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fo general barrios" sheetId="1" r:id="rId5"/>
    <sheet state="hidden" name="Inventario barrios" sheetId="2" r:id="rId6"/>
    <sheet state="hidden" name="Publicar" sheetId="3" r:id="rId7"/>
    <sheet state="visible" name="Base de Datos" sheetId="4" r:id="rId8"/>
  </sheets>
  <definedNames>
    <definedName name="Rentabilidad">'Base de Datos'!$AS:$AS</definedName>
    <definedName name="Publicar">'Base de Datos'!$AG$1</definedName>
    <definedName name="Precio">'Base de Datos'!$F:$F</definedName>
    <definedName hidden="1" localSheetId="3" name="_xlnm._FilterDatabase">'Base de Datos'!$A$1:$BF$1156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tc={025a501f-d52a-41eb-9e30-57b5afd843ca}</author>
    <author>tc={1c1f853f-57cb-4659-8cb2-fd31d899abcb}</author>
    <author>tc={22ce2cd3-cb77-4176-b168-76d926cb51a2}</author>
    <author>tc={33715b01-b792-42ab-9e37-0119a9fc1199}</author>
    <author>tc={3a8b5750-a2c6-46d7-9399-4f67a3ea0882}</author>
    <author>tc={65fd2623-f2ea-45d2-8158-42f9c30be68b}</author>
    <author>tc={7342c4d5-fdb5-49ec-a4af-25361edb73ed}</author>
    <author>tc={77fd2ee2-78ca-4281-9baa-d4fd68440e54}</author>
    <author>tc={88e0e556-0d9f-41e4-9fe1-8587baaf8a34}</author>
    <author>tc={91c68ccd-9154-468e-8eb0-b8109030a934}</author>
    <author>tc={a25e5519-63fd-4255-a1b7-d27913793fb6}</author>
    <author>tc={a9a17639-1c90-430e-a219-8b83ad2fe105}</author>
    <author>tc={b9b74128-7bc8-452e-bb66-36cadc22d53c}</author>
    <author>tc={d143db17-68f1-48b1-ad9a-65effa5e7dc6}</author>
    <author>tc={d81d4db5-e86e-4e54-8194-38a12e52e7d2}</author>
    <author>tc={e2559520-4ab0-454b-a152-83ced266be1a}</author>
    <author>tc={e4559de6-7007-4abc-a6c7-0f14022706a8}</author>
  </authors>
  <commentList>
    <comment authorId="0" ref="B1">
      <text>
        <t xml:space="preserve">Faltan nombres</t>
      </text>
    </comment>
    <comment authorId="1" xr:uid="{025a501f-d52a-41eb-9e30-57b5afd843ca}" ref="AD1">
      <text>
        <t xml:space="preserve">[Threaded comment]
 Your version of Excel allows you to read this threaded comment; however, any edits to it will get removed if the file is opened in a newer version of Excel. Learn more: https://go.microsoft.com/fwlink/?linkid=870924
Comment:
	Faltan
</t>
      </text>
    </comment>
    <comment authorId="2" xr:uid="{1c1f853f-57cb-4659-8cb2-fd31d899abcb}" ref="F1">
      <text>
        <t xml:space="preserve">[Threaded comment]
 Your version of Excel allows you to read this threaded comment; however, any edits to it will get removed if the file is opened in a newer version of Excel. Learn more: https://go.microsoft.com/fwlink/?linkid=870924
Comment:
	ver si se puede precio en barra
</t>
      </text>
    </comment>
    <comment authorId="3" xr:uid="{22ce2cd3-cb77-4176-b168-76d926cb51a2}" ref="D1">
      <text>
        <t xml:space="preserve">[Threaded comment]
 Your version of Excel allows you to read this threaded comment; however, any edits to it will get removed if the file is opened in a newer version of Excel. Learn more: https://go.microsoft.com/fwlink/?linkid=870924
Comment:
	Faltan barrios
</t>
      </text>
    </comment>
    <comment authorId="4" xr:uid="{33715b01-b792-42ab-9e37-0119a9fc1199}" ref="R1">
      <text>
        <t xml:space="preserve">[Threaded comment]
 Your version of Excel allows you to read this threaded comment; however, any edits to it will get removed if the file is opened in a newer version of Excel. Learn more: https://go.microsoft.com/fwlink/?linkid=870924
Comment:
	Recordar usar puntos en lugar de comas
</t>
      </text>
    </comment>
    <comment authorId="5" xr:uid="{3a8b5750-a2c6-46d7-9399-4f67a3ea0882}" ref="A319">
      <text>
        <t xml:space="preserve">[Threaded comment]
 Your version of Excel allows you to read this threaded comment; however, any edits to it will get removed if the file is opened in a newer version of Excel. Learn more: https://go.microsoft.com/fwlink/?linkid=870924
Comment:
	Marco a los 2 números y me indica que no estan vendiendo.
</t>
      </text>
    </comment>
    <comment authorId="6" xr:uid="{65fd2623-f2ea-45d2-8158-42f9c30be68b}" ref="Q1">
      <text>
        <t xml:space="preserve">[Threaded comment]
 Your version of Excel allows you to read this threaded comment; however, any edits to it will get removed if the file is opened in a newer version of Excel. Learn more: https://go.microsoft.com/fwlink/?linkid=870924
Comment:
	cambiar 0  por "No info"
Reply:
	sin datos
</t>
      </text>
    </comment>
    <comment authorId="7" xr:uid="{7342c4d5-fdb5-49ec-a4af-25361edb73ed}" ref="O1">
      <text>
        <t xml:space="preserve">[Threaded comment]
 Your version of Excel allows you to read this threaded comment; however, any edits to it will get removed if the file is opened in a newer version of Excel. Learn more: https://go.microsoft.com/fwlink/?linkid=870924
Comment:
	Ver por que en el modal aparece - y no 0
</t>
      </text>
    </comment>
    <comment authorId="8" xr:uid="{77fd2ee2-78ca-4281-9baa-d4fd68440e54}" ref="J1">
      <text>
        <t xml:space="preserve">[Threaded comment]
 Your version of Excel allows you to read this threaded comment; however, any edits to it will get removed if the file is opened in a newer version of Excel. Learn more: https://go.microsoft.com/fwlink/?linkid=870924
Comment:
	Completar zona
</t>
      </text>
    </comment>
    <comment authorId="9" xr:uid="{88e0e556-0d9f-41e4-9fe1-8587baaf8a34}" ref="S1">
      <text>
        <t xml:space="preserve">[Threaded comment]
 Your version of Excel allows you to read this threaded comment; however, any edits to it will get removed if the file is opened in a newer version of Excel. Learn more: https://go.microsoft.com/fwlink/?linkid=870924
Comment:
	Poner formula que se actualice sola con rentabiliad
</t>
      </text>
    </comment>
    <comment authorId="10" xr:uid="{91c68ccd-9154-468e-8eb0-b8109030a934}" ref="AC1">
      <text>
        <t xml:space="preserve">[Threaded comment]
 Your version of Excel allows you to read this threaded comment; however, any edits to it will get removed if the file is opened in a newer version of Excel. Learn more: https://go.microsoft.com/fwlink/?linkid=870924
Comment:
	Faltan
</t>
      </text>
    </comment>
    <comment authorId="11" xr:uid="{a25e5519-63fd-4255-a1b7-d27913793fb6}" ref="A1">
      <text>
        <t xml:space="preserve">[Threaded comment]
 Your version of Excel allows you to read this threaded comment; however, any edits to it will get removed if the file is opened in a newer version of Excel. Learn more: https://go.microsoft.com/fwlink/?linkid=870924
Comment:
	No se publica. Aplazaron la venta. Proceso de sucesión.
</t>
      </text>
    </comment>
    <comment authorId="12" xr:uid="{a9a17639-1c90-430e-a219-8b83ad2fe105}" ref="A274">
      <text>
        <t xml:space="preserve">[Threaded comment]
 Your version of Excel allows you to read this threaded comment; however, any edits to it will get removed if the file is opened in a newer version of Excel. Learn more: https://go.microsoft.com/fwlink/?linkid=870924
Comment:
	NO PAGÓ, HAY QUE DEMANDAR
</t>
      </text>
    </comment>
    <comment authorId="13" xr:uid="{b9b74128-7bc8-452e-bb66-36cadc22d53c}" ref="AA1">
      <text>
        <t xml:space="preserve">[Threaded comment]
 Your version of Excel allows you to read this threaded comment; however, any edits to it will get removed if the file is opened in a newer version of Excel. Learn more: https://go.microsoft.com/fwlink/?linkid=870924
Comment:
	ver decimales
</t>
      </text>
    </comment>
    <comment authorId="14" xr:uid="{d143db17-68f1-48b1-ad9a-65effa5e7dc6}" ref="A547">
      <text>
        <t xml:space="preserve">[Threaded comment]
 Your version of Excel allows you to read this threaded comment; however, any edits to it will get removed if the file is opened in a newer version of Excel. Learn more: https://go.microsoft.com/fwlink/?linkid=870924
Comment:
	Posible Admt. Para el año entrante.
</t>
      </text>
    </comment>
    <comment authorId="15" xr:uid="{d81d4db5-e86e-4e54-8194-38a12e52e7d2}" ref="A1">
      <text>
        <t xml:space="preserve">[Threaded comment]
 Your version of Excel allows you to read this threaded comment; however, any edits to it will get removed if the file is opened in a newer version of Excel. Learn more: https://go.microsoft.com/fwlink/?linkid=870924
Comment:
	Pendiente actualizar fotos, nueva remodelación.
</t>
      </text>
    </comment>
    <comment authorId="16" xr:uid="{e2559520-4ab0-454b-a152-83ced266be1a}" ref="AK1">
      <text>
        <t xml:space="preserve">[Threaded comment]
 Your version of Excel allows you to read this threaded comment; however, any edits to it will get removed if the file is opened in a newer version of Excel. Learn more: https://go.microsoft.com/fwlink/?linkid=870924
Comment:
	Ofrecer servicio a las que dicen sin contrato
</t>
      </text>
    </comment>
    <comment authorId="17" xr:uid="{e4559de6-7007-4abc-a6c7-0f14022706a8}" ref="A375">
      <text>
        <t xml:space="preserve">[Threaded comment]
 Your version of Excel allows you to read this threaded comment; however, any edits to it will get removed if the file is opened in a newer version of Excel. Learn more: https://go.microsoft.com/fwlink/?linkid=870924
Comment:
	Son dos inmuebles seguidos 1308 y 013.
</t>
      </text>
    </comment>
  </commentList>
</comments>
</file>

<file path=xl/sharedStrings.xml><?xml version="1.0" encoding="utf-8"?>
<sst xmlns="http://schemas.openxmlformats.org/spreadsheetml/2006/main" count="21542" uniqueCount="5867">
  <si>
    <t>Barrio</t>
  </si>
  <si>
    <t>Amenidades</t>
  </si>
  <si>
    <t>Links amenidades</t>
  </si>
  <si>
    <t>Fotos amenidades</t>
  </si>
  <si>
    <t>Precio más bajo</t>
  </si>
  <si>
    <t>Precio promedio</t>
  </si>
  <si>
    <t>Habitaciones promedio</t>
  </si>
  <si>
    <t>Baños promedio</t>
  </si>
  <si>
    <t>Área promedio</t>
  </si>
  <si>
    <t>Estrato</t>
  </si>
  <si>
    <t>Código</t>
  </si>
  <si>
    <t>Las Granjas</t>
  </si>
  <si>
    <t xml:space="preserve">Gimnasio Comfamiliar CAPF, Iglesia San Judas Tadeo, Colegio Maria Cristina Arango, Aeropuerto Benito Salas , Centro comercial San Pedro Plaza , Centro comercial San Juan Plaza , Centro de salud Carmen Emilia Ospina , </t>
  </si>
  <si>
    <t>https://gimnasioscomfamiliar.com/sede-cambulos/ , https://diocesisdeneiva.org/directorio/parroquias/San-Judas-Tadeo-Neiva , https://www.iemariacristinaarango.edu.co/,  https://www.aerocivil.gov.co/aeropuertos/Pages/Benito-Salas.aspx , https://sanpedroplazacomercial.com.co/ , https://sanjuanplazacc.com/ , https://esecarmenemiliaospina.gov.co/</t>
  </si>
  <si>
    <t>https://i.imgur.com/uvF7ybU.jpeg , https://i.imgur.com/4UFnHhg.jpeg , https://i.imgur.com/dpY74R2.jpeg , https://imgur.com/yBDIUKl.jpeg , https://i.imgur.com/0McV52E.jpeg , https://i.imgur.com/ZfvQIV4.jpeg ,</t>
  </si>
  <si>
    <t>Nombre</t>
  </si>
  <si>
    <t>Tipo de inmueble</t>
  </si>
  <si>
    <t>Conjunto</t>
  </si>
  <si>
    <t>Precio</t>
  </si>
  <si>
    <t>Rango de precio</t>
  </si>
  <si>
    <t>Hipoteca</t>
  </si>
  <si>
    <t>Permuta</t>
  </si>
  <si>
    <t>Zona</t>
  </si>
  <si>
    <t>Comuna</t>
  </si>
  <si>
    <t>Habitaciones</t>
  </si>
  <si>
    <t>Habitacion en 1er piso</t>
  </si>
  <si>
    <t>Baños</t>
  </si>
  <si>
    <t>Garaje</t>
  </si>
  <si>
    <t>Pisos</t>
  </si>
  <si>
    <t>Área Construida</t>
  </si>
  <si>
    <t>Área lote</t>
  </si>
  <si>
    <t>Rentabilidad</t>
  </si>
  <si>
    <t>Ciudad</t>
  </si>
  <si>
    <t>Ubicación</t>
  </si>
  <si>
    <t>Vía</t>
  </si>
  <si>
    <t>Closet</t>
  </si>
  <si>
    <t>Piscina</t>
  </si>
  <si>
    <t>Administración</t>
  </si>
  <si>
    <t>Retorno de la Inversión</t>
  </si>
  <si>
    <t>Google Fotos</t>
  </si>
  <si>
    <t>Descripción</t>
  </si>
  <si>
    <t>Puntos Clave</t>
  </si>
  <si>
    <t>Buscar</t>
  </si>
  <si>
    <t>Cocina</t>
  </si>
  <si>
    <t>Publicar</t>
  </si>
  <si>
    <t>Inventario</t>
  </si>
  <si>
    <t>Contrato</t>
  </si>
  <si>
    <t>Inmobiliaria</t>
  </si>
  <si>
    <t>Estado del contrato       Firmados - para imprimir - sin contrato</t>
  </si>
  <si>
    <t>TIENE FOTOS  - CODIGOS DISPONIBLES-NO TIENE FOTOS-NUEVOS ULTIMOS BARRIDOS - FIRMO CONTRATO ICDE</t>
  </si>
  <si>
    <t>CELULAR</t>
  </si>
  <si>
    <t>CELULAR 2</t>
  </si>
  <si>
    <t>PROPIETARIO</t>
  </si>
  <si>
    <t>DIRECCIÓN</t>
  </si>
  <si>
    <t>LATITUD</t>
  </si>
  <si>
    <t>LONGITUD</t>
  </si>
  <si>
    <t>RENTAB.</t>
  </si>
  <si>
    <t>ASCENSOR</t>
  </si>
  <si>
    <t>CORTINAS</t>
  </si>
  <si>
    <t>AIRE ACONDICIONADO</t>
  </si>
  <si>
    <t>REJA/ ANTEJARDIN</t>
  </si>
  <si>
    <t>ANTIGÜEDAD</t>
  </si>
  <si>
    <t>PATIO</t>
  </si>
  <si>
    <t>DIMENSIONES</t>
  </si>
  <si>
    <t>LEADS ASIGNADOS</t>
  </si>
  <si>
    <t>g0f</t>
  </si>
  <si>
    <t>PROPUESTAS SUGERIDAS POR IA</t>
  </si>
  <si>
    <t>Imagenes</t>
  </si>
  <si>
    <t>7064</t>
  </si>
  <si>
    <t>Casa en barrio La Toma</t>
  </si>
  <si>
    <t>Casa</t>
  </si>
  <si>
    <t>La Toma</t>
  </si>
  <si>
    <t>Los Cámbulos II</t>
  </si>
  <si>
    <t xml:space="preserve">Gimnasio Comfamiliar CAPF, Iglesia San Judas Tadeo, Aeropuerto Benito Salas , Centro comercial San Pedro Plaza , Centro comercial San Juan Plaza , Centro de salud Carmen Emilia Ospina , </t>
  </si>
  <si>
    <t xml:space="preserve">https://gimnasioscomfamiliar.com/sede-cambulos/ , https://diocesisdeneiva.org/directorio/parroquias/San-Judas-Tadeo-Neiva ,  https://www.aerocivil.gov.co/aeropuertos/Pages/Benito-Salas.aspx , https://sanpedroplazacomercial.com.co/ , https://sanjuanplazacc.com/ , https://esecarmenemiliaospina.gov.co/ , </t>
  </si>
  <si>
    <t>https://i.imgur.com/uvF7ybU.jpeg , https://i.imgur.com/4UFnHhg.jpeg , https://imgur.com/yBDIUKl.jpeg, https://i.imgur.com/0McV52E.jpeg , https://i.imgur.com/ZfvQIV4.jpeg , https://imgur.com/US4kxwg.jpeg</t>
  </si>
  <si>
    <t>Centro</t>
  </si>
  <si>
    <t>3</t>
  </si>
  <si>
    <t>Neiva</t>
  </si>
  <si>
    <t>Medianera</t>
  </si>
  <si>
    <t>No tiene</t>
  </si>
  <si>
    <t>No aplica</t>
  </si>
  <si>
    <t>Los Molinos</t>
  </si>
  <si>
    <t>https://i.imgur.com/uvF7ybU.jpeg , https://i.imgur.com/4UFnHhg.jpeg , https://imgur.com/yBDIUKl.jpeg,  https://i.imgur.com/0McV52E.jpeg , https://i.imgur.com/ZfvQIV4.jpeg , https://imgur.com/US4kxwg.jpeg</t>
  </si>
  <si>
    <t>básica</t>
  </si>
  <si>
    <t xml:space="preserve">  F/$250</t>
  </si>
  <si>
    <t>NO FOTOS + DESCRIPCION</t>
  </si>
  <si>
    <t>CARRERA 7 A No. 13 - 20</t>
  </si>
  <si>
    <t>NO</t>
  </si>
  <si>
    <t>X</t>
  </si>
  <si>
    <t>20 - SAMADHI RODRIGUEZ</t>
  </si>
  <si>
    <t>1249</t>
  </si>
  <si>
    <t>Casa campestre en Rivera</t>
  </si>
  <si>
    <t>Casa campestre</t>
  </si>
  <si>
    <t>Sur</t>
  </si>
  <si>
    <t>Rivera</t>
  </si>
  <si>
    <t>0</t>
  </si>
  <si>
    <t>Privada</t>
  </si>
  <si>
    <t xml:space="preserve">Villa Carolina </t>
  </si>
  <si>
    <t xml:space="preserve">Centro comercial San Pedro Plaza , Centro comercial San Juan Plaza , Supermercado Olímpica , Homecenter , Parroquia Santa María de la Paz ,  Centro de atención integral materno infantil CAIMI , </t>
  </si>
  <si>
    <t xml:space="preserve">https://sanpedroplazacomercial.com.co/ , https://sanjuanplazacc.com/  , https://www.olimpica.com/nuestras-tiendas/ , https://www.homecenter.com.co/homecenter-co/ , https://diocesisdeneiva.org/directorio/parroquias/Santa-Maria-de-la-Paz-Neiva , https://esecarmenemiliaospina.gov.co/el-corazon-del-caimi-ya-esta-listo/ , </t>
  </si>
  <si>
    <t xml:space="preserve">https://i.imgur.com/0McV52E.jpeg , https://i.imgur.com/NqTPCOW.jpeg , https://i.imgur.com/LTJ6cm8.jpeg , https://i.imgur.com/ZfvQIV4.jpeg , https://i.imgur.com/2jLDNZK.jpeg , https://i.imgur.com/6K5qkDD.jpeg , https://i.imgur.com/2CK2QZ7.jpeg , https://i.imgur.com/5wEmeiL.jpeg , </t>
  </si>
  <si>
    <t>https://photos.app.goo.gl/FsXuh4zRiHtfxLRy8</t>
  </si>
  <si>
    <t>Esta espectacular casa campestre de lujo en venta, ubicada en el municipio de Rivera, Huila, se extiende sobre un impresionante terreno de 1.800 m² con 300 m² construidos, definidos por un diseño moderno y acabados de alta gama con materiales premium. Los interiores están pavimentados con un porcelanato blanco pulido con vetas grises tipo mármol de formato grande que refleja la luz natural. El área social de concepto abierto, con muros estucados y pintados en un blanco impecable, integra una sala de estar de generosas dimensiones, un comedor elegante y una moderna cocina tipo isla totalmente equipada con mesones de cuarzo blanco, carpintería de madera oscura, grifería cromada y electrodomésticos empotrados. Grandes ventanales de piso a techo con perfilería de aluminio negro se abren completamente para conectar estos espacios con la terraza cubierta, creando un flujo sin interrupciones hacia el exterior. La propiedad cuenta con 3 amplias habitaciones, cada una con su propio baño privado revestido con cerámicas modernas y grifería de alta calidad, y vestier independiente. La suite principal disfruta de acceso directo al área de la piscina y vistas a las zonas verdes. La casa incorpora tecnología para una experiencia inteligente.</t>
  </si>
  <si>
    <t>Ubicada en uno de los destinos más codiciados del Huila por su clima agradable y entorno natural, esta propiedad combina diseño contemporáneo, confort y privacidad absoluta. Su principal atractivo radica en la perfecta integración de la arquitectura con la naturaleza, lograda gracias a los grandes ventanales que brindan iluminación y ventilación natural durante todo el día. El exterior cuenta con una completa zona de entretenimiento que incluye una piscina privada rodeada de zonas verdes meticulosamente cuidadas, un área BBQ y amplios jardines ideales para reuniones sociales o simplemente para relajarse. La opción de venta "a puerta cerrada" la convierte en una oportunidad llave en mano lista para habitar. Esta casa campestre inteligente representa no solo un hogar de lujo con alta valorización, sino también un refugio exclusivo que promete bienestar y una conexión única con el paisaje.</t>
  </si>
  <si>
    <t>integral</t>
  </si>
  <si>
    <t>SI</t>
  </si>
  <si>
    <t>Aliado</t>
  </si>
  <si>
    <t xml:space="preserve"> Primavera $1.100 Codg. 822  - Jovel $1.400 -</t>
  </si>
  <si>
    <t>TIENE FOTOS</t>
  </si>
  <si>
    <t>G</t>
  </si>
  <si>
    <t>https://lh3.googleusercontent.com/pw/AP1GczNb6luhwWfagHhLwFzqfUjaIa1nls1j3IXlIT9SKQTeszS189ByoNCoJirXZOIfuMZUO2EPxdx-ZCqXdyM0CvgmDNvkHmPUX7Xjok_CKza6N6kyWK0E=w1200|https://lh3.googleusercontent.com/pw/AP1GczM1VA0Mv3WSqM3xoEcmKZHEGbfLPvtCrqsj2q7NHf1MBy4YrwaPfDx1uKlPGJUG2cGBRPYaEORWmtkKyzT_LvTvoBC_rBkiYdt7763uH9snULdYCrKg=w1200|https://lh3.googleusercontent.com/pw/AP1GczPjn6sDBPTO-mljvQ-ugsqe4A5liLhlCl_MVvcI1UQBt1KumLhqKMtyFkuHBW0ljdkIrpalpbZ9neV1Oy5J5C3qno69Htoa7z_oyo-12YkWRTp8ERUO=w1200|https://lh3.googleusercontent.com/pw/AP1GczMKB5zwAogoYugrRslnuDhNjx2vHvGr3nP-AFniaK7eZUCbOKIhD10HmUZBuSXZpTxdhJrWo9OJIe1WkjizJW41uTEQ-a0fIahZCDBg7CGNfw4vNcGt=w1200|https://lh3.googleusercontent.com/pw/AP1GczPpIthIVemBCIi7R1-bPg5gcuYWBDfHhI7GOqaIG8yT-_1DVkcxlXrKGDTvJ-UfzJ3LJZ5QyxQ-wsgj6-qzzhTo3_0Cbn8CgykeQ4tjOgxd98KMr-Bu=w1200|https://lh3.googleusercontent.com/pw/AP1GczNd1vY0dwea6U_720OfcMsnYx7TfAOYcN2iR4JPkuvTMpPl1NrAKibKATEAQVquM4dYN5t9VWBgNVqASmz0JQtFkGdHyrgE7YCZ5YxDVCWyJlHD2Pca=w1200|https://lh3.googleusercontent.com/pw/AP1GczMJws7WTqxsNqG-lf7XX5rzN5817Rjd_1YzTzVxGv0IE1X4tYMT3NCSFRSXPqKj22mIkg44GQgbVLsZhw_qKyrmgSQOY2LoamM4FvgSgfwHOs5SG1yH=w1200|https://lh3.googleusercontent.com/pw/AP1GczNGH_AgMJpG0zbVBbtRV3qMdQ5nghYGH8jkBmW8GA8R9cggCeDuMhjJelQVow0yCwZDZsqFUu65Gpw5tR5yTQIi7cOMLx6LremU4pBqVSV7WfhYZ-JV=w1200|https://lh3.googleusercontent.com/pw/AP1GczOhHlOoblYfXzkk-4JEq9NezmoFVpyLG1yGRurPEoXRyXrlNl_twGR8YE9Dw-1dRrcrYSMSysScmHzhEod0aG123lfsoCXKdqSy2LG3WcDUHHGVjKKU=w1200|https://lh3.googleusercontent.com/pw/AP1GczP1wR0D5k2grAdX8hlyyAzWm_vO3h2NgIhXfeh2GrdEVB5R3ZEChXn9xPVtvC6nz8hNfuZFitmuXQuWD9riKdNhf7KDbu3r1EEhSecOsoAjuh-PRhYN=w1200|https://lh3.googleusercontent.com/pw/AP1GczPfzG6FgydL3nA7b6zMacnS5tgmggYFgvLeEZs-GTVIKaE1noVCTl4lscT8O3BCZ8JBz40MjMjmqibbFp1SpPBqWQDApCAT9oiiKlbEJ5V2GRL9Zspl=w1200|https://lh3.googleusercontent.com/pw/AP1GczMVO_uj7rofaffDBQpPULFUgpedP0o_lvdWOK5Zuc_EpHNSZSlcX9PVz4EdKOJWOR1Ds78Dr5bpe25kDZ-39N4Fp2AsoqiiDDmXsosW7Jey54Hlymev=w1200|https://lh3.googleusercontent.com/pw/AP1GczOTa6KmlvQPpunCA1UT0hmT2aRNuOsPI7pp51vY03QsQPFrpGAfZ8MQzKsRLQ9U5U2K39Ca66tqsR1Wck_5SiIBLzT8ORzAY31U7eo04H8jWAcRbUMz=w1200|https://lh3.googleusercontent.com/pw/AP1GczPgHAjQoPrgFx9iJ2O5yX5e0L18EWgNvi1L8sMYdHJXZu6USnsJLT6ZDudfEBZ3rIpARScR2cZGorJjhzSynhxzEZHXuYH1b42EtSEOovVF2EvCDbQX=w1200|https://lh3.googleusercontent.com/pw/AP1GczNQnWiTf7G-OnhFF_O4ME_jaDbEzOxvVT_AFXr9x7m6QxiaEPv1Vsc59C8DF7E2KJ4xwzWPnhFm8WNI9z6NfMwu6LFnjdPaM3dEMuHkMyBHhU54xASi=w1200|https://lh3.googleusercontent.com/pw/AP1GczOKlGjVmUVj6Nv4zckP2R4im7sYakJKwCbLbd6qCcWUFdsNzE6HQhz7yur8AqbDfGtKoCyjWVZLSUYe7oikiif_tR4Gms2iyLEMzUDGslheimlFiCg8=w1200|https://lh3.googleusercontent.com/pw/AP1GczN2KISlW-C_1_tM9LL2EFCLJMb5Xx_yOduBilV0NhQLpGWeL_uNumM0f6AnLYzIVC6TwzkA13BftS0nCBtXuyldmxT02V_6NnO9Nd8ZVWPmUVy97HbY=w1200|https://lh3.googleusercontent.com/pw/AP1GczO3H2fW-d-riymPEbLYXL48hKUk7G1wOUa6BzkN-AioNZVVLaKB05ac9o72SndCazwO2aOEV3pGPd3wagaF-FEE2Ng8smaETZnmE90HliZ7OBIjwa49=w1200|https://lh3.googleusercontent.com/pw/AP1GczOmLb3455QLIsmAfgq_fXp0Ss6ZUXThQCfcfhhPOj24LjPB5v53uy8fI0HZfTHlXKV9sya4Ds4cexISMpDBlaGN0m2Vp8yOlXCv2tVwSkZQBX8u7AgW=w1200|https://lh3.googleusercontent.com/pw/AP1GczNjX8lMNLljHHL0Rb0HlMCLkR5rDapf7fvFfnlfq9lznQ39UNxlUYwhn6pPHbqAuV0IeQhXiQj8JIsd7sLcmdwDMQIvroRroODirq9yrdANEkp6sczl=w1200|https://lh3.googleusercontent.com/pw/AP1GczPQkWuwxtFcVXpxGm7rCaOCVmDT1GHIvtNcSsbSyBCAbfgpv3-jUY-wg_hlQj3K4WogM2PlVne6U9C81Zqh8ozQRG5jFU11ZPV44jlDFka587P1_lRk=w1200|https://lh3.googleusercontent.com/pw/AP1GczNaBj6i8j7V95f_UWsSvjMdPhPL-tN5NUOpNFoSCh8NFafjofXKdOi7RdjaHOQypSdo354VlW8V64oRhHrmKUatEaMwoaj3iKkj36zfyklMbs3Dv1Y1=w1200|https://lh3.googleusercontent.com/pw/AP1GczNSZehb97PD9Wxo5qftVq_Ywfkf4Uw7P1iy7ONr58RfYRR3-p4ZOl6wgTaqNF9TJ3obaDiZ_zP06Mw_wSbmM24ANOsG5TNdR7Ea0M6-0_kOpNXMhs7G=w1200|https://lh3.googleusercontent.com/pw/AP1GczPUrutzbygDenCxBFhdVdZBNdjMFxE-20AShHvE9JjmcMNoPaq57qNzsJTnz_2PKIGQWeBZNO2aI8uxxABEKWlCHQDOeNT5jqFmPW2IdggsxYfKq8cB=w1200|https://lh3.googleusercontent.com/pw/AP1GczNsd6jrT5_0b78DyDDYRdfvONPa8u0ckjSDcZ2Tz0ucynp6gincFIRFQfgnG9pz5bi3XlV4xjpqhNv5x42Gbc6ysnbIpx_UKQHSzM8Adps6yRHEjO-o=w1200|https://lh3.googleusercontent.com/pw/AP1GczOqhxieqR5UCIvYJeJ8AlnovQ315CsZc93HSXuRBVlPM3ovobVgYqvNxNSTT_0muu1ooQQfVXi4WDgjxCdeOBavBfmnhETmm3d7RLJTcsEltqv3HL22=w1200|https://lh3.googleusercontent.com/pw/AP1GczPJq2k0xF8EUo6aw0tDUxezDFjM8vnLVinQyI6mijJ3fp46JReLnwacAb2HSTe72KaGRTVKBl880oXROtjZo_aYepKYApN4-a5lb6Qq5wlfyLDy2OBY=w1200|https://lh3.googleusercontent.com/pw/AP1GczN5JTRmetSlhK8-Phr46uELez39rXDRl-5X1IaxbDZD0Xaf_kch0b-nttViyQjg7bd_sL6QkTTscFnC-ukRHJen84whzjtDW9edRnk4JSO9nAtyYlWz=w1200|https://lh3.googleusercontent.com/pw/AP1GczObUVTcYYPMSXM7aXbGZm8lhjChNnBHFXn-C_V2uA16m-5ksHM8LX0Sqxkts-iGXUsMG4ChsEH9v3zYWO1WkXICNmdGV7bJ44QpcDzspn0Ac9FuwIq3=w1200</t>
  </si>
  <si>
    <t>055</t>
  </si>
  <si>
    <t>Casa campestre en conjunto Condominio Campestre Portobelo - Oriente</t>
  </si>
  <si>
    <t>Casa campestre en conjunto</t>
  </si>
  <si>
    <t xml:space="preserve">Condominio Campestre Portobelo </t>
  </si>
  <si>
    <t>Oriente</t>
  </si>
  <si>
    <t>6</t>
  </si>
  <si>
    <t>Esquinera</t>
  </si>
  <si>
    <t>Jacuzzi</t>
  </si>
  <si>
    <t>Villa Urbe</t>
  </si>
  <si>
    <t>https://photos.app.goo.gl/qBodAdBTByzCxczf7</t>
  </si>
  <si>
    <t>Esta exclusiva residencia esquinera contemporánea de estrato 6 cuenta con un área privada de 280 m² caracterizada por acabados impecables y modernos. En toda la propiedad destacan pisos de porcelanato blanco de alto brillo con un formato amplio que maximiza la luminosidad, combinados con muros estucados y pintados en tonos claros y elegantes. En el primer nivel, la zona social integra una espaciosa cocina integral en L de concepto abierto, equipada con muebles modulares de color blanco brillante, mesones de granito oscuro, torre de hornos empotrada, estufa de vidrio templado, campana extractora de acero inoxidable y un gran ventanal de aluminio que conecta con el exterior; este piso incluye también una habitación o estudio versátil, un baño social y doble acceso (principal y directo desde un garaje con capacidad para 2 vehículos). El segundo nivel alberga una sala de televisión y un total de 5 habitaciones amplias y 6 baños dotados de divisiones en vidrio templado y grifería cromada; la alcoba principal se distingue por sus generosas dimensiones, aire acondicionado, persianas modernas tipo cebra en sus amplios ventanales, baño privado con tina de hidromasaje y un balcón con vista relajante.</t>
  </si>
  <si>
    <t>El mayor atractivo de este inmueble radica en su estilo de vida premium y su ubicación privilegiada en la codiciada Zona Oriente de Neiva, justo al lado del Centro Comercial Santa Lucía Plaza, lo que garantiza comodidad, conectividad y valorización inmediata. Su diseño exterior esquinero ofrece una privacidad inigualable y una conexión única con la naturaleza a través de un oasis privado: un patio interior central equipado con jacuzzi propio, zona BBQ integrada y un hermoso árbol de limón, complementado por una vista directa a zonas verdes circundantes con árboles frutales de arazá y mango dulce. Es la oportunidad perfecta para compradores exigentes que buscan el estatus de un entorno campestre con la seguridad de un condominio cerrado y el confort de un hogar moderno listo para habitar.</t>
  </si>
  <si>
    <t>Andrea Bernal</t>
  </si>
  <si>
    <t>https://lh3.googleusercontent.com/pw/AP1GczOcZBLCbYD3J0cIm-v6Goh5YF7PnKgWwXAd6vaKV0t2375B7xLbAFsNqxpKP5ikEKYyUbTpurlOmf96lMIB1YLd3tQ07zdqHdUbwoNqqT9XNZAEVytn=w1200|https://lh3.googleusercontent.com/pw/AP1GczPHSvbGHDA0JQ47c0ukYBAoz1wDKy_x-kBCFpCC0gI_gvttyXGr-RetgypaxKaUUT0OGHyc2YEcgKpPr-vwlmRJgb9YW6XlWkXWlHCm4cfkIuB8PEO_=w1200|https://lh3.googleusercontent.com/pw/AP1GczNjbQycox5ycQBUC082ZKiD20lTJSmC4rpmelKnntBGFFw-ORaJMLR9Y5qcnIWbtZivHPtPbAALewfWbiPMd6m0wZmr6sdPvNB4SazsVq-aeRPQ0yCH=w1200|https://lh3.googleusercontent.com/pw/AP1GczMOM4FyMsM018sbQ4qj8CAX6XfZiiFaLRrw8LMNxWZIoDiM7VYX5VfseMfSmmG8cK4wfuKEP8wiOWSTUSwuN0WAVj9dNCJ8Z4IPTTMsYNzW_ILACI9I=w1200|https://lh3.googleusercontent.com/pw/AP1GczNMbqPl3FYaO77fQsHmtzdnXEnnyFKOs-RbOXLON2QhscGIKk4JBW3E-TM857HuftxM9cnqgcENgY5Gx2qttMFj0VH7xp0551dy-0PPvKl7Wf8oNlyQ=w1200|https://lh3.googleusercontent.com/pw/AP1GczOa-lx73wJxOOwnNaZjn7Kq4s-lUptnX8EFNDsxfmKCsfKfUijhym-1Sw70wmbfoyC2-G9orccjezT1zNEzUdxf_lBI_gdXFt1GHuCrU7ok__oNIWgE=w1200|https://lh3.googleusercontent.com/pw/AP1GczOO8a92wsWbOtrH-s7YHA-slpZwtAC9qGYgibR1-pVsxygudIcRFJ35MCAq1cdSVFiHAGrjT5_-7UkbmKc9UAXyDA5KxN1Bd2-4pdZuQMoi0dmU_zA1=w1200|https://lh3.googleusercontent.com/pw/AP1GczNuULHAG7TUcntehm2vXphBhXf0pIwq2ZGLZUGHTD3ZvPwxdQTeS_iUr3xWHQeT5JXrlkrcmUxq240PRC_WfRPx4PSMo6hcuTsAvbiMWK_aja0j8tpT=w1200|https://lh3.googleusercontent.com/pw/AP1GczNY2boJRDWmiRZ8lrcRjK89fxXxPD-ezCAZH9mjbZKr11cG4QVBueb398sXMLadXziFE452DFtWbTEF7DUT-1DBoqR9kw0iZhqfJcaPzecr3uyC7xM0=w1200|https://lh3.googleusercontent.com/pw/AP1GczMyqJMmqRPaEiObdwQFC-L3y-auQr25FqXVb5t0k568i0QfvYDMHtDxuqmIVfXJ5wJL40t_LWnRi1gLhyowwDjZq60HOm-wTCD0Z1ZeP4cgzam_pfzB=w1200</t>
  </si>
  <si>
    <t>407</t>
  </si>
  <si>
    <t>Casa en conjunto conjunto Condominio Campestre Paisajes de Almería - Oriente</t>
  </si>
  <si>
    <t>Casa en conjunto</t>
  </si>
  <si>
    <t>Conjunto Condominio Campestre Paisajes de Almería</t>
  </si>
  <si>
    <t>Social</t>
  </si>
  <si>
    <t>Alamos Norte</t>
  </si>
  <si>
    <t xml:space="preserve">Centro comercial San Pedro Plaza , Centrocomercial San Juan Plaza , Homecenter , Parroquia Santa María de la Paz ,  Centro de atención integral materno infantil CAIMI , </t>
  </si>
  <si>
    <t xml:space="preserve">https://i.imgur.com/0McV52E.jpeg , https://i.imgur.com/NqTPCOW.jpeg , https://i.imgur.com/LTJ6cm8.jpeg , https://i.imgur.com/ZfvQIV4.jpeg , https://i.imgur.com/6K5qkDD.jpeg , https://i.imgur.com/2CK2QZ7.jpeg , https://i.imgur.com/5wEmeiL.jpeg , </t>
  </si>
  <si>
    <t>https://photos.app.goo.gl/ihWDX96WyS8yz2xt6</t>
  </si>
  <si>
    <t>Esta espectacular casa de dos niveles y estrato 4 cuenta con un diseño de concepto abierto que abarca un área total de 188 $Mt^2$. La planta baja destaca por sus pisos cerámicos de alto brillo, muros con acabados impecables en blanco y una amplia cocina integral de diseño moderno equipada con elegantes muebles modulares superiores e inferiores en color blanco, encimeras de granito oscuro, barra americana y campana extractora de acero inoxidable. El área social de este primer nivel incluye una sala y comedor de excelente iluminación natural, estudio independiente, baño social, zona de lavandería independiente, dormitorio de servicio con su propio baño y un patio exterior con zona BBQ. En el segundo nivel se distribuye una sala auxiliar de TV, un baño social completo con ducha y 3 cómodas habitaciones; las dos auxiliares cuentan con clóset empotrado, mientras que la majestuosa habitación principal dispone de aire acondicionado, walking clóset, baño privado y acceso a un balcón privado con barandas de seguridad, sumando además 2 parqueaderos privados en el inmueble.</t>
  </si>
  <si>
    <t>Ubicada en una de las zonas residenciales de mayor valorización, exclusividad y proyección en el Oriente de Neiva, esta propiedad en el conjunto residencial Pasaje de Almería es la elección perfecta para quienes buscan comodidad, seguridad y calidad de vida familiar. El condominio destaca por su alta privacidad al estar conformado por solo 42 casas, ofreciendo un entorno completamente tranquilo con vigilancia privada 24/7 y parqueaderos internos exclusivos para visitantes. Las zonas comunes están diseñadas para un estilo de vida superior, equipadas con una amplia piscina, cancha de tenis, cancha múltiple, salón social, zona BBQ y parque infantil. Sus generosos espacios, la excelente ventilación natural y los acabados listos para estrenar representan una oportunidad inigualable en el mercado para asegurar el bienestar inmediato y el patrimonio de su familia</t>
  </si>
  <si>
    <t>P</t>
  </si>
  <si>
    <t>https://lh3.googleusercontent.com/pw/AP1GczNCvd4P9GPOicaCmeqLZo3DUjsercaGgMI9G1UdMnoa-AwYiQXgMuWF2XxhVRO8gO_fhAtH11RjWduC9qYztuPOn4nxnrVFkzDZOEzToE-vYiw14A_i=w1200|https://lh3.googleusercontent.com/pw/AP1GczOV4Vl9uFwT30G5zcZvqRM8vSKatNSR5zEg01E6skPEX7r6P7lS7Fd_ve9Zo7Xi7SRLPEj99_r17CM7eCIq3Yd3-GvFoejYQ9UdD3tWCx1KVBywFqql=w1200|https://lh3.googleusercontent.com/pw/AP1GczMtLbGDYILN4QXdRoX2nC_RvMm-rjFNtxB4bw2iS9mdRyPsuunHtYPxEX4WDejRsIrajKfwyLDq2YgNsDLHemxMpXyBEd9ovuScQgnDOOBJn5UGEBEI=w1200|https://lh3.googleusercontent.com/pw/AP1GczOhm2N3hbzHjSnGrRACx0T9Yi6t4Hw2ASpa0jUOl0FKNzVrPbJVpjoWLuh3Dng-CR5ShnTl-MnzUTzptaCEi4clbdBOFRnS86udS6MTLj1-VE8TQnUG=w1200|https://lh3.googleusercontent.com/pw/AP1GczNtt4ZJX4u6mIbrXA9RtS4htORYghlqPhoBOd0pcNvErw_1OLuCGSlbhG67Kxq_t03VAbBwZ8kCvrSpN5PHaR456Ci3bpmdZr_9_IQgPuyAnlB--od_=w1200|https://lh3.googleusercontent.com/pw/AP1GczMVZRLQ8yrlbNco26BeNeG2S9YT4U50xvrCfBVe6fH9OvFLPbwzqFUp0xlpE9_vMA6_ld6VcF9PqjZ6Xqb_4djqxugI03FpKYCXD4cSM6h37h7ZNc3i=w1200|https://lh3.googleusercontent.com/pw/AP1GczMTcMR1k4_I4Bb_bB9Da5wcY868zqU9qqwmTjvQOd6O9tleLxrVoNsZEtoMnT52TA9KlLhTecMSCh7kOnjmkd8Pe0fCQu_3i6J9etfc_yk7VkEWpwR-=w1200|https://lh3.googleusercontent.com/pw/AP1GczM_30wBK4H6yjeSr1ApQoJVElPR-MF00T6bREV8oHKDNRC0FEGsw9jQsN7vjwTvKyL55jaCmJK9QetXN7BvGj4n8lo2hFqlIUgyAkdLLk_fxaLQRKvF=w1200|https://lh3.googleusercontent.com/pw/AP1GczM-Uy1mJH4fwRdZXP56m4rqlLOauMqoNgsmF-QnmT-dYw-CE5vxiyy1zEHWcE2k9wDjTmyRW_XFO4xlIPtoSkZ7xrUaTmYjBG04EeAvkqo1cvfzFOJp=w1200|https://lh3.googleusercontent.com/pw/AP1GczPthURyGwfYPUMANEaIVx-gVCSQSY3x9i4B7QmTxfprQl27kd64HyHzgzqXxoIPiMNwfX1nPptR-7k5j9oOKJEN6w1YYi680xS_A0UefL7ZmsHVoJK3=w1200|https://lh3.googleusercontent.com/pw/AP1GczPA4e-OCU-a2q7fwvpzN-tgSHfI3fp58o14XAEKp-H8YVpV8ra3LU2Ang6OU8rIcbg7dSGZfaTij__WnET8-_feHP3UH9OXTmayxZiW_z2AtGRp0-4G=w1200|https://lh3.googleusercontent.com/pw/AP1GczP3ULdZL8TUhIHqUQKSsxV-i1A_yupT_Nb47Hl2UXH3-8ElwSflQAcf3Bzo7Uqahjf2EH8qAp88FfL9fVc8o5vNjm45Ka21hUz8O1TwJxtqq5TxsX60=w1200</t>
  </si>
  <si>
    <t>881</t>
  </si>
  <si>
    <t>Casa en conjunto Paisaje de Almería - Oriente</t>
  </si>
  <si>
    <t xml:space="preserve">Conjunto Paisaje de Almería </t>
  </si>
  <si>
    <t>4</t>
  </si>
  <si>
    <t xml:space="preserve">Santa Librada </t>
  </si>
  <si>
    <t>Estadio Guillermo Plazas Alcid , INDER , Batallón Tenerife , Comando Policia Nacional , Hospital Universitario Hernando Moncaleano Perdomo , Colegio Santa Librada ,</t>
  </si>
  <si>
    <t xml:space="preserve">https://clubatleticohuila.com.co/ , https://inderhuila.gov.co/crd/ , https://www.cgfm.mil.co/es/taxonomy/term/13625 , https://www.policia.gov.co/neiva , https://hospitalneiva.gov.co/ ,  https://www.santalibradaneiva.edu.co/ , </t>
  </si>
  <si>
    <t xml:space="preserve">https://imgur.com/hN630gp.jpeg , https://imgur.com/PNtFJ9l.jpeg , https://imgur.com/Vg1js9v.jpeg ,  https://imgur.com/t2uszmF.jpeg , https://imgur.com/DoTgP2s.jpeg , https://imgur.com/fcJveEr.jpeg </t>
  </si>
  <si>
    <t>https://photos.app.goo.gl/7H36CRapUBibtUSS6</t>
  </si>
  <si>
    <t>Esta imponente casa esquinera de dos niveles en estrato 4 cuenta con un área privada de 190 m² y 198 m² construidos, destacando por sus acabados de excelente calidad basados en pisos de gran formato de cerámica pulida en tono gris claro y muros decorativos con paneles de celosía de madera de nogal acanalada. La planta baja distribuye una amplia sala con mueble de entretenimiento flotante, un comedor independiente con vitrina empotrada y puertas corredizas de madera y vidrio que conectan a un estudio, cocina integral tipo gourmet con gabinetes en nogal, encimeras de cuarzo blanco, isla central con frente de listones de teca y salpicadero en mosaico de mármol, además de zona de lavandería, patio enchapado y habitación de servicio con baño. Una elegante escalera con pasos cerámicos antideslizantes, pasamanos de acero inoxidable y barandilla de vidrio templado conduce al segundo nivel, el cual alberga un hall de alcobas, dos habitaciones auxiliares con baño compartido y una espectacular habitación principal con baño privado y walk-in closet; el inmueble se complementa con un parqueadero para 3 vehículos y una magnífica terraza exterior con pisos de gres porcelánico texturizado tipo piedra y puertas de vidrio plegables con marcos de aluminio.</t>
  </si>
  <si>
    <t>Situada en el prestigioso Conjunto Paisaje de Almería, en pleno corazón del barrio Ipanema, esta propiedad representa una de las mejores oportunidades de inversión en una de las zonas con mayor proyección y alta valorización de la zona oriente de Neiva. Vivir aquí ofrece una experiencia residencial estilo club, gracias a las excepcionales amenidades del conjunto cerrado que incluyen piscina para adultos y niños, cancha de tenis, cancha de voleibol, salón social, zona BBQ y parque infantil, todo bajo un entorno de estricta seguridad, tranquilidad y privacidad. Es el hogar ideal para familias exigentes que buscan un equilibrio perfecto entre confort interior, esparcimiento exclusivo y una ubicación estratégica de alta categoría. ¡Agenda tu visita y enamórate de tu próximo hogar!</t>
  </si>
  <si>
    <t>https://lh3.googleusercontent.com/pw/AP1GczNz5KM8hdrL_kvdOCVrolppvtv8NkeJDCKAGVACn4SD-9rEElpo7SWTuNr8vGpEd_MiElnmD6NvvUhwnSgGXji_GHpagjo5e5Oqa_zeRknc9tES0tpM=w1200|https://lh3.googleusercontent.com/pw/AP1GczNRxWjqTtCB_EkgBZSvrsgdEYd0NVaByZ_YrMLqK_Rp_a8V29Hndg_4kIsRW6A7tDrC_fOBOynYcMrsQydq8uMgJ2oPNDjMDMQf7Tyi_odvf_9ld5CE=w1200|https://lh3.googleusercontent.com/pw/AP1GczOi24D3XvXzvgkRpae66xVC8jEjJHIf0ItJd2ZpUKqZTA2IOIwrx1t6TRWgkCw4cH3uQbQMb_Kij5WXqnilEfawGg9b72a3R9b65kUXzAvZyzfsb00O=w1200|https://lh3.googleusercontent.com/pw/AP1GczPu8jzXa76J4C9iYJsxgegjesHJ0cRt9N0F93G1aEJGLT-CKavKe8n3vpjgjXx6VH5g9YeHvgNnAjGq_fvzIit9ISUyyz8nWu5yF4bbuyh8XPKhtv5t=w1200|https://lh3.googleusercontent.com/pw/AP1GczMBPEyAYNTmToNzcGE5CvOXBB8tfwBqO6K08_fswda3tYKhu48_WM6SjX5QNC1TQpD4B8Q_Nc0O0mbxT0a-0Du0pIc0XbqBhe-hpBMQHXIEAi4zYCTn=w1200|https://lh3.googleusercontent.com/pw/AP1GczPZ5R-DFqUc43HryedG14QJSp5xq7hYRTjr7UryvhtHvIfcz3XHM56yJ63YNgwH9sMmvjuvYlcRrjdNdCtG60-5gu48ept7lWrRlpXBoD3QY16ecDd8=w1200|https://lh3.googleusercontent.com/pw/AP1GczP8-BEc3VrWhLlvNHpDD3-DuVjGUffajPcdELCmSdJNA8HUDozD7JgsigDX5g9jvdPur0buplyJiK6UEd9Sc9ICumKGTHw-IMlD35VK6LkM5vceyXFU=w1200|https://lh3.googleusercontent.com/pw/AP1GczOs3ttGvJJUmmV9ycqzlaEPSZvgfHKT8sT9myA2sbY-3cqj-tGBiPwPTuMO2_dTZgbb0tifw4U_xasJIbLq-E37CsqFEEFiudAIQMW7_Z-riaHBaJHT=w1200</t>
  </si>
  <si>
    <t>728</t>
  </si>
  <si>
    <t>Casa en conjunto Condominio Vilanova - San Jorge - Sur</t>
  </si>
  <si>
    <t>Conjunto Condominio Vilanova</t>
  </si>
  <si>
    <t>5</t>
  </si>
  <si>
    <t>Chapinero</t>
  </si>
  <si>
    <t xml:space="preserve">https://imgur.com/hN630gp.jpeg , https://imgur.com/PNtFJ9l.jpeg , https://imgur.com/Vg1js9v.jpeg ,  https://imgur.com/t2uszmF.jpeg , https://imgur.com/DoTgP2s.jpeg , https://imgur.com/fcJveEr.jpeg , </t>
  </si>
  <si>
    <t>https://photos.app.goo.gl/BMCr6PSAuvTd5zfY7</t>
  </si>
  <si>
    <t>Esta espectacular casa nueva de un solo piso se ubica en un exclusivo conjunto residencial en estrato 5, construida sobre un amplio terreno de 220 m² con un área construida de 170 m² en la zona sur. Su diseño moderno destaca por un concepto abierto que integra de forma fluida la sala, el comedor y una cocina equipada con una funcional barra auxiliar, ideal para compartir en familia. El inmueble cuenta con 3 habitaciones, cada una con su propio clóset y baño privado para un total de 3 baños completos, destacando la habitación principal que incluye un cómodo walking closet. La distribución se complementa a la perfección con una zona de lavandería independiente y un encantador patio privado que alberga una piscina propia y una acogedora sala exterior.</t>
  </si>
  <si>
    <t>¡Una oportunidad única para asegurar el hogar de sus sueños en un sector de altísima valorización! El diseño bioclimático de la vivienda garantiza una frescura inigualable, amplitud y un estilo de vida exclusivo, potenciado por un espectacular patio privado con piscina donde podrá relajarse sin salir de casa. Además, vivir aquí le dará acceso a zonas comunes de ensueño que incluyen gimnasio, parque infantil, cancha múltiple, zona BBQ y piscinas para niños y adultos. Su ubicación privilegiada lo sitúa a pocos minutos de puntos clave como Olímpica, la sede Carmen Emilia, Unicentro y el Centro Empresarial Huila E, ofreciéndole toda la comodidad urbana a su alcance con la tranquilidad de tener la documentación al día para una compra inmediata y sin complicaciones.</t>
  </si>
  <si>
    <t>https://lh3.googleusercontent.com/pw/AP1GczMs6RqryvGP4KwznewplHythlmhD5eyw3yT4I-3wOQTd_wtEeeKtXg8tdKdbNAJ12Z9Yu_c7e9VHxI505A1LhX1yzfa8ectwK7akOWjTCkETgUFl8vv=w1200|https://lh3.googleusercontent.com/pw/AP1GczPKvlMXRMn2nFS_KZNgOUZFqeCxzrTDthm6QvXRJ1cqdbpmKiFKictUYIYXxa2Xf1yhDbMs5UJ-E9jlqhCqwEwRZy6GMTJViDC9a8NVxVvBFWf2hMzh=w1200|https://lh3.googleusercontent.com/pw/AP1GczOW2qocgpjYCeW3Zxno_aoHmRiVdDaWV0wQHAfSXaEwiBgyZATuJxBElMQLiq5Q7e2KW6Qtj5UgfPkEmzuRlL3HIP-Eq9fA9FjX7nmMICxg6KNSf2lB=w1200|https://lh3.googleusercontent.com/pw/AP1GczPR_BY7peaktjMAVomUguN4LI7EcITnjGQEqQ6jiQr3VhYLN34SmyIVSMzQnKgCfsoMe9LgTcAGt2ObTLUPj7YtRqI-xWCq0M9nfUtAwm8p-tln8cTk=w1200|https://lh3.googleusercontent.com/pw/AP1GczNvd5-yRYzqZt3MzH3W5UzE9iuZwMQoRJew8ciJG0fkOdgyl9AHhyQE1c2bLhaEgaHOFBsYTBfF_cfcassw91l_G0g7e-rafSuTq8YTFRg7I5cD3qva=w1200|https://lh3.googleusercontent.com/pw/AP1GczPmUjVoqMMIQCTZx5Cvj37UZY3aS__oq3Nk6xQ2WiI_r5bwMSGRKnkmMb8BAsDIpMBGHqujwlcHM_g7LFgC-xI4LqaQgZUG1X53ixb2a7BVXpdEide5=w1200|https://lh3.googleusercontent.com/pw/AP1GczPEfitM75fgOsVEssgh789ZjXsOmbDbU4mQFbjajPUXXm70Ta864vJGpDHqr4LR3PorwoUvBRDwbMhcNECVbJVXAqKIPMgnexmWEW-6ASNBRMziwxi6=w1200|https://lh3.googleusercontent.com/pw/AP1GczPliP1wFBEkDLDg8ZZUt9bG62IY4gLUKukrbnTpu-L3zEz2FuAT-we75lBsL8u68j77mCkYwVEFzqazfqulpdRuQjYKuJjTj71yXWCGYl5zTnyMi45Y=w1200|https://lh3.googleusercontent.com/pw/AP1GczPQuDZNek5m4h4DsKITteg_JBqlNxiqfUOXEmoWW6A0n1_m_qG0ElpXG9wF7UJjzExFz2V7cZ7I4lOnCoptDZOszsFtEUAi0qjl7FWXRi88Rf_XDrka=w1200|https://lh3.googleusercontent.com/pw/AP1GczPu92Ep3x8xsTfTI8KCr9tiP-yV0zuNjpGIV7a3hNRmE0kjhMCrIWakyUIS1wFlDh-Gkzhpji2LokGOl9UhfbKmPQJljV-sTo2VEYuUGvhMSv_vgegx=w1200</t>
  </si>
  <si>
    <t>712</t>
  </si>
  <si>
    <t>https://photos.app.goo.gl/CDtswANPv8kzF49EA</t>
  </si>
  <si>
    <t xml:space="preserve">Campo Nuñez </t>
  </si>
  <si>
    <t xml:space="preserve">Parroquia Nuestra Señora del Perpetuo Socorro , Panadería Peter Pan , Bomberos , Supermercado Popular , Batallón Tenerife , Comando Policia Nacional </t>
  </si>
  <si>
    <t xml:space="preserve">https://diocesisdeneiva.org/directorio/parroquias/Nuestra-Senora-del-Perpetuo-Socorro-Neiva , https://peterpan24horas.com/ , https://cbvn.com.co/ , https://www.instagram.com/supermercados_popular/?hl=es , https://www.cgfm.mil.co/es/taxonomy/term/13625 , https://www.policia.gov.co/neiva </t>
  </si>
  <si>
    <t xml:space="preserve">https://imgur.com/C5ubqD4.jpeg , https://imgur.com/lx4imr6.jpeg , https://imgur.com/7H6c5V3.jpeg , https://imgur.com/bEUf3pk.jpeg , https://imgur.com/Vg1js9v.jpeg ,  https://imgur.com/t2uszmF.jpeg </t>
  </si>
  <si>
    <t>Esta exclusiva casa de $174\text{ m}^2$ construidos, ubicada en el Conjunto Villanova de la Zona Sur (Estrato 5), ofrece un diseño moderno con espacios amplios, iluminados y pensados para el máximo confort familiar. La propiedad cuenta con tres habitaciones, cada una equipada con clóset, aire acondicionado, cortinas y su propio baño privado, sumando en total cuatro baños en toda la casa. En su interior, destaca una amplia sala y comedor con excelente iluminación natural, una cocina integral moderna, zona de lavandería independiente, depósito y espacio para dos parqueaderos;. El gran atractivo que la hace única es su oasis privado, el cual incluye una piscina propia, baño exclusivo para esta zona y espacios perfectamente diseñados para el descanso y la privacidad absoluta.</t>
  </si>
  <si>
    <t>Por otra parte, el condominio brinda un estilo de vida completo tipo club, ideal para familias que buscan comodidad, seguridad y alta valorización. Los residentes tienen acceso a excelentes áreas comunes que incluyen piscina general, gimnasio dotado, salón social, parque infantil y un parque especial para mascotas. Para los amantes del deporte y la recreación, el conjunto dispone de canchas de baloncesto y microfútbol, además de zonas sociales premium equipadas con espacio para BBQ y una zona de teppanyaki, logrando el equilibrio perfecto entre entretenimiento y bienestar sin salir de casa.</t>
  </si>
  <si>
    <t>https://lh3.googleusercontent.com/pw/AP1GczMavzP2X4OA8QmRISRcuV46KQX8o9-fSSAwRfz_muxYSQvMN0cLY127UjBZREIl9X2Rz6J12JuKtQIJsg5vDWs7rWMi2N7wgjAZ_2g5mHTgP94g7w-j=w1200|https://lh3.googleusercontent.com/pw/AP1GczOGzwxghjAMxkqSyq0W5lyegS61uWQxe7x1VtdQyn5lh-b71V8dg5ksGTxRFb0VGfw2-uR6knBQ7kav4SgjCMUzNntSacM0GWamOU-C2SUXIovWUe0F=w1200|https://lh3.googleusercontent.com/pw/AP1GczNSrqqIOgFeF-xYuz4OHTEmnBPh6d5xBkW9fMSI3c6DG-M1vVEVft1O_3b0AhN_YyiiGk4efdOUW7xTgnKTEcaUppQo0mNGTDYd-v6n8IQ8-awybgZU=w1200|https://lh3.googleusercontent.com/pw/AP1GczOlhfRTN_3GJr8O9PIpzyaTekZ2QKDwwcGP5Yv16y0o3tyOFqFDWBKfKOVNhW_Q0N0fP6BmjJ_a0qAvppYkxoKe_jL2hYkzXLjpoJKBPbHMn5wBNGLU=w1200|https://lh3.googleusercontent.com/pw/AP1GczMvFrR2F7J8OmygY6OrH5jVsfh4vnfHiTfHrWnxUeIhQgjnwAZUXtLgB141BXqZcufdfz3Rp6IMAAr4kpAJS8KI5XiJ96QpY_cXyfc0BRyxLuvLK8X0=w1200|https://lh3.googleusercontent.com/pw/AP1GczNir7CbNywhQ4HHVeRltBxzCpdoUFr9J92gUjpnRgosOOEOs1MQU1UU68SJE3h7IRfF6UkN90rnsP8LjXRyssjJpJ0j564AgAlJ-EThU3yyjmMa4mj7=w1200|https://lh3.googleusercontent.com/pw/AP1GczMvVe5GvEOLKxSD2de5jgK2kxankIjOpacxZk5XliXYjEQ3c8hb-9Dn-gLCvq1GJhFFZ8-9odSaiD0b5xb4OdnG5rkgbso_KXNymQ8EVAIP3j9Fkt9B=w1200|https://lh3.googleusercontent.com/pw/AP1GczPS9hL5fky4xz8WntKy1GdUP_tFDrIMdzp0j25Luc0gRs6CibOZIiN1IsipU8yYXEdVbaxH3Yoo7lD47FqoFokC4KrCdjzLOyflRclgj4tGNNEyE3gb=w1200|https://lh3.googleusercontent.com/pw/AP1GczMnONz-rTk32OQJiHw1K53e5DyptlO3obbDgR-QHIxnWq3y_cgoNIuxvBEYzrSYxmrhFyzCrywewyRwW3g2VUnpdFqf93o_mDPe55nOxT97bwxtUy3U=w1200|https://lh3.googleusercontent.com/pw/AP1GczPlZxFhoFnql7nGu7ZoBR-GKvZ-KXX_IlgilR8CkmhJkerBcs0hOYEvru0IUDzn5bgfmrd3MyZAWwA1k9mQJ13Fz2LlJ1blMZV44nzTreIV6F52GwYi=w1200</t>
  </si>
  <si>
    <t>549</t>
  </si>
  <si>
    <t>Casa en conjunto Altamira - Oriente</t>
  </si>
  <si>
    <t xml:space="preserve">Conjunto Altamira </t>
  </si>
  <si>
    <t>https://photos.app.goo.gl/csWSDYNDaxn4PyQW9</t>
  </si>
  <si>
    <t>Esta exclusiva casa de dos niveles de estrato 5, ubicada en el prestigioso Conjunto Residencial Altamira en la zona Oriente de Neiva, destaca por sus amplios espacios y una espectacular iluminación natural en cada rincón. Al ingresar al primer piso, se aprecia una generosa sala-comedor con imponentes techos de doble altura acabados en un elegante machimbre de madera pulida, que contrasta a la perfección con los señoriales pisos de mármol claro con veteados naturales. Este nivel se conecta fluidamente mediante amplios ventanales corredizos a un patio interior ideal para disfrutar de la frescura, y se complementa con una cocina integral moderna y funcional, una zona de lavandería independiente y un baño social. El acceso al segundo nivel se realiza a través de una escalera de diseño clásico con barandas de hierro forjado, que conduce a la zona privada de la vivienda. En esta planta se distribuyen 3 amplias habitaciones con pisos de mármol y techos elevados de madera que aportan calidez; la habitación principal cuenta con su propio baño privado y un balcón exclusivo, mientras que las habitaciones auxiliares comparten un baño completo bien equipado (sumando un total de 3 baños en toda la propiedad y 2 cómodos puestos de parqueadero).</t>
  </si>
  <si>
    <t>Situada en un sector de alta valorización. La propiedad de 180 m² construidos ofrece la combinación perfecta entre lujo clásico, confort y la máxima seguridad que su familia merece. Vivir en el Conjunto Altamira garantiza total tranquilidad, un entorno residencial exclusivo y una excelente circulación de aire para mantener el hogar siempre fresco. Es la opción ideal tanto para establecer un hogar definitivo con estatus y comodidad, como para realizar una inversión estratégica con una alta proyección de valorización en una de las zonas más cotizadas y seguras del oriente de la ciudad.</t>
  </si>
  <si>
    <t>https://lh3.googleusercontent.com/pw/AP1GczP-sDG13Tll4uEevBGH4SAlXsp1LWuBYesF9Z0FmBxUhx5gLIgsO-RyBnyHyhG__U3eMPLNOM_qv_IZTsuNTMNLIDnaoUj0cWHtwF4sYCoMOmXDwYiu=w1200|https://lh3.googleusercontent.com/pw/AP1GczNjvDDBFMd0pomOEtREZ2ofOU5wZhumXPduQPwzaaEsLML4X8eUht1MsgaRK8mmSwV7SqBZZkaB-PZGD91AXQctd7GlbFWjyCCx_IZdhbZC7yggvLT8=w1200|https://lh3.googleusercontent.com/pw/AP1GczP5_h_44B19ae-ChBsnj_1Yc85ATbcOhYGJeLS9_3zbAie9WtMpdjwmuEOVBmFzS3PGBLTB_sX0W2hSMRe30xKFm5ZXmeiY0AWOAcyk0bmlvDzgpVEy=w1200|https://lh3.googleusercontent.com/pw/AP1GczN1YVhIkYR3iha8u3G-76EvlBpsET9V_BEl9Ew-3-fpMvWsDumQ6dF_bxtxazk4c9o-fW6NlwFJL00cBlzYv_PmecGcZUaUVhCC8AwKbEx6noilnyx9=w1200|https://lh3.googleusercontent.com/pw/AP1GczMByU39OqxFrf2g9h53Tf_HWalvDDX6p3S8w5jj2LSIlP5gzK7gsxLBxsN3eUhKZOn-O2fzeYqiG2gvyeQp-AKpXagy4Kb8RmtrpMoQge2lXYFiWxyA=w1200|https://lh3.googleusercontent.com/pw/AP1GczOvmogRZnAeTJXrfL2Il2KzqML3muiSp9m9Czf6YbVQrXi1miFJAve_Sbn9o0-usja-I4IKEoMwFSeQHnog7QJY40d4X3hhjxY3ms81VdmfF0Obs9ZJ=w1200|https://lh3.googleusercontent.com/pw/AP1GczPqCnXJah-o_TZVld1A-3NGygyuxc6NG_waoND6WG_S7uA5a8JaMrrJLBZ3IU6Te2lFBG5EY6tc6obGI8gYw6U2eTgMJ0MsW-X7wipgefjL574dmv0X=w1200|https://lh3.googleusercontent.com/pw/AP1GczNaU5dqRcPt1dE1UCJ52bHSoKgpJh6F52juHB79lFO1opQYgJsUmB5MsEZUt3W1JLb7qU6EMjeDGJ-KW6l2p-7vZtm5FYESkaqbmGW0FDct9kp-8KYw=w1200|https://lh3.googleusercontent.com/pw/AP1GczPWDIRYSJXJEugAIx8iVWIexvDkUWD76NrY1oeaspZjQfHTvTy09rdXJgDesdjQ4viiPz2tdEVLMC8k9SadDnEe0sa013beW7cbrgRiYG6gaez1hRUu=w1200|https://lh3.googleusercontent.com/pw/AP1GczPsXqyD6GnYZJS6mFK1eoiG-EVsiYt8TnNlYzB2lvxFsqzM9rRcjw9H8vgRT6u6DjIqyLEO9kcIiyc8wcx6N6bBGHKN16suy_CE81VuL2uXqPlSMqti=w1200</t>
  </si>
  <si>
    <t xml:space="preserve">Parroquia Nuestra Señora del Perpetuo Socorro , Panadería Peter Pan , Bomberos , Hospital Universitario Hernando Moncaleano Perdomo , Batallón Tenerife , Comando Policia Nacional </t>
  </si>
  <si>
    <t xml:space="preserve">https://diocesisdeneiva.org/directorio/parroquias/Nuestra-Senora-del-Perpetuo-Socorro-Neiva , https://peterpan24horas.com/ , https://cbvn.com.co/ , https://hospitalneiva.gov.co/ , https://www.cgfm.mil.co/es/taxonomy/term/13625 , https://www.policia.gov.co/neiva </t>
  </si>
  <si>
    <t>1328</t>
  </si>
  <si>
    <t xml:space="preserve">https://imgur.com/C5ubqD4.jpeg , https://imgur.com/lx4imr6.jpeg , https://imgur.com/7H6c5V3.jpeg , https://imgur.com/DoTgP2s.jpeg , https://imgur.com/Vg1js9v.jpeg ,  https://imgur.com/t2uszmF.jpeg </t>
  </si>
  <si>
    <t>Casa en barrio Villa Esmeralda - Norte</t>
  </si>
  <si>
    <t>Villa Esmeralda</t>
  </si>
  <si>
    <t>Norte</t>
  </si>
  <si>
    <t>2</t>
  </si>
  <si>
    <t>https://photos.app.goo.gl/rFGBkcPUNbUXvAsGA</t>
  </si>
  <si>
    <t>Distribución: sala comedor, moderna cocina integral, baño social, zona de ropas y planchado, garaje interno más dos parqueaderos externos, hall o biblioteca, habitación principal tipo suite con walking closet, baño privado y aire acondicionado, dos habitaciones adicionales con baño privado y aire acondicionado, además de balcón.</t>
  </si>
  <si>
    <t>Casa esquinera de ensueño al norte de Neiva. Espacio, confort y excelente ubicación en un solo lugar. Área construida: 260.0 m². Ubicada en el barrio Villa Esmeralda, zona norte, cerca de Amaranto, Olímpica, Homecenter y San Pedro Plaza. Esta hermosa casa esquinera ofrece amplia y luminosa. Se destaca por ser esquinera, sin rejas, con excelente iluminación y ventilación natural.</t>
  </si>
  <si>
    <t>https://lh3.googleusercontent.com/pw/AP1GczM-2eOUtcNRRtOySfAbJqDJwKthCu5HQovXbwQ_O6aY61ybS0ubt3IYM568EpxNDMmnMuHq0TsPRIzTUYvbtqG1AxbzsPzO8v16Lc3sXKXEEawfmviS=w1200|https://lh3.googleusercontent.com/pw/AP1GczOWjqkc6za4-W4q9kV4LUCHndhjR9C6olvpolyY_Wf-dkhjtmnhXhDzdnaYusEJuomr7qvuor1DQt7RqtCQqeQt2YWlCUglGvZudl0NumxPdI4bFtdq=w1200|https://lh3.googleusercontent.com/pw/AP1GczPu40yIUhhaqlp_gTSdkSUlUBm_2Yn4V9o8lQm9NtfNlmQdDMbeRwi1CXxFQHwFshv2H3sDC3L_zYx_Rk3GBqt3HWE1LLOCYZ6mAVY0-QqkMb1ieIbj=w1200|https://lh3.googleusercontent.com/pw/AP1GczObU4DYLyKczKpShFY-NBZU_fdc0K6cfVq-yhrFQ3zIbZej-OiKoN_dsdFdK5yfhcd7nGyK6MzNBdw4Ev9Zgxnl0QCUsZcsZxtwJbZQY2jI-HsTtIJ7=w1200|https://lh3.googleusercontent.com/pw/AP1GczNDDLFPpnHJRTCsjTeqDg0P4BhlLCYjEGkKDDTI9IF9JpO0tqYSZNcDltyIAMsvRoWmchGtrwCDnqSNcxVnEmvzv9116LyniBV1qISW0zM4pqaOe-uE=w1200|https://lh3.googleusercontent.com/pw/AP1GczOgg_jHeAMguuqaOyvkpvudCeFXseUwZAeBMPy_0EPMAjMVBynkFJQd_O5GSzLKJ94qXGDYpkqfcynhQc3QdWRNN5iEp5l8AnRb9CKJjEwB5zVFYe2k=w1200|https://lh3.googleusercontent.com/pw/AP1GczOXXi2FNtPpjtkYJpeAIHWLpaBKvAeg9tR8aAfSGVYsBuz2LwmyJiX4AMGAdlvPQz-ZFlEv8Nb09QpoZTK9oSalNQQNhy7Vz_rDAM71cK8py0zDfP5Y=w1200|https://lh3.googleusercontent.com/pw/AP1GczM2xUXIDKj7tcixVoxVCe_3ju8fwM38cZcvBR8YCSSw2KOwVfQtvijbu7C36gXRReVua_4AO3DOBDdzYzRkuCh7wFYaKgZ23mvGH-aGd2reaWP5hD2D=w1200|https://lh3.googleusercontent.com/pw/AP1GczN809qASIYkXom_9IQLpHU4CLBC59gPqZWqMvYNeXBt8B-NDkq6xP4uIIASFAfAYjWF-QqwziwrR7zepRHyKzoej2RrTjiqbdMd6IGe9-DH1o5QLtMB=w1200|https://lh3.googleusercontent.com/pw/AP1GczNhUjRLrth7GCP2EMD-pC7sfj2vCyAjls1hC-ulKGHuIdj-pprdNeI-vL45z6MtNZYBjfxnhhbxnJjBV7t-4qHxxV7GVV6kxvRGJ9Z3UT36PC30eXqx=w1200|https://lh3.googleusercontent.com/pw/AP1GczOJoGL6XTAD010gME2qUJ9rUx84tg7dkSIfsaxWuGZhyuenWq5AZAw4fFrbZ820RnPVCHDOI7-lZzDoRcNYeUvZ1G_ZyAEU75YqycHa-0nKNEofl4Vt=w1200|https://lh3.googleusercontent.com/pw/AP1GczN1A2WG1P3HBbtX_CA70rCcQts6JbX7rpqcVluKW0miX2lfshT1bl0DnZu7iiOq7lIZLZO0YUJnSSfhEFgjoArefIbquEajmtD0LWJg2hrT6hTwsLYU=w1200|https://lh3.googleusercontent.com/pw/AP1GczPfIsK2KRKiAeJDZbGSExeBYieOYit4kC1VbFHyLujoSqXjQYp8KWC60ZSPK_6XraWM3Vt_49vtSielL8xNrg-p0A8hV0vPjnp8oeKZcEPi2QN2U3rB=w1200|https://lh3.googleusercontent.com/pw/AP1GczP3BkSWoj7G7lnAsdSyW9uFYkBpDv3e_Pn4q4MLIczdL0mVWcQjXbYno4DTChq7V1v0vap3xbQjG8Vhj9-szamVumUt6lxaClgABtCRqHv1s1T1Q5tq=w1200|https://lh3.googleusercontent.com/pw/AP1GczNerOi168STK42NjSZ52n0OpMjFwida5Oc5MOwdXBuzDCJCKfTRp4tENha_R1Uwtmpx8QYlrXVP7RWczeyxXz2J5KhFrFTr8ob1AWMLltYgc5OBtu2Y=w1200|https://lh3.googleusercontent.com/pw/AP1GczNfvXRT_Jv6uBm4K12p2rrRgmBMae9oZgtHezXiqEbg3Q3r2Q_AcD5d3ZsPRgHQK39wRJ6tR1GpabQHQQcbGAdkcD5mywzmzVZzQMiAqMhIQ__48Lq5=w1200|https://lh3.googleusercontent.com/pw/AP1GczMP62PWp1T_h6z_ZXSadC2_1XUPqBczlKbWU4o_lDkT0TXCcCU7jyj4vyLTfH12PgEIYwRBZ7xFAtiMjsVEcZT_qGwZsz8RDpX71nGN-yXTy72tw_Z5=w1200|https://lh3.googleusercontent.com/pw/AP1GczMLV7o8kO4oGx-ZZHiWbaUK9HxpJfvsmaTBLwb4gtLo07vq-43ZOlUwGUi1AduVkfKIdCW4JAYLm6xls3HwzTBO_-jCwWRtFiybvOrT7gtXS2p7XFFB=w1200|https://lh3.googleusercontent.com/pw/AP1GczMggR46jZjnZwzfmqH_ipXKKnDFQUN4YR9px4qV66bSxwYgBm_xocGSqxIKe01nhKLZRyo-yM3WhvROgkUGYToO9rdsHsZpaB4CGyH5DBJUkdDN_T0X=w1200|https://lh3.googleusercontent.com/pw/AP1GczM5vzHlqd0LFYHwZpVhEMrnbBgweG9sdl7B9jny2wpa7bOvSdgpRIW4YWZiwVhM8FqKG9B4tLpkc_CcR7tbCKrb4Tn01PIeFyUxdZZEFvqBS7RjDRzX=w1200</t>
  </si>
  <si>
    <t>643</t>
  </si>
  <si>
    <t>Casa en barrio Buganviles - Oriente</t>
  </si>
  <si>
    <t>Buganviles</t>
  </si>
  <si>
    <t>7</t>
  </si>
  <si>
    <t>Quirinal</t>
  </si>
  <si>
    <t>https://photos.app.goo.gl/7aURCJC7HKMzHwRAA</t>
  </si>
  <si>
    <t>Centro de convenciones José Eustacio Rivera, Clínica UROS, Universidad CORHUILA, Supermercado Olímpica, Supermercado Metro, Servicio Nacional de Aprendizaje (SENA)</t>
  </si>
  <si>
    <t>https://www.huila.gov.co/publicaciones/12480/el-centro-de-convenciones-jose-eustasio-rivera-y-el-recinto-ferial-la-voragine-epicentros-de-la-programacion-del-san-pedro/ , https://clinicauros.com/ , https://corhuila.edu.co/ , https://www.olimpica.com/nuestras-tiendas/ , https://ofertas.tiendasmetro.co/ubicaciones/ , https://www.sena.edu.co/es-co/Paginas/default.aspx</t>
  </si>
  <si>
    <t>https://imgur.com/QoxdRse.jpeg , https://imgur.com/wuiOM6H.jpeg , https://imgur.com/zVU1my4.jpeg , https://imgur.com/o1FG3ZC.jpeg , https://imgur.com/lWTCCyb.jpeg , https://imgur.com/bgMDBtx.jpeg</t>
  </si>
  <si>
    <t>Esta espectacular residencia de diseño contemporáneo destaca por sus acabados de alto nivel, basados en pisos de porcelanato gris claro con sutiles vetas y muros blancos que maximizan la luminosidad. El primer nivel ofrece un concepto abierto donde la cocina integral tipo isla resalta con gabinetes en contraste blanco y gris grafito mate, encimeras en granito negro absoluto y un salpicadero tipo mármol. El área social conecta con un patio interior decorado con césped artificial y muro de piedra natural, todo enmarcado por una elegante escalera flotante con pasamanos de acero inoxidable e iluminación ambiental. En la zona privada del segundo nivel se disponen amplias habitaciones con clósets de piso a techo y puertas en madera texturizada, baños modernos, balcón y una funcional terraza, complementando la propiedad con su respectivo garaje privado.</t>
  </si>
  <si>
    <t>Ubicada en una cotizada zona de alta valorización al oriente de Neiva, esta propiedad combina a la perfección el lujo, la privacidad y una conectividad inmejorable con centros comerciales y colegios de prestigio. Es el hogar ideal para familias exigentes que buscan un entorno seguro, moderno y listo para habitar con estándares de vida superiores.</t>
  </si>
  <si>
    <t>https://lh3.googleusercontent.com/pw/AP1GczO_4V8PYCb7SkWbJKM_-XxE6OQhN6RKFAmGM2anWaau67cfmOgFIvJARq4EAeTGCfFVIDPAkSqNaRPkVaOV_SJCIATKgp9B3_OrriJo-Yjwl_xvzko_=w1200|https://lh3.googleusercontent.com/pw/AP1GczOg65GNDUv7tK1TZL6WhQrFzZRxUzhHs5IEgXUOLq1K9x7PXTGebhNLssjSC0CE8YQJDxkQ-BJJFbenOWB4inaIAAd4hVgJrUH0Hgg1R-dXoJnIUMMp=w1200|https://lh3.googleusercontent.com/pw/AP1GczP57OnLf7VoS-QhXQo7aEiiqV-FxOoLKG-ixGu6u-EKH5lJgOI0KawfXhVoGplugA6sh00O8eVjMB3LgP83K43lkeuUS5sHy4_wpPoOG18eOmdiYg6S=w1200|https://lh3.googleusercontent.com/pw/AP1GczM68HyvzZYFOHMn7-tUXmF0YGC0HU6ubBNxzxV6_JVNkwYoZko7yHBDUPNdUPMC77YtlhEnNoV5BYFP4mATpUx8mJnSAkQ4NcASZg4OiezDD_lvSpEd=w1200|https://lh3.googleusercontent.com/pw/AP1GczOmnZq60LcS8cBDrCjJTBmWXG9g741sx2o4xo_AG03hxxn610MpzSfBZ9PBshi2zZO5TVx2RHYJKt7zEvZ5wp-0_XOkI1Gvn18KDZz1SXqYXdbbzQGo=w1200|https://lh3.googleusercontent.com/pw/AP1GczMHjXDPrEtV0zBQ7D5aVBApkyu6wTs6JL2uccz5Nqf3Bi-2xERKqIFwcO1-k0sPIUhKmLTQkIHEOAF8FCKE1PxlWNoQsTFwQrIt_GRIGElMHRFiEmHy=w1200|https://lh3.googleusercontent.com/pw/AP1GczPlH6Rpjm4R1JabVVT8WvxwrbOwiOcN7IouJ-J_DeQvRS3uydUcNUvsFZ_Th0wNccT0a16Ulz_ousoRDXaPPs0WOZxajsiAQURRW6I8iIMFYW-F10yi=w1200|https://lh3.googleusercontent.com/pw/AP1GczMOuxnVG72bgEhGis8zvFQZrX7j-b1h4cEaGpsZQvuyQ6V4JT-V17cmDRRJ1qwEbWoIMKECMsP89S6CZMFASl907FabWjXxDfu22tgq4kPsFi_WGVmB=w1200</t>
  </si>
  <si>
    <t>580</t>
  </si>
  <si>
    <t>https://photos.app.goo.gl/NKncbuoDDE2qshnWA</t>
  </si>
  <si>
    <t>Esta espectacular casa de dos niveles de estrato 4, ubicada en el exclusivo barrio Buganviles en la codiciada zona Oriente de Neiva, destaca por sus generosos espacios, acabados modernos y una ubicación privilegiada frente a una refrescante zona verde arborizada. Al ingresar al primer piso, se aprecia una excelente distribución con sala y comedor independientes revestidos con pisos de porcelanato de alto tráfico en tonos claros, los cuales aportan una luminosidad excepcional. Este nivel integra una funcional cocina abierta de estilo americano con mesones de granito negro absoluto, gabinetes superiores e inferiores en color blanco brillante y equipada con horno y campana extractora. Asimismo, la primera planta ofrece una cómoda habitación con clóset, un baño completo con ducha, un patio de ropas independiente junto a un patio interior que asegura ventilación cruzada, un práctico depósito y un amplio garaje cubierto con piso de tableta de gres con capacidad para alojar hasta 3 vehículos.</t>
  </si>
  <si>
    <t>Una elegante escalera con pasamanos de madera pulida y barandas de hierro forjado con detalles dorados conduce al segundo nivel, diseñado meticulosamente para el descanso y la privacidad familiar. En esta planta se encuentra la habitación principal, la cual dispone de un moderno baño privado con división de vidrio templado y clóset empotrado, además de dos habitaciones auxiliares (una de ellas con balcón privado) y un estudio independiente que también cuenta con acceso a un segundo balcón con vista al entorno natural. La casa está equipada con un sistema completo de cámaras de seguridad para garantizar total tranquilidad y suma un total de 4 alcobas y 3 baños distribuidos en unos impresionantes 157 m² de área construida y de lote. Situada a tan solo dos cuadras de la avenida principal, esta vivienda representa la oportunidad perfecta para familias que buscan confort, alta valorización y una conectividad inmejorable en un sector residencial seguro, tranquilo y exclusivo de la ciudad.</t>
  </si>
  <si>
    <t>Sevilla</t>
  </si>
  <si>
    <t>Centro de convenciones José Eustacio Rivera, Clínica UROS, Universidad CORHUILA, Supermercado Olímpica, Supermercado Metro, Panadería Peter Pan</t>
  </si>
  <si>
    <t>https://www.huila.gov.co/publicaciones/12480/el-centro-de-convenciones-jose-eustasio-rivera-y-el-recinto-ferial-la-voragine-epicentros-de-la-programacion-del-san-pedro/ , https://clinicauros.com/ , https://corhuila.edu.co/ , https://www.olimpica.com/nuestras-tiendas/ , https://ofertas.tiendasmetro.co/ubicaciones/ , https://peterpan24horas.com/</t>
  </si>
  <si>
    <t>https://imgur.com/QoxdRse.jpeg , https://imgur.com/wuiOM6H.jpeg , https://imgur.com/zVU1my4.jpeg , https://imgur.com/o1FG3ZC.jpeg , https://imgur.com/lWTCCyb.jpeg , https://imgur.com/lx4imr6.jpeg</t>
  </si>
  <si>
    <t>https://lh3.googleusercontent.com/pw/AP1GczPsk8WB1J5fWhb2JB1Lkfmd7LURW-FRYDDWIMuv5tOGbMNcoEtYRt5nR3HAx4JpMGs7sLiP9r11x7QWftGhI0FbZINiqZH8ZOQ3Lyt-y1QJfmxKJyN2=w1200|https://lh3.googleusercontent.com/pw/AP1GczNJi8Q2F-t4vbklurEdGgrOLArIOC-ZlGsGUg3gsI7e4TFFAHYEKXeqBOVQ6uxns2ldpckOTVgCJAMnF2QhyFa_K2iO1MpoPmNcxzjq_PB8yz-hnpDT=w1200|https://lh3.googleusercontent.com/pw/AP1GczMAUvVYZo4CDDOdz3JUzj-Wjtgv6ykownaB9t4wG0xJYzTljt-1ViZPap1IxduZH7vUm10h8llhHco7dXLslaVUe1_Zyl-E07HkpSK6NfvOAU8JCubN=w1200|https://lh3.googleusercontent.com/pw/AP1GczPk4hIePd9xIACuVcYkKpRA8z__xFWOGhwN7omT36dex2AzD3w3e-KZrhcvECUInQnM5f5v_3asuxB52sYAdUDnX6IKerAXQKwK1uZsliU4g3NVlfqT=w1200|https://lh3.googleusercontent.com/pw/AP1GczNApC2ArB6kR4ev6HPO8EE16pilAoIVfxB-zuhSm1T_jEEWejlwffuZdL0frkpYAgp_Pqfrzbull_Zzwh5hcJ8Duyoh9ZPjRNbvodoXu_r7EkYNSU1F=w1200|https://lh3.googleusercontent.com/pw/AP1GczOXJCUpfXoXf6eWB7Kd_y0atXICljoPEWxGNNRTCL_ZgZHZY2h2Dz1dBaka3fEIREME4DcMLAgVK3Zk9CM4l_qSxqLKN1UZuC2uX6Cr9fk4tTsLKkb2=w1200|https://lh3.googleusercontent.com/pw/AP1GczOwBRu3rG53co8OvaT1RmhUCtpmC_0CP6GO8NUyxZcOjZfX4XKB3txcykytzvNcyyKzF86fy_52mbxPdcHv10dWOGZVh-0A54FbJS-Jc6KWAeiKsIeJ=w1200|https://lh3.googleusercontent.com/pw/AP1GczMBRYuW-HUJT7wu731impoQoTwyg7RCeQndQ5kolXtBecDC09-XwUKxrxajMWNvsqL_g2rWfbazik7yjxq9zvYK0VsPxia30uvdjPp5l2Chsj6sMYqT=w1200</t>
  </si>
  <si>
    <t>465</t>
  </si>
  <si>
    <t>Casa en barrio La Gaitana - Oriente</t>
  </si>
  <si>
    <t>La Gaitana</t>
  </si>
  <si>
    <t>https://photos.app.goo.gl/CHX3wyuPHgdkZGtx9</t>
  </si>
  <si>
    <t>Esta espectacular casa de dos pisos cuenta con un área de lote de 103 m² y una generosa área construida de 240 m² en estrato 4. Al ingresar, la distribución en el primer nivel ofrece una sala y un comedor independientes revestidos con pisos de porcelanato con un elegante diseño tipo madera, una cocina de lujo moderna dotada de mesones de granito negro pulido, una isla central y muebles modulares de melamina que contrastan tonos blancos y café oscuro, además de un parqueadero privado y una habitación flexible. La propiedad incluye tres baños con divisiones de vidrio templado, una sala de TV en el segundo nivel y tres confortables habitaciones; sus muros internos combinan acabados lisos y estucados en blanco con detalles texturizados, mientras que el patio interior resalta por sus paredes enchapadas con cerámica decorativa tipo piedra y un piso de césped sintético.</t>
  </si>
  <si>
    <t>Ubicada en el codiciado barrio La Gaitana en la zona Oriente, esta propiedad totalmente nueva representa una oportunidad de inversión inigualable para quienes buscan comodidad y estilo sin esperar por remodelaciones, ya que está lista para disfrutar desde el primer día. La inteligente distribución de sus espacios garantiza total privacidad en el área familiar del segundo piso, mientras que las zonas sociales y de entretenimiento ofrecen un ambiente sofisticada para compartir momentos memorables. Vivir en un sector de alta valorización con un diseño contemporáneo tan funcional convierte a esta casa en la opción más atractiva y segura del mercado actual.</t>
  </si>
  <si>
    <t>https://lh3.googleusercontent.com/pw/AP1GczPxPLqPyyUaxG2ZLpHV1u9_cZZYWues3rc-pLy-tm97RoO8rUbOkYrqetc5XUyaaM1Z75g_M84FaQLZrKuwpaLb3rxc8f8aFmV8-nxSxTHMEDbScd-6=w1200|https://lh3.googleusercontent.com/pw/AP1GczNULLcgy_Biz8EqD-fso-pOoGaDVKPiU5jkwka_0tlo0WNh5W8tL_nb5W_dXj04LzjLl1raBIhmkv-Nij518XffHGbT5-dkRX_H2b1CPEn5GshHd0vG=w1200|https://lh3.googleusercontent.com/pw/AP1GczN5yzfwUmTL6ofO4aFR3gAHpxWvtaWxXbIQUrs7-mX-xNK6b76w6MBD_D9QYeBN6sj03CDxydjW_8d9zK-m0UT25x6Zj0mWO10BmzSsK6kfTCwYvAhF=w1200|https://lh3.googleusercontent.com/pw/AP1GczMoPrdY7GrZ9-qnIymz38Zbvwe9jJLBGA7Qdu8v4Y9YydhDX0QTsMAE-EH3umZObvi23gN8Z4sR5mAyGYqS5wK7RINxCheSxV1760UkRRjTkM0tk3bt=w1200|https://lh3.googleusercontent.com/pw/AP1GczNq6u_7UWSlZHHYm2BtJWr8vfCYrduBUJAgJXvt3Foot3gNg47jWdd11BaxGlOILvTUydZoJBkeD8BkBz5HvKTSLb__vImzvBcU17yowFMKUrPsLEDW=w1200|https://lh3.googleusercontent.com/pw/AP1GczNkNW-FBAn86gOxds6F-4G_MU7Fs1Raaq0YEZAgTK97VCmOetX9WXk-Z8Rm_T1AGbjQWn3HNjjqqT0PyiQwOzJa5nABgg05jB9LX9a69h9VjwtBJWZQ=w1200|https://lh3.googleusercontent.com/pw/AP1GczO_GmXXVA68svOHQmB9SSc0sWOP23PzxHz__NUXpnHfNfAp_HOO10SriDVkx1xPjE-YXndQ83Xs7oqXjiRNqFrl5vMOv_e6knkgs4cCtaEQwSDetQWk=w1200|https://lh3.googleusercontent.com/pw/AP1GczMUL8HjZtzEmGUVw-lNqdZS0okM8eIIsdTSKZ7cT1Di5_h_81MIQMMXI1RGydgcz038S0kGXYK_-9sZ2Ul6TE3EsQRIulfulRe79_K2o41XRt1kVsbf=w1200|https://lh3.googleusercontent.com/pw/AP1GczNn4otXhO0cZLO-1v-AUHRCqg_CFqqSwePoeACAF9AUfxC_F2yiAbE3ZVJdnUxarr1JzX4hODZv2fcIS5T1S6E803PV5XNNr0bTbGkW5vyxbYSrcnQf=w1200|https://lh3.googleusercontent.com/pw/AP1GczOuNoFn1iqHTKyUr96y4SCvTvr0uq8OCe-iyq2smFofTkMs7bRVWOX65aUheF_pNO1Q_hVEsuTpLeIjdv9yUO2TWF1WaQnhysBNj8kH1qBsVyWGWmP0=w1200</t>
  </si>
  <si>
    <t>655</t>
  </si>
  <si>
    <t>Casa en conjunto Residencial El Otún - Oriente</t>
  </si>
  <si>
    <t xml:space="preserve">Conjunto Residencial El Otún </t>
  </si>
  <si>
    <t>https://photos.app.goo.gl/Lf7b9vYgvG5uyXYU9</t>
  </si>
  <si>
    <t>Esta hermosa casa de dos pisos de estrato 2, ubicada en el Conjunto Residencial El Otún dentro del barrio Solo Verde al Oriente de Neiva, cuenta con un área de 91 m² perfectamente distribuidos. La zona social se compone de una sala-comedor amplia y bien iluminada con pisos de cerámica clara y muros blancos, la cual conecta al fondo con una sala de estar decorada con una llamativa pared texturizada tipo piedra. El espacio integra una moderna cocina integral equipada con mesones de granito oscuro, estufa empotrada, horno, campana extractora y gabinetes en madera clara, complementada por una barra americana enchapada en piedra y un organizador de copas colgante. En el área privada se disponen 4 habitaciones, incluyendo la alcoba principal con baño privado, además de un baño auxiliar (para un total de 2 baños en la vivienda) y un puesto de parqueadero privado para vehículo.</t>
  </si>
  <si>
    <t>La propiedad representa una excelente oportunidad de inversión y vivienda familiar al combinar comodidad, seguridad y una alta proyección de valorización en un entorno residencial sumamente tranquilo. Al estar ubicada en un conjunto cerrado, los residentes disfrutan de exclusivas zonas comunes que incluyen piscina para adultos y niños, salón social para eventos, parque infantil y un estricto sistema de vigilancia privada 24/7. Su ubicación estratégica en el oriente de la ciudad garantiza un fácil y rápido acceso a las vías principales, sectores comerciales y servicios esenciales, convirtiendo a esta casa en la opción ideal para quienes buscan calidad de vida, bienestar y tranquilidad inmediata.</t>
  </si>
  <si>
    <t>https://lh3.googleusercontent.com/pw/AP1GczPSQj1NRcsD0uO0MOGrZuvdU_KjTxZ4o3_eOkJXB4_-H9PbqntY2uFFIu4fPfTQleVKVqoUOZ6BDCpvrd5i4T8u42gTiCn-CdfF_bA43fxSyRyRx9vQ=w1200|https://lh3.googleusercontent.com/pw/AP1GczPnDidzuTiPvkcePxU-fT_M4LU-QiStzKgaH7hrPRc48vfA2Ma5SE8qag-kaxljPXYBI6gUGOUbSZwAkveQKluwWamiLZBRESbh_pg3O2p2KEfbWvM5=w1200|https://lh3.googleusercontent.com/pw/AP1GczMKMZoG0GaWYrv54v8y1sXRLaibC_wF7X9UgeANC00Ru0ycVL2pEuhYBjxYthz8D2tubOAtP5h_xz-pgpLa5j9Dt00W1E_mF6IoP1_UEFSpjjv_Qs3Q=w1200|https://lh3.googleusercontent.com/pw/AP1GczMFz0Vi_MZ7D2WXyCMd-flnUOO1nFiupKMnlmX-V6jDVkQQAHwNB5rQ0zJ-zS16fxPMOGZkfaL1yQWYzMb1ihPKiTO4Ljnf9KjHfufbdz7NhW3SQMM7=w1200|https://lh3.googleusercontent.com/pw/AP1GczNykE947r5fit-wg8ZUiW_L7-DFeWuT9aQyDm4O9Mu5OzT-hHovSlgCPUuvxBkjA1Tb1AeS3p_y5yR7fz_T2aiabJ6b4WNbeTAbB_UhfQ5vnqUWkcbH=w1200</t>
  </si>
  <si>
    <t>589</t>
  </si>
  <si>
    <t>Casa en sector norte</t>
  </si>
  <si>
    <t>https://photos.app.goo.gl/s3bnrFs1dD6q745j6</t>
  </si>
  <si>
    <t>Esta hermosa casa de dos pisos de estrato 4, ubicada en el sector más fresco y de alta valorización de la zona Oriente de Neiva, cuenta con un área de lote de 93 m² y 111 m² de área construida. El primer piso ofrece una amplia sala-comedor con pisos de mármol claro pulido, cocina integral moderna con mesón de granito gris y gabinetes oscuros, una sala de recibimiento ideal como estudio, zona de lavandería independiente y un amplio patio social. En la segunda planta se disponen 3 habitaciones equipadas con aire acondicionado, destacando la principal con vestier, baño privado y balcón; la propiedad suma en total 3 baños, un parqueadero privado con capacidad para 2 vehículos y una espectacular terraza privada con pisos de cerámica tipo madera.</t>
  </si>
  <si>
    <t>La propiedad se encuentra en un impecable estado de conservación, combinando una distribución funcional, frescura natural y acabados modernos listos para disfrutar en familia. Su ubicación estratégica es inmejorable al situarse a solo una cuadra de la avenida principal, lo que garantiza acceso inmediato a transporte público, comercio y entidades bancarias. Con una excelente proyección de valorización, este inmueble representa una oportunidad perfecta de inversión y vivienda en uno de los sectores más residenciales y apetecidos de la ciudad.</t>
  </si>
  <si>
    <t>https://lh3.googleusercontent.com/pw/AP1GczNE6uzr6mgSpmUpqe-7ug_ImoVHdK3MSUVn8S6ZW_CoOrMlYnUi4W72ALV_cPMbwnKd-2HR5E-9mJAqZmylEB9YrwDuBbRtSq6DK9CYpSakWYKZMBuz=w1200|https://lh3.googleusercontent.com/pw/AP1GczNgqN-xMTp7DWm0BhDlqsgcDSYC9jGNXTeHanrQ88ql2yY33CPZ9N1o6vZ3fdfxkZpQL-ZnpxGitJPte1RY7us5B6LLMfdBr9MxtJz3vwj6tbLJOzWM=w1200|https://lh3.googleusercontent.com/pw/AP1GczMu5yOYgDs5r7HFNHgZZi8LTwu5CpRsYqF8w8wnp9cpmAY3q4tElaKOA4WhE-NkU7CunYtzx6cxJCnSJfilf-gmahkYgOpzbTmxFZOZRn0lE9DvNNjB=w1200|https://lh3.googleusercontent.com/pw/AP1GczOVrqyxDlJNxHeUwsnh5JUtNv0jSn2TvvSc1TzAq0Uqe6zijZorHvbuX8MLg26FT6mH_2Kn8rI98RIJ0s1Mhl666YIWOmQzHZB8ekrFUIzJycUNXiAT=w1200|https://lh3.googleusercontent.com/pw/AP1GczMYGExTzOG8wE7ke-ZEBTZE4e7OV5dL7B2Yhtln8W80uyesH7XAAOsJooRWgDFIGpqrrvbclBJB7YrjVF6WrS7u_sqeSXjsm7oKH1Ey6i9LOn09PW7y=w1200|https://lh3.googleusercontent.com/pw/AP1GczNoq7q5AyggK1q6270rk6tn8s_iX61NPta8itjaJhIJx7Fj2RLABik3BWoRcLtKYZqJ4oiApYwO2et28xpSJsCdP4D6kqCRQJqdxz3D0NbDakHGabab=w1200|https://lh3.googleusercontent.com/pw/AP1GczNi0WLldfoXAS5_wGdibf-BNiFRbApFPJAp1q_e6sEF_8xqnvzlvSXsuPv2t8oaiIxak7WxklKTdkD3FWcEa5cYhSWj-3ns0eIOOZ-pmXI8mv7sXRnY=w1200|https://lh3.googleusercontent.com/pw/AP1GczPuzn2sMdkT93L74_m0ZfR1sYpsenDwcPIeElqxPGnpfEAFxkdWDtOMSjF1zHVNUWVvDuYnrGD2RXkIsO8wsyuL-zqGDYVbh0yf-Xc5tPcXWOWvaWSJ=w1200|https://lh3.googleusercontent.com/pw/AP1GczO4TPl14urm9DLQGHQe4wYKWshzywxcx1XWBZkMX1BXzI-Mpho4fq6x1_vP7NmBeKgMGITiDHuFtISH2S2OKff1fFqSzTYj825xxcZTUBAinNe_xrio=w1200</t>
  </si>
  <si>
    <t>445</t>
  </si>
  <si>
    <t>Casa en barrio La Orquídea - Oriente</t>
  </si>
  <si>
    <t>La Orquidea</t>
  </si>
  <si>
    <t>https://photos.app.goo.gl/jru9Baz3bjGXDJkp8</t>
  </si>
  <si>
    <t>Esta cómoda y funcional casa de dos plantas se encuentra ubicada en el estrato 4 de la zona Oriente de Neiva. El primer nivel distribuye una amplia sala y comedor con excelente iluminación, un baño social, garaje con capacidad para 2 vehículos y una cocina integral de diseño alargado, equipada con muebles modulares inferiores y superiores en madera. Además, cuenta con un espectacular y espacioso patio posterior enchapado con baldosas ajedrezadas en tono terracota y blanco, muros con acabados texturizados, jardineras y una cómoda zona de lavandería. En el segundo piso, la propiedad dispone de un espacio de estudio ideal para teletrabajo, 1 baño auxiliar completo y un total de 3 habitaciones dotadas con clóset, destacando la alcoba principal que incluye su propio baño privado para mayor confort.</t>
  </si>
  <si>
    <t>Situada en el cotizado barrio La Orquídea, esta vivienda representa una oportunidad única de compra inmediata al ubicarse en una de las zonas de mayor crecimiento, tranquilidad y alta proyección de valorización de la ciudad. Su excelente ubicación garantiza a las familias un entorno seguro y un acceso sumamente ágil a rutas de transporte público, variados comercios y servicios esenciales a la vuelta de la esquina. El gran factor diferenciador de este inmueble es la amplitud y frescura de su enorme patio trasero al aire libre, un oasis privado perfecto para reuniones familiares, asados o futuras ampliaciones arquitectónicas que difícilmente se encuentra en las construcciones modernas.</t>
  </si>
  <si>
    <t>semi-integral</t>
  </si>
  <si>
    <t>https://lh3.googleusercontent.com/pw/AP1GczOEdiLo2d36_6n0mBXlVpeFFKxTm5eC8fkDn7Ar-201iG3SIpaN6OtZnSjo2O-_ul1-uh_1DOf6z_zPYe4zVF9aZvHBQes6f0X2YMFbmYTQh23oeOpW=w1200|https://lh3.googleusercontent.com/pw/AP1GczO0_VfxlsG16TdLpX3UpwKnzclNv9JGpFmBtS6Fy7tQbdMwhu6Msmp-9NnptVo-K3fOFPl8bB8iD44wnvmIbDUZjRanYrIiyU49v6b-5neNcmmd2ebp=w1200|https://lh3.googleusercontent.com/pw/AP1GczPMKtzQj0UTw0CvsakLR5J5FSlsHhnOO0BaZpT82-T68LwqekQGDmhdatVk7t9ilnPUNtnIwFG792bAJbqLYbsQfkRQeepqL_Zz3JfqR4MTLs9dRG8o=w1200|https://lh3.googleusercontent.com/pw/AP1GczMJ_2ND9SwKaVDsT2uBFA0fyFNvfG3CkbsJUGkVupinNhFw5cSWW6wCvpumB31O20T4yYmrY0Z5sgzw1mgWQ_rS_f3P2WUN5LdV9UWDSvKhlEeiHKld=w1200|https://lh3.googleusercontent.com/pw/AP1GczP5ZJxIZlw7JycWyl0bhG0r-9DB1MXIUfv4bv2u8qKlPCy8P3QjIm8vGL5TcZ0AWMzHNOUAdd2dXIsVZCi9Ijp0K4n4SfD1j_LIM2RjfRi4h2r1TYFD=w1200|https://lh3.googleusercontent.com/pw/AP1GczOdMfQV8_d79Ji1mNDbVbXpkKFGwna4V_Zpo6iIpUd-ZUn8rAVyv6V3pYNPPkrY26Aks4ok4OgrTBRaxrJzqL3_Gd778wPMDAS6jpkaibidXHPBeq1v=w1200|https://lh3.googleusercontent.com/pw/AP1GczOTQxGmAxjF9kGkf6705DQAf2DWwvXSiOJIJ7rg3odnDh-Hk3Wb-1aJ4L6WKpq5lA7Bu-EO_TaaZ6RpV0HM9nWRErZV2RycMLKazIxSowvNBACm7Vwh=w1200|https://lh3.googleusercontent.com/pw/AP1GczPINmxCdlEW0v5JPDJ_hzH1whI85hmMQd9JTeaSnm20VQ6xbp2hLNssrAJ-qtokm67wkZp8Ku0weP981aqXB_CarRAjdb1J7sxd4j6fnY-l09Ed8b9X=w1200</t>
  </si>
  <si>
    <t>1767</t>
  </si>
  <si>
    <t>Casa en barrio La Primavera - Norte</t>
  </si>
  <si>
    <t>La Primavera</t>
  </si>
  <si>
    <t>1</t>
  </si>
  <si>
    <t>https://photos.app.goo.gl/PPyC8ucCkJAdMMpS7</t>
  </si>
  <si>
    <t>Primer Piso: Sala y comedor amplios e iluminados, Cocina integral para estrenar, Patio amplio con su respectiva alberca, Baño auxiliar, Cuarto ideal para home office, Parqueadero interno para carro, Parqueadero externo para moto. Segundo Piso: 3 habitaciones con closets en madera, Habitación principal con baño privado, Baño auxiliar, Closets en madera de alta calidad, La casa cuenta con un amplio hall de alcobas, ideal para una pequeña sala de estar o espacio de lectura.</t>
  </si>
  <si>
    <t>Hermosa casa como nueva, muy cerca al centro comercial Único.</t>
  </si>
  <si>
    <t>TATIANA JARA DIAZ</t>
  </si>
  <si>
    <t>calle 69 No 1-69</t>
  </si>
  <si>
    <t>M</t>
  </si>
  <si>
    <t>https://lh3.googleusercontent.com/pw/AP1GczMFyDRUc6qOQqX2xwFtTZA9LCv3qXxVTnd3LglWqZXjjUQPxvsbm2tjxzkhwmfUJ8K_kNdVCPvrbK7jticZrwUFgXVUaFofivz6XYPWAde0dPuK2OXA=w1200|https://lh3.googleusercontent.com/pw/AP1GczPiT9xO6NiXKctsOJtytTcleCeJgpb3ZxHq432n-t-_KdWK7MDFuSlyXIiAPgk0SxTOvXVaI92SPK8_2otP3OyBPz_bnkfhFxqOcdl_fHw55fXA5x-F=w1200|https://lh3.googleusercontent.com/pw/AP1GczM4ekudqmAO39k0NoZw1GNcTbEc74YXZ-Cu-g8Ugii8PCh6CQMXkDps9PtYdj0ohOxmu0dXgZX2X_wJkYwPvnXKWerR0EoIUqfC_x28ccizCxLpomur=w1200|https://lh3.googleusercontent.com/pw/AP1GczMAaXxFNQOfA1XhgpKjDXdLFP6TBCH-OdrCsbBCwtc647Q12-ZxAKOt8i5Jqd4tvMCd9FBYILD9p3uWfse0w5-4K4aHSI3mhozCwmKg2iKbEZ1deB0K=w1200|https://lh3.googleusercontent.com/pw/AP1GczMYCRL8mEUjsRkBxgsSgu0haggco88C1bj31ftcbZvtU9yfqF1M-aD-tI1TGhwmwE-AbMWv2b7hsLr98fvuszzg6tbId8ej74W4cwkdy_8bAIM0A1iQ=w1200|https://lh3.googleusercontent.com/pw/AP1GczOACR8UxEoPp5UmSKr56QejrWYusgpdwFU6dS7shko7lthYRE32EN-QHFLjhrI-iFTQ2yWTiWNI0bS1_tPzY0pGM9MsashPiLhw5zHtxlK6_05w0d-A=w1200|https://lh3.googleusercontent.com/pw/AP1GczOCNwE5OWlxPm_lW26MN36XYjF_qz8WS0dPEix0pKsV30HkC-wUCBSKu5vrEJWJdbSS-eS1wn0l4FWDEwpjjzgUhxVftWsB1o6J6WoG1mzETf1PjT4h=w1200|https://lh3.googleusercontent.com/pw/AP1GczOkuetJkIjWLP3MT2fhwIla5iDfR0zrz8atKmJujPNa7CYO2FrxV-4NhAZsDByWCePXFhQtkiKfLo1ZJ77xVzF0URW0zZRVvteTTTzrXMPx--aXKiUT=w1200|https://lh3.googleusercontent.com/pw/AP1GczNfKFJ-UWy2luMjtgnFheniQ99XQQvNq5IQhSI5-ej3kTgdfr_mh2GQx3HaAMPPSW-HxGC8OLoHDwZQHTLI2FAZDY3euDBv3xgoFAAQbjN5BZNZ6XJK=w1200|https://lh3.googleusercontent.com/pw/AP1GczMgmnwFdYxrpIwYvtWuR1b_7SQst4gfcnXCLCOREWrvoTLskifJAwAs7AsXRioPDfOkzwyGFUTvsUgruTwWtxCqoS9CtFv5keomZgMw0UCzeNCbIny2=w1200|https://lh3.googleusercontent.com/pw/AP1GczO8DVdE5sqbGjCWQ-wTgVHbgGPNNFYTGEW0-DQIJPqMJ7m9r0-XIO7xB3k9sD7_CuhSu8sPkgjxiKiSfbe_08haldPXoFKBhy-3ZawK6y03c4OolwWn=w1200|https://lh3.googleusercontent.com/pw/AP1GczMKD5yenHfqRiSVJ6z6jQwnPFAPOsaf0zgdgb2BNDB8KJuzC_n6Z6DvDcFcs81pfX_rQlVevjQiI0JfQsn3aAbFCckRwSDghWxB9R8zPBcB-egdBC1Z=w1200|https://lh3.googleusercontent.com/pw/AP1GczMxqBcSxZPjcfRbJVxi7O8UvbdGXSv0O83lYfUXmtEj5dNk_OEMH6BszQG6_i_OJlG4U7o0zQbUZ7kJg3JXrT2UXu0Hv9FvsYIY_rsD-P_hEGahoqWZ=w1200|https://lh3.googleusercontent.com/pw/AP1GczMkZ2DrzJpq_T3tk93pLdqslXloTSIcdylksBnPuhpEdykCO1avqPSYGqOn2QqzkpZYhAm08HlWhC2fRRefvsPhHz6w33_l3oo3593aTP-xds4bcSZV=w1200|https://lh3.googleusercontent.com/pw/AP1GczNdz_taEGYZqp6vABe-OeT-yx9D7rlwTVPF-F4RFoZkzOpI48tKBqt8JCzQB-G2ZmfkGW6Ml-65-mxUnJ80C4rFAxTKyjtPCTtF0JC9wqkKWVDOfAl-=w1200|https://lh3.googleusercontent.com/pw/AP1GczMwVJl-NtZ4CVM_ON4-083vx12f9Iv6uwk-0zpgxAqmu2oPX4JHwH7VyjHgYJWjVKS3Dq5Oe7ySlL4_VgvKtYT2vnqyOENjLhGVc5QKDnH4s2mfgMZ1=w1200|https://lh3.googleusercontent.com/pw/AP1GczMs7J7sfeRk4AVagOMaxcofZW47Y7sakL2YsvVhNDT8lo7etW0J53iC9MjK6VJyxhjrufi9Z7MTm82ZdlNasVvmkfOvYF4x02xq-SKecJ33wuk7eJlO=w1200|https://lh3.googleusercontent.com/pw/AP1GczMQHCW7EzJIMp1RnvEONGy_PbFII8EiBYcfxg1gom9nixG9I3mmDvGoeFX45-2zJJUEZUAnBFlZJE2WC8IN_Wxsuwte-4NcAWA9un6yNIAvnyYbD7rY=w1200|https://lh3.googleusercontent.com/pw/AP1GczPwfncCpq-wzbakMSAhI2vYCJ5nr76ZvkUO7inNDcygk-TdLZXSodbacT1sWF26f9b94A3fuX23-8LxkVmy9C7E7VMJRs4QVQC9o8W60FF87i9D2STY=w1200|https://lh3.googleusercontent.com/pw/AP1GczNiYj5q2disq0hglzSxo0dYSOGIdulYpG2VzAxR_tfbETTkI8QEZJ0zHKncE3HSsKSerDwIM0N92Gg3fcIiemssz4R2Osm_AwyrKTB61SwhLFcAanRm=w1200|https://lh3.googleusercontent.com/pw/AP1GczO9ZJAWZ_scP5OaZrPlE9Iqi8TPDEVvlLim4_ryvOPaCsTK0Wqb0vxuHR5S-sX2-koKOUKSlv-u_hQFTVW97UxyaRpYos-LEACJVO-Ex_P9qG0UErqH=w1200|https://lh3.googleusercontent.com/pw/AP1GczNCnP2bPcXx4lZN6DD3DB2bR9RJqLG_agMYjDHBfiiX6dD7tsQlAn35khMLHAoja8F9V9Q4TWN22xqXZIKGt6vTRayj2AfmZBWbNSVl1wxeCDGyAhd8=w1200|https://lh3.googleusercontent.com/pw/AP1GczNh19I15-_h3iRtoSt9X9TAyh--oguaP4VVgznLkrgKxzhU3IXpaKJ2zE6InJnnwZqgp3IZO59OVftE7U6tJAska7xWorFW3va-FABZXQ1qRbASsdOf=w1200</t>
  </si>
  <si>
    <t>618</t>
  </si>
  <si>
    <t>La gaitana</t>
  </si>
  <si>
    <t>https://photos.app.goo.gl/2A6BAb5pmKh3g2Bq8</t>
  </si>
  <si>
    <t>Esta magnífica casa esquinera de dos pisos cuenta con un área de 100 m² ubicada en estrato 4, perfectamente distribuida para aprovechar al máximo la luz natural y la ventilación. En su interior, la propiedad dispone de 3 amplias habitaciones y 3 baños completos, destacando la habitación principal que incorpora baño privado y un cómodo vestier. La planta baja integra un comedor independiente y una sofisticada sala con pisos en cerámica pulida de gran formato y un imponente muro decorativo con acabado tipo mármol, enmarcado por paneles de madera acanalada e iluminación moderna. La cocina contemporánea, equipada con gabinetes superiores e inferiores en tono madera, cuenta con un salpicadero tipo mármol, campana extractora de acero inoxidable y una funcional isla central con estufa empotrada y base en listones de madera. El espacio se complementa con un mueble de entretenimiento flotante, un patio privado con puerta corrediza, doble parqueadero y una elegante escalera con barandilla de diseño geométrico que conduce a las habitaciones con balcón del segundo nivel.</t>
  </si>
  <si>
    <t>Esta propiedad destaca de forma única en el mercado por su privilegiada ubicación esquinera en la zona oriente de Neiva, situándose justo al frente de una hermosa zona verde arbolizada que garantiza frescura y un entorno natural inigualable. La independencia de sus áreas sociales brinda una privacidad excepcional para la familia, mientras que el diseño de sus habitaciones con balcones independientes transforma cada dormitorio en un mirador exclusivo. Es la combinación perfecta de exclusividad, confort y ubicación estratégica, ideal para quienes buscan un hogar listo para habitar con acabados de alto nivel que eleve de inmediato su calidad de vida. No pierda la oportunidad de adquirir este inmueble único, diseñado para los gustos exigentes y listo para ser disfrutado. ¡Agenda tu visita y enamórate de tu próximo hogar!</t>
  </si>
  <si>
    <t>https://lh3.googleusercontent.com/pw/AP1GczPM8YNqO426Sm0VAhG0T_MWSdpRtE2ZsV-joETDnJGEj-YWj1HWbzhEHqZgrm4GqnNM2aLNDSzTBZ_ASCrYKEpipSNvQfNxBhm0j72FI3f1sl5Rb_zp=w1200|https://lh3.googleusercontent.com/pw/AP1GczPoZuUMDpfnJt4FhXfN3HyU0FSQP-hPtV4JFDK7WlMgwYfcCTOCVkYsGkSYz3I7sCO38TvVCRRaK3nc-4P-yprGbIIXgeRgnaKLnms8OQiSCrg5GLYx=w1200|https://lh3.googleusercontent.com/pw/AP1GczPx7OqHQzQpfjrP50jeEK8ucebn9AV6n0tdkfFtZs0mcVqfPyoXpcwpjDgItI5Y-iZwbnW1pgSmTt0yQssIfD6sqAfe9QGPZqcJewIB8T5qqxQ6tGEv=w1200|https://lh3.googleusercontent.com/pw/AP1GczP-Wew9SruRvduLEHAmZlbHNHF7eBjCL9-T2EYlmpruiUUwSNgB9JT0_LRRwomacrK-0bgLP7EzuowM4djjkGNmzswmK9USjJ4n6-9M5os6YC5fcHYu=w1200|https://lh3.googleusercontent.com/pw/AP1GczOcI-FZ-WErRw2SLZToaHPH5dQ0GCupic4WjukD0IHtmqPXDchF3i4xVkOJWKhbuSEUHwiLW7b0gmrLCDllWDgJmrc3qMhwyjzoiEwG8biGMcxwAk2D=w1200|https://lh3.googleusercontent.com/pw/AP1GczO0HiE54oKbmWtcA1yx2ZCYX0cZNpXOqWpa3geL0ZVUsJhyr-SKqjcIcNcxO45QuNtWZT6JNFuIc0lhMYqnX9EXqoNRXHGG0Nfn18Gy_AFfneIEn1yV=w1200|https://lh3.googleusercontent.com/pw/AP1GczMcroOZOGZRMOm2dTAT6qqW6jA4nbLXp_lXADFuhT56A55XtvARcK5xikIyK4K1to7IiJPGytPIJ9DFLf66-sBBFTlJNrcpp2m5-pHKmCZoQKNKuRja=w1200</t>
  </si>
  <si>
    <t>681</t>
  </si>
  <si>
    <t>Casa en barrio Las Catleyas - Oriente</t>
  </si>
  <si>
    <t>Las Catleyas</t>
  </si>
  <si>
    <t>https://photos.app.goo.gl/vVtBYGcLfqpzQC2k8</t>
  </si>
  <si>
    <t>Esta magnífica casa esquinera de estrato 2 cuenta con un área de 98 m² estratégicamente distribuida en espacios que destacan por sus impecables acabados contemporáneos, caracterizados por pisos en cerámica brillante de alto tráfico, paredes texturizadas en tonos claros y elegantes molduras de yeso en los techos con sistemas de iluminación empotrada y lámparas decorativas. La vivienda principal, ubicada en el primer nivel, dispone de una espaciosa zona de sala-comedor, una cocina funcional con gabinetes superiores e inferiores en melamina tipo madera y mesón de granito, un área de estudio y 2 habitaciones respaldadas por 2 baños completos con divisiones modernas. Este espacio conecta directamente, a través de amplias puertas de vidrio corredizas con carpintería de aluminio, a un patio interior enchapado que resalta por un vistoso muro decorativo revestido en piedra natural. Asimismo, una imponente escalera interna con pasos cerámicos en contraste blanco y negro, complementada con una barandilla de hierro forjado de diseño clásico, conduce hacia el segundo nivel, donde se despliegan 2 apartamentos totalmente independientes; cada uno dotado con 2 habitaciones con puertas de madera, cocina sencilla, 1 baño con revestimiento cerámico y acceso a una agradable terraza con pisos de gres y rejas de seguridad metálicas, todo respaldado por servicios de energía y gas independientes y un parqueadero con capacidad para 2 vehículos.</t>
  </si>
  <si>
    <t>Ubicada en el sector de Las Catleyas, en la dinámica zona oriente de Neiva, esta propiedad representa una oportunidad de inversión excepcional e inteligente en el mercado inmobiliario actual. Su privilegiado diseño esquinero no solo garantiza una ventilación y valorización superiores, sino que su configuración multifuncional es perfecta para inversionistas que buscan generar atractivos ingresos mensuales por alquiler residencial desde el primer día o para familias numerosas que desean vivir en una propiedad espaciosa mientras aseguran una alta rentabilidad. Es la combinación ideal de infraestructura sólida, versatilidad de espacios y ubicación estratégica con servicios independientes listos para asegurar un negocio ágil, seguro y altamente productivo.</t>
  </si>
  <si>
    <t>https://lh3.googleusercontent.com/pw/AP1GczOp_T2KfUT3Vp7ZVkERFOeP1fADW1icum1tyiLpZQHHpjvBq97PP23lYpAyIBCn-u6H_UNJxdOWvI64M1Y-VqimY2YqIkpwXqa6BIJNZBd7cr4aqUVn=w1200|https://lh3.googleusercontent.com/pw/AP1GczOkhq9o4Rb-VA9vM6j4zSLS9BQJryhZmQnXtSRhtqdXLIrdIiaIhkgoQt24vWzOzR6sYjZLg_eVkXuBxei4o7sRhH8Qf1LbRa3_-Fd5CrFd0clH-XKn=w1200|https://lh3.googleusercontent.com/pw/AP1GczO4_mTJwYKK1W7b9_g5J8XoT_aY3hT9duLXAD3uFReSp9DxsVltvbae8A6TWwHELFxyV5n5-gKFkyRMDmwE5HK5qRtGHwx85QzwzW6TyKJsbB_qAVl3=w1200|https://lh3.googleusercontent.com/pw/AP1GczMc4dH9dJk6G_WSs8I7WQETmFtl82sGdfXslkbrXIO1Iy0UZG99CMIq_m0FggSf71Q6Q1ioS-5CETI6ZZdQa3RA5tMrol65NgCrccFfhtyk72awBmMi=w1200|https://lh3.googleusercontent.com/pw/AP1GczNLIHbcN2ZLrQmn--t9Kf8DF_gaNsVPjL9ExWTrzo8hoUC_ZVm_aTABsUwHSy3FeV7e7Hj7bpDTr6izjK8LWOCbOWf7joto9G7ECqSq4QkOo7uXNGzv=w1200|https://lh3.googleusercontent.com/pw/AP1GczM-hB6SOWzui4W8qT-C_zv2gUTLHXAyCJGtOy3x7USqdit57bACLF785XIy3RvycVS4zebnQbTJpFDfe4vYw6SFF-BVp7vWqgwdkCabfjaxrHgCxsee=w1200|https://lh3.googleusercontent.com/pw/AP1GczO1YmiBn7nxr1uj3sMgTsjrx4j6kGs_DCGaaGZnPPinFfL8EFHR_ukdj5VHznjISYkWAwZwRtgI_U1wClN4FbpkiRHKDux4hSqPtRLotlduyBBF0prT=w1200</t>
  </si>
  <si>
    <t>524</t>
  </si>
  <si>
    <t>Casa en barrio Viña del Mar - Oriente</t>
  </si>
  <si>
    <t>Viña del mar</t>
  </si>
  <si>
    <t>https://photos.app.goo.gl/CnoCam3NKY4GqHs68</t>
  </si>
  <si>
    <t>Esta hermosa casa de dos pisos en venta, con un área funcional de $91\text{ m}^2$, está ubicada en un sector estrato 2 en la zona oriente de Neiva. El inmueble cuenta con un total de 3 amplias habitaciones con clóset (destacando la principal con baño privado y balcón), 3 baños bien distribuidos y un cómodo espacio para estudio u oficina en el segundo nivel. En el primer piso, la zona social impresiona con pisos de cerámica brillante de alta calidad con un elegante veteado natural, muros lisos en tonos blancos y una pared de acento enchapada en piedra texturizada gris que soporta el área de entretenimiento. La moderna cocina integral con isla cuenta con muebles superiores e inferiores en madera oscura, mesones de granito negro, estufa empotrada y campana extractora de acero inoxidable. Adicionalmente, dispone de una zona de lavandería independiente enchapada con gabinetes organizadores, un baño social, un amplio porche exterior con pisos de gres y techo de PVC con luces empotradas ideal para el descanso, y 1 parqueadero privado.</t>
  </si>
  <si>
    <t>La propiedad se perfila como una excelente oportunidad de inversión gracias a su diseño moderno y funcional, con espacios amplios que reciben una maravillosa iluminación natural en cada rincón. Al estar situada en el barrio Viña del Mar, dentro del exclusivo sector El Tesoro, garantiza una tranquilidad residencial inigualable combinada con un fácil acceso a transporte público y vías principales. Su ubicación estratégica en una zona de alta valorización y constante crecimiento en el oriente de la ciudad la convierte en la opción ideal para quienes buscan comodidad para su familia y asegurar la máxima rentabilidad a futuro.</t>
  </si>
  <si>
    <t>https://lh3.googleusercontent.com/pw/AP1GczPCvv5ErBomRdDMNM6k6fT1YuyOkxKipEdPpc-xA3G5gAnym1fQe04TIczkdqxgsHKp8072oQCMUcpMkJOFlC-kLc9SG2D9pLfIvhxKvGjmeY5SFtuq=w1200|https://lh3.googleusercontent.com/pw/AP1GczPgN5_Hx1cSGox_Jggud2M-gXNVrwTl8xSue4CYoz0EgWOeRzybMwquNZBiRJmIO7djaH8PKuXMEu2B6_0iOA5MuwGbjHkb59LKTCaiM17jDyDUsFw-=w1200|https://lh3.googleusercontent.com/pw/AP1GczMYAmSUpM8WnslJ3aN6r1XmeTm1a3qX-7gMYb-QNFbJqSRo84j3_636wESU4CSY3GP7tRLFkcyS9adKy_MhYKgd5T72CNw9MisP-0uj-6D5ORny1oM7=w1200|https://lh3.googleusercontent.com/pw/AP1GczPQwRjWKif-Wm5shLU74gb3Ebu3fUl4wc1m2vhDMVNiCck5a7MZex5lvqJdNnPyU18dPFeydQU9hqOP2z8SEzsiyYPCsNeW-vRLLZdxI-WrjgyI8Q43=w1200|https://lh3.googleusercontent.com/pw/AP1GczMU2CxaloQceeLL15aQnJqHU-Z3n0jvxgqvZsNicLjjeGdQVrJMP27micu61xQBfgiGpM6G5VLB4vqF0_W-or2b3mIBpjHvAP5_MIzJpNd_jqPjmgLA=w1200|https://lh3.googleusercontent.com/pw/AP1GczNeCI2k7au25c1AKL5eMQZd4KuRXvhroIIjsOYA2oGM1ZDHdz2XHVUtGPr7F3NfaPuw5W75cmx4Y5dk-__bTgYcNIaQtuO00pRqNAkWj_18_5DHez41=w1200|https://lh3.googleusercontent.com/pw/AP1GczMD_3119Uq6tOh_7sNEaBP9LSy12cqWG7douUtJMRqTJrqRA06C3dnYUC9ihrtbrphsY4suwmEhgoNpgkxHwIJ8glKoidgeskMYwOO6fJB_bRXzyIt2=w1200|https://lh3.googleusercontent.com/pw/AP1GczP7bxEvEG8gyulEAPCtW-fRUfbGlvL67ukAYeUDQZOgjj_60u0FpdOY04IEH3a3d6NxfhcJMNxl9ajZI7TuDJbQs8kguF6G1h8QSXf-N4mgV-3W3595=w1200</t>
  </si>
  <si>
    <t>479</t>
  </si>
  <si>
    <t>Casa con apartamento en barrio Calixto - Centro</t>
  </si>
  <si>
    <t>Casa rentable</t>
  </si>
  <si>
    <t>Calixto</t>
  </si>
  <si>
    <t>https://photos.app.goo.gl/V7HLSX19968aiwVU6</t>
  </si>
  <si>
    <t>Esta casa de estrato 2, ubicada en el barrio Calixto cerca al Centro de Neiva, cuenta con 143 m² de área y 106 m² construidos. Su distribución incluye 4 alcobas y 3 baños, destacando la principal con baño privado y aire acondicionado, además de sala-comedor amplios con pisos claros, cocina integral con gabinetes, zona de estudio, patio con baño con ducha y antejardín cubierto para parqueadero de motos con proyección para vehículo. Mediante escaleras se accede al segundo nivel, el cual ofrece una zona de lavado con alberca y una amplia terraza con plancha y cubierta.</t>
  </si>
  <si>
    <t>La propiedad es una oportunidad de inversión inmediata que genera ingresos desde el primer día al contar con un apartaestudio independiente con renta activa. Al estar libre de gravámenes y ser apta para crédito hipotecario, garantiza una compra rápida y segura; todo esto sumado a su enorme potencial de ampliación en la zona de la plancha y una ubicación estratégica en un sector residencial muy tranquilo.</t>
  </si>
  <si>
    <t>https://lh3.googleusercontent.com/pw/AP1GczP4ZYuEFL9v9GtkczF2WpZdREaQ1KmIqkws2syVSO0tlO3nE5okX1ib2pjW--Xcb7_XaTXtOAKHLInKEMUa_UXog445vdkVIWnZTSOwM3gEbfkhWXTB=w1200|https://lh3.googleusercontent.com/pw/AP1GczOO7gIqg1_vdSkHoV1R0y9eimQwXI4MV84WkdTEIl7sXFlTIxXRaRUnolZudr3GuTq2LcLDXjFveo3eRToKlJuNSCVE4WyLYp_TRWfUHy_Z6_Fb5Kzv=w1200|https://lh3.googleusercontent.com/pw/AP1GczP4NicV_j0EPy-pE70vk5A8F1rmmXeTbK7dXedwvNuQwLXAgeAawmsZ-EKB7-ZccTekFyivHJUveNnUrnyZaI-RIt0lL4K8ySQISLVhTNyL9bmpqROW=w1200|https://lh3.googleusercontent.com/pw/AP1GczPrccFb01g0YSFPUA3ueVbKTfb9Q8hfxXEp5NFS0jh8-CZDBoo6IO8VIyuHyyr29lxFq5JKMQK7H6AIsgxPEBSw3IJzQ9IMn8pE0qk_43IS5L_tU3RF=w1200|https://lh3.googleusercontent.com/pw/AP1GczO5iFSzTf2sdkdozGIrp8cHv8G_Bkpkukwdw-WyYXfQ9DEZccG9_tzzFRXJEE7__t9kyJlbDq8hBkE8aXfK0N6pRlR-c-QTNBf6LVkS4PZEKO-NMSDi=w1200|https://lh3.googleusercontent.com/pw/AP1GczMNDq0SjdHcfTn9er0C0ZDJ3XBiSBWR33AQ6LkQmcqNZW_LopD2qkUZmaKIu84QcfJZyALCxzfXCSmjYaMgAkMNNUy63OTGe4B_VvmOYwe4NQZzPjyv=w1200|https://lh3.googleusercontent.com/pw/AP1GczO09lwMag19tT80__H4MyePVbgSY1UXi2ZGnIfXOGxOT9mVkJLMMkcqUUs_JpU2V6Hvg_Ypse0eKeN_D2JkAZFmS1L_vqTTSXeZzNm-WGzoX5kqSdPD=w1200|https://lh3.googleusercontent.com/pw/AP1GczN1CF_jM3UudFdL68LrqfMzt_M0G8dQGXwV6HCwdjUdv5nQIgqrlm820iEM1U6RrhC_aVlwGjD88cv5oMR9FyzyH7QB43-jkCjV88-ilkgjTimURjfS=w1200|https://lh3.googleusercontent.com/pw/AP1GczOS1cHS5dOppviiuV2sBbzs3gOsg40HGi6di9w0_LyH7o9UdLf7oQ5izcCKBKegNCt4YvJ6aZNHQSHhre3aAJ4M5laPcFSeAXcVPQ8iq8xPMc8bl3Vn=w1200</t>
  </si>
  <si>
    <t>381</t>
  </si>
  <si>
    <t>Casa en barrio El Jardín - Oriente</t>
  </si>
  <si>
    <t>El Jardín</t>
  </si>
  <si>
    <t>https://photos.app.goo.gl/vvuK4Dk7b1CK5kZF9</t>
  </si>
  <si>
    <t>Esta amplia y acogedora casa de dos plantas de estrato 2, ubicada en el tradicional barrio El Jardín en la zona Oriente de Neiva, ofrece una excelente distribución de espacios y una ubicación estratégica con fácil acceso a comercios y transporte público. Al ingresar al primer piso, se recibe a los visitantes con un antejardín enrejado y un cómodo parqueadero privado, dando paso a una iluminada sala y un comedor independiente con pisos de mármol claro pulido. Este nivel se destaca por su funcionalidad al integrar una cocina integral, un baño social, un espacioso patio de ropas ideal para los entusiastas de las plantas y el jardín, y una habitación de servicio con su propio baño privado. Una escalera de diseño clásico con barandas blancas y detalles dorados conecta con el segundo piso, donde la zona privada ofrece 3 habitaciones equipadas con clóset, incluyendo la alcoba principal que goza de baño privado y acceso a un balcón con excelente ventilación natural, complementado con un baño auxiliar para las habitaciones secundarias (para un total de 3 baños en toda la propiedad).</t>
  </si>
  <si>
    <t>Con una generosa área de 90 m² de lote y unos impresionantes 170 m² construidos, esta vivienda representa una oportunidad perfecta para familias numerosas que buscan comodidad, amplitud y una inversión segura con alta proyección de valorización. Su diseño interior, con techos altos y acabados en madera, garantiza un ambiente fresco y agradable durante todo el año, ideal para resguardarse del clima de la ciudad. Además, la propiedad cuenta con todos sus documentos completamente al día y listos para escriturar, convirtiéndola en una opción sumamente atractiva y de entrega inmediata para quienes desean mudarse sin complicaciones a un sector residencial tranquilo, seguro y con una conectividad inmejorable en el oriente neivano.</t>
  </si>
  <si>
    <t>https://lh3.googleusercontent.com/pw/AP1GczPgdPFKgqTP4XpilLTNMiSJjGv3Hir55__WXnwTbgraHZmAxOgwMPBerumeX7wBWY6z8ZEutFWqkEbXOK2ygd1zsCqoDjL7NNb4waPOfXCSGTtLZH0k=w1200|https://lh3.googleusercontent.com/pw/AP1GczNzikQ-IRabUk57YAsKmKxsaUCKuszAbGCNSrC-nB_EY2QYqNmAJXEsHcuxxIWdGLTARP4sQWQmPEKHwFMAcdp_PZ3jJASvpWu0aDBbJzX-3fY-Fv7E=w1200|https://lh3.googleusercontent.com/pw/AP1GczO8-UKORBJpSuY6ucH6G_F_nxaRkK6mXmx41nx_ShfsaqcoRVO1v4QdhwdpoUr9VPIIsUiYdim5IBsxPlo1PLLVvpb1lid0TUEPeuhuvXk2j6zDX3Ep=w1200|https://lh3.googleusercontent.com/pw/AP1GczNVwzwuxjGSfJWuNYZhwz03u00Fy9fgZxniP_wgC9XMe_h5EXYsquC9LhsISistF5HV621rtgZqbSOlYYLMQB9A4QzPkNpx6IVP1LRanUOOmQTM3c9l=w1200|https://lh3.googleusercontent.com/pw/AP1GczPQ3Bl27BV301v3bMPMFXKqTwCn07UBUvgEz574AkSksVBa55b2hubRKoPy_kuDHUpvYVEzzcTwOa8jNnuti_a1QhMIOuKGN5I-_eRqUjmSdrHMrAQx=w1200|https://lh3.googleusercontent.com/pw/AP1GczPP88UEcrGKrmq5QL9s-dgrTGifelY_JqR6Gp5BSUOowApQQihYgMLKE0PjpOLs7E-QeETbCBFhvNCFXcBzKQxwEIa9TbEwhl_EXI9rg8j1Ak7ZUfRS=w1200|https://lh3.googleusercontent.com/pw/AP1GczOLjEFWb2WrbMI1IE9I-Vt2L9-JVC8jpzZfXwrvgyOFdyK_ADeEF7GESzJ1lYyogva-Kb_yG8xFdLdyc5wug85MFuy8K6odN0mbznFdV1-3bA_0QiDD=w1200|https://lh3.googleusercontent.com/pw/AP1GczNy-SHAPN4jcPjwRJWci9_6IzSnp41t_2UDuoL5K-stGWuOuHSDImxgUfUovIZGDaIMMavP3O9f7-6bCDnPNAL8-CpK074By2EuB4udhVZjxdrkkNK6=w1200</t>
  </si>
  <si>
    <t>361</t>
  </si>
  <si>
    <t>Casa en barrio Los Manzanos - Sur</t>
  </si>
  <si>
    <t>Los Manzanos</t>
  </si>
  <si>
    <t>https://photos.app.goo.gl/rDyBvhQL57ggLCTr5</t>
  </si>
  <si>
    <t>Esta hermosa casa de dos pisos de estrato 2, ubicada en el barrio Los Manzanos en la zona Sur de Neiva, destaca por sus amplios espacios y su gran potencial de ampliación en un área de 84 m². Al ingresar a la propiedad, se encuentra una sala-comedor muy espaciosa y fresca con pisos de cerámica clara, muros en tonos neutros y buena iluminación natural. Este nivel cuenta con una cocina semi-integral, un baño social y un garaje cubierto con capacidad para un vehículo. Además, la vivienda dispone de una cómoda zona de lavandería independiente y un amplio patio social techado con muros en ladrillo a la vista, el cual ofrece un excelente espacio familiar ideal para proyectar una cuarta habitación o expandir la construcción a futuro. En la segunda planta se distribuye el área privada con un total de 3 alcobas y baños adicionales que completan 3 baños en toda la propiedad.</t>
  </si>
  <si>
    <t>La propiedad goza de una ubicación residencial estratégica y muy tranquila, situándose a tan solo dos cuadras de la avenida principal del sur de la ciudad. Vivir en este sector garantiza un acceso inmediato a transporte público, restaurantes, droguerías y comercios variados, además de encontrarse muy cerca de supermercados reconocidos como Popular. Gracias a su excelente distribución, comodidad de sus ambientes y conectividad inmejorable, esta casa se consolida como una alternativa sumamente atractiva de vivienda y como una inversión segura con un alto potencial de valorización constante en el mercado local.</t>
  </si>
  <si>
    <t>https://lh3.googleusercontent.com/pw/AP1GczPz-S0243EiBPnA-0P89QMDGtN48-Qvw6r7tC7AJ0Jy_Il7k7P8c02I8GRuI2sknv8Wn4DzZBPjcxQmbJePMZXEvuob-B87ujbbHJCafc2mrbGzho8h=w1200|https://lh3.googleusercontent.com/pw/AP1GczPiXfAOb0KxHLZEmI0mbzjemuWl74mOq4PgG_jnNjLo_q-VOYKyQLCiD7OVHfVbzv4FEY1icgXBeLZQM9koF_xnsBNt1LBP7fZpYwafy6Rn4al8XjsW=w1200|https://lh3.googleusercontent.com/pw/AP1GczPgcjIs0TCK8UpgO-Z1wLd5HSQubOpga8zFi6XLSIo24fdQP53vcQAXpGcsT6HlGTzDBiRMNigORwVA3lHJC5NmtkLtjXYfynJJifIkM2nBc17XOuO6=w1200|https://lh3.googleusercontent.com/pw/AP1GczNKKNVhIwJ2EqLgUWXpo6e0DVsILJGGX90wPGhAVM_K47Dki2SNapwffJcu7D0_nP-s5BAS7GCkzCcK9hi32MwuLrU8YvKM-a2GJPHJBJJ1NbkxUlGE=w1200|https://lh3.googleusercontent.com/pw/AP1GczPOTmZ1TfGCnkM0I-JnSJOCXFrvHWdWzQ9LpjGjSoFZIsMujoZsEN0UxDWsUVAUZUfMubdGXKJjGhUZS8MVVA-8Z1jj7c0lP_lgVSAe3xOqYYXGAYtI=w1200|https://lh3.googleusercontent.com/pw/AP1GczMEI3zrPgXHUT_dIFGOp1sFWQhSjxoCNloQ93iiu2CZp_85HuBAH9KIuWZzHJb1c-D8oQ-4dA3lowoXcgEPCkMTxfVuXWSCC6K0tqMUQ0ABp6nCIrDr=w1200|https://lh3.googleusercontent.com/pw/AP1GczNAIzyQ3Zar7YzDL4J5DWXhZCZwuhARjKd3scCvgVK5Jt5nWp9GgW3InKhIRlCsPQbMllUk7v3RQN9OcC8If5X6NcafhG4FtwDBJGGWfLKMMh2KNbMJ=w1200|https://lh3.googleusercontent.com/pw/AP1GczP-0bnqr6h6PyhcXIt6dPLsE1kuI2Mbx3B_1yk6-An_F4S03FDp66G3hD6BNsCtrhjOuQsGB31P5Wt-5PPhmdG0A7OXKQcT9w8UeNVnOl_yTSGlJmh4=w1200|https://lh3.googleusercontent.com/pw/AP1GczODHrDlP-dukkACVIIcHacUT4xp0UUs3ORLn2nL_q_w0AvH4GxTNanf6Orb3jdWqL1pKnAbas9nbfrDsqBMGVvUmyqxsRgSHrGDqbql0M7FszsgzvyX=w1200</t>
  </si>
  <si>
    <t>583</t>
  </si>
  <si>
    <t>Casa en barrio Solo verde - Oriente</t>
  </si>
  <si>
    <t>Solo Verde</t>
  </si>
  <si>
    <t>10</t>
  </si>
  <si>
    <t>https://photos.app.goo.gl/r22fhDk7SJap2JfB8</t>
  </si>
  <si>
    <t>Esta hermosa casa de un solo piso de estrato 2, ubicada en el tranquilo y fresco barrio Solo Verde en la zona Oriente de Neiva, destaca por su excelente estado de conservación y sus acabados modernos listos para disfrutar sin necesidad de remodelaciones. Al ingresar a la propiedad, se encuentra un antejardín enrejado con espacio de parqueadero para un vehículo, el cual da paso a una amplia sala-comedor excelentemente iluminada con pisos de cerámica clara y luces empotradas en un elegante cielo raso de drywall. El espacio social integra perfectamente una moderna cocina americana con mesón de granito oscuro y gabinetes flotantes en tonos madera, conectando de manera fluida hacia el fondo con un patio de ropas independiente que cuenta con piso texturizado de piedra y una excelente ventilación. En la zona privada se disponen 3 cómodas habitaciones con clósets empotrados en madera clara; la habitación principal está equipada con aire acondicionado y cuenta con su propio baño privado con acabados de lujo y división en vidrio templado, complementándose con un baño auxiliar completo para las alcobas secundarias (para un total de 2 baños en el inmueble).</t>
  </si>
  <si>
    <t>Con un área total de 90 m², esta vivienda se consolida como una oportunidad excepcional tanto para familias que buscan comodidad inmediata como para inversores con visión de futuro, gracias a que su estructura cuenta con plancha lista para la construcción de un segundo piso. Su ubicación estratégica en un sector residencial muy tranquilo garantiza un ambiente fresco, gran proyección de valorización y un acceso sumamente fácil a redes de transporte, zonas comerciales y servicios esenciales en el oriente de la ciudad. Además, la casa se encuentra completamente lista para traspaso inmediato con toda su documentación al día, convirtiéndose en la opción perfecta para quienes desean mudarse de inmediato a un hogar con excelente distribución, estatus y un alto potencial de expansión.</t>
  </si>
  <si>
    <t>https://lh3.googleusercontent.com/pw/AP1GczOhrm5LQINQAJqd1GsJgAa99PZprrDjUd7B0fPKq87VExHSd97zqPcOYRNm2f58tX6VZqs38mpPl099vhHSZ2wj7n6enL_K1ElkWQaAr4ZImmTd7FhC=w1200|https://lh3.googleusercontent.com/pw/AP1GczOBuLIWrApWjl0-Hl3oqYPPPNBSEjXFZtGWzA6lOoZ_by0jhtS2M_YBJybhVPYl_fPzRPGT62FvnBR-Zp92DorB8Tvy3piyL_ipO7chbanPIjpLXsz7=w1200|https://lh3.googleusercontent.com/pw/AP1GczPHU84rUwcda1xU-vcoesOwX0dgoDnik1UPswNeM_tRvFj2ygvKLjpHnXw6C60ubxCOeMDTd-edzskHRkjdpSSrQwNwt40BJerVp9xAEhPUGoG8aL8i=w1200|https://lh3.googleusercontent.com/pw/AP1GczOd5pnn7yXlsG4Jnu63b3CraWKWAzdoIqNPugo1RhhXrboKfA_vf0cUHvWkMFpSS3Ss5Xeh56k7FpbI3aeOp2Cea2FvndXhZ-SDZ-qC7t73yiLTosL4=w1200|https://lh3.googleusercontent.com/pw/AP1GczOJyA4cpdbGx8IFVaUOfT_2i-NBqg1D7JCRJ3M_ULhz0hI33cBBMmhoG-q1uxrcMIBelsxoVHFymvFE6Z7Tuvhc-VLoXNChv0te0QSSNVOjyZFrEQmL=w1200|https://lh3.googleusercontent.com/pw/AP1GczPxDYiWjLuKMo2q3Vbmbax86Z_EZ7wLEZGVY3y0_dMdwZkPcI6w67JUXZCfgd0YRT9kHvcVtMrg238RgCi60gxQQQdizJtBbWn6E5kyMhtkzhBl2-UG=w1200|https://lh3.googleusercontent.com/pw/AP1GczOVRrcugt8RgVLWvIBsT0HNLuUOWtAMLZuYDPfoj_b9oxlAR7pnLepvYaU1bKaogpheRsYuCS8_IUysDW1U0e4ESaaiPsoDLmvpF93yqgd9YcWW0Bby=w1200|https://lh3.googleusercontent.com/pw/AP1GczPddSdc4HGJHSyRM4mqes_pg1mcNrFB90Wo3CpNKbzLsivglubgn9fXiUoVsn8fpXs4o9k3TSGZ1S7q1tOLKHSeAv1mvgUC1qElDaZQ47gmjCak7_3T=w1200</t>
  </si>
  <si>
    <t>338</t>
  </si>
  <si>
    <t>Casa en barrio Buganviles Primavera - Oriente</t>
  </si>
  <si>
    <t>Buganviles primavera</t>
  </si>
  <si>
    <t>https://photos.app.goo.gl/TKVhauFUqALAtFu48</t>
  </si>
  <si>
    <t>Esta encantadora casa de un solo piso de estrato 4, ubicada en el barrio Buganviles Primavera al Oriente de Neiva, cuenta con un área total de lote de 101.25 m² con dimensiones de 6.75 metros de frente por 15 metros de fondo. Su distribución interior ofrece una amplia sala-comedor revestida con pisos de porcelanato claro de alto brillo y muros blancos impecables, complementada por un mueble de entretenimiento empotrado en madera y una cocina integral moderna con mesón de granito texturizado y gabinetes flotantes en tonos madera clara. La zona privada dispone de 3 habitaciones y 2 baños completos con divisiones de ducha en vidrio templado, azulejos de lujo tipo mármol y modernos lavamanos tipo vasija sobre muebles flotantes. Adicionalmente, el inmueble incluye un antejardín con reja, un puesto de parqueadero para carro y un funcional patio techado y enrejado para mayor seguridad, el cual destaca por su llamativo piso de piedra en tonos ocres y un muro enchapado con apliques de iluminación moderna.</t>
  </si>
  <si>
    <t>Esta propiedad representa una oportunidad de vivienda excepcional, ideal para familias que buscan un hogar funcional, seguro y con una distribución perfecta lista para mudarse de inmediato. Su ubicación residencial estratégica en el sector de Buganviles Primavera garantiza un estilo de vida sumamente tranquilo con fácil acceso a todos los servicios esenciales, comercios y vías principales de la zona. Al encontrarse en una de las áreas de mayor crecimiento, proyección y constante valorización de la ciudad, este inmueble asegura una inversión inteligente y altamente atractiva tanto para habitar a largo plazo como para consolidar su patrimonio en el oriente neivano.</t>
  </si>
  <si>
    <t>https://lh3.googleusercontent.com/pw/AP1GczN3Enzes4L6Z6R_-UZdLvOWYaR2Rw-UDJ2h-psc38vyzW9tnS70WY905zVk059gJbKh4IIK_Wt5x5kOf0JDvI9XKWufce_5FGoYLkix4eYCDe7Czq-V=w1200|https://lh3.googleusercontent.com/pw/AP1GczNACNs1MiNbpkiCdZj0O-NoUXrCb8RFJXI0sY0wYb7bOGcvXd809L2m-KbaxN9A6wK1klsE_AfG5iSQw8-GCifq5YkPavfWFmsIh41b37RYaFNWcrY-=w1200|https://lh3.googleusercontent.com/pw/AP1GczNNmRE0OgvRHmOoGdD1GjETE3Nn5YP0iSztpZsXcbeCLd4mwl__frJvvrqG3NDMJ4xludGhTE4wlOIEr0fRtexuAmds2QUBy11EYPePct73WM0XcIeb=w1200|https://lh3.googleusercontent.com/pw/AP1GczPImxu28M85F7WpPR70C_i56DX4zHK8oW6oA_8vtpZ9eTLjxWF_5x6JH1NdCR8WcZNlfm8woyqgfH9mmU7fQGaMuDljUt3Ba-2gMFeLTNiTMSEx34cx=w1200</t>
  </si>
  <si>
    <t>376</t>
  </si>
  <si>
    <t>Casa en barrio Mamzanares V Etapa - Sur</t>
  </si>
  <si>
    <t>Manzanares</t>
  </si>
  <si>
    <t>https://photos.app.goo.gl/CH4YEvTXutjj2dCF7</t>
  </si>
  <si>
    <t>Este exclusivo apartamento de estrato 4, destaca por sus impecables acabados modernos y una distribución inteligente que optimiza cada espacio. La zona social cuenta con pisos en porcelanato brillante de gran formato y muros con pintura lisa blanca que potencian la iluminación natural, conectando con un balcón privado ideal para disfrutar de la vista urbana. La cocina integral de concepto abierto está completamente equipada con estufa empotrada, campana extractora, horno, mesón en granito oscuro y elegantes muebles superiores e inferiores en RH texturizado de tono madera. El inmueble dispone de 3 habitaciones con amplios clósets empotrados de techo a piso y 2 baños modernos con divisiones en vidrio templado, grifería de alta gama, lavamanos sobre mesón y enchapes cerámicos de lujo en las zonas húmedas; complementando su funcionalidad con una zona de ropas independiente, un estudio o sala de TV y un garaje privado cubierto en sótano.</t>
  </si>
  <si>
    <t>Ubicado en una de las zonas de mayor valorización de Neiva, este apartamento es la oportunidad perfecta para quienes buscan confort, estatus y una inversión segura. Su diseño contemporáneo y listos acabados garantizan que no tendrá que gastar un solo peso en remodelaciones, mientras que sus amplios ventanales aseguran frescura constante y una iluminación envidiable durante todo el día. Además, el conjunto residencial ofrece una experiencia de vida tipo club con exclusivas amenidades que incluyen piscina para adultos y niños, parque infantil, zonas verdes, gimnasio equipado, salón social y vigilancia privada las 24 horas, todo esto a pocos minutos de centros comerciales, colegios y las principales vías de la ciudad.</t>
  </si>
  <si>
    <t>https://lh3.googleusercontent.com/pw/AP1GczMYtBlS7xJVI_-plI9Pet-2qR5V9-kCSiy64DgoZxfsYJbJ5bKDX1aZ2h5MLpbTERIj3hln5YvbeClhGfr_TPD3xkALw5kL6Ht4_V4iXAbxjBcpxPvc=w1200|https://lh3.googleusercontent.com/pw/AP1GczPTtJq6hQAVkUprOohuHqHNnN-dhXsT7TJCnSyJqaf-OXZeVXW8L1D-5zgCjdy1WVmf6lZ53T4RK55uYcxVCuUfOCaARcTj97dbqPrRL5Nb-rR4zrXB=w1200|https://lh3.googleusercontent.com/pw/AP1GczMALEgAWlVBsB46N38SHcc0hdrJYhn45xffPDNODDlCr5DDQMYB18feQq-wOMzdGCLCZbZaNTH629hL3uktmWQY_OySXzfxdeF31zmx17NEklTmUlgU=w1200|https://lh3.googleusercontent.com/pw/AP1GczMIZ3tbt36tPE4z52o_NTvdHv9e2GAYECC-6nnowqxMaQohWupATXhDA6TIyvegQV7FfdcAMgO50vMhMK6PW18zguplev7EgG5uskQ0xUVhLCwml5k0=w1200|https://lh3.googleusercontent.com/pw/AP1GczP8mCCfMc_gYbxRiCJqxf8gfAQRSu-hmidp6fKCijQ9ONnHBxbgyLjdxZpbyVZdw4-DdyzgLYYdVDJZiS5rS9kq6RP7L-ZREUp5EzYim_DNIb9TGewY=w1200|https://lh3.googleusercontent.com/pw/AP1GczP5RGfLd55IxoKIGgwkTvMkeOADv2FaFJQxKhxCp1GveQNOYQ_rN4HIcA3pR76rKY1TmTiym1OtRKWyAM-v-5IORRbyHTt68X5Hf7yIlksQc0EIdrF7=w1200|https://lh3.googleusercontent.com/pw/AP1GczPMsiPsSMB9ogyvfPi6SeG_ba3H0XmA9MhKDkdIijzrl87ciw6_d55MOppUmDykkrIPRnI--Bp6777qN4uS61KBNU0vBhStjhxhEXRUAD71SCNgfVJL=w1200|https://lh3.googleusercontent.com/pw/AP1GczMwa-DB_e89PMznapfzn9B4ygeT0gfdyT1nGbaembjF6Jr8UN04XWr1eu1BxMM6VxSACYVmqSALXzhM_FeZsVf7K-4Fm6YErFSVLhyPRGMhSujSAsrb=w1200|https://lh3.googleusercontent.com/pw/AP1GczOASsW7b0ClUQdbSWVNZU423hRLUSVYmvOWw5BeVeysuVIWOte0TyUuTsPssRwHq-3w28a8azaN8FUO7Kquvk-ImSj7VzniztfrrfMJNX4kIQnBZYLD=w1200</t>
  </si>
  <si>
    <t>281</t>
  </si>
  <si>
    <t>Lote - Sur (Unicentro)</t>
  </si>
  <si>
    <t>Lote</t>
  </si>
  <si>
    <t>Medianero</t>
  </si>
  <si>
    <t>https://photos.app.goo.gl/NS7pzPKcrED8cEss8</t>
  </si>
  <si>
    <t>Terreno en venta ideal para desarrollo constructivo, por lo que no cuenta con una edificación interna con acabados, muros o habitaciones tradicionales. El lote posee un área total aproximada de 517 metros cuadrados, de los cuales cuenta con un área construible definida de 325.2 metros cuadrados, mientras que el espacio restante está destinado para un antejardín aprovechable para zonas comunes o lúdicas. Adicionalmente, cuenta con un importante frente en bahía de 34.5 metros que ya incorpora 3 parqueaderos establecidos, con la viabilidad técnica y normativa de habilitar hasta 5 parqueaderos adicionales (de 2.30 m x 5 m) para consolidar un total de 8 estacionamientos exteriores.</t>
  </si>
  <si>
    <t>La oportunidad de adquirir este predio destaca de inmediato gracias a sus extraordinarios beneficios normativos y de ubicación, ya que la reglamentación vigente autoriza la construcción de un edificio de hasta 10 pisos. Al estar situado dentro de una unidad cerrada con portería, el proyecto se beneficiará directamente de excelentes amenidades ya disponibles como piscinas, dos canchas deportivas, juegos infantiles y amplias zonas verdes, con la enorme ventaja jurídica de no estar cobijado por la Ley 675 de propiedad horizontal, otorgando total libertad para edificar dentro del conjunto. Su localización estratégica en Neiva, a solo unos pasos del centro comercial Unicentro, entidades bancarias y a escasos 5 minutos del centro de la ciudad, lo convierte en una opción inigualable y de altísima demanda para inversionistas que deseen desarrollar un proyecto de alto valor con un potencial radicalmente superior al de los edificios circundantes del sector.</t>
  </si>
  <si>
    <t>https://lh3.googleusercontent.com/pw/AP1GczNiaaacT0E7rOrGf0FGcHezc76gHFyaWIX2lsi97o6OA3xUry9WDx6foGmoOcOTHJH5EtXG7zPdCaX--HhsjgSNLXldapukVxod3vCDmclOocoGpY-w=w1200|https://lh3.googleusercontent.com/pw/AP1GczMtEcqTxRz-lVEIhMceManGDO67sTIvbsZIJaFVtG7h4J8uBpjigJBpVs04fGTFf-cY0jnXBtGja0AYwSH4CQXeAB2tDdAFjKtgGjSUgAiNWmF_duN6=w1200|https://lh3.googleusercontent.com/pw/AP1GczNEcgvnI3uXI52TKSynGIjjxf7hP7GsPUfBOcswNvSY5WwuA7TRt94D9s3aSJhpPOBprbQcEt4rtinwEnlqQS6N5T293vAJK665TCHPsAJyUZG6bE73=w1200|https://lh3.googleusercontent.com/pw/AP1GczOGB_lmu8yhdT0dpNUcqi3cOFbbk4ASt7Vfd-Tago6Cnepi9j2eC77PifUscxhb35mmJ10Fjz-RNXxzl3C31jZW6JPbRdiFVdD_V7Yxz707HVCsU2ZF=w1200|https://lh3.googleusercontent.com/pw/AP1GczPLnqd59zOgurZmOX8ObYWIEMz7bn4bVEkhgrlmbcTaPNDHDKcVEcWTh6WTmZA7HNOyoY2Akdu7Rmm58MU1wxUOSq-eBzJ9YtFUn_M4uea85ieRyg5F=w1200|https://lh3.googleusercontent.com/pw/AP1GczN4tv-Pcm6yTAiI81xZFz7vGLqIAeYKG2pr9iQu04A9LkS9Nz4z533CERlyZhDi8UumS_Lk3tc9X5vLtNHqa_QKswrSFD2uyu62xnDOHBRu_LxCPb1r=w1200|https://lh3.googleusercontent.com/pw/AP1GczP706dzLU-OPAhoY5HLWWU3y2-nfefA4l5UUhXCSfXJqW9K6BtxwxbxqW_79ExewNCIdpsOgGKNmbQLYuDu1Q9QSxAmyhJI4W5x9ocmqtU_vfQZF2PP=w1200|https://lh3.googleusercontent.com/pw/AP1GczOzRnGohvWTcWA9QherqZddOaPPi3KsbrixKI7Yq9QRrxahO1P6-QY8wJfpSf_-KCCnyM9s4ZHt4u9ZUi_cScH22FKjqhY3XYwJoen7vJWHHjv4TPtc=w1200|https://lh3.googleusercontent.com/pw/AP1GczPocFo5RjZgIZFl5nSlxhW8_OpsvAN70Md3tSieJXFc1UeAskigGnPLsI0d2Ef9R0noWJUxD69VZeWwR2V1oACSzvK3uPbIKihNgWuM9Pp3zeurL1E4=w1200</t>
  </si>
  <si>
    <t>880</t>
  </si>
  <si>
    <t>Apartamento en conjunto Residencial Goya Sur</t>
  </si>
  <si>
    <t>Apartamento en conjunto</t>
  </si>
  <si>
    <t>Conjunto Residencial Goya</t>
  </si>
  <si>
    <t>2o.</t>
  </si>
  <si>
    <t>https://photos.app.goo.gl/wWHWhsTijAo9dYEY6</t>
  </si>
  <si>
    <t>Este acogedor apartamento de 50 m², ubicado en el segundo piso del Conjunto Residencial Goya, se destaca por su excelente iluminación natural y modernos acabados listos para estrenar. Su distribución inteligente optimiza cada espacio, ofreciendo una cómoda sala-comedor con balcón privado, cocina integral equipada, patio de ropas independiente, tres confortables habitaciones (dos de ellas con clóset integrado) y un baño social completamente terminado con detalles de excelente gusto.</t>
  </si>
  <si>
    <t>Situado en una zona de alta valorización y con un entorno muy tranquilo en el sur de Neiva, este inmueble de estrato 3 es la alternativa perfecta tanto para familias que buscan su hogar ideal como para inversionistas. El conjunto residencial garantiza una gran calidad de vida gracias a sus completas zonas sociales, que incluyen piscina para adultos y niños, parque infantil, salón social y un esquema de portería con vigilancia privada, asegurando confort, conectividad y bienestar total. Parqueadero Comunal.</t>
  </si>
  <si>
    <t>https://lh3.googleusercontent.com/pw/AP1GczMH4Bqj0S_tARbhXG-5P34rQAHquaruJIDxJ4k8HFkJLvBkanwHWaUKL-azmLlSm1GkaKm23aMuNgeUo2nc94PR1_RpWUZeG1qH4gjzehAP50nCbabq=w1200|https://lh3.googleusercontent.com/pw/AP1GczPxEHVZdeY_oiLzhmdH-YpHl0gI8fWXVq5z-HLvDfPydX_3duQ-JLQn3pFrUIhVHhuknpnt_f7anvU4I8T5jk0qOZEX0peBLCS6Hym-D-4VCnxIvf0z=w1200|https://lh3.googleusercontent.com/pw/AP1GczNJGmhJIBFnGfLKvtleLsliQhkX1FIJbT5kWaFZvt0IiQsIXXpvDvAk044up9cqtcyC70VLjrMscTTVRdx-icyWJQQ7lphtEnL9Jt3U9PTcElde-Xgk=w1200|https://lh3.googleusercontent.com/pw/AP1GczOmwW3J7JBUg2saiqXFb7VtqxFLq2P_zl_F4wTr6d64ORZMWdair0TyBUK5fzAemqHIuF9NuDKv6yn_B5eMcZr3OHQdSQ7HwL9YFe6KtD-8ZMFhXyrT=w1200|https://lh3.googleusercontent.com/pw/AP1GczNou8aDqcWczOXnjjP9GQNMkd5XfOsbUbHwlYbKaQexYcQaG-7N0pacXPDEb4bmBTOcz9eqVdHzjJD-FFD5zle66VKNB9TQ6ybQ00-fkekUVuaGVgeO=w1200|https://lh3.googleusercontent.com/pw/AP1GczP4OWUp3Ch9VEfUMNLGCSnNMEHdl40VMnTGXCXtoDGiKTSFHISu-TxV4FGjSaty6yRHf9le0K8nkYXLe879vSDULd_klwRlC-LlZk3AIq7DTe-N8Svj=w1200|https://lh3.googleusercontent.com/pw/AP1GczOl6zFTgJB5ntBbq-pWREq0jfmM_cCJiT3EEkEdL23prMWILNkyPjU54hYPz208duJO6uFeCXT7JR7-qGNo3p36vwwom4P4neqWPm560EtPhYRwPptz=w1200|https://lh3.googleusercontent.com/pw/AP1GczNrXMkWziP-rUqVFcB56-woW5mrBn792EMk6M8OfJu7Iojosp-_wFyo3AOxJVjizED3Kfz8AUOukGw5M7FxL_B-QgWnO1Ibhwv9awDrNAPWIpAJwfQc=w1200|https://lh3.googleusercontent.com/pw/AP1GczO2y8IvPJq1Hup5GIOqyL1fAaxd2QgMfn8jrYfPghq89pCqNnlF7gqRzGVmRqBK_PDHG6HEIG-mTl0Hqvjx5xmWDhs0GC7Rwu1EbRKEwZkhNnlvlXL3=w1200|https://lh3.googleusercontent.com/pw/AP1GczPZb4XEAqAH6ksk3R2Ef9Lite2JuEZEKK_94E-3fqOsAZ5-YLMv5KVR0DGMiyikGidQXRJFA7IQwV3i0wBznHhLvuT5KhgoK58nsnIL46n3TEnDxEvb=w1200|https://lh3.googleusercontent.com/pw/AP1GczNQ5qHIEGWxpxZ0bsB_TZX3eeeCjkhSzqoRKtiobEmrtyUEH_7xzYxRqfQ_JWcsaLYUiZV1k8DoLFnMQQCf3CEJqehfUOlalmii9LM0DvzhhlMGSusb=w1200|https://lh3.googleusercontent.com/pw/AP1GczM98PQIlBZ8kxwkDBO_jMUKHMqRzX6pdvttGzOaYLKga7so27O7oe5BnuaHZW4tVIhYXXT9Jy3MkM84xelTAmlPkozPNDgmpQ7j7jGyIJKhiIrGtq-l=w1200|https://lh3.googleusercontent.com/pw/AP1GczND8jwA4k0esCBTQq2tVA9kpub9QINxRyzIpfa8TbsiCYEULwBL_2bC3zXUSWjj3uZpgolk_I5e8FNg6qcAdB7w1oaeVaNIshMJujiUtLOrBC04oeGS=w1200|https://lh3.googleusercontent.com/pw/AP1GczMl9yPAkq1P0wjdfB57nzC-S-Hh3qC21T02F6_CDU7DbguHP5uoNu95hHK0PFL74iCMYMVq1ZCPezcHoP1hFBpDCT6vQphcGNnYb6Jp3eewuR4dqLYx=w1200</t>
  </si>
  <si>
    <t>548</t>
  </si>
  <si>
    <t>Apartamento en Conjunto Residencial El Tesoro - Oriente</t>
  </si>
  <si>
    <t xml:space="preserve">Conjunto Residencial El Tesoro </t>
  </si>
  <si>
    <t>5to.</t>
  </si>
  <si>
    <t>https://photos.app.goo.gl/265YVLp17oWXSbTu9</t>
  </si>
  <si>
    <t>Este moderno apartamento SIN ESTRENAR de 57 m² ofrece un diseño inteligente y funcional que maximiza cada metro cuadrado para su comodidad. Ubicado en un quinto piso, destaca por su excelente iluminación natural y una frescura envidiable en todas sus áreas. Su distribución incluye una amplia sala-comedor ideal para compartir en familia, una cocina sencilla lista para adaptar a su gusto, y tres habitaciones bien distribuidas que optimizan la privacidad. La habitación principal está diseñada como un espacio especialmente fresco y confortable, conectando de manera práctica con el baño del hogar, convirtiendo este apartamento en el lienzo en blanco perfecto para comenzar una nueva etapa.</t>
  </si>
  <si>
    <t>Situado en el cotizado sector oriente de Neiva, dentro del Condominio El Tesoro, esta propiedad representa una oportunidad de inversión insuperable en estrato 2, garantizando bajos costos fijos y una altísima demanda de arrendamiento. El conjunto residencial ofrece un estilo de vida ideal con amenidades como piscina para adultos y niños, salón social para sus eventos y un parqueadero comunal amplio y suficiente. Además, cuenta con el gran atractivo de recibir Caja Honor, facilitando el proceso de compra para miembros de las fuerzas públicas. Es la opción perfecta para asegurar su patrimonio en una zona tranquila, segura y con una proyección de valorización imparable.</t>
  </si>
  <si>
    <t>https://lh3.googleusercontent.com/pw/AP1GczP3aEwmok9iWUu0F31SqI0PbPE5sdtYLAvMJ4dRT5Z-xE8HVAr17P_c2uoLqk9zH68Ab-W0TZVYnVPEwe18fQ0Hb1f2wndywAryYMOiZWBa1OTBwMwQ=w1200|https://lh3.googleusercontent.com/pw/AP1GczO9b_Ro-r1PEDzKIqxHuQcmQnxtHgYX4J7tVmuxVmIzL0o5k-_bdrhbRLKz6A7jQT0Ojnc3UD7aCf82J7cvBhfcNDjU1_mE0-9KLrEyQErGAly6QFvq=w1200|https://lh3.googleusercontent.com/pw/AP1GczOmcJzA1V0VnDftCovRgJId5SH4VeaDvxBtUL6SmCW9dB4XTifp_KT8fH4J5J8kkG6f_UK3gjB8CQZffyukbfIOrrKtf5QfsXL8CvEo45bTqiNBPycn=w1200|https://lh3.googleusercontent.com/pw/AP1GczNVYx0y04_8utCsaY3CgK2IeOunHYnz_PorlWpeWCXjGViuo3gSjIfQtxYiV3OioVpMwW3nItMzx2D4hUwTYhJc8Y9qta0PJF6klz2qN5J5zZvnQ7d_=w1200</t>
  </si>
  <si>
    <t>077</t>
  </si>
  <si>
    <t>Lote campestre en conjunto Novaterra - Palermo</t>
  </si>
  <si>
    <t>Lote campestre en conjunto</t>
  </si>
  <si>
    <t>Conjunto Novaterra</t>
  </si>
  <si>
    <t>Palermo</t>
  </si>
  <si>
    <t>https://photos.app.goo.gl/nzGMWLi6Lcst9YPD9</t>
  </si>
  <si>
    <t>Este exclusivo proyecto de lotes campestres, ubicado en el Condominio Novaterra, ofrece amplios terrenos ideales para construir viviendas personalizadas con la distribución y número de habitaciones, baños, garajes y áreas recreativas que usted elija. Al tratarse de una venta de lotes listos para construir desde cero, brinda la oportunidad total de diseñar una infraestructura a su medida, seleccionando con total libertad la calidad de los acabados, tipos de piso, muros y muebles empotrados. El complejo está completamente urbanizado, por lo cual cada terreno se entrega con la infraestructura necesaria para la conexión inmediata a los servicios públicos esenciales de agua, energía eléctrica y alcantarillado, garantizando un entorno campestre con todas las facilidades de la vida moderna.</t>
  </si>
  <si>
    <t>El verdadero atractivo de esta inversión radica en sus incomparables beneficios, destacando el valor por metro cuadrado más económico del mercado actual y una atractiva opción de financiación directa de hasta 12 meses sin intereses. El condominio está diseñado para ofrecer una calidad de vida superior, equipado con un salón social, piscina para niños y adultos, parque infantil, canchas de fútbol y voleibol, y senderos ecológicos ideales para el senderismo. Con una entrega inmediata y una ubicación estratégica a solo 15 minutos de Neiva, esta propuesta combina de forma perfecta la tranquilidad de la naturaleza con un acceso rápido a la ciudad, convirtiéndose en la oportunidad de compra ideal para asegurar su patrimonio de inmediato.</t>
  </si>
  <si>
    <t>https://lh3.googleusercontent.com/pw/AP1GczPo9B9sCOHHAE5cmh6bOHVH6UrCVJ492P_01fkrYkJ5oOmrJRRFcpzRrcZQ7QultRLcs6KvuP0qCdsZVXsATKB_OB5Az37ddZU6gMRkDaI3L-qPinY9=w1200|https://lh3.googleusercontent.com/pw/AP1GczOazCRVBwvJciq-lc6ZedBWNhtYJFyWiVhXiqJXhSdVNZrrS2aRF__H_8WLnLGPsSuSi4_peGRXIHD2_-t_PIO3AScVO7yWkoE6zDbVibHpSghdWPZ2=w1200|https://lh3.googleusercontent.com/pw/AP1GczOozdWVjFVHWqIYyAhsqsjd8envin_KBl4avvmtlXv7h1EGmVm-RuQX1r-gMtmy42KkTsPBppey_4ihijjkd--DHylVCiaQtQaawCTaA_WBdH4IiwyN=w1200|https://lh3.googleusercontent.com/pw/AP1GczNsTHMps5pcavsOyQ-hhCVdUv0KRxwZz_iJPERV_Nhljkd81eSt_tu1Ded4S0WPLEFb_YojxUyhc5Bfwd-fzDiVK0d5IYBNAX_b3XAUq8Pr_UXFXKjY=w1200|https://lh3.googleusercontent.com/pw/AP1GczOSLANqnZz3wvauJNmZVbwl2D_qGi4eAxRMOxgx-BIR5ePyBQlL97YZCCG7b5kvBHyvPlJGige4ThEOQbVa92bMq7nMp2rQGyIAUQvgRgvP2LcvBnyn=w1200|https://lh3.googleusercontent.com/pw/AP1GczOjgpspepmGh9GRF4p3z5UtZueERiT0aHWSSF6Hdz_YhKAkKEH4oO8tGGL7V8xsW--v3cNQqYsrUPc6cBavFv3xJf-ydA8fg8T14YX3j-2kprkswEsu=w1200|https://lh3.googleusercontent.com/pw/AP1GczOaisbScLVQvw9Vdhof2Hx_pvfEJ0mNiY6YBeGkNxcvV7yqQpd_783JrvUiKP7h3Q83GdD0XTJNBmzEcrNNF3TZ4ZphVrqICEm0HsG9PmMslX-mMWdd=w1200</t>
  </si>
  <si>
    <t>856</t>
  </si>
  <si>
    <t>Apartamento en conjunto El Tesoro - Oriente</t>
  </si>
  <si>
    <t>El Tesoro</t>
  </si>
  <si>
    <t>Conjunto El Tesoro</t>
  </si>
  <si>
    <t>https://photos.app.goo.gl/erXE6RJXtocjff119</t>
  </si>
  <si>
    <t>Este acogedor apartamento de 57 m² se encuentra en perfectas condiciones y está estratégicamente ubicado en el barrio El Tesoro, al oriente de Neiva. Situado en un quinto piso, el inmueble ofrece una excelente distribución que aprovecha al máximo el espacio en un entorno de estrato 3. Cuenta con tres confortables habitaciones equipadas con sus respectivos clósets, un baño completo y una moderna cocina integral que resalta por sus acabados con luces LED. Además, sus dos balcones garantizan una ventilación e iluminación natural excepcionales para todo el hogar</t>
  </si>
  <si>
    <t>¡Ideal para la tranquilidad y el disfrute familiar! Este conjunto residencial te ofrece vigilancia 24/7 para garantizar tu total seguridad y paz mental. Como residente, tendrás acceso a completas zonas comunes diseñadas para el esparcimiento, que incluyen piscina para adultos y niños, un parque infantil y un amplio salón social perfecto para tus eventos. Es una excelente oportunidad para invertir en calidad de vida con todas las facilidades a tu alcance (Nota: el acceso al quinto piso es sin ascensor).  Parqueadero Comunal.</t>
  </si>
  <si>
    <t>https://lh3.googleusercontent.com/pw/AP1GczMSdMLwN0D5CS0H9qgI5tfeaAhZXXly_kd9olDd4HvSGRcIZUV-7PD2FANkYLzwQ2Rj-3vC1nQ3fPDxgYHj_RB9gCmZBtL6rwfvVkdY-mheex4OmwKL=w1200|https://lh3.googleusercontent.com/pw/AP1GczPM2ErotZfXWVvhT3J4T5B5VxbuNlqSCnqWvz4df5S54j66B1V-jQ42trYt_FiLF5tHdk9OJC_Wam5xN6fT1ai8hedI0hw7ByaX7miLWMT5MPDoxDoH=w1200|https://lh3.googleusercontent.com/pw/AP1GczMKHumz0aUbE1hE04qD1Pw2OpBzYFNdu12IGlFrXTe-S7zNrKZEjOCG6c4CbZfWTVwnuMybol9SVe5DcuX9Ifc71fQaydRlmoSNWi4rUoIB3lD6FBCj=w1200|https://lh3.googleusercontent.com/pw/AP1GczPNl7i1fTxWgNeDt7qpdAh6eMevItvSpwXIy-J-6Aec_A7VjHTUkDegDbcnKElFzszVEcDv_W3lJgRHHWg1U5lFw7OjncMccLtYMwbAKFzjTCFRzRlL=w1200|https://lh3.googleusercontent.com/pw/AP1GczM42jfnXnC7KcILjA9DhHHlEDrSE7fmyiDfe2HxFel754cF8qhbmm-xmTzrybqgwMWinWlFUaOCEdWdXIMJHHvWh2MFQbcVsdax6BSsghFnWs9vYhPj=w1200|https://lh3.googleusercontent.com/pw/AP1GczO0GQCzg43YczHgc0zfmO9q-Et4-SfbMFEuYkriAfha4_QEavsHZdfVo_u9NWCgj9ahySzp6frjEB9C5nkSzoXbf-04nS5bOuEB0C8fhflalU4oxUrd=w1200|https://lh3.googleusercontent.com/pw/AP1GczOG9kkTjy63zfHgrVc58b9QkIfvjPaj079aHaqMxBquhdKxG4Gl6dk3MA246bIILe5DxqyqXwAg-BYaUVM6IL6asPV3_67U7sxDVo3ZObVG_A3JzHRT=w1200|https://lh3.googleusercontent.com/pw/AP1GczM03AV-UDmqjhD91mahOYtp1k8UZ4ir4m4ZxpZWWtCAe8TpOMOH55C8D2uU7kIrJdDneAKKnyxUPV9EqvKbNSNxmbgG7tiwZ6ZaZCR1FJT4ZSPIam_q=w1200|https://lh3.googleusercontent.com/pw/AP1GczPsk4gkNIjZFjWvhcBpdnGmW-qNRu-sNSqlguJ2-9PQZ7Ji0x745njrhsMTqOq9ccGMG6tHC1wy02YWu7n9TACCr9xd9Akbu92mjFd8XahPnlqiOYab=w1200</t>
  </si>
  <si>
    <t>164</t>
  </si>
  <si>
    <t>Lote campestre en conjunto Condominio Altos de la Sabana - Palermo - Z. Industrial</t>
  </si>
  <si>
    <t xml:space="preserve"> Conjunto Condominio Altos de la Sabana</t>
  </si>
  <si>
    <t>https://photos.app.goo.gl/e9sA8bxfEh3dNjkq7</t>
  </si>
  <si>
    <t>Este espectacular lote campestre de $520\text{ m}^2$ se encuentra ubicado en el municipio de Palermo, dentro del exclusivo condominio Altos de la Sabana, una localización estratégica que permite disfrutar de la tranquilidad de la naturaleza a tan solo 10 minutos de Neiva. El terreno cuenta con un excelente acceso a través de una vía totalmente pavimentada, facilitando una llegada cómoda y rápida. Pensado para el desarrollo inmediato de proyectos de vivienda, el lote ya dispone de la infraestructura básica para la conexión de los servicios esenciales de agua y energía eléctrica.</t>
  </si>
  <si>
    <t>Por otra parte, el condominio Altos de la Sabana ofrece un entorno natural, seguro y de alta valorización con completas amenidades diseñadas para el disfrute y esparcimiento de toda la familia. Entre sus áreas comunes destacan una refrescante piscina, una cancha de fútbol para actividades deportivas y una capilla privada dentro del conjunto. Esta combinación de servicios, ubicación privilegiada y espacios recreativos lo convierte en el lugar ideal para construir una casa de campo a medida, uniendo de manera perfecta la comodidad y la naturaleza en un solo lugar.</t>
  </si>
  <si>
    <t>https://lh3.googleusercontent.com/pw/AP1GczM3BjrWisR7DzQ-l43ZrDbXIfkBmGgyRtoDszRJTgKo9YIObxcDr1B7mCYBxeJ53J-_7N7v08Hm4RQ6g6WYDwc7L_FE6Pdngi8g9tv0Emrtmt9bm-rA=w1200|https://lh3.googleusercontent.com/pw/AP1GczPSYoTGn5PasyOeMbQnRD0omTrctGeKM6ee6lI7edzaI2FnUdnL1fujBP8Glk2skTJ8n_guKiasUshTvnVmKCdd03Pv0fZlJ9r0ioOgtAyFe_2K9wJ_=w1200|https://lh3.googleusercontent.com/pw/AP1GczMaBFa2OsHVcN2MOjr34ITtYLSP8vMKKLw3K6Gp5PGBhDWFxNnLp1QfLVU9PjJAPIudRUQeiyC4Kd6XxTEW1Cp5v4pEIjdkhx2cq3ZOa8yAUytrpOnB=w1200|https://lh3.googleusercontent.com/pw/AP1GczPySzKmsNxpgdporHcaLHJl02Zti_NcILBHRT0HBw7akJTMybn4XxpUL1rlbM9hQUTmEpr43_93TfFAwyHRJThRP_T3PrGj4tLvuMwUqjKkYxyopzFX=w1200|https://lh3.googleusercontent.com/pw/AP1GczNTnrMtPYSvJQj4YhWw8d2KvZpl-yDzJQ1zLAevkz0ROfDbHOSMKJT85jFBe_8bCheeIipARMLB0dZ0fm0kf9rm1Ok2ER_68pMwgRh7lULSW8z4_Rb-=w1200|https://lh3.googleusercontent.com/pw/AP1GczNZxX1a7-6q4sz1Whd-aeUx1S1GQtJW0Yg3BwxZ2c6NtK8_9h1dCIKd_u2uf9g7VqsS9cRgRzDM6C8AsBzYwW16Q7thLbYX3ywkY9Cjc1QGz0n6lw6o=w1200|https://lh3.googleusercontent.com/pw/AP1GczMNwtKq1pbVsik5qHV5JYjzoe6qXuunPSf8mV4wXQ1VvARDfA11wZr2yTGqDxq0Dzm4yuIJba6ZUG4yBF1yc6h6r7Jj2ky3liA8l6ImostgZSaDLn9x=w1200|https://lh3.googleusercontent.com/pw/AP1GczO8AGdJ1uc61zJAswr39arRDvRmyMfH8KUu2FwBFJLZCgD7yxOvAxf-MDD-px1NCaP_2X9IwO_Y23XMZBanhLW5CX2GK9UtzwyEnSwgJRtKYC50gy_0=w1200|https://lh3.googleusercontent.com/pw/AP1GczNOE7auLw8TfbCY7VTiKOY2jfvisZ6TzaWnwDlWrpEKBXKm1VMZotoXg-DP_YzjJopgM6_RRi96Vx90x0LND-qh83ls1Fm1yFNC9BA1jOiHToNwRcaE=w1200</t>
  </si>
  <si>
    <t>088</t>
  </si>
  <si>
    <t>https://photos.app.goo.gl/1hkjovUYZCbwF5Py8</t>
  </si>
  <si>
    <t>Este hermoso lote esquinero de $400\text{ m}^2$ se encuentra ubicado en el municipio de Palermo, dentro del reconocido condominio campestre Altos de la Sabana, considerado uno de los sectores de mayor valorización en Neiva. Situado estratégicamente sobre la vía Palermo, el terreno cuenta con excelentes vías de acceso y una fácil conectividad con la ciudad, lo que lo convierte en una inversión inteligente y en el espacio ideal para construir la casa de tus sueños. El entorno destaca por ofrecer un ambiente totalmente tranquilo, seguro y rodeado de naturaleza, perfecto para aquellas familias o inversionistas que priorizan la calidad de vida y el bienestar sin perder la cercanía urbana.</t>
  </si>
  <si>
    <t>Por su parte, el conjunto residencial complementa la experiencia campestre al ofrecer completas zonas comunes diseñadas para la comodidad, la seguridad y el entretenimiento de sus copropietarios. Entre sus principales servicios y amenidades se destacan la vigilancia privada las 24 horas del día, los 7 días de la semana ($24/7$), amplias zonas verdes y una refrescante piscina. Asimismo, el condominio cuenta con una cancha de microfútbol para actividades deportivas, zonas sociales especialmente acondicionadas para eventos y parqueaderos disponibles para visitantes, garantizando así una alta proyección de valorización y un estilo de vida campestre con todas las comodidades.</t>
  </si>
  <si>
    <t>https://lh3.googleusercontent.com/pw/AP1GczOdprzsSr31dTUXAfVBfVucv0QV4EqRgv8c-nKRJzKU98nA-rFv-AskXbOn3lok8dPEVhTnSh6TQ-SNQVauOA9kvYgbOavhdPB9iXBNoAq-QIBXNU4B=w1200|https://lh3.googleusercontent.com/pw/AP1GczMKzyknLszrq1yFphwN_Wip9jAfaIMfr2oME2EhUWobi3UdPa6996Qc4cL6Uuut6lnFT9mRxXUAlr39hPtkNQo1gnHjYMfvzr2EYM3AbksPOcoDWrDG=w1200|https://lh3.googleusercontent.com/pw/AP1GczO9rqGrQ66HyXjDJe_oWbfUSCLbia6z-K1PE2y0W9PMSiiWxNwyEAIG99xLZeYFKHC3XsY9CXmIdxZw7RHsi6t5t3qp0fbbIw3p1uogJjMcOJAs7Pa_=w1200|https://lh3.googleusercontent.com/pw/AP1GczP7swLrGVg-Jit8PbQkOi6xdFgsGxmDkVrWKv1cNXbQvppw2e7cHgt2GtzvX6IDl3x_eW3WduSrJH9OM-COVJJr4HQzROfqvndMhgVofOQV7sq1R_Ga=w1200|https://lh3.googleusercontent.com/pw/AP1GczMy-yTpcNA-PBpJrCMlUf2HXdQ_miKwCB7-asTPOx3wd1zFfzsEHACYoG1VYry1aiOlnXQDDh4OAKHaQXRvrRP1uTYZzhPctlnfwnFVa_FssabP9HUN=w1200|https://lh3.googleusercontent.com/pw/AP1GczPeWk5Sb7D5XcvpmgZK0d1foCxh4PXU93nrPyDABGNUzQodn67o29_dbZ2s8-Qwacqr64LUws21lsOxO7j0PzkpATBF-i-ZmOXcGWv9tmkBlUNmL-h6=w1200|https://lh3.googleusercontent.com/pw/AP1GczOIPFmm15jg87rVJE1rgPHFXENI-z25VU623WFp5Fq2nRKrndNKsIkygsgCk144uoxAtaG5B0XA8N7rn4TgpSshR2tZS0dlYpT0Yz6GBkc3D2pQdq4s=w1200</t>
  </si>
  <si>
    <t>701</t>
  </si>
  <si>
    <t>Lote campestre en conjunto Condominio Campestre Valle Grande - Sur - Palermo</t>
  </si>
  <si>
    <t>Comdominio Campestre Valle Grande</t>
  </si>
  <si>
    <t>https://photos.app.goo.gl/TGs6ftsvn2eGKbWu5</t>
  </si>
  <si>
    <t>Hermoso Condominio Campestre Valle Grande, destacando su ubicación privilegiada en la Vereda El Juncal, municipio de Palermo - Huila, a tan solo 15 minutos de Neiva, lo que permite disfrutar de la tranquilidad del campo sin alejarse de la ciudad. Asimismo, se resalta que el proyecto cuenta con la documentación al día, incluyendo la administración e impuestos completamente pagos. El anuncio concluye con una invitación a invertir y construir la casa de los sueños en un entorno exclusivo, seguro y rodeado de naturaleza.</t>
  </si>
  <si>
    <t>Condominio campestre cuenta con exclusivas zonas sociales y todas las comodidades divididas en dos sectores. La Zona social 1 ofrece una portería de lujo con vigilancia 24/7, 2 amplias zonas sociales, cancha de tenis, cancha múltiple, piscinas para adultos y niños, gimnasio totalmente dotado, salón social, senderos peatonales, 4 zonas BBQ, parque infantil y parqueaderos. Por su parte, la Zona social 2 complementa la oferta con una capilla, gimnasio biosaludable, parque infantil, senderos verdes y una fuente de agua de dos niveles.</t>
  </si>
  <si>
    <t>https://lh3.googleusercontent.com/pw/AP1GczNXlqaQeofQQgAqI0sKupCnusOB438ya1kKdVbNEaoxZLAwYJAFTsUU1-T5xqW1XNhx17I5WdOnyOo5PMRzwB9u9GqdjCYBRWZSEspo8RkREQEWDf-8=w1200|https://lh3.googleusercontent.com/pw/AP1GczPJfI4RZYa2cCubqyxWwnBe1_6ZwjcUKwid95vfvEfXcaZTdpwWk0HW76_aWpBNUea5oDoIvoDXnQLd2gd3Gw84QqM1sk8mch5744bGN5G8C2IDZCFX=w1200|https://lh3.googleusercontent.com/pw/AP1GczN2dBNU__cLZVFIKl4z381_qilZUHqIs2Q3qLWD98l49ujN5p-h1YmosSgr-HreSjpAsIdDZRgdK_0BGrdiWSAKIxX8XWVEEyP0b7LTSUSGnUYahgKk=w1200|https://lh3.googleusercontent.com/pw/AP1GczOOsOVFSzIQHlBPlgxc1oXXOxTZimyqGaIhJ7Y5LhoOlGZOebmvPobTaT7bl3Xb8SBFvJ8RJyECsYM4smui6ohtJtOaTieaE_spU0Lp1h_ETnQxTpMF=w1200|https://lh3.googleusercontent.com/pw/AP1GczP9V9UWc9kBNagtQ7NbYIB4L2J62793jjD_E7R81NJV8JAQ8CdOGhLKDgxU_AKFblaADEGkawTLqHVu5TvkVWMptyXJ3vDMZGqODwaki5vpadmbIJF9=w1200</t>
  </si>
  <si>
    <t>024</t>
  </si>
  <si>
    <t>Casa en barrio Solo Verde</t>
  </si>
  <si>
    <t xml:space="preserve"> </t>
  </si>
  <si>
    <t>https://photos.app.goo.gl/YsUdFBYKgCYNxDf79</t>
  </si>
  <si>
    <t>https://lh3.googleusercontent.com/pw/AP1GczOinotUPh19o0BRKbHvZM-c7laIV6Ylw0QcFfFWdVx3ARyjw8BSFWvtqLURi1lUXiIVWVr7AejDUu1FARwLJx3CrHJu5wDCQodEqyOKlRne-f6RfLxQ=w1200|https://lh3.googleusercontent.com/pw/AP1GczNOBfzEfczzO3gQ8OqM-ij4Zzfcnso6UEiAFtCZDj23PLkX4XW1RKMDRJSQmgMWRKWlUiwHbeRD1fJWfjKux2WSwg8x2o9XiPp0WjLuHAcSTek6XFFD=w1200|https://lh3.googleusercontent.com/pw/AP1GczP8p318B5wQVm3PQhcjkATK10le_qoq8iaf40eiZwykkRqGHJ50mD_mb2r_chEFilIYtk9xC7k5KdEvCrCo329smrA5PFOjfPIPlsYY6djUc0Mqh_08=w1200|https://lh3.googleusercontent.com/pw/AP1GczO1ePZrRUwA85I4D9i6BJFUeRnWyPVWv0orTY_pFdAioWbvWgOVPmxeKPsjCgvcBHcR_BozlYQAT0M6I9B4eCickRRpZ7hB7eCvdoy5WgpZ35yvZD49=w1200|https://lh3.googleusercontent.com/pw/AP1GczPgBl_WcBMqCfEbKo_ZK4VNGbDy2qfgUHNAkWNDx3e-WV7fEFDlMV78AHzV8nv85zJNQfVqlcgKtHOTQ305yWaeKM2_HZzeTaD5H6C2hHhFdk4p8uld=w1200|https://lh3.googleusercontent.com/pw/AP1GczNSpXltree4jm3UsgsAWGcgMxsRrflKPxwh1qUJ9_VDEI1yXN4T99s9wwVHi3x7TyKiwSy2spAPDEpdxpx6zFnLAkm-hDgVcKSTL3c3QcKwU2lUXiEb=w1200|https://lh3.googleusercontent.com/pw/AP1GczPyV3MskavhNc0u0EjKSXTcPb2hpMVu9PWgYSDCCgEsNny5zhIag0MbO7gBUbmgogcIZgU2U3Ivfea1yrvfLRMEIJtMUFGMJwL0iXGZPOcA8MEfzkwU=w1200</t>
  </si>
  <si>
    <t>652</t>
  </si>
  <si>
    <t>Casa en barrio San Jorge</t>
  </si>
  <si>
    <t>San Jorge</t>
  </si>
  <si>
    <t>https://photos.app.goo.gl/vfxi3Gq9wwtCJTBC9</t>
  </si>
  <si>
    <t>Esta atractiva casa esquinera de un piso, ubicada en el estrato 2 de la zona Sur de Neiva, cuenta con un área total de 186 m² y 106 m² construidos. Su distribución interior ofrece una sala independiente con piso cerámico terracota, un comedor amplio con pisos de cerámica clara brillante y una cocina semi-integral con barra americana. La zona privada dispone de 3 habitaciones (la principal con baño privado), un baño auxiliar, un patio y zona de lavandería, complementados en el exterior por un garaje cubierto con estructura metálica ideal para vehículos.</t>
  </si>
  <si>
    <t>Situada en el barrio San Jorge, esta propiedad es una oportunidad excepcional de inversión gracias a su ubicación esquinera estratégica y excelente visibilidad. Su diseño funcional de un solo nivel y su lote amplio con gran frente la hacen perfecta tanto para vivienda como para desarrollar proyectos rentables, ya sean locales, restaurantes o apartaestudios. Esta versatilidad en una zona de alta valorización garantiza un flujo constante de clientes y una sólida generación de ingresos pasivos inmediatos.</t>
  </si>
  <si>
    <t>Andrea Bernel</t>
  </si>
  <si>
    <t>https://lh3.googleusercontent.com/pw/AP1GczP8iu-5-D9NsdPAWJGDCt8iXSIHLaCXpaZLHt1y6wcgS4oiMs4tu62UX1vqIprZHEQbCq3UWdLThXHVWgEStvNUqRqjt0_wEcs7rui5H0Rc5_vxbuhB=w1200|https://lh3.googleusercontent.com/pw/AP1GczP-__8Bf3UaVqp2hEUg65sL1vL6ISG4KpxE3YcUdVubykHR_Lg5SqU6HXww12elfTP_4kQ77YKwhoNAVSXTGGYp8ms-q98SPsWiLjD78-Tv2vKRkz_R=w1200|https://lh3.googleusercontent.com/pw/AP1GczN_yZtYE_cIROiDKdvz8pK2uQbRw-D3sua6ciRF9UyvZRfSv_cneX3KFGa3KboiEmyuYENzJzWXbQ3ylHhP4NYRg0Z2HDyCqmsG8e0lwnSyZRuZM1rD=w1200|https://lh3.googleusercontent.com/pw/AP1GczMa2C48fGT6m-JwtTpYS-sDPLlCTAaLrgmt3VbLM5H8xX8tnl14xuW1BUTTOWoe9PfINirj8HuXK4LKuCGk4vcGvC0LqTanTSBhp2gGGMSd62S7ZgRw=w1200|https://lh3.googleusercontent.com/pw/AP1GczPf_G2_CuWQCIKNUnLxvDPS-mIU0XR0ht0bWFaTtyqG11ywdsgcMYNf3j4rSzu_cQ3XJEEGOsC1MLPjIcCXTUG4TI9iGv3SXglct4fXZXeERf_q6NQv=w1200|https://lh3.googleusercontent.com/pw/AP1GczN0NPJzFIThrDqSp07eOmpFic940AHMb_x5Sp0Q-ZLF-IF1ras6pwtJ3DB2Izh7du5pUvfT5WgRLIPdQqKHzP5wJ3_21wjQ7r6n_hs5lc5qXHUzMdG-=w1200|https://lh3.googleusercontent.com/pw/AP1GczMH2BIXXMDDryS1Rys05E2VgKae1z5EBV-VKbyYkoJFbLPEhJgMrm8iE7vPPh8ut2lDPhx-3_tHlP37pL1YkiAMhshVP2SCANUIHsGV2sGhDFc0Myv-=w1200</t>
  </si>
  <si>
    <t>3084</t>
  </si>
  <si>
    <t>Casa en barrio Campo Nuñez</t>
  </si>
  <si>
    <t>Campo Nuñez</t>
  </si>
  <si>
    <t>https://photos.app.goo.gl/zwhNZsro4YC2YDY28</t>
  </si>
  <si>
    <t>B-Inventario Campo Nuñez</t>
  </si>
  <si>
    <t>CARRERA 7A NO. 16-30</t>
  </si>
  <si>
    <t>https://lh3.googleusercontent.com/pw/AP1GczM_q4YkeTMYSuUBWqqYdzZYkAC3FlC98d-y3b-Dx0lH7xec5m3GKCiMT3HyIGewfaeqjPMlkcPCbqyf9DOisePdzXfQ0uGd63iytM9TyJhAC4OhHWsI=w1200|https://lh3.googleusercontent.com/pw/AP1GczObcfnIuRHJEzsPXoEx4-mxe1p0-lcx2AALgAFjDcsd1siefk9XT0EJ_WGP2t-ZwTXBN1E0rdsKqe3UK_7UOLqNLNNyeyCozcj1rChnQVOPNfPPvmZc=w1200|https://lh3.googleusercontent.com/pw/AP1GczNwECtrsa10y7rYCW7TPXNTwuig3Hu2iT9oQd34hd7PLreqOwQXOjz5HmVU2rr8h1XJfzONC8G_UPS4rALEMJOVKh3J-CBjj57LqRpOB95lNZTUQS87=w1200|https://lh3.googleusercontent.com/pw/AP1GczNKlgzMJuRgq68zknZTaklmxyVzawGcGGo8LqkqkncShaAPtO5MqLAyLJkrEqRSDnZ3Yt_c3z7NT5PIc1jMtb_T0lyKnrHW_ECk_cltmYbUZpVtWHow=w1200|https://lh3.googleusercontent.com/pw/AP1GczMdrPdD7s1bwof_7j0nRdJPKOEO_9KsDtHFMytNWX1eUYm_20huVfmW2l5CnWQVjYJoyvQPSBN7ldIXkcuUOdiI64rj1WjhHJyIWR7JmtY8C_UCDSCQ=w1200|https://lh3.googleusercontent.com/pw/AP1GczOdAw75Pq4jnUqYpjqGoCI6Cram8907QZSDG175wPpYKIpYV-AvPYhmhMPpHs9ydM7DirObUReMJcXHb82kHOjGhKaZn5mvaKz5OTB-Vq9F9XKL11oy=w1200|https://lh3.googleusercontent.com/pw/AP1GczN-cAD5LXmcicIOsdS1CPjvkCu1BopVQDyva-DehdTRxLyVNlGzrMOooj1wed2kwGxsm06zDPrNmqB9hTnqGzITQOArzi7whyJYF1matwc9zRf-9dH_=w1200|https://lh3.googleusercontent.com/pw/AP1GczNM_VjlEnV_fZCEWBs5qKgQqyzl54gqE5y8cbIYJkPYGqC05ul8D4YKwwOOxAtCzXTHgPRJy0Ie5tYMWJpjHrSBJAg2PfRF5oHhfi2AeXXbixY4zSE7=w1200|https://lh3.googleusercontent.com/pw/AP1GczOozep_ElfpR77cAt2x2VNC6V0pIvCEaN0NRf18Q6NgXEfrUaGNFdVNefXu0GD7fA1lkuLK9o03-saz8IZeYe0PpL3niUR27EzF5jRx5KPq_8TevjHx=w1200|https://lh3.googleusercontent.com/pw/AP1GczM9ZLiKiO4fHLZgea-iXR_KLPYulpe82VX6ZUZiHXiVLVvkp2BUb7jdbDAZYwz5zXS2ETgA-CmaVahxAd3HPcZe0By9lCLvippFZPs7VtQEUOVcRknO=w1200|https://lh3.googleusercontent.com/pw/AP1GczMu9dpvklZNNCDR3D0VItJFrW79NYF5upGnvOHJ5tkXRWmkGF9uwWFIV3lp9xKl6VSe7sR7Fpp21-pIYcoyyGYmQgtKF7N6vb3YXOJ4mdfvSO18CghG=w1200|https://lh3.googleusercontent.com/pw/AP1GczPgb1Tbbxnqbi9-MiryvQ_45vxSnucSLN-EZpx1IzJsHjALiOlsTahw5w8oCshTCFLxK7Oar5k7mZaYVvXRmfQlZN2Horrs39uSMV3MLA--C101qHvC=w1200|https://lh3.googleusercontent.com/pw/AP1GczM9HE6nqOX2z3taUL-lXsItMNPj1PUR6EbIHrPNK1RKxArKCi_yaX0zwpka7BWP3cJNGbk6wcBAB20Wwa5ynfuHs96j_vG9hLLQvo1r3_SOSKiZliML=w1200|https://lh3.googleusercontent.com/pw/AP1GczOofwiF-WFaC_9dWjhQtiUAKY_s8Uj1kuE9R5hqWc5l6aU2sEqDhOvL9vEhMWJfQgCUGzPEXVMFzcxFUjehtK7qeYemr5ECjIIDg7lSTb0tvfpT77vd=w1200|https://lh3.googleusercontent.com/pw/AP1GczMxybDpjdsGE9lTGj1SC6_HBx8wASok0kRN2Mh8KT3CujwqTQsgUAXgv8S-XBHjwr2LYLWK2zvK-bD0ugxNxr8KQLD0YDqJdprZuXafGFuX_szQz4b9=w1200|https://lh3.googleusercontent.com/pw/AP1GczM4fNGtZ5skDT6kCIkR0ETNb7LG75DoAFlHP3Ki5CB7iaSGyw5nN5LhaL2wXBnZ8VpGh9KHDXxUfPFR0oDdNDkVcyClcJ0ANPYECcD-_srowcDS-x80=w1200|https://lh3.googleusercontent.com/pw/AP1GczOeyzjIvWQl4Kh9tRuABHpSryYyQGLgL4Rkc5MRZ0VuhacnqqQ0gqF_6z6iOJvZyQwdEPmJ7kUy-_6UgjKAsBn1HKCD6mRh449Wd2T5zWHq08So3y9l=w1200|https://lh3.googleusercontent.com/pw/AP1GczPdT3tAmx7u0kTbY3JSvEzr4iLC2p9pky68ZTg1s4wwE9A03Koi7VLAiGmkTZVfYEXN_M6uVMxOpBikinflS9WFGaewR_josBtOyRnpY_9NMv5lmAx8=w1200|https://lh3.googleusercontent.com/pw/AP1GczMINMau5TM_f0_KXnV_4TWUU2lpYvgTczVrcTt5AYx-BJ-qJi_CPiI2kwVUdcXxMeB0mCsT3K20ufY5TA4uFVj-yUruLvL9M24Gv4MgKkaO_0pUfxRP=w1200|https://lh3.googleusercontent.com/pw/AP1GczMu2kUh8u1pjOGGa1sCN7UM-GERUZxc9XAqpSSl09A4jMk5R7BoHWOF_VRYyNrJkrQzfSUk--fRwH1R3YkXxqrd7n4WiIKHeK0riX9CTB6Zg4lSSQf4=w1200|https://lh3.googleusercontent.com/pw/AP1GczOca9e-Z7erZR73ga76_rnzoHcFYlPXhbnNtzDWud0oPMdJEQoxj-KZ1o7LlaFHJtX4jQL1H4FTwy3GQ_ChvdsARR-cpDTPLxbRmvgzO0ck-r1oJb77=w1200|https://lh3.googleusercontent.com/pw/AP1GczOoqcTA7Elg-8HYseVZ5V2z8FMJ4jv4UhV9Kh7Ci_8fQNlDCnD3DpKVF2nmexRq1lqCaSrJkJxNgSfVKzf1Bucpve-cWbDySSUhYCVSgXgcRi2gk4ou=w1200|https://lh3.googleusercontent.com/pw/AP1GczOZyikEqhxenI-O0LmST7RMv_Wzw4g41Vf5Xpktl2zuGpyD_YpZGKfTqn3C63J1zL9oehpYgCQmc_Ry_iEhY1TYqofw6tha2EjndNFtaNSyJM4wjYWp=w1200|https://lh3.googleusercontent.com/pw/AP1GczO36Zy1EHB-O1SvGcI50nz6BYJ70mVZ00hDk2Qm1dosPu4cOdzucLOPq1vtwwgBUcwKLDSb4OBAz-3xsYfZx1wllPxof0lehos40gM-ehM3SdfaVzeT=w1200|https://lh3.googleusercontent.com/pw/AP1GczNtKyAm_fQx_WJhVw-kMk1_q5912KxhSiW6pQfmyWh7HInIURo0aWuFhabc8cMEVoCuORI3gaaL9aPAT6zWcNCsTeKoLq0TNIyeAJHd__Q0yDSG7Kg3=w1200</t>
  </si>
  <si>
    <t>2025</t>
  </si>
  <si>
    <t>Casa en barrio Los Cámbulos II</t>
  </si>
  <si>
    <t>https://photos.app.goo.gl/5fGWK8Q6FdVAQXw98</t>
  </si>
  <si>
    <t>B-Inventario Los Cambulos II</t>
  </si>
  <si>
    <t>Carrera 12 # 33-24</t>
  </si>
  <si>
    <t>8 - ERNESTO POLANCO, 9 - ALBEIRO TOVAR</t>
  </si>
  <si>
    <t>https://lh3.googleusercontent.com/pw/AP1GczNiJ2WTMAT7mE7Vvqt81Bwzfk6FVv9tlijaYncZFHZYNHmwlHmb5HXAzBgCtiBLWoRNqJLrfBEAGtGC5CpQFJTxOfggFexN_mCIasqxrTumVvFn6gPO=w1200|https://lh3.googleusercontent.com/pw/AP1GczMoTaZSPGlIilMcMBR67uSopPBxjCVXWyrNfJ2--8roH3txtTJZQLSBIPlidqR7L4cDRF69OI89VoToWoXpVvffIk-DhecGj-mZixgy0Qwb4S3dhh1D=w1200|https://lh3.googleusercontent.com/pw/AP1GczP7pR3aj8il8QzAyxGiKlwebH9w-cayYMlvB3CKBP3vJnrQy_CgbNdidTV0LYzhjVREtP8irAiGobXSUclt164Z_0kKlNRl1p7TlMnq034jTpBKAnap=w1200|https://lh3.googleusercontent.com/pw/AP1GczOqBG6RMa4UmToalEBdiGVEyxiwpHAuyHtdwLgrEGvB5E6BL7I0IqP18Fp87H4qYLGZxmOo0_o0Nk5IwL7hp_saiI5U18J40W6rjHwL2AesEyvZK7Pf=w1200|https://lh3.googleusercontent.com/pw/AP1GczOYDpophPphjZ_XOQhxrYdkgb1ULcEIo2OaCHdNR2ja_w3FXvygiKZTc-s107TLIl-FK7lcRSZGcxyQMKomdtXnd1iRl7vzAXE2p1cQq5GdcKNxtVOm=w1200|https://lh3.googleusercontent.com/pw/AP1GczN5Ax_pur40sKfULmPIO7IotMe4ysxNGMl942q6T8L55tiKlvjj3z94nQ2EPqZ0nyUnWZzJ_fZq36Z7Rve1TNFlwJ0ynwKaeoYJMKNv7SDSGvk1R1Wq=w1200|https://lh3.googleusercontent.com/pw/AP1GczP6kkquiOYs0oBn1zyKCk2AZ6IozTPgv-ZtNd1gPGExaIYdTa3jo0bc9kbivnRVMow7dL_ihev3bKLPJp4tTj7ZEDSnT-XcRmMN6MyOEgkzoZ5wKL7E=w1200|https://lh3.googleusercontent.com/pw/AP1GczNynOzf5U7dTYuEug5wKhTQ08OEBkiRlSnf4SJVZ5dBY5FJ6xeUoo_Ncnz1l8uoaGBD5tkmvgxV_PC737V-h17Fv5Q8Y9XwkL_cTF1nKTIHsnddv5x9=w1200|https://lh3.googleusercontent.com/pw/AP1GczMLtgappbFoKeYzn32a4bXk3Q-EzbxqCWEkY1XLAuqjb-u6VfVHNQwuME3L46WAsqf0zHOEhalZjDAE5FcJomOmxJMOH3lFwgA1L6E2U99dfbHOtcSm=w1200|https://lh3.googleusercontent.com/pw/AP1GczOxVjiI4IvHA4wmH4gcvCwiD5lEoueyDdP7soOxQnkaA02sBO99ADzKeqYdmC8kuIpElz_sfyBP2GTdtj9Wm_reHcfaDi7UXFg3vR_M8CisAdELXZbE=w1200|https://lh3.googleusercontent.com/pw/AP1GczMAhyIiYQFKsssrY5sCRY9yGsiNR5zLP6G2VV2uveNq4LgVpZgUKmXkkEauKlyj2xkRvRQp3FYGdTVdontozmAR0T_ciaM4HgIaB8wSyEsRG7A7O_G1=w1200|https://lh3.googleusercontent.com/pw/AP1GczP5ki9OojRO8-ZCn-HvC-AAM513WY_A9l8U9rT8eJM0jLDVxTuNJbuw8zSTeVOvTA5sGdA2O34nSrPWk_5rjz5f-WBjDEyMsRb6bh2CLFYdNqdB4V-5=w1200|https://lh3.googleusercontent.com/pw/AP1GczOImcZyGYskcTR-9D3SdTr1vmFfm0DlzRZUakOKhcb8fph7N0u4j-X_HvEm0Cdwn-G0DENWLFAAEal8yPXyFJGmwmgRkP-xfV9b_-4EISuSXxXGchTV=w1200|https://lh3.googleusercontent.com/pw/AP1GczMWQJonWZufNMfmyRCFTMG9zKakEwaJe31q1jCqgj7Kbi-k4qERsgdl7FYEukrqJe9HKyBbnN5JT4azbr-xnIoWo4tWD4m9Lwlk8HZG_XcZRzZOzEn_=w1200|https://lh3.googleusercontent.com/pw/AP1GczMxEUS1DQcCvPN4UOpcOv3PGoJmq8X5dGCd1gm07Pv7XpGYfqiOSdGG2mKWt4OWooa5yorM0v4C727CizzcTv7nELMampFm-uv7IJsTp5OpKxCNtUy9=w1200</t>
  </si>
  <si>
    <t>3118</t>
  </si>
  <si>
    <t>Casa en barrio Quirinal</t>
  </si>
  <si>
    <t>https://photos.app.goo.gl/JsmPogvXQAzJjipm7</t>
  </si>
  <si>
    <t>B-Inventario Quirinal</t>
  </si>
  <si>
    <t>Calle 17 A No. 7-73</t>
  </si>
  <si>
    <t>2 - JAIRO DIAZ, 39 - JHONATHA, 39 - JHONATHAN</t>
  </si>
  <si>
    <t>https://lh3.googleusercontent.com/pw/AP1GczNg2rwgsskmo-_A3mKJ-dyYpYRdYtkQTk_wN_XnpGymgQBxUvht_vICWWXt5UdWMjuQf089l5hSPaLJw0x0PLnhTLcugkJJUgjCvm6zL-pt7Ex8VE2z=w1200|https://lh3.googleusercontent.com/pw/AP1GczOzH2Pj3Qg3vdO1_DqlyU6j1VC7Z8J4heGwAq5ohoRcXo8eCSQTguDEAL6tq9VT2Kzpdt5WTXqKiZXluRo1GCnDxhslObSfp17ab9b80MynXhPu9FGS=w1200|https://lh3.googleusercontent.com/pw/AP1GczM0reGmmBkst7N_xJ6UETL55bBv5GtzYYrqWQ8OzB48W2vwY7UQHJbSDo9K-c3NOQypz962fqvljXmChjvafe1sK8fHtIHgke5Z5dYn7kwgKe_nIhY2=w1200|https://lh3.googleusercontent.com/pw/AP1GczMq93394K4U1GY9tfsZiz01XOoVyDCQunpS2IZu1tr2M_pEZLNUJL_vcBIuRqyXwBfl7etkAv5tJOoQkngw6JjDm46dzh6kuHvvJmkQwgSdnyg2ouwD=w1200|https://lh3.googleusercontent.com/pw/AP1GczM-tCnQduwmrt9kPzVxV8UnBeNOd-XLv_4pXGe2HXihFVwZaYm0HxPXaHEmXgW885ZI7_JIDZgMbFjg6_SYBKgcSXfFKOO_gELQx_nWmlRp1Lf4nDvY=w1200|https://lh3.googleusercontent.com/pw/AP1GczPIuI7Vg7XAU6QAP_obauw49fTpvXND8CuOW9x12PYKkWd2ubiV0M0TiYJhzGn0lCt38dXziLC2f3TJoOxh-4f_oGlUKKMLI6lEd7VyQ-2Eni9we0bw=w1200|https://lh3.googleusercontent.com/pw/AP1GczOAmjmjTHnEt12WNlc0w5BT1YvvpVW4QEfmxNMR8slJN2_D529fJFlxRelfKp4F0fY1jpLx50va0x-Sr32YWizLkaHDROF2A3HtvtTPKMi5d8pG8AXA=w1200|https://lh3.googleusercontent.com/pw/AP1GczOZhd_dKfATMRSVw9mLTSf2MNcZzGkiP3gWtJoi8cWyDuZGs6GDUUA66FvmJ49DInR2DdSFfpITvR_By0w1R0ESzkfqAGPgmIy6RntcY8ZI-i0sDCMv=w1200|https://lh3.googleusercontent.com/pw/AP1GczNmlOHjHOOz_8v1eLcUkxJuAVX3iCWw__VfQE8kbzH7UVUm4KEj66cPSb3RDuwe9Xho8EVkyy51DjcZmz7AFcEBsrckJS3unQ9g1sh8Nrp1pvCoUckS=w1200|https://lh3.googleusercontent.com/pw/AP1GczO5gbayHS-EBfX0mE1adstUpQ_ZIROAG6dlPuGoafBSwzpV9L2JwyH6NjHvIivYgKvqnGpVie9b8zth_5PVzHNdtN3CcYX8XkKqCLImbplETybZGjH4=w1200|https://lh3.googleusercontent.com/pw/AP1GczNLrUp3o3JgaWjBtOWz7_eHixafJuv0xDgp5YYDl28_fil2piaUnjEbJuRMylo83PEQl4CbISGlR6liWGMlNp8oyVVm41-LABgCIAEpuqGYboqPxIOM=w1200|https://lh3.googleusercontent.com/pw/AP1GczNpemxJ7zfjZ4pgnwcfK7ZMHyiS8meImxAS_BWPLziHSKytwflVsx9RqDNmezJygSe_wdne82pLDMy_EPFKP6a_Kph9ty7WAvIGo1kFxpIY6y_XT2QY=w1200|https://lh3.googleusercontent.com/pw/AP1GczNAmJ35ntXvSBHuCyAYvc_8U7qZDxzpE4UcLlEyLdhOkm7-xo_1jTmmR6bFT595yHqtD2fvIu4X2tnaA-C9e1mEJstr4gZ485EXcRo6KsCm9yE-giiC=w1200|https://lh3.googleusercontent.com/pw/AP1GczMhco40CNWULWuDdBoNOJgoziHx0H3rmUDAx1fh0f7CjvTLCt-RiA4UFkcjvoFMDlXCZYB2UPWJ6Y93oAmEKbS0lwY4HfrfH6lb_BpbaVlcAaTRMrmy=w1200|https://lh3.googleusercontent.com/pw/AP1GczNhiDKbPW9zrX1-A2OFKsTq6NhgrPZIDC5qHcysEh90srBZ-hiaHfN2PWAEACcZvlDqXBrELC4pl_9UJ04bzcXlOqHzfLO10R1H5tu4qSfiJSlcyTU8=w1200|https://lh3.googleusercontent.com/pw/AP1GczPH1PC7MoAB9ZlO2YZ5QlrKv8GheVVa1UX_Dr8Dkb0TEczdbMA0fIImqc0TS3hloDRjJWG0mYuTKGy7-i6B2_lT6ag3-cMLc6odgFRGNamTICegg_-Y=w1200|https://lh3.googleusercontent.com/pw/AP1GczPp-h9J0CIzgLW7_6Hlao-NIwJBol5_YGJRQqbZRn3TUxgW5t-nJByW3dnaIJEyGOMOguGsTOGRzFFtk50nBUxjwx0J4ypSMJCsqwG9rNjzRXM0m2Bx=w1200|https://lh3.googleusercontent.com/pw/AP1GczMXiMMdrkJ1QmsHO_pfZxQkqMgn7KKIffOB6MhyR79KPG4hpEIj77jx3gEqs-Qpi06lCp3GXqFdzThJrSRrSZ4Flvt6YS8Tp87ClXNV0_ctym68OzzV=w1200|https://lh3.googleusercontent.com/pw/AP1GczPx1RrMeOhIr10rahDjBDrF8G5wnRmmDLSW-BqOcyVzQZZcNiVo8McZ_vE6dgCOTiXbdWHAACO9QsvMCn_8mm5TWXQzFwMOYbHqThCAWrAzLUTCLFWc=w1200|https://lh3.googleusercontent.com/pw/AP1GczOGrMzCO3VX-5JY_voaWemeaIk1rNsqOD3iCaf82W8ypS4eZdOhWPkQtDoC3jhHgJhXd_2n64UJvSXXttFDx9zIqkp7XTve9fdK0muB0yOpuHOO-6z1=w1200|https://lh3.googleusercontent.com/pw/AP1GczOGJ4n9H0Kwu7kBXj3F20-Mzlh3Qmh1YNEMWUjEzLzZygE5n9mVFVughUEOlaiv2yTHAvvlfPN4M4bX9KQkSexvla7BazpE8uxboE-XCPiYYx9liNT4=w1200</t>
  </si>
  <si>
    <t>2843</t>
  </si>
  <si>
    <t>Casa en barrio Sevilla</t>
  </si>
  <si>
    <t>https://photos.app.goo.gl/MFdMkcBc3i82eZUV7</t>
  </si>
  <si>
    <t>B-Inventario Sevilla</t>
  </si>
  <si>
    <t>CARRERA 5 B NO. 21-31</t>
  </si>
  <si>
    <t>❌ Error: HTTP 404 para: https://photos.google.com/share/AF1QipPawSbNB9VDr7unrUk6mOMjTi-KhXmb-saTz_Kx8D0ns6KyZTpWeJutjM2WgS8-jQ?key=eWljS09zUVFacFoyRk1fYndRbDlPNHkyUDBWcjZB</t>
  </si>
  <si>
    <t>3409</t>
  </si>
  <si>
    <t>https://photos.app.goo.gl/GhkCaFHqVtsvqh766</t>
  </si>
  <si>
    <t>CARRERA 5 A BIS NO. 21 A - 37</t>
  </si>
  <si>
    <t>https://lh3.googleusercontent.com/pw/AP1GczMzEDjCEw8SMQVCdxTzafrdBNIcYAYbW2lGTsEvzw5_-toafpnNSrbQushkcQcLwIgar8IOscTdsT2G3wn4gVj3V8GTLBPQ1PlXhTpqdpRYFD1-pjXY=w1200|https://lh3.googleusercontent.com/pw/AP1GczOvMDh2gK0fgoRNYCz7Bk_CnmU2uzYBBXlZ9StIFtBbsaO0BGYmjqo0kHIZouk1YvOYVHXmVYkxPLwu3WyLeGK5HmrKUiSHbEoC-s1kGebqdsQh8OhL=w1200|https://lh3.googleusercontent.com/pw/AP1GczPdU1XSk6f7ykDqHVbtndsgky9cGG5k0Olqucb-rPtQloArXociKLFVi7pKPlcfUcSkmN5SlXswMp_N9ImkfUraUxYoHO-HqJkawZheeJFX8duDwk0y=w1200|https://lh3.googleusercontent.com/pw/AP1GczMuYW-Eh7AgDKdkzx7RjZPzCXE9Gb9f7T2DseQ5YOi3fzJHYg7j-1WoErPxyOJ-fQZfw8YHtJo97hcPUxG2tZUxztYzcnNe6tifGTWUyQWSUquntQ9R=w1200|https://lh3.googleusercontent.com/pw/AP1GczO5SJBJPD_JeQrpNmOYa4XaykqTfcBjMW8nZvBlHvh8pvbF53XZjTSTVRqUwBSfBGvR4EhhazQvk20pTusv67Tquk3BpDO9oxBE8hmqDNfj4xkKBQUm=w1200|https://lh3.googleusercontent.com/pw/AP1GczP8hg9hz1B9APKZtAjwmMom0wULQkqf3pidsUnJjRDoJJ4iepq0noAhI2OlVKMIXf6FDl5Pjj6J_xYqgd6i2PwtEjw3ETAdm78xr3qMAHp8mh3kp3WF=w1200|https://lh3.googleusercontent.com/pw/AP1GczO5utEMDDyXA9_nHtl9BIgVINrfmpI85i2QmqGq1M5ZGptDCTBEX9Xk6XhbtiKFTeWHuMEZXQJ3CFO05yCEG_lekv0Q9PuBtuiA8tUSQNP53vs4R0eQ=w1200|https://lh3.googleusercontent.com/pw/AP1GczMwzHNOlX067I9zX5WZPjxBcPlfjIiZSSmebd5zqCk63PVnR6KBS4aW8cwmww-L9HOAesG0VfNAXly-gSCYdL4G0N0QvqLyrD6V7PMGtrjm9eD0kfr8=w1200|https://lh3.googleusercontent.com/pw/AP1GczMWa1dmVg9BSuheqnllvaPrQ31DC_JyqgAF56UTEkXdbx1TAwQDMEnHoaiFH1WOZS4fIL5VBzk1rwvCFazeWF1U5CSi_ixTNXtuMhckN9_9bnTLykP0=w1200|https://lh3.googleusercontent.com/pw/AP1GczOa5qIAgzZICau4PMGXquDYTMYlOyzmBqTashklgRDgJjaIuCsgC0Kg57TRXY5tgD6lp-9OYo536t_zPXA3FkDgVM2wDHVv7H0SJB5xS7lOBBtZ3tU4=w1200|https://lh3.googleusercontent.com/pw/AP1GczNw3xRR-zJsJb71vY9PYz2M0JgiorlRKjfo83VjeJ9nrwClg76NjiyygiPMolPGvGwl9kV1G6w4URXR-jP_1hy0ql6d93FcokO7O1o4ks4_jwRFeNN4=w1200|https://lh3.googleusercontent.com/pw/AP1GczMUzKUZd2LC-ZMXNmD3wWYWVYdoIVgU7yeLjAL3sXMPUp3ADzLk-Ga75ZE_unpFIONvem7gHp2bzt-BiD4kfzciLvT45K_-OphSyI1RTSFBe972zSiz=w1200|https://lh3.googleusercontent.com/pw/AP1GczOgsYC1x150MdPbL-9NAjHI58d1g9HmDg3PZd68HzcmGGQhdbeFZA6nzKmVDFaxsZ2O143fgJKjob25f47ppQbVw_En1e3dUemh-NnIBzZOdgVuP8hd=w1200|https://lh3.googleusercontent.com/pw/AP1GczPVjyO8ScIeqa4zs51VuFPPVTXxdMSvEzVwQHnsFekqLhwEP560BOV8BB2tosFeUVn42Au1ZIq1w1-U-V9VoIpwgWr93iXgSL5zFOEByhyFwWknqBDm=w1200|https://lh3.googleusercontent.com/pw/AP1GczP5TH5BnAytftEvPtBVSny0kuJMuTuv-gG8_FniQyopXOmR9sONGAZMvTaW-XaK-9lFiGP4hdfyF2SBnegAxSsgtpiEzlXjYzDyDWZQnOkBPr546JAX=w1200|https://lh3.googleusercontent.com/pw/AP1GczNF3ixtO3TFG_UykEru8Azin6lXVKaoLjMV3IC5-AO3xdpFQKJPLL3f0bXL6aFQQmWF6Ug84SJo6jd33VoPVgZq1B_war_m1i6s35OG9d9V9M5DGz-I=w1200|https://lh3.googleusercontent.com/pw/AP1GczNDem5zKzf8FV-oNlmGmL6WRZXu_uM71aWlPTY8jlx3zXfqq88Z2nwip_cQW6C4QoQeeKY6kspPFDhShsyM8ZJ0bvfgX1HbPcq8zlEPeu16mbL62Nea=w1200|https://lh3.googleusercontent.com/pw/AP1GczNPr9drSiKdvzRBCbAgK2kX_lMSM30goRA1NJeDLKae8qBEa3qRkjSxT0L8pS7eQYCyM0ywa3YBy6ewcxYicYBSZasw7Zd8wR1QNflMOrH6ypmJ3rbx=w1200|https://lh3.googleusercontent.com/pw/AP1GczPnBriqpqiFY4PKfxgIL95euomZYxsr12KyFs4KU4SLfQ9yaNMwM3bzgxEnyGLnV5f_A_K0BAxWywTjRsJ-KSbO3ET8tQLjxuW2f72eiw9FjpESWd75=w1200|https://lh3.googleusercontent.com/pw/AP1GczN5r6u5anUn2RRZowG-girQSEevAYQfZV4X1HoyomM3KHrRy1fCAWmxpzYZACZsWTAS78pASSw-FkYpxiCuYl2YjNlgj849jiSh367ke_7BhQKEi9d7=w1200|https://lh3.googleusercontent.com/pw/AP1GczNkeDxQm7F-Zf4BEFxIdIY-I4EaxjBP7pNUBrnm28CK9feVVE_xrjlXMYqjsUjT7Sj6DB2tViOhf0FdVQxZctxjWFrjBeEng1CDk-j36YhaWB6RMOlC=w1200|https://lh3.googleusercontent.com/pw/AP1GczPcGl4xinsdQd1ITp7LdUuz-DS9UsB5o6DbYe_eQhBdMF4bI0jDlZsVPGpzFeOvtWX8AnZWS3qZCj3PBCBG9QJhwE5EwFt7MlbESiTrklf3t6dRydrx=w1200|https://lh3.googleusercontent.com/pw/AP1GczNgldRkzt4InnqZxNfGJPrq--R6h932k4Z5UMQ-NY1hbuFr4TnOoqz_5Q5oET5jpqAwMWxQOsZ2Va8YJjI8W18nbzHkiPrlOqnw1ZS_LnxuyUqIA4aG=w1200|https://lh3.googleusercontent.com/pw/AP1GczNrAk7NETXn-_ivwajpoRw24YJU9L49wTWm7R0junjQu1aKVQA49dB1VFTTTCTCvN-V6Ug0EySojhVUJcNMEU_nEhxEBKGuQb8OPrMPPngCj8XwZW3o=w1200|https://lh3.googleusercontent.com/pw/AP1GczO7jjNlISrYkuw59DMMg2cX9JvfcUQdOMeefQs_olQsymLKVQ3UfoNjOZxTdV5LEi3g_G4la9JHYNCnbEAMF8hF1CIxeQBjcqE-8Lg_gWUGpqrqj9fx=w1200|https://lh3.googleusercontent.com/pw/AP1GczM25UNyYzCHPXnB5nv4pTPPB2EgplBKucxeV4bshcsxxb_6-4ojj-SSq7FBLKzZNgOxWSl0uF__zbrB6LYeZTa5hCh6djy694awkN6hOplewEfL6sUz=w1200|https://lh3.googleusercontent.com/pw/AP1GczO4IijvDyY7vItRArSPzXqycKENCcuf3PYJfvGcoDRPW9w-al_9PzMmO7Wf91fUTqIq2-NbShnigGypOtyyZjERi_WUiTib1AOF_KNDm02k2546dA5s=w1200|https://lh3.googleusercontent.com/pw/AP1GczMhOFVEmNcis0AdyDUSQljS37trUzp_iMqQ0bH8_eOcrQmdjYWFddk6yrIC2lvzwDJq1-ARWfh3aCRJAb0S7-My_dwju8HctstMeVCvctfuy44thhXi=w1200|https://lh3.googleusercontent.com/pw/AP1GczM8bNkmiT_roXSQXU7LKj82cpyILgt6ciY5hdnBIk6wGBo7j_SPBvEKZHqrNrasrQbQ8Qece458bJczWYhjCeKBvhBKvf-evGuSdpLc35Yh1Kjgr3LV=w1200|https://lh3.googleusercontent.com/pw/AP1GczPOml5G9dHoJzLlaXCbVyzQWUIZYaF9yOmasvIk3gJnTVQkT2IRGuBaiB1z4u26wfekdGoWh7ugIdFtyppzH2bixr_fJTZDoP2jMSAHH1KzTD6EbXhO=w1200|https://lh3.googleusercontent.com/pw/AP1GczPW05CT4PQxt_H1XTC2MQrv6KwFMaipJI3W-5V6dHxkSDdh6C0fYDrPv2bL2u46-pyxDj7Sk7WRJGi9hae8Fm8SgWruU7WrHYDT2dlC0VGGJnASXDi6=w1200|https://lh3.googleusercontent.com/pw/AP1GczNK4sQwfeCR4JeozS3nnnPpAqWAZLwBF97fmRZJVxIJjoWK6ybJDUCqVtjtgPuJ112c5t3wmdhCtPECxF4lz0gAaevlLFAi34Z2glxq0CNeaIO8pckg=w1200</t>
  </si>
  <si>
    <t>1823</t>
  </si>
  <si>
    <t>https://photos.app.goo.gl/QreDSVBcWGaTgydG6</t>
  </si>
  <si>
    <t>CALLE 23 NO. 5-55</t>
  </si>
  <si>
    <t>26 - NINI CASTAÑO, SR. ACOSTA, 43 - SR. ACOSTA</t>
  </si>
  <si>
    <t>https://lh3.googleusercontent.com/pw/AP1GczNF5B1o7mG5pLj_U6832cyl4DHmAUiTG2qT2j9T2GNMVFmFEigioZ9tF0dK583VkMc4wJdLSJeUFiEMGbk0gZJa557VMXV6Q5szhc2sh1PJyydqWYF8=w1200|https://lh3.googleusercontent.com/pw/AP1GczP6qLTQRwIsJ-mn-9rXtcRzHIpYNVmcEmE5uToS-tSXmY7lHN2LRTekqcBkS9xmdHp_YK4jlkgC-OUV2HC0CGQMO6o1OpRIeFg76JeWVdoGqznNlLrb=w1200|https://lh3.googleusercontent.com/pw/AP1GczNfDSL2jtfI9kFq9dlL7-z5jDXADOzODe4wcDfvmJ79iyG6nmzQhAwOnp98EhukHJ-WYBJw4cJj8EiC4pS5_KcbYs6HySza3GQB0Mnyse--aiZcHRN3=w1200|https://lh3.googleusercontent.com/pw/AP1GczOsvpwC8-agjpBQPbLQ6YmTZ_99Tn4_vMYbi1hmv2Ht97-ib6aufhQSQ1dHB3zUJfFCgIARMLHymv18gZtYVrvDuTc-TTZJj3XoeeXUdjUcjgiLXRFx=w1200|https://lh3.googleusercontent.com/pw/AP1GczPyOTBqsYtd4P300B0J6Zrf_nh-RmG2tey9-SRrcmgCnrLebf4N-NQi3c00VXJPTG-J6fQ8GmTbvlolnb-U4wRyjLdfKmFr5o4ruXCGoZK3WvV1z_46=w1200|https://lh3.googleusercontent.com/pw/AP1GczNT9lQPQtNG17-aVjaMtc9sUOglgAQtPx17c_X2q9SWAyp7CUVP9e8cseEbBvokjqfGcmRLwagvUgqrqVGrpLYPHlFj319taUoom9fTI8KRNeb3GzGn=w1200|https://lh3.googleusercontent.com/pw/AP1GczPAJ2rI3PYneVL5XoUyPi-jGfVVYGZNr4__ad2taJ8mU_NmiDDNlgkLzM6FjSsxyeZpkc2kCDTAam8M3FD_HVEyVT8AUBWJLQhFtr1kat_8fQVUYCpl=w1200|https://lh3.googleusercontent.com/pw/AP1GczOpZJLCkrIXYXV1eMzLRcvodRFfgYXxmhkN0dWXvla29k94fc2heSHGln65QQWhP-KMydnyBCAEMgbXy6h-WTBDtNs8h-WVCcWXDiC0JU8rES5lI2Q9=w1200|https://lh3.googleusercontent.com/pw/AP1GczMlUNnSNm-0c_8IKAzOSxVUc9S3ZDYSagFJW9sBKgjvXowdMiw-sjNU44hkpUw24Tg2sN-dyHH0AT948YshrFIHjfpRqoVwDvfUbyH-0txyPwiSRyW5=w1200|https://lh3.googleusercontent.com/pw/AP1GczOp0HcmokKneZc-n9ISfYHH7qY7Ciw2kuEh6_-Y572IE4Z31ZiY6o3Duhr4G5i-o2DTx3r-2d9X5FliPftBTdS4LQQefPeyvXl_GOrztvxBvoYOxSal=w1200|https://lh3.googleusercontent.com/pw/AP1GczPivV754D--M2jTpTt58OVDGbZvjB7VsTf78WC-a9I93RbPW13jtT4ayaGqw56Y_g03Dv21g63IQC-EINvRNoHaC6U3Zq9a6oHxE_z5j0KlHPcRMrPQ=w1200|https://lh3.googleusercontent.com/pw/AP1GczPtT4ikowQ7HDPsGEnl0vlF89eqTtruSoY64OYbRGac7eUj33FuSchSTRhBwD31DTP5RbStSO-Md8I-PTPGbPTQxUmTgDwx3mRAH81WMlvx_yM1iMTP=w1200|https://lh3.googleusercontent.com/pw/AP1GczNSRgdXPTYgQCVVPFO9XmPlDgrmxj9hlPEdGGjJ3bhsdG-XRzREBeyf90SCddUMouYtWhY14nqz4_siWrrOEeJO3HdnzJZ2fP1TMzencL6l7hwopjSC=w1200</t>
  </si>
  <si>
    <t>3708</t>
  </si>
  <si>
    <t>https://photos.app.goo.gl/J7BteKbURmw1SYqA6</t>
  </si>
  <si>
    <t>prop. 3153119443-3158910074</t>
  </si>
  <si>
    <t>CARRERA 5 B No. 24 - 15</t>
  </si>
  <si>
    <t>https://lh3.googleusercontent.com/pw/AP1GczNKgOnMUoohoLWqxYQEsazpwvXJw_p2vuCJXuLSzwDrxEE18isZPNhQaVnW-13K57TtZjd3bpaNj9YZQR0guySVtoITTFZ9RMvepXItAqYPSqpL-GSN=w1200|https://lh3.googleusercontent.com/pw/AP1GczMOyeG8ioop6PcwBxnG40frrn5uyaASpV4BVmHPld7s1gxNyKei0bEcDxBGoycEvfaaPOkOHpLQrJw9MaYlxWPHxIe7Fk4Id_gNAmZr0js3M4Jk6UID=w1200|https://lh3.googleusercontent.com/pw/AP1GczNwz912P1QA-9JHBAzUuzxvnvBolj1XLx1-l7wmtHSWgHx0JwhfUlv1WAwwgHcjztVhO0Gz2m-xBcpQ28jITcIq3NmuKT3YF4BviB38pAM3Ux3VX6Jg=w1200|https://lh3.googleusercontent.com/pw/AP1GczOr_8PReQYN21gnB4fCqmD3fAgHKXF9hfiZvwsI_WUDZ9R5VzK_6mRY6aaPUeQ7gqgqm2sVEOo6pXdd6m1KtSZGtL5M10wHhl8pAUFz2vkXBD7XvQGj=w1200|https://lh3.googleusercontent.com/pw/AP1GczOO3ilV55qIFXfYuc9dHJkitsPij488jVv72kVsd5BXH_WXwfJbO9ymjZ2NkK_BhXj9rQKmdX0rJwg6EVU8PIC3Y9iWV0lFFel3qBQWf62sukiAuRlv=w1200|https://lh3.googleusercontent.com/pw/AP1GczOYE5YBWG-k7Emd4XbtQXUPJ3zkNyco2JNUwPpfYz38xe0JNcur5Jryyw93buQp37qdCbGW_vgcO_4yvr3CG8GWCSGeJ-QD2JtTt86X55Dq0pW5w9am=w1200|https://lh3.googleusercontent.com/pw/AP1GczPw6PBE1Hdd3-5pYs83PhjedJiKlsRS-RjSrMu-GDW5AwK5wsc0THu-lA4tp7RT-QzozOwsNk-u18bBKDfdR5h5ISPbefpYsbd8UrWOBcRFndralFIf=w1200|https://lh3.googleusercontent.com/pw/AP1GczPl22eUZq6-Y4G0sK8tXZfxcyCwwoSmZCisQrD_r8h2CV95lCFZfAd-5RZTg8VcwXVTfqD9grRf7VdhRWUOli7wvDg-N3cvQwCMc6dDVY0Xy3_r9cJL=w1200|https://lh3.googleusercontent.com/pw/AP1GczNkgZGr-fYrvx41UYOKo-gQO-O3xK1qaJBMU_dDqvD00AA2WbEhoVjmsd1plc5pLG6kcSSxI1iQ10NUxBaqYs6PPhlyQWoaBVJpCFiLIOukx1CQF2N2=w1200|https://lh3.googleusercontent.com/pw/AP1GczNVhRYKQOIlbWYwWqb8xwjBiEEDQfp6iBWPMdFBdyY4BpMnb9sj6LiS9PmokDjFYHy8uIFV2ja3ndvza_vrFGglOQsx-bTsw3dFS31VA8WXcvGSK5ws=w1200</t>
  </si>
  <si>
    <t>3781</t>
  </si>
  <si>
    <t>Casa en barrio Villa Carolina</t>
  </si>
  <si>
    <t>Villa Carolina</t>
  </si>
  <si>
    <t>https://photos.app.goo.gl/BeHTDzEhVihhPL939</t>
  </si>
  <si>
    <t>B-Inventario Villa Carolina</t>
  </si>
  <si>
    <t>CALLE 57 A No. 19 - 58</t>
  </si>
  <si>
    <t>https://lh3.googleusercontent.com/pw/AP1GczNbZI_lSYLTL-CrUJ9U8PEl4ZvAcSMW3aoRrlKpsMsftPe390opxMC_L9jdX4v8092eMISww4KJQTW-4AKIzP7uw2UmQMbTOlqJhR4GMeh2GemZbN7m=w1200|https://lh3.googleusercontent.com/pw/AP1GczNLsRhuKz24_WrvJ08qr4rP93ZxHEO-iYPsY7lJsK8sEG4qZe4Vb4t1LjyOJBDxzEE6Qf6QJCddhfg7idaWQtIfq9pxUBne4rTIfTgTELSv3BDo2Mew=w1200|https://lh3.googleusercontent.com/pw/AP1GczP_lRJ645jxrxRav7ulLog4JHKQs1eWkczZSPN6E-VZT8fRO83kVf1dju6LHU0_3HB2eUkKtTNTmcnVi5NMtEQmf2gxs3v64gj1idn1PlkoKxOT0wgi=w1200|https://lh3.googleusercontent.com/pw/AP1GczMucjKnk2USZ0kXDpOgCs6iH2pbu0QTlMPDy2npE1ap5JWDw9t3CGyaiSxk-JgYAtyv9VOWazSSO2hkn980vXuJ-THCfWQ1PFV6bZ5wH5HqolCkjHPa=w1200|https://lh3.googleusercontent.com/pw/AP1GczN0_amNhR8E9CUV_HT0URsqrYsRJsrNgeZIaAAB_-HoNnJI8h7-7yqd_R5RBisQniykPTJwwtQJgWpUUwrIIAvozqTuSB98xb70tUOOvdAXWpkhLu6x=w1200|https://lh3.googleusercontent.com/pw/AP1GczMyEg02Eh2U-DlRcCQ83a5eF4FHuaSa5iUEQbGiG4ajp8ytuDQ5X9s8FpiGhJySjg_1g097ME5XMITFvJrZhlxW40hJedY2hMmceah7AgszVnCNI1Js=w1200|https://lh3.googleusercontent.com/pw/AP1GczMCzAKGdZWGOVK_uwEVnbyhWvt0Obu-ErBVmSwsi_bt1-gyX18GSFIMjN9Qz4FHIJQ3ztKcCO5vfHC8tt2s9d5Lq8IweFqerkkfD7dz-D4jUpFfwdy_=w1200|https://lh3.googleusercontent.com/pw/AP1GczP3Hw1OmvKOmus55fkpD6dQEORerMPhawjKqz-9g9sQWj3oD9HdbMsU8dcjmuND65qh1syo04BagQrd8Jqbroxr5ifmdgc0h-MASt9nG9LVlVwrRNrW=w1200|https://lh3.googleusercontent.com/pw/AP1GczPlszP9FYaEcQFAzCUFJ5AuTz_ncpzmqWXOAgl3JKqF3TWkb6MnbBe_ogXI-d_QwUXAKLfg1FO3yr4vLvtvYrVqplq29NQmpdlvx71SpaBK2ujoDQ-W=w1200|https://lh3.googleusercontent.com/pw/AP1GczPpzdwX9-0OOHg6R4g771924PdGEfS8gNDM5mLKhzHS8AzM5lgz_fEkg6HQUmoNMXeUMDq35QY9ZObclPbYplAxpbUZ86frDG38fulGaS2xXNOd_sEf=w1200|https://lh3.googleusercontent.com/pw/AP1GczNn27UY_7yLkj5PkDTuTf1Le3wWD6guFF1b13MBfVKLTvoiRiH9fYsdzLb9hwsjgO9jgBCs6PBIF6lN89N517PZIoQWBpuYu2XXZWoXMsmZKz6hU8dW=w1200|https://lh3.googleusercontent.com/pw/AP1GczMFT0E1G9qJITpQyWoIir2Vr12j8qqgPDSW5-suOr49NMa9CxI05mII8WBmKHCAYz8xNFvYqV4zUHDxtidtrKCry_bALVX9zg1yAVzGi_aA1Iood_MM=w1200|https://lh3.googleusercontent.com/pw/AP1GczNWtu_vBMfy5G-yncRKwF2DFzxY0z2Cp_3a0aY6vlGU0BWBlOrlnMoo5MRx2XIu3XwnB9UdtEeaKWZaiYFK32Wv04Z-f0ufZm5kTrebHeewyAnuypYe=w1200|https://lh3.googleusercontent.com/pw/AP1GczN7bsYcnsC3xEXQl7Sh2zjiROOJ25RYDocmKmW1t3bOeFy4wDVPdtF6ULSBrQFDbxKw70XknCDm3w6IkdSeUDj4OaeZ_hDLbOrWOTYxqyG-mxJ4cDvo=w1200|https://lh3.googleusercontent.com/pw/AP1GczOySQgh-0DuDeYRh93vzQzIJUH_8uz62tqJsNcjqnTAT9vmfs3t93tFs_Nyq7Xl1u2KfBVi16o3pXG3nmPjGy8CsJFq2sv7KKUvCK1SvzvOQ9hbilMV=w1200|https://lh3.googleusercontent.com/pw/AP1GczMR4cm9rOHzKKtMKz6KRu-x7GMthWFi2JNb_TzfTeRNEEebR1iqDwhO1hF-LFqIHOTOpGIFwG2Th9vuMzu0Z6e0htYZjSGfcOfavYInxqpyCXIY_7BR=w1200|https://lh3.googleusercontent.com/pw/AP1GczOs2lwPpJ1CrBPjigAdhi-lHfmDtU3Smh3FlA2HotQRcIqtxopMqGByZVS6F2HyiFeM0jvagGy6Ja3g_cbTYier2rKvKOGfkWT8mfLttH4zapJ4fG1x=w1200|https://lh3.googleusercontent.com/pw/AP1GczMy2QYjL2G_BoWM0IxjFGSCZ_JcXT7IV7LD1c2UKMk-W90VkqYgGGNCS5ycKaeXq1QOjjG0cXvSfsd5B9hbLGu_M6h9roTAX3-tTuZ-yFA1WYrWX2sd=w1200|https://lh3.googleusercontent.com/pw/AP1GczOJwvm-GGhWENxgFqXjNOZ2AU5cXwuBWLfSaZsR9suHFRc3B7JwUzp0zGdcFw8RAfj85ZQxP_M0V2582CQrMivNt871Y8TpSaLRTChy6dmTTQ6kCvWC=w1200</t>
  </si>
  <si>
    <t>4094</t>
  </si>
  <si>
    <t>Casa en barrio Las Granjas</t>
  </si>
  <si>
    <t>Buriticá</t>
  </si>
  <si>
    <t>Calle 38 # 8-04</t>
  </si>
  <si>
    <t>12 - LEIDY YULIETH</t>
  </si>
  <si>
    <t>3997</t>
  </si>
  <si>
    <t>Carrera 12 # 27-38</t>
  </si>
  <si>
    <t>3384</t>
  </si>
  <si>
    <t>Casa en barrio Los Molinos</t>
  </si>
  <si>
    <t>CALLE 36 No. 8F - 90</t>
  </si>
  <si>
    <t>35 - LUIS ANGEL VARGAS</t>
  </si>
  <si>
    <t>1757</t>
  </si>
  <si>
    <t>Bodega en zona industrial Palermo - Condominio Industrial Terpel</t>
  </si>
  <si>
    <t>Oficina</t>
  </si>
  <si>
    <t>1.096.46</t>
  </si>
  <si>
    <t>https://photos.app.goo.gl/RgwVPydVaU34BZ5x9</t>
  </si>
  <si>
    <t>Tipo de propiedad: Inmueble rural con amplias instalaciones industriales y comerciales. Características principales: Lote de 1.949 m² - Área construida: 1.096,46 m² - Cerramiento en ladrillo tolete con vigas y columnas de concreto — máxima seguridad y resistencia. Usos del inmueble: Industrial y comercial-Uso actual: Centro de Diagnóstico Automotriz (CDA).</t>
  </si>
  <si>
    <t>Bloque de oficinas: 225,16 m² - Hangar o patio cubierto: 871,30 m² - Patio en concreto: 617,52 m² - Muro de cerramiento: 555 m².</t>
  </si>
  <si>
    <t>C&amp;C</t>
  </si>
  <si>
    <t>Calle 18 No. 3-45 Int 1C, Lote 1 Manzana C</t>
  </si>
  <si>
    <t>26 - NINI CASTAÑO</t>
  </si>
  <si>
    <t>https://lh3.googleusercontent.com/pw/AP1GczP7G9f75FCDhH9j6BH0X6TVLO6HfFqALBeys8VqqKEgKbauV0rhmvsQoDpasLG6_5Y9K7Hbh9wOLg5ieYRnuJtSRbFvP4TLKbWmehzf31FvTxUDWOaC=w1200|https://lh3.googleusercontent.com/pw/AP1GczPLoSyoTtKmy4RaTnsMwaMSTHklSnBDtsfiXPlxvE1e-1kVP6TlmaogDTfw6dwl3YFwzyJAdIn8fPNcPA9OgL2c82GRKcdGF27B8zt3GNvH1JuMudEu=w1200|https://lh3.googleusercontent.com/pw/AP1GczOE1DCMJOWPjUknjrGaVbOClGT9hnutK9At_1xC64zNlptAWNRpcd-hvwaNjqmTwJaHA2wUkfghRJSuVoT_KanFS-l3WhjEW8VaRFbB1AU2HuelJlgS=w1200|https://lh3.googleusercontent.com/pw/AP1GczNkGpx9WdZ8NDt8iTnNYvOxmDLY2wZVW_E3nBxbE0ZY4pzYLyhPG4S6EiYNdiUBvqeRjNxXaY3pEkEfra-kWr_aA28pnoeG9ExcqsJHTynVldy3f623=w1200|https://lh3.googleusercontent.com/pw/AP1GczNKDH9ZbPghmSDte80jAHJq-JJExY62phdh_AfvNeJIizimvN2gqHpIPWkJBUbuPgoItZk0UFtd73xnP70-GQCL3GWadi0nUHlSja9eyMzOwXPrh6Vm=w1200|https://lh3.googleusercontent.com/pw/AP1GczNPs5GDA6w6ROvZjBufdhNMQjzSFBS3VCyPeyqwxQVPssuqj4yMvAK2w1xGNfvLkwfong275CaGlPZCg0SHbH9ZXnr3HoB19MiFkcrr8D4euzXNoFjv=w1200|https://lh3.googleusercontent.com/pw/AP1GczN5m-pIatoAu39eL9N7dIKnTtnI-hOZz4TJgIhZA5qV4lahKDHhuXAOJWm4VyDTUSb0MvWTxosNYeNRyUJiR1gSYht4VVmOiZ_1yStHD1UvR3UuiERI=w1200|https://lh3.googleusercontent.com/pw/AP1GczO-jeh7T5sEwm5T_vsmK8GStrj09cIiDqgU30oxi_Zq_7E1itYJVVT4-l2EDn5tWspZctG35ePoL8urwXp4Y6aNF5D0A1vh6V2oebkI4_SpbQzomvdK=w1200|https://lh3.googleusercontent.com/pw/AP1GczOHWhFwwzwiq9EYGqq6VF-GWVBUHlOtBTBzMEaxDF7P_PZD_BST2z49IqvcHRTt0Rbp7idrQK5Y0ku2UYIvCwvvRfuSbAD5oFjddB0_Zb3COoVF13ed=w1200|https://lh3.googleusercontent.com/pw/AP1GczN7bqIf-Nr_vnVpcUO6HdidkDutByaK_d1jjlHkXaRKuS2ZBXbys2mrgJh6KbyTuXviFVBUyJWmWRVsLxy0XdCfzB155b7h0wv2dMVA0vvBU4eE62X0=w1200|https://lh3.googleusercontent.com/pw/AP1GczN7f1nqwJsJOCUy7XXtdP6tDS1mFSfJ5deblerZUNFepybU5td3FjbGljvauQmYgBOcZLn2jIkhXlekuKi4tV4irFB-dd2lCzcyXywPYfEhmC1NF6GJ=w1200|https://lh3.googleusercontent.com/pw/AP1GczN31vWqejE-QKZHflxK-rdhJmcfDka7FJHc8FUfWQheXJ1SFgrElq6Gwzu97V-sw3YF62aCstHTJt7D7rqRYTPosCNvB6q_D4CRWoRJ6Pv1SjabHcHP=w1200|https://lh3.googleusercontent.com/pw/AP1GczPktWk6XO5n0FkyAh8AdivH3u1I89DBtaEbVhyam8iLRxk1KG7DGzZTpNeBrSyll7g7D-7VNptrpj1DlLS1szF3FF7aCyWvdcpD88RU4nTEiNFDowlR=w1200|https://lh3.googleusercontent.com/pw/AP1GczNNFXVhab2rpFexHH_RfQfThsEXq1sZqI8CvMmb-mSqVT6sleMcZx0LMDV3SOLHnv77bz-uzIUZPBpxQQhN130F0KVRmspIyA3HwI-wNDnMR4_cFo1T=w1200|https://lh3.googleusercontent.com/pw/AP1GczNAKEN056O0le3I-ES5w-FO1gDJx10ipniXCYIvZf5Dy5BFM7xQLWPdIaIe-L1zQK4nmDC5dy6YAU07EggBhzsLlUjF-M552qHUmsGtrUQKPNWsLdDo=w1200</t>
  </si>
  <si>
    <t>1773</t>
  </si>
  <si>
    <t>Casa campestre en conjunto Condominio Altos de la Pradera - Oriente - Neiva</t>
  </si>
  <si>
    <t>Ipanema</t>
  </si>
  <si>
    <t>Conjunto Condominio Campestre Altos de la Pradera</t>
  </si>
  <si>
    <t>8</t>
  </si>
  <si>
    <t>https://photos.app.goo.gl/2kDZbdGwKZUnE4zM8</t>
  </si>
  <si>
    <t xml:space="preserve">Casa de un piso, amplia,cuenta con naturalez, lujo y alta valorización. </t>
  </si>
  <si>
    <t>Cuenta con excelentes acabados, páneles solares.Todas las habitaciones iluminadas y ventiladas, ademas cuenta cada una con aire acondicionado.</t>
  </si>
  <si>
    <t>CALLE 8 nO. 100-102</t>
  </si>
  <si>
    <t>https://lh3.googleusercontent.com/pw/AP1GczPWGliUJPfo5pjktq2GdSaP17zJlunWBG850HKZ4hlcJqjuXH046vUcWcVh_EL6kJuY05j9TMjwss_8H92EifJXrjmL0wP58P6tUk7nsl6CbGYVuU6z=w1200|https://lh3.googleusercontent.com/pw/AP1GczOcpZM1WtWWx0bmXstQ9zypg_d8LWn6I85pj_TeTzUcCYwQ8A6RWRUOz68n8wl5nTJl6f595pEkcfeRspflkaIRf96B-pX1qcSx-aL3tUg3QiYDKKj1=w1200|https://lh3.googleusercontent.com/pw/AP1GczMk2sYCR4SU_mPuTjP43GXXHlLZsk6amQpA8LoUA_hZ2fNQenDSvpQrpJOb1jm4uWPWUhfenWudDv2495FMtihbiQ9qWa9_DnW9Z4byoy4D1Cc4atXN=w1200|https://lh3.googleusercontent.com/pw/AP1GczM03LrQAToqyLUveOs9DYzKANeLRaRr00E74lTVTOyc1OnSeolLdtiC6pp0i-HhpGdlE3pTJj1ZauWrmH1W3rSyXhiiDuGivtCb9og87n17nm29NYbx=w1200|https://lh3.googleusercontent.com/pw/AP1GczOhB2ulgR0Pl7R7jscvwsW2Rso3L7U9sascDg9f60UDqbwb5piSNCEPGcce9Pf3ZmL8AITUzuYH4GoBx2TXe-8gSDqcTQOekF8wtMZ8Yj6s4s0g3lid=w1200|https://lh3.googleusercontent.com/pw/AP1GczM1KxI0NByMIr9pa8vyP1Wm7_fudGToEVWLJW7IIMGLJbqUamNSxJuE3LEYfpTcwzOVanzOch5iTI1UmV1A6jQHSTaPa8Eciw8ugGRDAVxf6FEMVlyP=w1200|https://lh3.googleusercontent.com/pw/AP1GczNwPn5XusLxxKQHLWojOaeQODzcjINdu7NWkGoiPPHtOJkoH9CRAm5js78iPxob2Rz1zHl60bEAwuI1EveloYPzdO7xafDSotYhpIabJ1VoTOHoUZOh=w1200|https://lh3.googleusercontent.com/pw/AP1GczMhHh7Iei9zRBuaSMYCuUoxVJAMfRFhNtol1ufi_fRGIjeXSiAnmOP395-OW9yv_PEEn-zwJTS7mERJLkvrSW3cZmiYW1SYtIKe5t62u3193qAUn459=w1200|https://lh3.googleusercontent.com/pw/AP1GczMoPryv3iS4LtjU4FMFQTWSys4Hdj0ZtMbf_DF5yj49I-snfQcXzCg3KmzgjM-vyPsIex6b8snbaA9ztrPT9eb1ZvtKAcGsYUPv1MLi1jJfp8ka0QAb=w1200|https://lh3.googleusercontent.com/pw/AP1GczMh-KihMBXRL-3U0AtD0QuN10KK-QRjDuDBwzKj4328IHG0zfdQV0lAi9J_qc8NfARUkCyQu6NJQP_rEf3KzJzs6DQPzD4KVYqjSLqmoUbklZRWzDlk=w1200|https://lh3.googleusercontent.com/pw/AP1GczMDbvqQ2jIRfl6i-JWBkaSIDsUmTZyHgGe71Q96wLgvO7ttbj3ChU3hW8vI07Cvd6Q4lXtAaNiPjVfIvnF_Y5wGwSc0c3sIKpTOw3ZhJjMEL-Z0wxgo=w1200|https://lh3.googleusercontent.com/pw/AP1GczPBNyDuSmJMHeHyYhb7kuVmTRYpPONIIyIe6A2vdUF-Q_K20Bc_RCPuvHvkdf-iszMHDe46yET9MVbXs0kqDbig-pvtr8IRX6mfpEIvExZIwxi3HCzO=w1200|https://lh3.googleusercontent.com/pw/AP1GczPs3a4Nkt30D0bkcwb2BK_wHpHei890QSE7d5WIuU-UOdpkWIgSH52Ku2Rwgy9uGxyv34kyXWd6saa5td27WqZ3dCcef1O8fn-Jow0TnGC_9nGg3XfF=w1200|https://lh3.googleusercontent.com/pw/AP1GczMjEPmuRcpB8L04DykYR-IwBV2D1TculIsevnOuyliHifU1LJtesmzQK6loKqvwxEyex-oyd5RnHe20hJjhvJ5V9ambj6sUHKkrfDYPG0aATfvHhnnl=w1200|https://lh3.googleusercontent.com/pw/AP1GczNMJxFLDF2cLAtijG7OAdqVfjMQr_uClPKAGoF_2ejvOrOVoW3QXVgdqbBkw87pzoZ9TbBiBte12DCQtCkOL8Pg6_aNMVyuzhD_HqqHOX8p2ZBt69X3=w1200|https://lh3.googleusercontent.com/pw/AP1GczPg83GefoQ5NlMPd3zG-tgb6VqyXFO1wYlUYIuMmAZ75yFIxBFmZzq1AzHppPFk7v-_CxAtjNEo9TGn5IPjerIsU74_c2W3MXK536rRIt2meUuqfXqB=w1200|https://lh3.googleusercontent.com/pw/AP1GczPkVrF46sK5nNeH24_xWaBrhmvk8WorpxTwsGJA2VDgqMtp-3QJMkTVezw9HY3OyzAmd_XLPnP7hou2aqkc0aEqSkPetOdsoDL6l-JWIk_g1B7fY2FN=w1200</t>
  </si>
  <si>
    <t>1758</t>
  </si>
  <si>
    <t>Casa Campestre en conjunto condominio Campestre Verde Sol Melgar - Tolima</t>
  </si>
  <si>
    <t>Condominio Campestre Verde Sol Melgar</t>
  </si>
  <si>
    <t>Melgar</t>
  </si>
  <si>
    <t>https://photos.app.goo.gl/QeeLYVewpQZuc1tx8</t>
  </si>
  <si>
    <t>Primer piso: Star amplio, puerta doble de madera, barra con 6 puestos, lavaplatos eléctrico, zona de lavandería, alberca, calentador a gas, habitación de servicio con baño privado, 2 habitaciones con A.A y baño auxiliar, piscina, terraza, zona de hamacas. Segundo piso: 4 habitaciones con baño y closet, 2 de ellas con terraza. Excelentes acabados.</t>
  </si>
  <si>
    <t>Casa campestre en una zona de gran proyección y valorización, Ideal para disfrutar en familia, con cómodas zonas sociales y habitaciones donde puedes disfrutar de una espectacular vista, con terrazas y balcones amplios, piscina amplia con cascada y jacuzzi, sauna, duchas, zona de BBQ, salón de juegos, cuarto de depósito, una casa que combina elegancia, comodidad y privacidad en un entorno seguro y tranquilo. Area social Capilla, Polideportivo,canchas deportivas, zona infantil, pequeña pista de patinaje.</t>
  </si>
  <si>
    <t>https://lh3.googleusercontent.com/pw/AP1GczMj6YOe4CNpNn2Mkybqs8GVjxmXpdkzfXJOK773UgN3M_4S4IajdO-t437ngu3HPBelnD0rH37BW4DtYgxTtcrh4QQ6vJMKCT_HonAJSnIjxpOCM1Fj=w1200|https://lh3.googleusercontent.com/pw/AP1GczOdLim0-RwLMhX76sxqH_eua_OiZ0uf24VWRsdi6e7cd2RH3V4BJrkE2derhyKDhvbUc30HoQhktJ3XKQSLvG8o8W9c8dLV0GuyNQfdYGFUZoUXKKPV=w1200|https://lh3.googleusercontent.com/pw/AP1GczNLVQo7VQJkxbok6mhzuSCKqftsVXWxH2lrqA3xE7lZ6ud3Povx1_YZn1uC9ZOvOwLsQPd4dvGuc9c0QIAGytq4AA03202IWvpTXA0PwVn_GoBmob2T=w1200|https://lh3.googleusercontent.com/pw/AP1GczP9FO2zSQUHFZLlYYmC9uNxxZ9PsjXXqAZF4bVqjwJEHuer3JrP4cLKHySfD9KR05RRrbpCFC3Bz5vnXb0wHnmkMZ1LwH49yuqySk8AkR997FFCTA1t=w1200|https://lh3.googleusercontent.com/pw/AP1GczPRelAosvYvvw0oIluPnn_KDAiuVCSd8YdcwaM3t0RQUG_0NKlEC6lcbj9ryzSijBUPt97DANvJJfy5EsvZDmfBkidnLsL84cg9Jc5J4QFzBpdzEeh6=w1200|https://lh3.googleusercontent.com/pw/AP1GczMeWzK0rLzLQqZvHX2n3DjyGb-qKkY3e_brrZBQ1RD0EtslA1QqE7TGs1VV_dUPsxs6W0KqC9Xsb9-4S271NWiuUdrVL2Uo4xxOfkmhgknubHYb86v2=w1200|https://lh3.googleusercontent.com/pw/AP1GczPklNgbiLaoDhsddUgKlaD9aifeyCn2ZBWWVb7QohpbLdpmZexvDtYHxOM8wuTn0tzRMUEoWysocEGszVnCjY329Xf0GcCgbzu_PnuGBGMa71yDO-Q6=w1200|https://lh3.googleusercontent.com/pw/AP1GczNCPry4Q6M2OhII9eQEXUTEg4lCCO9GPjRhBf0Omp3xm9rAVo-jN_CZ7yAKCXi8_B3hZ-hujdr-wVMRdysBNC9h4KK_YDyPP9ONwcRtbiM4BwITAX6K=w1200|https://lh3.googleusercontent.com/pw/AP1GczP0i-wFjgNhz8sbMEDxktk-rDj_DaxzlgmFZjHEClBFeqffeO5c66IGiY8nteZ6qbG1MBP6Ko7q2Dqd6comgykJMdvglBj4eDRjGPgUU2vK-DY8wcfC=w1200|https://lh3.googleusercontent.com/pw/AP1GczM1wWzPSoyl0d8w2pWjQFi0lKLF67H4WBJbkn6X2uWYrWic6eXMQ3U_vPPvFQ6SqHPLT1aVEEuDc3jY06PkyrPI_iiYzTvK_itkmcBA1LS5AarJWgS-=w1200|https://lh3.googleusercontent.com/pw/AP1GczOFo9H89BBFLQ5VOWy4bMtsR4SbTJpX3TU4MN3gzuD22axeE9MtBijB-1kK6skGqmCtd1EoTnsQRtyKLWefvtIfCDKGqMOD_pw4zB52Y0vYrDTeW_9b=w1200|https://lh3.googleusercontent.com/pw/AP1GczMyn2ff832UhBfHwOAqRpJsujur9aW_shLbG5U_YT7qN4bpibNCcSsZW5Rwva4j57jk6SKFR2kgkygBQtcxTOzKEf6MJPS4ak8CJA2hPmkdDubebBN6=w1200|https://lh3.googleusercontent.com/pw/AP1GczNW5KOekpZYgf3vkXReA48ssDsq47dt01U_QwwCC7Me0LvJSSh2Z0-VrysPcm_ZdED-B1CZKtcJPxwaGWe9diI1fNvWnn2_zINNknTaYlcX8q4_N9Cj=w1200|https://lh3.googleusercontent.com/pw/AP1GczMUIeSXqBP8Lr7JUG32dLdZlnjo31ZXCvRwUq8CWTjgRW0ZibYoOKwXPsS16UM0ioDL-kin1hwUTzM-5WMlBvuDXULc9sytal4X0BJWsRsRM7zbb2g4=w1200|https://lh3.googleusercontent.com/pw/AP1GczPRF4bHWJgxg8FrLCBwP9OIE-nZhEX7dEtHROmsVdZDGJ-KsAy6MBfUAAxuxoYz32BdxVHkRo8JQv6WKjPRSPpIboAElAWityiZKIhUVVAfi7S383cp=w1200|https://lh3.googleusercontent.com/pw/AP1GczOG_Ac_f_nnrvcPGA9D3dIAcAtl7h5-kbr_EqWiFXVAO0G6i_oNgerJKmmWuk8r-1DLSgKlU6h1j2ctvYriwZ1PFwvg7o2GsRacFcHgTNxU95GIGO8D=w1200|https://lh3.googleusercontent.com/pw/AP1GczNnev88xnhIAT7OQuDt9N4QwQzmy_o9rrGmQGWQgG_yKHlZddfkAAIkrG-65498oDmiRcaiHvKsBmXGXRmSOQfWfoUA29aw82vT_ogIiEDD3rKOrAXG=w1200|https://lh3.googleusercontent.com/pw/AP1GczPR3fx-_UX16NTa4c-9PpAWvpbEVkeEONhiE9kmoUOhwhhl3nWG3BxQldGXmsYSZJOweDiXJZKXTsK2sX-xpLrn1WDXG7JAuBeZFFB0JRjEnKdAai4Q=w1200</t>
  </si>
  <si>
    <t>1718</t>
  </si>
  <si>
    <t>Casa con tres locales en barrio Altico</t>
  </si>
  <si>
    <t>El Altico</t>
  </si>
  <si>
    <t>https://photos.google.com/share/AF1QipPG-PD5M4WUkiQhJVm385g60lmQEVyp_B0NgU_pvWQbKm2VESwkvNDmSfhOMpDoKA?key=VUJzaVRyc3JrN0pRSGlTazlkX2tmaVpEemx2ZC1B</t>
  </si>
  <si>
    <t>Propiedad rentable de 405,75 m² con 3 locales comerciales listos para producir ingresos.
En excelente ubicación, esta propiedad cuenta con tres locales comerciales totalmente independientes, ideales para generar ingresos desde el primer día.
Distribución:
Local 1: Terraza, cocina, oficina, salón social, 2 baños y bodega.
Local 2: Terraza, cocina, bar, salón social, barra y 2 baños.
Local 3: Terraza interna, salón principal, salón de barrio y 2 baños.</t>
  </si>
  <si>
    <t>CARRERA 14 A # 5 A 28</t>
  </si>
  <si>
    <t>https://lh3.googleusercontent.com/pw/AP1GczPkg7DGAGcdm6B17xyBegy1dbTLrQC1LjjLtWgDKR8F6aO0FtpsPVL47d98L5MLh5NoO_DABDYvMtVs2gGqwNNprMRGYi7-JhRe-qcGOyEKI-igTgb1=w1200|https://lh3.googleusercontent.com/pw/AP1GczNrm1H4oDe1uBR2NOA0Nayao6VxcUE2aaPFO382p3TpUvf-helEPwXzSD0WrmzQyQb0Q3Wncvgytvq8Hw6HD5YPetjcUZXw6gEwVyZBXYKlMACoOsiE=w1200|https://lh3.googleusercontent.com/pw/AP1GczO_dgzrpaXKEJ6pPwi04ko2W3rVjOuwJ2kcUV0l3oDWu-3Rkmw5-RnC3e_p3c2YJh9d1pmfhl-xPCpVnhgM7d7dLhO0EIHIyFIfzwAd-cro1s6r1vx3=w1200|https://lh3.googleusercontent.com/pw/AP1GczPTyPqEj4eG4E2tLR76imfOKNQe9PbLG9ZjEhtPKw1hY8NhBON4UHQO6O33BvtPKUMJNgw_ADkEFfKVjX493fW34jJJJGBuXicCSNbPVSo-4C68YRr7=w1200|https://lh3.googleusercontent.com/pw/AP1GczPXQUV81cpXGX-rKwMR_WTonwx0Mvt-zfSG5G9wmi2pgGmCsLIlA5i2vLm_VEXfzJV7JwFHcX2b74In_iDK9ptitK65wObJVULjzi2hcYvxLkZzDfvG=w1200|https://lh3.googleusercontent.com/pw/AP1GczMz6cOw8oYIrkI1HOfHWNsEjVo-fubxDk-X-FD77hFbK9c4dESydHco8khVOc9SgA2U31ZLIVYeWfP_N7iz3k9PIsnfzS8vspGUGdNroUHz3TrlikAn=w1200|https://lh3.googleusercontent.com/pw/AP1GczPDwKOZy2Vk6glCHE3PhKVaeuR6rIbdnmuatEIHt3GV1YYzExOH_GgC1SvOMZb2a55aZ8AZj9lmvIGFswCTRcFlfmtvOwyPmr4bAtXR86sGc2F9m52N=w1200|https://lh3.googleusercontent.com/pw/AP1GczNebndSWLxQNXTfrxizEWDdRETeqvz7Fd3AwjTO1RF8RI85Q2JANa_mcm5rhe8_l4t3AGhkhB6kdHcBh5E7fYj-uSbT4O5_5RqR1OCoU3b_xePZj544=w1200</t>
  </si>
  <si>
    <t>1060</t>
  </si>
  <si>
    <t>Lote urbano en barrio Sevilla - Centro</t>
  </si>
  <si>
    <t>https://photos.app.goo.gl/pUMDJpGPKCcyKLPj8</t>
  </si>
  <si>
    <t>Lote con un área de 1.250 m2 ubicado en uno de los sectores tradicionales de la ciudad. Cerca a la carrera 5, carrera 7 y calle 21 Tenerife.</t>
  </si>
  <si>
    <t>Uso de suelos mixto, estrato comercial.  Aljibe a una profundidad de 5mts.</t>
  </si>
  <si>
    <t>https://lh3.googleusercontent.com/pw/AP1GczM0hk4v6d5w80dFt1Wj-4MLPJ6hd2sIOLEgN9OoHFjUjEX1_tB2QO-VS3J_DXw8NSO628EMvPtsfSVivnxU0JNeiNdErSgQQHwMR4ZuBJugC41kPLOU=w1200|https://lh3.googleusercontent.com/pw/AP1GczOpFZBdhahpxX1RQVvthUR9VsbZkpmWmIB10keglIsHm0QwJVu_pqGbWTmd2sE6bnf1faS5pQU1O0On7z8BtdYGs8_g1FME_QsfI-oJoPJN_kwvX3LO=w1200|https://lh3.googleusercontent.com/pw/AP1GczPCyCy60KKVtcLQ21JG_GNl5uXDrz3lkgUz_4WlPfHAXkoSY_BlyLuOmob1n-L_OswcyoZ3PGOX22HNumVMc6r7Jj7kQZFcDgzbfLJjpPjhgmYJlc46=w1200|https://lh3.googleusercontent.com/pw/AP1GczNZfE5Xe0IIJfzn9C7pAer3aQuqTcwxwAXNiBVpxz6u3CHbWZAmnXEx0Fv_jme8s7X8zuVIQ8LAkmqIAgzPdP9ZzuZZi0dJR2a0PEe7Y1s_-1slmIbz=w1200|https://lh3.googleusercontent.com/pw/AP1GczMgKogleBU0XmGMcbvjr6fuzfnCTnlzG2PBgvFUsoMmnW0pxHRbMW-qArsqFhuWWLx7LhYxUqZhtYWQk0gH7kXIyCq6HTeyswdJqdqFIEBskGy2grUB=w1200|https://lh3.googleusercontent.com/pw/AP1GczPRsxdXRcmwT_UkRdSR-lZHkADMYyjdV5ru_r_fIUaEmj3UHjogOFYlfEXIURraAzbOGyKLUarkJ5u20xKTYot9_nppYSsvhTrge6lWCINRqoRnPyUk=w1200</t>
  </si>
  <si>
    <t>988</t>
  </si>
  <si>
    <t>Edificio rentable con 13 Aparta estudios y un Apartamento en barrio El Centro</t>
  </si>
  <si>
    <t>Edificio rentable</t>
  </si>
  <si>
    <t>https://photos.app.goo.gl/pyEqhR858X2ukSTi6</t>
  </si>
  <si>
    <t>Edificio rentable que consta de: 2do piso: Cuenta con un área de 132.70 Mts2 tiene 3 aparta estudios, 2 de ellos amoblados, y con aires acondicionados en cada uno de ellos, además 1 apartamento de 2 habitaciones, sala, comedor, patio de ropas, 2 baños. 3cer Piso: tiene 5 aparta estudios amoblados, 4 con aires acondicionados. 4to Piso: con un área de 149.45 Mts2 tiene 5 aparta estudios, 2 de ellos con aire acondicionado. Estrato 3, circuito de cámaras incluido.</t>
  </si>
  <si>
    <t>Edificio bien ubicado, central, estrato 3 y con circuito de  cámaras de seguridad.</t>
  </si>
  <si>
    <t>https://lh3.googleusercontent.com/pw/AP1GczPdiQMMcc9FeHSlhXZViF46Q7zdAKwGPAHZ2hr6DAumVto9Q3JWPOEJm3rmzXVlPp9h12rq0PoYhKmCWVSQWu7f3DH0H5WAsY8OIBKFyeTFG5UXfSgj=w1200|https://lh3.googleusercontent.com/pw/AP1GczNfBuM7W-sWVapBaCCZ0DeLtAoJ2Cc3rmNEQfB_51Q5aqaj6CyCGfTEdkYKk5DXDnKBttNAa_aXP4Lq6gjqqKxLarGe4JLLCbanLapDsdT5ys6F9VlG=w1200|https://lh3.googleusercontent.com/pw/AP1GczNZ4iDP8rB62Y4LuJ1qrSLrHrf2Tl5Des2YJ6sKkW-DA2-B6Oti2eAMlNAJAGKXOU1abqKM_kGiMA-h8sMKErQLJ-phDmzbtIjpFnjy3nD77LxSwU0X=w1200|https://lh3.googleusercontent.com/pw/AP1GczOFW0_JeKe6isSraMjvHG2cCbDuHGNLV75bxvAh4BbqAmYTSSjcE0a0Dio6E2tylAnwxmvYBx8ZMlN3SWJ5LpqiOYCAi0_IWIT4dRMD6tjT1ZYGSPJA=w1200|https://lh3.googleusercontent.com/pw/AP1GczMYK-qh0pa9UXjBEz-LphhLUD8kYSVt7kSIec17lpElniH3T7w2V6xSRrmbcn4IU6qLfmpo2ZSHP53_4OHiHHnV-zkUKkDb5Tx8pvBl72pUJqG8YTCh=w1200|https://lh3.googleusercontent.com/pw/AP1GczM32dqP_FFnuPDX1NtfRY479KQQRltd5sdefdz8vOHK41pBnYDu2qmq090PHEX9M0MRS_z4dTJlOinFEFmnQ3zEDbuoE0J3qsjdg8VaHrBYTxldSVsw=w1200|https://lh3.googleusercontent.com/pw/AP1GczOP9ELjBwieeeGk1bpidTBj4Iy-TA_ZqE5p3R1Oyd619AECrUa4OAGtH3cJAiRRAogWOJoJlJ8uYotfyBSutO0wgYeW7c3hEUcgXAJM82H-v2zDKgEY=w1200|https://lh3.googleusercontent.com/pw/AP1GczPnylDQEKQWJ8rZ_0XV5mg4mjWnWg5m8_g_Xt2hJbIiffURIFO5g4KtdOKdkeNlhicrkrGumy-HMiiwFQKt7fNOUdOXqoEIAlB5hN0nnKe-db_zlAiP=w1200|https://lh3.googleusercontent.com/pw/AP1GczNn7jrP73zoWUq2r84B66fdacDJj6fJglzC7hDuOzxUhhVgOcC7Wra0m6v3EHq1svRxddqmb5ck5vjfNSs6VNvbSqSQak9XA0kXwoqDK3hEenXyLV1s=w1200|https://lh3.googleusercontent.com/pw/AP1GczMm24vwOdBnur29WoGoajGmU_bfN75R8ylQZxMhOuFxueqTFh49HdPJklNS71xaOTUX6QJoU1J9AEIHEcwNZrOz4MLcxYTgbeSTlL19O4QJ4Ij-oLKB=w1200|https://lh3.googleusercontent.com/pw/AP1GczMk73GMjbtx9jsgUSyyLv3c7x7zsRPReO4gDSs1QCNbvjrPnuWn13YDet3N0mXEDtR-0FkvROTx1RJRoZjQtnQtV29UD-d2kgkRRBphkUsT2PvNdwpZ=w1200|https://lh3.googleusercontent.com/pw/AP1GczN4xUlT0i4IaxOYQgGrTWAT0dc-QkdFLg4ErsHJdOw5YbDi_2O3rwmfp0LleATjVw_Rw6UGewWD_-qRxWlfhf3M1jrlsPv7eIOG4q91Tr3AcIACOvAu=w1200|https://lh3.googleusercontent.com/pw/AP1GczNKcijYt3SER8D3mR0kUeBKJh4Hqjn-trctAbgLWFkzkpd7XtMz7-8gf4XDWI9ttPibjnD6F0-1p7oVO3KWKnhL6lWpXgWLbIveyXOKzl1-fKnwmXNp=w1200|https://lh3.googleusercontent.com/pw/AP1GczPWVJFaExOgeN0K5_2aIQi-NU6AzYawzCD32CgJ3bS4PW-FOp96hlGWOZdLdscC5WGmN0tYQHk4zEmDZrSAzZx4tf44GJbVOCnayz0649Wc0GsvnMZc=w1200|https://lh3.googleusercontent.com/pw/AP1GczPDhzuZiv__pVrJhWJdX2RGI5KykO6NQncq6Te5C3O_ofQ7WT3dMOqE9VnZelJgaIEXkfQVyBI9Hs9MdHCjvUm1a_qRpPVJkUxk2m0LASy0mWOfQD0u=w1200|https://lh3.googleusercontent.com/pw/AP1GczOoZztq63dAv6rxbLoqwOTQY36dwcrwIBQPoxN6SLuz4OY9LYrHvWjDU5ncIhRJEoRciuxgk7mKY-JGZv4uS-tVyNvE61fvhdxMVCEc9B08z3fLvQgW=w1200</t>
  </si>
  <si>
    <t>845</t>
  </si>
  <si>
    <t>Finca - Rivera - Huila</t>
  </si>
  <si>
    <t>Finca</t>
  </si>
  <si>
    <t>Rural</t>
  </si>
  <si>
    <t>https://photos.app.goo.gl/dtdF2Uam6ykmVrUn6</t>
  </si>
  <si>
    <t>La casa principal tiene 150 MT2 construidos, tres habitaciones, dos baños, cocina enchapada, casa para mayordomo con dos habitaciones, un baño, cocina, zona de lavandería, área construida 60 MT2,</t>
  </si>
  <si>
    <t>Finca ubicado en Rivera Huila en la vereda bajo pedregal, uso de suelos semi urbano, consta de dos hectáreas, cuenta con tres vías de ingresos, en la parte sur pasa la quebrada la maquina, tiene acueducto municipal y aljibe. Tiene 4 pesebreras construidas con ladrillo a la vista.</t>
  </si>
  <si>
    <t>26 - NINI CASTAÑO, 12 - LEIDY YULIETH</t>
  </si>
  <si>
    <t>https://lh3.googleusercontent.com/pw/AP1GczPPoKPCbIHZgrvyhhfFsWU3t3TcvW2x9hl3gHezUUzIvXYjq79Fb3yqs6skx55Qq8ijMiVWw0z798MK9Ko3mw2_zi9lNkqrOs8pTDgA3SbuLz6pZhuv=w1200|https://lh3.googleusercontent.com/pw/AP1GczMeDWXNH3CIi9yE7A2W5l7U6ZnGqxQNHeT5sgneEZmhoRKu3-3YmAj8m5HTifqsT3a_xMMuD8aJCuLHECx6xBzeRLPiGckv8G0Ph-HJenfO5gNencng=w1200|https://lh3.googleusercontent.com/pw/AP1GczMVL1Umk3IkLxxiFhT1HTu-3-DMhj6srbocMmKOA6TZ257R_4K86b4-1D4Vhy9I-hLSd_nkjBd7hZ4JIV1bBL89dkY3_owmLTe0a9AGSfRVHrU4ICm_=w1200|https://lh3.googleusercontent.com/pw/AP1GczNq8VsDsU2kKL8P6kUupp4CCMl3sXTpInn1jBpljHMALjOb8x5APU1rya3ybTZuH7mipT6wP8rFR7RuC4XH1etB1yURx-IvWNpwr17BNuOTUnvm0WBw=w1200|https://lh3.googleusercontent.com/pw/AP1GczM_sEDNdsVfMWBqCMzYybVYZCDwam0R_m4pq3Cr_jz8dHnXdkoiRzQkFNoR8oMImk-5GuF3_d6qQrv2Fq2SApg9ZEHXhCgj65srlfVAf0CulvXv79lR=w1200|https://lh3.googleusercontent.com/pw/AP1GczOwGf0aFYLXaN56yLqAhBBftOHe5vmG40wlLHrdyrYf2Qdb9UFnW2LG1r9BiQC-oMHmwkQvUaS7O9XSxEQtS62fAU10uwkUuW5M3z23-dFBLznuZQAL=w1200|https://lh3.googleusercontent.com/pw/AP1GczOeTuF2ST1jwgpD43rxP3-Pj_vp9Tfw8U5P4Bjg41-rIyfWI-eVPZ-17ca4jHZY8s-W6my0CEm41uMUrHg8uSLQKmhrd9EYEMKsvY5AZV8jRU2G3hDK=w1200|https://lh3.googleusercontent.com/pw/AP1GczPdDlK4nEqa1YXW2NgN105gLhEpUr3Mum9ZSnc2weEcKOUgdLiWMkNssEwiRQNjjrv_K2wmPlYUpMQZHnTo6eriePtu1p3uJfEA4icD65ZNl4cPHkF5=w1200|https://lh3.googleusercontent.com/pw/AP1GczNM4sRaF1nAJqOTORr9TG0H1djTiuhJ5-CI6cKes7AGGRV8glRPnvEbqRetSvLMi0Vi0lCDbsc5G9MLv1wTUpnM3UWm5emrQ9JSdDuCJuQHqE2-CM0F=w1200|https://lh3.googleusercontent.com/pw/AP1GczOTJQkbZIFF7bhzR_HeinvRZ2kKRZlsS6bF39dhFNFZmwBmiUttgKo7DcFdefUUHS5GMapDQRTycWPEsrY5SAytGrLXs6lprKLdDrdpydi3EWVyc10v=w1200|https://lh3.googleusercontent.com/pw/AP1GczMYzypy7_ugt83G-XVEEh_BEEYndmje8Ii2Ll-iMn70uhq5FGUfCbZiIG_QSoal3PgCn0k4f1XkInn4_NV2XUk_byqhqaqfSRnoLwyveSyLou9ypHWN=w1200|https://lh3.googleusercontent.com/pw/AP1GczPgdHAeAckf3ychNHf7jfAB6RnB69ff3dfie6QdrTUf79q0ln0rVUIDR-1lV-Kvz-bdGiSYuTiqj4-zNXfWJ8-7xd-_uEOc-YnkRIsvubfP2EH1Z2o4=w1200|https://lh3.googleusercontent.com/pw/AP1GczN9jWYgrXUZwY7SEa56F51vftWSaqLzzIbfhm0jEEDpYqqLk3NHITfZ4IAtBhTKtVeGMYactLImdp2l5OS7-yBFlkUTkIkbC3JA0hdvTKfz5sjHXh_q=w1200</t>
  </si>
  <si>
    <t>1433</t>
  </si>
  <si>
    <t>Casa + 3 Apartamentos en barrio La Floresta - Ipanema</t>
  </si>
  <si>
    <t>La Floresta</t>
  </si>
  <si>
    <t>https://photos.app.goo.gl/kvkXhcgMQWmAPRiE7</t>
  </si>
  <si>
    <t>Casa Rentable en el Barrio la Floresta con un área del lote de 160.0 m2, la casa consta de: Sala, Comedor, 3 habitaciones, la principal con baño privado, cocina integral, baño, patio de ropa, zona de lavandería, garaje. La Casa cuenta con 3 apartamentos independientes, 2 de ellos con sala comedor, 3 habitaciones, baño, cocina, zona de lavandería, el otro con dos habitaciones.</t>
  </si>
  <si>
    <t>Casa rentable, bien ubicada y con buenos acabados.</t>
  </si>
  <si>
    <t>CALLE 8 A No. 36-04</t>
  </si>
  <si>
    <t>https://lh3.googleusercontent.com/pw/AP1GczPGIZkgu_C1gUYh4KUo6yCV31g47zf0hIAgpe4oBxsOH82fGvv5v2fbCK9KpvXVCrJZSrBYIecZ4jGOePivggPvq8PW6tqGzH4ZMHoODH5HTbKL2CNp=w1200|https://lh3.googleusercontent.com/pw/AP1GczOkXmWmS8lrWbQ4w5--IpvQ5TyTMxdP-PNxNFvR4rKVdsciT_RGH_OgqqMkgIXqVbDhgWtiP2K6kY_nVVNhj8HBoY7kCXnt-CPC5lUKdQMGwykZjIDN=w1200|https://lh3.googleusercontent.com/pw/AP1GczOQFgcU1ndZh3Fy2vQ6YWMYiQ-DiFgiaKHK3v8HGN4b-8uQpDJuCh-YQwPQiraboq71Pz-6yhpbE5p41Aw7pO14JuUuOc_lR45pHWQe3PnwxhUpMPE-=w1200|https://lh3.googleusercontent.com/pw/AP1GczPFW9lu9gEW_xPXp3LdySLzKxx-_U7t06jE4UVfiATjk41ls1z-yTwJ5UMl-D5ILkAu9vUHmxviqn9T4PE5W3Idwb3fbgHsWtqwvmWTkJfqU_lc6I1y=w1200|https://lh3.googleusercontent.com/pw/AP1GczOSlQlAtRSSZIa9v3iBmPeC5zlBqGAIxoqAnY5zUlotEHon4p3onN4RVLOswl94alcqYuZayzGGAxsqmoiZ_2RuhUDzKEcBPQdYXecKld2slDfXmOC3=w1200|https://lh3.googleusercontent.com/pw/AP1GczNNV300BRg6JocC5U3nXIrww-9TMyC0HkCR_XyNly2JT6r9iJq51fydod6V4lT3ReWCyPnsQhYaQf4n3GmN7JnNf95DjquC7_74gthC7YW6rInMz0Ic=w1200|https://lh3.googleusercontent.com/pw/AP1GczMVajYxMmr4Sw-dG_qOFW3q3dSh1SUHYlVvR73fXkuYw-NVLrzC007vay-hp8-uRdwaSKmOs9b1N4gGFl-Kib0eZ6tctC23B_Lp5a2i_wTmzAlKBao0=w1200|https://lh3.googleusercontent.com/pw/AP1GczPmL_wi7wQ1-WpI3ifYFEUsig8y5Fj0lLrcHNnojtc25_5h1tbpgw3FMK3qxOVLLrQqzcaviepe7D_NhaXo151JPxdi9s2szgdcLs9b0Cw5sN9kvZ7R=w1200|https://lh3.googleusercontent.com/pw/AP1GczOsk9-s0ptZnWB13HiJVihriXQkqT7b9NCGxBPkmIqnPLLi57HXI-qkm4qjBdTJ56p7F2WbIWgho0u07JvOm7fsWV17oHd_9PUv7BgdQep0Cm050MP0=w1200|https://lh3.googleusercontent.com/pw/AP1GczPRiakXGottS72bdgOERofZg9eRPfNzfSFlLKd5qvSeGRYz5A-2f_--GJeX066ZXfzwpId1S91Mpb9AXT8pIMSp_jz5Veka_bjCOrCRhvuncm_QhQK0=w1200|https://lh3.googleusercontent.com/pw/AP1GczNnuHEc1gk_8FQt6BjEP_c7zIs5wRJfx2syDqdmsEB0WYOlOEmY3MNpOx7hcY1tqe7weoRy9dsczvw_5awt_LmoDv3VMquyrSgFq-DwqO1vcT3SSEu8=w1200|https://lh3.googleusercontent.com/pw/AP1GczNy6JmxlYG5sNFZh3SjOq2SRVPhFp9dfWnjKDULf-qwG4U-0OLpMby-SRXxxDJhHSMLeMMvgads0TnfSNIE9SKcavtd6wlEDjddrwQNZxPC3AHPsWf_=w1200</t>
  </si>
  <si>
    <t>1246</t>
  </si>
  <si>
    <t>Casa con dos apartamentos y tres oficinas en barrio La Toma</t>
  </si>
  <si>
    <t>https://photos.app.goo.gl/ifKcNM57JsW8PTto8</t>
  </si>
  <si>
    <t>Se Vende casa de 3 pisos con un área de 121 m2 consta:                  Primer piso: 3 oficinas, baño privado, baño auxiliar, 3 parqueaderos.           Segundo piso: 3 habitaciones, baño privado, baño auxiliar, 3 closets de madera, 2 A.A, cocina integral, la divisiones de los baños son en vidrios, sala comedor, patio de ropas, zona de lavandería.       Tercer piso: 3 habitaciones, sala comedor, baño privado, baño auxiliar, 3 closets de madera, 1 A.A, cocina semiintegral, el baño auxiliar tiene divisiones en vidrio,patio de ropas, zona de lavandería, garaje.</t>
  </si>
  <si>
    <t>CARRERA 7A No. 13-27</t>
  </si>
  <si>
    <t>2 - JAIRO DIAZ, 7 - ROCIO YAGUARA VELA, NUBIA DIAZ, 22 - JOSE LUIS OYOLA, 12 - LEIDY YULIETH</t>
  </si>
  <si>
    <t>https://lh3.googleusercontent.com/pw/AP1GczNc9V_zOX1I5Vo0-TJMJZPQnsUyo5dHvS45ar1gHQNmgLOlf9BhkBu3Jsu1u0vgPqSthU61tk05uH31jOQmKRu-yj2IzIxmSTPYkfV90qard0F76CqE=w1200|https://lh3.googleusercontent.com/pw/AP1GczM_vrVuds_4Xn5s3EpZn8nTSbiMN_4xRJoHK6syWY70YPjIjwlpvpTe76VHFeK0qETMjXytkFdvwfR05rsjCN96-ML0zUXec5iJzPtBv6C23oncxzvU=w1200|https://lh3.googleusercontent.com/pw/AP1GczMUzsCUU7xlyTPUE1LU0gpMjepnJnAbDPPhbHkA09QQqrJrwXb3RiOdCOmHd6cZuClMtt8NC5Gqtio_-sB5BMXuDm7ivwoaYs1wQPHNz_bam4bReEJA=w1200|https://lh3.googleusercontent.com/pw/AP1GczMG_jbiCM-pEj1_r1dED_h5qgbv-L88KdTckPSZxGLqYErGnkZNwhorjnVtGUHOdLfePzuLWDFNtWVqByTngNfhCrWsmK3NSLqZ_BUwZiGfEKZfLAWX=w1200|https://lh3.googleusercontent.com/pw/AP1GczNQ_--b9jbZcGUMSMwpunX1kMZiVWTFCpjQNf2nrlrN4NQkJaxLGvGMwU0GC1P1bQpCm0bxaEy4ep9cV2ulkPuHRNn_efD4oUA430rKsvJIrgLSDfUh=w1200|https://lh3.googleusercontent.com/pw/AP1GczMplg7WAe0RcdAP1bRlXkUQCqtSXhNjGxitCWZa9C6h0ZzyawNPVWbPuE_1hdGQisevnhGFL415SKQaepPlxNqHZBOdzFi8PFeORk0__fvKWLyVYAJ7=w1200|https://lh3.googleusercontent.com/pw/AP1GczP0E9UY-jzh_i78FjIkoRZBR867FOFLPVuhcuT4ZFQqTk4WEYlQ5vFO6GuZWCkkCfW8B9TFQA64urTDyp34TC8k5S-20OweQl831p6ZODOnfaukyKXX=w1200|https://lh3.googleusercontent.com/pw/AP1GczMFbDWi4BgICAdAA0d0FHvli9abwy7ywGe4DyS1XD5vosYRLynBVN9gszL43_qoZMJCSRlzu4yrrzyCJmtxb9NF575p8TGgH7o9VhXbnHpG4E0b6I3D=w1200|https://lh3.googleusercontent.com/pw/AP1GczMwa7vZzb-Mxdgu6HoBFK4ygSbpV6Y_ayUqLtl8p_7B17YIQNy9zNRQTBAvR4JQN3_SCDuafRgRx7pFLmE5V2sDHGSUnC4LVrAZ2zi3raCUkZH29n7J=w1200|https://lh3.googleusercontent.com/pw/AP1GczMflwtWuopM4VI_5Y4XJIJd9ujybfsQ62s1yGWETEqHw6YtPqRglcdUEc8hF9znUFzbp6mWKRfyu5D4uynB_XzR27k9Wd4krAJJQKvPFJGKSN87pI9N=w1200|https://lh3.googleusercontent.com/pw/AP1GczN6f3RS_tBt_Kf__y8_w76R_ftRx_CwDxIh8eGaHg_NjxQ1SIdDS3jhBRcQ9bsWxG1IGbkz1WRzF3HxpBrWTRNfVouwpse4OE7-HiwQozHlF4Var59h=w1200|https://lh3.googleusercontent.com/pw/AP1GczOuouHUYqJwV0L9gxYqtpcrkF1JduK2jLDwbtk0YU7Fqc4evxhyIqTnqte60OaPGYOSC32EmiCbuLmwB4FBLHIbTajCQFEliTzQosltAJWFpurOnITX=w1200|https://lh3.googleusercontent.com/pw/AP1GczPem6fsrEpGb_X-JjtyEQcO6GPnDNpCOy5jGkk4ci25kpe9dkN4sDfcDopOznjC9k9SokVvTpbjs1iytJuXqSYO8HFtUi3YWF2BMgR0UwwqMNSidzrS=w1200|https://lh3.googleusercontent.com/pw/AP1GczOF6MAvHp0jVYty0uT3aJNB0l9XY9ViwzL0qOC__EvWo1RSLf8OIameA1ANqvybKLJX_5heRrJwwA3-MpXs8zvj-vQK5rtOx7KU0RN1_pea_uZjkq0G=w1200|https://lh3.googleusercontent.com/pw/AP1GczNp7EiaFXurdX_5uAH2lfQ02jNx8dnoyZbDjaBpircYno1zwUWquYElLpV1qm93KclVLIyUCqHom5hOoKG-GwCzuH1Ln8TjsuEzdNhJ6IWydxlQxNQo=w1200|https://lh3.googleusercontent.com/pw/AP1GczPovAuwPGGGIzZKBthzoSEzjILGa0MGcjZ1GUkY3hauqngeTbCl9PUae5LCRGUzLQmIj0rGSu_dAhz9EFdoRHfwFJUZTe-sTt6ZrJOdZRtMZ4xhDyXW=w1200|https://lh3.googleusercontent.com/pw/AP1GczOL-Ie6Xbiz10NvOowR1bmi5z_CUHoyqlRLTpdcFNvIAoz8x0YRsway8K9IdILkn3UMLWhn-Hub2FZeDhhcnhGZ_Xx6QUrjA8IsaT-nC546gejDUsdg=w1200|https://lh3.googleusercontent.com/pw/AP1GczNcc-36TgCoeHjDnsGuXqetTZrAV6tpF2jCcPdPqPPKmT5gliiQ6JwTmKTDV7JyihQL--F_FGtW1iTi6SnI9D9ZGr2j82DIiW-d_IS5-PaXhgx_NOhz=w1200|https://lh3.googleusercontent.com/pw/AP1GczPWxRZ-b5U9MZ8x4eyJ2PQy_jDQWFZ86n_DeP_CRtOu-CvGewMSP5Ka2tGT192_A2r_sO9cdcOgdGaNUGoxH9-_nDxFEo7_a0u-QhPa2l558IOUsHri=w1200</t>
  </si>
  <si>
    <t>900</t>
  </si>
  <si>
    <t>Casa en conjunto Santorini II - Ipanema - Oriente</t>
  </si>
  <si>
    <t>Conjunto Santorini 2</t>
  </si>
  <si>
    <t>https://photos.app.goo.gl/yiy8HNjFhhsszHcG9</t>
  </si>
  <si>
    <t>Casa de 2 pisos, área de 164m2, estrato 5, consta de primer piso: sala, comedor, baño social, estudio, biblioteca, cocina integral, alcoba de servicio con baño, patio de ropas, patio interno, cortinas, garaje, lámparas, 2do piso, hall de alcobas, balcón, 3 alcobas, aires acondicionados, cortinas, 3 closet, 2 baños (1 privado). El conjunto ofrece: vigilancia las 24 horas, zona infantil, piscinas, zonas verdes, citófono, salón social, garaje de visitantes.</t>
  </si>
  <si>
    <t>CARRERA 48 No. 6 - 83</t>
  </si>
  <si>
    <t>29 - FELIPE PERDOMO</t>
  </si>
  <si>
    <t>https://lh3.googleusercontent.com/pw/AP1GczPUpRe6Ak3EPJKPZPWzhbaS4lz-Q1AiCDsJ_LTA_KyYnnKUOxlvswuF6dv_SDtnRlFMbLDMsR2QUMz635CIwplAfYeJxpg9dj1IqflyBN48EZYTx-e0=w1200|https://lh3.googleusercontent.com/pw/AP1GczMQrr1E5Gj8Vl0MXfmW-1PSDXJvZgKMNBc8flqL0iYw-aoxQ1ouEdnYOzqjmrDXfqHOr9Sayr6Rqfi2xlLuRw-aH-5IPPAzJ7hkgCQ88nPANi1juUyt=w1200|https://lh3.googleusercontent.com/pw/AP1GczMAYseW_EiImCFl0U1znUQGzxnXSKB_KWwbMAHMeqtBvtmnauGDxkkKtA1yhDhHp87k3yw9yShhsaG4-bhozHdFQWzjWf4-s-kjyaMvVr6-Az5qvYvU=w1200|https://lh3.googleusercontent.com/pw/AP1GczOO2dWxHPXiGxlUMy7qMF-lLs2_SCougzH00_FCS69ZV_AUMSQFbMSjChzZ62cpu2sf5Nn4PYp2XAAKWNJ4esFYnRmdUpK1JaM0_KMK368TyFKYiKHy=w1200|https://lh3.googleusercontent.com/pw/AP1GczMskOIa6FNz-AFKMCAgs9wid9sDHEAFbfXJt6kdO5zHyWxq3OKpK-lGe_gplzeGjQPVwY5CBnJI-jmdoK8CpazwjVRgILRKA9_k1uxZcjtlYqabRkfb=w1200|https://lh3.googleusercontent.com/pw/AP1GczMi5PsvYbC6xFba37csn8s--Hx4kCS0A7aNScXZyZk92RTGNDoNwKrb1LN_t5AFoYlk9BLQoYGgOeB95uT1UcdUIW10SLtN2sSx79Jf00wzHEyeXZUr=w1200|https://lh3.googleusercontent.com/pw/AP1GczPiI6KbZunHpHs1OvgfdF_06OTRd95ttQ-Ff7zuT-DTYhiRe66hzIF1lAwADI5VS4nnnkJbr1iI7-NDC9pSOMbS4FSW8QIDhIm0xrovrPRA1Iu9UZDf=w1200|https://lh3.googleusercontent.com/pw/AP1GczPxuxoUUvRqeDG6ef3O5n4bXsYU8O1Lkmwqrx-9jDOgQ3_tPNj9NrOtb-qzQD5NYiMy2SGtfyHIYanL2JOlnLuqu8NxHwgaS61ltlrolMyUkJb1yhMq=w1200|https://lh3.googleusercontent.com/pw/AP1GczNRhIK1fW8Omm8BZ18IcYWzR9eh0M5j6QL62WC3_E-_shQoX2R3hG3pGyA9zAtnhFqu2ctqjJVSwgLoY9Fy4kLSHGWqmbGfFfBFjy0yGU-rOL1hcX4W=w1200|https://lh3.googleusercontent.com/pw/AP1GczPZgoNaxAeWnvewcrlMj0vb1jM-rS02IYOPsYdNN0pbkvCZXcL5ygMmg4AWNLylBfmZ9PU0xh0BwBEFOdTGZPBjdi7kTr7Ap1eHewt_vRwcuIpvsEcu=w1200|https://lh3.googleusercontent.com/pw/AP1GczOvq7ejBPC7rNb1Z8fE0nxWdfhismdv8iIEhwPduKGeZp7czB0zGvg6Dp4rDkTG54hc6u9ceHhI8JQ9mSgaF5QKk14LOf2Enuaixx0CqcV_W5ntTCm6=w1200|https://lh3.googleusercontent.com/pw/AP1GczOqC0eMZ2eY5U7j6qcdMTbsuc6lbjyV0633QUlEb_ePG6qibq4bgY-qEDk7CHBWTNy89Q3hOhwf4Ge6VMGAyEX35FTpWBcfSedsJtIeodr2ijq40KoO=w1200|https://lh3.googleusercontent.com/pw/AP1GczO3wbh0SdCarIbrndpG7GOoL5ZLvz2zjE-Ca8Z0vvH4zgtcKeFMZW9jn9gnCR3xDjKq75uU-ClQzYqbeNxi8zinzFieEXHucq842uCi4KgDox1wxymo=w1200|https://lh3.googleusercontent.com/pw/AP1GczOlTKMBV-0iRTQ7r8BBSzR_JkVwdOVr7Sf2nhya-_NE-AyHUShxkigoJAq0tAL4DdNYpnXTzpAF3gwh2hbYVNRBS6de_LCjkd0XOxNlWX6g_yS8qIEe=w1200|https://lh3.googleusercontent.com/pw/AP1GczOdpzSaI9msjLYslI5gI556ZZUmEjpuuxva3VzHffccmAuPEFcOVNVdf8OCn3nJq--xvCWG2zKP7uR3mMqoFlPWfiPmsMmSDdtPAs9eXrLE_QsHsFQn=w1200|https://lh3.googleusercontent.com/pw/AP1GczOA_l2a-0e5d6deT7vvKmSq2dtm95sFCWmIUSvh5BJI6w_jlqeV-N1fXBDYlscsNfK1M9ZOq19maA1WiYE7x8pMfZZ14ly8-8cRdPnXBFo_5axg4SyV=w1200|https://lh3.googleusercontent.com/pw/AP1GczPJjWjkT2HB_e4b7S0IN6XbWJ_9rkiobCw4IxRRR_Sw5EhOAYrNr_yqMUIw6fTrqkaHjP9k826Dp_qQBmphKMMN0aUBg6TBPWr4T5r0duustkXIeZht=w1200|https://lh3.googleusercontent.com/pw/AP1GczNrJIh7TQ_ip87BkYzU3rFaLHuJ-uNlGJqP4iCkhnlxBmeGQjjc2dyrM6zPG6O5_FYMASnLRy5SwpRO-hUpP6aWD4fNmt6yXIVdcZvPZzONTtkTcLJd=w1200|https://lh3.googleusercontent.com/pw/AP1GczNS5I_3HZ43U-9l5kwW1QtGWUH0smgx2w8AKba9N4sapbJolidtk9LgqrlGEggMjje8FsUnKlniiq9b810V0jwMAV4TkUQEdHj-YdQp0DndB1FRASSr=w1200|https://lh3.googleusercontent.com/pw/AP1GczO-w0memEmL6r_bONkfN8UBe5-YNxCFWOlKTS3DYHHS47hdT8m67uy-AllK3m6EHcoNQeMSrUAUMonYUaCPRHY-atROQ-0syj9h7D8CwsRLLqDyJX1f=w1200</t>
  </si>
  <si>
    <t>1800</t>
  </si>
  <si>
    <t>https://photos.app.goo.gl/28r95BFi95kWrdew7</t>
  </si>
  <si>
    <t>Distribución del inmueble: Primer Piso: Parqueadero techado y enrejado para 2 vehículo Sala amplia Comedor Cocina Integral. Zona de lavandería independiente y Patio Baño de Visitas1 habitación. Closets en habitación Estudio. Segundo Piso: Sala amplia 2 Baños 3 habitaciones. Closets en las 3 habitaciones Tercer Piso: Amplia Terraza y BBQ.</t>
  </si>
  <si>
    <t>Ubicada al Oriente de la ciudad, en una zona de gran accesibilidad y buena ubicación, esta excelente casa cuenta con 2 pisos y terraza en el tercer piso con BBQ, combina, comodidad, ventilación natural, muy buena iluminación y privacidad en un entorno tranquilo. Estrato 4.</t>
  </si>
  <si>
    <t>https://lh3.googleusercontent.com/pw/AP1GczP14A8W_Wz3H72L6Fic1zVGUBl8JvqDBcm3rXPIULxi-o1XvyJ9zskLu3sUcfj4NWD5Ozm4ZBddoA28iAd_ecYp-nkkL53pX38TO9SSKnWUx-AAw1t9=w1200|https://lh3.googleusercontent.com/pw/AP1GczNuPsYtexuLjkK7viCUN4OTQRQ8kTbYWTQDFk-VUBdl9ZCppD7QFOqc7NpMmH53tUw1QH0neB7LyesX6B-Sp2lGI3kiJ9YQMtxbEwlLw_pF0MzcPrDu=w1200|https://lh3.googleusercontent.com/pw/AP1GczOSFtgg3apNYPCLZIfON2yeMm8lXhvrcaeWd4cmul2QLLvvcEHkSvLckK4h67ZDoWfjglws_BMgfvWXsKpO8DWuH-tuSAwlvZD774Nr_wNabZ69QEGf=w1200|https://lh3.googleusercontent.com/pw/AP1GczN3QX0lGj7vLLCiO2gDUQCx7Zo_zGX9ICJonaCu0tJTRB37TTSzba4ryMKhg-WpuIlyKffocUhmfZU6Lp6jsOHQw71v-Qdv-K8Gj6T6oG4yYE-tv-nP=w1200|https://lh3.googleusercontent.com/pw/AP1GczNM6Y59pSxjRBjzDMcgmF9S2Vtc4lr8oVzc8QuvfL_Fz9KeYpk3cHTbrm1if79eXiPLRNjwHRHwIX1fCtexaX53bndQlrRHOVgwh7DF7yTr2CPZ-YUd=w1200|https://lh3.googleusercontent.com/pw/AP1GczO0I0tfvjGGW86lyRvl8IFcsekK-YCc-1JoE1l4CoCv31zbTaA0HzQmluGZ5xtWwJFP_IIDj4NVVF8N4Yr4qU7srkHYeV1SuVrgVyigsTBPt0Fg8jZO=w1200|https://lh3.googleusercontent.com/pw/AP1GczPVP5dZ87-ETI4w5LRBWv1DaiEy9n8FF3HJh1gRr2npeCpQxCaoV6jJvYDJW9wadrqqp1eLpKgHeYWzVpNgvZ0zFIwqWXPLH5ym24H12H_fW90FvowY=w1200|https://lh3.googleusercontent.com/pw/AP1GczM0784lxPCvAEUTItH3uHqk6aC9z0HPGjHGGoPGZBvdJMm2Eik0Rx9bKtKVdLWqiWs7vK7gmgsiPTaANo3SdJl0qMHRx5ZpdEaywXr1bU-1zyyHeu0c=w1200|https://lh3.googleusercontent.com/pw/AP1GczNpeifNkvrZ-fuTZg6Pv7q4Ftrp3zWioCFc_6Xffwd7zR63HLa38PENV6N7GiCewWzlVy1WlhkY10pcBOP1Qen-z_wsL-Lbr1kHDNnohZOtOvWopi81=w1200|https://lh3.googleusercontent.com/pw/AP1GczORwTbuxaBezY5w8p7Thpe2YHDjzBNfcBsstEHmYI39O3XwphP7Ur3KOkrWE-zvsPNDhmnDkOMoOLwPxyKJS8d3Ng6yZOG4_xGPl0z9908eUfcBk0P0=w1200|https://lh3.googleusercontent.com/pw/AP1GczMK-sG99RilCcW_t-PyEiQLUw9Y9X7YKF2j1H6vW4F3pCQuWvUF1J7PnibtehM_ZVeAAFfHtMF5pNJMxbI13YExhBqt5XVO8w0exdjTmwZOEO_nLJGG=w1200|https://lh3.googleusercontent.com/pw/AP1GczPuRouUL1rUeiKCUoCI_7UUGxmffion7RERowgNvddtbjhAcXBVCiPyISP7o9kZ4hB9i1vmOM54erMhU9m_8gEWwE2CH8eI2xaP43wBIIJIekHiNs5j=w1200|https://lh3.googleusercontent.com/pw/AP1GczMPv9zUNcZ-hzDODGdT6RrBnCLcLvUCmWtasJm0tb_ncmlO91Sy9q20HMRs4_UIKI2Wp6JWSFOBk02NnwdTpin9OLq9Kou01022Pos5AC6NWtQhMeVj=w1200|https://lh3.googleusercontent.com/pw/AP1GczPz1Rp6d8gXhhEBCDSRvUEbZoIvUbXuVo-BYuC-M9IkRsBpFM6KJMtR0kWL3Tq-e84FE3ZjOsQ1RYaeygqeLLzuML34eQFaNPpqT43IzfAl4mXY1hFA=w1200|https://lh3.googleusercontent.com/pw/AP1GczM49IClQ04w2NisgDwDIMNvppBMAFSUHz_YSlVg52knv9hFpyoVBONCpjTAdLwetwzLUNDYJ8-vsIJ4iQH-lUovd9IliKeqhcpbWeUGMdcptS2i8oFE=w1200|https://lh3.googleusercontent.com/pw/AP1GczNqbwJTS1Jh6CPWKtrXbZyG7EkqUlsePm_yoOvEmlR9vLGK8NLZGUUEAGs1jSo1GKsFgqcWtYjG3GwnhXFMfOqtO8GiY_Vy9b2n6WMyCcA9x55ByxO7=w1200|https://lh3.googleusercontent.com/pw/AP1GczMb6c5IP_ilJvgwWUBsvbxbznfDiW400rBRDMmzqTGYqTsIrbrnVGDyGcE0O_e4PA5Wt56_BHBcJKhullOmph6L6QdLkb2G7SbWxXet65XHoriH7JQm=w1200</t>
  </si>
  <si>
    <t>935</t>
  </si>
  <si>
    <t>Edificio de 6 apartamentos en barrio Cándido</t>
  </si>
  <si>
    <t>Cándido Leguizamo</t>
  </si>
  <si>
    <t>https://photos.app.goo.gl/tGEhZ2E57tK96mKg9</t>
  </si>
  <si>
    <t>Se vende Edificio de apartamentos, excelente ubicación, 2 apartamentos por piso, pisos en porcelanato, acabados en madera, Cada Apartamento constan de 2 habitaciones, sala comedor, cocina integral, zona de lavandería, baño, servicios independientes, tiene bases para construir otro apartamento si así se desea.</t>
  </si>
  <si>
    <t>5 - Inmobiliaria ROCHA - Andrés</t>
  </si>
  <si>
    <t>https://lh3.googleusercontent.com/pw/AP1GczPl6exDm87Ae44gHgZ1cfbVmIapJoDDVN0P8llGkeYgN36OdIauFNrx0Uy5uCe72jAdQy60vLkkjozv8IUd0DxSOUYPdXNjI63l1Xo6VUBEFlvpff1q=w1200|https://lh3.googleusercontent.com/pw/AP1GczOvCrCnE9k_QgmsTJInJeGqtzaSHANy93qoz-0i1-O3BU6arFkESSLtvdy6flvQYZm8vu8geBznVT46hfHt3xKRcTGO3pV5DRBjECUs9trOKmCpcwT9=w1200|https://lh3.googleusercontent.com/pw/AP1GczPDGOuNZ8EuNuA-lrTm7cByHJiGQi96FvSRz8mIAlImB3lcq8j1So4wQ5GfzztCSof6el76XVexeVEDJEkySygmQEA9CuNuhtOM61l8cjfC7w3c-YYL=w1200|https://lh3.googleusercontent.com/pw/AP1GczPXTacAmR7pVPn7qxx3Y2DEAUD4piqbC6XMHHwouMEQkfSyuWNSoWmpCQrvjEFl8cKoGvDXyb0gp9CZ5MaMuiWt_0wgSdZ2H-wIMySYdm28eg_rlvMF=w1200|https://lh3.googleusercontent.com/pw/AP1GczPvR2IBzahWarrldlL6qXfWK4L3Cby_ZTXiJCQLUMKtnnAk6KTnwuw3LU5BBEMEgjdrZHr6EDyuD7LRGlE3fNBLO4qNbsQXRyQSnaQDjjO0wPpETiuc=w1200|https://lh3.googleusercontent.com/pw/AP1GczOSVgXXGLsKAX-PQRmGjjCSmRrR58_rEZz_qNjq2mN0SsuVBP1W0Vo-sAyRk2tCvDvbsoB_GdcP78wD2Bm4hrvlEBbwd-1O99P4ra8Af6va_lvBjPms=w1200|https://lh3.googleusercontent.com/pw/AP1GczMCuFUPerlRNsOSzMPcmLzm-ywqRlHkY3CblkPM1VujdqBREsPgqKQT-5BHZRXWVK4cY9o0R70S7cchdDcrr8zOE_K3iRhiB1ujksyaXSQO9ISA8-IR=w1200|https://lh3.googleusercontent.com/pw/AP1GczOx4NUipXHG2Vc61-e4VfK-e89cBFEb4NFst5k51W-u2XhWTSu7ahem-x1rlmrfevt2SB8NTo7cgBUbnFxEoY_NLvzjj_ZOHl_hrIUbf_ZGaEN6HvJh=w1200|https://lh3.googleusercontent.com/pw/AP1GczNROysO4oIf4b4BxxSWtfQFfQXg03ZA_OnKjqaHWqZ13ncI3Tytx9JNquqZUuLTe757clwE0Q0ElQJXSGK7-ul1bkpC6gW6MyiXwBD-QbJxdlCcTzFv=w1200|https://lh3.googleusercontent.com/pw/AP1GczOPfp3oEPeT2gjdr6BRj4aDNzeEO_SbXrrgUF0bYJsSPOBxvImXb9CPC4EnRYlvUzfZvCOYzDbwM6WGLDI5ey1ZgDCv3vv0i82fq-pgrLk_S_GCbay2=w1200|https://lh3.googleusercontent.com/pw/AP1GczNGWqgqqDcugErW4U90M8iIJ_YvLpPACAWQ0AOOfSxIsRf8xJPu6HUWhuQJsAmoTFZfLxujJW2L4rfSzNJvvV8vYv28szP7j9HXAEQPNp08GFOuNaaG=w1200|https://lh3.googleusercontent.com/pw/AP1GczN-JIlyop59ATyg5fzv5ImNCTIX30CPXskWlJ-W6S6HikTQgccYWGZlN7RVoFzVHz271xnTI2xb3xgKMuxtGgrnsdCyasSdVlE9KnxXCc9wkq1XGUhX=w1200</t>
  </si>
  <si>
    <t>1778</t>
  </si>
  <si>
    <t>Apartamento en condominio Bellavista - Oriente</t>
  </si>
  <si>
    <t>Bellavista</t>
  </si>
  <si>
    <t>2do.</t>
  </si>
  <si>
    <t>https://photos.app.goo.gl/Nisg4Mnh6UHJigyi6</t>
  </si>
  <si>
    <t>Área de 155.0 m², ubicado en segundo piso con vista hacia el oriente, ideal para disfrutar de luz natural y agradables amaneceres. Sala–comedor amplio con balcón y excelente iluminación natural. Cocina integral moderna Zona de lavandería independiente. Cuarto de servicio con baño privado Sala de estar o estudio, perfecta para home office 3 habitaciones, todas con clóset Baño auxiliar Habitación principal con baño privado.</t>
  </si>
  <si>
    <t>Apartamento de lujo recién remodelado. Condominio Bellavista – Barrio La Gaitana Vive el confort y la exclusividad en este espectacular apartamento. Cuenta con 2 parqueaderos. Depósito Zonas comunes premium: Portería y vigilancia 24/7 Piscina Sauna, jacuzzi y baño turco Salón social Un inmueble que lo tiene todo: lujo, comodidad y excelente ubicación.</t>
  </si>
  <si>
    <t>CALLE 5 No. 28-01</t>
  </si>
  <si>
    <t>https://lh3.googleusercontent.com/pw/AP1GczMIBRiRYSoLlV70h7zUpV3XjL3VGYWehgeZviWg7zjgYcSdvezzZdjILQQmSI95DL_YiqJ6zGM1bGjdDByywxJA6YaxwNXIUHGX9g8mhhyC8XXgv6iI=w1200|https://lh3.googleusercontent.com/pw/AP1GczOIRdpsh4VWmEcRPFZZB65Ii-vlmlDMH24Y1jbYtR3HXEY4oGUJMbp-vQv1aV3YgpE4z5gtff-qGsuPybCF5IOniF3mWjUPLFaZ10iBelkzaIex7rod=w1200|https://lh3.googleusercontent.com/pw/AP1GczPvodOkejcGd9SBKeSvysPhFPyITx_1mfeklHZmFMlASkT2R1HFQsyn3RadrP9ISyeuBdAV3uHMkdeLuZIUvy0cTgs3saoiqM4alTrN7oWeYwjlDf9s=w1200|https://lh3.googleusercontent.com/pw/AP1GczN_toxKrMCkzj5dUcsJMkhLsEAhxsEf81OMW-V5awg1E_C9-qMn6BTzY7kGM5hnSuRoXPU44JqvDYzEd_7tA0G4jPV6JLnPXrg3vAPGbU4E7ZaaQCC0=w1200|https://lh3.googleusercontent.com/pw/AP1GczM_Cn1qzQ6yMfXIPIqNVT_N77mYJJv5mn7BNNPeOHZXqp9N0LfdaAuZ0Ub2gMf3-3DSFkNRxp8WOscrAIQj9dLMFcpm1ZuV6lj0lwpfIRZl2PGAarn-=w1200|https://lh3.googleusercontent.com/pw/AP1GczOND8uga_QzfxG4E6Z8T67K3IsO0-64S4qlA-9SNH-Szr_mMEMF3V1LpmwvlZsO8vu3NJc3NvEKhSAp-5vgAl2Jl1iL8_apr1Hl7OLTGMk1G0N5NIhD=w1200|https://lh3.googleusercontent.com/pw/AP1GczOMMuvvKbaIb5b9B8N9-Mv1xymKj441siJch6mT-fI25RVzU7QhqNnsl4j_bM0sZvbAcbAAHM04DMYaPbhFn_3L1R4cLicqDHvxWin4r0pT5z3-07Sk=w1200|https://lh3.googleusercontent.com/pw/AP1GczMjkp1KwhAAATxO3_ZDKT095U4k-Y3s7fdB-GWj9M2h318m--tKQfFWVqi9yY6d856OR3EbqLgZI937I79ymLQnpIpBG2PRz178rlv749apaSQzkB6R=w1200|https://lh3.googleusercontent.com/pw/AP1GczOd5J3FJ7MBHKvKeVEkQKsgza8LnLsKBEAL-iTfVZq8u3YD2osndj1Ilh0Br0vEk8o4bOIkTKsLOKiAkOcFPNOLkW3H6kjsbum0EuxxYST-pcr_6dBD=w1200|https://lh3.googleusercontent.com/pw/AP1GczPhPzLi_uvuyfYLVcvx1OBp6pyRjr2TnDV2n3ZgK4WEtuH6fc2VbSgTP5yWvPF1WJQ2sruUIEjasQTwHigwaDJKc-KzV-7wSq37pMLLZcXP6B1TV-28=w1200|https://lh3.googleusercontent.com/pw/AP1GczPu2pCeIMhJbxVBvsQW1nJbthiQl_4iMeJ18qt-uORPnFXM9sBgtjUxuKRD6000NtRPgNcKxy-ZVLTbepsiYaYWIFAHAwNAPH-c9364j-9uJfq9C8db=w1200|https://lh3.googleusercontent.com/pw/AP1GczPTFofD2s_PoKngmna-NIBISt4X0rrwm7i10D1PZVyy3Gmjx-WzVsavJjpYhN_Q1-futw3UfNXCCncly3jsLYjpPD8xws_GmOO4UKMaNIsLxv9_irLG=w1200|https://lh3.googleusercontent.com/pw/AP1GczOw8aGNXZ3_2ZZyGAHdlUPTf9HfNZ9PLntwxUXie92-CflrLn4bK1dW_V16TlYPMX73LyM5ribcD3yi2WfuoN3dCX5EuvtikITu4cNE5MxC6YZZIrWt=w1200|https://lh3.googleusercontent.com/pw/AP1GczPIj1UVMf9iErWXpzzko0RY7ZrVkvIpqe7ps6Pm9ze_qw-fTHq5QHWx6YNSip9AfV92IqOCeQGZC_cTGdg1lXkmgnm3-jpdZX2q3njXqbfJ3xNLFQ_y=w1200|https://lh3.googleusercontent.com/pw/AP1GczM4MTdOMjVT6abaveN8k2XR4b-fNcMBusmeodsW9H6fWIyhWV7NlOYdr-TLzCFksm-6ERg0bvYZy31c6vtq7xBtT0ZaKC5sayfep11xtnk4plJxR8Wv=w1200|https://lh3.googleusercontent.com/pw/AP1GczMh9fTlm4cDAN6iJsDn0mvW77mDQig26IK2q50VmlyTfuksUrqEnNGlZ3UUVJlUI16W8zt1KdwH9NoUSnbSKWU5orKMuJKY6OLs7MSSLOz2SDcIZmwF=w1200|https://lh3.googleusercontent.com/pw/AP1GczPHPS3DesrjBuPkeq3jRqc5CKFij5XSToKcOLKsizXyX2I0qgMhKHlmglhELe8gTbSSE6ceAyDuQ9IM2GEkq51fhDnAAeujqpmk0YAfskxINaOtfmiW=w1200</t>
  </si>
  <si>
    <t>1739</t>
  </si>
  <si>
    <t>Casa de 3 locales, 1 apartamento y 1 apartaestudio en barrio Villa Regina</t>
  </si>
  <si>
    <t>Villa Regina</t>
  </si>
  <si>
    <t>https://photos.app.goo.gl/WXvsDsDkXAHqLN3w7</t>
  </si>
  <si>
    <t xml:space="preserve">¡PROPIEDAD ESQUINERA RENTABLE EN VENTA!   Área construida: 180 m², Área de lote: 96 m²    Primer piso: 3 locales amplios. Local esquinero con baño interno, 2 locales con baño compartido.    Segundo piso: Apartamento: Sala-comedor, cocina semi integral, zona de lavandería, 1 baño, sin parqueadero, comparte agua y gas con el apartaestudio. Apartaestudio: Sala independiente, habitación en un solo ambiente, cocina semi integral, 1 baño, zona de lavandería, balcón con vista a la calle, sin parqueadero, comparte agua y gas con el apartamento, comparte energía con un local.   Oportunidad única: ideal para renta, negocio y vivienda en una zona estratégica. </t>
  </si>
  <si>
    <t>3102312512  PROPIETARIO</t>
  </si>
  <si>
    <t>CALLE 18No. 42-72</t>
  </si>
  <si>
    <t>https://lh3.googleusercontent.com/pw/AP1GczO5nYb4T1uk7REaWNNEGAFBphsj_L11kEnNc3vbIiPA4B_21FAS9K3l7s-Qb48bnt6b-avqQ41pGvdQJ92bBbv_GR6gsUFh8VCoe3TGjJO2CXP7sSng=w1200|https://lh3.googleusercontent.com/pw/AP1GczNaVzcP0coEjMe3j9iHZ4pzTKZnfP9yrNsWJR0tvfQWk4G7oWW1DFCRejHUNwV1I1YBdXmCQj-UyRT_Z_eMIaVhHNhzYSHAj6IbmFJ4oXUaVIePIpu2=w1200|https://lh3.googleusercontent.com/pw/AP1GczM_nxcv7tLlHpcgEpR4TYOFMifqljoKEMe_Del8wMw_3Hh6B7ZHace8zkNPxWp4pLtJT14NKpVpxKXAqq4aU0YH5PuTGus4MbdJN-KtWf5NJ6P0UR6I=w1200|https://lh3.googleusercontent.com/pw/AP1GczPlllXNIjBjI9rr0qE_jQTW_CMAWYArVQSpCmxN6idCj76maGXrUug3_up3K650SmF0Bok7OA7BrQNEPrKSFrDFpUcOynPWv7ubGUzIyyMkMaUpGDGG=w1200|https://lh3.googleusercontent.com/pw/AP1GczMQI5r1mf6E7mr7q-UuBB5_59QXRwWfqzVpA52uCRpK6cGY9fWTsjaqFJ4_2F7dvLHSFfFR9cegODToppcse7U2XN0OVX_Z-NOn4y0cvmQseyMJPzNp=w1200|https://lh3.googleusercontent.com/pw/AP1GczOrLhPS8tovFOJLgnYOh8X6dXrO56raRbml-PFNHUhg-wSTlPKc9j3KK2bN_rngfTfTaV1xbx7vz3EA8E2p4d_7fL8zqBw6khtCQH6GTnjz7DeaBAAh=w1200|https://lh3.googleusercontent.com/pw/AP1GczPQVSQR7OlskhR8QG86fqZp5hp5BgCN0M7-x8L7KUKKJb3V8qvXHGJpC8x7fmt9KPTXkgGyUczANBfyOyAVTk0ScAUqtFWDdCi7GluAGTYXF-mBJJH2=w1200|https://lh3.googleusercontent.com/pw/AP1GczM7sqKoGL8BE-BY3Wli3V0LYXKZ0Y_otaV2vWMoAerUUHhK-5Bh1sSxh-N_A3ENM1dxiR5PQqtgZW8M_jtE7ZGlyumcERmV2ZwcjCVoputGRpGT-w57=w1200|https://lh3.googleusercontent.com/pw/AP1GczPRA1EmUfm3Um1zPhIeUUn3B7wCYcZ0yBJqgEKVp0GfaLrNfPyATbFFKyGAd3tYYmECybTNKxNivS5bGfcbtrd4kIwWg5GoDoV53zdKjoAYaiUBQTnG=w1200|https://lh3.googleusercontent.com/pw/AP1GczMmo52m3liWtm-keA2Ce16KC2lELLqk-MIQvuhLkvK_8PkOvo8XHXbEBGa_lyqRsP2lg3F2IaXIpy_4HHXDx0jU7oqSXrMxG1QbmmW0pxxhE-6AyqTL=w1200|https://lh3.googleusercontent.com/pw/AP1GczPcegFvGzTYCfKn3JqLVRUVfGohFPZf-sxVjqKEPheV5img2CbqKGaQPm1uQazdUyXjEL4KT3aeGAJYGEDWhUhm1XZT8Wlbql7taNJoLSldeOQXyZAP=w1200|https://lh3.googleusercontent.com/pw/AP1GczPw79pun_yQ8Drf2YnKAk08SrLOsqoQ-RJs9FTTmOI5RbgklI5W9RmbNjZUSvrr_teR_Pp-bXlnEUAXNx-kFd4pwRorytVyDNFNcg6nklk261sgKADF=w1200|https://lh3.googleusercontent.com/pw/AP1GczOtu4CDTsqvfN9SZ4EyGeZL0Hqmp-yGkFZFFIH8yOwdjRkzxfR7FO08nR7xecQdkUUudsPk6tyQieepp7ngkVvGCxhNcXuIVTyAIZNZqemyF1XC4PNY=w1200|https://lh3.googleusercontent.com/pw/AP1GczNq1eYnauJeiehA1VWhJfcqGwtdWCtiI34wqZeZeQ69Q6HZP0PymKA-UK74KqhX-HPjQBwND2V-f0ZuPgiNk-dMzszN08rdfZQJT8EjV3OiIKh4pKfE=w1200|https://lh3.googleusercontent.com/pw/AP1GczOZwD-fN4f9K6eE_S38Ai95XMesxATwHplEjYv_dX1mvCl2_dhJCnei-Xv6VD--FugcEHTN5BK8deVvmaQEguZN4bUIjqbOLKN4U0pv0t_pozFPDZf2=w1200|https://lh3.googleusercontent.com/pw/AP1GczPzXN9chLW9QLY-l8tugBDrFmxqxc30pmH_3CkpkhRM_2gbYfLyVP1nIKzoF8IexV3zpSTRPU4RfvosDrVQ0JiwZCKDMmkaynoHOrpFzyPO53-pceQY=w1200|https://lh3.googleusercontent.com/pw/AP1GczM3f_7mPKpKYNI9-mkm4Zbgj65BaKusAcCC_VtWj3tujKXVuZeRFVtFcyIAIHE76RuLu-naXHiEC3DpEO10rTng6j4hrAUpA0byQy2no1RjyPGN935g=w1200|https://lh3.googleusercontent.com/pw/AP1GczP4xIG7U7EJ0D8f5JMAMdZlfJZuuV2J6f--ulLlcwFykCbnRdf0kcwQ6SppPJmiKQjk1NfhBYKFMaNfQ5oIYIg46oQKc5prRKfyGyt5M2yNBXBOBV-l=w1200|https://lh3.googleusercontent.com/pw/AP1GczOVUZrspdqDDpRjMUYEnkmsupHBr9x0E49mWVL0x7MXKwGpbLSYCLWN6GtnbpMPdzP76s5hf4Bi1PixeoJZMp5k5HE6RgKAAbgiEz_Oqvj7e-EQxxio=w1200|https://lh3.googleusercontent.com/pw/AP1GczPFfw-L3vSo5JZjQshyqiSIq9h1g65CwVOA5d3dKqyFy5tnydid-zDXMkDR0C0ym2hm3KbvHV7aEAG5AwZNNA4VPH6B4N_mSr3VExOWQpI2Wqx-uELG=w1200|https://lh3.googleusercontent.com/pw/AP1GczNHcQ__NYZGuS2KnfKWrdW8_eb6JOEuG42FV5eg8Q7WSuGVJFs3eQ4R07bddtR4Mpssd0Exhf2U3ZLO8TJNzMZ_QpTmVhM10HQDfFnGJcbmlnK6ugGZ=w1200|https://lh3.googleusercontent.com/pw/AP1GczMNqnHh_ypM8T6S6WLMeFc2mwNW_2ccP5ftvMGrZ8KpdZjf1MkkHSkZGIVJYTM2YOSqdnO6BlDfp-4Fo4juDvJKSLXsvIQO_Wx-KR_tRzNJCZ_CYXVb=w1200|https://lh3.googleusercontent.com/pw/AP1GczOkgHhCqFQBWm_ytDZDwJQLlt-ww5nU40JyikEffhVBmGDIdTA0FeFiwm-OoC6Qntiqr60ptBwg1DTsDMwpIXHsiETyfFlD7jWLK78K2Z4zYNIlCYI0=w1200|https://lh3.googleusercontent.com/pw/AP1GczPNFV7uwMMwuHa6iXipe2tjcnhuGMbXahfQfLT6E04r_2yMss5FArzIpS8OEUN4kvKnCgcuTYWYHM1RT2yJ-9BQLKF5rBs2K6SoBbdrAm1Rag0Da0t9=w1200|https://lh3.googleusercontent.com/pw/AP1GczP-l3_Ip0qSi3ZBFBEAFlPbTibnEWBGEqHfm-QknO-W-fhs5l6-Y6FEghAee0kN__j1RrLvEnVYcrqBfwuf2ytP0l8axj3-KjZKg8SxdIxD8xpQuNsV=w1200|https://lh3.googleusercontent.com/pw/AP1GczOw0iNGGNRDWidn3R1PHU4cv5Bln5aPCgPBOxXkS6vZBymvatkzBDMpzDFsRpcm2V2Alec0tOvdnxsIJyW87ZgTAX4T1QPVFPlkhfLzukL63iDgnkBI=w1200|https://lh3.googleusercontent.com/pw/AP1GczPkMHL6uzaR2lsCQsc8_aXdvYE9tWTTtiAsV-zZyN8unsi5T56E1OewLx3tlF1xyrODxnDik2FfrWC77cqzRpMl35zTK2R4NnU4DP0InbJ57rGmWXrj=w1200|https://lh3.googleusercontent.com/pw/AP1GczO7ZvnnZSVh9cixND5EFqE-16V7Y97Wtgd_MkIMFGnVYVO6wnpf1hlDtK7SEMckvHl-zFo9b0mVhWO2y5kwYVN5pE-BhGzFDX4JoJ5-A9izIIZkyowI=w1200</t>
  </si>
  <si>
    <t>1660</t>
  </si>
  <si>
    <t>Finca campestre en Rivera - Huila</t>
  </si>
  <si>
    <t>https://photos.app.goo.gl/2aGpJXVnmwJrN1JUA</t>
  </si>
  <si>
    <t>La finca cuenta con un área aproximada de 3 hectáreas, excelentes vías de acceso por a placa huella; consta de casa principal con habitaciones amobladas con camas y camarotes, sala, cocina, baños independientes. 4 Habitaciones privadas con su respectiva cama y baño privado, Piscina de agua natural, Kiosco, amplias zonas verdes, espacio para fogata, cocina amplia con hornilla, horno de barro, cuarto de leña y cuarto amplio de deposito de enceres y sillas, 150 palos de limón común, pesebreras, colinos de plátano, tanque de 3x3 amplio de reserva agua, herramientas de campo motor picadora y guadaña.</t>
  </si>
  <si>
    <t>Por la finca atraviesa un riachuelo, casa para mayordomo, cancha de vóleibol o micro futbol.  Cuenta con servicios de agua, energía y gas.</t>
  </si>
  <si>
    <t>15 - SINDY MARCELA, 15 - JOSE LOZANO</t>
  </si>
  <si>
    <t>https://lh3.googleusercontent.com/pw/AP1GczMYj-Kc83ylQBCtz7ytlnSHQT7Das27r6qwvmDUieJ3y8aZqVMyVUdoWie12Jx0_D_tDE-h0qpSgLh4tACNme8uTr2d-ghsD4hDhYgr13yCtoI5CwzE=w1200|https://lh3.googleusercontent.com/pw/AP1GczMpBkTDzB900r0zHNivWVkHGyI54izfBcX2LTu4eXfCvj-GlfBT6VR94a-FrM5NNG-h9hw-HawA_4U72xQwlspqHyvDYLv5bKsXSXnahaxspbLszOEy=w1200|https://lh3.googleusercontent.com/pw/AP1GczN4XNmCLyWrSdeAEIup_sR7pf2fOffyasUQ_FLU5dQhPYVMLGIbZljq1FtkrNRWh-ssQnQ5GNCNtUJ8OgwmGFi3aXgP3lUDpmLGHKd4LfEyFwSSq_ry=w1200|https://lh3.googleusercontent.com/pw/AP1GczNKKzRrdM4cB-7WTRTSK0goJAq75PmISFc6T93MehCz_ME1RKZAM96Klb3gs9Y2OL1P4Bz34m1yDMxkOcQe3k7vIg4N6eTJ8vNv1UcSwGd4xOEJ5WEu=w1200|https://lh3.googleusercontent.com/pw/AP1GczO8BBaqdpr-Oo94yetAsItQSpiMJlTzfwQn93RorM6TyP8GsOsV_12LfRXr60GFhwGczpJX-G4WjyUCck0S3c13LgKkGtxoNqrSMszfWcsXygmv2i3d=w1200|https://lh3.googleusercontent.com/pw/AP1GczPtsbHv1MXFGM_icgDvDlt--CJoIIRkQlZlzgIRv4S3FCseAG1t5A6BglUvNj8-GKBvTHYfxKx6fJFz0dbnjYx4-DuQsxRop53MuMz-1Uvy3n_J5OiO=w1200</t>
  </si>
  <si>
    <t>912</t>
  </si>
  <si>
    <t>Casa con un apartaestudio y dos locales en barrio Sevilla</t>
  </si>
  <si>
    <t>https://photos.app.goo.gl/xZQqFfPcjaiK5Ky9A</t>
  </si>
  <si>
    <t>Casa esquinera con 171 mts2 estrato 2 consta de: 3 habitaciones 2 con baño, sala comedor, cocina semi-integral, zona de lavandería, patio, baño social, garaje, cuenta con 2 locales, 1 Aparta estudio con entrada independiente, pisos en cerámica, techo en Machimbre tipo español.</t>
  </si>
  <si>
    <t>3012305496-3172307994 PROPIETARIO</t>
  </si>
  <si>
    <t>PROPIETARIO IRMA - BRANT MILLER- INMOBILIARIA CASA &amp; CASA</t>
  </si>
  <si>
    <t>CARRERA 6 NO.XXX-22</t>
  </si>
  <si>
    <t>https://lh3.googleusercontent.com/pw/AP1GczPLo5Q331sbe9YG4Mi9fH1FRORONzn-SYT9WOZuzs8S_AnhXRZAnas2vvJ2-Cx-cJqXSip1IyVUFFYXZi3r8TYeT4PgJNuSMmGFwnJGcXzTjN85o7Ll=w1200|https://lh3.googleusercontent.com/pw/AP1GczP7RUimfVxtA8SwNEEyyiAOEZMOgc-P9GWfe7EPd6Rer-kIg5Et8H3dgSAmh1aCc21NjD9t9QWkW-1FiYgLEe4roKnr1lx5eCEl_zfNAaDnFQGYJ-MT=w1200|https://lh3.googleusercontent.com/pw/AP1GczPAWVx-YXXte2ohAua27OF9xoNwuYtvsBh5e7dE13ZOUeDjASRIoMMpgw91afZNOHjdfgWxofu1Plq4OrwhP4618hrQE_ICi3vohT7ftFWavClT1dPV=w1200|https://lh3.googleusercontent.com/pw/AP1GczOvplp8R-dFJezR_PQtWm9wvej6FKIpzN87K7G6w6brXY9vh4J8qb6K4guoItjiMgh9fFEJA_dr98LlU_mCneE7QXhv39whocvE1P19wJuin82EufRX=w1200|https://lh3.googleusercontent.com/pw/AP1GczMZEZtkDpokxw_lkKWcpXkF2-fE-7RI1ndpiLL0-RYbIyp4_foURK_3qFlp6212tuv4VyX9LWXYYI1pihV4z1yN98vAe6QARQ6AyeSu0A2YM9oIBV7K=w1200|https://lh3.googleusercontent.com/pw/AP1GczMAM1xM-bigovV0DlpXOzN-CouhQ79PEeXUfG8lvJgdOXBvdvZzEpcUEfG5bMPVrHwzKqXlF3Wz-KRbwIitrD7AT2dLfhNSPNAM9ALyXEJe1S59hC3a=w1200|https://lh3.googleusercontent.com/pw/AP1GczMor3UuszLYfqiNjv_APOI3sRvVO_LslUxZSLCfRv7z7aVfuHghdqQPLVEPQUqlA8Ww7MCQZn6LJX6slLUE1dpiNNsWCIkdF6KhRvDpvVTHW1ZBOCTq=w1200|https://lh3.googleusercontent.com/pw/AP1GczPG4-s_mtE200Yz8sZ77rKG7b91UISwlgRfimhRWis3OQSezQbqaYPh9UTTu7EdhS9Lk826wWwO7bX576LEChp7ReoObfjam0OiAejHl59Je49C4hi9=w1200|https://lh3.googleusercontent.com/pw/AP1GczM99CMa7dz5ftA62NOypiZPcPHzqUphhqxQG4k57tmwrROhK7zhVkaq6WaHyrrBwg6JDwPYe1yLCFafJa_WFykfLVMUvwIY_GWxP8t39tXUhKfAda4u=w1200|https://lh3.googleusercontent.com/pw/AP1GczOWCJ5EiqHWnCy_dIdH8uEvJHIzpYZFAYa3oNHBjzVgjD6vD7n28ZKx3hGGrzzt-11wxfGl_pcIkEJpNr2PUl_T7cvNuWwQOLkOcw321nx18hOfs1m0=w1200|https://lh3.googleusercontent.com/pw/AP1GczMOYHgbVKyq5RG8FE_aIKqSjYHOVNRjVaGi-67dCqv6_UPvH7blVrb9IdnxR4a3MZJRFO6ofwGYxemS6cdG39xNwW_XkOZb7QvdFdftjkPjx_mnIA5U=w1200|https://lh3.googleusercontent.com/pw/AP1GczPiyJsd-COrwrZqBML6LWopMzpMntBfcTNSNEqY0zT-RnhvzMALpTf3wWpyLmt1R3qbZPAJd7YsKju05j5RgWdHWa-C4Rs9ZgHrNdozdnkWNSvHpbh9=w1200|https://lh3.googleusercontent.com/pw/AP1GczM0Ol29TITRNr5VKEcln0GYxFSzXm5HJlcsLaij0fZaK3eSUEXuIx6onFR0gktiVsrUmZX5iYrw-3z121_PvDVOGx9qbM5kQHvGVkFVugA0WsI647Gz=w1200|https://lh3.googleusercontent.com/pw/AP1GczOaypFfuKRnXcwGkJHp-wSPS5hDbAitmei5SDoivWUZPwFaYiUWc0LQONOjs-vnKBqzqqLyes2WqRzhLv_Rg5iygpYI4Y2he5t014h6xjJOMPpqVMaO=w1200|https://lh3.googleusercontent.com/pw/AP1GczPh9kCZTs0ETIivaf9A9j9R6ULr4GN7sBuIXgYAKAAg7yGv130hTnlhUaTr1ZWu7dkx_PR-xN26kNMBjB4Kmb5KWk43GjDqezhoz2-49uln-VJkYpQK=w1200|https://lh3.googleusercontent.com/pw/AP1GczMFuqWI85fNTkt_Du0pqUs2JNjiIS_yT_NEC8FtXi2FdqkSygbkE8l7vI3tec2II2Beg9ouXr4V6UWO8ctOCjabpbAlK-QbVKrJ05itLF5fEGOl_wxh=w1200|https://lh3.googleusercontent.com/pw/AP1GczOXNdihgP9MKOPhFtIyMWYoBe8XfyVMvgEGcxsP8WHHZ3Ab8eowAWc0B746pLmv0K2VTe_gtFcFjoCey1PkxejFEjT-pJMAPV8cbKcKxWxVyfkeb92G=w1200|https://lh3.googleusercontent.com/pw/AP1GczOYpFGbR14CZgHmzP06j8ej12S2XXwahgwyRmPT474vV08ERgUuPyShfeblYiIYPSeISBqDXdRNvE-0TfffC8uYJfIgzeHw3jsLpNZuinwukDMZKKDa=w1200|https://lh3.googleusercontent.com/pw/AP1GczPeN9rAVe2LV8rvEYXS7Zq9MNslS61ehRlal-R0i6bp1G6pl4Ch6Eup4MK-bT7eCqSvlk9fOucRHUW6UV8xN6pDLqNGtwcOfBAherC6m3LVJ9BkAXyL=w1200|https://lh3.googleusercontent.com/pw/AP1GczP1C8nX63LKbiysSCIKT-FnhOlvzlsNxORwvGHYQaKVNLOu3g4AhTUOxeTrEkUQdt6mSgRjNvv3bIi9C8C7Puh3fbJWTLfQevsDx2YTR4g-YmbXoZWd=w1200|https://lh3.googleusercontent.com/pw/AP1GczNK7a_A771EH67_Vpq3Slp1NSzStYCR_QmSPCAKMIeG534LL0djnI-QwSmymTqMwfePk8YtBpumh0fElA6gZ-UC5242PtnTYmhfONNTe9Br94liEkia=w1200|https://lh3.googleusercontent.com/pw/AP1GczOtzu6qHKbOJxGGg5THp8KtEjtuBDT-xgVb9kem0Ym7MWi-m4bm2vIySPtcXDGARLm0XdMDqiTzH4aT5NziiqMLV4Vh6q78ptNMUiq7uvurvvjp0B_b=w1200|https://lh3.googleusercontent.com/pw/AP1GczOm5GJNFmsbeCHTZi2XL-uE6354gpyyQyrcvsaceollez0U_5_HrXdDa1-oHwjqDj_ZHsosqqZtmfXZHwexZ2-Z4yOOj2uPGQJFrcDEUE4sTKVGYop8=w1200|https://lh3.googleusercontent.com/pw/AP1GczO6siIkWK6usxCTXyihif5jsqJRlhw8VasJvP8PiO21rShiG6pFH-KFGPNg8m3ruskFWHJNLL45JkSEwwVfydhPes3qOmiuI4talxzy07aCQToVZKhZ=w1200|https://lh3.googleusercontent.com/pw/AP1GczOhSbRP1QzrrLq-uuTD99ZoKxlWXPKIZ4WskWhFFuicctbdvFwoL91JDfF5ppaQSb9p-BnTRHLh0rDvkJOwxTURV5H43WT1UcAQX5e0ovSVIjgR1M5P=w1200|https://lh3.googleusercontent.com/pw/AP1GczN63pws2TgN-g9KUuc0T8sX-nz-_kaWnOUH30TvN6ueZBtRnxvmMUSPSbH2fAVIrafXsmlQ2xYxwx-w7i9dsUUWsvKw7UtUkUN3SBdPI_rFMyh9S3Rr=w1200|https://lh3.googleusercontent.com/pw/AP1GczPr6x1xGJJXf3_HllcuVuEcuzkLCwUO4EiYHq5oR0i8H6INp6T1YYutbl42GrGanFQk-Iiyx6M4BBT6eAthfMYwXyVbgIzbYzUhjZe3XSjLwvIG15iZ=w1200</t>
  </si>
  <si>
    <t>330</t>
  </si>
  <si>
    <t>Penthouse en conjunto Bosques de Santa Ana</t>
  </si>
  <si>
    <t>Apartamento</t>
  </si>
  <si>
    <t>El Vergel</t>
  </si>
  <si>
    <t>Bosques de Santa Ana</t>
  </si>
  <si>
    <t>Ubicado en el octavo piso, depósito</t>
  </si>
  <si>
    <t xml:space="preserve">CARRERA 42 NO. 18A - 08 </t>
  </si>
  <si>
    <t>1687</t>
  </si>
  <si>
    <t>Casa en conjunto Prado Alto</t>
  </si>
  <si>
    <t>Conjunto Condominio Prado Alto</t>
  </si>
  <si>
    <t>https://photos.app.goo.gl/TGt2f1jyWRnTtP9N8</t>
  </si>
  <si>
    <t>Casa de 2 pisos ubicada en uno de los sectores más exclusivos y centrales de la ciudad. Perfecta para quienes buscan seguridad, tranquilidad y una excelente calidad de vida. Distribución del inmueble: Primer Piso: Parqueadero privado. Sala amplia y comedor independiente. Estudio ideal para home office. Cocina integral con barra auxiliar. Zona de lavandería con alacena. Depósitos uno interno y el otro externo. Baño de visitas. Amplia terraza interna. Acceso directo a reserva natural, perfecta para disfrutar de la tranquilidad y el aire puro. Segundo Piso: Sala de televisión o habitación sin closet 3 habitaciones con excelente iluminación. Baño auxiliar. Habitación principal con baño privado y vista privilegiada. Closets en madera de alta calidad.</t>
  </si>
  <si>
    <t>Casa bien ubicada y con buenos acabados.</t>
  </si>
  <si>
    <t>https://lh3.googleusercontent.com/pw/AP1GczMlNo0IE1rNsrW_-MKZRiaY7CGprxzjmSJBNQIZXBAJOVPNKcXZ4M0H1obIgT424OgTeqW0PmNqwXMjHXlFk2mcqvKACU_gGAD_77Tb8F4CgRIf5hcW=w1200|https://lh3.googleusercontent.com/pw/AP1GczOUjokWC-94oCrnOWVrKHmV_nP8y0oRXDH9A7YrD3ifuuO4OOQsdPTDBawQiV40AOkZgM2O1FsxzFBLX9_cpl-ahrKb135K7Z_-TkQQ_zmMG-Fs0h9O=w1200|https://lh3.googleusercontent.com/pw/AP1GczPGKwxiIZKfDf6nRlSnQ5wuqyUzZ6GXDjL8bQOzv3F67PY6x-QKxv_Ss5itvSwzx-FZugNlvMWmVvoNGPU9lCIwfpVsDrjqyRCQuHxIlm0-7S3kbRVw=w1200|https://lh3.googleusercontent.com/pw/AP1GczPYKqUFa9owmUDEO4V8DLqbXF3iW3OhwZS6CrNSJezfJlcsSvPMfjMO9Q2nafZ27BRTUtJHZbFuNfhi0Vo1L4YQDyGox76G731hpT1BGtN0gg-84Rum=w1200|https://lh3.googleusercontent.com/pw/AP1GczOY17viyNHR283oc472IqleoReEP4IlKs6WPkiQ6qlYloEkNugH2JYUtFdB5sRe5q1qi7-LkYHmU0zNpFYfABtubn4RD4eNgL7QxoAy_uAGeprPCOmh=w1200|https://lh3.googleusercontent.com/pw/AP1GczMaxxKa2_946ncsSxqb4ymo7lEQlQxaqtBTmEe9XJv7yJ4o_tvXcuSfrAXZLFSkEuVftmGFaKTgn9JUWXW8FKVXW7jyEe1wbfIj1kMhWs9gRySgGkKl=w1200|https://lh3.googleusercontent.com/pw/AP1GczOp8Q7XKOZnKY3_X9a_dxZreyK4jjwBzaOvUGbsFBeXIUqfaVEO-sGyNyAWVnEqxWYueWtC16eJIWw14FbwPq9Z2wapyLY07k90rH4f1Ru-FB6hQdLD=w1200|https://lh3.googleusercontent.com/pw/AP1GczMlCT6bReJJa8KuGMiih7_ncM5wW7P6QFEsCAT7VEMAbiKVKSx9EbHVG9DqpcbOv_6Be6-B14W68P730guyHHLPEsWHUmIJ11cP9yKn_UA5YgeRlyJs=w1200|https://lh3.googleusercontent.com/pw/AP1GczPjsUbSHtbz9_SXSa9-0NRPYIz2DOW_meFT3Sx86I0BpGnDiAWTPE6F2gy6oDNyoOoFYffoX28h2ndkT7PCGdbx2UUg7IufwpDirFp5E1uMDw_juAHw=w1200|https://lh3.googleusercontent.com/pw/AP1GczOwmpxf6yvGE-KvxqWFdrmpUeWPiBO-kw45jQSlZMMRiIPPni6UQCrJnHAhvVSzanQMV8QY30cFmM3IjB1_6tkho4m6JiZ5ecVceB5TWzBZY2_RoR_V=w1200|https://lh3.googleusercontent.com/pw/AP1GczNxtHVw3Oe8dxxdMTHxjwOZ-2QnPdZ36f6bonkL4Ws704YYIg-VOSLnAKe5C2SymaKxSDKhuqg6ZgK116D27SzMsltqTpCekUMuHIi_2U8ox48DLiyf=w1200|https://lh3.googleusercontent.com/pw/AP1GczPx_mnE5XVhpv6m6ZoaTsAq2qI9zcp9l09lCQQm20ZoWWY_9eu-PYP5DSLvPgjPAPONa5ZcEV_F-xV9alVCm5-jMTJSuQo94lngyw5MQYM5xiMvnZbk=w1200|https://lh3.googleusercontent.com/pw/AP1GczOaJJT1twu3pUIYqSV2QCAq-jSfnaKJknYoUKxyEznHVnWt64987Knz8_MRGvFu_n_cyuAaE5fW7nQbHBr6SaZobZEYHJN_hH6ytJy_q_waTqRjM2Hp=w1200|https://lh3.googleusercontent.com/pw/AP1GczPkW4pWiyDfQAtc3xXMiQv9eYNSA9p7mWzo9sYLQCpjchTWUAtvSVHwHC1qpfv8_f1-KMM_N_CfcQfAkkwrQF7_R02iKQAyTHpWPxfFh6uAq0DiUypb=w1200|https://lh3.googleusercontent.com/pw/AP1GczPdxmI2QQwOhT-uDxv02YSLGu4deGGFBPXNNBdS7toL60v8dV5Zo0FQcu8dLie24yWoioKh8HGm9HLFToFKGuX7mdLQcTCONq6moo4WCPkYXZXthyUH=w1200|https://lh3.googleusercontent.com/pw/AP1GczPMROHu5_wNTqNdiMvL1CqiDfk7PYI8cU7lq3kFqQ0B3bbYxxaTi_Bp2_Q01V_EO1tVboxy_XnjS5LW0REFDJAJhCv6HAuRc1roYETNGNWUyE0c4ZyD=w1200|https://lh3.googleusercontent.com/pw/AP1GczNfKwo8xJjBLvSCQQsEwst4p43otLPGmB_idtnsGz9okyd7L6y79fSredFYLQWjEcAICJLoCzAqapl4ZeXfub467Gbsp9589Hr14QQQNHz8Nkfud5rc=w1200|https://lh3.googleusercontent.com/pw/AP1GczNw_VheVs4EMd217e1g6VYg5EkwVyuP8hzg9WAyfGpnSJDGGu2XUnpjwXggSJKxes5b9BvhTlUVHH4Swkljfc8FXuNq5ZpIMCX4HtoJJIrzUzh2vK25=w1200|https://lh3.googleusercontent.com/pw/AP1GczOLJ91mezaWZtbdI_8s1pjy_585rP8oQ3eVRNokbgV-PHtDyyLtuRDp9GnLwDRJKvINcp1PRIMbMcqxUHDG6L5PepuzPD5jLDLx8bXDLtHtQr4TVtSp=w1200|https://lh3.googleusercontent.com/pw/AP1GczMeDwEuUAv3xV2EWNviz-KyfxxlCfNfokqkgZgafofqxjH5CoxYe2EHY8-yqkGaNTmZebvtCwmiDJqnFyUoVqXje1gw_XJGa1rF4UYjixjpbgsA6clP=w1200|https://lh3.googleusercontent.com/pw/AP1GczM6OTtiKpYqtewwtuaripNGDhLCeXqzOz9oE-nqUsC3in8YrZLUWdObILc4bnSyvbAKA25sqQl08jh5i4gPPr3W12fwxhYpYoi-IRQ8ykxDW_Gii9X9=w1200|https://lh3.googleusercontent.com/pw/AP1GczOhjqgsLEt744ATqPknojFXgTTFPYBO5OXt0UPLKMXQd4KrYG4zhmwrmEMhXXIzXzndD_0fX3iFuuOCC1eCPZHmaC98ukHUMMY4NJfrvWqNT0KWOrvq=w1200|https://lh3.googleusercontent.com/pw/AP1GczM1yIPscQs6crxr8mHoSZHUAxsF7B0E5UXxY_w6EpDKbqFP89oL9wIC1dtcqo7RdMCcFJxD0cCPaPTkA8ZGpLra0ysYpDCnY5ICp2o_vSgaGHpV13B_=w1200|https://lh3.googleusercontent.com/pw/AP1GczNcCSqtIr3lV3PRleBhaMtzMaTh2qLj8CYAqYjqS_rMY8DnuPwfaZskLA9YO6fBZrP72MIr_YuTmiO7oprdwyw231lzygsUelKc14zqronVI_TyTKJz=w1200</t>
  </si>
  <si>
    <t>1499</t>
  </si>
  <si>
    <t>Lote campestre en urbanización Villa de los Angeles - Palermo</t>
  </si>
  <si>
    <t>Villa de los Angeles</t>
  </si>
  <si>
    <t>https://photos.app.goo.gl/miJXk3Vn6KxRUDot5</t>
  </si>
  <si>
    <t>lote campestre con un área de 1.456 M2, con servicio de energía, agua y alcantarillado, está ubicado en urbanización villa de los ángeles Palermo-Hula.</t>
  </si>
  <si>
    <t>Lote bien ubicado.</t>
  </si>
  <si>
    <t>https://lh3.googleusercontent.com/pw/AP1GczMqr5NsZRQoaI4piI6sKpd5M-TEmaTvSl17-BE097QEzCaww55u8yQ-lEZtw2fWv1Ncs1wTju_F_36mIqxtETlFUd9lVGUjjR9vXjMpiakIL2AI0ZuM=w1200|https://lh3.googleusercontent.com/pw/AP1GczPWx4prwlW2_mlmH4qiJ4kbezmZ7AGAf8g2OH67Dx8t4oeGVrfPFKizlC1lbLM-zxiV3f0zaXxg5dnF-7e73ilI6UEbwlRur11kaD_4VQ375B7LEgvx=w1200|https://lh3.googleusercontent.com/pw/AP1GczMRuTEjnYpXGZiDbepYZ4F1sSFdJ0_qrWyY1-CFv5Q0Z9aTf7kCe9jVO3jMLronyZjd-690WoEULBtJMNinJibQKHAubBEUGXCkSrOHcRK68-Tjdo8u=w1200|https://lh3.googleusercontent.com/pw/AP1GczOFGZEE52AbxmY7PpC78tHI24q1ZcLknBP0J9NrUjAlm8xVG7I9EuWY1B9iovg3p-fXC1pjzNTuME7pfvkWtj_iVk4bMOauGd-Nr2_T7vbYzV_9UK0Z=w1200|https://lh3.googleusercontent.com/pw/AP1GczPwOkrmL8Y6F0WvOPf2F8yDVls7NBO2sN-CawkY7M9EWja4d0RrOvtaLC8GbF2Eg6Jd8BU36LoXmYTUGMIqceJ3OYSOmHKzcfBmUQB1DdWojfVv8bA5=w1200|https://lh3.googleusercontent.com/pw/AP1GczMB5I3-byhnyeDDtABYcrYbBP9WrAtWacvyW7hHBp6cE5DtrpF8Z3QlyUDGhJESmEGyAZ8segbXP4e_5sB87JNiTM-x8cVeyjDe0_Mpe3ZvH0cxCiC0=w1200|https://lh3.googleusercontent.com/pw/AP1GczOHiYW3rQUrOSPBO9isPn9j3NXVXz-uOBADVfmadhYNuInh9nzldAzM_O6rwCWAtaVppZMMSAwW8zo3frKTNGQ3rKHvE8u6FeapzTQTH9ep1z-tfbl7=w1200|https://lh3.googleusercontent.com/pw/AP1GczNZNC3OsOJg3D_bjLEbrot_wdP9CPyfo9Kx8maV8JQSM-czphcHOEVyCdAJ76N78c7-YhveRqv7BB6aFSctgCBrnXomCX-lnThGJDj5Z_m0VXiGWucs=w1200|https://lh3.googleusercontent.com/pw/AP1GczMKBLjvdYnhTFPVbUSGnIutHTB4sI73yvmTurnHrJVt9e4AZQXYYOpPgqfGECBoRrbZJwfV96aZVzTMUE7jtx_VIazuIrISCf7M23IIS6mAsoXl2Ijy=w1200|https://lh3.googleusercontent.com/pw/AP1GczPP-YXy9S4OyQ2kQ-IUAEZqWCrOqHVWUlEE7hJSHMM-YA5_zL48mvLzlUhSsU7wBIqlR8GOZ8VgLUSeu6e6n9qaJHxymczH1qzZK5B8VsZ1wIO3ZIDK=w1200|https://lh3.googleusercontent.com/pw/AP1GczPBO9Ne9VGxhUcaenhHm9jQvLtkE9MbPZSA_kVjyzWCLysit3ekuhDO1QJbYkXwzLdzl_znvS5htLZxCEs-D8nkj-1PSB4CHMlrM_l-zb4402f3SBfZ=w1200|https://lh3.googleusercontent.com/pw/AP1GczOzbmNfUIo9BGESyy7vzFVRNS-AVDZS1arVkVhk_XTJa1N2lk9-je26veHNVmC-oHHOl9MXroLObqh8VVGNF6QljfVeZq8F6U_R2cF3ondPf0aWhej-=w1200|https://lh3.googleusercontent.com/pw/AP1GczMBYi3N3R0HKQINni5NgZHyUAM1acpBFOPO35jgSKL5UelhF1-MTgdsCO-WnNN3mFQKH_ksb0ss8gDuw-TFKxFL5pcskogOtoLgsSSnl1xW2TGc7qMX=w1200|https://lh3.googleusercontent.com/pw/AP1GczMoAPtz2COYLRoSKc8fIYcQurf7icVdJz1mvduF3-SzFUyyfLut0VH6X_kS4sFV0SRAULHfzHjoc4MVd9SY-LHz9Ler2g_dtBZCEOk2U0td7r4S3OgG=w1200</t>
  </si>
  <si>
    <t>1754</t>
  </si>
  <si>
    <t>Apartamento en Conjunto Residencial Tangara Ciudadela Nio - Av. 26</t>
  </si>
  <si>
    <t>Tangara NIO</t>
  </si>
  <si>
    <t>7mo.</t>
  </si>
  <si>
    <t>https://photos.app.goo.gl/cNY2uJopLj7HEEue6</t>
  </si>
  <si>
    <t>Apartamento en un séptimo piso, en una zona de gran valorización, este hermoso apartamento combina elegancia, comodidad y tranquilidad. Distribución del inmueble: sala-comedor amplia y acogedora con aire acondicionado, estudio moderna cocina integral abierta, amplia e iluminada</t>
  </si>
  <si>
    <t>Apartamento bien ubicado y con buenos aacabados.</t>
  </si>
  <si>
    <t>CARRERA 8A No. 43-44 APTO 708  T 1</t>
  </si>
  <si>
    <t>15 - JOSE LOZANO, 40 - ALEJANDRO ROJAS MARIN</t>
  </si>
  <si>
    <t>https://lh3.googleusercontent.com/pw/AP1GczN8haUwFXiZMaPMGm7Ng02eeR6Crva--FaIqoMatJvt1Ag80681tSex6FT3Gn3w0g1lXaPlx-1tflKlHxoBE2Xj0i3_vInX0TZONh3EOkoLnmACfFTn=w1200|https://lh3.googleusercontent.com/pw/AP1GczMRh3amiwbhexpbu2WhP9-EZg7h9Ad8BfD-Ku3fVQi3qwBU1zaybokRYRKMlCnjN6wk2SoSFqQgA3KzFwTrpU9UELZjR8d_LPD2dAyTemDtcCkXABek=w1200|https://lh3.googleusercontent.com/pw/AP1GczPKZt1ivMl1bfBLmm05YZVor34rapq1hgtoEmfpg0NQNv8fvF1oLs9WzPpbA3aJ8ZpXskHRPmXFKLaNrif_zUS1A94v4-Ek-znyeO1tSK0klaU-2Xem=w1200|https://lh3.googleusercontent.com/pw/AP1GczNczYjlMOwPUYICb5ETnYMjqlei4yUJrmavllO2TXbSvKFwXMVXpd6OTLwLfds9GUAUwB_iFVZdPkxTv-pi00ir0vdCBgVw8LQCyH9IN5yLgTRBB_CY=w1200|https://lh3.googleusercontent.com/pw/AP1GczOtJ7cGdhGxzL4X3hfl30tWshyuF3L4GgyCNhH4MWUUnv-xBwE1mRlMlqiOH6SC6KQ239T1VlsnM5HT7Mv0nugJF6bqW5EU6uOVH9CkfWSkrFRXCyFg=w1200|https://lh3.googleusercontent.com/pw/AP1GczMlFepCRMdogg_Q1O1_M6HLrShAlMLoRxaYZmuLqYsjYs86Lwf8gZ1Jy-o9jPnH_-kw6B-FBiAq7wGrZnoajel7htceYyagWJmT-snOKnDn09Wdjbjg=w1200|https://lh3.googleusercontent.com/pw/AP1GczNVo8Qyfl9M-fBeRIXptKpfhU1LVwrif5sgbpfxfEp6KFxt38ud006tEk4HWnGQ4HpB2gE43sYyAYNKrUtdiv78e94Gfa1CcoQmuTYKvNznGUq20_sf=w1200|https://lh3.googleusercontent.com/pw/AP1GczOZij3Q-zS8CcDG3PlfYfwJPJPVn2iK9XPyRu1kVITI5V-UcG9k2T2dVpb-lmGf1wNIJtBujk11OCSi_BKYarMBN6KWzkS0UisupareSjXlvTaPrwnz=w1200|https://lh3.googleusercontent.com/pw/AP1GczMECcaGXdF062I9h0IEzXkmpDU8Nr5VqT53M1j6ZT114OkQWW0FwAvhAEO0I3VXep1ceq9vakCwodsNnBRgDHv3hwpuVNa4iyP-_oPr3fKemMofh4Ed=w1200|https://lh3.googleusercontent.com/pw/AP1GczPVO3uNG6zeTrO_p1mlEUht3OkuKga1Q-CvDcNn6Zc3QzGKzmJ1XNTPu_BFWsRo90oruYTc5HrmZnlG7aqYjyZ1EE17HWH5L4WIeDRMr0bAfRKibvMk=w1200|https://lh3.googleusercontent.com/pw/AP1GczP7leTzcAjUhdeCC6sS8MG0ep1d7GDWcKKBjqz2fkgzthh6KScCLDeZJ34di4ywO2g0wAKgf-gsG6BR5hY-1AH3R4nEpFACZa7lJQVS8v3v07IkoLyW=w1200|https://lh3.googleusercontent.com/pw/AP1GczOr2Izpka4tcS16BlLxYxW2Vz980NZbKC3a5L_81b6fQB4WZQ65MazG3-Y2oLjFvtyi0D9ZbQ80OoK7ymALZuK92fNiz8WfUbrKyiOMW_OzqE8cJI-g=w1200|https://lh3.googleusercontent.com/pw/AP1GczO_lxOwz7ZRH63vgJZMHY_CsjjEzJQunXQX0xat7kkW0kZeJg6BzxBzjP6c1_FF0Id1BfvNlsB7z9xDQhyP8wk5CShmhktF8-o8VuLzFLehp_uO1VJ8=w1200|https://lh3.googleusercontent.com/pw/AP1GczNL2C2EMdbC7DjpLqPpphmXE_zUof8fBLfZQ6-ibUttvFrxMMcUwjh0lkbgXMGe-ZNFWHGCEzzHkJc2DDhQ0Jeptf5VZXhieVMnxV6waMOb6BtQtT_I=w1200|https://lh3.googleusercontent.com/pw/AP1GczOg31qnewrl4ljDpML9FzKyyRbls8lOQCsRDuJGaJ36QPeF5a3KqKsMFdie9lCLG_1ZBF9Lnm7_TCoKSPth7jm-jEJy-G6J0VmjfgbV__g_VJNm2Dq6=w1200|https://lh3.googleusercontent.com/pw/AP1GczNc-lf0534hYKSrQ0ACa0YhUF_vGAjyIvfulYIqaqnDXxSw2FAcPCoC8Jq1nqlrOr9uu-nFBe02_JiFx7NvVcWo9oAQbd3DwMN_FOYEsoTYk9en6wHO=w1200</t>
  </si>
  <si>
    <t>1509</t>
  </si>
  <si>
    <t>Apartamento en edificio Puerto Madero - Av. La Toma</t>
  </si>
  <si>
    <t>11vo.</t>
  </si>
  <si>
    <t>https://photos.app.goo.gl/WuMAyVsKhxwLkpPZ8</t>
  </si>
  <si>
    <t>Se vende Apto ubicado en el 11º piso en el Edificio Puerto Madero, con un área de 120.92 m2 Consta de: 3 Habitaciones con closet en madera, dos de ellas con aire acondicionado, las 3 habitaciones cuentan con baño privado y balcón, sala, comedor, baño social, cocina integral, Baño Auxiliar, zona de lavandería. El apartamento cuenta con Aire acondicionado central para todo el apartamento, cortinas eléctricas, depósito y 2 parqueaderos. El edificio cuenta con 2 salones sociales, zona de BBQ, piscina, parque infantil, gimnasio, sauna. ESTRATO 5.</t>
  </si>
  <si>
    <t>Apartamento bien ubicado sobre la Av. La Toma y con buenos acabados. Cortinas eléctricas y aire central.</t>
  </si>
  <si>
    <t>AVENIDA LA TOMA No. 11-52 APTO 1105</t>
  </si>
  <si>
    <t>https://lh3.googleusercontent.com/pw/AP1GczM1If7vI1bnKDI3bLbnvyYES4Tj41QEgTF-0hHdI-88-MA5sfM_FwJLu5Vux7wbVLMRT091o19Cw2PMrbQaV4o9e_T5jeCNyarIbGVVIexgfKhsm4GN=w1200|https://lh3.googleusercontent.com/pw/AP1GczMbdoWSCn7-sVLmT3_uZlZBUHOycx7x0Y4sd-iLcu5s6NzEzlJrZ1eTQnf1WpIl_8lJGrUl5wbinG6H2M9wGKcAl98S7NAmVaGfCwRVaNDrmnSF71zl=w1200|https://lh3.googleusercontent.com/pw/AP1GczNwFywUkzve7vdOyRIjhobE5BDL5lkXAxAhTJyjBonu5VXvUHQEqaHvhCc3xwxy31UVsH-q6rIKliQt-tYEhwZZkLs4L9mqNSp0TXb0r2N2lm74xIoS=w1200|https://lh3.googleusercontent.com/pw/AP1GczPf-86dVq8fatCRs3VaZ972Qcv0WvO1GsCNFJguQc2CgF98WTy-luShYvPBtljNOAZNVyKIFUoZgZ9NAEq0xmwq_CTAP8nuout6oWfnkCEorG6KBONX=w1200|https://lh3.googleusercontent.com/pw/AP1GczN8j9pWIYs7CC0jet1cj5VSuwO3VgM6bYLc5_00Mnq12WG9u4xNljvOMehK5pCf3RZorT36MBhdf5nnSQ3dQ-4Bl8S4OCIqzX6PD7SET8bo288T4Isp=w1200|https://lh3.googleusercontent.com/pw/AP1GczOOiUsHFFvdCcH5aQNpUOmQQ5qHWXUUDLNOrt_X3CxoGCxJCFftajV_Gr2u5hs0s-nO48dy96WLdy-BQoBanTIguagNNHPiN6_LTpo_WZJKMoF__GJI=w1200|https://lh3.googleusercontent.com/pw/AP1GczN_guE1pRupQO-iW6MdqsJIvgMzgwN3vZTbDwCSOPwVOy6ZwPIMox2YAsaIQAlmSw-kZVa64kHCpFyc46y8OQXrpiEeF-0nluUBkz1IvWOHnOvdXqeI=w1200|https://lh3.googleusercontent.com/pw/AP1GczOTTbzQChQX-64cawpPMxKSBn0N37BCzkA9RkuNSI3Oqw0iBupXAkkjbjjxVWyzgK-fCA-mVkSoRsWRUs2sRTQNmph4JOF78y71Rsaz5-u_CB_xF3m9=w1200|https://lh3.googleusercontent.com/pw/AP1GczN24UHtPvtNWcjwlZUuFfQStuDAmRXuquVCJ_FrlCuGu-Y7EpntOBpzYWgM45syjVKgJ_Na4p9D94G4eEw2QfdB0QH8EnaOFQup16qYGKqx64IQ2etF=w1200|https://lh3.googleusercontent.com/pw/AP1GczP7FZ43GntmsgF_0KoJTJvmHcLEXmYTJzHrx7S4SdkX5_7Selswsl0Kjbi5Yg_A2b_5o0cXz755hYrKlGDjzTS5MUj8loU3PTtrCbDftTSVv6x-aYBm=w1200|https://lh3.googleusercontent.com/pw/AP1GczOaT-0nO6JRnpgVdwXhdI5q46auj9kCvFVOjogZH0-PPx_mwkiYWIuSATLBX8PEnCFgPB_Z8d4wLXlZZdMrcWWhhgVi8NjcXdfqykMeBf1PFPxkJXWG=w1200|https://lh3.googleusercontent.com/pw/AP1GczOzbToACJbaTBH2wu3F-F0Pkf3-ajmhwsk2p-DNtbF-7WyRKiPVRrpTBiRADqMOTzHxx9d-i8WqOTMceDrxI-RIR7hWs0wtzQaU0vpeDGt-QbKoCB62=w1200|https://lh3.googleusercontent.com/pw/AP1GczO6AQ_9KGiaeXVM4wCF6f7e9VeXcT8QXqkF5xiyoVWeA9p6m_935lUy_Y58sB7fJOyYsEwHV1P3-SAV-Y5eD6r4Wkkg9ZgoHHNkySR_yVLQq2zpQUuI=w1200|https://lh3.googleusercontent.com/pw/AP1GczNFmS5wPd4HG8cEyd6c5anj4DmlWiuzZZLwOsZQVz6a1W76XkDMAo10V_x6FPYb4shnvqUuqfTvQ_VTjktlDdBmB2uKOrs7F5nWLVpMmX0se7KW6LZE=w1200|https://lh3.googleusercontent.com/pw/AP1GczMgLSQix1W3YXqopvkOmhwzuEE6dPt6F-IjHhAVwuwWITWVu5KAITDoAapCnfKPqQeALzwoQQQU7NJ-2elBUWW7dHAcWtR_4eDcx8gIVTnzU9pu5xhF=w1200|https://lh3.googleusercontent.com/pw/AP1GczMx_3LYLRCl-BwJvarIqLnldChOjxgUaaTBpEOxKQ8RL18WDScuLILtNkf_AGBg2vuTqsfzeK1g24eXik5GMp5yOaKw9YCsWdwgcUav-ANno0_yY2e8=w1200|https://lh3.googleusercontent.com/pw/AP1GczMznyCgMVMkRA9e9Pezu45jz8OKwoT6Hv6It_U0jOxZEn5GrUJQzLHzg-svmjxs12-M4a8mmVvOLp7HvMlJCX8tOhwD3JuCj6e5QUWVBk8jvj45vmaz=w1200|https://lh3.googleusercontent.com/pw/AP1GczP9KIH-GqnsGYRfdil8lMD_H9cLa9Rr6Qg_A8wfgy9DZ4bwRHwbV2qFkdCzbJjlJH3PgT2iD3ZckCotFXXVnz116dvDipI3gmJ5Q9ZqOgLU6R-qD6Pw=w1200|https://lh3.googleusercontent.com/pw/AP1GczPFT5KdrqMq7kpnzWZBUe0bhMQu56R2onLPh7NG8pFFAabWjJH_RVY_op_qwl-I2PefIzXgXUi9vecmkLMulQgYqAxdNhHa7waBPo9aG_H6ba6wjewC=w1200|https://lh3.googleusercontent.com/pw/AP1GczMMRUaWSYheKSU8co77aqHkM6-lSmWktEOHYW0ZY_RBjltrwVccT1SuPslSjTKGZV-ID8XxS2N_il9pGGr4Notikh63s3mfUOZID2mrufx2TrhiLmcr=w1200</t>
  </si>
  <si>
    <t>1158</t>
  </si>
  <si>
    <t>Casa con apartamento independiente en barrio Altico</t>
  </si>
  <si>
    <t>https://photos.google.com/share/AF1QipOLLpr5C_uObIpgoE-Uhi_ilxGVAZl79MMy0XbHYpQI2QTQe7WlMZz_Z9xJSEWlvQ?key=MDV0SHFwUVEwa2pfZjcxb2J5dmhfUEVTZG1GX1RR</t>
  </si>
  <si>
    <t>La casa tiene construcción tipo colonial por niveles y tiene un apartamento con las mismas especificaciones. La casa consta de: Sala, comedor, estudio, terraza, baño social, cocina normal, 3 habitaciones que comunican al patio interior de la casa, baño auxiliary, pisos en baldosa.  Apartamento continuo a la casa consta de: Garaje interno, Segundo nivel 3 habitaciones, baño, tercer nivel, cocina normal, habitacion, baño, patio interno y de ropas, piso en madera y baldosas.</t>
  </si>
  <si>
    <t>CARRERA 10 # 3A 36</t>
  </si>
  <si>
    <t>https://lh3.googleusercontent.com/pw/AP1GczOJ8QDXprdIsyJHNGNHL7Tb5HoHbRI1pX6bB1FraY0gDSlI4LWnHeWiZKCpqzdgfQpxC8s7AsnzdKbYQuRjf5rh0XG46YP9IQdbntPKLA1TxRmbKPX1=w1200|https://lh3.googleusercontent.com/pw/AP1GczPjyl7yp4wWMi97vtOx3yu6JV7FxBksbxEWnZ79DsrfE0ZHoaEReMuU_UyQQU_3jUxKoRr2LAxjZeBVAgfV0jq7-jNV9CBFkvmyA_laIsN-adaWCbZj=w1200|https://lh3.googleusercontent.com/pw/AP1GczMojqXCsiV80CoVasnKH3AKAvskcItF-0Y1_IXai5F26TAWyBrgQoEftDVMY9UbauZ7y-wNpEb00ik-pmVM9BsnpO_tpAW8lhJZzDD_xHuMRXm9Mxi2=w1200|https://lh3.googleusercontent.com/pw/AP1GczMOtLVRz_OWxbGUszMlE_o482mt0iqVODrUWtZnPCiU0caotQEGWkciyjOLbzTlJMcLbgqHll4y-Us_H60N6bzdhMN-TH6RDHnr3x6rEQkaWwu5y4xZ=w1200|https://lh3.googleusercontent.com/pw/AP1GczOFE0VWU-M3gotkRtVMJEf7h0IDVXZB1Qm2fZmJkJxughjPoo4pL7cLOp3NbSQXaDIMCxsTpFCgOgR_Tg9MdQzH9DAi6seXfTXe8O0kTYMpBggqbc3h=w1200|https://lh3.googleusercontent.com/pw/AP1GczO7A33pAzKHStVx6ccBr1Eo0ew5lMKlP9BnI8lIrlkBP5nSrjd4mgroJ50CLZ6UjQtnAFd3jb9iBjRPtgO0Pp44cppoBxDANio-jvgqVH8DlnMJngSv=w1200|https://lh3.googleusercontent.com/pw/AP1GczNZ7_K3n5nk4LX7Mb6p2pc8p8JBCVAfahJMHdjyCtpCAh8Gxvmu1kxcBa45XXSZNlfKxE0mNrVM3ZoXsKTre4dsPWRmy3Fvpm6mmsfqoruCilN_f6Zx=w1200|https://lh3.googleusercontent.com/pw/AP1GczM41PfIg7DdizIm6XdHhuyHIj0Na9-jXmkjZSb3PGuy1fdoJsWUvHyVNaQRuRNbrgmTBiDEyAkRSRqcfgN5lLBdojRMKP530Ou5D28vICVGIYWduLuV=w1200|https://lh3.googleusercontent.com/pw/AP1GczPesUzsHSB9eAz0KSv3-L5lNHKIe-pNX6BrQ61mQvHBBwfUl1brixJx5qyDUb_xbRm0dnJn1DLxbcr1_-MVh5i34kpjXM1uLrIgJ0TfZSiTK7th4v9e=w1200|https://lh3.googleusercontent.com/pw/AP1GczPLGQkT2g9i5Vj_x9UWWDeHHOuCoCnspgJy3VttiMsZPuL40FyoQOTbahlMvycFxoOSf_jDmSC_IlLml_BWWv-4RMqwE7JBIMfz8PbiNcLYFkVGi7DN=w1200|https://lh3.googleusercontent.com/pw/AP1GczMDfaSAyLTOTrZjAOvk6rGSM9NGxJI2r1n2rXnqUMErdKnebnndkMuDNLHH3dVj9KWkxA1ExVIB3tt6scOszTExqSNCgkfgfqSSBU2W8Ae-d5jwsDdd=w1200|https://lh3.googleusercontent.com/pw/AP1GczNXZ2sZKH_64Nh0iDsk_Lzjbqc0rl6WaR3oZI7n07zq4DoabxdoPCnmEi1K_2ZKpiItDfsY84nN41QNvhHs5i3QRSRKgzinPk2ZN_cOQi9YbFvTs7Ht=w1200|https://lh3.googleusercontent.com/pw/AP1GczPT6NXdHaB6GXjsQ1IvhMxzuHGq5Z1w6QAALY85soLbvmh-g6yn95UL-3FOEAGiIq7BKIKsVp5t3dIbR-O4-Ocl6qmK9UvQoVncFNd_JWBMWCQGPy5p=w1200|https://lh3.googleusercontent.com/pw/AP1GczPBvpIMTF7AIQsWSsn0-LK2QIDf4IsC2dwBJlRpc46pOEdFpdufeOZm5yfz0wH_VG1tpmghBjeStsG0i4MsGkauJC9k_ZGyOr3IKngDPpTW6MuPdSvm=w1200|https://lh3.googleusercontent.com/pw/AP1GczN-rJ45Nq8xx3TNI4-n35b7WyKuw1eVgdbEFZZWetr8UB3OVX42r5JjjFQCuZDmdFNALHAGbSN1BlgnlZo5ZbFnTtYYgSwgRainxllrtpY5yuyRxSgj=w1200</t>
  </si>
  <si>
    <t>1785</t>
  </si>
  <si>
    <t>Apartamento en conjunto Residencial Reserva de la Sierra - Oriente</t>
  </si>
  <si>
    <t>Conjunto Resiencial Reserva de la Sierra</t>
  </si>
  <si>
    <t>13o.</t>
  </si>
  <si>
    <t>https://photos.app.goo.gl/PEB1SFtFhpqpzGDW8</t>
  </si>
  <si>
    <t>Distribución: Sala – Comedor elegante y minimalista. Baño auxiliar Cocina Integral totalmente equipada. Zona de lavandería con Lavadora y Secadora 2 habitaciones con closets en madera Aires Acondicionado en cada habitación y Sala comedor Balcón que une zona privada de la zona social. Habitación principal con baño privado. 2 parqueaderos.</t>
  </si>
  <si>
    <t>Apartamento símbolo de la elegancia, espacio y una excelente ubicación. Apartamento amoblado ubicado en uno de los conjuntos residenciales más exclusivos de la ciudad. Estrato 5. Conjunto Residencial Reserva de la Sierra. Apto con área de 78 m².</t>
  </si>
  <si>
    <t>https://lh3.googleusercontent.com/pw/AP1GczPec7vhQbGkgy1ioTjxMiFrcj062a7_2vs14VxbgwS1HD4bE19A4MABVjjcghgIyFAfCm_mDBDXaVldwqYlaiWopkMqEz4-Fl9V35M0uEgnr574jR40=w1200|https://lh3.googleusercontent.com/pw/AP1GczPMdLEKEYYJ7w2A9NmW0Arr3P283kwIeGQaPOKi0mw9Ttnk-sSJXWEHuFLUMcJu9O9DurKdUmdkEDD3ZF6xNJ4fLkYF1dQifNwd5QJyBF-6Cw_BGlgK=w1200|https://lh3.googleusercontent.com/pw/AP1GczMyYipTvdR6KedNNtcR0ndiORKu9Wn71X2n_zCOH5JrqtEB1YBR0idfzNezdixFS3aslXDCiTIzitIvyvqelgDji_axYvcYjnNUjbCO0jknF2NAfFgR=w1200|https://lh3.googleusercontent.com/pw/AP1GczPvlfjjYSlih0WqPek7VKkiv51xvj-IP5_9BHDDfDgh9WoXuaI2dN41Y_wLt5V8n6tGi2GGfOUpSNcb0ZBV7DVImqsp-B8czh5czzMs-phQnKCUeZtY=w1200|https://lh3.googleusercontent.com/pw/AP1GczP-MSIqxyhkd-EkoYDyEAN49fgn9jxcQLnQ7XVIHLxfY6O2ZCZ8_7u51XanL1CSatvq7gD0PksC9Oe-YT9or9r_btqHQuBL1quEBQiGkpJLu2OpBQWl=w1200|https://lh3.googleusercontent.com/pw/AP1GczPInhQ6vQs4-4RflG3kyVelexUpNBEQhZxKbBNDU70JsAqYapSsfoBoi__xjhYT85C7_IDJll951maCqNNc22t-vlLFIPGKdtvcxoEi-9Hc_KqPBEJE=w1200|https://lh3.googleusercontent.com/pw/AP1GczOFhIoq6szKQWWas-4NSzbObE59sgjGfU3IFZLKkw-WlJ-pjJiUxvgsGSKVRWl6MkrhJxd5SvaEH3T_n9N6c1g6n-f_70C6vLM2WYQLWTIDbCCYDVuq=w1200|https://lh3.googleusercontent.com/pw/AP1GczMdDiMLjPMxpalqT8TEszNyDiVGa6MUvTqO4DozYC5ijjwFSVKzONum2DMOY9Zq2ZyYaGb7wg3NXyW1XynLdgJJJypJHxSS9lORXF73-r_2KHgW9zY5=w1200|https://lh3.googleusercontent.com/pw/AP1GczOc-FJqqcsN3EZK_K4e8G3EzLEGhG7MRgBfo4l3EUSEaO1O0Ydgmv6DTSE00jzVUzi57biGF9h5uMVg-FMFiuchNomj-BvwXN0zMpBPGACp0o5KJU_l=w1200|https://lh3.googleusercontent.com/pw/AP1GczNzjqsvI7dxf9kXoom3XtU56rLAVp9CHD0hnBWPhBbI64PlZkEgMdSOvAWZ5Wbs_Sc_J-wPRLtIANzPpZZvJq7VvLtX6kRWQhPtjkDVs-3Sz9PfkfZO=w1200|https://lh3.googleusercontent.com/pw/AP1GczM7bPBemUES7Og3nUPQN934Yp-cwc0FjgjOT_1tozBA9uO4bW_RImf338yd_t2mD37LhwaFVaXKnDo6yZjGg0h0V1zyUwsYP6HfXoZAZlfnAs0UTxIp=w1200|https://lh3.googleusercontent.com/pw/AP1GczNw8CzomYy7n2ok-rqnB5OYv5rMnlGbUMW4OM_3Vuq6T-f3DVQLYH6vg6zv82YiMRHG1hWDx55zk6LwcWR037YljEFWk3WwGvX1RPDU67QFexbCatsc=w1200|https://lh3.googleusercontent.com/pw/AP1GczOWqoiQDRaRr-Wg8MudfRiwrTwV0lO99T-OA45n6anSHCzaxBHNH-agk1ph0R5Avk88Cb8EZ0nze1ThD5eeZOnDa8EoVQSZYNcIoMpEq_ulXqpgV13L=w1200|https://lh3.googleusercontent.com/pw/AP1GczOwdXkIjVRlR5y7O8fn4MPl3vJgpLPIpswqPZKWuW_h5SXuggV24hZBB_OcCMfsuEA3WZ8k_NR5nI9B2A1DjPaBUou59lol2zx2F_zaEBXhobk0UnaD=w1200|https://lh3.googleusercontent.com/pw/AP1GczMsDu6DFhXtax1u0w3hkweCdEikhdnrDSmPjpYoDHxWkdU3_OWKvcZGWfycc9DphOqINXHFO5mDvi6_4KL1QPvTCqknUMmHeyBglbN4M3532OztCHAe=w1200|https://lh3.googleusercontent.com/pw/AP1GczPelNMEzVq3N6aPQUUCKguo9U9VubFMwSn3u-5X_7JOnbEWZv-Dp_LDWwqKb-r-7Vle0wCeQuOwu2mRCPfeZhlb6E_EUxrbKtat1zefIqJdNXP4X9Nx=w1200|https://lh3.googleusercontent.com/pw/AP1GczNcqRK6a7pDgNO_bx6dkkD2uCpTVrBOPvgXeLh0JtCqG9gtKuP16EtqSv4e-cmC3t-NMojj-98pY1Yec3mbcM-ueQxHvqcaF171wTm9mW9gbOj5ZaH9=w1200|https://lh3.googleusercontent.com/pw/AP1GczN0CjUCkYB1tEnONQ_yH_qD7-RVCGSuJr2MOKzKAKibYjE0MPPxJ2MHUJkGKARiSaSasddjGhHSYG0z7YoIAht2GgYvOWNTVk7-Xv8W5yuZoMvGpaa5=w1200|https://lh3.googleusercontent.com/pw/AP1GczNaWdMNZmlFgm_IpvAKAiPfyJ20HKQ_lSYjNUZgEsJUBlOYc65aQQkrfFTZ6u_kpFIiBNXbWyQyS95gXGAYlttZmoVV7j0ND0_8ykf7Lf683zvIDIzL=w1200|https://lh3.googleusercontent.com/pw/AP1GczN62jX29XoHhLQ33AcXac2jvkNq2HzrPwurrQdJPpKvwG8fanHdMet-dtSG5L8dcznaCmvkGjtK261t5oY_4sTcf_3fvOwKXu8tf1pa0B450R9QNxdX=w1200</t>
  </si>
  <si>
    <t>670</t>
  </si>
  <si>
    <t>Apartamento en edificio El Caimo - La Toma - Centro</t>
  </si>
  <si>
    <t>8vo.</t>
  </si>
  <si>
    <t>https://photos.app.goo.gl/tLjia1GpMQi3sNR78</t>
  </si>
  <si>
    <t>Se vende Apto ubicado en el 8º. Piso.  Área 200 M2, consta de Primer piso: sala comedor, estudio, cocina integral, zona de lavandería, terraza, baño interno, estar de T.V, balcón y terraza. Segundo piso: estar de alcobas, 4 habitaciones, la principal con baño privado, balcón, baño auxiliar, closets en madera y 2 parqueaderos.</t>
  </si>
  <si>
    <t>Apartamento bien ubicado, Av. La Toma, Clinica Medilaser. Cuenta con buenos acabados.</t>
  </si>
  <si>
    <t>CALLE 11 No. 9-69  APTO 803</t>
  </si>
  <si>
    <t>https://lh3.googleusercontent.com/pw/AP1GczNFtQAneL5OVIYOCKp2yjXh-TPLa1DFUUNG5bzSskUclPY0lYNx2AB1d3rHVP9TG0v8jdpGsarpYcvqhzh74EoQDFRj580DKa2c3hxteUA_dRp9YLIN=w1200|https://lh3.googleusercontent.com/pw/AP1GczPKvkoALuPgGueJEX3YYiwCpgvMMNxP3JK8VtqGfhyMTLreg2NF6lmYkOSsPY1VztZURPEAu3JXU08zewCVy3QZltfZngfeRWOc4alssAYguH2tnIHj=w1200|https://lh3.googleusercontent.com/pw/AP1GczMMrPSrmfRD_rts-wUusco4P5G1pctAZIcAEZS7jy2hql4MOfDBHc7vEvJu_PzMLHwiZYfE5bXpOcPcpYJxWSy7cARfkqKzUWcNcSPaEh2VbgZrggOD=w1200|https://lh3.googleusercontent.com/pw/AP1GczMcaRvtq7_iz8O-8eoPPQOJOg8lQcbjXbMD08kYJYIwjT80yvZ8n-_iUWjy0nx18h0NU1cDPwtCWRe1iH-nAEBRp4hRLPjpsCP4KFDS-PkNtzNk_99v=w1200|https://lh3.googleusercontent.com/pw/AP1GczNCov7MMcDMlPkI-W_C-e1O8cA7ihq5oKNTrVfb-Epa1bcOD-_efB4nMDc46keWc2yZOsBNA9-XsTAwdtdfwJ0DUufxyXqBsK6TQHdbqkJn_02ADEYr=w1200|https://lh3.googleusercontent.com/pw/AP1GczMRzeX7ESA9lLEboMG6ppeS3GO0ohgFxedQE2btP2zTT50yA3LLor2kIbkqe3xMXRES--JJIYjhYEc1_zkNdgneO-x-mZvxGSsER_LkM2p_Z-zdByk7=w1200|https://lh3.googleusercontent.com/pw/AP1GczO54BJv6Tpl2rlsz0wqheRABjvsi72Y7eFmObSaXirRiRVM-H3gSMOjtANULf6y8F-U1VxsnQo_MTiwpQ8K0mATK_XPBAw33NbIbBI_Iicu4LrLMITR=w1200|https://lh3.googleusercontent.com/pw/AP1GczOvuoy6ochNwSCdKWorJw7mQzid5Zfdr87FGj0HMN-B4ZCzo3s6TJSvsoQ1ysNw3TxcBSTBwf9l5atOqNiYFbEQQVBkkr_3QGZ3qactvOs1PeAHRxLu=w1200|https://lh3.googleusercontent.com/pw/AP1GczPXpNUdVC1begyXk4Fikvwvd_G5O4Xd0aLuLYkeJuXEgZdF1AGnpPi2BO6CNXFdHmtLHlKFnIm7hoSBeKnijuQDuCdvImvsTQd-EPZMoTdCdQEPFlNY=w1200|https://lh3.googleusercontent.com/pw/AP1GczPnQb8ZRhtE1Qesdyd2WZUsCdjr2igGi4vwkOwIU_T3n2Kt0ZH3ry82OhJmeLzZdy4819OuZjjmsEr2qNrZNqAT_leqKX0iD_7SArS10_v-w-IUhMxw=w1200|https://lh3.googleusercontent.com/pw/AP1GczNgWokkMcjtnuodXsBryh5IOePg0NB8EH4Ux_RaksFxqsyntNlHdlPKPM2_bJz0_MF3EwDX4zUGx8NwdnCrBjTGwdbRwaq4vpr3mqnolsWvcgsLyV3R=w1200|https://lh3.googleusercontent.com/pw/AP1GczNR4lKF6XhMBoEwT7BwChmsbRJcjZVYYvP9kPuMbSwZXktyu7UbtMBjQ7Upl9g7bvq7sUdradNNJmoNd3hunJxzFie1KFSz_Es_2tjCKokPo5Wr9Gq-=w1200|https://lh3.googleusercontent.com/pw/AP1GczPe7qo06L4ucmz3kMbIUO99TDK_DntAU4_cWdSn6FWfAa4fRPIXWuhb9jzohpwcapl9J9HOBVZ0pC_rX6Pc6f6a9F1UC8J08uGPKFYwBDhAcXYF_-07=w1200</t>
  </si>
  <si>
    <t>1795</t>
  </si>
  <si>
    <t>Casa campestre en conjunto La Portada - Rivera</t>
  </si>
  <si>
    <t>Conjunto La Portada</t>
  </si>
  <si>
    <t>https://photos.app.goo.gl/SZ7rH2tqFytPeZxw5</t>
  </si>
  <si>
    <t>Distribución del inmueble: Zona de Parqueadero. Comedor con excelente espacio. Sala acogedora e iluminada. Cocina Semi Integral. Zona de lavandería. 3 baños. 4 habitaciones con excelente iluminación natural. Closets en las 4 habitaciones. Piscina con planta de tratamiento. Zona de Asados y BBQ. Corredores Enmallado los 4 lados de la Casa. Acabados tipo Colonial.</t>
  </si>
  <si>
    <t>Casa de Campo Ubicada en el municipio de Rivera – Huila / Conjunto La Portada Vereda Riverita, cuenta con un Área de 1.000 m². Estrato 2. Cuenta con Servicios Públicos de Energía, Agua y Gas. Aire Acondicionado en cada habitación. Cámaras de Seguridad. Aljibe con Hidroflow.</t>
  </si>
  <si>
    <t>https://lh3.googleusercontent.com/pw/AP1GczMqCLOnZRnoNi5qE-Hegpu63bCvO9ZeU8pOLiPlF8S2Gra1wLaYgt5Zn55hdDiwpGPvQv_-9eKCFDh5DCWQq410g8EQwn6miDL6-wN-RXfk4JM4JRUc=w1200|https://lh3.googleusercontent.com/pw/AP1GczMi4tWBP53XfGcL9Hh6UoArjZWwcou1OXc3eXGrcHZl_iOiJhCsGrQiK5UZEvowNItRgVJ8Jb2hJbN5-CPbzEnYdVCRLmlfnanJOiSiFJs3WbMajuDf=w1200|https://lh3.googleusercontent.com/pw/AP1GczPEANWSGZTW2XQHFMPkSgU1boGJq_qLzXBNMved_QRrT2tBU4JggAdCu-B0REdXvEggyVqxZVcWQgQBnCaNHEdUZ115Tv3QvUrmcOwwwP6tyWdvt2DD=w1200|https://lh3.googleusercontent.com/pw/AP1GczOQy-AzD_aMwQacknuh83pfyrzKEs9mhtc7qGNLWY6TAUiewoXI1ug1imiyhVdo-z1p6hVBKYLUd_-w-jWmXcwA9AGmCFEO5lh9raAU2v39WoLULLnU=w1200|https://lh3.googleusercontent.com/pw/AP1GczN6ZcaGVSEHkIrQr_hWTYgn8_6MfNkJzbBMu9qJnxFIzZD9hAzWPUu8MRsuPruAJv4wm5fnDrA70ZUqxjZW4P6v6bZTEBZ8OX-QVcjviQLGPBvH7aIV=w1200|https://lh3.googleusercontent.com/pw/AP1GczN78RIiU9LohA75PJ0KF5VsxbXs_LVQVlJZoRjLvA53WRbWezWgOA49KLHKnBRmDK7ayBWXgzlI1BsnLvBZPUu8H8Z5-Xf2QrpKAyIYYuNWOcUeR3RR=w1200|https://lh3.googleusercontent.com/pw/AP1GczO6K6qinIBVF312wmzq8wAnmzgIj-ZEzbL3taNtyxkuYY23c8EmTAgMUV9AAobCl3l3pAWCOdH_FBk3lv7xTvd09WFn-XdK6LP8gO2qSLUOxXRFvtBs=w1200|https://lh3.googleusercontent.com/pw/AP1GczMnRwIxs6NG7Hyv6-LipNJfDWUDt0VThv7IJmlYp2dl_ycxx2s1i7bJl-Rtsci7bALlBaoAEaJ-WISh5PLL9RTyYWIzTW5tbyvEVta8QswA5f-U9Ndn=w1200|https://lh3.googleusercontent.com/pw/AP1GczOtmzD8WCStgXarFkvf7RJ74sYB543QFFHyOu0USrtFHRqRZlF88Y5H88GdT8FSZDjOq-H2m2CofuAkSKK0qCUYdYgqqlniZrWVVYBXHpsx1sAnA1JM=w1200|https://lh3.googleusercontent.com/pw/AP1GczOFdTfcvgVN4nBsCsLXW_utt6xM2VFfBPdtEVwTAkh9Bz2z33Pf9LWONr0FZ6u6MHtQvcmMH8cHAyX5Yx4Ks65xpC0EiRdbLi-SCUa21a84XHqraHzg=w1200|https://lh3.googleusercontent.com/pw/AP1GczPoRk8X6HH_Yky2SNpvGFzWYvwJq5sZ7VV3aSWM1X9sxiEXFI4-MYEDR1v0Dj4XM-C67ttCOzShLsXb3uJ33SGRQ4iNVDrDmt3Fm-ItWK1_X7nUegc_=w1200|https://lh3.googleusercontent.com/pw/AP1GczPznrFOTHP6DTaRKBQMnjEc6kBstkJAixvVHwe3f4BSVkOxx5tidqMPK9dAbJXpaNIGFyN9tSN3hBM0S5qL_KYsd94cxcP1GWUT-_381boCs_mSichz=w1200|https://lh3.googleusercontent.com/pw/AP1GczPJKEHvEqbBtS0D2bwc9JCyVWWH_QtDS4V4akoeMTyShZtiktca342pyfZtU3aYhmMqvL0W_2Y2HAlzL6kd0HPsmE_1oZDe8mKuBxjVF1edL-A_QjEm=w1200|https://lh3.googleusercontent.com/pw/AP1GczNEeoNnqcRO8pDetsw1AmWEhxLM5aYFmS6OATY7Ecv1bAERddqZ1VeyDPn6dzivPqAaLOujAFt6s7UiyGw8B108WKJZbJUisDYI1qrRtSjO9FxJFWrv=w1200|https://lh3.googleusercontent.com/pw/AP1GczOv8_VP734ElWnmX2bY-4UBBBihW0NRtlPNEPv_EJ_kHKYyPUNa-D1k6vDH1MT5UEHxlWj72KL4PKDvwBq7XRr3-jexFpBOlnUT-vKzmOA3_NCsLJhL=w1200|https://lh3.googleusercontent.com/pw/AP1GczNDMAD1qyiAZzmrlg9wyfPRHaahZB6LZgYCh20MJ_Yycos9wNKYIeCJiP58q7nmAD5oyS3-R7PSQBxrdmkETuFkANJ2_LKkOmv9h5QRimGNqfFjWfg6=w1200|https://lh3.googleusercontent.com/pw/AP1GczMCZEG_MVF7u6YnTQXCBK3ZLbDaJ2dKYnekHu8sWT1hvrV6mjkh5y9QIF7Qg5EEvHatHuXrdQrEXe-h4ITB3rQSyFxlYPVA7CC_lVjKPuwdSi0k7gQx=w1200|https://lh3.googleusercontent.com/pw/AP1GczNrzF12rFan3jXwtD1RZZBpPvk39qa1c5Cv5W11yevT5DV9-vRgO-S7X86Xc4RQkNkT8rABNUZzNa44it_O5yV6QYpcUwZqN3hvUbnZjNELP5wK3SMZ=w1200|https://lh3.googleusercontent.com/pw/AP1GczOkbQwGoa5bae4P5Ha0lxCu5bcs2VJiYe_Ct9h1i4saTjxgP3kPANg6jZbaMXVxhu5NqvRuqRrc7nOQ-xUz8PL2t8y_BVr8J7kahpg0XU0HyLcrgL1_=w1200|https://lh3.googleusercontent.com/pw/AP1GczOX2C0QQC7ImLuEKylfIx6svuW5qURTImParhjixLZsKK3m11JzuScNW9GIDrbwGxRSVlvJHCH4tpgSARZL0jtCCVQa-acYGYEKj449r1bHSB6ujxi5=w1200</t>
  </si>
  <si>
    <t>1771</t>
  </si>
  <si>
    <t>Apartamento en Conjunto Residencial Bosques de Baviera - Sur</t>
  </si>
  <si>
    <t xml:space="preserve"> Conjunto Residencial Bosques de Baviera.</t>
  </si>
  <si>
    <t>3er.</t>
  </si>
  <si>
    <t>https://photos.app.goo.gl/1GzKJEyhd5QUDEhe7</t>
  </si>
  <si>
    <t>Apartamento de 113 m², ideal para disfrutar tranquilidad y confort  3 habitaciones, todas con clóset Habitación principal con baño privado y balcón Baño auxilia Sala – comedor amplia con balcón Cocina integral Zona de lavandería independiente Estar de TV o estudio Parqueadero privado Conjunto residencial con excelentes zonas sociales: Piscina Salón social Zonas verdes y parque Portería y vigilancia 24 horas.</t>
  </si>
  <si>
    <t>Apartamento con vista al exterior del conjunto. Tercer piso. Conjunto ubicado en una zona de alto desarrollo y gran valorización, perfecta para vivir o invertir.</t>
  </si>
  <si>
    <t>CALLE 12 SUR No. 2-47 Apto301 - T2</t>
  </si>
  <si>
    <t>https://lh3.googleusercontent.com/pw/AP1GczP7eZlZGdpcl_4QQYkC9osp3X4Vwwc5FVS5GB6IKt_n_FvpXm_FAbGEuBtBvr1aU_0f4WRvvaj1EvCtxtXvR4wt6S__6r9YhaqcAmlre_kUbP7q--N2=w1200|https://lh3.googleusercontent.com/pw/AP1GczNC7cQ86dwCC5pFBoXc0fmgDYkaLwYOvWYLJ_gp-9LEplfUF-UcAgkcRTrvj4UILdMTcZa9_U-Ex2Y6QtR3b4m5_PRjMvHapN_vHKsBPHGZbVTAe3t8=w1200|https://lh3.googleusercontent.com/pw/AP1GczPWCfTt-fCd2jUqO-pIiGCUt_tTVNcqr9_k-YMLImY0NSiwx4dciQ2IlyOY9UJkz9HPaTwIqK1QpCcxnTtAxSBr60PtVC7eG218Pg0xCQDk-kjZmnHP=w1200|https://lh3.googleusercontent.com/pw/AP1GczOUy6tk7M6OubllVCQUYTRQSBPYb0HttSkR5qHphwofXF6qGZL703epjal1Pt4rqmq1mlTGdMoKN8Bka0ZcxR4vGPuOClB7VnpdRZkQ4Yjc8NA71t9Q=w1200|https://lh3.googleusercontent.com/pw/AP1GczPS1EkqezFtRUoh_R0fZP_cYzQcUKpryQK_KcbPvwaM8_MT3GwHZMpeei-CSRccBekGN5sbUKmsCLAI-Pe-xWS7PHm7Vlyv1X3Kxoo1vDsXYpmpl7rN=w1200|https://lh3.googleusercontent.com/pw/AP1GczNNB1FjvWntZM9lEZdThMiE2Bpj70hvdWFtOyK4goOqf3VFkY75W1Ku5tYJfOj2w8br_zWtAC1tR7x5CM59MyEcRJqxuc-6oQlsaXU9Kk5_6Amsvp6o=w1200|https://lh3.googleusercontent.com/pw/AP1GczPRHvVqMsDW1kYCL0Hau3URUK8aZh6ITU5_4zE97aktRhfT_7Rg-kDrRw0wTYCtU66LYfMIvIlIAM1WCLZZb4g8SI0m0zqyxy15BPVWzcl-ncEZby_z=w1200|https://lh3.googleusercontent.com/pw/AP1GczMR5BaSwEL-Y-cAKwI5bgdTNjOEIwmeYBkzdATlSztFASTuoCXfqDRPRR4A5y1wedxCBtvradoZ11mbxefCBtaWWuB8HtkPBXXQvGqawwi_FYQ10qG2=w1200|https://lh3.googleusercontent.com/pw/AP1GczOcVQQhnY8orx_B5dgtpuwzVcWfQ8nUlanwRwENlPQEbHKd4AX2Q7z_aqnrjCjsjoMaPUgg2XjyysU_1lqoTBhq-6x3WSWceKGMbWyZhQhM48qMZ1n4=w1200|https://lh3.googleusercontent.com/pw/AP1GczPCM5_5_7SVGslAY-vuFOJxdoHc89Smh1nItGLCP908-7_pr5fZlZdjbyhTYusPe4n5oQFTBqZMMHqKaakNHabz1lQbu5eRRcpl2t1_D2okhcjdGDOt=w1200|https://lh3.googleusercontent.com/pw/AP1GczMjAmJlCgcpYhFJKyTNHCRvNajPBghME1cGH4thmmVytOw780zOTWVqR3U4cz-QwpxsHZVPZyJAGt3O9rHGl-0rYsS5c1tkqgKUb8GvFRCrnJHXE1M1=w1200|https://lh3.googleusercontent.com/pw/AP1GczPfeCCxkvHLTHySeRAA4-MkJVMNbBR-sGFpJNRM7qTqLhDOzmUp1LBAUE4Cvl8dJbPVLtGk0ghMigAIRD_d2pGVPY5BExiXTFGSh81-OzwwA1Y1iyey=w1200|https://lh3.googleusercontent.com/pw/AP1GczONhGsd-Aad_CkOWP8qTR50BOrvmSMO__qgSwEGsLAAQXsek_VJaDIMz-IjEfud0eGEkdpISjhpExDpz0fTdQnzWgzhN0rRb1qk2J5JGe8rPElBUPKN=w1200|https://lh3.googleusercontent.com/pw/AP1GczP0e7gMWP9a_YCsZZktzRIUKF4nKauZ_JkKuMxq2FmLC39tWstIbNMecqCBghJOqsl4BTHvD9q4tzpI0bVo6iuXzeWWk4MoeqpPv4xAnaRPEIwQbOMp=w1200|https://lh3.googleusercontent.com/pw/AP1GczO1Gwn90VqBS5WXgSYj7V9_4BHotgR4BUdGYWmm25mYjBPMqhcCMvRySaWk1FDC3JceV_3VcGMcx2a95RQeFfve-JuxSoqqB2UoBYoGadtnvU3VMOUy=w1200|https://lh3.googleusercontent.com/pw/AP1GczP2mT2-F3K0IWUrg71-mf9ngGPc1qjZWsLQ-r5N8e9CsWLMzc8AU9DMl1-Y2pvCvEL0P9Nd8ra7FPXt4MAF2J5na-L4Hy1KS5MjK45RtLcX2w0ZsZGV=w1200|https://lh3.googleusercontent.com/pw/AP1GczPu-3FfdbSwOvri6ZjjX8f49MVgWEqQ0XFm-DuTMog6FVcWE26zdSuiz48yIAtP9bNPgRG3kSPG0yr3TNE5iE6o846-Yv7Q1F8DXHVAJkB7NIC5pb7o=w1200|https://lh3.googleusercontent.com/pw/AP1GczOAgPgHNjanUplXQ_JJnuY23kIGfW5Cq-NDgjFSBhgzhssDrKfDZoh_M-_LlTHE6QlcsB-5tPaT7x-twOOnlKGacGXdmA7v0nwyonMeKud5ihjbTgpc=w1200|https://lh3.googleusercontent.com/pw/AP1GczPhlVA9HJUKwDLfMki164S3wJShX6gc4OnqAa1WBKL8pLwichesvVEbiKjpxrrsy-OyMX3yM8abr8EbMRVFjh0eNqBZuC-bddmuoseCk7HTd2hBxIq-=w1200|https://lh3.googleusercontent.com/pw/AP1GczNLl8E1aBpXuXl0wlF5DFQF_rnWY0EFRyPacQDXgQNZ0aPsIxerixtcB7aTJ32zOQU6-J6bMAmRB8rg6cygknbys43_AzJ1vBFexCGulTjaHmmszNDK=w1200|https://lh3.googleusercontent.com/pw/AP1GczNneWmJO2Cwfe2Pm67x1bOjrbMNYUZB9ptKmcu-5sJX3WGXVf_hIKaPgtDqvH3QltWKSw4cxjIIXvjd-Pb2tFcTWncjgtEVa-gowldBc4QIp9nFuGN8=w1200|https://lh3.googleusercontent.com/pw/AP1GczNpY-VPCWL4vU9YyheNwbB5xg54zgN7MrMDRGYREeeQwq_3H_5iO6eeYs-sIMI6dl11txD9zv9ilPT5yBqTTJNjnasDu1jBaXsQF3XqJlFqm9jbAjn1=w1200|https://lh3.googleusercontent.com/pw/AP1GczNhzD6GgFMQ5sm-8IrGBZDc3sBIUy68VzxlcyjfaSmMXe28Fu0Im9JDHMvCppdNQWCLJKozIwZwS3GBp2JRGwDEaDYBi0ZAs8jAZETS5ZuCLok-pXPI=w1200|https://lh3.googleusercontent.com/pw/AP1GczOMHMTU-jiJj4L0LsyOmQzdXnlZ5O-bk-_BGOO2YzGMk2AqeYE9eb-CvFc0rDGA1w8yoOcAtkpm-QAwQcgNQJz7jfj04RyEni0HQTXV981XsUymeQMi=w1200|https://lh3.googleusercontent.com/pw/AP1GczOkkkdiTBrcBibLYg1RWpTBJk0in8t6DwLEPp9weT2mgwnXqJZWkd4PAy-bKp3ctNIyb06sXLmY4uupzSlIs4gDr5cVv__NZdGVhtRqfHsAqm28ZU_X=w1200|https://lh3.googleusercontent.com/pw/AP1GczPjKYVtXSrc51HffYNc0j0049af4Iz-4WBY-9nUFn0wNrjxtwvq-rzK2xH2jjVepWm6KuP07NagEDDdR-jJA9J_eDjvn_-ni8h8mz-l3UDkqYxGiWbN=w1200</t>
  </si>
  <si>
    <t>1471</t>
  </si>
  <si>
    <t>https://photos.google.com/share/AF1QipObINDaOpVLn4u0sk_OrmabNgl-3sCIPjj43V_2tIj9IX0GR2UgiprYKEEtTV_YxA?key=UWtUSExYd1NqQ2VXbmdhb05LSDEwNEdZVm9ZRERR</t>
  </si>
  <si>
    <t>Casa rentable en el barrio el Altico con un área de 220m2, consta de: Sala amplia, Comedor, baño auxiliar, cocina, 4 habitaciones, y una habitación de servicio, patio de ropa, zona de lavandería, garaje. La casa cuenta con un apartamento independiente de entrada y servicios, el cual cuenta con sala, comedor, baño, cocina integral, 2 habitaciones y zona de lavandería. Estrato 3.</t>
  </si>
  <si>
    <t>CARRERA 10 A # 3A-24</t>
  </si>
  <si>
    <t>https://lh3.googleusercontent.com/pw/AP1GczN5FSmsD1o-DsFvTKspXojN1dalru_BFtW0g47NorVM1WCRq87NkW5Tewie-1xNb9-hNHEDktAFJuXuY6g0UheyLW3X3ATm8z0U7qCRloOIi9eUs_mU=w1200|https://lh3.googleusercontent.com/pw/AP1GczOFkV1VBZjmc8XISwl5GiFb3X7iNSz4GDFQiz6zz5On0fFAsR2n0in53gsnDYG2o06iE-RMj1mDS820M9c07ptdNMIcbbU3AUzUxuhikbLOgyf_EQnZ=w1200|https://lh3.googleusercontent.com/pw/AP1GczN4TgH0By2-hIcwZZIIJPcgA4xuicKEostFhfmObBiiallHFpdTE_G9WQiM3AY5-wvYMlTcCpLlKKhqPFHaFmKyZ_W7D2TuGK-NfL6Sr5zfmx5eJ8Il=w1200|https://lh3.googleusercontent.com/pw/AP1GczNTccFbwv1hQf6vKKGcnP-wzN2_DllkLmJ6PN_FwDFMT3MlpUGaY_4wM1OsqJgDyBOAkymF8SUODRfR9q69LRoXoUKuE70x20ZtM0tPAbZdy4AVA2gD=w1200|https://lh3.googleusercontent.com/pw/AP1GczNEbClkLThsGxXSx5xjIL0wS3G-QKV1HuniF1O42MMzxqlom_SaiS1YB-2VjJPGD0h_MQEkKpbZHA7szsXZ0zD_s6K4BJXZOOVtzxHMgek6bwxk1CBt=w1200|https://lh3.googleusercontent.com/pw/AP1GczOLx3MLYQAcJt75VphztcP2nA6-vq9fI82GV5DKIYgEC6rDpi3yFlkhCxzQG5hczSryavVBJ1yMbJ3sqZ0l_07IBasQ1voVIpjCm8-88iJmgLURQgE8=w1200|https://lh3.googleusercontent.com/pw/AP1GczNJ9xZiidsMDKuuLiEFCz4NAVAGLpqeORodMjMbHxMhN-SRJprDESDsr1GWc3PRWpRqGl5NBp6GkWfqSmOjPJ-Gu5NnZL01aF1R3iuLBDaepG32FPu1=w1200|https://lh3.googleusercontent.com/pw/AP1GczOaWrCrnvCI8uNwO19PhDhIWTlJqbRUOcg_7YWpv9SsbW1rB96_lWaGlRsFdd_4wJzq7I8FtQVaK-jeWvfYcOe5eKeQ-x34ZTU6zY2DNil9hyNPrTgL=w1200|https://lh3.googleusercontent.com/pw/AP1GczP0b0XJIsQVukxbTOECF9HEMmNRwnqC2hUzIu3Z3FzktzG1PgvEzOi72urEP_WqA0Fea7AFD_fHKJM3-e6nTwNHDWtdV3GXb2nbA7tRWUdCPn0iVRs6=w1200|https://lh3.googleusercontent.com/pw/AP1GczMd7ropBMkjxpR9m8P4XhNd3TZy7e-itTvu4BtCtM53KVZLcZWMknM5H-DjMtzqcMC0bsJTJbCr9NGtVOlHVEb344TsvXWM52mbX0qOz4OTfvj-Ghnl=w1200|https://lh3.googleusercontent.com/pw/AP1GczPz_Mw04uk8tGeeR-3WeqZBJQhRwxam4GYJ72-7kvQWJucgVMM7djein2MnAu6A5nQScE3uNg3gsEquCZKEEzSFmkXjjgW8S7AOqfa7D7PqKzRGL6Bj=w1200|https://lh3.googleusercontent.com/pw/AP1GczMLaevyaKwCgoeAfoJsgzCJhQDLXTubyWk__OlvY0D2c6G4ZczYpVW2hppI2elcdq51w7UXl9i-zYajeRyMAQtOCV1HW5kUoR570efTX3HPFOpFv-FB=w1200|https://lh3.googleusercontent.com/pw/AP1GczOYDGSEI9Q5nxq_ajwRHP8Z1Ez80cduMKCErY0eZPhDUlOJfS7ARHjCoLnr_8Ejx1ZI9AVK9tJMHsx1la8A3etQjhf0PjxWKMMlOQABxhLhPG-H3upw=w1200|https://lh3.googleusercontent.com/pw/AP1GczPN_sE4Q2fiS1O2msQMw2VQzWG068cnm_gEdhbrrHXFg2n7t0_E8HxlPzSNAJPOjquhUlrN4PClE07PYpnAgGKYsLq7ZQMXjAojacBQyfzGteBfg_nO=w1200|https://lh3.googleusercontent.com/pw/AP1GczO1QsCJ2eojexYOjtPk1ljaYjTXUtTN0u6UvxCi0tj1TU1YsqBaZ9esJr6iwIWCYsVpdiKTwqnbw6NvxUfjCfO948CHFsqIbhgqdL-rtYOfdhs378yf=w1200|https://lh3.googleusercontent.com/pw/AP1GczN_uyOubTSzrYJUdWFaB5TyKdB_UYXUNRefaLdltU8X00TDUcZBST4iEbut4MWVgqSa6Un0p9EGY_PsIlOkzh2Qojjk1zRRXR6MvlwR2Hv00jMmGjCX=w1200|https://lh3.googleusercontent.com/pw/AP1GczMFoIS0U2ojFIEiiMEKn0jES4_HANe3qNBzHHmIZMWFDQmryMugLuAtYGrTGFvfv3Yw4s7SwhSss6oyXVHZLQ0SjXhrIED-xFJqk4OC1WMz1TLy5DDH=w1200</t>
  </si>
  <si>
    <t>1004</t>
  </si>
  <si>
    <t>Apartamento en Conjunto Condominio Mediterraneo - Norte - Andaquíes</t>
  </si>
  <si>
    <t>Conjunto Mediterráneo</t>
  </si>
  <si>
    <t>9o.</t>
  </si>
  <si>
    <t>https://photos.app.goo.gl/CNHnPeShbGKLhdbf8</t>
  </si>
  <si>
    <t>Apartamento 9° piso, área de 112 m2, consta de 3 alcobas, 3 closet en madera, 2 baños (1 privado), sala, comedor, estudio, cocina integral, balcón, cortinas, deposito, 2 garajes, zona de lavandería, pisos en porcelanato y techo en driwall. El conjunto ofrece: vigilancia las 24 horas, piscina, jacuzzi, zona bbqq, cancha de micro, lobby, cuarto de juegos.</t>
  </si>
  <si>
    <t>Apartamento bien ubicado, excelente vista, cuenta con buenos acabados y ascensor.</t>
  </si>
  <si>
    <t>12 - LEIDY YULIETH, 33 - MARIA ALEJANDRA MONTES R.</t>
  </si>
  <si>
    <t>https://lh3.googleusercontent.com/pw/AP1GczPPVH-l1CHu1QNm_enyi9GI_g2UjgJ8Y0QQt5XfYbm1nM9_KODAvsgXMBh0EaIqsR-mKJmVjz_prKjot8DW3iV9yg0A2cQ6xcgEAitgjRxfoiqrV2Pm=w1200|https://lh3.googleusercontent.com/pw/AP1GczPiqZ-rUJ_iQgyoguJqbGDtm1nUAWzMWQAfQ4Gtk8qXwl2ADbaiCIaqdBbhgBAjIQBqsNVb1vKjUuQdSy6h38jT-dlr7weFXk7mdWDZDFUL7YoGOYOY=w1200|https://lh3.googleusercontent.com/pw/AP1GczMgVqk7dSqDCyd4foqZaNDcK6bgYGli1qTOvq4_EHFrp7zjD79-zBGw82yi08GSlL8U4-PksGeLC09_NIBdalQSsfjaosUOejEb2Or-YXSlqAW3lWw4=w1200|https://lh3.googleusercontent.com/pw/AP1GczNgP-s2N0fcJAJvLg0-9nlvFTpmKvv9L76-OV9JtA9RrlrdBvtOfrHzPVVlqua5EP-LZ0YMfAODtUSTeNBJj4oqdFpGcx6ELDgIOvba9ozgtwrObpFb=w1200|https://lh3.googleusercontent.com/pw/AP1GczPCELG7_G3ScioexuG6s8vlQS_DnkTg8BvXdZKJ2jy0Gr7IssllvRO7PEwU47or8neNrIH3ZkjMuuZA9zUpzeseTC_gSbk60i8lEWS4JF42jMw0XFth=w1200|https://lh3.googleusercontent.com/pw/AP1GczM-Iu6XO1cRjSVjuU7kNiYwCu1FxXLUX7Crhf5cVrMPO4jXUGIaT70Sh32iMczT7E99S5wtLILNtJQ-MIZWePAFZRUkCOYznn21E9svP6zvfGDimPHl=w1200|https://lh3.googleusercontent.com/pw/AP1GczNQqmj212SGNnzx49hc8P-VkggbPo2DyW-N1d9JJtBhhfx8qIiYKwPRO4GvWr4spMUiSD45r65T9lisFZm1yA8SCw6Xw-pDdvgDZeNfyhtp5aqy4WBq=w1200|https://lh3.googleusercontent.com/pw/AP1GczN7VbZDrHAViiHhFowmOhgrKhCOCOILFMFgOIS_zD1jQyfb3l5YDhAjhouijjXwB21Ah3FfogSHaxFwmWOxCchcCVVIyB9uHtaDLz72WP_VFpdzE48u=w1200|https://lh3.googleusercontent.com/pw/AP1GczM3Q2Ln6ORPDhcNQGMz1nXLpoFR0BXd3rC-IFIbMCJ94nwP1PE3UfGH3899gZktEJzbFvnvzd3vLyFPxKzGvbjAXKwfmgFncv-pSdYPyq9kxocT9W4T=w1200|https://lh3.googleusercontent.com/pw/AP1GczOabfQbnav-K85ZL4Hb3NXZh6WLxj8KOpHA6lsNeuoB9CzNXvfiEdTEjAyhNrVAyPpWRElI12RRoVOM6yERpUVWrdX92C9l06qraL1WrB8CfARRAzcn=w1200|https://lh3.googleusercontent.com/pw/AP1GczOlsmMkk9xn_20f8pbspowuZp1yi8S6kfak_Ekw9T1dtFqLECty6QUkrSkEgPx5j-jOGo7fIIP-XCcZulX_BEwRjVX5j-2F7-3COBiH8-gi65OEmF4Q=w1200|https://lh3.googleusercontent.com/pw/AP1GczPPYoLqjAE7Ubg1XhJxLidsQO4JwYgv31rKizQNWbOX_jQoRGdFmwPaNDbGpxT5_YfK4k8aEDkm9lE1rnXiuyiP1c551SrzWneOnsi-ZlXENkYc1KgH=w1200|https://lh3.googleusercontent.com/pw/AP1GczPtOUJyBa8ceg__jH0WHnyt-jfpcGnoSmg-kjopAWERUlqMz2dDN0byVtN1qvUyXRUJQ6xLlb5XLn44y1EjFm8xA-r7ixI-f1jja92lhhiH1JDC0_WQ=w1200|https://lh3.googleusercontent.com/pw/AP1GczO41fEJgmHZJbnPc-j-xhHr6Mz5sASuwvNLuKSE0mM4koxAaF4JL29SR_7N3i8jSieRTLLtDQOKkmfMwx8aim5mt4BysbPlnwCyX1D_vgbppFshcwBd=w1200|https://lh3.googleusercontent.com/pw/AP1GczMOiV52Sc8ijuAfcpeZITv9ocpPW0w3AiMmVTBbkq8aOscqYoKBeGQdOVjRML8r6HLmAIcuEF2ILeKRMcf7SZU-RdIO9J_YTLPF4TkDR1KqohzYbNJ1=w1200|https://lh3.googleusercontent.com/pw/AP1GczOHHi_-APeWxSeWjFAyv0Q4hUIN5mPfhUJGMMJxoEZVDOnbvkW2K_rs2YxMpehESmjowdWyVxe40fWbnMFbHWmwcY3a9iU9-TSFl-c676Hsc785ZWbM=w1200|https://lh3.googleusercontent.com/pw/AP1GczOTPAucLLSBpfjy2xag8paklPHk5O9SQeg3OMtiB_ZLGypdubEv8ENBs3huXFCwqAr3r_uUwvGARGLd40RAPtupwKwQrUe3lTxcjoeFdMmPA-dYlkI2=w1200|https://lh3.googleusercontent.com/pw/AP1GczPG1sg1Wh-CQYrggdE9YOMYjMI9PbgwQ9kR9QyFf898ni-YluT3Ge_VLouSGYmMytxhxze_aIvdvmt9n6pjnA40aREpDCpC2d_ruDUOp9Z1XMs1krxb=w1200</t>
  </si>
  <si>
    <t>1710</t>
  </si>
  <si>
    <t>Lote en conjunto Condominio Campestre Mirador de Yerbabuena - Oriente- Neiva</t>
  </si>
  <si>
    <t>Lote en conjunto</t>
  </si>
  <si>
    <t>Conjunto condominio Campestre Mirador de Yerbabuena</t>
  </si>
  <si>
    <t>https://photos.app.goo.gl/dmeGdJxuMNbDyvuE6</t>
  </si>
  <si>
    <t>En uno de los sectores con mayor proyección y valorización de la ciudad, se encuentra disponible este espectacular lote de 552 m², ubicado en el COMDOMINIO CAMPESTRE MIRADOR DE YERBABUENA ideal para construir la casa de tus sueños o desarrollar un proyecto de alta rentabilidad.</t>
  </si>
  <si>
    <t>El lote  cuenta con las acometidas de agua, energía y gas. Acceso rápido a vías principales. Zona de alto desarrolo urbano.</t>
  </si>
  <si>
    <t>https://lh3.googleusercontent.com/pw/AP1GczOwoT5Tv7jLE4F_6uDvhleqR9JmojL09sySPOU8Y9RV0sJGSKhz7z9pHlKhcu_-IEhjBez2eb8428mCO3n6uV7D1O3VewXghClvPoNOuq7g7pLl88Lk=w1200|https://lh3.googleusercontent.com/pw/AP1GczPxactq1EIsGRdkL8QCRXEh7_ib8xtFARvcpDneOhJs9JL7r_0opPkE3XwXN_R-o-9DBQm-psFMjTF0FFHeyG9amVYWzfyPlPNTCImz36vHUYU0ZeH0=w1200|https://lh3.googleusercontent.com/pw/AP1GczOYBg9WKAqkhQGDuGzbLei8FpbrvicefCzW99uYIqaGaVyUJWg74XkoFhSD34-kwZ9rmGVk-GUlUXObc1l6Gev3PRfy1V0fmB-mlJYYTWcJ-dC7maOK=w1200|https://lh3.googleusercontent.com/pw/AP1GczNHQsdgdzFVT8WmwQfmBq8WoqwrXMlUYHdgDQix5EcRixsT22fvNRP50Fq6Xr3Id7Jhp6qB2ZYM2FekD5RZFkB0KAEQLbfKaPSsxAaGTRAlwjne1bQe=w1200|https://lh3.googleusercontent.com/pw/AP1GczPfQHXYtjx8KOBzJJweuiPPgSf6b6EaKF2VP0aQsYnQitMTMSEQoL0_oSJntI1NOGrEqR3JemSnDnna8vrtmou4NLRo8NHOj-kef7d5KytSe6NhFOYx=w1200|https://lh3.googleusercontent.com/pw/AP1GczOcM70RmNj9qpLbxfaSMZSDBAwbcU2hoNTa-6IEQkse6d3rvVXJswRlXHF2-qzYaAdf-uG5kdWrQ8w9l69HUuMzligme3CZU-Xnt22cynft9AK70kj4=w1200</t>
  </si>
  <si>
    <t>860</t>
  </si>
  <si>
    <t>Casa + 2 Apartamentos en barrio Floresta - Ipanema</t>
  </si>
  <si>
    <t>Floresta</t>
  </si>
  <si>
    <t>https://photos.app.goo.gl/uKBv5dw33Ri8x29v7</t>
  </si>
  <si>
    <t>Casa de 2 pisos, estrato 2, área de lote 140 m2, área construida de 280, 1er piso consta de 3 alcobas, 2 closet en madera, sala, comedor, garaje interno,2 baños (1 privado), 1 tanque de agua, enrejada, cocina semintegral, patio de ropas, zona de lavandería, deposito, pisos en cerámica, techo en placa. 2 Apartamentos 74 m2 201 y 202 ,estrato 2, consta de sala-comedor, 2 alcobas, 2 closet en madera, baños, zona de lavandería, patio de ropas, garaje, techo en machimbre, pisos en cerámica, 1 tanque de agua.</t>
  </si>
  <si>
    <t>Casa bien bicada y con buenos acabados.</t>
  </si>
  <si>
    <t>https://lh3.googleusercontent.com/pw/AP1GczPZmFQLwrJ1WDwyb-HN-a9yYSWq7JiydH2PGyepX8t96Fn0GTlvMeNuXI-BsOrDHzTGwMUCDLuKeRoMt3uHPZ3_MIzxfA4nymGdxNahE7tnWlcABXm2=w1200|https://lh3.googleusercontent.com/pw/AP1GczOltczoKu4W6ejuys7nEnjuIwXN1nNV8WfsPIVDH1pgSfWrxKm_gsNthbyhN0tG_WG7QpqRtz5XYKixUSRuNbfh6Xs258su2vdRjMBqFrw0iorSp0Pt=w1200|https://lh3.googleusercontent.com/pw/AP1GczMfu4Q7T-wGVWpaiIa0aw9CeAZNS4Wq8OGgUmx05zBaI6oEJpTVBMGEq6l9y42ICP6WhB91gcdx9FkI9xEag3fw1_PgrSb9be-byHE2FawGOww4-0Qu=w1200|https://lh3.googleusercontent.com/pw/AP1GczMiCACFSf23PV8MokHpAAnM7ns7ihc8Ol9fpXF9ZMqOgzI-GAkjDjXb1qsTduNIJHTlNGyYqz-zmRYwU74LxYhwj7uKY3MFX3AQylxHXP4co7gdSPpb=w1200|https://lh3.googleusercontent.com/pw/AP1GczNQP5E-6kp0My5tJnBb3JPCfK_4VSW5z1IavSNyuK7hpLR-V5TVDvyBpqxb_CMUuHFtc_KLJnZnNi1y8wqjDRJaskpnmE6_2Nq3YHY4V-K0ktbRNAXv=w1200|https://lh3.googleusercontent.com/pw/AP1GczNKjfbzniBcCY6Q_LPPgl5MSS9V4u6e7GO1QxKAlGo0KrhM6NpbSYCsQTEDlHy4oSapRqFSzJi9VvTur9SaRFBrIaX18FS1wtVKDeA6X3nasY5rH54T=w1200|https://lh3.googleusercontent.com/pw/AP1GczN1JzUoqIhwy9dPfLBDa_6dd4S68QP0-TqpEm-GsMp1ENdSGLuI5duE72uBbnw6Vs62FEh8DDEcDbBGNCaYelUh-hYJQ-BlTYf-o31EqV5wP3zDcEWB=w1200|https://lh3.googleusercontent.com/pw/AP1GczMeMolaQXAOYILbXknioL4MQ3btBrK_rsB5TOZuIfrlvzqOvtaeVCBmdUVEGzTnl6raMP-n-_8M6i63hH3VoA9AzBQn2eR_TZkUUW8TjOGE0TwqshCH=w1200|https://lh3.googleusercontent.com/pw/AP1GczMLiL4LXLrjJOfVoTn2fUSAOQUsARrDPseYDWSftXz2bO48LysSREUcrIM-xCmV3P61vzpvYXTbwfHKiRsBMZqyqKTZywmvF5B2PfYTF3PtQVyak_TY=w1200|https://lh3.googleusercontent.com/pw/AP1GczPmScnISpxbD332W501Ta-YNo4cXcrHoM9Fhat79sXE0ZTYaFrXF_KB4fLp1UouFNBszbueI9QWHLpE9JLKQY_66KG2Rn_RPrKZhH91lx0jNQKSTbyk=w1200|https://lh3.googleusercontent.com/pw/AP1GczNyKNIbuGllyWnR1W7SzCiKm3J5PISbtbQ5K-kfRta9CFpuXHtrKz8eQ0gA1zHx3tJ7uk5xNGos2tncYKznwEPPCUbYqcFexbosd_CFqnICPhQQ2g43=w1200|https://lh3.googleusercontent.com/pw/AP1GczPqkjEcIjBp1m13UQymoam8Q1LVYfsmqYwP3n0GbEGvEOTz56dYuDM7LKdoWpBDOd241duR22Y9rvd51DrXlGV3mB1qMyb8wWxDbt-9p1mTrsR5nJr_=w1200|https://lh3.googleusercontent.com/pw/AP1GczMupHN-OLkdK5ksbG84W47eYR5EIFfkRIU6XvXVcASp1kC-FaZ_0RIJBHAc8Bx1GeTScWmK5aJiPx3YLjv9ImepzyqKTt14Octpk8wRHyOQ7glc3B-r=w1200|https://lh3.googleusercontent.com/pw/AP1GczN7rKQk2U8QojDKBvB3ws-1O2ixW7C7Ntw05ZtVpGMqh3OQY7K7yvlUa8tCdre7eE6ZXsWoWCj6odxeqsh2P0wC2D1QZBq-UNlpXgn1S0uwPwDP17St=w1200|https://lh3.googleusercontent.com/pw/AP1GczMphbX75cTgaDGhQ6BG1gPTCpEAtQeayXrF_yQoDUQIUmCbrXcb07jjbv0KMZpzi7NdllP8JC6PO_NWh8BariORgRKRV7WgHhI4WzDSP0Uc7t3gxgGy=w1200|https://lh3.googleusercontent.com/pw/AP1GczOUMiU_TlwKCJUPBmNshwgHGixa1clU1noBrb30q054onB49bFKEdyOxTmtvdHwMFlVAX0w1ghUiX_RlV5-GPEDxbR4yjFAeuIKmUwU84f-cipdw_u8=w1200|https://lh3.googleusercontent.com/pw/AP1GczPFCDk1iaGhlJK5nHvaChncj01SeOoRdg3vkwfprKMGkqyrJ0_qVrmXMoKOrTMUYmiq-Q_661BN4OOMEUkt_e-Zwhr3Cwlz8VvV10Xla-yRYVhYFN7t=w1200|https://lh3.googleusercontent.com/pw/AP1GczOUufNcUflBX1ieuQXpbVIJGgjBAAErJq3VS60jmpGjzUrHILKmCogURDGCiqg3zkRLBHxfTv3g_CJgx4A-DZH1Iy13nK5YigGuwjkGM5703XwyNxek=w1200</t>
  </si>
  <si>
    <t>1725</t>
  </si>
  <si>
    <t>Oficina en edificio Plaza Real - Centro</t>
  </si>
  <si>
    <t>Comercial</t>
  </si>
  <si>
    <t>4to.</t>
  </si>
  <si>
    <t>https://photos.app.goo.gl/skRULc1XbMU1RPC27</t>
  </si>
  <si>
    <t>Ubicación: Centro de Neiva, Cuarto piso  - Área: 91 Mt² / Estrato: Comercial ¡Oportunidad única en Neiva - Se vende oficina en el exclusivo Edificio Plaza Real, ¡en pleno centro de la ciudad! 91 m² de espacio amplio y luminoso - Incluye 2 parqueaderos con 24 Mt² - Baño privado- Excelente vista para crear el ambiente que deseas. Ubicación privilegiada en el corazón de Neiva. Ideal para oficinas, consultorios o tu próximo proyecto empresarial.</t>
  </si>
  <si>
    <t>Oficina bien ubicada sobre la carrera 5ta.   y con buenos acabados.</t>
  </si>
  <si>
    <t>CARRERA 5 No. 10-49</t>
  </si>
  <si>
    <t>https://lh3.googleusercontent.com/pw/AP1GczN2qSGA0OO3tUkdB9RL8tVbjUHG45EYIgCpX1Fg8nZ3Pfh9Y35tGhmY05-SGnl8UoxMnO_hUPo0ju3iNyy0Mk-sDOT-iKtJPxy9dVN8JkWNN1S-xshT=w1200|https://lh3.googleusercontent.com/pw/AP1GczP82T-gSMTxYu4X0DCLAr2g0pdQxgvZXAnE1N6rieybwcwd-bOgGD5Fu42SOZUZone-dB1MouP1l6_g1ifBHpM7P9zfTHPIiysuH8G_ExyezHQHT1z7=w1200|https://lh3.googleusercontent.com/pw/AP1GczOauTqWXzUhMlsAysnfXfgvUeO9Lzx-vXOtlED9IvisanOY0Jlk_CLZqpREuECetstB1Nv7ip53T0UiPKS75BxY4qT_OGegkEkyM7cmjAsniIHkD9KQ=w1200|https://lh3.googleusercontent.com/pw/AP1GczNysTmdvkNwAXg7MHqKl1M30EoNVwstuKNaC35c2Je9ca8_XvJdX3RmCHIPbiBRtS-F8nD6CpTdvgHzpX5lUQf2n3JbuxdRhyP3kq0nhMBuULs7a-jc=w1200|https://lh3.googleusercontent.com/pw/AP1GczMyKImSnrfO9fwZr_p9j19zItvsx1orhvoE5dICmrkTvIw3VaJ5OXT7QR1dgiPNjRG6jxhcaIVOIpz8M0n_GvIO2n4lKXCU9fMLTbyeiYv62zlZN1Yf=w1200|https://lh3.googleusercontent.com/pw/AP1GczMX5gTgWpEGPz6pkpOtDyooXQFu0oqCe_lNnp6L52xwts7fFd5LduSWkEvhCALhgFTvCAYFXm5jQEcgEZYIIiFcDNgYxV04-VOzUkNM-RHuOFoTvSSK=w1200|https://lh3.googleusercontent.com/pw/AP1GczOaBJETwPPxgYjYnCl54_J5UKRY-40tuuSGfhZQntuDuYo8nD8rcg_f_7Vs4PBnOtpwLNCC8OaR6o05H1XB89whd0-Kjr_n1L7l_TtiWXXOQF0iD3Is=w1200|https://lh3.googleusercontent.com/pw/AP1GczOmAKtX4jLRAzSzThR9U_fyn1UYNtrk18OG0wqpQVuB7ix8N7r3bAdoO_c1tERV7rF34DvGCPdMmHsrV0xu7bBBZz3n7S-e12jTrGc566dyngAv1vah=w1200|https://lh3.googleusercontent.com/pw/AP1GczOOHRexHdndurNUAb7q51BBmsxWIEeyhs8ml3aU53ajapudUYX_1-gI_hRQoeXmRR4uRDmA932f7lWSF3S645iRbCq0sl-RgJ0q6qtBL8C1E_gBoo2O=w1200|https://lh3.googleusercontent.com/pw/AP1GczOnOByawq87Vtw8dKJXDQQx33UrKM65Li_GagYhTcSM5HZKOZefJajVAJ8rT1a2ClHYEy8JHjmef2Lf22RqZ-Sb-UNH1Cb6zyuIAY40JkkbFL089S3G=w1200|https://lh3.googleusercontent.com/pw/AP1GczNT27tNFPKl04OC51qgCG-gZOhPgEsBCzsOxUEcmx7_qDxTF7iHES9Sm6TUpE4H4OlyU47zgoXv2vMI2EHiVn51Kmez2Kv65TSIRQyDtPY5ttIDGQvm=w1200|https://lh3.googleusercontent.com/pw/AP1GczNQNZHdJlrExgxvx5D8F9sJHRHmogj5Q4Yh6isqScBWf7L-McWhRXPQjimNeljtpRVYxXyLGklsZ0XmNreWRisUmU454nhwqra5EkNwajVTxKIgSGXS=w1200|https://lh3.googleusercontent.com/pw/AP1GczO_WjZ2zOjXpuu7dEGfA1rpVpC11dtYi1kZKyGtWzFQls1ucXw0rEEA0Rf9de24K1Rw-6Vzc8_wB1SI54VAeheWqJxLeQB2wRp1TWn_NGNs4ByfcSQ8=w1200|https://lh3.googleusercontent.com/pw/AP1GczMIZrhzEn1_jusmvAdLt1CSgH7tNuzEBXk54TsQW-MLooAK1k4Ua1qy-GQk9o7hm4jsQ5E2gCOrVYBrvO43HsXL59LjuuX2_yaiUJtfqepmQO-QTQdu=w1200</t>
  </si>
  <si>
    <t>821</t>
  </si>
  <si>
    <t>Casa en barrio Urdaneta - Centro</t>
  </si>
  <si>
    <t>https://photos.app.goo.gl/mHnVe33GeDJVbxN68</t>
  </si>
  <si>
    <t>Casa de dos pisos ubicada en zona central de gran desarrollo comercial, con muy buenas vías de acceso y transporte, es ideal para adecuar o construir según tu gusto y necesidades, área construida de 179 MT2, área terreno 153 MT2, consta de dos salas, comedor, cuatro habitaciones, la principal con baño privado, un closet en madera, un balcón, dos baños auxiliares, cocina semi-integral, garaje, zona de lavandería y patio de ropas, pisos en tableta y mármol, terraza amplia, tejas en ethernet, estrato 4.</t>
  </si>
  <si>
    <t>Casa bien ubicada sobre la avenida Circunvalar.</t>
  </si>
  <si>
    <t>AVENIDA CIRCUNVALAR</t>
  </si>
  <si>
    <t>https://lh3.googleusercontent.com/pw/AP1GczPpBpcW_KOheXqvrCshxvZ7bI5MaqM6J0KeHa3EcEpuBe3Y_6iDTCkNQMfS27oAN-IyJkKd57WNdB5S-WfAZJmFjv7l4ekawhcbRcYoQKbSkFSNsKTs=w1200|https://lh3.googleusercontent.com/pw/AP1GczPRUsZmUf_Kpm7pJngEJlfRvvzoX-c3e5vWmy7cINf3_Vtp9USQlHGL7Yt_okbcgBkoNrTItsefTd8mSgatHOR-VPya0TiFQWGCRHzRi1a2einpA8ve=w1200|https://lh3.googleusercontent.com/pw/AP1GczM1FOFJLKw4T4Vwy9jSUHT0xqE1JR9cqq-lpLO-9lu4rPcepxi9vp2-DcMH126ow3xzBAlPsbSY5WyaydnRmthgKuX3EFv-lPj73NL0aSOqDQiD6sxK=w1200|https://lh3.googleusercontent.com/pw/AP1GczOrGULUkik1klJOCbkt0ME0fr40RIjCY7S0ivLFJfW6Y6IA394yfjw-lfh-Mf-e2g6igzbcTITXX2ekjMSg3qJoSwoY82zbj2cSzFm5zpQ2z2_shv1J=w1200|https://lh3.googleusercontent.com/pw/AP1GczPPcpQJ2BSX1qt5aEYKe-VyY_TIsZmaqdP0Y8l5bwqJr19uuDIjOaQoNn0lZf-WFgyXsMBNqmninGm3LJv6ZoKHRO_ureeQitnPoXoCYbXIIrb3rPoO=w1200|https://lh3.googleusercontent.com/pw/AP1GczOBVBDkN4xIJ42B-ChSl8fpoTS9Bx8XsJGU1t4Btu7e9Xr-BBQYIbLBuSmpZlQFBVnpdVIzqGC1zzhKQrk0HFxlTYQUCHHh_-VhgMYTk54dkceVU09s=w1200|https://lh3.googleusercontent.com/pw/AP1GczP-21ZsT1A7e-mo42lANFFv8rIVTT3z34mydYUe77jOd01dDqfDW9Y5mdxoum2H9iunQjPozxmo-hSVzj6cRV-bU-hB-3k9UgQQI51KN2zw5hMV-RZu=w1200|https://lh3.googleusercontent.com/pw/AP1GczO0FZvkAYdOFce2O0OgCgH9WyvlQNoiqGGbsW10wXtz29n-UA8MqhE6WBC06L7id_QqmllunOuq-fSFyv3UGw3Y5zqJEMjQF6vjnMA00hG6-79njKyr=w1200|https://lh3.googleusercontent.com/pw/AP1GczNfTQw9RvY6y8AOge4q4Pg6-g7LaGufnnXHTJuYXFl_1gqNx8usz8dJmPlqBtw-4JQ1VIAPhQRleBjrQTqENZTsa8weKrnt9-VCvTFKtinjny_dUWgT=w1200|https://lh3.googleusercontent.com/pw/AP1GczOjNDGq-llo_6FSwmW1TQa-do4Hesur7HghYfQD5ubEt2bPMbV6aC6PLKWiX1HmITZgWYweGfgir827y_8KdHI6Oyx7xGKt7L3hG5fJ84ACPgfzcCDz=w1200|https://lh3.googleusercontent.com/pw/AP1GczP71KmHMac9sILYypP2UZqVSA74G_KjB3p9NKf5RvwVc1-vTAU8mJPbldSoS6GZO5X7IcpesnozXOsQv9EbABqaJ7ua7lKgcOCMfjKarSnoe3Fr_QXO=w1200|https://lh3.googleusercontent.com/pw/AP1GczPbFpPmH_5MyAk6i6jXrnsthYwx_JGJwF4Yq8mG38ZyXP3NdqZD5ZJmC6VryMj8R8WKxWLudIMhieehF1Tn2IuqZMcMHMxdR5MvMnp2wLJy9exdN-Vo=w1200|https://lh3.googleusercontent.com/pw/AP1GczO-G2Nf_jIq4Rxwf1WyxAGL5EHH2pOtTbEmnj_ZNAsMPzSvynCg-23PFAjtZRfN0AFPyXXrX2FObruARjt-w59GbvTNp3IB9RaD8p_5jY6fYex5B76U=w1200|https://lh3.googleusercontent.com/pw/AP1GczMNzhPE-AFIC7Z5UbkhSYKICjiaf73DOeeEQhp00deJDRbeBzjtjbTg5vvJL3AB_rnmLBIaY_8FKtjaK01dKcuaua_y7HcxIXNLD1rZOb9LO2ziYhZw=w1200|https://lh3.googleusercontent.com/pw/AP1GczO-c9j3iml_kkuh7-TAzTdqBgeytWKCuZeTUeb8-s6rmjhDm_qugjuAnzWskZPlBPTlH2Hziwb88M0FHDh7MfoEFRp0zjV8irWQBvRcH50Fn_Xx467O=w1200</t>
  </si>
  <si>
    <t>906</t>
  </si>
  <si>
    <t>Andaquíe</t>
  </si>
  <si>
    <t>Conjunto Condominio Mediterraneo</t>
  </si>
  <si>
    <t>6to.</t>
  </si>
  <si>
    <t>https://photos.app.goo.gl/yRPTt3PCofBbGXZp8</t>
  </si>
  <si>
    <t>Apartamento ubicado en un 6to. piso, área de 112.0 m2, consta de 3 alcobas, 3 closet en madera, 2 baños (1 privado), sala, comedor, estudio, cocina integral, balcón, cortinas, deposito, garaje, zona de lavandería, pisos en porcelanato y techo en driwall.</t>
  </si>
  <si>
    <t>El conjunto ofrece: vigilancia las 24 horas, piscina, jacuzzi, zona bqq, cancha de micro, lobby, cuarto de juegos.</t>
  </si>
  <si>
    <t>https://lh3.googleusercontent.com/pw/AP1GczNOorq7AvXoQGoLz1BHQXBEsmhR5qilcJEiK_wXbh9MbyLpvrKBK58qRe_88M5pXWieNVPuUV0XIse6LCdItZe6UC145jdrkPFeWa89BgxRuhWFEdu2=w1200|https://lh3.googleusercontent.com/pw/AP1GczOhy4yimKRhS3aPwqBf0bJvw-oCvoks3AabpUfyRtzsaPp3iUJ994Kbbw_hh7NXUgQbKpyrZk8XFx6Tfp76bVOkwiW3XW7Fuh8BVV5Yv5r6v9VLzISJ=w1200|https://lh3.googleusercontent.com/pw/AP1GczOjEkZFV4RcoiIaGmaGLnMPaC3XqzEXxMl-QT41zwOVQiIPh0X-Kwdra541sIxNjIIL5fDIsqWIhNLdvyQcRAjXXRA50zHUTSCOSTTKN1O01gN63GUy=w1200|https://lh3.googleusercontent.com/pw/AP1GczOBMRevI7WYAvVapk16dGfMuUMBkL7AyM4DWLogm-gZZOT3_PMr5AFZpglaOJI1BcQcUG4BdTsNeSFHFjcpiM3cFyBemh1hVNfunMyFNYUbzfPeq-04=w1200|https://lh3.googleusercontent.com/pw/AP1GczO5qWtH4hVs7ZmdcYgf9fHu6Uak-KR7miNGRV-GFUD1iFMwRnQKbK2IWL81l9aoqUUXl3Sp6vyonxtu1VI--jGntwoTxCdVlDBrekxCPCdPaB_fNk0S=w1200|https://lh3.googleusercontent.com/pw/AP1GczPjdKL4dzSGNqY8HDPlFBvMKvLIHCjspjoEUJ4YSybI1GHVf688d-IOsi-GR1d_2NMVhPmVw-I2weKjfNnmn8EntnCl7MRQgc1801OczKHb0Y8BT_k8=w1200|https://lh3.googleusercontent.com/pw/AP1GczP5MhJdt_1Xnl_reg_M_Dbr-6ngCKP1YLkgBLm8t9ADbjDtwcNklKPGu4uLV1Jvh8j8VHotuLHexGtRNKQ7oJi9JANOx70wc_okY-iva7-Dlx_BPvnR=w1200|https://lh3.googleusercontent.com/pw/AP1GczPK5KGtYq9RnA6JGkpWLy2PqIxtASd5v1lrLXdMauphTzCNBAzNV7jTp1Ca5_Zr3fFqbFkoz2lQOMzLVFLPxs-Wn0sT0x29HKxv8niVZW5YIsWvQiU7=w1200|https://lh3.googleusercontent.com/pw/AP1GczOI6-mur2LL5_65l62wL0TaKwpVfM6sjXSBjOoQo-fRMFFL0Hfzm5NxWG_f2mG9nK1IPQvedInd6OPjn8ZoJVMvgUZcJh5nXWTL_0n4AX1yz3HyFDng=w1200|https://lh3.googleusercontent.com/pw/AP1GczORPxWL4_IjIn4OA9Q2tojgVuE-WlKsTAJEkj6TLiTQoF7roVpLzNriStgoDDCPFbGMzW73-8HMSY26OP79ErJ2p4YdGmkBz30o84har1FApOdC4nHQ=w1200|https://lh3.googleusercontent.com/pw/AP1GczOxKmmouL2dYrpwEUPiYyC4ZHFxD7w75qAm4H-j5EdT3P_TIg99nVv4ewEdjfycYSjW2Cj4-Zf2peCsNinITOiOdaj76dj3IRG_QwJ_59r29Q30AQ4d=w1200|https://lh3.googleusercontent.com/pw/AP1GczOmxLhFjgezoFMlrRjl9Mm4Cm-3xWBnIO_d5wZXdZY0nS5czkbAgw3umStkAcmAkRHFl5EFWkCkfeVK6iHin_wQa0LEjcQn2bngAjuIcPGnK4PojJJM=w1200|https://lh3.googleusercontent.com/pw/AP1GczNgqHddbnpGvGVrGU6d5KGczX3roY-kKGZrhfcXsb5uOlQhGbY_N7y4H8xFne9L4Jh-PPQI6QN-jUbpHqC-Ldm7LYL8Zov5McTqqc1fV--Xl5xquiTl=w1200|https://lh3.googleusercontent.com/pw/AP1GczOD9VJ5p82-CBvXSrefOPz-pEXWa1RpxHIuuzwzSPdy5Eojm23ANKnyEs6y9Qi5pmTvSrTDRQBjm-_8-evKrzyOnMjR5p3Tz4R290dgYzkacGUZX47w=w1200|https://lh3.googleusercontent.com/pw/AP1GczMCuikIayISs_e1LrV5Tb4m_Xp1a_bO4sRRRKlApVtaehNEd-FMRPpUiX3-bd9WKUdMCx3KOZDnpxAuBNCMnSWLJ2ih_ZJ7b6-CpUEtQlCnT-tYBf45=w1200|https://lh3.googleusercontent.com/pw/AP1GczMHroG-__tV8INzfVOkcaF06PpJHwnrefLJd16z_l5NQZC-AiXXZsu3wIC26OuKmah6GAQ3euDUT2Idseyggyg4ZfI4yOtPZYgk9k4J5XSIq65bSDiD=w1200|https://lh3.googleusercontent.com/pw/AP1GczMyagI-XDNhFe19LZgm1gfPgRVPcqiJvPd6-YXNd_NLfBSG982-AmQN00p0Ukbn1hcYPFFl5UJEfx3zYLxC4XcrPbl7pESm27v8eOnt--X7BlSKHJh0=w1200|https://lh3.googleusercontent.com/pw/AP1GczO4ZU-rVqf24n31nxWLlSPzBCw0PMmg9mr2kuTXtNmYUmaKDuyCeR38uEyWAVImanCuqbxvmAOZPMP8BpqODnYpTJtymj93bmU22xvXtXmzPiBg6HjZ=w1200|https://lh3.googleusercontent.com/pw/AP1GczPE8vmMuN45QvwMZEq6R9oUKSlcHXIPEP20r30uAPDsFjTX4yPoAiLWI6Jv9PrdwTANobWhv8LmpbNKSTVAGJXDm1-l4Z6Tr4-SWEWSRlJ6uIYwWagr=w1200|https://lh3.googleusercontent.com/pw/AP1GczOOM0B2suIi_-kSvbIpHsh-ncI2OJRYsxiKp1_NRkM9PQYM9E5TbLNK84x1Ir9db7ITHmj2Heo0Wp2QGy6HrTBXSy4zL4pUx7lPOgtRCv9JEtp1gC3w=w1200|https://lh3.googleusercontent.com/pw/AP1GczMQ6VUFmJXw-HUE9vmvRwvtlncpd_BqnvFUpgxRnvQE1C8lisIhxUK91NHaz4T4phGi8dXTaUwgbnyFGZYznoHQ4pztCnAS-wL2Q15YEuu98y_JAtLT=w1200|https://lh3.googleusercontent.com/pw/AP1GczOmKYXghA5bdNdLUVBy-F7I3fj5j6GMoiGnDNB9nUZZM8w5i6D4kigHGG05J2fvAP8vYd9SAJ03ZIEWmRv22XbzgQpYjB9UMm5zxS8RhOp3XJMRaACi=w1200|https://lh3.googleusercontent.com/pw/AP1GczPo1YG6EyVQhDS2l3-jxQx8q34zaefL6YKfyC7k2BccBqP44MU0fX6kNhREp5kgl1DEnqYa0ISdOzLos23MIyzpe0cbops8bWCMJrQEaGUnBFqFH6jL=w1200|https://lh3.googleusercontent.com/pw/AP1GczNWl2H4AqLxTdobU4cNdquy2KfJeEk8noer84YkKwg9T6KJGMZTQYs2NvfJCDjjgzPRMeEiTB65pdrP2Aql9LR_XGRGpxCpwqftu-nALMHo378I5DRb=w1200|https://lh3.googleusercontent.com/pw/AP1GczPOMdoSyi_0Ad3mci5VFFs9xcFIbtqcjuxAR4Hm4NoD9OVbgOJXU0QuVqVQNHnybu-uBfuALvmnU8KlxrktKZWIRxrU4SbKUarDVjQcKXUo3XLlYqmB=w1200|https://lh3.googleusercontent.com/pw/AP1GczO1Q3ZlrZuaBoyK9LlAIxruHTyL62eJMYYMS1QtC1y7Hx75WNvhvz5d4wQcyZ2hHYswAivMS1alpUBfKXZOsGx32wwZmg1NxKoJ6nBR_ZWuvPFpLl34=w1200|https://lh3.googleusercontent.com/pw/AP1GczMZ36WClX-b_nQH-vBCVl5DhK6mDkFiEODYfjcysWZJhBZnlSdBeIUx4MgUTE0EwByuO-lxXMzn12vLSwKhj04XPYyNYVbV7VkE69UrQgAmKJ7yMsTd=w1200|https://lh3.googleusercontent.com/pw/AP1GczMfq0U1UHCfPZg_z5vAl-afZahZbTlKuU0n41jnbn_gs0tIt7ZpxF7Dh8x4C39LcXuINBXJbWAIO8k8Vji9zGOX4InBI0nmBEW_LvZwDypU9E3iHqly=w1200|https://lh3.googleusercontent.com/pw/AP1GczNDCT5chxMYxzB_HS4XL7Ap8WCD9DQb_uIoIeEU_7yJJ2n9iQPC8QovQddsdqJ7XPsRzqRaCTnr-8R0P78M7zBCxvBs3EJJpr4xhDeVhRraovxdYyXU=w1200|https://lh3.googleusercontent.com/pw/AP1GczPnJqi2VdzTLTXaaZAgvZ_2OXz4jgc6HHSoQJzv3_tCNG2LXET_hSegrCHVs0aceqmFwRU08JZXwGted7IUdBYQw8p7nrMxw_qgfwVgeVmhRB5jCdTp=w1200|https://lh3.googleusercontent.com/pw/AP1GczNhkwqh0Tht9QMQjd1Y8y17dFphb4y5O7jk9zlq57MRZyJZm26WpzxfyrGIkK_Zf9c7KjgTYNiio5QeJ6BGz4_SDPsH8UfXVD4Tzpp0cqh8UKZzcu7x=w1200|https://lh3.googleusercontent.com/pw/AP1GczNypBZOUNsFHP5Vc0YfD-q5-38ughNUudqNgbPtUFuNGwptc071jDMVMPElheheqqYSNwUIJ3WXpy5KeZMcp8iN1RYNnCB3dNqEBW_tTj954iZMAauQ=w1200|https://lh3.googleusercontent.com/pw/AP1GczNs03AmZDafIys28GbgVMovZVgNrkrH1V_VSWvSIqhOVfN5hiKa1BPpgjiHHngEmwdWsMM23Z5luGRalbyAt0hY-VKfni5YxO-xGZEehsgR_f7J_xGt=w1200|https://lh3.googleusercontent.com/pw/AP1GczPPCXWxd9p86zs_4XLLBF1A5TwuDY43WJetjmGyCIUiZbNOO6GdIayrigCYquWDVtFtGZBJp5jbEIq4A9PJZ1wDoyze9GwkClMv6aMuBMFCIVcu4WeH=w1200|https://lh3.googleusercontent.com/pw/AP1GczNRU1XBxtPhqX2x0inT2F1vFV4s5DHhPJRdRKqmlMlTo4mrEVgVgEglKn_g7cg_vMIIaWZiXrBLlWRFBZtCPiGrmyUivrLNedjABde8wljphCVgI8g7=w1200|https://lh3.googleusercontent.com/pw/AP1GczOBrCLz0bNN8z4KatyJrHlXQq_E7uQ8qB-2jH_u9lWshRXZgXItnNcWWJgSQW14ROtmRyESQnXBDuu0FG-eYRhqrUvGnRKyJrRP-kw6UaeXYKiNYQ8t=w1200</t>
  </si>
  <si>
    <t>1755</t>
  </si>
  <si>
    <t>Casa en barrio Altico - Centro</t>
  </si>
  <si>
    <t>Altico</t>
  </si>
  <si>
    <t>https://photos.app.goo.gl/kgGtacyC5ih4t8yu6</t>
  </si>
  <si>
    <t>Casa ubicada en un sector céntrico dela ciudad, con muy buena iluminación natural y ventilación. Sala amplia, comedor. Cocina integral cómoda y espaciosa. 4 habitaciones, closets en madera. Habitación principal con baña privado. Baño auxiliar. Pisos en cerámica. Cielo raso en machimbre y pvc. Zona de lavandería + patio de ropas con rejas. Fachada con espacio para parquear carro o moto.</t>
  </si>
  <si>
    <t>Casa ubicada de manera estrategica,  facil acceso  vial.</t>
  </si>
  <si>
    <t>CARRERA 11 No. 9-63</t>
  </si>
  <si>
    <t>YANITH PARAMO QUINTERO, 46 - YANITH PARAMO QUINTERO</t>
  </si>
  <si>
    <t>https://lh3.googleusercontent.com/pw/AP1GczOAZmVN3hfFLrfl1kP03iCC2bUr2chYW5GKXZBl-MZSWKcyoxy3mG1xG1_AywyPxfr6W3VaSDWFMUKxmpSdnmoG4KxYBAWGOb8UnbxhKhvUYQ5BoP1c=w1200|https://lh3.googleusercontent.com/pw/AP1GczP36n-pDRnT85Co9cpqSDnALaKspm0dKedSaVUSk_DBCpp1Fhyne33ZMu1V8enfsF5L4uKtuuQPu4tzT6wZ3YfHkvac5JDwQGN098UCNU3EALa0XdWN=w1200|https://lh3.googleusercontent.com/pw/AP1GczM1G6fSWUofMTPPl1qcQfnUc9zjCcaGluAERxjVHTz8TwU5u1J7uCpUI05DLR6Obj-nBPUsmqmSa6mO5eDKG7P9h7UF89bD_gBcHQqI3O5TyZKgDOLG=w1200|https://lh3.googleusercontent.com/pw/AP1GczP_T-cbC15bbtdtKSvgdoUjm1Q9rgwIN9EfnHsCClaJ55BA2DJJlmgce9hsRshzzG9F6xLXFlQQFgSg7rbS4QbgRUD69apMK9-_JGjPKCa3gYy7OeEf=w1200|https://lh3.googleusercontent.com/pw/AP1GczPD2EbOfY6zDmkx3pyaLr9GtH0Vft4ZgSDKx0H5Kskcv9ld-0qSBsJ8b6op357zm2Gcs4cgCgkTVC4wQ0x68ppYNGyu2pgWBzjyAdc5ZV6SrgAydDIL=w1200|https://lh3.googleusercontent.com/pw/AP1GczO9CcolxIhJH4_MZDJBztvJ8U3jrLmnedr4KsEpd_u8QAw1wx2aNMIWHKJcsxTmZx30jv9ECkXV1F1KLBZhFlSWjrLRaWMO28EbAo-66Ba-7_OwTtqd=w1200|https://lh3.googleusercontent.com/pw/AP1GczNW9l6Ufwb9Ym8RBA0cEZGpsopJa8X5MEDaoEjVpFoCWs43DrxsPIMnraui-nGwjSP6ph-lQa1WAdiNq7kdfMSTG6z_eOHpkEGNjNbAlWWGrYRQjDLq=w1200|https://lh3.googleusercontent.com/pw/AP1GczPqAh0ooBSbwOUpVlvHDdTTODtbJIIfwsJbtbWO3dlMdiwBEbukF_oPvZof3hqjwIUSHRLL6OP_gnQYXO6dsKH57rIG21yQpwoY9DfxDIV6vQqw5sSQ=w1200|https://lh3.googleusercontent.com/pw/AP1GczMio6XjAQY-tyNdRixLmjMlKGpOfDzdK3J7bCAX6FIr5dwBB2ssOdyB1-1DgxgBBNFCGk_gOi-NeUrUst7sHwZo8NQNS-ecisgvXBqHTanS71F737mZ=w1200|https://lh3.googleusercontent.com/pw/AP1GczPBz-K9XMY4pHGxkw2TBfpO8gFNU6CCPi9gAcFnluDB1JSxESsMZBcJuC8bHrjEFivm3H37zJET5CPbZ5JmY15xWxvxDEejfJ7neo4h_PWhPaMskR29=w1200|https://lh3.googleusercontent.com/pw/AP1GczM9QPMxY18RqES-GCmLzmLsiB5nCerpg9xw2ijUQ4rt7SJZqrEopDaFwk_mFLvBNvEK5wv6y8GE16-pw9Z5Jo6XmZUOmwWy4kT6_gIo8jW6-qjW2oIc=w1200|https://lh3.googleusercontent.com/pw/AP1GczNZKseu09FFuA-BoScJNNPJlMa49zhfT5UtEBhGljuk00KlPW0-67N_mq9v7Xt5LyBYgSh4KJEh1S9DBe33cWB2HdAdfCHjhPHb9ep9dVv08AZm6Coe=w1200|https://lh3.googleusercontent.com/pw/AP1GczPhaFloaTrjNw4rF9ElBFoKkuHV9Mo4zF3nI0OT9_6Lf2oke14cUUgRn7pj3FNgZuiir_lQH2aKx3m-XvK0x4g_NnumR2_zjJPafycwQzJfbAAYWMuS=w1200|https://lh3.googleusercontent.com/pw/AP1GczPv0bKi9WPX8UAy1NqA6wPHHzv0sz1ch6RXsUUK7vYofETwRen9ODgcB9pU7w4meQ0hHnlU4FRfQJfroD2zuh2rI3k6r9RwqnHfOuddvBlGAm5AJZ2I=w1200|https://lh3.googleusercontent.com/pw/AP1GczM5m8TEpzAbMJVSMvwn5_b_9bj1K9K2MCyQlPAVosIdkwvHFtDOiDjI4DjQUGtDC_QpK3Q_Ccx1aiN7Q-J3GGkMRs2fJPg9tFM1tTwt-P430AUTcGpx=w1200|https://lh3.googleusercontent.com/pw/AP1GczNe4P5qn4G0CEepMmgCf5H050v2VCCbF3TtylMPOCQanZnEfV3dnttbpb44JSiHtp3tN6Bu5g_IcF4qh3Ql3AJ1xDKQetCECXkvAyiNyZshZ7-LzIMw=w1200|https://lh3.googleusercontent.com/pw/AP1GczOq1MbYJiH4D8ua0flsrep1WUp_PHl_OtwQjSsnEhWJlraWShgmVfSl8XIiHGhyAh5uCrV_giYcK26Z5JZs-xyHyt-XNVd-SpVfDKNmZpf_3UJid4de=w1200|https://lh3.googleusercontent.com/pw/AP1GczPr2t6K8dqa3QLGme85V9D3Ug5Y-S2ok7AUBngo4IWx89OfQry2-D9sIaJnhGEq8a6CzuDxy0p_EMaNO7S0c1Lb5i03xOYpM36Rp707mZR7LQCXqiHu=w1200|https://lh3.googleusercontent.com/pw/AP1GczNOboJ6MNxosk1M_Oj37KO4_j6r9SFCjG3yX6vcncbf9t7kvhzG9STvuq3M_0XL4B6mZ7k7zwmW5Un95Fx1ZfCaJ16Hf5BRTnDXTNoGNtB3Pxf3w6aT=w1200</t>
  </si>
  <si>
    <t>1682</t>
  </si>
  <si>
    <t>Casa con apartaestudio en barrio Balcones del Norte</t>
  </si>
  <si>
    <t>Balcones del Norte</t>
  </si>
  <si>
    <t>https://photos.google.com/share/AF1QipOyGipHtovkXKZoZlzlIbwvLLiAwmBH2jVluLO3WwBXirU0F8JC-AA0l15406lO-Q?key=SzV3WkVJUEdNQlBrcFF2akV1WmUzaTBMal9idVhB</t>
  </si>
  <si>
    <t>Casa de dos pisos con apartaestudio independiente, ideal para inversión o vivienda familiar.
Primer piso:
Sala
comedor
baño de visitas
Cocina integral
Patio de ropas
Depósito pequeño
Segundo piso:
Sala de T.V.
3 habitaciones amplias con closets en madera
Baño privado y baño auxiliar
Balcón amplio
Apartaestudio con entrada independiente:
1 habitación
Sala comedor
Cocina integral
Baño
Patio de ropas
✔️ Buena ventilación e iluminación.
✔️ Cerca a colegios, tiendas, transporte público.</t>
  </si>
  <si>
    <t>CALLE 57A # 20B 31</t>
  </si>
  <si>
    <t>15 - JOSE LOZANO</t>
  </si>
  <si>
    <t>https://lh3.googleusercontent.com/pw/AP1GczOSGsrPdi7D5NwnqBmoS78lRfDJ5yEmi3mr53EB2awo_dbuZSXags6hu8r2TINLv5WTp7GFhNZHLWufy7igvVn8GQKYMzym2tGo-nCxJJvr4sgXBlGz=w1200|https://lh3.googleusercontent.com/pw/AP1GczPSVV3dEegYZfg9RYy4UZubKgOnVOANgv_sY5eaJtY-3zEQj7DFqOfGkGMgYHUP2CGoAgwC98AYymZhv4Fq2AjqLZdlYRngGEDHl0dK57XvM42EUShj=w1200|https://lh3.googleusercontent.com/pw/AP1GczMMlXNpG4nQ0gzx6Z5WBHW_1Cv76eoYWmqWOuTKRLqkh_KmagNxp5qARp1q7xf0xIbO5GeQJFdpkhumPKo3pL7S1Ujvh-ZidBCFl86lg1bMxNiOAhH4=w1200|https://lh3.googleusercontent.com/pw/AP1GczPHvQDi0I7v7UrpwHrG3VoLD9f9rspSLM9_VHsqqmHBAAw6k5WNA_Vc_YRaxgIT1-ioBBtLFqWQ2zkYwc12yHB50K-C5b1aazyOxTf8Lfx-kTgid-1M=w1200|https://lh3.googleusercontent.com/pw/AP1GczP3k1gsdOZYEWaNBKCz40sg1Hj6mlA0HbpMIM_rCe-_7uQ90atrPFcGQDlLiH5i_YvihZl8SFY0sipF8RLCRFeigSevmVLbBYkd5CkcBA2O3uaIunSD=w1200|https://lh3.googleusercontent.com/pw/AP1GczOBkQA_VI1iU2EegPPskRVOx1JMxsqWhtfHSnioAY9M0pkHw784gswRZ732nXe5KUID6t0XCiV4T3FlxzsaGnixfGbvXgaXqVgwi6j6UunETQC-OYYR=w1200|https://lh3.googleusercontent.com/pw/AP1GczOys1O9JWGhFdbMiHWmJwvWBJvh5o2lBOgdLSqEDMKchnFcPtD3JieP70PqU7TtrBfGsIJB3bQRLS1Hv7XiYKvrWb4307XRKnETAFvdQoHP8qZ3-ZbK=w1200|https://lh3.googleusercontent.com/pw/AP1GczMPkaWJIWcmP-vRs_W9-PavHZxDmHrP-9hzxpeT9_Alth-3gMLpunMzAPgmpZBxcnnrN15GE_11IP-QxLE-AtG5GToNnR70KR8s0-6z2xF3I6lnOYPZ=w1200|https://lh3.googleusercontent.com/pw/AP1GczMaXXqI8GoXButEgrRgUO6XCaptLMxPOuEyqPnySQS-5IZd4gVtR7SfKXMkWSAhEK75Bjb8CuD_frA3AnJSU9FWIuYPIQ06bcbJ-aE8JQkBKuF8ZXTO=w1200|https://lh3.googleusercontent.com/pw/AP1GczNljjM4nPW0xJ-j8E2VbORTerWc8FoDAkWyBdMIYXUnO0Rg6QWUpPYQRWqWzsNLQFRipeNdRjZUQjpfJMobO_Tumnm6d9lwHbgdafcXlqf3oH41GapC=w1200|https://lh3.googleusercontent.com/pw/AP1GczO36leL77aA1MqVTYNi-kJGf2PGM4RXfPN4Eq38xWVSFd3D7kli-q82pXENB572zhE3XV94RpYx0e5ILHrHkHtki0sdRAta5-9kidoPKHN04NmHeAoY=w1200|https://lh3.googleusercontent.com/pw/AP1GczP0tfcyYYXrcZGF0J_WXpQdZLnHihnjdyImP8wF9AwMhgIrIKHENLPXUU0Yqay1sG1bXLbubGuTO73FLlqTJdEhcljMU75Oe960Ui2HyBDSE_lH1ILc=w1200|https://lh3.googleusercontent.com/pw/AP1GczPHB42tCxcROqan7ELboOKlcYt5OJDV0-pJMADachTSWgrpnuN5ENyPWFXd6OZ_yxtUYuwhTS4vyFnOJGY2yIDwzseP7eDNX2i6grC7gl2wkB9Vyv-6=w1200|https://lh3.googleusercontent.com/pw/AP1GczOStTaAFncu6SnSLp4wMOn61XZMfhaAlugggOgKck4Ov8E6gybJTXPVhAXi9sJXWLWubDnTf3fGXwGgkmAUyKO7kok9PtpRmuHdVvQa2HSBTFrPWs29=w1200|https://lh3.googleusercontent.com/pw/AP1GczPMiiLUzaclnCMEmTbD0yOh9Uhh_MIZ_u04XuKYhqOvnMgjtd8_xxG_biVw4ind8NATim51DhUp7pOWnwBXIoi47eUkksxi4WHLoygpN4xwtzERjzEA=w1200|https://lh3.googleusercontent.com/pw/AP1GczNQ2mS3wibxsgvGunZHMcrUTWigHmFMLuBCbANsKAOE8lQkMy0SYw-p2JOhIlLdH_HTBEeYBWaQslYrVKhECkSY9Coj3RKOMzzjEtdzJmxWxYGO4rBh=w1200|https://lh3.googleusercontent.com/pw/AP1GczNU4QqzTtqL0k9ARa6fi1n62Qu2bCVTZ0rQwmmpRmuoYqnlUenmRscwx-11fMiIwXJg437ASORFrKl0FP2id2jyTJdLjXVVUk6hlVkgO-XYHtaKH05H=w1200</t>
  </si>
  <si>
    <t>1568</t>
  </si>
  <si>
    <t>Casa en conjunto Reserva Botánica Montemadero -  Sur</t>
  </si>
  <si>
    <t>Canaima</t>
  </si>
  <si>
    <t>Conjunto Reserva Botánica Montemadero</t>
  </si>
  <si>
    <t>https://photos.app.goo.gl/jLtrDFZy4WbQ4FwMA</t>
  </si>
  <si>
    <t>Casa de 2 piso Conjunto Cerrado Reserva Botánica Montemadero, con un área de 104,60 mt2 construidos un área privada de 95.84mt2 y un área común de 8.76mt2, estrato 4. Consta de Sala comedor, cocina integral, baño auxiliar, estudio con muebles y entrepaños en Cedro, patio y zona de lavandería, en el 2do piso 3 habitaciones con closets en madera y A.A, la habitación principal con baño privado, y terraza amplia y con excelente vista, baño de visitas, garaje privado y depósito. El conjunto cuenta con excelentes zonas sociales, piscinas, zoma BBQ, jardín infantil, zona de fumadores, sendero, espacio para meditación, parqueadero de visitantes.</t>
  </si>
  <si>
    <t>CARRERA 28 No. 26-41 SUR CASA 10.</t>
  </si>
  <si>
    <t>https://lh3.googleusercontent.com/pw/AP1GczMflWiVkDxxhtt-g-IRjgiQozTMGYEvPPWdYW_m7Sjv7nararhO0ct2yWvi72bKOXhnwD1iogT6WX_bmutd0GOOz8sDvlIcb5nL3cla8m216EA9XsOq=w1200|https://lh3.googleusercontent.com/pw/AP1GczMnNUvae2d4ydHMeVfS9c9-gjcpWjBRAAXi2CqApERYOOdvY7zjjUuYN7oCmNQqA2amqR-_rNZoGPf0z9I08hmcpJ0KSnavHhBMDb37fA3fZaVDdeTm=w1200|https://lh3.googleusercontent.com/pw/AP1GczOxITLtZP-WzSJfz00u43lMq0JZlNyYgzS1m88DyiNOmZimW0WVEYSuSOqcNpirU5tquK4nmLQ5onj3MIVwFrIjkyw2SoUQTR74y0W_JR3ehrpQ1LpX=w1200|https://lh3.googleusercontent.com/pw/AP1GczMfa31NWBCi6kBT553bH4jHV-Dk9RbiI-5l_p6me4EuN0FuCCKEVAlGbsB6GRVVOiXmX_waLLT-PcNNYA1T9UEbAubAC_zP2ykMLS6bAyxzjHQoI0Pr=w1200|https://lh3.googleusercontent.com/pw/AP1GczM2zaR41--O6lMUj-SCf2dwXUCZdo4EuLKbsWOL1cvSVgUNltaW866i3TH3_bf11pVtNVYLc_a9TLJYXE9R0yDFrimsuOoKghnEDySNprOQAoAYv3M7=w1200|https://lh3.googleusercontent.com/pw/AP1GczPIorvvsj_82tnC8vgWanLjMU6lnj_UOeFZh_ZXJAN4cEGoqehEjohAtlWlA8hNJLKvHTVtV1INgEbNLnYdMglJ6SFfgRXSd-z8gjrkpSXkCwd3B-hp=w1200|https://lh3.googleusercontent.com/pw/AP1GczO4dVaaNPfsL0VQa4c_jR7v-bavKD5WF0N161NdfVxkqgFQjYJ3c-vJysfanWy3E1iXREz4zNfuc1kJAtDCf2rW_ToRVdV88NSZuc98uGDXnHtOX9e8=w1200|https://lh3.googleusercontent.com/pw/AP1GczNobZz5pQ2ycdNIIuAzknnn6bizSJY6M6bRLemRmJK6_1ghyz4oStqRtBuqRos8WTFO7TszZt7iCGFvNIyg6Vu6BaEGiPNA3as2ridtjVzHlhc1NdUV=w1200|https://lh3.googleusercontent.com/pw/AP1GczOpW25gLkYNdQEvwSxmG6T3gWsn0feC9J6P94XfoqO7EfqSUxF4Dom_gGx2kZpa3Z2aiwLMm07HAaLAZCN4fBN9Wy42UGruMBwY8TL40S9r8lxjulaR=w1200|https://lh3.googleusercontent.com/pw/AP1GczMvYtTxXDnco1XlkXOcVXRn5m1GT_k7YRKNc1uV8SyE-DgnIIxMetE7He1dfCeHjiaqyWQFaXptEP7Ws00zwCXVgkNEWT_dcywLjFIl6_yWI38hUn0F=w1200|https://lh3.googleusercontent.com/pw/AP1GczMjVZnOUc1HH8INyMsDY0vmYqb6BqSLPBnllLgJLuTu0bU3YWbfl8Rh3NC-w0cbUlTq25_T344A9WlJy6ShT_7w08TUR47QJUSbFGhn3G4ZYboqhEW9=w1200|https://lh3.googleusercontent.com/pw/AP1GczO6FFagi-qbAH-3glpmolzyHxdTiaQGdJWGJUhtSZxjZrBDj-sdhoz79jKBo1Gwh6tk21YYYf2CQSKvJ8XwFRECVEjyJKBkbg5s0Xm8XXY21fz_nPHZ=w1200|https://lh3.googleusercontent.com/pw/AP1GczMklUvZorqfO4WDDYi9-dMh2ySJmszlOrcBAYHGZXTCxL_rx5wCKZrx1dvQ2qkmM7-nXNRki37-5UYF-LohiwC6aBCccN38hqTuA6br6LXzh8zY4r0D=w1200|https://lh3.googleusercontent.com/pw/AP1GczNHwmm8kfiO0Ld_W4js5m8U5-9IkCEErjaUE1GoTCU1OZ_xc6pFDOq8o1H7m6lWwyOdCiCvipi9-Hm9TfnwhoU_CN3wlgyjTpK6ueoIMIMxV1qMR45L=w1200|https://lh3.googleusercontent.com/pw/AP1GczMgWVya3LCOsYr2z3u-znThoUwpfcoZxJ4UjctOoAAGgIsNbz3tklvjXdHsbIf6A9eJOVuXJtA9gWSrm0GXO6IWzB57oaOh6l7AzA70JK7KnOpIiuBN=w1200|https://lh3.googleusercontent.com/pw/AP1GczONWPbh8zW7yNd59tFEXdiqxYTTnKP1ZJ-kI5HMvcQC6um5oeqNhcuzDUmw_tawXRWnSP_0G_gB0Deh4we0kaqaLfl484FAjtQ4SylMiHlfNbfcjUHZ=w1200</t>
  </si>
  <si>
    <t>1099</t>
  </si>
  <si>
    <t>Casa en barrio Los Guaduales - Oriente</t>
  </si>
  <si>
    <t>Los Guaduales</t>
  </si>
  <si>
    <t>https://photos.app.goo.gl/hHao2T54ywh6DF797</t>
  </si>
  <si>
    <t>Casa de 2 pisos, área de 180m2, estrato 3, enrejada, techada, tanque de agua, cuarto de gimnasio, lamparas parte exterior, consta de 1er piso: sala, comedor, estar de tv, baño social con ducha, cocina americana integral, patio de ropas, zona de lavandería, garaje cubierto, 1 alcoba con baño amplia y closet metálico, estudio,biblioteca, 2do piso: 3 alcobas, 3 closet en metálicos, 2 baños (1 privado),2 a.a, cortinas persianas, pisos en cerámica., techo en driwall.</t>
  </si>
  <si>
    <t>cll 21 a #41-34.</t>
  </si>
  <si>
    <t>33 - MARIA ALEJANDRA MONTES R.</t>
  </si>
  <si>
    <t>https://lh3.googleusercontent.com/pw/AP1GczMfJhzPRf_BvJHrkhwPFwhJUm4iEwXZRKRrNjm1mW8gBhwcayKqkTWYi498pXMjWkS-L04NHp_kF-s-gpZ5Z93pOPtbNr9-2tWzU2DqjaUkhBB3kkpw=w1200|https://lh3.googleusercontent.com/pw/AP1GczMak7PNEyj-ypGXhUogPb1UtqKXDlZwaE46AnnhPnJSLkMilhjR732b5pLoX33rXcdv0mZPUolgJTxGnl7bLWUxNaHzyMiq_dMo1IGu9qljNSDV_84G=w1200|https://lh3.googleusercontent.com/pw/AP1GczNySXPSNfiThuhcd8bUH26R-tD_DcJCjee3zddCnfdULIFKDTA2gkF6h8_mJ-Nvr8uywb6bqEsRO2ijP6F3t3YApG8RDQFQhKD8a0eddAonHLHamFBu=w1200|https://lh3.googleusercontent.com/pw/AP1GczOefCpYXhkv1PPCY647nwGcwxAJ9nAPuFwHXyP12qZWp26Jy2WQiObNcWSNu-KM4Pg_pRwe04N4Wi98FDfgWYOz3Qa5_8lpfMA4wrZKLDtCnoW5dJhG=w1200|https://lh3.googleusercontent.com/pw/AP1GczMhKj-4rsUrfHIQgkcwO-7mYfZLHUIs5RCcuUdl8rkV5NS9yNUZZQDNft_ugKrFhbTnRdY7QBQWVDSEOo2JCzHMvjcKIQAUlgUARG18-98qWQp24_2v=w1200|https://lh3.googleusercontent.com/pw/AP1GczMcCvSGimpqxGCOT1RQ1q1c4HSwupz_QymCGtxqGu93oqfYKcKMJXkgP3TqnRYuTzNjNMv6gqpm2Hwhhqf7ep5qcp-0Uk39eei4WQl32ZArOegB3sFi=w1200|https://lh3.googleusercontent.com/pw/AP1GczMZj4clUPh3G2l_mtULnGcKmBl8CvN62gelQuX8KzX8belKLDjr7QXQcRijQV75f3RtRCG7GoiXeRm0o_qWR1B0Hisi7D-46CuIsvG8iUVxeR4R1nYD=w1200|https://lh3.googleusercontent.com/pw/AP1GczMu5QQ45_AeulsBaTCGuwf5yOOUWXFpwooVAjc0_91EqfxtPlpCbYhfQv5jW6Q_L1-rqRNoHpT1RIT259jP1iN7OhuBbDdSudWSY5LqpmLtmidu-GkZ=w1200|https://lh3.googleusercontent.com/pw/AP1GczOXFId6msryrcb2hbARpO9yLwnoUiKz6E3v0Db_Ry00fSrDUURLgaI1CFdVy9l9tmsso9h_2Kpycd9yj1Ja121QURffKaK45mnMJ6vWEfsr78BzNBnH=w1200|https://lh3.googleusercontent.com/pw/AP1GczNo1WJoZqFBQHkSx7a_QZ0C-5yhNkp2Bf7h3_9DPe2IsBc-WK5RLwaB5r2jX0WvrrVGmVdPIDAA26PiSFBlrr8GXoTCVfVAN7_pwMZ3cevzVlCTV95m=w1200|https://lh3.googleusercontent.com/pw/AP1GczMZ5vI2tqviWrg0ir0OjscM7D8_hLSFfLW_vtQ4N3dwDCJhs3T73cHOLsXP_1Y9ptw05Bjl3XYGD91DAQV8Ni8ukb9FHS7tlwB0OTqrkis9bu47u5z5=w1200|https://lh3.googleusercontent.com/pw/AP1GczMfzXRnZoOfvDV4G4QeLJfdTGf-vaRAWbRTJ3h6Syd_aI2ZHIKpj_ITkZ-mXW85wMwVz4X1OuayfncntJsA9orj6BOY4GeDLXab26jmRTBp23l-_17u=w1200|https://lh3.googleusercontent.com/pw/AP1GczOiw6fgjSR_hDfRjlHBCuT-k3t479sjz74nMPOdH1wEodV2ZJ5hdJ7BiwlCIvzmaph0lBpMmV3oN2Wu_t6QIz3rPU0ajT2Th4r6408IjqC5fwfWm5xO=w1200|https://lh3.googleusercontent.com/pw/AP1GczPoRlkNKZSocU4OLOBH29HU2m0Jbm59XMM264wJHcQ2fYKxd_qCen4wMLwZxPAr0-7zJfBKl-wHGZ0sg440Kt3gQnKhoAVGLKs4eJoL12nFw2TuPyr7=w1200</t>
  </si>
  <si>
    <t>1588</t>
  </si>
  <si>
    <t>https://photos.app.goo.gl/VtUD7sCEF1dZ3QH37</t>
  </si>
  <si>
    <t>Se vende apto 707 piso 7 área de 112m2, consta de sala –comedor, estudio,3 alcobas, 3 closet en madera y puntos para A.A, 2 baños (1 privado), cocina integral, balcón amplio, deposito, garaje, zona de lavandería, pisos en porcelanato y techo en drywall. El conjunto ofrece: vigilancia las 24 horas, piscina, jacuzzi, zona bqq, cancha de micro, lobby, cuarto de juegos.</t>
  </si>
  <si>
    <t>APTO 707</t>
  </si>
  <si>
    <t>https://lh3.googleusercontent.com/pw/AP1GczMa2PdR3rga_DFKoP_KUIfqVeeae4PyRj0sPp__BBZrXd9lDeRNb6RJtF8e95c5BODKOlnP4eq7mVnaksR2AqOGce4vYi3k-c99DY5pwI_3epIxHAGy=w1200|https://lh3.googleusercontent.com/pw/AP1GczMZ2Y9AIrq8OCtKnGptHkjgVa6D1Vnykv6OCCDWRN6kV4c1bqjQQP-2KZGiMMyh57KAL6y2d_UxMLfoFA7w67NhgMe9eXXecXAaBPDtqXPj6AEpUZL0=w1200|https://lh3.googleusercontent.com/pw/AP1GczP8SaMHYY8vtFBR0-c72mPdhS9UZyqTcW2VnXi-39E-C1nOfSnUoLJjOAnQnvMFsEgrek-qwCL8Nm99NirUMuvzaacvxKBzMb-uaDyfqxmiT6qsa_iX=w1200|https://lh3.googleusercontent.com/pw/AP1GczN2Cgb9UIxha-BWQAjrgHLCtvPf1MNp7f4bqqT-EUUecJVWQQiTzpwvl7JVSfr1-Fqbu6BtxN1YwkueH98E18zUOeN7FHj2qFGOZHmX_R-tS7e7Nypq=w1200|https://lh3.googleusercontent.com/pw/AP1GczPLK4qziUYh0zfuMHSqOwVh_WJBckdjgNjFxz9FS02qpRu8I3k-RQOEkFI6iGksRnp6n42MC1PTW_yTMvK3_dMQff8tRziRZa0kedrtqeV3YVhRRQhx=w1200|https://lh3.googleusercontent.com/pw/AP1GczNHw4IBvf-oL1hjM6LOpleTf7M6J5gulJ3RiDEhcM4tr03sQfnVTLvtew4wNzgEHNl5kDUH7eYzjYPyBXHMcBPCwU5cxIpj-ZhVoH9iRfDlq0uEahol=w1200|https://lh3.googleusercontent.com/pw/AP1GczNBWK5hxeCOX_QidQ11N98a4Cw8gOQ-xynLElG30F7G1J9bm-m39-G-OfM-pmR3oRwxF0mHpxO3zE6E86ZETAuF_RmR0jPw5N2zboK7DyoAsugzAvmx=w1200|https://lh3.googleusercontent.com/pw/AP1GczPX9RLrwlVb8LWgS3SArsFOPADqwK0LF3OCwOoaMlNI12kwpNwj5Ej-cwtQXlRW1gFFzYn13ygGPQi1T5f2hhhe_Z-9UxYJGkMGEQ7FCDluye8RBzoJ=w1200|https://lh3.googleusercontent.com/pw/AP1GczPJDJFzooq3Pnn57epwMEUoyY6pgX9W51oVELK77mFMyIZKZLkFK0sBQz8taTJQpSNdsQ0ryf2zPpSqitcUVlfVZmZAi8F5p3XS2bRRHjJ81IlnwQCG=w1200|https://lh3.googleusercontent.com/pw/AP1GczM8qqUiiO1Lg42e_67xK7HAlwsYcD1TJzOP9SnbGz4lPlZim9PeFgjwi3O973-WngNnoe23fGy9OvBEba5oWPD7zuaxtFMJEk8zQlXsMqiFFFsaCbed=w1200|https://lh3.googleusercontent.com/pw/AP1GczNuSty5p8WMARJgsXYbGH7Oc5HfExYk2D9jrWNcyTJdGsxSOowderZYsCYP7hNIeCRL9OKBMQWPPlPorejvxQz2BnxEVHuiDDXTEtzQipB6tEkQxwm4=w1200|https://lh3.googleusercontent.com/pw/AP1GczOCfeqkYtQdutmxRvyYNFhn-8rYu7cSG7Cr66E2O-DJjZ28dkhEmll3W9mXcP-i05eyuyL4WlXJu9girnmAclsvqcXdI52ywGJlDLHRkOBnAxFh2hAg=w1200|https://lh3.googleusercontent.com/pw/AP1GczNhGOOkJGmRf1FfvCy4euklgE2KzT5fAUeGxuRqey1vsNVynv9Elu0K9dKh0pLgdW9rivQyPoQx3pDQa4vRtHkyeVwAm1EjGcd-m1ARep694uGoY_rh=w1200|https://lh3.googleusercontent.com/pw/AP1GczMWSGIq36Zj5bogKkaVe3l2WSYGOB_wwc2rdBUzxffuKlBKbVjp27CWztcDRwy1eqNonoRzZ9xpxibI3XBGwTxIXaQIt92Te1JPaQCsYr88RhNQ1uHx=w1200|https://lh3.googleusercontent.com/pw/AP1GczPcANqn6Gs-y7ITRYMIlFV6quDlDnasHXAY8hUULbMUoHWzN5BeY4-OQYnE2VZ9l_bBr4Q8LKQ1_qhwWWNFN60bDhrwjgIZ8BPTfxqFXCc9pBlB2yyc=w1200|https://lh3.googleusercontent.com/pw/AP1GczNxy84r7C3wUBTXD9y3dgiCrVxpylIkaQk8jY9iaIF7MCsoZVaWjD5hIMT1LrUOkoT468z88FKU45FXU-zcmK3I2L-7udIj-T-bfejCp2e8FFw1BPYp=w1200|https://lh3.googleusercontent.com/pw/AP1GczOv6lQfApGbmzwiLaGaqLu35aioSztc0PtTXSrocuHKvFxad9E7WYHVwODOzhficovNB56P6HdoDuO2QxMq5GgJ8OoqWQ4PW_p2YF5Fak5LnZfi-OTr=w1200|https://lh3.googleusercontent.com/pw/AP1GczN8UzGGczkmnCqrgVUYfJdyssjx2J1lO8lwBGLlfQejpfmabIlgJ6LDuTtt06B0WjHxaKM8pHg7UiuCOi1Cwm1lN6iOkUNLyhMeiLJxuagy5PhjqZcc=w1200|https://lh3.googleusercontent.com/pw/AP1GczO4QF8e3OrfdXl8BLH369Qb5MLV1nPc_iiHlVaUUNKhJgnGnw2DpGVl8wi6NaD7VNsTOxmFL97frfMLB_gJUZoROsxXUPs6ZqC8PzHMVNWbbhe4njXR=w1200|https://lh3.googleusercontent.com/pw/AP1GczMhEAlu2kq_oKlhtnrPrGRnAzXthTl-eTU5EifWv9qQH-czNMBeYocMI2Yfkj92gSDjRx34gjTKBQnCODOvIbF9V4RI3Xw1Pppqvg_WpdYpXLuoi_ef=w1200|https://lh3.googleusercontent.com/pw/AP1GczNbKsrPaxlLYBAkgLHD_jzkn9FP5O_BxOtJK61RaCZ8qcSNsIeaK4DortzddsFnQW5q5vNn2gsstIpA631yx-flIkcaxAidbYHcmywd8vEqUTrmO99D=w1200|https://lh3.googleusercontent.com/pw/AP1GczPWRLjzU8rrH5tGxk122_V9DgYf8ORjRWgLQ0v9Z197ZaIZt1_YRJ9GD0wXu91TJOgcw0DcH9TKM3N-crX9ubIqjJXTfeB7czjlgXe6TiRnvqP7kJzT=w1200</t>
  </si>
  <si>
    <t>818</t>
  </si>
  <si>
    <t>Casa de 2 pisos independientes en barrio Prado Norte - Alamos</t>
  </si>
  <si>
    <t>Prado norte</t>
  </si>
  <si>
    <t>https://photos.app.goo.gl/CUG7CxVGsfA3Q99r6</t>
  </si>
  <si>
    <t>Casa de 2 pisos, estrato 2, área de 250.0 m2 aproxi, servicios independientes consta de dos Apartamentos: 1er piso: Apto de 3 alcobas, sala, comedor, 1 baño, garaje, 1 closet en madera, cocina normal, patio de ropas, zona de lavandería, pisos en cerámica. 2do piso: Ato de 4 alcobas, sala-comedor, 2 baños, 1 closet en madera, garaje para motos, 1 a.a, 1 terraza, cocina semintegral, patio de ropas, zona de lavandería y pisos en porcelanato.</t>
  </si>
  <si>
    <t>Casa bien ubicada, con buenos acabados, piso en porcelanato y  cielo raso en Driwall.</t>
  </si>
  <si>
    <t>CALLE 45 No. 20 A - 32</t>
  </si>
  <si>
    <t>https://lh3.googleusercontent.com/pw/AP1GczOVRh2uf4OLVBWScM97B6IVzfdokJqpr7rfdowDLd8IolqHKd9sscrVi-OcsBT9kjyxQz4YUoGSZYHAGe5Ep-hQO9FaCAsbEDTBpu7oYGCtgP1QMkVr=w1200|https://lh3.googleusercontent.com/pw/AP1GczOGafAFOOB-S-MXLsSTJ_TBgfzGEVw0oKrDQkUoQzz9mAL5FnyuFTPuqRADoE--xYSxvn4QJHd5oN9qR13GygUxDgL6S8QcAvycjXkHXSalfhnbHmlx=w1200|https://lh3.googleusercontent.com/pw/AP1GczMYJpxxiAgLk7O9VpKGUVruANQ_sjSLwIJFeI5637iFeRB76Ltl_H-adgRNs32LZDH7ASesLQ9HvXikZjiJjpVlOtb9BPk4S-Vx1saWLj5TYWTpY-HX=w1200|https://lh3.googleusercontent.com/pw/AP1GczNXoO41fTDR-tkUy4lvxL77IeQO9BdIEH4c9ck4OoAnD8ITEgydqTHC4duHAE6_vXjE6d9dgIu_pXZSCxWWTOSoEi2FYz6n2A_JQIEOpDtWird5-i0x=w1200|https://lh3.googleusercontent.com/pw/AP1GczNKA7TDjBGTeCb96fddnnUVJieT_Fr6MzPa2V0HJIXy4SqrOre1iWSTSVQlzJKNGun9nWL4Q8VVvaXvesOh8VA2XfgMKJQfAuo7WBCo16hx4lM1u9_A=w1200|https://lh3.googleusercontent.com/pw/AP1GczOA_lCxUUKhgKNyVmLX_s-rocLkSWa1_7ggd4nVYA0xhPOoLtlKE4klSvQWuP-U6EFU-gOemUSanGQCuxS91ssA-r4EWB8mUJyORvdF6wzco1mipzrt=w1200|https://lh3.googleusercontent.com/pw/AP1GczNqO8UYxV8KsRc64sDGDMFRKMQ5R_CFheTdw4mzVTr8gC4ufs3VVZ35c6S4a7kOX2inJwh14u8loMpMfSg0eZwhsKqQ_f7VXNsBwbPaV1vZEBHC0nbP=w1200|https://lh3.googleusercontent.com/pw/AP1GczP--ukUErhCz4SM1jgtGEkfuIwYspfCl8RGcgt3pKrGbY7mbAZDEnOlDEShNQiaIgMch4cUdCXOxpe6S56sk0phh_Tg7sNbfDXQRuyRs1ZeEw581Los=w1200|https://lh3.googleusercontent.com/pw/AP1GczNJ36sv4gbHC0fKlCTGtgcMXhsJpbTEfjhUniyTCPAh1jC38BoFIrXGB81BmU852JvVLa5xvsQqavir5cqLfSvdrfT5Tp91FNWzbYkKgbYPD6HtpUOQ=w1200|https://lh3.googleusercontent.com/pw/AP1GczPmLOzKTHV1P9JP7EH-Luk91IyUTNXI5UhkL1QUgWn0kBgob3Gpfe198_78WFGnU_968lw9mzlgZHOyHoHJRpXKo1VJHFxZXioiR4nYM4kYtnqnLd18=w1200|https://lh3.googleusercontent.com/pw/AP1GczO4B8GgLhDdE4aA2WQM-ixlXgYd2uiePBQtgQeAUTpixtRL5ebKj7gEuleeRMq3sOXXXPpXY3kyjpNUg8dsGznQGcXwMqwNIlFV0RzLnncca7Dd2pcG=w1200|https://lh3.googleusercontent.com/pw/AP1GczPGQmF1rNKb34y7snPADFyqW6RCchuUWATRwrOXKLb0uj3wjzJe__K4pbKROxyJiYsq1sQQtBUaXoewNpjlLIz4VG8f-FE38D4aaiQqvm02UleWAUNt=w1200|https://lh3.googleusercontent.com/pw/AP1GczNAfr968MvoopvK3WTrsMoGr5TPHKO-DpGBoZNfvzuTaQ34FAouaWdUksvlJKAOnaFFxRVdtb6AwZTNvq-cykNU-8vbMnshtRVTKYRogqCw5rIfnuzW=w1200|https://lh3.googleusercontent.com/pw/AP1GczPOP1m-VwvnVZrqSrgSHhurEs4aO3mce3_j3dh29N96vVIR4Z0Yby3y3thoXgPDn1vRjPmr9kBrFm2ZIfv9iixYwX6jz9jfTGjxq9voZ5UjwP8iC27q=w1200|https://lh3.googleusercontent.com/pw/AP1GczMzlPjkLpjgw9xAJlc56pQzHfGbQN4VrvJEZmWbMZ_ifMfQjGeWbZts3EJ9xmQWHdrnJ5saRgiUGhhET3rd5R66shc5loRs0_oORiIEzZgCw9c25f_V=w1200|https://lh3.googleusercontent.com/pw/AP1GczNrKLXpP7C2ADQZBrdGL_R-Uc9ocTCT6y90eYnqz5x_pr7j0yyMj_qJRrLQXWptmdkMquIzAqGrcSP84mB3pH1wS04pIJghBkJ2L_m1dlRVrrIx0hi8=w1200|https://lh3.googleusercontent.com/pw/AP1GczNHwZnAZUaOZI95AU5PtlKiNGuN0p8f8AeQE9Ic6IZH-Fa4t43F5sqNzg-FoIz1pw4DktLWw7utywO6TUCTmqDzNEN46q2KBTJ4waN6hXxdM3l4kX-v=w1200</t>
  </si>
  <si>
    <t>1648</t>
  </si>
  <si>
    <t>Casa con local en barrio Santa Clara - Cámbulos II</t>
  </si>
  <si>
    <t>Santa Clara</t>
  </si>
  <si>
    <t>https://photos.app.goo.gl/fSaSXTFLumJN5a7h9</t>
  </si>
  <si>
    <t>Casa de 2 pisos por toda la Avenida 26, para uso comercial o de vivienda. B/ Santa Clara, con un área de 97 mts 2, estrato 3 consta de: Primer Piso: Sala amplia, comedor, cocina integral, garaje interno, patio de ropas, baño auxiliar, pisos en baldosa, y techo en PVC, paredes decorativas. Segundo Piso: 3 habitaciones, la principal con Amplio baño con tina, closets en madera y baño auxiliar.</t>
  </si>
  <si>
    <t>AV. 26 # 33-38 B7</t>
  </si>
  <si>
    <t>https://lh3.googleusercontent.com/pw/AP1GczPi4K_xNvS8GWiFu_kSPaJ4uusK1Q00n13ZP4BsfOTeGeQgjJVDdLegQBRUYBTLT3nlHNXH80rzOePhtJDLnTSapxfU94JNTshhl1vAgnm4GATAfXHq=w1200|https://lh3.googleusercontent.com/pw/AP1GczNKwHJ3NxA0XB1NcB9V1OSgc7lgaKZerxpKf_czyEoTc4qAtTLXDkW88GM3q-Lb2wLcpJ8K_e59q2Tfx9EpBQ8ANdSJQ2vJCbX5Pm2HOjYxp22mPB9X=w1200|https://lh3.googleusercontent.com/pw/AP1GczP6pbccvz7xrQrLQFFmnAJSNIebMNR7ssrdB8FEioB1HqvWHKBAMdgCz-gxjvtKtV7PXiV8sPhc1APElF1RId92WGjwLDFeppXje7eFlY4_kP3h6a76=w1200|https://lh3.googleusercontent.com/pw/AP1GczNZrFKe3QROQlxsPKYgFkhCs0YuVdMADTH2eHtgIc_kwnNW5n8lT7QvghnAEQSi2tKtYYhx04atglUF7C4ROznN5bfNG2_wpHwsJ6tNMcSIJ5yqnb9T=w1200|https://lh3.googleusercontent.com/pw/AP1GczNxvONgYW_XGpnzwZcYnTCj5cqCziri_XsgtAjhOVXEVVRwU2ymq6Nn2-fPrZ0YLacmc-2bY8CX8j9-LYs1iUZEArtlHpzDda5u6Hge4WoJAa6XbBCB=w1200|https://lh3.googleusercontent.com/pw/AP1GczPtlwqN6-1u5eWyQihKnFEf23fe81dvqeJ-ST_rTENddWTQ1dBpry8qOQz9JNDil9lTLIbpc8twVJnBmXL_MCOFj7R46A89Xv6rl22WJJqSvTmo0XeF=w1200|https://lh3.googleusercontent.com/pw/AP1GczPQCoNnAL0aDTvfAmyRYbq2FLkK0fbMHexl4yuj2LZjc8HOJpqKE-qumRQlVV0n-G0LRYP24pNlek2cSuzSBylqI6H2siUIbscBqmBrrYwpokPRBst3=w1200|https://lh3.googleusercontent.com/pw/AP1GczOp-h0e6boiu6ufq7r27Rf89lv_QWKET7duqZWkVHNchD3OZY62hGCDkfIBkxB-3dTgMU-7p0QFUNuj9ubE556QSPnbWtCyem6D5ry-WMzmOpiQlWOs=w1200|https://lh3.googleusercontent.com/pw/AP1GczPJKOXx-z9Lncw-Tx0nKeL0GpYk0aJF2AZqqeA_I3CS69anqH2dWD4W5qYoQuED3mStl3EGxTS0qnJnNHca2Dp6k0p6UgOjwqS88Asb9DzY4O7X7Z7f=w1200|https://lh3.googleusercontent.com/pw/AP1GczPc8mmtgLq2oXYKnbdCuHlQMHHblvHeAhNfFlPQuQ-ewcxR9eXzDXhIKsIU9FC3Lib2Gd1ABp1Ch4PrHdUZoaap8-iLtrhrV1dQf6bMZAq_XYyDiWOI=w1200|https://lh3.googleusercontent.com/pw/AP1GczOjHifDb_xrUs9Vl7HBMk_ilfuI4d7IKQaT2QmXfTg2MrS5KXLSQX8_ZpSMCsY4xg8IHEQvCeYLxSFavtRqOzERd6eCKaQeGZiqgQRCXRxd2lKOVFT3=w1200|https://lh3.googleusercontent.com/pw/AP1GczP2qeNunU-A6rw8EH_YNjn_E6itU1_drnZefEsbfstltzOlTx0E_AzNUH4Qi31jFYa2K4pYyYwRi2Vav1Qn-DUXUYlOP5C2NLfr_i9Sj3h7ZdN1XO7k=w1200|https://lh3.googleusercontent.com/pw/AP1GczMQ2-ZOS4BzHOtOzyy-hYwKgEOJ0aeVr_PqFV0kWevqi9nkDTs6lzbo2cp6BGmg9-MLBOcnA55JSrqbnKKIeomUVIxM7tqfADIOW8zbdJ6gZxAhXfsF=w1200|https://lh3.googleusercontent.com/pw/AP1GczMMUMvEGWhdxD5gZlx52JjJF3MmVrP_xpmJ3Gm95rmZ60cZKdLgWSaluePKeY1TI1qzFpzGF5t3gZj-1tJQ_aTH8ucpjxw3iH87BgpILbBZLY_02z5F=w1200|https://lh3.googleusercontent.com/pw/AP1GczP0vKvyTlxkt6PjgbcpbYvSZD60XuLfGQgRgai9Q4Fv72L7m1xWkIiaATTHmWuhH7MT7dXzIBS7aYPIv7z1koI3jAfWIBtxFTYRIHYvNxopWjryg5Ly=w1200|https://lh3.googleusercontent.com/pw/AP1GczOm3tO6sFBZP7Mzm7pcnorpLtYZYEalT5Uowr1cy7--bogu3OdtfuO_rOmQxkqocsPA7UQ2pp8JyNn2seJTtXClAAESip6Sjwlld-v1syDHLyx_8auy=w1200|https://lh3.googleusercontent.com/pw/AP1GczPBLhVqZQH4an7SCigjBmioQGN2IljzChPa4fZQnDoXa-r2i5OP1YNJ8VANCD8byVB9iNYbOmtcxxtBcQvf3QCTnt7R4BwTQkxDNQh2RGVSYUEQ3jQA=w1200|https://lh3.googleusercontent.com/pw/AP1GczOqAvHUtmoVc5_X_WbVT2ETCeSIDMrd-I9zIYY7oWNqFLz8gOY8-M4auHw9ytoh0MjQGRMDgeRe2Q-o52WZ76KEyIHJvQaoUwyLQpcEwga8D6ji6y72=w1200|https://lh3.googleusercontent.com/pw/AP1GczNc-pBFpuIygrNGzKojepQVZv7lEyHa5miQGCIqsySJ8yDeYqPixGX-ms2VwUPIbjzM8BZy0bVG60uhMY0D2hY0VKcmHBnbCTRCs9VoMTHOoYaojYat=w1200</t>
  </si>
  <si>
    <t>1230</t>
  </si>
  <si>
    <t>Casa + Aparta estudio en barrio Gualanday - Norte</t>
  </si>
  <si>
    <t>Gualanday</t>
  </si>
  <si>
    <t>https://photos.app.goo.gl/aLgM5xncdjjhSwX38</t>
  </si>
  <si>
    <t>Se Vende propiedad consta de: Primer piso: 3 habitaciones con closet baño privado y baño de visitas cocina integral, sala garaje, mueble de madera empotrado, patio, cascada acuario gigante balcón interno. Segundo piso: Balcón, habitación principal closet mueble de baño, tina, sala de estudio, biblioteca empotrada, habitación con baño privado patio de ropa, zona de lavandería balcón interno. Tercer piso construido en la parte de atrás, el aparta estudio.</t>
  </si>
  <si>
    <t>CALLE 35 No. 17-58</t>
  </si>
  <si>
    <t>19 - PRUEBA</t>
  </si>
  <si>
    <t>https://lh3.googleusercontent.com/pw/AP1GczM9NZw6jCFx51p0UdTnKQjHbDemvkHHs9BYTYvOSI21bUyVcAVMytzmopSA6REcAewzLcbcx_NoE92bUu-peOt4bJ3XZUhQWbWKFAc0nEafb8C_tHLV=w1200|https://lh3.googleusercontent.com/pw/AP1GczPaleIVKDgzeSOe3XcovSZr3F1tHeYCN0DteLQEkopWP7fUZiaEjiWc14BHmYVLwvJkDURKhqI9rIr2Ol-sMXsN25Fwt3BMz3Pc9P8ueBoE8BlO84tG=w1200|https://lh3.googleusercontent.com/pw/AP1GczOxL5JL71t6C-MS6wIGRiRWJJdDK7nqPMYW6ke0ILX5E8B9hY1FVElcjYCX9WolaOuP5mnsz8NjVOL0DiWn9YR1-h4HJxmWvOfPWppvy7-fgZGpsrhV=w1200|https://lh3.googleusercontent.com/pw/AP1GczMVrABT1IFhgtLdbxep_NnRVQHxx6Xzl1S4pSX-ip4dwqBKP7qRxFZwugsRogIVlRAAh4cp0Otl1-8_p1uwXai-UFYHTQoD3dxPagaRc5wyGmbsq2rs=w1200|https://lh3.googleusercontent.com/pw/AP1GczOrWbQzyvDyLmJhglRbZQ-vSW5SqEMNouU6Q4SK8iBdop0hbUU3iPeB9d-5frZnxoO4UkDkYn4UKSb86m8Mj3xIcyAzlLyJD_oYuLoGCFwu6hczixYT=w1200|https://lh3.googleusercontent.com/pw/AP1GczMBxWCFbGijbscknV3qofZo7j3VHIm-tNs--x4GpS9EqWxsFvVkJjfSTSkXphzRgnP4GwX4eKrhMBLj6il31b0Uqy2zwuONtZxRAwE0zW8_EOLEqrnL=w1200|https://lh3.googleusercontent.com/pw/AP1GczNb45RsbvqjddOoLh-pD5gaigg2v8IsWXNnX3j9I-_p8JJxlv03gyT0RFdfTVetc1SvjWi9apDY4OW0mHnZpdvpjn-JLQMpVTOFDKTFnpRbsDf3Se9k=w1200|https://lh3.googleusercontent.com/pw/AP1GczPOTmqf0qiCMMQEy_tDIMPpt5lNNfvvxVA1lI7YX1ga2pfRRCmNqenFB3NZhbYUhyPGNIkP3qxKAjhz14eKPO_WMCtbOEtZq8GZhnpgKIXMNpmyBMnZ=w1200|https://lh3.googleusercontent.com/pw/AP1GczO7a_h2EHp40tcQJdZ2RY1azc9p5AfeyTiS56CH1nbJa9Wt3HAqt9DxoKxgsab0bPkCzFRno7HwhYz4YSRBNMukHZ3Be7ZZOFaXwvaw5hCYthm0PIt9=w1200|https://lh3.googleusercontent.com/pw/AP1GczOfdQR4BR9PhZgwCpSMZ3ofEoimHt7vj86ieog9b-MsPmx-XBz67Cx-T7_9_A68NoFONdHoj-t_yxey8tCXAlgvPFbweEWG2t2NBaDQEF06vgWdCjTi=w1200|https://lh3.googleusercontent.com/pw/AP1GczN-yiIw3a-Y9y--pQWYh02P3vaP11QQNOmM5gX7vTE1iksYYKQRJThEcZ5J9sLQQ4XurH39e8FbUhYodQsIIOhR8H854B4VieDFaDSbT_V5GmFfu8V1=w1200|https://lh3.googleusercontent.com/pw/AP1GczNy4UDFO8cRtXUKnQEK5ZG8ukhunNBQPSNW30iYT8UWxXZlPziGjKQDGJUxFvt9ic8CjfJ070ziecyeLwWKXr8DWcS_0eLWhh0tEUukksKekHK9zs4O=w1200|https://lh3.googleusercontent.com/pw/AP1GczMbYS0Ai_EH_GbyDjd-dARFyHwTo3vD575eltoT9fXUjlpJFPQEc3rPECf82KqhFVkRkYQwi8uL9ZIdljkBSsUWh-FwOt5WJgLJRdjbbHm--Zmsc78G=w1200|https://lh3.googleusercontent.com/pw/AP1GczPBkTP8yr7HbMlhWX2MRdA1HuKwSBbmuYOT5SbnD4z99MS1HGYbTRfxbVbTyxvB4NGPkbU-_xXCiEHXgk8HnXYVJnQMVMYTZALj10AF5kukYb5qOYIE=w1200</t>
  </si>
  <si>
    <t>1678</t>
  </si>
  <si>
    <t>Apartamento en Conjunto Residencial Bambu</t>
  </si>
  <si>
    <t>Bambu</t>
  </si>
  <si>
    <t>https://photos.app.goo.gl/wo4gwGMQcpstqwSZ7</t>
  </si>
  <si>
    <t>Cuenta con: Sala-comedor, cocina integral, balcón amplio con vista al exterior, zona de lavandería, habitación principal con closets en madera, baño privado y A.A, 2 habitaciones auxiliares con closet en madera y A.A, Baño social, parqueadero privado. El edificio cuenta con: Vigilancia 24 horas Salón social, 2 Piscinas (adultos-niños), Gimnasio, amplias zonas verdes, parque infantil, 2 Canchas de futbol.</t>
  </si>
  <si>
    <t>Apartamento con buenos acabados.</t>
  </si>
  <si>
    <t>CARRERA 21 No. 25 sur - 52</t>
  </si>
  <si>
    <t>15 - SINDY MARCELA</t>
  </si>
  <si>
    <t>https://lh3.googleusercontent.com/pw/AP1GczPENZql7Q05PzMhDlUEp5RUKQL6CYuEYBnSdrCa-8ZvgKRSLEskN3RIC8DiCqEAIX7dHUhEgSBVIw9OqTnVXeklzX_Ltms-k1mm5q6AgEyDl2dFIkxc=w1200|https://lh3.googleusercontent.com/pw/AP1GczNoN69DPP4zWMqou4nLa62IDs37vHhTxDDfx14P57WLiEdSRjrKO6oZ8-JO0V8iR9rOwk7-_YC-2tncyjbHXGqryDliSPyoGvsLuyHynujXDZwxz5DA=w1200|https://lh3.googleusercontent.com/pw/AP1GczMGG61GEC0P8VMvci9foKsYTyRm-T3SFQj8cKSKmqlG0QpvMQupYtb_NW3t7LYfCjC0fhJKzpfC5GJGx7MRu-D3soJzhh3X9STXuWN-19J3MCrndxZp=w1200|https://lh3.googleusercontent.com/pw/AP1GczNCy1Id9b5vO3U5j_05BVrBWwNuH8tjuJrHKs11J1a3shpdHpDt3VuB7bTn1_z_SSSfkUrzOU-TyWCIxE83rJsJsGkKBzcB6lNZcWjBWgDhI2I6l36i=w1200|https://lh3.googleusercontent.com/pw/AP1GczMrap1rVJCrBMzI2I0CMaNmAja8A-RlB6WLX74jPBSiD45vBs-XhPfx8RElMSypgBnAQQJq_YqvQH8p0Urko8WyA5_qENVc-U39QnLSmI3eoEWcKK0P=w1200|https://lh3.googleusercontent.com/pw/AP1GczNKYEc41XSsdb_UFt4NH9XCmyNH_o7SJph4yPGSIM_W8rGuffVJgoS6tWv5l1bba9wGG3ZAH0mjfm2GBI88h0ZKc8J5vc_BmNfXxZEJ8eTCmMAkjv5q=w1200|https://lh3.googleusercontent.com/pw/AP1GczN3jYA9brfqAumrsGtVqRo43zZw3kLmZ_jIp6hOt__N3NmcI3Om5NjrQT6ineFc39KQTY1nspi-jI5f7LO1SM2hnSoNb-2X4H-woPZh2ir-EaZJ5QRB=w1200|https://lh3.googleusercontent.com/pw/AP1GczNScUug0POPzOx0bl8-KuGfFBo7h7_yM8kEIuXU_NHKMm_18OUDRKqU3awPtrX2XFh1DnB_Qun3BgwmggeQ8_bYln-s07od-uEzsyoghxc_KTO-FQi3=w1200|https://lh3.googleusercontent.com/pw/AP1GczOkwKkK-RWQDEAcMKa1jwIp58b5hEVaJ32D-aKCUE0tPVykfB2EaTPhcchqWd-TNb-QFLypa-Uu655w3w8Gof8rMAGbqkukRVQTpu84kENoGq6OCplx=w1200|https://lh3.googleusercontent.com/pw/AP1GczODdrMUZtxE4jAIWWfF5LwBakuOSXXyTfyq_nCEBHToNtCB9ACMN6C5ELSdHxTEk7yIvFFVHHvATeGXd9oAngCEZ3R72nILjCmnYKgsKoKKJ8It_2P5=w1200|https://lh3.googleusercontent.com/pw/AP1GczNz7FF4pqH1puDY0jPIERMEByyuxPeljkclTmfivKfWcmY9FsRhFLtvdkEYVGu6aVuVhdDDro32lEG-PgOggAMrr85VzGYNvopT6Ne0tahZ95cWkuJa=w1200|https://lh3.googleusercontent.com/pw/AP1GczPfN2z8HK24mRf4wzeWZxyZrxK090FozbGX0vGGwytMbQfYyCRjd_PDeEei1jbyzEn-Fkwqh6vJ_ULE0-UZQi-14umNgngslnk3WBq5CyyVx6itmg_7=w1200|https://lh3.googleusercontent.com/pw/AP1GczOIlmoBACeS4aOoz9Wp0gnGw5dSlCMJXG9HMC7X_uuUxepuybeXueoMjObXsKaUfZ6_zKqCzpOlj9ffUx60FRvu_f5YsiLyFGfmK9bIDmIJ_t8pxzed=w1200|https://lh3.googleusercontent.com/pw/AP1GczNo0o-Slene63-HOziUigxYWlSPfJzdlvZqtbSMCxcnZ0j7usfPfceEDtgSNIHz1boPpWz0K4M0st1VwNdoptvjIYih_2Sn97yQzx7_smnIxIPA8fB0=w1200|https://lh3.googleusercontent.com/pw/AP1GczNuR5sU4zXm2DR-tJdW8MY9rNEdUcFplvr6qKq3u21gLPZ87jwwUjr1NhZnukfUaZMr6Xm-harrVwLPg0QDMTtnGSkqe-0KowMnrewBPWBDEY5gTfkz=w1200|https://lh3.googleusercontent.com/pw/AP1GczOlcoJ-07KO0uNgm_-yDgvfzyfvr-6FRbWIAFZViQ7ogwCgpabt5l_3luOQb5LRYDZOIVho3ApqmpTjw6QoUYoYFaBjo-QiwjltbjceAk56RRfEHlWK=w1200|https://lh3.googleusercontent.com/pw/AP1GczOsUh8E8msMRYuCDGsEkieMuuTpjFs25gChBWukSpeFY9RbmiqXydXc3RriJ_IAD_RUnZC4_x5yIGfSZ8uUIeAzsRCIiFA7x4S6ha5CFo9EIqekhm0e=w1200</t>
  </si>
  <si>
    <t>1790</t>
  </si>
  <si>
    <t>Local  centro comercial Santa Lucía - Oriente</t>
  </si>
  <si>
    <t>Local</t>
  </si>
  <si>
    <t>3ro.</t>
  </si>
  <si>
    <t>https://photos.app.goo.gl/PQQrQfE4hGm6jSU86</t>
  </si>
  <si>
    <t>Local comercial que combina ubicación estratégica, con mayor crecimiento, rodeado de comercio, servicios, oficinas y constante flujo de clientes, rentabilidad inmediata y valorización asegurada.</t>
  </si>
  <si>
    <t>Local ubicado en Tercer Piso / contiguo a los baños públicos. Área: Privada: 37.16 m² Construida: 40.89 m². Nota: El valor no incluye mobiliario.</t>
  </si>
  <si>
    <t>https://lh3.googleusercontent.com/pw/AP1GczOno08DH0Zx1Wz1oPpFGw-CW4V5dkQt6cAYSNgvYdthswBWcJLZhJUzoaY-VJhOm2p0GoaCgugcrooiBQDrkledjt1xgT743qecTo3OC1Oq1Pb2ByqL=w1200|https://lh3.googleusercontent.com/pw/AP1GczOteQMYwjyOS0gRNDu9l2czM0s3fWuZV8Mi9PNhiBkYbAmMQe1DPYzgdA-eE7AWYcCI8hOAucADanpAadXPyEkoP79HDIupFe1uUWHBRTu1_F7SpcvV=w1200|https://lh3.googleusercontent.com/pw/AP1GczOQUw8pmLakOLEUkCqvbjU7sYnLFh90dJ1lbWg734ETUsAIcL5vRSkOKEN5MIeei66yZ4V6_EX4N34SrNPORHQ7NJyoTaLUtKmyI7vc9IhvbwrrDaEK=w1200|https://lh3.googleusercontent.com/pw/AP1GczO_yZy2yV4ImpSy7d63EmboE7ukInvyy90fAtWYkipBt7_Cgp3gGRUW3s5apXvWB38gPdqugf3Vb_RDX43cQC6j-2GIUv8m327kt5uhmuDxNDIXFzn9=w1200|https://lh3.googleusercontent.com/pw/AP1GczMhitMLBKCrpSO_9Lo4HC-eS14ygYqEKVXRCuAnDd2ATQ3XWzLH054iFjJNcAFBlJXjy9hd8HQ316v5G2aGnSxhQYeugnkk8VPzsNkT4inrQYk1XE5M=w1200|https://lh3.googleusercontent.com/pw/AP1GczNoJaXPB8FkkgLU8H-d-amHL6y59jYCtahx_2SBfRK6jJY6d5J_vw_sU2jcDgyZE17zXWP8PoMF9DrTYwAUwCzX7MVuetZFGIiPydAdI8tca_mtReLS=w1200|https://lh3.googleusercontent.com/pw/AP1GczONUj7hComBa1eO3LZqt9ztSiII8Dbr3auDLYUiwboY1SzrXeTFCYj9V7js1DX-ZbSxggmSTsAp38QsEXP2w2lw4HbHZor_QEL86sU9Hqw6DHY3ZDY2=w1200|https://lh3.googleusercontent.com/pw/AP1GczNBg7TtJC3Hs_WLQoauyPcslXb9mT2HsxGEhCbfRG6k7w1514XqWugdtlY1lyLw3p3P924s0TSmTe3wBDiYauOdCdKkBWzugEvLVb9wl37I2JtFyV-o=w1200|https://lh3.googleusercontent.com/pw/AP1GczMgesWubHA72bEIbpf0cxwECo_DoBvtwo872wbHUpbrzq8XQzvlJMd_mx128cfbuBpPQSnQ3mjhKeF2umNq9d8VjEfcLSsFSkTXbR6pOwwsKVk9isXu=w1200</t>
  </si>
  <si>
    <t>1714</t>
  </si>
  <si>
    <t>Casa en (Conjunto) Urbanización Andalucia V Etapa - Terminal</t>
  </si>
  <si>
    <t>Andalucía V Etapa</t>
  </si>
  <si>
    <t>https://photos.app.goo.gl/5kt5qMWR95e7hGct6</t>
  </si>
  <si>
    <t>Espectacular casa de 2 pisos, diseñada para ofrecerte espacios modernos, funcionales y acogedores para toda la familia. Primer Piso: Garaje Sala y comedor. Sala de TV. Estudio. Patio interno techado. Cocina integral. 2 baños. 1 habitación de huéspedes. Pisos en mármol y tableta. Cielo raso en drywall con molduras en yeso y acabado veneciano. Segundo Piso: 3 Habitaciones con closets de madera. Habitación principal doble con baño privado. Habitación auxiliar con baño privado. Baño auxiliar. Pisos en mármol y techo en drywall.</t>
  </si>
  <si>
    <t>Casa bien ubicada, remodelada y con buenoas acabados.</t>
  </si>
  <si>
    <t>CALLE 11 SUR No. 9A - 03</t>
  </si>
  <si>
    <t>https://lh3.googleusercontent.com/pw/AP1GczNxY_FDjMdFhZabxumu9RhRl5ALTC9dX2YR8hRCXxjfN-kCtinxHMwpYjR8pHs7n-u6sgjF6_z6wYCll3VziWdq4TFhJlc63ZE8bBjj756G6t_8fJ95=w1200|https://lh3.googleusercontent.com/pw/AP1GczMTXPXsKYWLxWLO_ISl7XCn9cx3cN-ZmejcrQG8rMq8XPwkbtCiTP8IWNtQrqzFlTV2vjq7vF6OeM-Qy3zzs7cwXqTcwIagm4Mp9qANq0gk3Ko19zJo=w1200|https://lh3.googleusercontent.com/pw/AP1GczMfrTjPGlD2_AmXRyGQIvwQev7_t-Mwo5214jBvsi8hGXZxSMH6obKszwKOTeO6SEGgAkZo9PItva482NzPVy97qBwvYW_zW3i_vy56ttHkzRpwNpjo=w1200|https://lh3.googleusercontent.com/pw/AP1GczNVdDeOVqJYLkUBUvqVLQmD4VHrqdqAMd71P5jvLg3L98ixVPR1GmBb4xUWq5B7ynexFWFhKh6FNq-cl4WVnP0a7EyyDaS_kGsPcDeaEdxLSjSZAkGr=w1200|https://lh3.googleusercontent.com/pw/AP1GczNRYpkaIYv1ynv_vXkzVaCJhTIEf94PpOOMC19LhOrEQNHcYv5oBQQodsjWK9FcBC3lyIJTcds2QUDVdfjLxuFBFivGW7sOu_KtJ03oE4DEGefwirxu=w1200|https://lh3.googleusercontent.com/pw/AP1GczOpGY1HBBgFrwZEjdnza6EQn6Bmt_kXIMXwXlIr11VJf9qE4K1Lhktzl2-Vg1dGDmdzeaxmenlh_Ca_EJoVFFBsv2DqscV1qddQSAUbdKhy1YNv6F0x=w1200|https://lh3.googleusercontent.com/pw/AP1GczNBrh39OihKKAg_F4oIvVqDjhaFijHZvNu4zN2jGdhAQqH84X-HuzcUXu4oe1JNanqQrOxG4XFuB5xpB13tx-AFh6XWMxpIXIgXwCxNqphPiDlGRc3y=w1200|https://lh3.googleusercontent.com/pw/AP1GczOLKQ6yNMZ6Ndrvaq2U5eNlUlQAN9Rybk-7L9Oe455XtNcv2Q8EWsl5GNK_dJWftEpVpN0dxKym7bkN2CWWn01V7KYUXrOPApX1F6urFip9SiGWQOB0=w1200|https://lh3.googleusercontent.com/pw/AP1GczMY5kepKiE5Vb5ME55lNTASatmemyJcqopoGTrh-P1f9E9mEy6v_nGUiShLCeGMOetWg9LuBnqls2kpwCLjN-CH2tqRWgiRs9wL4bCclHEj9WaD7kTR=w1200|https://lh3.googleusercontent.com/pw/AP1GczPCoplIlV1uvyf0MKAtHmBilYUHtirpatRl9dwQjXggesywN_L50GUFgFLCTE4WGOqWgOvAcR-VHCPHVamHOAMsRTg1zYAf5HObeEpzSxaGxxI5I74X=w1200|https://lh3.googleusercontent.com/pw/AP1GczM1T_p0jL_UGlOphxSjXy599Wwn_kzgJHhbY2fGhdVB_6vCt0Nxda3WqTwmfP0cKymA3yUXsmp0ifyd0wiMNjZgTxLzjK7Tw3FL9Ehnl5FCDJ3j1Y7F=w1200|https://lh3.googleusercontent.com/pw/AP1GczNI72F0YrBoi_SeHyDDWr7DRnjb47Sx7ipe9f8PVsS1qcvqhwL62AE61wXhUtSirMZMC_H0Kt-trR3qlhwycxSMOL5sqNB18noqyQ2LiewSAnKtgVJn=w1200|https://lh3.googleusercontent.com/pw/AP1GczMq5HyKRhGjWEHy_TXetHsXw-Ko_mz8WYTBGAjuA5s-tUUyLMi12c85Nzi9O_TJIe0CSgTk5n4P2WshBWEP76wnM-a-zfhkDhMQQMqeRHw1xGHhmHdt=w1200|https://lh3.googleusercontent.com/pw/AP1GczNSg6K2lwoeel6-Fc_qguwyZzhZRSeDqWy3wfqvonlzWWxCn9OvGB0rMNPn6V69pek6HtoNJ0L_RTQSVfu9M1yYMWZOgqnuRp9IvYscKNj4UFile9mf=w1200|https://lh3.googleusercontent.com/pw/AP1GczMo1W07CHFo1ZO7H1ExuxOWXYRxWLvrHaiv4XYT2d6fzNBbFMRQClqOn76GMMBvSc_WRCRPJdin75q2j8fuZBujIH9na2ZHdnB3gOYVz4b8XWjRrlws=w1200|https://lh3.googleusercontent.com/pw/AP1GczNJ9AsW0NJCcfMEbm7_PxqgCF3IqnPDLDHxTlPn1BqLp6uetlDKO6e-tmYtJlc7YEP9_tVQVe7B15EE46WcHW6xXyr_LOTKIHtmnM1-hqXyV_LNrakt=w1200|https://lh3.googleusercontent.com/pw/AP1GczOMdDEgc1S7eYIsVmFkFtKAL6RXSuAKIGj3n6HUrxzBSVZxvgjRJTYyYyw3Wmi-HRZuOc5nyMh5RLpjMTUczJleYAMea7O7s8g7dMs7_D4hpypeKGK1=w1200|https://lh3.googleusercontent.com/pw/AP1GczPHnvbocHb5dojxI-SrbxOWJ67p4hD-vQesxxrejWWxT_rtHiQ6_zVwNSL4-afwtGApuitWfRC86tZcYQZYQs-qY-jCHkBmzoaHGEBqWPzJVBwDTvch=w1200|https://lh3.googleusercontent.com/pw/AP1GczP6_UyQLKW4C1Ue_N6ZIBfEBR8Qr2cHJSD-zMCKwwuxoR9VJavsR5uX6KEnBL2ObeexWmlqmdUBX-xwz-hcaiG_xwVhZMBCBFFUeoRTg0sBpZy-f7pl=w1200</t>
  </si>
  <si>
    <t>1689</t>
  </si>
  <si>
    <t xml:space="preserve">Apartamento en conjunto residencial Bambú </t>
  </si>
  <si>
    <t>Conjunto Residencial Bambú</t>
  </si>
  <si>
    <t>https://photos.app.goo.gl/S8Uf6ADeRATd5fkDA</t>
  </si>
  <si>
    <t>Características destacadas: Sala comedor amplia. Balcón con una vista espectacular. Cocina integral abierta, moderna y funcional. Zona de lavandería independiente. Estudio ideal para trabajar o estudiar desde casa. Baño auxiliar para mayor comodidad. 3 habitaciones con aire acondicionado y closets en madera. Habitación principal con vestier y baño privado. Parqueadero privado incluido. Además, disfruta de exclusivas zonas sociales pensadas para ofrecer bienestar, entretenimiento y estilo de vida familiar.</t>
  </si>
  <si>
    <t>CARRERA 21 nO. 25 SUR - 52  - T 1 APTO 901</t>
  </si>
  <si>
    <t>https://lh3.googleusercontent.com/pw/AP1GczP5iyqI3i75TrqCkKZL1Rost7kNo91XISzCDhmnxSzKghZ-RfvssR-z1xfafYYt5_JB1-ZkVwbWbktWQo6HKwaGBIN53xODGNCByUVZcdlg5ju8UApS=w1200|https://lh3.googleusercontent.com/pw/AP1GczMH3fAO9B_kENp2Iqm0Xwic0gB8fr2L2jeXCFMHUZ_DXLkM3eLWrAGyBX4BP9hY67LwTiRKIR-sX5RrdbgYOzkGLpvlszn0ORHmdBDJd84EYNvkm1lh=w1200|https://lh3.googleusercontent.com/pw/AP1GczPhmhF5jMzt024cWD3JdKiFsZCxUkuR6cfmiJX6gJ3xr9OXSoWj6ppvTCWk5aVPSeTSgw3nZgcW5UrbQK32yfSTjU9TS7e6OAhfpzVYm5cX6MoTuyrQ=w1200|https://lh3.googleusercontent.com/pw/AP1GczOBBNJauaLWjrUkN51e1fVFueyDjdw7fq3gU6zh4BcO_-zFy-I9Tg5soId0GhFP3j8zCUJ8Nubqs9OxgTPPepKPzN_pOeBOthUTyJTsK44hLSay8tC6=w1200|https://lh3.googleusercontent.com/pw/AP1GczMIcniUKJVCI8D2gX1nTfuw52wL8zhed-7h4T_ssTyM7BWDqM1bOlXd9UUa1ccq1QvkmRM6twUkSK9Q2X4IxSqdTGTSBqF9Mn5h6lEpOzh3DC1tSLr5=w1200|https://lh3.googleusercontent.com/pw/AP1GczOQWX4bX-hNCU02Yd9VMC6WADzvwHRar7kOiaoka_U54Cs4MjtXTNvHTMyEdQZHooWEMUk8u5EHY-eWew6_s0lKt0jZLCq3TKKjcibqCWt3sVK1SeQw=w1200|https://lh3.googleusercontent.com/pw/AP1GczNbPCNEA09lH88IG20ZOdAjhdY9LsWySWc0EAcQl1DLz5Hqdx2dlETlb2CJTunDH9r84g9YaAfq5cSJcDhNrDGI0O6g0qew0ZL9nABy8kUeXPa5_z6y=w1200|https://lh3.googleusercontent.com/pw/AP1GczOvjMg31wMCq21TZeJDQjNVd05PkrGeqvTCTd42tZSJb9urnxdMaIIl4tY9Pvdad0Fge3SVRvmW3dewMMeLAhONQXdEIeT-cME9QH1rTF0hryPi2crv=w1200|https://lh3.googleusercontent.com/pw/AP1GczNOXpyHC3sBGhUyZ9SV_udGmIoGxFUe-RobQ_YhdC1VEebjKNAUlPgQA1MtI5RuUSgHllcX0j28HX_3GKsdlMIuhLLcPOQToDnlvInrNgv1sRzF7_Hw=w1200|https://lh3.googleusercontent.com/pw/AP1GczM1qFcVMQ7MRITyirAdL9f7ofKGGvrfvkzGz1xIqob76HmoraJ77lMskdmVYwz7G0CbgE9l9T_SU7tsuaWHKMprm8s_aRcw5pq4GSY9B622un_TkPh_=w1200|https://lh3.googleusercontent.com/pw/AP1GczM2pntFZBUE52xfhyhuUk9CpOO4v8DWkbKXHI3F1qcUY3-c4znMOebbkH0n3Vw72urVHmbDunX5c08xPESwLZJzLMGX2oiOnZjK6s_3NiUo9NELRI0r=w1200|https://lh3.googleusercontent.com/pw/AP1GczM7frc1j8TDfywX1aigWXL_PCv__XeKZ4gCwQ5CsTGDOoRAAD8XbN-x0eln0Ts4NjPs2bqOCppeElp6jo5pU5jwqSkZj877Ip0-I4QfANECqrO002Oa=w1200|https://lh3.googleusercontent.com/pw/AP1GczPHZP04SaPzPaxMDJzso5lNaAMzpprS-clauhn74i5-1koEOydDS02wwLV4eQ9amfwNthj2p4sb3i6_5uuF2NnkzdnQIk5gf7fdiELx21eyQzmkt1Ml=w1200|https://lh3.googleusercontent.com/pw/AP1GczP5WSZoFbTKcyNZZ1Zn7OhTNSYgJbJKnRyWEro0KqoyuFPipXwNASrOUQ2RF7AymSN3eDAFIaojpNQIVJbNr4Xrpb8XNo6xJ-Tj5m4Sg-k482q37s2p=w1200|https://lh3.googleusercontent.com/pw/AP1GczN6fXmqFoxY1Xnh_hbjHmAdI7AWJzxwrIneDBaoN6E-FeZOa3Dko8o7a5EDMTFiWQfEMSutLkE-rlLLDlkvHGfDDXCorN7nTJOKU6PLuGpJb4HtAFtL=w1200|https://lh3.googleusercontent.com/pw/AP1GczPNWjaK4wOZf16-SUGY2oR_nag5bxzeTs5WGQbs4ZMkI3pfLbrIZoI_ebpST-30Cei3RL1H3Gx6PP7GneRX3LEaGXKJB1v5XevUQCfmF0yz1FXLNjbS=w1200|https://lh3.googleusercontent.com/pw/AP1GczPdjNrX5OhLWVDvXktFJY53vsMPzsCe5Y79yvcWL0vfHf4v5dHrb3fDmavk7o9tPc0Vil9zJOwGX-S5aVt7VXyZCHjCKDQ_xqh9Vno43zKC7KtPmQJ4=w1200|https://lh3.googleusercontent.com/pw/AP1GczP9bA0BUDnopGYh-RfD4Q4BxOdWGnbGH8m2OUMH2sZ771zSylY4hrvsYq7NnPuj1fi3RBIxnE2WXXPaiSbfsrTKORLhRKDYk-YRATrpaSGRZoFT_XQs=w1200|https://lh3.googleusercontent.com/pw/AP1GczMi_OJW88JPrZuHwV8D2ymjKB94ji_nnuwSkuVgK1_t_0IRUZk6kXrTKzQ2UITM-Sv9dwdPOuSTTmyP92eCpOc1wfs8fOgrlz5iWH_6cTMpC3XVP114=w1200|https://lh3.googleusercontent.com/pw/AP1GczMgsiwOU2FCfAFi4Inj-HqWgoRT9VxuByJE7ki0VdPkJWdHNOEt63AjOi7ZlVlGZ2LYpHJhEkD-uuv3zLVsEKXKJfgT-KKoXMNzNPtrAp0-FsVmlMkH=w1200|https://lh3.googleusercontent.com/pw/AP1GczMZf5t0yy_YIkA4Zgjuc1Jcwozs_CNbhkPSZb4-AxjsqKcb8TwuApF5IALvif191Bg82A7OCXStPd3G-r-O8seVU-EeROBy3D_NwmATuS0u5E_HmIel=w1200</t>
  </si>
  <si>
    <t>1379</t>
  </si>
  <si>
    <t>Casa en barrio La Rioja</t>
  </si>
  <si>
    <t>La Rioja</t>
  </si>
  <si>
    <t>https://photos.app.goo.gl/L8drHzcKfcH6K37f8</t>
  </si>
  <si>
    <t>Se Vende Casa Barrio la Rioja con un área de 109m2 consta de Sala, comedor, parqueadero interno y externo, baño auxiliar, 3 habitaciones con closet en madera, una habitación con baño privado, patio de ropas, patio exterior, cocina integral, un apartaestudio interno en Segundo piso con sala de tv, estudio, baño privado, habitación con A.A. y balcón.</t>
  </si>
  <si>
    <t>CARRERA 49 21A 09</t>
  </si>
  <si>
    <t>https://lh3.googleusercontent.com/pw/AP1GczNh5C8ZQk0Fb2m7qMJ5-VVSUAiLrILclN0YYdom9mBRJQVE8iqQKmH-uD-gC64q8BMDcuWFkDw-ODqGxDmfgtChGbXwemVJpCAUBrg8zgOdmBt5aKe0=w1200|https://lh3.googleusercontent.com/pw/AP1GczNsIDG1Y9pJJ0ljX3PjUwY6sOF5HE1JfVP50bEu8mjODtYjtnDZV3LcOVMIiaq8X3z-yLlnJIEjpTnKJRUV1DiS0krguF9oomOdsVpMqxd1Pu1xpzZZ=w1200|https://lh3.googleusercontent.com/pw/AP1GczNA3brrnIJsZu9WgQZxyLbIgYn36_52X9QF4pPaBvhrB_viQuUKkuEIXrRkRoTkrwh_Rdw0xtTRgl2aDiO47wC-kQ8KEiLJXp6qEFyNa9bud7en-8z8=w1200|https://lh3.googleusercontent.com/pw/AP1GczMWPIuU1V5Hii-_FHSb-s5beu_QY9kbahtoFGG3GvMiGrMz6WtCRnwAi-7tYsOXeiBawt0J6Jcmat0Tk8IBK77ttoQOG_A1t8KrxeLwYA2ct_QTT7bZ=w1200|https://lh3.googleusercontent.com/pw/AP1GczNPVfTuDC4Awd0INBr_ltG_9M-sTuqUwWs62ESfD4gVn-QHEOACTr3dqCuekM10GE6VuB4B1JwsRylGuiSWVkgzodkU1154qMIn4_gJ7ypE7XjeGVw5=w1200|https://lh3.googleusercontent.com/pw/AP1GczNBDCNwtfIm-jcB2d5D96BEQlAKQYVlDyGRVTyXy-PmuqO2LmYH2e2DOUW9A2B4PqX9gaa0PZ2CzsqftWHuVe0ND0sfxx7UaVMEpcj3tPJJQazt5af2=w1200|https://lh3.googleusercontent.com/pw/AP1GczMKdManN8trFKULcazHUv5y19ObP6_IPAtv75razq9JPfWAyesHduJpHhpo644I6HF7z2iZzQSOVsCGaz6lMND-cIVREX9qX7nrOGC2i5cWt7N0gD0b=w1200|https://lh3.googleusercontent.com/pw/AP1GczNLy8dK-L223EMluYkS7LldRcbMtHtiDrW5u16mqdZ7WU5RLgIqXgidcHr_jh4GZY3wdvplRtdNPMFaNhQlxIa-1HXORugPZkoYOyFmMumQD_wZyqUp=w1200|https://lh3.googleusercontent.com/pw/AP1GczPEZC2KmH-Ms_YRiWC9Y6wrQfXghVsBgc17V3xy9j1NsuaI1g-_Ep1OkUQZ_qRwhrtH_XmTzBbGFevCYYlsiHNUA_uxD26RHgiDcRJkRFc7e6aNzDRt=w1200|https://lh3.googleusercontent.com/pw/AP1GczPSCk8NOffAC5DqUI3VqxxYuH4a6bWklZe5gfaFVQA3V8mDnuSyWev73vbLI36upWsFYJBYa0YxGss2RuE8e9I-_5WqT_wFXmEv6398D_rKU3yTyRqM=w1200|https://lh3.googleusercontent.com/pw/AP1GczPb24MvjGyh7yJ-jE1pexgi-EH2jYCgNjkZV0FnNYzBoBUhFWe-9z_sDEwtd20d49FfMQ761uvbbBj76U-3hbg-Aup9YT7DbSDj_iM3ZA791flOs6Mg=w1200|https://lh3.googleusercontent.com/pw/AP1GczMmEs-B5ade8ZYgc8Ij45RE5NpfSwATioPxiYizupd86qxg4C-SMOoo-pExCwSGj3F9pKgDdYyq37i-AK3MCAQZP9qg5keRLk7cWR_H1PcrFyDhKOE0=w1200|https://lh3.googleusercontent.com/pw/AP1GczNBhzkGEycwnHEPhWjVcROGOs_D64-NRj2POioPrXuLVTYgzms3oWU76GhE-HAGqLi1nI7Ib466cIdxOiFwSht4EA9vFZRRJoKsdu2Qpsoavn8orFjg=w1200|https://lh3.googleusercontent.com/pw/AP1GczPlzmnRTCTk5sYyYbVTyrgq65jL98ckTjNBNBa2VxVuwNfe9ZQeUK8dnE9BTt8L8bSFqtWlSe8R_xQ18lnIVMB08cybvmjn79SbtaJbS1AUu64vpcuN=w1200|https://lh3.googleusercontent.com/pw/AP1GczPzgFAJ_0niHDvmOd2uNBrTpw3iliwMffJOMeaWRztq06Z-86JliM0OZ3yLXVUG4nY7lNb3kfnG6jsbyPrkz0021etcUFufiwJJ5UfRuYadgAhGkagd=w1200|https://lh3.googleusercontent.com/pw/AP1GczN4NRM09xs5OJRVJI5xmK-1cnOKxCGinGXHmsVufQAH0tgY1DvW0m7w1c6fg8Yayh12ZLZtS7fYLG532VFZ7zAjUXeHKlgtlwrUAijfN52XJfeU4fSd=w1200|https://lh3.googleusercontent.com/pw/AP1GczOTph_-aj60dwEtP_3nVdkLQahmakYGk2RWFjP9pnSpDTQqmFmOCm59Sw6Uhm2hwgKQUwLkHbVk4JYlK-mSor5jGS_OwRjiCWLFEMBmL7ZFLQNNA0vU=w1200</t>
  </si>
  <si>
    <t>179</t>
  </si>
  <si>
    <t>Casa con local y dos apartamentos en barrio Las Granjas</t>
  </si>
  <si>
    <t>https://photos.app.goo.gl/cuREDmpg6MZf8hSS9</t>
  </si>
  <si>
    <t>Carrera 7 No. 45- 27</t>
  </si>
  <si>
    <t>41 - NORMA MEDINA</t>
  </si>
  <si>
    <t>https://lh3.googleusercontent.com/pw/AP1GczNYfpCn1VcCWoDriiCb6r5dRQvs5kLb4EMmNQWkJpuP29eFHcTUTvsY_hl0V3ILCvh8OkXJtburnDeO-9ta-9jyakurlkSrkMnFkSkIRGOw37WXUHm8=w1200|https://lh3.googleusercontent.com/pw/AP1GczNPZOL_1pzM8MKfVALYdJ4-bWGrCrSPTUzdbpeC5IsGDlZwB5dj_8NcMzFZEhXQHnQk1IJ2tI2-s5QgSESciMDWpG05vxX28lx5-aSR-9zcwyS7Uw4D=w1200|https://lh3.googleusercontent.com/pw/AP1GczMQVVNABH3mjuUN0HgyTVxHCYdlryszoEdYL9-gqbKY-u8oiye_slvT206pwts2BXSsQfkpdn72K4Q6zs1xOABKZVMvptxJkU2KaqAoYMxa_M9thza3=w1200|https://lh3.googleusercontent.com/pw/AP1GczMXI0fMUyQpcTenMmTbsk8ZP_j70CW_-F4C6OpaIdHFKWGWrZKvUc-tsSm98SxqBnlUJ9cQoycvNsbG9dZFWD0BfkHtU54p0kIDIrIOSrdkKum6Tfft=w1200|https://lh3.googleusercontent.com/pw/AP1GczMZShn4JWpMN1_bxukU44S77sx9T3fweAk3Y3jfPjZqSr4vvAKluXfEEclgfyeXesZzagBFytpvOCCBptu-45LTwIz852Qz0gRsC1naEJ4ygvmKRrCx=w1200|https://lh3.googleusercontent.com/pw/AP1GczNAmGz1idZSwpFcAbWQNcKyCQycb1SvxRn3FwXStvNE0oUQvne38eiz_UWCJN32hCqABd1uAmzwa1E3RSO0GZsa_2jNqQQFaI7qd0iwmiUqFKuYsmwv=w1200</t>
  </si>
  <si>
    <t>1482</t>
  </si>
  <si>
    <t>Casa de 2 pisos independientes en barrio Los Tamas - Rivera</t>
  </si>
  <si>
    <t>Los Tamas</t>
  </si>
  <si>
    <t>https://photos.app.goo.gl/tsPPRAq8Z52u2RqQA</t>
  </si>
  <si>
    <t>Casa de dos pisos Rentable de dos apartamentos independientes con un área total de 90 M2 en Rivera Huila a tan solo dos cuadras del parque principal del pueblo.    Primer piso consta de: sala, comedor cocina integral, 3 habitaciones, baño patio de ropas y parqueadero para moto.  Segundo piso consta de sala, comedor cocina integral, 3 habitaciones la principal con baño privado, baño auxiliar y patio de ropas. Cuenta con parqueadero para vehículo y bodega pequeña.</t>
  </si>
  <si>
    <t>Casa de dos pisos independientes en Rivera.</t>
  </si>
  <si>
    <t>CALLE 7 # 4A-46</t>
  </si>
  <si>
    <t>https://lh3.googleusercontent.com/pw/AP1GczP2wsOAmYtFd3Xa7HUK1JjiBcxh4oz5EcMmSdh1uyVAC47ISzj2u-BW1_Lz-8Y1jo13fRFx22KOimYwHuFoOUURIlBbWm4vT7ieNY6SZ34ZcEo2R3Rr=w1200|https://lh3.googleusercontent.com/pw/AP1GczNYCFZZ6e0xTcBAxJPYGUTsN-z9N601MhZASfMg661F9MPAV9q2FaYdAeS4koiv8rTXhE-J3DVRIiaEtJDCQAzrxTrvsNczvdbo-9KiOwYQYmhUf-Vj=w1200|https://lh3.googleusercontent.com/pw/AP1GczN84M4NXLPEv3yolwTe2Sv-DpBasqZx7jhHygsJp-yGk8czK46hbTlXzHAA9zoqJgV95acSLnnJicJwuYIZCOVYfhIWIiPfO7-6nWaBUA2ehwv3TUE8=w1200|https://lh3.googleusercontent.com/pw/AP1GczNwE6vIyagkg77bWQKGnOxPiW6UIRpPiBfEqI-3TaCoVVQa-9F7Z6QW5razKWiuPmMyr1Msm1sztAoNUAlC7lIWThtX52Eom4JHc2z_3aHzc3W_VTDq=w1200|https://lh3.googleusercontent.com/pw/AP1GczM-OrFC1s8ZmWd1L09ZN8uYGB-M-8M3my4YCm6xNEMVX7VObt3cB7KW8Uj1wiQQJOzMD7aUDIrAB1i_9rylRBCS4paEmc1iMxYAHVCYOUst-fNsZM0b=w1200|https://lh3.googleusercontent.com/pw/AP1GczM8vbsyCP5Q4DA8dQwKFMjPK0ZAxX7fe36hgXv2eeCdPpAALNC84YNxv26mE0GIk-a1Q2p-22oTsjq6vgwQB7IxW24ZC77hNcHqMdlgt5Aa03YxZLcl=w1200|https://lh3.googleusercontent.com/pw/AP1GczMB7KJX_sTptnX2o8d9d7N_YviHM-k1PxEfVmKtuHKdrPVDXZhqfVXgVDQJMK4myho7WEq92_0IazQChV77uL2a0krWEhBz6nviBw49-IM8SkpQ9aNS=w1200|https://lh3.googleusercontent.com/pw/AP1GczNhHg8bmYRf4RsKCv6jNZkM_-zun-CY9ihhNTLRqUBASWJ-1wLLTAsKBMDN0nnJq63H5U1cZAks_4qAyer5flOhq2Qi87Wsg5fnefxsT94bHuopHYsi=w1200|https://lh3.googleusercontent.com/pw/AP1GczO24Lj7eJ2drrV5VW5JsnuM-9-kXBgCfsIboh4UwZghsRvBORshVSewOhALqBYJd92DZ1JF63T-e5-8IaPPSGbZfL1k_NpOS1Qa058KEwMr6J2dhSxt=w1200|https://lh3.googleusercontent.com/pw/AP1GczPZQcuRFqusVQieltde37Fw2PBXTKgxVom6kCQdaMKXSmFNJoFnHqctEl7D8Uirb7aG521rMx0vkUYnZYDlX1fIveyD9ZBUuutpEwkYpvOhczzIAbk_=w1200|https://lh3.googleusercontent.com/pw/AP1GczP531f31a9j1bnZNfJ-jnVPUsA1pmT-KPzYte1gzkfy5Xm5ekRoaAgBU7EK_ge_czzc8_ydRW-o88svcXtBAzi6uMI3cgOcdt9aduVCemLunCvqwmjV=w1200|https://lh3.googleusercontent.com/pw/AP1GczNAnN4ElsKiBlMswYv7C2WtWeUvif0t6mTVaq4ZaymVLwaEIPYShg2QKLNXBmz01fa9ejh_QKInixh1zqb_TA-HdeQ8l-SB0tDEYYV5oR4RKKcdyGih=w1200|https://lh3.googleusercontent.com/pw/AP1GczNw4fg4ZdiZ3GmCi6zhub4mUMOX65UUWwKOyue1b56KXdIgsdXoSbKzqqKk6ymHVUK4_706oNqaF6lcW9gHSUuClLIwF9PI44dnF_dI0NRQvbpoLjAT=w1200|https://lh3.googleusercontent.com/pw/AP1GczMM0rua4EgcbH5PwfcSte_laBKQxnW2aJSQK_TDSC-3mmX-2TQuz7iHxldCE4Mc3J-TWt-Ynufq0_jBfBooWZHBeaTI1a4roEAdAR-ys7p7ZGcdd-9z=w1200|https://lh3.googleusercontent.com/pw/AP1GczPGvqCN2SWo6Br6AuI4jYnU6XBKlRyCFWdezeSEIKggDm26rDRcPq-pOxaLU3v72AEGX4ZdHn1vZgrlmfnPF2DfsTMOs4Eqb_t4E_0AGZCBB8pbhuvS=w1200</t>
  </si>
  <si>
    <t>1709</t>
  </si>
  <si>
    <t>Casa  con 2 Apartamentos en barrio Villa Milena - Norte</t>
  </si>
  <si>
    <t>Villa Milena</t>
  </si>
  <si>
    <t>https://photos.app.goo.gl/nYRoNs4d96geQ5wF6</t>
  </si>
  <si>
    <t>Primer Nivel (Apartamento). Sala – comedor. Sala de star. 3 habitaciones (2 con clóset en madera). Habitación principal con baño privado. Baño auxiliar. Cocina semi-integral. Zona de lavandería. Garaje para moto. Pisos en cerámica. Cielo raso en drywall. Segundo nivel (Apartamento)Sala – comedor. 3 habitaciones. Baño auxiliar. Cocina. Zona de lavandería. Garaje para moto. Pisos en cerámica. Tercer Nivel (Terraza en obra gris).</t>
  </si>
  <si>
    <t>CARRERA 17 B No. 33-22</t>
  </si>
  <si>
    <t>https://lh3.googleusercontent.com/pw/AP1GczNOQXgMMXDfmV-LEfpR_9tX9joSxsT6wn4TWXGbX7s_tlkdukhBVzlbjoHAPRb2oE7Z6JEL0PD02GfivHUqRdGtPMhJV6JxsVUzjP8tH_lbOZ8Kzp8A=w1200|https://lh3.googleusercontent.com/pw/AP1GczP1_OPtLUqqyPvKkaxJq5EcQ5GyghSXb63xR-3ct_-vxP7CgP0D8wuQurf4bdcBFOgaxh3pZzd5iCCr-s-E_VyTqOURveHZzl3QCAKJ7xON739psd2K=w1200|https://lh3.googleusercontent.com/pw/AP1GczPTPhm7I52suydHvfKOwgs_8ny82CskjtKIy-MaNeOQSsAP8tiCiqyUcyX79ARljqMoL-1Du8TO64ng9tnr8Z4Ol1DxXiSe7GB4RxUjfvdgNTJzixKh=w1200|https://lh3.googleusercontent.com/pw/AP1GczP9IDHLvFn4dpy-e2z3_P64lvb1vIPUS_kRy8JTiFbPPh2JBReAyCOPCEue7VElyKMvBCD4RhgJZiztBrGypyqirugYlAShG7yu6OmCPwvKXkBYIwxb=w1200|https://lh3.googleusercontent.com/pw/AP1GczP3pX1nOLSJvIfxqVicgeGs_TvqFZUd4jsP09gO5OUNgu_S5b09nc4vU71MsM0RTFs3p-yQVx8kIPvj41WhkTXrg-zGv2dEvlFP8S3VDNZpTD_G7nVp=w1200|https://lh3.googleusercontent.com/pw/AP1GczOillflYQZ6sEIAss-n4lUfqConijvPEdsRqhiSWPl4PQr_7yOz4LAg65Qc5UDVSrQn-Tepb-jJEFBn-HKsQWXkPfveQKQe_klf8f8xCjOHUwmBMoqZ=w1200|https://lh3.googleusercontent.com/pw/AP1GczOabKMF4xU3o5jlPAiywOcr2O-JVnL9-OyN7Djg6r61IY2fwijvmjOOc_SmPu7XISZddfOW_SQ9HnLdAfuGrSo5Pjt44qcc_mg_T3K5s7aVzg2mQdEq=w1200|https://lh3.googleusercontent.com/pw/AP1GczPskf0R-k0_Xi0Y5Z38wH25dsfaOdLWWKMF2ksTjGLZVY25NoJqbc1AiQ9Ez4C_N_ZIRHGLpLPSWxa07vhIqkbP6rJGb3ST-xLxM6T6C1SnzWB3DpXh=w1200|https://lh3.googleusercontent.com/pw/AP1GczPVdmJeUu3Sb7a5ESvDr_Reh_KYGQEBubv7RB-HQ8BSQi1QhTJy7zajdgPPc0BrUG9hrNb2mjh8uSKNHH5rqAntMnc_QSAHZzBMf5QH9cssjNqz5YZA=w1200|https://lh3.googleusercontent.com/pw/AP1GczPHpQEAT-YMYCgeUCxZ9h73zTZjchT-k_Iay6C6OT2OxNUeUnBQv_yGj8-qInwxtSsHNTsS0XnYet8pCZSdhXPy80NXFnk6HG-DdbmDY1dqdCNc2HuA=w1200|https://lh3.googleusercontent.com/pw/AP1GczPU2zPJuKuu--XMpk7QfGovLTM7UX_WEmm7ediaaISJCXbHa3XHbM505KCfIxz18GKmoQGHshqpdoDsG_rnfg5I7TA0JM1rAEr4hac3whUC03DobEB7=w1200|https://lh3.googleusercontent.com/pw/AP1GczPxrJ685OVS2loNrlyOI60hBuWzwRpLtVS9kswp85R-3laLaYhq5il-lHhHKzkZJJTQfCjiNYbGBl0bCADPfZlH6h3yfNLF3BoVYECtZV9zBebjnV6x=w1200|https://lh3.googleusercontent.com/pw/AP1GczO00xEAzIiTDNuuQKXqQw6Ox5xRelk4m5KIDyiXOMLbsbMulvvOEE8LtiVP-akkxsIFHNxL71F-5zVilPMKpJ_usolDHixJ2gbGHGqxXhbry-yamsZV=w1200|https://lh3.googleusercontent.com/pw/AP1GczMRle2b-IDrNbbpz2wXoQJE7-0uJV2WBZl-06t9Y7K5Qe_AVAfQt8wIeMCv1YPiNIZnFkNXvlYN_hL_bmRxPLZpew2iDknQXrf0qhgZJQOC9nGJxODA=w1200|https://lh3.googleusercontent.com/pw/AP1GczPr7G6K3uXz0eqCW_c8Q2A-gPE7II9zpCyKqO8AD49ND7VO1YiFcruTRyL6q5Q94uyjw_uZB2G4dFPJAWDvMim04sUjrLEIbbfInpIEoMBoesvZvkPQ=w1200</t>
  </si>
  <si>
    <t>752</t>
  </si>
  <si>
    <t>Casa en barrio Santander - La Rioja</t>
  </si>
  <si>
    <t>Santander</t>
  </si>
  <si>
    <t>https://photos.app.goo.gl/6EiPhjJq1zuaPHXeA</t>
  </si>
  <si>
    <t>Casa de dos pisos, estrato 2, cómoda, amplia, área de 200 m2 aproximadamente, 2 tanques de agua de 1.000 m3, se entrega con lámparas, 1 ventilador de techo, consta de 3 alcobas, 1 alcoba de servicio, sala, comedor, sala de tv, 3 baños con ducha, depósitos, estudio con biblioteca, 4 closet en madera, 1 Vestier principal, garaje, balcón, cocina integral, patio de ropas, zona de lavandería, cortinas, pisos en cerámica.</t>
  </si>
  <si>
    <t>CALLE 25 A No. 45 - 10</t>
  </si>
  <si>
    <t>https://lh3.googleusercontent.com/pw/AP1GczOPRKNXz50DM-59UFkXaB5tbio1WJV1ek4-RuMEFm426_zsHxvY0gB5IBTGabnNKV1PwA_cpFg_nzS1goBqobXffiQ4xmH4AcL1aZme57f8c44DtwTF=w1200|https://lh3.googleusercontent.com/pw/AP1GczNPHAf--cfomfKpkwpSJfAa8cGhT7fBFJ4xxIYRoShL1EknhL76X3u0kCx0Uh66bvXD5rDtfvZhumh21e4z2nyF4yalP3uXiFcgJN-XKEHPvxBDtMdH=w1200|https://lh3.googleusercontent.com/pw/AP1GczOz-5oIlsZVV2Q-1F2ibs7pj6SvDtneFkGkduwlf-9CkseneDjXs_3DsW80-sfvNLN9zwNUUgVJzeLkYRG2WP-Yl88_qoWApceCmSSWzkDozyts22nz=w1200|https://lh3.googleusercontent.com/pw/AP1GczPFV0e-ocLrwvfAtrpo8oRfUMQJOXaY5Dv6rGbyTMiw7FAUfgDQDyM6Y5HKAAxpQqZvpgNHkgkIaCPPWhceLv1IlVvsFDTpFqXqqxDrnoDb7LbiG7vl=w1200|https://lh3.googleusercontent.com/pw/AP1GczN1gwOZEPhkUSNHGDiWoaleN-jkxeusCGsaFSIw6-cMvs3-jh8CoR43xz_FVYzZljFq-zq-44ZTeJTsttoqjr8xqWy9m7qaGCzNjIold4dRHnTdLZyu=w1200|https://lh3.googleusercontent.com/pw/AP1GczNT5gzIzkHdDll7HGePN3qCM87HJbSpJ4W2lvIvTctr4Da1ClYq7q4QatgY12uJKimk3KOLYYWnnHZwiD_Nd0oBpk1cUgDv7GzXHQJfOiLed2fmQ__K=w1200|https://lh3.googleusercontent.com/pw/AP1GczOJaTT8eeL4OCCsIFbo5Zh-fZE864cmtOMwKi3Ff52z5B0-uOrFok7HUOp6GP5Lj6hMJaf_6t7mWi-Nayoe4Wllw7szPhnspCEaXm5HhzF61Nt5Odfo=w1200|https://lh3.googleusercontent.com/pw/AP1GczO-2P6b4L7C1Mf1GC-xA9a6-1_dnmdWSiy3A6W0pdmpc9E6dWTNmeoQq0RCgIomDFKBp1OUAq_7x_vkOHR0AGTmp-BBXmodTyKCKe6v_b-SrST6FLFN=w1200|https://lh3.googleusercontent.com/pw/AP1GczMJxI4IbhJsO3tZf7Ws7sT0j2ARa6xDTWnoq-BQ5rCWfdO3c4uDCmGImErYtGysq86iGLEXuCcQffOWc8l7-gRoNIuZKVH7xgtbgx3zRPo0P3k16apo=w1200|https://lh3.googleusercontent.com/pw/AP1GczM0ITXN40AKHasPkzvot8Y8wgp935ks1nwWg7tGoHti6zco2hq_JVMwX4xUVMhUyzLIaEkzrqYBlTIuSvUsQYAg5rnwkc8MunxN64Ugu-59nVKy7i--=w1200|https://lh3.googleusercontent.com/pw/AP1GczNU6h9FPcz9N9EmW1AGasdmbn_uPh7RSgptgbdPreCfdEiQwLP9dVgqjb25Qwg2hTwc8hp5NkYAyMDlOcGPz9PLUH5LWTq7o5B6jw8tFroIbLwioJYd=w1200|https://lh3.googleusercontent.com/pw/AP1GczNYp8GkSa6mEA-RKkp-svl9COHNnbNNYw9lncQObqSevbkLk8_iBEPezhZ-y3DdxWjyZFl3de9uH3hinjbamgMNBvcp-ln1drOil1DhBCz4PuGSW29n=w1200|https://lh3.googleusercontent.com/pw/AP1GczMjXmjZ8MsuIn5R8SVc1-bKtrDr2FifSrtmxmF_n02Sbsh4PntoO8eBWsKc5KONURuCPplb_Grz5p-Du-swHI4dleHc2Ns1cn4q2reIN10AivaBYYwT=w1200|https://lh3.googleusercontent.com/pw/AP1GczNERNIEWCQ0RGSa9fLwD2ThBqEBx-rvdk8DrAWWvO1Q91v20qNqXLSK66ud51n7LcP6xwgjfaR_5nR5xOeAEv0qyVkZI4XcbSuiT5FXXNd7yj-FScyk=w1200|https://lh3.googleusercontent.com/pw/AP1GczOTe3W-f2V2urF-OlNbY1Mja2eIfiBWpaiUafLLiqCLIZOVs1znz_mz7Q0hMrRvFz0wSdvCP4_epS0w0M4tqFzUCHJFv2nHgHF1i8K5iHgi4V4jippP=w1200|https://lh3.googleusercontent.com/pw/AP1GczOqiywDjpwQhcHdASFl4xmqg_5NfgNbAErz5vtWZ5XcbNyfBidN1ehbqdL67aMaLMyMNbkrV-tOqjhvlj_HT4n7JfGT09k0VhJUZsk8nOujGNc7Cur_=w1200|https://lh3.googleusercontent.com/pw/AP1GczMbYPIZOiBwr0RrpXkb6IxZe_G__UlAgb3GlXh_PFyw7iu2Te5ArsferVrfVFdNad_WEtBy3eP8-hmSbs3BXtKfzoh-0FzS3cJrCtFkYIPRUnkKkMnO=w1200|https://lh3.googleusercontent.com/pw/AP1GczPNr-Cs0cJuCRtOIynCHjn9ApAOduNCcMo6HCKyfcAUQIv3BKBkMq0BODu1aJJjCVh8E3-AvOyPNjGS1bwdrTY925cKnAw-7w34NnJnNc2bLQG2ObVS=w1200|https://lh3.googleusercontent.com/pw/AP1GczPD3lKfttbx-rJrO0EXzOqgQM4yIJSX7QizIsqJMhSGITopuW4jlCVRJWy8tvEN7enzIllxY5_7Z6gbr9LKnVpKjT8anuEg3uUatiHPz7h5veAGdZjp=w1200|https://lh3.googleusercontent.com/pw/AP1GczN1VcvKDdl3HICDTOmn4vQlUKbKZGBT5a7f4d-chivzwU40zNpy0RkB5MR5FtQhIJItEcMxWMOID3jkguzhhKR719XjKXxGNsWAG1XZnaRIFS75yBMd=w1200|https://lh3.googleusercontent.com/pw/AP1GczMDNPC9NvDtfhuOPOs81gCJGsRIFRrNPU5jPwcHyXMzUGdsKv-oUcpJbMhGiJtM5yfoGaWs_D_rP8du1lXFz5eGBtl02ThLDuAF-fiacWruZs-4ys54=w1200|https://lh3.googleusercontent.com/pw/AP1GczM8XvnRWVyLcxGxhVSJKGQVRU8yQV_OdQZZSPylLhFEAlxvxAQJppSMrCIvLqKXZIclHP_OO0BPTJBIWPLyxjFkHZcbswx0pfLW7NeHrOXkYp1xfpzE=w1200|https://lh3.googleusercontent.com/pw/AP1GczPFRA_Wz1jpJmgQOyxtjDhdGqtOJlA4Ve-0TlQ348DnWg_Ydt2f6bSQL6msGmfTUXI46Dl25sVD5F6mD9M-olAXnItogO01EAd_Vdb5hWuGgg-8d_g4=w1200|https://lh3.googleusercontent.com/pw/AP1GczPe8ZzkbRp2keGdtEJvMS_nc19hMY4Y6y7t6Ti5mEY8iL7ufBElvX0vnTAigiqocL9guhrAg_LJzmQtBiWS9BZE7mK8pg6UXCpdN3m-lmipgGLLeLoV=w1200</t>
  </si>
  <si>
    <t>184</t>
  </si>
  <si>
    <t>Casa en barrio Carlos Pizarro</t>
  </si>
  <si>
    <t>Carlos Pizarro</t>
  </si>
  <si>
    <t>https://photos.google.com/u/1/share/AF1QipOvg8N7lkh9bSRuNFfKF7XfNtpeOlIEG3bs_Un8YsTgcl1V0gM0UI9pcejqm0rD9Q?hl=es&amp;key=MGF1Z2M0REhhVi1SSEQ4VG85N3B2YWhjWG9mNnNR</t>
  </si>
  <si>
    <t>Casa de dos pisos con un área de 170m2, con 7 años de construcción, estrato 2, consta de sala-comedor, antesala, 4 habitaciones, 2 baños con tina, estudio, estar de tv, 2 garajes, balcón, cocina integral, patio de ropas, reja hacia la calle, pisos en cerámica, techo en tableta
Features:</t>
  </si>
  <si>
    <t>CALLE 54 No 5W-04</t>
  </si>
  <si>
    <t>27 - Valentina Renza, 28 - ALEJO CABRERA, 15 - SINDY MARCELA, 12 - LEIDY YULIETH, 15 - JOSE LOZANO</t>
  </si>
  <si>
    <t>https://lh3.googleusercontent.com/pw/AP1GczPNWvCXysIqxubz4BplZsHmcGPHxBmVx9xWQYVGRdzp-EKIV6d3QMq3Kgk9eB3A2MPT3umKXDUjZZK295AmcAxVyy2Zc9I1rq0Mq2zsWyZd8o5wFP9j=w1200|https://lh3.googleusercontent.com/pw/AP1GczMEg7ILpXGCp6Ul2HFEPp0dYMLX7_Bdk-hbA38Lfdn1F79rOr8a35rwcGmbzYxKYUbV-qGqnRsDnldsI1ijS1DCi4_lt7WNR010Dk2y-J08zcrqPF5e=w1200|https://lh3.googleusercontent.com/pw/AP1GczOLHOhfMJxEOreBGrZzg__COQ7ILwKNITrY68LMlE5zGON44O9w3n3ibylOxBMe2dQ_ZrpR2IvbLgVqY2pUY_VoIJx6x5N4LocT-cV1q6_ZDHQOc6zY=w1200|https://lh3.googleusercontent.com/pw/AP1GczPOSm9pvyfJ8fq2n_rc_UcO7oc64fb3UXjug7yNQr8WgLPWgRuidFoMaZMVNqmlrFhLtUtLERUyYNikRz2WL_Px3VctyUF5uT7uJTXXmQKaE6f-EVBb=w1200|https://lh3.googleusercontent.com/pw/AP1GczOUCLwMoMQIpkMm5KIfUNorj4Wg-QYUnKM5EDhMrm-zL-nXb8YGAu8kQQr7fkOe0ggeB89f-OdLyaTUJ7iwyJYOMLEeCYyRsWS9zM0Rf860rYVPabTP=w1200|https://lh3.googleusercontent.com/pw/AP1GczM3SqZz6YzBuDLtX07YGoNsWxmBX0CC_gWQ4ArFlTtD4Ec65vOHf6yv4tUV3hjXKmgaBvprdAM-R6nZmeagwXcQ9u1go17aWbwQF3d6pXNyfglUnwH7=w1200|https://lh3.googleusercontent.com/pw/AP1GczNUPC1YZVAxRV7WT_JRaEqZOeqHf0dWUOmCFj4piC6UhFwZCgov2MHSVQzxhRYL3fvOtIDjDgWOOfkh7UpgCZrq_lzNfXBidctOX3jDs7BM-wq6tFcs=w1200|https://lh3.googleusercontent.com/pw/AP1GczOnq0BtXlvKdbvG1MP9HIQECeXMfhahewHSAthyIUXKKdfnJpOWRzB_TnjWfNKgj8lMLX3ZaI6_TO-KRosh_f-oMXMchbjsc7Tg0pf0zOVuTbJTugyH=w1200|https://lh3.googleusercontent.com/pw/AP1GczOzTf_16Nvb7kB5wHkZKf0RuiwfOzV2fOg5jRUYiKJbjBsxSKAaU8_-OOKaunj4CAR5ICz2EXx1RPyqNnWaSyxXvIvjAZzkDyqyKgyi7mVIKbXySIIR=w1200|https://lh3.googleusercontent.com/pw/AP1GczOSekeD0KuzHpFKo3ZCVnIuSFwO3CI8JIqsEKxWUm0X72DFZrIpY-5gBQsTHuiY0DPC7n2AlQTRHL9S448tb-QSwYQR6Q2A9KxvBUyvUCCHBVsxw5B5=w1200|https://lh3.googleusercontent.com/pw/AP1GczMjmoJ14gVtQusInUiWHVHBEP5qcq_Mme-vpWNk0cI8CFHORu9xiw9WWY1v0xSQEi28mtBv42Zm-Vp1R-XlFlP2RUmAtGW97zLo-pUyTzE6CmCS5KYJ=w1200|https://lh3.googleusercontent.com/pw/AP1GczMJY3X8yARLMWIoGfkWeM9M0iHIzMkPQ81CfIW2iNfxmquQjdrOf0YaOsin6yn8jFHWGvORmQsYkbHEfxCbl7R0GCkhLdviKdQV4WIDgBfFEryIeVRm=w1200|https://lh3.googleusercontent.com/pw/AP1GczPWNKI92n39FAoIBsjyv_DdlTuQXXOdewDq2VpcLayx_uhPy13iBNl_vOMXhdJqxWgO1UuzzlckoMlhQr8JQufkxlrV-s_-_bjzDYVZkQmAINgPTfRK=w1200|https://lh3.googleusercontent.com/pw/AP1GczP54h4EvGKpEYVk4-pb0d2cy1P79njfDSpKXF2ix25sg9N3ROI9mJZT3gWXHDockJ73CmO8DhEd0x7K5CqoUXhzHzfBlMdwsunvXeFUrakGDNGtMXqT=w1200|https://lh3.googleusercontent.com/pw/AP1GczOh284fTgMukau7zfvQ6kv_TPOhHD5mbwhxi0P91yc73LtW-eIONEbLz5BoBxLVJ1xRN1rKE115r-RwDTKhKdWBHxivaPbfUVDyV-Wsm36nWYM7rdCK=w1200|https://lh3.googleusercontent.com/pw/AP1GczOqkZlvri_LKNTC82Q1nJHCoWYtoUlxZfU-PvWuwrO-CBSCRBID3EaRT0vw-y0g7lJdBXsx6Z5oy7Xdgmnq9-BWq4uWa9_2Jl7TD1QVsGsozCeVGs_m=w1200|https://lh3.googleusercontent.com/pw/AP1GczNLmNAPkIkA9K6gOVCan7b_Rj-MZ9WskuxARxM0QlnAYx8Cfy0_5IT2DQZVbTmO_sikbbkN1sXV0DrlRk28D-h3EKBk0gNQ3BbSpQSo94VjgUX2kOx8=w1200|https://lh3.googleusercontent.com/pw/AP1GczNbtuIqoGdG0qIG9Xjk5HnQJIVMUTNZ-oBhgH7QOKU1LAAUZjLdiIvp_nPn2IfOfqHNfb8bp9mkqWDNJjHUqrBKKhL81lKRuoFyaemHaVSUh9qK6Hvu=w1200|https://lh3.googleusercontent.com/pw/AP1GczN2yCx5LpcEIpRSJ-mr0DygTDSmScU6FlUjqZAI8_qY--5rWwHLOz32h-1w2RuDZe24nSDto88oe3TyyGS4KRROJRA1ntUKjA9iqPAxaApmA-0xpZPn=w1200</t>
  </si>
  <si>
    <t>1796</t>
  </si>
  <si>
    <t xml:space="preserve">Casa con 2 apartamentos Independientes en barrio Altico </t>
  </si>
  <si>
    <t>https://photos.app.goo.gl/Not4Z3sZoWa2rM1s9</t>
  </si>
  <si>
    <t>Distribución del inmueble: Primer Piso: Parqueadero techado y enrejado para 1 vehículo. Sala y Comedor con excelente espacio. Cocina Semi Integral. Zona de lavandería independiente y Patio. Baño de VisitasBaño3 habitaciones. Closets en 2 habitaciones. Segundo Piso: Sala y Comedor con excelente espacio. Cocina Semi Integral. Zona de lavandería independiente y Patio.</t>
  </si>
  <si>
    <t>Ubicada en estrato 2, una zona de gran accesibilidad y buena ubicación, esta excelente casa cuenta con 2 pisos que combina, comodidad, ventilación natural, muy buena iluminación y privacidad en un entorno tranquilo.</t>
  </si>
  <si>
    <t>CALLE 3 No. 12-22</t>
  </si>
  <si>
    <t>https://lh3.googleusercontent.com/pw/AP1GczO_sPGxrNRWnB03wazhS104-EjLE7qMlp-NBnkV3nDNwb7mfw1U-lbvcBseDFq19cI42JJjR6uZtBeTtJWPvocN4A87gbiqS58bpA_-HA5lBLCRvKHb=w1200|https://lh3.googleusercontent.com/pw/AP1GczM63ZgK1ZBR0hG9cjrl2MdS9vX83Hp3wD8qrmxBP2UnkOuFqM0AOKtkO8A7skspovogoLdQUNjd961st6yepDSDYp-6dA3pIqAWEtabRoDOWYjl3c7V=w1200|https://lh3.googleusercontent.com/pw/AP1GczP4DlGIRmOOo8J9Er5MKrwLUT61I1dqW6XjASwpypbJpTlqpOViufyq8ZxqgGLiLPFEOXNGj4nezU2YS3sGMrTsbDkrcFauiTD_HjYYBlEWM26469-X=w1200|https://lh3.googleusercontent.com/pw/AP1GczNDS0fd7h4n9gyL3IJgHLzPtrF5p6uFmg5UjToz-yWAzcMfHOk0b_FsUTCdlKfykMR2m76q1G3Gx4TFpT-DqS_tH_4FDVAJqnJQdYy8vgPTT_CFmmH5=w1200|https://lh3.googleusercontent.com/pw/AP1GczOORfKYSKcl46m5ru4L-D9Ewe2dCBOiJU_st6Zl40m1238-gE1FDe8rs_tiSVSqIcOEyekR5qgWGRw5tsue9TX6FlcDPF9FQ3BZgJMHk0F4NKInPboG=w1200|https://lh3.googleusercontent.com/pw/AP1GczNnIaUXCVdiBi1IgmrRHub79A0R4x78hO7pKmAL0p920jSCFCPbzyUSyEhfXYQ4XMcXiewMOw1BSLAsXCNeSM4s5wlFibqxj5rzqsgETc8cZG0ysK0L=w1200|https://lh3.googleusercontent.com/pw/AP1GczOAc9QSU4UL3cGwEIiFkJbFvlCWQoDXmxtAIUzwYEmT-ThP_qaVL0UkwTdg3noE6DY_p83ToreiK6BqKz2Ul8-CXbs9NZqnzdWS0S7yRw_cVuKHX2KP=w1200|https://lh3.googleusercontent.com/pw/AP1GczOLvg9cIivr11zt6SZ3_1PmkTnzG1UUfIVudWI02y8nWiOjrZnl9vDSmnckzWh3oNylthbcXa7lx6ot0SDCZ2kO08Rx3RL-NCWTtIiqLqE1nO5tHlc2=w1200|https://lh3.googleusercontent.com/pw/AP1GczO-Bb_PZ6crTr7bnAGRGBlhQOxvC4cX86Q2pCCyz1HiX49zS8vguzN4fgJg74cmAiQCLgAyD7OhO8Ci5fN6LacvrnOFgXfK0Fk_DTMsA578ZfiKOMkJ=w1200|https://lh3.googleusercontent.com/pw/AP1GczNoxUkw207BNPvq8vZNtum9ee5Kmi3Lat4cejHDLrp911_uaUe4ZvpB3BL9I4C3Vt-2Cx69y4-72ZCyKVfxfZDDsFM5zqJ4vWZJ2nMUk8tQ1cRDurG_=w1200|https://lh3.googleusercontent.com/pw/AP1GczNm6LW6kRhnWAH2AJd0iGy51sLdyqXDFQc_vboPNHUpq3r95hL3pMwv-8z1uZWYQ15gTHB-3oVwpzmi5M_bBhGIJBhwB_nQq4SdSiO8aqsuG2JhqaU4=w1200|https://lh3.googleusercontent.com/pw/AP1GczNX_Quf3iHf8E4NSrYsGshdai398Jh6AmE-sdBnZtb99lEKFllObeLrvmtfz3LDk4EfjR3_fuXeuhlSEOzw9_ba_6V8zVwDS4YCHgCg6dUxbtRHeiVZ=w1200|https://lh3.googleusercontent.com/pw/AP1GczP8oo4_KuuUuJH7RG1QrzQL7gHf4GQqfDuaXDGCDq9gAKRG6s46PLoVqF-vfnsrTYgUk3PMm9X7n-h7kATDloxplzDc572QYZ5_85Udkt-7pLafDwkR=w1200|https://lh3.googleusercontent.com/pw/AP1GczNGhkFmMN1hho4VNZFDeeNzewGs58WmSNI-qSuokjs5gYrsOofMpSRzkarJuijo0aRUiFOFjWk8vbX9Lt2RMFpeWVZLEcCGyAnEiS1TVzP8fXkXbnla=w1200|https://lh3.googleusercontent.com/pw/AP1GczM-Ft4sYeWHUDGUCnXGJWqBppk9sAAyoig_e5gOByFmsgOqkzV6EeT_-LPNnbb40ro-aSj96OjPWnGidGpdOsBIVTSa4EAd45tXVZLNKwf-gR0ObrQO=w1200|https://lh3.googleusercontent.com/pw/AP1GczNxKuQkNNqaj_3g2P5oXCrcNSrJLsbpyuqUJtseyL9mIFNsbaGHvtPhoTzt5Eafkg9YhPbM5Fstc6GOSep8g3k_Za8CTBIigY-AUjql9BPwDeCIm_Xc=w1200|https://lh3.googleusercontent.com/pw/AP1GczNRnl53Srgb00lZFp67u0FW00oQhrGrzIlLC3qtvjLGA4kamiPOEK9smvgC7j4zx_qgQJlDcsimfriuE53tkKlQOsOZQ4k6C23cgc0PJ1cHkGwjvaOy=w1200|https://lh3.googleusercontent.com/pw/AP1GczOdD9JkxJFTaH3PIEgtDRwOBe_g7GypZKTKCA4H1UGjP9UG0q2i3gDKaySkUHzidEB_tqElLYL3pf7y8j4q0I_Ecl3YcSjYtRIoFU7iVocfDXPeaTaj=w1200|https://lh3.googleusercontent.com/pw/AP1GczMOxZJzlvdjCXzf9loMghT9LTS1LYuE2CBg_KDQwiKEtCBojPKkW7xyCAdGo-1kzOV73UdKVT33rZfCrZ9Xg4B-zpv9yhJkgs-q-Yl3NTHyNCi5AOa7=w1200|https://lh3.googleusercontent.com/pw/AP1GczO1-k-V7XGl80ilOt44GiuJx9nDB3Wvz0FY3wkpnqwcquJFkRf4wNyRBa_rHQmYou5EqAMT6pFtQ9bygSWnqvDJHkHEBxNV-e4Jdt-sT1rwuKfuSILg=w1200</t>
  </si>
  <si>
    <t>1762</t>
  </si>
  <si>
    <t>Casa en barrio Villa del Río - Norte</t>
  </si>
  <si>
    <t>Villa del Río</t>
  </si>
  <si>
    <t>https://photos.app.goo.gl/7QnTN5NGG7gsYNyh9</t>
  </si>
  <si>
    <t>Primer piso: Antejardín enrejado con espacio para parqueadero, Sala, Comedor, Cocina integral, 1 habitación, Patio, Cuarto de depósito, 1 baño, Pisos en cerámica, Cielo raso en PVC. Segundo piso: 3 habitaciones, Habitación principal con vestier, clóset en madera y baño privado, Habitaciones auxiliares con clósets en madera, Terraza, Cielo raso en PVC, Baño auxiliar.</t>
  </si>
  <si>
    <t>Casa muy bien ubicada, cerca a la universidad Surcolombiana.</t>
  </si>
  <si>
    <t>CALLE 25 P # 8BW 10</t>
  </si>
  <si>
    <t>29 - FELIPE PERDOMO, 12 - LEIDY YULIETH</t>
  </si>
  <si>
    <t>https://lh3.googleusercontent.com/pw/AP1GczND9n39WaKGXYfcbgnjvPF-YqWqWV42KEgNRRwsApZ-6xgbu_geUTsBD3i87zQdMZSIRJ-fbIyMVAHdw10DfHQ_u0q2lOVum4ZVS4kPh26td-ifYOsR=w1200|https://lh3.googleusercontent.com/pw/AP1GczNYcp9OdSGcCqh5AKSFdsBk5EDBGe5a_P7c_A6lHYDnGnQdSdUnQC05wd6GepX_PNHNTV-ejTAAOF8duiB8jNOE66kLglWXMlMgZewprEUMYvedtPlP=w1200|https://lh3.googleusercontent.com/pw/AP1GczNQVmYYe6ncXmf1BRmbYbWvQ6H084REMBBEQhRhy4Maf0Bg6f9un3cMKyxi4YyysDx5FF8a4Yjf2l9QUgHVxh1_iljqiAoz23kX4QLeaKPTewQ_tueq=w1200|https://lh3.googleusercontent.com/pw/AP1GczN8pZo10Zb64ezx9VmuFM0okJ-DRrVCAOYZqu3DeZOdBB9JPd7j-VbaU9M2Rp_hT6622zMtKLGeKgt0NLal0mvXKVXxU2vrXFKG9W6xBkjXe1BAoi6a=w1200|https://lh3.googleusercontent.com/pw/AP1GczPVzaQ2yCQVdsRF6dvQ-hT9uZUo68JyPTYb-5bm-gjdcpgYMUFBmw2fKH4HXwCHib3d-knBQlTINiMO_YofzSj976rQAUBaZ5Vz5uieMsh5QCFzDd6Q=w1200|https://lh3.googleusercontent.com/pw/AP1GczPreq2w-I-Vao-v_tA34LGENwa5lsbqdKNV7rnVmE2N64M_H6Sk8ov4T2Ydn6TrEAC5sAymr35c4ywxTYftJlpUbJ7lDdnW-AjaSPMUYSVonODFZ0gk=w1200|https://lh3.googleusercontent.com/pw/AP1GczP82w4LhWERwmkn2lxEbpGNzInopLs2aV4aN3Oyp17SDzneC8fiDEydnIzhD8epFnMIKyaGJ25G0B-eqbzWHn-UH9Sj7fWRACoH5Gqxwhw0WhRNyuoz=w1200|https://lh3.googleusercontent.com/pw/AP1GczMFZOUaTGuiNU1--IYV6gjXK31pHLd16zY13_ysB_raT5KA7rYKkPzYueWayDFDcCEZh7-uKLU6UrilOTZsEa9iJM2yOWab2-1z2cth0MEV8Rfo8bP6=w1200|https://lh3.googleusercontent.com/pw/AP1GczNQMudZl3g13uH4tEQJmynPrOBSKUcmKYfCAJD38fXW-uACDKiOACWmg8KLCuZfwclO2Zwl3OE3AY_ReqVqSEor-fa0fzXyEtmzvEE0brJP3-jBJXeC=w1200|https://lh3.googleusercontent.com/pw/AP1GczMfhc-uZUavYnVoR3FucbXRFbV9XFmJQqCD6amLMCZENmgKyOGlQtVf3ybPED0lzm2r6OM6x1Zv4BylIKc4tk0qMPLzXAaUDxdkaLIh6E77Yio4liJ5=w1200|https://lh3.googleusercontent.com/pw/AP1GczOA7P1k3_Xmn7qviWrteh0hl0BTSjnFmcurlhzHw5eEcNwBaUU2jwUpTGcjUrv9lfwGPislNb_TCY6lhNnSNpYpum01h1VC52JXYm5K2x9KwRHyZjwR=w1200|https://lh3.googleusercontent.com/pw/AP1GczNCIj5ujDK5mXMOQ4KcOADu2c9nVkCseurSZGDPga0_ldAAqAEbj-ACB842SqQkFeEklVtc3O6hXF9eYE4eM5pdBzjeNGlkLdKW-hSpY5SBH2QUhLgt=w1200|https://lh3.googleusercontent.com/pw/AP1GczNjS2CyvB5qwN_La5IEgpJJJZhWh4dBrWWBnFzF0okJjpe4BXEGTHnrjDbFW1Elp3cVUPBfVZ690ohGM6dDk_aQrMB0BsijqYqOH0YQrwka14unYVoq=w1200|https://lh3.googleusercontent.com/pw/AP1GczPiDzffg8tP_CK2qhnf56sIkAXp56omE5TsC_HLRyLcafvZ4euynp5Vl3EwLoyH7eUsaNBzV_M7Cxegs-xolYGPf6jzSOvMJuwmUEya0lrDn_9uyQ-H=w1200|https://lh3.googleusercontent.com/pw/AP1GczPYe1Wc8yf1ubQEQs_Oc1hVvq2dzOFwnDAW_7xy8BU4nWlqz8fUhypv3btXfB1YyRVModu2_8l01WQ6K7gQEq9Fac8awrsWnr76Mw_7EOCTN2Ze8viW=w1200|https://lh3.googleusercontent.com/pw/AP1GczMk93KpWbGuJ3aw1VMhSN0OQ40P0jitmUGeK304CN8r5AXyZWiMAAS53ozLXdG5Uo5TmAGBdhIjaTFG9ha5OQCCTW-v9pkl6QPwElwVEG-B_8ze7Uwx=w1200|https://lh3.googleusercontent.com/pw/AP1GczNiRdV9scUgckiSgS2Zo8QKeK8OMyw1ghv8r-x_kCr_KRWxBXUIDrg-cQhyH29Yx58LlZCU2Uq7rX9UfyiySMC7KNdQyDp2wo49jPpYChREfJON_Dyu=w1200|https://lh3.googleusercontent.com/pw/AP1GczNTWG2k20JEnuonGzQlx_kM5i8ef4CD9D36FK3D28hItOC1ltCzegU6VTIhxV2IuPPKB7p4eLpVdIv6yJ_iz_CXBE_LRrGItTT3MYeRABBKSmKOSL3I=w1200|https://lh3.googleusercontent.com/pw/AP1GczOuTQYzta2FQk23u3VSvJaQoza4uzYKLjehCPcFth4saS_hHlE7Fr3Z2njpGNrPAPx5_Iy3l6q4nQrAbNzJoxHVHY_zLCIIATZKQJtqGhlL_NtrgT5E=w1200|https://lh3.googleusercontent.com/pw/AP1GczMg8Gn3YOkjeQ-kUMEk8YyxE8mkkCQhyZC4rF3d1Ax-CXKrFPXfDH26g1QDqyBHFYPctL4W6MKPBOz8JGHxP0aSxOzM0ODSKrsyJZBNhbSyZQO-WRQB=w1200</t>
  </si>
  <si>
    <t>1560</t>
  </si>
  <si>
    <t>Casa en barrio Minuto de Dios</t>
  </si>
  <si>
    <t>Minuto de Dios</t>
  </si>
  <si>
    <t>https://photos.app.goo.gl/f8CVVuM8JMsa82dg7</t>
  </si>
  <si>
    <t>Consta de 3 pisos Primer piso: Sala y comedor, 1 habitación, 2 sanitarios con división en acrílico, patio de ropas y zona de lavandería.   Segundo piso: Sala de estar, 3 habitaciones con 1 closeth en madera, baño con 2 sanitarios en división en acrílico.   Tercer piso: Terraza en piso rustico, 1 habitación, baño, y zona de lavandería.</t>
  </si>
  <si>
    <t>CALLE 73 1C 46.</t>
  </si>
  <si>
    <t>29 - FELIPE PERDOMO, 38 - MARIO MUNAR</t>
  </si>
  <si>
    <t>https://lh3.googleusercontent.com/pw/AP1GczNJ0tt19Sb3lzgiUysYRFzx1VvDrPuvUGovIWlHtTy3Fd5z5KcuhHwK6EXOAIdqjrc984yshpPqVYMXeLBCqAs2xcCm3EVx7IFRoteQQAA_9f30i07H=w1200|https://lh3.googleusercontent.com/pw/AP1GczNTSPRAosWyTTF1Scmw2k6Yx0A8L0rAE4szXwgwR8E1q7V-l2kmRaFoaADT70OwYJJw44XnQCv5BkmRWvMayXpg95OuoFBmM8RGY17XiZC6DTtIEWvB=w1200|https://lh3.googleusercontent.com/pw/AP1GczNIwprbw3TKUpO2L6LK5dJ4DS3eM_WkcecxdKRy_VnRkokAPvYCte7tuv9cQVNl4hYCHB8rCE4r16bpxBmMr35K1wafWHNlUz8-ZSsQ4INYstTrJcAn=w1200|https://lh3.googleusercontent.com/pw/AP1GczO4799eCop3g5a_g8lbZAGQPglf0FFM24ke3AqBofRDXQ3q7BHIlPsnRNbWvTv3le_jkAxG6gk2tpM_pvjsbqPAkcnlSwrZEwW2IPwquo-aePpDVp0Y=w1200|https://lh3.googleusercontent.com/pw/AP1GczO6VTgqRp_r1qIZC8g4p1u25vZkJGtxoNlioUSOzngFh2yjcihLjoUt8qXMsyW8HkarUyH3Ugsgt1Ly7uJ7CV4gsWQ-NOxaAfqeCOqsL-aC6NRZCalz=w1200|https://lh3.googleusercontent.com/pw/AP1GczOd4C6gQt2s_lnvqdroZPotXERLdcCZafDBJrqCBuTWWBya3YliWY1LqFrsJ3ru187cWQYlsOLD0UVm5ywUVw-sFDyYa9-4BMeirpv6FZLnb06G-UV8=w1200|https://lh3.googleusercontent.com/pw/AP1GczM5i0hNwRW0525g6mvzqa_p37nlimsHMXQValGuzsTBl_ZyS2Oq6RabuOhWbNWcUV34WojMRcIMUst8Smp2RcPXCVNQnBeVeFAJD2lng92qnbWiEg1d=w1200|https://lh3.googleusercontent.com/pw/AP1GczPyGg3EDbPUEDaVU2VRgzBqOgni4Dm3GOuKX228ocnGoGlCtxOa7pqDd4WBI2VBzykO9aZui1-W0W0W4b9i6CWfNQRtHAyixW1lc2emoWNGI3q-TH2Z=w1200|https://lh3.googleusercontent.com/pw/AP1GczPgCgg3JHLZrB9TKfk5khWdFQ9VZ7CM2dHpvh-7rkudsO8TXXuHsSi3pvIqh_sOr5Lmx6d70TPiAoG3WloRxS3U2OfzA2ZkCOmM18KD2KxNDAO2869e=w1200|https://lh3.googleusercontent.com/pw/AP1GczNQPRCQdRIZQAHwfBhMYOlerw1Rse3AGeFbr2ll7AweZ7Qi9lW5ft2uD_LBfNjFA2vIzADRAF_Q4SDA8hk7lW-fOu4dLn3U5BRgvTYtvuVUu2ALZJFx=w1200|https://lh3.googleusercontent.com/pw/AP1GczPA843Vwt8aZAvZX7I9mEyk-rg5GzSt1MpYZz5VOPEWI8DSxQw0SwMWCkLWWa-STTMqEK2ayJ93JcsC6EuCPh8KV0HjSwOyRu9kWN02zk-5-hd0m7t_=w1200|https://lh3.googleusercontent.com/pw/AP1GczPQcxcm9-Cv-whrVh9dPcXG8KhZj7aAZedFRRUj8sCOttLhJj5YDCbF7nfCa64tmN_vr6PCZHyLkiPDv4_p9u-WSagI9LG7n6bkxDcfHF3PH4MJ5Qfx=w1200|https://lh3.googleusercontent.com/pw/AP1GczMX-wZJNPL7IImasnxdWJnFWwEMsEwBWSBbxw82Npf6VuH5C4FxiSomCZQkkN-nGJGy7XgogQ8Prwcpy2vEikJhKsJ5SMMoCqYH7jz1ehAJeMT6yNZX=w1200</t>
  </si>
  <si>
    <t>1542</t>
  </si>
  <si>
    <t>Casa con dos apartamentos en barrio Buena Vista</t>
  </si>
  <si>
    <t>Buena Vista</t>
  </si>
  <si>
    <t>https://photos.google.com/u/1/share/AF1QipPeRRIvYTdPiqHYgwiWZtodt7pJTz8-bUWRd1wS9ckV1VYX7O4M5I_idI96SnlJxQ?hl=es&amp;key=UTF2ZlI4elJhWndUYzd5RzRLVFRMd01KeHlJSnBn</t>
  </si>
  <si>
    <t>Consta de dos apartamentos independientes
• Apartamento N. 1: Sala - comedor, 4 habitaciones 2 con closeth metálico, 2 baños con división en acrílico auxiliares, Cocina Integral, patio de ropas amplio, zona de lavandería, cielo Razo en driwall.
• Apartamento N. 2: 3 Habitaciones 2 con closeth metálico, 1 Baño con división en acrílico, cocina integral, zona de lavandería, cielo raso en drywall.</t>
  </si>
  <si>
    <t>CALLE 7 21 41</t>
  </si>
  <si>
    <t>19 - PRUEBA v, 15 - JOSE LOZANO</t>
  </si>
  <si>
    <t>https://lh3.googleusercontent.com/pw/AP1GczPhRRFpwkCLwqhaeHsL5JRiPx63Wlwm85Qrm7AK1nh-Q1AT5DH3EDT0GlDic-hWviHPcWzZLeuFi0oz7arY6N3p7Pp09bbKP3hxgAyb8khI5vsvJ3RA=w1200|https://lh3.googleusercontent.com/pw/AP1GczNPCoJsThW6NDP_1LsXkGntiTYj4DhHVss4FihKdFvZIHHsZtbUxrlvtAsP7gHr8f1ZJDZJTgHHg97VQGBJM11XXoCD86yR2dCAM7mYhIew3APnl6cE=w1200|https://lh3.googleusercontent.com/pw/AP1GczNc5yjd5JKQOzesONI4olAApT4CUxvnDvf5AtelIr_sS2BwvOlu2V1dvGBpSR_YCC9cNuHb00cVx8LUDqdOnuS9KdL6jAEnfuOcvaq_zdq8yoK32Mkb=w1200|https://lh3.googleusercontent.com/pw/AP1GczMSCYDD7MbSFwGpRowvn0_fFNR2FBpzkQTX5G3hRvA4oQ7NP3ScSvVBGk7qmEKt6-7qPbk607sI3dKiUHH7s7y6Pir9oaYdBUA1URIIcTDPWIVRtq2R=w1200|https://lh3.googleusercontent.com/pw/AP1GczOMPD7dELLT5Uf_NoQpL7NYBdfcJF3uLH8YEtOGNrN3f1ulQJ9-2aSIi4064Y--2LfOkcYOiSiJYLSOEeK2QGTEPHzcC30eT2bPSWkAqKswZgwVvzKb=w1200|https://lh3.googleusercontent.com/pw/AP1GczO-AwLvWzzik2zmr1Mt1tDK9hzYeSsWR8DYH3tA8V-Y0YScWzscmwvPhqtppy-Ntn1_7L6uqshqvbBp28XcQncQ8FkiH4O6pbgwxCP33c0pVHIoGyGe=w1200|https://lh3.googleusercontent.com/pw/AP1GczMttpD9UAEEj6UGxXASok1D0NGDvBQbCSJaytaMGfevU_A2TbnJUx5dnG30GKmfdx0Wd2U-DKHXuq0DxKKPSIuaPy5yHzShPhj5r8-hs5Q6pnTNvWzM=w1200|https://lh3.googleusercontent.com/pw/AP1GczMeCzFOohwFJgERSHK9jwYIJ_fWg9ruHftN2e4PyWRf06BSOBsjy33u9o1bXi7ONE8i-H1Wb-vRWF3aA1gSc1v8urcXkF0zHHfBgAFc5-iSpS-6MUzV=w1200|https://lh3.googleusercontent.com/pw/AP1GczPgDO9FyCyD-Gh1WPDdQc7D5y6aTTrU9JErLhD5q7ri-36aY3XeG3wRP4AI1qAkzuhH-VCEnO7XRm6HI18OsTCWKd8aJwyz0MOmLx3rffjtNcfKCo9B=w1200|https://lh3.googleusercontent.com/pw/AP1GczM88LC9KubkwzI6_sl-Q0TvdO6B-YCUltRic_bleUpz2jnZHn9Mws72ttRK9BYCxyuWmbHoTlO70ARjc8xPA7nJ94LM8bejQMcgqTjOavr_Nf-Iv1Qp=w1200|https://lh3.googleusercontent.com/pw/AP1GczOtDTPenz0oH3pGarQpelFG0ysVGH4Zx66olMEaaWzlpcMeWmc1IhjE8GDiSZx00Oc5PqhUYAX7EFIiEMYCLOrOFxYwXedDlUwCwUEZWeR7G4z9Nt1l=w1200|https://lh3.googleusercontent.com/pw/AP1GczMEA0yRwRdXm45KeUUvri_IPihA-rA8JIfmIqJoJ_khajm64YYaTTWHhfHef5keC-3RJuwTtz6Z-CEB-44KsMOLLLQROKB8Oc188DlihhHkw9I9x3uR=w1200|https://lh3.googleusercontent.com/pw/AP1GczPykzYT-k2G-ElW0hx6MNaLszCVRaXJbCZk1lHCzGdZ9zStsl6vgto7Vdf7mg4_zJbSvvLnxsvg3UOXNy478QW39K2at2PeIXbwR5eSoIrvddN68OQR=w1200|https://lh3.googleusercontent.com/pw/AP1GczOAGHqgKwS6pwrG_-dUaW_TOxYWr_jd8tXj9vY851tF1o4NsakPVZWzk70Ug7ClN7iIdM0XZZhvp5n95gJbyBah4bvFIBxSGEVkVTNo0gQ4OKq0mGgZ=w1200|https://lh3.googleusercontent.com/pw/AP1GczMhjTmtOrUORfJedGyTvi-PTvwxZBWdl6u0zlMZYWLa6yEBx--gUWXrK-pr_jY0CsnOdW5LvrrGlozqkds5wBwCVNqlsjEHlf6Xja_cGlhEWryZvSC7=w1200</t>
  </si>
  <si>
    <t>1344</t>
  </si>
  <si>
    <t>Casa en barrio Altico</t>
  </si>
  <si>
    <t>https://photos.app.goo.gl/wowRpimK8dXqFTKB9</t>
  </si>
  <si>
    <t>Consta de Primer Piso: Sala, comedor, cocina semi-integral, depósito,  parqueadero cubierto, terraza, baño social. Segundo Piso: 3 habitaciones la principal con baño privado, balcón, closets en madera, baño auxiliar.</t>
  </si>
  <si>
    <t>Cuenta con un aire acondicionado</t>
  </si>
  <si>
    <t>Cra 13 #3-26</t>
  </si>
  <si>
    <t>12 - LEIDY YULIETH, VITOR EDUARDO ANDRADE, 42 - VITOR EDUARDO ANDRADE, YANITH PARAMO QUINTERO, 42 - VICTOR EDUARDO ANDRADE, 46 - YANITH PARAMO QUINTERO</t>
  </si>
  <si>
    <t>https://lh3.googleusercontent.com/pw/AP1GczNjYIlUdsS6VE-Jp5h2xrwbly1kDkYPjEZwWAT5_1rA_2R9si843ZCsFueCVlXgqrxjGJfo0ghNhFW7Mv5vTchZ9iXUS2m1aVVXfDgmtFNDc5Qn5HnH=w1200|https://lh3.googleusercontent.com/pw/AP1GczPYOTkyl9E4nfFLu7nfvfml4iZinnER5FbLWGY6UEdz98Z8dRkmKo094Ulo9u_3hrpH9lgm60_1FyurVzsc1yCL08zonvead-Oxd4RuPaE48JrT8II9=w1200|https://lh3.googleusercontent.com/pw/AP1GczPAnlkofsrrq5sSrkXkXjLdsjGs9vj4U0qhwUIUYnZ_s4aU37iGraYGfgcmgiKFwi4bnEjrumgnGimspUqAgI6U0Ax626dv7aClmtwYKnOJqq2lND5-=w1200|https://lh3.googleusercontent.com/pw/AP1GczP9O50-adhF4JLcvKxXz6UP651_4_nDqyfwc4B3S92gM_izUgOPWaw5foof03FKKwZwvkJfEc6yu0mhSiGHyejYhvESpi1hfZAZFlvJ78ang7ryrH_M=w1200|https://lh3.googleusercontent.com/pw/AP1GczMNGCGfQfdISj2hEqQpaoWoMIql7ARYN25dlOLuRTurAX3gAw9-AQ9Mw3nyku7wvwsZ-uqcQsvnk20SG23RxMdHfmeFS4NojhQ89hqX4fcrvYpAPCe4=w1200|https://lh3.googleusercontent.com/pw/AP1GczN6k0dn_TtjtfukYtMxQapDnrUyAG8Z1bAK_mLpkUxFAHnLawscbuVRprf7M9mhoshfivnPco4GRnFHdA02s7HVYShCLjbYx-3Ac8-HQTMmtFxRNCB_=w1200|https://lh3.googleusercontent.com/pw/AP1GczMAUfv_A4hqYMw0nmht5pWevlfhf3UI9Z0_9Q9hKUhYdSceRSoP6AO7jLmVnh_6jbZNyZA0KiXUOCNMvZx4pJfWrYQEbk3Qek59m_1p2MSgq00_3MfR=w1200|https://lh3.googleusercontent.com/pw/AP1GczOF0-3ZSxh6CiSp_cu2kPXlS_cy--KEznOyDgtxFLYI8-rvZLmC-zgJcrav1zVr7JWMteE0bW2YRulGGGiLudBXF7CU8MwlYLSmKFYLIeqzMY9qOkxd=w1200|https://lh3.googleusercontent.com/pw/AP1GczP58mIRtkCrU3Pezy6vx-xIrKpTw0OmncLNwUjopHgr2TijCif6l8tq-97DNNlGFIK-rKQs8umYl6khwm3bSppT6hjCTGn_Z8yBg9Ah6mn5UgaaToRd=w1200|https://lh3.googleusercontent.com/pw/AP1GczPnAsqZ255xl4WtGPWjycY7TCvAvOaWJ3ZoJDEU8x1StcRvXbRgo3VPsnqn_XRxDu-AmLai2nAyF5j6k-bCJKJqd4eWi2EmElNErbcyocAPCkBHrhov=w1200|https://lh3.googleusercontent.com/pw/AP1GczO5rnO2sT1_inU6pPLDEKHhj1fI854tPXMsw1cyPkzEV-SFLV55MbutlTQ3rCe4rh2K0B88hE5zVWwxhmu88LHXazCOtgltJWNOyHzxxUaNSVXinwcz=w1200|https://lh3.googleusercontent.com/pw/AP1GczNXFUn4i55osm0ixLD-E4jHxGcP3oHiZ9BS5Vg20rxGZQkCefUXgK1gGMe5xtDERFQ0pgdMMKJX8XfjUZkaWP1JVTEAexCxK7nD29um0woSBGJZLnYG=w1200|https://lh3.googleusercontent.com/pw/AP1GczM8-V-BBOJuJZ_LURQhW01ruy1OckHDz-25nTiHBNvBueuLrZQRqhXTmjWhRh9LTlHd_k82PUYt1cJwmUqGpsSphlbamBf77sEAMgX0J97X6xHg58dY=w1200|https://lh3.googleusercontent.com/pw/AP1GczO7-k9Nmz7rNDedw2TKkOY9_KzCGph8bar8QDSOHwrD6LmiviuSeuJz4iIox69LfVAROeaKlQW9Omm_amS1M4nWLaRXSO34areaZDl2wpnYs-xsEGLN=w1200|https://lh3.googleusercontent.com/pw/AP1GczP95l1Ab1SYrVpPxm-_lKBZ_Bw6qYuPpE1R8uMUu4ysB3B0Lg-tRDf_gZgZfLUYZcfmXC5ajKEYTSDlUUhuyeA1ElX3VvPbPYULuvOYJovqnDv-ARDv=w1200|https://lh3.googleusercontent.com/pw/AP1GczPDcytDyIDZ23vHenEBvGUQlFSY-4F3WENmBR2sZBZ0TOoQiMGGSwm2Rd8USSKpTftAVGo1A8FfeDhEZLFfZTfpi5pTLXoelq64BDkOyfoSMRl42MQm=w1200|https://lh3.googleusercontent.com/pw/AP1GczPxxh2NUNbSV7vSx7DGrk6lbxm8UrEOqLgaSCVdVTSkJqPGYTv4avzxmAyFxLaunfGErIHIJVTVa55p6zSlhzVbQYAi_acpyCPygwR22GK2DvIxnUyg=w1200</t>
  </si>
  <si>
    <t>1316</t>
  </si>
  <si>
    <t>Apartamento en Conjunto Bosques de Tamarindo - Av. 26</t>
  </si>
  <si>
    <t>Granjas</t>
  </si>
  <si>
    <t>Bosques de Tamarindo</t>
  </si>
  <si>
    <t>https://photos.app.goo.gl/AeurqTdLb1BQABaNA</t>
  </si>
  <si>
    <t>Se vende apto Conjunto Residencial Bosques de Tamarindo con un área de 146 m2, consta de Primer Nivel: Sala-Comedor, 3 habitaciones 2 con closet de madera, 2 A.A, 2 baños, cocina integral, estudio, zona de lavandería y balcón. Segundo nivel: 2 habitaciones, 1 closet de madera, baño y pasillo; Parqueadero, estrato 3, con vista interna al conjunto.</t>
  </si>
  <si>
    <t>CALLE 47 # 7-70 APTO 513 BLOQUE D.</t>
  </si>
  <si>
    <t>https://lh3.googleusercontent.com/pw/AP1GczO2JeialwCVOe11oF4zYmgvAz0NoZPXteJ0-Kz7k7Mop7l507m_phFdoUDynJc5uUPh-i1FAZzPIK3NMRjb9-hShRm1g2PqEmhEPNJtF_y4Y0Yx-rmg=w1200|https://lh3.googleusercontent.com/pw/AP1GczOFJl9Rta9gOTWBMcu_Meby-4lEwUOu4qchnJQVJf2Olct-iJL1q_Kw9Jb45l8ViDoSqoKTZOxkflN7MWMk5gUAGSJr3RDqiLxjwqODnj8iF2f-a4rp=w1200|https://lh3.googleusercontent.com/pw/AP1GczMrIVjxweJUZClRHG_BpFD4nfKLfgr4KIzU18aFQMlkra9KbnfnpMu-9NFDZNrheadaTRuIMJwooLJ34fCxfJ6PpoJP_lpaj64zTJMHTlaJllIK61KB=w1200|https://lh3.googleusercontent.com/pw/AP1GczNm-Zy9NgIvgfBeWVtXdNla6Wa8L9Fxkay_JvskpbHQa26Ia6Sihc6JK2fW1p6dUwmMQEZt9ApPjQQbZYIjmc8_vinQkiR-nkVXHuwFr0yUEH9r_N7o=w1200|https://lh3.googleusercontent.com/pw/AP1GczMDwNL9X-alQ6-Eh4IJerBYG8TpPCcXgZMqioFekD2YmdnLt4U8XiGdS5H2roe169GSQJwG33OicKStRlKfuWhD5Ip7VmFvWsPsy_Xixv-YoNgXTuOA=w1200|https://lh3.googleusercontent.com/pw/AP1GczMXX_SS_2BGGfchiUIl-D6v2rE_dHC44jTydUPczeCT4WIpfoBNzvGeFDfacvA350xSS1oy-7JqIibEig0NSwBx7cWZg60rhmLT01ObZKAa8TKfTeOC=w1200|https://lh3.googleusercontent.com/pw/AP1GczPZpHZsLp_WB00j3NIAKhcJIDhwtv-7Rs2Po4KpUbrCt3ZuWpFzhq5vFX6RTg55-b1s1dIH123Wg9ZfgzvVGIo1JV1LhMpeA50gSu4xeXAsKKwqdUJc=w1200|https://lh3.googleusercontent.com/pw/AP1GczNKaHo11h4Qh3qNKYhFK2TnSllnnEgswWsi-NofSM5f10_LrIMCoe1whi_uG0MCbKEIQqqUBgKKD5rsBtZHUbnBlAB6TNnEw9xJuLqCi3iZB3EfIwQs=w1200|https://lh3.googleusercontent.com/pw/AP1GczPkjJ1bkRnC5XpKeLXuL4lZSPGv973PQqFG0Lz5LSJq0u0pSU-Y_BfBSlAqlWy_A9RrTKVZbiqreVe80BOncJtrvCzqrt4dJj_SZuG1wKit-QtA5KO_=w1200|https://lh3.googleusercontent.com/pw/AP1GczMthPKIYqHXyb0s0F8dlcuE1ssjhHTvhYlpyVgGIHQt6s0vuDwB5lnOnBJ6gzmM4Ah5AV8F9odYXRgBAJ9eQiRx31-u8Oo201ZIRLUXwn0LbOZMNXKp=w1200|https://lh3.googleusercontent.com/pw/AP1GczOux48uwD2cAR6y1VHV8QvtxTll03SPGcGngpzXAkWsdCIYzCiiByApWMG1W3vtO0Ge0JuPSRwISHP2IiqDkVXyJUw4bCQFjBrXoAhoD6hCdBloickM=w1200|https://lh3.googleusercontent.com/pw/AP1GczPLM5FI167Isuss3daW1Hs2o8rysZXDCp4OEWOq8ySUlvdXD4by7RvlmmfOMYmfujGw-OrAHvcD8SjvdLg5THx6h0eqBR23aQi53uhmdaUJuiHfKocP=w1200|https://lh3.googleusercontent.com/pw/AP1GczMNEtPGwTTybb0_7z3VshWZsKCQ8a1LEl6hKxIBrjuZBoc3cdHc9rARmPr0WsN5z9z52N3J6g3ohfstwzNxFGDWC8dwIqHQMTUcOQc4fVCoVT1ipr2C=w1200|https://lh3.googleusercontent.com/pw/AP1GczPJUL5awqb8WGnW2Qdf83wKGsVBciQ7BqWkqEk48IoUIZfqtWzvctnVvumqdgZ3DTJ6EKZWifzqfC4NuXjeEE8k1_5bcPdnL_0LsPbLgwRdas61fHT3=w1200|https://lh3.googleusercontent.com/pw/AP1GczPTmQSm1zmVwj-UmyZUp4VF3XW5SQeg6LuNCKltDsNaWdPKATucw7xpSmCDiGQ8zr9ywhSLg0j2B8topRjtEAc5TYzkAFML3ByF3ozS1-XLZstc0mI_=w1200|https://lh3.googleusercontent.com/pw/AP1GczNEJ5ICJQPCpobOszkpJ2y7VSqqF2Gf-WMKX-yfT3KWexfnWa0wCj_MhmWNAezzIPZ6yYKoXCfC2vFKIPY-8zIpCCCYWjBTOKvhF7w0vG5ITj7G4n8X=w1200|https://lh3.googleusercontent.com/pw/AP1GczMLRRTWQOjyWzok7XDbGVi4e_IWD1PVwAV-3TNif4bqr2YWgjyuRuM_k_odk6Pd3syRnuWhp_b5MabZNU91Hr3HaVnZzUQfeRMPUuNsuYsxmQDWuptn=w1200|https://lh3.googleusercontent.com/pw/AP1GczPu38f-gcDz4dXlUxbwDbdz13rg2wZwVHmNUPpOGIZb0A6Bhdi9iI0-95CtvwIYAukyfEG1OkyjCtyuSqLCAZGCyiOSbr5fifEJCKhuhHkuFCQQnDp7=w1200|https://lh3.googleusercontent.com/pw/AP1GczPlUtKnzxypsBUbiljNApIVrkJmMthhEi7tcltlJjzlOiCtz961SiryOpeRYk3R29uNArkGPvyMCB-aZ8EINeQ0Fdjomhsr0rzkjilh08HVIHuRXxQy=w1200|https://lh3.googleusercontent.com/pw/AP1GczP_u6g8D2IByKizQW5Yx-7WgfcqvpYnZhemdzESySnZM747gRsD_hUn-OhhoK0W_3OsmYmNn2kS4kcxvSDRDGSi2MrAIvI7LYr1yTUWyeatVL9WkO9U=w1200</t>
  </si>
  <si>
    <t>1206</t>
  </si>
  <si>
    <t>Casa en barrio Riviera Norte</t>
  </si>
  <si>
    <t>Riviera Norte</t>
  </si>
  <si>
    <t>9</t>
  </si>
  <si>
    <t>https://photos.app.goo.gl/N6A5PzNrqHxyQfPs8</t>
  </si>
  <si>
    <t>Casa de 2 piso Barrio Riviera Norte estrato 2, con un área de 112.0 M2 consta de primer piso: garaje interno, sala comedor, cocina normal, patio, baño social, ducha independiente, 3 habitaciones, pisos en cerámica. Segundo Piso: sala de T.V, 3 habitaciones, 1 baño, piso en obra gris, techo en eternit.</t>
  </si>
  <si>
    <t>CALLE 69 No. 1 A - 64</t>
  </si>
  <si>
    <t>8 - ERNESTO POLANCO, 12 - LEIDY YULIETH, 9 - ALBEIRO TOVAR</t>
  </si>
  <si>
    <t>https://lh3.googleusercontent.com/pw/AP1GczN7Ji0t-0czDu-muLoqxdzFGh9PocJKeLxJKpLa00zovQa5JJcWH35bQuD0hKWi3W1OMP_ke36pdFcXWlktnIFl77rZzkSbNPF8SGFCPtHBM8krTJ2P=w1200|https://lh3.googleusercontent.com/pw/AP1GczNDUoAS1ltPqZTkCwEt7b--4l0DSFhettL7pUCIsYovE8mPnt4dmUUYjdNv51SVs2KpWctpPsG3FKNNKI_Ppjn7vbzHl76fToEOpWRqWnnJglokuhcy=w1200|https://lh3.googleusercontent.com/pw/AP1GczONOnsHAPvmoZxIYv7gsrtl4yItmlN3E9nodbfP_Szp5Z2Zpsl7S6pJnfr5jbqv-kLK5Kcbv22PvpC3_eSikxhPFGfMZcABCIc-cijwVv-xMi0XlJ_4=w1200|https://lh3.googleusercontent.com/pw/AP1GczPCAFYGf7Mgy-HeQmA4KwAcOzRPpV9OUX71hnY9SrZPIFhm5mx6thpv7pxgK8pbi_xkfHzpcv-7o3RUz-tsl4Lh2vIif2bRXOf2NQ2JX9Szm7NjHuEg=w1200|https://lh3.googleusercontent.com/pw/AP1GczP7aZ3Xy6xKr4CTXIUNSzECKqtK2-gwkcLlYBJuPL1U867lBsd8uGAVydkFb6qSi_dGoRWraymwNdvhq492boJHQ4cqLV4zkQbZHI6R7MTaN-bUETRq=w1200|https://lh3.googleusercontent.com/pw/AP1GczM3sH51lOjI8zuJ1HwSm62WpLpfOwF59zEDAgc9Y8_89WOHU9GT0cShgpJgsfhpPbZZFd7Njw-BDThJFDW3V6PTwC8b3J14hctUN3-000tOoV2abxnR=w1200|https://lh3.googleusercontent.com/pw/AP1GczPSumjfD4S89UW8UrRManyB969PpDWeq0pMJ5EY3D29jSsxfdqDBscprrSuAReLtN34J28h88_q8dxLZ0-wVX-SWyfHYE8aW_CxJpX6y0F91KmLj7SO=w1200|https://lh3.googleusercontent.com/pw/AP1GczP1XfoNfXcRnm2zz9UtX4UXKRxTWxC8xbZXGE2xuvXmxtVYDuEB9ENrgUwEBrO62geGBWiVN9zhTfK8gJ05obyt9Ay3hNlIq4Zb3pGYzcGCHPyvgkUQ=w1200|https://lh3.googleusercontent.com/pw/AP1GczOfusr3BMAyly4UppKvZJkcSAjKHnZKk2umNQm6ZPXuj0gxj7aRGtJNndKMg6F8ALmejr3m8mnUFrhRYborfxEZ-e2EmQykYUMGWY-orlqjMwu0yeCj=w1200|https://lh3.googleusercontent.com/pw/AP1GczO0iO9Yq8PRKHP3og3MarquMlYHSBHyCnTH950_WpyhsWPMQP4hs2e1KtLZ_2Mq7I7j-SN_rA65wPJNyOw6MN6ojH_LqZ3tKLnOzeZsjt0O6zrfu2H1=w1200|https://lh3.googleusercontent.com/pw/AP1GczPv9vBis-UsVLr2N2L3cS2h1ydZeCosaxVhdj5eePlexbq0hpFof6UFAFpkr11En9INE4FNkB_ongC9f0VM9jvyC-sHH469NW3N8jFcTzekyieDzTbY=w1200|https://lh3.googleusercontent.com/pw/AP1GczOWhuOwxM8ji2GlQqZ1skK5clckggMjjngsG1OB6VEoiXfDPDy4Bkvg1Na7TB-t02AeQDiT8cufTSkhtLj_0phsgEZ7Vz_z12VJiK4QbltfNo8d1utd=w1200|https://lh3.googleusercontent.com/pw/AP1GczNskIh5BX8TKYmTYq3hd_cCnKRNhiPtdQRACXff0vrADHStVWf5bb8Vi6XozzOhQ5u_GKdH3J2OpdSIt4LQqBXoHrLqGXOlF6xi__n_-DepWlPi1Y7m=w1200|https://lh3.googleusercontent.com/pw/AP1GczPTWm6GIebs33t5gS0hT02A0V-G3R2HqDH2EHLf0G9H1bqeRve8iWrD3nBGRofuAitC1X9YWtzcL3ELYOc7Wvmh8rDNSLup9RgfwQjqDUHm_z7_p_cy=w1200|https://lh3.googleusercontent.com/pw/AP1GczOnkdGpII-ghBjr6IYpr4P24l93ydP6wA39NPhOs_YlRNhlDBL66RrI8FCzfvk53mUJ_3FlS_DB1t2HSJC2K2xFrZCLwQotLxMZGiSfH6ZzEqMKb5Qq=w1200|https://lh3.googleusercontent.com/pw/AP1GczMHfrLxyPnvOdHr7kc91jLsmLXTw40BPa0WAeo2mynMWfnjy9SLUV-ezqGNDCT6G9FMBhd6eFe_kpwgI5031272BZI0MBOogyFC8O5Mm5TiJdU9WuVc=w1200</t>
  </si>
  <si>
    <t>1140</t>
  </si>
  <si>
    <t>Casa en barrio Los Martires - Centro</t>
  </si>
  <si>
    <t>Los Martires</t>
  </si>
  <si>
    <t>https://photos.app.goo.gl/7c2Wc2AHV81pF9MQ6</t>
  </si>
  <si>
    <t>Casa con mobiliario incluido para uso de oficinas, la casa tiene una área de 93.0 Mts 2, estrato 2; Recepción, Sofa, 7 escritorios completos, papeleras metálicas, fotocopiadora, 7 archivadores de pared, archivo rodante, 5 aires acondicionados.</t>
  </si>
  <si>
    <t>Casa bien ubicada.</t>
  </si>
  <si>
    <t>CALLE 12 No. 16-40</t>
  </si>
  <si>
    <t>https://lh3.googleusercontent.com/pw/AP1GczOrZ99XvzVDN5PxSoSEI0Fwa3tQ8LtWi2KpLG_P4tP9DOA4WoYkihTREXMe2_gdm2Ax2Ymqf5aIr9f7ISwsU9EuhHQgMCCm1ChBO27MkXp1ckE4XLAW=w1200|https://lh3.googleusercontent.com/pw/AP1GczNOJ3Xe7ovUNHUgiPzeMumpVKRvM4tgFcrhNmukzoJIOm_3AljAh8gti6BGwYdcFAi6fNoW80M8RJVlPwvH3zc0YV34Zt11OAldJlj0CZwxZdCA743S=w1200|https://lh3.googleusercontent.com/pw/AP1GczP3y75CJCNiNKCNlBb1gv7t2xxM3p8LbTwaBV1FwZq8deM-2kSe4ZGZ7JpXfZoBPNby18OfhfsG6l43eJorAabI2T7jhxKrx6SBeJU_N8oFpO3YoNnU=w1200|https://lh3.googleusercontent.com/pw/AP1GczP-txedtar71X2ssjHqLSIOATDQFT_5gFfrgO00hG2EcnMWyKyiBKKEi-C41QSLulgeF-E912oI5BQ7piIdRZT7V-D4_cK7VD7fZg90SPIZ18aJFs9z=w1200|https://lh3.googleusercontent.com/pw/AP1GczO0cdnSIH7q2onEDEJdvF23qgvZbp-UyK1b0G1Hij4Bm2ik7869COzTWlJSvve_4iwrxsYGWsPkbvkLwiSnBL4jm_jO5G2UK7ocuhBk4sXrR8fOM6ru=w1200|https://lh3.googleusercontent.com/pw/AP1GczNximJ0f1ZHucZoOKusD08nipabBEdMZ3jG5sDqOcQ_B9MMVHNBsFTyMdP--ih1nrMW68sr0lG9ioevxZRXgQcOXhsgeuhdIyave8bDtfm0n3InW42Y=w1200|https://lh3.googleusercontent.com/pw/AP1GczNddE-I-UG5-x15t_FcWKxv0zU2tle_pLlur0S9IDiST_YKiuPyV0CSZKzP4c0HVHla61NG_OCUFvplo5k7o2ytm2yRKnvoVb7GC8qvcmtbpA_SU9x_=w1200|https://lh3.googleusercontent.com/pw/AP1GczOV8UzB3HYcywDUcOfBmJePSSq_EgZps6uPPu_2c44fV_34avg4hQ9RgyzeAr_6k7xxPNoPpK_zrD2Q7u0r1zU_odNONij6XzKMxwki6kovlwo0w8FC=w1200|https://lh3.googleusercontent.com/pw/AP1GczPgoUCLSsCXzMOW3XBB64-mQrY_bkpWJHOkJBTevByKxrexOmX9RC-fMB9Y_fcOYkSFty5S9mm6RRyhssRmtdISVH5tG1ZfFsM3yGd5ivwTG8Tu53V8=w1200</t>
  </si>
  <si>
    <t>1071</t>
  </si>
  <si>
    <t>Casa con dos apartamentos y un salón en barrio Santa Ines</t>
  </si>
  <si>
    <t>Santa Inés</t>
  </si>
  <si>
    <t>https://photos.app.goo.gl/8Wg2TEUt3qeja4bS6</t>
  </si>
  <si>
    <t>CALLE 32 NO. 1DW - 25</t>
  </si>
  <si>
    <t>28 - ALEJO CABRERA, 12 - LEIDY YULIETH</t>
  </si>
  <si>
    <t>❌ Error: HTTP 404 para: https://photos.google.com/share/AF1QipNC3mA_cu17creir8KYzJp3NhUPqkiXA6T0TAB3b1M1ReWLfx8tlU9EaPWviLtJ_A?key=cUpfTy1vaHFTeXloM0xhRkUyLUZlaWlZSTJsaGdR</t>
  </si>
  <si>
    <t>998</t>
  </si>
  <si>
    <t>CALLE 56 NO. 17C-12</t>
  </si>
  <si>
    <t>1470</t>
  </si>
  <si>
    <t>Casa + Aparta estudio en barrio El Jardín - Oriente</t>
  </si>
  <si>
    <t>https://photos.app.goo.gl/4cUYKAMhLmq3tfGh8</t>
  </si>
  <si>
    <t>Casa rentable en el Barrio el jardín, con un área de 200m2, consta de: Sala amplia, Comedor, baño auxiliar, cocina semi integral, 3 habitaciones, la principal con closet en madera, patio de ropa, zona de lavandería, garaje. La casa cuenta con un aparta estudio independiente de entrada y servicios, el cual cuenta con sala, comedor, baño, cocina integral, habitación con closet en madera y zona de lavandería.</t>
  </si>
  <si>
    <t>CARRERA 32 No. 15-35</t>
  </si>
  <si>
    <t>https://lh3.googleusercontent.com/pw/AP1GczP4SIL3dGO8HXqV7KGQ4nDqMIzpHmFDoVRuEYCX3gtp_fdU65SWAIRB_c1L2YuXEzaJA-znIkty_K-vgGQJbNngWVJL6feSZmT1uxPhHUTzY8ToGADn=w1200|https://lh3.googleusercontent.com/pw/AP1GczOBKlk5seDxKr7COjJtv_AdcQ7_dhQN9AcJuGvyOH9DAWi5aPLHwZ7HnKbHCd6IGc4tNpShjpHgmBq7ZHM0OOWaTdofc7w4yAZB4CRlLtl2KcUZusCg=w1200|https://lh3.googleusercontent.com/pw/AP1GczNJiZdq7TJs8Pe6AtIjGfl_UC04uheEkdWaQRGBQLUNE3RQ3Wrbd-58svZ3mrIvY3vQh2P97Wn_AOFLcIoJvDP2xKalomdQ2lNV1Pu4XA_yI-_1DHx9=w1200|https://lh3.googleusercontent.com/pw/AP1GczPIZzcafG9wgPnS9bm2IIXaJpnNYFrFNkOvCVgu4ZFZ-tyb9-UG2xsJP0Da_1Obtw1luNGPIIz7iyDHoas1twXtLAM3xPbPwnDAk8LlmmkvkNAjb8xv=w1200|https://lh3.googleusercontent.com/pw/AP1GczOXlf3JRDVaSKBAtYL1O9wusXMGdsi5hLakrdYrbQdTT89thDFlEoJkdZuAityTWuZqCircjxEBpR5KBR-1990VFoncr8wUXZtoVvzkptKfx0Y8-qdH=w1200|https://lh3.googleusercontent.com/pw/AP1GczO-rmWlR43An-uKOcPqvJeqNAddtrQPlt90IhJVB4jb0bFzIpggrLm5V5Yb9lVVSu_cf7xV4wd4JnD5n8GqAMLflYpibTibToGBRKeTo4j4dUbmWgXA=w1200|https://lh3.googleusercontent.com/pw/AP1GczOJOCO73vVlKX1zWd0Ixfw-SK_N0EBgW7wSLjK1_Q3GNorj6rQINrY5xGQ8O0P3TG3dqh8JMN3dmmCP64Z3SmO6pE3byHv4HOQIOj59CGWRV3HzK3fD=w1200|https://lh3.googleusercontent.com/pw/AP1GczOO1wkJft9oDDEmpSU6ndB7pKv9vhERrz-IiafLJ3DXkRi3zN6-Sim5IShJ1oz7y75lsvi19X2REJGampG0T2TH7J3vfkGgpAQMEFDDs4OU6CLTwXh2=w1200|https://lh3.googleusercontent.com/pw/AP1GczMbKp1l17WbkkL4-zXTA_1XVYdnQVdwGwnsdRTTSuvguWov5iEQNe7XCVp5c3ujci9FNORxdFP5cEWCE7AlSInGYiDjlAXomWgF9QvW9CRgml4Hcc2D=w1200|https://lh3.googleusercontent.com/pw/AP1GczPCWPWNYVdgc4wcLpLA_G4C08UV7S30EfWlEQLmZcoclDVluz5AIu3f43wA4yzFB1EVFEbLxQ2SCdzwBh2F0pUrDUyLYhsnoY8wezLmwEcFy-Fp2OJ9=w1200|https://lh3.googleusercontent.com/pw/AP1GczMy1Dc9etUAuXFKsZ-jYJGxfL4YhnMbZYvmBrpV6klRPdajN4lOazU01jlGc6NhfXG2dkp9c8gWtKevhmTZSJTtIy7ZfxrpsnJk2LmfD8gLgLwhkMGx=w1200|https://lh3.googleusercontent.com/pw/AP1GczPdMvqgGDHo9knS4jHVn2kxPF9Bma-lS_A7dQBzq6Or3fEyk8C-8rHxnpZznKNrc_pLkgVNQzV7XqzMN-uGO9I1z2Vrc7avj8SLqCFjfP_SJnIyuS99=w1200|https://lh3.googleusercontent.com/pw/AP1GczMTc-QIAtXsLJAWUGBV5Xt3QscEHlqBBOXhtp9QSJyD1d4iy6-DGLUIwQ-78Z7XCQs1Hcu8o1lfsCHv3p2ihrzgwAhUEepms8VHyBKYPN4EDBdzj7pV=w1200|https://lh3.googleusercontent.com/pw/AP1GczM2iWIdxL7Y0QRcm0heEJEpE14zKo25vgWXXAzY47oH17_6u5Sv7Jx2He_9BA_pYt-1i9wKz8CzDzQJL4XL6xKgNnVtq1GE_zkUbRnPT0OAxNT5qiNp=w1200|https://lh3.googleusercontent.com/pw/AP1GczPSghlaDZi3Ypw51xv7rVqM6wJcWiOJaujfRezFsEKDHfvr3Kq9vbraVRH_PKqbzuZ8wRwNN5gr-CQWpgUoVdsPEhnbZeddY09bMEQbtucVNkvwJ9CT=w1200|https://lh3.googleusercontent.com/pw/AP1GczMCueqXigPxRy8bEpAYNlkmXr3PJKJgd2PC9fx6r7tSUdaL0MFOd2UHk7HftP6OS74HqxjYzeIGALFlPyYUs3zMUvpgYg1gnnmt7wbcFOlQMeFATcBD=w1200|https://lh3.googleusercontent.com/pw/AP1GczNOepHTILEZ-RwTvzw14Px2nJdxypPHswOOBV49WxKBIGsN7LLpQYGmaklYTtJLDGmQKkU57cSjDUXs8OGQ1CUiU2JgvnqdPZ5lvbXDldykIxuodia5=w1200</t>
  </si>
  <si>
    <t>1666</t>
  </si>
  <si>
    <t>Lote en conjunto Campestre Colinas de San Juan - Ulloa</t>
  </si>
  <si>
    <t>Conjunto Campestre Colinas de San Juan</t>
  </si>
  <si>
    <t>Ulloa</t>
  </si>
  <si>
    <t>https://photos.app.goo.gl/HxuR49LomqaA5NBj8</t>
  </si>
  <si>
    <t>Conjunto con excelente ubicación, sector turistico.</t>
  </si>
  <si>
    <t>Lote amplio y bien ubicado.</t>
  </si>
  <si>
    <t>https://lh3.googleusercontent.com/pw/AP1GczNfOZN80AVYRsRygeTG8uQazHweMc5EchM3_e21vuk06ljeiFikb0EyuAs1ojpxrLeUXBJvATGiL8RWnjnl4-fOkchiDlZcAfVsss5bgWpdUws9Mi-i=w1200|https://lh3.googleusercontent.com/pw/AP1GczOxL4txcFyZSRrdVJl0SxGl-4dSnHs3WG7_5aGljoy8wVgMH3Oo-TbKH-RqOSXwbB0hCI-8hbUCSk_y0QN-ndOSOB5NckvHH-xHrG-7UDEUwj2Gahqd=w1200|https://lh3.googleusercontent.com/pw/AP1GczP9105RU4M_Ve4ro95snZCro8qVtVVBBqd_2E7AvyFk8YDhgvdEJU8B0-4xCwo5An1O-U6IP9rszNR1Xix3I2_L9OdWSpHaULr_qHS17ngvAx4lFXyB=w1200|https://lh3.googleusercontent.com/pw/AP1GczMZddFMZJjxXaPYRfFRKtxyTfwBhB5Yhn3elVc5TcOmuKG77AZhXw2nDL7-RRD-X9TO9AhBv7U2k9nSkq2BBpgoGRFPwd2kvAWtX9zHj_e4gksuG754=w1200|https://lh3.googleusercontent.com/pw/AP1GczMJAIWn9u2st15ORV7-zBsi71fKdEZGtnLgwPbuNICahu2KEtpck6eVMTDtka2OviMA1KG9yke-Y2PcS2m1f5Wkbcoa_gMfkT5HAuvM6XobOqR03zz0=w1200|https://lh3.googleusercontent.com/pw/AP1GczMFBW68DC28FhnU5l1zN1yH8oHI1qTO9HkRyBPafG3qXq4DLtG2cQBzatE55wdNK_t-PHaAwY93Ii3UnVkXabKn2TALeeuDkLVS2sT2A2xeYzKndjuA=w1200|https://lh3.googleusercontent.com/pw/AP1GczOdxq0RQn5pTcDfkMvODL8sHn6Mga40nb6XxPh6XNWmZNMSY6C7yqw0FxXqG3XoR1hwxytYXa4h0zzWs1POzawTuyKa32sYglaBNLuCOSdQEZVLWo8Y=w1200|https://lh3.googleusercontent.com/pw/AP1GczNhWOrNkpXn32Ix7IKRVUtuTDdH-TSQN_VELDmBJqIRvFlYdBMDme8Th0_iDVL6JoIy6cD0YShJglU57kV2-YlULyk07XBEOVilPAtDorLFWPOx30XB=w1200|https://lh3.googleusercontent.com/pw/AP1GczNkKXrb6e9xP17FUFoJPOZ3gVWYAApTTHCL7-ynnSjWybceDNAEexUp5I8PnsvMBVKNntcp0TAnndIPGBKZbrSfHGarMC8hyZQQF4DDdNaATdOKSSKo=w1200|https://lh3.googleusercontent.com/pw/AP1GczMwhA4OJsfoH3RXeQgs6mCMtcx7ryg_EHuvfNIB7nTvt2aJ0_kY1eZkK--HKuZ4ds9CH8KKNbjptfVzGlU0U8QIb-vdNM9BxQ8-vlKWH8NBXhvvJ09E=w1200</t>
  </si>
  <si>
    <t>1430</t>
  </si>
  <si>
    <t>Casa en barrio Manzanares V etapa - Sur</t>
  </si>
  <si>
    <t>Manzanares V Etapa</t>
  </si>
  <si>
    <t>https://photos.app.goo.gl/j6Lk14rJCLt3XwiZ7</t>
  </si>
  <si>
    <t>Casa de dos pisos en el Barrio Manzanares 5 etapa con un área construida de 107.0 m2, primer piso consta de: Sala, comedor, baño, cocina integral, patio amplio, garaje. Segundo piso: 3 habitaciones, la principal con baño privado, closet en madera y aire acondicionado, baño auxiliar.</t>
  </si>
  <si>
    <t>Casa bien ubicada, sobre vía amplia pavimentada y con buenos acabados.</t>
  </si>
  <si>
    <t>CARRER 35 No. 23 C - 09</t>
  </si>
  <si>
    <t>https://lh3.googleusercontent.com/pw/AP1GczM63i-_d7OkPKRNaEGx-tyYa1DFs7bJpGrOkb5tz4TOj34apUChWftE2hpOFHzV6CyF39sMfbFbnyZKH8yut6UpyZErMaXAlb7pamY6jPUVoGjAPEuY=w1200|https://lh3.googleusercontent.com/pw/AP1GczMzLd2oz1k2X2F3ozyWohuoibaVeFEi0p0ctHWn7Jlr-xdlXOfR80c_P16PqzONNQYzVE2NFtHKWv2L0yY3G1xHBaju045zSnR0ZJiJ6cIStx0gbQld=w1200|https://lh3.googleusercontent.com/pw/AP1GczPDWASY_5C2C3SSJhXPxiV4p-VvLBkTN5mdiO4KgZGzhVvU-6jcb_l5mI9SCq-rzkZEBEr1xEUNeW-Is9yjQ5X1RXndG55s2KmnXkBp-bzRpSzXrXBw=w1200|https://lh3.googleusercontent.com/pw/AP1GczM6ruW-kC7xrJ5-GhMDFTB6k0TUBedgcbXcrFALlTiQI_x9eeVQBMm7723R2MTwRbL8oi5w-0F7kbzxCtU1bbvhh1vexymBFmoLkab3ZGNIEjD5pYSc=w1200|https://lh3.googleusercontent.com/pw/AP1GczMTLEwAawg3l0LZIcEpzlbcChNQBkBggxRfZTtqXMHzyt2rMnzBEFShTwBeIa_jndM4NWbOdCZ3_NJ61II1SUncXjtV9BmM0tPBRlfy8Zt3cFhtXxAB=w1200|https://lh3.googleusercontent.com/pw/AP1GczOMP6RsFhf85A-rAF4HNWXlv7JsY0Ny5FdrAVUaDK6Nbu0leZZ47L1VofCF7f1vLP5xrRrpSKeaD35Y0jMi_X1EVwr33VEvImbxooaFB4dGCKH51ohv=w1200</t>
  </si>
  <si>
    <t>1119</t>
  </si>
  <si>
    <t>Casa en barrio Altos de la Ferreira</t>
  </si>
  <si>
    <t>Altos de la Ferreira</t>
  </si>
  <si>
    <t>https://photos.app.goo.gl/bAQQxb6AF8xpDcyw7</t>
  </si>
  <si>
    <t>El primer piso consta de: Sala, comedor, estar de T.V, cocina integral, zona de lavandería, terraza, habitación de servicio con baño privado, baño de visitas y garaje. Segundo piso: tres habitaciones la principal con baño, tina, balcón, dos habitaciones auxiliares, closeth en madera y baño auxiliar, cuenta con fácil acceso avenidas principales y a tres minutos del centro comercial Santa Lucia Plaza.</t>
  </si>
  <si>
    <t>Cra 49 #17A-07</t>
  </si>
  <si>
    <t>12 - LEIDY YULIETH, 27 - Valentina Renza, 28 - ALEJO CABRERA</t>
  </si>
  <si>
    <t>https://lh3.googleusercontent.com/pw/AP1GczOvnJP0yNuVftwls23b2YtT59hAJKDddB6ApKcxlvF6XXLE8OQUFE5e32PZnMqR3XMpglRctG6iG0lVkQNjCuVJLBz0q6dUUV_ZbuAjQUN10lNkQQUA=w1200|https://lh3.googleusercontent.com/pw/AP1GczMLYyl_lyQE6rr_Lok7-IGlIlLKxAQQHr02CdttydBk9nDw57fl3XsuVYNBv1X7NQcxaAsd_88LripvuzQeg-QKqDpsbA2oivEKchkkKi_KNnckLBkU=w1200|https://lh3.googleusercontent.com/pw/AP1GczNxRteSScn-_U8_hUUY0Rk3KNM5k-tZZOlaYwHcq71RlLvQkqW5LTTziEYYsrRMPnwBgG_LH7r-9muVKEKyr25ImevnKWj3qygHWfCr9_UMOWMX2_gh=w1200|https://lh3.googleusercontent.com/pw/AP1GczPBWnR7cRv2lVtzwQQVZs_TZ3FX4oxnMQN85Rqw9NCPnsuvohZThUgipTH-pjNebrllTejtlu2K2-MfjBDGYLidGITtILqj76he-dJGoBtXEY2CiCan=w1200|https://lh3.googleusercontent.com/pw/AP1GczM4ZrjvSjZkGYLdsE2d5DOXHmZB7rPLZQl-ZPpryhl960xmJgxIwjZkb7RR71wJy_NsIvoTcjSldxxHvxoaCrYaIO-t1JfwvI55o1wKoSGeebvhmVim=w1200|https://lh3.googleusercontent.com/pw/AP1GczOKfW7VEzE5FYTlcL7QN2zk3OpYIbo99b1F_RoKDLkhhhVnkSUuYHHbil-r8eL4x7AqEca4EajVUWkJrxXwLCXh8Z_hQYpTuE8mm1j-E8xhw_U4gUf6=w1200|https://lh3.googleusercontent.com/pw/AP1GczMicq_oLBZgSpn63Vpt3CSh3RZ12qHvs9XfRIA30cMLsLsn3Trzn8hy8kbMOr7qnJ7vHW1vq6eycJFP9YS3JQoO-u4KYjXyxImG_wrP-sr3aUCKtU_o=w1200|https://lh3.googleusercontent.com/pw/AP1GczP1CEXxFFRtb4B2M-PQuOvs4TMmzLP_7heS0CcdudXLqMoMgYM42wkQ0A-7oFeFBd3gKbHihs6YOp5YuVZV5vo3pUOZqXbW3Ph6PV1At5X4FE4rycMF=w1200|https://lh3.googleusercontent.com/pw/AP1GczMWc_x7xAx_QRcViGaBYnHkYFDSTlPMisJ-p9cGs1WWJhXD7ThzUpuLBBanRM50NoJwkV0VX3R18n_rMYN0SGgjVpttgDckYpouBBWI4INibuWj4Jca=w1200|https://lh3.googleusercontent.com/pw/AP1GczN3CFFvOEVVduWg4ULOh2onoSFkCmRviWHMQ_wfuXIY9RCFKHhTx8uw83P-NkbvZE2TEJIVg-Q1WDdecJAymdkXPmUeRpk_DOi6uV2SwGKdUgZjFnsz=w1200|https://lh3.googleusercontent.com/pw/AP1GczNO_4p_21ASDcBbcjABP-OCWuSHgzvfzae2DembyG8JvCMxA5IvyLOynhbupchqYlx4Ke2qBC7ggNE9ljZ71SV9geWkMHyKeu4w4Ps2q6HfAcpbRQzc=w1200|https://lh3.googleusercontent.com/pw/AP1GczPA4U7FkNj2mPyilq-L2mQrikDvoDhXU0X4R1bOiBX1gEyKLYxY7UcQLc7gxFijr6BonrjbWh5XwJwnXxarGky8GxnnQoCenjlook2os7BURCtEOvQ8=w1200|https://lh3.googleusercontent.com/pw/AP1GczPOqWHoZe2RLIZNihnJsICyPn-98rNXAwfM7_8JZDiqdYEcVx0c_AVYYOtNsInsI7S-K8cI3ScN4nBFsydcqhvj5fYOx8skfAlL2OsL_WNKEwCZrLjU=w1200|https://lh3.googleusercontent.com/pw/AP1GczM0T2-eizs97YM2wvc9U59d3X8-mXsD4gpe8HL5LHH5LIRB8zVih6CoIs8I0dM5I3e3R5V_j1XIbDaCRT-6MbczE2mG6NRS8XzIw5pE_Cix-soBDO22=w1200|https://lh3.googleusercontent.com/pw/AP1GczO7Uox0rN7vxZSke2Qel4--jCsYKCJG6jltC-OwYI45-5_pqljRbg7NhbuuPYpwrvDJ4qTq0ULI1g_u4F5V4xJ0mg9KtwzKQFGzlbX-BplpN8mgjSN3=w1200|https://lh3.googleusercontent.com/pw/AP1GczO9DrAXcFBC1O9bLgHcUtdUQ2MDCdzlhdw0d6Clu6lVEXSLb1tIqeriUEKvu-uz1vpDtKAZHKDoD3kKzjpxc67p2KIrGlPbkUI0S1zSIpnaZi1klZ7_=w1200|https://lh3.googleusercontent.com/pw/AP1GczPLXpkeZoNqztfQpC47MM7WZwpgM44o6ukUBljNSo9HJulS8y8oCM9GA0Rltj84Bvv2_2x9F_-zy8cw0L_ZdpA51JLwPL5mokOD8dv5zwju-eBF1kxB=w1200|https://lh3.googleusercontent.com/pw/AP1GczO68fx6zGrdSunVR74qK27TehdP1KkmkikFdvohKkb3bT1AL2Iplz1acw_2OlT5lCuX7YYa_OGDab2DAc9TX297VbytNsJoH8VpsztB7Jmlen8jzJgt=w1200|https://lh3.googleusercontent.com/pw/AP1GczNg2zpmZwiB8rsqiD-2b-MV728AYk4f-qjYB4AgRA9LXJ_wx7yy6yfEkAx6Ck0ysLWv68iXXz2b2AoUoSFQ3-cFv3H4FgLzpiYpTxzpcAmiWxulYX7M=w1200</t>
  </si>
  <si>
    <t>1786</t>
  </si>
  <si>
    <t>Casa en barrio Misael Pastrana - Norte</t>
  </si>
  <si>
    <t>Misael Pastrana</t>
  </si>
  <si>
    <t>https://photos.app.goo.gl/7jbhq9Tg72KahKfW7</t>
  </si>
  <si>
    <t>Características de la vivienda: 3 alcobas amplias (2 con closet en madera) Sala cómoda. Comedor Cocina integral. Patio de ropas. Zona de lavandería. Baños independientes. Depósito pequeño. Tanque de reserva de agua Casa enrejada, segura.</t>
  </si>
  <si>
    <t>Ubicación: Barrio Misael Pastrana – sobre avenida principal, con fácil acceso a transporte, comercio y servicios. Pisos en cerámica Techo en drywall.  Estrato 2.</t>
  </si>
  <si>
    <t>CARRERA 49 A No. 20B-11</t>
  </si>
  <si>
    <t>https://lh3.googleusercontent.com/pw/AP1GczMGto_-GXdyHdPAiWhMksplT9Qqm_Uz-IecjpIRJ_Al_fWv2vnDqwcyHYeQukN6EkbsmZpTDLnOS6YKyo6vYH-dVLs6Qk5WPq39AWsKX09ddnOFG81j=w1200|https://lh3.googleusercontent.com/pw/AP1GczNgXo4NDnm1cTidbgAU8iygxVoJVICnHsHAobvZCrnnyckb-s1_MWMN7dvmEdfTPPvI4szzh0dBMNxPbs6YWdA-BjmNRZ_bpXpf1Aorf8YcKkUCGQJP=w1200|https://lh3.googleusercontent.com/pw/AP1GczN7Q4v8BiJdydsLxEr4z_mQOZCboez4ArJJx4VFA_DstenKTXt33QXqwaqAR1MnAWkfOP4_u3BbbfIevkmp4i8sUqYqyPPaZfu1_qJ6jesBIJnODVlN=w1200|https://lh3.googleusercontent.com/pw/AP1GczN1Ntlb3_ifbNN2utd1fa_l2a6OsfSwi9XpO2hhql0ezg5EI4NNPYxkmQ276-XLfFqIp2UyZpLn7xu5wjN-wszE1Rm6VwFQEr2fDvS_1dQYf1H_Rs2q=w1200|https://lh3.googleusercontent.com/pw/AP1GczNAAUmHHXZBOj7_aUDrSGXZTJsk0ZyxMlymrKjyplgLL6aNDyi_FF4maMLT-o0YAVFGKI1132TufW8-jBuFXTyAsRZz5yZw0GQR4zgSss6cy6FgWRIC=w1200|https://lh3.googleusercontent.com/pw/AP1GczMadhasvp4x7MVaUJqq9clulUdo0Ak4zw4siSUAVoLQnoYEaXQDsTGDuGha0h4oAYQQstU9tChbwZ52iwvYuF3kMqfW4vSHqMB9prWLUbi_NClI8i33=w1200|https://lh3.googleusercontent.com/pw/AP1GczOiK4daoWNP0ZUoHQl7xw7r451o2ZufNAkmodaG8RawWgyBGyISZSXIxXUloq-EvwJ-e_EYCat0mXXSNC1mboQcwFOO6YFuqEax2M652Wx4yGEEwy2i=w1200|https://lh3.googleusercontent.com/pw/AP1GczOLroAogHGAkeeXQdOD4FJQWlUWBk-VB430LDOqLkTMZGd3L0TmUp9eh-ysjR3VR2sST7xcQleN8pM8nOio3fpUz0PNGvO2koKtThSpW79zhrevxQHD=w1200|https://lh3.googleusercontent.com/pw/AP1GczN--96OCRH62K7rMU-MtqMALs0xVlitBvMFotZ-PGMnSZe1F8OnPPSI3uEMvIQFhx2ZXJwIVl9NsDnDZmRXf-ziKaaALiNnmRi_LphgOuaqvvcIFG5y=w1200|https://lh3.googleusercontent.com/pw/AP1GczMuHCAET6IKH5GAv-m9UnL401OzAz2meE1F_3FyxiEJj2enUhuIbMq2vGF64AuwzvBHkeoXpvuGinqhGYemQYovzXqRkWIFHRxd8_1m6eqm6t7RqnHz=w1200|https://lh3.googleusercontent.com/pw/AP1GczPt4NPkVTyutrckrxkZEan1J-Cf3jduop1XEVST9YV0y8ST1ONPCvf16WSNSzjAoYeCilE8YaY-yr_4tNCYIqRJriVMcXA4avecVfca-MDYzUwHTvkd=w1200|https://lh3.googleusercontent.com/pw/AP1GczNmoX-UfZcUJdDkcfLCGespF2xoTfQHL70_okYoc1WsJqYsyaQEWPbAZlUPQRuOoT07w205_2wn9juaV88uCDJHP4_JwQJY2781QETN1yOwp6EPPZTW=w1200|https://lh3.googleusercontent.com/pw/AP1GczPXllNRIbHVYbUo5qXbJL89ZxkubbZ1RMYoS5jYH15vFKgGo3fIMKa1AGMDuJZqm9SlLnDLq0DT14TgIGWREZnxC14wymNlIyBYGRJ2LetbNh_0Q9h8=w1200|https://lh3.googleusercontent.com/pw/AP1GczMT-NY3x3oiIMUTdY357jTFvVTdGV6-nDA3Dgih7xExIT2OssoBTXqG93v81k-cmStOCYAQnYcKtOkMniKo0VCN_sQCwppx3W4tohHtDKlGoNbfkzoE=w1200|https://lh3.googleusercontent.com/pw/AP1GczMgE7J2YDDueC4XePY3mbuKdwap6st50bfT-zI5YEgTzMZzjScy8q513erN1F3lz7VIPq1hhzAfaXwrD519JlVFNAcagjlFnDgjnzJlkN3_SgsOBHz8=w1200|https://lh3.googleusercontent.com/pw/AP1GczNy1mzrVRoMhtbbVdSQqNR7B_mdZbwCqQk9Pc5bf5yL5TBNPp5pxrvo_RT0nG9pHQ55VfaoxIfd39pxo04cG7yzlMs1S6CSkm8q71zx8mlj2pN8s9r9=w1200</t>
  </si>
  <si>
    <t>1345</t>
  </si>
  <si>
    <t>Casa con apartaestudio en barrio Las Mercedes</t>
  </si>
  <si>
    <t>Las Mercedes</t>
  </si>
  <si>
    <t>https://photos.app.goo.gl/dNAiX3WRmirPqqvd7</t>
  </si>
  <si>
    <t>Se VENDE Casa Rentable ubicada en el Norte de la ciudad Barrio Las Mercedes, con un área de 120 m2, estrato 2, Consta de Apto: Sala comedor, 3 habitaciones, 2 closeth de madera, 2 baños (1 privado), cocina normal, 2 A.A, patio de ropas. Apartaestudio: Sala comedor, habitación con closet en madera, cocina semi integral, baño y patio de ropas. RENTA MENSUAL: $1.100.000</t>
  </si>
  <si>
    <t>Casa rentable cerca a universidad Surcolombiana, con servicios independientes.</t>
  </si>
  <si>
    <t>CLL 57 A # 1 E 45</t>
  </si>
  <si>
    <t>https://lh3.googleusercontent.com/pw/AP1GczO_xOjoS5s2ENZrs-CrABYf8hawt--xH4-JRzriUI6gbMZbH-8N1urdBo02U9qDBL0KkcyPpEy-enKL-N_2a5uBujI0WrXieVGlFKDKvV_Yd5jlmIEm=w1200|https://lh3.googleusercontent.com/pw/AP1GczMcJzcAOi260tlLOjoZ62uyw166xjsFWHEkANiXJyI3GBrK-r_b0_8EC2QWlE7wgHrFjQ9RhAitbqAqKkPTiHczeuLWmbUoVopykLUEAuqvSAn2R0UX=w1200|https://lh3.googleusercontent.com/pw/AP1GczOFJu-7KMagd6mqTlGfL8TfIEIaWdcb20KqY_hSVxkOdYziNRYob0vcGjSkQhEbBgM5wLUsCEXgPdQPKD1ZF8rsaOcsRCRA_byiy4kqWHdRzbHSmghr=w1200|https://lh3.googleusercontent.com/pw/AP1GczOUgJkM_w5FKL0C9u2x8peTLFbkVfldtwC0e5dhFMOf7eicE_7-2JHzItJ9amjMd9luJNa39QxHX67KghPtQl6ojGffb5LruPiUKN7GQKcgGQI_jH92=w1200|https://lh3.googleusercontent.com/pw/AP1GczM0BPgaHX6s811HTOVLPMCf7mt6tX9kiX9rKtJPdevfCcxm0MotsPK73x0sn0oSW6GGDXz23-dP54EpUWYYH_8rd2zRkJ_agZtW6-y7gz0AJQ7ajy7v=w1200|https://lh3.googleusercontent.com/pw/AP1GczNdhXDMC0aZTaoWRgKvb1YfW7fe9DcTXkJhQehDMRHw5E0hJ5jCtuYR6spF7dklCQdvJnduMvMh9QWzqcBaFWAWGE8MHq3YrQC4vzgR4ZSfaEK15C2_=w1200|https://lh3.googleusercontent.com/pw/AP1GczMzoyz0DU87z2VJaG0qUPz7-QDkwieNmYC8JJjCsv_s2fYeDPnSgevT0Cp_ey8oJ6lbD5sASeRsz7gRCalDcM9P4LnL0ZyQdNAcFxO9QR2TT5z7klFI=w1200|https://lh3.googleusercontent.com/pw/AP1GczP1I3trWsJ4jKDsUJuGpTfgWjMJABygQjUS3zC2Y7zabtN39ekyWIGBwnjOjqxC1vwtzYN2e4wnF9AsXaAzOF7X7Fwiav0TQrq8QUL0KPQN5dDHR_dn=w1200|https://lh3.googleusercontent.com/pw/AP1GczPm3ptDMPZJLPY4nwxaMVwRYBn4vQMx8u8QI86oNkBwzZ8qLQhaIq7693JWqM3U4M_71v4M3ycyx8p4qDZEdZ6O-latDWJ0njNyrskhH-4GbYUvh0LC=w1200|https://lh3.googleusercontent.com/pw/AP1GczOiNmlI2SBkHbFAGTmf-Co1ME4BEgc2imrFISxCu_e5iAfKUXvVz2RRHp-41wZMSFaYI5GssjBzzTf7sif7r5kQjWYW-iB210FXEFJ44NYkOuOlcMUM=w1200|https://lh3.googleusercontent.com/pw/AP1GczMiLlAGpNNk49FNU7ESPPQDpMd1Hy_rKzOG7YUiZcf3Nw9XkaBerENUOZtGvuIL_Mg68u71fKoNzO1Jm2PHDiUpNoQVjfI6e5YA8pGCaGpfFcXm8Sbh=w1200|https://lh3.googleusercontent.com/pw/AP1GczMH54e3E3E_JM69Einy9a4F1TjtdEJot3nAMWpWnHreHa_43Weo5p9pPwja1wT4JTWpiyNOFepG519BBoyHlDPoG-6hS9vdGdfDw2uA_oIVYwf2C7R7=w1200|https://lh3.googleusercontent.com/pw/AP1GczPDN_T4uduGwmZImba7YuLyN3vEHfTJvb4p8kPcB31-6GvyntnuXBV4ADXWOkKd3TOuIZ9OwqdqAxuTng_n_uH0czJ0ZXr46uIpcrj22Sns2_qvcDTK=w1200|https://lh3.googleusercontent.com/pw/AP1GczNMgMKLXOzlQeUetebfonoREVRGe4DeoxtzLJJk-DIs0gdqK8iPZEnvgyqmv41zj2lIXnKpchd9R-xjngMUCMnAHzVcsAplgj8TKBmwmfA6E8fPXEHf=w1200|https://lh3.googleusercontent.com/pw/AP1GczPiPeE-GRkfDZRjDPp9X25NplFWhu_hh0H8TIvDSNuMOlf1i2TH_ZSYwB0u09wSQYe_3SP4w4Np7R_mI52VXNLSugMeY-hJS7i2Sx7op56RqMFl883p=w1200|https://lh3.googleusercontent.com/pw/AP1GczONBrI_gzUUILLwkekCRT5f8ocMN2mT1GQhu2nxpgAZr18PdubkwAep5xy-cU3KzH2OqgjjF0XNbzD3PFNy1RQLoES2BRqFRGycttrsLIQMBcNx8wJT=w1200</t>
  </si>
  <si>
    <t>1763</t>
  </si>
  <si>
    <t>Apartamento en conjunto Residencial Monteverde - Av. Surabastos</t>
  </si>
  <si>
    <t>Conjunto Residencial Monteverde</t>
  </si>
  <si>
    <t>https://photos.app.goo.gl/XRqAq5D1AC3q8ro2A</t>
  </si>
  <si>
    <t xml:space="preserve"> Características del inmueble: Estrato 4. Sala – comedor amplia y luminosa. Balcón principal con excelente vista. Cocina integral moderna. Zona de lavandería independiente. Baño auxiliar. 3 habitaciones con closets en madera, la principal con baño privado. balcón adicional en la alcoba principal y 1 parqueadero.</t>
  </si>
  <si>
    <t>El conjunto ofrece amplias y acogedoras zonas sociales ideales para el descanso y el entretenimiento familiar. Apartamento ubicado al sur de la ciudad, este hermoso apartamento de 90.07 m² ofrece comodidad, elegancia y una vista privilegiada.</t>
  </si>
  <si>
    <t>CARRERA 2 AV. SURABASTOS No. 26-02 SUR APTO 303 T 2</t>
  </si>
  <si>
    <t>https://lh3.googleusercontent.com/pw/AP1GczP-mg-euKy1U7KtiRGMpD902B0lI9ZVeIRDGIuFaandi9NymAS6C-PvX470AY1XiaikhoE1W8iG10-IOK8pGWAJqn1x3GdYiNiRxG6SZX6dHr4eSGpt=w1200|https://lh3.googleusercontent.com/pw/AP1GczPeGHYbIi_kAhTx1a7GHwHrQIO5YebRC1b--I68Sc2ouxJXC_aKHuEE11yI-IwYAxXP7TVOjbvQVAqmNgs1D-DOlsIGHXn0PTDiPLjsD82r8IEL9wOy=w1200|https://lh3.googleusercontent.com/pw/AP1GczMBPFD6SRre4FQRJnhFecBo8f4q_pJwx1jd1E0_upWV33RWu0OoHP0ECcFrYnjQ6mReydSsT5WAdHMi2fCyhhnkQyQe4uwfcVpnymzvd6Vhk6Y5jJPM=w1200|https://lh3.googleusercontent.com/pw/AP1GczM8rwF7Y3F3lH6-b0xb90YIW5mEdQGcwCCcY3idoSFA7-LYuEaussT1oqxlk5bcjzxnJjxd-5Wq1gm_dOq5-SurgQsTt-Ar50sH_ejZVWf6Ntf7c1dK=w1200|https://lh3.googleusercontent.com/pw/AP1GczP0_QVcUFgDADXj5AD88sktxRpJFuiHuLNVBZlWzbHCUK4Ts-jD-SbEI_GQ3x26jH0ZRJC7jlbqAFhkVDsQQjtho4blyrZNpi6silb8nE7za4k7p2pa=w1200|https://lh3.googleusercontent.com/pw/AP1GczPbbUQsNsXIdlyjdre6EbfD_dqtUcWakzcEB2tuEjmcNPvUYzYCKVNroGO3di0U8JVZt3nWSf_cC5YFG4EEW6uc47VQz1YEjXx92IhiH6D6gK6hWx8q=w1200|https://lh3.googleusercontent.com/pw/AP1GczNv9DIWmRKbHAATEByxXqk-MNpLv5W2CM5eeNvj7NtlNhHxuY4cY3i-AgyvfZPSTTj6plQIpBGaeJBmI1yo9-sANVjFyUizvCgCkyQweDPSSTkZL3Ai=w1200|https://lh3.googleusercontent.com/pw/AP1GczOjx6SFpBAlAQvWQf8tUP5FMazSUzMv1c8TjHqEJw2s-bSlJf8pZK9gFP3svmQDCzQny-5-Mc_BAl6t5PAqtF8OeUXLU0LHUvPXQITT4aYXuFO9tTN5=w1200|https://lh3.googleusercontent.com/pw/AP1GczOmSJlPfKsbgBwfplrR4s3MY5hY8Q1wxx9f0SmC_FxdL-w8CfMxiMh6ICuLPwyrxLgFLSNsmsD2XRyCHItXJX_6mYoxMFPS5yfZuqoGsWMKNBJboyEn=w1200|https://lh3.googleusercontent.com/pw/AP1GczPHYQraBP1wUS8tF0BHD0KKZcJY2H261y1TytAqTjd7g8DwGVvch8Uk4_zPaqBonel8rQT7Z-zlx4ejzxXuFCbWmKX8pNWBgoA5jOxualP4Q3l1bi2O=w1200|https://lh3.googleusercontent.com/pw/AP1GczNh3m7jwgetHmDcAyDdXF66_meHWOvKXkq0cnGLMuv-KAIOeF0fE7_PvgWrIF_vJk15p0XnQ-E7wi_7rTa1dAZOJfROukNC9KUlAq8jPMyfVu0k4R3F=w1200|https://lh3.googleusercontent.com/pw/AP1GczNpgDfggGQeAtLfQAwP49KnmkfYF7SGtoW3SQppRRPOeVHUYcaaOI7EGZ489ZyJss99Ea2goSi37XlmKqgm6g1nRjK8EFhmM0-VoDDFG0BJkOqSZGfu=w1200|https://lh3.googleusercontent.com/pw/AP1GczPhLs_yAfg27sVyYsk4pwgA88TFaiCFiNk65HEBBus3YPWULY9C6AgfH0Y31ANi5R0cSwH19J-zbYpyb2CkEHqiO4brLahBWUwAyGHYHotxtOrG59-X=w1200|https://lh3.googleusercontent.com/pw/AP1GczOxBMeSXzYgIaxTdE8-AskhzGK1Quayfyb3qAUFv_qHXY2p8EiDePWElf_T2HiZCZ6oPWZEe5HQq3OSfCkkrjb0aRFJ6XBZyo0jW4yQsommWPyJzEz-=w1200|https://lh3.googleusercontent.com/pw/AP1GczP_PJLoqXv9QK6dafJjTVLmegnLKdk75QeGYrzxkw0ZGze6_SRKyEJ2zFo5rbEV9TyrT74YSAeMmyJsbd2kDchgqDStXAYZat93MXqEpq3HO_1zckw6=w1200|https://lh3.googleusercontent.com/pw/AP1GczNL5d82QoKuYQgEB9s3hB8heCcloMBlnaX33TXKJ-kxAhDgJ0tbRGm0tMpgrQSFfzFtzxMrUmuF8LFyNfIEi2HULGmSyaGHFWqeKEaudHZkmr1mIwKt=w1200|https://lh3.googleusercontent.com/pw/AP1GczNRKFcEqiUP1eziMFWieFHaH_Gg_Trt6RQYVqUq8omcJWZV0MP-kW-zl5aQinCmRNBOg9X71C50lLMxwwsKYQO32Srav8rCEl5uIHIer_3FLWfgWQob=w1200</t>
  </si>
  <si>
    <t>1531</t>
  </si>
  <si>
    <t>Casa en conjunto Coruña de Berdez - Vía Palermo</t>
  </si>
  <si>
    <t>Coruña de Berdez</t>
  </si>
  <si>
    <t>Occidente</t>
  </si>
  <si>
    <t>https://photos.app.goo.gl/JDkeTECSy1nRr4pU8</t>
  </si>
  <si>
    <t>Consta de: Primer piso: sala comedor, cocina Integral, baño social, patio de ropas, zona de lavandería, parqueadero cubierto y área de depósito. Segundo piso: 3 habitaciones con closet en madera, La principal con baño privado, sala de estar, baño auxiliar. El conjunto cuenta con salón social, 2 canchas, piscinas, parque infantil, oratorio. Estrato 3.</t>
  </si>
  <si>
    <t xml:space="preserve">CASA R4 - ETAPA 5 </t>
  </si>
  <si>
    <t>15 - SINDY MARCELA, 12 - LEIDY YULIETH, 20 - SAMADHI RODRIGUEZ</t>
  </si>
  <si>
    <t>https://lh3.googleusercontent.com/pw/AP1GczMAAHKAHFg8aRoAO3QYpTMNqQ-2BYMsvf__5Xu6m_F34uip0lGIiOtxpRDB_mtJRK4Twhzw9KtdBafnLkwurzR7Wq9du_doEZR4hGZ_bNJah9HqXJhw=w1200|https://lh3.googleusercontent.com/pw/AP1GczOPHUUC1inuVp1L3V7ND1dQh5daVcryqmxtWeEFXKq1N3FZdP0ivLdcQWxxi__uyTn0FKN1utEbhYuDwxxFv_jBh1bARa9ffDJdxLTcTVkocUzL1ZxK=w1200|https://lh3.googleusercontent.com/pw/AP1GczM-BLsbm6AFuyFP2jM-SLvuEhmf6e9WD3YlbzzW5PQTH2EKpw_2knllVAsvCSermKqS_HT01lKsCjSw1rs4kwm6IR0UMQv77UUNjDVgMuiWcJrQ3h40=w1200|https://lh3.googleusercontent.com/pw/AP1GczOV5cC3RG-nE98EnobfCgIwSUH3bcKmjImhxQWhoWyQWyq8ONb9B2vFFn1UH8LV2FjMdskCLxLCEzHWxsAn-BDRVWNxE3RL1Tn9hTllgjy7fYh_Rv4D=w1200|https://lh3.googleusercontent.com/pw/AP1GczPr7kK-OObkc11aGizL0v10bfv2m045XRWtdGahuNS6NJhwIIFgNzPeOtgKH51pdMP-NUyrEjYGlfHWAhW6KewNanf5_q9gpvBN4F25VZOyp_afacP9=w1200|https://lh3.googleusercontent.com/pw/AP1GczNshwwbdsOTYj21kaaW8zU7ya9hxm9V78t0DEWWL9nwEq1rObXFY-1Sai_iOz8LYY8SF9IfhfDJBIZsP4YtAvAgUDDT494VLV2h0VWlJa4g72Jjscik=w1200|https://lh3.googleusercontent.com/pw/AP1GczOKRsdtHMnqJN2oe2mrkZ5-bNz1BwwoLS5NAwdFl6QtKorW8WgHjj2W0zo0zVCmTP_baR-Ym7qH9kQm4eGtZDxVnLOuXQr9F_IoIX85j0edi3uVIWOx=w1200|https://lh3.googleusercontent.com/pw/AP1GczOjFquPRPdY5MqszyAjf5chj7NWYeqTznlFTnEFN5xLb7yT5YtHzkW3eh6gufbjfipYtbjc_wWIto0AKx_SpqzxHFb4wQ_9Gw1TFYurE6TIWSDrHGTH=w1200|https://lh3.googleusercontent.com/pw/AP1GczPY_7mET3zp1pa3-iCVfg-w1wYrH_m2r50nEpiMj1SLkNdqMXFGMr-dkZrQR-2x_vHP2le-BysGZVyTYxhLtPD0clw4-vjKdg65ogVNRvOFaME1vj7B=w1200|https://lh3.googleusercontent.com/pw/AP1GczP67InLsFBEAruGlCyqO-l9wW8DCY3-S3kwtdrE5nxcoKuVZWNoXnpP0ISKaMSxdJ5u0emo0rAw44fzLb0iybaLBklCsRls295oEBadIudP3M6G-OTq=w1200|https://lh3.googleusercontent.com/pw/AP1GczNy3k9QY8sC4aSlBgZPodPbvj8SIdM2BjLt6EM_wtSgiuIlZbWJ2qY73ZT1veE-qfNXdhnOOQbR4pXbhfD5vjbhFZrUNQ00d8vuRwD8gaXB-oyPiSib=w1200|https://lh3.googleusercontent.com/pw/AP1GczN3JpngQybtFNQEZvbPUsCyRbta1u51F-aRkjkjiWJy9QbXRfdBeWlrKqbIE_MDVz4BAdviZG6l0XcVOCyNXb4EEUYN4mmc59LKdrLgRz5YMMv7wTjx=w1200|https://lh3.googleusercontent.com/pw/AP1GczMVZFR4q6rIFpsDwDttapj1st5BeKtBgxj7mhPDp9maQRO0dBFTTICQ2S_9AVxRLHI2jnshoe8fNNN4X4fIHXFVuuRKV5B2MTJ5hySl6I6_m-9qE6d0=w1200|https://lh3.googleusercontent.com/pw/AP1GczMI9SyxmKClsaYE1yjY5VlJkAlYXN4OCtZxdBw9kinmseBtWZHvr7z2D_DZF6SiQoealhdP0qU9HRnuh47qqnT3bU-r6zaL26KSfnqR0Aw8RuEv59Gz=w1200|https://lh3.googleusercontent.com/pw/AP1GczMvqVKZwjPgNpwq0qYI1_ObsIAkrk7zbbPT7i_Z72cE7fQbNIjZaB27rKt7J3JA9raZtIHSKEL7MAgYvqnPDDyyefpSrmj69iEG8Qw4WpCx1vhXLr5E=w1200|https://lh3.googleusercontent.com/pw/AP1GczMwUURUwvZ5ovUTUoZJuArNMg63JSjlflVbWl3SzOK1b1Qq9pDgkvow1d0exLRDtGALDJac0lKGzEZrD_ngprkK_d-o2jo8tYVJLq7BY5-exrLvOOlO=w1200|https://lh3.googleusercontent.com/pw/AP1GczNQ_05HIpd0Kd-PpG_nD9L9up6OY_eAcEg3qSbvqknOI_su3vU-P-xZseo-G9bsRhzaKsNKJcnatTUTby73YwcCytuHM0yuxhf85riYy6k2MaxvYcg9=w1200|https://lh3.googleusercontent.com/pw/AP1GczPO9Th38tpIVCaNcJYDP8Va4HFH13j1PcJBW2FM4itD191v1OyRpGsolJyw_ZDtKxAs_GdGNUSkKG9F8UjpAYUNpfEiE5AhmNfLDLCiPQP94fpt5wE1=w1200|https://lh3.googleusercontent.com/pw/AP1GczOwdwvf3KuZChbK9svr-je7bAfQom1JkH3r599L3Qa1rsDPY5qsJQrDYweB5hAM9He3wDD7kBRP4nlZFbxwnEkAvGmjsbVYk0JU-Kc9luyeXAsqDowS=w1200</t>
  </si>
  <si>
    <t>1487</t>
  </si>
  <si>
    <t>Casa de 2 pisos independientes en Vereda Río Frio - Rivera</t>
  </si>
  <si>
    <t>Río Frio</t>
  </si>
  <si>
    <t>https://photos.app.goo.gl/Yf9uXsSJoRsJf2P7A</t>
  </si>
  <si>
    <t>Casa de 2 pisos Rentable con dos apartamentos independientes en el municipio de RIVERA-HUILA, vereda rio frio.    Primer piso consta de sala comedor, cocina, patio de ropas, 3 alcobas, baño, garaje para 4 carros.   Segundo piso: sala, comedor cocina integral, zona de lavandería, baño auxiliar, 2 alcobas amplias, la principal con baño privado.</t>
  </si>
  <si>
    <t>CALLE 31 BIS 04</t>
  </si>
  <si>
    <t>https://lh3.googleusercontent.com/pw/AP1GczNNZmx7iAEyIdyba5A3206yp1G-xEbGUyigjgZ9BID8i4wEuiYu3qXtL7Oq-SxqcxQT54zs4eo_2N7kX_Rej7IIT91warH3zIlNB28h3Jklzy0wrPmr=w1200|https://lh3.googleusercontent.com/pw/AP1GczOgVEzpmPw9GuS-gF14GFQwtd0V2qHnFdqBbFnnfR_dAAqUi9aYRQ2hvKgRVC9miFGNbwcowPhufC9NponqosGXOhDyd0DamGOPgE75FokkLZi69fZd=w1200|https://lh3.googleusercontent.com/pw/AP1GczMdTJH6Z7Cqofbf3qmIJlajfhY6jjprcfThApzBRsdgpcVAhWCHC2UfDBDASjwv9qUcZn4YMGSvQijlcV038hG_c2I2XdZofRDhkiaAvH6HUe7vaaC4=w1200|https://lh3.googleusercontent.com/pw/AP1GczNcoKnCjHG5-ejE0FX56yTGPFjh3iLVpKrmuvyPiaOgiGECuUTB4p0Afebs3w_D7jVXj2iO9Tc-AxHLuts9K81GEfZw-qUysdBzF11r7OcHlQCvlJJH=w1200|https://lh3.googleusercontent.com/pw/AP1GczMcdWzrJ5wjDXJfKHLdtSLru6ogq0kmupar5YNuP0zdf5X7ZEOKNi3fQxjAwcYja4XFgyMzDWitJ5jOWrB6gAKBEKzNmlPhXhlmNR6XCwK-R6m0QZPD=w1200|https://lh3.googleusercontent.com/pw/AP1GczPApnY0PMv-Sht6AjjZSnfB7HWTC8_nAIBqcahR8uRolNu2niASaptu9p482v4ochDiX49OAW4JmYt-dhn6QmStUbok8ar92BPZgXaPsP-i2Kj1p6Ud=w1200|https://lh3.googleusercontent.com/pw/AP1GczM2DXn1l3qt6mUfOwsDcgoPPG9Nouk9kcM_2EJxOSA76t135MrLNFk2Mi7zoAiu2dwYHdnPq7i4nHtjRXwc4v-kOZviWpHoE24y9562W1V1O1n4YJD7=w1200|https://lh3.googleusercontent.com/pw/AP1GczOcyQhdoaGjMBNkWnkniCxxRaKe9pueGPfRWDlANJNV0aalqhs0texPzQm6PWFArbITVpLdvmPZXLv8YLxp2SOPSRVmnINirTEwIChVhprOzw4CaHyC=w1200|https://lh3.googleusercontent.com/pw/AP1GczO-iUwx6fdVuZfiV0D9dFetVT7TO-stxPHstIB6s1Xpy72fimZyukG_6cSGK2Q2hc6hDwR28vY42PiR9qBjNQHa8pv6Nd0MIy7mQTtSsX3__ADiMIvZ=w1200|https://lh3.googleusercontent.com/pw/AP1GczNWQm9XmIDVZdSoEnHpni5DDXxEHEOGFOx0GtnonzSXvqzOf0q33F-p9e0EFAHwsVrm77wdKAi90oqtKETRFwj-KqzrrZKwCAhUzBzErKY_pldoeQa8=w1200|https://lh3.googleusercontent.com/pw/AP1GczPZSbSf-JY0wxCBW52f1U7PHI6OEg-vyqTcpAx_OkZavMqo07NS3xbxn0DlafqFQNh-AUszoz7TL-vgBqMbDRY_MPczcCKNj3LC8hJfFsF47DA57Pyg=w1200|https://lh3.googleusercontent.com/pw/AP1GczPZpCR0jjE9dNerheEtB7zcd6ZAYnBK_eq8vrB64VhUhW8NcXWzgDEMoYQvjb_jCatjuHsN36cykMSBH2F75-1e4_pBMWpURE8fVZYSXz6VImrGoyS_=w1200|https://lh3.googleusercontent.com/pw/AP1GczM3TmbFKjTk6U78v70HAfc960bM5QLQTrst3JZUk2vL8Zuy7GrSipHxDzqpYsmuXdAxG7ppOYuM24Jj59XxhOFJBEsc0GY5mk1f4Lwv9z6GmDjprlmc=w1200|https://lh3.googleusercontent.com/pw/AP1GczMt4srI1nlIwevZF31XjNvCgD9B5xI7QHYrbyU2mvxEEpkNLQHdCC_VZd1nRfqfwa_n4j2MILN7H60CMbMH3nXaaIiHhFOia_qwjvTta4g8L8OcToXq=w1200|https://lh3.googleusercontent.com/pw/AP1GczPBr20eJwfWOiRkQOaW-O83b00PJy1nYU3QNM1FmFNruIC2_bIuexQVEsQYpv5iQuAVEy4puSU_NAE_8jOrZltHK4QEs_gP9CIm7gFNhWO5Wd2RHqlL=w1200|https://lh3.googleusercontent.com/pw/AP1GczPdEG2NgCaJ-WPCnUewUonG0YU9vlywfiXaRPJN7Ef0RMBkYLCmysOcD3GmOoxaxcuXM-xQ52PmQikY20oxLtLL8KxUhM3l45BZcvNDY0Gt1hY6zUm8=w1200|https://lh3.googleusercontent.com/pw/AP1GczPLzAGuBRKuH0VDtoXVBM6ajfyG3BLaFNsDaoWFz21uIG9F7couoKMvG5bLcKQRvge3J1kdbPko99bQ-psEydBrAzlV3bVF1w3nFjRkRPAicagm7ptD=w1200|https://lh3.googleusercontent.com/pw/AP1GczMsbpA_df5HvN7FY6I1vunX2-hZXQuYkpm73B49y-bjURfIdQzLwFgPR-PoL_eRsfZ2Or65lIu-haAM3rH6KWNtMDpNyrBlzIqW2CVNQEXBFPUYgkEZ=w1200|https://lh3.googleusercontent.com/pw/AP1GczPsmsgNO6A7bnf0v2MbmiC4dLgZy37MTR4wkWfmJPZxruoVr-S5nFormL_u-T8srGOBHTxp0LlEXsoEILNpBsQm-MTK9_urfCPJ_Fo2OFcuGevLW6UD=w1200|https://lh3.googleusercontent.com/pw/AP1GczNJF2aGyFlxFnqJtMgReGxXm6zGlvZ_xKzVYTmz9EfQNxT5NR8zMsPN18P9qz45SWen3NtwNrGkk5GK4JX5THhMapgPVeV2HJsv-eV-Ko4goyZbkcGK=w1200</t>
  </si>
  <si>
    <t>1419</t>
  </si>
  <si>
    <t>Casa en barrio Aldebarán de Berdez</t>
  </si>
  <si>
    <t>Aldebarán de Berdez</t>
  </si>
  <si>
    <t>https://photos.app.goo.gl/cbqCbRAE4rzpqz6fA</t>
  </si>
  <si>
    <t>Casa de dos pisos. El primer piso consta de sala-comedor, cocina integral con barra, patio amplio, zona de lavandería, depósito. El segundo piso consta de habitación principal con baño y balcón, 2 habitaciones auxiliares con ventanal, baño social.</t>
  </si>
  <si>
    <t>No cuenta con gas domiciliario</t>
  </si>
  <si>
    <t>Calle 44 #9-44</t>
  </si>
  <si>
    <t>15 - SINDY MARCELA, 20 - SAMADHI RODRIGUEZ, 19 - PRUEBA v</t>
  </si>
  <si>
    <t>https://lh3.googleusercontent.com/pw/AP1GczOzKE72EGydX0PIoG-nVD8qdCDGxA5I86gSfdR3gOsdOSTE7KRTPqYg-_bW4WtrYCLYNpUpcWWUcWYwGXtZ2KZgX23yhypP5EBpg2MK1Ki_XaP_6tBo=w1200|https://lh3.googleusercontent.com/pw/AP1GczN7Mo_-HJM7evuxIyy4GxYWuN5TZE_gyBt93aD-7ybjL9BCIAlXuQmCE1uErBQKiffIbP8XWUP3OnNvqH4WnTj-38zbYUGG-mDZWjSt7GsvW-yaKmgx=w1200|https://lh3.googleusercontent.com/pw/AP1GczPCWaYf8fpg87TkYx3ls-rBkUOI8_29z3Lsdy_vLCvfLX-wEBn8Pf_bCmxwZu-K4i_qNe8Ma5pcyyG2ghDCsL-wC_QPrp8-nEhUDr1IgC5s2kPLckAT=w1200|https://lh3.googleusercontent.com/pw/AP1GczPTGtf8MmO2IQTAxfRFDFHwdVIg1H6X7OWXzD8FYPMN9UDdotodbvDT49FsYLw5EVPt7l6OCQjjw0eVnSBgUphcbyXt_vRn1otBIxdRdNIAspBYNYMj=w1200|https://lh3.googleusercontent.com/pw/AP1GczPOqqNca-ngffGn7h2GU9d6PPQbQq0Nqu0hrEgakvS9_gU4lWCgwCJEtnKc1Qoy6jPFJR_aOp6BVOLDDfgGpONZlPhkPJg_oUzxbxYhvH_mfTO9oRD5=w1200|https://lh3.googleusercontent.com/pw/AP1GczNDbS1L10Jw6xUmkcPpeCfNgRGVgsgm5xj8HmD6sXoUTYUSXAE3_hxHAQIyr5yITnv27ksGDWhqc4I9sL53Mx_ua0lSHgv-sBdJmHtfhhBf-nHgh-Ww=w1200|https://lh3.googleusercontent.com/pw/AP1GczP56oxOXOfQiXPiPX7Z8ko37d6oLPL9ywZCxoUiZ7Z7MkeqiJRaUYXgaNniHdG0onK4S6eE_6Z8ioUD_DEtq78WgcoYJziBP7dH1fzZRvwEf-OCJJE8=w1200|https://lh3.googleusercontent.com/pw/AP1GczOwSebx1M8qF1YM2gYnVtnnTz9ZDYaA2137lzJH42i4LuP3o2EMS469jqzK76a-2rFYQGNL9RensnocuPB4vGbTTmk-nHzIN-we1Mm6NqKNheib5DC-=w1200|https://lh3.googleusercontent.com/pw/AP1GczOQZoLcO5fCciJ0G9UMDW0EZIQDe9gp3VchgIvRf5ADfBK5lgHIgk47Y8eWxRlo4wl6tnjboMfbtumc6WEmKBhhvHSg74diFpJ7hW1T2RhTnpJ_a-rp=w1200|https://lh3.googleusercontent.com/pw/AP1GczP7CxvyDDJj9l-Y7XNl4ifkzgLuYohnJvCLJIsGOLQubvOPOCDbuPRfKhzpc706oOafRTpQRvHqZZGu02Awj5yclxV6eE8_PfIWC3s9coKDvSeZ9oes=w1200|https://lh3.googleusercontent.com/pw/AP1GczPctAU6-USCThQObFp_oVUEGWdJfzr4gMNx7Y8PwaM65HSbxlHC89IAqu4WzzwQNCVqPcT1XhCkIJuMEMPYkiiVaUkVNqVO8afoOwnVa-V8GxdvotZI=w1200|https://lh3.googleusercontent.com/pw/AP1GczNk5Gpd6kKmxw3Y1MXvabJBpa1_JuHVyPbM5SfwJEtr5pwfJQNjxsb6i9iqZqkTvejNC1qH3rKoA5WVFoPsDsiToUuiw_JJuj9E1zR1nEhhg7dRTkJd=w1200|https://lh3.googleusercontent.com/pw/AP1GczMVZ2iFhFnNiVTCjc9Uph5Pr9zWMpH66Di6dIAUxY04K60_nR1hJiI_-J2qZSsivu6S3_o2nADMNytxeCbw4PmIji_wzSFj4o5CY1JydWbQQ0I58m7c=w1200|https://lh3.googleusercontent.com/pw/AP1GczN9Z4T1pI0GfaMTVKLdJtdpq4hNpGi42Ae3eP8GGuiNX2nYdBnHgxl_pAcLB8mG4hhYCleoLTBUzMvauEhge3g5P_UnlYDBrY0KrsyxmLdGWQwzZc5s=w1200|https://lh3.googleusercontent.com/pw/AP1GczNdLFoGLPe3XYpvmwZVSn7ta1WR0jQSE5ZN6Q7lS4gTZBSnGjBAYp7maFLBZKpXONqvgpk2DNdmp0z3M8gifxlPr_478gwCIFPhdjEqi4i8dfmLkXpm=w1200|https://lh3.googleusercontent.com/pw/AP1GczPaUaJSVQMDKyG6BuWEbNV-uurJy-sjATA2ROYe9BYm74h9ZvWxafCjM8H5TfcxezmqwHLca6j6qa4I6IV6rXzk7V72ntVOZ2N6wH4XClQvkgE4QwzV=w1200|https://lh3.googleusercontent.com/pw/AP1GczOQhTDqR0NJk1hMyYKAwXImJP6dpOaC5cU9JYVOMfDMrtpB193QlDzh6uskS2C5EUX6NCUISrkSz3Ca0VeT1QS_tlgrcW9OnpKOKXg93fve6PmYbHQX=w1200</t>
  </si>
  <si>
    <t>1209</t>
  </si>
  <si>
    <t>Casa en La Plata, Huila</t>
  </si>
  <si>
    <t>La Plata</t>
  </si>
  <si>
    <t>https://photos.app.goo.gl/czFLCHxKvvzGyFuQ8</t>
  </si>
  <si>
    <t>Se vende casa La Plata Huila, con un área de 210m2 consta de: Sala, comedor, 4 alcobas, 2 baños, 1 estudio, balcón, terraza, cocina integral, patio de ropas, encortinada, pisos en cerámica, estrato 2.</t>
  </si>
  <si>
    <t>https://lh3.googleusercontent.com/pw/AP1GczMg4CTmL0Mywau6tp-KaLrCkJ_jwyWhTkh5qrK5LdOW2zIVID6QaP7lKK3dX74lA73CCP7OQXtcGDXBz_jKKNKjPlLJy0z5Cl_NvXVt9TCCsF1dnbnE=w1200|https://lh3.googleusercontent.com/pw/AP1GczOKsU97ir5PITPeK74AVwESvxLan0ooXF0-fu3YLRfJQ4lIIQ4s4Wz0op1v9EjzTq2sJplKG2GIdJcQTL9lP2cBQI5KA3bxO4d2AMWXgSCFpwTO-vCj=w1200|https://lh3.googleusercontent.com/pw/AP1GczPpDs_4Bg4oKPn0BAZNTiTtGj5bFQiHyg_ydZa0QbrSvKNgQcF3pXU110VD0qb6eN4hMGuSFrjW4c5YWNvJvSNTRkCI62zsqTc0SUmlhGEyzRI9trZy=w1200|https://lh3.googleusercontent.com/pw/AP1GczMW3Z0Z_35x6VAB7TM-vuF2sxFxw1w4TGRigddNaP8xONFsmmnuLXT951CZzpejiSEHT6-dDkslG-Enuw4R9SY5xiWRDbCMh1ZGZSymx0N97y5UucLr=w1200|https://lh3.googleusercontent.com/pw/AP1GczOoLAxwctS9aKOnDHIs8SwroSIHMyg4O60j4i2cykpnE_S7e8cz2-5WKhxg3ZRjgAehdv1GoP-XaCAYHFORSCSAqVvQpDB71RnOSjCmf6AzHASAD0b0=w1200|https://lh3.googleusercontent.com/pw/AP1GczOWjxIglvj41ea6_GarY15NM7Fw33Grb9y4NNiO5BrgaCNqnmdirOHbvsKj8xA1bP_kHxQVuwdiK8e-VRct7pCmCNnAZCwWLQuN-dovZzPuFBZds29a=w1200|https://lh3.googleusercontent.com/pw/AP1GczPCeDtILcj-5z-PX-nM5gM2r3--Ft6qzyoX1Wsb9sJBo6sVU6uc1FQDpeHxNVI21JyYp-OKa5TFiMghZQ_MAdJrU_8Ire4reRaPvOxIV_R6kdYdAfzk=w1200|https://lh3.googleusercontent.com/pw/AP1GczNXmu956RJ_SRlMel-Uao0ZxPtz-p09SSkioCTk7paUZbw42_T33DfPcOmIbv0trs-Pp3msuE4v-5fCcTnWsvs7T0tynrBaZXRrKHwRvnIZq1Askz9t=w1200|https://lh3.googleusercontent.com/pw/AP1GczPgbDZtCfg477zXGizGTJFGMzgbDEeX8hskMSww5HlIPlQ_p71BTskzdIWXxH3zqLhmWOvTfbSIjHll1ukDdXk-HS77lq7alg7dXhdnPSRGy8BOOpF_=w1200|https://lh3.googleusercontent.com/pw/AP1GczNfTFZvVPzVFaJNgp4X8xxtsMwP3p4kOC0lR_XhX79o-CmhTOUlXhGm4ODTRyDEn1uDbjULpwtHA3StmAegkZFx9ZsgYDszwUeHntzII4oxGfWWsaW6=w1200|https://lh3.googleusercontent.com/pw/AP1GczPdkGdAfjd2d-_R3oY1zWby2brmMVbmbhGI8YbzDzYQgfdD0x296eByYQwcaygMCTjvwqVciJl4L2Nvr0Q1Ds94ojtWnWl6Vw7dVt32-DeDkH7qREpu=w1200|https://lh3.googleusercontent.com/pw/AP1GczMSRspup7G4TiKEt4BFTx_su3tuWNNefku7ZTNcikyB2TR1mNoIRQ3maUYILOnjNHwKs01IU_THx8dudt5jVkpnqur_x1daBK1lX_VJ9W05meJuLJMT=w1200|https://lh3.googleusercontent.com/pw/AP1GczMOwI3lI7BB-IgL-gpHiWr7bZR0IpVaJuJcm3hAuRhqx96JhgRAxIfWRsDGX19wfKvAGJC4jvkpvQtnE3LUBz7CQi16kpgHIkkdwUL00LtY1uX-wYSC=w1200</t>
  </si>
  <si>
    <t>814</t>
  </si>
  <si>
    <t>Finca - Riverita - Huila</t>
  </si>
  <si>
    <t>Riverita</t>
  </si>
  <si>
    <t>https://photos.app.goo.gl/eqwoxA5G2yXuJyz59</t>
  </si>
  <si>
    <t>Finca con un area de 2.200 m2, via de acceso por la placa huella fachada en piedra, acceso amplio, construida 1 casa con dos habitaciones, cocina y corredor, pisos de baldosa y teja en zinc, baños al ingreso de el predio, y zona de lavanderia.</t>
  </si>
  <si>
    <t>La finca ubucada a 5 km de Rivera.  Cuenta con árboles frutales, servicios de agua, energia y gas.</t>
  </si>
  <si>
    <t>https://lh3.googleusercontent.com/pw/AP1GczN5PnxNa_nsDycZGb5oK8vKoWq2X7Fj-5Gb9aWZOphhggOxMQ5xU8i-b9u86bLYMxd8X9wVjdWVytXlIEvgVeXawLTGRhyu6rntBfFQa6MDaUjO7WKG=w1200|https://lh3.googleusercontent.com/pw/AP1GczO-SuAkmoi_6ZEOY3hDiaAoaKeS2C5vjtm1BczNUxRLe_7GGERg81GTY4PNRbt37Q0AbnSzbLNa7MEZwN-Ip9se4hEDNFEj-BFNCd3C7JbRUJpC5_Jc=w1200|https://lh3.googleusercontent.com/pw/AP1GczMw42fr7l_bN4o3-uWDlQBySbG4t5hWiLba8qzjMcsHsnCbubHxhcTG8j7e2nZlkkjB9xYUqp4WmMRapb6eF7KFblVjzJa1ewxsqZlDy6oHByZX6AnK=w1200|https://lh3.googleusercontent.com/pw/AP1GczOtMIA71vXbsZdzm7Z1Y83IAh0lai9w5J7Ft_CaZckrJTzTjU_4sRvaOBEhgVgZM4TJsmFWAWCmgPF2CAH_YhFI8PuZg-nGq9VBH3zFGutm3s385sEc=w1200|https://lh3.googleusercontent.com/pw/AP1GczPO16GVeJyoAsebkcqgTX8UIeRQH4lIz-YOPWzMClDSfRI6m6asUdKTI-kmaB9tRoq1K29EimI-MUORCGU61r4LHccp7y5NdXM9Zeekv2yPfKBo0JYW=w1200|https://lh3.googleusercontent.com/pw/AP1GczOtxTtRbQZl1gKxLiIaKXlTuipq7xphgDG4m56MVMu5B3iNEmM4H5FHU1jPV5C5GPnrwnuYIEfk0fwPHn5FZOVSjYcSTDk9PQCkRxjpOF4WOURPMh30=w1200|https://lh3.googleusercontent.com/pw/AP1GczPYucPNR98JFMKIZWQRbL0PNyGgOBR13Hxvc2FtXLc4ls_XtikgsivRWcFkcBLPKtIViUeFq0JRoPiCelkAEiFnWwwis60cpjYdp5wuVTHP2nUhCCpA=w1200|https://lh3.googleusercontent.com/pw/AP1GczNmW7shRVqI5xrVa7gzcgWUlA9U55M3ocwlL6alnyfdrerjagRnOhs4SB2mOMNYEWu6bWMwi2PSZS8H_7szkKndZbdz4N_JAmAGq0HPl2eVY62kUsUT=w1200|https://lh3.googleusercontent.com/pw/AP1GczNISX4roNb6LSpDj2nS9nGxnADDhbWTOVGZ0I_kSVkNTtZRX2Job6HRapurvKVK2o9QytActHpImTic9qeclPKXkByChQIS6Pn1RwIRKkhwUUdBXi4m=w1200|https://lh3.googleusercontent.com/pw/AP1GczOXr-C4W9oPuaSpdPR8IST_gZ-A8GgZ_r6DXoc7fgXWNQqZeafm5l6YcLUDrxohi_1W-jnTt3zpIPyEzRRYFncYhiyMoXCkhal6Y90k6vvr9Srddf0W=w1200|https://lh3.googleusercontent.com/pw/AP1GczNjplu5CB06AiAnxv-r_5TK6cJK_9J5m7gjss9zXxZqe9b74Ta7VEwlacg6FmwglzDzYizgqeh2mYFJSRaE0gsdA5-A-aseJH-3aLoLtwQRd5CNHQyH=w1200|https://lh3.googleusercontent.com/pw/AP1GczMZjctCQqKI8U51z3f-cSgpjQzFAeCfL2FScZ5zMd__-DngVCTQV_8x3eXR2T9MpO3Vt25_D9H2qLFIGbhRiAn1yS71_lNudpxbT3vgvHU9xIYXgpVS=w1200|https://lh3.googleusercontent.com/pw/AP1GczPXy4bsByOdmBEpG0xSCmorLMkgEmI3BXSUICpY0vwu32FH6vDeUqGGpGwGFpfPBSVjeoC2wqR4eHauwOB5IZ15MhvodlRIFEuT7gFEgaFU0kvh4LiN=w1200|https://lh3.googleusercontent.com/pw/AP1GczMuTTN2_a6IqBfNbct6L3IvbPzoS3Xg9GCRL_C73gdBnryrvpPgy_gaUmtPkRRRy7gGqhMy45IqtTz4l-rSxbnHCkdEpS2huQLNKx6GuSrhVtvYb3AT=w1200</t>
  </si>
  <si>
    <t>1766</t>
  </si>
  <si>
    <t>Aparta estudio en edificio Torre 8 -34 - Oriente</t>
  </si>
  <si>
    <t>Las Brisas</t>
  </si>
  <si>
    <t>12o.</t>
  </si>
  <si>
    <t>https://photos.app.goo.gl/SzhDikLhpUyQXsNo8</t>
  </si>
  <si>
    <t>Consta de: Sala – Comedor elegante y minimalista. Baño. Cocina Integral. Zona de lavandería. 1 habitación con closet en madera. Aire Acondicionado. Balcón con hermosa vista y un parqueadero.</t>
  </si>
  <si>
    <t>Aparta estudio que ofrece . . . comodidad, elegancia, espacio y una excelente ubicación. Apto con área de 59 m² - Estrato 4.</t>
  </si>
  <si>
    <t>https://lh3.googleusercontent.com/pw/AP1GczPvYghvc8lUIQUJvm7dKlFHvwwWe9mM4Ssv8pLZbQ9Tb-EyaQQaf0EKWIl1yIHeEBQecLLq4KbDBKYz1_xA_eEXiIvw0Y934M6mOwnqLhf50eavAmgR=w1200|https://lh3.googleusercontent.com/pw/AP1GczO6Rj5qGAdHyvK0eJFmeCBGuFBJAyUE11TFgo9Bq8gFhiLMVwAK3d7JYwlA-Y7U-jSZnqmjjvouc8fR-DAUZsTQqNDzYHNAwyeNjnKpLrTZLKwV4rFS=w1200|https://lh3.googleusercontent.com/pw/AP1GczNhhaE6yIKGbVrJSkCdcHJwbfwHntgXGm5ux2K40WcwtTI-FWoKQ0ORBEtTCYGcD1LreAFn6mFckzxX_dcFuK93Jy-UtUwZWNLGc0zYEj09mx8MgAgh=w1200|https://lh3.googleusercontent.com/pw/AP1GczOQuQRFAI8AgqLkFRTwZecHqdLntrr3k1l-Iqp5hx_T_p0y2icd2fU54xhV4OOjysV0MY2orSZasqMYDOxSqlni8fckrt56TmG4zIUeKXOnuE2QG4Mo=w1200|https://lh3.googleusercontent.com/pw/AP1GczNj9o_XNVtJ3QTtXmIN2r_ksi2KPC0DLHIYn0eBIJCOs0qiiSThIS5w-6tMWikqHXt2WO6Qusy6tXj7dNksZAnx-3__GKwM1WnMH23aD92Tupw4Gj95=w1200|https://lh3.googleusercontent.com/pw/AP1GczPONAZHEodpYm0Db5J9_yFiiKh9UsBPliIu9MQZog-LdgZZQSWFFGEwHsoCHXWq9ixvni1mrC0WlBJLJkHUg5vJ6MkOpt69tJzv0Ii9wnbstE_jh9oh=w1200|https://lh3.googleusercontent.com/pw/AP1GczPVDx5X_PU_QgAIL7UkfBE6GePlNZmbUPQLzHfkh7_yyMNUc9ZyrHcrmcjpMDTF477XYYNnjBJsu4d0lBYMV8PBONg2utyIXU16s8PADjTS-0AEbnS-=w1200|https://lh3.googleusercontent.com/pw/AP1GczN8wqmwdgzdMDWWR9eHmvS8URec08IsjIVhV_00bo0XQU0xRvc6UrP8kjDaPDAtl19As1udhrxvrNFfpq3GHXDRtLuO64uaPz_uifX-IHxP5okWDLRa=w1200|https://lh3.googleusercontent.com/pw/AP1GczOkVayK_GOrkiM0j9jTIoywqvzwe6eKB4mHUoaeGR0PkP4J_6A6Qu_kp5Jz1OmVxs3gbxtmyw5chvI3Bkp3sCskKfhWRiqGhlO4w67lQbNhl2IgBCm7=w1200|https://lh3.googleusercontent.com/pw/AP1GczPhWYX11xP6Z2cPV5SyN9nv9TZDpsNRb3YS5AWsQPVOPf3PzKkmMlsTjVeR9ngLvMVNZxSc0uiEpYWwJIcAk2eZdwE3QUx0gnTswIMhLp68TiM1CZC2=w1200|https://lh3.googleusercontent.com/pw/AP1GczMbwAQWaIIARqIKXG9mHJClLdwyZ3NTVre8dlv-nxw6Kz5NUUXnVu-HvwWB_BPwNH3u1Ug_-46ASi1_hlL_zXa6ANAk7dAhR_N_1SuCw7MCXZgK4K6a=w1200|https://lh3.googleusercontent.com/pw/AP1GczOS06J6gWdcGn3kkY7y2xOIxGk-lCJnNwuMSODdm-5lw5TkCQXgfDUg7DvRbA16DuIf8NPA7-29EHBhEQ-LwYrZENdShPyPCR55-bQbaLRQGO_pQQI0=w1200|https://lh3.googleusercontent.com/pw/AP1GczNF8EPFQMSBi1sEsLDb5CxfW3DYgw1j4x1cqlc9SEZHhAhnGE5Kr-FnEP12xD_4nlJL7zcRlfrm6clZcvmEC6iJOH_gY9wyy3w4ksiY3qDMZRz6pt1n=w1200|https://lh3.googleusercontent.com/pw/AP1GczN7zTcL84K4mFYgYDWB3CQth8Vlmi1iIpgG9Qpr0smWBqTbz0uhdI64CTppCnqjVGrHLKWiw7OskLvAxiMg40bCO5KwuUmNC7a8OPDAGtz24ovtcY2m=w1200|https://lh3.googleusercontent.com/pw/AP1GczM0RmTDwk--pA-DYIUb72_zsN0id9jxvoh6T9rqSVy9GhYHmYMcFXZ0gfIRMeeEK8yl91QptNyBij1tFNvXXopqhF1DW6Tj8aTCqLseQSB4EowflpLB=w1200|https://lh3.googleusercontent.com/pw/AP1GczPS94C-Yd-8OHOL7xRHj_J6GdGLIxnNzp8lGVZYiXG-Avne_NX3UKjGq56h6-AoupHGiFiNKTqp7Ts33RmpiZD8DNu-n8jmcOkdPvU_4bRpOP0p7kCM=w1200|https://lh3.googleusercontent.com/pw/AP1GczM3PSm9Xx-rfyXo0dRjtqyDhn8e1jLAIe0hlkjWVYR_2Jz8eDcNEdiZF26BZAc--pLZjBBeR3uhPdXKNaStWrsDOLtCXpaJAiT9KGXEQq-GQ0DAQytU=w1200|https://lh3.googleusercontent.com/pw/AP1GczO7vHc8C1tcX6IQI-WpCmR-K2KCL8zWDhhCiycedsIDI7n3YpumFi0VewBUPiV2mrfdmyxhjHnCpqm8zkS2-vSUNR90irT1uBE_KOvDasopydGbCLwO=w1200</t>
  </si>
  <si>
    <t>1722</t>
  </si>
  <si>
    <t>Apartamento en edificio Altos de la Gaitana - Oriente</t>
  </si>
  <si>
    <t>Gaitana</t>
  </si>
  <si>
    <t>1ro.</t>
  </si>
  <si>
    <t>https://photos.app.goo.gl/fXdVSix3NhpZgPWU7</t>
  </si>
  <si>
    <t>Apto con área de 58.61 m² | Estrato 4 Consta de: Sala – Comedor amplia e iluminada. Baño auxiliar. Cocina Integral. Zona de lavandería con patio. 3 habitaciones con closets en madera, una habitación auxiliar con puerta de acceso a la calle. Habitación principal con baño privado y Aire Acondicionado. Parqueadero privado.</t>
  </si>
  <si>
    <t>Apartamento bien ubicado y con buenos acabados.</t>
  </si>
  <si>
    <t>CALLE 7 No. 29 A - 05  Apto 102</t>
  </si>
  <si>
    <t>11 - AMARA GUTIERREZ, 12 - LEIDY YULIETH</t>
  </si>
  <si>
    <t>https://lh3.googleusercontent.com/pw/AP1GczMh3cPwHMgUZ7TN37Tk5OlK0f1-A79zR2yzHr_5Wvn1DD_Uw7UMvBCMOGAybfHpfE_d3MhMdDqjotZp9J3DcN-awfBs4teBJKL62bsSBpvJVLxGO5YA=w1200|https://lh3.googleusercontent.com/pw/AP1GczOQbskkVdHsqDJqnPudUyctkB09hGYJ0f1gmI9jEVlaQSjcOxLkM1LOrFwDr_Ov7zRqtb6Yn1slxf2vE8uATsrPpQYp78IyA1JEECRX4UDkGjz5YvE5=w1200|https://lh3.googleusercontent.com/pw/AP1GczNyHy7c7rnQoVMG7681HbCVV1FqGUQLHjKUTDtPb29jjKsaQMnXxaOjDuNKJDPN1bhGC67VzC-lMCUrmrMj20koj1gFj9PwXmbqZUvd63QAmUe3WMHo=w1200|https://lh3.googleusercontent.com/pw/AP1GczPxH6nwPuY50o1PYPW4czKlO84Cbo8wNHnhhDepa9ZHC59SUbtX9JGncQj8mk3FVqVCV1t_uiHAoF9qU3fwfLFMY0MmC7CFq4wX7bcYBxMxQvvHNQTq=w1200|https://lh3.googleusercontent.com/pw/AP1GczOg70Y9bNwmq0unOt6gVHqQXVLlcGhrnNG78RjVGwZfUcw0Bg_O-77IM9zQ4cRSowEF2MZDyUg93sib-FlphllcMVEot9uqN_5d7lcWF0QmTGQqLaXn=w1200|https://lh3.googleusercontent.com/pw/AP1GczOJy_U7kHT_2v8j9dymW8z-Wh4MsPFegydTU0xwewoYq9Fi5-mAsSdm10ivEwuV6BhHSwI2ShHaJan2FmQUKPHA_JM6qZpiI1AAjmEwjCkOfEIQQY6U=w1200|https://lh3.googleusercontent.com/pw/AP1GczOC6tv2NtikDTPRjirv8kaHTLcA5sJcvxsaPYAxQRjaKKA80oPDsAaQ_lXE_-nDYliD3B-CtudBqMy0ZnKvugCWV0rB_OjkaXjLjf2GsSvMMow8nvIA=w1200|https://lh3.googleusercontent.com/pw/AP1GczNedBGCw1RNI84Sv4Q9DZKGVk6AVTCGfBNz7SMQX3oo13hwt4pv-z4rLAIrKEB-hf0K9sJ-sg6rPYMskC8x8dlxxRZ_-jexKmhTX57jh4_Gm0pRxQPl=w1200|https://lh3.googleusercontent.com/pw/AP1GczNqHBeDQQf2OeN1eVsA8m9_5KIGZ5PfH3fW_5iFuA2QsCmJuuyDXU7nDvYD-LryQBVDTvPpjvTmjJxXD87uOFI0PrEIAzgYmCPffBxlQVPugD0vb6SJ=w1200|https://lh3.googleusercontent.com/pw/AP1GczNntabCzWj8A952vuZwNdOFPolxlRCdfGu0_icmJiCspYKNBjS9JsuaTJQbcqZaOVUB4BzLsMjvV3jj1KuaSqG-Quh7kVVUTwd1goLL138z-3_s06hM=w1200|https://lh3.googleusercontent.com/pw/AP1GczM8PVxgQ4mk-NXjx5oz81uZaRMP_Lorc2s7UCe5qeZaGZVRKSP0W21zBGNr0cpGqvMnhWFZIzdCoK7kixhd2mJMEuaBk-Aaq-JB5pGr3uhLxBgMWoLv=w1200|https://lh3.googleusercontent.com/pw/AP1GczPulV1_YaYAMHnPSB3hLCxeucusnSGKWyE_8lyLiFpiGenYTARAhl6bE9tmG0X2KOlbTnmmlC7cNjQrNxbB3mFWY9amhHpAYk147uxAi7bmJ71PwPi0=w1200|https://lh3.googleusercontent.com/pw/AP1GczO4umquOKnpMVqEgy2jPq_aPHJv0sre3h8hlJjWK8dxaOGqz2ujj2hwbP63smOYksuw0XtVG_85lj409acqaXwsL2GpnAUVJzJYOkDZYvusDlzLQjZU=w1200|https://lh3.googleusercontent.com/pw/AP1GczMAcBlE5vryfvwQSiVNPrfJxlm2v_pyOVSi_qFKRRtXmOJh1oQsQ5szzJ49F5lr89DjrGBJrmz9p4amyDxMy5UY-2bKOX2HtzLfTOocKWy_1_gyYlh0=w1200|https://lh3.googleusercontent.com/pw/AP1GczNi4rc81Dw4Kr4Znm97HSC25BbwqEgIjPaF0ssk-yAGJIteWSPq_rMQFyPSTMomVr3Cmi6LLERjVy6ISlNrdqQKVyIXMMw0l_zEkYphmEIsK4KBwI52=w1200|https://lh3.googleusercontent.com/pw/AP1GczPzjCg9pb_FwMYyG-wq9QBurUxHdlCW2ZyJ1yRmggV2URhUClS_w6Z17ZOr0RufJjW9bTafunYuoxBEL_kxodANibsRQ525pu_rfT35kAoIkrd8vT9s=w1200</t>
  </si>
  <si>
    <t>1625</t>
  </si>
  <si>
    <t>https://photos.app.goo.gl/jXc4KpFWFsHfRLaS7</t>
  </si>
  <si>
    <t>Casa de dos pisos con un área 98.40 mts2, estrato 3, consta de: primer piso: sala-comedor, cocina semi integral, baño auxiliar, 1 habitación, patio de ropas, segundo piso: habitación principal con baño, closet en madera, dos habitaciones con closet en madera y balcón con vista a la calle, baño auxiliar.</t>
  </si>
  <si>
    <t>Cuenta con garaje para carro y moto.</t>
  </si>
  <si>
    <t>Calle 43 10-18</t>
  </si>
  <si>
    <t>https://lh3.googleusercontent.com/pw/AP1GczNyNOOlQjXIJKEAh3ludAJYTuHrYvG4t5YK52q7GY5RfXFLePQQ7Rz83VstJDQPyA5nqzzQhFPBySmaNa0BL8V9rrESVho-yNXL1Yy6RAkhf4CiLPeS=w1200|https://lh3.googleusercontent.com/pw/AP1GczOykBbpbbO2Vb5mP0DJWZZ-uXPBfSULjwwuWgV9xMlbKyvHGAi9jMupJm4XQIGIAI6quwjxs7YCotwuz-wnh8duL7qUcM0c8i5Q0JBugDK0ZoQB9E0O=w1200|https://lh3.googleusercontent.com/pw/AP1GczP4K8_nIVTSlulMFtjIx90HHoB3qXqhWBf6tnJvBxfjr3IFh8ipyqoUI7fHUmkex3SEXUEDyI-4pNt1I9287Fc_jS5IJoV8YSgq0r8ZhWcLt-1ZV_lx=w1200|https://lh3.googleusercontent.com/pw/AP1GczNDFNUKuZW883yRFKw4LBa9S85IF_elQKKWe0pixwf3FirVNaOWRCPNtCAgVp29xghnkfom6tO9JfrjiThaC5tEEeHYPfC-4vUO57jgyGMyKkEmqhrB=w1200|https://lh3.googleusercontent.com/pw/AP1GczPfPNpqC49TGwL4ZkrSj8gXXAYqA3BBAmmGr_MZ6_KazvC__yf82kvCMQoR-eFUo4Sbw0aWeXrNHlTP93iLWaUNaKErt8qd_gQxL9iCrhbC0l7qOquc=w1200|https://lh3.googleusercontent.com/pw/AP1GczOWwIhKD1xxPVHdj_XZgcfPiJiXs_Bqy8eTR_ef1yHXZ_ZwHo_GvLQUfSvqmSURgmR-Rdgt5tVU9njhrzPDQ92GcojYUSWngdjUBnKbLM_Az8CPY9fS=w1200|https://lh3.googleusercontent.com/pw/AP1GczNxfaIlvkqWeyIvzJGGJjn8QFRc_CMaXEXRnoJBeOjsMGcYkCE0rc4TS01NfA2yKA0hOVTvheCBl3yVt-uziTfTjNHWMiXU4TNFfzEkaBthDv_891Vm=w1200|https://lh3.googleusercontent.com/pw/AP1GczNdDqc2N-nbLBFL2cGdBu-BzVmo2a_PTqE2mUKSVYczwO_EErbKC8uqXTs2TLsVaN-wwV7Hq98-p7RdEA61WDTyKmFwNS_p0UuIyorE2h20SlRwsDh4=w1200|https://lh3.googleusercontent.com/pw/AP1GczM3wZTj62pFh12ahMOWhwgvIb9aEs3PI8t6CYF5eOWUl702fXJ3Q_byhp6iolCm044YUhu7z4Ctp46jTvsUch2Btveww1n2krNNB8FHjL1BoLxrIgb9=w1200|https://lh3.googleusercontent.com/pw/AP1GczO-qvlONjz7X5chZ4Veczx0EzvPOv744lw51p8x21y0YRGujc8g_gxtO2Ie6z-x8ktg0mkNJyN15o7fnT82eMsgl71szcISSOPVoyNEoKZjUG2fe8Jm=w1200|https://lh3.googleusercontent.com/pw/AP1GczOxjORVA0qqRKW6-y0RdArOHFyaf-4iHqQxNHIJpT9I0nQDIHP3FX_IfsSbYd13a8n--GlLEpIR5Fn_lj9zCT3r406WeIZEw1jSBkof-zItk_p_u9uN=w1200|https://lh3.googleusercontent.com/pw/AP1GczM_ZoqxNPu7V3d7uxpmQQdMDo-6zXRk5TgwBMVAxQ_pFVkYgQNYJNsGzcAZwrwf0B9KU0nXZI48ZOxsShzfdBH76lLZtxZupbIr5cakgn7fFtkJfNmm=w1200|https://lh3.googleusercontent.com/pw/AP1GczNV-eMdhZetK7iJKGPSiJL-i3QhnA1SLKf4rZl5QiT7D-0GdNivwHW_GcG-w8mM3Tn2LcNspjNXiRnvCDDeax5zPRnRENJjFRzQgj8q-Cm5XuuU7ypt=w1200|https://lh3.googleusercontent.com/pw/AP1GczMvnyjn4V0vqj2QxSUDkowgwqKZriO19FUGzt2fJAsKCy5F_dIPni8Igu9eD52pgfrEIQZJcL1iKPrYZpo0IZtqGXbEPgLkNo5XHk7plUFmMfg2HJVv=w1200</t>
  </si>
  <si>
    <t>1690</t>
  </si>
  <si>
    <t>Apatamento en Conjunto Santa Clara - Av. 26</t>
  </si>
  <si>
    <t>Conjunto Santa Clara</t>
  </si>
  <si>
    <t>https://photos.app.goo.gl/mNeVYZiUt1zQo2bx6</t>
  </si>
  <si>
    <t>¡Apartamento ubicado en tercer piso, recién remodelado en conjunto cerrado, cerca al aeropuerto de la ciudad! Apartamento de 84.45 m² con excelente iluminación y modernos acabados. Características destacadas: Sala comedor amplia. Cocina integral abierta, moderna y funcional. Zona de lavandería. Baño auxiliar para mayor comodidad 3 habitaciones con sus respectivos closets en madera. Habitación principal con baño privado. Parqueadero comunal, Además, disfruta de amplias zonas verdes pensadas para ofrecer bienestar y estilo de vida familiar.</t>
  </si>
  <si>
    <t>Apartamento remodelado, bien ubicado sobre la av. 26, Centros comerciales San Juan y San Pedo Plaza. Parqueadero Comunitario.</t>
  </si>
  <si>
    <t>AVENIDA 26 No. 31-68 APTO 303  B-4</t>
  </si>
  <si>
    <t>https://lh3.googleusercontent.com/pw/AP1GczN11TLd7Db6UrSU-SkRwWYHtWd1xLt4FZoj9mqFYzrAMUZSL8HZBRqA7E1lakxmfTB61r4IA8BiEYDrDnEvA0qLqzlYYl5QB412A8Jvx-hINv8WBdb6=w1200|https://lh3.googleusercontent.com/pw/AP1GczMlbelI7o49rGrTmdrRAkyWnqeiOmSQnZqAjOU8fFWgEWOPdD4m6AgxiZNt3zXsfpwSQJvZuJZ3VDCnwiczXMHlEn41hXgeKZ4nonoxiJAUHs_qqoTK=w1200|https://lh3.googleusercontent.com/pw/AP1GczMJ9BmpexvvTnX0WJROvi6M04qQMuZaQoEnHUmGfYGqDfLG3BXPm--Cobn6PcQzugZDHK7ZAynjib6SWcm141ZpveU9rr4Wv1IBOOuwpeWXNZ0qyLw5=w1200|https://lh3.googleusercontent.com/pw/AP1GczNYPW1sBNUuTa4BMdWnfJ8Et5KFU-7KUcvOnjtoqIPN7mxDrO34VtraLtg57uxCYyXlc8NbjM7fTtyOJxHKFVl3Kmmb7mdnzFENjnu2VkXY4sH5IVZV=w1200|https://lh3.googleusercontent.com/pw/AP1GczNCO0xFzyYZyytaaX5zLJ6rD1T6LPcbJqU22Ix5bfthSRyMisTYy3rIg8e7abyNAV-KgCTLOgC0FNguALRP-aiItt7kOonqlKD1NI9S1DNEPo1npkuc=w1200|https://lh3.googleusercontent.com/pw/AP1GczOTukMM86l7RjTk1yw0G_S-R0xgnOANei5UbIw44JlhhakJKkh9Aq6bDQ9hMdzMGR2L_MqcA-2PTUeFc4wpBsGHIAqzf6KA0213xMs35hmQwb78Yugo=w1200|https://lh3.googleusercontent.com/pw/AP1GczOEKksh4N7B6FPUaq4joH2ckgcIYmytwx8aEDd6CTl8BFQ28vUO1HGpy2kvTDdXo8_mnbPhPnvwhZ41_4fKs4wt268O005gRDkA4n_lHvfYPmVHDbHo=w1200|https://lh3.googleusercontent.com/pw/AP1GczP30mwRH58hN2xsey0dNC9pVU_cCF0jW8km9Q0B0fCqwNGTtOCJKzvsDhkWT98Xmb5mT5wZEpw2SoRQ9pmeXefhO-oJJpBAjnyo9gwRZcwlpdMlekg9=w1200|https://lh3.googleusercontent.com/pw/AP1GczNUNTP18Olzq2YGYIb68N65tBNrPIhgRoRqZchLH5LmHsHWCXcNSqzMBkbITU5FKBc5ooqZHFdj-2TOyDNeU1TGGSGiYiLc02YXZMUoJueyCf-6hELz=w1200|https://lh3.googleusercontent.com/pw/AP1GczOHreq9hdj0GoFe39NnzB9rYFevE7W8sUyfVuG6qcAY3f9MaL_B-DBJ0OhBtY3IGw79vNbfjV-w6lJwtQoreTv2E5IHGbDp35GLu4XWp8lwSqnHHsiU=w1200|https://lh3.googleusercontent.com/pw/AP1GczOFKKkFDfprvum4fYMUE0bmTofMTwwkkU9ESgCE_z4Zqa_5nfyGvQ7aMJ7AHymLlvT0ODY1fQEECbbTsXAgokJmGNlS-2QpUf3gr4AVm1jfZuWKnXk3=w1200|https://lh3.googleusercontent.com/pw/AP1GczM4hPTQGCNA0l-gI4RmHOXK99If1xxpfQ3yJFjL4wAqSAkZrjL3YwB-aa6-bbkrGuHNmAA-c4PWQD-tYwIKF-7ayxu5nbj-3Sx7S2KSS-AjSHQ6ZeSi=w1200|https://lh3.googleusercontent.com/pw/AP1GczOqFjgiAnOcEmmmEUiBz1SQwCG9JkbJ6OG6uXdm5A7bQt2rdLJfZjvzn7VGW8wdGRNB8bzn70uYcCleE9isD7RM1edYJjdvLxrzLEvVTRBA9seul8Sy=w1200|https://lh3.googleusercontent.com/pw/AP1GczN_wYSHAT3KW1_NW4n_xIzXFKArCXh9X-yw8wTbBGIOxowa3s8USFUXZ7VnsmSUTPP3yCq24_sbh0a5kYr88kjjr6rAq2ibOHqmG5TSv_YwbGjw1x-1=w1200|https://lh3.googleusercontent.com/pw/AP1GczPq1nmTF9ogF5EaBMT8ey--NktAra4oxgfIRt-CyXB9A82uFT2nWndUeq2vmHPNx2b7xkOK1jqOFbfvyg47fGaNxDRNCneddVkfFCiFLU4do6O6fUIX=w1200|https://lh3.googleusercontent.com/pw/AP1GczOlKO8_FQv_79P__LEFvE26zS5rLhTguc6Ad8G9oxLH1vcUCfOLLnSYc7KOqcpViwL0jlp2AhVAb0WoVj86356x7oCai0CGQOJxYIpJz3yMKCDW_QvN=w1200</t>
  </si>
  <si>
    <t>1511</t>
  </si>
  <si>
    <t>Casa en barrio Santa Barbara - Palermo</t>
  </si>
  <si>
    <t>Santa Barbara</t>
  </si>
  <si>
    <t>https://photos.app.goo.gl/Dg3YqKn5tKSrHCrS6</t>
  </si>
  <si>
    <t>Casa de un piso en Santa Barbara, con un área construida de 98.40 M2, consta de: Sala comedor, cocina integral,3 habitaciones todas con closet en madera, la principal con baño privado, baño auxiliar, estar de alcobas, patio y zona de lavandería.</t>
  </si>
  <si>
    <t>CALLE 43 A No. 12-42</t>
  </si>
  <si>
    <t>https://lh3.googleusercontent.com/pw/AP1GczMFaruCAygnQSKTVPeevdmf_OqK8gBuwPi1YQnowEDVqUU7Pk_sPP9jQbjCSWcvpyT4B12SVtRhMfU5HZRXfGCQv8xj6iw8jfZeeDX9H-KLOiu13_e4=w1200|https://lh3.googleusercontent.com/pw/AP1GczMBNrqw5BRPXjg0D3fV0pPJ0969h5u7SJ-YtqErx5rg3ZdtxOVIUZ1a6rhZwV0Qs72ParTrR0s-IPVMRzmpYSLPE5suliA_TptWQbkZU5KjcYHBuXmR=w1200|https://lh3.googleusercontent.com/pw/AP1GczNXNGKsE5J_zaKavV2uq02IlYqm96znlIZRwp4M5YmkjJAv9PSLtc7ovGxm3lDD8e65KaSeM9T-lIl-fQzFIPHeQNxK9S-BybsB_xptrPxBmT-JPfcI=w1200|https://lh3.googleusercontent.com/pw/AP1GczNPk0eCwpIdXRgZFbd6ndddrN9YuyhUjADF6CfHorAzh43g7-JWn6pX7PqYuNu6sN49A-IxbbJIQyjLIotBVC9QSUcc7BeU_Uyk2YxvCfhL39vvVzTO=w1200|https://lh3.googleusercontent.com/pw/AP1GczOW0wZmZS8sMglg_E0y2Zca_D_rNsr-sNOIDvpmEoRhCDRXu-O1hGnvhiYI0dSPFBOdr07u96sEBUKPAj72i9mEGDzvtATPWUWskT5LWuC2kY859ZqA=w1200|https://lh3.googleusercontent.com/pw/AP1GczNZ4MTbO3fPzb1jQCdri7H219kLwKJWe4-3y2TYhyJZQAuyTkwDi4l_fTJ9k-8_6OqfHSuOjdK8hg4_j1WefCD1lji9xc8okNrhPaeCIuwS0jS7BIzt=w1200|https://lh3.googleusercontent.com/pw/AP1GczMAwmiK_ibPG2EJenj59zawBS2a4g34Ev6zqwrhFd-WpHWILLiZ3limt-u-ErW70rz0G13QtgUao5spIYBKZhdPdTZ84wUpN7UPntxU5yZQsnh43ldB=w1200|https://lh3.googleusercontent.com/pw/AP1GczNPgv2bFBebt4PHWEYLacuM4rpiDrFiAHU0OWh1dri5pu2irJJFDoRwseozDGQe9sjo0CrAsb3LmK7kg2mJh7InnK5b6BnNC-rxrdMKUJxmEke6-bNR=w1200|https://lh3.googleusercontent.com/pw/AP1GczNkVp2Vxooz3pR8o9VwvOcycaMo0XdE4-6nhpr94bY9muPSs-00yLXXwiDPr1EaaldI0FOLC9oEU39PuOQJajvSFcNidLWEZ52y8hAD9lmgcoaWZ-T0=w1200|https://lh3.googleusercontent.com/pw/AP1GczPMoOcfshqakibsmGvdl9SY_CRpsdZ2t-2VUG3asBDEztPVXQh1SfDiEoy4QDuG9mrt8CwC2kANw10MbjswGLzn2zxM335AEgqBMldtiu-9JuM2AZ6f=w1200|https://lh3.googleusercontent.com/pw/AP1GczN81XXydGrJlaM4QlNiAzvfueoipgsR5TlkI6uX_wWLjGw4v_meNDtQiCk7LHnWJOlwYtyl0ybD41V259ddzCkduqD9MbNhxcLN33vD37AYXtn5xe6q=w1200|https://lh3.googleusercontent.com/pw/AP1GczODFH1hikhWcmzY585A4Phu_GkU05nt_eRGzYp8RsXexr1gTbFIZ3Cw_ooP9VxxApnkBf33gedfK3zMU5bf8dUR8qiBv1w3QclPtWDuW2qv0QpqT27g=w1200|https://lh3.googleusercontent.com/pw/AP1GczMojmLmUUhzSYn6L-iaw2N0Wu8Y3qN1TYn_8GyG1UkQBa8t2FSWeM-HmUjGMLysFxQSPhxsVYixZaTcYmMEVUp-DI248unAtmpS0Azq_2zw6SRoYr3d=w1200|https://lh3.googleusercontent.com/pw/AP1GczPPMLhYIiXDGCLs3ZXvFkToNOad0r0dFCJL3EMdZF32w96d5HDI-iD80AB_ewhiFz-QE-S4PA3QvNtLW8TaU__02-umUUeLTRdiSlUy1guVJMi2ryrt=w1200|https://lh3.googleusercontent.com/pw/AP1GczMdOq0wVjVL7wqEq9M98Ay-_ro_2HVPQVfWyiCyCsGnVbi_ZdsfLS4YIrKgsUxz8NmrJRL0lhAwCgE1g_OKW5gNOK8WpdpzmjjFEWgQd2SJpes5cZb4=w1200</t>
  </si>
  <si>
    <t>609</t>
  </si>
  <si>
    <t>Casa en barrio La Orquídea</t>
  </si>
  <si>
    <t>La Orquídea</t>
  </si>
  <si>
    <t>https://photos.google.com/u/1/share/AF1QipPplZBV7tlQYw_pX8G_Pnt4qwAW--se6LialvKIYDv8GNhg8Ai3-LzqaTbudRMJYA?key=eDVMeW9KYmlvSHZoaXRDR3lvcmdmU1FUbFhtdUtn</t>
  </si>
  <si>
    <t>Casa de 1 piso ubicada en el sector oriente de la ciudad de Neiva, estrato 4, consta de sala , comedor, 3 habitaciones, la principal con baño privado, aire acondicionado, cocina integral, baño social, patio, parqueadero.</t>
  </si>
  <si>
    <t>NUBIA DIAZ</t>
  </si>
  <si>
    <t>https://lh3.googleusercontent.com/pw/AP1GczPzc9I6XfWmU2kiR20YycQ02QwoJCS4tiRChCRBDSiflf7BBthR7ejJPVq5ga2EL8a21T8uBDjUfhqfET-i1rFoPJkUDUiVb-3PiIlM9aOhR_97LR3G=w1200|https://lh3.googleusercontent.com/pw/AP1GczO06aKczlbk9TSx-C2kk97QYjfZeG_xeP7cTgx2YcM4uaYF0_HdRMUBDHDqHeC4q_bo6FD5APV87izotbPmLFstCFGukhdKYVpJsBPsKGICYagM4qz3=w1200|https://lh3.googleusercontent.com/pw/AP1GczOvzNkT0tCVQfYW5xPJMRt5t4ZKx4Dq1QURrj7UHaf6VMe9nSkEUbgFKWGCn_mjykdsdRQMD7p67sU64QVChbXoW-uCHsFNSYjGgEAFtYqJzI6Wogey=w1200|https://lh3.googleusercontent.com/pw/AP1GczPta8vk3heioOoknCtawQP1io9BOF8BIn-dp_ugWsntysvT3t4SMTcdrssJHF-lUwK0QemF_N74mLwKchVvlTghUf_PBajX2o4439XW9BHwb2P3szuS=w1200|https://lh3.googleusercontent.com/pw/AP1GczNXRCrJsufX9foBxqsR3u2UYTjWLEVYOQ8VLcpR3vBGSqY98is_CsdHmDZKpvfQ41O_IJPOXZ6QD0ltrMdbNzt8gfQPdmQcPGQtgSEGhIlkyhY808UE=w1200|https://lh3.googleusercontent.com/pw/AP1GczNiqvENu55f-mzWR3s5CCKp3sgZ03WIMgDrvmvF5BEO0hQ65U0eY2sGYnZxZTaPVCvl5jq1ZlqyeDdCW8ns2PsMLYzZDCSM90eW5NqPKAjl-BPSOOZq=w1200|https://lh3.googleusercontent.com/pw/AP1GczM0Pb7wTAgURWrlilNSBRc73bJiWabYz-dduK5WaqAa9v7Hc-HgM6voGQIXru1gQJtXlu2-EhgT-H1JXfW6-h_s__YH8nLzmtdXSCR3vNLdH-ajlGz7=w1200|https://lh3.googleusercontent.com/pw/AP1GczPCTUAwWWJGByT5MeM3181qF_fPl9YORsYKNZC_u-PPwJycgm6cCoLGYX1RcNdixfBvpycNWTP9P6rhQxkPHIlO9sqxI6tXeSoVaXgHDC_9RHED3LSK=w1200|https://lh3.googleusercontent.com/pw/AP1GczO73jevgS2Ga8mt5txP7qYXspyRT4w6RTLH1zp-wwOmpTTJ571U0RQRgINNv1rn2dNWEMhEHJwJgr_dT4SlhICWFHSrp3C8ky9eLE3_6kk9SrsuVM9t=w1200|https://lh3.googleusercontent.com/pw/AP1GczNfWOHYgnS-MNlYgPOR7Ur_hCIJZ9GKCuMgIj4UzUlaLWjB-7YIPPyRpMaYMSShWW-o-Fj4ulop1vqbiadbhQ-ijbGyHcxKk0efNuxG9SkqDdtpkc3G=w1200|https://lh3.googleusercontent.com/pw/AP1GczObpDSuq68F_37aIbh2o0RSrRwVXa5F8hlxYPeiUVIyGDi5YneKEr8Em4zCY7YMpCGdpzQSKK7_wHH1FeMcGJH7QW_A2hpQ0SB_ifpmUg2Bnxnnn-LD=w1200|https://lh3.googleusercontent.com/pw/AP1GczP76nvlthkK5urSL6eJeq98tyNx-25KR5PXCEN1pyLcJ00UhJBQZnZiV3YJk1ARNgtc3ox6yHdT4nIj1Pnw3h_2sefn1pKEaQ8Oaxbom7wMgGOAZEE8=w1200|https://lh3.googleusercontent.com/pw/AP1GczPqv6Nnmjut2PswSZw0sNXc8f3uH9mnlschkRhnjZyWY4_b5y4cpgY0F6UL9A2FL_w5wt4zCTXQ3MXaxq-ZuMboGUiF48spH5_Whdl8mXfFkYr2dIP9=w1200|https://lh3.googleusercontent.com/pw/AP1GczOII5letohr8lx9Rzwk7_5xfzuTX62TNEKp9iK4aG0t2t96KIHMXVVLT-BSs6PINnQ-jYwcTcnEJRptX4xWqPi5uLs2eBPa1J46RMsUW_x0aXpHAQ6W=w1200</t>
  </si>
  <si>
    <t>1667</t>
  </si>
  <si>
    <t>Casa en barrio Alcalá Berdez</t>
  </si>
  <si>
    <t>Alcalá Berdez</t>
  </si>
  <si>
    <t>https://photos.google.com/share/AF1QipPOStZNEuG6CxtIeuwShcFiOkR6KtMKNi4j0VrAfCI3dg7UCXrUZjoVEBa-RGG-0Q?key=elVSMVlRczZ3RFlUU2hSY051QzJTTjR6aF91b0pR</t>
  </si>
  <si>
    <t>Se vende casa en Berdez con un área construida de 114.80 M2 consta de: Sala comedor, garaje cubierto, cocina, 3 habitaciones, baño, estar de alcobas, patio enrejado y zona de lavandería</t>
  </si>
  <si>
    <t xml:space="preserve">CRA 12 # 45A- 24
</t>
  </si>
  <si>
    <t>12 - LEIDY YULIETH, 26 - NINI CASTAÑO</t>
  </si>
  <si>
    <t>https://lh3.googleusercontent.com/pw/AP1GczOnCRBtvn2xQ2OpOWwTQKwCdRlGk4OYOcxdSdX0N2G2YZIQFa91jectDZCVjvm96Fkw-ouGm-ZHVS_Yo-ZZAT1rAfulk2uWgC3jS9aF2cV5SHjqQmRW=w1200|https://lh3.googleusercontent.com/pw/AP1GczOxbZHG_qrRxaOLKH1BOoGwjlLaZeKyFVbcrVRkiTWvMURLJ8X1z-KbruDDbZ_ejmdiX4h5entBi1LjusLvvSABaZTMgIuGypROqE3SxZOQUJbOqzTA=w1200|https://lh3.googleusercontent.com/pw/AP1GczMiae_RgVf811zdrnKaohBZyEgWXxpK1WEbScIaONUI2N1rg7erqEM2frFXAXw0BFGE3Gn89wE96_HyUYZ0HNhWPVoBHzyzqH4UVe6-jnKQlAZDHlO8=w1200|https://lh3.googleusercontent.com/pw/AP1GczM3mfMRhz7uTGIz7QlWT-6tvDw0DyZ0J6TBLyOXPOcCspOBsdM4qKkJ6yLgUvZy2Y9pf_1AB1oRY2Jhf3grAcnzseCNP6PEoF-QJGWCKDCUXzDDgnaC=w1200</t>
  </si>
  <si>
    <t>1772</t>
  </si>
  <si>
    <t>Aparta estudio en edificio - Oriente</t>
  </si>
  <si>
    <t>https://photos.app.goo.gl/dh3PZnvt2V7tRhiG6</t>
  </si>
  <si>
    <t>Aparta estudio bien ubicado.</t>
  </si>
  <si>
    <t>Con excelentes acabados,tipo minimalista.</t>
  </si>
  <si>
    <t>CARRERA 31 A No. 8-46 Apto 503</t>
  </si>
  <si>
    <t>https://lh3.googleusercontent.com/pw/AP1GczNKLT6OMFw4nXMhE6RYZfYwwWHL36NZyBntdpWg4Xk3bYVlKCFx31MeZVDGtQYDVJ-4q0DtBneXL-IKOusBV_9DqUZMAhwWjIwRA9WzCp_MCYwR1-Pp=w1200|https://lh3.googleusercontent.com/pw/AP1GczPCv1h027yZxNWjZN6mATMRqIqoH_bJhIDHzVZH2LAiO_-hEPvIPFqMUVkGfm35rDjOgMaSyluWtfJSD9z8b-jO_Io-ReHWuvHGbwEkkTrZwxYjQlQ6=w1200|https://lh3.googleusercontent.com/pw/AP1GczMJmaYI8LB9y4cm_OIto7EKxDUk3FHCDmXbwK7xGnNHBpuRXev4ecQEGMpnvXSp91imcNQswWDyaSM1lvbnpAlkzo2SWVCr261xlKOsrNCo8fWjzw5_=w1200|https://lh3.googleusercontent.com/pw/AP1GczOvfM1AxLwSRQxCD_FFAJiqE60yAIc9GWV_2mlvzWvo4WWKXJZ2t581xVyL6ipujR7Gcu0w4Sw2p-9yJzpNAeHmGx61E6_XO-FYzItULddhoWn8-250=w1200|https://lh3.googleusercontent.com/pw/AP1GczMcp6Zs0S9LKg7DCMIsJeXMk3bLesY3dznGXMXJlFb8VSyE5nbjMQFpmjfFj47UEvqoDaQCsWkydWUc8fkvilhChQVkuOGPUAdtKEFlFTndLszt1cGo=w1200|https://lh3.googleusercontent.com/pw/AP1GczNvVJWU_Naq2aY-fpra5kNPUTgOE9CPlwZvGbdw79VU39TZqUc1CoVNmxPRgm2FLSNP2bKpzL_KfEJ-rm15HwGn5jAigL7B-bLFiJ-7LrnQFIYt8pzf=w1200|https://lh3.googleusercontent.com/pw/AP1GczOzc5r5UThvyOW2kBKyuHJ_Cl6LXnueTBAo5Y0ddKhW2sYJguJFdCyGwA3GcezC71JPzAFB-PCd_uhNLc_O_ifJPdNe4T2QcIZV9djpqUDafkViXp0q=w1200|https://lh3.googleusercontent.com/pw/AP1GczMRXICa0RWEW6E_sZ7y7Tr-fRJND3rre0oBfBZRXNajARvthzf0gA_XX9zr5XuL-50XjYMLS_ZL2p9zKESAMYFZeSmCzK7t5J_QEtZLcux9Z66Gp8e3=w1200|https://lh3.googleusercontent.com/pw/AP1GczMIX3l68SI985TCDwJhXXyrgSa8n_2hy3OSHwOAWFC6dUFN9R1kB1-Bhn4OGjt8fuPljkE06h7J4kDZXOoM6BC6Xg2wgfKBV16mHytiAxfKDW2Cy4Di=w1200|https://lh3.googleusercontent.com/pw/AP1GczMrk6J21eQVSiujFLBBuHiiDxk_hqinNgbL2jQdRXV4aPQrnWCwSh00h0Tfm4XClJolcLFp03pCrW2Z0Pn0yeP-A1ctfhQLCzsMDlF9fLvtwvzvgMh1=w1200|https://lh3.googleusercontent.com/pw/AP1GczPgaXJUaTn-2nUQhxvZq7_fmoP1X36GFs5hYa-2bwaYfZc9qTdgzTRrJeoES0w2_IGF5KEzx0MT89m6nYTrYTUShajUDYm3N-gWp-2EG7_x7goRVIW-=w1200|https://lh3.googleusercontent.com/pw/AP1GczPTlq4vuOZhAfyrk0Xm_8uHupzevGX2RvBtsBy1q_f0a-gQOxBylsZh6NpsAAEj1LDvO1HgGI_FpZe3dLSYykERB8AW_QUxi5J69hsVxK7tb4sDIURP=w1200|https://lh3.googleusercontent.com/pw/AP1GczNv357pDqO4tzyzlzvE27S8057uDD-2-uMEXkl5SfLOX7uSOGvMQETEuWehALpnFDPJ89IpbamrlCSewh-EtRW35KrL0tFHsoGwYU7rrFNcv3b-psnd=w1200|https://lh3.googleusercontent.com/pw/AP1GczPZwxk2jKJy-x6SFVZbVTYfK_r7YTunLDXEPmOysyqtlHyJHiDAqo43cBrKGTx3I4JHDf13CbsXu34nEnpM632wfXhyVzzfuj7jeNT1L37tQRGZr5Rh=w1200|https://lh3.googleusercontent.com/pw/AP1GczPuJMKDXjlNGoVCSiDAEuXdiLs2_tX8Dnd3YzIdMJk-o3Md9KSDRM7cXotSdXK3kfBB5lURxswZNPVPbU7JPx4eob49CnnM1jbkr_baQhh4KyUyEYId=w1200|https://lh3.googleusercontent.com/pw/AP1GczMxYRLoiYqTytIykuykX-wvvM-ZeAdIjSxTg5mfl4VLb7cGH3TDUdWj0rV1aN6ONqpHUr4Z2UEkWFtP68E4QYeD77SdR2SpHMld7qC7pqAa0qxxQu0E=w1200|https://lh3.googleusercontent.com/pw/AP1GczMWUHQ3UAGldJH0WuRoy3rP1JeO8h-x3Vl604PJ_VZtd8-wzwJKErxCVgxJf_rdcBXJZAb6TA742OmdsCD1RADw76SbhhoUHxsnT118isocWvsDbLU4=w1200|https://lh3.googleusercontent.com/pw/AP1GczO-JjdRs6Y5nUt1N6QXfTIkE1nEa4h6YM3Q3Fc8uhs713MS3Qoxio5zaRJlZQmCwQeV7vwR3hEDnZmmjzgFFEHKu6k614KjyRE_4AXeqBiNGJkbtE85=w1200|https://lh3.googleusercontent.com/pw/AP1GczObv_H3p-wmEX6VdC3J9yPKyiyyQgK6vTsDmoa9dGuLJU8VCRLXhuxA0A692tOfLJMOT7v6csjIqq7gdxSN69Iy5iG3rhbUoViv1XFa_zDslFH4Hh0c=w1200|https://lh3.googleusercontent.com/pw/AP1GczP4vLNgLIsHhAVIUNJifqA6Qv6KYcpc64H7q4wJm8KQUycmHSwYSJ9WVtgYnQGVvYqc7768BMnbJUSOy2itBPM0h0hqhBM2yD77-lcjROquYhaxzOG2=w1200</t>
  </si>
  <si>
    <t>1756</t>
  </si>
  <si>
    <t>Apartamento en conjunto Residencial Encenillo Reservado - Sur</t>
  </si>
  <si>
    <t>Conjunto Residencial Encenillo Reservado</t>
  </si>
  <si>
    <t>https://photos.app.goo.gl/b13pYTpZtLNZTUBz8</t>
  </si>
  <si>
    <t>Conjunto Residencial Encenillo Reservado – Barrio Encenillo Estrato 3 | Área: 70.15 m² Este hermoso apartamento te ofrece todo lo que necesitas: Sala – Comedor Cocina integral moderna 3 habitaciones (la principal con baño privado , Zona de lavandería Baño auxiliar Parqueadero comunal ¡Con una linda vista al interior del conjunto!</t>
  </si>
  <si>
    <t>Excelente vista hacia el interior. Conjunto ubicado en el sector Neiva la nueva.</t>
  </si>
  <si>
    <t>https://lh3.googleusercontent.com/pw/AP1GczMFnHKMZQp5fNbLDIoHjdEcx8OHo0TE5lPgh7vIEawxa5izCY1bSvH9HqZwt5NPIFLiL1ULxdOP-4dj1RBp-_VuyzhfxON7tLyHNC1aK5EufCv1WZMc=w1200|https://lh3.googleusercontent.com/pw/AP1GczMYSLY2YXkEqUlA23vaMdMTzCHt4Tu3115Q3PHMDmvYeIA1l8J537ZNo67lIo4IdGTWALHee1AIrfd-cjLKVGS5ZM1GWo6WYta2WaDxsMSdzah8qvkB=w1200|https://lh3.googleusercontent.com/pw/AP1GczOMVCwYYR1cmpsaJm-yFVHXxep8t5eT4zpnzpFOPtA10MIZfltQyZlhrk4YIpD_NDQaKG7X_2H6FtN0pbPcHQqIMtYhZ4OMJ84ijbBW9L_QdUd-T-F1=w1200|https://lh3.googleusercontent.com/pw/AP1GczOj7_AA4vILaeXArUHNArUIiK4U5Wffx7moCvxFNpWX9Mn1tKPXfFQt-W95QN4Cj2xUOlg4inPu4ud0qwNaLW5hqe7rZ9AYyA4kQ9fZPfcVMWHzIRy2=w1200|https://lh3.googleusercontent.com/pw/AP1GczMykzhgojW7HwpzoBTKCswz90CyVcAHxaVdNS-QLJmyTZyKQjRaj4lgRPRrU_YAeoZ_3JohdqcKtDGyTTO5VaKbERfNcQNTFH5iYf1gDc6vcMhufdqN=w1200|https://lh3.googleusercontent.com/pw/AP1GczP1MNWin0As5BY62FUvBDqQb37vm31kUD9wi3MMsXi8sxNMeP68-mrYGge3Y_L1jz10FZ7J7XuYNe1hMYjCHvozaBiGDFoQxgH1agfP9qB5cE9BMeXv=w1200|https://lh3.googleusercontent.com/pw/AP1GczNhppD0AoRal2e_6nbYsDKAzL0waP_IWfx9uqq2YAsLEcXStXEJqBZnZQKNtX7JVoZ2PoYRen772bg6wD8GFqfoBJCqGI8qzHo-gvQ1aTsJI2wnnfxQ=w1200|https://lh3.googleusercontent.com/pw/AP1GczPtUTASxyumMcAvVjXg4kgiiDHwQAhTwMzQ7TW4xYkihQ-1zr3Nj3OFwCwZsaRcVYzPtayT-TAk05RfGeMXD51BWjgin5P_U4SRBfTFYBKYrsLR2Kj2=w1200|https://lh3.googleusercontent.com/pw/AP1GczMg86I5iwvqYLvuN4GaPVmlzDMCA80JsgDUsP7IFMt0I3rANy9wliPFJiBQ8KTnFrxHRq7UCm1xkh0S08G3qRz0VrVATNeKCa7Ru2YelCpA65kjdV_P=w1200|https://lh3.googleusercontent.com/pw/AP1GczOOMUO00MRQxsUxL_oelp3WSpQArSe2QJyQqmWf38NWzFhBlNJ98RKKrUi9D143vVs_wyDGzG-PFYEbSzEuHfN1PVa0wCxQ4CNh-nHiXAI2SlLzz1-B=w1200|https://lh3.googleusercontent.com/pw/AP1GczPkRxohFhHX_xBww7a8Dd3RxIljvPugf46nK9ZH1t87dVe-z5qTHbpXyKyrq4EABqyocE90LizwPMW2ok0q2XnzcHXQDDbdy7L0byllKSPCCRDKA0JP=w1200|https://lh3.googleusercontent.com/pw/AP1GczMvDblXleRN9sz2HwRQFJ1VKGKZLmH7P8dQgtqXL0nnuLPQvF8EcUdscwKRu4IZ5ntBPD8GoZVe_MOieyEB-R48zzXV2wLdot27rwDbBwd6Mw8c4U8D=w1200|https://lh3.googleusercontent.com/pw/AP1GczOCM0ZrfUDuA0W7bzIB4p0lHigWGux6vIoS0lVrAtvJyRYIAa0Jt0Hx1DOUOrRIggTzo3LMp7pL-s6dfRuse-EGsvcKC4dGLmp57f2PBd9keehK2_mj=w1200|https://lh3.googleusercontent.com/pw/AP1GczMsIsAyUYh8EI0WgxrGOR3ByZ2YN29t37Z9TmmcDvhTQ-7zyawHUC56nQYSGWauqyBgLQCXXTdElU5uFjKhvb6HCBc8lcOd-EPAamXcjg3m9A9MLvck=w1200|https://lh3.googleusercontent.com/pw/AP1GczOhZGpktvkc8I5WLUj0LvNlB5zqHV5Kg2wk2wtuzlz649c0RlHMhs45o7o9Ox1SJksds_JdEJ00THTusIPx9lPHXUogBhUCyUSbcMgckdqXJulGefqU=w1200|https://lh3.googleusercontent.com/pw/AP1GczM2AiYMey7TxImNMM1waGKsa_0juK6K8K7TwOxscdlUAmNOWv4lVQPtkZSl9Js9on4T6d1p-C8Y-ey4Zt1ihX4QNXdv2nXc7PbAO0I91X3fDS-fXWo7=w1200</t>
  </si>
  <si>
    <t>1794</t>
  </si>
  <si>
    <t>Apartamento en barrio Calixto</t>
  </si>
  <si>
    <t>https://photos.app.goo.gl/dQNeJQ3AvrrcLDDk9</t>
  </si>
  <si>
    <t>Apartamento con un área de 74. mts2, estrato 2, consta de: una sala, comedor, tres habitaciones la principal con baño privado, tres closets en madera, un baño auxiliar, cocina semi-integral, garaje, zona de lavandería, pisos en mármol, tejas en ethernet</t>
  </si>
  <si>
    <t>CARRERA 21#6-57</t>
  </si>
  <si>
    <t>https://lh3.googleusercontent.com/pw/AP1GczPb8PyFcJw0m_bc_2WuXvYn825a7ZBJ7YWiUvJ8-F_469NV6DMprtG5Ta3OvibJVN4CHqmdKBAtG3QR_tITknzjJeJa-xnmZfl9xYY7HmQYWiI9-o6q=w1200|https://lh3.googleusercontent.com/pw/AP1GczM-8xcS0bq5SVqP9riEp-e6I8DTNqyZVwhvY_WuvGXaJrIi-0756QqaFSV4HsveZtr9tEZDwr4jqvnh58Y2rjaJ9nxMruZRaw-zEKGDfGGKjrNyMJHx=w1200|https://lh3.googleusercontent.com/pw/AP1GczODTjWzHnr9pGFoDF3q9IDohtV7BGhiGeX_GnfecNvakPYPy7tAHe1n0xiMuxFz8d0jdPD-Vuo5qJsve1IMpymn4zQtZp4Oy8_IZv1MVhBVsk_PFYb4=w1200|https://lh3.googleusercontent.com/pw/AP1GczMgTuXNDlj2nsI-WT92pC6o6FoODfUmSq3ITbOzHruz2lsuITHMtDbX45JdhmKO9psTXpSTOkioB2PFwn9eelrcrk3g7aXqZPOrnoAko-xLXMHd2Qze=w1200|https://lh3.googleusercontent.com/pw/AP1GczN8yQjCWZKZjPv1Uco6XUGkjU3Pc_oBuKG_NRyYwEhCW2Hh62mRlBaz9KbtWZSBtXFMAWyCbTIzpQ6DM6rTNbJjedo5r1-Tz1GJbWqeohhk00_ZhhEw=w1200|https://lh3.googleusercontent.com/pw/AP1GczNY_x6l_oplLOSmWJw-YofwQV2xZNE_7i10gDgI2R9CBQQj-jXK1YvoCuLMbNu-WXh4bZls7ZCw1qLBsPcVShxSPCLhkyuj9M1al2Y7ygZsYulXsaka=w1200|https://lh3.googleusercontent.com/pw/AP1GczPDDZe695enyO4ZW-qvbDwo_deXeuym6QFAgMHsCCq0ihiNhssWnP1Z73DyZ82MLujK6Y2DLGKh0lrApmNCz72I6VVnv89wBnSeBNPM1NOhWbGrJSUN=w1200|https://lh3.googleusercontent.com/pw/AP1GczMbyAdoYH69uE-3qYvPnlSPRskLLEH95w4PCFVRhbb4llUPrCWx1fSJfSMBB0kNEiihkPZu7LsknN1F_ep0wU0qf11tBUQW9FIGLdG2ZtwqL0TTYnKk=w1200|https://lh3.googleusercontent.com/pw/AP1GczNh42xL7-fQfp9oytZZT3bGdcM9FzIR7FGUNAdPNEbfArVQviUi60aaV4TaW-VRastOEqUf-1dzi7P68Ty6zYdovVebES2LbiqOviA4NvKjf5W5hSj-=w1200|https://lh3.googleusercontent.com/pw/AP1GczMOG35eEpzPxD_VUNRGIgyNxz-6-4UnBGemkv96-6H_x5qWoupkRdIUNrXUWmvjZ-6bb-QRc9VrffJycMwPt75PxfnsCiBu-mfinwSVPADq_IeN4g9c=w1200</t>
  </si>
  <si>
    <t>1541</t>
  </si>
  <si>
    <t>Apartamento en Conjunto Residencial Torres de Alejandria - Los Colores</t>
  </si>
  <si>
    <t>Los Colores</t>
  </si>
  <si>
    <t>Conjunto Torres de Alejandria</t>
  </si>
  <si>
    <t>https://photos.app.goo.gl/WKFvoFk82uTdBDbWA</t>
  </si>
  <si>
    <t>Consta de sala - comedor, 3 habitaciones con closet en madera, habitación principal con baño privado, cocina integral, baño auxiliar, zona de lavandería. El conjunto cuenta con piscinas, parque infantil, BBQ. Salón Social, parqueadero privado y canchas. Estrato 3 Valor de Admón. $200.000 (2025).</t>
  </si>
  <si>
    <t>CARRERA 50 No. 27 C - 01 P 5To. T E</t>
  </si>
  <si>
    <t>https://lh3.googleusercontent.com/pw/AP1GczM8ROvTN5IVGACC49Se6C_SyxkjspOyJwdTE6uWUBewXUhgQ_hNwAgv6fM6P-uzu2LkoOWePjdDg9aFWCdcf1PAnsPsx6jUqYNOKOXsIdapp6JQOU6O=w1200|https://lh3.googleusercontent.com/pw/AP1GczMS-zbPYTmvBeBOGW4E3Q9j2Bh1nB0JhXQPIB7MKt6nvV7frZq17Ml_0dDkgB1eBv6RGWlhoySguI94uYljBKh0-ShH7cn9_NzpVOWqIrc0MSjkvab4=w1200|https://lh3.googleusercontent.com/pw/AP1GczOVEQ_QeyyV0F_5xf-urqg8MAhNB8_e5sMrW1m3IcST4-F1Zmg5bgdVBiAJYqTymXFM7PCyu1Lks2ofyZsjneUzuRnMgx4o27elKIEfTobRv0jXAMAP=w1200|https://lh3.googleusercontent.com/pw/AP1GczNvE3Z06cGV8YK8skFJOKfwSb4AqNETbNCj_3d-a8XxI3lPRqbvxKWXGLuZfxM2MysBc_quFBuHay3_ObUicvcDmlQSeK054pYIflLanadXKKDRV6rI=w1200|https://lh3.googleusercontent.com/pw/AP1GczPsQ925OIjolsZaMWbOraQwdkoKGe_V5PpJ6bKujJQ6gcntOZo4GVJWz8WF334W0RfEI3GDZWVC634hTxZfjlnNxLXMRRdoHHff7YXmy59T0oxE5CnK=w1200|https://lh3.googleusercontent.com/pw/AP1GczO_jHi6RMhfe0Xz43ZrnNCnVLCxEUAstlVVykRuO_Qj8Cx-VObRumqoDr74qsxqEdRWkvnUDbDNpzKxBPxcNbrZuG4Anh8CsVn7eqRQkoiaCbdGBXKt=w1200|https://lh3.googleusercontent.com/pw/AP1GczPKqEJSGdOziDn1WQE0d53Ykde4YwuRBrkIWUF_TAB2wWmQBU3k4jSjxFnwcSASjYFG75gu5Him3izv3wKiF1MYwBlRB_HYLT0h6nh57PDFqYLFr5Ox=w1200|https://lh3.googleusercontent.com/pw/AP1GczMqhiFAwji1cVETpPJ_QGjeDpRVRk5tb1xJ7D08ZCg2SipvHblVHJH9GjsQEXLr5Om6ScJOkQ-I_BJ2i5r5yKj5ok6xztD39ChGQGd1PPxgIUNxj1S7=w1200|https://lh3.googleusercontent.com/pw/AP1GczNkEy5N7L3nID2zRI5Fa4PF-mC11cJKAZ2LwxgyZr3KudItasXQw-CrjkPig1mq0juLAAA6L0ceyRFvS7vo3wk0k2p0Pl1cZW9CthELPFkJaldYc1rV=w1200|https://lh3.googleusercontent.com/pw/AP1GczM_0l1QUj_7ag-vzfqnA5RYEbM03BkeM2vQ2vkcqatNbqDXZSLaTrzTSchrMD2KX_wXolinkW32a8SqUO4jdAgu0WZtMOuH7mTzscI1MMyFZDPEL6Dc=w1200|https://lh3.googleusercontent.com/pw/AP1GczNMgssWu3P3l1s5g4l1zNcSPEFQ_6IQQgLUvlFZWcwfftPUACt1MFK7T7gwuqgoCV7I9dWNuHH7I_4-OJVKQXvFaxjTD2NB8l1tDskHgmxrkRVwkJ4B=w1200</t>
  </si>
  <si>
    <t>1549</t>
  </si>
  <si>
    <t>Apartamento en Conjunto residencial Caminos de la Primavera</t>
  </si>
  <si>
    <t>Alberto Galindo</t>
  </si>
  <si>
    <t>Caminos de la Primavera</t>
  </si>
  <si>
    <t>https://photos.google.com/u/1/share/AF1QipPyLgpSp_aA6U2gyr1nfKCxs899mQLJoyaOtxqcw92s90SWyVzzTSAo_LZWHd3bDQ?hl=es&amp;key=NkhJemRVOTM3bVBIeUx6Q0UwQ1dDZWM3QUdxaFdR</t>
  </si>
  <si>
    <t>Apartamento Conjunto Residencial Caminos de la Primavera, consta de: Sala-comedor, balcón, cocina integral, zona de lavandería , 3 habitaciones, la principal con baño privado, 2 closets en madera, baño auxiliar, parqueadero Comunal.</t>
  </si>
  <si>
    <t>CALLE 78 # 8-42 APTO 1102 T4</t>
  </si>
  <si>
    <t>19 - PRUEBA v</t>
  </si>
  <si>
    <t>https://lh3.googleusercontent.com/pw/AP1GczNxIRMNC0gHpx2IiL18hcLDEDHxze7Ub4W5RGQ8G3Tz2dyOtvDWbs_MADDzVBBLNtT1885H00lKO0vXqAlmwxyRCyZ8uHbA2JcxbM3rksrh2zw7DnAs=w1200|https://lh3.googleusercontent.com/pw/AP1GczMMTGxK07dQ8m3hj2UMVYqKXxBMdTPVIbtMiwfHUkVd15mIq_G_4Sbu5znZpV3g2bNyM1w0i_nsCTDz_fkJBFhkRxwc7I5wL2Gt_9nfuGd3MTzciDJq=w1200|https://lh3.googleusercontent.com/pw/AP1GczP76VxuE3TeVQYcC3_jJXJL7b6crVSwuLEzvkJgFCZAS9ITH5U7mN2RISlgTEPUMF3YqS5Fw1DQwLv9HigEDEYjXARzds6AC421RXldMQDchCviTw0h=w1200|https://lh3.googleusercontent.com/pw/AP1GczNDO-xs_8oDgyVJgofw0noBulNcozwCusbd65OssY9mBIhlyXbPcG0O92aNq3e6Zwc0xYHQHKJLbIwoS2mXOJmVBhbUYlf-2vNXzwMEfAfNEqeMz-0E=w1200|https://lh3.googleusercontent.com/pw/AP1GczPUdgj3x11kvltkPDX76Bko997MpJ1v2tzns8hZzcgdN5jwcN1M0tBBTMQukH4LkjRWrnp6yYVEf13icHcH7bFoJqv__jKQBJe7Xacv5rVuLlkjspf8=w1200|https://lh3.googleusercontent.com/pw/AP1GczM1X9oivt67mfSHFKkK5f7ltULdxNb8b_3boU4fl8Gtm6LHonxql4c7yri-a-o_Q8tRDCnzV6notgC26P07Cmki1DwTsksd8qc-0Xj9bX2BGFgpDsbU=w1200|https://lh3.googleusercontent.com/pw/AP1GczOXkPvJmDgdMlTnq3JDiECf8ZOrfcL4fq6nvw8zQ-D-1RySMecxx852DFHpcw20ByKgSXdhZajOCdJvDma8xYHHhl-U5GGxovHLTFFXcyi8LKjFZRR6=w1200|https://lh3.googleusercontent.com/pw/AP1GczNrCKzbSLbIDWwWhmWXWq_YuquTufvpWlGoqtWfLK07zF6t8IipTsT3S4hTMwVIfgiqJ0y8oxaaukg1vmIcYtn7m6LHfcfFIgzW7e-9MiCh5ux72HDV=w1200|https://lh3.googleusercontent.com/pw/AP1GczN6OKRn57Y8_yaYP_CW7UHREJoyEiJoAvDb4G7JYFSzan0xCnYJXhKEeDXpv6nE-pyiuIcDDyTj3Egmpo5VADnkXK53l_nGowzCSbk15pSUsHqfhRjQ=w1200|https://lh3.googleusercontent.com/pw/AP1GczPtphnoQodMWPFZqFS6NfVqq3UuHRIDUEEodlXqyMPJIh83TiJ8gwL7Gqi4B9J1DXQNzYVqNPUCMqzap7Bsfynq99aCJW4KI6c6Cc3526Tmbnb3fOsl=w1200|https://lh3.googleusercontent.com/pw/AP1GczMhn1uQv_h5c7vm-IVw8m2I4mH36ApwS8qgpbnZCg4XvWvff1hKgLkgKhX1_xH-dOmDrUePfo_M8s-lQK62wMF64LR47SFVZ3Qnygc6sB1d6bIilpBe=w1200|https://lh3.googleusercontent.com/pw/AP1GczN29lEogbtxdddwzTOEYbEUMwuLLKs1QTL_cWZFZLv5EPxGDLDpUDtMJu5xktXH91J6jJ5NNeaemrVOWJy3Cm8-Uiy-7FJZZrmfmlYbCeb9FBg0g_LQ=w1200|https://lh3.googleusercontent.com/pw/AP1GczOH1G0iTc05hgQFtls_YtY_FTh0cwasNkBp8l9QBLK_GIqMcVAmOkjJHYB9dPpRuqOiGieNjTigrl_CgtpWHcebrGgqIqYVVu299pqYDQCe91NajQK8=w1200|https://lh3.googleusercontent.com/pw/AP1GczNqG1hGpkfMjVwEIakzQf7oNLl48vl12Owv69L5F2odGWjJzHbrg984ePEFuH4u-4npZBDaRu3dsIuSGi5hgzI00maCRbMffsXqVZiU6hm1YPdH94-E=w1200|https://lh3.googleusercontent.com/pw/AP1GczNsRjqg81TPwmxW2ShS85Y4802uP_AIwPv5mXhVGqENfo-yvCbj2D3VVOwho_ZePHj6A5Km6NbTO9kWgKk4UmwrDvfAm_rQ6IZ0PlRyA0LQj5QGR1if=w1200|https://lh3.googleusercontent.com/pw/AP1GczPvAq5imbYuGAGko1YzzApMJxoDNKr-Js91nPnSqny4e2Zpt1aJI0NCrAX36KxECR8mKgm0Z-bIPP0g9n3iD87xKt9n3FjmWzEDcy5a46Ro7lUTHdqc=w1200|https://lh3.googleusercontent.com/pw/AP1GczN8TIDl04_UtSBfI1iXsFnF2czK78287Ec1r8OX1xarwsYKfEZsWvkrwMZgfTuvIjO5tUGd_cUG0hR9gPPt4HTEq7eLsY28XLNbBjV1iUb33-2OoLxp=w1200|https://lh3.googleusercontent.com/pw/AP1GczOtVMvG2N03EzToErcmCVWvAw15Aiw_AO9BBWJUo1oZWAQ6hfSE1vi0K2pjLiveumcQK_GZs9SReeTTL1vwcx7-ESGDV35PysyCa9yIFO4qHEsMGt73=w1200|https://lh3.googleusercontent.com/pw/AP1GczNOiLeR25or88uUSJkPKtfigC43tjwMp9wsXWLHBSPhg48rfzZTdiwEkjmIDEW60QXLmPUZft1vDpJG4f07LmNkoLvGCYJnfekTqI5Kjua5Pgkfcu7y=w1200|https://lh3.googleusercontent.com/pw/AP1GczM7QZGebPsWAxHLWCiFN8tc9bLucZ70Kmq-vVeJDztBRy9GoQVFBheLUXSWairrgVxjsFV44hgNIuS8jOglnLUM-2AaL7OZhI5sppZM5fiGrwme6mXs=w1200</t>
  </si>
  <si>
    <t xml:space="preserve">1781 </t>
  </si>
  <si>
    <t>Apartamento en Conjunto Residencial Primavera Verde - Norte</t>
  </si>
  <si>
    <t>Conjunto Residencial Primavera Verde</t>
  </si>
  <si>
    <t>https://photos.app.goo.gl/jv1k8dtgsJpjaN249</t>
  </si>
  <si>
    <t>Conjunto Residencial Primavera Verde Apto con área de 59.0 m² | Estrato 3Consta de: Sala – Comedor Baño auxiliar Cocina Integral lavadero 3 habitaciones con closets en madera Balcón en sala-comedor Habitación principal con baño privado</t>
  </si>
  <si>
    <t>Parqueadero comunal. Buenos acabados. Sector norte.</t>
  </si>
  <si>
    <t>https://lh3.googleusercontent.com/pw/AP1GczMem56DbA61gcqf3UpQX7LdGGtPF5LQd0rnG7XtlJCHtOkwNQnHYTzF8KN78kvuIbrKMFUhoGvRFpaElSOhcq9eH6E2Fz1GKCH3qxTZUWDvbxzotyZ1=w1200|https://lh3.googleusercontent.com/pw/AP1GczOiGg_jB5R5xSyR4FPQ47QRVc2XB_zKxcN-WnolRRaTvckrjt66aJxxSlmqVDvhNYNp656LCI32FzUHadoZuh4HqCDHak4mEgC-MsxaP23UvQr39HK_=w1200|https://lh3.googleusercontent.com/pw/AP1GczMpUxi3WI9NEZOP_P9phhK996bX2Zy-7UNB5jCLQU3VlR6_syrYS32us45triPftAM6ti2oZes-JBBy56OreLoyK9tDZGmnZaLaNZ_sBvS7dF0cl8jn=w1200|https://lh3.googleusercontent.com/pw/AP1GczMyMPZJ88ER3dfIPnCk5QxwZiPm4FHJNZaAcUCdYxvDbaQPQ5RHMvKE0F1QsK7BLCGmCXyjf4I5zpCMBU_Z8x5Cd5rlj7bwOUJDXjpjUAZXYrfBleeC=w1200|https://lh3.googleusercontent.com/pw/AP1GczMenzOBTEqjlA360qSpCVWyt92CC3ZC1_m3z4wpYfXW8aaCq-RbNll0-6al3LPfIkvRP1Gko8nTfUiuG7eJfgX5r9HOhJa2f25qfddP7J40YIME5fTb=w1200|https://lh3.googleusercontent.com/pw/AP1GczMSWUBONbR7_VxP2LmuCfaDZNQVNk2gTM_wgrjtUpkMJNFLe7rTAIi74lkWw9ggm4nbwMIvtzRmgxTu6-J6-GAhPKB9OARzAgNA5E0FzItBEbFJvUH3=w1200|https://lh3.googleusercontent.com/pw/AP1GczOFzj7NO-S-XSXTashhVWOg_zW5JsLVihpjaiIlzPWFeo3XCj9ZOzY3fNEq8pOnEOCG30LXJBRyY3nLyqj5u-Q8E59izgVpMwDT9vuh0NfdHt5_iYLS=w1200|https://lh3.googleusercontent.com/pw/AP1GczMCh61I50a80Rmc1cVNlgATu7-I_mFX8e6ypnVJP6Ggh9mDpftgivg2XS8Q52RVKamOP_3WmFyJPXNxQcKyv4WACNAsiR-KdXe3IQ8PjexsTLATnGu0=w1200|https://lh3.googleusercontent.com/pw/AP1GczP0zClYKyaBPr-ewN4M3_Rx1vjyp0cnt0svgKDtTuWK8LkW_cTixxgw1ZGoUIdyipHKb7GOAuoHM8Wy_DntLM_2QSU4RCzDa5qzyNmuRYac2tpEulky=w1200|https://lh3.googleusercontent.com/pw/AP1GczOkzU1iOojQzKMxAsRSI0DuM4DsJTRHQMUsCoyZCXk_l9colYkmTLnMNEM1n9vywxv2GdgYe78WqIVZz-_G4ewLx-GBOGKjHnGM7KlHjkFXwXONKPeO=w1200|https://lh3.googleusercontent.com/pw/AP1GczOFNCE4-d8TxPXVEWDd24DsUkPKDdPA-vOlvo0oH55xhT42mrQ811_sMr8k3OGR9DUEIUJbMe6s_YUl5-zunvK4Mf2JtchCIof-O9pI97MQFhkn3t2b=w1200|https://lh3.googleusercontent.com/pw/AP1GczNSRlDShVQdNzfR5Zu81eca62FB_x7mwYhz41O6GNigXO0KJxxxCkmij2fGoGBkMMS5_jqfu3IkRvA4TEAiEB0Car612utzF3lz3lajoWWDSopM8zn0=w1200|https://lh3.googleusercontent.com/pw/AP1GczMxsxg6liK-4H_TMbw4cWqrhhmfQ1GKwRdR-N8yColzYoNJtnqCvqa21nieW9oUpTDgiXnU-SCjapSPQi5WkltNTUp4RmfHc5_jNihSb_mSOBp4_Pb_=w1200|https://lh3.googleusercontent.com/pw/AP1GczNRyfo0oLTcBsox8nY7om3-wdYEbuYOTXEfdvwwfzwZjxN0RAo3GRjehRGNZ_t7zfhY1pwPbxRkplZJOjSB6bTOS6nrGDZE6skAT2Y_It4SFWvpzDve=w1200|https://lh3.googleusercontent.com/pw/AP1GczM-lSnAoSbalJt8jcu2COrw56YJ7VI_zpBFVtH8eudDY-0GQGc2b2-DLX69oP20JsJvVC8RJoUT0Y7brISA0oCW27fWA7bV11gjaPYgh64JvBjQhZCt=w1200|https://lh3.googleusercontent.com/pw/AP1GczNogikms1fha49H-9E3SoYgagzn-6WBg9YsS3QGB-86gFrdxIyIj5_UY_2Ayz37pRFnKSBCvOV34eS8MQvqYvxBYbakzCUgkejdOq1-v7wfBW2u38B0=w1200|https://lh3.googleusercontent.com/pw/AP1GczNcH1AdGqUp8W7sDwNhPTmo9Se3Md6r9SRmzyiMGpPIi8D-ax_SpvgK04DMerDsLzd4IYDBFKxwscUy0qRLFgiK4TfTO5FwX8Dm8smcLl9hCmO5nnYZ=w1200</t>
  </si>
  <si>
    <t>1728</t>
  </si>
  <si>
    <t>Apartamento en Conjunto Residencial Caminos de la Primavera - Av. 26</t>
  </si>
  <si>
    <t>Conjunto Caminos de la Primavera</t>
  </si>
  <si>
    <t>12vo.</t>
  </si>
  <si>
    <t>https://photos.app.goo.gl/rC3dGgGd2am9sQwL7</t>
  </si>
  <si>
    <t>APARTAMENTO CONJUNTO CAMINOS DE LA PRIMAVERA, con hermosa vista al interior del conjunto; confortable, con excelente iluminación y espacios acogedores, ubicado en zona norte de la ciudad, con un área construida de 60 m2. Características del apartamento: • Sala - Comedor •Balcón con malla de seguridad • 3 habitaciones • Cocina Integral • Parqueadero comunal • Closet en madera habitación principal• Baño auxiliar y baño privado • Zona de lavandería.</t>
  </si>
  <si>
    <t>Conjunto bien ubicado y con buenos acabados.</t>
  </si>
  <si>
    <t>CALLE 78 No. 8-42 APTO 1204 T4</t>
  </si>
  <si>
    <t>12 - LEIDY YULIETH, 19 - PRUEBA, 19 - PRUEBA v</t>
  </si>
  <si>
    <t>https://lh3.googleusercontent.com/pw/AP1GczNKG7zxKVbdNylYR0EZ1TtoWIDPO4zpCAZhuJja9K2tjTYWBv9Psn6NiiCTkCLVRwaP2mB3qmUmS1wsfYJ0si1OgAY3GDTPg6Gl1o9pPYxB22YkIvsi=w1200|https://lh3.googleusercontent.com/pw/AP1GczM4Upn4jhIgdpgWi705tyQYfnLARJGfLEFRqO6AnnGF8YdHSS-egPmHdMzWbPHlI98j0Lstvq_gCe1p2RQNVKxXNT5HY6lUdUruKbRgMOoA5ROidmjH=w1200|https://lh3.googleusercontent.com/pw/AP1GczOm7wzqaYh97BPapox4wr1kv-uYN6w3FGIjs-XcdkAuLaHNRmsloce83nADIZwNbRMr0rwH0bOrNswJKnWaT663U9Bq5m9_2mYFKtMYchv3RLUKIkIH=w1200|https://lh3.googleusercontent.com/pw/AP1GczO6_OPS-TAKI56mJA9nx0sMmi9ZxY7DQYGGXcfFyCKNBC-m4YFNmPXO9KpamUSwXUPDymag_UNFLn-ttS31KLyGjCBHwzwcGnDV7upA95wQR-0YVS7g=w1200|https://lh3.googleusercontent.com/pw/AP1GczOm2D_ZvgSsGqgxf2cR6CcPHvLoPRzWzKV3o_O2nGYSXhdjEk5B-Vrdpl7NdbXvHZsXQBmlJH-Y87NpiPWDfSkK0g6IfSx96dxKCwie5yYwUL8lVDbI=w1200|https://lh3.googleusercontent.com/pw/AP1GczM1YSCed7WCDI-cJY3_T3jXmOdWuzzBsi00KtuRByuXOHxQWL4w-XBGWvWTCKUIUDgCkC0UvewCvnSYmDOaFkawxpv_sny6edt3fDAYry6gE4UZY4pP=w1200|https://lh3.googleusercontent.com/pw/AP1GczMhQVjlkKNWWVyYIemi4EagvAXn13UM6Tr2Kd9Zeq4U3M0s8q7v1_OzRJR5D0sOUBKWSBC96V0Xthgnyw8zzK8jJG0I_o8uaPW1OxAvcMHPTns5VZT2=w1200|https://lh3.googleusercontent.com/pw/AP1GczNCLHDvA6qjNareNa6W98zvJtzwjTMsTe3GIk0H7YoaME3kooA8ZScYrra1zDPMblkUFFWLz5yZeGDGtrkHjA7XzXy0pXt-EZc7JY-0kjxQKEDVFDUC=w1200|https://lh3.googleusercontent.com/pw/AP1GczMmdP5ZFJ-qs1IEgMIcrOmuWiwDDxh6Nd9kpb7qFDAGjZy1BXuE2HAO5Z5uMRKSwEbf6fPqi9LeqNChkYu8gzYGZjgjtpvWIJLoAasmXvednb6MKTPj=w1200|https://lh3.googleusercontent.com/pw/AP1GczNWhVUAvVboou-xoSnZ_2VlCamFfx_k4CyOYrEMMbwcSuIxxN4okxDU2QZ4WJ7TAcvagEh8ZKxez_lrM6i-ZhyGgzrOeMhl-cUEVlF2AncJ80OTx1AM=w1200|https://lh3.googleusercontent.com/pw/AP1GczPLNW7iPrDLtXe2ak98376tYKgyjlgf41eeVEpS5mylHlSftdNjzTBoAsWmP_qvh30lPF8FYxjNkwpzMVXcqNk8Jhbq8WeAmhvzHs7zcFSMS07g-DmE=w1200|https://lh3.googleusercontent.com/pw/AP1GczMo-D1qTx58eggM3-wpny1QxY4gJ6B9AztQxhTUoiG0HYiAs70BTx1st1m3q0tsbz1UtRFkzgp-cY3SKva4EeDTlJTCs4t_BSdtrdNzSJnviK-b-7Ju=w1200|https://lh3.googleusercontent.com/pw/AP1GczOrIVGRoeLQCPVV79Z4lcDqT8VQmjIBnvLo34wlLiRhkJpkDIyyWpAxbxgdCUYvdRiX4aBB_Q_UK71VLEUQnqfD5LLPDQqLg_4AnODQU0qZzf7NIsnf=w1200|https://lh3.googleusercontent.com/pw/AP1GczOMw7cFivivQOTYV0go8aeCke5WpTEE0mvQ5e4TWFwk-UTGTQQTo1qL2PAXU0pEVv1dVBZMAW4LOc9oglNgSNbL8m6TOVeV4ri76OkGkGIrjTAdXapY=w1200|https://lh3.googleusercontent.com/pw/AP1GczMO-ve4xsGIZhevMLbB_ZnPJFC2Ni0jxdvPTagrqLLFIdTLZNKQnQRvSFeHLAJwVBJzfun2lpKZu_P-eYQt6F-SuzNqbjJdGcoOpHdWnvUYOxNjtxIY=w1200|https://lh3.googleusercontent.com/pw/AP1GczPLKkYHBaf-qUeCeb2rdoOtA3FyafOOJf5twyqxWk9Xprl4vwK3Q0LcdMPQ6L8kiZ09-QgoSE5XZDxDjdg-DKN1wEBpKAZCxGWl9On_4nooNe3s-6Ex=w1200|https://lh3.googleusercontent.com/pw/AP1GczOLun7asRMaIEuYEL5ROmkowxt6tDSbT4NOeLNNmrxHENXvVNgF5p8Kn6E0PmXMJZqI-5kW063IcldoC45a7N86siyU0Pd2-kiclCQ9HdTCx6jewxHO=w1200</t>
  </si>
  <si>
    <t>1364</t>
  </si>
  <si>
    <t>Apartamento en edificio Arrayanes II - Terminal</t>
  </si>
  <si>
    <t>https://photos.app.goo.gl/TbsW1hAt4KSnHdCx7</t>
  </si>
  <si>
    <t>Apartamento ubicado en un 4to, piso, en zona sur de la ciudad, con un área de 66.56 M2, estrato 3, consta de tres habitaciones la principal con baño privado, cada una de ella con closet en madera, sala-comedor, baño auxiliar, cocina integral, zona de lavandería, garaje, piso en cerámica, cielo Razo en driwall. el conjunto ofrece jardines infantiles, salón social, administración, vigilancia las 24 horas, garaje para visitantes, una piscina, no cuenta con ascensor.</t>
  </si>
  <si>
    <t>CARRERA 12 No. 6 - 18</t>
  </si>
  <si>
    <t>https://lh3.googleusercontent.com/pw/AP1GczOdDRlzrSOquFfjbOfQyHuVuQLOb0oNLtZa70lamy_1K6rSPRznck-avJQL4X6nhQlNrn3y9GQYWojw6kh3l6LYq_jdzMEx3DBdKnhQPHcKsjEGpmGw=w1200|https://lh3.googleusercontent.com/pw/AP1GczNHHxwI8VPT0WA6SO0IdkGgne5xZZzBadrcfHE_bsI7Kqs8iMQ2bLVTbQ5qd8OQcCNzGpwDJmJLVyy9-rWmuiA9D0Z6c0yCjN29pX2aO1yRHJWPifMe=w1200|https://lh3.googleusercontent.com/pw/AP1GczP4ZN8sFtvA75T8_HDSa87rTR6wJW42vepP5Nj8t3S8RAef8c0waYg9F5aoQVbfyvrJ3YG1kOBkVk-nndmVDWh2wmVKzENyu6Z6mM2NxQ0R3fXxAkLK=w1200|https://lh3.googleusercontent.com/pw/AP1GczPKGBlFhl2TudOR18qi0JMAQnjcwBK5ZnY2HYrDRWpbjKI3gmHsEmxsgNeLioRiSyM8q83Zc9F8uU6nuUQa0DjmVgklUxsz5Qje_ke399rCZ_VHHYHX=w1200|https://lh3.googleusercontent.com/pw/AP1GczPBIUxRc1ZJq63BpuihziebymIpWAmYjwSSoi0JGjDy8chfo4PthGGBMBA36iGDQ_CblG6xcHbMmF_iM7HyW0ov-vPUe3qSAxCgM2Zi8wfWn8NJpZQu=w1200|https://lh3.googleusercontent.com/pw/AP1GczNu5abjCuqUpGkFEWGdiMFaxOGtMTNeT2KGHavdEKSDeH7fhQlocEFJ3uu0D4O1OIAn6FZxi2Jee5HXPGxOxhPRc36IRk76dJwE-UeHp-I7oNj_RpPx=w1200|https://lh3.googleusercontent.com/pw/AP1GczPOmK6kVqVLVkBiF1JO_wowQcSbSL-m545GiJuxejcNvf6mZ5pf2wtu3uycfGDQ7bCDy750rtiAlL6zNLOXk6ppO8vxbqRG_1Lg92VNnk738LzrrLza=w1200|https://lh3.googleusercontent.com/pw/AP1GczPjOsWPEUBA0Dmrrbgg2BMgQkLxoz1xMwqensvsmKJTIT4AymPEPHf3-H99JZGjHoxax5PoEe-IW5jrwhvRbk2_5HQAUNxLcEEkdiUNPO_-xvAy_RWA=w1200|https://lh3.googleusercontent.com/pw/AP1GczOGKo0wMMbdvz2zafhUVKzUFw1XoXlpdcma6n5Uj3Ybj6LHT0IA5RaQ0dHcc-hi1yHXNVNgbCaZfE_EQo6BOLlhM7308CyQMukL92Py7cpwhojwG3nq=w1200|https://lh3.googleusercontent.com/pw/AP1GczM58tpdg64VxlxrLMkVECEBNozm-q69eBHSkGZsMz1jp7xgBm33Os_CrVZzcDWNarMpfaLBCWzjR-WvV2Is4SlkeMpVx74l7ZzmPfn5i9dXg0gKjMb_=w1200|https://lh3.googleusercontent.com/pw/AP1GczMuwcf_ZbBm_Q2sqaN219Ooe6a-O0RQSjH8N10tYD5heT8nLziVhFuqDJrvnvC4I5ojMgjTLt4gq3MzSwffHBuime5MRg-exqUmZpH1k_KLJSWSvlrk=w1200|https://lh3.googleusercontent.com/pw/AP1GczNMDjmWy6g37cBzQvej_X-ZqiDpt2Wk2qZYvA44y1Sjk2MLWpFpfjtBeeimHlT4U79vuipc5yB8REdSjtKfPfD27iR5oMdeN2IbUboqtU3BxSHyRiwu=w1200|https://lh3.googleusercontent.com/pw/AP1GczN_j_4G1N0w7B7AEpZ0RT68iK0S4_V_dmNl1fJL0SvMxZBHXX4QtGpmRhIlNcY3FyKj7dlNQDYKxDjAqS639KcwWwMhC0hzqPMg2w99DUWF77xf6UuA=w1200</t>
  </si>
  <si>
    <t>1413</t>
  </si>
  <si>
    <t>Apartamento en edificio Los Angeles - Los Martires</t>
  </si>
  <si>
    <t>https://photos.app.goo.gl/JniekKRCHtykWEdv8</t>
  </si>
  <si>
    <t>APATAMENTOS ubicados en el barrio los Mártires en el Edificio Los Ángeles. Con un área de 38,33 m2, consta de 2 habitaciones con closets en madera, sala-comedor, cocina integral, 1 baño, Smart home, zonas sociales/verdes, parqueadero cubierto, con todos los servicios públicos. Apartamentos disponibles en primer piso (102,103,108 y 109) en el segundo piso: (211y 212) y en el tercer piso: (301,304,305,306,307 y 310).</t>
  </si>
  <si>
    <t>CARRERA 1 G No. 13-26</t>
  </si>
  <si>
    <t>https://lh3.googleusercontent.com/pw/AP1GczNxq6S_bRXI39_RB-Sp96dZHlY9YVieRQnNkrofblAdJJmrDrkuZL7O8WXbOwCIo5i3YiDPpfZnktgQFCvkI5ldck7g-buI71fIsy7BWyJNEI1NAQrS=w1200|https://lh3.googleusercontent.com/pw/AP1GczN2XYrhDMr-Ty7WT3WdjJP3HnEnZoV_g10DZdpIwImNl4IilhH5WnEVkegOW_nYpzyVNtsI00pFCDgVt_zhgBzSrWGX5LshvWO8_parNspxN2TXcuxG=w1200|https://lh3.googleusercontent.com/pw/AP1GczMC80I2KEsJt41SM7g9fzsUu6sB8Dnfsie37IJQGcKS19ysYZ0Wq3-k3x3y-KUFIjwd62oCItO1M_w2XZESaW_i2vxt-M4INny7yz4XsKe7ZWVCYk_v=w1200|https://lh3.googleusercontent.com/pw/AP1GczP_O7De1NKt9fh3lCgTCqBnXzR3wPJlPEjnoOweBAjVFIFkF4FGEEZ5M4GtCXk3SNDlWpB7JwZA6IXj5YnzcLHTg_6nrGJlGigTFIh12H7-DwaDCNXg=w1200|https://lh3.googleusercontent.com/pw/AP1GczPsy75QFj8QV_wqdQMoUF9PxwQsHN0NINMjKimnglzY8XgbsKMivoS17bCHjaeZvbJN7GaIq6YGJOHZHYbemyJz7VzAra05CoQrmUwRpDq8-NwwBuXt=w1200|https://lh3.googleusercontent.com/pw/AP1GczN2NAHX2dKEm8nNrQWhwYKw7sL66OxpkiqhYUc4ZEsIBhQlmcQQ7wc2jQATKY741sQulLyelFxpqOwbyW0fynaY8GXpE1sk810jksj4grNszVEogdCC=w1200|https://lh3.googleusercontent.com/pw/AP1GczNWRXTGoLytSluYSivKMtYi_KZmmXmkLlKtP5C-XTdYgGBo-OdeEjVxtv3tK_hEX-jdGdinRlrwW0c-7NSwVrIlV2pU0MQsBKMS6qteMWsT8FIzXdfF=w1200|https://lh3.googleusercontent.com/pw/AP1GczPbIbQUoPz-0L7sPQ668jPX-6gqJ1wc1oHTzRsF_S9cmZbKoQ-Am0RBkyttfj6sM_BY0duEln7SRQ7Xl2egMZ70eWY6Fn2ZO03LcBgCOAGFMBR-45ZY=w1200|https://lh3.googleusercontent.com/pw/AP1GczM2bCQZ-wbWot2aX020vb1cmyaZQOScodvPAT_ha_ODc3rqIjiHCVr0DwLNlDTnwHe1UmF_pqkB1EERrZpUwsSzu3-jEycukDxFoLrwJw8NSVY9hSO_=w1200|https://lh3.googleusercontent.com/pw/AP1GczMnKR9ADhO9EGLw7EkbKuiT-gS7HEqlbc6YohGuICvxpNmwjN6uWihWvTnsaOxJv6m7Gl9nmpZLqX0cPprLolN36Vuf9E-FV6CoUxXv-ac9xjO-B5-2=w1200|https://lh3.googleusercontent.com/pw/AP1GczOfcOP2vIn6pwnMfRVSTBCZ2YDOrc7FAvupOvQ787rWfmQTSq5J1WtDuZkMTtEpUSIl3eYkkz-g0a_7PpHQlOX9TCLOCkikTEAiiiDI9rG_WVKzXMD7=w1200|https://lh3.googleusercontent.com/pw/AP1GczOT3ajaqQSuFKMRVLmJKRcTp3xV6UbHYF9bnkhKRBlMqmoQSAl4caXbUiIDUJEIX-2ueiFVq3fXlHsIwIHVgw2wSoVto66F_WmkNTAvRqp0CD-fHhpC=w1200|https://lh3.googleusercontent.com/pw/AP1GczO7AYXVn7z9Xfmckk1sSrr5t7_hUh5MGSuFwxCAfz5qZWmFkFI1LEfL1HIDYc6mRnVsa3p5NKNYR55bY1lZhKSi3nTlxz_4UFqDD2WHRDG41byOMmcK=w1200|https://lh3.googleusercontent.com/pw/AP1GczNGkZty5mt4O6X1XpHIU6x__NpQgRmR6BhVPiZI-tUkDTFZsnfRQgvv2yJRx1Pbq3V4XJrqzsGNcQiaWLwbRbSQiqmTVrqHdoGfFRrAzG73-SIst-ud=w1200|https://lh3.googleusercontent.com/pw/AP1GczPpMuEIgoKq9OtEMVuVwlNbmX9k-Iyc41xuJqZNr3bwmhQ1MmsXnDsPrqefjKxGhjfAJ0vptBFSb7_xLNat8RAYQn08_RyUDQSVWbXDj1VfhT7Q8wh-=w1200</t>
  </si>
  <si>
    <t>1730</t>
  </si>
  <si>
    <t>Lote campestre en conjunto Condominio Campestre Altos de la Sabana - Palermo - Z. Industrial</t>
  </si>
  <si>
    <t>Conjunto Condominio Campestre Altos de la Sabana.</t>
  </si>
  <si>
    <t>https://photos.app.goo.gl/F5WuKdw9XdcZ8r2c9</t>
  </si>
  <si>
    <t>El lote en conjunto, cuenta con portería y sala de espera, plazoleta con locales comerciales, cancha de voleibol, cancha de tennis, cancha de baloncesto, cancha de futbol 8 en grama sintética, piscina tipo sinfin para adultos, piscina para niños, zona de bronceado, parque infantil totalmente dotado, gimnasio biosaludable,  senderos ecologicos y  zona de picnic.</t>
  </si>
  <si>
    <t>Además, cuenta con dos salones sociales para eventos (capacidad 700 y 300 personas), oratorio totalmente dotado,parqueadero de visitantes dentro del conjunto, iluminación con paneles solares, acueducto subterraneo propio.</t>
  </si>
  <si>
    <t>2 - JAIRO DIAZ, 25 - LAURA DANIELA ALVAREZ, 41 - NORMA MEDINA</t>
  </si>
  <si>
    <t>https://lh3.googleusercontent.com/pw/AP1GczPAs-0s6QolWO97U7bzrrsrEibAWSYvbLo3qk0BiULmFUasVb_8KYVZ3vRkFBYUhIi5tOvAMz_20pw5rb42j2B3sE40eCN_O8CG5Y_GLgM8v2berJ1Y=w1200|https://lh3.googleusercontent.com/pw/AP1GczOMTzZxLLRigxO04COWWvvVqAvnHCKELEnD5vRCSktRIIDj60R6myd7ENRKKTmmLZ4nUO6rr8ZIg53DEn6alTrduOZBe_hbpZrsbC0bNU_6s9ElkqS7=w1200|https://lh3.googleusercontent.com/pw/AP1GczPSjFNsdBwVYMmAxIYbrQvXEsYlrIkt1l9TsTOwKTT4uctBknbTyiVYHUUIaxS-z4ZPXQGn2Y0TsUgrqkQJlgXCCPUJ45wmI_0SWSYaIxMUzeQXEfx8=w1200|https://lh3.googleusercontent.com/pw/AP1GczOYBIhRnv1Tophlo8trfI4inmXXG57nHexhlnZdrgl54zkfkrmIlDgtX0WrQaJxsirWR6Ext73yHKBz4VVU1RacyOrg6UAMBkj0ijzWxc6EWjjwB0lS=w1200|https://lh3.googleusercontent.com/pw/AP1GczOJ4JvS-uLA5ZKucVE-wTE1dbgi9qMnh3I6pYksc_5nzdBzG189WAmroeanNlir-JxIcRo1gxaYCv08ixX6cMhFYUQ_3K69BpAPzTfkXhHySqFtntX8=w1200|https://lh3.googleusercontent.com/pw/AP1GczO7-Td4ZmRwit-DIPJ7Gv7pEtK3_2s2H7lL_I6lwQtNgZ9GRy97KZIXOYiHFwqS5FSZw-pi2IqrEaREu4UhnPzWhH6NUhQ99g6Y8qtmt0lHJxMiOL-f=w1200|https://lh3.googleusercontent.com/pw/AP1GczOhODpHC2cpT9eU9SSfuzZu2ROpPdpr0FEKhbW9rMy_O3q2ZJa_SvH4VW7VnybHdE73WlMtmTzG3D2cinISa11ZB-d6uZGmWui3X2ZPNLAXt7dOMhYI=w1200|https://lh3.googleusercontent.com/pw/AP1GczNFSwZleojqYXJoFRtJ5pd1zjNZD3F7CApUEKyjkXldlnSrFCVsB0j0KJym-iTvVIkqMlxewtPDG35d89V8T1GUdnXpi_7rV_zp5GxhseGNGPCoHxsB=w1200|https://lh3.googleusercontent.com/pw/AP1GczPe9cFcE8C_MwYYfEI4AUreyncrETSt01i9rHcVSWPOokn-SiIBN8cU9cgkmr6wsQFzWo_mhXFl0g1n_g10VcS1IAehmCgJw2e_ksByt_SF5fLdqwKc=w1200|https://lh3.googleusercontent.com/pw/AP1GczOwJ8Ul-mWiDsz3uyYkL8Y2agKbQyf2vmMNtWH5fQpicZ-BmmbPQKvuBz0SwRuFTslBloSJKrZFh1PS31BXsOux10f1f2caZFsRNPEUP2lGIF4w3us4=w1200|https://lh3.googleusercontent.com/pw/AP1GczM6ZfIHNT-Nv5wZcS93Od3Td2CtbqiTEW-plWggGWJzlCeW0LJemJlUl3hv-OVV1VRBZvZGBJZXtMgVRJBcLBkfx5za5_uEo5F5NkmOWUJ7F4nHDHIA=w1200|https://lh3.googleusercontent.com/pw/AP1GczMcgt8l936xj0EQzVXppvAoNm-Mww1mk42hchbOL7vxi3DH484KBgKBgpxBxvUl-RdSY8SEd2jrVQ-JUjKpks5ea4KIuLbCSz1uD-QVCXfnxL55qSHS=w1200|https://lh3.googleusercontent.com/pw/AP1GczM2tM0Y5GsIty-v5SF9PfclXyhSTbTLx-0fQcVQoJpWIumac69gkW57JKjLCLCaoHzy3hfsWLI_zt09F_31DKciRWY0dHmI7HGg8RHun7B4npqqhjmm=w1200|https://lh3.googleusercontent.com/pw/AP1GczNifV4b93ffUaxSqbCziUXXfOvIEemFWfBkOgsN8O3IgjJg1pRz0Bu-UblHDRzkk3IV4_ICXNLEziy5BYdRetvcPTQZYxOdLiZugpAUCYhOt4c6cyvB=w1200|https://lh3.googleusercontent.com/pw/AP1GczNLpbfsAUGg_7RtPHWceRkqakiPFefyrFpHb_gXBJMFVWevCL_aw4dubNqpXt9o-2Txtr72pLkKKpWuLHODktYQjwx5crkM3RruOKgiGaHeYb_f1JZf=w1200|https://lh3.googleusercontent.com/pw/AP1GczPWV9pEtsswoYONG2xHaQ2Kz6i2SOE4OjN0AqmFe2oW_caD_oz7nZytVgA9JUA689KHbZLe_xMq2IdCbEq-AlfUh5IbMnFNJSx0EjKtOKQVRaU8lVmr=w1200|https://lh3.googleusercontent.com/pw/AP1GczOpHYcFpsEpGjZrEG7Gp1YdVB9mcPL4WRi4FU6BFej5fyGWcJsSy79H1tXIj70OI5niqX6QYXN9uIDcU5JMi4JWOoKxM0ODVHPU0efctBEoLQFFvx85=w1200</t>
  </si>
  <si>
    <t>1451</t>
  </si>
  <si>
    <t>Lote campestre en conjunto Condominio San Sebastian - Palermo</t>
  </si>
  <si>
    <t>Condominio San Sebastian</t>
  </si>
  <si>
    <t>https://photos.app.goo.gl/bJHT3AF8mPSqURfP7</t>
  </si>
  <si>
    <t>Lote ubicado en el condominio San Sebastián km2 vía Palermo-Huila, entrando al parque industrial de Palermo, con un área de 1.120 M2.</t>
  </si>
  <si>
    <t>Excelente ubicación. Cuenta con servicios públicos.</t>
  </si>
  <si>
    <t>24 - FERNEY PIÑEROS Y LEIDY</t>
  </si>
  <si>
    <t>https://lh3.googleusercontent.com/pw/AP1GczMkAvidbTO3GcLZ2tv4mcWyxWtyhG_kHZL-PRqEErgMW5bU7gVlC_kJx9Ib7q_8loyTdx2MhA23pSUxBd8hYs0M-RFeUQZZHbT3OqLIu_-Xdkpk0CNH=w1200|https://lh3.googleusercontent.com/pw/AP1GczMNFBlVAhu0bH2KceIu7rIPAEbMrXLfAL0q-F-cZheu36S7UnQ4MnJRRU8dot7AzGA-0qTCvIRt49NmVxfMK7C2ZnsUFoW7wYvr-_R8VvKXXuW2y-iL=w1200|https://lh3.googleusercontent.com/pw/AP1GczPK_JW9-q0pjS3xOVSstscPI71mamFqqQmea9XzZTsu_W9MTV7Y5qVNmFre6jDXmDPTq11qvVvB626Tpb8ey-ZQ2eoaCQSNQU145krzS_Zi79FiHXEf=w1200|https://lh3.googleusercontent.com/pw/AP1GczP1Kf3yK-A2wV3HFRZT-gPbG1K7p5FV6nLSbVLPKjlqRL-ikXsrnikaRkSZ_jd2KXjjfk27mssAb6qNVKEDmO4HXN4p--5_Pdb6QLktnzHKwCRdeWAm=w1200|https://lh3.googleusercontent.com/pw/AP1GczOsclnLI9Dj0OrRwgt9uian4OkdVO76y7nizStHETafj-HHZrZMsnDI38J7sqXqfCNs6bEtl3IiVECMlxL6lI1kAr4Hj32wlhiMthdAKwLXo7gTGVNS=w1200|https://lh3.googleusercontent.com/pw/AP1GczOjL2TNKIrdzNhtUZRMgxXT1VNK8dMTc-8GnCsT0C6tDD1u0QnVlBahv0PsEsvvBcUOWt-VxjGw991dfTF8Pa2t567L3VX4Op3a7kmhQt-o9rw-oPKe=w1200|https://lh3.googleusercontent.com/pw/AP1GczOUJ9-xsNNhCndEJUGf6pU9_1JR7afCqAckeIuut6qofYEyyTLmgy6VNQJCCcErw-BHeRtP68voG6ArXzVK1mrgXgj1j8NKE_ijjpOi2q2FUP-HnrYU=w1200|https://lh3.googleusercontent.com/pw/AP1GczPncjDyCXjmYFyCcs2f__McuwSBOlv5ZDu4DL22fjZ1TSJ2_RDbW11qFVBWo0wS7HUArb71ROy2SlXAc5z8Cp6VY8V0ghLzn2kuGXEO0qiI3hAixVS0=w1200|https://lh3.googleusercontent.com/pw/AP1GczOej54vCVQck75nC4ecPLlMy6YLiPCZ3YqHhKTGlRumMRbbs9f3NQARhKzoD7OHWVMG7MAkWDaEqsAmaPSnFnyon2poluew3VDsMdjzrHX7RDlHQeuD=w1200|https://lh3.googleusercontent.com/pw/AP1GczOxB8PNW18ygjBjIUo0hELrE1-YzKyvGQS_7S6F8aGcO9-phw5EYmgmg2z7u9CrlOapa0LKZYY18rmtjx9njRxfwVb5VblepDUmTjcQ0zBHQvVa3pU-=w1200|https://lh3.googleusercontent.com/pw/AP1GczMTNo-GJ7E8ppVUaciggtkkbjS2BpC8B7So2iZHgHLoDU7JQTElJwFsQ2cQF9CuhW6D-cVsaCStQVeko4GJgY7ezxkxNNnD8wgFY28fbjADGEmHrscM=w1200|https://lh3.googleusercontent.com/pw/AP1GczMNNOVDHpaucfngZ47N3s4GvVbp6ifS1oaPclWvajhkSznc8hTH579Hod_0ENNEapFn6BmdpsBB8axl527uY4LLzWlzPzh9M7UXjJ38aZGyTUVnsdmU=w1200|https://lh3.googleusercontent.com/pw/AP1GczNMx6SUsgc9mtwPGQE0FdQL_6_7KPnEe0KE8KgoZxYbTpKhGeuEcNJ9h97ZaYHEJnMTEtZoyu4FD6cYzUtMkCxtShH7lh9ofvyvKUGV6BTTJUu3reih=w1200|https://lh3.googleusercontent.com/pw/AP1GczPh8xCszL1kDsvQl34wezHbNzOpy2sI46S-I9QIu_VUAf3qVWO4hTPkhjNZynhg6yT2rEM0wYDppmgm-z_V86SxV8gqG6RHc_eSBnJBXx-AE9BS4qWq=w1200|https://lh3.googleusercontent.com/pw/AP1GczPVnKnL7xUkprgv6P1-ylpXXOb6J6k4rYAhDTAVrp0r6P1Pffgigrwkejq-zVS0Hbr1x3erPvzyKysXPVCZNQ6odZuSfw5RU_l1RG7nclK9TpkqN9S6=w1200|https://lh3.googleusercontent.com/pw/AP1GczNJptEQbwddU1r1h1qLGPxMf1BHCwvGbcg48L3QTA936wopm-Ra3L3ZRL-E0clWdvEDF4Z4UGg9bM2npSP_s1484DYZMtsgjr7B2ldsEOqUlyOCn9kg=w1200|https://lh3.googleusercontent.com/pw/AP1GczPW_x5ss5IF5Er59-51Od-QZ-EChD84r1rLMvwSaOmNfawZj7ue3K9dPYNoO3evxM18TU1t7GHy-g8f6Dq9irG6e0KIRj8L-ZLlag-Pig7A2d0UqQRH=w1200</t>
  </si>
  <si>
    <t>991</t>
  </si>
  <si>
    <t>Casa en barrio Limonar</t>
  </si>
  <si>
    <t>Limonar</t>
  </si>
  <si>
    <t>https://photos.app.goo.gl/WNdrZzAQMpApFRVp9</t>
  </si>
  <si>
    <t>Casa de 2 pisos, estrato 2, área de terreno 78m2, y construida 132m2, garaje, enrejada, consta 1er piso: sala-comedor, 3 alcobas, deposito, cocina normal,1 baño con ducha, deposito, 2do piso: 2 alcobas, zona de lavandería, sala de tv amplia.</t>
  </si>
  <si>
    <t>CARRERA 41 No. 21 - 53</t>
  </si>
  <si>
    <t>https://lh3.googleusercontent.com/pw/AP1GczOEOOiJw18oXf-WLlNo86hd9rMMEr-sn4A0hwysCJ85Yvv-INmgeAegXsKq91dfYthn_WibgDkurZWv7U-qPLJviBY_yMEtG3wfb4VvwladPCqJyTuV=w1200|https://lh3.googleusercontent.com/pw/AP1GczOFFpd1Qphkw756x4aX0kGhsQkx32S8bhOA1PwzHDm40npFhSMRsuDxMmHtrQmt2Jf7H6WLtiYUXYEoCf0xyh35024Zguo7Rb2113iwf4XvjHLLT5Iw=w1200|https://lh3.googleusercontent.com/pw/AP1GczNAqZOviQqT7_Sq03t__6Sx-EDAvzf3EUcMGrrI8HhhSXegVj-zkycx5ZbYwogqQRU70SW0a87SvtMWrGtiJ625Yhg7l7wl1DN-o_3oQ00xbGRs5LhG=w1200|https://lh3.googleusercontent.com/pw/AP1GczMveCu_tMVNbz54oh8CzB48i4vjnK_-yClxRygk9YBKor98-XuT1Au5tv2RrheyyrELHStuDweImO6AaiL2d_PnLzeoR5HlfDVVSqtSeB5Hr9JXcmDa=w1200|https://lh3.googleusercontent.com/pw/AP1GczPo_PEDsDmA4c5SLzZK3AaRkWVfb4geFbhe0EBt33Y7FgwQnv4BpcWxQPt3hQCtTvNJ3ECgu6wy8ZFAPEREaHQz7k6CAghQCaFXljsYqm_egcOr-l9C=w1200|https://lh3.googleusercontent.com/pw/AP1GczMmkzvG0aut1zKPO4ae8EGGL48zcy0i_sGno4_Lw4kBQsPx09rVi6hEeP4JCPNh_k_AvxkuBt2bE72lhFYn3BMPgTD12FzCVM6Ai6QkELb2OM4puT1z=w1200|https://lh3.googleusercontent.com/pw/AP1GczP3uqNhOw40lHehkcbI-gGLbcRzwEPdWkp0mbLJlUkRtuswvODE5Tuo221IMG2x8BmHzq_ZT0jiq0grrssvG5POO7zAC6HAI-62tv_dbqP2cnzyDa_P=w1200|https://lh3.googleusercontent.com/pw/AP1GczPoKEkg8vSPtx9yTeEHaApZVUXBnsUZJEIQis9_fdGy5_Ql2UT8jndZ8NUc41vvZpjtHwlc3Q2PvABxafoAvDlGgNYXrj2j8tzYha09hTZJ8zLFTtpO=w1200|https://lh3.googleusercontent.com/pw/AP1GczOHg-jVfmiLnsIZ4Wt_EchrNjCMytBFqX4sLRXTfmPCvYUJA1-WiLTTsPfVAhgQSR9FU8RVK5OPJdExzj1h9iQJ1OXkDcBmL8bkNHt2JRBcPJKkWPtn=w1200|https://lh3.googleusercontent.com/pw/AP1GczP45MBUzfAqTSjYnDVoiQ6oAgQueFRVv63WinGxDjhTmRoYy7J5WMDGlX1PqrdWKcSDjc3ReOr_1JbW9AhpniR7nZdPvjGDQRT_xUECGl3zV2GeHOUs=w1200|https://lh3.googleusercontent.com/pw/AP1GczMjxAVrf9583niOr0O-We4HrfxcYLoI5Bk-246hL4gNVn9BFNJgNu0_WRC5iVTR9ZM0qJSV1y3g61bWDr8KmZHgrTXQWl7YTf4UwGqvW0jOJvsaahlG=w1200|https://lh3.googleusercontent.com/pw/AP1GczMh6HQnlDXsl086DNYRkJgZCDe_W90mMGG530bpbeNrtcmoCU6CTsIB5JBV-tZWKWec2e1q3Z4oXYcE0rusShpCH9s3DxRNRTh4LEx_bndq1M0ZesjJ=w1200|https://lh3.googleusercontent.com/pw/AP1GczPD1-e-knvmuFXID2YS6f7lHZd2XwCtnwGwyX2bbJjaqvVdrohwScB0mwXE4_sMQUBZwvtHAwE-Qkflhs3vEY2HGVqBFglP9mhNepH9XgUnfuDqhTCD=w1200|https://lh3.googleusercontent.com/pw/AP1GczOXSPvgjOVD-eMpaiV3cs9Suis6W3LB2KRd81VCmTf8sF99-gYVIB2EWO_u9CTCglBxplngZc53BGM9szqO79A6jpc5dj2XkEq9HGBBU1HWTrgQccsz=w1200|https://lh3.googleusercontent.com/pw/AP1GczNlsDIi3U3ynm7WtsFssZlN4gHpd96zgiR6XxMB_1eYn5zbBY4k0YMXrjyC_mDmJDOv8WHkvSYEhf3sH10vw0eHsHrJkuxCWIduCP8jRsLFVf03PXzm=w1200|https://lh3.googleusercontent.com/pw/AP1GczNMA3CX35YO1E8Sk1aKYXxztyuc9l4i3MbNiuIKVG0LiaSE5u91dRuuCaVlcHeR_FWfGhfwXd2QB2khkRxQd1-kbK-NWXxxrSu8XRD9czfL_AkB6Tht=w1200|https://lh3.googleusercontent.com/pw/AP1GczMBIZZW_p1IPcKoi7qwnGzVk4GJ-mNE3qxZ7LS-69VpdYVbg8vA8kLVy31A2MRz5xp1Ocvjr0NdrNUU7J-5HWHjFYN4yn79GcRcYil5Q13-_l-pOoap=w1200|https://lh3.googleusercontent.com/pw/AP1GczP-7gO3fEDS6nUV9bTa8Afi9HUstWSr3o2UJ2V76jREqenaqrO1vIoNgAOCnZWmezj86GDT3xJi3vfVxyiWP0UdWaWk27efKixZy7lHg9tFy8Gzh_1o=w1200</t>
  </si>
  <si>
    <t>920</t>
  </si>
  <si>
    <t>Apartamento en Conjunto Media Luna - El Tizón</t>
  </si>
  <si>
    <t>Media Luna</t>
  </si>
  <si>
    <t>https://photos.app.goo.gl/PrDymhxqaYYZaaJk7</t>
  </si>
  <si>
    <t>Apartamento con área de 64.51m2, Consta de 2 alcobas, sala-comedor, 2 baños, estar de tv, garaje, 2 closet en madera, balcón, a.a, cocina integral, cortinas, pisos en cerámica, techo en machimbre, zona de lavandería. El conjunto ofrece: portería las 24 horas, jardín infantil, salón comunal, administración.</t>
  </si>
  <si>
    <t>Apartamento bien ubicado.</t>
  </si>
  <si>
    <t>APTO 407 T B</t>
  </si>
  <si>
    <t>https://lh3.googleusercontent.com/pw/AP1GczPmHsXVuOdgX3R-lQhQsrBaPGfP8ebsHN9wmQG_qQS4rqse45MMTTuhZ-Nn4vFm5Ub60asLDfcKqKSSaaJ9QA4TRxcy8h6wxeE-jE1RkUA6sg7aWhoe=w1200|https://lh3.googleusercontent.com/pw/AP1GczPbyEvaTpgptyevI4ANH39tsAlrSr_Uz9T7LeL9Af4ntqCmQOnFItcKPJsgpWY75P65IBeJNd8-nsFUf-DIjx2hSV8eVRtxT5akaSAYvP7tTOxJJwpo=w1200|https://lh3.googleusercontent.com/pw/AP1GczN6rWCq0WyOjkBW3B93VCYWPgQqnEfc5NFlHOQ7V6XT3s_P91wSfhSUpJyG3j7qor3YvBKCAycDQz4B3QMaDaaKF8thLKFp8JH8PUiB5Jr_rg5Z7k6I=w1200|https://lh3.googleusercontent.com/pw/AP1GczMRtC6l0aluwXDtgM1c_fUbN7vk8A0sC0aboSVVwK5da7Bx0iOYIMlFuxsPjed4R0mFJGcV_cqYu7agk4mcaEosEEgrn0Z0km6CmKNe79dvQtadQidU=w1200|https://lh3.googleusercontent.com/pw/AP1GczPFkXea4EMMwyu9Gfm7H6xnlItdiCC482GxdFOoW9JZ1NyGhAyE65nzVgZ8WxMi7DaUZooSWTPdX8dAGXpEizWUBoEtQt7NTMbGEOcRJ1lwl_SNSBpL=w1200|https://lh3.googleusercontent.com/pw/AP1GczMvGI7x1Cwpyd12J4FI2nlvFTKr13CcavggSTc9NPuYLJpaBgpDeizuVWuqAB6ozJVeZyLnxXjtSxESjJJg8zwRFfO5LgeFjRjqdp1VLz4sOVhA_G7r=w1200|https://lh3.googleusercontent.com/pw/AP1GczNoGOWyJDeuqsNnZnGW89_b7o86BnAbG5UGrAfXysPL5uLTMwVDalLgdX3K3meZ9aImV4ZwoVthmw7t2uNXkgsZumI5BNa0CDtBU2YsSQAwPa61Lre5=w1200|https://lh3.googleusercontent.com/pw/AP1GczP8sVEOvGsdLsJaTZLN7qCwAIDdK9ghXYWSBQHrrPlnI6FdMjzA0SX-S9jb_Ciz4JpPXVgdM073M6fa_Fg9m6M0vT-aUxCasYBR6APdTcYXNJ9zKAjp=w1200|https://lh3.googleusercontent.com/pw/AP1GczMZpyg7H30ADIZvf1C1FhvoFFtv-myRJlOxxPVk9ZoCv5pTr_qKwlsSNTEjUgMEqCVjugrISVUjTlC7H0yKqE1Fv0WrkUKTZrktKH_CIivYU0qBJiQe=w1200|https://lh3.googleusercontent.com/pw/AP1GczPe8mz2B5qXoqlgHIny4NF-EIbQYtrLe8jkJ--B6IHVDUN2nFdlkq-bHx70h3aydR4cbX5YTnLBsKzSGFS0hTg1yhtybN8R37G0Q6s4_9RzteSrKbQy=w1200|https://lh3.googleusercontent.com/pw/AP1GczPmn9fWWJYoZzD-XtWua8fL0LZSddg3CVsL2QcHlTQ9Qi9KSso7ofO4ZPSgRWYMFwKw1cYZEY0devBQAKutUxGP4XFcLI8NQf611bIiPvqfXiaXV5KL=w1200|https://lh3.googleusercontent.com/pw/AP1GczOIZQslKJNwC8kCmbSXH1ujcLvcHUAyhhTOR7VNIYIlVxS97qChjgQi3sfnhEihkILEBvNu0GtRju9xvUwrbLXoDUdskSjOS9Y68KAxCWz6wdmAsJmI=w1200|https://lh3.googleusercontent.com/pw/AP1GczPcYKSRh2-XTnNoleGpJShBjQq4yZxMBm-m94bmD_qJ68I6VdoIu7Nz0fETowEVxIzLRyq18cUS5zwHLYoXvR7fgd0KAWnjaiSM2semYhcWWdy0mPHk=w1200|https://lh3.googleusercontent.com/pw/AP1GczPmLfuKjiCaAVSHm_sjig38HH4J424wNZPc_EUKTkBKeYMecM3-4TCD4CsXFPMy_Y3sB2eov870pe86VsEBlt5Zb4zXt-HfjuMsDjwXvTK9f0NpGneD=w1200|https://lh3.googleusercontent.com/pw/AP1GczN1u1UR84AlWRWZoYAuRug7VeCNwRRheTSHLdI3lviY8FSz5z0mVNS9z6xwvXjAvXN2DKOxyknm30jaosqvQJ_Zrl8wZVLSV-1nK-5vucIps0zVMCq9=w1200|https://lh3.googleusercontent.com/pw/AP1GczNlV56pLZrmi40BIoaOS2flJm1fiIB4WqxJtXev2b-63Z0anwYKe9oNtqC9k7itgGz2sKDLx9Dy2gRl2Klv37dWJYF8YAB48pWDOdJdDFFAtDjkco4N=w1200|https://lh3.googleusercontent.com/pw/AP1GczP915PtBZQfQ60oFQQmcvrQsD53rFXsjlmJt6kiPyLxX7mpO_Qe_WX3vI9ubxczrpsxPJxKgyfO62kgsmlHVRyXRq915x1GNqRHUJ8ofcc-zw6RyCLw=w1200</t>
  </si>
  <si>
    <t>916</t>
  </si>
  <si>
    <t>Oficina en edificio Fenalco - Centro</t>
  </si>
  <si>
    <t>https://photos.app.goo.gl/NhzQws14c29sLT7QA</t>
  </si>
  <si>
    <t>Oficina, Area: 18.57m2, Amplia, con ascensor, pisos en porcelanato, techo en PVC, 1 A.A., 1 archivador. El edificio ofrece, vigilancia las 24 horas, ascensor, baños.</t>
  </si>
  <si>
    <t>Oficina bien ubicada, con buenos acabados.</t>
  </si>
  <si>
    <t>CALLE 11 No. 7-35</t>
  </si>
  <si>
    <t>12 - LEIDY YULIETH, 9 - ALBEIRO TOVAR</t>
  </si>
  <si>
    <t>https://lh3.googleusercontent.com/pw/AP1GczNdK6xwxihCtYp1EVACMDBVZnzlwXcZAb_-oeuUb-79Upfu85U7vO42HfdpIumJ4vIxqrWp2lNUfhrQn_ZEHIWDRFMMbWjnlppAyNfiFtiWcr9QxGSN=w1200|https://lh3.googleusercontent.com/pw/AP1GczPSHtBViKML5fWHtk3GHWV6y7We1YsTpXrhD1fMnu7bC3n57aAzGmiW1hkBSyJzMTXa-l-lC4qTf8PCSysjX9iQGs3WwJKRQ1Y7Kqo0OiW9rp9XQEvb=w1200|https://lh3.googleusercontent.com/pw/AP1GczPuz8gCY5q9OO96gc5kyqmwxUmlKKR1ecSt8Q-aHLX7-GhSdkA6vC5VPuwcMMcc2uwl1gn1BwWWBmR1T5TSfEjQLd7OYeuq8HDgdYw4pkQveF2ns3Ft=w1200|https://lh3.googleusercontent.com/pw/AP1GczOHcy8UxEYOAoQoIOx-XyUZtRvbHh0lDdehvz1jHLAOwum8WGPjEiFwKBxZmXoybHo-SA-il3Gf6OCr6FdTuSxV9rlgrCsZA5uOGjd9xpaEkMAHnBLr=w1200|https://lh3.googleusercontent.com/pw/AP1GczOilNrWFqiGiZATkVUcI4EYltsVb4Edi1DEwpqlWKeuBff0k34GovGMZ_i2LUx_Huf7M6xwdU86KVAYRVwGml6ncfiAcGI9LZPTjz1_PBsprosp9Hri=w1200|https://lh3.googleusercontent.com/pw/AP1GczOguTjw5Y56-jUXepf-mECVpQD75netCMu-lXJKgONQ_-N5gIP12kH7WSp5k4cRv9pjaNUMnzO7U-wMX7t3_egXHV1SXSvji9pmOW3si4pFRROA9RlU=w1200|https://lh3.googleusercontent.com/pw/AP1GczMUo0ndCVhPnirR6DVtlH4BwlSSDvm5equs0XpywNdjBcV-OImgL9h_TNhCSRPi_90mLRu1DRmug79VI-HBU6sRu8g5VD3mXWkYUD4HzMqyHT_BqG0x=w1200|https://lh3.googleusercontent.com/pw/AP1GczN_sfmeMoDpxXYf_FT9Eia6lgNxQNTJDsF6yJlFO3FcL5zQCZWNvsAahm97p5Uf5UmUsM9CrQS3sRk72muy_LXug22vb4jKr9bGDa7pYiYFRSF95qk9=w1200|https://lh3.googleusercontent.com/pw/AP1GczPWFLMO13qt22oBm6KBpomxdoNrW9xrWk9D4pBDUvNrJL9eat7RXfzVS32EvIkWFrGwojjep13h3sPuvdJJDrYtzc5uyLVbWRDbpey0P8DsFbNNcuZ-=w1200</t>
  </si>
  <si>
    <t>1369</t>
  </si>
  <si>
    <t>Apartamento en Conjunto El Tesoro 2 - Oriente</t>
  </si>
  <si>
    <t>Conjunto El Tesoro 2</t>
  </si>
  <si>
    <t>https://photos.app.goo.gl/qZk18RKu6DkZiSfD8</t>
  </si>
  <si>
    <t>Apartamento ubicado en un 5to. Piso.  Conjunto el Tesoro ll,  con un área de 56.0 m2, consta de sala-comedor, 3 habitaciones, la principal con A.A., balcón y Closet en madera, baño, cocina semi-integral, lavadero, estrato 3. El edificio no cuenta con ascensor, sin parqueadero privado, comunal. portería 24 horas.</t>
  </si>
  <si>
    <t>CALLE 24 No. 35 A - 33  APTO 501  T 3</t>
  </si>
  <si>
    <t>https://lh3.googleusercontent.com/pw/AP1GczPCTA4wTAxWax79gaf-kOcOoYX3arAP1NCVr3hxIS9fGEf9tHJaHqgCYEI8acVgHS86TxJDKes5zufWc1GH2vyHdNLmHTrKi6KPbSF6wk5qq1nqOqJ3=w1200|https://lh3.googleusercontent.com/pw/AP1GczM5EhKRekXoa9wjC-8XPMEEgCaKuVIepCI2L3ax3TZJrzmF_TACb9roCjFvJFIF_kLVwMESSUqi8A59XTpol7XRXzqbuPwarZtc74tRifY-9g3rsiIX=w1200|https://lh3.googleusercontent.com/pw/AP1GczNbLJP6mFcaBoPr3EvVr6ocRb8pKPYZAl4hM0hEt4jI9VObqerRk0zllXelonbWpvNNgWg6pQCn82bTeWKV5sTJI-aiLSK-jmBAUtO7vjAIyqe9eSJG=w1200|https://lh3.googleusercontent.com/pw/AP1GczPTFB22znU_6pMWhDbgQh2OL3Y1Bezvkwx826BjGDNUZvjZOOYCkHMSnJ-jLbNyUvosmd3em3KSlmHBTt7rP1C_xZgtDko2FIzirl_MqcvkZVTVENAH=w1200|https://lh3.googleusercontent.com/pw/AP1GczO5qK6sp9G90VNaicq1trd7X8pDXKhulu-twM_Z7-QvDjpfCkzp8ROY2uASxLZ_oL9bzUj7QlrULXPMquBzORLt7nyIAjyrtnflvO4sYzUPyU6oHxm_=w1200|https://lh3.googleusercontent.com/pw/AP1GczPhUrllcvok3fWfPbPd3dnoffsPdb5lBVF3WtvUCZzyfG-BJ8echHy6mHbIBtsqCHLZHNA7NPd4alr0JAe6Au8nbbL_h7oCVs6UNMiIQlWTgTSRithJ=w1200|https://lh3.googleusercontent.com/pw/AP1GczNrq-HEdZhiq9ex8K31R-gowGqJuFAwcBp6dQX43mZ8WP8ON-Grx9eFPGu2SACjbaNtj3p1SoAh609yhrqVHN-vo0J470sBZG66ekcvPQrqT-pc53XN=w1200|https://lh3.googleusercontent.com/pw/AP1GczOgwAoTRJUFW-I3tfC5zeX6653kT4Thahz-4QpZIW0Tb4LsnLPhUSWpOo-Phn1qYMYGs5ktBak0OF6HKaDsffQj6WpQkgUEUVHpI4hnE_skVJ-V6SbA=w1200|https://lh3.googleusercontent.com/pw/AP1GczMWQHJ99xftHd7xDcI18MoEVKfaiYgVrf0GN4iJxwcZgFhXdg3JC1l5aBt_NrAfkvB4W6jt-QFlQrGDyYLkYWE6opReYnAnZjXjp6tG1qSnBYfqAmju=w1200|https://lh3.googleusercontent.com/pw/AP1GczMbZvxyjwQSeG1LTyVOgRZbd20_L6duTSrT3SG7GmBLyIluE7D53KbXa60jvJnX6UhVtD5_X659fEqrMljMpX0KF2s6S5TK3yNCuxaTyR93UVKyM4tM=w1200|https://lh3.googleusercontent.com/pw/AP1GczPA48a5TwFvFMK0VMOWEZwk0JHGWa1_5MKDyEkOWFq9vVqAsblmwcQb0nVPLp5H5tHNIUxnhGWuTYcfV5-8KysdKcpXbqfRyV6lDSlp2wnPbvgv8lQJ=w1200|https://lh3.googleusercontent.com/pw/AP1GczP07GZq0UMF2qKGND3aC30oahLvPLdNo9ddcpY4x9bqMmkl9NACwHm1v1WWfKIYoH0vGAUarbGgth2xXWYSQOq5cedEUZRWAfCpdH68AliAeZfnC5R9=w1200|https://lh3.googleusercontent.com/pw/AP1GczNdMD2gOjchp9HGpj3ugaQ1H0V-Owd6_6PHbix9Ep3bmyx_oAXX-WEiMYwqfXzk6Lcq-0mVu4d_NehvnSbHE4FnTxrhskozaL25z9Ni9Df-eqbuXfy9=w1200|https://lh3.googleusercontent.com/pw/AP1GczMjwf4DzsRQNBiIUMt57DRMxNP4c6sqwrBxKiZGQSA-VU5eZfL0KPVRwahs-EkxBITvDAA8KzzFAim1KPXg26l88ySJxxd-F6TturStSpnpDZz1dU-i=w1200|https://lh3.googleusercontent.com/pw/AP1GczMF13smkd_36JRCgWAqiu42S9_i-DkS1WOJI4hc5hpv81-o_-2kBOKN82T-mWYQgVl9nIabQJAmqokT5Es9ZkBoRHija0Q9fS3TIxqcWOoWSMK0B2de=w1200|https://lh3.googleusercontent.com/pw/AP1GczMv9JGUgsfvjsF-3wcsysXoApy_ceyHOA0a6bswgAMppftQXp-yW3m8zk2xrtjGlIMQOxacnWzm4uarOlWXF26FHW5HeaN-d5rcg0WUsXaOpeuIS0u4=w1200</t>
  </si>
  <si>
    <t>1744</t>
  </si>
  <si>
    <t>Oficina en edificio Septima Avenida</t>
  </si>
  <si>
    <t>https://photos.app.goo.gl/BkUpN8wByc67DDLL9</t>
  </si>
  <si>
    <t>Cuenta con buenos acabados, piso en marmol, carpinteria en madera.</t>
  </si>
  <si>
    <t>Buena ubicación, No cuenta con parqueadero.</t>
  </si>
  <si>
    <t>24 - FERNEY PIÑEROS Y LEIDY, 38 - MARIO MUNAR</t>
  </si>
  <si>
    <t>https://lh3.googleusercontent.com/pw/AP1GczNOnO-gWLXK06AR2wXWc02wOTzgrHJbsSBa9umbT3DTWediS8ocWlT-_KA0VNUO0mbNUVC7v7vv3kesS8EFeqHaCgEbgayomVjA3dqzqnLbKbC5BM1W=w1200|https://lh3.googleusercontent.com/pw/AP1GczNScgR6qX57ycNDu32hGD-2C7JDVJtBCeJ-iohgWbcdTICFhIM84h8BwGRg7pMDY0iRjms2kdFcbhrCDars-TpJz02eLs2E8fDx9OMBzfoRzxsOSL7Y=w1200|https://lh3.googleusercontent.com/pw/AP1GczOT34diFJlQseB1CGcLXFEwWzqdrUD4zZjqBR_6xkupG_qKRZLm0crw0qZ8DVe9_3EqRvw1pOfuBzXHmRNfD0jnWKl6lbfu00su64BTGG8Ly-xU9dHb=w1200|https://lh3.googleusercontent.com/pw/AP1GczNK73mpwLkiS_0qRHukRlS-SUEfeZbNUCFbMpwU3_xK4TOsnsbBhxqrq-IFdLBIbbdEKSX5KEc1XUDnCovJO5oY5T8SOWLLObnNh6oJGK7a-hK4Ci4g=w1200|https://lh3.googleusercontent.com/pw/AP1GczMhG1BGGKr9OrqLBG3ZhNggJvXopaV4uXkfFNAu2wrAZ7YW2TIwAxolA6WMYYw6fXYlZH3IqUnN29Tbf05lOZJaw84yHZq_XtlUPlWo0Krt8vEazLG1=w1200|https://lh3.googleusercontent.com/pw/AP1GczNqgbsHNeaiKQkAeGwsNy3VZLXyRIwniEqVnGs-gFQ9NxH54Ar19CLJTgLCF4xhP58AUxaW4aLg_25m8NziAkUJN4qqfqF0CXry6HaGc_9Qc6GWkMME=w1200|https://lh3.googleusercontent.com/pw/AP1GczNux3MPLNVdnx3vlf6QR02GClVz72Jk0prPp4E8q7ERM9FcpfoChf2NHEKhrf9mjouDFP2i13IleAo-4n1YJALhHZ5DCJytT6FUcklnbav4ty08vPKz=w1200|https://lh3.googleusercontent.com/pw/AP1GczOZzDLUzkpmc8Et3bNywqethlZdR0XH-XYY6j8bm9rCCDuqM4-5DFLnM2VclcgRO6j9ui3TRmcu-9rvogl8XLCUXRFiPUEUiNxYmOPE6WhE6hGXqf26=w1200|https://lh3.googleusercontent.com/pw/AP1GczPEA-Vw2bNqB2QABZEy7FXtugZuleT6twrGStBnhSSkt-hvGtjg6e9EqaKmyhSPRFh7CQKrzbePyERYv_LbE6O1m5ha_Ad6-iuj_GvQAuEFEI1LTT1p=w1200|https://lh3.googleusercontent.com/pw/AP1GczNs3vZjA7rgLDH4DPidZJIEtyYk9pARDMT6TyB3lxVyCJwVSiPkqK9P8jN_RjjI_mUWqxMqVgeOYH5C_YvMiptpXHJEBe9lrm6E1keKtgqbfkd4TT9f=w1200|https://lh3.googleusercontent.com/pw/AP1GczMag6lCUTZTFgIsJ13rou4Va9il9d6Y5_gGPXZwQxu87zJajcsFHowUZBq1Y-F197guXdLdqkLV17d1XW2m8cw_uTxBRmnRpcWZy2NbeTayio7pV4na=w1200</t>
  </si>
  <si>
    <t>779</t>
  </si>
  <si>
    <t>Lote en conjunto Santa Marta - Riverita</t>
  </si>
  <si>
    <t>Conjunto Santa Marta</t>
  </si>
  <si>
    <t>https://photos.app.goo.gl/sZPKjz5wPWVdh9VJA</t>
  </si>
  <si>
    <t>lotes con un área de 2000 m2 cada uno.  El lote cuenta con los servicios de agua y energía.</t>
  </si>
  <si>
    <t>Ubicado por la carretera principal vía Riverita - Huila,</t>
  </si>
  <si>
    <t>15 - JOSE LOZANO, 19 - PRUEBA v, 26 - NINI CASTAÑO</t>
  </si>
  <si>
    <t>https://lh3.googleusercontent.com/pw/AP1GczOAZNJJ_faln36NG1QDodGna0ISRNEF0qI2oR_-K03MarQ5CIfraVv0O2_xMN15MBB3pzGd9jNrx-f5pHytQuWJhcb2AdeReCIbDJSDweHF_trYAMqE=w1200|https://lh3.googleusercontent.com/pw/AP1GczM_U4XHdCzW8A2Swg_gafUbTi6NGNzbr7PWaj7wgH_XBlJ7esRzuJCA3NTi2M0gJoILTQ1ny_XoZgH75kMOWdYGgwdY-0-xOSlmszeZf93VO-N03dQs=w1200|https://lh3.googleusercontent.com/pw/AP1GczOMznKuFXhlJbTS1FO0Zr4jjRdBmLHW7MaUXg5mqh1ZdwCagawsoUzfwPliNIdsd9sGRaCgDpNcp0wxCyNB4YaiPfZyRsmozOVvyEzb7Xd19n02nmtv=w1200|https://lh3.googleusercontent.com/pw/AP1GczOa_5tU-rmeYaEg_hhZNSuwTi39poQn8YrnP7AVW_OwAuTy7D6RCSK5BvJi09zRCmhnrPMG_pdm1qTTIVOSRQmLr6BLiCT0txkTEoq4KbkNT79xHA2v=w1200|https://lh3.googleusercontent.com/pw/AP1GczO2zzDrKjaw18yfILMPqPMx0EeuIJrilZC_U4tRPpeEN2kwu4tFjllRUSrGrpTB3hR8RRV2UZmXu5ojtzIDhyHJkyc2P9etPI-1tNIn9yQ_OgLSw5JR=w1200|https://lh3.googleusercontent.com/pw/AP1GczP0XOx2F1zobGGHsoWSaTL9khtw6wdDmLeprdKOeYzxBiFAbKmWmMheA5ldV0JLiAwTmFeAMwi-jfqOSOFpLpcmnAzfPplBakeEBJHLyg4ChuAFjs2S=w1200|https://lh3.googleusercontent.com/pw/AP1GczN1iq0lWiDTqJiZjQbPHVaC4RLTKHcmu0VCtSK74dsYWKrb_UMq38nNQJkKGRvXWxf57OzcFUsBKJC7_xF8DhUKi40mWNwiik9Hosy-bYgpzGrAHvrE=w1200|https://lh3.googleusercontent.com/pw/AP1GczMAK9O_xmArpvHRxQPCXPCj2FTjVd5JiaXAkIYovwai1lHM1mCequtE26fMVDRbMk8LfnYV51TKZtJ8zxwqQ1QATuDeznDoVHpXksyGCi_29n9w7aie=w1200|https://lh3.googleusercontent.com/pw/AP1GczM_uhgzU-_o0QwwxMeMj9Td8TG09Fajxf9lBoea_8LhEmORjlyVgv-zO_S9npfJx50ZOA2xlNhagzsM3edGFDd6bwUCcQD5Mr0oTiR4ysFxDl7Crmin=w1200|https://lh3.googleusercontent.com/pw/AP1GczMgB1SESXsamHZWiq3shDD4KoBcuNI_Pl0shpDm7Bs8sCliQn6LH-JIrm2zWiIhbO5vw-FqzK1v7NTn7tkFS2713Ied9DfdQEL522SvJqkKKBYld5vt=w1200</t>
  </si>
  <si>
    <t>1644</t>
  </si>
  <si>
    <t>Lote en conjunto Campestres Novaterra - Vía amborco - Sur</t>
  </si>
  <si>
    <t>Amborco</t>
  </si>
  <si>
    <t>Conjunto Campestre Novaterra</t>
  </si>
  <si>
    <t>https://photos.app.goo.gl/xE1da8SGjaV9SjBK9</t>
  </si>
  <si>
    <t>Lote campestre en Club House, conjunto campestre Novaterra con un área de 557.89 m2 listo para construir, esquinero, con acceso a áreas sociales tales como; Piscina y Salón social. vigilancia 24 horas</t>
  </si>
  <si>
    <t>Excelente ubicación.</t>
  </si>
  <si>
    <t>https://lh3.googleusercontent.com/pw/AP1GczPWRVvxYah-ebOb7RKvHyii9cKxyxYzFKZSBtsQdwRpCFXpB04790fev_g8AHUmunGLKBsckfCfLq_eAa5r3GqI4AIyhD7PS2cMaMbjD2PiBhCd9i9M=w1200|https://lh3.googleusercontent.com/pw/AP1GczOUkDn_I4MuiwBxYkVgOepMnd0cFaKPJ4-he5QIdJ1oLkuMZN3TPKEHZ7A-Lqe5oBk84ytOBthxwAaPk9DKgckppJFL3fWbG3GztNEF8t63OjREHHfV=w1200|https://lh3.googleusercontent.com/pw/AP1GczOFCtazZQhaefVCuEY0updNGqNXzmEHD9FF06i7xbFeYFyFfdcjVxAjJe0rGtZfntRioWd15U6rGXWYd4or5se0PsX1SslyqaUvN1bfDVsI1L3bouAI=w1200|https://lh3.googleusercontent.com/pw/AP1GczMTnbmMUQ3gkxkc_vQb-m9xVFQwB8w8-qOorh8oAS-Dj4ZUexhg699DTyw0h0gIFdCw4BJbpOSrE3RCdgSMTXZi0A963dJ_CKsOnMJlxNum5UqPo-CY=w1200|https://lh3.googleusercontent.com/pw/AP1GczM9Eyk2nVb6mOaxgk9_p9uuonPdAi1_vXGgsjHTXEZtEFiZGCzbgP15E3TJJ9LcgmUz-O-s3OAF5WUXo658eIWSDeivpFrzahJU5o2iPmZ1YCC0Wsi0=w1200|https://lh3.googleusercontent.com/pw/AP1GczNK-eNna6uk7EvK617SDD2rTlu8QXE-Xs_MKlut84I-r8o3BJ3SE9JzTeyND9mSnUrsmoVeuuwdzR3nX6uRC1sfCWgdNSTI_EASIoiawPpE7lW3bFTQ=w1200|https://lh3.googleusercontent.com/pw/AP1GczOnI0Yx565ps0qBLcanO6Dx_kDQKInSuFdmfphfx8S0T2LcoCme3ERM8GSa8TU83MtNjBwclOJcgkG-BezYkn9EKeKxHJbOhTfkQPX0WZ_Sw967Uokr=w1200|https://lh3.googleusercontent.com/pw/AP1GczMC-Yh1MJ8wE-mCy_O8lmCqgeDhKiUjTJEjieX_21NC2sWNwhSy4LLcvy6PGrp19MmG9nr6VNayf1Pi4OzwolbhWsAs2hyMA5YloXIfhjV_f9JYnE5x=w1200|https://lh3.googleusercontent.com/pw/AP1GczNDh09CQfSKRMn4l92TvKlSq1HJE4o4fxmMIZ6RLoW5gjCiINmONk8Hov5ql0lBibE1MYu-ZQ4Yr_0_PxA6N37wgh0_UQXrhAoKkje5QwiEzf7bL3yf=w1200|https://lh3.googleusercontent.com/pw/AP1GczMBid_77lR3P9v7Jcdb82EWuYx6TIqQP9x9AtOnEQN_r0kcUGp-44wEo25wnYfTOAf11oLyRAnuBglLv1AC9be9in6u3GCBZMTzLh0q3RMLt1Q8YlWZ=w1200</t>
  </si>
  <si>
    <t>1647</t>
  </si>
  <si>
    <t>Oficina en centro comercial Metropolitano</t>
  </si>
  <si>
    <t>https://photos.app.goo.gl/XSfP1B9HpzcWnAM76</t>
  </si>
  <si>
    <t>Oficina ubicado en Centro Comercial Metropolitano, 3er piso, con una área de 13.91m2 pisos en cerámica, techos en Driwall, excelente ubicación.</t>
  </si>
  <si>
    <t>Buena ubicación y acabados.</t>
  </si>
  <si>
    <t>CARRERA 5 No. 6 - 28</t>
  </si>
  <si>
    <t>https://lh3.googleusercontent.com/pw/AP1GczNjricEU-AC07uPcDyvlz4mx13urs_J-kwo8Vl824UW53QXIRGdhRXxE-1Y6bj6jIDK16h_xX1yHkqauL8JwHxxJcAsdsnrXNCYVSysiAqVYvB-e8K_=w1200|https://lh3.googleusercontent.com/pw/AP1GczNprniP1mBpgm-xRvKloBhjjT9S2pIu1JOWmiAiSK9DxoMJp0gzxz2lPd2xdNfByBOaiKC9Ci4Vt849eC4nDKABasL3M-67ZDN6Nlems6MNRigZCQFN=w1200|https://lh3.googleusercontent.com/pw/AP1GczPNcsd8C95xt2pIm_wmrp5iorjBPea5govGtrkdOAfLQqnJe3C-chxtxgOweLrLJwVDdHmWEKXrl8-nlFv8Bt8643WfNFWBy1KBpt5hqNrySpLehlF-=w1200|https://lh3.googleusercontent.com/pw/AP1GczPXXeBZ84KLQSHSMp90KrcCoyw-84bXSJMZH39hUqMWDTIj_rEsDnyXoCOsPyJLl-ee9eMR1tR7SRUiaMLVvoMzsF3UG-ocJjzHLnwkyPJYK8c_V5Sq=w1200|https://lh3.googleusercontent.com/pw/AP1GczP91eQiiXTC_m-wJwfOxbOUh_iTnAxL5ciN9ehWdy5Cz75MzoZtTsoLn549pMzCmxZUtVIw_M7_QTNFj-sCAPfo1vW0ZssOz-eZdnEgQn8Erb7ewvkM=w1200|https://lh3.googleusercontent.com/pw/AP1GczMAl9wEeVGumZmds8RBccrb6pNd1CYXEs9ugO8DakBXxFS4jraHgg7wkRFsiGsadLJg2FqwbCXJ56a2CBEr7yx15CnN2HBrbbQ4pRB7y6Hak5SnY_6H=w1200|https://lh3.googleusercontent.com/pw/AP1GczO0HGlcO8F-rt3cUWu-XFPB_yoH3o9Xk31VGw_mPDVWH9h-q6HSxL0wMTdq6PB2d9rahXHL2ES8UgLgYevE764tkvicWoISBdJRi4tGLfafw1o4PYko=w1200</t>
  </si>
  <si>
    <t>1646</t>
  </si>
  <si>
    <t>https://photos.app.goo.gl/oafXpjLDta1kzw5f8</t>
  </si>
  <si>
    <t>Oficina 3er piso. Centro Comercial Metropolitano con un área de 11.67m2 con baño privado, pisos en cerámica, techos en Driwall, excelente ubicación.</t>
  </si>
  <si>
    <t>Buena ubicación.</t>
  </si>
  <si>
    <t>CARRERA 5 No. 6-28</t>
  </si>
  <si>
    <t>https://lh3.googleusercontent.com/pw/AP1GczNKDVfwPJ2VDn_4Yf2Qk6Nt9Xu1wD9CaPef-s3SpKSRfmeo-skYkpS8ti8r4HVgaaFPj2Tf8zPWMh-jyE_d3RWpVwSiMGRoe1pxJAk5pdUEGFzHO5XQ=w1200|https://lh3.googleusercontent.com/pw/AP1GczN_Qnnmvhm6eJI17O4KEwhMMq18aAhSUsI1VIG76wjkcpWZFe32NVcUo-QcKaT2TgFhUrcfVOgXKb6cFg2znhKJ75wVKo6p-BGiDlWosaJYeSE9MKa6=w1200|https://lh3.googleusercontent.com/pw/AP1GczOjKLLUTp3fjjD9d5pwCZm7p71h6TNz10lJTxihRrpL5bcoYDuQHJBK5-c0C3OBHvPnDen6h9BFRH-q8QPhsbBzwE62ujkMsw4WadNsajcwkNK-gH8J=w1200|https://lh3.googleusercontent.com/pw/AP1GczPgpETaY8lOxDeJNA4zQSMxafjKDYxXQrF7xXdu5sesHio51DzlTDnfNmRMwQY6oeyBQOJYdqYgGU2oCpv9ufrS9ZeCV7ASgtZfR_rtHxh09Jb9dW9L=w1200|https://lh3.googleusercontent.com/pw/AP1GczMQ8_NCWsFMcEl4Cla_Y_robWlXfxOaXxSf-83zZPDnhNk0q2Dm3v7m0QQS9SDDj9MdGiYFwVRDqd-zbQwM38qfMdh25tSnL2RveRZqqjK9Db4NWUCN=w1200|https://lh3.googleusercontent.com/pw/AP1GczPrzy7UISbp6SUj1l1qLcnQbBU4ja2ta5dZYWiJFcJKxmWmTMqLVu8RxjqVAiDQqqfCX8hJyh65yQDaMj8TlukSqtvE3lK0wyu98Ee8UxV0H5cFyrni=w1200</t>
  </si>
  <si>
    <t>1464</t>
  </si>
  <si>
    <t>https://photos.app.goo.gl/Rja6bXNXgpaoxmYb9</t>
  </si>
  <si>
    <t>Lote campestre en Club House, conjunto campestre Novaterra con un área de 632m2 listo para construir, esquinero, con acceso a áreas sociales tales como; Piscina y Salón social. vigilancia 24 horas.</t>
  </si>
  <si>
    <t>12 - LEIDY YULIETH, 23 - DANIEL RODRIGUEZ GAVILAN, 15 - SINDY MARCELA</t>
  </si>
  <si>
    <t>https://lh3.googleusercontent.com/pw/AP1GczP6Gs0N8TVFidd5DNkOax3twYVdHfXbmhUI6q-htx0Rw-1fdRNKz9YEmpnOiBL6dqd_4Dil-ipgnW5usiEHUx5uzmbQBdXDbasWm1hiCibXuaTZ7mod=w1200|https://lh3.googleusercontent.com/pw/AP1GczOxHYUpb9KVVeR4pO16zq_KqLf_HkuSVsgm44zopQK-4iaTVInl-Wv8iBKosI44dWUsNX3aawZFIW5AiDoRamkcVIm_QcYxKIhOlIF8PaT0XSee-J7T=w1200|https://lh3.googleusercontent.com/pw/AP1GczOte3ekFm9m1svpA7cq9DS3lvxr3PRVaoZ2R3Q-ntFOhlX8vkbx5AnawrVSEtN0HcQx5bHrA8vmAeBH862cSxM0wGVAdC7ozAdtzAcUv0oSJFScQNPV=w1200|https://lh3.googleusercontent.com/pw/AP1GczP7-nbTjH-qChu8KVa0ktuNAnJp4_Xnm1SNs2gGP9xrtLMdMMXmOPZubDn5Y92vj5_Moq4c0wrv71NKmjTV8wX4q_E-_07sThjCH_YERc7maBWsgNSy=w1200|https://lh3.googleusercontent.com/pw/AP1GczMUBFzi0KDI6TaLFWhUjWq3prUIex0kgOwdgyUG3AqbTm1NP8H9oqG8nJfywIG8pI-tlE3FrmYnSkh2yxDOMZ3WhZjg3wQKHIQBdxajik9MRySIT94Q=w1200|https://lh3.googleusercontent.com/pw/AP1GczNSkdgjc-vSkR-K0xsJJpabMY84gcSNqjujJYPShM5JiCUs3KhwuGj0pKkX7qfRUBoCnhPC3o219wuUL1lPbwN3yZowxi2ORKT0IfMtdZAs-mBGR067=w1200|https://lh3.googleusercontent.com/pw/AP1GczNi3fvS6K3FLyjFQK9BHlhPp3btXmQNr7KSqZcZKtqxXXpnjdH4wehXZxCGOhp3YHJHGyufMZqXvkxQCW5PBNebAMAldbkMz5UaGiaN9Fh_7nhfrayu=w1200|https://lh3.googleusercontent.com/pw/AP1GczOdASml4y8AfMqhg7o6H5bhDwIMGYoHY0YVAZ8pEij5iav3ABcseEmT28YXRDzd_4bvNvUplgr6-8DeQK1nqfX0rLwIZkP5KgqV8A74zgT3eXc9e5Lg=w1200</t>
  </si>
  <si>
    <t>1231</t>
  </si>
  <si>
    <t>https://photos.app.goo.gl/yW9WBvB16Y7J5Xrq7</t>
  </si>
  <si>
    <t>lote campestre esquinero con un área: 557.0 m2, con servicio de energía, agua y alcantarillado, cuenta con arboles frutales. Ubicación: Condominio Campestre Novaterra, vía al balneario amborco.</t>
  </si>
  <si>
    <t>https://lh3.googleusercontent.com/pw/AP1GczPX2j4TiA1VVBWgDpoJyzvIBKlLEaxqPmYo61TXYmKTmJxh6w7sLUiJb0wONUP9m_lK_YdTe1uVlO7vwPj0vkv5f1N4dBhiezIfXr-dOlTEyque3cBL=w1200|https://lh3.googleusercontent.com/pw/AP1GczPvA4pMripcrun667RWsqifwu_5VX-o0W2bq3UvX38CcEkojnWLbI6jxWdUWiiXva7kx8hiyMI0Kkje0l_D_K191SCtPmpgZa5ZCyIo1S-xHdEqeLjX=w1200|https://lh3.googleusercontent.com/pw/AP1GczPknpo13MxavM44AoZdMwtG0DIePemQjxhNVnuINPjkX5pFq39IUuuccsZTKzFlSsix1hVz-r9MN4ywQNZWtuRChrQA9sd6xM9X1zauheqodTXiuNg_=w1200|https://lh3.googleusercontent.com/pw/AP1GczMGZ2u_jZ5hl5ar6IdFf2x8WqJhBGJkE8tXbcoeBBMQvBFSq0uEcwvj7EdMor0Mlq_t36r6mnkE74CZNgMxRNS93TKM5gi2Hz5LdxtRuX8mQ21kDYDh=w1200|https://lh3.googleusercontent.com/pw/AP1GczOh9zxp02FdkeimuaBmft_65BZfyRm1opVPt2Kgp8zKCX6w6lVLA6__da4gVvCNZhcdMp506E62DFdwS-lH0JkIbNeuPMfvXgkAcJDkLRXFbh3RbxGS=w1200|https://lh3.googleusercontent.com/pw/AP1GczM9xSc5Q4s3mLydw3Gy_jn2ui9IfJLoml0Ks61gKOaY0TNmGxdMFQs0xKNE18zxUeqjnmlExFv-hVJcpFl6zFjOlkez9zHYDg0jkMZb3g1AN4qZGwz0=w1200|https://lh3.googleusercontent.com/pw/AP1GczN9aF1gBj_MN0lvNZVGfORryQAjNOgCjdr_xB-Qhkdvg-hCFzmwPpBFjXjRdAJL3iQ3X3j8hdatZZQSujRgZI5_8XlJv1I3pc95jOM5hwefZuU4SZlS=w1200|https://lh3.googleusercontent.com/pw/AP1GczO2H087dpdadtuWeCwyM3uHb50YxmTdOIfaMkb5WsFbTSHQgIutsaQNrCcOETxjJ4Ykdxsk8z5R95C9j8KliqLy4W44X3ODoyMWk9zyRnpwGvOJ70Rt=w1200|https://lh3.googleusercontent.com/pw/AP1GczMPo-MHL6ZZ3dxW2jbuuKpqPfETHsmXOxiZY77EOfdW5yuTQ9VsnboK1kPWrKFyN83QaJpSMV0QgstKqaiZoCxqMJtHrkBajomA9CxL4jCW0A3atMt5=w1200</t>
  </si>
  <si>
    <t>768</t>
  </si>
  <si>
    <t>Casa con dos apartamentos en barrio Santa Librada</t>
  </si>
  <si>
    <t>Santa Librada</t>
  </si>
  <si>
    <t>https://photos.app.goo.gl/Vreh7uUdMUXAhqUG6</t>
  </si>
  <si>
    <t>CARRERA 16 NO. 16 - 113</t>
  </si>
  <si>
    <t>https://lh3.googleusercontent.com/pw/AP1GczPlKurr9Lpt5kb2OilFzw_2P8VcV2UUDUzNMM7A6w9v10hh9d7b4UIyMk3GFilXzJkOgg5WTtq8-XUVx70IqHaUkSDQIjIhx6GvNW7UGPrcvtt8pAmy=w1200|https://lh3.googleusercontent.com/pw/AP1GczN8aCfzmr739AAXSkSJoAX7dGBa-jbKJLUtSoUwDJivJ301cN_Qp3OPHovKC0NS3xLd5JXAzVTK3TGZwwhZWXYHaBrX3TSwH_QwVXhWtqjPwI47FGyi=w1200|https://lh3.googleusercontent.com/pw/AP1GczNttCNWpyuWU6n66uQgzocQcSMHAj_YkfVL-lqZcZ9ibi-3vGlzZFGPOUWHBBQlLg5urp0GqdGPP149WgtT6g5CDZ7OxqC_cdpOQk-z2rsC_TYkLEQ1=w1200|https://lh3.googleusercontent.com/pw/AP1GczOhZo1NwxYm4nY4SgoP0q8-Iz38sEhBjRNtmLDxrCI_qdH3KNTXvmbTaNrAHjMI4cU6bhnb4Qhi9VsMD6m3Eg8GOBqrkXzVnbcnh2C8qKPbD1x64OvH=w1200|https://lh3.googleusercontent.com/pw/AP1GczNSqHVUXLdoRggxQ0O9RJqkhU-5viczJr300UiVAE5jAU8cAqYSCyStMqfodomIF1KlcRg8Jsy9rvOOKWQ9KtEeVifSLQtNgbK9obVFaM4HlDhb6Z-x=w1200|https://lh3.googleusercontent.com/pw/AP1GczPKPwApzx2budgvWUIHQGU-Op1ATBYPKn1i3fsYXvb3-d-m4yPZCYjp-sWbwCD5q_kxW8VZAm04oCHFV5KRHtvKCI0DKVGZK8SkPFCXfSv2Weib7awp=w1200|https://lh3.googleusercontent.com/pw/AP1GczNfu-fovI41Me97OoeIuhfHv5WB2kjY5AvIsO_0SB5gqJHj2zRXcV0pSoWgYTCpNWPlmG0l46IuPHsJ-M9p-oEJumMKf5z5hdr3CQuWYE844IZPTiUH=w1200|https://lh3.googleusercontent.com/pw/AP1GczNBp_bd6rfWUzFVeMcQLy-97ljbr-inhAZpR1Nqgh2Iis-8-jt9NF1Y4zevgamFXadJ50bcZEBc-XVUMVP8nDtkWgFveOLg-YUcLZ6ZWIUFIF6QCYhu=w1200|https://lh3.googleusercontent.com/pw/AP1GczO8FJu4KM529tzAmWQ8q_bn5mCRzmY-FhRVAhFzf_aZVE8OVSjwXei4fXakWtHg0pRpsYfIB-hgCTDxCNKhc_j6ypZfTL1NsbudawVNTY5GRPdZmbSV=w1200|https://lh3.googleusercontent.com/pw/AP1GczNyDvVmbndJrm8ppIMPl2SWJu4st4gRdlqTqCuPKuah8CMmUoFZhhYdyQq4GAhmjH-yrzmLAsj1CiC2yfhTO4f4zY5VnYnplMNonQvehxBcY5EVxAfg=w1200|https://lh3.googleusercontent.com/pw/AP1GczP0XG6Tnn75_YCu8HgpVi0twRWzWsww9kFAoK4Q_mde98VMnQrUEKX86_8_KG6Oe48jBUvERZw6qvgtMzVSDCKU3-FwmPn_1A-J7AKKhcFULZEIctJO=w1200|https://lh3.googleusercontent.com/pw/AP1GczPOD2BjEmUccDHcQpYJrNhoWqrL3aU9Y59uqnZTUbdQBD6i199DdZtz47W3qeetF4aPB9IOnfw6LxSKvvx35wruuYRAKyxw8VguV3rQIgjpfOG5pOV1=w1200|https://lh3.googleusercontent.com/pw/AP1GczNSh2VWMLaKJYmUIulevTJL54Cb8suQ4Q9Pg20Ab1-iOlJm3hqY4m-IOwCyCkBB8XUHh5_QaGOOHiSmwyoF3qKpkNh53jTGcRuRXM1FUrn3LIiNk-3d=w1200|https://lh3.googleusercontent.com/pw/AP1GczM554VOX0OvaMC6w_YJXglVdJRfATneaECyCt5QVClSkGnUkzMj1Pd6E0voI5CZ5PXA3Kugk_zd2vrO9yOMapqXlxGBXoWs7P0C2WQrOMWH6lgbTheD=w1200</t>
  </si>
  <si>
    <t>182</t>
  </si>
  <si>
    <t>Casa con siete habitaciones con baños independientes en barrio Candido Leguízamo</t>
  </si>
  <si>
    <t>Cándido Leguízamo</t>
  </si>
  <si>
    <t>https://photos.app.goo.gl/2FEH2Zk3HjQtRdGz9</t>
  </si>
  <si>
    <t>CALLE 33 NO. 1 -66</t>
  </si>
  <si>
    <t>❌ Error: HTTP 404 para: https://photos.google.com/share/AF1QipOtS0ow047axWMjxtVKT66uXdINuYCueoqShveb-ST8SCHy4mTZMPKvsStBc9un_g?key=SjFrUWZpM2ZrNE9pZFliUU4wRzEwRTFxV3NGbnJn</t>
  </si>
  <si>
    <t>724</t>
  </si>
  <si>
    <t>Casa lote en barrio Los Martires</t>
  </si>
  <si>
    <t>Casa lote</t>
  </si>
  <si>
    <t>Los Mártires</t>
  </si>
  <si>
    <t>CARRERA 1 No. 11-24</t>
  </si>
  <si>
    <t>780</t>
  </si>
  <si>
    <t>Casa con dos apartamentos en barrio Prado Norte</t>
  </si>
  <si>
    <t>Prado Norte</t>
  </si>
  <si>
    <t>https://photos.app.goo.gl/ZFyJeFicYFetFs4R9</t>
  </si>
  <si>
    <t>normal/integral</t>
  </si>
  <si>
    <t>CALLE 47 NO. 20 B - 11</t>
  </si>
  <si>
    <t>https://lh3.googleusercontent.com/pw/AP1GczPXY_wrkZCwgfHabaNatrhXX2JbUcNAOsrUOXAb3viOuzONNp9TB6ajAD_OaVjwJptsLqvgEXy8pTKOfdTK-UypTFgn6kMfnLro2kPMd3aLppocEaoG=w1200|https://lh3.googleusercontent.com/pw/AP1GczNll9f2eEnkOKMojocQHHTlaWN3yvKxFcGkmlBnrFLDZ6i0M0b9qXury--kiVYMQal92I6iqXlXBSzblyvERLyu3o_Lk6lAjy2bWLvoAuJtGg_6oor5=w1200|https://lh3.googleusercontent.com/pw/AP1GczNBJixgCLlFEbM7z6Pz2xLcHg8h7eU5Pmw8PJ0YnI2CkfMmt6fJCBHH-QTTA5oz6KlWK270C0MNw3YoXOXooYxEK1VsckKUFm5HNKIeKcTKpt_U01Cv=w1200|https://lh3.googleusercontent.com/pw/AP1GczPa1X_E8e57XHzrqlrvcTFQ87yaZNg0VlYBjCSjPewluWLPT-g2ca7cvzJqeomOduMHmfkrjgjTHt7KaMeqL-haNYaeyX235RlWnCZRDTQz4iOX_yXq=w1200|https://lh3.googleusercontent.com/pw/AP1GczPZycugaKqXnwxRsNbPbYOTqHqAa2WvOw3YXNnWzRLZp_e1Vi5WofCwwtbf2TIjlReD6NLR6Rk8MC0fbcIZCNfFypm1Rm5RnUW0lU_00wMsrU2h9QUV=w1200|https://lh3.googleusercontent.com/pw/AP1GczN-Uch6DCaWb0oggxITJNYDou7atN1bLiGo9uzjXUM-FdrrrA1eX2mMjJOiun2D3lYvj6G3I3906a1tkVhYTUhg_nMHXA8g1IiOQLjIq3PH02nnl86h=w1200|https://lh3.googleusercontent.com/pw/AP1GczOaQeK_gbXEhVQ9hhxSCMpmfE8cXKEJJOHc0BGDkHWjB2P5RoFH3OpqZfO0qzY8p0_xsRa6sIDCopm_Ht48co47Zu71Ds-pgLDcI6f2B_1UYly7SOwm=w1200|https://lh3.googleusercontent.com/pw/AP1GczMNW9pAwUYI6A9sw2cYpfUw53z115lbvo6FIFJELpBtUpvGfMIWscIjcXDkUhc3GMh8WHTovOHcBxRYkAc7aqzRE1bVhaIEk3om4gBVT7dwPxmmrKg9=w1200|https://lh3.googleusercontent.com/pw/AP1GczMNsKbGW1XbqWH6fk-hznCr4n1v5F-UUWLcsH4BjFgN6z70tz7zEjkizbwc_FlN5f0YgiQAFI7YhF2xuRdYvlSiUxZnBxVYcct28Qw-u3DcK6c1dMAR=w1200|https://lh3.googleusercontent.com/pw/AP1GczPb5oKO1MSe6kM1_2XmQos2FSgC_nEL9702Fxa75efOai31Dwjo9VG159tq1LvD7IlkPbzziMWa5bpFd6vxHNnP1E481V9W0qx94oZXHSR9rnf-gLY8=w1200|https://lh3.googleusercontent.com/pw/AP1GczN_-N1WuLqi-1dzNqjZxYzTphNqs4y5SLA6r-kr7QKSNFl4oAur98Np2PHUct4X2U2rrF-PijQdMZUvwik-kfClYfm6KVuv3GRE-Kbk8VGi_x8e956e=w1200|https://lh3.googleusercontent.com/pw/AP1GczMB6TWvbgNliCTJDI7HZP5HEeIqp9uqIAW4Osr5fqErH-Sj4xgLCTShjanGfvGlTCebDCPUZPrfm88aZa-ggSC4te7w4I0njGT5vuBY0lYFSqwQLsuG=w1200|https://lh3.googleusercontent.com/pw/AP1GczNmNiJ8ATS0CiJysgXGjD4VGsPgNS7jqTivQNmc3Qpnpw5uxdPsqceE99TLdwsDqoefSwCtMWJcYTGvakWSI3e0TbUyuIkcIzZ0VrgWaLPco-GjZuRc=w1200|https://lh3.googleusercontent.com/pw/AP1GczMCsM1dPtP_yVFAHSM-a6tVWyBkRx3DdJSHN7HI8rkeGePywL85HKh728eT2TsS0Pl5GspY-mThMII2VZ3RIpr0CQDBIbZvv_KJZzOU3o-S8XD3zqAa=w1200|https://lh3.googleusercontent.com/pw/AP1GczPfH7Od5IrSNkyYbwo53fjfZPnbkriy_y8JAp5d_CHLe3rWZ-7vCnovh2mSKGzfLW5R36aBEzOa_s2oz3oj8n6Oj8Rr1kXJQolBKVDjZk8hdISgEgPp=w1200</t>
  </si>
  <si>
    <t>1103</t>
  </si>
  <si>
    <t>Casa con dos apartamentos en barrio Fronteras Del Milenio</t>
  </si>
  <si>
    <t>Fronteras Del Milenio</t>
  </si>
  <si>
    <t>https://photos.app.goo.gl/Wd5GoiVJigCeixvh9</t>
  </si>
  <si>
    <t>CALLE 27 B No. 23-33</t>
  </si>
  <si>
    <t>❌ Error: HTTP 404 para: https://photos.google.com/share/AF1QipMDKXwlaXz4SIshA47s4Cdw1tE5rR7oSG8QkyH2JUJyoK6oxynqSrYvWNXB0m8iHA?key=RTZDWUh6TndYcFQ1TVVSYWlMRWlSelVSRHcyMUdR</t>
  </si>
  <si>
    <t>138</t>
  </si>
  <si>
    <t>Casa con apartamento en barrio Yahaira</t>
  </si>
  <si>
    <t>Yahaira</t>
  </si>
  <si>
    <t>https://photos.app.goo.gl/EXdgV8kqmidR21ccA</t>
  </si>
  <si>
    <t>CALLE 47 No. 18 B - 34</t>
  </si>
  <si>
    <t>❌ Error: HTTP 404 para: https://photos.google.com/share/AF1QipMRyRE2lspR8W8_6111IUgJDsPJUlBQ3hH2ooyKO82180D2R9Z_hpd4TDCHiQ1gYg?key=dXpob0F2blRwNlZZNHNHZW9uVFpYZVM0djBmalh3</t>
  </si>
  <si>
    <t>784</t>
  </si>
  <si>
    <t>Casa con dos apartamentos en barrio Santander</t>
  </si>
  <si>
    <t>https://photos.app.goo.gl/V3oMZ575XWReyLCR8</t>
  </si>
  <si>
    <t>CALLE 23 B NO. 45 - 49</t>
  </si>
  <si>
    <t>https://lh3.googleusercontent.com/pw/AP1GczOy4oxYgZ2tC-YfCK_p3SNqluDpt_sromr8cgn9WN0HcIWqAR47gvVQDJAMEkf9S0EqZ22PgeF2be6yetp-hs_vq-_ohVXWXtrNJRa_ZoMv5Y0BAufN=w1200|https://lh3.googleusercontent.com/pw/AP1GczPlqqxTxiuRiK9PweRRmjgaNNLakW2lo7hOkM_cn9f2d7HtTEb2kgxyuRkh1It7F7UllX9Ch5HG4xGk9WltbucWaoX1Ckyz4l_gK1RnTqQMtJZdm1a_=w1200|https://lh3.googleusercontent.com/pw/AP1GczMc81LiU2ie408pv8PHKB94ZYnFuiplo852ELPr2RtGhcgZKADK4S6ODU10s7Ljz9VzF2dfhXk6sUoMe87XRH5kl16KKWHPJbMcgW2BK4d592ARTwEA=w1200|https://lh3.googleusercontent.com/pw/AP1GczMiOZjqMGxPTa1VFoR5Hj-KdywWIIrboxpcpL-BFIJPVZ6E5mt48voxgnlgsFp-aTC10WQ_AYRCJLVa2YPyMp2-MMMZJl5PSzWemQN4rJbRChBnUSPy=w1200|https://lh3.googleusercontent.com/pw/AP1GczMx7FZUEBmrWi9rMQ8-LZPKU3AC1g6KBVAR2Sq38qZxYpGbonCA0A_TC5IATMRv6QKhlGqoH0kdvV8cyzpeIw3H5AfkeV8Q-wcM0BE3M8MdLW3_yQv4=w1200|https://lh3.googleusercontent.com/pw/AP1GczMtZV1rjGTECn6bHh5ayDVlhPQIwWqHlv3XgC0MlCYiMLN3CW59647ldZEyrQpR1LciauS7YyUcLE0UFZ5mn76bR6tcgDJGfOxMLctf-h4YhabI2b5Q=w1200|https://lh3.googleusercontent.com/pw/AP1GczMNJ1oKki0FDkqJfEiGxZn7v-u7mIVPytM5-EfLSByb4pQ6ReCQYStLB8YHjP9TEr-x7FVWD_2Mwg9-eD0Apam2dxi7oiVCB3RXVV89AMER-XgDetYt=w1200|https://lh3.googleusercontent.com/pw/AP1GczPUR3prgBuqcZlDcoSB9vyHo-qDb3L7LdrQARqdvChF4STPurnjzXArzPAXo9MBbODNc0j2sgcm7IP_4AGHBowpa6v45xihux7ahHJCB20OvVjyjvLW=w1200</t>
  </si>
  <si>
    <t>905</t>
  </si>
  <si>
    <t>Casa con apartamento en barrio Campos De Venecia</t>
  </si>
  <si>
    <t>Campos De Venecia</t>
  </si>
  <si>
    <t>https://photos.app.goo.gl/f4KW3fwy7ShN5nrS9</t>
  </si>
  <si>
    <t>https://lh3.googleusercontent.com/pw/AP1GczOjbO2EyAjiJGd8bXnITjfrupncAOvdgOckIMxTJMAFXRvpZrHXKCEejxrUJv99Du0ixAnzA7U-H82EF56v4uGmSEbVNRDHKrewcmzwOFrsNaL0Ynm1=w1200|https://lh3.googleusercontent.com/pw/AP1GczPNWu-ezxC_3b0DW4ck--HZVmmLk_4p0ArFbdAhV19BoGMH3uX8IgRpPgs9HOreJBt4TX-tcXXdfgqfpz_UZ_V3cl1Jyg_TtBolNeJ0la034ICRxjQS=w1200|https://lh3.googleusercontent.com/pw/AP1GczNmtvMXwopJwIuRotUG_7G6b1YHpzT0tTNSIAPCOYW4p6bVQmExnVmRkUEaOsLX4CdKaP-5M1EHieBiWreeVopfrbk5Zzpb0ZqksIyuuZMEZGBb5PlV=w1200|https://lh3.googleusercontent.com/pw/AP1GczNxVj1kpTeDEUaG2XKN0o7sZJ9YiRJ2fY3M10nOGqN60FimXX4wFwdDsMcqAZKKS7KH-N4N9X2YJeWzpzRd70f8NptjEeufoautPLjKBAVdfmvNxMs0=w1200|https://lh3.googleusercontent.com/pw/AP1GczMkk_MAzC1jGtanw_-pdKCAMqg-2CiwWTmMv4aBAv45hgiTLB-A6tptLAgaPqvdKj6d7XJ3zfY6QoJMdhNTP4BngLnOZuCJdRkKNcPlFPNaCWVLtpha=w1200|https://lh3.googleusercontent.com/pw/AP1GczMA-sPPgmLrR8vBJanJfo7a8LOVbhMVD4dwYJ2Hm17LrUU4SrKIAAdUUs1NIsI69GDH9dm6ksHZUQ4s8lA9D39-DFIv3F8zEF-llnw-ItK85dPlqZRE=w1200|https://lh3.googleusercontent.com/pw/AP1GczMPnqXa7O12yoHh-x2aCRZ6Fvy4CEaXWqa2ZrIb-v4SR5VNNHD2lOJIEwAYQlkNg8uO2W-0AqO5qausToDRkeafuU6S-rTZFcKCWzxp4Jdh8vwFzppq=w1200|https://lh3.googleusercontent.com/pw/AP1GczMZYy1CZa4Np_y7lSfnWgepA-wyn8Dtz7ZUpgb1mNp3bjijw5YxDr1qlbxD3mZzcqWVlnCfRJQrZTaniFxhTNZCtclnZ7IqHR9oDyn7dFHigpvQ_BRv=w1200|https://lh3.googleusercontent.com/pw/AP1GczPS5QNGO7JNGtiIEgfv_6aDUwrfwQLWoGoc_9UwKjeT8wmDsr0Q7PIHr0K47APMMZ5oC7yNSv9KBF5TVrnIIF4j9L-B_PPpILr6ClTw5UaUKb_Vj6lI=w1200|https://lh3.googleusercontent.com/pw/AP1GczPCiIDcoXg7-gjYvTWpM5PnfkrmKcJ5vVojzilJEDVDeqXBl5x026B-rIxgrlZdJkNSHWiG8ijxO3DPqbJRrGn6y2xh-qQ7cx0JBwOz10H2I-0hTGf7=w1200|https://lh3.googleusercontent.com/pw/AP1GczORLj9jGTYFvx_WJ_X3asKVzf891Ro8qf1XOI3BIT6BZMIIsJFD6Ka7jKItplS_K7S6SOEeS7QW1XcB8X3NLQwFojryzz5NwA3UgtcXfaVWsK2wpa7U=w1200|https://lh3.googleusercontent.com/pw/AP1GczOVjrPHiNnFBkHr1zeLg_zmQxjlhSaqi09LjgwWfB3_eKFBxbzxa5uRAIcxCsBbENUV2SLMTUYd9IW7wHZuMCVnqx7NPGqYbtWeRQ3LWEQqCdz6zI5d=w1200|https://lh3.googleusercontent.com/pw/AP1GczM_jhl133S-_5mGi6MBZuGHSke4v4GBAEtIdRJVJxbMoyFQiYVAfQrnzkedl0n2VLOWockghm6MJn28VqcGyfNWyfemscmkA_gPAUCfQ-lAmbhZCu1p=w1200|https://lh3.googleusercontent.com/pw/AP1GczOZYu8-0sMWCCah7Aqx8ZeHX0vHbd3YOff_6_D7l9hUfwyiPf00qto0oOwY78rlfUlP8xOLK_KNddfjsQyEwKzr3stmWmjzE5jhjqQZdb_zDXUXJIfQ=w1200|https://lh3.googleusercontent.com/pw/AP1GczMmi-g_-3lamJnHORswnopqhgHYGo5GC6a3pD3k8alKdUel9XlCPYgyGsOH8yw_Ch7GrHba2XggoUtqAopTYSHsa76SSt4CvW24JHxcOGFsw-aLt4st=w1200|https://lh3.googleusercontent.com/pw/AP1GczPzGmOf8NuPhDS3YZay0MVfXbrzONTQseBCPKg8Jx0dfPXFXGa10aEMaszT4geuRkdOr0T-nkpmlDc2oa_-T0OONkQsiyi1awTUKr6_dNvfSjLMA7Gs=w1200|https://lh3.googleusercontent.com/pw/AP1GczNuUGoAosmd2LGHOrz_00ApQtSMk0WKJ1GMTMLer_cc_QMMfguEr2HN-bcOBe9jRGWqoLQFXz8x4qrRY0Z_H6GkGXk89PTlxgPtJ6pV4b_zS63si8KD=w1200|https://lh3.googleusercontent.com/pw/AP1GczOP6PlO5AeW_Jimh5Yn8w6UbtisiU1I_2822_9M8Vhf3YFU4ufj3-8Tinpx92GzcYcTUfTq6GBxDsdKojHzmsyIMnq5tk4zeuf27PQciccv-aY53b-6=w1200</t>
  </si>
  <si>
    <t>1066</t>
  </si>
  <si>
    <t>Casa con un apartamento y tres locales en barrio Los Elisios</t>
  </si>
  <si>
    <t>Los Elisios</t>
  </si>
  <si>
    <t>https://photos.app.goo.gl/dzZTREbiaYrMZXz27</t>
  </si>
  <si>
    <t>CALLE 41 NO. 6W - 05</t>
  </si>
  <si>
    <t>❌ Error: HTTP 404 para: https://photos.google.com/share/AF1QipP5mA-6lzlJgaPKCENHdZgwoiEKc_XoKZ7fDLX-NIfeRWrgztQRWsYTRVoUl6ZV_g?key=ZGw3WFN0ckZLOHFjVm95QnhVNTNuS25ZOVJPTUVB</t>
  </si>
  <si>
    <t>1018</t>
  </si>
  <si>
    <t>Casa con cuatro apartaestudios en barrio Altico</t>
  </si>
  <si>
    <t>https://photos.app.goo.gl/mxkzhNbcYEpGrodB7</t>
  </si>
  <si>
    <t>CALLE 5 NO. 10A-14</t>
  </si>
  <si>
    <t>❌ Error: HTTP 404 para: https://photos.google.com/share/AF1QipOywbtINm6uvluEQs3Omeavxwa1FKeJGsKEoGqKlr85cC0vXzqlQo9T_VMYafDcaw?key=b2pRLW8tMGJlNU9lYU5mZXU3UzdRZ3B4VlV6RXNB</t>
  </si>
  <si>
    <t>639</t>
  </si>
  <si>
    <t>Casa con dos apartamentos y un apartaestudio en barrio El Vergel</t>
  </si>
  <si>
    <t>https://photos.app.goo.gl/rqKZ9LwtvMGmreLd9</t>
  </si>
  <si>
    <t>CLLE 16 NO. 38-53</t>
  </si>
  <si>
    <t>❌ Error: HTTP 404 para: https://photos.google.com/share/AF1QipPI79HLumhjgoWtO5REFC5NzYaipEBcENiA6LPFRzr5jGXTsaOI-wtPNy20Ag9E5w?key=X3pHREJVY2tiX2hkZWRtaDhMNDAxa0dOcExVMkR3</t>
  </si>
  <si>
    <t>1087</t>
  </si>
  <si>
    <t>Casa con dos apartamentos en barrio Los Colores</t>
  </si>
  <si>
    <t>https://photos.app.goo.gl/PJWuj4DLyZ8M18Hw9</t>
  </si>
  <si>
    <t>CALLE 22 NO. 43 A - 58</t>
  </si>
  <si>
    <t>❌ Error: HTTP 404 para: https://photos.google.com/share/AF1QipMdnMP5qRULloUoPicIG4MAVKAyj0ZvzizKyKjBFI68ZHOaYBFSOKjHqani-3-GLw?key=cU8tWFdkRWlQNm1BN2E2djhYLXhsZ0dzaWRhZDFB</t>
  </si>
  <si>
    <t>6112</t>
  </si>
  <si>
    <t>Apartaestudio en Torre 8-34</t>
  </si>
  <si>
    <t>Apartaestudio</t>
  </si>
  <si>
    <t>Prado Alto</t>
  </si>
  <si>
    <t>Ubicado en el 13o piso.</t>
  </si>
  <si>
    <t>Depósito</t>
  </si>
  <si>
    <t>CONJUNTO TORRE 8-34</t>
  </si>
  <si>
    <t>1041</t>
  </si>
  <si>
    <t>Casa con dos apartaestudios en barrio Altico</t>
  </si>
  <si>
    <t>https://photos.app.goo.gl/7thw2QscZEoVM4eg6</t>
  </si>
  <si>
    <t>CARRERA 21 NO. 7-35</t>
  </si>
  <si>
    <t>❌ Error: HTTP 404 para: https://photos.google.com/share/AF1QipNjPgxDMLUbdmzv5XaFAD7nLS15dFlUE030r6YjRvQdZqEhCkJNhfrpB1Q3O557Xg?key=TTREZ0JTbXcwb3JRMng4RlBCcWZQd0ozOUwtbVVB</t>
  </si>
  <si>
    <t>885</t>
  </si>
  <si>
    <t>Casa con local en barrio Misael Pastrana Borrero</t>
  </si>
  <si>
    <t>Misael Pastrana Borrero</t>
  </si>
  <si>
    <t>https://photos.app.goo.gl/9LS4BCjBxho9NR2b7</t>
  </si>
  <si>
    <t>CALLE 49 NO. 20 B - 11</t>
  </si>
  <si>
    <t>https://lh3.googleusercontent.com/pw/AP1GczMoJ07FkDmv3qc6WpR92dK6Dryba6x9vKaxRajktWdd_wwdD6XMYEUO9r_uau7qEmnWF6qkJ6f9CDE91AaD7JQnkC5olS-bCdibgGX4P_DrJYc_8B5c=w1200|https://lh3.googleusercontent.com/pw/AP1GczNKs8aWL-9QwD03-golg-RHBNPolhluF7OenNtsVSo4zwOeyZS4HZWVqoJHFZ7rQH2o5S4z2KuvutCCxqz5jYCLO6v9rx8C0GHafocMEoij6ba8d8QC=w1200|https://lh3.googleusercontent.com/pw/AP1GczNC751PoROHyvwoasqVBUI8QYJ03Rd2YwI0dICfHWWBeOVh7wIusQcjWZTevgnmZoy4ASZJlo1UFBHHprH9Y1JghfKom8niJn5ZYkecs9cAZX3QRazq=w1200|https://lh3.googleusercontent.com/pw/AP1GczM-7o0b0fLIwPEEm6j0Q96WosZgqww016mbmbS35ZBXqcpoGpAVwxTw5WqnxeQ0KKG3WOsjXl1BN07-yey_-oPG3wj4oMfixzjR1DjIzOaPINYO0dI4=w1200|https://lh3.googleusercontent.com/pw/AP1GczMxTPOJ1-j6H2PRdZ3pcehQsP1kwtpQul-zPKa7cxtJkm9iGsti9J939KvJn6aSOdanVAb8f1YxOYR5lVJmvSLmudOHkIO8b1O4djwHsK3PhF3I93dJ=w1200|https://lh3.googleusercontent.com/pw/AP1GczOzOtZAp9uiM6986LGnP1mwEaAL8A_VAG2iM_qb4dJk9ohamg5xECgznV6XuEnYjCDT9mgBH9m5PzbmlSpj_RoYrUVZnjIllV82tHp89r7qvks5X7t4=w1200|https://lh3.googleusercontent.com/pw/AP1GczN9j7AGWt6lJpCsq8JMEeeiiBll3U1fyYczwArh_NAyvQd7KfuLsJZR0WaHur-3S6dol1m4dshxHotVU7UWw68kM123oyaduDbXX8xozWBQPaCLpShM=w1200|https://lh3.googleusercontent.com/pw/AP1GczNvuRQK6_uN8C1p-eH1i-7KOgHjNoK88EisZzVSTF6blLfs8D1C07VRxYnLNU6dHhGMJ22Af5U_xMgAwwTOYb_1hmDnnZ1vX9TIR40IGtgHpoYZRoik=w1200|https://lh3.googleusercontent.com/pw/AP1GczP01IWA361nwxRhLHt0I2GsRwYT99lhssc9Sc9LnKsUz3isQ4gUcJjWYQcPZsbhmfJcQfU0fDV8QyxCteqFfFIx2LIrT8cQxCsgy6t4o5dmy3Og_eH0=w1200|https://lh3.googleusercontent.com/pw/AP1GczPGA5_RDwW2l28kglCtFNC2dpu7bae-XUCoYPj7sz49FE4_WHDc9huwKVmGKBUToNUxl8vktwhvGFqoxjAcNPVEAwUubqTMavkv8bxcAlmCyV0xeNyd=w1200|https://lh3.googleusercontent.com/pw/AP1GczME8aGKAuLO9S749YTd-xLRD1gUt-lrMla9qhIdLcTDU1BQzug5Kq0jnh330aCp6whezp386lkttXF6Gi4kb6WR9B9-9Bw6tJdqNDPNhsi4vn8qg2_3=w1200|https://lh3.googleusercontent.com/pw/AP1GczMRoKRD0HD7VqbrMFsykNJtOJn7MHBNZNYY3tNNYo09jM6WMPcf9GJv1S_PrAcLWSEKcDVQTzdxtMdHzMe0zbaR-CMLOdQq8dngLyfNYZPyH83CAhzH=w1200|https://lh3.googleusercontent.com/pw/AP1GczMFystFLzQvRhBCfl1rHOwj4Qeb6RNgQOvv8CMiPdAV_FINCeyBs-16xpq_uk7_X-bgfSlizpYEhO8VCXPyJsZEuvKbpxjS-wy30srTvAjmtJnrUFc6=w1200|https://lh3.googleusercontent.com/pw/AP1GczP-XGbPgWKdW8g6ashFZAbPVDGEPc4GV-KUFOVbjrBokGv3rlR86369M3qcMWwALuUgZJwn2FZAcFJAo38hZs9OMJziLh49y5CG6OVh_YRnxjIonEVi=w1200|https://lh3.googleusercontent.com/pw/AP1GczO9slNYs5izN58Nl7ByO4Q7A0AxPzI7tNRLXsFnCR2WYISjMDoOGeMmIk14LJRtz3MPjNkF2XzguI9uvg_1dVgxcHI9CTc1CrSQZI6lYUieg3oCneCB=w1200|https://lh3.googleusercontent.com/pw/AP1GczO8y65UJ2PqxcYS-V16ITS5a74J7wS3DQmlbxZ2Edwti1gjM_R8aWTnyVEbWUTUNG9uIRNl2_ozmlST86isizgR7T7mxMlzy6a0__HV17b5mI2m4RN8=w1200|https://lh3.googleusercontent.com/pw/AP1GczMuYCp1eMvFXMqV21I4DIvOS3c9r2KFzUXsgPpPzdn0Wz8dy-E3eZUijI6sVl0mbswIarms5f_UaM6FF9LqUkiGSSk0ehmAMwvGw672LtLbaiiCNYHr=w1200|https://lh3.googleusercontent.com/pw/AP1GczOY1QvGqfLXTFijLQhu8sHIIxsfMPK0_ry0C6IruE_AZzvSbEqB3M9ORXVJbJmd0IxpcjiOhhSMe9Eaq5cl8CwWwMqUfb6dTEdlb1dZ3w6-p7z2y05q=w1200|https://lh3.googleusercontent.com/pw/AP1GczNfxd6AJ2Hq8PCRfSE6fp0BYLT5L46bjV-tqnVIYO-K4rH1sAyklhs_XOGd4t6xPdwDxTw876iv4whBUBfHGfjQwJyoJX7hN2wyF-r4lA1ziLoGx5g7=w1200|https://lh3.googleusercontent.com/pw/AP1GczMuohsFJRTB9fGVIIJ1Rw11B_ec8qvcjIzP67tqGCmkinskr2BMnYFMjoZiEKS2upTtVwLx8OmOESZnnCgVQUNZ_kw0pibdF90yIsQbeXU5t-iPOpD2=w1200|https://lh3.googleusercontent.com/pw/AP1GczN7VPow_tabdp-lGVPjdNo3nFOhcAUz38x2ix8DiyxGYT-Xi9FLJPq6a21k0lFcAjIy9S--4fFSEQEjae8oMA1iUD75ZHhtAM-vWaa0Rg29wrOjDraN=w1200|https://lh3.googleusercontent.com/pw/AP1GczO3hDMb4iTaCWSbn-kSE6jBXrgJ66R8Vnj4-k3f_aea_4ovKb87Jnfq5Ty3iK68cRxDSfbCQO56UZTsJwMT1tMUtQT8S2Aver_9UDPp2wFZ2UfzGzh5=w1200|https://lh3.googleusercontent.com/pw/AP1GczOcXB67QKC9JAepxVlUzHSYE59y3blTBvJAo5QqTewb2zZ27ESl2o-uFasHz3jvwOFZXYyE_JaiIgP8ksieCWUg0LakCakqtUpId1j5BKJQ9aymLMJp=w1200|https://lh3.googleusercontent.com/pw/AP1GczOcvQHEaqz-FEe-9U-qwJM-zkpu6nsFLlMH6ZFZwQyFPCqmiADP2nzyQLwvLnCDs1w73g93-It6yRe3lhnuPdoLwueo0sNXPZ_t5Sjgyq_YfSs2v8Xa=w1200|https://lh3.googleusercontent.com/pw/AP1GczOMQrQD87AKeOvJKRJcEB5yhIWuSj7fL2rtWV30NsbDMRi0hC5rDuZyutDHWR8cwtZrpoRD2L7R9s9x6B9P7xxZJpuF3oTLlq5DWn6v5F2Os0WrRPwp=w1200|https://lh3.googleusercontent.com/pw/AP1GczMb-uCwxGpawiStgvwq4hOUV2tqoSroeEELCqSXvxrp-wzQuY_bflf_BlMA_lp4czJraWunA8zYZu-kim8VDKlgYoJmSV6U4ePSNIY_HTZs2y7Zotn4=w1200|https://lh3.googleusercontent.com/pw/AP1GczOcfwdoW2VGUtD9EpDb-C3vd2iwZydQ9Qxuuw3VL1-Lq8YkP4YonX1eyXcYkT5DSJBz5jgplFCEIWlY7lC9UwwRCQxHiZUV2D5EltfGNFlPuaUvRbbD=w1200</t>
  </si>
  <si>
    <t>337</t>
  </si>
  <si>
    <t>Casa con tres apartaestudios en barrio Quintas De San Luis</t>
  </si>
  <si>
    <t>Quintas De San Luis</t>
  </si>
  <si>
    <t>https://photos.app.goo.gl/cNsRqDq75zxAZSh6A</t>
  </si>
  <si>
    <t>CALLE 53 NO. 20 - 27</t>
  </si>
  <si>
    <t>❌ Error: HTTP 404 para: https://photos.google.com/share/AF1QipN_kue5VA0dYbBwO8P7F-uNd1cHgkbBfhfCEii8oDVR6KYpOIQSC-YD0J5TwcgPKg?key=UHBIZTNiMjVrVGZYWlhNcWtWX3hYUFpIeGtjRW9R</t>
  </si>
  <si>
    <t>886</t>
  </si>
  <si>
    <t>Casa en barrio Misael Pastrana Borrero</t>
  </si>
  <si>
    <t>https://photos.app.goo.gl/YQjUdY56Z61mam9x8</t>
  </si>
  <si>
    <t>CARRERA 49 NO. 20 B - 20</t>
  </si>
  <si>
    <t>25 - LAURA DANIELA ALVAREZ, 9 - ALBEIRO TOVAR, 12 - LEIDY YULIETH</t>
  </si>
  <si>
    <t>https://lh3.googleusercontent.com/pw/AP1GczNJszDWYi8Rv0qgdYMkkEjHSo_WM-idhUqiNVqinTOtmqx47lD92RWO8V4OS7L8NLk-Iwrz0yrNAQ-3w-Y7q5A-dkb0YUBBQ3m-UzHPNskRH8mzDGra=w1200|https://lh3.googleusercontent.com/pw/AP1GczNnYH5i7o-bXX2zqHk3nqiGaZniPjMG_osa5ZlYqiPgQPBB9kdHQQ9HTkB3e4cy-L7J9RZDSZ4zVZRMfWomsyYSL3RB7H_PJL73QyKCtCCVzVmEEYtA=w1200|https://lh3.googleusercontent.com/pw/AP1GczNL-qJcjRfj3okNUzmPh4dsxmx-GbNfSdSGY--mrp9Hn86dEAcrpR6aoLvDNvU-fYO0kHvZ_jqtYQsnHCvl_WdymRqzKMbDzTWRQyCYzCwKnJmHq5OZ=w1200|https://lh3.googleusercontent.com/pw/AP1GczPRoBnzRk7-xoNetNPJ-8Vg5DTO1Wc0DfNuIE-08DCG-uTso2c3x3K3U0F6eB4eXHRTFNBnYmbf_fBy7nftu9Y4_O2BytOVNUwhl8pS1TZ-XLErfItz=w1200|https://lh3.googleusercontent.com/pw/AP1GczOQXrRthiQjx6xd4yFG9l25cQPAqtoAQi4j4t_S_xudEREDbUET296JQD3jzpWups14IPqdav3F_8JkrjpOEfOXiBK6bU3D1EXlRgXdGsMy3duGRos-=w1200|https://lh3.googleusercontent.com/pw/AP1GczNPXza95CAG84KYqTYT84uCdr_5HJoVi_5xhwmWlKV8DbWktROEURDYrUwfzJ_V_V81ejDSapSDoaCilFdTmABYxWG6Tm2vYiF1OzupEnBOXVUAX9X0=w1200|https://lh3.googleusercontent.com/pw/AP1GczMyTOE_BkOk1oCFDN6kLbP2PcKD2LwHJowiXRLsYwwvd1Gb8iSJi2Q7MuaNe9tX3EJwNNmBE0n7ci3kiZr5OE8X85PkZuVHDFONDVx9kg5lIMQWudl7=w1200|https://lh3.googleusercontent.com/pw/AP1GczMZBikhViInhNbx1nKZi7i4e7i4NiNH5Q9QMPnFtpknM60TthRfIPjoaRJ9t1fZIUvo2zRo7TFs2clyOBFXePR_ChY_neQkwqsO20NQX1wtCG-FIKlr=w1200|https://lh3.googleusercontent.com/pw/AP1GczOkcSuA5-PVI_UbygfgHk0eDjQ1G-0YV_P2wgIVmhdOl4Q-vniBsuWWRnstcerM5OWs3o51u7Ndf9jX0qtyE-PA9K6WAd4sVUVcErbitOewv5k9d9Jq=w1200|https://lh3.googleusercontent.com/pw/AP1GczN8rDyKpLqLifyDsbXSVEcxR7LLFe4ypf17dNqc23rzaoLu0X4fhkE0dwcNNPsnEjD1IiSWhnRHwU2G680MyXKWw5exbPv-_cHDFq_asQqYzL9gcdp0=w1200|https://lh3.googleusercontent.com/pw/AP1GczMGqBOAZDnWqubBDyc-7wRb33GlwYCMDtkzCPMSkcy9Tv6xw_DoqAxOyAoRQljWepsJVUNqI5h7qZKjVKh5NDy0vuSPDmr4vMXVfpQKbgV0m22vPAYW=w1200</t>
  </si>
  <si>
    <t>689</t>
  </si>
  <si>
    <t>Casa en barrio Camilo Torres</t>
  </si>
  <si>
    <t>Camilo Torres</t>
  </si>
  <si>
    <t>https://photos.app.goo.gl/x9YHDMdc5ActGWH47</t>
  </si>
  <si>
    <t>CALLE 37 No. 6 W - 12</t>
  </si>
  <si>
    <t>❌ Error: HTTP 404 para: https://photos.google.com/share/AF1QipNz7zm-WRjsQNfdT27Q6ZSsHKbpibOO8X_R-oYVWQ4dbTQNVYbvUpF1Q5gwHNFsCA?key=dzE2ck10aWtqVHJWU3NBbk1weENnU2dSU0hQYmp3</t>
  </si>
  <si>
    <t>1534</t>
  </si>
  <si>
    <t>Casa con dos apartaestudios en barrio Alamos Norte</t>
  </si>
  <si>
    <t>CALLE 49 No. 20-17</t>
  </si>
  <si>
    <t>1080</t>
  </si>
  <si>
    <t>Casa con apartamento y apartaestudio en barrio Carlos Pizarro</t>
  </si>
  <si>
    <t>https://photos.app.goo.gl/edQ9Fu69azqMMWGW7</t>
  </si>
  <si>
    <t>CALLE 54 NO. 5W-57</t>
  </si>
  <si>
    <t>❌ Error: HTTP 404 para: https://photos.google.com/share/AF1QipMKAR2U-vXNUSvCVSiSmiIAnbrPJdAyKSNnYxoozvWZdui3xtOD0fD28AN6hPFERw?key=ZGtTVktjQUw4WXM3Zl8yRzlFUEpicU1JSFZxdVFn</t>
  </si>
  <si>
    <t>1523</t>
  </si>
  <si>
    <t>Casa en barrio Bosques De San Luis</t>
  </si>
  <si>
    <t>Bosques De San Luis</t>
  </si>
  <si>
    <t>CALLE 29 SUR No. 26 A - 133</t>
  </si>
  <si>
    <t>1075</t>
  </si>
  <si>
    <t>Casa en barrio Las Acacias II Etapa</t>
  </si>
  <si>
    <t>Las Acacias II Etapa</t>
  </si>
  <si>
    <t>CALLE 1 Bno. 27A-27</t>
  </si>
  <si>
    <t>1518</t>
  </si>
  <si>
    <t>Casa en barrio Altos Del Limonar</t>
  </si>
  <si>
    <t>Altos del Limonar</t>
  </si>
  <si>
    <t>CALLE 21 A SUR No.  36 - 27</t>
  </si>
  <si>
    <t>15 - JOSE LOZANO, 25 - LAURA DANIELA ALVAREZ</t>
  </si>
  <si>
    <t>1512</t>
  </si>
  <si>
    <t>CALLE 21 A SUR No.  36 - 45</t>
  </si>
  <si>
    <t>1521</t>
  </si>
  <si>
    <t>Casa en barrio Oasis - Etapa I</t>
  </si>
  <si>
    <t>Oasis</t>
  </si>
  <si>
    <t>CALLE 24 Bis SUR No. 36 A - 89</t>
  </si>
  <si>
    <t>15 - JOSE LOZANO, 19 - PRUEBA v, 44 - SEBASTIAN NARVAEZ</t>
  </si>
  <si>
    <t>959</t>
  </si>
  <si>
    <t>Casa en barrio Los Cámbulos I</t>
  </si>
  <si>
    <t>Los Cámbulos I</t>
  </si>
  <si>
    <t>https://photos.app.goo.gl/zrXpR3QUw8edQd7A9</t>
  </si>
  <si>
    <t>C&amp;C - PROPIETARIO</t>
  </si>
  <si>
    <t>3219749892-3166244738</t>
  </si>
  <si>
    <t>PROPIETARIO JUAN FLIPE-3219749892-3166244738 - INMOBILIARIA CASA &amp; CASA</t>
  </si>
  <si>
    <t>Calle 26 No. 8 B - 10</t>
  </si>
  <si>
    <t>https://lh3.googleusercontent.com/pw/AP1GczO3GLztxJe5o8rV8voBB7gt3ePxV5t6aIrGhaL_YZ-5mfElc8wM0_ErKBv71YL63sOXXTJmGGSQwzJ-4lOb8jrxNp7BgBK1X9WncTiuuBLOxZEPo2mx=w1200|https://lh3.googleusercontent.com/pw/AP1GczMnA9BOxMquEDeBbTv87nugDho-7ETvrJV7rvb4k9jNOl2ju67r_hzl-g8oGR6unm3suavJfOBW8JztH1Gsb2P4ir16I-hpiqGGHbe1DDueiE_HA_7j=w1200|https://lh3.googleusercontent.com/pw/AP1GczNcWFn0qzo2r1UTaOvI1IRDeRdDfP__CcmeUUaRc7f9O_92PX2d7ErYNThzot577OALjSIe_kltpBzk-JyY2fncWdvxKav4B1_TfoSNQqNHnLF6xsTe=w1200|https://lh3.googleusercontent.com/pw/AP1GczMXrvCWb36uzC_B6i8fclJNK7DbLZmLIgZpwifAD_eScIygLVnmltPZvaHahUJ1JvQ6isGqJ0V7GBuKWYQY8eep_0e7sx2e05HZTqlTg_VBQdpkBXYy=w1200|https://lh3.googleusercontent.com/pw/AP1GczN3yGs7xmUkGKmkqqd_FcgDpVJGjB1uT3Bmasi51H5DKm7Mh6d09pT1GIFLzggvTiI6peULTgAbIbpS6B9sZQuQi_6p3YdDTT2ZwYkIB1GpQrLqsuRF=w1200|https://lh3.googleusercontent.com/pw/AP1GczNNrA62VOyp6y2353trVmL1UnLUNUi5IX01YZ68_C2qnmSbyB7jJCujyFgfzKc73TeUfumue6HR-vBG_NbGMp1KYvr5pm3vKwp-ViAdFs1DZpgoLxoL=w1200|https://lh3.googleusercontent.com/pw/AP1GczOXENOLjKC07xECT1VWkFpLJJIU3_YwjSa6_QfxAcK_MePkFuicrkhdAbNrmKpyLskPdsLqAw9812JoK66zUfQAl0dyBDi2GugGAwNp-wrCQ_LgISuL=w1200|https://lh3.googleusercontent.com/pw/AP1GczOEZlWNmcMUS-M5u_Wf1prtXB171L-V9Lzf76E6xG-XnSCqMMqEMMzuXMKTRKcOzPHMH0Hi0lU14qiKZipOecMT8ne8zzkc0prSLvempSYWaYF6wv4Z=w1200|https://lh3.googleusercontent.com/pw/AP1GczMuDynIKHJs4zTPHwk1Jm7WFdZDa25cfAkzxDKi3I9vnQDJu0jn_uiIEd07S6PHSZx-UteyG9iLlEWYZRHwKtjjZqZsAeWz81uSNW2fuMb9-HkKriiT=w1200|https://lh3.googleusercontent.com/pw/AP1GczMJvOwX2TqWCACMwykJhEWfamab-PcUtwzBN-nPrP-i_KT_yIQurQhhNNpe_Dl9I506KKTafiQpLRt3XXbwkIHLEFz1sDgRjGA6zzeXzJuBsPqpGQGz=w1200|https://lh3.googleusercontent.com/pw/AP1GczNU3czSGmp4TM1YLD8E9digqbrCDHNSL99OQZrww_31NJvaUZYPGAGwbChgnDi3S8hmPrFUb05bSnZvtRiFNO1ri8W5oTmSOcDHDtq9clt2nCts8xLZ=w1200|https://lh3.googleusercontent.com/pw/AP1GczOIlEXdq5_P9XN3t55hPnxCx7ldtPsgNpTnTYRTBlcIiQWV9iyPpr3y2AxiPR0XYWVVEGs11O4xIH35Dyd3GHt4In8LMc83kiZF1pEjVVWzq8v6C2_e=w1200|https://lh3.googleusercontent.com/pw/AP1GczNpi0uZDN7d_0RgFbVAdhbs0QHiG_S7uycyU6WxHGOTz3NX8Orj07ubEcxXuRVjtRqoZjjejXCHv7PpLSQ1FVWOgjfOJ1Ajj-s3I3MoIGN6EGPMtPqa=w1200|https://lh3.googleusercontent.com/pw/AP1GczNuWms3eba5l9GllDBLsf84UdYjlLRpAJJnAZzcPM-PKhcL6nWKnl-rPwiXSt_ESfpe74dH9EX0ZOZGb5FN6qZB1xJ4UYKbJw2iq_QVS3qv-77ORqgC=w1200|https://lh3.googleusercontent.com/pw/AP1GczONIuIw0rqXvDmeFlVBc0nQXat9f3Khj_KX2PLKNAW2b7x63DPPL5FeALVxTSS7DUeVu78_Hs6UezvX0-0BDJTAAWC7Qx8fgvGMroLg77h-rp-xYZTK=w1200|https://lh3.googleusercontent.com/pw/AP1GczNlpoqWXHV8NSmexKeb1hqhOurCICiyUI4yNHpHfObY1RT-otE6ae-yC5Mik_or7hdDX0ctiSeIXxpoeVM4937_kgCmenVmmdbOL_XuBxmcmY0nUBpE=w1200</t>
  </si>
  <si>
    <t>1713</t>
  </si>
  <si>
    <t xml:space="preserve"> Conjunto Condominio Vilanova </t>
  </si>
  <si>
    <t>https://photos.app.goo.gl/fjjaxA5mtveokZ4g8</t>
  </si>
  <si>
    <t>El gran atractivo para comprar de inmediato es su zona posterior, la cual ofrece un oasis privado con piscina propia y sala exterior para disfrutar del mejor descanso en la comodidad del hogar. Al estar ubicada en un conjunto cerrado de estrato 4 con documentación al día, brinda acceso a zonas comunes de ensueño como gimnasio, parque infantil, cancha múltiple, piscina y BBQ. Todo esto se complementa con 1 garaje privado y una ubicación estratégica de alta valorización en la zona Sur de Neiva, a pocos minutos de Unicentro, el Centro Empresarial Huila E. y Olímpica.</t>
  </si>
  <si>
    <t>Esta espectacular casa nueva de 1 piso y diseño bioclimático se distribuye en un concepto abierto y moderno, donde la sala y el comedor se integran de forma armónica con una cocina equipada con mesón blanco y barra auxiliar. La zona privada cuenta con 3 habitaciones, cada una con su propio clóset de madera y 1 baño privado, resaltando la alcoba principal por su exclusivo walking closet y un baño de lujo equipado con lavamanos de vasija, espejo con retroiluminación LED y división de ducha en vidrio templado. Los acabados de alta calidad sobresalen por sus pisos en porcelanato de formato grande y un área independiente para la zona de lavandería.</t>
  </si>
  <si>
    <t>C&amp;C $730 / Menber $750</t>
  </si>
  <si>
    <t>carrera 27 No. 26-68 sur  C18</t>
  </si>
  <si>
    <t>https://lh3.googleusercontent.com/pw/AP1GczM62fNWQQkUjKVce9rzu_NPf36NspPpxiyjJEQusb_pI5Pu3zxnyYHFqz8_ITR4KI3yeZ-V9UD5BJWPay6Ft0s8iGo3w_SzB_Z6XLkgKEZH03PUjhrP=w1200|https://lh3.googleusercontent.com/pw/AP1GczN_9hSBix97WFcd0q5s5fLru6YJIIC67nNg8eZrz5nwuQ7VwjS-L7Gpuki6clivFoPDDtyFUqPkRxN0WFx1YIJBIY3a0sjpHql0TwD55GVnIlVfk7-r=w1200|https://lh3.googleusercontent.com/pw/AP1GczNWQcsCmN-Te6w1a3giyCc9J-pyEAUaHyC_nltK_lkyVFurMm2tqj3QkiC5tc03LodHivtE49aFaTupz8s9qx-zowO0xYDaDaauIYlsLmJyb5Ph52va=w1200|https://lh3.googleusercontent.com/pw/AP1GczN7Lvbq60Dv4b5_Jqqxuvz8ky2_A_-0qe1_QXqoYJrJ105dCS6V5Z6ldbcvyC2x5MJuxEBsY3P6p5lmGUKpmzO6wuBzm8j_GTP4ZxpTM81HqgWgZAL5=w1200|https://lh3.googleusercontent.com/pw/AP1GczPlzNf4j5WJFsV6UoalN_0G4LmpnrbFRYgB-S2-cvqLoJSCj1oyN0yO71wqbbnpfuBWuocmZoEbzKfVYl4tJ_GxjkWPaQlv2Rj68l1ri2W_6aJP23lb=w1200|https://lh3.googleusercontent.com/pw/AP1GczMF_chVPITqg2ANlApM20gWmaDCmOjTWd_aWKx1mp7OsMYKL4AXZ_EnkrXbo4UmtiqH3eM2Cmgh_WPJMoSWEch6BxT73j_PUnp4nnLZ_c1_0-fWfsj1=w1200|https://lh3.googleusercontent.com/pw/AP1GczOHqteaFLnQwpBCkFg0rblNSviE_BjmjEA_65laB5QMKftIBupHh_pZC_OhN7oeKo2WiIMH66JlqZBnoFYZmp3gTTSWHFbcgeL5jZm855cqZJTbLHwN=w1200|https://lh3.googleusercontent.com/pw/AP1GczO4_LT3SviqfuPThontDOyHMNULAIMdH-02j9aH4OP3uNTAbrc5T0l_2qES3Ynd17qtomzLSLICDfgQMhrbe1t9_eTLKgpb714QCDytf8atX0nsR9Ds=w1200|https://lh3.googleusercontent.com/pw/AP1GczNnIehU3lgug2C58HzQHnQETcqbSsjZ6WpLUeRbwrkXkOZKY3dXzwfWE7wRGYtjQSJcDXtTdtNSaAPDHAyyrP3Y98QEt2kGoKzNENJ00P77EC6bAq38=w1200|https://lh3.googleusercontent.com/pw/AP1GczORVs6jN_qCXdkO_cw_fk_aKPZrO5ZFLL4v2RAx2f69ndFGMouI_mn2uCnsjIrT2-EsGaASzR_rszhN3xaHgetLIJRvnnGk0WyyOS4HjvszP0AQQXVs=w1200|https://lh3.googleusercontent.com/pw/AP1GczNiHYSG8dPyx3XpW1kaiClcW63gYzFzJVpLM8fyWhKgPQr0RQq4ErQasvORLdGYpubqL4mbZrhH6S3vhI5a6NCLS54c51H4Wc8a1gqg4BXAZIwsV-5b=w1200|https://lh3.googleusercontent.com/pw/AP1GczM4QEz1yPDrAwGxuWhKQ0C6r6ACDTTDMz83UQfG0X5phaR9nzwOtbEhfzgjZw_5v8JpIPO-Ayng5tPWjo6HhBxOSbVHI3bGancu7hV8isvxgfmzcv6t=w1200|https://lh3.googleusercontent.com/pw/AP1GczNcS4RMfdsjaIs5lTraOJowiaINRaln-HcgZIuTsir-jR4jtZmjMQvBl2ZarDnKMDtttJSBcs9KDbm1acLGDxyA2z7NfGfTIMxoj0wt8dTjNDCaX9Ve=w1200|https://lh3.googleusercontent.com/pw/AP1GczM-d6RsPHz3rVTJW8LTmrZNS_XVCo5EwO-HWxh3ZRWrVskzWtpN3EfylN_RWeYfKN4QhBS3rIMeVbmuUewZV_Mv1UU5eFW13UIiH4vFfh74DULgn2mZ=w1200|https://lh3.googleusercontent.com/pw/AP1GczM7F6-98o4gEGpomuwvczHrYRF0erfITj1h_3uA04VWCFTVp9XwVongc2iHVKCJMbhExogGTKIqjZu-e2CLJqnYsECFxFSHvSlik50Nji-y8DWOOyMe=w1200|https://lh3.googleusercontent.com/pw/AP1GczMhS-vKbjddlqpDRlQSBH7hUE9Wm9Lx1vBv-L_gB3xO94b3PdiCtvBTq_Ky_Bmt-kOAwSBRQvbYzVnYeVFclo81beSFh9Kt4OzPlqa4qF6jR2vo9oBh=w1200|https://lh3.googleusercontent.com/pw/AP1GczMi3wHY_l3iu3sy3XgJ7U6rrtNEWC78BKjk9knenmT-h_Kk-N7evhZhTDN3FsDY_VrZNDzXtMOF_31oWKo-14J850ehJTTOnI5zIyXze_vBTMlGJtT-=w1200|https://lh3.googleusercontent.com/pw/AP1GczNeZ5TG3z_tR75KS6u5fzXd1MfpqF95oQbu1pRnLITSpsPrqaenvWqck49SW9ckPx1lk3PAsoYWRxQ-D3tj2YdMHcg-V96sp13uB0fgha0boMzIbgLo=w1200|https://lh3.googleusercontent.com/pw/AP1GczMDa5ggVF-CYM7zJsttdgZQoURYEofCQnl4Jh3Gg6qw7cUZBoFW69ZJnkELBJ-ckTsdwB4wMv7siaYwRqAOQq9uAtqC5tFMg5DXfqvtPGRNSEPVBQ79=w1200|https://lh3.googleusercontent.com/pw/AP1GczNzMxuHblt0Wqel4MqFqpoh7HS_KN-i9lhVGJMMMZc1S-N75dnfVhappTxecH76aDVXKRKww19hXdJw5oE4m7Z2tJYNKh-tGpkr8EHkmV0gcjLfIiK2=w1200|https://lh3.googleusercontent.com/pw/AP1GczO-i5PnZcr3wit25-ASAS3Vplt1zZKoggCFaaP_IdMcz_3qeNHy3Xr1JFkAmWhfblK6L19uNVTsTJz0oE-JPp6W2M4SPl0xe72MP3XHSubNQOfny7Fi=w1200|https://lh3.googleusercontent.com/pw/AP1GczMTX-2et8r9Pujdp14HLkHDOGLOosB7iBBkzmuQTlmHQ14ag9WXiJyzcNekycYcPNqOSoksEZZCs9h4RXHRgP9S9ckb4aPcOT1IOiwOJ3sr39eYRdi7=w1200|https://lh3.googleusercontent.com/pw/AP1GczMWWanblE4eXye1eGKvcODuxvcNKW8cfzp9ebJuAR1HAy43Q3_NzkAXrU2fJhyCexkca8iG3QFYUIbY104SD1-FwjkmCvFN237rOP4Qb_mqcENAPFLu=w1200|https://lh3.googleusercontent.com/pw/AP1GczNIcMqUPmIljxiL5-COllnHeTjGHawWDcGKjX3peDJmMSRozZNmw_4R_MKBHo1iCHOLAPOSK7aX_HLdTRfcdEyG23g9c1d-Ut6_Oa4Zw0OLZoohPj-U=w1200|https://lh3.googleusercontent.com/pw/AP1GczPXjQ5wdVht7VLFEErw02OrUG7Sl3KTd6ANUJhysJWdtjUDZNEjQam0xmCPAHSR-9brqgAntm8fLjtu1Vp2N2C8KEcXUxP2YIBqupkCYkgW5LURWC9M=w1200</t>
  </si>
  <si>
    <t>1321</t>
  </si>
  <si>
    <t>Casa en barrio El Tesoro</t>
  </si>
  <si>
    <t>https://photos.app.goo.gl/cKqHrnGHqSxQWen88</t>
  </si>
  <si>
    <t>Casa con buenos acabados. Piso en cerámica, cielo raso en Dri Wall,  fachaletas, carpintería en madera y aluminio.</t>
  </si>
  <si>
    <t>Casa ubicada sobre vía vehicular pavimentada, Cuenta con reja antejardín. Escritura al día.</t>
  </si>
  <si>
    <t>C&amp;C cod.1321 $400 / Sol. Primavera $420</t>
  </si>
  <si>
    <t>Primav 3103319459</t>
  </si>
  <si>
    <t>https://lh3.googleusercontent.com/pw/AP1GczNlbyfipS5zVOkh0bgXSZE2gbNwKwrOYYLLSOaRGVsyJthGzdlvyFvH3A9liawQZINcuMKdYOnLquQrIZG1AVL0yZ0qyEnFxVxrcbEcFZfqTKcsKyYR=w1200|https://lh3.googleusercontent.com/pw/AP1GczNpwJSuOKWl6ji9mkgrPxrx0Tl451k6H_33cWo2h40ovjzjhgysmpuKmSxJK0sEJcUBD0SkylR0AHmSMZrhOTE51xy1sZQfKjB8zbeQtVTpDPFcAxaf=w1200|https://lh3.googleusercontent.com/pw/AP1GczOnF_u2DY65cuQYJjvwl48d0ULdg0YX_vlMyNyxcOT64qvblRtIBy6eF__uDiXSZ08yFjifHcTTRGYwzj_Zf3Tu-Yh4vCYry_1-QooNhQE7uc93gk8f=w1200|https://lh3.googleusercontent.com/pw/AP1GczPOuasnmHHlTpoWVLEDVkY7SmMTado90ygGxUsyQmLQvNQ8U-keDxwsYoG_5pCxuD1-PnW_TuLXQzczn8yspOIAX89NsWfI97R_d78Ap5-mNm9tHSiM=w1200|https://lh3.googleusercontent.com/pw/AP1GczNSQz7VYs57onT919oro46i4iDQ9a4ZQdHpVSb4hvJtONLb-32q3Q4PeyqG21jf_BqaaHhXF2VQ3llpHCtHVzAM_xuszSnY4UwbiOHo9yuE5hDfLX1R=w1200|https://lh3.googleusercontent.com/pw/AP1GczNH2xNj26wNr_p6UO-JnodJo1GIt7AqjR1ZGC1RoSEfg620WhuLPKOO-_fINSDGnrjmmKpb3Pj7McledZv7PfFongjsQ-QFPAabWpcBBKgdC0tq-86S=w1200|https://lh3.googleusercontent.com/pw/AP1GczN4HjIbBx_xCsFat5k9MGm6hGGlUdTStjORk9EHrP_Z3TxSwGWPUwpALlu32ilN5jFJmSKbqAUUzFG54cPB_5YmX7WpY-oKkEfNYEiXliX4J1mFwC_W=w1200|https://lh3.googleusercontent.com/pw/AP1GczNILnKEKi7urr1T-pMhUUR-znjgDuCOunjw0dC9RTsOUujPFS5LaC5656rEMBSZg-ESwJ6cnA0_sZ-BI1kEr_gO-Nb7FA1uCX5gj5M_hpwqIrk6AwrQ=w1200|https://lh3.googleusercontent.com/pw/AP1GczPqX4mUFuLgqyzIdG3Cz-J1SfoLDIm8EQ0VbmRuHKf_PunMCcN6PJfEf8sqNks-r9LB6gimK4kkyIndS8g5-P-rnqGjUGcuUp1f8mCWd1_FHc4ZvdKB=w1200|https://lh3.googleusercontent.com/pw/AP1GczPNeckf9F7aMFtoRP-1zJB9ZYYWqHH7MUoO-_3rAhRxvxx_AHbpezJYxq0VAmXkn682kINcv6mrZabfeAniZJHacZ1oKD83Pl89qhcjXzGzHM4Lp8RL=w1200|https://lh3.googleusercontent.com/pw/AP1GczPseLSJgvaJFUjAxqZTEdw_IEzcG3dXdeM8SnoiyvyufJvbdSV3ewJHHxVVOdQWjhTe-XRBA2OKGkQFE4xxEHh2xdkneHH23j3BDNh2o5votqN8NlhD=w1200|https://lh3.googleusercontent.com/pw/AP1GczPOrBCnahCiMdoCdC_-zbim19NDDo3ms4-lQKUIhHgQ_c9qxoroBrn26rC1y-uMIVuk2SjJWVR5Lul2AD8sOQyTKAgJAVz04S-5xT2kCqSSvNplilQK=w1200|https://lh3.googleusercontent.com/pw/AP1GczMJZrqiN1oEvcN4qbcdyrJQcdpE2IUmYabViFfCt_IwznEa0pIh211YkxvCO-hWhZ-XdiDaNbqy8JFCxGG16WKTL2u-GsZUoSOJFgpofHyuheJBRwTZ=w1200|https://lh3.googleusercontent.com/pw/AP1GczPQI956dYXNxz31-R6yb7MAMRUkCFjYWlabc0JLr4KLaY0iKGVCF7nVSCouuushjsKYnKffb9bERDItEbyRNwUutlJPhtGx0XSMjY3yC6eJkTkKca_J=w1200|https://lh3.googleusercontent.com/pw/AP1GczOT4T8bwmLz24GNy88zPSYu7LpOWPpT2Lh22GTANLqAoaEd5r7-Axnr4YLbYMxbl09z6UR9hcHRGwMHSj5XLuwDrJj5A9yHcPXzkHrxwh2AJkcJkSbQ=w1200|https://lh3.googleusercontent.com/pw/AP1GczMNGPseceCf-jUpQhhPKdPOXhSpB0x2aSKGvGs6JxPhMBlgN7hFfjv-Tk8MhHKTC18rAOA-4AnylzlOw8nOzTSdL9Xc35g6jT5XAqvaSivL-qYSUIkW=w1200</t>
  </si>
  <si>
    <t>1067</t>
  </si>
  <si>
    <t>Casa con apartaestudio en barrio Candido Leguízamo</t>
  </si>
  <si>
    <t>https://photos.app.goo.gl/xcseC78y1GiKnbSB6</t>
  </si>
  <si>
    <t>C&amp;C-ICDE/246</t>
  </si>
  <si>
    <t>PROP-3208293413</t>
  </si>
  <si>
    <t>PROPIETARIA - LINA MARIA TRUJILLO-INMOBILIARIA CASA &amp; CASA</t>
  </si>
  <si>
    <t>CALLE 31 No. 1 A - 30</t>
  </si>
  <si>
    <t>https://lh3.googleusercontent.com/pw/AP1GczPf9zY5W4_P8UrbF0I2LX1vSOPivkIJbF1H3lbC-BsIo4Z2UykdrT321m9AinDJh0NGpSl6LrqgG0jGDHcgolYWJ7qRcauB32HmHwseoCV3OCHK6A4b=w1200|https://lh3.googleusercontent.com/pw/AP1GczMT4nj1aUkM5OWqmWAK7SrLMNmjv0shifN9ao4YLZVPJB0TP14xOILMz_0zRjqjLEqnEBTBSdBC-aaGl-Q1TdzgO0Mn8iOirK2bhPGEl3qxuwRUYNMH=w1200|https://lh3.googleusercontent.com/pw/AP1GczPUTuLOlx00wb0_BP-iGTi80HC2p4zqbvijq6aevBNSpluypi7Yrrh4ZLCdesBcpa4d_4sk7PVDpXIygU8mzmFW_R1pndHwc8ZxaPIaJuhN_3Cp6RhO=w1200</t>
  </si>
  <si>
    <t>239</t>
  </si>
  <si>
    <t>CAMPO NUÑEZ</t>
  </si>
  <si>
    <t>?????</t>
  </si>
  <si>
    <t>556</t>
  </si>
  <si>
    <t>Camponuñez.</t>
  </si>
  <si>
    <t/>
  </si>
  <si>
    <t>CAMPO NUÑEZ - CASA + LOCAL</t>
  </si>
  <si>
    <t>19 - PRUEBA v, 15 - SINDY MARCELA</t>
  </si>
  <si>
    <t>041</t>
  </si>
  <si>
    <t>Casa Blanca-Inventario Los Cambulos</t>
  </si>
  <si>
    <t>NO FOTOS INT.</t>
  </si>
  <si>
    <t>MARCELA SANCHEZ-INMOBILIARIA CASA BLANCA</t>
  </si>
  <si>
    <t>No. 27-46</t>
  </si>
  <si>
    <t>718</t>
  </si>
  <si>
    <t>Casa + 3 Apartamentos en barrio Chapinero - Centro</t>
  </si>
  <si>
    <t>https://photos.app.goo.gl/2VLZRoS5Y11KNUYm7</t>
  </si>
  <si>
    <t>Primer piso (3 apartamentos Sala, comedor, 1-  3 habitaciones, cocina integral, 1 baño social, patio de ropa, área de lavado. 2- Sala, comedor, 3 habitaciones, la habitación principal con baño privado, área de lavado, 1 baño social. 3- Se encuentra en obra gris, ideal para adecuar según las necesidades. + + + Segundo piso: Sala, comedor, 3 habitaciones, 1 baño social, área de lavado, balcón. Excelente ubicación a dos cuadras de la panadería Go Go,restaurante El tinajón, sector altamente valorizado donde encontraras jardín infantil, a menos de 5 minutos del centro de la ciudad. Rentabilidad aproximada $2.700.000.</t>
  </si>
  <si>
    <t>Casa rentable bien ubicada y con proyeccíón para mayor rentabilidad.</t>
  </si>
  <si>
    <t>Casa Honor</t>
  </si>
  <si>
    <t>Prop. 3028035444</t>
  </si>
  <si>
    <t>12 - LEIDY YULIETH, 41 - NORMA MEDINA</t>
  </si>
  <si>
    <t>https://lh3.googleusercontent.com/pw/AP1GczMHcqtoM0uJYGrQG45Ia14RqoC7eWoMfidOzEc-k8OxblxMGqbTg2ZAJRIA1zMK4qZab2ym75H_7VZVy13fZY2vnChXIhnKcvlQU-pM7OYfn7KiQh5y=w1200|https://lh3.googleusercontent.com/pw/AP1GczMXwIw2ywytBKnrl_ghNcek8hgnhboCs-CY6UQYIHQR_2qjsTonElNVjIQ-2SAtnaDXGm1n5WIuB4muAk1qOi6n7zcVNIsJ-ue1vBwsmYR9iquA2c52=w1200</t>
  </si>
  <si>
    <t>659</t>
  </si>
  <si>
    <t>Casa campestre - Vda. Barbara - Iquira - Huila</t>
  </si>
  <si>
    <t>Iquira</t>
  </si>
  <si>
    <t>https://photos.app.goo.gl/bVBq55n9YQNbt3617</t>
  </si>
  <si>
    <t>Casa campestre de dos pisos, ubicada en la vereda Barbara del municipio de Iquira Huila, acceso por carretera pavimentada.  Consta 3/4 de hectáreas (7.500 metros cuadrados), la casa consta de sala, comedor, cocina, 3 habitaciones, un baño social, área de lavado, patio de ropa, parqueadero amplio, árboles frutales, sector fresco.</t>
  </si>
  <si>
    <t>Casa campestre, con diseño en material de guadua. Ubicada a 1o minutos del casco urbano.</t>
  </si>
  <si>
    <t>https://lh3.googleusercontent.com/pw/AP1GczNcym1fyxhF50_qCApwNAsIDzML7kNYYDyDJ26k9wjyFmpyI0vjdSGWjtNzq8V2VDZr0POBHuP5vcuoYWEf9R3XYgy22mziomrJlnMuRaJwEFkKHm-V=w1200|https://lh3.googleusercontent.com/pw/AP1GczPaQloJ7a6celXXzW6dE2QCKESb---G0yDhTC5pZUBl9BYWRN3nFQHczbSWxVrtVRgt9xvIRyr2rC-xKRhM78s7zgwsRdwMbH6vPLdVITDSt6jb0TmL=w1200|https://lh3.googleusercontent.com/pw/AP1GczP8DDY9N24p8yUq4M8qA38ogOOqFskc5Rj_sRoqf23CDO_vN7XdgJ7urRCrZ7Jvweuvl1FaTVbXVUrymcqiS1SkwTLK9t6oTSlnvCidmnAQvjruIy2v=w1200|https://lh3.googleusercontent.com/pw/AP1GczPsXUw_FaUqOvdi_qRGO-x6knfMhpar-z3m7wW7-AG9BteIGtuD4oPve6TQpuI9yHiGiEJo54EvnPkvmskOeONmgtzdf8ciQUHF1jOMOLAt3XrF_lpS=w1200|https://lh3.googleusercontent.com/pw/AP1GczOLP50fA9hQXKIkg2yJoWH2vfv_emkPcs_3tn-RLizh9pfBjbI4iqv_lfX7P_nXhR4vTa-ETIc4W1rUCdWWBtgWd7I_EK-y25nP93vdCIGsOYilKiRj=w1200|https://lh3.googleusercontent.com/pw/AP1GczP652MTRWrnHL0889KV5QSZtWD1zFlqrKhRqix6DVcrAOeFUTtPPp2yX86kK2QmbFg-lN8j8LT8pyCfo2_uS_tXuDfGgsS-P_NDVsVLbWH3uYVeMuk4=w1200|https://lh3.googleusercontent.com/pw/AP1GczMoZau4p6bV0U16AyLF0ExbigZkZdU4yUd3j09nPfG0TUz5gZCkifAjjEVor3MxkXVotZ9pJxKbb1ip1TB5mprrctg0CaR2WcxK3w4B3tsPurBg02ST=w1200</t>
  </si>
  <si>
    <t>972</t>
  </si>
  <si>
    <t>Casa campestre en Conjunto Monteloma - Yaguará</t>
  </si>
  <si>
    <t>Monteloma</t>
  </si>
  <si>
    <t>Yaguara</t>
  </si>
  <si>
    <t>https://photos.app.goo.gl/imN8ehN1ioiy4VRE9</t>
  </si>
  <si>
    <t>Casa campestre con buenos acabados.  Escritura al día.</t>
  </si>
  <si>
    <t>VDA.  BAJO VILU - CASA NO. 4</t>
  </si>
  <si>
    <t>https://lh3.googleusercontent.com/pw/AP1GczM-i9ih1KrfbgFHeSrFAHYoh7OuljVW1hZ2TDUurbG_e_kpguaC_dNqMqXOLa7_K0CexBOKq7aFviBHJKMf3wzGd_5Enb4G3oahdZSbsfkRldPiqFPz=w1200|https://lh3.googleusercontent.com/pw/AP1GczP0bEPy4lwhWuPesMDdFPBZ7eVrk9BFNRx7K7xq3l3JymyiKlqFB9uZmSGz9jzeZjyogOmP2u7P4ctsRjW1INQgaBYpDu3yEiTmUxwDJczUk9xOuZ-i=w1200|https://lh3.googleusercontent.com/pw/AP1GczM1AfqF_V3SL464NX6Ylfh5eiUL1Gvl6Dn7Vy-cIjLR55O9kH6laJTnkWcb9yzK6o8pwh4paqhEEjoLZMK8S3Cp8hgUmGpNcu3nJUNJdQ5uorTC9All=w1200|https://lh3.googleusercontent.com/pw/AP1GczM3TA9fjwX47i9pE0n7JEZE6slzU5ECQsu_XITSMNHbzvXUzp2xxMGM5zy1894Y2nKp8jES91eu9Bad76aGWZDF2DI_MDhvxtTp6q535fv8lM0NsmHO=w1200|https://lh3.googleusercontent.com/pw/AP1GczP5VM5dO_fwMe5kUCHWJtdpTGGOePd0foRo1kQzzSqZ4syrNtP1FXnsJ192UIswxdczP0uo10ICv8xbA5jcSp36fFuJkMZ4Glzuk3139qMwPUnzsdJt=w1200|https://lh3.googleusercontent.com/pw/AP1GczO_lGV45Pre_mZqoGotkMz36Uvhmev6rsq0mZJGCJBbPs3Au9i9IG6UGs7mYtINI66mZCMwOK9OdJBR-XnRG1BElC69SyLSIeDLysPQfwlYzY8ozT52=w1200|https://lh3.googleusercontent.com/pw/AP1GczOthWPb_tACkOfi3s3LjNb8z74o1pFlmnZyo8O-OXRCQqco2CQSEk3cUjjFdWEdTIjTxCDg40qeU3CpWqTmv3ipmSruqAFp2JdiNdh74UQyBBxMErDy=w1200|https://lh3.googleusercontent.com/pw/AP1GczO_gInvjZDPznsVvHgAxOMp-eq9GoKSTj0in80eUNTSv2eEdJT2UqcP2YqpDUvmqXXr9h4bx-SoHfatsaOjPeN7_T3z1Vn4Fg50RSX63imhZZjDfOHv=w1200|https://lh3.googleusercontent.com/pw/AP1GczOI7a2ukEfQMBau12yIRON5dj_C_sWBSntBkZxEIqfNrdmLdfXevtt2Dq1p0nsqAIjZT1symUH60-tJyni-9euQZ_x8Q8U7W-sYPuONB6ESUp3o4TkS=w1200|https://lh3.googleusercontent.com/pw/AP1GczOMf5qeGH0Oiq-HVxBC_rfTjQEVRW_Khma_n2gh2rw6zZtkdLC0SqpqVsZf9ZSpHJ3lsbGsDCZEuBkH6dfN9_bgIEGuUZRjgJZXcV19pBsWuxreOCZx=w1200|https://lh3.googleusercontent.com/pw/AP1GczMLLJ496qg4oDSukQT5S9tqWjqkFS37qVCDdcfSsQrjjA55nHbn86J3KIMnK1OfedrqrhpsTpVbZRJKmu4xZeUwECMTmDltMsBlCS2eqDlTvwxHgEbK=w1200|https://lh3.googleusercontent.com/pw/AP1GczPLdNXIQkvgUbGkNeb6fFA-vCniXEKsxyU5HYV91rl6izmh9JeH5lGBCgvwqBRx_OAbVhC6dpezaQNmsG6j7GD4gUeR3W59YpyPFDnpPvqzrnRdF-OK=w1200|https://lh3.googleusercontent.com/pw/AP1GczPTdCNUP89m_YD1AJxI2fgKy5ZuBbTUji4ONwndnW1Rwpg_VU8bmE2h4ugSN8BVrLYjXgQNZ2xr3eZh7XbOEV01YTBb-xuEdE0iEwO0WWtqtiH_xJLx=w1200|https://lh3.googleusercontent.com/pw/AP1GczP8Nt9XTGUe3KGxMZmLhC4Bpx9EkpuzMDVQlEXIJgZ7aTYJcZTztRpTfaddxe8sj1RrXwYWkVcRuzskmFxvmjBG-59k7FHTMyzvjgLOzWi_QQ-HG3Zq=w1200|https://lh3.googleusercontent.com/pw/AP1GczPqwm9FsEOMV_XUc_w4gaA2G0yLhGZXubLa0QYUIrt8bobyL7FR7hZwA8ZtlkYq6cRSVy4DBSW8XzclnF9FKHtiV9lstbEcaQ0s-hjV6oPlSu0e8X61=w1200|https://lh3.googleusercontent.com/pw/AP1GczOWzD521eAkAjFLel0-fDLOAGOhllOir8SWBd-w9FTssTLw8gU0TsCfr730PakH-f1oiF5IpHZvSlG5kI1Bcau0ZnbGJnT45buLgWnSWStoGecIsOeR=w1200|https://lh3.googleusercontent.com/pw/AP1GczM9wDdXKgZWrGhdDyQ_10W1e8TXTi91o95M2K2NgJPkGFcs9p01efG4gxV2IXgtbJexhxecUy6PnKn889kmQA-7Z28rOfveaZ39QL3yukt9eMMMpRdc=w1200|https://lh3.googleusercontent.com/pw/AP1GczPPyEB3OaMD_zcZ-LzTZCACKgB4HQbn9a_uJWrZlM_hKvCiT1JPp0XPP3i4PhDJ9oQGJq4VK1WcdKbuii1oBfq-Qc_5-yrwawCECjcyeo2kAeQk_N69=w1200|https://lh3.googleusercontent.com/pw/AP1GczOlm29PHqQor0rDXmI69VvLLkTKLf020DQkUNhiEA-m3yEx_34gc1BktVs4AOo3v69s2SivZDoG-zDD3a3iYNfdk8w8kbwvErWk6F19doiu67MnJvm3=w1200|https://lh3.googleusercontent.com/pw/AP1GczPvS-JhgloJegj4psqRTH4JxtPZv3ftOFRaatIIA6BjlOmWLXA0bPLemeXEC3G8vCyofrlw4RiOIoFvXnOfpKLOWHCClzbdNincbhpIw2RQQxwY2FHK=w1200|https://lh3.googleusercontent.com/pw/AP1GczPpByGfRs8PIuOA87ACqZ1aUEM27DdQfrK_twnSiMvNDL1ht41qgMMf1TjbAs-tG7i50qC9uYvOQexKS8H-B4RTCHKelGqu0XXBj1LV98o2s5VCk9Xd=w1200|https://lh3.googleusercontent.com/pw/AP1GczNmysKwHcCUXmQIRklHX2jdPC4WVe5C9zO_XCbT1wFK3qu_TI4dS9SnxdVRoCTRs_7szMffxKEZcP9AJ1XQxY5AwMAJtDGbGxgqAw0l0bPO86t2iKgJ=w1200|https://lh3.googleusercontent.com/pw/AP1GczOD13eI0LtuJdZjLSDeB87MzZhSdxNjkFiQZRwur_SDxK8ILVvvMZCG0BWb82nwGTheCVqytwbEKh1-iUzzUU_ih2ylwJ27kHVtp2yIkAa1EhZdDRf4=w1200|https://lh3.googleusercontent.com/pw/AP1GczPLGAGnVTVjjTtWsLxGpn9KHu34I_5WdsXKJuTI7Jz1IcSp8Afs1gZIOrmmwK_2Zh-6ZscxOpOclMJvk8hYA3m5TStBf1zyNWgvZW_MKNGR-WlmiZef=w1200|https://lh3.googleusercontent.com/pw/AP1GczMqcyRzC4zGbjWW5b3MPhuJdkGMzQuMTdVembRfJtQUlsf82mod_yx0QIv2TuEVlIexQVdkWKHTmhR-tFjdrZXa2CI9Ge7rQaZcG8jp4IGjeeU961Sl=w1200|https://lh3.googleusercontent.com/pw/AP1GczPb1mdkWLRgjF1fHCShhmvzi4mkcfNb6CdomdaQeNYRq0qhFt8mb6Rbuy8Gaef5lRlEe2ic4tk-ayLzl1nDsXpk123ISwLG3V1sgGI4zOhSa0Wcmi3R=w1200|https://lh3.googleusercontent.com/pw/AP1GczOqTTsJc2fBNOhn7a2gfyl5w4XaCRE3Hsb559r_3lFUTUpR48CQUJvNKt0VJ-9_0ioEWoD5MXIdTQokKUj-fTWnGwOukQyIpIXOZLsaEh1hmHj1trLm=w1200|https://lh3.googleusercontent.com/pw/AP1GczOjEOrj8wjZdBxz0YgBMFfr8PmuvTVZwfV2vTr5hxD6ktXHZYxVLXrVCwMaNvIO4OXdsyy_NSGE7HRCWIb1n3f9CeBYqbqxZgKM0UnL4wenJdvVsK0b=w1200|https://lh3.googleusercontent.com/pw/AP1GczM98_OETOw12dXCdzJUEu58yC7XtLTNYTilKNmjT7UkQllIhqI9fNKQ7RBjZw3KvXmc1WMch1Ppx5hLDovVG_r7O-Mfqc2GYOUdIOvzIElymkQk0rGA=w1200|https://lh3.googleusercontent.com/pw/AP1GczMxbDVALffisNIPE9WVCZGb9m7c8yQQXmrJJeotjJzQLwF_W1dhw7XvEZbMhODrMQjGYyCJ9BduLQEX0_Q_k9EabR5KFII91dekfUogNqNbN0sP8HFc=w1200|https://lh3.googleusercontent.com/pw/AP1GczNiCJA_Z9SqCHI8B_Ox04fwu-XqDXuaPtxMk1qZ1MgLT7EgHXpyJOgRj4lXByUQy8npvbQUtlTHnWP9Kg9ViRA_-J0eEiCrxzgz0XKNQsoI28WHsngb=w1200|https://lh3.googleusercontent.com/pw/AP1GczMwViyxVV9ft5PSqDBQZck3flcT776dKA51ZmLdShBr8cEuyHBKGh3_YKSk3aDQwZSvTyuA6jQrcwPDVX4ci9sQ6MClKbkiRuta8si7mtqmZk3Td9ga=w1200|https://lh3.googleusercontent.com/pw/AP1GczMqYqx6pclN9lXlh8Wz23Miq52GHMfWtEJnZe2p0TCPr3ryj_jOmXT3gPu2TClKP8x9RHDgVptC3ks7YcI1dxiILzWRV8R72arBiCNDqPzgEBDfxcvp=w1200|https://lh3.googleusercontent.com/pw/AP1GczMNZqv3ZfIMcHGJSJl1KTww9AJ47EMmZoFVwBF0rY6uO0tlb-x1dl4cMj-g6iUOHImXX8IYEaJuA4basuF8tVZwETAppBb5a_yjqil-63VdFKGNkOOg=w1200|https://lh3.googleusercontent.com/pw/AP1GczO9lfaSBdFjcgmqlAtzXU7TBOFw_WqbA50xYSOaV0dbnNZ9kWVbuANcFAnEkgiF_gt566tXx4SneKJCzCYzo3e_uY05S2yAAgZJkY9M9_rUv-N0VzDR=w1200|https://lh3.googleusercontent.com/pw/AP1GczPs6CWUtLhqIKmYZwtymC2xFk_ru5s6JOHINwd6WMgEIWWP8zgZJJ7aiT83YAPigRIEgGtuEOkHnaLjb81vGAgJodyV0VttDYrqVgGsvJ70aFebJtIk=w1200|https://lh3.googleusercontent.com/pw/AP1GczNSdIPsSXLJvTwC8ITUNCta8BeljN7oOIZZwxqMq-ZSttnhzZ_YNrJ1ztKAZZEH2Wp4cofOoYYVvja1WlN5CGw_zA7hHEcl-nKAiNB-nxG_7P63P-z9=w1200|https://lh3.googleusercontent.com/pw/AP1GczNhFUhhJjHc8o5tCT341go0ppOOd_B609Dkaal2cJxbbjI-Lushh3ovt7B-_Sg8o9zLZqnSAD5cM6yRAvVTtWZExHlUiH0wWMMEsWdrul30FoAgXF_r=w1200</t>
  </si>
  <si>
    <t>546</t>
  </si>
  <si>
    <t>https://photos.app.goo.gl/LhM4PSYZoc5Zj5Ac7</t>
  </si>
  <si>
    <t>Casa campestre con buenos acabados. Se vende a puerta cerrada. Escritura al día.</t>
  </si>
  <si>
    <t>VDA.  BAJO VILU - CASA NO. 5</t>
  </si>
  <si>
    <t>https://lh3.googleusercontent.com/pw/AP1GczPWmCx-1ek55DPwa0lLQCksc7YHTYfz5-z3_W75qpbONlaLHhOh8VOXXSCBT7KwKfzHUEXT5LnLIuKfXCXPYqL-5LdI6RhJy0xCfvxzdZkM5pisL8PP=w1200|https://lh3.googleusercontent.com/pw/AP1GczNhSpX_PybIC7z9FxlfE5lUDj8tYLsqiT_nR1nu9D6X3f3lpASDVWThZSv_9s1wBvhZxFvAr-2tV431t45APsIAaNf-X-OFTk4W93hSzxAPoak-ks1E=w1200|https://lh3.googleusercontent.com/pw/AP1GczNUYHnGG9UZRIHglvjSC6kGqKFNWgx1kYXYSfsR4LhheVMjbMKnEYEI_z3HNW1xHCj-QD2EAY3AQdiOsFChF7IwsrYqcpS1l8nVLLyLJgKUHp-48kHD=w1200|https://lh3.googleusercontent.com/pw/AP1GczNGJq7VR9hRpgOsPxccbmibBaglQBPgkSy_3jLxuFXQbB-y6GKPHOI3-Xsn10cet215qWMKCjHgnyeTMKqlnZzJXI6kF57DSqKzCs8ECflpCt6S4xc8=w1200|https://lh3.googleusercontent.com/pw/AP1GczPQyw5mRzzc6uabL7nnRgu4Df0V0hkdME16zlrmn6Voitp2i3uiMiUlmkNvwuRguHPSENfgI-8VaQ9zPMOvOovOHC5vF4eq6BlJdS9j62aUGBErL34_=w1200|https://lh3.googleusercontent.com/pw/AP1GczNISyQsTKC10PkKTtEoCKSViSnweLe9SvB6oJZnuRyVJAsJuPCApTyX7-CqJSnZ2Hv3Y3SgwhruOHHbNfxVN5GDAQH-MWj4MbBK8VbuGWR4YORzlx-k=w1200|https://lh3.googleusercontent.com/pw/AP1GczM4pLNof-QoOw4Cp0b5Xyo3LtOUb3Zfu1g9HbPMXBavAeCGKPCQjpqoVkwAKe3BUPK7KPUS4H_3KFUDjG5vNYO5UERbTibZtUd_n-2jctvagIMt3c9Y=w1200|https://lh3.googleusercontent.com/pw/AP1GczNXjdpzoxhouzwPXqVxN7d_vUW2GZ_7GDJ6PrSSgfkTdprCnpSnaUqxUjriT1aHKE8G0uEFupkFjrXCO_YBRQrHyohtt0YZ6QeG2FWRVAVtBUli_wVn=w1200|https://lh3.googleusercontent.com/pw/AP1GczNrgVNYHvenfrzI9rrcV8Z2m3pgeANnMQawQ96J3dVnUBa2irm6F48896hmgmNPgoSYQba37Csifd_coN9NtNmmulLRwcaL3UfthfESyCOO8rgIEogj=w1200|https://lh3.googleusercontent.com/pw/AP1GczO0rY_CZQPGK0m7huw30H6w5DVV6Z5dGkI7w0dxpYE_ShLv3N7xOugH3tQ1ztEYCUrysWTjuJzlZuFJpiX23AxqLQJ1xUC_JF3CkLlWQmTOj4kCl8hv=w1200|https://lh3.googleusercontent.com/pw/AP1GczPvJXFFTQCfALMzQ3U5nZqmlX_yKRgH3cJNFjEDQLc2D3Y1hJS4r9NrwqpuzsfX55Aoy0OJNaa39VMEWOUh_gc79sG1q-Wb4lw7hKXWz8T1MrMJHg9e=w1200|https://lh3.googleusercontent.com/pw/AP1GczPbWEaGC8GvbUEp2quF29lZ1QdT4qXXCu6LGLLhg_hg2Y3LJjdixJjQAVrGjxi4JQvw4qpZ80yJnwCqEPAjNsMwoGDznsh-Y7ie2wjgLAhZ4VtP4MBO=w1200|https://lh3.googleusercontent.com/pw/AP1GczOgVQ1yMk20hdcM1jUbbGUcPFzWgmh1_vAsRgBgW3BPFSfFO3K1ZVAT9Oa6PsE976h72KSSw34Pp5VKr3MLjesbPhw_4YNVLTorAiJ-51OsWv7W8xfs=w1200|https://lh3.googleusercontent.com/pw/AP1GczPKotqRuKSAH5KDWWnHGjjRJvXZQp2q04GsMOCTMmTEgs9z4t9USkVihs2UPdjrxJCNd1FmTgWEi1Qo2X0-9GrF3rpswAIGCuBjXSPz7E78UeemTRaw=w1200|https://lh3.googleusercontent.com/pw/AP1GczPtBqktI2VP4in5CkVRjd5n2-YGQHFmJt5WZLfglUxt9mmWUO1DE1FAzFMzTGGZ7VHMnXWoYze0hx6bCmy8xHZOaxFufSxSeY8w_rtlN-kVwdlUdsKe=w1200|https://lh3.googleusercontent.com/pw/AP1GczNUaLNnz5tta6DzWw6yibNFJUm8ljKGGuHy-PXXF4ktUZSs3sNq9MojPiz7mA1BcbkazwYINw2mYwniip8U1C7y9oqOc2rXlTZOxxkwWMLoJyRtOn6M=w1200</t>
  </si>
  <si>
    <t>596</t>
  </si>
  <si>
    <t>Casa con local  en barrio Canaima</t>
  </si>
  <si>
    <t>https://photos.app.goo.gl/r1HTv4rciHVs18M5A</t>
  </si>
  <si>
    <t>Casa bien ubicada, a dos cuadras de la avenida Max duque, gimnasio de comfamiliar, supermercado popular, Dollar City. Buenos acabados. Escritura al día.</t>
  </si>
  <si>
    <t>https://lh3.googleusercontent.com/pw/AP1GczNi77PrtKKjlIGgGxNbtLrEAU5up7u-v3rv2WohKJLeydQC3kghcwftXDRHfOVt0OcPulKUKJpWDatFJExh2Tsu2L8A_FUUGXTeB-vtfEpZviaXHjFG=w1200|https://lh3.googleusercontent.com/pw/AP1GczPN4LkqSmgDjQTtGawF6u3TINK_aH6cx5IGxOvrZ5UgA2O0Pz-JberBDQrz4Fj-VlRzOSiFpWnevj1QxTe9MmZsxlxLgbKLVgGSLRtHTE1Jg0IAuap0=w1200|https://lh3.googleusercontent.com/pw/AP1GczNnyWOmr6QpeySSD9PmItP-aJAmp5VrdyGGALIFEd4zrQ3qUaEQBh9V71NHiBxak6fE8RsLVsyT_d_TtdEELhIaJOS03LlTqRNZ3Ir_x6Spkvu7ioAS=w1200|https://lh3.googleusercontent.com/pw/AP1GczNcoHPdM1NH8U1qRcFytPTEgrkkH94iTFOllQ07DaBBykLt1X38T7kHso9eDJGTTtEjEsdJA5mUn49ZNVTLhw60MkWcfFaTNKa4cW-ujNejZpbJkzA1=w1200|https://lh3.googleusercontent.com/pw/AP1GczPOOw4jUCB7u0dx4r227GDlxI3X59B-XF_NE-XAQVSUcVmCJhZgeM7k9OfAPcQ93v5AltyznuPkP3ramiB-BhpuLNm63J0F_eoKddjIVEEbJpJix5Su=w1200|https://lh3.googleusercontent.com/pw/AP1GczPSZRnhQbFJAWm7SWPuycjaIPmn5Tv8PxyokQ4FxoNdmGkICB_M4zPqM92YM9KKBgjy-piBWRZluHT7U1r41bhllXEp5abDNf25MEl49jGheOVr7Aa2=w1200|https://lh3.googleusercontent.com/pw/AP1GczOQ163M-EPlGZTDEcg3duaXTvHI4iIlZHU2H334Ocfue3f0pJlkguZn8rcfPoQVzf-M0Pc9zB7Qucu3MzqShSqyTuEuW7ujTqYuySerqr3R3JFh6YCl=w1200|https://lh3.googleusercontent.com/pw/AP1GczPVb0JAYLhPHsyAW8vj79kvoRxjQZn_yKB3Ul6fIzelCjh8EO5imueP1jB7jaYzci_xuORc4mvJM6WjCFYWzj6_XOCoT4xC99nXwA0x4aMIGlTkkiiF=w1200|https://lh3.googleusercontent.com/pw/AP1GczNELaJ7ba1f7fRSwG-sgDZemLcmW9bTpvZ3j4H5ZC-cs5Ykf-qjbCdamU0PKq-1NFAMVVsP0Hv44FV669mTZrjDR9VXcigrA-9BcL_BjqRcbdrUhSB8=w1200</t>
  </si>
  <si>
    <t>270</t>
  </si>
  <si>
    <t>Casa en barrio Alameda de Monterrey</t>
  </si>
  <si>
    <t>Alameda de Monterrey</t>
  </si>
  <si>
    <t>https://photos.app.goo.gl/rbQzFLXogtBkhVvR6</t>
  </si>
  <si>
    <t>https://lh3.googleusercontent.com/pw/AP1GczNsgZEzHYCRtycsA7Hf-SN1f5tlBPhvSxvfpOgTLG_9L77iE2OyQTG6pe724xJgyCSYyfgo1eTqMaY4cVkrknS3VEFnh14BoXYGDaivfMHj8rgoneB_=w1200|https://lh3.googleusercontent.com/pw/AP1GczMlGfvLDPMThXEUuq2O6K3FY6b3BZ2jiuLhfSd6CovIORIOVOI0_yGtOw6Tbhd2Bqs9vFNiHMdAZy6aBh7FcKMx2gVKP8RZGOZRNtfmoUZIfa1PayHU=w1200|https://lh3.googleusercontent.com/pw/AP1GczNPTcpEwARS7u-1be0_f5qEoDeNvSYB-ZTalfZjtmBVGtdcEchOIFH4t4n0bPBTabXHTDCH6W529xB2S59-mKxd_-IwZ76b8jqCu5PB8Mtarj8g4cpr=w1200|https://lh3.googleusercontent.com/pw/AP1GczPHTmWdsIdNOnqsHPbA0aLsavDsJKFq_C_A_TWWK-6HEhDJCOFqGud9orDjEPy-l13_ocvC6WwAlbnoESFoQsd_eEsOM97vS5XWTWw1cvo4cYHQD3rX=w1200|https://lh3.googleusercontent.com/pw/AP1GczNPaBaiSDiIiBakND-hDbrezIguko3JaW3jYGvaAOWJRYH5-dj3PQTJOCzgImbhwo7HU9i77-u4cU2uBTCKQ8Tp9Cc98T9I09lR48FdgCjzcfwSSRaY=w1200|https://lh3.googleusercontent.com/pw/AP1GczN-Mepay71ar0F-U-qu9JzF0SnG_ftpQr913n-nZ8r1D0e_d9KNPGcrNBEl3EUziJfa_H97I8ixvtBMGuX4cLWKvHWS-DQgzeteXQtMmukvSwwhPbFU=w1200|https://lh3.googleusercontent.com/pw/AP1GczNP9EFkrAvQ4H8EWhCd17rTJ3JxsehjCYOOoIAah5ppAKEtZIILMi8tLHBgsg1rI0BTa-_QATXS2uBlWwHG7JFfruTOLPh4Pcqh0NGgcXdCz1llo-Ax=w1200|https://lh3.googleusercontent.com/pw/AP1GczMCoxQBxqxuy2lGncKOX6uF-JEWR_1j6icGOJq2K3QxIbo_fccdAXyGaxyOG-0o3DWF4WIDdbCQmev3UXMQwIxO8RjCfeWAh88a7Rqzr-2MQyA-yqhG=w1200|https://lh3.googleusercontent.com/pw/AP1GczOY9RuAx1KQ4xIo8mKkEFsr6s5tvKXTS84I9sbvaI8sqYwRkknCSGtQ3Y9aDZeOmCMxGhT0X9YxY4G6oQKWn91YpHankgplYoelusIsmAyLpq44oLx8=w1200|https://lh3.googleusercontent.com/pw/AP1GczME3d-pN9kNMcK1JbuzV3bEXKDWWlDnEhddNrI0QEvx8wtZPXH-EDY0rDqQtKzFC5rBmQlkDHSzyAnF73Pui6r5Pg8dakg42Fkzp2oVRzEgJoo5Icoz=w1200</t>
  </si>
  <si>
    <t>046</t>
  </si>
  <si>
    <t>Casa en barrio La Coruña de Berdez III - Alcalá</t>
  </si>
  <si>
    <t>La Coruña de Berdez III - Alcala</t>
  </si>
  <si>
    <t>https://photos.app.goo.gl/CK4neNebqKpGsjQf6</t>
  </si>
  <si>
    <t>https://lh3.googleusercontent.com/pw/AP1GczORaItlJAt93dH0XrPDU1Wr7nhPoWUA-seTRgn6GAUGzFj8XmBcXSXPBcQsptI_LWwDiFmaC5SCPJiN7B1mYwsF0fc0ao8qDP4fzeekZwtFdHbfOuoZ=w1200|https://lh3.googleusercontent.com/pw/AP1GczMxM4tXO70Nc4ke3qn8HD_ApsWh5SOgyIeI3cy2u3iKZRGvHAMaJWFj_E4n1lOAlqX52VLKfV8NRlc_N0U1Pr8abAkLTTWNN4c83xm6SQEtCzTCSXnv=w1200|https://lh3.googleusercontent.com/pw/AP1GczOlIogA2T-PeIAkHhduLnrlgQTqriwodVYlcDO1uEuML5H7fIoj3bjPP_Snnle1dypznjNYXW6nvwmEwA1amgmK2AL3J9m7QNSc5uuXCs8L8YqHTnyt=w1200|https://lh3.googleusercontent.com/pw/AP1GczMGRBniDZcvK5-nFvQAlqFWpegmGHY87fAFf7BQGwiQDxw4mbeOTSXLGH1PcA_hNsBRJwGClZv5PulvXNVKtes-U6sGbVuHDYBxdfSjD1M0tKx4NDFe=w1200|https://lh3.googleusercontent.com/pw/AP1GczNiSP7yBaUJ5gVVVo2BQmzjpPQnoz5rxCLLmP1bIU1zYeM_OYR9S3WUFDMC5OVS-RR7uEBahhYI3vz6mj-Rk_jEudOkI3LAjwDFSXvQ-eMCzSH2OSMC=w1200|https://lh3.googleusercontent.com/pw/AP1GczP2mcrG24Qittq9hbLFWdrjUcQjAdFRhiIZZjoC7TMqcHu9EGQf3ckmmZRxxUPAJBc82drwGsU7WZ7ja4UWy3LtXM_qW9U5wjBYMtaY50Kk2oC9-T2H=w1200|https://lh3.googleusercontent.com/pw/AP1GczOW7wItCyjllqX-aRBkRxKj3Uirrhbo3Nrkig5xa1hmi5Gf0PqRoO78Voe0PTeMnwalA7IxmX4avxyHRIjm3DlKkziFK2mgNTQTtdOEjSXq9LbVXuph=w1200|https://lh3.googleusercontent.com/pw/AP1GczM766YkIguhg6uqreL-nq6LcseHRyMDjSHN8JuLpOHDZMujLvIrdTY1Qps1aYSVvcU-oh3y5SX_YgiNwC4Viflsrb3jlgU3LXjfNqW7TwyxO2S9F1Vm=w1200|https://lh3.googleusercontent.com/pw/AP1GczOZDRjstJx5VphVjxvJs32rfdmKPI0xS-ZUaK_nm8FCXJP6oyLeW-rUMyCixQ3qtaDv5Y41c5SHzm4gCPhLMf3JF3UYEqK-a-dtOsJ3PBPItYc46lPL=w1200|https://lh3.googleusercontent.com/pw/AP1GczNM7eQ_oArBeVs0YZOoTIKwd5a4pkCvmjeY3hyhONGBOP1qrpXa_KIFvyqY-96esEsQzYWbKcr1jpLZMJFmJB1IFH_ZzB6jH6UTjd5X0hln3jflYqW5=w1200|https://lh3.googleusercontent.com/pw/AP1GczNzjXakKOwF1zF7UmlC4xPsMRqrVWKH2wPMV5beX66qL7r-0WnnASr__f8QetLRH7CTAqUqTFMrY2JwIpagcs5ooLvpHybrZOqwsr05sDRyvC9ISQqA=w1200</t>
  </si>
  <si>
    <t>093</t>
  </si>
  <si>
    <t>Edificio con dos apartamentos y un apartaestudio en barrio El Cortijo</t>
  </si>
  <si>
    <t xml:space="preserve">El Cortijo </t>
  </si>
  <si>
    <t>https://photos.app.goo.gl/mQPnUaNpv1YV5nfD6</t>
  </si>
  <si>
    <t>Casa con reja antejardín, parqueadero amplio para un carro y motos. Ubicada a 3 cuadras de IAMI- Carmen Emilia Ospina, supermercado Olimpica, Centro comercial Unico. Escritura al día.</t>
  </si>
  <si>
    <t>https://lh3.googleusercontent.com/pw/AP1GczMOcHiJNQjxL7qLqjW3Dz_jXLm0JvtsTANR49GT16fA4aEOLqYRBzw-qk7p-2D9_JKywBGwuuW2niALtjGbU7AFo9WwOihbp47bcamWoHbGVfdsGnFY=w1200|https://lh3.googleusercontent.com/pw/AP1GczPut9WPiVVNZuCz0FYLl8x5LzN9qlr3DMR_O--TOjgFEds8MqGfqmTcU7MoDukm-oR2KbY3VYDHHp6gBzgHAaNzrJiiD9Lw1hWk4cVxfG2fFTGQXQiE=w1200|https://lh3.googleusercontent.com/pw/AP1GczM47JDDcyL-uDhRWsFmXjXpSkOUl8Py6ON3JfrHnp60Fwoa6vdz49O9kM2Quyx45eXc4OjntkIDpWebKLyHHTM8czJiGKCRZ2UW6tnH9KfZfCrK8eOL=w1200</t>
  </si>
  <si>
    <t>487</t>
  </si>
  <si>
    <t>Finca cafetera y ganadera - Colombia - Huila</t>
  </si>
  <si>
    <t>Colombia</t>
  </si>
  <si>
    <t>https://photos.app.goo.gl/WCUyAfmNQRqwh68T7</t>
  </si>
  <si>
    <t>Consta de casa habitacional con 2 habitaciones, pasillos, baño, cocina y 10 hectáreas con árboles frutales, cultivos de yuca, plátano, café.</t>
  </si>
  <si>
    <t>Se vende finca ubicada en el municipio de Colombia Huila. Tierra fértil para cultivos.</t>
  </si>
  <si>
    <t>https://lh3.googleusercontent.com/pw/AP1GczMXWiY-XPB_CGlh7azXMt6JE2XOVg2seMu3Yotzz7KI5ASrCstUcVDLHjgPM095MR67PwhiLH0bO_53DaG5Xpvq0IQsVPtnE76dt4DyEHptCM4oKw0J=w1200|https://lh3.googleusercontent.com/pw/AP1GczPQg88f6geSZTtZTei5qtKp2TgNbsACkopBjKPLEtzQk6cI13KCTYc15jv_CI1Yn3Utq_RlWv_EGRSqyd1oBOMESM5WYO2MOKMh8DFtgUrx3Te7dBx4=w1200|https://lh3.googleusercontent.com/pw/AP1GczO3-qGrAX4Tc_xgoUddICehsJnUnsGZls5ZaXCbwWzzXtEYbrweYDjz8U2xi-tPnZrEUMrB4U4mGKBbpK1dzLSBEB6e0zY7KRVFnMfuzCzJpX3iMIyK=w1200|https://lh3.googleusercontent.com/pw/AP1GczMreGc8Zih4B0YurhaPtIP7nYGTbXK_lHCU0OPGXF6p0EddSc4w6FPGakbHV7lbshS9C7ZVVWUFvFIjFsYGjf_ewtcPRH_H4gDSspGQin5JUI-brHWq=w1200|https://lh3.googleusercontent.com/pw/AP1GczP9lSK-hD-zTOpAF18qnRWI9UXu0awwkk49y-ctZWkmInqD0xezv-ZTz5YJH6fjtVklby5L1CaxFbBG-POLIoTHTfa8cDgrqV7cHBZRmK8ZXz8AK_-6=w1200|https://lh3.googleusercontent.com/pw/AP1GczNmnvvcRqTteMRzAY5-XnNY1plvq6CqfZf3sb_tXqHST-0zWNKUIV70AbvrTRcamG0yFZUDyDkLXk93g0XHrDI8YeJYrtVmcFVWmSUHXIJGCY5uuhjR=w1200|https://lh3.googleusercontent.com/pw/AP1GczMMGWcRXAirgSu2oA66g7_cN0UjhCrenxrg782J7D6T8K3MNCfTZHe-mohsQ77Ir_MUx_Ci5ssBX1LSnUB4WV4I8nz0h_mN3iA2X5a6CGtnx6adIEGu=w1200</t>
  </si>
  <si>
    <t>644</t>
  </si>
  <si>
    <t>Casa de dos apartamentos independientes en barrio Brisas del Sena</t>
  </si>
  <si>
    <t>Brisas del Sena</t>
  </si>
  <si>
    <t>https://photos.app.goo.gl/cC9aZJ55RB7Am7Bu5</t>
  </si>
  <si>
    <t>https://lh3.googleusercontent.com/pw/AP1GczPVcS_yIl-TofFL8-WSvBfoQjKRLso4CkS7hpidld8DGm-qeyTKA4iftK7DaRwH4U-IaCQW0Kk6-OkJp5OHFqx1GP9g9iXYYJ9SGF8lFYdpO2PTmalD=w1200|https://lh3.googleusercontent.com/pw/AP1GczNN64fPk0Fs_0VSL1Ic4viAPNZoYqrUabcbDFw263R0DbKRoqPXqNEhuXs9ntAz-VRopcf-sdkL3e9xjshJbVl89vwiQMr0SiR5srqss7afj0CsqFhP=w1200|https://lh3.googleusercontent.com/pw/AP1GczPWhTZbY4rL2tVGAX45py05YmGjI39TY4S9rYu2RFaZI9GDOxACXoJST5hmAj3VUp1d9MOet95zR_GZcbyztm3fMPnp4E47eX2o0Sia168A0lMyJZz6=w1200|https://lh3.googleusercontent.com/pw/AP1GczNho49LaZClx4ECwwFzHjluz0N4e66NM8TbahJ0SrR34chtRcgXzCzEHV3xFXmQVetSzitmuIdJ_0xP14YbmJkYbNn9jxwoFGK4sVVzghMGmw1j_wLd=w1200|https://lh3.googleusercontent.com/pw/AP1GczPpYVfEpFZdUdeh8A5wGufeKbHEnuAav-AuzRjXgJwr5UW4VLRDv1J3NQy4qyYt4PL_ZWv2JxU_Q3Gauk6_KTNQU0lEcoItN9M1Y7_6LfZQpsF6yVfJ=w1200</t>
  </si>
  <si>
    <t>594</t>
  </si>
  <si>
    <t>Casa de 1 apartamento y 2 aparta estudios en barrio Villa Sol</t>
  </si>
  <si>
    <t>Villa Sol</t>
  </si>
  <si>
    <t>122,50</t>
  </si>
  <si>
    <t>https://photos.app.goo.gl/hKdnQwxBZAtLSPHe7</t>
  </si>
  <si>
    <t>Casa remodelada, amplia, con buenos acabados, porcelanato, aluminio, fachaleta, vidrio templado y madera. Escritura al día.</t>
  </si>
  <si>
    <t>https://lh3.googleusercontent.com/pw/AP1GczOw5yiOrseaSTWAb9uBsVWFzO2ZdxRdKfJmUTi6KmJzQaNaWoABJVVTXTxRBGP7iHI0oDTGb0zgs2ZLDLHfJLe7zrCUyBr7PrahYdH3-n09ZMvXKxbb=w1200|https://lh3.googleusercontent.com/pw/AP1GczONLo0WbF1P6GoFnf3abY60HPHNqeStk0NmJPYvYpLmrwYI-Aw5i-CZjvwlwRwzDlz8JBJwb7WJ3Gwfw36_-fKJQbJinoY6o01uvqUa1kY4YorFEwxo=w1200|https://lh3.googleusercontent.com/pw/AP1GczMHs2AXxBdHl9jbp1XTsZKDFqb6nYmI0mUWTN-OkcmUEW3Ljuuufb32ZsRQk2zcxEzKXdWm3kBl3bfeohVWUiImHuE9iS1ynxuHszC2IIK2Ts_IeHD2=w1200|https://lh3.googleusercontent.com/pw/AP1GczNGRFlp0lQF3vi6AOcOrONuO83sTFdFKQ07qaEIGij_cGezgjjSGsqYBpSSW2BM7wr7MSE9M7kiuvie1JRJEWw6BZPMvm2jJx4LiENdZczp5kstCa92=w1200|https://lh3.googleusercontent.com/pw/AP1GczP7gHZ5M3CFUsYNaf7krLVB3LCql2ZFjTde3yJRkcKmiKTYGeDzYeaJgef7FJutgDj4XrA9MeDUa-91ciuQq_YkEFjWzDmtms0xlqPUZVVD0K0Ajt-Y=w1200|https://lh3.googleusercontent.com/pw/AP1GczMUESv1v8hhcOrnM66Ef6KFMB940l8ql8WkZeTSGyhOXPx_Cj_vdEVo6dE5IsHoWypgnk1F6pD0shsF8tfyFMAqb8c4PYTJ_05YfOcdEvLgRG1EZpTJ=w1200|https://lh3.googleusercontent.com/pw/AP1GczMYPKhhG8s2IkI-ZTyJaKuw2l4uo558aE-_XR49FEZAQYOKIgHOftT8eNbuOrai8kTmhqjwPMXeGT5paxid8HJXcUSyv_gZ1JcyC3IVkHe8EDoufWRL=w1200</t>
  </si>
  <si>
    <t>382</t>
  </si>
  <si>
    <t>Casa en barrio Las Palmas</t>
  </si>
  <si>
    <t>Las Palmas</t>
  </si>
  <si>
    <t>https://photos.app.goo.gl/s9ncjsvBiaEK98Ky8</t>
  </si>
  <si>
    <t>12 - LEIDY YULIETH, 29 - FELIPE PERDOMO, 35 - LUIS ANGEL VARGAS</t>
  </si>
  <si>
    <t>https://lh3.googleusercontent.com/pw/AP1GczM1GfR4vwc8unwkTvVqZZZJj5uWOiTlN74iMJRg1F90s6oatoFEO1SDCafUgg927ZoNz2tGCQU1o2e9AdDLbgYdh5olGe5Pb7NlLcyR965mnWE1-PRO=w1200|https://lh3.googleusercontent.com/pw/AP1GczN7MVcM56886AEcS7zp3JpMA-cWUSvLaNhuYpachaEUFVvD1_vVrOZppX_7_55c1KN8Smgnwd_DNNjvm2_Ofg8x19eGDa_VeOeIBcln18tqvTEJc0zs=w1200|https://lh3.googleusercontent.com/pw/AP1GczPF7yhllJVv87rgt8W3_yHtlncNY8Vt2PwuxqaVNBM17OH_gaiREV4gse6bHgjL7dNgUysJJlehPBtFlOcZsl4V9dj7khp1FMPBt_Zul_oUVjh_DQj_=w1200|https://lh3.googleusercontent.com/pw/AP1GczM08srno37QoE3mT6a0mT30BBPeUrfGQppDtlYIRraw2-NUqwtFIB7wGEAAgS3e3bVchCfZWowQZuyPilwJwFuwiZ7IT3fptcpIiKyOwclGjPQfGJSI=w1200</t>
  </si>
  <si>
    <t>834</t>
  </si>
  <si>
    <t>Apartamento en edificio Quinta Avenida - Centro</t>
  </si>
  <si>
    <t>https://photos.app.goo.gl/CFQLhcF7pU2xbk8a6</t>
  </si>
  <si>
    <t>127 M² de espacio perfectamente distribuidos: Sala – Comedor Sala Star ideal para descansar. 3 habitaciones amplias. Cocina integral moderna, 1 baño social 2 baños adicionales. Área de lavado2 balcones con excelente vista.</t>
  </si>
  <si>
    <t>Parqueadero amplio. Caja fuerte. Aire acondicionado. Estrato 4. Edificio con ascensor.</t>
  </si>
  <si>
    <t>https://lh3.googleusercontent.com/pw/AP1GczOz_rRDTF_nS_fPr0_6n2yT-boi-BHsH0Ss8b760Lp_Dk_52fICA9CnsqunGmEZ59IS0QCD0R2zR4HHoGJg7KbeqpyndNfQVWfWH3wuGu-Syy8bIweD=w1200|https://lh3.googleusercontent.com/pw/AP1GczMl64Z4F9OoJLU10kmQOQOCXza0kjRBZ9fJY3ya6JACk5B1MrGdi1ckyxgLEPFhrLAmeoBT77rKHsH4QbYI2fc-ZXIBWbIdYk3MhZZvj6U9mg-xNnij=w1200|https://lh3.googleusercontent.com/pw/AP1GczNO6wf_-mm1oyUlUy25bj427Dj13BvlU_LxsyKj4kGxSlWTUQjVrWSXwR-c7Ygmp8uDJueoD1Vz0S_qc2FY8qSc-sdI95TvhKtqoO9DldHGT8qAXJxz=w1200|https://lh3.googleusercontent.com/pw/AP1GczMdOMXXklvkdOl7rZeTyA_Tj7c34ZIBTlzZQZKmLjfVfzPYCeEQgyKortIYFq8yvTQ2KWxVCwFco7DoD9OhmpsFfoSxe0GcTPQnXC-cXXKrlkKVvM43=w1200|https://lh3.googleusercontent.com/pw/AP1GczM8NRQvdDTDsHmRpP-5BPx0ZE3xTAOdKtJYYsRLbYPAoMEYgEkhwZcVyhm5Jip3-_ELmy2NykAZbx7cSUbSagHc2KbjDxNFMJojJjeGmhHJIS2wBPwT=w1200|https://lh3.googleusercontent.com/pw/AP1GczMlck920UvXqOkZlioj88D0oTjJrhrQgLHvP5myJchbZ7TyrmYyWpDXEDmvfRRD0iJI_Ebe3CSjIFV6KygIAS8TK7R977kwd2u8oCCheDGd-J0wGzdr=w1200</t>
  </si>
  <si>
    <t>623</t>
  </si>
  <si>
    <t>Casa en barrio Las Mercedes</t>
  </si>
  <si>
    <t>Las mercedes</t>
  </si>
  <si>
    <t>https://photos.app.goo.gl/gNex8n22RsMi5yzb8</t>
  </si>
  <si>
    <t>https://lh3.googleusercontent.com/pw/AP1GczMG6LbBY_W6F7JFuhpD8tPpZxzHTBXdO5o6Ak5rL-1jYx2YxOO6S90g8BHPUUFuYcWME_3TrgAtjUJFjuCQavweMdohJh0QVRLMTNEltvTPGdBdg06B=w1200|https://lh3.googleusercontent.com/pw/AP1GczPX3VfukBtECfeCwV5BEMMIAthV1E2MIKifga9Spp9-kJWUb5Ph-KWukV9JrzBALKmNZdsVsKCc63TxigWvanGwMwx_4hcPQl0x6F9HINGO0pCigBtW=w1200|https://lh3.googleusercontent.com/pw/AP1GczPhLnyFT95uEySRQ5IZMhTwadvFFtbhM-5iDMETilUBeOSubuArVcyRNIZWFSi3qYMvHUFgUlPACFzoS8hVHJgJFeKQ5lxt_RvwUcm92uLUcco--EdY=w1200|https://lh3.googleusercontent.com/pw/AP1GczNYf-l-_3efVdDKlvJotDNiEX-vaZEacXbBhUwc4tZU3lDkYS9t0JnSoTXuLJE5j2bPxGNBRW93W8Y5YdXHwJpLL7Z-jCTXPWeMeifEhaaqDvByJfhS=w1200|https://lh3.googleusercontent.com/pw/AP1GczN0-F0gWn6CxVk8pcB3OX6IvgeiEmytmyPEt_yT-P3TPlLINdm4wwjNiKF4ereeutqZhsThGjWr65OYOp446q65TgCd4Lz4G60eh-hCuDm5M0qUMGN8=w1200|https://lh3.googleusercontent.com/pw/AP1GczNXfIyD5c5Uyiqs0vi0m4Tjet8BVRWsHG8ONScpKYr2Tq_iNb4abTjs6g7ajihkgDBGEhKPTPiQ-r7iRrNy7UnGzmfUCRbVzsy0FbSOCMO2LrdrTxLY=w1200|https://lh3.googleusercontent.com/pw/AP1GczOlKQpoDS00OpgSxTgq550TQvbafDMzDW0yKX8a_CfuhBtUqPtG3mJmU_4Brqr8bvIt54F7sjU-H_v6GNrY-twygDemcsAF4kZ0BFatPuWnAp0Bkqhn=w1200|https://lh3.googleusercontent.com/pw/AP1GczPNm8RuJNJTgBfTtuTd0jUDb1Y8oqngqoadwGx-I39aw66d56hzlEW13VRFL-p9bIh9U8MunzCCdb-gygwO0jvfXbTINKo1wcgN4nfR2Lqa7nbfTFHQ=w1200|https://lh3.googleusercontent.com/pw/AP1GczNtH7ReHc14Iu81-Z6PGClLh9fE-NMrtogv324Ur4MtehNvlSq41NvgFegvzAZWe6plZr-20agQvORr2YSNoQJkBX-71TBUs4mFuiB4iZftkp-DT3RK=w1200</t>
  </si>
  <si>
    <t>436</t>
  </si>
  <si>
    <t>Casa en barrio La Libertad</t>
  </si>
  <si>
    <t>La Libertad</t>
  </si>
  <si>
    <t>https://photos.app.goo.gl/Tt7X9adzhe44Utuq6</t>
  </si>
  <si>
    <t>Primer piso: Sala – Comedor Cocina. Tres habitaciones. 1 baño social. Patio de ropa Área de lavado. Segundo piso: Dos habitaciones (1 cuenta con baño privado). Balcón con una excelente vista Excelente ubicación en vía vehicular.</t>
  </si>
  <si>
    <t>https://lh3.googleusercontent.com/pw/AP1GczOswPI3OxB6JJ8mAgzDEWBNO1ZZX6-kmMLffEMd-JqFrZRZpV_88--tSPOx1ggAuL2k11US9X16RcAD9leIviFHy-bDj7ZpYAIV1WhDqxOOXJ2i4Y8R=w1200</t>
  </si>
  <si>
    <t>410</t>
  </si>
  <si>
    <t>Casa en Conjunto San Valentín</t>
  </si>
  <si>
    <t>San Valentin</t>
  </si>
  <si>
    <t>https://photos.app.goo.gl/ruJPeGsSVvPYyKJu5</t>
  </si>
  <si>
    <t>https://lh3.googleusercontent.com/pw/AP1GczOLSxH7eR8XfbM9lsuuLukhiRzd6f53RtDJ2TwsAVWz_YzQJOHryrTFlcrmSedcvNB1Kvk70uDN0Gua0aXFhNY40knX-uCeHm32bAl4Zh-Pd1WqCQ4B=w1200|https://lh3.googleusercontent.com/pw/AP1GczMkKT46o02HYmAeHeXe4cq2gX8KgoHi5rGnnkqpsWUknu_aWHvfQDvc33u6enFZICziN3jbuEi8TuUxH_WWRNXaPoVMPe3qIYIzX3kB7mRuqUrw168F=w1200|https://lh3.googleusercontent.com/pw/AP1GczNJw5t7HBh5Q0rylw2aGp5l3S7QjaQWrA6Zb502XWhXZLU9L1MweymAyI8cIaBs612R6y3ltcvuqKk6vkakcWT5_CTOarOIOkVCCV63SWXLox39csPq=w1200|https://lh3.googleusercontent.com/pw/AP1GczN93W6O9eeq8iuZDxrL4ozarJifs-MBByAaxXsiw8QpK9A8Tdlg6qlhUSFyLKTbMbZEbVmxMYUTaV_yziG1wQ688snd7h1hq7E07ByNDyLbRdd1WGci=w1200|https://lh3.googleusercontent.com/pw/AP1GczOKDZ5CJ7Pl0r1IGdPEsJXDUTT0GDYqxhQzsONCZXtNAcnQYeGUcPZyPeEkwmXxbxioiJZVWkWSwBkh-3UB5jJJqgPDC64yv8kXmN1nW8FPFXZnvTLp=w1200|https://lh3.googleusercontent.com/pw/AP1GczNNIh9wz7B3CG-KRSTR5Q5nEJlL3xyC2MtVnLXDaf7l4T8oPzreZD_31K9xd1MHImdUbqWff9f5btAX0lsr66KeucTUOJqJhrvwbGOPi7gusD3_cdwc=w1200|https://lh3.googleusercontent.com/pw/AP1GczPXzt6yL03Bi5RIs0FqSaGenuANLUVooF5KuDzeTS7UU9YkXjy8KgG7NzVvzRRcw_prxZTlx8YKjs1E00taQJHzHWkkcVKxyvGntfR8WsMsGo_2uJ4P=w1200|https://lh3.googleusercontent.com/pw/AP1GczN1GFxCIUml6xuGmlEE0w26nMGxMy9kODtjSaFZ-DXb8yJWRpHDCVJoB5sREk8SC10e8rwt2iFzGdd1F75kyaF1g82aHn5WTEiau9nLpLUtMJUcY6tf=w1200|https://lh3.googleusercontent.com/pw/AP1GczPHnxFM4hjoqUCsK2FGAWyfwpOSQZKjJJBGMz8UPdlYwbahR8aPbAX2HR391vxIvvpiwmFnjd6XZf58VEQteuBS-adlLwfZd4S8xXdqZ2hKO0ql6397=w1200</t>
  </si>
  <si>
    <t>020</t>
  </si>
  <si>
    <t>Casa en barrio Hacienda Santa Barbara - Alcalá III (Obra gris)</t>
  </si>
  <si>
    <t>Alcalá III</t>
  </si>
  <si>
    <t>https://photos.app.goo.gl/qXPqVdgAcwrYsdtx7</t>
  </si>
  <si>
    <t>https://lh3.googleusercontent.com/pw/AP1GczOW44P4m9KSLP7KnX4w16YTbJTWc1YW5opzu_he85-heuXpweG7JEzd6CZUp40d-e3RKvWlq963aKvk-9N-Am3vNQmcbnJzuzHVmKf_1a7uc2VjbSNM=w1200|https://lh3.googleusercontent.com/pw/AP1GczN5eZ6TKCdzFF9axMoDlQw-9FmVagKV6cgjXutwny0KRsh0uKoMci5Y-7HmaYp0ONOz608cbbibQBnuiGXKPPGhj_TCC1D66wB7at_nX-eKotkWLJNW=w1200|https://lh3.googleusercontent.com/pw/AP1GczNGiQQRglG-vxVr_GFURdodfFq4mMjTOuqYfOQKD-bbl1wpeFgDxNC_l21aS95wHMFKK6nBSZ1aY6x_zV--cBd4AEmyb8he2iIUD0raEAiCE33UWVBX=w1200</t>
  </si>
  <si>
    <t>621</t>
  </si>
  <si>
    <t>Casa con apartamento (obra gris) en barrio La Voragine</t>
  </si>
  <si>
    <t>La Voragine</t>
  </si>
  <si>
    <t>https://photos.app.goo.gl/fZEY5XBVDgsSeZp56</t>
  </si>
  <si>
    <t>https://lh3.googleusercontent.com/pw/AP1GczOuJOYqwfyuqomfj_9J-MISAJdk3HD-532tLK3ePboY9d6RUjix3g4Udp-qlHrMAVHONKsBNdNVjsriCsI3k_v1CzHyTjUkFx22NKvk82dBGYCbwSsh=w1200|https://lh3.googleusercontent.com/pw/AP1GczNaEHj-_zhs_E_KWNM5hJoDabscjJ1Q6PVnjtpxmbFZ2bJlK2rvHq8GmBadfZA6GoCW1WsQaHBuTp6oj6scT2eBrJDOTb197j0Na9XyZj9qQMOWEry-=w1200|https://lh3.googleusercontent.com/pw/AP1GczPDKoXANvc5SXRlcIFM5WT28YTd9pl4Ui5cqfmHa8wTsfMmJNwYNqL9jjvZ6lHQiLt7h9iDVZ5rooaR-24q_cga-eOkjLc22vw08qBB0GKtrF9-ZOiT=w1200|https://lh3.googleusercontent.com/pw/AP1GczOdPgsbx0UxwHLSUGc8a_f3AjlxnPVf6OgbDimvh4hK_h471ZG-0qT3mcAq4aWG6m23MaZu-36WY5arhHP27DX1-xR0C2eBJBPRPFHzWdl_9Wn9ffut=w1200</t>
  </si>
  <si>
    <t>564</t>
  </si>
  <si>
    <t>Apartamento en Conjunto Ciudadela Berdez</t>
  </si>
  <si>
    <t>Ciudadela Berdez</t>
  </si>
  <si>
    <t>https://photos.app.goo.gl/hiRm76yv8jvBmDiN7</t>
  </si>
  <si>
    <t>Apartamento en venta en el conjunto de la ciudadela Berdez a 5 minutos de la ciudad de Neiva Huila, consta de 64.4 mst2, sala, comedor, 3 habitaciones con su respectivo closet, la habitación principal cuenta con su baño privado, cocina integral, área de lavado, parqueadero propio y techado, ascensor, piscina, salón de eventos, vigilancia 24 horas.</t>
  </si>
  <si>
    <t>1 - MANUEL FERNANDO OSSA VARGAS, DORYS ADRIANA SANCHEZ, 1 - MANUEL FERNANDO OSSA VARGAS, DORYS ADRIANA SANCHEZ</t>
  </si>
  <si>
    <t>https://lh3.googleusercontent.com/pw/AP1GczPK4L4vkmUQhfa5YqH9xiucpoEluR6G0obBHKVtXHRth63c828Up9b3a7MOXJnT-8fPnl_XFDsWMB0abgBQp4i26Wh0WIPXvbWIBN6C2qTmY0cq7bu-=w1200|https://lh3.googleusercontent.com/pw/AP1GczOSCKLLHly9SkJ7Gg2D-awh2-vusT0WlFn3liSGqb9OtGsxCD5rIJkoIvcHW1xd7WoZWJmM7b9MA9G5skTHziuElSfdSBlQGmj-19pnSiQCQAWO8M_Y=w1200|https://lh3.googleusercontent.com/pw/AP1GczPl-gB2FEVJAwV8J5L2JEpTNr7Yhu_TMfdAF1MXnM0PMYy5p3poEbruyjJN6hBRg_6_h9oYFefFb4pAuahqivHc8-reUYkpXn7g5zePugS_vecn_bXz=w1200|https://lh3.googleusercontent.com/pw/AP1GczPOqn1gwL5G67ZYYP6QwElsmTJrrG1g0h03ddX8Rp5kG_XWmK49yCdpfJ8Uv7TJjY2nQnvYF1-Voeo4qqYXi-Oo9-S4bLnIBjCCCOCVhDE3vu81bPng=w1200|https://lh3.googleusercontent.com/pw/AP1GczPRQZg-RFxjGenEL53MDTfqL-3cGyLd2uP5vOVnr24qPHA8O0PXHuD22xokrnQGzMjytld7B67TWUH-FkBkimmJCNQ4s-C4fLHK6JQPlSQM1SP-4wuI=w1200|https://lh3.googleusercontent.com/pw/AP1GczPIF3ZAoT95TbE0gttbVlyKwylSdlbZC0dD5rkUVHUBXY8gFBCZnCdxnNGCFUU3m2P2o-YeNFFbXmHJERfQqA_hr9b2PFCycuih1X6HVAekZIdpsiDq=w1200|https://lh3.googleusercontent.com/pw/AP1GczPRcHB10C_TZyLqY3x7PZSa4HNZdyrhhT01QsKsE0UWf3uLsFc9lZMliOGr4TaS45rEtH2DLu7dd0CTpL2HiHC7b7e8T3OoIzpMBatUglihSks6-CUh=w1200|https://lh3.googleusercontent.com/pw/AP1GczOQTvQf-UORCvTfCMIYpKB08OcdzMAKdiO9AZNghEkxVHJWthIxbbOWh3kXORwOcakxqSMXcj3obnvL-7FYFzYv3cnvBZSCBI6L3shQglttL4hObJgG=w1200|https://lh3.googleusercontent.com/pw/AP1GczOU8mssEA_NhDpfXKnP2b_CUGTUr3UgUklEiME-FFMP2RIU9tE51Abjm5-ym7r8Fbln1iWKh_q9a063BxTj6JKSB47FjKulQxUGVk69F6QqxZrITpWq=w1200</t>
  </si>
  <si>
    <t>562</t>
  </si>
  <si>
    <t>Casa en barrio El Limonar</t>
  </si>
  <si>
    <t>El Limonar</t>
  </si>
  <si>
    <t>https://photos.app.goo.gl/64jTAg9mFfnyHEZC7</t>
  </si>
  <si>
    <t>https://lh3.googleusercontent.com/pw/AP1GczNtjITrhJjtdnaEtmRAAVHya39YKLSl0DUTBWW6NAEvB30Yt2e2GGQaelfMmo9TICxFocavtrDv3QutuNDDGZ4yY27pmLDt_tD8-XxD36StZvMR8zAk=w1200|https://lh3.googleusercontent.com/pw/AP1GczNEbzZgZ26lSLxCrCr2JqffQLVsASjNbJn66uT4Ip0UpMuvBG5Ch4oxg8-fedly1jfqvIeAZa0I47WA5q0fD8aHAQbvvqX4CxoH5TVPyT9-HkKQfUqx=w1200|https://lh3.googleusercontent.com/pw/AP1GczNk-hsa8WdvYw1kwe0u2Sb0J9NT5AaMbTFWjC7Y5TqL9GM2e45i_X7baqGxRZxb8psd_9YWlHVzmQBffx3QJsri7kRykezydYOGQ5sCoePBsHeXJavk=w1200|https://lh3.googleusercontent.com/pw/AP1GczNhQTyih0cjntURoSkBDUmZ3JnapXr6IB6RUxYWI8ffPhg28PhTAX-rAVCBh42mMbVXMKtcmeTOZpEBAbZHgdsIZoRhjbbEaRE-JWwvLeuNVMCkHXpv=w1200|https://lh3.googleusercontent.com/pw/AP1GczNplnVCzuOkPoM7k3YD-XtqZ8lMW5XeRoBCiTSk5mBgONTscVLvnbourLG_Uilcyx0PCPn_kRUExWrMiswXIkJZRpF_AffU9lFfgxwquHKDfBo9CryZ=w1200|https://lh3.googleusercontent.com/pw/AP1GczMZpCC9sxAkjj4fFcJbjxNzNUG1_0-O6ZOz9VAn1egp9r0RqpLk9Q_z9VKbEufwN1h2k2_cqpXjfSIcTKl4r-OOuz5dMxBzZ4RXnH5L91MlZgRwwI40=w1200|https://lh3.googleusercontent.com/pw/AP1GczO8R12PktA_8FFNl-kHnKpVzAI19W6uI2ZUjuqLJiqVVsqTKtqQ08266FChiE0WAIPCDAbfciuF7pIVMe9E5yXrFldHrTHP3x62twgSd_5d4mIJL3IV=w1200|https://lh3.googleusercontent.com/pw/AP1GczOf6Q8yePXe7VNXMqPPRzEceAnuSjzfmD1AuSTm9Wh3EJO-djD1t0KM1xDW4-2abxnMyK7VBr6BeZAEL7hrefcfKKdCqPt_7NI1u7QtFJYq_S6o6W8Y=w1200|https://lh3.googleusercontent.com/pw/AP1GczMVUS-xN_eeSBjxcyjomUj0EcGhkz9-5-e5EhQo9Rg4cSDxrpLFIj7YCX_2ERl9jEhKIJStyF6xPYLyBBRfskzksFc9CZNoI4ELCemqiu4syAz4S6Xt=w1200|https://lh3.googleusercontent.com/pw/AP1GczNsVrSyxMPXmY8MoZsnePnPHrahhAWM_y0wjYz7w9D6GC5wefx2hXeQ6It12VZWL0tWdRzJYWYnQLthg87SYL_k8c8SjCVn6sGkV35B1yxDVmtRkJTH=w1200</t>
  </si>
  <si>
    <t>345</t>
  </si>
  <si>
    <t>Casa en obra gris en barrio Salamanca la Nueva</t>
  </si>
  <si>
    <t>Slamanca la Nueva</t>
  </si>
  <si>
    <t>https://photos.app.goo.gl/f6dDW8aL4N78sD9g9</t>
  </si>
  <si>
    <t>https://lh3.googleusercontent.com/pw/AP1GczNEvWwHQrBJS7S_SMSYxwCDAGjsJ2l920f17zV78BlgzAweXfzC-DHgWVVvGNsrYoaQQUAslUUtVpFi2Ebb5DhgneExYhJvIkauV1J4I04uLjw-Rf26=w1200|https://lh3.googleusercontent.com/pw/AP1GczMdyoaYlDkwWr_RS-MBvm2ElEnI6jWYP4TeXu06SVVlKewxTge9EU4Q0Mk4ZfWxRCh-qpryIJDfPLjLeRaZHE9dl6X9U9JJeKWa6vxhyFIhNiZ-S7F4=w1200|https://lh3.googleusercontent.com/pw/AP1GczMr9d7OpSOHJUmSPOeOcTwnCHhC8_e54CiIo6C7TLOzOd07boaNG6YijtZt75Xtd-XOLD2Ev1ESgnSMU-twvw4XfYhBtqYdHiusYb9e--WXM_R4w8Yi=w1200|https://lh3.googleusercontent.com/pw/AP1GczMyahD6u7F9vWvrdJ_SSxcW6xM2NUyAtEHUSQZwz7hWdB1anE29yGPwjhKezVDcKiZ9SNthZh0nbUz4_ICLMZF4RZQ7jo7gWGQ8de5Mna36KekQEaoG=w1200|https://lh3.googleusercontent.com/pw/AP1GczN9dasXHMm3sI9UjueWK748ou1_cEGM6lxksSNEOMWQAirQCxFYcR5TEPN6Fa8a4bCazKdIup15OehjJZ3I9QY7m95T6XTS0E4h1hxFnyg5WZ82U3IL=w1200|https://lh3.googleusercontent.com/pw/AP1GczOsgUxOr1VCxEHfbiamYOJyXleoofLo-DqusoRTL3VPGnsTjnAIKYlZytF1zQM4Yq_n8Z6G8RxIpFDR3zcMx4FyoxwPI0_ZWGDbo3MuLZCllDrk75ux=w1200|https://lh3.googleusercontent.com/pw/AP1GczMf3iKuwGFx_6NrJGAdRFerNv4NQaADWN8tEG9ecouvqq-Cx8vBvwV8d80cqffh7489ISzCn-Hp50Acaznt_TftoNsBbuYxz_NeLOa0gW0ZGOqlM6rQ=w1200|https://lh3.googleusercontent.com/pw/AP1GczPx-uOwzjuI0A2okamG5SBMm1mrffcYxxts_C6E8mXvg92y-8aJeeFF0k3fxDwnnHav3jGGfPWzkVTQCWzRQKEmp72W37Qv8r5QX3phnypJQKcYldmP=w1200</t>
  </si>
  <si>
    <t>592</t>
  </si>
  <si>
    <t>Casa en barrio Santa Ines (Obra Negra)</t>
  </si>
  <si>
    <t>https://photos.app.goo.gl/gme4VCTHed6G9ifj7</t>
  </si>
  <si>
    <t>Casa  en obra negra. Ubicada a 3 cuadras de la carrera 1ª. Con columnas de 30 x 30 para construir hasta 3 pisos. Cuenta con las cajas independientes para cada piso. Antigüedad un año. Escritura al día.</t>
  </si>
  <si>
    <t>CALLE 42 A BIS No. 5W-19</t>
  </si>
  <si>
    <t>15 - SINDY MARCELA, 24 - FERNEY PIÑEROS Y LEIDY, VITOR EDUARDO ANDRADE, 42 - VITOR EDUARDO ANDRADE, 42 - VICTOR EDUARDO ANDRADE</t>
  </si>
  <si>
    <t>https://lh3.googleusercontent.com/pw/AP1GczM10QX6UNrZCt2DBtOXr_m8-H77HYPDgxrpjO75wxoi-iffzDwLup6hJ5_QIuJeOyv5yuhEt_CSUaDBKXfbycrmOtHIkNkYXpDvlhwCkunncxE7Rp1F=w1200|https://lh3.googleusercontent.com/pw/AP1GczOIVSlHQtbXLF-sIZekCGqhexe8HtiS8eOKEKIrm92Ytm4buJCIC_biBmwLvoQp48bkfGxpk3JwFyiNkdCkmX-cXjlMFPI9zhNPF6KHPpvpZvzAH5h_=w1200|https://lh3.googleusercontent.com/pw/AP1GczNox3AwiJb5-EuPSuV0VunQura2FzsSlWKO0SqnpNYxdfHtXZ_zs3ZgXtdDAeRoQP-FI4-QyLwKggsGS_fiRQwit7DcofRz-XgCdskkTr-U1NG1hXGf=w1200|https://lh3.googleusercontent.com/pw/AP1GczOHLOVOqkk4fTfcRqjxA5x3E-69Se_qYq0VMhRhqoPRS2HC9ERdPYs45101GEXUFjrXCWP9n8-AHU3Y-Hi8XWOTKxFGwmf8C_fOTME6-hK-0_39eYne=w1200|https://lh3.googleusercontent.com/pw/AP1GczNHinbBn8UjCpzkWmn5FCe-8sLRZrFW2sKcfo7xOymTrr9Jyk02p_ngxAWg0woU7z9ae2zJy94MqGNgSIkqRCNVsuTd0kTsI0EkPOaIybXrCzBGLS_W=w1200|https://lh3.googleusercontent.com/pw/AP1GczNuMWHO0rU626out4Oa1gbvp0z5qVLjBHbhJWzTQ-w-6nut2sQFB_c93q6Mg2TxjuxDjpjWpHDTCbzNXYG47hzJGGOhIhgyqCCkzGN3qbTN15ZbqldX=w1200|https://lh3.googleusercontent.com/pw/AP1GczOjvm7NqK6_bXCVxv9KooI6I6vkBOWW785pj3Ir6uIw33ElFp232MvPtw-PPZgk37NSsTbVfjYUY82ZC1cjVxbWu6LFqvEZfXQhQGzd4IqLSkWzYUK3=w1200|https://lh3.googleusercontent.com/pw/AP1GczPWKTkgJ14Dy2m_0GDlDY29upHTj6W85EzgaermR8Y0eyVv5HC3M93aZR07YSeBpcErsGM25XZAI-e4OxvXZ6Wg4bnuz4nqm-V114K2tbwQusEddfUC=w1200|https://lh3.googleusercontent.com/pw/AP1GczOxQmB6jFJ8ExXu_XrKT7cxG4AnWRxsVJb3ofpSOCsBOK51SKBW9GmgnHME9dmrJbyIBr18wKfxC8PancxV6S2xROcTPp4Tzcxes-EYyB-PXKGgeoxO=w1200|https://lh3.googleusercontent.com/pw/AP1GczOYw_eUq97KjmOS3aJ5BszWHxQ9y5kovLNdvjVygnWPcUppU_u_Kfz9DAklnKtT0s1nYdjse3NW44wT3weqq13Sm6HqsjoTULdP0Md_qg1ozt4TOEhT=w1200|https://lh3.googleusercontent.com/pw/AP1GczM37LTbsgqT-eNWRkDUJZvylhZnVk85ODLevc77KyYrxJqo6dfBOQYx3CJS-sr5E53nv7BHmVe6MENLcpkOKL1zhPEAtM8-v3vj44PxbAm02A673yg5=w1200|https://lh3.googleusercontent.com/pw/AP1GczO_MwwLr7WTM5jHX1YTvM-YVK1T1jVMNP2-mgcTgQidGCBt6GMuiE5dwgIlhywRDxvuFwMcDZ50DyzKajatdG89AQhnr4lJ8Yzhg3XRrRMESYQtNnmE=w1200</t>
  </si>
  <si>
    <t>509</t>
  </si>
  <si>
    <t>Casa en Conjunto Condominio Campestre Altos de La Sabana - Palermo - Z. Industrial</t>
  </si>
  <si>
    <t>Altos de La Sabana</t>
  </si>
  <si>
    <t>https://photos.app.goo.gl/VxwSeYHE54Ueunbw5</t>
  </si>
  <si>
    <t>Hermosa casa campestre. El conjunto es tipo club.  Vía Palermo, buenos acabados, pisos en mármol, fachaleta, carpintería en aluminio y madera, con piscina privada y social panorámica, todas las habitaciones con baño privado, El valor de la administración año 2024 $160.000 e incluye el agua. Escritura al día.</t>
  </si>
  <si>
    <t>Comis - SANTIAGO 50%</t>
  </si>
  <si>
    <t>VIA PALERMO</t>
  </si>
  <si>
    <t>https://lh3.googleusercontent.com/pw/AP1GczN_F7mC7W60wHRAk7RtNjSMUOMbJNrweNxv3fAJFuySs61xQowqP83kuE5_u5Efj8iX69lwxH82X_2cF1Y_mrbQmNCUi-yI9BwmBAXqtAua3NW825ST=w1200|https://lh3.googleusercontent.com/pw/AP1GczOf9zNwYvJ_SIPbUSebfzP3u37T4rJ8P7NkdRMttBxnAOf5FsbqPGyopuPacwRxkEBHYHeFWwZQ2CXjKT0btMEWd5m_j_VlY21S-EmbarTPNzAOrchN=w1200|https://lh3.googleusercontent.com/pw/AP1GczNJKf6uIz-5SaBiHk3EQMN6xIPoyqdT5v9aeAo98gGIaNkNR9fB56H-5D-qj3M_NS8_v0s-GO0YY67Dg7Nv_8sNFW9XhxgW8dPH7z8fgxzEUnIhUqnv=w1200|https://lh3.googleusercontent.com/pw/AP1GczPGuxnLpiI67WfAYIiRoLDUZpPAKcuiS7cX-cMNgL-UfSup6xJVsS3HHHhDdKrl9k1yORSkTDog9AlisfVlhUNfmJRdrZ9b6a301QsbbQzwB55lyQiD=w1200|https://lh3.googleusercontent.com/pw/AP1GczOxs24NCPUCQa2gKEQVeF3Wh6vxdtvSp_ednsl_bC_dBNmFgO4-qJG-6YcFb7gU8EOiGXFQae7kKYsUW2TZcFQO-cBKwBTGHIUCoke8wm9TG5nJpcmb=w1200|https://lh3.googleusercontent.com/pw/AP1GczMeh-GmD3NHdrbFrI4JAZxQBfEVivZpCEgDbcBqtv31pW4fDlqx58SrVkd0Mzfrj1PD0zlVlnCp0qeI8Yk6aJaqD7ccJiTVg7d-UuAVX5pYTIrpBZjX=w1200|https://lh3.googleusercontent.com/pw/AP1GczP7mAeAa9atIMbZO6dwmbRrewyhBfGP8jTZfSYBp_LIMqyVT9n3BwcRfO7hvZ2Fx_76OW07JxbjApG7X6JyRDaeH7_7TLT5XimHzMDFd_0rP-sbIKDI=w1200|https://lh3.googleusercontent.com/pw/AP1GczNeviX4HcO7xh27YSnn_8iJsE9TlCIO8AdrXXi1J1PWDx9bwHveRxwYMkFFs0q6Xuva0AOPB6vRYxR70Ojht4dpiVsU-EK42HDI_QgYzGHYQ_baGozx=w1200|https://lh3.googleusercontent.com/pw/AP1GczP3XrZwdBq1ly9Rw5THKPdNzaS_-62gqZ2efDOZxA4HRj6N_tWgnYrswwF_qMZatcYt-inY0UIG6dXO_iupnstREmoqkLHo-Xr19eV5TFD7V7riJzA-=w1200|https://lh3.googleusercontent.com/pw/AP1GczPnA6Q-9M2ew_uo6N60FbzJdWwgY5hsvof0on5MZFVj02wFo1EYUwLmNULIgFQvt_0V9BfcX2vFUyM5REdpzQ5ACwq8s3zmS1StrPHVIIY37rKAYAXJ=w1200|https://lh3.googleusercontent.com/pw/AP1GczNQsgL-57r_HTZYy2yFeBYhHhTJ22oOM6dZ6M4Eaj3gSjmHXcWkio3YnmjgkjV9uawQFjKMzb1I1bawFvmW0ss1Q4HGcmwTkKa5_owUBwakeRaNgFMb=w1200|https://lh3.googleusercontent.com/pw/AP1GczOK_b6hfS6t_tpbVn7GBhbbBJLc147u3tdOyxe5WY08L5hyFvdtqSMq0i7JSoR9qT7ZIVDkyQDpGvDb-zZitjY0N0taNtYoimjG_WeaVWyUG8OBLvNq=w1200|https://lh3.googleusercontent.com/pw/AP1GczPYwWGmiawgXB34753CLYYmR6qr3nmF0beHXW_3_0CrzkZOh0Y7OkZEIHnteyt_A4xnj7IrLMVDrwh-wyfSeQqokFHS5_So7pvqK5eiWaPIX_ftAVTw=w1200|https://lh3.googleusercontent.com/pw/AP1GczNSWExKErdu-GByHtqr3p7Vd476hmYsZ9D1QspvbrudZLhjm8JI0qt7TrMcF43ed7jWCoAEZ-1gYVu9rsHWYOgL0cPj1yeH6F2vmz-L6EdzbuTyGo_s=w1200|https://lh3.googleusercontent.com/pw/AP1GczOmPRFiWPIdYrsob4NYqMSL3TOJFjiuiBWSupBCThzCViPgUp5Tn7a5ilXpVVQZcg5A3Qklbz3MAzdWO9fFg8NI3pmNxJa68k6rjWqaNvhVx8q42bN7=w1200|https://lh3.googleusercontent.com/pw/AP1GczOHzXJcp-DPnbqFrrDgcnoCCh7mrkKxkLldnMKGN4OoMSBfvYMIRExGhPDdD3PdphwxanjKkI7BiknsNKaKSCHM2uBsCcIq520rDGPUnKJpzWlaeIfQ=w1200|https://lh3.googleusercontent.com/pw/AP1GczO900H62YY7HlZ9UDFvXtrf-YHIQrscftXEkKkHf10kGgdj6k2ACx3zzK8QrazeaaHxL6YRKK8LBcll_pb6IfDm_DB-A419PNlcjViGtaKBi5eWi6k-=w1200|https://lh3.googleusercontent.com/pw/AP1GczM-LgJN5L7UACrw0XvHJLrjw7WbMus2NFTEVJ3b5rd7ETqCJxXOEvOktZHl0_5bkDQ2snywECPaCc9_EjQKDhAdZ-VxMg1YeOX684S69IbNdvPwB1So=w1200|https://lh3.googleusercontent.com/pw/AP1GczN3vKQYQuQSnzigOW6ib7coVTO5qbYEx4k7h-pGOA0L1ts17P-c6KKvJl84d0ub0IOpASks2HThRBRkYwJoX6BQjB-ttNS8L2NW5YtSC7Yo0dFFtZAP=w1200|https://lh3.googleusercontent.com/pw/AP1GczNU9OuhTfI4HQIn-7YwASbJF2Aj6zLM8bDE8fTogo_3rp_U0B41q-dMHo4TwcwYO9Ugjta11ZNes3qCMPYLIVD3eqKObEbnWI6BR0Qn7Dc-eGgeaZZk=w1200|https://lh3.googleusercontent.com/pw/AP1GczO5_2eqDPhGViIV6bE37T7xA1CWwh6drj9pMo574HwRTtOrGuI1BPpM-8HqgIFA3G9aJkF-rVSOVipGdmSOdjKdLXBb7d0QqFK-t8ZYJp2JyyrwTTPf=w1200|https://lh3.googleusercontent.com/pw/AP1GczOtiJW81jXjzF2OAh1SD1A3cMzwl_KC8nQXUbMCe4vou5boHWWNiSc3guQkqW9Wk80vJvRhVAAUkRmugJPvfdkM-0Cyx_R1LQprPG9vmc8BHjwlLoic=w1200|https://lh3.googleusercontent.com/pw/AP1GczNHPfw5pr7HtmiNNjO5kfwAJF7EyKvcNh9aZEQ0JDKgnTOqnQgmD7-Bfi5I6vg7O-wse7VyaKkE5a1zJ9QAmAS5HErNqqTnIjnrTnMvc_-tBnYpI6OP=w1200|https://lh3.googleusercontent.com/pw/AP1GczM8lah6aos9WIyMn3DYdqhbE_qbgqlIZV4hfamhP14hhN3bmfa4GmOzw7LuhWoXfWc4GB3emh1YzW2WkN6vEGc2bE20XKJX0lAjiU5ua-3PiWbBvNYQ=w1200|https://lh3.googleusercontent.com/pw/AP1GczM-Fh3svVDHPnVme3yqftA4Vy9UXj2L9RVC7Oo2lr5gn3jbZXZeQdcwZBrInf26O_SsN8snANI_1-foeBKAtCcS_HtjYlrK_3oygej4cJK35arlHxra=w1200|https://lh3.googleusercontent.com/pw/AP1GczMo-SDIgLUCd4WT1V9WRa8_5xT8rml73DsGGe_GxeAvZfEIihKlJ2ntPWNQ5KE6rb9w9VzdKTWvBusoEmfiZQraiUuyVGd5DQsz1z5zJQl6TSKaEfnJ=w1200|https://lh3.googleusercontent.com/pw/AP1GczPtWNdNV8ZZr5GnNiY2Zvrm5TpCbKXlm6cOrU5HQosg7RCxEPi3OdN21g7J72q7aiYiAgYLon4UnTLXlYZZ5qEGmBs5IVm-sRY_Jzcd2nJC2tUADRd6=w1200|https://lh3.googleusercontent.com/pw/AP1GczPG_sYucJeGvENo30d45Qt-T9lQZ7jLccAV77lNGzceidXBudGGfC03zN4_NV6WNLaYexaHfFTPatCRG8xZygYD9yumwBECsGqLCUzX2uzVGY_RGskN=w1200|https://lh3.googleusercontent.com/pw/AP1GczOy6UyftUUQxKJRpg7tZq2llI0BNuoDkd6qdhcvWsceNWq6VKgLHArORiRLkqiPUwNPXVKpV2ukYzLefk4BY0Q26RoS2kff-b7TT1W3tWoa7fC5uM3A=w1200|https://lh3.googleusercontent.com/pw/AP1GczMA1PEMGBDmjLX5tUHibFXpZ1Tec2IUDXPyC1gzDA5WxDv1EmfP0scTrNWNhjh43nsz6FJDK6sRPL87OEmCqa62fPSJn1HMao1MDhErd3_bEHlJY1Vo=w1200|https://lh3.googleusercontent.com/pw/AP1GczMjPlSi2xtx47rGzE4JJsfaUuAKpem8XfxK6V_yL9hSNmcgSv0-4aqGrqDDbnczra8uxhveYfSlXby4npjFxK8_qGNA6iljzq-TUGlp5kSCJ5VIHvHK=w1200|https://lh3.googleusercontent.com/pw/AP1GczNNUcp7rwmo6ptgGs5UKx3wy4bknI7gtghiSUl8_-H2weeu6nJmI-ukOBLLdpEQXfmhzyEa-OXedFKiUaoko2b2cy1UwffHvxUkj7xKZATzhkamZVQF=w1200|https://lh3.googleusercontent.com/pw/AP1GczNPsLFL8uPxIRfA0xesYiC2xkLR_rEPLlhpyU5RGzzr3sKGIYiIznYqukidoNF8P65AfQ8cw7xpSynXSS1fUg9C9ik2_xCC82ctrfFxZfv5BFhkl0DG=w1200|https://lh3.googleusercontent.com/pw/AP1GczNFy1RGLs9mBuVh_BUmuKcPOYGvase9ZFd2_01zQRl_gfFqS0c9gwKVKEhVHE8PBsVEVbyXs4LqTlSxc3ukQqXEYk0vgC1tH1wa5JO1-FlglBO_rwV7=w1200|https://lh3.googleusercontent.com/pw/AP1GczNdLfWxTmwq8LC6SUaeGnGQd9fBOwmbDohetIh3vYvV4P-Zr2yXm5_Nt08BfZeaG0oNP3vYfc6IMeyfmo_W0TWcs2b_HZbFr5bh7dJQfiFTNp3v9eIq=w1200|https://lh3.googleusercontent.com/pw/AP1GczOXE48VfevNCTvJkL3qKuSYvfDGeuFVw7K086SKkmnDjxySVoaK5voX-jmpYpc2ZQF0n22ecjvu8-Eh9sfViSv-PBQ_1H1JHgDcUa8T5ok3elGZ2gxn=w1200|https://lh3.googleusercontent.com/pw/AP1GczPwGiKQeDtWsRKm8wBFt3RFw5Ir9wTz5yn43ZJPXjJqQumdITPPWf7UmZ-R1Q8NyOrswjBn1-9BN6WGqanGE2GLGm7KQlC3xYDkdCsfxZGKPc_EUkxY=w1200|https://lh3.googleusercontent.com/pw/AP1GczNfNIos-4UVpI-kt9BcX85fjkQMBRFHR25viPnSaznh6yBLBnmbMyQji_P6IVsACG8SdZj6vMvus3aB7hYcGEw_25pxV_cbFWOkzzJycNss7UEcVO7w=w1200|https://lh3.googleusercontent.com/pw/AP1GczP6b8T038cevo7WNb9ymDQ4pgnABuNVnERiCDXT4rYGbTcNy9PNsNyj8q3pDrcmBUXmoub264rgimmMTi2AaG7G0c0oNqhD3YL02qIa2Nhw493pUbNi=w1200|https://lh3.googleusercontent.com/pw/AP1GczP4BfTPG4rZz8CzGiQxYoqBvdhiMP5wQqOvN7YhNpN8IBEa8KMnnBXUY9b0GH-hH8hcQwoxmdSSMbgdVYWjs8bTJ66GTWMdt-BUUwItwbubs2q4IWtQ=w1200</t>
  </si>
  <si>
    <t>597</t>
  </si>
  <si>
    <t>Victor Felix</t>
  </si>
  <si>
    <t>COMIS 50% -  JUAN PEÑA - VICTOR FELIX</t>
  </si>
  <si>
    <t>193</t>
  </si>
  <si>
    <t>Casa en Conjunto Altos de Iguatemí</t>
  </si>
  <si>
    <t>Altos de Iguatemi</t>
  </si>
  <si>
    <t>https://photos.app.goo.gl/bAczRcQfFX7g8u278</t>
  </si>
  <si>
    <t>Comis Maicol $780 Manifestó que la vendio ???--- / C&amp;C cod. 193. $760</t>
  </si>
  <si>
    <t>C&amp;C 3133519650</t>
  </si>
  <si>
    <t>https://lh3.googleusercontent.com/pw/AP1GczNL9FIVzvmkjqQC5J02RahKs8cEWE4SfXl-nkJjuwMSPBrmoW04Odwjp6fOJt3LgiH18VNQG0xKXLzc9LkzIfWaR0q2uxXpJR7NR6YyJkdAOPCd24PP=w1200|https://lh3.googleusercontent.com/pw/AP1GczOQw7ZtMv6kGHHBp_OAy4jHLPWMJqbQtrWy2f5ihnUusGsl17A97tt-1H-DlN_zo2e9NQtd_tYe8MBfrGvKDOhDTmCsmGVMtNgUNhT4DuSk2KD_0ZB5=w1200|https://lh3.googleusercontent.com/pw/AP1GczNT5XCXCVWcjRlcbjVLyNTWdGH5f_ey2uYHjxPHligqOPDLNNQBHCWCRwqyyT3pmVAlN8Q1TTdsIZZ1ZtXyyrgIXFGWf2Iso5HevNyTCe0tkE8nkwv7=w1200|https://lh3.googleusercontent.com/pw/AP1GczP8VvuIlwYrZzNg95bMIaNT8m0QDIGc-9YVNKZTgdYS7PNz_8LmP0f2FvMeEDeXAhqjRMdt0Eo6J2CxEHfXJXESLMFt4D9oQld0CL_fY2viQASX45Mu=w1200|https://lh3.googleusercontent.com/pw/AP1GczOE6xdpGXRyl-4wmB8tGgayDUJhxrgV_xIAvPKRaKv1x3K5fkmsCY820cRFQDMZNunwOzy9YtmznpCgpaIJk5V41gxOuzE_5dn4cYawBfXDN78NU0CK=w1200|https://lh3.googleusercontent.com/pw/AP1GczO721In_2UGI7YqRFJ4m6cNBJRYmaPIFwQztzJuA-O-sgXStG1ClDkmzLopIQAUKJa_DUfv4GhdOnGfI8M08qOL3i3kQR_BMlferHz9DNUex6BtYdzI=w1200|https://lh3.googleusercontent.com/pw/AP1GczPmJRMWTLSOgMy0dS7f_hKXd9iqClbC8V9vmbNgHM_p37L6MGTTMA01_KcPjldWIs-gnDISlUltlzXUylpR_AzIulSJ9xaXA4Ot32CVGGyrfKDdYH9q=w1200|https://lh3.googleusercontent.com/pw/AP1GczMCwZnXQA-Bl53jV8BbNqnoZxV7t8TEPrx2r0HPiU7tcr9wNBxPhECOT5WtDKDXe7pI1QCGdXAidbQ9WPkPj7igW1tGZOYQYqt5QfIeKILDZdORq0mY=w1200|https://lh3.googleusercontent.com/pw/AP1GczNO564y2runom5X34hdGJhsA8nrA8ZD3YiQjXQe3zp0woWjTZx1EvqcQwZTYyUb2WA94-XvARxK9gxbDJZU2-C0vb58vAwJCriPwX9hPLwsLseKtAFj=w1200|https://lh3.googleusercontent.com/pw/AP1GczOSxSg1TjsfuBYqLhxe-ZcpgB9-MbiZy5fef5z2q0gYNHkJVui-Ung0VSYwWH_O1Cm4O75Ac-CbiaTntl1k5L6Pn1pxvPVQY6SbwKSiQxoxR4MOGC4j=w1200|https://lh3.googleusercontent.com/pw/AP1GczMPwfI9TraTsuzvVFLkSmdvc984xdSBQSRBdPJO5tJdjVDQ2alxU-O6ghJvAX75eu4kZxzibZ0v0iTqpx8z28GF-N0UHvlvhkRthKtrGgcr8BVaeqyB=w1200|https://lh3.googleusercontent.com/pw/AP1GczPh64IuvBAJIXaf-P5gAvP1MxuL4AlY8aI-rPswhQA66IkTvwdWS6DMoUYWnkm5hF57-KTxFyZZm_Q6Nc-BAwu-x2BTu8ws6cu1jswmE-HIYKUNdI1o=w1200|https://lh3.googleusercontent.com/pw/AP1GczOjSK9udAIfjBy3UDoqZdjQtbT4iPZ2ZLu2ygrHoyxbVu1UdXPwzyV2e2SN83JkXBJKN24HM0IC1CFjdrusdqoscdH8_aERq0Sw_57JeZKXcNJQU0O7=w1200|https://lh3.googleusercontent.com/pw/AP1GczOiNUSPh5_pI4vX_ypDlJeZH_mNL-tA7U1v1ZTl1Q4CtWUEPCt8-ag5YlEIRi7duoaMkPRReFVuUpAyT9T101ZeZc-2SnDDIwHMXuxmYnltcMLLaIDM=w1200|https://lh3.googleusercontent.com/pw/AP1GczP5p92f_6jnDdBqRFFpTeeHi7Npmpu36RrFhmxFu9LD_Du84zQqfUSRwQrAMHeilJj_fHas9-3Qv4wxzxLgqvKru_-VCasJ8gn34zdRV6gaQXRb2Are=w1200|https://lh3.googleusercontent.com/pw/AP1GczMqCvHMfz-r_LmNCNXSKbNULA2cyPni5yul9jNvttI3eIe6M4bw_h8wrCXCL32ziSsr68gegUZXvyW_OZ85SyTX0cBTacB6yJ_1Ua4lKhw3lq0gDIJ_=w1200|https://lh3.googleusercontent.com/pw/AP1GczO0JP0o85JDBlZZSVa2JFLTl-iqVkuPRL2LnCTvnx9V1g0Bus1iuXBz0am3Ne9bdrVVa14hmVyqmrV-LG9JAU32v00BShLUI6jvtermsE1dWr2rjgnW=w1200|https://lh3.googleusercontent.com/pw/AP1GczOgLsW_d0pnsfle5c7UQ7O3H2-ly-tFn_OROot17iIg2Okgt2I9YWHUUgMqjc-2YEmiVX_cWxi0DnWsMzdaSlPgWiPFHKoNmxGlEikCEEGJ4w5n51Vy=w1200|https://lh3.googleusercontent.com/pw/AP1GczP1YrZN2MonUjhvxTWUAj785Cljzp8BW6d_G4cZORQ9zpSuIrOHduk3hcRgCx2YqllllXUaG26zzGiHZ3DobNnWkFvZZM7_pvY-_XHneHTloOTGUfgJ=w1200|https://lh3.googleusercontent.com/pw/AP1GczPVtJGdv82AJkpGEON7nGALD1YvcXSqjIZNoK_Ha95BZXeNxXiVxh-iHTMUdHeHlabllYCEOBJYK3yIYSDESsZJoyCRR8nyNi-ZjvRXgN-3gKAYtr5W=w1200|https://lh3.googleusercontent.com/pw/AP1GczPcFtCoHgFAVvkRSZXRQDrPdbzYpXTaNfeqFLOek3KBgSCjzCRc0xSpHsdz2UoGFoojCtMR539A7-sQeNuEYcmgpF8XdqxuR4wJA4wHuVCMsDWlrf8E=w1200|https://lh3.googleusercontent.com/pw/AP1GczNRWVhMPeHTZRVx9D6u9adz2Q0afcTA8iwIXVymQ6UpUAsclxUr_KxOh_kdqw2B5pgxvvf7YERCwJ9r5uYngj7cxdO3D2r2H1Ztj8VqthrHNtuuaH-7=w1200|https://lh3.googleusercontent.com/pw/AP1GczPIsYotYwfqgaHGV7OSAPxyUWCLLRnygzpZWM6GTNJN0ufJs3vN6u8H053VH-2D6oAHWG3NmJfgFxsI9pnUdR9UGUSDrZ5__ALhu5uju1HQ_GLY4Y1-=w1200|https://lh3.googleusercontent.com/pw/AP1GczM8v_xMBaUnzxbVszWb5qF7DAy63O8lg-i_3pXKUQysxEi9IAba9eScdjJ3hA_zlESI0xseUeqFeCfWfO_Lt0UhsK09GO5boPcpu1CFt7pmq_FBc5wT=w1200|https://lh3.googleusercontent.com/pw/AP1GczOAKRuD9PrlFQ_z24Zyv0ZBcr0bcvXbI9GEf3_B5icJ3bdTTzM-FZ-wt6vUJ9mnXBZh6u7_HnZZ6_QLQ0iXduQV9EcFefYf7O9FH-PeGvSXSxDZID_0=w1200|https://lh3.googleusercontent.com/pw/AP1GczOP941hDKuhtfXyuVS8ANhG4aC6ck2EfStKzMHQrvvaPHaMhaf1Tca9PxUNhUq_UNZVA5L_NYK2nnJvzkJx3gpihMmey_QBgqIKlbGkphixNTsucGXp=w1200|https://lh3.googleusercontent.com/pw/AP1GczP_XmPxylXHwLxj50spCffvIImT0nP4-xHQyjdU2yrG_4BADFdTxyIcKhlMDdfVx1ycwmt4ZOQcNYZNMNrtPU27Y8yobLiGgM10tigKiVXqm-gQkUSu=w1200</t>
  </si>
  <si>
    <t>510</t>
  </si>
  <si>
    <t>Lote en conjunto  Condominio Campestre La Voragine - Rivera</t>
  </si>
  <si>
    <t>https://photos.app.goo.gl/Mtzzb9N9VEqysBFj7</t>
  </si>
  <si>
    <t>Lote campestre ubicado sobre vía principal. Con todas las acometidas de agua, energía y gas. Escritura al día.</t>
  </si>
  <si>
    <t>Comis. Jaqueline Rodríguez - 50%</t>
  </si>
  <si>
    <t>RIVERA - Termales</t>
  </si>
  <si>
    <t>8 - ERNESTO POLANCO, 9 - ALBEIRO TOVAR, 27 - Valentina Renza, 12 - LEIDY YULIETH</t>
  </si>
  <si>
    <t>https://lh3.googleusercontent.com/pw/AP1GczO66rgtFaAhNUHu89ge66iPrsKE76wY9A7V9-yMMWEP6IlolL0oTuxmWHL-wQmopnsCVEaBzGRlOGmhCyXIStbs6zVIRNKMoeyhaxwsndplycVNHFuz=w1200|https://lh3.googleusercontent.com/pw/AP1GczOo7GGc3yijx9QKgn9n3mPKhYcLmt3I64htg55sIu_IGCTbSp-T920m2ZhqHrKInYGjM4KEQA-dNqwP_oeJ1lGEJDajCMZWr29Hnl6QIbwoOw4JQxiN=w1200|https://lh3.googleusercontent.com/pw/AP1GczMRfvl2XbnfCsHfQvq4u3CgQjjH-LlACd44aJSE34rDKfaPwLUWkVjNCiAU9koIXqJnfuVrJ76ErLIIALGJ3cpdVKN2VmUvEUnMpesJqxnua3j_d67F=w1200|https://lh3.googleusercontent.com/pw/AP1GczODRnTZDYf3Xu4fRPUWh2lmIxkNrPzNE_06fRlSIMYUG3U6hvjuBkulwO_GPFwz-5jzwugLRvrmaHreTCKJS-Xf5g1UjO7kIzgIAj87g3lLKVOfR2eu=w1200|https://lh3.googleusercontent.com/pw/AP1GczNKKZesbLcA70QrltygJAXTzASmapxSzrMy0YesOn6sBmd1fd0abOL-z2tU5Rd_Onc9Rj4vS6wUUp9l8g23WsKdwwpaStT9ca5W17x95ny-eBQu5W9l=w1200|https://lh3.googleusercontent.com/pw/AP1GczOdY6c1xRGVmXgieaVQqHL68eNXaxZaCRqQbc3ekfZev6lIh-DFt1EZqXz6aQ3AcLGHcB0mKvBFpBoYY-660wjYKql12Kg8wJARu3nPOCuSm2EA8JLY=w1200|https://lh3.googleusercontent.com/pw/AP1GczMWKF0BtA87wZxDAwDA4lTI2BqcTEjYaK728Cwt6mlcP054gwsZG7-_4AN7dmAMAxA102iLoU7b0nPXfE-2Ybpug5jvb545QgkO1Ccb16O1qPukJmb3=w1200|https://lh3.googleusercontent.com/pw/AP1GczPRfw-T-CmDw9D1_5knmw344tQtwAOGmq7Aib5AA2QbWG0Pj7qa5Ac6trRNsMHn4p15hqbXd_9OF_sWB69dovhNHb45SsNpHFknzruVVBsS2wXei7Zw=w1200|https://lh3.googleusercontent.com/pw/AP1GczNzVN7zHpZ9zqCSk_NP5hSkN27L_IohkzyZIleTbH0RxVH3RC0ajTcNb3HO2WLrE-uSoPNrBIKs_5ZWjAYZx20JYhc-43FxD9MsCOCYNvTbRZq2Zu6C=w1200|https://lh3.googleusercontent.com/pw/AP1GczMlR0FmUsyWz7VpvONIJ1WiD50VugQjN-S2o1Y9NttdVaInTLMyd7zfe-BogXFfmZYZj1zqxSqsIRqsuhkvzh5lSg8Nc2-RJaEal-_EG2i5Ia3T0I9Y=w1200|https://lh3.googleusercontent.com/pw/AP1GczMVrTTkmSFc2t5a_tUpbKfJWw-UWhOkxL-6MGQZm_cROeDSSE4fl0bilRSgsEyr_uprkxdkabNtxzQQid6y60Z_fuX0FdwsQUiBR_wR3D9DSPqglnX5=w1200|https://lh3.googleusercontent.com/pw/AP1GczMdbf8nfA29-gSDUyxP7yA6Ctsw_VJLc5T3hF0uClaIyYQl_D_kAcvD4XSm8_lQD97MBGEWwqc7TtTvmMGq90hKTBdiaeK6Z4ZmriM2xAvbCoS22ZVo=w1200|https://lh3.googleusercontent.com/pw/AP1GczNilb8YS3Gx6zqoPUUz49JX3zgkRGv851y8vUPdJECEPCyEEfe1oFb99vEvQIR_Y2OtUj9ERrLh0lYmoNWLz1nVVc-RgI06R6o7X7n1ySm94nroy8q1=w1200|https://lh3.googleusercontent.com/pw/AP1GczN3XXtP8mr9E0vJqC0M_fXI1LAfjQyGbsULfkrEXMZ38AlfAchT2P0lrEyrZi7-_u6niuWKutCggVCstWDrX_v_5W8HIyS-fQLnALqeVZBmdiDGAmNC=w1200|https://lh3.googleusercontent.com/pw/AP1GczOa4te2X74sNO7wIoLsYwQIdbGMbOWgoJckrkG_q8HM_l2l1YnWrZUgsFkEM6A0j54B9gNlnXRJaDggtL0hrenX1rNxHNkq2EgZSxtskmbGmvjrh3iH=w1200|https://lh3.googleusercontent.com/pw/AP1GczPDnqrPKhKamf63L3cHmUf72Tm2uO76f0PuWH6oYueNYeORx0nw6OqAZuxtv-vPF-SHneNfHSzoDF43N9FZcXPeOHPpqsXZ3UQcj4zhPey9DV0cCbte=w1200</t>
  </si>
  <si>
    <t>453</t>
  </si>
  <si>
    <t>Casa campestre en conjunto Rivera</t>
  </si>
  <si>
    <t>https://photos.app.goo.gl/MMe6ZeHZwstyXCG47</t>
  </si>
  <si>
    <t>Casa con buenos acabados, Piso en tablón roo con granito pulido y ladrillo a la vista. Con circulación perimetral, árboles frutales y hermosos jardines. Escritura a día.</t>
  </si>
  <si>
    <t>12 - LEIDY YULIETH, 19 - PRUEBA, 19 - PRUEBA v, 26 - NINI CASTAÑO, 33 - MARIA ALEJANDRA MONTES R.</t>
  </si>
  <si>
    <t>https://lh3.googleusercontent.com/pw/AP1GczMQ-aKi6KFaIh2ozCfYb_N85NKB-1raXij6oM0d_26wDQfDu31f-X-605uxydauHnAoneJWAbWEtYsLPS-QPjmwP3XGGSKORsNJ-A-YVsQXi7WhcHEY=w1200|https://lh3.googleusercontent.com/pw/AP1GczNYn5P7ZTfuYqpi1p_-NTbF-LbVqO9wfGooTUlJgXJXI2eIryGthEERJjT_1kG23lZmyXFEMFaJZfTkiXmoOPVUP2ECClSMVzrfNxWdZeb5H8yUGKa5=w1200|https://lh3.googleusercontent.com/pw/AP1GczPYU_bB1VNsmcaFg-FW88GhkFwrilcMxY4yvNxluqvPnWWxuvoTy_Y2uUrRMSz5NZBSyDvQxmtEcZyfv_FQ-iZXbMVHhk2Rm1o5I5eMzuDE36NSbeW9=w1200|https://lh3.googleusercontent.com/pw/AP1GczPeX5SLJF2oaoZY-bP3AnTrpF1vnEYDZQg1Bh3VA13lBUV7Jzmsg72Ot07P918_yoFsz3WbgLG1oJHZrI0Q7IrUgH1pL_OOQl2vbiHbfSP5pBBzO_CJ=w1200|https://lh3.googleusercontent.com/pw/AP1GczN4IOVj_L_gwZ-hmDg1zrhzJOm_MiS-9VUKtsL-igG7jreh7duNKZXhLzFtuSMB70HJGuPeqeBgZh7QALclfV0ZcIWn7_Zkhdojyo823t3LDH4EMZeZ=w1200|https://lh3.googleusercontent.com/pw/AP1GczPsmvmMpivacbzyHq4v00momOfHbOuimhR7nLpCu4aOmaYERLV2WQhvm4Iw01XvQWQ8-dB7hJf4l-SK9OhodP-ut38OtLCiotiAvLFA6O-cZoc-s8FB=w1200|https://lh3.googleusercontent.com/pw/AP1GczMariJ6ApljN1sMvDOySLslzqJViJ-RTuuIk7nayxJ1JlsE79nvn_BbIhFXC7kCzpsyHYMdbpp0vjob_TApN1uppPA_rNGrFcJxiL0i8vm1qO0WEc0R=w1200|https://lh3.googleusercontent.com/pw/AP1GczMTkrlkUoohV8i8DNxXWw1Ev_sQC1rcHD5UZtck6LIL4uEICerS7eIpxA6sueIzGeF-igHnoLjrGRn9hGnRHoY-hqkeCdUdBjrwIGCNL6--6rvEYzv2=w1200|https://lh3.googleusercontent.com/pw/AP1GczMLg-cyT2nVP6zI1CQft7N47VQxqs7bnOboJ-_54qSS2hxC04RHiIjyfaTp3BoeNzbzi1skRA6yUgGrUTh0bYw2uRXlna1LJ_E62-qU05kM9qjIUy9C=w1200|https://lh3.googleusercontent.com/pw/AP1GczNSaNMH_ZMYnamV-1XTJf8lX10aIjbfo8IqsjwdldEfeurARQsYrBQtuf-UKKoIiPhDv0h0jcNu02o29jzeWCsexskBj58vnxAZ_EPaZR5gSWZy3s-O=w1200|https://lh3.googleusercontent.com/pw/AP1GczNVgCGh5vN0V35yao8QTkFI_M-ywO_Gv_1OsZJ6tCZLEWuObDwHLIzv9cbX2LgQS_-vn3fr0U7VAJpP_JKLkTupNFqsJmv_NVxpHs2If6rtMq4xmTkb=w1200|https://lh3.googleusercontent.com/pw/AP1GczP3ToSuySzVYvuJZeuM4z1ERtw3u6VefvLhYVxpK3n5HaYSeca3kNYj-V3DxdUrKFSg_kcJ1w0DnC3CbRTPwpEFM32704reIcwgrBIhPLZJwQOmx0nD=w1200|https://lh3.googleusercontent.com/pw/AP1GczOgVxQgPIADR81g0VWk3E-ooH10IDBnRjty-mkFrGLvhO-9Dc2qjJnsp641zpM1yC3F0zqTYLy8hR0J6jIrGYR4g13Y8dXl3ekuUbZsnGBsIsuAOC1k=w1200|https://lh3.googleusercontent.com/pw/AP1GczM7DYD2bf7s70_49JVGoWd4WdoJwuTuxpOqnz3h2tmMoh82uIonuoGa2T3_WozYZswLNNJ0AG0AiZmMTP3UE0uYtpwWBdQROh2QyYQiX3qOGlSRgLEY=w1200|https://lh3.googleusercontent.com/pw/AP1GczMM5O-TzrfX2HbJS9h9t2uTGKV4LEYccALmKmZPYI9mOUz_UgBsX7hauXpPJ-KYuDQeyHl-XpjacPtLzLfU4lterfFR1lU36s2tChyhkgtrJCEli6iY=w1200|https://lh3.googleusercontent.com/pw/AP1GczOIPr_eAgAI3C9tF5yVRpc8bDpASUYz_6Qjgq1Kg6wWX0jyeTLqZkN4cu6UjuJ1BKxo7-OCc5tMSWbcYqmYben25HvxDTl8CKFLDyb8LBE_FppNj_sK=w1200|https://lh3.googleusercontent.com/pw/AP1GczNRoyXGNOWlqdaS8ZztK0DAxxSFIFWCTznfMLPd_uiB-YU4t9kU8Z5DI88bUPKxNuU30IBjLRYlq_eNbjF64YREMu8q4qlfbFzpcRrwRckh7ra95htj=w1200|https://lh3.googleusercontent.com/pw/AP1GczMLGi-WD7HI6RUCOkthgeHUuNHuBZ0JIobjy1jRsSZH2BAT3wQMULaNqWUV22jTNIOOBetWU0NzdnMKo8f_mUECqTp1VlEYXDhwrDrkB-21XZ1aExgA=w1200|https://lh3.googleusercontent.com/pw/AP1GczOytWsvQu3wkqEbD4hYCipedblkTXFv8FLJfvWGgUTIh873KSYuEgV58NNoavzTqSlFVN5su_hx6tNSDl0edmpbQRVFNO0LBzu_F1_gzS2RjLzPeE6l=w1200|https://lh3.googleusercontent.com/pw/AP1GczNsTSitJAV42j2t3q1ibxvB-hFsYthlaCPDc-BeyYuoE9NN-XufzE4MfgQ3HS92U_S2jrbZI8rCpdvIYrrvIO3jHwjM2iNu9sMLcXQibRZ78FF1QbZP=w1200|https://lh3.googleusercontent.com/pw/AP1GczPmDo-CtRtjCMRrVgoFpok9azszP-6tA-zFQCWoejrscjO9lcgjUgV6-SJWfgw-rOuze8z7ExPgLmyyEWziFDwtQQIhvFw2XHEsU5C_BuSbxyF7mwiq=w1200|https://lh3.googleusercontent.com/pw/AP1GczMMY1oR_Gw75eB8pNG_13F-hVOkrI2P32D_-WFtOoNKTM491k1AjnQB832CylQqJae6q_W8Csg1UARjj8Q7UA1USAnMpTwIueJOSOyVTULj5KZNBISz=w1200|https://lh3.googleusercontent.com/pw/AP1GczOZwrsuAWAIqcjSVb6DDRkJwz2MBitKA8ao3WDJI6LEnRCzxtpXG35mZ0uJbwZajBlzGN_dh4rv7A1A7GM5oYA3yjvRbmJQlGrZ1bRU4goEelevPWiy=w1200|https://lh3.googleusercontent.com/pw/AP1GczNYBAzfFOujtVBWWbxEwzJFErqItUpEBhcOhZ6V21ianvSNj5CRFh-tXqgi9TrDbLAbvoLbkwYkm87gd2ufj-fMlgtS0JNasg74CJ422rZeyvPUVzdp=w1200|https://lh3.googleusercontent.com/pw/AP1GczP3nu-3rccyUjqf67bHoL2OgOQB8ODD99qhpU8idzz-qPEgx3TGHLBFZteLGvsSl0kfD6eD8kFdByYg0M3W3OV5FBKjCWvYVXmUakkMXG-1W7Ig8Sux=w1200|https://lh3.googleusercontent.com/pw/AP1GczN26v_DCVywqKFUk_VWvH1cHh5ZT0xEwM3AtzdOyKtioHUpiMJ_TDR2zs2WzzPRxt397FBjccFO6WhjFynUHk8aUrLcSlB632ALtk3TzWwKVyN5n1SB=w1200|https://lh3.googleusercontent.com/pw/AP1GczP8bC33OJYLmVyJUUumaWKwLzYkQWD5VhupvbwT25IV6Jpi11m2HoJhTCVA5B0QG__PzLQ2C3LV4hrJqLv1k2XCxaYrWJrk9idRVeTm0DYEM3LrvqU_=w1200|https://lh3.googleusercontent.com/pw/AP1GczMuEPGDMA0sHObxJwbVyrjudKPotzMWDlU96wFbAjKT2uopgGhLpdGUGZ2b4TiL2QljQe0WDTfeT4WCB0g9ZHE32bSuSz5UlrIYB-l4gbtzZDZMTCkZ=w1200|https://lh3.googleusercontent.com/pw/AP1GczOlNdzmKs4mDv6nalMnPxi9HbJYAMPb0BtJd0b70CI_liqLBeur7UJnURiY_PU9_LXazWDDDrm9Q6Du-WPpf5hAud2PZT0zKafgwR4AnhNqCmbA2ZnI=w1200|https://lh3.googleusercontent.com/pw/AP1GczOInAS13RQ9-HeoUNoMxtJQed8o311w0j-obdsRxCkt2HX3nWDXqDuKD2i1_lLSfmI-dq2x-7BY7DCgqtyPqNlWohEEtLp4HM7NMCK94u9qDMAhh058=w1200|https://lh3.googleusercontent.com/pw/AP1GczNSGAW6N5l7iJfnGH4swsP9B-8yL0BDcjUlN4u2YFeWw1GcLKXoemFTOx7xqfFM5jgwoqLpXzIT8R0jTgOtQrQcDCNx-SRo1sGMDwkjyez_ZzFhJ5Op=w1200|https://lh3.googleusercontent.com/pw/AP1GczPNvCbxIyQUhdmDt4Egb-ntcRDZ-rXScZ2jfLBhZ2PC-vgmilsOWI97UKO7PxweycutnDr8AuSNNUi4kaGvnRQURfulfc1ep7q5ZhTfjoAmcBfhyx0O=w1200|https://lh3.googleusercontent.com/pw/AP1GczOvBZDO-5BbSLwzYPoHnSkHJ36zOzpDh2m0hHHgNJZZpWzuPYJCVRTfKvEXasfLI8vzmil6YaYUZBh89I4YwiQU1beqDEEFYiarTQfoIlqxHFiTtSnF=w1200|https://lh3.googleusercontent.com/pw/AP1GczMjWrs5mpD_nJSxV-Za88rMxxCQC16yBXW-yKN9Y7_pKR9GTEs8dm3T_9YSsINZkcAwGg4mMGS9Tcy7pYLcJt4tGYDwK22uv8V6rpa0aL90TJXSJeJY=w1200|https://lh3.googleusercontent.com/pw/AP1GczOI9Q6xPs0mETxDBbrDUeYCyeMgdvvnm7e9v764qu-ag6ciEihva_Vmj6ke6Y5_mJP2CxK_inCyQm9L0sQfo2BMuVLhaGuXctKVmCU3RQlRTPtU1XhU=w1200</t>
  </si>
  <si>
    <t>252</t>
  </si>
  <si>
    <t>Casa Rentable en barrio Altico (IPS)</t>
  </si>
  <si>
    <t>https://photos.app.goo.gl/gj6DoSUnMU6s2xGcA</t>
  </si>
  <si>
    <t>Casa amplia, ventilada e ilumina,  ubicada sobre vía principal  carrera 15. Con buenos acabados, ideal para oficina. Escritura al día.</t>
  </si>
  <si>
    <t>Comis. Jessika  ok  50%</t>
  </si>
  <si>
    <t>ALTICO</t>
  </si>
  <si>
    <t>12 - LEIDY YULIETH, 38 - MARIO MUNAR, 33 - MARIA ALEJANDRA MONTES R.</t>
  </si>
  <si>
    <t>https://lh3.googleusercontent.com/pw/AP1GczOq9JymTZZalP7fQ_c1n3y-2GlkkvNP85Ep4j8KZPSx2qYXa-pdwAidwitos-ZNfxbpp3yO7AQzXdhYHEXaHaFlUphIhOAWdw7EnPk0m9ZH0vkT5eTX=w1200|https://lh3.googleusercontent.com/pw/AP1GczOCmZqMWmdEpE1u9__y-3gklJwNRQTMxirPuKBY3HiFfwaQm0ikTMGKfrSQ9QU3pmtuTy7IuU18GIr9pibHIkqrvlF9KX0L0MoXJEWmqKLO6q4hqDEk=w1200|https://lh3.googleusercontent.com/pw/AP1GczPDsgJNSPR2mJoYBJAbQ4Fqt9P8AhM7hfCMcdcUPjI_xqyKttipqh1vMiqcceHrCqNtstKzayvldfltxkIbe4vj0gcJM-TPmaONo-D8mydtr-hh-Oe2=w1200|https://lh3.googleusercontent.com/pw/AP1GczNKlsdywup3KvG3R68q6AzlrnXFF8HC6e20qc1Tj7wkIyvS9PhdDQcBV5a8O73-oNc2zaZ4mERtw3znmHvOIVyKzXpXglzWYJ42zy3ze2my6mdKvK20=w1200|https://lh3.googleusercontent.com/pw/AP1GczPv_hdapwQ7AfvHMAF8ZftcNSbdkLFVnQBxobDeEvUbpyyicedZwUxN4plvGH5Aju-iag1uSdyc6BaZo0Bt5i3exfDR20XJP2WxJY-242sRGzBuEkca=w1200|https://lh3.googleusercontent.com/pw/AP1GczMmr0Zfp17o8E_9LbcPrYCh7tZ2TwWYk31Z_yKXrHpNoROzAmd-WwRLTfDjqmUdsWQIbq_SaWdS25J_VUxrbZBleLpLTGBiu5UdfgvjwH2CVXKEcZRI=w1200|https://lh3.googleusercontent.com/pw/AP1GczOUva9orWXIyrLA3M-d4diaS-pTcrxdpisThGBjrfsL0nNgNeczTGIBZ_wkE8SeJVNw3qTdVmJGpvgT2LI7XduUevthD5w5rs_WCst_awSvBaf_Z2RG=w1200|https://lh3.googleusercontent.com/pw/AP1GczMcsG93jqO-2oTKhDgPpUROeUogvxU1ESsEHlpFqND_mjSm7KFGXxSds1lU7pvEI7C0tZauXpVBXEQgwtdLXg783XbEqem_WulUD9OcjXBkq7IZ_c7r=w1200|https://lh3.googleusercontent.com/pw/AP1GczPNqW2n6jCqQVjwPOhvXzWKQcZzABLiNkMnvZZ19kWI8cfh45hld4W6n4TSCZhT1CpbKW2GVTx7IMGul6acRakU3ora8ghHmQsTjdZl-aHPkjQQ4WdJ=w1200|https://lh3.googleusercontent.com/pw/AP1GczMYxj6TT4_ajbQCOXPrK8lI7sPExmMeYHroWOAhP2vz1dRNWvSUfzrOWFytZFu5wehbp_GVpirwOSziGATcPKrr7D8FMKdOOv94mw8UQmKU6yIb6Dtu=w1200</t>
  </si>
  <si>
    <t>472</t>
  </si>
  <si>
    <t>Casa campestre en Rivera - Vda El Viso</t>
  </si>
  <si>
    <t>https://photos.app.goo.gl/DjZqiejUSF8iRayE8</t>
  </si>
  <si>
    <t>Casa campestre, ubicada en la vereda El viso, municipio de Rivera. Cuenta con piscina privada. Buenos acabados, ladrillo a la vista, piso en tablón rojo y granito pulido, otras áreas con cerámica, Cubierta en teja de zinc, con perfil metálico. Hermosos jardines y árboles frutales.  Escritura al día.</t>
  </si>
  <si>
    <t>Comis. Juan Peña 50%</t>
  </si>
  <si>
    <t>https://lh3.googleusercontent.com/pw/AP1GczOj-uMV0iKP1drfbmT3AidMJniwBPR3IT0jC1A3qgpVXN3bY409dCLU4qI97Q-2F7dgQDUPqIIlMn51XNC-3nKGzpODfM7VTT36zNiVQ-Yvngm1utcl=w1200|https://lh3.googleusercontent.com/pw/AP1GczPbnwM4on0dahW3a1flwPyET1zTumZEnlbtuK_fXATtRglmuQC7oNz2DdvdKMpMJMeixL_gFNqOuXAfgj3-4hq32pgGRrNKGd68JK319diCNulxdlum=w1200|https://lh3.googleusercontent.com/pw/AP1GczPtMHPXN6AZaoxMDSdy2-o__Z4gPDs0USSoAtyDqmq6J8joMmnQVhHf1tNb2UZKVoYlEmZOnFGyiL_eZ34jMnlSFVCB-NNOwdDDm0ePd4W0l5ef9RHe=w1200|https://lh3.googleusercontent.com/pw/AP1GczOke67N0gzdvKKqobQhT4-8r3-4i_9ZvTS0pA67P3xEXpY1_emecqVnLzae6f-5hPcNQS68PgCl401OP0ZXaO46e_1ej1piwHJvMgt4VR39AnaO6bYZ=w1200|https://lh3.googleusercontent.com/pw/AP1GczO4e3IjSN_VXZf4OAjYMUsmfk4QgbfVjOgStnCBn18EtAAmor4XZjY8m20uZGnwgyuR_yeWUCvxFEwJfFzkTtsryJqVis7EySrm3fTz77EghK7IUzeM=w1200|https://lh3.googleusercontent.com/pw/AP1GczNTk7DBBDu-WR3G3ViG0bCTNFi-P51YPU98zwBvo8Iemk7teV_72QjAGJRFvOKydkzZiaR7uYYgio0AfRP1vgLGFLJVDj7lG-SJVjeVuM2U5o_8SfMs=w1200|https://lh3.googleusercontent.com/pw/AP1GczMCeAXTp_f5AJT97bw82tO2AaPP4LEp6RjfAnnZixDgEf54BTA4jbGTVcKoGb8TKurg_WNSs2Q7s9Fp1EGht73UUBN8MTHNJQFsWbyrN-6gFrcYfL5c=w1200|https://lh3.googleusercontent.com/pw/AP1GczO0a6IyM21cR7Fq9fbc_O9I6Wd_y_ueuX3906FEAZmj1vntxeK_o8m8GC8byMEWnqeHiCvmJhQE9by6bWaVYphpcDivxrstEyKxOMv8LUy9LQFEdvkp=w1200|https://lh3.googleusercontent.com/pw/AP1GczNv7uMseV0x1-UY7bjAUdi44kD7LXro-OaobdhDZNov5UONvsChi9a3o7YgyOoPPXMlmwVkD2ZjMrcEeov6LO0Vd8X-ZNfSUObZ1j6EaEKLiMF6nEGM=w1200|https://lh3.googleusercontent.com/pw/AP1GczPrnlWhzGsAJoh6H_NocwacGQf2bSg9ZZKebDCjulNuIe96gMBCBN-iF-kBEN2O16TL8ucdvyPLXAif1oZ_mpuNzQ4Z_hU2xEwoePlXa-A4hZyM2_MT=w1200|https://lh3.googleusercontent.com/pw/AP1GczMw-pXg9o_FlwFGpU_CZ68Y1iCZoPykz8hfu65HPKxIYAEOKPY3Njzww0x597cSVZQNx411pVUBIsuFIKYs7I9cvKN1WgLZcGmvSGqrbQHXbPQ1Wws8=w1200|https://lh3.googleusercontent.com/pw/AP1GczN9TJ5CSEiwloKqDW2e8PS3_m8zoR2DCm-ozndMG-W0pscnbkoIWBYNCjvz2Yh2QeOsA7doDZVDRZ1e4_H6Asfoex8iOM__M25kxmbHWXZ9UeRj6cBZ=w1200|https://lh3.googleusercontent.com/pw/AP1GczPMH7FWedlbM0naB980GbAAcVjz4zlKDy3PuMgnKUpdz37LhhQ0XUdTyc1zSjYVbf1FFjJZOhncSFjCRTyle1GlW2V37ZRjWpliQR9JVq0LWWn71fMZ=w1200|https://lh3.googleusercontent.com/pw/AP1GczNP7oq3rghXMiHYcG53elXsLu6fwWsBQBbN80ANSKkqn6pRZ2e5l8j6M9JwlPgcJ74YhTSvDh1l5oQIBGFpEgofDD-WNdkhwZ2pOBoxiP-ZheLfzuFM=w1200|https://lh3.googleusercontent.com/pw/AP1GczN4m-ZXC-wSER9B4YyyJJQSZv6iA0tm9F4QIqUx36K-dfRPcE1UQour5R1LYpkV2MiW5hsSWGB_BK2Zt2pWDg9DjzgSP8aTQTDsOZAc1ixw244dbmi2=w1200|https://lh3.googleusercontent.com/pw/AP1GczOJLyQSiu55M4S0xkLsbAldmZpjB2duSHuuzy3HE2DJPBRYYbDZWMvYLwZaZNMszs_d7H7GgzHIfy7JOX3AAjp8YXxZbjW4gHabqdj5c8nZD80vYRhP=w1200|https://lh3.googleusercontent.com/pw/AP1GczN6LH8yP8aVN7_MFk1pG23ftpmRj-T84SQufp0pnMUhGUVd9qWDHyD5HA8qsp29NecPBJxYmMoqKQvLRdpDJ9b7fhM6BGoqILPu-AKSt8pDj0390kL3=w1200|https://lh3.googleusercontent.com/pw/AP1GczNv7AzvTuga9C-M2oRadMAVsWEC_E0_KO2eFnIqjCRMI6dbggoZPELf43IArraUxPw_MeK9W0SER6KpDrLU2qX1rYoejdHnQIGC0ynkVWSm8_f_Rp4R=w1200|https://lh3.googleusercontent.com/pw/AP1GczPA2CADXY7MAY-aeeR9ToJyvJTy6ex8Y5NwlHsOxDEImiJ25c6pMJr8MU4wljJRu-9LJ0cRfoTYaZre7WJjZHdd_IrnewkGKeUDTCcoD4ZN1iWB5S_P=w1200|https://lh3.googleusercontent.com/pw/AP1GczNNnSrNKKI-ZA8vK_NKLoguPRAMSwAtwySu1C6fywjVnZYV8NiXAM0PeO5evuIN7NbbkqLruBCtLz84T5G8Aadz--_r-2YT12HtRqI0Pjd9jROJfzpk=w1200|https://lh3.googleusercontent.com/pw/AP1GczNw3VxHTrJ9ii5PSfC9qUQdoXbOa4u-BikpIPNvMbjqsMD0l2TCxNt6FCTAHcy0DPGcZzD7yAYoZ9G3VIde31ihJ4fqamp6oJO64OAGzXAia5OiRHhY=w1200|https://lh3.googleusercontent.com/pw/AP1GczO1pQlh9PX2h8Vs4YFExWRw7nEkoheaiWmri1mQPn3xJPR2vS0Cvn5YxK4UujMaZ_qiqxXS4sXaMT292t1FPjZMXEz8qSFWuXgUdRnI4L1oE9pZmJt5=w1200</t>
  </si>
  <si>
    <t>066</t>
  </si>
  <si>
    <t>Casa en barrio Calixto Leiva</t>
  </si>
  <si>
    <t>Calixto Leiva</t>
  </si>
  <si>
    <t>https://photos.app.goo.gl/Fer6Nhs7P1Txjodg6</t>
  </si>
  <si>
    <t>19 - PRUEBA v, 35 - LUIS ANGEL VARGAS</t>
  </si>
  <si>
    <t>https://lh3.googleusercontent.com/pw/AP1GczMA2A8OHpbLgk3GWK4THVtZUsKnG9QOyFGQDSCyW1wFHLn2RyqjYBRtiUCHlYPyyKq2h7Bf0pFExNdauUWgLru95Jtsdxqs7DKQoueVVioVtxLKxPYD=w1200|https://lh3.googleusercontent.com/pw/AP1GczOIPpwGuDwBtV17qaW7oQudaJByL-C452xiqPls7aTJHmM7h7843n5E7_a8nGF2KqTb64N_wJzRujkSsb_pGWJypbxa3eGGlOQDzAABsJwrK0KOLahg=w1200|https://lh3.googleusercontent.com/pw/AP1GczPTolPctYvw3O6shQfIJYU4TJzfcyh5TZAFdz6xZqKo9lqcDnE-7f_LYxXlGqdF_qM5aUZLv4G5GcujSTgAY8eS-5sLIfFmeml7si5ugNEpsqHfU196=w1200|https://lh3.googleusercontent.com/pw/AP1GczOW6ZGlzU1PUqdCqx2IBJMut-2NEXr0HMBUaBF7BijPESTWYzbkGeeQdDNiJcsKXppuxy6KfzP31QVN1CxcO6Pibk1A0OADe5I9sw5HUdA084TVJ-xM=w1200|https://lh3.googleusercontent.com/pw/AP1GczOfABzBCB8be1fGFAnEeLH_hOboYW1UPdCh6XiPYFDY4GSPN5GcJuomhLa9sq32v8IuCN-LpN1FLinXA4A9kl6mPd-HStRI412aEHRS26hTmEse6EL-=w1200|https://lh3.googleusercontent.com/pw/AP1GczPRBpO1RFuX7ZvKOom9B8ezZGmngdyJL6RUUkrOL-NfA-pMCwmv3UPqypCUCG4UXl6UfXtz88JQW1dg8_sbdXqKMhVSD-U8b-vXQuPJVnk4yuQErjAX=w1200|https://lh3.googleusercontent.com/pw/AP1GczOcdu0S0BqXManacjqbFJE0l6ifsZuYC_ZVdsl1DZEdLd7HDN1nygFRy-wP7P8a56UzR0nzUWh0PTtq-Mz9H37ne5eX0SWP7jmCa8fDHzDByYba6E1n=w1200|https://lh3.googleusercontent.com/pw/AP1GczO6MpsOKGx60USQ2h8eMcza57HipiLLqcBeOjJBCyLbopktXddHlp8KidWjQRjYjqQL-yfk1MrH-QO4ST19WawDtv2w1_t2k1RdprlYmvqu7-0Yuhg-=w1200|https://lh3.googleusercontent.com/pw/AP1GczP9mbhYQ0n0xU7povyUiOSbVgOHj6ts8Kk3lu9c3fryJYQgCraZs7dG5oCv4LUIDkpbbZMA8mCEnphNkejdGH3y8i9V7etxOG_O5pr0gK4i8qIiaTIB=w1200</t>
  </si>
  <si>
    <t>052</t>
  </si>
  <si>
    <t>Casa en barrio Prado Alto</t>
  </si>
  <si>
    <t>https://photos.app.goo.gl/ubxdDrrUZ6C8nMqu8</t>
  </si>
  <si>
    <t>Casa amplia  bien ubicada, con buenos acabados, mármol y madera. Escritura al día.</t>
  </si>
  <si>
    <t>https://lh3.googleusercontent.com/pw/AP1GczPKkBxNDMTr573CkHBWscvZLZuQwQSpA-gr1zlZR37uJXyTUFu8djiGaCd_gU9iGkzfQyDqMh3viNX0KbdhCWp9ERGTjC3bgozwMfEZRTIPyMCq0XO1=w1200|https://lh3.googleusercontent.com/pw/AP1GczMdqWv2fR5O8NT86DQI73BGJkpMsq4Py2jM8zTRhJG85lRRqz-i9ekKbbb-aHM-F8IUnqsY7uTfyvpvpiVKwHj02wmrbPjRHLAzkXZGQubVS7dk-1Pb=w1200|https://lh3.googleusercontent.com/pw/AP1GczNhLT5YRIUw46VEiIjG8KkrizGp8r0pO0ErZ8r03AFWFhgu2aUPgz_a2ax5b6lLwJFLQQDz1uNv0yvA-uNZ-P7WGLzmOzk7QC8c_XAhHgQSIP8D_sBd=w1200|https://lh3.googleusercontent.com/pw/AP1GczNs6jAkzX43hBkWVjhn8OHTSjxbcQ1DpAF9qEIC2DoW00Zm4WDglWwe0J3w0eQvfosq6K4ZfIb3Z5F9O_ZIj6zcVV2VgenM9IZioT_i01ebwlWOlINF=w1200|https://lh3.googleusercontent.com/pw/AP1GczPta5BYsmJ6W9Yk88ytmPj9qH1BRjm332wPJNJhfxB9l_j1VZB5wb8WMT0Zd1BqDCZxAngT3XN3EvcgyMHM6QCJahVK10BBfjW_pFVVgk_gqvKxoZna=w1200|https://lh3.googleusercontent.com/pw/AP1GczNXoHarsZKOngupxanjZj5GEiCIVss_Ms-15g9NL1cLIuRT7nqbEMNNeqWDi3hwNEKhfx9in4QDhiRlYakOC-byYAD-UtZqRGbCUURLcre5YEGVltPJ=w1200|https://lh3.googleusercontent.com/pw/AP1GczNUhS2qPcSpWl39LwcZB0JJMR_3RguFOJgX6aLZjwoVKNSaShqVJnrDwTUObSS5EHuTC2skMXGsVKcSSQ4IT-YVvhOb-7wsJDL49IlAjIHjSV6pJlCI=w1200|https://lh3.googleusercontent.com/pw/AP1GczMpE33KgUHzFRM5_MkmCL36ftAMrPQxK0JAQxD5013idAJv0_NCWdM3pQyIHQkaBvaUM-ClYRcKehTf8vrfH-20kUXR8BV2c2bNWB_ZvQPnFImWXRP7=w1200|https://lh3.googleusercontent.com/pw/AP1GczM1DnLEfGjPB1q17HE6Ne8QgUI8_Yd1gIB8kTXfK8vcOQplI-GyR0ve1gCLB5rv6pnO9z2DwlfWTykZGnvtRTJIm1C_cVjsqtAxA33s26LBULFWIxLI=w1200|https://lh3.googleusercontent.com/pw/AP1GczOpRJt4h4ilEUSebABPGoBtJlGlM42ckBJZEiyzZW1RkN6UD-pLOR2k7bQq68Zte561kOMh9f6sVjQ2OxdT8-68l8FicFeTznU7WAhMnC9OP0ye0j5_=w1200|https://lh3.googleusercontent.com/pw/AP1GczP6YbMqQbIUPSg3TM-ZDx09qrzZSIP1SpLHWJI0kOPWYlNNzlKTaeEKzxMbzDDmNwmBRHsRdJKND-jTuK2DTDg1UbBw1QenRyxO4pPYJcA3L8lpejka=w1200|https://lh3.googleusercontent.com/pw/AP1GczOXm2-gDj5t6O_QJgyQYCVthe7FK_l_JrIAid5GGpzwcO638WBLbKMsscWVWUzA6vKlUYwGvwBq1Eooh87Jw_RxDoywVMBpiYiZoZ3JP9FJCHMwFZPt=w1200|https://lh3.googleusercontent.com/pw/AP1GczOFKl3o867tVe3cX9gvy7ORhA-9HTklUeIXE-WlPXa6S7_STeEEIPY-Dq1z7RYkPpG8IePuRmstN81DfU0eioh7-1RQNxEkoM_pTjJGmgar2Q1EjaRX=w1200|https://lh3.googleusercontent.com/pw/AP1GczPQMLZ3xq8UaQcsH0jAYgjHPTidpS--41mVA0NMh4pvfeTQa0uMUVB-DNSt6L6aVHbq0qqu5zs8IUrLCXvAeM2_nf6Td8raGnXjtl-1NODovob6TDOA=w1200|https://lh3.googleusercontent.com/pw/AP1GczP9131Azv6oPgXvV0r4hTT5IZlkt-Az8hVKaKDtCSnDqIqKcANE6pPbpO--XYmDpSx2Dek2WPmVnauNTPy8M0ioKw8KTgppnir3YclV6S_amrEfI_r3=w1200|https://lh3.googleusercontent.com/pw/AP1GczO3PahawNYdRkD9H3_FX0zTwmZWpFE9abOGnB4uwuvZGrpPoCtyQKftDvFEI-CFVOyyK25YT32R9xSVO82ZuIO6m9tSBOFooxRzVv8lY-VVxvHpdudk=w1200|https://lh3.googleusercontent.com/pw/AP1GczP6e4MwWdkt20iNV0DYLyg942RpU07bcOFSbUXyGRLr9mb2heCSxxs_GaQwjVFsFT9VjKD45nCyUzvoss03IXy9YLdeqcOe5_7JqWB5B3stQknKBYH1=w1200|https://lh3.googleusercontent.com/pw/AP1GczOL5o5u4Ie3TJN9B0mblzccFnwbdyi3k5Q-GaSPUhgLvStFCAs7Z15Cll8pKl1EN18Ar05q8LiQA97J7qDcJSavScK36mUQq4fBYAn-vbIEpDkKYrBc=w1200|https://lh3.googleusercontent.com/pw/AP1GczN2TgdTzCCeHsI2txnM_q5ee4JsOsLAXM-KKzWJ3w9wGpcjIBoC30w6BKxAy8K8kEG5zcJXevFsl_Lo9UZqVA2OcJwlmlqQVwkOmczYV2P8Ki2DaGBf=w1200|https://lh3.googleusercontent.com/pw/AP1GczPJqj83dAdi_CTPB2GdpFZZscKG1dXRQJoK29IndJpDGu4oUwgEPqtwgP9yXq_z4Ho89lLHuCrPy9y8eVPY3xq6fd2XwNuXr6v5WD1NRSXvnDxLlZwZ=w1200</t>
  </si>
  <si>
    <t>143</t>
  </si>
  <si>
    <t>Apartamento en Bosques de San Luis - Sur</t>
  </si>
  <si>
    <t>https://photos.app.goo.gl/oVfv6e3xxzP41VXa8</t>
  </si>
  <si>
    <t>Apartamento con buenos acabados. Ubicado en un 5to. piso.</t>
  </si>
  <si>
    <t>Apartamento bien ubicado.  Parqueadero Comunal.</t>
  </si>
  <si>
    <t>no aplica</t>
  </si>
  <si>
    <t>https://lh3.googleusercontent.com/pw/AP1GczPWv1rHz1HYxh1GnM-2Zy8bztZKwvb4Gi0kQQDtJGMGrNJuQ6L4Z6NvBhfdbW136uy4SHRi8g0MnAzl70zQtRkT41LM9wbXzWZ4eYKcjy7kfJ6FmoWX=w1200|https://lh3.googleusercontent.com/pw/AP1GczPAigXv3jmA3ks2j3vCGmmoOlNvqnbsyOLx7BfVscnHAjGtrb4mv4xSLOCixB8bgCUvCG_CAemqc9_xJ0NAt-jAixyDMJcIjYGXxzFJgECrFq9DnzO4=w1200|https://lh3.googleusercontent.com/pw/AP1GczP6WDKqgkUYZ6YJoFTF2Tan9gWd_12oa_Vs9Ic7tHb9yNqVbrNpx3lSquT1vNC7idDRy6gwmBshSn-t--9KrYlKozlG_ylGpOdm1AmNCdDckc9SBQu1=w1200|https://lh3.googleusercontent.com/pw/AP1GczMeuHDfkAQV17Km4CYRRpJAr9O1iKdrrXXDunrANCvLni9WfqHWAUjwgnmeAi_e-dz39TX7N2ROjPCSCk2FAKyciyAEOf_0pbEcAcn1F5aNZ3Lf2jrf=w1200|https://lh3.googleusercontent.com/pw/AP1GczMmiv6tP5leAoKZSge0JzHwHJdeJB0MNB5itNtUSUs0bUELwgJtuW154JSnDgbd3C97tLj3yK1UY22UaYIleU0WsBoPvcgxktW0UBvimXdLPR2mtqWH=w1200</t>
  </si>
  <si>
    <t>448</t>
  </si>
  <si>
    <t>Casa campestre en Riverita</t>
  </si>
  <si>
    <t>https://photos.app.goo.gl/NyeXW5wEAex4DmTj9</t>
  </si>
  <si>
    <t>Comis. Ma. Cristina  50%</t>
  </si>
  <si>
    <t>https://lh3.googleusercontent.com/pw/AP1GczMTKH1EwJSl0N0se7KF1r6o1i8_27EYB5eOha9tguBFEp3FfQVWGNQpnznp-TYL7ZTHANUVaJIazPshCVAjkKabuy-Jb22OPB5zuxLf8BPbeyqikP9B=w1200|https://lh3.googleusercontent.com/pw/AP1GczMeZVbrrzY1_zMUKk12shCXSENxGf6Az42diXwjGEP6ZQgMUnxQ42kiFYtTnBSfQ-BnMALrntipU4mHSeUmKByNYRiga6argkd-0cIXvgf945FftsQQ=w1200|https://lh3.googleusercontent.com/pw/AP1GczNKhaDhuTJY99rIHZANqKC7jDndYORAQM6GEci_ew5f30eZ3KxWki9aVoOZBz-11qGtmTcOxYUGswUtwAK0BoPY9WGgWO1u9bpjjsiREFd8KTDKbGRe=w1200|https://lh3.googleusercontent.com/pw/AP1GczPGzMZLPLI1a3FB6vfzv5ym1PDq-zofrXcFZIO2Mh9Pp4U2e924cRRFIY1tdAcZs4xST9CyGM1SIJ4lxgaA6DUktnug9n2h3v5ZhspoNn_YdQlVgfY2=w1200|https://lh3.googleusercontent.com/pw/AP1GczO7Cpye4ENy_oZjUqWOanALLMVl-zBPgCAT99V3QhnMS9wigPNRCSoeSbwxOGL3M3FwjN0_NOyUwy7asNrLtJY8FeGOt3s-fbvzC9Zcq73TQgmhfPaG=w1200|https://lh3.googleusercontent.com/pw/AP1GczM6uW5oaV3qfydiUKkV4eEocGaSZlIsFGR8LzTam3nqYS0uU7H8UjvHLfVQNlOfbPYcaMboc56Dw2u903YAeRAhunRExj6xoyt_p6i35UiaMpDNZRG0=w1200|https://lh3.googleusercontent.com/pw/AP1GczP7CNuvMtnYHYQXEtKB2YKjB9pw1US9JhhO5aEEI_OEUIfWIVbTSnz0gQzfC-91bAE6nmwhD4rIE6ge4l-AIWWQinFtgNbm_TeLeBcUGwIoUgbFbSxN=w1200|https://lh3.googleusercontent.com/pw/AP1GczPVJIjnbCsbOlBAI-Ng1OCqLwn8IsDuIgbTkegH9L5x76WuK6x3vO2lmK3oOMlDbuDWmqXq-OyuC5zS1-RzF0Fs6hdzxuIn0__290hWngyGeZGjJ95j=w1200|https://lh3.googleusercontent.com/pw/AP1GczP1PJce-VcOTVvYok8VljNzYfNyWqLA74-sq6kA2PJvZ5CzhusCpRhB1eLRHBNh5168gDTTW8XWVukdQ17gFMQkeK_BEiTVBxYfWzZRh8AJlgGDWNFk=w1200|https://lh3.googleusercontent.com/pw/AP1GczP5Eyx1TONCvy6_Zyt4GqK7rHwerCr9lRRgBHFslVR7XXi5Qm8dvhE602fmEfsQiX7YJjI6oAuEACeeu5xqWzn3O7v8mFsV7cQFZTkc03kCnBdjrJIw=w1200|https://lh3.googleusercontent.com/pw/AP1GczOoHfV7tbQRamfIFz0DhAYfGP7pauU28fyjgIb_61QgsYv0XakoHtLLXIzynlL7UGi2u1MVwfQC6YGCZwDQtMG_BhnPTR0vsicHnqCuDfH7-Tm6Uclr=w1200|https://lh3.googleusercontent.com/pw/AP1GczOiWf4aMXfdsSarqBKXo7yk_KPzBFSFvqw898BzxbSzc_nf6J2vsMev0gS11FRmfjNtdCRTZR_ErNocE0TSJtJ4ocahel1HrcmTiUIIMNtEgPjvCu0d=w1200|https://lh3.googleusercontent.com/pw/AP1GczMug7GCCumtPf_pc0isO_BDc9URr4t3zTD30uPUYhxe_tzXmhU4GRYOD54UXGY3d1mPyj2Q3ebpsT7DTaicNdhgnTIa8C6Z9fexihczWmSF9k0WcaGb=w1200|https://lh3.googleusercontent.com/pw/AP1GczObiTrLAmsDWIljAhs34W6YpXrFDsCmdATf0uKk4qPx7jUB4_5f4N8Q0s1WvCnHf29IwFxr7tDDbKOHIAioH6UeUaBHBpRPu6uxXudUtD8r_NmVB651=w1200|https://lh3.googleusercontent.com/pw/AP1GczMWYLx28dDXdUAtxOawAEaf9gUCFa0K7aBlwRF1GsuAHitDEnzcAW7cuAaDfvuBJzqChqX5TWH3E-QFESLEwLN86GHDRp9Jbh6hC2iOBfkAgTAT56km=w1200|https://lh3.googleusercontent.com/pw/AP1GczMP9dkBJ8Q9LxR7HWf965NEtjxjHMqXDx9f3sUt2RJY8utl3oJu01qYkxigcr4BCqH0Wk4r3tSLAit2glcVfL-A2xGKqMi8h0g_bR8MRF5qBvIc7tRe=w1200|https://lh3.googleusercontent.com/pw/AP1GczPz04gyHFnxH0rEQtMvtXzxQRk6hemvRhEaPsq86acPFAO4ChJ6EsM7Ph3K70cC1ibizFDkIPJ1IeZFIs-qxLvhb--If4uAP6H8r1c5uV0-XbxJ-4jS=w1200</t>
  </si>
  <si>
    <t>454</t>
  </si>
  <si>
    <t>Conjunto Campestre - Palermo</t>
  </si>
  <si>
    <t>https://photos.app.goo.gl/iHmEuzZ66RQ31E6g7</t>
  </si>
  <si>
    <t>Casa con diseño volumétrico contemporáneo. Todas las habitaciones con balcón. Buenos acabados, piso en porcelanato, carpintería en aluminio y vidrio templado. Área de depósito. Escritura al día.</t>
  </si>
  <si>
    <t>https://lh3.googleusercontent.com/pw/AP1GczM24rM-AX4w_vwfMP3qhPd-Qn5kkKOwgvrDKi8ogx8foyS4BHQYdLUvkoVkclV5VbyBOeBmVv7YKAS8VUTEU6rj29BNtcxcbXnjVd6L1IlhjgeBmHsj=w1200|https://lh3.googleusercontent.com/pw/AP1GczMPM4lZtwyLjb7pgPR_iwksucSEErAvFAKCP66xTqq2GfgKUMQUF549siCH-VXJ8mDpUjNHuzZ6M9_jWGmRwMTPi83mmri6amIwLYL-X6J9UQuMCEvj=w1200|https://lh3.googleusercontent.com/pw/AP1GczOxYY-VkjOUzS2evSB5KdTcNBgO872gFy35GaOmMR-QqIWjz4nfByfTR45c0OP2pfql4CCZZ3_aVsOrCrfm-6_nJvE-fJU8-VMwuoZoba2iUCupmB-A=w1200|https://lh3.googleusercontent.com/pw/AP1GczPdjyd4P1V_UA9QPwu2VsF4VbaX083yp-Lv0srTqOstbAqbh1fGjLFF8BfuhlUZboq_OMN4k4GT5Fu7WV71n2eX_20_L__tbCwlyOi2hLjEAs5WgYTG=w1200|https://lh3.googleusercontent.com/pw/AP1GczMbulsLM3hLUDNUYjdZ_KKhHbY-zR8B2h3jgbNmbEA4JsqrhZJqVCsyTDYD4lYZ52twCV-Nrw1aJEuNMN5gHUzsIbrAVRvBxx2ytwK-Tn5MTEDo57U0=w1200|https://lh3.googleusercontent.com/pw/AP1GczMd-h5U2mBHagUNtcPDpEng0uUOrVNRaGTgHYPcDG8SlDsITuo7ReNb4bA5xFPkZZRFj9WjRhkPyuxaXK6YE2FZsQFveWgYAi1hP6Nx5GJcFYLorjVy=w1200|https://lh3.googleusercontent.com/pw/AP1GczO3h5QFkEByazV6cNZ5-hK126ROCSiBGxC8-OoI2y2fh8hn_xgLhaSRfTxyYGPfl8NSjoU0T3xOFqL14pvZM0jo4HGZ43fpKqQ2eu5-S2B4hGU5GVIo=w1200|https://lh3.googleusercontent.com/pw/AP1GczM2wjurBMhT9gQLWe0DGXNQPMDnKMvRPeJP5CYk8dTQEdvSh-r8WK0aRyszAhXR_MQMrJIhKHniYmovOySVFGn7dbxSByN3vHJMa1pvsA0-zWmvq9Nl=w1200|https://lh3.googleusercontent.com/pw/AP1GczP8hW99hyhmT3svTMDz9oRUd2-YIjYTjfwXkWuLlWASXCWi6KKgD28RPbxSleluSmuLFhptkmp7COBUHnVbEXIh5HrGktT6yxnkD37NmJt6xF-Ef7fE=w1200|https://lh3.googleusercontent.com/pw/AP1GczOoCC7TY7e0h9OAwyif-bboICrigptPK5-Iw7wy1f9q_sOJ4NtghOokWOVwFuovGfklA4zL6kgQa-eiMQKxUocpSyeb2iW5L9z33N8Ch0091Eaj2l7J=w1200|https://lh3.googleusercontent.com/pw/AP1GczMxdYimiFKk69Jeqg8se7sFKinTpBzLvqwGWYvsqlQKi8b4lhkEXJRKNQc4W_uQKld9tXXE43y4sQG-V0EoOBnK4urnJYScQYnU7fPg5DpQWG0w2-rA=w1200|https://lh3.googleusercontent.com/pw/AP1GczO2Nl2aNm2O_7s1Uw8MgRZO76lg9uZ1tvEwDoYULGeeQqeSv8lmTZFQeVtHRK1JcVaAhp9U-o3TekW1S3buLn3NMSdbPhqUEHkhMtf36om1sX_--up0=w1200|https://lh3.googleusercontent.com/pw/AP1GczP9kM1sqYWUT3Xg9n2EMDUe5GKCUkQ9PMze5AqHP8f8_3XYpND_VFNwd5I-phKhHBsuzEy-DyggwnXBH6AoXGTmj4vz0UC05cJTwqM8zuUFEFItTrs_=w1200|https://lh3.googleusercontent.com/pw/AP1GczNAweBIyT3FXqKYfYBGqOCotMcL3uQu1HM9LA3xfa1xPX1AlkoOQsj5nKv_MkI2pDQ7ltBtfHFlkQYnCvqZmtlNgfTeoM1TYwZl5yHq26TXUEM4uYGM=w1200|https://lh3.googleusercontent.com/pw/AP1GczMcKuRMnE6r_4O7OnRkcrfd4cUt98NoLqdDte1Tjjh3Arblat_Ix_VOWVVO5x-wfRw5dfcY7ttdTu0mkIyBV-264BpIGP4AJ3LTGmu4TG9YuTt1DeFn=w1200|https://lh3.googleusercontent.com/pw/AP1GczPyJKZJMoc5_Egl4wq3ziRPb0Ik5Kqr2nbERgvcw8Mj1nxZ8MbCQ9gQmpQzTDnheSiyIWcs4T8GXoZgR0IVLtXRAne6FYeQVleWb1EsXz6V2JPrMXwn=w1200|https://lh3.googleusercontent.com/pw/AP1GczORNWYaAAw6qFwpuyROtsn-HmqrS904zbqfM3iht1m6YaAp5JciI9hDh5TAR3F5cxatYRqd8EMOjKW57bdklQWfmo70bR77qbNHNzke9A5wiZ4qqXWt=w1200|https://lh3.googleusercontent.com/pw/AP1GczPklzhIfbRYmtVEQtJCxMI4SLsFlH6NlJT3qxyFgYvYxuITlazBg5cfVRmWE64s1_adX-UWGTaRlUOFkwXH7JJOFGl6euSnrMMzD1xO1uZIyZTuGPVM=w1200</t>
  </si>
  <si>
    <t>185</t>
  </si>
  <si>
    <t>Apartamento en edificio Beneficiencia</t>
  </si>
  <si>
    <t>https://photos.app.goo.gl/svXbLnwMB3XYbEjZA</t>
  </si>
  <si>
    <t>Ubicado en el quinto piso</t>
  </si>
  <si>
    <t>Casa  con buenos acabados.  Escritura al día.</t>
  </si>
  <si>
    <t>EDIFICIO DE LA BENEFICIENCIA - CARRERA 4</t>
  </si>
  <si>
    <t>https://lh3.googleusercontent.com/pw/AP1GczND2HB2vGgARmkvhPzHDKcPfGsu93uRhTlcRKewxdmr7sKSsKFY1O1exrWuC1orIGC_PGZrlDE_dglJiot0pszKWOUT0dIIp1CfGIdPkYn3GogqMg-d=w1200|https://lh3.googleusercontent.com/pw/AP1GczODRK9QF6j7k90AbwaBSVcQF_9FNAm64x6F2vAEAUgPm0GTNQyiuvfI4pENk-Yei2vSZpszLFc9wrwX7Z1d7rLSANGanUJUNgnYpWqLXFPkCmUCR6xU=w1200|https://lh3.googleusercontent.com/pw/AP1GczNQH4-0lWr4Oy7nJLQ2iQHufb3vDKhPHRFABb83ZPJ7x3HMYGSB_F0P5cj3SKy9pPmgiw73wyEFkpC4fvWiC8BhLa7XXq5dSkGX56jfFart25VsSVLY=w1200|https://lh3.googleusercontent.com/pw/AP1GczPeXNfr7PoZ7iMmTRJLCci2-LVldIAa-_wf_oBm5FQmozI0NhhWk0-DP-XyOEj0V73fw0fwMFFxTlE9hyg8697epA7kfyuUpqom-aovai5bY8-h2tF_=w1200|https://lh3.googleusercontent.com/pw/AP1GczMs0meN2frolRS2LXK4SJ2EgVw8umSntgME0ZNvBpC7cic3B-b7FYSV4C3UJeSW2HbAFITWXGtidbdnWVEtuBBgW_JIo8SQtsHEs2hsySewNkbeGYQ4=w1200|https://lh3.googleusercontent.com/pw/AP1GczOCA4puIIEQRQ0lLTF2LVFwD96d7Bq2VKR-ZDdzeyVVuSNpHNmSgALUaKJsag2CQD8RbKmdMC0OEc8uyp2mTr3suRaGTkbSvVwNipW2_tohpfcZ5IvN=w1200|https://lh3.googleusercontent.com/pw/AP1GczPvMCKc_SGPZc6o1NSNDVwys0sTqv2pANq2cpUMdSxc_C3Za-cQGllgd-JmOFJKnNDfddedM7i8NPGN703w6FtAKmgHOb6WSK5btrzc8cxd-KV5FQjm=w1200|https://lh3.googleusercontent.com/pw/AP1GczOXcuBuT6vnCi1ZSLfqJ6NusSja0suR6wAgnXA9j3R325QfF1P0yGMq09Q3xk5ApPA7CUnNKOw_LQH9haT0c7Db4ZMxLC8dI4WduF48y4jZZ9ZvpcxC=w1200|https://lh3.googleusercontent.com/pw/AP1GczPTQA3Q3qEzv5aYry6uZ-O8abBdUeeyDy7HpJM8pOy6NPx3H941wTe72FR4AtP677mu_CHMAgwD7aXl8jKynV4P9Sw1TAa3m7dRnlZSn6wbS-h_YKcx=w1200|https://lh3.googleusercontent.com/pw/AP1GczO6ijpMmNWd6Q3QMMtnVzioPTcGL8slGQc4WTAKHZAhHJ8y843jB6pjCM4hWe-O7aAnL_LFDa9myCfHEF3POc12mdWQpNK9_ZF6GSfuIqoxptW8MYFv=w1200|https://lh3.googleusercontent.com/pw/AP1GczN4DezB17lValyxVXDu45w8R283_48qMlPwZ6gx_KXNh_-DlR7Leav0VJ03PcglEE8YGq25htbURLtUXovJ800siv2p8M7yT1wIBZyonVj4TDnaPQb_=w1200|https://lh3.googleusercontent.com/pw/AP1GczNGjTHNNaOoViv0jlnmJ1Fr3tIax6h-sPGHVq0L0D8D03LHXMU3MPFUL8X7X9Q16DGr_6AAUjeZhf0tl-Ttt-1iIAQrV-YHHGy4SyhY4bhyg-RkdQeb=w1200|https://lh3.googleusercontent.com/pw/AP1GczMC1V9DsOuS6ZBLCKPyqZeB4xkBnw5uMVwKTKU86SOFg5BQvpu_s4DXfMLjfqMXIGYvd1zfthWUuLduELle0iKOZHN8tebGo7HHCJVT3YgliSUN2EXP=w1200|https://lh3.googleusercontent.com/pw/AP1GczOmT_xZ8vybHS8c1fbQY6-v3C__d8L9g-bGO4NDW0ItfzAh0zhJCZrVnxqTRZuMG98OPCW-Q3fUDOJpEWe7BA8arHQH3xDESUWAyL9VprbqVyNINhSH=w1200|https://lh3.googleusercontent.com/pw/AP1GczNnr6iK_isKiWulKHw8sSdDgGplEsinnZ6ZbTEHUqa7cgK7lv7iHWK28x-GojgfkNp5iLpMyshdxlHeaw5RazgD9dd40BYI2gRBvZ9snfN4YlUsg6YJ=w1200|https://lh3.googleusercontent.com/pw/AP1GczMh_eWph6pfr4y5F_llAVQEMYsuH8trclH1u605S0ceHxXZahVqPtykziQtF6SoOcpKkCe4WVvNRRUy3701fKlqM0y6rIT7VY-ynsPIurFsMOHAz5GL=w1200</t>
  </si>
  <si>
    <t>633</t>
  </si>
  <si>
    <t>Casa en barrio Los Martires</t>
  </si>
  <si>
    <t>https://photos.app.goo.gl/rmKee8J9kqx13ekN6</t>
  </si>
  <si>
    <t>Casa amplia distribuida en 3 niveles, cuenta en total con 5 habitaciones, 3 baños, garaje con puerta eléctrica, con antejardín de 6.0 ml x 7.0 ml con domo. Primer nivel: sala, comedor, cocina integral, 3 habitaciones, una con baño privado y aire acondicionado. Segundo nivel: Una Alcoba amplia con mini cocina, Tercer nivel: Una alcoba amplia con baño privado y aire acondicionado.</t>
  </si>
  <si>
    <t>Casa bien ubicada, Cerca a la Univ. Cooperativa. Remodelada con techo, pisos y baños nuevos.</t>
  </si>
  <si>
    <t>Comis. Ma. Cristina 50%</t>
  </si>
  <si>
    <t>A</t>
  </si>
  <si>
    <t>20 - SAMADHI RODRIGUEZ, 15 - SINDY MARCELA</t>
  </si>
  <si>
    <t>https://lh3.googleusercontent.com/pw/AP1GczNteP-yUVP6Qx3nU3poT-ryHBY5PikALh8av3Q3elOImUw0v6uj4VHlf6FPSwX53A02ewMLXFDCldM8vxmp9_YYtaq02CDydgRilz_D4oUOGCMyiAVJ=w1200|https://lh3.googleusercontent.com/pw/AP1GczPLOi1ApwJ5sPd5IhiMFsE7WDMQnxrRvmNdFdvqTyNcdQs5LiFX-XdknDwLdGxZOn54tzu1TLZIgG9oe38klvRokIdR_XLcqIV8aU0iXCwE6ZGIxDIP=w1200|https://lh3.googleusercontent.com/pw/AP1GczPTKTHmEMC_mEVpeaoEPHgl9wIZUjT5lzcdYTxSHqpRNBKO_034qRn82IMyk4xdjb6Tp_sAr0pM7JpxNPRPq6tKTZjmKTdINWs8YWnQR5abOHKdXl60=w1200|https://lh3.googleusercontent.com/pw/AP1GczPPgTyDxzkbE4E2JFHe2LIej98R4Gmh1qIfUhiid1zMNgwGjBF-RcVjMjzabzJw7Qg-etj__AruI4LqXPIC3xgUavaVJuXGEHNKrNJF6nduAgNYpQzk=w1200|https://lh3.googleusercontent.com/pw/AP1GczOvz8d1rriUnqCXxkJcNW9Z70Bc8aW2Pxo-kBaGuZedD6CFRpcqpFfzKU471OqFBStEUfgCHAFnNIlF_X-HTOZsEY72nr_KV3rXlQ-Y-X2SYVXYq2Xw=w1200|https://lh3.googleusercontent.com/pw/AP1GczMx_-XFx7YNmn3zr0KjhAM2Ccbi5aVMY_yUEezzrhY19QGnzSmEUpeYkCW74myFD3OIMBjAAwTAvrkGsipQ38b1ayEAAYpvXZ1_ooSznXk5Ep7kZ6hy=w1200|https://lh3.googleusercontent.com/pw/AP1GczOKD6W_SWjQkpvtJIGHzABE5M-9fogjGQ40UIsOuHidgAuB11te0yUD91so1pQljrXUSp5djIw72Y_oo0XGJJ1x8Q2tPIv9Z2M5sd1gyRNEY5k7QDHj=w1200|https://lh3.googleusercontent.com/pw/AP1GczNdd9YHKeDMIXmIorxQb3gPSYF7kRNVNtETikZVgBmyzGxYqs_2M-oMgSbIFjBWE4WlW0k6aneXIzFrRgsUPYJMHwDkNSUQIDQY81kFS-QB7Vg3euzJ=w1200|https://lh3.googleusercontent.com/pw/AP1GczNBUST-Mp3Z6y3KQGxSTS_O-z7MsF56qZOFIeNltYuqVfMhiIE-94C4SuYlMlAAibAeVzT4FaFH04UMWCN655kEvSLTgW1jwwjkQ0vqNMtBTcMrF3Zq=w1200|https://lh3.googleusercontent.com/pw/AP1GczNuaCnL8rUzwG8IoWWWgIGnhtFhcbdFnedLVZbX6TNi6cUGvl7NRgAW2TsFw2s48BkxSaqsczR_0M0rFO6Y5Jwbad3N4ai8RU6xhbhD1z4XGtXcNQxq=w1200|https://lh3.googleusercontent.com/pw/AP1GczOrV9UYddJ4pRQBDI-PESwmykkJy_wwY09ryKQEIOFBlggiKq-uE0wD42RClrT8fmAkSE8usJ0b8JN3TkGmy-bdoVuU3bkgNqBVpWML-qP2LzqaFcDl=w1200|https://lh3.googleusercontent.com/pw/AP1GczNDaM00ONmvcaVyplFuWeiG91fva0H9semTCtqM65Hz_BebAFI1MFRFtCOfgis1bs9jGFc1nS0O11O-VEpRHQnq6DJQo0V_4RLTuyuiorMzbznfO216=w1200|https://lh3.googleusercontent.com/pw/AP1GczNRy108ywoF-pIyl8ZfebzIIXnhmF7LeUFkT6v4tNMNlPbPbc9jgWQJeWmG353JUKXrVgbLEt7teT_KdtpP03z6ZB4sViFZGYHBlLPweUun_nmRRgFV=w1200|https://lh3.googleusercontent.com/pw/AP1GczNAS8_uKKkhbkrNohHjCutr8F8Gga0mLKxjoaKv_W5npudeg2qHi1RGHYXasJswvCuK_9o7MvXnC8n4HfcUzmSNrAH-WqCBaqEeE3rfoZexSG1bgOuA=w1200|https://lh3.googleusercontent.com/pw/AP1GczO_cbHYiiwcDy0QhRkrW3GeiGDkuiraRyJ5fxVQelJeTLgcOo0MLVaojf6Qt0gs_gQH0Nxyoghd5URW0M32UrOleCXMQ69ajvhGvMECRHoEGVWzdyJb=w1200|https://lh3.googleusercontent.com/pw/AP1GczPYT0nn-ld_5oKA5fm2hd7RhbdBGjNX3QEF6dmWqM3T_aUJkV57w_qoxsYZ04KPAf8ddcWn55PZpLYZIvVxvMDfAugey9yIRs14ENZCF_ouYOOeWDA1=w1200|https://lh3.googleusercontent.com/pw/AP1GczOwCFvLEHGQmdE0ntmN_Yq72-k19bZhG0dIRgjgAz18EfX4SqZQjw0QbW3fewx8kwKR4hynxArg420c5dlcKsTmU9Ue50S9873VJ6Z2zP5LeFpeTnyI=w1200|https://lh3.googleusercontent.com/pw/AP1GczPd8lw5exSsDEHl9SlQm_5JGyc2PsONFEVWDym8XoSfVP9vGCOQ0aME8zG-N-krCA4QJIiF3ceAfGmSFnYtGPWTcP-LAamcFgcV0_2EibJIof8R9Fon=w1200|https://lh3.googleusercontent.com/pw/AP1GczMFMk2U9nCZ-LexAOTyYIycxt_Gj6Q2O3451kjjvxGUPUHD7gZXYT2mc1s9wlYQroTbfb4DguKIdA9ULyurPQnTsd_aBwUe0td0aJn2cJL8_sEndS4B=w1200|https://lh3.googleusercontent.com/pw/AP1GczNu80o4RS9SnOsqYE0c63fIOUxC07ygEbw04XmehTBgDSqY3_lh5ULUeexQe_l2tc-DOMxE2yQwih_hTbHVLOgsVzGuNEKzwDM6ZMnbxm0HT5a7kmRP=w1200|https://lh3.googleusercontent.com/pw/AP1GczN0mr2Rr7JlyRn8X2Uk7T6ZnCZ8ASg0ZxJmVf9LTGwqTdq9TGxGaKKxrsUrrzaIA05Qr-OK8dbDR-2iQ8qemHrBixe8WLDWDMEyW8ewUW5nNLHT8eWP=w1200|https://lh3.googleusercontent.com/pw/AP1GczOGcMM5lYm3V2W9mXfNIrzy4dRykOy-DoaTa8NI5ZXIWnCk4ZeIbv-4RmwZLfdOXSZodZtQhl6XMEYqnj2XU3XBmXlC0opw1HDWbhVOSOdOt2T61goK=w1200|https://lh3.googleusercontent.com/pw/AP1GczPdKiB9C9G0S9ICd9dVyeWvit81KM_MTylmBwbJXlAYjb9am_ECoTCEJ2WD_KwfGFrooziCZyhBNK4T1WHAVB4SgqomXvMDLIWC5-encxHTKBw1cPse=w1200|https://lh3.googleusercontent.com/pw/AP1GczPL4yz9rI9Fe936SyDctzhaLOW7j6pzyVO-kldS0aiNgAQJzw9ApCSPC7Ji93vsK5KEUQFsPd6YPK6mlR_xzHgVXB-mXIIcufHXVPKrlF_gjip1J-qx=w1200|https://lh3.googleusercontent.com/pw/AP1GczNJokqgP2-loDA-kGva38R5XI-cnMbkdiUY7PtXztVlM6QiyDgjsaWhYIwDTE7-fwW_b9JHTmVRGie1JBTcWukxVZaehOLYC0pfjN3LxnWaz_-L_QZr=w1200|https://lh3.googleusercontent.com/pw/AP1GczMnyO42PnIJ86SOEilp_blGybMqpz9SldB76F7rSWLuuGEYw9sjv7OQeNqcP9C0dnkl2B7uZFyKSRyoIs4eB7Mwh62zsTjE070UeZVUIr2tasHxrl-x=w1200|https://lh3.googleusercontent.com/pw/AP1GczMkf5ATuRD1ZgD6HuicoMoNmRBWuoExXSWTCMwFJS1mUcaHablkkp6DxKxVn1q5WGy1F-kjakr3GLf7l_E0llDW1Z20wrcVvkzDRmuqKlAK6Zr_1zBF=w1200</t>
  </si>
  <si>
    <t>582</t>
  </si>
  <si>
    <t>Tangara Nio</t>
  </si>
  <si>
    <t>https://photos.app.goo.gl/4MXN1w8h9PagFxgQ8</t>
  </si>
  <si>
    <t>Comis. Maicol Andrés Jimenez Quimbaya - Granj.</t>
  </si>
  <si>
    <t>38 - MARIO MUNAR</t>
  </si>
  <si>
    <t>https://lh3.googleusercontent.com/pw/AP1GczOuGf5AuPYsgOofsNfwsBOPwPAutgtngjs54cgc7jgo6HY6tTNfBC90-DTtS3sVSfgGKhSv9slbcBYYw0WFU-LILkDOyHz8gFogAp40aw452THA0_zo=w1200|https://lh3.googleusercontent.com/pw/AP1GczMKJP-3ekOZjiZRfJOZkTHWIAeEHsM7cK7UyCjdaYKR5ThzgvBASC69UD7kK57cLjWtW3hekbIoH-4NoGn-0MxVD0hB6zUfHpsTKi5F-XjNngtUcB9W=w1200|https://lh3.googleusercontent.com/pw/AP1GczP7lcTvrOYlquIzQhGsfzFSIB3f1BldCgdVJcmHa1fMjeq1G1Vr2zEwBoYEPErvIfULieQ7OpUQz9jR1R9JHuuXsmTzfCHWazODO6jyMjzkn0qfe_Nn=w1200|https://lh3.googleusercontent.com/pw/AP1GczPj3lM3XZK2KKyvedUJbYofG_FdYjcM6tMT9FcYgpplaS-Krzbql-h3FAS7Q1TbKBVdj4XYatgYCr61UxAARmviByZswR6jiuAAyf70uNHcGISy68ts=w1200|https://lh3.googleusercontent.com/pw/AP1GczN1cTVjbpgLihn9bmvMzHj_zRCI_om5jG0Dj0cb1Tz7G4wIAKfsVDwMBf6-vYcnaqGQ2gzgeB-BGaXybJ9Z8uVqnWju5OX143-vn0V6LuVhleEWJGco=w1200|https://lh3.googleusercontent.com/pw/AP1GczOF3MQJi71N91nplUgpn2VrB8t5PIEpkOCpu-8N-bZEA2q-0BG4PzcME_59Vkutm_MmpzSVA9GvStYjSgXDJIJh7QjZjmVAWRadV2gUxQRK4gyFRT8R=w1200|https://lh3.googleusercontent.com/pw/AP1GczOqYtk7x99DHRLt6JW7G7AfkQrTTKbQh0fhE_QqjV6a7TLCUDRr23PtT6hpiru4TkrfHwFhG5dw0jiEEfvIvSLaZ3s9xpsSxTQ4lpD7dLQhOFOsGgfu=w1200|https://lh3.googleusercontent.com/pw/AP1GczMXCI4PEcryTrvU08fZQailJmeSLqCwLbKRn4s6DlXMNG7IEZTM6xOOL_J5ZMqffsltBpKSKIlcXPgXGSgJCBCrS-TRUsvHG4yNPG2DM1wSIx8iEJXU=w1200|https://lh3.googleusercontent.com/pw/AP1GczMQVpqonsEsQeqY82K5OotbMxVUlAvCko9lk_oOukYa-_1s3kGT9fX4EfaU3u2IOpfh0d_m5y-1ElQGgfBHWfcHAkntcjkPKpLtc3BwFq_UGu_M9SzS=w1200|https://lh3.googleusercontent.com/pw/AP1GczO5oMfoyhEcXK1bvuC-TXd2UuB4_ggPUfQ8hsdExbRp1SSVJ8KNRcmDbbBHFgmY9nhR6aJzeqa_jePxiRMVX0Gn-vr9Tp4KrJ2xQ3xV0Judo_t_hrgq=w1200|https://lh3.googleusercontent.com/pw/AP1GczMd8VohUGg9vZZi_WK1RTEdp2JZHnT76zsRTJyHhOSfOcxYi8cWLdm1xBOjejvSKfOm9dXcbZympVDPvNE8H_xUGPZwGI6x92yTmdfszKEYrwyE3RVN=w1200|https://lh3.googleusercontent.com/pw/AP1GczPDIKeb0p_BrxUU6dL8LjXOLvr7ThZEYNsoabpl-2wPUj3Ny88upYemhtLMwxA-pPMPzKigRK6sQ416mYQJrVsYAnOa00dVt-k_VnQBMhqw0rdZrJ1p=w1200|https://lh3.googleusercontent.com/pw/AP1GczM61sHhT3P8Rut7lFwBiP68PiNRzxQmU9-zHpCvOf0WPCa42IpQrfh2x34LNRugvwAFmTdRKhabzDbm5GZhEIMuwu-mW4QrlXmx-1bSUe13E4Hr1__P=w1200|https://lh3.googleusercontent.com/pw/AP1GczOL7qgMRaWmte1MmF68tJOLN3kd62y4dZ1mQZazCVUPYnvgGkPrX0oR3FeY2VaVL1FK3FCsGKLZ-_ySlV-hxpToUdz4gq-QIPkpD1su7MoVfCm1ygst=w1200|https://lh3.googleusercontent.com/pw/AP1GczMGXbz19sIpvGZVqsHZ1M1H-QL4lnVbcVWpnYQjymj8k_gCNBnG8nl9PPT2WFCbO2hfVW86hYjCcoQgvS_zkCZs8KclcRgnQBrwGKeQX20wl2XqDgbu=w1200|https://lh3.googleusercontent.com/pw/AP1GczMBsK9LGl_vM_hQVDQYURsY2sUFqW29Duo3hCNlXVpKEftrLInQlfDXMhaXIY2W6YP1_RX5v3hjXPXMs-BaRTeVCc5FTMb31Uk17l7r49iHjb-GGiW_=w1200|https://lh3.googleusercontent.com/pw/AP1GczOlbrDmDF-9x1IXBSlbPzYHgAWNQkLNunttKnQMBEqt2HC27LTvTJ-3m4U9MsQajDkSlrThKhGxu_wBkq7l-nEc-dU2m4qZhtCmvvQ-xyrKvWMiUlaY=w1200|https://lh3.googleusercontent.com/pw/AP1GczO0hmOx7G4NYoSGhMeRHszZ7-3T3fK8wlJ7Uqxqnw07JrY8H8mimsVokI_t0E8P1VcNVPTt0fWp-ju_GS_XvFJEAXXSynqURgihvCwdKq_h0_Zqvh0L=w1200|https://lh3.googleusercontent.com/pw/AP1GczPeJUUn-fPAlPN8eDNMk2LF-1pKyRyQWJy_dD0gBzIXleGRN4yDypVggk0ogdZM3mFVIQFssqmwAU3X86WRafDJXIt5r9ZURuebixx44ajGOXwHG2nh=w1200|https://lh3.googleusercontent.com/pw/AP1GczN2TnK8hF5Sc4BBlRhKutCRgK7mmZ1SAStWDnKLSVEcW3LBJwOjdUKSvaHB3IQI4Z8nQUL0jYpSV_j1u72YS-XniSPfzdlRZk7yW-eYcJBdZReNPiQT=w1200|https://lh3.googleusercontent.com/pw/AP1GczOfarKRYA_G9y7HPTBnnzepkk8kzmtsX89GHV8W-KqKvNIVnxxVVaGyzen43lZCFYgq2RGqn_vOtYs1tJwv-E1wKkHFXMqErC0yo8UL0k6sEGi9lH2F=w1200|https://lh3.googleusercontent.com/pw/AP1GczM0Vci-EJOhp4ZkYaNbs4fg18e9Y2uWU9B2FhSzPng2iILMyvRErpcUc0Uq2x_5tmlfdaR2tLmSO_xwbWD5g1NG_7I6bx1kRrfVHnFIgFIwRj3ZaF4w=w1200|https://lh3.googleusercontent.com/pw/AP1GczPyenlJiyIWkm7-M3Y7Pz5XdcC0cuyc_QNv41Dfja3mMarEggdMXxWTRgTebHVlL9nbB8ErKKIKe1u1AapQm4HkUQaqHAANtnWZybLlOIgMAC3lMjOf=w1200|https://lh3.googleusercontent.com/pw/AP1GczMNEuNy6tPhj6hXpD0VCHL4oY4GVic0n4hIQLAG0qRTS2s1TIyNYj9hcBeLUbsshpeZ7xb0JxvMiHoH4nqLkgL2ILQtIXq8-qFe0aMCnDzY7TqShK8m=w1200|https://lh3.googleusercontent.com/pw/AP1GczOobDU98RCI7Zdtp4iCRCMnBSLCbeygPOebH5S9jNoBnvzrkwVmXs8e6_4t1ll1WgzinVhjNMBSpIsOZ7sf-nOgyCL36L7Pl2FYiuxl1Dz8mO2-PZwj=w1200|https://lh3.googleusercontent.com/pw/AP1GczPTsx-qb0ryTYpB05R6PylTH9o73H_aeOgH5t1ohcpjdZocMpkBjah2poBlElFT6r7pJE8hXLPrSXftvMK1rx_w6HcEtP-vqu0Y4mK1exIqepwzpTzM=w1200|https://lh3.googleusercontent.com/pw/AP1GczNVhwU6KPDKXU3AqXM0d0sjStm4fSjLo1IyoKw7zTJHRFJk0wDHSr88bU8AuBQruRRMtt36wE_1l-eN9YVL5_TsK77uMOP9EwaLkIEO5n6XM6B9bhnF=w1200|https://lh3.googleusercontent.com/pw/AP1GczOuquHOX3q-eeNo0thj729phLNx-esNKHrvX7qb_wgjo__DbOQPCJgPGUXYOsPigyRIitvBpyG4ekGv0BkrgXP1CHCzkdQVg8UU-suu0u01cTLMTAl4=w1200|https://lh3.googleusercontent.com/pw/AP1GczOku2OAxWdfR3GkEPlrSxZItUS8qjRRwWwoP8CWLuH9_Hr0SzZNwEj9GZ_hfXnFVFRPOjbMHfQAVJrGyOk0n9wAS-vwZWGSLwZ0W1LGaamXQ-YMpVsr=w1200|https://lh3.googleusercontent.com/pw/AP1GczNHp7AHX_rvnMRGKi6zU3auPikoMGsCAam-U11Q1Cd6cBjCUuiHbNJVg26BsvLxT2NwcmL77_6l0_-h3ffzXCgK0yBIRyKMgi5ep9IFJ0MpNQJn0-2I=w1200</t>
  </si>
  <si>
    <t>631</t>
  </si>
  <si>
    <t>Santorini II</t>
  </si>
  <si>
    <t>https://photos.app.goo.gl/Vx1EnqwSCQYy3kJr7</t>
  </si>
  <si>
    <t>Casa con buenos acabados, piso en cerámica, cerámica antidelizante y porcelanato, muro en fachaleta, divisiones en vidrio templado, closet, puertas y muebles empotrados  en medera.</t>
  </si>
  <si>
    <t>Casa bien ubicada. Escritura al día.</t>
  </si>
  <si>
    <t>Comis. Nubia Vargas</t>
  </si>
  <si>
    <t>23 - DANIEL RODRIGUEZ GAVILAN, 40 - ALEJANDRO ROJAS MARIN</t>
  </si>
  <si>
    <t>https://lh3.googleusercontent.com/pw/AP1GczPtmF3n0QLTbzn82H03YgXRlmUUCGklEmuBFXwZd-pRdCUnUBVN9TBQMtqb-A2AOh1A7AT0YctCmH3mQfxiKnC5iTzg8UtGpfDVSRzgZZqyeImWPMiU=w1200|https://lh3.googleusercontent.com/pw/AP1GczPzX0-4tOyKZcRGY1oaZhBg1I20l0RhgLWhU6wBe4iK-_3dhgMzeCSDycqrxlouNj9O6gQIj3ZfTveOW69ICW0Oetvg6BmW2f3tEu-saIJ6sVbSwjDb=w1200|https://lh3.googleusercontent.com/pw/AP1GczNSHmHVcJLLtUUag8uxAPEtefSdG_r0zu-KaqGFOthtlDRxW0F1nunn2xL3n95WTjFfXZJExdvV4_1sK3Qg6ARR-LzsEquOrfOUz_hXpjy0xnI1Thn6=w1200|https://lh3.googleusercontent.com/pw/AP1GczNaGosWDDjhUGuBqU2qLaiLtFdG3IfLnmNKlflFzGdu8fiZblxc5rRjValKdLzC8joVduThf2odQQoP0IzXK4vzu6O60hIBI1rn3g8k2nZaMrD4Z_KZ=w1200|https://lh3.googleusercontent.com/pw/AP1GczMbRwTucjuDfAl_1AK13vURjUlAchkhZVy4gHhjTWRxyE5sVklocUVu2I-lYhtJpe8kgW3_u4jYRZTP3iMOErftuM0XkCl9vaNAysdzj_3TS6ZT9Q-2=w1200|https://lh3.googleusercontent.com/pw/AP1GczO9s6n0zMFpSjHfDcGbfaj6GxFq63nNZmfr9Zgn030hyY8ZmgQmHd_aRrJWr2Z3SmoRUmxj4jWc4MQX1N-R6_Kq-vr0cu3VBtvN67OtxlB3Ar29uNun=w1200|https://lh3.googleusercontent.com/pw/AP1GczP9Ya0CjrV71eTTe2eGn1n-eboQh3tkKchCAeAtBEBh6C4zXtKn_bj8nYeGGY6iakUziOB4f-nzUqZbchn_YBKkDBxuh4o5zbAVrdOd_cGj5UrMzb8L=w1200|https://lh3.googleusercontent.com/pw/AP1GczO0K8vdQ-H-dJqzi_pCBnpYn14huOg28jfQjr3hBeLeaZYS5Q11WvDZbPfbz7BJk_7q2CbGGMtnAwhZgsAgfB9hP05YfkGg2Y_i5S9op2IR1AUlGuYe=w1200|https://lh3.googleusercontent.com/pw/AP1GczPwREZDQPz3l0xwR2wOjT6jf48ak5TbKLhOxO5VtYsIj_YcxhR_HG6Az1aKYlPvqgWZ6fk-Pb958iUTL0RiMx2wOIakS7o4WJ4IEEw5DSIAXrwOaC9a=w1200|https://lh3.googleusercontent.com/pw/AP1GczP5CvuH4THvnuxj8vGLMkeAj7LVsLlvv_BldLVkwYQkA6859xsvEN8J_cWMZVg6fsl9FyZdCU-IGM0j9t8cQws7d8SOAv3Q8wt4Md2W99lmLzZAIt-P=w1200|https://lh3.googleusercontent.com/pw/AP1GczOpKJs6zslokdby4-BgNSk3x0XH9rMsEygVDkfrPzmrDaUTNqR5yDMjuHPtO8M6dAclmuxTatRprssdfRLo2thmXihREq0zc7YhTkSjVv9_o-BMvtr8=w1200|https://lh3.googleusercontent.com/pw/AP1GczNeYmT07EhaE-yOR75ehGkFjeVEjpDXncntH16AEDuVKv4EFwgtdZaydHJQz21sMplGzSNSDpxtXUwuYxqizrSAM_q1biU6uok8iS2un44QeKlKlIJ2=w1200|https://lh3.googleusercontent.com/pw/AP1GczMaCZJeHhaqRGctrlz8bvD5rwJD1KoGxjtcnUH79BtckG8agKBW9OnUUeU7egwK4QBoQZasneFKity8cF9RUijn5lu_PrvBQ0V35JZkE9TlmZ6-hmPy=w1200|https://lh3.googleusercontent.com/pw/AP1GczNFOCh2dPby8h5x4s6NEuZb-y4SW_c2wLNWqQ8_8jyLngQL3J72UCH6KfFIuluy7yXny_A_fNpEAqlEtjkX1j6YKgoH3-Wg0K7sQJwQZyb-smoZ4NmD=w1200|https://lh3.googleusercontent.com/pw/AP1GczOTqW5bwyEcGiHg-ciBOzdvXrel5xM9MDunl67bHeTdqW_l6W6uwchZSzKPzo_y-4DFrNLE_oMYaPT3_aFy-l6OoeC3ni4s-UB_C7LwrICKgLfJxu-T=w1200|https://lh3.googleusercontent.com/pw/AP1GczMMR-e7zK-O28bP3lWdiSKeeDRI7XaQfdm3RSOTETQ0qLzUyWyf6NlVuOf-AP3JdWcZjT5iElCJCwnGBL9LjyHzLbVCF-Ncv0m6Zxt4H5z5wfEMMdTU=w1200|https://lh3.googleusercontent.com/pw/AP1GczP30-gJGt-OHo6ZrNT85CkCZg3k1S5wLk6YBPurylri9itehDmvWh8r8vl-ztkmVR5iFQD8isJvge7WgDkhpbj8mRC8vfW10Rhh4Vn7Qr32l1afLGrR=w1200|https://lh3.googleusercontent.com/pw/AP1GczNri9C5Jj7vLROIypxyLk5BBCHh8LZEEHwzoTnds63Uyu5ITZx-ZL0ktoLlwKtpqPvTDia2FKjIhYyeAzYNxjzWubwUrbckSbILeqoeua3Sea8db2wK=w1200|https://lh3.googleusercontent.com/pw/AP1GczPZ9gMVHD5KRgriMaVWc1X7_95WhMER_pHyChRZAQGOY86ioS3m5cXLNjqcdhm2CZgSwQq3W2G93-FK00H0nb9S37iW-J7Gtu6bzFqsxjiXzDH8lgFB=w1200|https://lh3.googleusercontent.com/pw/AP1GczP02cYE3MxJPylLc4AJrUku_GgztqZwKR8_pAIsBj4dku-E1k4o4Wzza6rqdrcKMwMWKdpwrAnCqZfUXMptZJqTAw4UaGLmlpfQ2r6KESaGdtOBrtGx=w1200|https://lh3.googleusercontent.com/pw/AP1GczMKbzWhX5C5b8meiKOcTlgiFebU_-N8MWAJbJyAQiXWxUkTVG7sDjoBRITPEO3rDmNEcVdvEOYHrIsi4EL2s-w_05RbivV38kcNnNLBBGjZC-CaCmaf=w1200</t>
  </si>
  <si>
    <t>373</t>
  </si>
  <si>
    <t>Apartamento en edificio Quirinal  - Centro</t>
  </si>
  <si>
    <t>https://photos.app.goo.gl/8accad79tcZRBSST7</t>
  </si>
  <si>
    <t>Apartamento central y remodelado, ubicado en tercer piso. Con ascensor. Edificio de 6 pisos,  2 apartamentos por piso. Ubicado cerca del Sena, Av. La toma, Carrera 5ta. Buenos acabados. Escritura al día.</t>
  </si>
  <si>
    <t>Comis. Sandra BBVA - 50%</t>
  </si>
  <si>
    <t>CARRERA 5 - 3ER</t>
  </si>
  <si>
    <t>https://lh3.googleusercontent.com/pw/AP1GczPD_HD_FyU0oyZT_SNj3l0Bt6dAm4-h-4752u9Tr0ruReSizSCz2z65DmKJhOB5bStldHhMXICCw2ncPDI6xXDYElhinchiKRk7mZz0II1bsu-HAGUb=w1200|https://lh3.googleusercontent.com/pw/AP1GczNGIVNVcMXahGPWcVyMeoCeDfqXQSbEAC65WZncVLJl3FFksiPV4KmTFV-GBLun51l2DhGM6ONgvRotGzbsJ6nusNmLnGM4R_f0svORVpEXlt4vmxHJ=w1200|https://lh3.googleusercontent.com/pw/AP1GczOJGYIHwFxRjcqfyFQfoSpWX4YsAYUv9JbEhAD9h92x6ZJzqHNI6TIt_wMWABbyOjBDPxLHib6TjSHsvmdgrXMfwuF2-oouZFPt-Xu-mBhRb57XgrGv=w1200|https://lh3.googleusercontent.com/pw/AP1GczMCD1ru5I_bCImeOINajKWwB6YiBqc5QCqLD0Aa5yGYCjIxDBhn1KEVtCDZldU4I012U3QmBT_QUrkzTHA0Kw5ClvNJFK_5pvwPZMiE9cBdQL2RyOmk=w1200|https://lh3.googleusercontent.com/pw/AP1GczP2JfPYyBh7AKdxrs3j3W5vu-xMsRLm7ggnVIWBCAZZgz1JnkXvDwSw9NAJo4W00CLw1ol3snQFLCgXp4bzqwBr1tbn_9jtobJvd8TzOYtuH3ntCN2b=w1200|https://lh3.googleusercontent.com/pw/AP1GczNe1_zr6D1GP5o8F2GVzwUxP7QJuP9IVlBngTmUP0yAlEe5GXdWMDBGYv84SdfGUqup9THtnKh0zup8V06JbKZuVh6ywvFkSeOnDvE8henr0HPurh6Q=w1200|https://lh3.googleusercontent.com/pw/AP1GczMLxLzT6UXvMDguGZ-c0TEIj8cJ9hOGDFrOX0ZbEy2OuCMqUEMAKKsiFn261NoYLuIQJhmxjqZK7za_i5BIG6D7IEme0KCNeVzesXCcxgi9wEjuUaw8=w1200|https://lh3.googleusercontent.com/pw/AP1GczNqnhf4UQ1atyvhIqKT-g7GPK4BZpGenUIonpKdj93k6FGz409UATHZ70qF1mo9uraRv6Olpu9aU5bvUNGbwJKbtbrwCLONtn3S-PsDbFW6_RtKlLN_=w1200|https://lh3.googleusercontent.com/pw/AP1GczNRWBDqz2FRPYGmRgfaewlbFlMhG-Qa-AUVx2ku_qDA8IKBosVwr08VULGIzF_DekIbAk35vFOFRvFJ1cP8RztcZHBA61iAgK01qizPNNDhMt1jXYTE=w1200|https://lh3.googleusercontent.com/pw/AP1GczNCAV2tKoY4t8n3erLNM6etkngPi0pqmo0CpDSaM8lpQcHUyW20cjTwSv1AeKxf4_hUXeSX7Eq8CBm9Ra6YBWcep7RkTQ7YhwnjzNQQv3PcfMPvW-07=w1200|https://lh3.googleusercontent.com/pw/AP1GczMwEGEQrkVpm2bnY_cgQcBA0j0DwBeHdG8eLc1IwmKnll_S7Ht-X5-XhGHz-O3gD9AHedIbLjLUgDN7PAarmXhHKS8vUyxrUAeFTPzF-MHHr-vdyws9=w1200|https://lh3.googleusercontent.com/pw/AP1GczNCRqQC4Q1VxWy-9BL5x2oh0ndD-ZHGxjNVxR00pbcIMV1nfEMT3fT8kD7gigGQWdQxfjae9dn0RUOMUBtjBBVCWwggvk8qH1kxpQdtPY3b_6bUPBQC=w1200|https://lh3.googleusercontent.com/pw/AP1GczOTis9_RSRPBylIPkFrPlSpvUOku-Ev8TyCMRKN3dmW3AwtsRV8qbCnvDSmiLnM3JMmXCTSecfofDBjlnToL-N9E9d_kb0pXuyWCXPW4LfF1Eg-U2ya=w1200|https://lh3.googleusercontent.com/pw/AP1GczOM4JuNMwPR1NY3cyzH8yzjBNNEEUY6RlI5KXB8Tm4yJr5Nzto4LjOEPypy0OY8GwpP8G1LqBMfktWjS7kjCWpOBv-RmW0eOoCcT6PNikNy_WATlvNV=w1200|https://lh3.googleusercontent.com/pw/AP1GczOCMARXwsVXV3Y8nzbfBtJcqrIzku33pmitkaP8Mk8n0tf0m2RNbr9EYNtAKJ_MTiEeVovWS_8utODNIL43YzHmZoRjYuLtH7xzpZJeP6DInRgaZe4M=w1200|https://lh3.googleusercontent.com/pw/AP1GczMA31H60Pp-QcgSqtWPR0abbsadRdx4MdoSM3glmiiroj04i44PdixMWTyNLghgtGcseRRlZlFss8yYX2dxdso57Kpeo7v-1LujwWLwL2E3HTISm_Sl=w1200|https://lh3.googleusercontent.com/pw/AP1GczPasxHSGWC1Pz1V8sCdeIz6ppkSshMTH7OoSwHFl0CqtigzJ-CnTlGa_ngKUk16rHIHgqu2LLM2czBS6YNF4fC-ebnr_kDNzCadMJZrqwm1I-GUjPCP=w1200</t>
  </si>
  <si>
    <t>483</t>
  </si>
  <si>
    <t>Casa campestre en Conjunto San Jerónimo - Vía la Ulloa</t>
  </si>
  <si>
    <t>San Jerónimo - Vía Ulloa</t>
  </si>
  <si>
    <t>https://photos.app.goo.gl/LLG4CKE3c6tscmEC6</t>
  </si>
  <si>
    <t xml:space="preserve"> la propiedad exhibe una arquitectura contemporánea y cálida definida por un imponente muro divisorio revestido en piedra natural entrelazada de tonos grises y cobrizos que aporta textura al interior, complementado por paredes lisas estucadas en blanco y una gran puerta principal con acabado tipo concreto arquitectónico gris y tirador de acero. Los suelos interiores están pavimentados con baldosas de porcelanato de gran formato con efecto mármol blanco de alto brillo, mientras que el fondo del espejo de agua presenta un porcelanato negro reflectante y la terraza exterior un acabado gris mate antideslizante. La ventanería y los cerramientos utilizan perfilería de aluminio negro mate, destacando una cortina enrollable exterior tipo screen en gris antracita; el mobiliario combina maderas macizas en pedestales y acentos con textiles texturizados y cuero en sofás, junto con estructuras metálicas y vidrio, todo integrado en un paisajismo de césped natural denso con senderos delimitados por vegetación de borde amarilla.</t>
  </si>
  <si>
    <t xml:space="preserve"> Ubicación a 6 kms de Neiva, vereda el Dindal, jurisdicción de Rivera. Area del lote 1.173.0 m2. Area adicional no construible 527.0 m2. Área construida. 217.67 m2. Excelentes acabados. Escritura al día.</t>
  </si>
  <si>
    <t>Comis. Santiago alto nivel 50%</t>
  </si>
  <si>
    <t>VIA LA ULLOA</t>
  </si>
  <si>
    <t>https://lh3.googleusercontent.com/pw/AP1GczN4Lg_8iRvdxwOo550I88rWs7h3FGWNv-AtSsGY4M-KdXVqh5yov3VmBysfYAZTy1I7MyMZVbtsITJYuI81n9eSOae71wlrWyL8FBEKTN6BmAWIlmgF=w1200|https://lh3.googleusercontent.com/pw/AP1GczPgYDRvDTSr3_uMOZx3TEeVwzMp16WdunQFC7pSre5rs8uhgOhGGPWg20msGYLBaoYyR-FL4e496S1RrYKTlC-hgOavf1eJ-73AhhF5yVaGq1phyYwt=w1200|https://lh3.googleusercontent.com/pw/AP1GczO9FsorUenN4-4q0AaO0fMR3oTZXEI_je7GoPzRk8PLMggZVEUOX_5LRckGbvzHnnsKZv2x-lyNmg5-2GzrPdDmQ7q1hYI0YsT3MZ2ENhq_lTdHHC3c=w1200|https://lh3.googleusercontent.com/pw/AP1GczNUCbXwOuSEu_OLMbawgBReYL3WE-c1NA4CMjuzXO7UH4hsmbU8nyoR1t8Vlp4dPOjRTcKht7dYIIAZ68bZ3X6Asr39PiOMwvDx9DBe8uH27E5K0dGT=w1200|https://lh3.googleusercontent.com/pw/AP1GczMCFOqSgT-sBzQCK56XL9INl7vvqhAyQhTkd_I2TBBzTFVCi_BNHHm4dreht6Ud_jGZk36IdastUNRCTNW3041-vGnF_qRJ_eI0xQ4lFY7t_nXMrCWY=w1200|https://lh3.googleusercontent.com/pw/AP1GczPrHSB8helsvF76TsydwbbVlbwXRfoZZVDFpWVxTfCOSjU_DYNVLh7UWtqDhVXGnn61ZLXicMN_DTVAmsUzc_aFDC4sSLHHuLscHrD7ytALQ-hmeTxz=w1200|https://lh3.googleusercontent.com/pw/AP1GczNlhDdmFjkBqQI6nCAnWjUFOTaVIqqotlx1OAJacX8j8THB0AGl7oT4Xq1RUoL8v8xOLuPZm5tNzMzl6TepUaV9hhVr7DiRiRYZwAIW6-GeYA8a1cw_=w1200|https://lh3.googleusercontent.com/pw/AP1GczPE0UmfDTGMrBw3NrCkHwAlUp96vdtOvVO3cd95CT8bAfXvkILSbrJ8PmpxOX5JPjHdmheU9TTj5UnsyuCskxyec1DH4iY3Q9ehCepUDe5c3InovGJC=w1200|https://lh3.googleusercontent.com/pw/AP1GczM7gmYrg5TWu8V7nBwXSMhf5SB-R9-yeS6pWyklQjLvhHgCIgtYq_ih1dnT524bfE2Cp7KROp0zJEUl9ipZWB_YANnrc70lIJg0RDebWs5mtqGX3byT=w1200|https://lh3.googleusercontent.com/pw/AP1GczNE-1Hdjp9D3UpbDor5mBM0e5RIH0ivCgDuNfqf-UL9GaxK1f6amRJRxBMWLsxaoWtIRpEvCvyAtZCNe3Gwu8zIR9JcDMcYjZoyW7rbqn-W4S5xnra4=w1200|https://lh3.googleusercontent.com/pw/AP1GczMXZVmlZDPNaXmCLdmHdmw-8rrw_l3rQdP8haP_uqtfWaJM7GXsqXz-9PiWiKEk7lBZKDqEECh1jVKQuRyUk6aSJQG2xtx2IjrH5hP2AANpMYisqMgD=w1200|https://lh3.googleusercontent.com/pw/AP1GczN1pVTN41-iWCQ4tedthrBfn6vQpy7QU5Irp6tFR9i58GinnTpx6Yq1Obw8QJ3ZTLiePcAfEjrcLeVC2v9Gvd0Tz5c2Xv6gnGVuu3lbwrmeMkao9joP=w1200|https://lh3.googleusercontent.com/pw/AP1GczPZmotOW_-M9AZM_noL2CFcboKO1TJ6vqc9TSFSMRqwhaTGrsj96xFSWX3-pplp-dGt8xIMwQzasS83jDHbcz-ciyK7QWJEgMDGV_lcgctBcqUKs8xY=w1200|https://lh3.googleusercontent.com/pw/AP1GczM1Ky_OPxK4FIyM7hrz0hRQGB-CcSPrECY6lo26hD-An14SgtCq7koDjzpmw2h1dFs8SthuiScTnWBvYyclqEaViknIFixJONVO5WkA5h54SnYyYGq6=w1200|https://lh3.googleusercontent.com/pw/AP1GczNexQsAvOYAXcO0a2k4LvCDQCqY3M7wpk0NlTTH8JcZd0uIM_e9ng28RZnTIlRisKHaHNmPilmGj5ER-sKDh0vKy3ZMP-bpJbmjNvwemhJhuhIQlSFT=w1200|https://lh3.googleusercontent.com/pw/AP1GczOmO65g-LDa1qAqCOJ1DJRSJxpr5J_11ZSPyLfFm3doVwB73Ai3_XoLBvHWHwupsUOT1-TlQF1mVEda5gZqRt6i9SfjyTJZpga7tXIRkZSC3efI3X8K=w1200|https://lh3.googleusercontent.com/pw/AP1GczPgojGWuaa1qtrBx-Jc26Lzh05cLkKFychUiUjKrLDem03qtrtRpAxY079GfTMQ0JfP8xK8Vtd-iORagt4X5qZw5RxJPq41GAwRjxq_DyCX-yjpPxTG=w1200|https://lh3.googleusercontent.com/pw/AP1GczMk3GjmpcDanJmGAie2FzA5aRMc1R4cNGxFVD3VUspr92n6j_J5o8izOMz3ygCVzcQiTimY6DC-RzKbCovI06xmj3B9LtrGCyb9vm2-LKVN8pv8uCNK=w1200|https://lh3.googleusercontent.com/pw/AP1GczOEOgTR8l-gp0MiStKdVqbewxAOthbjjMqyTSZUo0iXjGgHU9WaVvuk7MnBeSQi3ogXAgbD6SWpVbyepQr7XMShlaaFvLbkydWH7toUxvAGdgmgw1EK=w1200|https://lh3.googleusercontent.com/pw/AP1GczPidancLuPoOYUkpC80kcRB2daf-Q-5NgiDbiFMnlhGBmlECQSjVxIeB5iijlezvEIUCESNxT2ZVc33Yvbuie24GHEpW9pUWTHHeW49xxUElCb9K2BE=w1200|https://lh3.googleusercontent.com/pw/AP1GczM13NeF_CG8DCUKsFYs3v5-pGUmIh4A8JVpkuBZFjqXcVIQ2Vo65kOrMcv-IamYoJbcNGhgOEUaU61GS8c6B78sbUMZ9oST-wCSx4ZoTKqmeEYZ7H17=w1200|https://lh3.googleusercontent.com/pw/AP1GczMa4P18Pblkpkiv6IJ2IofCs3WJmxztV5ctGyjknAc49Bo2OjjPFQXyRljNIqmWc_-9xTnYsLNeBPnm0XyT1uAwnbydr-kAGTOeTEttpwMNWNgtkj-H=w1200|https://lh3.googleusercontent.com/pw/AP1GczNjtcDlq-0JlVjIrxl6FYne-z5iwaU9nx_l6rloQFNkpDtjNTGSfrtnVPzjv-Fl6VKIIZfPxI0Yok_2IEuy4y7Mspi6EbAfwGSEdlr7n9abiO30i9TP=w1200|https://lh3.googleusercontent.com/pw/AP1GczOphSHMUa5E4aeRoR24SnYC-64Bn5vtV1WWIvLF0d-BwPLq2czSGKF67My2fTHFMWACwRIeXfafy7-dxmzxHUr4CpbbK_EzVBxGMtov1jhC5gkoGWM7=w1200|https://lh3.googleusercontent.com/pw/AP1GczO0mRAdBr1sr845mztrQh6ZlOwCVid71KhOHZ7bKYAo0ySW4WCJq59rDR6qXkp8J58cj0Rb5r894jKc0FttlMSR1yGWHSuO-KQ2V-eWXTO3RhcMaTHn=w1200|https://lh3.googleusercontent.com/pw/AP1GczPLhGxVj4UpfDLi7EVzmhFCbFTlVRDy1qKhxF5ivd23nRZPs7iMj-NQfxO4LadwInyF6Go-uB2YZ_pmOxctU1nwSX0kTyXczSXbiB15g4-2pQ0Gsc-W=w1200|https://lh3.googleusercontent.com/pw/AP1GczNGQxF9Cdti6lB5jbJThskD-Vnjd09B0uqVm8gtE-1IpsCMThJ625Ro1Ga30Y0AtKl4X8NoNvAHsyFmELaBUJOyacdiqtReR5bos8C3xCIrxZuSujz2=w1200|https://lh3.googleusercontent.com/pw/AP1GczMi5NNxOdz20z0T6gBCqes1FA2SGQFR3uJqU0mnjWf5OcvTVTMRIIeOk-Xbq-QBiD7R3cMzFxW5r7VcjOE0ifZRb61CGEKn3reWZ0h1czOvfUiNBlQv=w1200|https://lh3.googleusercontent.com/pw/AP1GczPp492UdXdl12DRBspiv_bywsE_9-krpO6zZCyy1Wmf-y7XSNhO1n17mqjtEizf6Ghk_67Zq-HxO7J-2AswItL1AYUYIiAata-UlqE_BuHkaK1dX06I=w1200|https://lh3.googleusercontent.com/pw/AP1GczM7QrjF2TKPngIlCz8pxvJKnmo_742Rbp3Or6ajLtKuM3UBocO-4U7q00E5E_amN1xBSSLu7R-LLrfj15bo29P9i4KPLH-qKF-AuFW0-lGdCA-uJUDj=w1200|https://lh3.googleusercontent.com/pw/AP1GczMinT3Oegcal-WCxtJzKDwWRXKBz91BU73rI5p2tiDipSTcYi5temrNvBpskXu_O9WP0rXADK8Th5oNe-5gDJ1JWMRbdf9pyBq8KVEAyqL8S6MOALGI=w1200|https://lh3.googleusercontent.com/pw/AP1GczPIraA0KfML5xUZh3dIwaPe7TmYQjS5b5Rv6KvFGqSpyLg9Wg5_m5Z3q8mrdzDBdD03OgWispbKjwMoi4rXMvqg6SrUQuXh2WtO3w2V7ydZKM2TGKPg=w1200|https://lh3.googleusercontent.com/pw/AP1GczNaNvG8mYBMgFZnEDBYOYv4tly6lgQhWDfe4KI4-6NxRG_gEXxCVlWd_9X-pm794Ef0RJEhFazsylVILyFbsuasxEDI_IcjruOE-ysi4pMwFwQNWXYw=w1200|https://lh3.googleusercontent.com/pw/AP1GczOXQYHNdqMQPxAI0QO8xFgmkZl-5uAmRMM9jsWFrJycC7ktrc1069c4wpstGH6jFfcfK-LA6lBNG8GD4IlKMj67M_tvWFQxJAnU0qMX4ReSyz_Q5Ch3=w1200</t>
  </si>
  <si>
    <t>279</t>
  </si>
  <si>
    <t>Casa en barrio Quirinal - IPS</t>
  </si>
  <si>
    <t>https://photos.app.goo.gl/kJppqsoaVfU6tNoB6</t>
  </si>
  <si>
    <t>p</t>
  </si>
  <si>
    <t>https://lh3.googleusercontent.com/pw/AP1GczPbR1W_jWsyP1Mc-YLcP-qk8CZxjuvr4Cr1cLaVGp5aDYpz3ZmgT5tXsw1MUDg-keh3FDjLqvkox3rPgb2ICo0PCn0IGQfF4hTMc4R3w2sRB4JJzfnT=w1200|https://lh3.googleusercontent.com/pw/AP1GczNvxKIMGC0HZaU1Ont8AzkZ3IA_ANaqmfhFkDSlyaHciGqada_SSGR3hetGgcNBEcNQPQuojkPzFIuojocp9MpUxhaDdc35tvvjOA3LdZJRqTCmCpil=w1200|https://lh3.googleusercontent.com/pw/AP1GczNhk6mo0raM3dovaMa3MhBESiOqNhf6P5ieGBdnQoyFbFL52hX33-qJN97-BqgF0eyviFSRz_P-OITGbCChSOwphI-URllvTZqjuyzfjtr0oHYIgh3m=w1200|https://lh3.googleusercontent.com/pw/AP1GczN_R-r3S-OjC0BEkCDgHJnNvAXrTKt6MlXjgSgwW68wCxVWJ8IFuQsdgxxM1St8GCVxYKrudcVR9kcdeRbi82xjF1x38oTErGKztUzGM_PZFWOyg7-2=w1200|https://lh3.googleusercontent.com/pw/AP1GczP6NKLLVcUKWo4W54C5DmqUoefPlokx3cU37BJbZCw1w6iIauukWgphZGtZO_XJRJwRoinCI5on_pYCERKWflCkAVTvdRdVc-RFhBK6VfLVwlwytoUD=w1200|https://lh3.googleusercontent.com/pw/AP1GczMrzqNEFtWbT47tdmO86P2vcRRhimoBvjRfpi7qjyCqUXkvXqmFjc_LsQdF-uqCWDBGl6FNv1UGThG9uJzjR4KRuK8qWqNRXszZp_jKL00cZpuQZ5ZH=w1200</t>
  </si>
  <si>
    <t>073</t>
  </si>
  <si>
    <t>https://photos.app.goo.gl/vmyi8qntc3xCP1Qk8</t>
  </si>
  <si>
    <t>Casa con buenos acabados originales, carpintería marcos, puertas, muebles en madera, cocina remodelada, iluminada y ventilada. Divisiones en vidrio templado.</t>
  </si>
  <si>
    <t>Casa bien ubicada sobre vía vehicular amplia y pavimentada, con reja y patio. Escritura al día.</t>
  </si>
  <si>
    <t>https://lh3.googleusercontent.com/pw/AP1GczMCBZhbQlIdE7wMbp0h2KcJ3wxuceDPvzQ6pl_sLTyyH3NZFEGGeYSx0eNsAtK-r5l2EVC84zW2n1dc3XlQ2XAQAE9gImV94VmcvJedf2cXNwk1AT64=w1200|https://lh3.googleusercontent.com/pw/AP1GczNfpJF1h3YhcdUPsPiynNpHs3b1iI9HLxl4q0T0x7hD9F3B2gi0e6o7tspTahjWGBzYi5-iErtEwb1B8WiwCtZtCy8Op2tCkK0rZEy8uMBfQh-D_9ME=w1200|https://lh3.googleusercontent.com/pw/AP1GczNptQrLfZeKEddmyZZFH8YYDuZqmD2HdT5WNMoO8UnhOwzB-i85exAaBnCzJnlezioI0fB9UeuoMWZzvm2sCQXkJ5oZDjPFbmZAE7VQA5kxzOpDMQoS=w1200|https://lh3.googleusercontent.com/pw/AP1GczN-KEU7W1NWt6aAwmYTcS2B5HlP5Rs3gufEwO1zET__FEyiFc9qyVH2VKxGJ1amBwv9HuObpcwCeLwlxxT6PuPmavstsx_mPpIl6ZiMO7t_4IAYbIRB=w1200|https://lh3.googleusercontent.com/pw/AP1GczOP-goGVneonl4Z_SvqHS_s8iW-Padwn08m4sVicWUolXhguBh9XS7lQ1UrdnUfrH-FxtTksns-Z8IqUj1_4VLERBw8TsHL2ZrRNiGe4bP7TdFB8Rbe=w1200|https://lh3.googleusercontent.com/pw/AP1GczNNmXScFb9UJHb5Gr6z8DajZTz3Teq36WWr0iOjPwGloaqYDcg84jJy64JhTKbubjuSBKL4TwyUgAg67RMA75szPvcHvA0fx98Add97LUiCc7FGMiZO=w1200|https://lh3.googleusercontent.com/pw/AP1GczNFrw1BGl2NdKwY5yhHjY_q8T0gTtyS7q-hxm72Pd702jBc3J-JlU7gGvRiqHpoMMLzRXekVwlqN2j9_8ItnOIMKfWZVzYU2T1sZpEq-tzWjWT0Sv7K=w1200|https://lh3.googleusercontent.com/pw/AP1GczMPQOlIOCifbGznWxJIsPGXIPl4b_XX4pVC9hOlvCqZeiMdnetf_Yvt4X4YzCQn6yT8KHV-VB5M4zm_EDuMZcgMH442eYlSu7qPf_RtRqIxowjHBIcL=w1200|https://lh3.googleusercontent.com/pw/AP1GczNomT3PPpp5jEWmfvmdz4dqGpR3RuJh5BL5ZXuDZK56wmBOsfB5lI0gLoNQ8yxselMbYbIfzQydtyOSYBpL1yD4ZP9Gj_nnxsagtjrPWhppFiF4ol-O=w1200|https://lh3.googleusercontent.com/pw/AP1GczPmTmNEw0i4seNxj5KfrNyf61KM3_aOJ3UEnZrEekyPVU5r2R2Eimwqb4I9UUJMnlhQAT9L6HV9VpCbL4WssJTKdW2AEkJK8SBHrpjDpG_jVf_C2Gs9=w1200|https://lh3.googleusercontent.com/pw/AP1GczObrHP_lYwmjecVcA-2ehV5qbfY3hKSx9ixmdR0zJvyr6JKsKZrmsOBShPxfnuSBR3_VZbNaQ8NIjMXMxKxOa5uZV7j5IA1tLzZdmUNO4m2DFbaRGH9=w1200|https://lh3.googleusercontent.com/pw/AP1GczMn_B5wGkid-bTR88K8WFVubmxyu-SsoKZnOufpWqUdNc6YdqfE6kMjieQ6MpLbmIdkmfUaa0VCbOkViseIoCg1AffFc2BZZGUCSBaMoBld_M8bbNQn=w1200|https://lh3.googleusercontent.com/pw/AP1GczNJL6IT7u7FbMPR3bDaV7Y8QgSkDsK3zD58v8NBAA2TUN8ytGehsgKwT6X_rgHuA2cBcD2io_N501H3x34dqLV0g91D_-sTVmRFUU-aQ0i7t_zDYKA8=w1200|https://lh3.googleusercontent.com/pw/AP1GczMitG7sseUTwW7O2FxWQrgc8lCaJx7zp7-g7c-bt-5Y7Z3ROPKxSjVEM5l_KpWrgNNlWk1y5J3zPrRj4BEyriyZvfGVFSZihzqVGshO6ImlOXo0wswz=w1200|https://lh3.googleusercontent.com/pw/AP1GczMhtlswNIh61GRCjluLQ7dIOMmE-5tkAYGX0r0QXU8AzPG8Nq-L27-HDxC8wEyx2awdqnkdck2S68g6Ts6SW0DDkuHyFoT7TSBGKcgxg75yo0uNY5gv=w1200|https://lh3.googleusercontent.com/pw/AP1GczOgY9eF8BcsqPc2YEy5wB6OnYf1cRsDblL6krJY05rovfb8jc6YkOmadgSSSMpDTc9415471Z9cwODgJUpih9BRhqU8F5JmmyFerpBxIoituX3yAwMP=w1200|https://lh3.googleusercontent.com/pw/AP1GczMTCmfompftkajOIvrrBqpiAcTzBxih7jnF77EzBUnehaZjRZ09cWNs3FZQAYCCQJsQ1LkwjA8XX3HdrhssaMQRILEvz7Oi_nrh0cAFJehohrcHg1RZ=w1200|https://lh3.googleusercontent.com/pw/AP1GczOuAk-LZfGeh1Ddh4KIl8Bjt9Tdsr857iJdjtNYGp_oKD-xR9WpacJSg1yRCUWSRpQM3UCetnEPgzJUcVMpzus-BeNsnJbboshPFYzcezc2pvWDctKw=w1200</t>
  </si>
  <si>
    <t>532</t>
  </si>
  <si>
    <t>Casa en barrio Timanco III Etapa</t>
  </si>
  <si>
    <t>Timanco</t>
  </si>
  <si>
    <t>CORTES TAMAYO</t>
  </si>
  <si>
    <t>6088721304 - 6088721327</t>
  </si>
  <si>
    <t>CALLE 16 SUR No. 18-14</t>
  </si>
  <si>
    <t>796</t>
  </si>
  <si>
    <t>https://photos.app.goo.gl/s8CCwvCMqG3WgZxg7</t>
  </si>
  <si>
    <t>Casa Villa esperanza. Extensión de 2.000 m2 -  Área exterior: Piscina Yacuzzi Kiosco bbq Parqueaderos 4 vehículos, 3 depósitos, Árboles frutales. Casa construida 220: Habitación principal con baño. Dos habitaciones con baño. Estudio. Sala Comedor Sala de estar. Cocina tipo americano.</t>
  </si>
  <si>
    <t>Cuenta con  buena ubicación y acabados.</t>
  </si>
  <si>
    <t>Elite Group</t>
  </si>
  <si>
    <t>SONIA</t>
  </si>
  <si>
    <t>https://lh3.googleusercontent.com/pw/AP1GczNDPjkE6zpPfvLVR1-NzEW1wUhS5mIloEY9a1_qxTCVBsqP8rck8SUAuDeiXPXsk2H4OGxWQ8_QKK3PV9kt6PQ6K7jdKGmLZNAk0bYw6uE-JxngrMs4=w1200|https://lh3.googleusercontent.com/pw/AP1GczMf6TI65UBxCOo_DUnjVmC11-ngt-cnIT-iXCKoyW284LX9sBiDnzRXdvOsqhjXQbihPldq59Wq46bVkUvKwNxtPxiun2s-N9twnqFlnAz6oiz_Zvp7=w1200|https://lh3.googleusercontent.com/pw/AP1GczORQq98ciYwHOxV05j76EmywEOBo7cCv2kSzzapdKK8QkZJStsSMOikrgzwKE0W-Lafml9x6Ih6-F0J-Pwy-cnpXfcja7CeuBj-1G3kZ_V3p-xFRBw3=w1200|https://lh3.googleusercontent.com/pw/AP1GczOqP52SuyDrfLrWroI-G1YOvmeCBeQC0BhvuPe6E4QJF8_CnNKVTf-67beF2iUVa50vOLmRze6CmCarmTdM3JX4euLL76MAsOr1pVvMBJc01DRqjwwf=w1200|https://lh3.googleusercontent.com/pw/AP1GczNyLlatWaK5RFaFDyFINO-kuIptmqxZ62FAW0P-Rb4wwI4ypoHAiZGU3DngNMpdvueYY1DNHFIFbn4xXuKnEuvhmKMlXpyH2HYgH-0lv6oFwS00RnZ0=w1200|https://lh3.googleusercontent.com/pw/AP1GczO4x_LDtHAwhYDvBxEmPQoBEfNJ9sOWBMeEMu23DGe0HkAaidjRJKqEmIjPqEB4HavQzaY-NiX-Tb-8AFsf8Apt2S9XmBkkVkcu_C6C2ohGfm4C85g-=w1200|https://lh3.googleusercontent.com/pw/AP1GczPAeNeoKUJ2I5Eo4svwP4Hlzy9dgvEi0Sw0UJLmtyrJ2i7GAR48xyqEjB16I2qU4SwCOLMbnd37H6Gnc8O6xVYzQN5K5uoPr3rfQYAxc-5vgEESfZ50=w1200|https://lh3.googleusercontent.com/pw/AP1GczNr-MB1QhqJOO4FDz5lR6L5fhbgAj-eZsxadIoUbdCApmTyBS2SdTfLWQJJXr3lqWEdFxgWFxDBPjJsJ6FvgrHgFkb1HUFAP7o25kkfMiSC5FaljHg6=w1200|https://lh3.googleusercontent.com/pw/AP1GczPtZz2fC3CydaP3Oo9w9nSwIzd1E3-hTDYTrOyUbe0JJqjVrtZh-ciGSsbxCqW3aUlSAAPXtS4tSsJSraIUovdhUnttn4sojukmbQmT1Ii4owNEaj8W=w1200|https://lh3.googleusercontent.com/pw/AP1GczNDwq3gYfkDm9Jaa4SXzP3TF3ePa7j6lXpIg4AhJlAfdQdYq1JeMDq5Uv0CCGCmnRuxJoLf1Bcod2K8PXk0E0KsB139C9HmzmsJYgYqjQHj6FVNB5PS=w1200|https://lh3.googleusercontent.com/pw/AP1GczNRakoTAmvGv_RWUYMY-GcTMIvYDHszNkaY4UUuWTUeoiZTvw4ReXIJjU-glDkntYFGdGCj6nUf5DveeDJ8WBIxIDzJsrDq0RHeQlEXqmiP--tUUZe_=w1200|https://lh3.googleusercontent.com/pw/AP1GczMv39XRruzZxYLuTejWfueYg00DdhlQ_tmzqwwzgYtc1hOleZpjRfmQoLIATzeNg9KS0esTiPnnXgt3Vqnb8kPOiRGgJpw88heh_v-3P-qeu-eY7KqM=w1200|https://lh3.googleusercontent.com/pw/AP1GczOzSt_ZiqtGxx0ORuS_0Qd9DQ3S3_LkWTpCsvBg3Do_p_2RDRw6-BGxBV5mhNHsmD_I3DyziDsi_PdmT0lpElyMng2DFbjVwu1v3kLaeZYRgeqkfupl=w1200|https://lh3.googleusercontent.com/pw/AP1GczN4OzOM4lopOWcsRIH8fBp3TsbAJ5z0qhCB3WV3nZjRb1CO6J9t7i_q7WnakHe_uMDf0qAjA9VmYekOAYCjIgPEwFFXQ5vpiWl3lteEG7u3AXiuhn81=w1200|https://lh3.googleusercontent.com/pw/AP1GczNX51v0HYrLHvLNw01pWxBDzDUDvts0FjAZYiULmbpAkjq_FGgaaAuZ6fHyqykS2Ml14L90MSUllwVmUZesTxdd3iDpLzTkO-qq7BZ1-PqtALzOlg2E=w1200|https://lh3.googleusercontent.com/pw/AP1GczNorBLq32kiTZwOsHLTW4sYDjYZejWhNqsXXvOt2_YUuOGzfAmYnlI9qhZifJ2WSivRFQQDvGBb4XdX5vOkLAURozr7X7J0WqcIXcNnRPOfeMTInDr7=w1200|https://lh3.googleusercontent.com/pw/AP1GczOdN5C6EpxfDBVUecWC71yOwHRhWmymKOxotNjx6mPzL5xQ5cWuwXIF3lMQU7i4dR_5da6dCAxuWU4mGbUrdNdYyYrQAQ3YsQTlMjko-EzhJapNvOZE=w1200|https://lh3.googleusercontent.com/pw/AP1GczN1qlUTOewPiupYmmNLGnswJqnG-Vjd9JFwwrsFyHbdk5tVC73cvDqk5V2hvfNRnqSbzTX2IJuJnkXVNIKz1FAeN78Wcnmm4qSEUrr1pMrbEXM-Nr26=w1200|https://lh3.googleusercontent.com/pw/AP1GczMpJEZRy6lOkArr8wvlHdk_-mEsM3YFbuyY4AFeBbezSgxhtHz8U3p6REQ4GwmaGreM1NyF75hO1_Yw9lyB6t_-pVUpE9Uug4dqcDlAaBdbmf2MuJ9j=w1200|https://lh3.googleusercontent.com/pw/AP1GczPjjsAHJd_uoTjCSTJnxekmdxh6KF3sRnjz53boH-L6aY6C3dHTZIoaRCQmDvIc0fUOHrcmlkBCw2m-osGcnpkVbdGyWhWLNqh6L-u4Xj3ykDzikO6e=w1200|https://lh3.googleusercontent.com/pw/AP1GczOaHCZP9lJzAYp6_J0HkX8bsDYvKcpzXnwNji-KimV_uAkSGBVaGv9-IbOjqRxVw1Zzu05L9szAAmv3Ehp5kUu9bfQOKBN9PeRyBRHGXOW8uMk7tOHs=w1200|https://lh3.googleusercontent.com/pw/AP1GczPcSF9yoORKJplmBWFiX_V3fwBRVDSArOxwvPnuDfepVLApM7frxP_pXpilaAp6vmithwk0oyrup0ELr7-4OXitMOBXz1FEhYPH_PmUybieP2TRFecp=w1200|https://lh3.googleusercontent.com/pw/AP1GczNU4HhWeYX3vzxrECZ9othSa-d1C8GlzXdPS4Qgwx6Eb3XBBdotUKcCUQGCcR0cv96jks0QR3QAfZqPibDFrACS-oJJr26oK3x6kNre9JsYtHECqSRY=w1200|https://lh3.googleusercontent.com/pw/AP1GczM2Yvb75iiJ0F513kxoymRgONg-Y0ZGVN1McfRnSK2jK_W5avbMN-saw_HLcr5YspUwhALmF0cWphBqtHYPZxOC7gGkytQrBIYkvS0QO05yyeDpTZ9j=w1200|https://lh3.googleusercontent.com/pw/AP1GczPQAMsqaIyJKrPYdN_DaFVgWdxLN9lTh_4r5eX4IFBY3FoeN_5uUYqqEzkk5kO88bKOjrGWe80tvFdPraxoKeBOYBBh7y3noWMzo6Jtz2n_QVq0u_i6=w1200|https://lh3.googleusercontent.com/pw/AP1GczNrJlth_pGdEfGduiH7vRkuPEunMkMJn8dkklcgjl7hdERlTOR3KdAbccLiyoaB35Oo5rstBaT0xDQEyTne1LcpgwOaa_4QeX3wT4UptNYjUdLJfOMy=w1200|https://lh3.googleusercontent.com/pw/AP1GczMJ5bZLRt_kt9tzxnhwuff3o7nnKyn34EYpKOwXH0_xQDDrAysmVjbXR5YWrEGq9MPrW7ZsuJsDImdjuXjogDdsGiD6NfQ_-A7nXxq7gtl8y_FU2_EM=w1200|https://lh3.googleusercontent.com/pw/AP1GczPCPLX0jYxQCSZ8AQqzo6wwGnfXpBlUbUZpXFC15qnCjHmwZ6ltnNXGCS5Xqk5avPpr3uNCrsairNuuLxP7m_wkDGopYdCVKS8Cly4ii1TKf__EoMLZ=w1200|https://lh3.googleusercontent.com/pw/AP1GczOr57NJ0dNjVyg_ZSYTYmVkmhJ_6TuLkc6zTkmv2G7HTip2NJw2Ymn4k5IJy_4s4zLwlBLPSBJcC5RqxyEIozLzLhtDErn-CcD0D9EjuSgDxVOn8XsG=w1200</t>
  </si>
  <si>
    <t>795</t>
  </si>
  <si>
    <t>Local con bodega  - Centro</t>
  </si>
  <si>
    <t>https://photos.app.goo.gl/bd5jecrgrv9Ki9HN9</t>
  </si>
  <si>
    <t>Local con bodega, cuenta con todos los servicios públicos.</t>
  </si>
  <si>
    <t>Cuenta con bases para construir hasta 4 pisos.</t>
  </si>
  <si>
    <t>Calle 1G No. 10-40</t>
  </si>
  <si>
    <t>https://lh3.googleusercontent.com/pw/AP1GczP8-rqzjsdZZ-P84EkoiPLbr2zVW11lp46rNfdNWj-yWpWVA5mvy2ivt1Qji5SdRYTluucPqYW6DSdTDOwg7zsO4uoBODgCKfP_t462Cv3L8XHAPktb=w1200|https://lh3.googleusercontent.com/pw/AP1GczOYD46QhWCFVOgvvgktuZ5H16GnctX5qG-CmlQtHj635FwZONybBbG86Gi5VENe6tb59Z1R2pxvISueA2BUJro1uAJFJEBf8fDzWfNEKpuNVktWkft-=w1200|https://lh3.googleusercontent.com/pw/AP1GczOy90EjC5t75doZaj9MyysETs5vPXU0_JfEA-lC8ubvrjXSrWV120iNAAnEiTfzGJYvq7sr0nK8LXDQe1Ui_UeFylQmJd9kb1jX3zC2LBZ9LfLPZvxf=w1200|https://lh3.googleusercontent.com/pw/AP1GczPZCcr2rKm9R0H6MGdC9OTcrbWH6XokB8UIjly76iJZerNXqmW_tth5q31Fdiw8lbiD62die0PdRX95MEvGQxjZg4M-v3HunMRPN7JHXtVFFFGLystA=w1200|https://lh3.googleusercontent.com/pw/AP1GczOM7zQHQnmnDet_FFrFSxnUdR0Eqz890MZ28zCtBm8WgnXMuKbVECTuB4Fr54BJPFZL6aQgOxviXXqQfg00YdUNSQcSHz0ZUZjswlYWLMr0fx-QmVPC=w1200|https://lh3.googleusercontent.com/pw/AP1GczM6pWsY9g7lq8CzKMak3Ae-gAVEPk0r33SGUcBEX9-vrYTQYxLvvOBTidppH-8UtXpV_6diUcFCMQDZqGxybXbRRomtu9BD_D-8g7vI_wNOYd8r2fT3=w1200|https://lh3.googleusercontent.com/pw/AP1GczOKSlRv7APAOy_viACCVBldu2Y8hQvibCIhGf9hYtNBS9U8BaustBmGoakmQiLOAvm-23QZ8xwDYa-feR3tcZw74ayMnweQl-0eEfoOHQsU310JeOj2=w1200|https://lh3.googleusercontent.com/pw/AP1GczM1ToWgtaCyDj6PavMuqN1Cm72RdjmPzYs5gwe0IogFBEa2E9CZZVZcD3H37gVxTVIyCabFTVV8DlTIg02OUnUQs5nfgtGr6PMKp-CPwRgwBI8V1cUW=w1200|https://lh3.googleusercontent.com/pw/AP1GczPxB9PQ0g8U0O4uUgPVQ2nZQTQuwpuQL8g5QFIcjsIrATXeQXIvxuQPy2Ls_S-QFIIrQivt1jqzH7f7tS7YoR0HKw3Y27zK7JTxN_y8_cYP93f4TDE7=w1200</t>
  </si>
  <si>
    <t>049</t>
  </si>
  <si>
    <t>Casa en conjunto Condominio Terrazas de Bizancio - Oriente</t>
  </si>
  <si>
    <t>Conjunto Condominio  Terrazas Bizancio</t>
  </si>
  <si>
    <t>https://photos.app.goo.gl/6N15LVqjsf6ZZ5Py7</t>
  </si>
  <si>
    <t>Esta espectacular casa de estrato 4 se distribuye en dos niveles con acabados modernos y de alta calidad. El primer piso cuenta con una iluminada sala y un comedor independiente revestidos con pisos de porcelanato brillante y muros estucados en color blanco, conectados por una hermosa escalera con barandales de hierro forjado artísticamente decorados. En este nivel se dispone de una amplia cocina integral con encimeras claras, estufa de mesa, horno empotrado y gabinetes modulares en tono madera, además de una sala de televisión, baño auxiliar, patio interior, zona de lavandería con patio de ropas, una habitación de servicio con baño y un gimnasio privado equipado. El segundo piso alberga el área íntima con tres amplias habitaciones —cada una con su propio clóset, aire acondicionado y baño privado— que comunican directamente con un sistema de terrazas exteriores. Completan la propiedad dos parqueaderos cubiertos y un depósito privado.</t>
  </si>
  <si>
    <t>La propiedad representa una oportunidad de inversión excepcional para quienes buscan un estilo de vida lleno de confort, esparcimiento y total privacidad familiar. El mayor factor de atracción radica en sus espectaculares y amplias terrazas del segundo nivel, así como el balcón del área social, que brindan una vista exterior despejada y garantizan una ventilación cruzada perfecta junto a una iluminación natural envidiable durante todo el día. La enorme ventaja de contar con un espacio propio para gimnasio en casa y la comodidad del confort térmico gracias a los aires acondicionados en los dormitorios aseguran el máximo bienestar diario. Con espacios listos para habitar, una distribución inteligente que independiza las áreas sociales del descanso y estacionamiento protegido, esta residencia es la elección definitiva para una compra inmediata y segura.</t>
  </si>
  <si>
    <t>https://lh3.googleusercontent.com/pw/AP1GczM67fB8AkBlCBPFSvmV7dRnxB-51MJa0jsjpDzvJW2Lb1Efc6pm2NHA5RSj99GCT5gPjNjNgeYZGMqnQasjrsSecS2Nja6QIBfEWnOcMIdPpUToPIfG=w1200|https://lh3.googleusercontent.com/pw/AP1GczPpKJlSkMvOWCzomEjxNSzoDUv71_EEaq1DuFN1DrSidpG3DoQQOHulFBDKBeQjFFr1AXWZYt0NGAOwQbWLU4FZGEJPrHstFGLHL65OF4A5S05ZrE8v=w1200|https://lh3.googleusercontent.com/pw/AP1GczPY9qh6ySpPore2fdF3dsqOjkCtbtmqvEUhnF98E3EK0dkaAP5fpmsDQEIG1XG9QIcfsI4_mux7PsfKYJezBkca-nENuVnm6JwrIObCuTB2O_EljtJc=w1200|https://lh3.googleusercontent.com/pw/AP1GczPDOUlR-AlHYMvcxaU9hP2tXgCL_ijp0XetaBW7tXoQVzeIVhD1KJwg0G3ldGUFhYKH1zEgdKaeCWrldmPCE3WAOEYGMFQvdkPI9Npq0_6_vT38dG9I=w1200|https://lh3.googleusercontent.com/pw/AP1GczNqGK5J1jSbrK6iZgLk-2gMJvhwKU--LSV4-NkD8P6bTStxt66CqyQe9_AJp-TLDEmBfjqZGFrUrUQkFFmiJW_oxUZhflQ35dGYxLx9l9ND0bCJqPn8=w1200|https://lh3.googleusercontent.com/pw/AP1GczMllXJLN_oo7lyH-rGtorVrOBszKBKFMKcHhV674yyDCCN8OJnIhmZ1DFkm0E_5uK7FIaFCABVSWHXAKjY55er6A7-bxkKlzfIryYlXi3Yve9J0is42=w1200|https://lh3.googleusercontent.com/pw/AP1GczM2gbw8lrfDHf2NxrVVkxh7fUrnIbQkiEfsbzKA6V-kfxE3ELBymBxehXbg-f0J3nMGRiL5BBaYfbsNX67mvE18taL1Zov7heV549BiqpmU31lrBx_u=w1200|https://lh3.googleusercontent.com/pw/AP1GczMSE-pHvbE70H_V-jjVcUD3DnS9-V-eKlFdvmmzw48I-cQny-aqPgyeVATTLHvg_UwNbhDTjFyImK0OyXs6eCJNHvYG9tZfOE9A3X3ziWmuXyzOybeW=w1200|https://lh3.googleusercontent.com/pw/AP1GczMdv9TwBSIeYPkMkfveRVMVNkBZbMANh5eF0jOLEXP6g5J6KY686mYQKDezfNGhuhMEizDSQ2X7P5i0AGZSCU53E1GHIaE9kMWaJuoYJU1B9nHJGW8Z=w1200|https://lh3.googleusercontent.com/pw/AP1GczPRjtrrNPiBv5yhSLK99mitL8D7W4PnKgXoD0kK2a9Kexmx3QDsSgix29123YmMvgrbFj67pEaa3obvAC16riQhhKDRfenvTtGKtDZKW6Cte5EYTvoY=w1200|https://lh3.googleusercontent.com/pw/AP1GczNEcSoFIlJ3mwmlfiFM4ZZ_hraxc3hT0EVKYp9X_BFsjZGaKGPMea0P3X8w0E0xXDwaZ9pljgvbqI0r0sikVzAoHNhy-yBDjBtXNc2Uqg0NfwloWsra=w1200|https://lh3.googleusercontent.com/pw/AP1GczNKrYEK3395sv89ZvYk-ibBpL16wGd6ppSXtOYCdvm8lJdrq5A2NEm2o_Hz7WHnG-Vow7s3dLW4L7Rp5zbTuW73W2nIUa-fB49aQgnXH49DHZt7d9GI=w1200|https://lh3.googleusercontent.com/pw/AP1GczOyowpq3ILd5kJf0lMXlRFlzLoLMdx-rfsGbfqvopD-yBsnT_t2xhSPjqmVSMvTA9QvYw6TxerE2IEEn_Zmn--LLPkvNz_2kgtrRx1pM8sRhRXfNmMZ=w1200|https://lh3.googleusercontent.com/pw/AP1GczN4rcOY2WFzNNaMsBQPSXxF8h2Bs1-sTBsfvKnKoYxOoEUEMdSPnC0IQR8_JjIA60F8wZqIbRxTk9JOEW2chn1D2CwY4CV9O_kiEaR7kmrbVbBIS5QH=w1200|https://lh3.googleusercontent.com/pw/AP1GczOo8e7VXt79VlNxS_TTdAtcWq0jEBpqDk6ywDpR_dFDO1iNCpTdDUH2AxJgZLIjBZxLyoXsSfLrMsq1dowFfQKxF4iayLiyU7wH4C1h9nprXF2_1_XX=w1200|https://lh3.googleusercontent.com/pw/AP1GczOob4rC3areJzOVJmDp0zInYeWjiJJ0r1dT2CcuX92BhcmpbKNS-xhobraJFSV5W2S9EMP1PTkn0kXxLhB2X2J-oKk7DF9n4A2EMg_wHIdf4VDJtBxM=w1200|https://lh3.googleusercontent.com/pw/AP1GczOqbPOBuGH5RLQk8ojoRAc_rob7kFnx78h2tA4sP-j-XDEZ1LJwofwXq13xFBmdp7SguSPGkLrOufN5jCy1X7Omf4xqpDlIQoqyae1HUgwMffqxfCuG=w1200|https://lh3.googleusercontent.com/pw/AP1GczM9bDZV4yOapwHNdAAJhw_xCw6vSc-cdzsU46xmP4tsWXA_Blh7HtkKentg-ohjzPOGkW331kcp2IvvEUQKpDvYiU2hdicKufQiH2qWjOeJs3KuZvyH=w1200|https://lh3.googleusercontent.com/pw/AP1GczPHn8BC_VNW324UlyzHOII13dEpjokRHgSyN5-t2l6qclCLyGMN3xIvrW5as_GxEHNk9GC4Pj-O_VKi2wkfzEE-6qZW5I_2z8QNDRsogSGQOPtvPMcL=w1200|https://lh3.googleusercontent.com/pw/AP1GczNZ_efDcEf3Gjn1OTlqLd2rlgTz_CYg2BSTnYFPJxXKk99Phs9HjYDEFzGlbewvyq3VKPhqzPNwKRXHV-ydlETjguZj_In2DT64qSFEHtrjB54l-vy2=w1200|https://lh3.googleusercontent.com/pw/AP1GczNMfRovRa46opsoydtB5c2ObYqgyqouii0WfdN3p1_Fk_YvyLIf3-5lYufScH8ydUn6HKq4iryKrGeS672MsdKMuHrAmbVq0S1ZyGwmgMNXlqGOKLZ4=w1200|https://lh3.googleusercontent.com/pw/AP1GczN2vrOgH-wRUbQD6i6ZTl8qV2SQY-zeKqhmME3rASelRhyYoh9R8JeK303uTZ1mg2mRC3QO4KwbavXPY-RSTThdPOC7hSqbPAUeCsnXCd5AAe9Z5Qzo=w1200|https://lh3.googleusercontent.com/pw/AP1GczNNztER0RGCfV3HBuhgAxVWiRJSSJD3i3tzaAufESk_sUiSPAQxL9hB9WqKU8FuIckt8fO7tkWGR2Fb3W-d4QrzPP31Moj2UftRsBBPc9t6ANvcJONu=w1200</t>
  </si>
  <si>
    <t>799</t>
  </si>
  <si>
    <t>Casa campestre - Vía Vegalarga - Oriente</t>
  </si>
  <si>
    <t>https://photos.app.goo.gl/WNmLxvQgEk5W8CEC8</t>
  </si>
  <si>
    <t>Via Vegalarga Area Lote 1,700 M2. Consta de: Casa: sala, comedor,cocina integral, estudio Tres (3) habitaciones , principal con baño, Un baño social, habitacion de servicio, patio de ropas, parqueadero cubierto doble. Casa Mayordomo: con cuatro (4) habitaciones,</t>
  </si>
  <si>
    <t>Cuenta con 2 casas, árboles frutales. La casa con buenos acabados.</t>
  </si>
  <si>
    <t>12 - LEIDY YULIETH, 20 - SAMADHI RODRIGUEZ, 19 - PRUEBA v</t>
  </si>
  <si>
    <t>https://lh3.googleusercontent.com/pw/AP1GczPWVG6uink32LG0e8RyEzGYeBhcga1jTwDev8WHdi4JBr35upxbt6KC1StOIp2mg5L7oVNMSQDnFhmwFpAQ553A1k8E7EWRGnFaDjfIQIGh7uhWC6kh=w1200|https://lh3.googleusercontent.com/pw/AP1GczN2aPVJSKlNzqxHrnumIRaJuLAOw-plNgsypBvM8giAKNYmGC_6SZUWqPP7NasiWoMiRTHU1itx9a2AaR7JobXHVZhH-K6oVGwv491VgJv3yHrj8Kqz=w1200|https://lh3.googleusercontent.com/pw/AP1GczMTgV8sHZQ01JPlug2NSIKakgHLjSE0ZM7MrPc2G5VYG9-YDfOsaohR_2VFOnjYM4YS2hRvnZ4FJPgyszpK3Wox6P14B9pkqvHFCq4R29x_jwJCeJEg=w1200|https://lh3.googleusercontent.com/pw/AP1GczMwSSvh97aMsxIMQtKbcHkI1inQMlAyEHwlO57Z-xIagHit8qa1Ui3Kh9EwROeOdmR6Csk7Y_t0HrcQ8aC2wJTZyGPrOiOLdb3xfBk8_iudKhjGzjRV=w1200|https://lh3.googleusercontent.com/pw/AP1GczP7U54S2-CZq_fLgGUvzVjDkqxBxrnM8aBgsPLR1MwM8YO0fTbalDSe8QntT2z7X91C5xjSAjlx2Plt-KL-RXSndD2p1bQ_hbpuj4QnebLs1AHUOlaT=w1200|https://lh3.googleusercontent.com/pw/AP1GczPamAoHw27HOG0z0Mf4reKeoNuiLKBaKR0ujuIgVGK6kgV7ZeqeXFGIzCtgSKVQrhAnR_YYZnjL2JPI5XSTCg0tnuQMKYRrhf04tfYV7ynXM3O9LGhr=w1200|https://lh3.googleusercontent.com/pw/AP1GczOQIQSNcJuU_gobIynuF6q2VOux32tkGrGitPQ_W3zuTnOB5MajsO-5wNRAZUPqZ2pHKWmgZOLugtBNi5P9djl0kZlAP0AVxnIz_vOwA8gKbFKOxOML=w1200|https://lh3.googleusercontent.com/pw/AP1GczOeU-3swoHcIOd3SeXBVKLWTpIKHWv6zafBk4_ZUdsUA__XcF-sL7rJ6v_1P9Pq20pE06JqtXSTGwNHYYr7jT3gqJ9GMb5qlVilBOPbt0dvMExAiXBv=w1200|https://lh3.googleusercontent.com/pw/AP1GczO2uGFBQJn_sd-dtbqLjmIp60rDSNz4O2Q0qr1Y7cQ4JDD6gXhLR8dnBkyQSMsUAW7b2Aeuu1aXWtY4Z84G_S7Hb1TPQG4fzwLqGSx61NbFo8KwS_hZ=w1200|https://lh3.googleusercontent.com/pw/AP1GczNK27HQ0WJTbIq5LnosrNT1eYe29vi8OpfxgaMmfTSiBhIJzBRUO658p5SJegEHhi01noCAdTm5oIQ6rkLoQ2gha7tSXFawZ7T1BKcj9xK2POnbnsy9=w1200|https://lh3.googleusercontent.com/pw/AP1GczPj-fQfmTfkNChERqEuFYUh4Gpj_Cnv8hk8pYl6N6e4VLOzB7no4hCPUvK31FkphpsAUFGlCqABPEZ2PQVB58ya61MFBbCVuVWFivqkVouiKClAxnuM=w1200|https://lh3.googleusercontent.com/pw/AP1GczNK9P-UceQ-tsO5i5BORYBV5L7_60MXDgUQkuG5iMgQ-mz-KovCOGUR5Rr3lFReG4iREbtPPxbk5Ah_zRwM2LbPk4yWqBCeY2s4EpHKAV3qeve3snt_=w1200|https://lh3.googleusercontent.com/pw/AP1GczPhEjF3o2DQDU1vw-1xMiuxbxAWOA7QbuWRUUtxWo1MsnE4EuHYS7pVUtlt_EtHbgWMwS6A3YuCYxQh6m2yRAnoJU-WSIgykn7ldkgUzQTWnG2cVYpV=w1200|https://lh3.googleusercontent.com/pw/AP1GczPbOTlLi95hUMyp2nNtp5FqFsvL9Hy7Py5LuGpTUkwoZ3NJAR-aMr_gHX5Z1t0FICr-2m8Rqco1Imx0_wjHWkHH-BE0Lm-CABd_w3Erc5FfCpSMJpOd=w1200|https://lh3.googleusercontent.com/pw/AP1GczOsfl-iNqcI9_qaeouS_YsXb8bvigVbDTNHJq4PikD0-cgAnB3daogjhpCtFXrOdEW2FdT1A9trAxzAWm10Hzi22gno_bZAkf0LcIonpT3HYWY5LLj8=w1200|https://lh3.googleusercontent.com/pw/AP1GczNOGOvb3CRS0iz6ThfBM1GoGFelfpXW6yrOPAfkgxGjPqMhRv_OO9AIAbcHob2ijFdDaaMdNMZFHmgjm03IIpYhHeQPYQqkMjpv6WCEQUsCcjmdO13d=w1200</t>
  </si>
  <si>
    <t>115</t>
  </si>
  <si>
    <t>Casa en conjunto Los Rosales - Norte</t>
  </si>
  <si>
    <t>Tercer Milenio</t>
  </si>
  <si>
    <t>Los Rosales</t>
  </si>
  <si>
    <t>https://photos.app.goo.gl/DKrxPqY99FULJxS18</t>
  </si>
  <si>
    <t>Se vende hermosa casa en Condominio Los Rosales ubicada a 400 mts del Centro Comercial Único y a 5 min. de CC S. Pedro y S. Juan Plaza. Consta de 3 alcobas, sala comedor, patio de ropas, cocina integral, 3 baños, garaje, minibodega, aires acond. inverter en 2 habitaciones, área de estudio, seguridad privada. El condominio consta de piscina, parqueaderos visitantes, gimnasio, salón de eventos, barbecue, cancha de micro, baloncesto, mesa de ping pong y 2 parques infantiles.</t>
  </si>
  <si>
    <t>Casa en conjunto al Norte de Neiva, cerca al c.c. Único.</t>
  </si>
  <si>
    <t>Calle 69 # 2 - 76</t>
  </si>
  <si>
    <t>https://lh3.googleusercontent.com/pw/AP1GczMquKep0JuAEydT9lFVRY0Y8xEUZB9MRPr3puWKcu-5nSvdw1IVgFbT55AwMQugMk2xH1Knw8XZZkojucFhJtbsRwf2__z85dCIws4g685KMc6VfHi3=w1200|https://lh3.googleusercontent.com/pw/AP1GczMr3DoiLyV5Yeu4OroE3B-hMccd1e80dt8LTbs10uT-7Y_n0WK8CXEudUSGUI0nDmXHf6z97FQ45rnnErh8ViTkKbIZMXZVIDZm-QjF6RhtYvZc4FR-=w1200|https://lh3.googleusercontent.com/pw/AP1GczMfcQn4yrIinXNs-rC_2WzopG4UjvQmKI6qdphjaGj0JPIsi4SCRx2UmTuwT7bF_hwlid3cKT2Ea8ysPoV8zNBudkKJq9oEw8U-FIdY3M2hZAh9TjjR=w1200|https://lh3.googleusercontent.com/pw/AP1GczOEM65er_P7Qt5NyEnWMbvN1xRZn_ynY3eLeOYQ25DBh8BENS6IkOXeLkMwqK0yGHbdJyJ2W-VLNXb0Kmbgvq5b2OMdHCqvC8-qBOesmQaO01GpgGrn=w1200|https://lh3.googleusercontent.com/pw/AP1GczNQbKoaHWdIRgvcs5o_Q8DAvS7V3Gn9SeL2gy7wVu-XgFiilgWZBz-5sQni5s8N4AxCih0ffR6BgdDXymKjR1H7fScmj9r-Q3mshhvvWpHBTNEly9V3=w1200|https://lh3.googleusercontent.com/pw/AP1GczPfdnsYbIm7MV3XtQgB5alCVIF7Pz4jivrk_fVkPEamMOGwXZt6XKjDCgwz7Jd2g_RtkOEosaBX2vttizO6LVFxCDAA6Q6_hIIJscTyvI0uzqpd2OgY=w1200|https://lh3.googleusercontent.com/pw/AP1GczOdMNvqT689HD1dFybKRo4n61Cu7QkMic3S2ZOiOTkTeki6ssT2fArYEIBL0cscpGCNIfRgagfpKDOeIyCgG5WUUbZR2Tk-GpWKVqDNOOgJV2b1a5Aw=w1200|https://lh3.googleusercontent.com/pw/AP1GczP3kMOQVoeUALMHqE0VFpnwilNKVepJ0Y98Q11O8qQUv8bkQLWqXgfZ4X3QxZLRIb7acCODtmNxU82cGywHiXBYHkbqlElOypzwQNKW8g0wCSWGVuQq=w1200|https://lh3.googleusercontent.com/pw/AP1GczMcgope6j9e5Ca8skurIQ0sY_UlgP69fkpVDTn9vTBzrPqU6hUf0fGQ-O0c5TKokd42OMEewYIgykkCJ2JNdRMEOs9rXqn950fqKj3OnoxwUlatnCvt=w1200|https://lh3.googleusercontent.com/pw/AP1GczNmfZf9rkl4MSluiegUsdLblIMU-spy0lVmCrEEnY6y8T5SnPCDbfg8HF_v9RB-Q3RBgSxfnXVy8y0ATN5dFW25UJ2BiFL_PBqKzXfbK6vvLxdgeXKk=w1200|https://lh3.googleusercontent.com/pw/AP1GczPw-DG2sF29EYc5uBhu5pH2yAEVVhbN2sNkCodF5wu0vRqBcX24Enog27WOm4oXUpA-x3xI_qLBqt0Qw9vPTDtNvcpx2DqqvXzi-Uc8Z0wKCRbl8fzI=w1200|https://lh3.googleusercontent.com/pw/AP1GczMmJ_EgwvImhZFsQie6rYijWjXCYP3L3fJSAlKWvj8CiQIXNKpJwSbslLF8rYvPH0Cw_O32IxHYu3TUZwuunPAgxa3EfmfvP2UdqkBBlBSB5iEU_NzO=w1200|https://lh3.googleusercontent.com/pw/AP1GczNTTqBHm0zGGF0BkCLXiyREIjmghqiaGexvRSdyflEbe56uM0gv5283TkmxH3V63tk5p6VhXG2zD75v1UIng1Q1y1j7qJFL2y9HckUtisytsuHtwI-T=w1200|https://lh3.googleusercontent.com/pw/AP1GczOruh2DJUxv8Yv9WvB5ddmgfs5iUf7oT1GEiHe9HzPOhFxj4kARQ1tNPOaptJ-AsbJtnb4OLJxPlGX2Pvwt7G7-CbAtaYEw01J8eex6d1totCcVvGQ7=w1200|https://lh3.googleusercontent.com/pw/AP1GczMiRUhqBtmoRBKneRy6jIskuKoCsT3OdXPPlN1HScTNMjjewVy1_C2yGsX1bNfNvKyQfjRRAte_1aZuF90fSh97-X37XtnGR8g0VlwcivgFwjjmV21D=w1200|https://lh3.googleusercontent.com/pw/AP1GczNJ33zlRU9_VgkvFqcjZR0E0sYG4cdx8oO8TyC1utKy808u4VpfYnmGVrlLkHh-d4YLPBXrbLoMvwPQ3weZxd7j3S9uPssxWQ6FKt3963MFEt0MmJHo=w1200|https://lh3.googleusercontent.com/pw/AP1GczNlE0nlnY1n4hCrgua5BHdNmkrkKNYgoILw2sntaIx_huny_T1ia04m4sfWMfjm4DBzersxkaUqg22PmYF_GzGD-LLv9CS_zitutna_Qvfzoth7lvWC=w1200|https://lh3.googleusercontent.com/pw/AP1GczPnsyiCAUYmYmImjwleQAkW4HE_WA9pZZOW4jxXDZSdr1Oz7RQwOYOdP3koAt_oP3lcFAo2K0LlK9doYE_MPYIr5eHQSw-p2MlYi3KwzL8eruH4aP2i=w1200|https://lh3.googleusercontent.com/pw/AP1GczNz-B1CDQWaWzA1930BG5YcJOZaHmTSExXW1t4qc96aZ24OVJTkF4Tgi864zsMrndxhh0s5uL26JilxevHoyHlbI2t62zm4lcioRNiKYBEGTiWTLEyr=w1200</t>
  </si>
  <si>
    <t>121</t>
  </si>
  <si>
    <t>Casa con 2 apartamentos y un local en barrio El centro</t>
  </si>
  <si>
    <t>https://photos.app.goo.gl/1aNYHZQiN449kwTA9</t>
  </si>
  <si>
    <t>Casa rentable  bien ubicada.</t>
  </si>
  <si>
    <t>Buena distribución y acabados.</t>
  </si>
  <si>
    <t>https://lh3.googleusercontent.com/pw/AP1GczNzhu1QM7MA6WlMTy8mIM86zrb9KDU6JkeaUkGVAPXIRxz9ljIqnsJ12cjMXXzJdwCGV0LKzmr0i3TB1YOSaS10O__KcG4785aJJ6OQf3W-9-bE6MRB=w1200|https://lh3.googleusercontent.com/pw/AP1GczOFUzNi5gGeynYg30wwwDhoWBO5bmT_pvw20FmLTtf7bvIZnJ092fQ44vnQTMgCunik5s1jtZXco6rOyFKfgiJ-qJEAFwIXRChdY50pH6_Me4uvr7tm=w1200|https://lh3.googleusercontent.com/pw/AP1GczOWMx8iE0jJ0Cyw1cPW-bgWaDOFaCvv9n0_Nay9B7FgqTZRxYTkfsKWkIfpjIXvmD0Tcgsf4hbPVToWOKQejwvUJQOJBKYvFfCMA0utdCwbWmY9Bo5u=w1200|https://lh3.googleusercontent.com/pw/AP1GczPkyoPZzcVy0DVXreliQ7GSYNpMY532NEYKpbhyHme5YEF6KRoKKGpw3qcPOCCAfBdAbmt09NQxwsL3U3m3r-jd70QUuJFuP_iJS_dpBCTy1sksm100=w1200|https://lh3.googleusercontent.com/pw/AP1GczOzanT329RMGVfBXCMAvzsDgqF0yg2btDKMWd4MUcnwe5Ht02XWvAuO1ZWR4YvXqBV9TijiMM34J18NKE1Zcaqd8qkeOGQtVxyvVIREx0oTdfo62wHC=w1200|https://lh3.googleusercontent.com/pw/AP1GczMldsNHLltG5-FUAtUq-hFfXkYdrbgx5RYnSTuogbe9fPZ5waEsKkUcguAcZkXScb6X4ObnhLAKxanWzwko-lTGetWqG0xADT9HqfyXm-I1jLfgGHz7=w1200|https://lh3.googleusercontent.com/pw/AP1GczNDYOYst7lMWqGcdoDMXKeiAzz_q3JvxXFaMCyV7lpRTJxTcQoIUmNbpKALC85f8LJj1y29KFr9VIHFpoKY5-it65JfbR_XLGL5L1asgMwmrpfLYXOR=w1200|https://lh3.googleusercontent.com/pw/AP1GczPAiQdLkVMBotEGmxJswRWoM18smxBG3WznVVHlmKHyDyH0TTLYOSkJew7BxV3DJCQiYUG-wTu2E3imQHsItaQpdApKI0Zd8WdW2z6K0KaKmbcvgzxM=w1200|https://lh3.googleusercontent.com/pw/AP1GczOVLc58P0L4BzMXdhJnHp1hYjzBRbY0dbycyIhFjz1du2VYQmd8aCyZNa_8kqFXU0NfZj3JsByrkQhyiroNijlqc6IEIJHNlYepD9zXhZYlC7U5Pxe3=w1200|https://lh3.googleusercontent.com/pw/AP1GczP7jQ1o4d8gvJ3P18UBp88dQXSAIeFSXkNUG_8k6awUJbpOAFVVALnMDh4Si42rM9il6ChuObgsz4hOQgYCl3Iq1vp65nrA3PNlH6hN0WAqTNMo3ITz=w1200|https://lh3.googleusercontent.com/pw/AP1GczMFBBEkYPftTgFKVzw3LJCiT78vA3T1zZhDZPUHxrRGO-o60lBtAuH_eXwDKBJRcAxYkZ5QnGnnzPgMMl_-0wN7qfQK4q3hM0CQCIYn6s75vyJZtzRI=w1200</t>
  </si>
  <si>
    <t>109</t>
  </si>
  <si>
    <t>Lote en Zona Industrial - Primavera</t>
  </si>
  <si>
    <t>https://photos.app.goo.gl/gbt4mSMkZRRjAaUb6</t>
  </si>
  <si>
    <t>Lote en zona industrial bien ubicado.</t>
  </si>
  <si>
    <t>Dimensión del lote: 12.0 ml x 21.50 ml. Area lote 258.0 m2.</t>
  </si>
  <si>
    <t>https://lh3.googleusercontent.com/pw/AP1GczNJdtgnaF2sxhbhWl0XYgCygDQ82wdma3qKZfHD5Vc-byXsxdz3pkVv2gfZYxtuuMNYVaWpjZjiD_NqKyuhBe4DmYq5S5aMHF5hkfLE0hGeSY4lHOZ-=w1200|https://lh3.googleusercontent.com/pw/AP1GczPqwe3k_PUDHhxDh711O3eh4tdnOvk13BduLrNPlq8Yi0eBjb3IZ0xdbVMqCxSU5q-_zb9hfJVyCrTICN2o1X9mk7P5uMTLidXphV1ikwiei3Bb6Rl-=w1200|https://lh3.googleusercontent.com/pw/AP1GczO40T-JzcUna1xVRRg-KyNcpo-d7vLAc4R4PJcvop0TBpLm2jvE8-aRFIh4KyHCHVJih5p7E59yRHQENeHubBecYBJPqjgeOHaDekGSL2f6cucxul4h=w1200|https://lh3.googleusercontent.com/pw/AP1GczM0M7f2moQTyQklbwpwuNM44ABKDHqluSZBh5K1mu2Ibp-do6Rsv0K1ajMVXSUOJiKZygDp-e6oaB3No82mVZfGl3D00gkaHeOd_YoKddfF7tGlkblN=w1200|https://lh3.googleusercontent.com/pw/AP1GczM67gF602Oul9HwUKBdBLDnB67_GJN0OaW1HD_-duUEKhs_Ogv7-B1baXda2qVLSbH2HamjRg-wp1-b6fASMnq3aMfwDf8q0p90nEQQz2-4Afs3v6-O=w1200</t>
  </si>
  <si>
    <t>106</t>
  </si>
  <si>
    <t>Casa en barrio Los Andaquies</t>
  </si>
  <si>
    <t>Los Andaquies</t>
  </si>
  <si>
    <t>https://photos.app.goo.gl/FWdaZfZxGVZv41UV7</t>
  </si>
  <si>
    <t>Predio en el barrio los Andaquies, casa Primer Piso: sala - comedor,cocina, habitacion de ropas, patio, baño social,garage. Segundo Piso: Tres (3) habitaciones, un (1) baño. Area lote: 72M2</t>
  </si>
  <si>
    <t>https://lh3.googleusercontent.com/pw/AP1GczP7ztZTAfvdn0bBAL2si5TA5QyBHr7Wb4xY8CxOH_P-Kl6Vp46qx5hi39vpzFk6BOK52vM259te5mtFHgx53ZZWi1KoRxnbln4mvQ6H64XifVahudqp=w1200|https://lh3.googleusercontent.com/pw/AP1GczO3geXES1o3p7Wb4qKXD-BnWIHjGYGGoLG2GFdXojwu4lb3uZPYRYdg_gXt4U5lCJxJBVK4rrHdoijmxEo_SlCsvSD7rz6I2IT2H2Y7TzJuXCQzriNo=w1200|https://lh3.googleusercontent.com/pw/AP1GczM4NSojZFqB8XG-xBQfQBJA94Mki9rR4Vjmao6S9k6dXP-2TP2Jo6uNN9IkcLSXCUAsjx8jB8ttIL5fnJ4TB-Dq4BTmM6wN2SRt1V1zCL96hEJRUWCw=w1200|https://lh3.googleusercontent.com/pw/AP1GczPgQXGLTfQe36pXh1YNsNciDBXDAoV6U2wppzcyLo1CWw_opXH_GLCQcm5uqrYN5oWr8teAufBIZEyhNZGJjnfg-gjszdUn8l6MY8zktqtkppUudzkt=w1200|https://lh3.googleusercontent.com/pw/AP1GczOpv-XxPoDhFuqTK9YlBrKlpGlAGUSxoOMOr0BGP2-riXxSWNcFGfmXy0_xQmBBv859cWrIciuV5IKiiKf3fpk1jAF2O7DfyfyLRTWJlTELEjUp8nMn=w1200|https://lh3.googleusercontent.com/pw/AP1GczO39yJ8Jwp2RDPD7ul4Kw7NqOZrtWVQoVTYLDXjQ6p27ld4ETDzWBuYNP5pS6eCUJ5GxrXXzFqx4uKbb7i_AnfuqeJrOBbwn6c7O_0iOnoLCebLQJi_=w1200|https://lh3.googleusercontent.com/pw/AP1GczPmB0EI5Ja4DP6nd06yRLJr0awWfxg77Q3coMQHWeumU_x-x2-bV3RTBlTDurc7egkop18Jmy-xrRCNnKBsfD1pkb97Gj-r0uqhRYyparnkJ2GCQNhW=w1200|https://lh3.googleusercontent.com/pw/AP1GczNnlyn1UsFqyHT72QrklssrwEwPPv_zjnCfCBtDnVwS55sEDq6xZx9WVuYkAsXtZB_dbFjeCIMBRhtPv5gVq_aAZOKnWYBSFdZYbBHrZV97EPzWO5tW=w1200|https://lh3.googleusercontent.com/pw/AP1GczNalljoR87VUPV7CjPJlFtKHeZOUvunTSUUIo0QxIDGoLsUkfC9FgmPqN7A4OkGbSDLjH6ea3TdtYLMQ-jU6HtHR8sTQoMWjVzyFOfuJOGlmBa16Xaj=w1200|https://lh3.googleusercontent.com/pw/AP1GczOXoZ_b07kycKNrMk9s-OM8jIkbdhCyAFftpdIdruyNE6IQYRnyjCU7Ka-gkXk1r8K1BgIWMKYGWB-z6tzkQU3CtrUtcl9jf0UCRT7JQvou-GQoqOpO=w1200|https://lh3.googleusercontent.com/pw/AP1GczNEVVzb8XCRTBPMNsrHXBXmU2kF2zHoIszdvkrQR_KoWAzV2ej3-F2iuKjCJ_jzsBDWYJTf5qwdzr-PHBt3uDZkiqo-WMUDhyJtlZ1MBaDolm-kjJ7R=w1200|https://lh3.googleusercontent.com/pw/AP1GczOUz3HJcxKgfg5pw5bwD4Lf0ElBxDiqCjusK-fbZjWMDpS5osYZj9ZzFe8AbZ--TDUi7o-9B0k3AyLNrSH8-xoQm3z5EIL_Il8IptTbYu_hjDe0gcxJ=w1200|https://lh3.googleusercontent.com/pw/AP1GczNsAxENfFvHtulO6_dpN-AqPuD_oxABsMNMWBAzag7fvwo-_FWjMFUG7WFuNtxuzukWboWX3GiZRZrx72dOdGuo4oh3Uy6S8Zjzwi3EKE3_5bllPyTP=w1200</t>
  </si>
  <si>
    <t>118</t>
  </si>
  <si>
    <t>Lote en conjunto Campestre Novaterra - Vía amborco - Sur</t>
  </si>
  <si>
    <t>https://photos.app.goo.gl/AG4jqsBz5dor6voW8</t>
  </si>
  <si>
    <t>lote campestre  con un área: 1.010 m2 y 1.060 m2, cada uno $120 mlls. Con servicio de energía, agua y alcantarillado, cuenta con arboles frutales. Ubicación: Condominio Campestre Novaterra, vía al balneario amborco.</t>
  </si>
  <si>
    <t>Excelente ubicación y Amplios.</t>
  </si>
  <si>
    <t>27 - Valentina Renza, 28 - ALEJO CABRERA</t>
  </si>
  <si>
    <t>https://lh3.googleusercontent.com/pw/AP1GczPlVRkaJKjIIBwZsmkhnAY9ixfX-ytTabtw8pDRuy5QqQH0Fseg9yupweFM8f6ZeilFVUVZyU24xMDENOG2AnAIXOAG_f7ukMZphAax5nmrFzPGj8On=w1200|https://lh3.googleusercontent.com/pw/AP1GczMoc19tRJIE4XrEAV6gO90k_e3ZfNyGD71xZVoTcczxEDLd8uinTwqjWVydgHmxp3Sp1inht6hSi5Gi8hEDEkzIL_J4BwqLuUIuT4fQIoEM_pgFuQ9w=w1200|https://lh3.googleusercontent.com/pw/AP1GczOScriM4e07BnvO40HB4i4Ds4RQarAyeqee4BpqCecOCc7xFFDCZsk7MFCU0SJ9PVSWbw0bgMGlCOLFh9U9VQ0BMTgjK0MreBQ5orMGxGF2ZIMcTl2t=w1200|https://lh3.googleusercontent.com/pw/AP1GczPQMKxjealIFI1jGioo4hokN2PRJR9z5H22UlXcukMR38rPiLkb8E0YphXs0N0gV9W0wBJtWJDYBYULT4CDpDJALPL5TruwqBUX7IXB0oVwVkcec9Eq=w1200|https://lh3.googleusercontent.com/pw/AP1GczMVe0GnyKL096n5Ob-gICAhUOx0qfF_5HoGNamCxnocoufMQS78mt0VID5lYsewrGNsZLNVhaoR8FYJmy_Wb2Zbd_P8a7Rz1vpDrCvhsaF5LIiV-jSh=w1200|https://lh3.googleusercontent.com/pw/AP1GczN-n_bP0HGowjAjD4MS02Eicm4WaqULz7rQp-OOiJvi7OCrrLppRmjk1QEIKfl5ZPSHPGuhUxtq0ca7KrgJARbh_B4-EnvncLOFn1x8nYT9RGDfMWnd=w1200|https://lh3.googleusercontent.com/pw/AP1GczNAI45h-MZdW7pygGd8jhyglE_XP0CG4GXQc1J95TZ4SkJfIHBCTZyzb2sVEnS3XJFytKiu6tTemRNF_cqzD6LjxEvRB82badpRyAzoAirv5qaz_CsH=w1200|https://lh3.googleusercontent.com/pw/AP1GczNuCJCYcAMfxyjXc9_-nvDJU2G6atXX28XTf9E3LEqteocmSvSDzqn8IBFtUdNGFQkHb-ryN4xGg5aOysOEcqBZc2y2aJkqwmWdF9YxMw_j_18fJxkz=w1200|https://lh3.googleusercontent.com/pw/AP1GczM2pZMNRDVVf2a5rzDFYamji3eRw5hCKMx4eV8WT_yIrerb2HxXw9TN6r0RVB1Y2MxfEV2gOKCGVQGY9UvjHfTwjxvDAXTGXQ5Pglqb3WRM54LOQp-_=w1200</t>
  </si>
  <si>
    <t>736</t>
  </si>
  <si>
    <t>Apartamento en Conjunto Torres de San Telmo - Sur</t>
  </si>
  <si>
    <t>Conjunto Torres de San Telmo</t>
  </si>
  <si>
    <t>https://photos.app.goo.gl/SuQbu7Hcd4Nxhod29</t>
  </si>
  <si>
    <t>Este funcional apartamento de 55 m² en el segundo piso del Conjunto San Telmo destaca por su distribución inteligente y excelente iluminación natural. Cuenta con una amplia sala conectada a un balcón privado, comedor acogedor, cocina integral moderna y zona de lavandería independiente. El área privada ofrece tres habitaciones con clóset, destacando la principal con su propio baño privado y un segundo balcón independiente, además de un baño auxiliar completo con ducha para total comodidad.</t>
  </si>
  <si>
    <t>Ubicado en la zona sur de Neiva, este inmueble representa una oportunidad perfecta de vivienda o inversión en un sector con la más alta proyección de valorización de la ciudad. El conjunto residencial ofrece un estilo de vida tipo club con vigilancia 24/7, piscinas para adultos y niños, parque infantil, zona BBQ y tres salones sociales. Su diseño con doble balcón y su ubicación estratégica lo convierten en la opción ideal para quienes buscan estatus, seguridad y confort inmediato. Parqueadero Comunitario.</t>
  </si>
  <si>
    <t>Elkin Figueroa / Menber $180</t>
  </si>
  <si>
    <t>Inmob. Elkin Figueroa</t>
  </si>
  <si>
    <t>https://lh3.googleusercontent.com/pw/AP1GczO-SR66wfVTxnLSi11DcMXO2ivvO1ZuVJmTNUV1YM0lBpr4fq2EE6c8SRaOKMcYPJWTNc8Gf_b1fa4COHoOmh4J6uimn7FvZbgfxj6B-AxxD_V6E8py=w1200|https://lh3.googleusercontent.com/pw/AP1GczP8iw0L0je4bCr0V6qpsj9fk-Kv51ZWP3CvQCotDx6hdLqqnp5xNLr8-X2qRiliMpPkSHpFW0MHbYec1DDppW3MNcqqpU-BalJgbRCLA8aRiBGSpmKG=w1200|https://lh3.googleusercontent.com/pw/AP1GczNsfQq3Zqe4SFb6_Ily6KkF7ipOa5WCldmitq-bg309x7xeLepXnlpL8TFA1ELyoZrz8kyImXykVQPk3iprEokcwu5oJX2FfV4I3fSUkYCHmo1umYVK=w1200|https://lh3.googleusercontent.com/pw/AP1GczNFvUfE12uAHRH-iWMOxaOWuMwr_ArrukRrIn3W0PtoVVZa-Z4MgWVxehM-jTET00al5eRjKVqWueY1zhQWuJteY3hH1mv7iRIcVqNcxQE6RAh-yoLP=w1200|https://lh3.googleusercontent.com/pw/AP1GczN2Jd08mAJCXxONLHjd-XCV9WzsFhwG855IwbMzMrCNXT-lTyqAlK8nzLxCfwWuXMsxKfmLZP1qhRFQajT5latMJ7VzAWH4ryROgs_dE8_XFqm0yHeg=w1200|https://lh3.googleusercontent.com/pw/AP1GczPfiBNqTO-2XhK0jCT-x6sLAAQyLh0I4YFNVgrJNSpeil27pUM-00K7bVtqbpOpWAnEtp6JPmvdfptBvBIuqP_ee2UrAsg2pJpY30Y-wBzw_4ApHdg5=w1200|https://lh3.googleusercontent.com/pw/AP1GczMUabTpGRt1wNc1OLM20awrWPXdqifX3ou4C-cc_1cnihu-FckMVUYUeyelPXbj6IOs-fH8VMPLmWwxP8LGK5Cdh5Oqa8Nhp0k6asbDWyoDHgLo51JM=w1200|https://lh3.googleusercontent.com/pw/AP1GczNIkvJHaDQIyIpw5SJHURmBXxCPV_ReiNeveoyNRDEZhznNvxRGdhhueEV9Fh_yqQQxqw7HWFUSXkfcsN49O4F1tO3c277m1tOKMjiwALWfX38J4fZN=w1200|https://lh3.googleusercontent.com/pw/AP1GczN-DOfKDM6dFV6matFAaGXwjtZewP-AV3dhHP2cE50dig709D1fsHu8b1_n6i6Tk_aF-8rLr3iXnNhlybgAw-CRrBOfI1sfmOQpU0GaB4iwvxWFLZ_P=w1200|https://lh3.googleusercontent.com/pw/AP1GczP5BrsIZ9wDavNq-9dSBIsMkKOl3nc5nrkDJpWKNcvqI40WvU9n2lpJ7vxvPuU9-LfmNVBmnKq978stgsjIFyhIXJ-LFAte652oPCBye3DIgXnrwNvm=w1200|https://lh3.googleusercontent.com/pw/AP1GczOvFHwBdAzlSWGteOeVA-vD7nWJxlPgMJlrIXokU-0zpg02BVwCzfEUmLeAqzv5GPvJJGOwFCtIgrR70sO1kjbKaUvVSK9cqf4u8rcRJWnPuMopv4fw=w1200|https://lh3.googleusercontent.com/pw/AP1GczO7_gVVxz9e_OZYvtXT6zObUi-af6vZBXtqZcP29QP7sVv9aRB2qgRGb-3PElIkHm69iMWybtVef3FwFIpea9NFABUcJQJ5mA4p2rrasUMLGfgDlLzi=w1200</t>
  </si>
  <si>
    <t>544</t>
  </si>
  <si>
    <t>Casa en Conjunto en el oriente</t>
  </si>
  <si>
    <t>https://photos.app.goo.gl/Gc27FZSNkhmvnyALA</t>
  </si>
  <si>
    <t>Casa bien ubicada, con piscina privada y Bbq, carpintería puerta y ventanas en aluminio, piso en cerámica, sistema domótica con comandos de voz Alexa, cámaras de seguridad internas y  patio. Escritura al día.</t>
  </si>
  <si>
    <t>Elkin Figueroa 50%</t>
  </si>
  <si>
    <t>CALLE 8</t>
  </si>
  <si>
    <t>27 - Valentina Renza, 33 - MARIA ALEJANDRA MONTES R.</t>
  </si>
  <si>
    <t>https://lh3.googleusercontent.com/pw/AP1GczOLeAGZv1ehpFE0PMu3XehVuRSYALHN_f4EJjxvNECMRzY5oZocL8qAUP6EeIuo_7-DhYnyw8iMfh9pHM9dqBjaninCGY-9FSRLdxoI32RBk19PcRbn=w1200|https://lh3.googleusercontent.com/pw/AP1GczNhf-xT_HLu-w-DybU7aTu5-7bTva5rgGvbfCXWB4LOrqPtKFrD7MsuqnTG4aVOz9GFsVqxLexraZWxA6jNkCidrqpfAMmME9kZ1b7qWRXmOXKhi2AT=w1200|https://lh3.googleusercontent.com/pw/AP1GczPJ0UOkyPY2RhvI43ZnG-3LR_HVI_S3W0f_GjKAPxGDv1GnFqGaGW_KiBoNYg31pIaMfn3CKWjwIsSMgzCmddZdUDjQHM2dPLSxSXmYqShkRuLO8Hhg=w1200|https://lh3.googleusercontent.com/pw/AP1GczNovj5kpCmexoVjRO5fpLqAYg_BdWVcPSQMR6AFX6HDfXT32QAzDgZC9AZeMDkQYAqC3pjXbSzr_n9B6K7zO3j1bvUraQdW-uqmbkS7nfPIyEF44fo3=w1200|https://lh3.googleusercontent.com/pw/AP1GczPPd4Qli736vVQDxVjtmjs9PQWWmv7Zd9SWYO4D8n_yB_AlUFlrQPjTNDQSNf86nys6CJukNaIqShNeJs18PYzKlrIv8qjZPc5ki95VMgU__sQQRKmw=w1200|https://lh3.googleusercontent.com/pw/AP1GczM78R2rx9Ara4LrzguMuNV57P07qAeIc1XG_t-MJqvuuPG7ZPBgjHSZU-NQY60abl1uWAnRXXkZe3H2k0fBWz4xCuL3lCGsBcJqSvn6YxljlKBKiruP=w1200|https://lh3.googleusercontent.com/pw/AP1GczNJTZIhUyZx0R8CBbwaI1O5g0hSbVfN78e3tTZ2Ag8dgtsaJuEJtXyv6Df_WyobW10oAFXSWR1kb52uvKAPItA9p4Q2aurrepb48x_coepwSEg5KuFn=w1200|https://lh3.googleusercontent.com/pw/AP1GczPy1dFAB72NrFNgWIdTSlqLYEbLuR-j2EsnELWi9COLnTrnmlWI9Su6JyGys-SDo7Y4UrSzFGqxRPU6F_RAajWlKsMGh0of1JzBrtbA46QwDvTT8ju8=w1200|https://lh3.googleusercontent.com/pw/AP1GczP8A45KpXepF3BJK-1OqpgPnetTEtMsO_Js6G4WK4TMu9FZkuXHvCRIeRfLqbaz124zjdHOyN4XCvZ6Ng6noQEQ9R6YhcjlAgJjS2kan-1KxKIhF9NK=w1200|https://lh3.googleusercontent.com/pw/AP1GczM4raAhrlSDjchgk92TomdJM78Yd38CJj74lFnF6cve45Ts-BcZ1VZuFO9quNm2y5T7nSNcUxpcoNI5Vj1PzaskTSmHFWbQdJcKEI1fgXb926nNc8xY=w1200|https://lh3.googleusercontent.com/pw/AP1GczNll8BGgy-1tj3E3Sqnsv3kMtFwMihSDjmm6OdRYfZzLxymmT2I0dJpiuB3eMp7iUJL1FxS9MNF_E4d8HiXbVeDQ6TUobGNDGebQT9Vsrin-WUigGth=w1200|https://lh3.googleusercontent.com/pw/AP1GczO5sYV4EceLH5r9vqf_IkP5ZgakJWqAF7aXsfTuaw9K8yS4fqvG1-vdSY7MBtDNAilEzl1ogrP4o05KslQtVy2-Mzd8CdYp48XETFfbVra43620JNOM=w1200|https://lh3.googleusercontent.com/pw/AP1GczMqXXmQtJ47zTCpKuK5WGdNl_esBqfj-kb0AUT9MlFFrwoYLmg8Z4SOPro8_gBs2tRwinay0XEWl_IRvf1z3oNSiUmXfjCgdRQ9zVXozBhOnRBS7ppJ=w1200|https://lh3.googleusercontent.com/pw/AP1GczMF2KlmpJmJIKebptJOVoY2LcuBHfOIMH0Ka0d32ccCMwnX5wV09mKzt0SKIgBWVwKjfHRbIPEQJVG72PCv2pM2sTaf4BkT-iTr-3TGzzLiXaOXtJGC=w1200|https://lh3.googleusercontent.com/pw/AP1GczMZVuiysaOrymMgVkB2FbUIoPcLJlpG_KHArjtUGKV17RVJPmVSVijjj4fHjbpkx1Fb8kVk7Y3O92xzrPV-vMdr3OicQ8-xf0RdG9huxlVi1TbKJAzI=w1200|https://lh3.googleusercontent.com/pw/AP1GczMT-UZ9zxsdg0amX3HQiixqv5Zn_PuCONLuJNjZN4kPZBkvH3iufw25AWkdo7NrtaTQewYVD_aEucMr3yLZWczRJdLgIdliovusKcj0gB9r-3sqBBjA=w1200|https://lh3.googleusercontent.com/pw/AP1GczPAYrQywNnhFxFV2ql9o9sXL8pvO8CBOkftbqYx2EYPTqR0H338KSRGWvFAD1tfqYXAgZlIo2Fcnaw3AwQ0DSbmifZ-ySL7Q6iH0indun8Nx4LetYo4=w1200|https://lh3.googleusercontent.com/pw/AP1GczN91fmbMg0j7QKNw63XDiFPL0dua9DJo0Zymjfe397qZ4N2guJpAHCC-NSTEq3sv-F3Ssw8qnxVgYWIHz9eyHmKoDuCzMusYZhGpkfQTyd4F6izfOII=w1200|https://lh3.googleusercontent.com/pw/AP1GczPs_i4wMf1QKeGtQo8DoBDKxt3Idx7GIyA7yMi-Eh9Uc01EwohqM5NTjvIBRhpwikAHz2h3rEXoZqI_3AhV85wkyhSSxnle_KlxyD2lFBwWobmj3ZF5=w1200|https://lh3.googleusercontent.com/pw/AP1GczPQ8-BaYAOYkCHgdAibmLGqiO0nNIDrknCpLY7TingBjipIBg-Q0CvmpL7fktUF8KKqpqaKmjsMqr_HHvGoifKShyQyXsGJv1h1s3lK_ZG7V_ZEjZsz=w1200|https://lh3.googleusercontent.com/pw/AP1GczOaXmZPkjdd9fOUCa0xSI8mfl47FRSLfKTRS8Rgle4EVuHlflk39EEaVQngvKpMs_0n0_Wx8dnvhBml-RApb8rvpirtisyOYfmhGc3Yzi33uW6duwIy=w1200|https://lh3.googleusercontent.com/pw/AP1GczNyzsrWY3Rj7JUkEbfmuGnXV5bxI3pvKS-kRKlwEcSlhtzl9nrOK1ymXLtoISXfF2QEX9U6JOBYDSN4wVBtSFbPZr9QribPd-MIOl9-E2JC689FHiqY=w1200|https://lh3.googleusercontent.com/pw/AP1GczMyJWK_7TqHJHDe0Ou8rYZOsuzOAeZh5vll5l5CM9JQPu0A5-Y0HNNRmvKTwMpID6QnSbFW3-2GaPKE1kApPSsV4usH06-592KuEfsM1mKRskUsFLgZ=w1200|https://lh3.googleusercontent.com/pw/AP1GczO1I3oZdkjJulevsLsrIH5EpOWQ5zj6LZ54PyTqxvBpxHdIMnebqrF72Q3xByKFySmDGHGI70gJS3l1NJ7IU0agn0yGGWqHoPKbKtNGVByNvVf9evPT=w1200|https://lh3.googleusercontent.com/pw/AP1GczNdiuVVj4_Gp0SwkTCODNnnjEBnFoJqvkGsPsAyFI10UEgdjlWpwLjnV_l5qrVyirnV9qnwEV1l1b4GhDA0z8JKBcVsPSIpcFW1mIgBTzOQ8VMPmyjl=w1200</t>
  </si>
  <si>
    <t>430</t>
  </si>
  <si>
    <t>Ciudadela Comfamiliar</t>
  </si>
  <si>
    <t>284,41</t>
  </si>
  <si>
    <t>https://photos.app.goo.gl/BinvjT2coS1SbyK9A</t>
  </si>
  <si>
    <t>Casa amplia, con buenos acabados, Cielo raso en Dri Wall con lámparas led de empotrar, carpintería marcos, puertas, ventanas, closet y muebles empotrados en madera color miel. Pisos en cerámica y tablón rojo con granito pulido. Escritura al día.</t>
  </si>
  <si>
    <t>https://lh3.googleusercontent.com/pw/AP1GczPT9ioCauKMs_kUmpbEVqsypYMRE6EDzFQ5adwoE5Q7_GyVZaeOyzT4yc2zmX1-XncLwRoy45VSTMWmE61Nbl1_1hXD0z-oPz3pxfhEPJ3YfRict4Tt=w1200|https://lh3.googleusercontent.com/pw/AP1GczP9rTtrOZdFm_siq6L-YK8ZYKrJQ3rQjlzTw4G9PNyKMs35YoRhQHIayrBFBwMPGcSbqZKx7mh2NmP2y1i_2dl5TY2OJfQ3CTXerOM55MTRNz2qCCgF=w1200|https://lh3.googleusercontent.com/pw/AP1GczOj53EcQSjMpyWSA6WJAHXPjhfpCaI7-IOPWlcIjRmX2WiOQ1kmuIpzJwKCyZPMOpguLxMsnJRl1moQxMBXs73P-WoLMJfaI1jS354l6CQpbj16gwcz=w1200|https://lh3.googleusercontent.com/pw/AP1GczO8q6Cx7O2OjvyZjTTM0BPjZETBEcQ_qzQkj2855M_ZdxlAXIUXzkeKye8Cjx3AM8kys91mM543iTMu6jpvUbJq7AOJQ7ElWMxpIwVFZT2EmynjOoV9=w1200|https://lh3.googleusercontent.com/pw/AP1GczNTzlZE1WwcBKTHktFtBAGp_HWnGATu_oCL_04jwgAvoY2wh8QTRuavODIKZ_zAHpt7QjN1ggdVU7aC3rtBcVr61Edoaat3g16MvakSroY2kPilIOx5=w1200|https://lh3.googleusercontent.com/pw/AP1GczPe8yExpnhiimyGw7rRBuciPkRdMtInnyJuFE-aVdgvi4HCPYIAOmoNFng_w179xP2pSSgMIwQAfk_KfBhhTA8PmTstzZBxFLwXBxxaqQwBev8-giZe=w1200|https://lh3.googleusercontent.com/pw/AP1GczPe3pEa7nNEGyMyR4EbOs7wieP4g4DQY9ya0Rs3gBKtiGqB5w3BoRAwbL2BjkeCF7QgM0csZJwX_fApShBcpTAuDpkwWmeBgxoqbo0eibaxV4Kcb7wD=w1200|https://lh3.googleusercontent.com/pw/AP1GczP5la9NGMXz-1Bv-6SzxAm0kNc2K-pxCW747GvdpOLLJ3WoRC1sTuD-HOL6qMF_E1sE99Ua--igt48WIKz37g9xD63DS8Wg7Xpbc5uuFi0eWi_JesBK=w1200|https://lh3.googleusercontent.com/pw/AP1GczNgVVjCaXqGrsYrAKz5GioLDQmAnF34s32yx-dL4vhE2Alg9ePI7ncjHOev6IHPOfFw8pXljg7KtHe2TrHAEIe-yLZBRGITSewkUocqG8DnzBkjjr1z=w1200|https://lh3.googleusercontent.com/pw/AP1GczMxBXavT8VqvKlVbW0XlYCxKnqEf2Z1n3PaRKaowBLg-3CZoQzttY2jN58YLDDNTWXAyn5AQtgPA4HKDkK6PQrmMwKnEOUsKX_dUeogZcziLH1rIfeZ=w1200|https://lh3.googleusercontent.com/pw/AP1GczNfDFNDqI7-eEa1sX0YBuKDNQt170gncGzoudMLkDOgZt0B1jXaUgEWVRC7_2qpYL1Y-dJmsaRIYrX5cakaHtXGkg0tWBnj6I9GCfCDYc16f1npb6yo=w1200|https://lh3.googleusercontent.com/pw/AP1GczPSB-J9RPe70UviLe51DH0lJZUEt1Hy8lTVBR5Bzxpp1sOaeeu_tizyiO6wl83J2r1kOtBjxwd7RvB0qFKKgDm6NxGR08tv_DNKd22AJhDrXgxkyoNp=w1200|https://lh3.googleusercontent.com/pw/AP1GczP3AiBKBCjiwihS5DUJZrij5efGpQPGjhIuXcKwwfJwq5s52jBThMVF9jnZXLol0awSTlP2ZorCH9sbFFCSq6Yaq3byQdPig7Lh-L4QnLEPvrkg4wOW=w1200|https://lh3.googleusercontent.com/pw/AP1GczM7__w7Qa-gbGhoOMXgQ-_jN09by_Eml_StpEILUyR0H7yc_fCAb6B-xegtDf31HSpjJ-ZuSXvxsrAl2tqgSWyXGZOTCfGKFvhK9318GjvcnOnxf3gv=w1200|https://lh3.googleusercontent.com/pw/AP1GczMwy9iIy9kHNIPBFEqr2C-pgEx5XbQK80GoVz8T0wJu91VzSjLtWqAIxdSezKOytqsyJqK87o5BOXIlMqEZrC4ywzAubqRnyAlMTNnW0-ExR68b7gko=w1200|https://lh3.googleusercontent.com/pw/AP1GczPhiidqMdAinxkslFZwuoxjsmO5CTLEL92pBUUogr054HLwqNDJ8SMjSoECwIg9NDEx2KSfLa-Y0LecUuS9dXTtu2tw1vBklveMMC74bWBsDsbTPHA1=w1200|https://lh3.googleusercontent.com/pw/AP1GczP5kK8LmQHPg44UvLYvb3bbo9Wzl__5l3ei17Xn9wIA9RvQ2h4c8YUJb_Qm9NcaCMRC6D9VP-vMB847_msbDeXKYSN-4ILYY-e6DqdpZeDNRvZkk6Rc=w1200|https://lh3.googleusercontent.com/pw/AP1GczPzIj0xlP5BaqMrv6NJnyJHR8zp8W3KltmPo8pwwnUeu9WbWFNQygb7N1lvXtCe6CHzXH1J1XKG3q3jvB5YmJoJRCyEJ6bt1Viw0WSO_ksqK5PVjlLZ=w1200|https://lh3.googleusercontent.com/pw/AP1GczOnJPndbDpSwWksiubIUm1VCw9NuqMQgamAM7bkWxdApnxF5U27bCT4bivBid5uJMByaoD_NkancuPCw5lGviyaUDLLVFN2S1r9jILXLUYQn9mLtiNd=w1200|https://lh3.googleusercontent.com/pw/AP1GczPioTstd__CxN-N38gAx-t0eaV0h4cm1UtScpBI-BNhc0lRS83-hMA0M97Wv8jiIM0pUKHArLnDuR_9Fx9ueONUXsP-Yqg01ONGBJZLuceu6ywXWblu=w1200|https://lh3.googleusercontent.com/pw/AP1GczPziZzNBLRHlOy1nFFBd2S95O3DWbwaP4QHgX6dwRADxO9pkO4BvNNWAQmWCjxbVxWshoGuTyfXs-vAUsObu8msRWUaYgQW4ycilBp7Lq0R5uJ3tJ2t=w1200|https://lh3.googleusercontent.com/pw/AP1GczObL8Z9-lgLbbKpJynNr70M5YvZ1uHKT4iYPxzTxfqkDipFsc6aHt0mR2dyLNfP9SAviR4PInh_5FpLZj7viM1QigEksKAU6HnGaSEDYUXI55Kp2fDn=w1200|https://lh3.googleusercontent.com/pw/AP1GczOhBOGZFAkUA-ZQERwI4-q0mgTmN26ZwLBivFabicQIlawHCz3BZQtYShWYRFPAjh7ZItxJFnUUuHJs9nGmQdRUSP5HU5Iom3CeBH5BO8rl-j2jQiyp=w1200|https://lh3.googleusercontent.com/pw/AP1GczMofedXs1bM1CE1uGm38usqnCXylRsXWOeNDCo5NO6tEkeKokFri5YwJFvjC1EjAv3s9DzD5w4ggoqu2dD788S7ITrMafXtpKIr3kFQ7Af5pXA8w8AO=w1200|https://lh3.googleusercontent.com/pw/AP1GczOM1XrbgQSr9_chR2F_I52f3qylBbmL9-PVU-Mban8vwAyP8iSMQAiAgP0B2JgXm3tQCW64mT8I98n-SgOct5dcWWfNKzvMv5g5RQ6BnJpEIjxme8uu=w1200|https://lh3.googleusercontent.com/pw/AP1GczOuUzFPBTerxUwjRyM-lr6AvlmCXlpFBT8yDDwL-9_YCVT4G_NYI9qs-QLMfapaMBv29zHvQRmKjxYuESiQOmYm9bmmVfQ7w2xKdDB5tyZe02viSUEJ=w1200|https://lh3.googleusercontent.com/pw/AP1GczPHVIWARYj9dO4ilxWLTSRVCKaDCKmRjgmlzFochgK3w6exqkK6rfsUElcHu2BCMzyu1aKdQ60NB0FGp-s9DdboCuNwU-7U4xJ__W4dmdG1YtsdI7Ed=w1200|https://lh3.googleusercontent.com/pw/AP1GczO9LOnadE6ISq9r77qdaKg6fST46ptNmyJnPqVPGucAYAEgi4l_hUxb3Hy20_1XdXWJXl8ZVwzuC6E6WrwyIclTWD1mf4asRkk2MfvrxuxY9iE_UgYU=w1200|https://lh3.googleusercontent.com/pw/AP1GczOFMhDLoEPDI82Oasf3j16TbOR5AbzNs0hhf6XS9ikLEkRXKkbxefChXoAb7-lpJbCUwTQz63faaj6zo5_WYRV-YFkhI4OjtMETekxWZX97aIYYPA3N=w1200|https://lh3.googleusercontent.com/pw/AP1GczMOksAqP6nCp7erE076fKiRz9vqclW3u3Vfq-HZZNRaX50OruEloWCdaTG5SmaRBc75o8Eh_gJzBEytRsOHK0tmtmv6CE2wRVgOcYWyV5Ol8ewswXZ5=w1200|https://lh3.googleusercontent.com/pw/AP1GczMpL6YGQkKjTY075YasC_YfNlz88F5Kbtgibofl1hNycD4IbQscXuW2EJ2K7BJOksfORyQKF3YnBhMoxx1vAAhmmsDXcvkFg6JYf8uDWrwMcNA69ka7=w1200|https://lh3.googleusercontent.com/pw/AP1GczNqbPz2_Mc3qiZkBf7sjJbALMwKzyhIf9Z-Il8uUqu_B93Sx3NlzzRmUg5nLpDUVPOKyOaZVfpyoDdIEIFtfsRC5ad5YHZlxHR_wwT4DQGoRc9h6qJB=w1200|https://lh3.googleusercontent.com/pw/AP1GczPfh1FufdBh2fFkZwN6WCWJccIMfTV1hpGe9ggmtye3G7aNg5HQOgApivpsvO-R-ibBdSRPt6o688QwkGQX59iVbIlS_zB33XxXu1XQOtHmPnW2EWdS=w1200|https://lh3.googleusercontent.com/pw/AP1GczMMgSsgfIjq4-6xm4Mg2mbkCTd-3mcDE2PRWAJizw1dW1sc43dxHiEiwwRJMC0e_WzRpOkPQxc6t37EF-Jrz2hxKnxRKF-m_GiQamAlCyOvPp_u0-t2=w1200|https://lh3.googleusercontent.com/pw/AP1GczPeWSnCgQ1B7QmVc52u8hozvncX-T8QImHzMD2jZw9T0J51rOG3XcOU2CJk5T91n-S_sAmRMbY_ztollbXAbjhxklnlO3os7NhvLE3n5kJrDtFiGQAy=w1200|https://lh3.googleusercontent.com/pw/AP1GczN7jJT6g5yM5WP4sFYlc2qlziyW1cPjZTFh8yuEYMgYVccrgzmyvCOvkW84TH97vYEg8yfhxUYO1sN8D33kGq-Jn3wrik3qWPRQsHz9VDWk_GM-56bb=w1200|https://lh3.googleusercontent.com/pw/AP1GczNF71Qd6gRD_ayRbbmNbteCavuVupwhDVEO0nJOIfR-eaNcYDcU0ZhtTjOXPZ5G1fcDFZMhxPMvNR4V__RUBZntzWTtXUI8nLuZZnA_-JfcK8bSamNB=w1200|https://lh3.googleusercontent.com/pw/AP1GczPGc4drqL5mclMcEV7RQ1LTrMgh1Yf3IcfaaipZgHHUj36HkBshUXbb2mPo_Zq5LSR7c3yfwtbNx8aTA1h7jugdP2hTibFR7y_-cF0nk6ZWIdWUl-t_=w1200|https://lh3.googleusercontent.com/pw/AP1GczMpCgomIKwUHRDoq1H4qCWxjjAq9QvvYiN4oh6CpLkWoK5LGNxgPHWlb8h7MZK3hzMrXPbAhXNMbaT4ZoJo91jEKpe2mQO4KWIxwv6ZrBYbf1_QGn72=w1200|https://lh3.googleusercontent.com/pw/AP1GczO-voXJaDdX5OsbQetCwd8w-PLHZBGQA6axElNsDMnmq7_z9cMQ8W14_QLPnCfazCLVl80mQEISd7Hthe9INrlRES9A1RVLe55fpmXublF4z1RFP4RT=w1200|https://lh3.googleusercontent.com/pw/AP1GczPPGEyBabM7AMK4mtfZWtfxIKPIKvfcOCohHQYrynV--Ff9DaYMzPaqtm8KwT5fTATTp-6qeSyUQGPmb0bQFFVoQIWQ6CPZwoyLvhLazsTKKhkCpQ8e=w1200</t>
  </si>
  <si>
    <t>155</t>
  </si>
  <si>
    <t>Casa con dos apartamentos en barrio La Toma</t>
  </si>
  <si>
    <t>https://photos.app.goo.gl/KQV17NGjgUXDxUjr5</t>
  </si>
  <si>
    <t>Se VENDE Casa rentable con excelente ubicación cuenta con un área de terreno de 224.40 m2. Primer piso: Aparta estudio que consta de una habitación, baño, cocina integral, zona de lavandería, y parqueadero para moto. Casa primer piso: sala, comedor, baño social, 4 habitaciones con closets en madera, habitación principal con baño privado, zona de lavandería y patio de ropas, cocina integral, habitación de servicio con baño privado, y parqueadero cubierto. Segundo piso Apto con sala-comedor, cocina integral, 4 habitaciones baño social y baño privado, zona de patio, estudio y parqueadero cubierto en el primer piso.</t>
  </si>
  <si>
    <t>Verbal</t>
  </si>
  <si>
    <t>F Cod. 5340 $640 - ICDE cod.155 - $780-PROPIETARIO</t>
  </si>
  <si>
    <t>SIN CONTRATO</t>
  </si>
  <si>
    <t xml:space="preserve">3153231246-3108520936 - </t>
  </si>
  <si>
    <t>CALLE 14 No.  8 -36</t>
  </si>
  <si>
    <t>https://lh3.googleusercontent.com/pw/AP1GczNhXKIwoImf1JdG3sOdWkMrmZfwYdeIg6xXUr8WErNWHKwehSpxxlxfBCPoEaKh95iCwwuUepo356SyPvXh2yTFMcD9m6l_-_YMORZpWfIdp40JVXbD=w1200|https://lh3.googleusercontent.com/pw/AP1GczOiGE-iCNduC9QfmCh3KZ_kLAVww5mDmm32FeqPS_mFHWFodc-Dr9NhDvb-UXwEwbOsT9diT-B2j72UPFo4jqRogYhMhnBiT0lPo2t6smuPZHPWVvjb=w1200|https://lh3.googleusercontent.com/pw/AP1GczNNFzWqb9CKj7JmA5sK4ETj-IOKcomkDQx414DCQp69MipHNCbF06eUjAvPxpvqC1Liu2u5p_26ZDDisfZiF41HQoE9p4O50lDQLX0ndWz_tbPfG6hx=w1200|https://lh3.googleusercontent.com/pw/AP1GczNFVccI3kLVh8LzwkzOdL6CUyQVQHDU7Cj2nJgPZGxYl7WvCkmJsO9Dusdt0hwGRfiTDhL7O3iYYOj4KZ5bjuraqHHOyzLN5B8QOzh7iHJHBL6IyvM3=w1200|https://lh3.googleusercontent.com/pw/AP1GczMW77Ms3LqU3w7RKbp_ilwwyOxjyA_BVcooyB-9pJbKF2zpgf0YPFiFgtfYbMG9B4jKj31yF9IvBqxY7m_dYWz754kL0SfW0ezKKTRzouRGRj0c7DVd=w1200|https://lh3.googleusercontent.com/pw/AP1GczM8O4UfG35TYH-MAEn8ZCjJ8B0iOH_iURL6ynRHUCtiPUcXjuxT2BgBAKAXyi2I7CWy0AdnAmA6tNmsw_-GJH1W2lKDUsbgFur6JAnJdFVhfpW9tH8w=w1200|https://lh3.googleusercontent.com/pw/AP1GczOCvkrmQROuNZSVRJJYbEURuNMyPiEXrSwSKSt9ogs7u_N4Lj_bp6eTeucW1G-WYwGGH8YZgxDois8Il9BVdEFNdZdrnkUqQv0LxE22Hv3j_16HVqka=w1200|https://lh3.googleusercontent.com/pw/AP1GczM4h8VFf2nRvpU6xT3Akx_T6besaAr73oI8px61C869RXCZ1MWrrgjNAeLfifKVxhYEMc_aTJcFc0ABqEV11qfYdnr4uIg5VsUrrWhScSx9Qv-63B0k=w1200|https://lh3.googleusercontent.com/pw/AP1GczNIN1FEhWagAetWbG0wKWzOmq1jQuwn6u2zH1HapS68CKFG0o9_PFrUK831vXXB-1zjFcvrdb-TwJNheYoRyj9-yDLl-v0mhu_RnMDthSUBBDUaSB3E=w1200|https://lh3.googleusercontent.com/pw/AP1GczNIjjz97QVCdzFcpQC5RVVo3SWmnsu4x8JojB6AWEYdDLfXk_wWdyJdevjAxYthNqSGe_kn7XfPUxyqrBAUAon_wB23oOR4rzqDegG7DEGwc9Q0LnlJ=w1200|https://lh3.googleusercontent.com/pw/AP1GczPk9-hc5QxjHn0ndJr3zYSCIuPw1sOnOXgqHoHLO23ZWbTGUhri7hl-yyPyvTDaIS9sepnveCqKDszMFELdNaqVIlwnbrlVpgLE1AGfoBWdovdOXIPb=w1200|https://lh3.googleusercontent.com/pw/AP1GczPELbtDKPB4WGtEWAXN_hiSyrgfwXYsPdx6O6FBdmXJPNQSXfeB-_F9HK44R5sNAR2rSmUw8-a8Bf_iN7oYN87tYT6KmNFEbzTGG2Tb94MlG6HSbfwT=w1200|https://lh3.googleusercontent.com/pw/AP1GczPuHSeHuOaFEcCxfebLgFjE6x5nlfi6_UOWNZsAqSRblOCUhvaEhTOJXsYXxu5avAy3CWAYhDn3pcDtXke8VtOxdXYNw_I2yqjnvDG3MN9agaBLUVnn=w1200|https://lh3.googleusercontent.com/pw/AP1GczP2J9vTKjrAeqlN7UgpDSbkYdj043mvUvUcVIqUmpTS7dHfSc1pAhX3o8P2ATLedBGvGNPtR52dM4h21-syAy4Qx8O_qb7bKZhPl0iGSL29dQVlU7c-=w1200|https://lh3.googleusercontent.com/pw/AP1GczPkJgszUWR0xhREhGFTob8GNDMTpFpaya-Ce0X60TCwmeaB_SwKnxOO_QRUM5RDcvyYpDztS_rCCxL5Mkp7cw6wuioaSyEVsJG6tEWr_artbH3Ke-gV=w1200|https://lh3.googleusercontent.com/pw/AP1GczPAW3BTAyIxdOo0RiTEE4QqR4QBftGv3CTy5YmVcIekvjOZtDi0kHL4oRi6Y0qjLXsef4TofRjRizVWKcvl_daY_2Ry2DoT0aX5j7sLVN9ocrDJp_94=w1200</t>
  </si>
  <si>
    <t>419</t>
  </si>
  <si>
    <t>Comerial</t>
  </si>
  <si>
    <t>https://photos.app.goo.gl/wjTd6tvFMvXCK9qF7</t>
  </si>
  <si>
    <t>F Codgs 419 Y 6525 - PROPIETARIO</t>
  </si>
  <si>
    <t>PROPIETARIO-INMOBILIARIA FELIX</t>
  </si>
  <si>
    <t>CALLE 23 NO. 5 BIS 1-30</t>
  </si>
  <si>
    <t>27 - Valentina Renza, 29 - FELIPE PERDOMO</t>
  </si>
  <si>
    <t>https://lh3.googleusercontent.com/pw/AP1GczMby1gzs2IBvDKzq03cDISgb5xYvULNl-s9KRjiKeUzeZ11pKxTQ_58uzR59voPxOV_t2e5xnlgBubzODuiWSASqMDCcL2CGPI5erFoPnYzWe2EHD1_=w1200|https://lh3.googleusercontent.com/pw/AP1GczMp808Z1xN4Kt7qbZmLQUueo1K9XmzoxK4OWVvLVGxWAMo6JWwbzgK32BIXSksa31Dz8xZfGgdbFtHw3OgpQzjd5YqqNRFuhd3MF-k2OH9R8199gzSy=w1200|https://lh3.googleusercontent.com/pw/AP1GczMX5tDOVNFbun_z1zivbq4ULdLgAtN2uw0SdNx9NCXYX3Qd-ebBkCOYtOrlRfC3nAjCelIupMBowIJfUST5xiTOSfoqR_iILm1jmrjV-rLERfSn53Od=w1200|https://lh3.googleusercontent.com/pw/AP1GczO9k5RdSSFI12tvujxYAnhu15-8oNP_tpvgZmhY9PWpuQIf8MYigt1_-NPWHakcPb4C42Ean5GV-nsdOD-FQT8oV5M69pVYSrj-7dN9NSJJady_TcnM=w1200|https://lh3.googleusercontent.com/pw/AP1GczNT0TiveYdYyJ7DUxBAiHOSbbK4mhw4weQyoQ3g44XJwatAVemUR9TRaK2pmLtOs7YNaHt8x9TJPAp36WpeAfqOGM96ERj8RfaR6lKbUHCjiI-7YS0Q=w1200|https://lh3.googleusercontent.com/pw/AP1GczPwt2XAFdsjKBW1oJLX5o9GNxYcRh_1gM7SqBc-JOYC1ZWjo_qg-REU8zHKa14-89o7qoHX4RaSDTrb2W97rfXun0bTTlvl7f6ADrNHxys5g-3plKfQ=w1200|https://lh3.googleusercontent.com/pw/AP1GczOmTY0TJDwMtnadSWVI14qMD83ZrmIFIPrbc4gok7tr8X1tgAoLl-95RTn7R-BJAuGJ9gNGbuw7O9ZB3Jm9Un6Pmal90vDOW7voZP7AINlbEplHTbTB=w1200|https://lh3.googleusercontent.com/pw/AP1GczPxl5Mz02ZTIYjmoUBvELci3W8SCuuYwojr6oDbt-9e48BWSbBfZIRGhKRj35p2UY43JVmkJi71xpdj39nx6nN1GA7jbCETs83xDdyzCgzvUP0yyLn3=w1200|https://lh3.googleusercontent.com/pw/AP1GczOXOtoJwkkMHzeDU4ewUGLpbO_CtP8yzWj8yU-YmgyUxI32EB3FlJSrS0Jsinp_b5EhJ_MEwDYVd31iRUeqEjCxEZ1Bz7LmcXwHgCyNHuAdeH2DEUc9=w1200|https://lh3.googleusercontent.com/pw/AP1GczM0isFX364wmQMerRaoGxCiROF_bJs7wfbcWCXZlDtWMRIOj54OzTQyxp9hW8dHKd0V7wIOeOuehuFZ9fWrK9qMhnMYmaZr6LJauy4PDLuGzZZ09Dgp=w1200|https://lh3.googleusercontent.com/pw/AP1GczMazak2tXrU5d6mvVUSnAGibqEDqgDYFvvmFO1jz9ejLFF5-M9OG7MgvwbDTfmpMLhoKjRK2_WkFaZ2yLfpxwkqyVVbUKUBDXapychIj9At852pWdxC=w1200|https://lh3.googleusercontent.com/pw/AP1GczOXXUPiwZZuW_t77LtxD9h90xs9pGIqIcugVE04sOB4JNgidJQd6Vf52_yYt2U5J3kvlQvQN5Ul_d8Vp4h82GP3pyJf7h4u0RK3B3utA-ldvfJ2PcVK=w1200|https://lh3.googleusercontent.com/pw/AP1GczP7tQflKl2M6nJFUoSsdwaIxeu9CYan9e6jftyBzHC07CErwpsk_KCHrhqCb1On6tDjqspqiweU1TSo77ZeRy87rOp2yo3DX5e0zdvByrp5E3ZQ8CU1=w1200</t>
  </si>
  <si>
    <t>6620</t>
  </si>
  <si>
    <t>Casa con local en barrio  Quirinal</t>
  </si>
  <si>
    <t>https://photos.app.goo.gl/LjQ8rQ4SVY4j6Vw37</t>
  </si>
  <si>
    <t>F-6610-$800 / B-</t>
  </si>
  <si>
    <t>CALLE 16 A No. 6 - 59</t>
  </si>
  <si>
    <t>❌ Error: HTTP 404 para: https://photos.google.com/share/AF1QipMxyO13ibxDnmiaMpa76FUjogaj8QmWwpfvgu14JEmvfJ9x_TNgs5RC6sqiBLD99g?key=UjFYUENkSnMwTjdFVWZGaW9EMFo5UUlCdmFGaTBn</t>
  </si>
  <si>
    <t>6818</t>
  </si>
  <si>
    <t>Casa rentable en barrio Quirinal</t>
  </si>
  <si>
    <t>cafetin</t>
  </si>
  <si>
    <t>F-Codg 6818- $650---B-Codg-3628-$650</t>
  </si>
  <si>
    <t>CARRERA 7 No. 15-23</t>
  </si>
  <si>
    <t>5891</t>
  </si>
  <si>
    <t>https://photos.app.goo.gl/v5NhaMsT1txHqUAZ8</t>
  </si>
  <si>
    <t>F-Inventario Campo Nuñez</t>
  </si>
  <si>
    <t>Calle 17 NO. 7A-63</t>
  </si>
  <si>
    <t>https://lh3.googleusercontent.com/pw/AP1GczOMVjEyLoVHCMNGQ-CbfLr6tjPCf06fVXtv_iMNj_fUIkSEqcCqfWA1xybbKnj_WTq1B4fZdQiP2iSXeON1Ux5BKAiEBOkbXp4esALXmp8x-AxIwNRa=w1200|https://lh3.googleusercontent.com/pw/AP1GczNDjKyrK9BbIL5knZYBZ434BfG41l69rGB8nP5VWhhtLp42YTYlGgPyJptak5uRy2x63Rgx9pJZzMNwABHLS5zBXSegbDdyS99GQRenAyEewU_pR21l=w1200|https://lh3.googleusercontent.com/pw/AP1GczMi8IVAfURuR2yPu1EXr3DpkjvazCfDFZ6UIKPm3BFTrpkq3LmVNsJk9FmhnXZP7uwt0_APv1S44H3xWpf069HCL14vIiLWPH1kPdNeT4F-im9ZYs7i=w1200|https://lh3.googleusercontent.com/pw/AP1GczOdy6t92HIupmLXacSwyVA1Wkx0bPqUNSUVhaBYkTyedRgqyrpeHU-EyeUxi3JW-FpDOFPwVICxY6Qv5WAMkxayOdsVpC-6_LkjGQsw5c3Lyz18VR-n=w1200|https://lh3.googleusercontent.com/pw/AP1GczO5gnybnDNXwfwG7gtNJ9Q5WGPJyyaSlZYDpJ7sfz7FBEg2mXxalMe6vP2JQQtRtQl2j9MWxf3ozQHEipluRucQq1X1e9jdr4wkFgXyqEG4rpBTYZge=w1200</t>
  </si>
  <si>
    <t>7014</t>
  </si>
  <si>
    <t>Casa con dos apartamentos en barrio Las Granjas</t>
  </si>
  <si>
    <t>https://photos.app.goo.gl/JaJXFytqFTjEUTbG6</t>
  </si>
  <si>
    <t>F-Inventario Las Granjas</t>
  </si>
  <si>
    <t>8 - ERNESTO POLANCO, 19 - PRUEBA v, 12 - LEIDY YULIETH, 23 - DANIEL RODRIGUEZ GAVILAN</t>
  </si>
  <si>
    <t>https://lh3.googleusercontent.com/pw/AP1GczMZGlRXc_0a0jLnh7ljxJR9IGtXBfWTbNZVEDRZVYWOmp3eCPTBat9tok4Mky6dy4SlOqrvPMqqHF02hVUkfpNF6XWEpi1OgnHRGLT8QzMpcBgYGIPA=w1200|https://lh3.googleusercontent.com/pw/AP1GczOz8G_bHHpYGqMLuK6rp7Tw6GIuu7VnnzQ_CfdvLERRVpNuKN8RKndmcOyozpDUHbsnmKjlP3hGXReGjsGWVSCtqaVgTcPUc0o4jMa_YkWzlwpItt9i=w1200|https://lh3.googleusercontent.com/pw/AP1GczMEw2567iwCqmvRIlVBbaUl7upIo_3AOXe_pZn7Jpcj_JmS4I-Hu8LhdNtBXBo_MPFPafMfsVHUMdMcNND_cJUE-VTS9GamL9MNAy2ZrVL1L-jnYqOL=w1200|https://lh3.googleusercontent.com/pw/AP1GczO7oSX90u3P0ha5hpj7xYAaoHr19e9CbvZpynQ_54hPTqFHA3TdJDadoWWpd6NAUN0iu2ul6_cX0sRvcfVpoImfSP-XIVa0yVVqMjF4T6l8ssl6BtHr=w1200|https://lh3.googleusercontent.com/pw/AP1GczMOtHQxArT3POItielVpCOU7lzXQ30g8o8aKlVS-KGs9VX_LIfCzfIIQa2Dcp8hoQ-E9Uipz4o8b5RDLsAxONp0aM_okzv3TKEMpymK5st_UUxh1fOr=w1200|https://lh3.googleusercontent.com/pw/AP1GczNIHFknQsO3ek2Ywxiel8GlBj1f_Yo3uz82flYJzOqFbulXD_Y7luwwnWA_FFG72V1Xub4llemzjpAeuarM7-pNcpVp_DsaAjHafEcSGXe-jf-L2x20=w1200|https://lh3.googleusercontent.com/pw/AP1GczOfasCv6-dnq2XxRDarGeI6TVbAjZZoY5w1AjpR3hIpCaBFBBpH5L0dIfTvAGlKmnQuOcVL_gAAnuyrZngg-wK0JjWm_YpE2gGWwY0OaZrCV7W7Twgz=w1200|https://lh3.googleusercontent.com/pw/AP1GczOyTNak7M_5tE_cZveAoIKuPhY-bOsKDrDa8w-KbUSQ34xwTKJC7Qo4aH3whvYV6VbEpyBdxqCiR2ZDuychZ3xqUO5d9BFFvOyTLptLrAOnW1L7Ijui=w1200|https://lh3.googleusercontent.com/pw/AP1GczOxSuXp-FjKuXpLT24WjOftDvAfUYt1eC8iOBX1NQ46mxbEraysk3rj6Gpi3TKlhrBmjBh6ouziJjsDJUBOr24vrwah93RcI5Qx0PSzh6g6b90_ZYXA=w1200|https://lh3.googleusercontent.com/pw/AP1GczPJK7g7hx_WS_qkm4UGmdK_6iU32JkD-WSpClOr-0l2gW9seGODqC0Prk7a85ICSRf2CjwHTvXoD-L9V68TGX4WM1llfYylzmk56yDUQPU0A10p4VCp=w1200|https://lh3.googleusercontent.com/pw/AP1GczPKwDES6HsdCu5eRIOfEb1avA8xhxbfLajvJ3lOX2VGpyLK_Mqur2UYTeqEp9-qbOMqosl60jnZfmWno7N3ReMsxGaUS361Lg06WAR9fs6NysfMtnfX=w1200</t>
  </si>
  <si>
    <t>7070</t>
  </si>
  <si>
    <t>https://photos.app.goo.gl/adSnzJ7EwRNpfcaZ9</t>
  </si>
  <si>
    <t>F-Inventario Quirinal</t>
  </si>
  <si>
    <t>CALLE 21 No. 5A-58</t>
  </si>
  <si>
    <t>https://lh3.googleusercontent.com/pw/AP1GczOW2Xvpjl5dyIJrdmcB8KfB8c1V8tIgOUm0IDd6e7mGYogFZpazJ0Y3waCzQZ76lqttoq4qTgbS8xuL2GL1gcXk1gTwfegd2l0LQh9T6q15mr3anQFC=w1200|https://lh3.googleusercontent.com/pw/AP1GczMq9AzIDcaxJVeG9swlDRnH1181fF_CsAid9IaH4Ly5HslxN8RNilpbmkzlR1qbMYq7CoadKBYfeVjRu9eSFWvbVHJcKOSof2HaVNf1ORkoYAM_M26D=w1200|https://lh3.googleusercontent.com/pw/AP1GczMbul4oSdqDv2akjBlhZpqlTqIrOoNQLGaho2PstZnphJ5fpdhLQ-ztQn_Yzkz3PS4pHi_4jVl5FzzRfBw61DJxcXN9sO8N4A5vI6oQhIDuAwP84H6L=w1200|https://lh3.googleusercontent.com/pw/AP1GczNYwrRk5zkxvzFFFkPAOW2Vs50JSGLEiDaaKF8tuCF7O7kBG_TsAoBOAwlFGRF-FJi_7Y6Ze7ykopHZq5W3pvWhWS1C4RK2q4jd7xEenTl15qqLtrMF=w1200|https://lh3.googleusercontent.com/pw/AP1GczORJ-QY6qG-5zVzq9DGDblFVtyr15o280XgjuA6uD1_V_H6-5sbvqkRAQbA_w67CdPy4LXoV_K9Hr2IyTX8ZqZ7T_n91NCxsH1JcqBVyvmn9bgm1NP6=w1200|https://lh3.googleusercontent.com/pw/AP1GczPeLSEaUvbAiU5NIo9WIDNvV23muGNB49zfk9_sfYijWWQ6t6hB2-dq_TrustIzLQK1Sfoxbm_XVu7fc9xRs05KtLF7uCuAV5yN1_hrIRelhDFk45k1=w1200|https://lh3.googleusercontent.com/pw/AP1GczOJbkHGAQlPr0ySPiYf5GQrl7-TyJKKVrw5Y_2D7XE6ZsK-Sm0X3SWFYzlXmiRbW6GRiVTOPqP6rYWaQzmIPfoGHcr-cgDAFZ5l4LXc0jVXKVsTENUf=w1200</t>
  </si>
  <si>
    <t>6847</t>
  </si>
  <si>
    <t>https://photos.app.goo.gl/RYRFmN4gLJK1sNKD6</t>
  </si>
  <si>
    <t>CALLE 17 A No. 5 A - 61</t>
  </si>
  <si>
    <t>https://lh3.googleusercontent.com/pw/AP1GczPJZCM6uwNnWEEKPDY1afm_HeCNV7ifwMirWDfHl1_h_41dMBWlINnDRxXyMtG4d0-N4jEzL7_4eCZkfAdejN6zyFBQxbtsqim_SGsXDlzWBuWkFUDI=w1200|https://lh3.googleusercontent.com/pw/AP1GczNtzwvQBmbr_3py-nUrhcj-G02WH-uILXIoF2LUQr52sxpeQceG-JRlytLhukM5lbJnakaaDfllZphyRQzR3njm4O3OF_94PmYqV0nSiO4bLaL3l2iC=w1200|https://lh3.googleusercontent.com/pw/AP1GczPMSVHan-jvbQINN0pEKqt0ao6cHkHWK7ZfWmb9SfaSYXTeo9RlQb-k7pAQmoeYppblnBk6fyiSCoomtSJ0Jf0zVhK7WindlUM74gF07mWLfuoUDEQu=w1200|https://lh3.googleusercontent.com/pw/AP1GczOiHXR7_4cfrwI8NXqKAHe9mei2KzqDiKsjheXa6E0EYU867RioacMrP2JSTwcv8QTZvD8PlEyqIuZyA3OEL838vDZL24ij2gVd4oqotB7PXl1iofwN=w1200|https://lh3.googleusercontent.com/pw/AP1GczPXpWMawuREohs2sc-Mc9Tk_rP6cwi7gWoC0RiIcaJJbxS18_y2fzEnPgw89rLXb2yVy2C5KBbu95MmKXhfWYucNZ1rFsufFOfdoK-kl_RB9DKX0wEY=w1200|https://lh3.googleusercontent.com/pw/AP1GczOPfYb_P_3X9NwEKZvTl4k1Uskr-Lxa6F_j63zK-LKUlffAUN0tSjLeKgCRuRc6XOzaKm4839DhtqwqcvrT7aflxpxQuz5CbrYZ2EffRNgvqyu_p9j_=w1200</t>
  </si>
  <si>
    <t>6883</t>
  </si>
  <si>
    <t>Casa con un local, un apartamento, tres apartaestudios y un semi-sotano en barrio Santa Librada</t>
  </si>
  <si>
    <t>https://photos.app.goo.gl/DptS89CmnWEW7h938</t>
  </si>
  <si>
    <t>semi-indust.</t>
  </si>
  <si>
    <t>F-Inventario Santa Librada</t>
  </si>
  <si>
    <t>CARRERA 12 No. 14 - 56</t>
  </si>
  <si>
    <t>https://lh3.googleusercontent.com/pw/AP1GczMAk39zNBVE5JJwssBmriRt0z9odzJjFfAocjzH8qlv5qujphAOBc-pF8txunyhhWH5XP4FIEDqNWKK_o1DMb6hHUP_uO81K6vXvB_LiTkMRa052tT9=w1200|https://lh3.googleusercontent.com/pw/AP1GczOY19i1d-pG01vQn6dvJ2rbqkMMkDDVX7p_UcQxythPuNmU3piMNjXL7MEhxDTIWwenjdyNioErQxYlhGzdH8mh9DaweyM0AMoI7v2IUb2Q7jO8LCSY=w1200|https://lh3.googleusercontent.com/pw/AP1GczOYCPOl-oBSjt2iyTQedEumIHeUILDZMbM_XPOBPARDYHA0vLiMweKt18JJXFf6aBHwNFR2OPGCSYk0lRwJDV5k0_tRybAS1kl6H9h-BYYPG3pPdH1_=w1200|https://lh3.googleusercontent.com/pw/AP1GczMe3eCJlX3IoMzCUr4Thsf_Agz8OFEIwZUQh4F6rN8Ci7RQVvsskc_eoK-7IxAxygOPrHBSVrqoW9_7iq14bjIkQqy6QCLCNPX1ZcG0Z7rHKeGVuMAK=w1200|https://lh3.googleusercontent.com/pw/AP1GczMhb2qNXYFTNoxjbHgde3fWpktcSadn9fWts7P67dR5-RtkcZoWxmWbSVsgPwSSNyYyX6zeTAXmx_TcpACKGfA_jzgRc5lhOryhv8C6VEJ8RIFSkWmc=w1200|https://lh3.googleusercontent.com/pw/AP1GczOJ_pYVsR13_LmLc0OcskyQoEli-uuV-l7Xj7PRe6H-rJU11RAvG1bU7bdYmuYFGFvUtpKJ_zzgl38QhZ4nkxuOyEswSjwa0YZIu_6MxfwzH3ijHkmc=w1200|https://lh3.googleusercontent.com/pw/AP1GczN6cx9NfXQwi1V8oaVmwbWnHmTWrwUfbhdZTwjZAnZSIbmXRHaVsGmM2nxMMW3Vi9mGpJQIJ250aJb6F_p338hE1XtUnbVrkkQR9FAcPcWt3xOE7FuE=w1200|https://lh3.googleusercontent.com/pw/AP1GczN2pWNSE04TMhcha8sKGL2LlfC6xnMjtpxNONTwbSeVTlhRK0TmvxnQtVH2fEFmY_FB5wlA-OGFJ67N_XsGjT4iH1ldQF2EB7TIT3zB2nhOiDAAo_P-=w1200|https://lh3.googleusercontent.com/pw/AP1GczMuYzJ5JOxCwvRwnHIhyXpokUO7BoDOqafctN0E_drguaXEqYMf5rze8t4aqFF-E8JBri8OCZS9YO08cBWdgAq7HTr3Nka4pyRAtvSyQ7PaeXPvQAZG=w1200|https://lh3.googleusercontent.com/pw/AP1GczOmAr5SlcXApAlW1cLuq5P9QinSmrZKPKxDrXg-bOYsG5rYhrLPP6sb39OTzA0PyvAeagR-pTFzBh86o9_8CyWa9qkHMjzwjik_1Ws3__O4q3zYM83c=w1200|https://lh3.googleusercontent.com/pw/AP1GczOM-55HuYyakzPRBbYgryrCcvNGAsXmibvVWBidV_4FMbzGXjT4riAyePrdsFewxgxLtPezoxQFcREeuErRfbK1Q75U5DpdnaHd5X7r-2GUiuLGGjQ9=w1200|https://lh3.googleusercontent.com/pw/AP1GczOdpy0dkzBORAs4e9EAHMJOmeatRfmEr7Q8aSZ9RURH4YfQqQNGbyR0vAFMFxBnuHVkMbLfme0xCpPrQ1Mm9NQSvPueQAVd7bFSipWgDbMZbnirS-_a=w1200|https://lh3.googleusercontent.com/pw/AP1GczN-pgx75PhgrqCjESMwAn4xT3wRmv7OzY05v3ED0W2iI3qGK7ZYdLEp1UueTnaOxXnO_7cSquuDcRsXTnCvIkzQQDnR5Mcdoso5aCHP6Kc2Eb9TOsUQ=w1200</t>
  </si>
  <si>
    <t>7201</t>
  </si>
  <si>
    <t>Lote en barrio Sevilla</t>
  </si>
  <si>
    <t>https://photos.app.goo.gl/aMWeEoAPbUDNSTSRA</t>
  </si>
  <si>
    <t>F-Inventario Sevilla</t>
  </si>
  <si>
    <t>CALLE 25 No. 5A - 23</t>
  </si>
  <si>
    <t>https://lh3.googleusercontent.com/pw/AP1GczOfXmlICUtgT-RpCkglNa8VyKcdKENkIzv-fNmbWWuEGndOb23MGGpMwa6X4HuMYaz5W29sR3whipHbd9tfbCtvKjnZg270jXOXzA3M-KJ6YR9PJDRY=w1200|https://lh3.googleusercontent.com/pw/AP1GczNp7GDmXIvJ4mnJ5pr5iPQCS3htCZnCfQoQBesebHgA2Z7yuE6xyHYWlSfwIvJUxzpDftGBtr3eNKLyvybOwYk3LL4XGELuZzY4QqznBfRCcXiqSiBY=w1200|https://lh3.googleusercontent.com/pw/AP1GczP3PDotsg1qxozS-ap6-CAkFXi4grAAQ10A_PuZI8c4w2OrUHHsWzOetNqfhyjMW1y1Lt-jgyImaDJBxJfdT-BjCjUYhPrFepD1NqUfjYAuHylAQvCb=w1200|https://lh3.googleusercontent.com/pw/AP1GczOo42IlFgomPEu7Z-S2LSsMRIPhKWT2KjFJyML_mOjqJygf_cgTvDi15MIiVfG3kfyhbb0ZxwtaKVCTLCGcb_eeWvWBSBIrqZsiD4M0HN7fPVQiZuh9=w1200</t>
  </si>
  <si>
    <t>7088</t>
  </si>
  <si>
    <t>Casa rentable en barrio Sevilla</t>
  </si>
  <si>
    <t>CARRERA 5 C No. 21-71</t>
  </si>
  <si>
    <t>6251</t>
  </si>
  <si>
    <t>Casa con  tres apartamentos y un apartaestudio en barrio El Cortijo</t>
  </si>
  <si>
    <t>https://photos.app.goo.gl/MveJ9qez329gAsxi9</t>
  </si>
  <si>
    <t>F/$300-B/$300/cog 3593-C&amp;C/$320/cog 984</t>
  </si>
  <si>
    <t>CARRERA 5B No. 61-13</t>
  </si>
  <si>
    <t>❌ Error: HTTP 404 para: https://photos.google.com/share/AF1QipOf8wahhQnqKUPIsUukjEkpkO2eI_xZSyI660hDLTwwQa05vpcTF5Wn883dcyBn-w?key=QkstS2RNS1l0djFFTzJpMlpONXN0TnRwLXZieEhn</t>
  </si>
  <si>
    <t>6242</t>
  </si>
  <si>
    <t xml:space="preserve">Casa con tres apartamentos y un apartaestudio en barrio El Cortijo </t>
  </si>
  <si>
    <t>183</t>
  </si>
  <si>
    <t>Apartamento en edificio La Toma</t>
  </si>
  <si>
    <t>Ubicado en el segundo piso</t>
  </si>
  <si>
    <t>IC-F/codg 5794</t>
  </si>
  <si>
    <t>MIGUEL</t>
  </si>
  <si>
    <t>CALLE 15 NO. 7 - 60</t>
  </si>
  <si>
    <t>034</t>
  </si>
  <si>
    <t>Apartamento en Condominio Capri</t>
  </si>
  <si>
    <t>Ubicada en el quinto piso</t>
  </si>
  <si>
    <t>IC-YATRANA</t>
  </si>
  <si>
    <t>PATRICIA - INMOBILIARIA YATRANA</t>
  </si>
  <si>
    <t>AV. 26 CON CALLE 40</t>
  </si>
  <si>
    <t>851</t>
  </si>
  <si>
    <t>Casa en barrio Emaya - sur</t>
  </si>
  <si>
    <t>Emaya</t>
  </si>
  <si>
    <t>https://photos.app.goo.gl/MKPDnv4JVsmbi2wp7</t>
  </si>
  <si>
    <t>Casa medianera, cuenta con reja antejardín, sala comedor, cocina básica,   3 habitaciones (no puertas), un baño y patio. Cubierta en teja de zinc con cercha en madera, piso en  cerámica, baldosa y cemento esmaltado pulido.</t>
  </si>
  <si>
    <t>Casa medianera, estrato 2.</t>
  </si>
  <si>
    <t>ICDE</t>
  </si>
  <si>
    <t>calle 7 SUR  No.. 12 - 09</t>
  </si>
  <si>
    <t>https://lh3.googleusercontent.com/pw/AP1GczOuoBNwDBFU8_vN76HUZ29ojIZiqJyiosxC-u3KWhVjZshw28R1isgUmMWxP1zx8DJg15ux1xcWJhQVekvgex8rGKQ4Qf1VqVmwAklWL1Y8towZ8qo9=w1200|https://lh3.googleusercontent.com/pw/AP1GczO0IrQJDw5t3pMwAc4_1NExEXxrudpaCjZq9kMAsLc8IKzUIiGj8pSVi9aRltVKkRWkvckxkR3cH5gPsKYG_IC4D4nVG7sSMslfgGYZWRVZmLj5UZw7=w1200|https://lh3.googleusercontent.com/pw/AP1GczNQI-u384HpvBUWfGslpjIsnKkQxcZbAozUUf_0jrtd191lZ4mzyI2z_Jsf5CBkVXwqjiKHBpI9tgVKvDPJl0YWShDvJaCFmcasrY_nxVqtAzG8Oopy=w1200|https://lh3.googleusercontent.com/pw/AP1GczP2kwyxyxkpWcCa04eKm0GZKzj0F0ghQfbr8rqtR9iMZMKhR1Uobee6DsvzG_iGz9D7DO692ViWC1YA3JUVoQeYXuD01IhJtc_rNLIMwXOGbrY_iUt7=w1200|https://lh3.googleusercontent.com/pw/AP1GczO3OsN3u0fUSNH1U0Z-HqIS9iC85da4S8wxvlw5lCrUcrGlD8OSgialfufLP2iEoKOv6mOBjZMPsSU9EVj30RN0SNlMMS0VL6903NJ_qkhYi8liEg-X=w1200|https://lh3.googleusercontent.com/pw/AP1GczOLnK4TeXUKvEsnjClxvLjEoc14wFaNSC4AKHMT6k0jQgV60vAPe8QNM26IWrVoKcv-APNJB6rj7sdBh9Wm0JqafRm25l2r2uvTyMMRv6CnurBUI0IP=w1200|https://lh3.googleusercontent.com/pw/AP1GczNrf_sfsGJScabPbMBoAHf7CogW4kmThzw9PMgKELCb_DXDjQUOQZBSpC1a8LbSS1f-9h2nPWIrZE6g36e8-WD4cpMX6M1lU2zulN7IhydEphs8ZIio=w1200|https://lh3.googleusercontent.com/pw/AP1GczMLXvG7fEEsEQf6OYQSIDTrFoLghhjpzt9Ewr5XvU6oEegVA6If0nfYIiLpqB8hSaATQY6M5bh-HF4h9tgImhawlqJ7x4Fe3SleZxiLPryUPIWqka7s=w1200|https://lh3.googleusercontent.com/pw/AP1GczPCfh0SqY4PLzmlwOFSJjaOdG4MC3Ip30zxjV0axe-Mb1AL4VR8HNV6guD4XiqgfAwyW3MWYOZOyNmD6QMM8FKx9TcmVlpxIKkbkyzRMtq0rnesmqP7=w1200|https://lh3.googleusercontent.com/pw/AP1GczPfqWvyWuxD8WOA_1wZgEhXZI4rPnsDgCJl-gmZX1WGJX-y0bbV4XW8Mhay9DABvnjdU7v_D2rGo9pGBKXFuouF_Q24UerylG3JgG57nN83AkRfpfqu=w1200|https://lh3.googleusercontent.com/pw/AP1GczMzIS0LoVK4GPbYSE76mTOlWwNOaNaz5p2z5F2J6djIOHGVrZ6PbD9oQ35SA7N9SOQxD4IDaJvtitTq2a4ly-9bxuDBXByqTLMwGSFpTHIxvtbLt7Rm=w1200|https://lh3.googleusercontent.com/pw/AP1GczNdue5_u4x1LmCNEkaDC84bQZXvIxBOfL8w97aepfW7QYcFQFIrAtmOHCn1sUCDTjBxo4SMdaypCiAXi5ucHPuojsrSlwnOi8dtuXixRPv2UT0QP32p=w1200|https://lh3.googleusercontent.com/pw/AP1GczOAMNsaul9QkPnlZhm0WSGTg5gZjsAJiOrbmzLmdzDJ_Y0074s5260V924Wv1eEUuOle7CfWq2qbGCNIklPaNjyKbzP4bnxI4yYsYJ3n25TW5rdzDzL=w1200|https://lh3.googleusercontent.com/pw/AP1GczM4Ok_9PyNyDZL5EJaO37tt8SsFhBcgs7IHtHOjD8NkfOcjueM3wmt06MgsCku3GjyXtS0rQ3rnodruFEmM8vtLPVV939MgBKKYqXJvYVUu9cYQMi6j=w1200</t>
  </si>
  <si>
    <t>550</t>
  </si>
  <si>
    <t>Casa en barrio Alamos - Pitalito</t>
  </si>
  <si>
    <t>Alamos</t>
  </si>
  <si>
    <t>https://photos.app.goo.gl/dxsSPH77xX2x8ZNa8</t>
  </si>
  <si>
    <t>En su interior, la arquitectura destaca por sus finos acabados modernos y materiales de excelente calidad. Los espacios lucen pisos de porcelanato formato grande en tono neutro, iluminación empotrada tipo ojos de buey en cielorrasos de drywall y una elegante gama de tonos blancos y grises en sus paredes. La cocina integral está equipada con mesones de granito pulido en color negro absoluto, grifería monocontrol de alta gama y amplios gabinetes en melamina de tono carbón con herrajes de acero inoxidable. Asimismo, la zona social y de baños integra revestimientos cerámicos de textura piedra y divisiones contemporáneas, creando un ambiente sofisticado listo para estrenar.</t>
  </si>
  <si>
    <t>Esta impresionante propiedad remodelada combina la amplitud y tranquilidad de un entorno campestre con los beneficios de una ubicación privilegiada en el barrio Álamos de Pitalito, Huila, a pocos pasos del almacén Éxito. Situada sobre un imponente lote urbano de 2.029 m² en estrato 3, la residencia está rodeada por un cerramiento perimetral de reja metálica sobre muro bajo y columnas de mampostería en tono granate, lo que garantiza máxima privacidad y seguridad. La vivienda, de 315 m² construidos, ha sido renovada estructuralmente con una cubierta completamente nueva en teja termoacústica de color rojo y redes eléctricas e hidráulicas actualizadas.</t>
  </si>
  <si>
    <t>Directo</t>
  </si>
  <si>
    <t>FIRMO CONTRATO</t>
  </si>
  <si>
    <t>1 (628) 227-4583</t>
  </si>
  <si>
    <t>roberth armando rojas</t>
  </si>
  <si>
    <t>https://lh3.googleusercontent.com/pw/AP1GczOc_duFLjiysg0jaojN8xBhpIXss8u7pGwl6Xae8vY7bROrU7h3OTt7zjn6mNkdPzZvop_fSivQOpcTQSUg_H_vd00_AvEGE1SIuZmmwJEm_PLLXSKW=w1200|https://lh3.googleusercontent.com/pw/AP1GczMpWt3ffrR-woAMJXrmtggHRAMA2P6pouwh1RjEny7EY7qLjiTEKm_xSykOg7v0zgJmK40YZnV-VDolh5e6kbo5pMtDxny4mPtbrFkooZU_3weW6vwd=w1200|https://lh3.googleusercontent.com/pw/AP1GczMYyDb_YKDyE2c0U5INxvXF6U3fZcZcprQwcp_ekb_GF6WdRxBAFJFHJARCmTeeS39hUu_wneM8pgU6sXNk_L_pAMTEGXzk7E11tht2H1kZ1M2vfMgW=w1200|https://lh3.googleusercontent.com/pw/AP1GczNXYYSY7SduhP95XoTPXHgqfiAi1WwVuWqO9FPdmhbM6SHtKG-pbIvj7VkHW1RNRlggIiK8fqSWMbNofzGjCF58TWMyOWJ30b4kqTfWYZO1MpjlBz_D=w1200|https://lh3.googleusercontent.com/pw/AP1GczPGJ_tdvD2GXVdridoegMGr6J2S5DHzkbcHZUvxxUlCTc6pD1BMXf62Ic4P_L6oNQH7naOyuOI-Imsc-1WNaTYTfsyHGz7kFofKIUPCi8Dqo36rrBdz=w1200|https://lh3.googleusercontent.com/pw/AP1GczMeb7w6LXqUPiayWWhHKJnEU7srKJZQF6xYpH7dVqhNr2gD5BHSI1H2GBlBOHhV_trzeP8YXNOOuuQCJBzMjCiynq5LNbvANmKaM0RlaUs5OdrBOCZU=w1200|https://lh3.googleusercontent.com/pw/AP1GczP_aVYgm-nbqwwjgDL419YvmOxQ_CmAcVyaGTSflvYKyZts629t21z0FmXZyNX2XBCGpzmcg4r-JcAmmSn1k2bncccX6hk5ZjrgU9sX1HH6Q6uLTcAj=w1200|https://lh3.googleusercontent.com/pw/AP1GczMqqgaaw-l714ZkjcImoa3W9NDcarXwCxfkrIs8Oc0pmYRQ7vEscrgrMdHrDWwhI4s0YcP2B7hwuiZLAVy2DjPr9ZRmGsT4b87x9cYOFNp7aWfvYTlz=w1200|https://lh3.googleusercontent.com/pw/AP1GczOKBgvfMDPy_73Z9ELZ45FTRGf5ab8hG8R72pnJUrWM2ppJ5Fq86GLUVMJ-y_kGbXdSqdnJxxuyANk9M6_Q7oZgxYnh7FEnQ88VZRpSESzUizYZT6_7=w1200|https://lh3.googleusercontent.com/pw/AP1GczOi2pxBE6UXkeZ6rqCBTL_XepcdYaIGMm58ua6Y5l-253WnCS5pU3yU9X68q2XPPL8XFLUD-9zWZctuq12JcllqA8Ao_RfjD3z9VYQjXWJQerN9XoiQ=w1200|https://lh3.googleusercontent.com/pw/AP1GczOdbWflZ1EACuOZ06VFWolCR4Nn5Sc2gkGPJO0BM2wy9p1pr8UOET_VpLUYJ-oHyho17P8sVaCOM_CUGgfZtDcLIc8Ksylr6JafS9CawCEBo8sQa_uN=w1200|https://lh3.googleusercontent.com/pw/AP1GczM4Ro1dMYp9uG0UPylvYUF1JUlQgBdeJNED1iw4FV7FV-m-QRXkcbaCn64zBZ97904rAB2IFxLxcKOlvRa_2oEYhDoohnx4Ui9qJQCHjExE7HLyLBwq=w1200|https://lh3.googleusercontent.com/pw/AP1GczMRh-ClR6qka1r7W_ICITnar2EFDEO1pLMFMnvEtiNQFqWZIFE7Epw-7iOb2ppRRHF_brna9mGHWKiJQp8Kt0ScKGfiZHHaEglMCqM7T9p4JV_rogg-=w1200|https://lh3.googleusercontent.com/pw/AP1GczN4BiZ_AaLIrgnvp7Ir56SLo43KBuzscAzeuOdPvIKsG13Pesl1nB5v6yjIuWrBrct1N_qXPj1zwx9YmgVpaUJS3PQzrdJxQmV4CaUiQiOaXBgQtD1U=w1200|https://lh3.googleusercontent.com/pw/AP1GczMwq4fFRS1rdHAs1aEDRwwchRWcgZFikZuUQZ4CtFtZj4z3DVwB7ALUM2mOdHGPMOHoJ7QW1MfAv3AiuEPprdBaAldPqmlrWgQQUS92Q2QmhNda0_CK=w1200|https://lh3.googleusercontent.com/pw/AP1GczNjPuxVLp7VMB4_HC78f0dGdWDRtQmEfiFV1oQs7RgY6kQvmbTr0ScFdnSvYNtg2Vq1qRD8JoT2qMMkTTeTZqjHa1aET9amVJdjRmLPNuEQhi9yI_tL=w1200|https://lh3.googleusercontent.com/pw/AP1GczPVH8n4kIbms8iYQQEiMFzqg5sVT528rd2SZv1auwhxDzmNE6TrS8FV9fPussvDR9v-gXUAHNKqaHObk6SwjsDwxRhNWN8obFoEKpTx099T0TF6QIZi=w1200|https://lh3.googleusercontent.com/pw/AP1GczPooYR5lR_UyX6CTqUH_vkQ5_VI_-idt6UH5ln00693WcYluTeVjDnq_oki-724a7ykXYcbhquqg26al3o8xJ_qSlJsNviyIX16HOK04nSzsq1axgel=w1200|https://lh3.googleusercontent.com/pw/AP1GczMpFW9EA2AXUnTojqHO3RwzvD9tAUzjmLumFN340G77kbU9JndBsnoi8USc3kJkICHfXyBvU0R99NAE8CqNZteYQUpHTIRE917FmTSnIQGV4wBKeswr=w1200|https://lh3.googleusercontent.com/pw/AP1GczM7hfwhl2A0iNmG0xJDIfnlcIDiMMroaFkCaLqF-WcpQFWo0RhUjBQCrfWXBXeztx1k5UM_vTOjTKJRlr1lpffO5LV4d9DG5ppFUr8_iWTJ1BIqujYJ=w1200|https://lh3.googleusercontent.com/pw/AP1GczOQO6w_pqHQwOK2BJVXrp74Fuzjvf3NlYUpP03QsXK9Q8671G5YxBwepzdoFZU26T7ZzSPji6_sVB2lsz_WzMYctBp7Amg3k_zQIsXZWpQzzP9baapy=w1200|https://lh3.googleusercontent.com/pw/AP1GczMe4hq0s9RY5HIlOTK__0YoLspRJDrfK2G-sfAqRbisGMXS4pRkVUW-fSyYgUktRihYJsM3_FbXOyw8Ot1mjrMYxUQMXkYzZOJf2ykS4aNUae0YjCxv=w1200|https://lh3.googleusercontent.com/pw/AP1GczPrhgVWgcBtWHSKee35L_ucTEjnClJdfom9BXr8tdJEcr55Fxj-s6VzWntI_7Ofi5qZxv7U6lj7b22XRD0nxn_ltXp3UbA4-zFPFwXaYPQNpIZfbor7=w1200|https://lh3.googleusercontent.com/pw/AP1GczPGYsGdECfZwMMAvF0JsalWbz6KKuWMLHYe37nFK94nXL_Sbr26y6ZerVXzw0eQYytLYwvA67kA-3Z43CpVJ7VfIqNP1E12SS2GX0W_2Qz-VHZdpVsF=w1200|https://lh3.googleusercontent.com/pw/AP1GczMxWIhT0r2n7uiA0AalJU2PPkDaj_mOfAwKbumCHUCIMjGKv2SbQColhMwyEvjseIueGMfUGp3G30GkPG-qcO6CEhZHbT1esYyTkXAufZJvSnjQGvp8=w1200|https://lh3.googleusercontent.com/pw/AP1GczObKsAe77bqm9KNRaBQrSCFaEJcc6RYIAo7xQVr66-O8v37QebDfO4knRLyl9iJBPWQFx24z5Re0oUiBcjBAl3uj06tbszlZw9PevZGEPZeiut8VYmX=w1200|https://lh3.googleusercontent.com/pw/AP1GczNKPwgiRevpR-cZmM3LK4lqu7TEDouF0SPt5XHebT8lcXFAgv_23d_6GQ0rygfAmP2J2yqL02uJ2VZVCMwG_xG49Na2yXOjKOEAybewEvBqRuZB27jf=w1200|https://lh3.googleusercontent.com/pw/AP1GczNFFUR2eVLH2b-umd-Jkj4FITWFO2KsKc8fWuZ5XK75kL9A5uezM3QYzxlpXNJtA3hPSu2L-SQ41zrNs8GD5M-NVWy7URt81aZbgf7lokwWSxwvmRtu=w1200|https://lh3.googleusercontent.com/pw/AP1GczOK-0iAkiOKmfFfiQTFVIbx1TOE_fiAhy5HDod2RovPh4io38-BnSuH_cuD9XjFr9-PA_52eas6TtQMbjr6gqjtvhAeLGZ_qP9N3p6NepXJ7w51ycy4=w1200|https://lh3.googleusercontent.com/pw/AP1GczN9SFxvqaZKMJM23dPyvvhL4uiqK3NjA1WCx0wE1YxQUhq-CWorcRLUy6EkEEpX7Ef74_KJifhnVQSxYBHOt5YKwh2pq9xFozNNWq_p2EnPfswSrPKZ=w1200</t>
  </si>
  <si>
    <t>892</t>
  </si>
  <si>
    <t>Finca campestre - Riverita - Huila</t>
  </si>
  <si>
    <t>30.000.00</t>
  </si>
  <si>
    <t>https://photos.app.goo.gl/WMu8sreanb64biwQ6</t>
  </si>
  <si>
    <t>Finca campestre, ubicada en Riverita. Área del lote: 3 has. Aproximadamente, cuenta con 2 piscinas, 6 caballerizas, 2 lagos, parque para niños, cancha de futbol, 2 casas, (Principal y Mayordomo). Área de recreación, área de camping, área horno de barro tradicional, área gallinero, establo, 2 aljibes (Uso riego y doméstico). Cuenta con todos los servicios.</t>
  </si>
  <si>
    <t>Sector turistico. Finca especial para recreación, turismo y alquiler.</t>
  </si>
  <si>
    <t>GLORIA CHARRY</t>
  </si>
  <si>
    <t>44 - SEBASTIAN NARVAEZ</t>
  </si>
  <si>
    <t>https://lh3.googleusercontent.com/pw/AP1GczNBM7c5jiEJdHN6f2LOZfee6q0gnOEVIUS_jYHpQJ9kdAo8Rb10krC7ZRG6l5Glg3y6PnlGT9U6PRyI0QsDWr1ryM41X_uuBVoNfWjNa2VhonrMxhdp=w1200|https://lh3.googleusercontent.com/pw/AP1GczMe1RG3m1MFgqTiMknlYeCpgWAG6aByByYxpMqofplJMrLuUw_pCjCYEtPvzpMflPLNWM0aImWOv0s7a_AldlRNOU9c7wlBk6alO-A1H_XixyBKvgIH=w1200|https://lh3.googleusercontent.com/pw/AP1GczM2d84N4oCvAVue9nmmvmOJnJ7dkZDV0tYuuEilZoluCqTosRZpEpuiqX6HnYZFx3hMXXMmuqOVDL6jRnxEfBhGks1TLBD0C7Se6ZXji9jQ0YxuGr9-=w1200|https://lh3.googleusercontent.com/pw/AP1GczO1VXqYOfmG2bFUwWG7UVK1WxVck05n1IHX1WuGtoIDKmmdFId9rttUT6oQtQCYPeJ2iPfDCc4En_blNBOCs9SPhYdbdi-0mv-Quk9Ku4XpVzPOoLav=w1200|https://lh3.googleusercontent.com/pw/AP1GczMXEZizNOINoQUqsI4ixqVcLN9MmkgeoZeJ7baXclIFQ5hk6LwQSnQVafHM1a74k9uvjvx9xKaLiFTPnAj8G84JQG8hDVVAhXO1YbMBDdos8ICmNLSV=w1200|https://lh3.googleusercontent.com/pw/AP1GczNvKT1A4vjuWWMzYNMAiXQI3wT66Hol5sWxUvT2odAZ3yJTvktg4MnVlsOU6cdEvCJWXWVlhG8bO8A_-31lzWhZ3If4iRAeYRAqrJRAlUJ9kjEZVHlP=w1200|https://lh3.googleusercontent.com/pw/AP1GczPyXVu5xJmKHFPe8dh0CNmRazfQ_MBs3eOB9f5zdpk-Y2rXIVzizIS_vpw1Y5ETGoL9z-hhAJ2-HhsidLVD6089_KJ3idfiCMplMppokzZ39gTX59eT=w1200|https://lh3.googleusercontent.com/pw/AP1GczMzcjlnKOEJPqYFjC1x1WqaEu-H3Xe-EO8yHeXWbRVv7XTZHis7niZ--12wcIDoGGOJ4XwTWJ8zejetlA22T42EVzPkJfoJKGDNyIuC94HIgYtAHKWK=w1200|https://lh3.googleusercontent.com/pw/AP1GczMUngzVHbRgpoYsuTe-bOiJBb4O0iGfxQ_eLPaZJp17YmZrCJ-YCEnZ3jO0wcIEF5XGTqeltQsaNKj-A---yeIOMaSVBOslZ4gKXPMfhGHCxeilanio=w1200|https://lh3.googleusercontent.com/pw/AP1GczMUaG8Y8E7c9g_fgT6W1LcIUZdp3QcnvkNdDVXznrthF9cFw5klf3Dr6XhIZ-0yByswpW-Mv8280IxlnPT1gNe_zWVLLo8sMP6TfDIDsNgqlM25H24M=w1200|https://lh3.googleusercontent.com/pw/AP1GczO95be2NB87Y8DJMZL9oUyeOzTv7r119d17cijxMlAlt1sK9EU5H2I4cJV-CMP9ulM7lQexjMcJWVPjaUypNmWkIHSpr-09fsqB05SgNcAFT2egyssY=w1200|https://lh3.googleusercontent.com/pw/AP1GczPeTnVfo29Ji1jXQv8G14or2_nQTBORwxPy1gmidzHKWVgcL57Ph8LdMS4sdyjm-P8lhvxswm5EMK37KnlwZHzn8Xqd_tAY41F2o8LrZmpfEOkF0q8t=w1200|https://lh3.googleusercontent.com/pw/AP1GczNKyuljpbahOLx__vKXCBplo7zPydnwh-BQNJ5zfR2-tkQj60xH3yt3BH0XjsuQeGCSWVzDd909Ug-9mp_SLgtPDxDvC8CxkrAltqjc9DkWmmx6ppsa=w1200|https://lh3.googleusercontent.com/pw/AP1GczP1luPqDNREmVCCeqhILBi2hfSWgp2CLoP494CinVzsCkVPGo1fz5_9vuaCeplIfVRRm85JPnFwmS5rQQTbTMCWLyBJidh-MQT3YqWIiuxkX1zkRdbF=w1200|https://lh3.googleusercontent.com/pw/AP1GczN2WVkKa52vIgdS5Zp8eZpYfJ84xIrSnVuj1oAAEYflT-tqsqhYSea4tje21bSl_DG8p11x1FlDCjQDMfWMg6GX_ZD6e9ijOA98DZq-xSdTgi05A541=w1200|https://lh3.googleusercontent.com/pw/AP1GczN-E3B-AtBhW1qiduGF53561yXd6QGUgSvSUoPObINXVM06DwzABni7JlX5aWUyeVPDEZhe3COWCQQvEE_wQ63qZTmtQcW1Np11AoyKVYcvcP847V19=w1200|https://lh3.googleusercontent.com/pw/AP1GczM1NqW4cG7ZaHHUp8FX7S0D_AcznYvbJ2M7_ZmaduVPuugQ0xF2_kJ6Mt_t1KQ-cqqSh2kKt6FBYx0RD7lZZO7dynjF6giyQZvzK6qWSOwPW7OcfFbN=w1200|https://lh3.googleusercontent.com/pw/AP1GczNox2rLV5EHyBkcsZXupoUpt4mRG-nBH2OqtcoC0YJwVKJ6m4kbSBybRLmJ7h9Gq2AeYtZMMWGOFTjHX8snVw11SoeJmEMazuelxMsA2hzfbfo-EmTv=w1200|https://lh3.googleusercontent.com/pw/AP1GczNJPj0YK1k5SkJ8WfGf4zvNYGMSxwOIoCCixXq3f8B3Qn3x6kTvgADEIoeEgx9ykpFY2v-ApPB4TojfY9fgxd7poKD40EaUHRr5zCHVBC_WdaqTlrXW=w1200|https://lh3.googleusercontent.com/pw/AP1GczOHyOBIVeUizHQLbT16wtdYRKYCGy2vMrDMKemxzPh-9Ag62xf0yY6XvLftycWai37e2QqWI9ieUefLGexwHiXLcEU_woSZVtBjEZC4rcq5nPUrUfKR=w1200|https://lh3.googleusercontent.com/pw/AP1GczMotD3c4nCfBBrOMHDfHk-HCE0F6ghhwBbfxY-0OQ0xsiR9SPIwEZCKgZ4kVIlPLs1xkVDvrSRf3HG-F9M7NCe666BKNpTtyGZDw-2yjjs_ADX0XCmo=w1200|https://lh3.googleusercontent.com/pw/AP1GczOcjDdwYkQZm7D2NOCDG53TaOHrMZu2z7RQ-3c71n4YiHQM8DdMV4ozhwnREDXWyZRgzW0o7pT7JmV3o1ADO4wv3w8mjdKshYLs5yFlqCqmty1XI_uY=w1200|https://lh3.googleusercontent.com/pw/AP1GczOC4TNe4lp_H0etchzKPj41Z0RYkryuftEkvOVobaOCjwaYB6UNBzpi7doNuIkTNkROM0qUjSfrznYYrXevGhcxRS9uyfHkwovzIf1zMsikcGWnf_vu=w1200|https://lh3.googleusercontent.com/pw/AP1GczM7o4gmwm7upQbJW8VpvVm-8CL9oRIVN9aQffykce_u-zW1v3K5qWECtMz_je6yUbCaYX7SV_iBJEbVbJDWNe9Ap-fFB8N-Sqk4QfwK4seeWpjUAXqU=w1200|https://lh3.googleusercontent.com/pw/AP1GczM2LTx0z28SncAsy4ZqoHoEvgVahp_4BtPxH86Pxlrltr33hwpo-mJ02AP4DgfTLA6EO_ChEeHyQZNT4gOTxrCPpUQVAspodjOG2FhfR7PrsHYS1luh=w1200|https://lh3.googleusercontent.com/pw/AP1GczNhHqOV4wTdEh1GOr47itHAst5HE3t8VvoW3FCzhm6oNxdP6FZRW57GCTy27k33lKD3e_zs004Oc7yLxdg6ZgQJV6N652k1nHV8MnV-x73Nq6_RMi6k=w1200|https://lh3.googleusercontent.com/pw/AP1GczM4ow6qQghUVL61RBlKwX7UCP94_IFyZFQZ47CWiXJOXJ7EC2xPgdtiRAu1kH_KdrJdaJ1RmUEq164b0U5ey16vOZ1KFQGaRvptCN8Se1lrtQ78CXTS=w1200</t>
  </si>
  <si>
    <t>045</t>
  </si>
  <si>
    <t>Casa campestre en conjunto Condominio Hacienda San Miguel - Rivera</t>
  </si>
  <si>
    <t>https://photos.app.goo.gl/m7uh6M9bRzjyNFss8</t>
  </si>
  <si>
    <t>Casa campestre con buenos acabados. Piso en cerámica, cielo raso en Dri Wall, Lámparas Led para empotrar. Divisiones en vidrio templado. Se vende a puerta cerrada (obras de arte, amoblada y equipada - 85% importado).</t>
  </si>
  <si>
    <t>Área lote 1.600 m2. Cuenta con un área libre reserva -  bosque para camping. Se vende amoblada si lo desea. Excelentes acabados. La mayoría de electrodomésticos incluyendo la tina, son importados. Escritura al día. No se permuta.</t>
  </si>
  <si>
    <t>PERDIDO CONTRATO FIRMADO</t>
  </si>
  <si>
    <t>DRA - LAURA RIVERA MONJE</t>
  </si>
  <si>
    <t>RIVERA</t>
  </si>
  <si>
    <t>15 - JOSE LOZANO, 29 - FELIPE PERDOMO</t>
  </si>
  <si>
    <t>https://lh3.googleusercontent.com/pw/AP1GczMtBMKQgvejSmdUqZV8FJ6nCetdVBbOqeHSpjew2phrcs2Pj8zYsGvWf_RdxbXF4q7Am_Xx4B8vhZPdiArrIlHDc60J9adotL_mhXeBiGL_TEN4RI6f=w1200|https://lh3.googleusercontent.com/pw/AP1GczNiQzZwUYCj43bRzA2Hsym1VzLqxiv5bu-z5N_yWHGMlpSfeTeDz6xeppj4han8Qhc3bHitngzNzKHHL7uVNjBVp8bV7-gpU7rfnr_7zgW4HkW4pXSw=w1200|https://lh3.googleusercontent.com/pw/AP1GczPLg9B6kVTkjdPj5SdVk878rk85MsaNO7xOoFWSjaQny5areVpgXSyWXCYK6_iDMK7z-SWR9wvzWe-_QN9f3lrsINZcbJUetcYKQzmRBS0hDAI2g4po=w1200|https://lh3.googleusercontent.com/pw/AP1GczMPZCkoKeasn3QanL_Y3zNWL4zDx5NUbbVJU9s8Taa6g8yTIXErV5qfGQ8eZHvGTDT24Z0UuHuj0nRryEwiw8MKbg1xL341Msi6TANzxSQXqaDLKK62=w1200|https://lh3.googleusercontent.com/pw/AP1GczOXraUVEQD3h9OodbJzSXSu20RaLKAZ-1cnt6yTC5iI5dsZN7KMAOhA-vR6sRKs7dcTrIM62giltisKermigABpYiY4za47YrzbuJ3LZW1ljtauZvwC=w1200|https://lh3.googleusercontent.com/pw/AP1GczMgUolUEzOSLMyKu8dETTxSSdl4tjIkpMHt8KTymbWBEhk43sZBPJumucoQMh-E9mbRmBwZWTqbCM1vnyqP9XlOm9jxG6NJAGt5JjKMR_KWBy-BeZaq=w1200|https://lh3.googleusercontent.com/pw/AP1GczPQ8OY-478UtYGJvCZvrIfmEKqTnL25317oh6ijcTRdAiLgdBHTn1TBOHR8ceXcVB3Buy-QvFBQqlmxKnbb8lElXv9TcUT7eJ2rl64KsuTAXHmfTI3Q=w1200|https://lh3.googleusercontent.com/pw/AP1GczOlmtf3LpYfOipq16DgO4WzPdIR4Aov1S2CtHna2ic_HHT7SYzZSo0ecPBtXS_jIp2MgGJU-mehv9HZstFMGFXeDWrpFGPQmofUFsoO5wKw_9t32oi-=w1200|https://lh3.googleusercontent.com/pw/AP1GczMV5bLEmYxK5ft1cJBFX-cZHV7NCEqSQkkQrKlqhx-65u4wFoOp2wQpQaqQi7ee-waxTzCFmqWU5_q2pjC7yrPxYc8oR5R5obVzb29tzGIEmcE-YMKa=w1200|https://lh3.googleusercontent.com/pw/AP1GczOIZzstC1BLN80PdPgfxQkNcC1qVDmuoaj-cDwLhswN1FSZrot15jTUPWM8b9POh1oj6aHaKPRlY2dLhhNqmt6KTj4rtRFdBdGpqBpr6VFO5b-8RM7Z=w1200|https://lh3.googleusercontent.com/pw/AP1GczPirJArKmW3rzEMCdy0lw6lTO8g4CvVzyi4WwUDykeCgVD21cHj0YYplBDgwMXg2GR8yYeSW4qROELsYpDgtYgF6n1pOoT_m7-QdTuGl-lpdmRqIyWP=w1200|https://lh3.googleusercontent.com/pw/AP1GczNqO7aOEDYE_4rNJdZXM67F_kzWAGudGlkaDR22nkpa_Go6jAAH98V0vR6zWgOiukMI-eXsXuCzb28GMG9-YUekAMp6BxWrDqY0RRIkQ2gv5xtYba2G=w1200|https://lh3.googleusercontent.com/pw/AP1GczMGlx1A95ZbRaSwsGCNFG2r-gbxmfzcWnn7YJuUk-4_tYIAG67RxCEY0_MHNCf8BJLVWxiJDqgts4nuR26y26bWmBkvLzIAFH9k6bFLVDQ8OUOnQa74=w1200|https://lh3.googleusercontent.com/pw/AP1GczOaQyvMHbAnhel1GzSyDvpq3cQ2wsV5vazrE1XnaE-Lu_pK6bdStApUjYMrJehh8eqGsox4RjhIfNCk5AEKLBJrl2o-9ioSWBGtjhIe89Guwp9jAlaQ=w1200|https://lh3.googleusercontent.com/pw/AP1GczMrTkv4qrRS3jjEl3NcOEoaH9CPK6AWyk0xjcLOSg5FUpMErLQ3wfQlmW57-Ol_d4guUTQIZD5v9Xrv0zrCMiMok8hcOCMo4xIL3dVAdZYWJpSfrGoq=w1200|https://lh3.googleusercontent.com/pw/AP1GczM6q5d68RdIWZx6RiiWDinD_9UDDjxWZv8-S8bc6ioGzzJfHpZc6Kk3ClPIpsGG83SMY1NmPmUBbbwqLZBcN062t8A2dRCduQ2z3pK6n1UuciYahDOc=w1200|https://lh3.googleusercontent.com/pw/AP1GczPNFeux599U3zeuiShF43Mu0ug99pDHJgSei-YiP0H_Mhf0UHXmtmI87yP5boEs5pEZYQ2NXHVoRm-WAOOwaa4LPMQAojCgd-DAkAUDPhHI9PkmWrx5=w1200|https://lh3.googleusercontent.com/pw/AP1GczM_-Whk3aLzIAOnWIGCBF25lcycZTpjpCJWxu-ySKhovzA56iUT0RAl3y_ibHQ_kZugWwvjzlGS5Ei_Plfy5QwinvM8uQBKK2CHz4lqjY_2ripWt-Cw=w1200|https://lh3.googleusercontent.com/pw/AP1GczNeOq2vWGlQJ2mDaL1wfI3HvL2Uv3s6dU_CPc24zdFM3AbnE4YVxIsavvRN5A3n8k7nTXYRAhaPbpWNxg2bZIOCHMfJ6p1EBljc9Ot0c4b648sW9aYf=w1200|https://lh3.googleusercontent.com/pw/AP1GczPp6YfeN6Spr-oUsqpE8Htfh3xS4FWIAyoQWcMWA3Y2UxWgmdIRXkcAJi9pacd8X5-pCqo_MiAMeOaNmhOeMT3kYeG37tbErK6SvsU6bF_Nc7dBxzzW=w1200|https://lh3.googleusercontent.com/pw/AP1GczOIRYdx5X1bQdKi29E_ZALDvlUUSMW7sOs68BAH37mZU6dLjF8xNSQI3bviQYm6CaSV10sFRfbqWJn_TO5e-T_rHfcMfkj3MbZ2aWpg2a_5MWrMnWbD=w1200|https://lh3.googleusercontent.com/pw/AP1GczOKMtxxxHDBZwvV74Tub7nmAb3czvGgfMZ3W6c4ydGoEyqIPY5VGF-0w9uq_X6AQVUNQU0G1JroxGTAHaYWEQgg1rJqTjSZShEkM7BjUBHzqzmI-YMt=w1200|https://lh3.googleusercontent.com/pw/AP1GczMPbt4obUuyliy5VmTI2FOwysNEy1oDPXKzAbLeQh1X0IuSMAJ59pB4njMDdkNO-3PcsYIqMhknS-bqzRT_JLsINIOYhgQajHLXhpW6_yc8Ezupjnwe=w1200|https://lh3.googleusercontent.com/pw/AP1GczPeHsi-sTCMom3mYybCUuwnusflmHNV3EhB3iw8zw6skkvqUv4n_bnHwOThYuGvJ-IjyUMw7g1dUv-M2ENjdyyM8K_M-94ezapkMQ9G3Um3mggHQWg5=w1200|https://lh3.googleusercontent.com/pw/AP1GczNiOjU2edfGhHgH5Uo5yiDt9hRrYYgalA_JVhDfjY3CBpBxBdAXhiX2qtO3pnYWsQyEbz_tGKd1rviXMzFZwHtuTVIZIfWZCs2NM92qLma7mvrvhOs9=w1200|https://lh3.googleusercontent.com/pw/AP1GczO22SnxEpycEg84DXGFbP2WF9NvEutUr7RprTeMunoGFhPM59EWUZwpTmxhV6E_gmljdTVM-Klsdt21DuiQFjnXzSh9mM9JQZqS80nrFLJQhiPbiy01=w1200|https://lh3.googleusercontent.com/pw/AP1GczNrVjkJ8ZWU9Z4Xxl12nYDlP38FcwLGHgctcfK_1bgQa8gB6HF1oeFNVcEjHXHEF10n8GMgbOJqWHALitnVxByYQ98Fo4Gt6SpkdM0s1ACJ2AnZKnc2=w1200|https://lh3.googleusercontent.com/pw/AP1GczPzdCQ1Zmv5jKl5wBTGq14qbsruKK528FIximf686tzQtftVheRp1cgKkd6m0IrETQG0u2MwqyH00nZWbFtaWzRYBHzesSDjRgAA8tXJ4lOegOyjjPj=w1200|https://lh3.googleusercontent.com/pw/AP1GczMbhVa0Ftuf94_nLpJUI_ai2rpWPaNVDEBPrafxdrm30tyTC_p4AX9ReMg0BYhz0S0Qyi0yrD5WgvLc8Tar_JXgcenZK7L45PuUcDuUIYaiuegXgeWc=w1200|https://lh3.googleusercontent.com/pw/AP1GczNrhphBlsQkN3incpvbVZO-0dHQnpIwpDBoeUeBrNeirs8Y4T0UCJTQYMeqvAE7tKLXzyVNS7Qc7BlXRB_mW-phj3xrr1bHERwXfZFPFFrJtaussxuG=w1200|https://lh3.googleusercontent.com/pw/AP1GczM9QDLx9wU1r5boU6PLcwZkWyvSVdkhV5-Jkqjd8s2bWsgwcnr_9nPgX4yjFlrlx0BYH4r_PDCQtXP20-IuemZeKGBJF6deazHXXSwQ35PfE8MyirDM=w1200</t>
  </si>
  <si>
    <t>450</t>
  </si>
  <si>
    <t>Finca campestre - Vda. Cusinde - Palermo.</t>
  </si>
  <si>
    <t>https://photos.app.goo.gl/m288EAspwV3AtsiR7</t>
  </si>
  <si>
    <t>Casa 1 (Casa Principal) 4 habitaciones (2 de ellas con baño privado)1 baño social. Cocina integral. Sala-comedor. Cuarto de lavandería. Amplios corredores. Piscina: Incluye baño y Vestier propio. Casa 2 (Casa para Cuidadores o Mayordomos)3 habitaciones amplias. Un baño social. Zona de lavado. Cocina de leña. Instalaciones y Comodidades Zona Social: Amplio kiosco con bodega de almacenamiento y dos baños. Producción y Animales: * Dos pesebreras. Dos perreras. Horno de barro. Zona verde con árboles frutales. Parqueadero: Espacio amplio para vehículos.</t>
  </si>
  <si>
    <t>Ubicación: Vereda Cusinde, Municipio de Palermo. Acceso: Por la Zona Industrial de Palermo. Generalidades de la Propiedad. Área total: 1 hectárea ($10.000  m2)Viviendas: Cuenta con 2 casas (Principal y de Mayordomo).Seguridad: Toda la propiedad está encerrada en cerca viva. Accesos: Dos entradas (principal y secundaria).  Agua: Cuenta con agua de aljibe y acueducto. Almacenamiento: Alberca para almacenamiento de agua y dos bodegas.</t>
  </si>
  <si>
    <t>EDGAR QUINO BONILLA</t>
  </si>
  <si>
    <t>https://lh3.googleusercontent.com/pw/AP1GczO1P-ZsZ-ohHK5_G2lXCIZgkhTofh02G9oXha1Ab-1j4niP07n-yN4pxW_kfYMOkX76BsJyxJa-XREKeIS-2qGXGJTs-0VfAZIQUAPU7WohLhP5DPi8=w1200|https://lh3.googleusercontent.com/pw/AP1GczMOs9ot24dHSGWUVpg_oqImKRfYIgIInxFlhZkPkZSjv2d9o5ugYagbDAQausKFIwDjfJDu2Nl_HUsbbvwirWWo-nnohcnxtQtzNCH8T-pzr1LOt_ws=w1200|https://lh3.googleusercontent.com/pw/AP1GczNoflhlHqnGivDrFzaK6iwvX1vRqgEAgeegUH44Rsq9CyZvY-b2zkiphMG1BRhzIR2YQv6vtRXxIxxjv79wQdvdRlGC7ub3Wze4geEe9gdPW-gc4LFL=w1200|https://lh3.googleusercontent.com/pw/AP1GczNlOOfT2Wr-qPq5Bic9o-t1VIu5nCCpFWUxdXNpPvaRfNPaEKJi-7RLSOkR0EGrufPfddwIzlgcQ5j8vOZs7EkjZi2n61Ebb2ZbsVHaM3HCdNmU13DQ=w1200|https://lh3.googleusercontent.com/pw/AP1GczOrYfEHUvUZZ0W15POVEA7w7vMiTGO6Mz-FzvrJMbDAZl_8LcmNlbBzDC1X2jA4xsitSgGA60uVajiB6d-sb3Rg2etPXjSU_yJyjWF2OhAeLSWeskYC=w1200|https://lh3.googleusercontent.com/pw/AP1GczMySCZJsXRV3CR-c2m2IoU9mxok337u8t8Pu5uemCrZh9H3su7NhtpD2_ES9tuVyg296thv4zahpmPa8XyXbeSzAnXw3yEGT8Cs-NEWZbuSbb-DWhFY=w1200|https://lh3.googleusercontent.com/pw/AP1GczNAN9DaMrTz58j7dd1_9CtFbQ32cqu6SbNFX2X5fNd5fwSyjYDEfE95i_5iEUOevULboUE8DQABubT8CyokOMIATrBQ-CSDHhbMmSWfQs9Kj0xcNrAs=w1200|https://lh3.googleusercontent.com/pw/AP1GczNSx8F2W_2O9vq__dhjnp95vRwhhru6EDE1fQZCKfpuPJZuTn6ZDaqY4BrqW4-L2jr-3Bcy3woQI2kyWpx6B483bMd2YDUPQ97cTSWKszm00d6XadgO=w1200|https://lh3.googleusercontent.com/pw/AP1GczNJr6iL9AUtWXkSBDth4wUTlOLuDigfM5R4NK5NMZKBEOmTPmqtflMMIhQWJafX2zUVE2hS3vrEQ-wXJO-GRmVVc6ZOQ2MzuHrmfn_05aNGCmzIXIjh=w1200|https://lh3.googleusercontent.com/pw/AP1GczOnOfN4hV4wPXJ0O4WB9kF088iRQOeG7bM4TJCnH83k4ANH-vjIIUJEMUxrtGLWj0vrJkqvik9vi7Hqz1okn4z9M-eqIxf4loWrHlM_3MM3Tfp_r9l_=w1200|https://lh3.googleusercontent.com/pw/AP1GczPCPNGMaQiG5KChR9iPE8TSSOG9yYzj6dglMMHfux-90pTwBDLOvVlHGQKntwX5BH50LjJeTMUP5bCTAwl5K0ol74ZQHSLtZmp_IgIuENQ44nrzTE6p=w1200|https://lh3.googleusercontent.com/pw/AP1GczNo8oz78N2F8Gk1NtoYiQVpGPVhaX84Vm5KpD6DIaYiJBLX0QOHnCqV6Peg4rzxPiCef6pifgpA0o4W8VkJLlr3Rfa-S1AzlC6Bj13SkwYSuPukLXDY=w1200|https://lh3.googleusercontent.com/pw/AP1GczPwXX_ECChUguRY_pvB5ue3WHeRdCIz6_tZyTugcLRWiKQkJSIj884ARYVVoUNXo6qrDfMJhoMGU9jKTboCmuxvjL-rwkkbuNczFZcIZVgnaNqNbquc=w1200|https://lh3.googleusercontent.com/pw/AP1GczMVB_xRwi2z3siQD3A7r0LYr12omKjn6FhyUCcKL8CnA56Fkf-inpn6yFVwx5ZRXn0pV2aj9iCFN3yfHpQfT9Ruvn64uFfTahjVG3kfXbxzGB_ji5U-=w1200|https://lh3.googleusercontent.com/pw/AP1GczP2OZYlrWtdI0pwkwzSSnUHOECYI96b_5BmNk4un1xQJupAOn2deXD6Sj03oDYUy_XAxW7DI3U97XMt9MRWpIQwqw4I2HX6v_tLp6kA4DsWZ0elPJ56=w1200</t>
  </si>
  <si>
    <t>627</t>
  </si>
  <si>
    <t>Edificio  con 6 apartamentos y 2 locales en barrio La Rioja</t>
  </si>
  <si>
    <t>https://photos.app.goo.gl/ybDjP6GndB1PZxWc6</t>
  </si>
  <si>
    <t>Apartamentos con buenos acabados, Con garaje amplio,  sólo para motos.</t>
  </si>
  <si>
    <t>Edificio ubicado cerca a la Universidad Antonio Nariño. Cada apto con servicios publicos independientes estratos 2 y 3. Se permuta por inmueble o vehiculo en Bogotá de menor valo. No. finca.</t>
  </si>
  <si>
    <t xml:space="preserve">IMPRIMIR CONTRATO </t>
  </si>
  <si>
    <t>FELIPE TRUJILLO  Y LAURA MORALES CASTRO</t>
  </si>
  <si>
    <t>CARRERA 45 B No. 20-106/112</t>
  </si>
  <si>
    <t>https://lh3.googleusercontent.com/pw/AP1GczODyDWRB9R1e5UIddo5ZZFzkKSvI6-IJXNGpIkL4zGmA5O9cjhd8F_Y6kOhzRic6tOdLiw3lXq_Fyk81Dl9vwNsKQ1bkqv3lq1iRcRbNECKgf7gTXTi=w1200|https://lh3.googleusercontent.com/pw/AP1GczN3vRDFVT9-L55IRPCRyRJEAky7R1jd7dl-ci9-ejUS0q7z8B2bNSdBezrT2LFmzDHjHpr5aQzRNlxJnuBLAxKMJEWz4T_9JfIhX2m7xp3gaC4vue0j=w1200|https://lh3.googleusercontent.com/pw/AP1GczPc1hAMX14WCL5zxKO3lmVuzCD2Hu_80RAaRCvIRYnAUxotbMtUdcLfJZMuHtydG9RbSivzUhEivJlUaJZUnu4DpeL0hi9VJFA6PtXwoIXUXyw3AbNX=w1200|https://lh3.googleusercontent.com/pw/AP1GczNlBgtx7f26OdXW68pswdESgdmQhg8EJcP1DMshJUUQORbM5SFaW8nDzspoMVJZY6PgG8rfW73n9Jc3KQWGsNLCemvILm6loUp45GfeF9RWfZ1-13B0=w1200|https://lh3.googleusercontent.com/pw/AP1GczP2ydBiRmkIYToRqy9SYtKr6mNU5BoWuqS2dt6N8gR7S53HpMgFm_Z5uvSCLv0TWn6LGZBttdbfr0vTFpYh_Kd-AHRL6cVcXLIdjm6o3Vbk5Eap7sr5=w1200|https://lh3.googleusercontent.com/pw/AP1GczP6iSiXVMEM6qxftWoHqwYNjIukgcu_jt_s1apNNzUclgx1ebll_mccgrBKLoImuLLFeNsg-RY9p_4TJva1evoYlp8Uvuk6WxEcK4Je8H1XPASpMPkS=w1200|https://lh3.googleusercontent.com/pw/AP1GczNXiIQKibQp4tHig2Ta-Bw8C2w7aqLVHaKOpitUHODv0zl95uahFab4FIldaNwY85d79CrGgerp4O-2kFpoW7Qjp7UY8Q53RZLcNTMe2WRL1eEgKyVJ=w1200|https://lh3.googleusercontent.com/pw/AP1GczMoOV5s6nuhGBwq6uDUfVjh8fDOlXpHXRJatJ7DCj2d_nCIg6tadn3gSHAX1VBD0n2cEKB5AmdyJ5VdL8PX1jWi0-tCmu229L-7JGGbViYnRygPEVCv=w1200|https://lh3.googleusercontent.com/pw/AP1GczP4iwSLoiHc1wEq01Nj8PUPQTJLq1C7_bnhPxOt2VXt1JipmYwgwZ80OU1DiHO8PoV473REjgPgavCzigyBIdYU4qqa2b-BHprs8OL_IE5HrJopbGaK=w1200|https://lh3.googleusercontent.com/pw/AP1GczN6aN6_GbHSK_6JX9eMOtMT6PgdooiCklnOTwC69147kq5iEepOku0mlRXPch7zCHYw-uWLz5J-sJMN1MFyXb3vQ10obL5Zid_CG9F25LbwrL4vicbB=w1200|https://lh3.googleusercontent.com/pw/AP1GczNslbmJCqSx7IZZ_WWGQk-5-_TddlouNTQqfqgikvJrXxL7oV-NR8Qo4K3uYFcmxVNrSo6TptAmuEDOAeOhOBS_5tVBh8DsI2J8cHuYwZ6v351CKmj_=w1200|https://lh3.googleusercontent.com/pw/AP1GczM12Y1kYbbG39J8TN1F2wQ0si1ytk33xC_RsX4l5Y89kxxmDzORc5GCQNGYR4KYV8TwPE2ubJUciliXqVTcLRD5npI6lqzBdomUZqJGC7-W1Yn04BM9=w1200|https://lh3.googleusercontent.com/pw/AP1GczM1fTYMIWJQOAH5xgijtUPyqWtCNbnIer-PzAONW_nMMkk-iOmR4A5uzPJ3eSdteZXSOzCEAwJmGpjLU7xac_977Fugz0652d6EkhiXo7q54zJdfteI=w1200|https://lh3.googleusercontent.com/pw/AP1GczPW0llZpH-BsaVdaA2rq8DXuoyG5U7uMBpkYpOQ6bOq7Tgqt_PFQZHAaP3bRZaT-a9tC3_dZFNasmoj4ccKRjkraIugZeBta4Vp1Az0AM3A0pULC51Q=w1200|https://lh3.googleusercontent.com/pw/AP1GczMZ5YbR0w4DLhIy0IHiThEVGPwlQTh9OL9yU3_xadanXZma4AnLS2cAZkUII2WtNW0H0rclkRtBshnX4RRfhaDKzxSeJNxcyDdT-JbW4Y27f_WkuExH=w1200|https://lh3.googleusercontent.com/pw/AP1GczPtqNusIY0BCh_GhDaLfYtnNMeSLT_fB_bSxHapsDzJVhLYA6E9mXDIYv2BtTvAGz3IeRhgQK-YmSWnKo695l59EvEj5YPahKMLmcNi3Nz7gqV7LeNP=w1200|https://lh3.googleusercontent.com/pw/AP1GczNz-Pw4W_oPwcHEQwd83XMMpEWgCWDErniCt4NMBSmXvrf-cfCIgL5WZeaqzW5KYjXBW63Vgx_IN7AL7RTikRTLLfJxcv5x4O9fid8ObJSULiQhd8NP=w1200|https://lh3.googleusercontent.com/pw/AP1GczOVyzQMCvxxlLMgpfbqjR32QbjdTyhOAksyNx7dRq5b6auzERY-cpg2XubnBqmQ4CJw5fbHMxY28iXC0cH6aHMtu3eYVfmid8QGRiotL0Wy7AU6xTg-=w1200|https://lh3.googleusercontent.com/pw/AP1GczOWRQoXMvVXglnwOjrQXka6hah2jc-2d27tcW8kgRzR91UUkYdG24_eg4Lta0M2qq3Y44bKTBBCgGNaRKMcuX8IJUxY5DKNz-SLF7bOhLfYLMY71mr6=w1200</t>
  </si>
  <si>
    <t>604</t>
  </si>
  <si>
    <t>Casa en barrio El Altico</t>
  </si>
  <si>
    <t>https://photos.app.goo.gl/6hYQzTwBqSL4LgAk9</t>
  </si>
  <si>
    <t>Casa con buenos acabados, piso en mármol, con Área de estudio. 2 habitaciones con baño privado. Todas las habitaciones con closet. Área de depósito. Patio amplio con Bbq y muro en fachaleta a 0.60 ml de altura y piso antideslizante. Buenos acabados piso en mármol, muro en estuco veneciano y fachaleta, Carpintería marcos, puertas muebles empotrados, closet y pasamanos de la escalera en madera color miel.</t>
  </si>
  <si>
    <t>Casa  ubicada sobre vía vehicular amplia, casa remodelada, cuenta con un amplio ante jardín, con buena iluminación, ventilada y alta. Distribuida en 5 niveles. Escritura al día.</t>
  </si>
  <si>
    <t>CODIGO DISPONIBLE</t>
  </si>
  <si>
    <t>JAIME CABRERA</t>
  </si>
  <si>
    <t>CALLE 6 No. 12-59</t>
  </si>
  <si>
    <t>https://lh3.googleusercontent.com/pw/AP1GczMKs1yHuPhO46_KIoGwqLwV1KMEWuG3xilK4QzXAX1eB7CiU3RkCoW0qVzCkxd-tQic16MEKb4sokWrHgx12Jt8_wgWrwMWhuR0WsKdHEKg0TviiR9p=w1200|https://lh3.googleusercontent.com/pw/AP1GczPuY160fPEtD8MmSa3e9D42XhmYj4KxtrcASZF7i-5mTkUl_RZpaXn5eU34IVb9ylhCQxEswmPP_sT1pUlN7wKQ63oSBEIl9ploF7rTKTw_wm_0QOMl=w1200|https://lh3.googleusercontent.com/pw/AP1GczMPKsVwstlDiiEMJJtOOiiT1S8ggDN37mxafqi0f4DD7mwg1vszNLgX2O2WqgZafQDS4hqZK6CNadBR1657qMXBq2Ix3q4Bx_FokQs5V7f6TSN40PR7=w1200|https://lh3.googleusercontent.com/pw/AP1GczMGB3F8bVToZi5WIB-H_V8Cur2S9Ljna_HFvNP62XWw5X6YTDfVFx9ujlIGIntuUFtLnWvtGrVjUfc9D9to0mztV6M02QF6s7514-sUatq4hm1fSLdw=w1200|https://lh3.googleusercontent.com/pw/AP1GczN_tN-N_LaPQLuUpD62auTTM9RAQnCb8JC-4fbIA1YICt3NSU-xESRBE5w3ptxHoMcTdLVmYK9mRklcwzRnRvko0Ke3frq8tgQlBtRnc1aN8NMNTfDz=w1200|https://lh3.googleusercontent.com/pw/AP1GczO6qgXQ70HzigwzMoJP-LBodnX_naicmpBdZfoHdth0FZZTslDCh7QcKTe07lDdaYBibkYSqKussPkLNbLBW3alML9fZ7d5J7AiLoMwYRctWtLoHJSx=w1200|https://lh3.googleusercontent.com/pw/AP1GczP2Z4KNcvL1PUEBec2f3c20JeRvktmLc-AJLk6HQnlG5P0NGnttbduR5ZSDCbaF1x2_hkIkGcC8u82-c5e6BrK8Ubf04P0hEYwOpnH875MMHw5LLHzI=w1200|https://lh3.googleusercontent.com/pw/AP1GczMWzdZQJkdPXNSDWJ90MHnNoYdWQkvsXCR__ovXeOcyXWm_yghp6h-oh9jRWFoG-nUMXeXuHFYzWz1oNEtn9T47PITYFKArcFp9zxBTNw14yzW9Fl4B=w1200|https://lh3.googleusercontent.com/pw/AP1GczMEKnE8FHzPW6hydtcCPY4nt100suiwXR-QGWUOqTHV6LlWT-sLsMqRRAqAnNEGnMG-tb5G1Q6B_ECoq3RzPcu23NQ-e4ABPd4GB_2eA-eVzO11FIlL=w1200|https://lh3.googleusercontent.com/pw/AP1GczPN9DRgKHiSCC3iJkm6-auhHuX14fwbxx-DBTPff9VqWshcQwlpuBeyvgG-SZhjWAsg0f-I012-2EZBfcJI_wPecxGvfDr59NlbD7rSVSUiNa2CHu6j=w1200|https://lh3.googleusercontent.com/pw/AP1GczOxothOkWVgJVGJjdUuqX2BgXdD553C4H3GJmNaQPmNRIbFKfPmpmuUsIAVVPhDLrjqZVY2faxF_8_R7kjckz1zUYrBWg216VyIEC1EfR8Mzwm9qpjU=w1200|https://lh3.googleusercontent.com/pw/AP1GczPVGiL-H1ykItZtAPuFJVw9W0hMvWx1vi2bbWL5PuGPA7h4z6N5W7evzEwSfG2NROKJC9ClXmkDaAbNtYyphjRG1iNe3aL111N4Y90I1jhlmqgpZbis=w1200|https://lh3.googleusercontent.com/pw/AP1GczNXvAOeTWO-T92uNqgg23TKzwisesMgyfL1N56KXqciEDEG4v4TiNfXXqswLdULDk5fyFKpynJcM3KvZh48tS1UpVciAMFrZ78UQZ7HhHeO9JnquEey=w1200|https://lh3.googleusercontent.com/pw/AP1GczMm24oZ9NLV7DWmWYvTCnKnD1LtVzs3tEFkSiovOXCD73uZvOQMDyNkCcR4eOmafkB1rZmGH5t4OCI_DWqluXI8uetgmq4aI4z0qW05mJP6H9IBBaln=w1200|https://lh3.googleusercontent.com/pw/AP1GczOg3Yn1Cf8S5Cat2baxkWZPCEfuyZ1k5cp8lV0MWhQPsKoeMyhuKLaZKB8CYvyGRaKiWkGRAefsDplMTOot00v-DL8KYii7Zu1kTgKOgj4nvwtNFowt=w1200|https://lh3.googleusercontent.com/pw/AP1GczNbLVbW92fJOpvUSXwnCIsVTeSox9j0soPaak4STfEx75P0FegR6yPpMk8ag4c6SnQ3SmYh3_6LgXXtSQeLyxbQ9s8EBxyF16a_RyTJlsR5sKzVqzVR=w1200|https://lh3.googleusercontent.com/pw/AP1GczOHo5OZI_RSX2Q8_0bjQ8PGMQYnQ3o7-MchLSNBUihphXwAvoBPGsDjkvbVyc0or3I994IOQauCf4pa9dm6ThyZXrmvmNby1dExLh5uDrfISrHoi8BH=w1200|https://lh3.googleusercontent.com/pw/AP1GczMfcHzhjdRFQFDUOWJOp1Az0jsy6rxxH_Wh78L93kjREjtKY4wwdtYA5-0PZO_4I2gLcOxzH-ptjGShBZoogaC16CB-x-Xz8g2i2HkaZmuT2CdWunGg=w1200|https://lh3.googleusercontent.com/pw/AP1GczPed2AXmzmXHzC2Qw2_HpjW3jV4atRMLgulBV3JRehjfxJOAqL7h9WgZRlpLY0TbgWGT673yNGi4vaMSCytDunfNzbS6vjjvw0jnKrh5oKDTQmgBdv3=w1200|https://lh3.googleusercontent.com/pw/AP1GczM0d431wtXmGsA1WFdJMN8r3rwRlgktp1Ms0GRoA2eCnk4cuDMsScIw2_2tUQMITRkmueC1dMQvjbe58kPOQ6q7sZbKaO94O3t-qopk825Y6o6qljbT=w1200|https://lh3.googleusercontent.com/pw/AP1GczMZTDIFLKHLDlOdz4OpOS-23ptAwr_7snjLNP_weWS3JFgSrtV6dbfaOIVEn14BRDuKY2HqWS8En6jYdu8o3lSJ_ApD7XaAtSJs5JY9qN4HtHMKTls-=w1200|https://lh3.googleusercontent.com/pw/AP1GczMTkv6RE-L18yMMoaQPRtAU0CQvTQ3TkGYGpNMRexDrT1iditEdQ91gIFQ9ieKWhSM4kEaKOOdrv0eoh1_Eiz9Gj_tcRt45QbHt1XeHmvQ53fVVFhJr=w1200|https://lh3.googleusercontent.com/pw/AP1GczMDZ5OhXTwsJqVGpxpp1ety1aMCyaG9VirCR6Ht3yn9xCqCo0SDzx2loWdJ-dKKPqLxWdkotiZWJWDB5xVmJHUbkJsSWsuyn5LPYwcFINjDmXjI5owY=w1200|https://lh3.googleusercontent.com/pw/AP1GczMIM5FK1AQsz1PoQJbDwZxC1u_nB-cDDp8WB3YLL4RadNpF5Ry-fA6LC0u-VECwRqTeDq_9OErOt62lTy8CtUflkLvHw49W45DQ126TdnEtVYz00t9y=w1200|https://lh3.googleusercontent.com/pw/AP1GczO7UzgGZzyCl1CvJLdUtm7tvSHBPuURqDCFkfqPGrRCYOTMmOdfL8xpCcDws8FV5uLkX_r7W-oYOy-5KKvMIkUVC6188W8BqZEQFdXLp_tkC4J_oq8L=w1200</t>
  </si>
  <si>
    <t>320</t>
  </si>
  <si>
    <t>Edificio con tres apartamentos en barrio Campo Nuñez</t>
  </si>
  <si>
    <t>https://photos.app.goo.gl/MecKAB4MJ8qoYU1S6</t>
  </si>
  <si>
    <t>Cuenta con buenos acabados, piso en porcelanato. Cielo raso en Dri Wall, con lámparas led de empotrar. Closet en madera. Carpintería externa en aluminio y la interna en madera.</t>
  </si>
  <si>
    <t>Edificio con 3 apartamentos. Dimensión del lote 9.50 x 10.0 ml. Bien ubicados, sobre vía vehicular amplia. Escritura al día. No se permuta.</t>
  </si>
  <si>
    <t>TIENE FOTOS- FIRMO-HIPOTECADA</t>
  </si>
  <si>
    <t>JOSE EUGENIO-ESPOSA JANNIFER GUZMAN</t>
  </si>
  <si>
    <t>CALLE 19 NO. 8-50</t>
  </si>
  <si>
    <t>https://lh3.googleusercontent.com/pw/AP1GczPizyuWTkl4xh2awCw8Fxl9iKxTUHTBagiECOaEog-XwPz3Z-ENHieo21GeNiw60bhPbxq56LsulIc8gv55-4tU9SaVH1392Mt2PCxqEEEghmEXCfjU=w1200|https://lh3.googleusercontent.com/pw/AP1GczMiwS233g6x3yRuWW2CkqnhuhPUcdsQo9Y_JgQVY5Zy-rxAO_nZQQv1ir9g5ZxvoXixlGt0mc2IzgpcdoxM-ceZrrW6rp_1vQW4hhc9Ifn9CzUufUHz=w1200|https://lh3.googleusercontent.com/pw/AP1GczNftIb1toTBHWm0TC88m7bJtiwMPuq7MTsqepk1hNun0cKDSX5VXLjW6EyclQuScpYQwPOSLYTVtk-0L4j8e1ILEKk9_TJw_xL7kDRhBihFgBnNj_8e=w1200|https://lh3.googleusercontent.com/pw/AP1GczN669MZPtzlv2O83ADWWkZbGP8a3BZiypjKH7S1rVuOUfl3rQxw5NMBp0Q-ekmaJqKW30Hqh2JdwjOwjQyRBylR-u4VuMFmVUoZ2NHAbjGVoUAeyjQA=w1200|https://lh3.googleusercontent.com/pw/AP1GczP5EzT4pS9ecRy6jOiqaqeVZTEIroT4uMLQi4nn-zr4hod1A3SM3IsNcQUiT_nf0OqvspaRWhmaWZwWalkDShSBvyeRtsp_yrrnwhwXr9HUzUNd5N9h=w1200|https://lh3.googleusercontent.com/pw/AP1GczMW7mIdb7vD-QoViwt9XnWyWLOTnpExNQhxscP00iThEn8tCZjjjgWpkZOwpOhveUfWGEUEZjWUWkHRnllExGeiXcU8J7L68t3-EBW39M9GIma5rsci=w1200|https://lh3.googleusercontent.com/pw/AP1GczO6ggv9Do56jUlKiHYCQOaQR0CA5XWjXrd5bqj_bIRvQ7kZ_2V7WteVWRpBaMOLcd3O6DB_w8TGF_5ZeVyf7wueMcDd7d62Zu6qFavHNjRCyhi8CFuB=w1200|https://lh3.googleusercontent.com/pw/AP1GczOmDjUGdT6IyTeSeMdRPe4O17aimya_yBuux4XE7vO1byKnu7KVN7hanSnRRTCHPaXR_gnJolGripgCnJDqQcl4N5e0itiYcQiNbVvsoL7pWWYMviqj=w1200|https://lh3.googleusercontent.com/pw/AP1GczN30h3fYvX71dwgRhzeW7q61jP9mVRa6UiSr2_UT0Q_ZRpLfokXS3ii4odHyRl2v6H0DGz8EkDEb1RN23aYM_bugIJhVg49V8IURwP1B0jt1DPugw5Y=w1200|https://lh3.googleusercontent.com/pw/AP1GczOPFZV6rko8ylr1uOdXngWyFj7Mj5hZWoGnv16793HXgLbf08FpWVn7Px04mybc8_ZGxJJPv8bU_NSFsOqRoL_7jGfDaaut7PrUG1OLe12hbZPJqq5f=w1200|https://lh3.googleusercontent.com/pw/AP1GczPeB3D0umOzlBbBXe32_pFRWYiRBIjtUelGKioye93HnDpV--1kl30P60tpqK5aRSGRmmL9Z7ZeLuIgE-s5YJ4DMXrnHY0OB2-LXegE3mVu3Pv0_IDE=w1200|https://lh3.googleusercontent.com/pw/AP1GczMOYds5iHt94FFigQfe7sgpV499FJZ-rSY9s8gXaYxBzdyrIYO5inzI29DZTgevvHisZxRQKVqcI8gQlZwzF9iKPhno5oFIbxcy05MPnjy3f8NZQlxN=w1200|https://lh3.googleusercontent.com/pw/AP1GczMUZivMqzoIKhN3Sshg4RG7M10XPfa87nWdoRoX7UJ4RFvPlV9TsZYE-k9At6Gp1YBFi3aqCtDSTGqcsrAPYJuVkC2MhwvFCJ3TO1kcaZsIkijQlKEB=w1200|https://lh3.googleusercontent.com/pw/AP1GczMQwNGSaP-cRQESLyO0sTULAK63B9I-L2wKPSbrnuJp4aWxMN_Qdtv35V8cawK8A6d3BBI4m4G3AeCboFqL4mEWP5-1uSZjxwa3qObeneRVc7nWr3tQ=w1200</t>
  </si>
  <si>
    <t>075</t>
  </si>
  <si>
    <t>Casa con local más un apartamento y un apartaestudio en barrio Los Andes</t>
  </si>
  <si>
    <t>Los Andes</t>
  </si>
  <si>
    <t>https://photos.app.goo.gl/faSnxo1vFMSFvH6n8</t>
  </si>
  <si>
    <t>Casa con buenos acabados, piso en porcelanato, carpintería metálica, closet  y puertas de habitaciones en madera.</t>
  </si>
  <si>
    <t>Dimensión del lote 7.0 x 16.0 ml. Ubicada sobre avenida doble calzada con separador. Sector comercial. Cerca del centro comercial San Pedro y San Juan Plaza. Escritura al día. No se permuta.</t>
  </si>
  <si>
    <t>EMILCE</t>
  </si>
  <si>
    <t>CARRERA 16 No. 29-04</t>
  </si>
  <si>
    <t>9 - ALBEIRO TOVAR</t>
  </si>
  <si>
    <t>https://lh3.googleusercontent.com/pw/AP1GczNAeQb2-RrNDQldnbFf-AWYInVsWHjKR0rswYkWFQYFpI4bwAwknmojYx_y8_QtjMDe_D94EffyMlJ64fgtlmm3TQAuYDKQKL1jw2Rz_9qwL_qRHEHS=w1200|https://lh3.googleusercontent.com/pw/AP1GczMJrWjRgbtyXqW79TyHhEhJhRVo6JFzNlqXhE1amA7VH8UGoBiRPkSE3ezOvch0MaakKdC0per_IvYWLpx-Oi5OsPvvncQnYn4Shs_7jRmCNzQB2_bE=w1200|https://lh3.googleusercontent.com/pw/AP1GczOL0s01VvzJN-AhlUdIFt0iJnxBnV6ple0qEdgyr_7xD3uWeJsbDKyljKhlYpbfvvLXsEm2wc-ehlnEaQogRcYQBxJ5kwXYWlnz8iaqWzJa9OLC2XHN=w1200</t>
  </si>
  <si>
    <t>852</t>
  </si>
  <si>
    <t>Conjunto Residencial Tangara Ciudadela Nio</t>
  </si>
  <si>
    <t>7o.</t>
  </si>
  <si>
    <t>https://photos.app.goo.gl/M12QLowt2h53KMYs7</t>
  </si>
  <si>
    <t>Distribución: Sala-Comedor amplia y acogedora con Aire acondicionado. Estudio. Moderna cocina integral abierta, amplia e iluminada. Zona de lavandería independiente + cuarto de depósito en sótano. Balcón amplio con hermosa vista al exterior del conjunto. Baño social. 3 habitaciones con excelente iluminación natural y Aire Acondicionado. Baño auxiliar y Baño privado en Habitación principal. Closets en madera de alta calidad. 2 parqueaderos privados y bodega.</t>
  </si>
  <si>
    <t>Apartamento en un séptimo piso, en una zona de gran valorización, este hermoso Apartamento combina elegancia, comodidad y tranquilidad. Estrato 4. Con vista al interior. Lobby a doble altura tipo hotel. Excelentes acabados.</t>
  </si>
  <si>
    <t>NANCY VILLALBA Y JUAN CARLOS VILLALBA</t>
  </si>
  <si>
    <t>CARRERA 8A No. 43-44 APTO 708 T1</t>
  </si>
  <si>
    <t>https://lh3.googleusercontent.com/pw/AP1GczO35a-PxHy6Ap07t9P1aURSMryZH0YP22lRIFZqYRBE4Qqj9o2rzFPQnfSdKYrq6KiFXekqgpQsnwFVEEClBeEKrDuobHDCdcAqUFyBx3YxphoPTGsJ=w1200|https://lh3.googleusercontent.com/pw/AP1GczPur_yAO5VGQYCsrJXYIhUTCKq_coWzKP6c5UXQf7j1Zmgs8jVjTsiYNOztzcCsD_VZ6T4AZVo46u61jK1hAfQQC9pxt4L8kp-KwbbOTREPZ0ZpncRZ=w1200|https://lh3.googleusercontent.com/pw/AP1GczMuWcfqh83BU_fcGO75FN_4HRu4vvITDH8DHr2JigRSmFZfgE2eiCM_YNyuL3KfgFfxEf8Vh4eJZZQ6b7ad_IeFgdzf8X37upifyggv0OFEJl6VSKAR=w1200|https://lh3.googleusercontent.com/pw/AP1GczOdN0XTyGlDsG5SrdCDk1d3UDog1FLRnaF7wUelLMaqu-c-HStaI9GTK-vK6AUNZxHmSm4M07ysil8EHDZRKWBxrkEIB8Uu0B-v1VVPudpOLbn0ZJKF=w1200|https://lh3.googleusercontent.com/pw/AP1GczNgi4xncqzklvcaG8rn_HPb4RXCxtEUPHhYzhz-K8wvvhl-q0inb9j9BZhX9bf-IKfbDmglIuk_lfYxqPYP_FzIzo8EJ9F43x4eoTL2N7UFlFB2dou8=w1200|https://lh3.googleusercontent.com/pw/AP1GczMYZCJ_O4bK6o_8EL8vxyBqYYTMm0Rb2SXrz-PG-_4IQT3gpi0faxiFizrCrBinUNmIXA2ljHFareqH9-gfAaSW_j-hI9WQHJR22QcVlzumoEO9jp6D=w1200|https://lh3.googleusercontent.com/pw/AP1GczOMqrAbb5tLvg4Tgb2wCTe21yN9n3nw4INidyJo__pbCUdgpNWwQyesLuah4-ezQGhOvuCuWZcMxPV0GpkomQLEnadry_c9EktsKDgoOIJUW5-r4kch=w1200|https://lh3.googleusercontent.com/pw/AP1GczNjMex0pzZxQf2Ah3Z_vW7KqiVGEybd4aTecJSx7GHWEL6-gRTHIuLZL1xiU0KvO43lf6Bm0CYAdjG0V0u5-aqPWi7t9RC8MrNzZFaEj1_pl3LXttTh=w1200|https://lh3.googleusercontent.com/pw/AP1GczN3RDZsxNJIT9jMLcidzLBSRKNUjy3gSPbZZC46rrC4FXX2KyDtHkpMgjMizQKtytHJvUkSnubUzseQS4XQb4X_rNQ_TC4-jicpBQ0ryt8ZhnEjakVc=w1200|https://lh3.googleusercontent.com/pw/AP1GczMXboiA1nuCHICn8_-y2PU3Jb7Yu-eNsPswrp7lcNXFY3D5yV3zSc2bCk7tMzfQNCAswBjAi_lqT8rzBV-1vlX3-woeL8goOOCr36OzuBGl3vIiHwnh=w1200|https://lh3.googleusercontent.com/pw/AP1GczP-yUSoGLv-T97Pc3hBi81P0HvXHX4w4pEybSnLBxMMMa2v5YEGXK3gt0CQs4YOsPrfKiHIND4V6qcIRJinxLTWGcixxGfpB2mroTp3WqJ6wZKde2YP=w1200|https://lh3.googleusercontent.com/pw/AP1GczOugXbUts4EMUdgktnMtWKvR9TxxQOqaUFJG9uHbj8wpRRG9LkfS9ptyrQlsI8sjzT7lpRmmR2yga3vw8wwE_WyJlKeMaAef-6R4-siv1i8LbxJ_rsU=w1200|https://lh3.googleusercontent.com/pw/AP1GczMLSxt37QEmM64xjiaNpPxCM3oXaXw1XsKsDN02pzog647xSSF3T-6FvCISnEsJKiQ-fo2LeWBQCjuJOKPuu60Txu8dd51jsQFht0nUd5rcXiC27OXr=w1200</t>
  </si>
  <si>
    <t>220</t>
  </si>
  <si>
    <t>Casa lote en barrio La Toma</t>
  </si>
  <si>
    <t>https://photos.app.goo.gl/VaLvWiBG6zi6BMQX6</t>
  </si>
  <si>
    <t>Casa lote para remodelar en un 90%. Materiales en conservación. Piso en baldosa, cubierta en teja de zinc, cielo raso,  marcos y puertas en madera.</t>
  </si>
  <si>
    <t>Dimensión del lote 9.0 ml x 30.0 ml. Con patio lineal. Sector Central - Barrio la Toma, enseguida de Bomberos y a 3 casas de la carrera 7.  Cerca de  las clínicas Medilaser y Uros. Escritura al día. No se permuta.</t>
  </si>
  <si>
    <t>DESCRIPCION</t>
  </si>
  <si>
    <t>JORGE LUIS PULIDO GUTIERREZ-LILIAN PULIDO</t>
  </si>
  <si>
    <t>Calle 14 No. 7-33 / 39/ 7-25</t>
  </si>
  <si>
    <t>https://lh3.googleusercontent.com/pw/AP1GczOuGOTgrnv2S4elxCFaS73FL2q7K1NN_BH5NqrOOWe9f5vfluuLR4hlXrk9i5hl6_TbD47Kkg046knfSFZeeoZM2TeanjRt6rEA2vY-VCpfIcYkBhuH=w1200|https://lh3.googleusercontent.com/pw/AP1GczN3oeSDE_Kz8fKADs_5NPLHJcf0AlcnrDEqxGTZCYaqtRQcsKcQSkRm40vhl-TmQOXu0j_F9rIBvcTcHLPouNixoFXrZKEibPEuDMQScL7o_UOCdR1m=w1200|https://lh3.googleusercontent.com/pw/AP1GczOOX8-BIoBnjo2fBSUAzDL1fRLezORjoF1dxBP5kHG3PybR2ZujFHomS0QwXEeouU_f30v1xzNLPc_UALg9xvTk8XCIdaCUQHaPG6v5ytaIBNd22Zd4=w1200|https://lh3.googleusercontent.com/pw/AP1GczMkLRYZq_BnlcJxluJTwLIpbHxlb4wR8xOBzlIKltBlB2yxMHS8cwuTXa6p0_f2uTP89lq69Ar1TJtFpnMyibKMkTaFueQavgZLY-gNUeCAXZYveNj4=w1200|https://lh3.googleusercontent.com/pw/AP1GczNK18MyGM7DS4USaJjxy8WZvRJm-rt05yFmrTV-kNUracY06bEbDSt7QNVbgeDBrz4l_o0ry0c4KF0IEY_dFSSv3GO6VF0aXpgbMPnV2wvm1JOVF139=w1200|https://lh3.googleusercontent.com/pw/AP1GczPy8dpNdMRx0Yw6Ht1zroavELJNaTEFGzO6C8ThcjaoZAIE5ZdXTuunOPtrVm-2RIFZIWm14llvIsQwRY6MzzrQxTv_zHZGcSlAmn0I7k8EzwHgBqs1=w1200|https://lh3.googleusercontent.com/pw/AP1GczPXDQ4l0SykPkak-9iFRShWVktf9KrkIpsFYEh0Q05RY1Najs1UrXDyqLdoG9MAE1ewkn4dI6274cM1CGpTz4rir7HMiOLnxDM8wuCDte-n5VYYmtrB=w1200|https://lh3.googleusercontent.com/pw/AP1GczMS6OiH5hMRes0xtJL3975TFrDYWHE9r7YKZ0raPPAQSybGuBo7dq-6tGSGcLoi3DHbcSXbty-uNPgKKGxUVnenWjzp0YAV_2HBKqg2AuE6rcoqrlMz=w1200|https://lh3.googleusercontent.com/pw/AP1GczPW0MO5gAGbaQ89ubUP7rNhU62fVAC8dcyBbEKj0Oz6N0Y3ErlhIFkM2uUsvx6ykiWxif0CpzDZw1mu3bHcTVzB-IJiENhD7zvBDHL8MZ4UXAPqafrY=w1200</t>
  </si>
  <si>
    <t>363</t>
  </si>
  <si>
    <t>Edificio de tres apartamentos en barrio Los Andaquíes - Rivera</t>
  </si>
  <si>
    <t>Los Andaquíes</t>
  </si>
  <si>
    <t>https://photos.app.goo.gl/S1nKKVfcRrcjGysH6</t>
  </si>
  <si>
    <t>Cuenta con piso en cerámica, puertas y ventanas externas en aluminio. Cielo raso en Dri Wall con lámparas Led de empotrar.</t>
  </si>
  <si>
    <t>Municipio turístico. Edificio bicado sobre vía vehicular amplia. Escritura al día. No se permuta.</t>
  </si>
  <si>
    <t>https://lh3.googleusercontent.com/pw/AP1GczNXLe_KZiMQcWmr53KhmbaEcH0xCPiqR9tTgZyPpB_gjOB3WugyCRM8RxZzthun8heuK2AvX0CKl9QhM9mI4dcvTRTGA6w5NeH13lRXi-waRlEWXv3r=w1200|https://lh3.googleusercontent.com/pw/AP1GczOM0nlWkqVWVxkow3vTUpy7VYIst3PgbtUSXJ66066Hw1Kk6DDiMhqn4D75odzr00mzs6NihWecWASU5Fk6_VgG7cU-M2kJsj4ctP7quqXiiscWlq4s=w1200|https://lh3.googleusercontent.com/pw/AP1GczOpOwE_0P1ULc8_ReVLk98LD3Lw_jw6UBdSh9L29ItQRbteMX_9tD5O5fyEYXqvbZQpUyYzOrCKZJ-DcDrjFzy2N2n15-pyt4eer-0kZMA4_4N2S-wO=w1200|https://lh3.googleusercontent.com/pw/AP1GczNEvlJJS60zdMo-srXd2vr4ic-5YLXocLM4pEx5UFiDtYfaqKrfpTMfmESRTTpBaxOOv3j3MlZujJPQzuftgs_BJ7sj0AQdRPzzTwsRA9CVuiDR4rcD=w1200|https://lh3.googleusercontent.com/pw/AP1GczOF6aXrCqYonmfyBLT5pU4S_z1ZN85AJ0p8JZRjFgwd6k2LUXdbkHsdWpr9Ci7udcWXKW5IMZXknMSg7KZfJuRr6_z2aMO7G554ULZrmKQWKlzmCZ9H=w1200|https://lh3.googleusercontent.com/pw/AP1GczORdgDJY-XUWZK1y2-044BdkHOREpUIs4eN1AelfVfzuQ90ajr_3jO-g03wzeUxoC68mrR1D5HwniV_k6NrlbncrKu7x803e9wsLVcpq6A-UKMmvzB6=w1200|https://lh3.googleusercontent.com/pw/AP1GczNozFegY_WEzvz-hnrf_ub-LNYZy-lA_LCSoNDFoPkQO3kwvbwFgLDsBX5Q_rc21Qz_Sg6JoLR2e7zWBQf8iYPsjPV1RmdIQfthMUxGWI8VIoU_pU55=w1200</t>
  </si>
  <si>
    <t>240</t>
  </si>
  <si>
    <t>Casa más 2 apartamentos y un local en barrio Alamos Norte</t>
  </si>
  <si>
    <t>https://photos.app.goo.gl/9VWPgqFrjRj8vNLw8</t>
  </si>
  <si>
    <t>Cuenta con buenos acabados, placa de entrepiso en placa fácil, a una altura de 3.0 ml. Piso en cerámica. Carpintería marcos, puertas, closet y muebles empotrados en madera. Cielo raso del segundo piso en icopor, lámparas Led de empotrar.</t>
  </si>
  <si>
    <t>Casa  con reja antejardín. Bien ubicada sobre vía vehicular amplia doble calzada con separador calle 50 A, Altura de la casa 3 ml. Apartamentos con buenos acabados. Escritura al día. No se permuta.</t>
  </si>
  <si>
    <t>RUBIELA LOSADA CALDERON - ALEXANDER</t>
  </si>
  <si>
    <t>CALLE 50A No. 21 A - 22</t>
  </si>
  <si>
    <t>https://lh3.googleusercontent.com/pw/AP1GczNH2L-CqBJkkE7XL5Inh3eIxpwxHGWMa2h3jjb0hfnfjKEH_FCVZYxEYZ5wxyBnVlhyO3Bx8uE_qXM8_y18iKFVp_448Lg9vuphh4J9yUUK7MSOxV_s=w1200|https://lh3.googleusercontent.com/pw/AP1GczOISQHSi--5wbTpSEjdN0L1yPuIWFNNN3xtieWQTp-4SiDjnCH94peDLFXHNdQeFYbQZO4svp_wAAzbp-vihlSBMfhkuhPS_zZ2hJzCb56df4QZZS1-=w1200|https://lh3.googleusercontent.com/pw/AP1GczO6vstkrQ66XzflO7unH6OmninIOeZiTbNMj6GppWY1V2cOUyc9STBOCm_VwmhpsGNuDZAAijJekxc7DZqVcGTuUfwxrIa6qR017aaKP006-p4eDm3n=w1200|https://lh3.googleusercontent.com/pw/AP1GczNZbQAZEsClOdbAgYWtL6dbQEGWUTkuisVmgSJgswAIR7OuDpqNeUpLGsc7pdhY6Mzf5o9dM1kMfQhIIe-0uxpazu97FmE1d_6KMcnHmgB_1vow5BFW=w1200|https://lh3.googleusercontent.com/pw/AP1GczPHJGlVobBAvzBhGEzDFVoNq8OADjHJZJVH6To0ISkfRHVT7wjRPxcHG9sWXdB1OoToxC7m2XilK5rpAp9AnCcj62yIZWUxAYq2cR2qjBqfXf3wsgrR=w1200|https://lh3.googleusercontent.com/pw/AP1GczNLqKgE4s7F0tf2_EmxDPiF4UHHJX_eoAyEHpRtCuRRkt73iXfhbzrycn3T1i6hdbTXPA61f1KuwI2_JdqO_C0WCA6yHR7uHfxtNnAZTQFXqYkY8EYH=w1200|https://lh3.googleusercontent.com/pw/AP1GczMTtm3_LToOusGeoyXnpX8s_QI9ty4NW_fpGZGbZqgE81b0hueJCfEzVysES2Kb58HAHYoQRt0kI82YDP5mr4-RULAQFl3i7CEBpsouPa5YmwmwO1r3=w1200|https://lh3.googleusercontent.com/pw/AP1GczMKQUFRGiOAZk2UIiJgbaLfdAJVeECMLvmRzOJkiTVUf6td-J1_jlQjZTu-ckYnNXb_Kqqr6l6SWvgz_Drly8fTCK9AeNSJYzzUoYKNqYvXr_SB0uW8=w1200|https://lh3.googleusercontent.com/pw/AP1GczNOzcecRFmTTpxbCrIX_4KGU07xNChddZ3bRQN9qPZ9YXHdU-sSSNNx4X9WpVD9bJTLdUTKHtPAUsRZwkqeJ3PCLWG4T-7ou2zKRP2MhZUuEw_ICIgS=w1200|https://lh3.googleusercontent.com/pw/AP1GczOEVI1znChoqW119WnOJh348xyA0vZR8uRrMt85ikrdwU3dCznZ5Wxj-GF-zawPMY9WS-AtLKInewWNTOmStIhjr3AsbLCk7TnOgM4O71LSq5j5Ak1E=w1200|https://lh3.googleusercontent.com/pw/AP1GczNcQWYy8aC1IMy7bInjVOPYGH7Ofrhtb6vTD14cLw-FACeS_SllJONzORC0GsuQMK99Py1IbWpCPZYPwi5oHo49yFmVV1OdIPzHSMdqPPEio7a_xrbl=w1200|https://lh3.googleusercontent.com/pw/AP1GczPpfjh_rW3Hx9tlJ_Jbj5AAShoswUHG4TrQdusYJoTBpYcstYyqBuTBEAFDNtKPbwUrJG1A3MDD0agA6sYhy7uffq5UkJ4CNn4eGcRHygmzY7BcRS3X=w1200|https://lh3.googleusercontent.com/pw/AP1GczNGNLhTYY2YZTXcnp4PoAcYpoFwl5R63kmTE5rXYi6zE_VVXH33Df2wZGemdYSsWGwTYYykIliu7U2xvp6gOA1z1PARusQqqHY0DfZhj2mQpm27O_51=w1200|https://lh3.googleusercontent.com/pw/AP1GczODjmVWj5wTA208qfkMHNxrAEvBnpUJt2Ia8FTBxxEy95iVwhj8YNkIY3OqY_O8vUdeuYtbRePnyrZyQbAv3PsyeYCxV6JwYAQkAAy3NurrueVHcnhL=w1200|https://lh3.googleusercontent.com/pw/AP1GczPrnKzuQBghXhBDPf0i-KcC-BtS_-5RQzMvJ7Kg6UebgGqvcAmu-0dNuxtrOSmF9cFyRHKcd8zoDEhi3XLS_qgPGWbf4pAA4fb0Apq7ynwLbPKQdT49=w1200|https://lh3.googleusercontent.com/pw/AP1GczNajlhO-aUU0GwB1GPs-3zTwlm8HdFcNaQrI5BN9xjmsw7ELKFqbXu9IOX8UCmkOD3dme3HopFs0jwlErJm6vFbmXyj_LAwNek6D4NZJ0MZjw8OToBM=w1200|https://lh3.googleusercontent.com/pw/AP1GczPbsEyksv92_x_m2iWyl9UFoO31MfIRdKThPRR77V3gDVw0tVttQxwwGkS0aMk-6SFEK7T66YeqM1mdzIF-ZztxbuKAKuLjCCapiW2ELGgpg-DPoqYP=w1200|https://lh3.googleusercontent.com/pw/AP1GczMDedP539uudHaWnE0IHVPxaYGzZygTs7k-USq9lkPRdCJF6_XC7CUwoR6f-TREmyt9DnTftqCgvt4IOKEtvgxQZbazY_-EA1FSvf_oeghEmsJkOekL=w1200|https://lh3.googleusercontent.com/pw/AP1GczPT4FzNTfiW2Od2Wo1CvVS2tbXH4naDwEr8yo544FCvHaBa1w5IBFD_Xl9K7d5nR-Uz9rPIH3vAIfZNCmYqUySIp2jHo3nrMcbeiZN8mhWgumD-MLnm=w1200|https://lh3.googleusercontent.com/pw/AP1GczO0mslpU7m8hBlMMDWHgojRjsWHZhGqJNSnQiZhFqgfKiJ5QQST3Gr6efwlPJZzAcNAA0UgqFILd2tLf_0r5vXiNCdAN2aEzgjIHE6CghV8td94jt9K=w1200|https://lh3.googleusercontent.com/pw/AP1GczOAID7xKtVj97lGcudRkUVlLvWzXrFv22CYjAKf3o8M7NSSGfeyXs6zHSut3-5TdBdW2WaqBxEQ1QcDbxcBWoqJhM_9AM9ggsWEbCc_3MzTKJDmAkMh=w1200|https://lh3.googleusercontent.com/pw/AP1GczPSrVx-JI3yF3i06Loi8cO3zD3vI_Aa9a8O7eRrVyeoQrKOi5qDzayG7HG51ECHC3svjSaOVJ03qD0igexRTUUM_HwxObC0WVTx_NgevORP8D3icmJD=w1200|https://lh3.googleusercontent.com/pw/AP1GczPXPu4vnZBR0QbfCcPEBYN-EQI0-PzUjkPwwtfwg6c0WXWSHtPxYFYWZON9XL-BLIhg6TLUlENz-kpwOEiihj-nwUySBEAd2hm4AuojSkgo9v7MhFAD=w1200|https://lh3.googleusercontent.com/pw/AP1GczOomcksRuTkTvN2vaIOZzZ11qrCNQdYNXugnvd89wUAUui7xPrq3Vuj4U8TGbF_TWlxGO3rvE3ddSDWsIuy1YICbV49dPz5UwWjYIOe5H-zYYSRkI3e=w1200|https://lh3.googleusercontent.com/pw/AP1GczPHfcjiMc7einskkSBw92c_KY3CRrVqkWhzhnAaxcLiecLM4yuVSD6vACsXn50wzlqlFNfOo16GlFQXwNG-A57lW19Tfzm6lW25Kf1tfzwQHyk54qvX=w1200|https://lh3.googleusercontent.com/pw/AP1GczO_cmiVAioLrSsc9MbvP7UChPAPvYojPGVr5u6mY1cpbfSQECwmCEB2zSO3ruMI77NSai39ilJkQa37zlqxDsALQo7nQRmpNLJ84Y5TjtcX44G5uaE1=w1200|https://lh3.googleusercontent.com/pw/AP1GczO_Btj2YkhSi_i8iN3sDym1RREyqonNFCvSiWwC__jZlut5IpEbCdVNBVZJDDO2Sk8ESlBsAOF0eeDMiHWgpsgl8OSRiA3SmAUoHRTrwmccF-PDS34X=w1200|https://lh3.googleusercontent.com/pw/AP1GczN77bO561bAGyPeCaCw0bCmN8KXYOfKc3BZwBL8DO1lcRuJosG9FIrxesy4cimeH4KHeyMAVNuk4aIaq-RohLAduBRSwGftw7YWl6DijfU6NhNovTbq=w1200|https://lh3.googleusercontent.com/pw/AP1GczPoWwPBXZWVPuTWCbCXlLwJ1eeGE0-qzf9tKL72i4lGHsV9vI82B0eL-3UgPlCy2yd4pmU-ZBC8CTvXseoxmfSDMa5Nzmslye8QzjUxS51v7H_uEd9s=w1200|https://lh3.googleusercontent.com/pw/AP1GczMJFWzo9hqQ0TC8xep4FAzxJq6cJHq9ZQBNBBzCaFTAx8fkTtdVv9CnDEGQxaag2IDkSQ2JRIa6V_vhPzMVyxGNzsw9AqTb4o0gyAsly_DUfoXQvJ1l=w1200|https://lh3.googleusercontent.com/pw/AP1GczOCaVWHe6H1XoN-x4xvG3zr1sUH_tUSHPdcgxQptIdVTh8hDUYr29ImXqtaqfhXiCc10ggFsvQQYMDME11gzYbyd3GFh6jsFQn2su1mVPNPiPQqe5hB=w1200|https://lh3.googleusercontent.com/pw/AP1GczOx1E3RqUe3bc7r8z3RCXVSi0XfwkMStvPX_4-of9zs7gTL3Usfe9hjeFsc6tNIsTL07rP2JHlE4JpLz8GivxrAa_tasvfJPDxM_gXP0TGdRBBj-O9O=w1200|https://lh3.googleusercontent.com/pw/AP1GczNf2EKVBMQfDsDefU6i70yWnQjt_2apymROrQv0S51W_bG1YHBNskHeZfz5vIQGxd5jSI_Pl_Z7bipgdo4mx_1YGu52X_391MAXUSAyKGHrIl8aybmT=w1200</t>
  </si>
  <si>
    <t>219</t>
  </si>
  <si>
    <t>Casa con un Apartamento, un Aparta estudio y un local en barrio Las Granjas - Norte</t>
  </si>
  <si>
    <t>https://photos.app.goo.gl/GMD8FrnJa9PFGtwL8</t>
  </si>
  <si>
    <t>Casa rentable, con dos aparta estudios y un local, Distribución: Aparta estudio 1. sala, comedor, cocina basíca, 2 habitaciones, un baño, area de servicios y un mezanine.  Aparta estudio 2. Sala, comedor, cocina básica, una habitación, un baño y area de servicios. Local. Amplio, cuenta con cocina básica y un baño. La casa casi en general, cuenta con acabados  en regular estado de conservación.</t>
  </si>
  <si>
    <t>Excelente ubicación. Sobre la carrera 6a. Estrato 2. Servicios públicos independientes.</t>
  </si>
  <si>
    <t>https://lh3.googleusercontent.com/pw/AP1GczMt56grhkhEnlI1aYIgdhRcWU6Z8qrgq7N_-qdnTm1yXLNhS9-r8vbDux9wZcmss95v4NgmjHPY9ydk1tJHE703AQvfHdhQS1vyZL14AA1Vt-70ROfN=w1200|https://lh3.googleusercontent.com/pw/AP1GczM7UGdlGSHajCALp5baDpzia5dhznl83R-fHqqY_9n71Qv1N-Hye4gbABSgWXbqiDC4Owl1fdL8lihRwleE5wBGE2RMGApber7Ai17AXt9THtOpZj9A=w1200|https://lh3.googleusercontent.com/pw/AP1GczOvP4gcUw61Ig_WmaMNhJSCc93bwHFjZ6iDM6PwbF4MtP4_-x86TmU8vQ6ZLKxdQw2y9DURxYl9253vxfJ8Wle_D6kjgvwdCn5jpr0HONYXko06kOgm=w1200|https://lh3.googleusercontent.com/pw/AP1GczNWNDDYkM-Yz9aEkNjJrV8Nxu_OeNgIa5_KGVrqnIpiOlV6Xn3AVAFSTOE8L3BgMcePr1Dw-X4R2pvDJAOMO2D2LcHPOTPOxYVULBbIDBgPsasFMZLc=w1200|https://lh3.googleusercontent.com/pw/AP1GczPA554ZFWUGQtgs9HofJG5DKwptv0KG5QZ0e-Y-fuy47auPty7TTjXpZLsiWZOe8V-gWyE9ZFYslIad8vy7KzHLYHVUsgqY2j9hakGq5JGSwC_aAA6L=w1200|https://lh3.googleusercontent.com/pw/AP1GczNroNE8XfqNK6mxCFqXHt0IPd1PBWuLhJbx_6yT6ycKWBt7rF1X5etC5YClpmqyV57ParSnmcV7tmKkLVrF8I2qbZ_BBDWku4gjGX2fzNvbCwbYHy85=w1200|https://lh3.googleusercontent.com/pw/AP1GczMqw8jd2Y4Wzva5Q2x2-7WVKBDSMUisWXuZcHUfdfcnDs9c7zvwnTaOK5-ywQsFmdkZwgcUeiNgGG6S1ev-8sUpYT3uwjMAUgvUGrsx-lNrCANKzlhA=w1200|https://lh3.googleusercontent.com/pw/AP1GczP-ubOjjCcfZKZdqZ1r0sfWIEDCZ9xf0mxsgy-Kx8qrZDl_d_9qFuWGtkzw1_PlTDXkIBoCC5yuAT7bVyaN-9dc-0KXL4aK0LApJ6ZJ7jw6It7z-Ma1=w1200|https://lh3.googleusercontent.com/pw/AP1GczMXxtoG5SzrnQZ0w2T8UUI5VmAzRT9Kj8CqPYLvhjJaG_OSad7GSSKZ8od1_wRtAMnQ-2mV8b7_HHh4wUV3Hh5ZnXsWS8IvCeFZDtj2VDwDScO1FoRR=w1200|https://lh3.googleusercontent.com/pw/AP1GczOWzxcCix8GaXRJpL5UFIQqlx4yNffJaSnVl6NRYaPrhp09u0sN_ox2JR9An5VcVEYHbB20_bXpjv1vG_Z55dBOQSXMwDsgnxVPymuogHgf2YKqDU7s=w1200|https://lh3.googleusercontent.com/pw/AP1GczMCbQsG8Ujuo1hbsLzn8arh0idcgMpiPPkFdPVm2qUk0L6UcJMNxUxOpLuS2ZH9xkLXUT__4fQb6oBhvNeYCEghOBAwXB_L9nRwfjLba7lRi70etv8X=w1200|https://lh3.googleusercontent.com/pw/AP1GczObqB621TJqntKYK6fc3VSZUaqX2ffcGE_5aHLGU6TqqQgRoyDHBncyuOGC_t-PlyzYwy4fvTFIRt38GKVHw-BkJZY6IZywICgn2-3jmjqA2J2GKbpA=w1200|https://lh3.googleusercontent.com/pw/AP1GczMfAx_I7E67W_F7sCHtK3RVmyXc9YNY-y1maRDl0mdMqDsdn3NHs6RtZxgZItT6gzxRa1U0uJxLvrRdM2F5rYJ32Co1dLGKtzOeuPbrXJL5gIS1a3oL=w1200|https://lh3.googleusercontent.com/pw/AP1GczNpgZjO73GNxUi2czcLdt1Olmu6OP2BVCcNXF-8xagXJ2a6Gff7rhV0NRDv6R3dQStWF584vEI_9dr7u3vw90byxHtwJpbMp8XDg22T432ZnPC2lzGZ=w1200|https://lh3.googleusercontent.com/pw/AP1GczOPi7fe0tJjsXfaqsS-njjx_1SZwQ9H3lIv1pL5KmUTDmcCJXunN9w5hxzu1M6w4glJUDEzqXMnNSBhvKJPhYNIMoqc_FDBTN5AMUUKg9cvjE4VOLEo=w1200|https://lh3.googleusercontent.com/pw/AP1GczMiI1KoymiM44JYb718H89N4uw0Rt_32PNNXGF7BWXFf-nMzFYJ6rcfTM9xx3Par5fgl2Qw4mJO_tvA-GSa8akchFcGf6Zxgaq_YnPK8V9D8EZB7p-s=w1200|https://lh3.googleusercontent.com/pw/AP1GczOHSJRUDkrlQqIMVCkcVpiwDLspAqxTla_8i_VVSu60sdKDbYfKhdw07_SLg4H_7eVdhT5bqrapTHzHwuSNvIMiBs0Ob8n_Zdg4g8ODtJ5IkM_PVFSI=w1200|https://lh3.googleusercontent.com/pw/AP1GczOtvQEWl4aqr9o4IeY5ZPm7La8pgX585R0mOAyMNuz5xpG1nkaCWk4jhJOsPIy-oHQ37aIS_cBwqBxUL6UZ0w5wpQwd8Whfswb3UrI18n2FmjmIfHP5=w1200|https://lh3.googleusercontent.com/pw/AP1GczNuUbEDYW_g0O26TC42rxH7nxam2UrJm4KcIiqZdC55SkkDZxgFFda77erKvm51idh-CsUt7acCvx2a1qnsYlw2sMaGfFA5UZwnCstj2PupYxp9X6YH=w1200|https://lh3.googleusercontent.com/pw/AP1GczOPvFQ5IqOFfCXg3YjGGD5l66-dJuGJBmpG533BOIesJ8vk-r1yzwfg7RgCC5X8ky5ZqoYJ7e3xVnYkcN6z3T99Bp4A8yTgfY4exqNt8_kCFioc0UCj=w1200|https://lh3.googleusercontent.com/pw/AP1GczPmIa-m7BqhX6EY4i6b8mz8iXXOTM1FUO6StqewqVm1Y8cnx1IEhBtW4SGWcR0refER1Ql975uPKdLkMY7LlXX80aiJ_P-YPEsDHnz1z3O_oIU6uVp5=w1200|https://lh3.googleusercontent.com/pw/AP1GczMenBD-oa2T75UNOxE-QXirRT-uzjhNF4tLchwuOFJhJscz47xIISL4sGWwszrB9iiMR297MCNzDzDog8EyuwBM2j7d-gG3yS8iUFinGyTQEIMilmaR=w1200|https://lh3.googleusercontent.com/pw/AP1GczMBrLRREevBD5-8zJu4Vt8txGG1UpZ0bazwh4z_gujBTylbGPnx2wF5T3sX869sIrQgacNn2DgHm9cFZpyBtRtKkDjXAoKGXpcIbofOaP96xFnjL19p=w1200|https://lh3.googleusercontent.com/pw/AP1GczMkhTjr8AApUmU8CrErQf81O7_WMYJKAl9okYOhdwOG135FaTHaQGhc2uW9PsppABQuIVnCT14AH0C7OtgK4S9z8tW_TZHjN6-3d6ccYzfBprj0ae54=w1200|https://lh3.googleusercontent.com/pw/AP1GczOKu5lRr6VqICUXs1aFK3O10u6BtOW7HHrPVdXrJ44u017P13aOYJVn02v4WPvhQ_3g6DVvwolP_4qk1OzKh7vgmbwWRE4LmjotLxOep5u8r-y5LASM=w1200|https://lh3.googleusercontent.com/pw/AP1GczN46gB_Mlzpf3y5ZTH6jB3TB3_uB00C3mDb-wHqwISg2meThfGygMAOVO-5Hj0heY7HkNK8-ROwiz4cUb_-ynJ-7K4G7UBn62AKAH2AGMVGJY0q5Agd=w1200|https://lh3.googleusercontent.com/pw/AP1GczM6SsLg0R41F907rzBzfDkI2dvVwwZyB_m3Px_bjQ5zuVVMSfYFdHsqPQ9UBNn6xwDewvTLQPttMMiT6wV_OnlJIkibAChKvnhGgTN0UxAp-Jswe6o9=w1200|https://lh3.googleusercontent.com/pw/AP1GczMLqihZYVDM9sgj0VK0AUgwGrZnwrFO44B8Oax86o4YAyMgSCr6Ih2_CH5qyOjvUCYRUGnHJ7JkMHXjBs0NLiOqBQ7aJdro_zuGg7CAMRfBHjYHyIJA=w1200|https://lh3.googleusercontent.com/pw/AP1GczNAJt6c_sa3Xj6lyy3hVJAXiAiA6rkspSA8DZYLtY3F5eS8dhvu3KuKOJhW43GA4HieF5G2P3uD3mdIo-3yXVxSPXFP_AkQKPPRG9qV2NCMxB8wHrlj=w1200|https://lh3.googleusercontent.com/pw/AP1GczP_b-hp25SmMH3-KseMva1SsfxR4ye3S9ITlBsiI2HCSH9BPCar-_1T95FDeaimsYPryEFexdwG4w-HLsklYOWW87MQZAxqODp3VmdaJEjFwDqhtvr9=w1200|https://lh3.googleusercontent.com/pw/AP1GczO5StRH46vqHyYOhKxZyTrza4U5oNAH0G2kXlTtFQDTvhSCD0kNik7aadQUJCySroSOVBveCPTHAk99niJVT1GNxuX0-7rAp2z1ky25wqqIuZgBbhWj=w1200|https://lh3.googleusercontent.com/pw/AP1GczO9FR23HuydA1vmU5NUFcADrWORy5cZRSnVYWeHCcqiNlYiG76J1OjOBxuTLzZfSVrS4z9Hp6uAOChzczwFJN9L3Jx9Aw917v1oZXJ7ZcKAUiT9WzBM=w1200|https://lh3.googleusercontent.com/pw/AP1GczP8Riy9DOakBBrI7BiMNS4KYOe3ODUioR32AhESzv3ws8apwl5RcfkN7a32mCGpmpQ2dIOAWpjm094VbetRQzb3MV7RHwiP8TTiEUYVhfNcVf3FVQW3=w1200|https://lh3.googleusercontent.com/pw/AP1GczPHifg84bmZZPzMMnmnetLojp2MzGLjnvT32Pl34shi7pbcx5SK37p7uQNMJNlhty3JAtulLpPOqNf36evo1GUShpc4HErNiijpWVV6wyq8Pb7CatXb=w1200|https://lh3.googleusercontent.com/pw/AP1GczO2eIJmudjBw112M6IOJYIn6wHQIbt-_96siL9h3NhxmXBurpIRAGJ0ZSWJ4P8gQ_1L95LVc1ygtu5gceL38NGbmDDM-_AljEZImw_cZvFVYt4HXtcY=w1200|https://lh3.googleusercontent.com/pw/AP1GczMZyK0a8SP1MbTzuvX2T9iCUjy9R5C61r8VrnO3EA0vciktwH3odq02WApvG_DnYntgKfkOo5HoUngZxkEFHhGDOg_mIZgu-ukU_0YvriqYE0sJftYp=w1200|https://lh3.googleusercontent.com/pw/AP1GczOoegusBvqgRaWTrc3M4CJEDFPlZexA7B_hq3KSwd8qq5OVAIn2xTpQ4D-XeT-GuPL3OMGZgne0FHs0AEy7FsXwES2lyD0zsM1d9fXFXz9DNT5e0Rlq=w1200|https://lh3.googleusercontent.com/pw/AP1GczMcrnrxQp_vtyFYbusk2tTOEtq_R9lmV1AlYPf9YZRWzINdHuCCMdWpU8-quqPPovfIJOjF6HXWbroT55YPwGl9oAIYxcRtTV1AMmiFDrE_KSOIhAzL=w1200|https://lh3.googleusercontent.com/pw/AP1GczOzI9ETFr8yOzu0TlEl9r-3_3vdsu9XRLreAiWKy2_1Y0iDSpAgwaEfjHT1PgkAQ1Lwdj4ClTaq3VkUqYHDw-7nfwoHapkTzInEyL92sI4HL649DV2c=w1200|https://lh3.googleusercontent.com/pw/AP1GczPQzDwRUgjdi1s8VlDRPE2vJsPOR3sL-Z0h322RmxQ5XOvK9-5lSipLc64fwDD_t8tHrew9IvAqvCS2CsEBLC_TSmC4O7SE7eIbtmfxqRzMitnMcTTR=w1200|https://lh3.googleusercontent.com/pw/AP1GczPa6no1l3glehmxt_XMuOqEuF-YAGeMaJkJ-L7qOHIJj7CeszsY80mTBSfUa9M962vGohkbWzxl-jl_LmZJMAHPubvrYRQieAJFoUMcZ3345OHSyqlK=w1200|https://lh3.googleusercontent.com/pw/AP1GczOn6_UcyE8ottoV9juqzjijkC5eurt3qKrSiIXdWzBnV-lcChLEnrK1s3GMF4o7gCV_cRFhoUR2YkHWS5xMejbYH3YtB2R-GWkUxyB2eoekntkgRaTx=w1200|https://lh3.googleusercontent.com/pw/AP1GczPkZIDvVoZxWGNJxhCtQvhnEuSj2A3x2RO7TcX6taSElBX5W382ERg3F58e_g-vsX9KUTonUli-d9k0NfGfX_30wrYQyeqf7REifR6PlPRo1fChtUFY=w1200|https://lh3.googleusercontent.com/pw/AP1GczPk5B4zDvgWCjndHZ584Wl6UYbU9A1zPmC9orIAj4pKMeQnK8Dr4qkrcSDt0icFEWMkP_QEtjLqmv7r9M4zLzTPg4nSBw6RXHmfB_CBGfD88baZmzWd=w1200|https://lh3.googleusercontent.com/pw/AP1GczP-UUjeY6mzz33hX9X1ejf-eprIQwrOTPhXlAYetNBe4uEVHxN0p5hu2cvPlk4LnBIX4jgEJqRFDpsHJcxP22WyjBE6ARsk0SeD7zi1MAdAFF2H-dum=w1200|https://lh3.googleusercontent.com/pw/AP1GczP5PgtS_XtgaR7spYWcmXrypsiCZvaJ8xbD0J_OhBHg3498bCcVh7UE9ke3vqnSaYjj9fNTywF6Xto_vWkj94Qd5mnPbUaBjeK5t0-t6uJI8yi7CnZw=w1200|https://lh3.googleusercontent.com/pw/AP1GczNP9W861ZcbkHN75EeAZ8C_Op1IQc2VP6P6MeDzwtwJ_lkIIuNHG4ZqttexKLbQdvvD9gdlzUHiW7E8-JQyTK0aFO3ZpGY5iiLvBCdG1zvhrKTwxFVS=w1200|https://lh3.googleusercontent.com/pw/AP1GczM-H9SumWHem0WDRM0XM-3RWXl5uuZ6Vn7ARF2kRiWrby6IiHzHUfivpjHsDfMUQRDDDqu2_xid32wxavYT3una2CkksAqX_ZDpDwnJefMf2r12eBTV=w1200|https://lh3.googleusercontent.com/pw/AP1GczMHT2k_1L4FktkO19FvaX5l5jqNaw8P12ucgrM6-ZWHq5avP4f23svcTsEEFA7fYh-MPiVcQEO87OqsLVyD8zCiHQbhMoUDhgRxyRVciFL5xlox5WHU=w1200|https://lh3.googleusercontent.com/pw/AP1GczNGSV5P09h7uIkFSxPdM-cHPCp99Nl0YzlP6ENG9zX3OU2hKWKg_-kwCxxhhr5EdHB52HxlWW4lb3lLkvbNgNyrcTvPWdJTPNJubF_osBrjHnW6MvDs=w1200|https://lh3.googleusercontent.com/pw/AP1GczNnDJJmmaeJrdu6nYcMHcYaXM8IhB7nK58SD8U2rgch8ZqJEQtLJuup8L5COez-_d0DsN3TWgPQLmmairRe2Uf6hWVXInRQGQViRcP5Q0G6AeDld_tw=w1200|https://lh3.googleusercontent.com/pw/AP1GczMyW1lchHoqABVXVYYB9ksHAzVDbqfSVZ01OhbjTpEeo1ubvzL5-ZJWxdujjskUQggt9n1ID4fQZ0-BlirRdHrv4IMOm1AFQX_8eMUW1lUR5fu930ha=w1200|https://lh3.googleusercontent.com/pw/AP1GczPsE_Tw6EJCnpK2mWzqbk5AGQu4x5QTfLSoOmmI8MfEzTttYTBBL48fbvqbOjnGkYiqPtl5__53TTH3Ux-XQf7iyPrQs7awHU2_8ejXBt0GhgJb7lvZ=w1200|https://lh3.googleusercontent.com/pw/AP1GczPwHjpqwoC4TPYFB-fuc6wYKHgOFNhULLqJk4dyVjG7C38_CLbTBLcJu0xGREjVXaKdgUlVtxjHRR0mhX3f7ifUsIyaAA4ArWCMkfqQ6XLOidaLv8qE=w1200|https://lh3.googleusercontent.com/pw/AP1GczPFfYQz6uJE9WmseYmJdUyqp18yZyB1n4zENPjIAVB7_b4QJmHzOE08rxk7hQ15REWWlGRullSvsz_g1DqXp1-U3EgOUES1Ss-HGX6Xma4-qmVWSdvY=w1200</t>
  </si>
  <si>
    <t>734</t>
  </si>
  <si>
    <t>Manzanares V etapa</t>
  </si>
  <si>
    <t>https://photos.app.goo.gl/3A5gjBviS2wQHNtF7</t>
  </si>
  <si>
    <t>Casa de dos plantas, bien ubicada y con buenos acabados. Piso en porcelanato, patio amplio. Cuenta con reja antejardín.</t>
  </si>
  <si>
    <t>Ubicada a 3 cuadras de la Via principal y estación de gasolina.</t>
  </si>
  <si>
    <t>GICELA</t>
  </si>
  <si>
    <t>CARRERA 34 SUR No. 23-114</t>
  </si>
  <si>
    <t>25 - LAURA DANIELA ALVAREZ</t>
  </si>
  <si>
    <t>https://lh3.googleusercontent.com/pw/AP1GczMR8M2r7u8tpsXRVFxgAmejo_Rp52MIHOCpCo_LBIKmnM2HOJDlt4dugx-OExYRZBH_26yfIfngZMZny_C-KiJL0opjGUUil0vleTVqS6Nxrz71VU4j=w1200|https://lh3.googleusercontent.com/pw/AP1GczMjJ9jCQwLgVqZDaOfV1c6uH6nVV0Guygyqnxd906iUzf2oOvmMiojqxt5CecbdeZQf4JMhzA0P6YBpytiCbkEdVxDzcB_MV-bznwpQ2ZLSn9_IU1-v=w1200|https://lh3.googleusercontent.com/pw/AP1GczMd27roNPHvysr8XO3VHZhcgHql6tgDTiRebwzbNf0jg18VenWMxqjNxHTxPqEJD_9FZOi6mXWDM4CdhwT5MzE0KSCB2cinNBUd3bLvXzPUD9mZhbRz=w1200|https://lh3.googleusercontent.com/pw/AP1GczPayCwHd1a8Re5qU6owWe2O2oWfZGDQG8PkjcobdoHkni39pxrNp-7dmlvCw_z2nRIaj-FVwxOvxklyKnBZU_Ep0DTvbY-iQPr6GnXLeIUqsCH1HvYm=w1200|https://lh3.googleusercontent.com/pw/AP1GczMGWjDQWEfvK7zfv6eGNoG9Cm1Q6zHUr4x0OXfSt1Prlu751SCvqCSppgif4ctVu6wMo1afFJ5z8C44MVT7N5ESNR5vvD4jUZBKV47x65HlUSJc9-_R=w1200|https://lh3.googleusercontent.com/pw/AP1GczMIfiyquzkC9vz7yV4rq-MiFjpU4m7E9UvGlb_ILkwCLuySJ7pQ6cxFxpdfRV4uYuZf_Xz60H_JgwQ1YWhrg0FytAMJ30yZsTWl2tjnwHx-3wtuJ-UG=w1200|https://lh3.googleusercontent.com/pw/AP1GczMVGHwRXwHxfLywwZOvTpTqyZBC3SteklAHEuHmAYMIqc9C4OoAUkh_PvX82JKzM2GwNznxau2aJPTzIJd3CqNRhZM96Hv5xXsMWYNFRzOhvX0bIUHV=w1200|https://lh3.googleusercontent.com/pw/AP1GczNd7bywQqzIaIxGf5hwFLm__elK7LRRTawHcfATmALkjW4JQQq_91tnT8bs1fBugw5dKISN5YW4R6iVEtVuC7CpSaG-eo1sARzNfG3Ze27AIxNQmVoR=w1200|https://lh3.googleusercontent.com/pw/AP1GczN7kvbcLzgdbU0RxugNTuQ_L_n545bFLFoij3NuBNTRTSVKf2p8x6UoZ9Rlk54D6SlgQczUXZonEZCJZeV1B27KdJpsKwqFHNUPTf44pj6jQWTIdXyV=w1200|https://lh3.googleusercontent.com/pw/AP1GczN6yj1WrbbmqKCdEMbB78kmB8k35WZtqfZQBybQit_OgsTOPLDtngrrgsXcxSiVf4V4t3g1OzDcZQFP_YucDfcFLK5Wy7LNVSSZCjKwmiqa8pFx4ISV=w1200|https://lh3.googleusercontent.com/pw/AP1GczNpmbIhrlyKNaLyL33JkqR8xHShj5hrNgTdA6IMzlacRqrzbk0hKad09A_axGjpHdy6wJEgR_fSOL-VkpuYXlD_X6TbeW5X_F6RgJ18ZTFWMeeoqnR-=w1200|https://lh3.googleusercontent.com/pw/AP1GczMGx9A6rI_oOSHM78DOwOM4jFbxw6QB8X3pG-1VjAlLsJKGRxgq7yWjx40bQu76qSo3jqCuUxQ6C-J1vGO2laolDWxoLN1OT_98_1QzF3q14eo7o4O-=w1200|https://lh3.googleusercontent.com/pw/AP1GczORA7DO2jwF4XLOI469wPfEhihhmOBozAn6VoK29xN1twRANWvvHAdPOpH3IhkrfaEREQQ5qfR6elgnEULjJGRZ2kvw2bdwTk9bva3UeU6_2Y02T5Qb=w1200|https://lh3.googleusercontent.com/pw/AP1GczNX2QoKkaTDgLTbmmBTj6c3ACnqtoW8ZBgUnLapOeWYjIDXSWQwGO907kSs5Vf3Ah9hc0DrDQ6vcxGmk0P7iD1SyAbmVYq5wWmDJGM4Kpo_MQPgjF-K=w1200|https://lh3.googleusercontent.com/pw/AP1GczPxu4pS6dbhHq-M7JfpkIe5WBTF_zo1A3fnCh_q1pDR7wKC5zMl2PYySCceGV9Z471a8CJM1CqRu6r8HHBANHl9KadzarHnpuHcazhzThqK_6qKGrqI=w1200|https://lh3.googleusercontent.com/pw/AP1GczOyLeUDI3ED0TNxl6mxXxYVpVNvhkNVx7_4TBj39uGepeaFK-VOj6S4Ob7gjyfhnjtE2u_M5NoI38-_XBNColbHU0xBnyLEjGRZNoDfqd6CyF9qOIFL=w1200|https://lh3.googleusercontent.com/pw/AP1GczN51TDJI54YSdT2_n9s-KtzNh9TERGGwlAxPcuQv-jkkxmsQDDF-xezd53EPTJP-B6HCH2OuGBZT2SAVFIzog37pSwBrfTEts19i_1oVnENKo8Uf4pP=w1200|https://lh3.googleusercontent.com/pw/AP1GczOA7R_0vs-IIsdt89PfnAlWuDvXMZySzuHYht_u3elEHvKzSFnVSLF9aT_1_9gaX8ljzwerALZ4gxQyBz4IQBcZu3902illzgVnSBFeQT5GCBtreHjw=w1200|https://lh3.googleusercontent.com/pw/AP1GczNWP5RZLKDcMpz-fmJkkAHp5gimeDtXzNQglwkIvtDA6iPbXZp8WZCszqRY8LEhWRTP8_vKvkxqU6EJnzwpDQJFtMtsVxeIm1KDXZ0YS8OVE2xjSJnZ=w1200|https://lh3.googleusercontent.com/pw/AP1GczNjMX_FFv2pep88sqJxbdumPs1P06x31EiQhjkt8g_8Jit9uxKK_dpdf2o1EMRbJvDdqpt3LrwTOq9rlyBq0qRBcKG5hZA__c8cFuicj4xs2_4Jxq-f=w1200|https://lh3.googleusercontent.com/pw/AP1GczMm0UC3ImVsbLJf55loxYYOtBkhOapneLoSv5P0tvZ31-lO4GD90mVHgTQuXXnB_7QY1M2pYpIzuSV1fnEVaWFauLqVsLuzI28JwUDGaPViYFpnW0vr=w1200|https://lh3.googleusercontent.com/pw/AP1GczMT6_0abKDMkWo7M6rnksVi6skjWTdZs_c9cWP7O1KjVXqdQwpROlbaiLXb1oK9es6bzfV23zAg2dqZlgwCAf8u5AZ_XsjBpJpkAfFvFbJr8TyV09V5=w1200|https://lh3.googleusercontent.com/pw/AP1GczPZUwFhi9oc_6coFZ25WdMhRoqqHF9nWu_HyGwDOuXZcWf1F2JlXUl1e4zNXKy0GvH7e-8NLuOVs446RK_sNANa5wGacol--pJgAn4WWVpUUXapxb3Y=w1200|https://lh3.googleusercontent.com/pw/AP1GczPXVrX2Ggd5f4GIrqseaCyRXt7sjZ5rV1rgbKnDrSv3zESmkgO45q-vx35q1czq9woWMwfZHcsxynlbWDoMS13PW6Jh3fKOEzXxOLElbYZyLHafzABP=w1200|https://lh3.googleusercontent.com/pw/AP1GczPa_hxljY0QPjJw6Htg2UJaqeSg_Ybm7Wee4mdaF-vVtf2giMiPr9XgdQgPIspYVBNOKtsfH9mr0unuvW0GXN9YYhfqpghvHMB141Y38BclI8Yz4szj=w1200|https://lh3.googleusercontent.com/pw/AP1GczPnFdjQ9Yg3kUd83_Cag3VK7eeOhnWsgMIrNalz3Jz4lc6eeGyjrrfV_a8h_wEquUu88YDPBcSuGgU2AhcmDlybMl1e_OkrD64wud5t9TF3-A5dPv0e=w1200|https://lh3.googleusercontent.com/pw/AP1GczMEjsGh4v6TBsr6i4Nhg_4_L3X5LXrO6HISKQq6IuBkMsbZp1D6rhqk1dWOWk7QDmIn8-JsxepdU1fYYPjYPF0240pkmlK6RIKGi-8tlBoCURoqsX2o=w1200|https://lh3.googleusercontent.com/pw/AP1GczOtYfRHep9N1iJA1icRuH5ty7isWI-3rbTOhR5EBVYMBPmDFdi4Pr1udqjgKl-ik17FkBNIzH22Bug245ctfMw69grncNFL6LzatloC6jGUChwRJmWq=w1200|https://lh3.googleusercontent.com/pw/AP1GczOqsN0vGA2g6LDoZBF6K_R-nXdfV86DscG-daPc7EfwDA6PcKmyKT2ixGBy76AW8QGEsY8JEBqpcBXZeYfXv3ivCR69NF1t41_25caEg3e874eKUmSu=w1200|https://lh3.googleusercontent.com/pw/AP1GczPEvzv9wD5KBdvwRQYyPGgohk8gcEakKcE-D2kdZ9hM_oHjclDj5hqLt6kwFZGMt0Cz9gbsNkKjawTR_viFevw6vI2fuDgBkKtypzbvu94tJZQfoT4S=w1200|https://lh3.googleusercontent.com/pw/AP1GczO3Lm4ZgWdsnmqQB2G6y5XdbwrfA1tXa7txxSzsZvbPHrNiojy4hVpxso0Ulnh1j76hxNdcDmHlGMatFte5aK4gbr6UtpqudxtGOl6IQXzEoaOx3sZg=w1200|https://lh3.googleusercontent.com/pw/AP1GczMq33Yz8Opj-3Jy4FX4ku8sl8SJaFXNN0JwbIHws3SPwVFVmvdanj_vOX3YjVRvxcqaKRLfibbYp7DYtQRW_0Ul6pbACrXdhBYnQEqPZD-oS27atDfH=w1200|https://lh3.googleusercontent.com/pw/AP1GczPOco5-kSO1aKeaol3K8EhuZZxYnWxe-dUmPKChWS6oTUZhhHuitG_XFU9RwqmzOpUSPtroygN6rao5BPQzcG1MZAbd-x2178S7m-q-mxiGVFvq5jFC=w1200</t>
  </si>
  <si>
    <t>321</t>
  </si>
  <si>
    <t>https://photos.app.goo.gl/9z5fRUHiNkwXYUsQ6</t>
  </si>
  <si>
    <t>Apartamento con buenos acabados, Cubierta en metaldek y perfil metálico. Piso en cerámica, cielo raso en icopor, área de servicios con cerámica antideslizante. Las habitaciones no cuentan con puertas. La casa para remodelar con materiales de conservación, piso en baldosa, cielo raso en Dri Wall con lámparas Led de empotrar. Patio amplio.</t>
  </si>
  <si>
    <t>Dimensión del lote 12.0 ml x 24.00 ml. Cuenta con reja antejardín. Apartamento remodelado y la casa para remodelar en un 90%. Ubicada a una cuadra de la avenida 26. Escritura al día. Permuta no.</t>
  </si>
  <si>
    <t>JOVANY ALARCON-HNOS</t>
  </si>
  <si>
    <t>CALLE 28 No. 7A - 57</t>
  </si>
  <si>
    <t>https://lh3.googleusercontent.com/pw/AP1GczOdtS1Iz2ARgCzOkwylKkxHTfUXRUeY_NSD-2K0ZasVrW40GaW7r5Eo4pYnJhWsm8lp-xTj3nzaatNfGpdI07x2EgS-qgTNT0gm90jR_XfAfjirt24o=w1200|https://lh3.googleusercontent.com/pw/AP1GczPcdBYoPV62QRDdpfDGA7KPgcyLq0KaWmuAtqWY1MLJZEynoGWn-i5kbKCRv876db8iBsXnb792InKd5JEiRmIwvzPY2dIVTRQZAEVGGcPMQOaI42eb=w1200|https://lh3.googleusercontent.com/pw/AP1GczNw3NME6sR0H6dB1Vckvnmogw19N_mUI1HgveSNklYmyX9cruIv9VoCuBF_KlzuN5tC8jQ961n27U-7urBbdBbOSva32QNoWMjprsbbpDMVq7VoEnng=w1200|https://lh3.googleusercontent.com/pw/AP1GczNgdtTYGvyFOaXh4A5Ys5Y0G-8Ocg5eEYojFpHMN3HmERlHqrU2m0qVh-cyBLhOvh4hDXoISP9D5HG0D7NfofBJxCMJSoUFgLa8guv9Y8sBk9gRoThw=w1200|https://lh3.googleusercontent.com/pw/AP1GczMikBBFpUZHRPFgkgyfnxJ1233008Fb-aSU704i8SXFKrLxPmXuhn_vycz1tYImbmnQwdL4uL8-zyEQGntYbNEs6DJy6y1rOZnbqnPExmtaNaZ81uxt=w1200|https://lh3.googleusercontent.com/pw/AP1GczOJRT8DSY8t_o2ecDUw9NqocWH5Sbd7RDO5UTJFCGr7kOlApuNaDt-eRKJXUjY9h5eAqKQF49UQ4y4-KFHn6L0gBF8s2t_FGIIJHAe9NKwJo6h2zf9S=w1200|https://lh3.googleusercontent.com/pw/AP1GczNQAfZCJZVi2nUh4_yslc2zCdD7cZdgePqlbqhg_9oJ74dxQsjrD29I7mC1e4hztHsmRD7_9rMm4ijs0tAFIq7ExbW1xBzpf7KESu-7kFaUPUC3YYyo=w1200|https://lh3.googleusercontent.com/pw/AP1GczM78sGLxB3lWguT6tzG6JpZ5GMoQZBm0cKbfudiIqBdEQb-blyUtTTuLuypwYYnY45j8gRMkirmisTEoDQAsuc0ch6pnRFzH9Y1xndzg8N3rdKHM6Kh=w1200|https://lh3.googleusercontent.com/pw/AP1GczMuSfbHumE4lk0OZLZQRFSHfrTMb6suNuN77PfDa1Xx25-ituTTd-Nc-52bdGQAblVunDln7xrD0UByHH3rvBSiYVATc0tKs27MUdTZsFl5tZze2sB_=w1200|https://lh3.googleusercontent.com/pw/AP1GczMCh7GNaO7Qz18EVXu5amBoE8vjnbws7vYvzvd559BKhpKJcNuFCv4RGMvbDcPl_z4p_lclboT-vpvll-VmwriRANuwy6ebahj01g3he-ujysoqoqb1=w1200|https://lh3.googleusercontent.com/pw/AP1GczMYqLCj9um93MDI8h2DETFvgMf1OD2JUITY7o-XeP3extWwhIWK3FIc7iZVcmW6ahZAPBJleBry2EnqRp0BqcnHuqTRlvg7KZDsLVbdEPmVnISOXzkQ=w1200|https://lh3.googleusercontent.com/pw/AP1GczPQwCW6sWXTwL-3eo7Gkj8-BEj4a3F0eI_4W1AeNESzUO8br7Z1SOE0mAuXCx_HojPhxZrYOKFagJgcPnHwl4n_D_sr5wPH5X_-QQD6qpm60zkq2nh6=w1200|https://lh3.googleusercontent.com/pw/AP1GczO-ZIYlQOsy09kMGB9ojAoQHOFiJ5-_mEEXjpj0rxB4RRMKcZP6o1qwQ4aPMRP2MfzDgaPpEtJts-rGeRIzbpA17DIsC0uIKJFHJwpORw_j4t-cC8qC=w1200|https://lh3.googleusercontent.com/pw/AP1GczP2zz6I10iiY_9IeSM5CV_Dp0A_-99vYFFLEFGAPQxWpM3oifhHinHUSl2TnV9Th2A1T5uDyHyXQiDX-KB5g2EoQXgnozYIf1HVuGqU32yQ8em_rkKH=w1200|https://lh3.googleusercontent.com/pw/AP1GczPo_NA1ksT25_e7EXUjgNc-3j9gA0N1biBxrWXP70-pL8VYCcl9SHY6TqdCUhCWqI9zh4vZMu0G4nD7c4oaKx_mRP1LIX4JGFM2Xi4Un1cJbzXiCDHY=w1200|https://lh3.googleusercontent.com/pw/AP1GczM5KWoOvSA2AhVIlsmRGZB-2eEWOw0WeKW0HnsqD50At_jJTsz5hvCwzf6JfBbMzMPLkJgsL3iZh_hCrTBKmSCkVXVVqXFOuWl4xBU8gUQmA2HzBXEm=w1200|https://lh3.googleusercontent.com/pw/AP1GczMhH0Ascvu0qcGSOlEC4EAqQ89SeSgb4t-gKxwho7t-GQ9xyHK1p-30n4pOsxtKOlRlche6yvVOCdFxUXgy_I4b-L8tz8kkBauVP_vKc_28eAOEHIP1=w1200|https://lh3.googleusercontent.com/pw/AP1GczPPlRq2kuZbqYjelwsACg0Cp2y-W8E7PMTUGuubzbmjQZjiZ2VzY5V5W0aPuQYV5ON-URvzm5EJyu5mZzUUeWWR3mzucRwy0LE6kE2z3YO_GA2oJhFf=w1200|https://lh3.googleusercontent.com/pw/AP1GczNwrjYBrdn14UriJYw_6p-ph0N7Rawc5lnm5OVjmdDAPWjkVooJLOptdqm_2va4CA-r0tfLvuE1PMPnGDQ5XQI48XM3w3wE0Z3xhV-gQXEKx3MbacQ4=w1200</t>
  </si>
  <si>
    <t>079</t>
  </si>
  <si>
    <t>https://photos.app.goo.gl/nJDWkAWQZzoqhfSN9</t>
  </si>
  <si>
    <t>Casa antigua con acabados en conservación para remodelar. Cerca de la avenida.</t>
  </si>
  <si>
    <t>Dimensión aproximada del lote con medidas irregulares 9.050 ml x 49.0 ml. Patio amplio. Ubicado sobre vía amplia destapada. A una cuadra de la  carrera 9. Escritura al día. No se permuta.</t>
  </si>
  <si>
    <t>3165218279 - 3177464058</t>
  </si>
  <si>
    <t>CARMEN ESPOSA LUCHO PROPIETARIO Y OTRO HMNO.</t>
  </si>
  <si>
    <t>CARRERA 8 BIS No. 15-59</t>
  </si>
  <si>
    <t>https://lh3.googleusercontent.com/pw/AP1GczP530wlQj0BdBRa9nbsRcfjo9ZbTsbJ1fVhLAx-MR2jKYRJnEsSex8buE1pr7dO4iwXkNkvlOoxrEYWiN5ySkaU_C8kXAoYXG731kFLCJMMcqvH_-mJ=w1200|https://lh3.googleusercontent.com/pw/AP1GczO2wrabDrzvR2fOp_sqzDzi9emtVP9oAgySG-Rz85oe2RroJJYNLEg8BZqueaN0gK3bIMesAnB-tzoKUK0dJn9ulmaa-gIvg6u56DQFA8jNP-8y0UXy=w1200|https://lh3.googleusercontent.com/pw/AP1GczNOO_ayokD8cmKcdgAlNlgqBpa1--yyqeqPi6M9dcx1cSNWgCn--86sUAeMJIGFGuWDx-NDnN8-QP1VqfYJHiUbC9P5Laez5vGudM_J1PtpBgPzrKOJ=w1200|https://lh3.googleusercontent.com/pw/AP1GczM-fSWcKiW1KrXXV2qEVris4Iui6KIWSZ7TJ979wmsHk6kgvifJNOoZU5Vu5f41ciKos6j3ii0GUJMTCEkiBVvC_rmf809u1geJMds77LcyfpdFm24Y=w1200|https://lh3.googleusercontent.com/pw/AP1GczPAFhdc1OjWlXD8tUImagRuHP-5yNnox23KsiMy-NyN4RrKHMbDP01XMKTYzCwHbTKO2lo27j0Nyvo93IZnQh9zbxvI_pSikgebA2F0KanqNpYCuayb=w1200|https://lh3.googleusercontent.com/pw/AP1GczOVdppsTa5tP1-xL7xqfHevOrxhR_tMog-MbEgaxG1jVQGAVkgUPK_qVeVEokM5p6NUpE2G7SJ7UWu4TL6sx0rT4Y9E5YjZjmJp8RdsMyWWCqYHO46C=w1200|https://lh3.googleusercontent.com/pw/AP1GczOp3VYALR4aELyHDSqfhgncdvojIpZAmTmYBvnB2x1wRyV-t72afy6I33LT3VOqfVs4w1rOlQ5uqdiIxcShdKnbIsokGsP5sg2rnJALTC0HKXF3pwP5=w1200|https://lh3.googleusercontent.com/pw/AP1GczPZmpsadJFp6iYESqTdJp77aIOVJkTCjgRqbnCzRVlulH0lGNqK3ZzdPvNw-sKCjQcndhAXqGoqBgXv8Qq1FHJz55SqJGRV0P54-fulZWjMpSLPh17l=w1200|https://lh3.googleusercontent.com/pw/AP1GczOhKBNA0lo4af8XHhK-wjO45YyZUZYvptEXk6hiygFmyR36oQ4r6S8A-eStg1qg6fwZWG4m3cxDRaQiJcyQ9d5nJyGC5eSoWM2rIGvTFerwZik3h1Pv=w1200|https://lh3.googleusercontent.com/pw/AP1GczN2pDjcG7giIVI4KMx9Zh-9_y5egC0tzu7iDeAamvPK34VDiniS3MwhhKmbz5MbVPyHtHt7xQkz51zXPrPaqVq4JIh_BUofaiONej5lUnEunFzWIxKV=w1200|https://lh3.googleusercontent.com/pw/AP1GczNMB63y-4sx4PuTjE_MrLtPsc5MV31zhN_aUN4C9pHTj0HBW2pQLViKB1VqI46BqPdgHgwty0pgNc20t2BSDVllNq35SxwnmgnrhnL6iR1TG5uXG1Tg=w1200|https://lh3.googleusercontent.com/pw/AP1GczP-h03UdCoxwzK4yEOz7HJRtUFMmLVlsq138Xdf4sUnBFe5VI7HiRzFPDNZXbsiVdQ-yEMtmaH7gSlA0IEbWZtfxLJXd-m_W7LNr3sL96nOxmpNsBSf=w1200|https://lh3.googleusercontent.com/pw/AP1GczOVa08z4K7LOdLAEVDS4wNpYQ_xpwFPPEMtyZDF8468obAEzkUX7hY5DH2KToO82r_k8UmMNE1cVMKTufv5GCK9g02MWqzo9rFYB-j8YlseNFJXRWuI=w1200|https://lh3.googleusercontent.com/pw/AP1GczPY3dawVFp8T0O-DFWq4Ih_L2L5HTky-KKl7g3GG0TC_-jcxMYc-GAssfbtzkWmR40hnajhfnJUza9t1BzVI6-yWWCsjtZdCOJRED-lDiTRiYR8vK9_=w1200|https://lh3.googleusercontent.com/pw/AP1GczOL5xj0ELJuZLNCCJiRR9Rd50WLTmhxVL8iFu0hxnLUS5NJQnQBAKbrsz-bfUfMJU04xKHL73hSg8HYWl2WCZGb98zz7Gr7ivWWRI2t_OAvCkMLVuym=w1200|https://lh3.googleusercontent.com/pw/AP1GczNYjL8KKzVPu7yXCZAcFeRq0Nj--xYly34ImGVE5qr-RxQjPmxfZOUyNF6hxMCkuJOPIuHjTEV1Krnvycwo_n9n8vrvuBChCtc2aONOeDpmtqrAzHgN=w1200|https://lh3.googleusercontent.com/pw/AP1GczO3I9JiYXuwUSstgDryC87fP_UzomkE6fZt2cwR05bFwG4hMDOwwlnFyt-ZibIUVQ2ohnrxSxl-e4xJeqzhSZgZfyLp0xl6fUm1ljdtQkogqYpk6FJl=w1200|https://lh3.googleusercontent.com/pw/AP1GczOgphN2u2rpp-jUCtvKIQ4KS0n4zXRYLx3CBJGCE0sxNPn7djuWAA4KbbJk8Wtl9IrgPe_p9o0TQeUrt9GoDFessSHLoEMlJXE6rCdfqma6zUtSSmEq=w1200|https://lh3.googleusercontent.com/pw/AP1GczNfiA3TWYY-eOyHl7hlMluf8Asn9hIEnbCafPqzwRteI5CNYt65dtgmKzzwMMxC6DgvrAr__Y8tpon4Vg4LChu9dBRuKowebgmzu-TmptLl-komDR47=w1200|https://lh3.googleusercontent.com/pw/AP1GczNFLbt979EGVNhqC8jI1noz0SqYBNc6HwN5-JoagGJOVgKUm9Fc5u4Lyv-7HMDktK-6BF7qd82mhLz68U3frI7iVLSJiBSVh1-D12-RBajsE9aiupTh=w1200|https://lh3.googleusercontent.com/pw/AP1GczPjUeE7oLCCCZdfw5ACrpz_-kIax8mjUVOakx4wR9zp27J4V7rYKM55x_79njGRuMpdfGAZvlDr3oWR7nn2aLxkLLuoPVCfw7lf4Ek9IoFoObzGsfvz=w1200|https://lh3.googleusercontent.com/pw/AP1GczPm6fPQxbq4LZBQsdhz07Tly_fBjRmCeLIFbhcSKDBjJFGBxJRxj9sX8z92IXD1WGehyyvl2XUtnVCVPBcCpC-UUUgJqmm0Ly3aJ8uIozuis4BV5bM5=w1200|https://lh3.googleusercontent.com/pw/AP1GczPfhioVnSdJ0JW4AQfkA3ibTF7RntO7TYxTAWj2_88e1REsT0K96gIdfvmP7kE2V1fe54uxyL4bz-uwOpdHqrz1RgVf_Rx5xYytDuJvYEMMRTpHeE8v=w1200|https://lh3.googleusercontent.com/pw/AP1GczOSjS7J_JkhUPe1hHIzLEzPVHYGP7lDarHwQrab3439y614jOxrI0mpqqS99UMbSv26EmVKqkrYsdEU9r55vt9ARXi5MN3fLSsjWl-OpVyYvUOGQxCe=w1200|https://lh3.googleusercontent.com/pw/AP1GczOgfidLjDspxNN09N8UyVqCFpwux182sO7mNxhu89hAYHAl9CU8SMRtWDq1tqPynCtXkxqkXh36ydQ4BMGYg9P4Kcc3ENZiq7tIvVnCGeWLhF3ZAMxE=w1200|https://lh3.googleusercontent.com/pw/AP1GczNM6mgudIhmy8ooGzhM7wUHO0qb4Kk3_snOw8KK8yHRQnQY9uDmZSq311wL62KTx0NSMhgHEEvk6pn7yH5KmIHzUpDspUD9NScAVJ2YwTcghjtuUEnr=w1200|https://lh3.googleusercontent.com/pw/AP1GczMQZCydEO9YCOZ8nKlJLk2aAwWFF2SmRGRrnN9dGF-aVJ7UyYaoOx9jFUG7O3klcAwWuxNjhmG2-KnZwTPIEFd4TKcS7TkcYoVIunbtrFdL6STterdW=w1200|https://lh3.googleusercontent.com/pw/AP1GczOemeSaRYBco7MaWNRgy5mm4oygqqGP2I1Or-cgjEdGzisnCpQPPxyAW4pv7xwC7r0BBhzPgndaNtFF-nA3gCmSZIHoVnuux4FWBQV113WIYddIjRCn=w1200|https://lh3.googleusercontent.com/pw/AP1GczN2-SLdS7kZFRHsKT7N1pm_LyUqoFI0KZ7eKOwcHaTmjxIg7TlAzuHaXjaLgrCRTOUiWZtraaCZuqJuD6mWGZY9TyDaW5ytoubJt-zBra_R5uLqzLWt=w1200</t>
  </si>
  <si>
    <t>520</t>
  </si>
  <si>
    <t>Casa con habitación independiente en barrio Las Granjas</t>
  </si>
  <si>
    <t>https://photos.app.goo.gl/waqGKDfe1Bea7d8GA</t>
  </si>
  <si>
    <t>Casa antigua con acabados en conservación, Piso en cerámica, tableta roja, cielo raso en machehembre. Carpintería marcos, puestas, closet, muebles empotrados en madera. Patio pequeño central.</t>
  </si>
  <si>
    <t>Dimensión del lote 10.0 ml  x 16.70 ml.  El alcantarillado fue cambiado en el año 2007. Ubicada cerca a los diferentes equipamientos de apoyo a la familia, colegios, iglesia, Carmen Emilia, Aeropuerto, centros comerciales San Pedro y San Juan plaza. Ubicada a una cuadra de la Avenida 26. Escritura al día. No se permuta.</t>
  </si>
  <si>
    <t>JAVIER RAMOS - CARMEN MANRIQUE</t>
  </si>
  <si>
    <t>CARRERA 8 BIS No. 31-32</t>
  </si>
  <si>
    <t>16,7</t>
  </si>
  <si>
    <t>https://lh3.googleusercontent.com/pw/AP1GczNWRV1Q4BO2Ik8Ls9g4J30aSsb9NPnfsQ2jOxXcKjCWi5uWSN4sV-vSMicjqxaMuG3fpfmYsotPx_gKTsIha2zDy5qWQRitc5Hbsam6MgINU5tH18Gc=w1200|https://lh3.googleusercontent.com/pw/AP1GczNehP9TBi7MGdsYsclA49Q7jwbJF9PpYE0-9LevqP-sm-w-Ak_BTdRQlRkwp3NuiMUXolzPmsNdC6-ovzQ8muXNIP36LtOHMW1BvUVUiM6_6hqWgVF2=w1200|https://lh3.googleusercontent.com/pw/AP1GczMQRSmwyfgwvw7pD4J5wA59gT-we89jyhcg0UT6V0yks0CdtY-go9WIzzWnE9lP_3t0J6DQ0C7y8-IhLa_Vt8tGsyH5YHT2GWzfgiwbjWczN22MC28B=w1200|https://lh3.googleusercontent.com/pw/AP1GczNXECQxHRvrEwMZkNDfHR4C6D_6Ia9frSpVaexYerV6S2c7yZXYwdXB3SxJHMv7InykI4kNe08defK0vAvMUSmy_q0J9KLS5bP2mZbw8uWwF4xx9z9A=w1200|https://lh3.googleusercontent.com/pw/AP1GczP6zX4723owUY7r_X8vJmMVU6l_TW_wOI1kWvGN-GfrXJ7WFB7SSc3H1t-DTnbRoPXlDip3JZ217_lttm8jVp-TWiKomN7lvhwTtq9orzY4Wet23Vbf=w1200|https://lh3.googleusercontent.com/pw/AP1GczPtDY0WcCb1cXe3qRWbvTru5nBP89wbmCqCTR_biPyie5UThwt1XUo0WnSKRIg_1z-q6l5O9bOvCujDAUsK7BkV-vfDN0ed9XTJzMW2MzpCrqnJp9a-=w1200|https://lh3.googleusercontent.com/pw/AP1GczMx01JU398xx9fx--4KgnM3DGdcGIfjlsXb8sJCQXGZqyorSTqtuEwFQGQ-u2slCYcnsTDbQZhV9V046Lj3FkZxczu4HZk3Hb0xAA3XQuFoKnwlgiFW=w1200|https://lh3.googleusercontent.com/pw/AP1GczNLOsc5SNItg5mD2TaYCI41yyfKeMGSAL6j9HYPUnyJWD-u4cGknzcTPHagjZT02Mrol-X_C4XhmvmMVzmcGC6dVPrANjSJkkkjRoXyCE_iT8NPv2Wd=w1200|https://lh3.googleusercontent.com/pw/AP1GczNqhdculsVQ1dPd5XAWmJt95WkV7tEGEEjVj55irqIpwrlx5ooJvbs093SyCrYCmYwh08UQvnlBJOgHcfpoMPOwW5jsW0GjJVgdGMAYAdayhlyd2prZ=w1200|https://lh3.googleusercontent.com/pw/AP1GczPLrzBq-zM76jE2DqoAEE7FvKFCMXZm9tGOPAvlNBVJCnMW_cnQmi9sthpTtimupLBozk-0O4zxbVeiYm6q1vNukEcp-C-LX_Si3i5XyGkUTSAjNWoJ=w1200|https://lh3.googleusercontent.com/pw/AP1GczP_fdnorEeFFzevyldaHHG0kp1lGhyDvctWsmNjsG4_4LBvd_VacMSIlxEcgKT8dMqrXARNg91_8gZUNakhBe2vc6h5Fy0j8I5tHTVEPMStezNc4vOR=w1200|https://lh3.googleusercontent.com/pw/AP1GczOMjkoy6J2owla3s9p6TKPVODEAUH3CwBjJflH8Yn7qQaY2aCns5R9UHy0UwezNurIsNMrdredoWAr2_M1uLnDaJr9x-wxLI9vs_4zZDdvN9a6lhA1P=w1200|https://lh3.googleusercontent.com/pw/AP1GczMR2z9A9sbT7SGV8pKDCCGMtjm0ZXwgcF7hp8zW7dqkQH5Ol4434rCsuGOFSNaRxmOM9ONYc6nmz6R7i5mcVihyy9MH7Zl9pTonnJ57HR1oA988W8zW=w1200|https://lh3.googleusercontent.com/pw/AP1GczMjxFFp6-7OM3ViBmSt9VGG6gaFuq_ZjhrXdbnVDukh_3RQYLKIRiOTWwy0ogN0PIgUKR0aJg2Qv1lf9pxIfpZZWOd-xMDUdVntqpuEuKoySqY_-RTm=w1200|https://lh3.googleusercontent.com/pw/AP1GczPCgz8w16RErUqTLbwFgQR25eGyFtiY2R91zNGE-hZOZ-gyBGgtmN2ZADby8jyONZ9D-8UB4VN59e2i_7QGsou1IIAyr6C0F2B-jvADSX2OYpdVWpaF=w1200|https://lh3.googleusercontent.com/pw/AP1GczM7FmCHGfYsAnvC18W8F6u57xzGDFwWssvGY2HdcEKonHEgv1qSDkI5pEepSrSStNnanglrBORMc8cV2CwaMJO5sVnP40lsO1gj1pUD906y-AMaPLSU=w1200|https://lh3.googleusercontent.com/pw/AP1GczOSyGuUghSO49_5RdTpRwB-5KOLlJNc5GoZmsTza33OpIKnI-zOMBJSW8TGM3uzsCXjX0UKlv1Qv5WhvjIkrRwFMqZL0HKkAh6wiVaM23QWuM-OeTOV=w1200|https://lh3.googleusercontent.com/pw/AP1GczOoGjJM71g8Nz3x9ZAKqtVJ-kP6c4yA-BLvL70mjGtv-MqUN15c7UxXB5iY04iDGBU18h6g6MsHzVVEFJR7X-6kKZLRjvrctaWN6jKH9pLWz5UbbXKI=w1200|https://lh3.googleusercontent.com/pw/AP1GczPoWLoWjUFO2_-Tx4C0m6it7WWP7rHN23RrIS2L5q2Ixdf1i9Xt6tBaqpbjuM6OsBEHaAFEJgSSxZ98B1ZXgUZb0JzfM8oGu_p40kyiwj79cd1lHdCy=w1200|https://lh3.googleusercontent.com/pw/AP1GczMlj-BtNXFaD--GGs5tNMhKz763AxEeoObiHSPipkcKR_CwKhOR3Q3DqIKVugewTiyTol7tztFquTd8K6zH8M755rGWyFPiszqI8JuVpL86Ap43Xef9=w1200|https://lh3.googleusercontent.com/pw/AP1GczPi35qGp6_kdeQ0pH1qoP4HpmwOMk6ihPjApk3B6T9sh-4AuQjESelc4ohA1end-4hwfPTYwFDppn7nXRDlLu9uvNa4Zwf8-klbBBQs8hjzdWGQ9pR0=w1200|https://lh3.googleusercontent.com/pw/AP1GczOtGJqYcQESeeORYVRty9PFGy75J0K-iDQ_yESL5ZsVSc8nNdDCRlv1Rs6VMJKoXf_bE8z9v3-_1vh-EGfXc-gv03SkZjTf5EumBo83dXRBLY7Zqs6K=w1200|https://lh3.googleusercontent.com/pw/AP1GczNjEj07ONr5Os7ul3Y_f8_cfvieVV_uTrA5cv4KBAfe7H36ZHA6HSW_7FREGmffYiY-jw0p0eTh2xMZpNNnx0DAG7huUvpTGbXa7VLFNx-DFW9IOdE7=w1200|https://lh3.googleusercontent.com/pw/AP1GczNAvxAM87TmYcLOY26OF11YupOvojhgPwhWXFNvoeSL0sUNlReR32QE3MXPRpdArivo3JgkfDqOw6tNMW4R2tgVbwK_UDIi7EFyfyxOdUVuDNLpmhUD=w1200|https://lh3.googleusercontent.com/pw/AP1GczMGWKheBQdox1QcUp2-ZtMJDx7AuO_Jzib4Zdks4oe6KMZhDFpWhzma4iyu9uBqSh28xUJ223-BwGAaO1X7NX6EVhEHXgQsE19MesaApOnEJhzRYF25=w1200|https://lh3.googleusercontent.com/pw/AP1GczNNe8NNfMVysNl2zH8f7DPasOItcyTHTWx1TK-iurpqYewBmm6pGY1I2Pk9wwFhFQgtu-Pa7xz1wyxqY70xzCRMxLahsqjP73wsLCbkEyTvc9kffjiC=w1200|https://lh3.googleusercontent.com/pw/AP1GczO1-ICYrsR32szQ8h_OvWi1Xrb4k6wzc8AvfXuvIaN1A7XyIVl41GmIyuDpM3gsKBOoGBnEjwwnSr44mHFHgMidKLHPD7z0S6sSFOmyXG7sMZ76rRHe=w1200|https://lh3.googleusercontent.com/pw/AP1GczNGrFobkAdTAxPm7xd7tPhOA7x1KwdU41A4F9nnX3TmiB1zU6yTbfiY7NPAbYzlc81qeGq3oVoxebRolsNO9ByyXA8oVaBsZwkP_dTCW4oZ09CjYry_=w1200</t>
  </si>
  <si>
    <t>347</t>
  </si>
  <si>
    <t>Casa en obra gris con dos locales en El Juncal</t>
  </si>
  <si>
    <t>Juncal</t>
  </si>
  <si>
    <t>https://photos.app.goo.gl/itEMcReEDAkVKjWD6</t>
  </si>
  <si>
    <t>Casa rentable. En primer piso el local cuenta con buenos acabados y rentando. El segundo piso en obra gris. Teja en metaldeck, piso en cemento rustico – alistado.</t>
  </si>
  <si>
    <t>Casa ubicada sobra la vía vehicular principal del corregimiento el Juncal. Dimensión del lote 11.50 ml x 15.0 ml. Escritura al día. No se permuta.</t>
  </si>
  <si>
    <t>IVAN MAHECHA ROJAS</t>
  </si>
  <si>
    <t>CARRERA  2 NO. 7-51</t>
  </si>
  <si>
    <t>27 - Valentina Renza</t>
  </si>
  <si>
    <t>https://lh3.googleusercontent.com/pw/AP1GczPPxRxK0z2bus8jf_1Fu2inykCGi_g97dDQz_W2kYIRWuSBHL9yjdWT_93RvsPkhc0bjJcU8CSMvEJk8FiC6FzAMYGBE7DKixupIfd1DGf5oDPUz5lO=w1200|https://lh3.googleusercontent.com/pw/AP1GczN4LU6GJGWLzcgeRWBTVzJk46okiFoQgUGe5SWg3mMFe6DxxLlUW2mO8pgUWaf1LEmpysJt6_HfhHB3SkDZ1N0jbGGlX7oJCYFcXzzk1lir2fAZg7TP=w1200|https://lh3.googleusercontent.com/pw/AP1GczMRbN3uJAwi_TRDyWA_B4J1uQtkvTvo8XHMlLATSV8pm3a9PsBSbFi4n8LwyX3zAvefxA3Qat-ZefDioUqvnsdbcTp00wPL6mGPSyBCTHJVbj4hOxmi=w1200|https://lh3.googleusercontent.com/pw/AP1GczNgV_UMRzrrBjVdGdcyiSexhePABdk47h70diPmxJplw-oruvAD8P0UF2wFqzxfZIK-akckLP96t3rqZO8FU3PuT7M4LzZpPzXYDJ-NIwsVKRCqiBgx=w1200|https://lh3.googleusercontent.com/pw/AP1GczMVxMlj-LEHTXIc4V3tb6DF6FfcJYKaDMIoSOEdft6Cdt3jw1i5F905q7Qh_BlCWjfgplCOFJS4D0TQJdN-Ktk4VjzQHk0wyTF8H9RkRzP3iLnoLdDG=w1200|https://lh3.googleusercontent.com/pw/AP1GczM-ZqltEESyCTHgOlPTBnRGBR7JYcef6bPhCn7vbjLRpJBYdpJ5E0H_7JdnoLbDQBfp-8Db24pAaz2sk9nlBBT2No66DE_N4aCP_n4tEREi2BK1POLA=w1200|https://lh3.googleusercontent.com/pw/AP1GczMPShzVV3cDZ8vMDORU3VV05kA1sNPyG_ATuK1ZfPSIS3p5hCzog6CEmpYluSW0RAIN6xFKDjXA1EBAB4FSeTmIK5W7NC2t0OPkcYm2UnBKX6VlVxMK=w1200|https://lh3.googleusercontent.com/pw/AP1GczPCbWB9HpuKCAzwvWUTDoS5CXcj0NS3G0LK6xJDdLINJ4bnLgwgPq-s7SVPkU5mWG_61grIgPD13HQwhuDxybIBn4RHP6hSMxcfeW0rH-Ywteb9yHK3=w1200|https://lh3.googleusercontent.com/pw/AP1GczPaoqbMkrjYjWr82arDS5XAw0-aMxAqD8B49Cxb1vVeFRJTm5RjuduPg20OrsmJDghAjT7KszxjkHEewsaRdqez-FfarNupCDSnoZNhYfd2_X0bfC-3=w1200</t>
  </si>
  <si>
    <t>246</t>
  </si>
  <si>
    <t>Casa de 2 pisos independientes en barrio  Los Guaduales</t>
  </si>
  <si>
    <t>https://photos.app.goo.gl/PCiusEGX6c1wuiw3A</t>
  </si>
  <si>
    <t xml:space="preserve">Cuenta con buenos acabados. </t>
  </si>
  <si>
    <t>Servicios públicos independientes.Cada apto cuenta con 3 habitaciones y 2 baños.</t>
  </si>
  <si>
    <t>IMPRIMIR CONTRATO</t>
  </si>
  <si>
    <t>ORLANDO RODRIGUEZ - HEIDY VANESSA PEÑUELA SANCHEZ</t>
  </si>
  <si>
    <t>CALLE 19 A No. 39 -89 MZ 22 LT 19</t>
  </si>
  <si>
    <t>https://lh3.googleusercontent.com/pw/AP1GczOi1IH0CdiqjYD5gc96ZJRqxfHqefosXA7yaQXjARuUbu70JeOf17VYdtlcupugawlzRXkUjJcrUOSqqkM5iSuvysjLRHiBRADRdEMWWQcjFc4D0hP3=w1200|https://lh3.googleusercontent.com/pw/AP1GczOMWtYTdGipsRXnToHqeZXnV-NSfvZIQBiJu35d08lnWa4xKixAwHYjjGWgtOt8KRxsuv2zINVojdGRpv7qiGnWQnBgmE1duqyXDvJ_ODQ9mQTxyWa8=w1200|https://lh3.googleusercontent.com/pw/AP1GczNcJr-38KRn2oVs9iKooJgtnpUr9p8LypyG8ZwMTUIHi4sk_jLcdRJps-H2-uDYei3Abm_4czLUTg8yjNZX0EEPumlY9zVEw3FcWC7OW-MZnSy1vs2z=w1200|https://lh3.googleusercontent.com/pw/AP1GczOjrFx016fYzEjH1NpflzC2IeXWswqmq2oiUHlV8SdPbU8NHLd-6hVPWA9wnKxjAax9JrlAJgxwCZYnXoJmRHXEJ3AElqfZRbqiXUcRHQnzr1CYBfT1=w1200|https://lh3.googleusercontent.com/pw/AP1GczNYE3dZTdWaLIK6aRQuwVY6X8u7_j9W-1vQ0whixRQixJo4f92fOidGeUwMMrzRR_kKWPvGg2rkDLn6sMjSYc1smjfRdVkDLUEX6SLAc50z7TlKeklk=w1200|https://lh3.googleusercontent.com/pw/AP1GczPS-IY927piF5MhG1VPIUAKvFTIPVMp0fqIou5Pt1mdNgOc7yRvqQfDqs2FNWTE55ASHY6_sfBVHLWPDlPIzqHERx3OXi2SXI0zE6q9rcUG52QoWc0g=w1200|https://lh3.googleusercontent.com/pw/AP1GczOwTq8SqV9j43pXE0286bLT5PaRv5IMXINx8cq0EXqWtnayF8uUZIqf6Uu7HEDtzwbPYaJdisg5w_Bfnot3_y6PU882Uu733JKVKSEMCwXdtngSIXC0=w1200|https://lh3.googleusercontent.com/pw/AP1GczMLWMr7DsEDWEdIvOh7Z62XonelKHCNYdS1kEV2IIIPQ9e5gkSSqujU9oWievL39glN30q_QHmDuFlKTX5biZeX-b3er-DpxB7fbs9pYDEi0IhlS4Ci=w1200|https://lh3.googleusercontent.com/pw/AP1GczNFrGPQwodM-Uu_IMgLP1U-yK5aznFBKdnvwXRnAoJFyHTgavYnsal8ZVaDPWaBYnZMeNOWJ7rlCMRpQvOlXxLYYxaCXAh6Ok1GymPTcO1ZXjJPfDBp=w1200|https://lh3.googleusercontent.com/pw/AP1GczMw6HwoUmBhsgRyzjnWTJIlGb-za51hqMgMfLIHzoteocbRlgJ9zR54mb8epAfmnhry5387ijEWxqpcI3kOSY0r5Y2M7Z4FI4JWeu7fzoOWPXaCDguW=w1200|https://lh3.googleusercontent.com/pw/AP1GczNszw6NrLHAKttkQ_nmZYO5Ke_njqPUNoUqqYCOIE9YYmekPzD_9_Uj7iFyimndLnNuHCXEsFMjpbSWlQvrKcx_6lkk9-fTWUsvLX0Dpj9Q_sXhzQXL=w1200|https://lh3.googleusercontent.com/pw/AP1GczM8jNPKDEuLCgM2AW9IyoQWu32KTB2Fpdf3ZnaiKC2F2970CBbw8Lh36XYbAh_Mqann2np_ZKtBxdWhMls_qaUqe3Mzp-9jp6O_uhim1Brgy8VeZPXd=w1200|https://lh3.googleusercontent.com/pw/AP1GczOjjoid8VrZUKIbnFUX3d0gkKrOe1d2BTQYLB7qGZvL0-IxoOGsG0eQxH0YSdBVEDODaXBkEthkTdvn6C-3Gvr3oRJoYie4b6FPWWbNHCV_ZzStPSC9=w1200|https://lh3.googleusercontent.com/pw/AP1GczNCpYYVuFNyfPafMVP70zYcuI-yztWKA2AXZXdfrJNR-zcAoD4q8RPfmGtypBfogsfAH91hfOofbWl8O1cRnEraByvjxjvkoq7KJDRvdF4QBQmQH-zm=w1200|https://lh3.googleusercontent.com/pw/AP1GczMt7ZrtIdwyUBFUHWMkJZsWY8ETeFI-Q8zu6vmBUVGMBTjdg0dA4JR0DiFN5jV5hyVFzIjXd0rc4P-aqfMYFUE2MqwchqEVKGQDsUg9VUECLWf0EG3R=w1200|https://lh3.googleusercontent.com/pw/AP1GczNtfZwAsYDBqtDo-l289QPXHtRiMrjKFfFDOmuqKjGuVmcteeTurXpPzlEAFJ0u-My1Byb7MYmQEPVwUiuFL68kDysr7c5RsYnNltDgtpKhPuXoZ-M4=w1200|https://lh3.googleusercontent.com/pw/AP1GczO7kb0ZgEkp0Uw2QeY5QnthDu4w1v3bevVxshcSZEXp8eKLlKZFgwJoRQEkdCCu5xLyCmH9JDJK48B8WAuQ46oP7Bm_jJtriLcHKAlAGDO7w6uML3TP=w1200|https://lh3.googleusercontent.com/pw/AP1GczNFuvlfV_k4TZr02hm_RuWTJWyg__OJYr_mtdImaaaEfazpx9FfRZ5FqDttphJXdrF_RFDE8_4qwUr1A0b5FNytMYVRT7NtcqBXLOWsw1wpMrxQry8x=w1200|https://lh3.googleusercontent.com/pw/AP1GczMvCa_f6eYfbJNjT6W1nPHcq9vdmsfLG8AyI5_7hJxl10MGGperwZGK03SNITH1nppPp4muiUx9a7Ae5wbt3GvQ1af8gV0ShzDUKx_8HyVQsL4Wu0ft=w1200|https://lh3.googleusercontent.com/pw/AP1GczMeV5WbbDmBS4Cx1qnLoibOki5NjOdswqN7-gI3WdJC2dqISg-BGsAONGXqcQZLT2R9C-3FnxHZKHv181NqJPmd9Byfdj3WJlKuDzuvIiZZRzjExuAZ=w1200|https://lh3.googleusercontent.com/pw/AP1GczMdSuQKlo8NVz2zh3VsCNBV4Rwl8pnYneXAMYh-lTKjotHvtYtQfLz_KlKahiR3aS8jIyniaPhXQBh9an5AW-q947XEk_nTW33ZWUtA1FELbKc48apm=w1200|https://lh3.googleusercontent.com/pw/AP1GczPD-l01xnLfJtZDq3__XM04hOj82btnoUOyyDwTwUahzo-E8WIk-prgDunPi2_XOpC5nwzmyK5MmDChBcuS9n3UPizgPmZY6tS_4g2aOWhc08aXpWCT=w1200|https://lh3.googleusercontent.com/pw/AP1GczNw-d4wa12qkdeVLWOTu26yoX_VdW_UqeQeIKLaeDrS7_qZAJpBr21JikkeiFrpdBfWCsf0r19zcwXA9iQRYocdgisPBVMFiGMtWFsRA0PI9xxMn6QP=w1200|https://lh3.googleusercontent.com/pw/AP1GczNX5LPAXuf9Lm7CH_HU9dxtn9EfYEDZdzUytm0VR6VskL51EyYPjildmeMeW8YkC2kcX47VhRxuWux8cEFY5WLKbldVwkTeVzEHUruSUQjoWHqjR1dK=w1200|https://lh3.googleusercontent.com/pw/AP1GczPZ9oyHb4hzA_iXYAehg6wqV70mIQUbYWLntFYAnnJN7WBie-dygftHI9lyb1OGzpq5x9_UMMqaEpNyld-DABpgoEJtcB_wSSgnlaB7UpNVDNIdoMQ8=w1200|https://lh3.googleusercontent.com/pw/AP1GczPua9-KRMI6mnomlmxVZo5lZi57K6Bada0heTFaee6ee5z9PXVyDGEtfMiT3fwbWYnZEc-N3RHDGtcXpU0VrvJX28GetxTgTXhgsp0KQz3PJBW-XaLq=w1200|https://lh3.googleusercontent.com/pw/AP1GczNuNM69xm--0A5qEz_cViNKsrtGbinV-200a0L7U_RigdAJipbpSTXa95_wDrgdEUXpRU_I5VAwz7ZjtCcK5FimIoR97LnEl3rBeOo-1qo3NLBNvcoS=w1200</t>
  </si>
  <si>
    <t>348</t>
  </si>
  <si>
    <t>Casa en barrio Vergel - Alto</t>
  </si>
  <si>
    <t>https://photos.app.goo.gl/wvHaHgL6N1Dcynpd8</t>
  </si>
  <si>
    <t>Con buenos acabados, piso en cerámica y tablón rojo, muros en estuco veneciano, carpintería marcos, puertas, closet y muebles empotrados en madera. Cubierta en teja de asbesto cemento, cielo raso en segundo piso en machehembre.</t>
  </si>
  <si>
    <t>Casa con reja antejardín, ubicada sobre vía  vehicular una calzada. Tiene niveles en primer piso. Patio amplio. Escritura al día. No se permuta.</t>
  </si>
  <si>
    <t>ELIZABETH MORA</t>
  </si>
  <si>
    <t>CALLE 14 No. 40 - 62</t>
  </si>
  <si>
    <t>5 - Inmobiliaria ROCHA - Andrés, 26 - NINI CASTAÑO</t>
  </si>
  <si>
    <t>https://lh3.googleusercontent.com/pw/AP1GczOlMIaP_IPcQhKpHGIGz-qzLl_uPSD2LOXLfZ3A37EVqeKy6nba7lomGmk1ktsf_zkiAG2k7POcaFcsVVwcJ9TguuhfuNajysqWsL1rlETPjyz_uaoz=w1200|https://lh3.googleusercontent.com/pw/AP1GczMQq_YCnVbKlxTJ_wwjlc8o26VdF7Nkx5ngAd5UXy1ElYYl67RxXTLh6R-gSgZMU8vkTbg-SFJleeaPZpdpmlhWMhVlX_e-mRNzIcJEia77_hwIfNNP=w1200|https://lh3.googleusercontent.com/pw/AP1GczOKu-pAPc0donABEI84XN5OwiekLrE47AQeORCgsjzMrI1E0wBZ4xIweHGb4J_fv_jK3e-x5X1EvXbCjtQitIGalzVbRPH4LzVTnpD7KrKiZsv5xFs6=w1200|https://lh3.googleusercontent.com/pw/AP1GczPECa_eY1ClDU5NHwvSoGE7da3d7K27XuCoZK4xQl6ZQL9mCoJn38dif8ygeKz5cI_dIttUEGCYDODGk7QAdn5jhLo3O2kS0GDNaD9096dTx2EBXd1X=w1200|https://lh3.googleusercontent.com/pw/AP1GczPx_21i7PwmcjtnhYoaJ_MWLHnSJ_eRfg0eiwjRJqRTegbrCJ46spz_XGS3fUvHEsZUrwEMi0xOUgm2qHU1bEkF1tzwT2ulNylXHVRGoIM1IuPJzM0d=w1200|https://lh3.googleusercontent.com/pw/AP1GczOmE4fnIUMmxONO27ZSu6JpYw1Ij3ZFSnFvPiPAXYTNFgpSGX2KeyFFzPRaK0HKK8LQnuVUXodW3owXCt8-Ef7OBEvIiDhhjw7Ggd4pY3c6dzzJtOaS=w1200|https://lh3.googleusercontent.com/pw/AP1GczOkh-jywXnWjNdSxj8syU4TV-UX5EGX46VfwT2AVWOgUDTS4uCG_41LaMYn88_S9tQFLZFZ3MQO7MuP50sorI_HBHbZs7fQ0HQVMNFnrfHYsjsYnDjf=w1200|https://lh3.googleusercontent.com/pw/AP1GczP2rAnfkxu_8TP2hUMTue1ujb7P2AcpvjpsT36xWanjmIGrb3UI3kotDuHnrG8fOM4r7-Z0hwX2xN4Kknmg94tisNOt4hzdOhHZ6VuBj-50EKyxSkRq=w1200|https://lh3.googleusercontent.com/pw/AP1GczP4BCq8lC3s7nO0UWu6Mpa8alsvvZmCjq7jtqDpADMS_cnU8eLXfBag6idMgxWRM_buEmrg_2Acz-XcD_XU0gec61T8Su0EssKp5zQjcVJbS7dhs3uT=w1200|https://lh3.googleusercontent.com/pw/AP1GczNtQ2FNJopcPilmbsjZsWzYv55DeTyk7Lk-ASw2jglG0488UdIpQBz4BQ0w6AQ1dLDyuKr3hd5iOhkkXl4ubaqi_iQrDza01i2UaNhWtdzsuHs2rbRD=w1200|https://lh3.googleusercontent.com/pw/AP1GczOLtVI-w1Zq2Q2gQJUBnGBJCBGTdR98m2em0u5-bHH31I7vcSMSA9l3-wiBcD5P6cTKcdspqnc1gmUKMKZ3qfAYIxbuqSU__pQIe40h3iYkxWSTOZwd=w1200|https://lh3.googleusercontent.com/pw/AP1GczM-19IhQrE8XvjIK1c8EtLko8xTbheH-zZS73BelHJS0PK1wp5t7Cgi7PAmPKx05tlXHYBYGEuMKN6ArYbBfBxNtBfquteOvXYzirLWw0l37973TknH=w1200|https://lh3.googleusercontent.com/pw/AP1GczNceUEt7NuSxZQL9o_F2Ibjy6OHHhSiP_JHNCR5x_xLVHkfmh2p3iNbCLymcjE7gfG7EDOOMg_Lji0fsDrYhAx_WxUDLHCc2Eq11DvkYpn-LtLqUSjG=w1200|https://lh3.googleusercontent.com/pw/AP1GczOrUFIVF6SEUynQCawt2kByLM_X3Fy58b74t5fMLcxsuvI1K1mueFGuZQsrbRPXV_7dSYfVYjhYWVzpNMjCusWnhQsHoHL11nTGGmWpL3xdhGx4xpgO=w1200|https://lh3.googleusercontent.com/pw/AP1GczNQsx19X20IjlKPMyh0IrlQp3jPoFMez3GrIEQ9qahJ704qUhZncicopetXxmxUGVbe-Cu5oSu8Ir78DXoshzsRubm1z3o54IIZz2q1FS6ctEkrEXt3=w1200|https://lh3.googleusercontent.com/pw/AP1GczPwxnxT95ChxyuXiXMFOXwpsPgecz8mCKvPZ-YdQcFMgM6cKnGVNnh9QYiiNoFTG-FqMZGVtTbdxppFwe_MmrQ0Q_L6Wc-f1yFfVG0UgYYh5OkJr3hk=w1200|https://lh3.googleusercontent.com/pw/AP1GczPsh-Nvy0q9-o9VdeDqYU5sInnsUEX2HDVjrTQR3voXMcaw7LH7rkkIcO6CKa-rY9AiiRLwEW-bi2tS5NE1oTdmuTA2WP8JoiowhXCwx4WTyccTovVL=w1200|https://lh3.googleusercontent.com/pw/AP1GczNfxDgoXDPCS04TIiRtfojx7Dz0bvlUCrvsxP0AT_o0xjGrNOmePU2G_4nf2zHchvGyQVAIuIGQ5GucriFkO3wyxTV_Mt0SE0V-917p-7VUwveh2vup=w1200|https://lh3.googleusercontent.com/pw/AP1GczOEIDViOvxcJHIQXgXYqjygGAvJ6A6N977JXZgqoHDb-CHxGbf-idlFMAmjEY0Qjkk8pBchp8Wt-L91U4AMZPYuxsi9wZUHbxRPLCy_yZ5hJHE4Lisq=w1200|https://lh3.googleusercontent.com/pw/AP1GczMoq30mMJIdf7LCcW9DsLDnSIW3FJVIIMD0htnx2H-1YiHznVJCyQ5lSBmSg9rE_iivu-aFfcEr8Icn4hoN6BFUdBsIboxWW46IZWelsg9Tv0zQlpzB=w1200</t>
  </si>
  <si>
    <t>551</t>
  </si>
  <si>
    <t>Casa en conjunto Residencial Valle de San Remo - Sur</t>
  </si>
  <si>
    <t>Conjunto Residencial Valle de San Remo</t>
  </si>
  <si>
    <t>https://photos.app.goo.gl/d2Cduyf1nQgpWCid8</t>
  </si>
  <si>
    <t>Ubicada en el conjunto Residencial San Remo II ETAPA, esta destacada casa medianera de estrato 2 combina comodidad, eficiencia funcional y potencial de crecimiento sobre un lote de 92,83 m². Al ser una propiedad medianera clasificada en estrato 2, representa una excelente oportunidad para quienes buscan maximizar su presupuesto de vivienda sin sacrificar la seguridad, tranquilidad y convivencia armoniosa que brinda un entorno residencial cerrado. Los interiores destacan por la uniformidad de sus acabados, incluyendo pisos en cerámica blanca que realzan la luminosidad y paredes estucadas y pintadas de blanco que aportan una sensación de amplitud.</t>
  </si>
  <si>
    <t>La propiedad cuenta con un área construida de 110,0 m² distribuidos óptimamente en sus dos niveles, garantizando espacios integrados para el día a día y áreas privadas independientes para el descanso. Su diseño aprovecha cada metro cuadrado para ofrecer ambientes ventilados e iluminados con carpintería de aluminio y vidrio. Entre los detalles adicionales que incrementan su valor, cocina básica con mesón en acero inoxidable y un salpicadero en cerámica gris. El segundo piso incorpora un cielo raso en PVC gris con luminarias tipo bala que aporta un toque contemporáneo y práctico. Finalmente, el mayor valor agregado de la casa es que cuenta con la placa de techo preparada para la ampliación, permitiendo la futura construcción de una cuarta habitación sobre el área disponible.</t>
  </si>
  <si>
    <t>350 2676795</t>
  </si>
  <si>
    <t>Antonio López</t>
  </si>
  <si>
    <t>MANZANA D - CASA 37</t>
  </si>
  <si>
    <t>https://lh3.googleusercontent.com/pw/AP1GczPr3EVejgPjgRzpqYJWIPsmm1QIy78KN0d9tSswOyDxA9i4DXpQtX-zSZU7MF_XpcVYWe5A1wuMWD0U0SwzBlsPSg8LNCy_uQuUjpMMIBEh8h_9Vq9a=w1200|https://lh3.googleusercontent.com/pw/AP1GczN5HRnf-_vJdDKASd1FOEbY0GwcucpPD46k2n0qgjiiP-MJ2rTLp1CvrO5eNHGx_SbqKZgm6xh32jdYmCdQjR0xo5ORv21yVmre2XB2sIJTj_b4r-5W=w1200|https://lh3.googleusercontent.com/pw/AP1GczM1XvaHqyj_504hzQF0L-mSTZGHt6L-GeeoHLoSKyAWB7ytTiNVcfES3LjKah3OmNl8FktwbqBzrU8Ehct5XGiZmWeSn3ypbQDmtRV4dy9LjzT1bQ4e=w1200|https://lh3.googleusercontent.com/pw/AP1GczNQ9vcdiigSIOv5jFG_PVgXBwFMKaoT-5aog2aWt2-r6bnP2jPKc_hdrrKXN8tBGUhbAmZtJXQG3JC0kh_dNODrw7uEAWvuqLb-IsiLqEz-81u1xwf9=w1200|https://lh3.googleusercontent.com/pw/AP1GczNiHYddbkScORgY3oQSdHJYZy0gFnLfoUJJu5vyoQZOvdMDjNbfw7A6RJvuy3FY3AdHpwdn0vctYNhz611U-je8lxGV6SB3U1MCgj7sHee8CgiBoVAt=w1200|https://lh3.googleusercontent.com/pw/AP1GczOcPqODJgDH9BqFwkffV1VWh5D4RpR32FrPV9qNKV6OsHxFggOw6HucWvXD7pk5OevlIE549fjSS3dSEAruDOKZEYjVTFXS6EvcigJN8zXVmFMX5V-j=w1200|https://lh3.googleusercontent.com/pw/AP1GczNmyqbcGLRzhjrYPWppAQuzu0ntGRdh843MSggDqCXe-5B8bMTXaUMCMVSy4t_AsqMKI64WMSLLsPMw_rjrxx2u8aPaiobAFl3g-Qv_aTgONwqL8Pqj=w1200|https://lh3.googleusercontent.com/pw/AP1GczOin5vf5RoL8vkV5VvdHZejkyDtHifW6NUaAolBPTNC-XR9CrobA1TumB1bai1rl0Obvz-zYTn2Y24bAw3hH7o7UMiWHF3qQL0DXhH9-sEbiSuTqKPh=w1200|https://lh3.googleusercontent.com/pw/AP1GczO6m2iSOcSedSsAAR4rEvGkJkFs9eblJ6-hE3Zqeo3fLrDKsjk-7gGeO6YvU5Rkeby-ebOARPiU-XD7Xb11CtupmmrlXYxsCSMf0ihho-76cVoiZ_39=w1200|https://lh3.googleusercontent.com/pw/AP1GczNScEcNT0gxaxqyTGgJJBn9BiWcZGr3wO9TKrvgkz_GL1abfmpgXSF5ed3tkmCjTGM2FlDAJWdxFFl2VHXa1b-CeMTn6r0PNt7SVee2AcnRJChUzcPn=w1200|https://lh3.googleusercontent.com/pw/AP1GczPTapCvrXa1pC_vS6m1hAqwLAP_kz4hm76L8Y7vgsR_Z6D2fIdfgykLGWzCLXPCVhS7Pm2GxeWUWs6DDC5yrgc2HCg1a-vt9GAOspSCsHLZGi-c2o3Q=w1200|https://lh3.googleusercontent.com/pw/AP1GczPBt3yv7JFFGIszPZ6TQd53pIUOOWTTPCvEHHsKV2BsX9TQJ7jkQuTtGF-DSq7AbtmQJDEYX2NQK7W5HJonrFwg0ohyfZPZRRMOufRrlBHpdkzrdI0l=w1200|https://lh3.googleusercontent.com/pw/AP1GczPeVA12owcow_PrIKUxfFQTCd3JsWWDVHEC-saWlYijouwxzS50fqbjn6kAbBtxX37L5x6KXY-XkjoUpq74-gQFvHtNSTQkXqgO9KrsXfLB6A1vkFut=w1200|https://lh3.googleusercontent.com/pw/AP1GczOr0VDXbBEkPHeFWBPjRu5abhzGiCjACpuZD1tvYNomC2IJVCo_IGhZpJD2bNQXUScF80VqUZpEncdCz7zLjH31WMMZAX3hPq0IORJ2kcHMORD7H5mz=w1200|https://lh3.googleusercontent.com/pw/AP1GczMsQH__P3bgNttL3v7FG9HrnNEWQSJhZ7SCd-pqor0rw8iR3UzU2b_oZX4aNdORw2oBTy6Yl1g_mV4-r_0YBQe624kFhc69ys7mO2uvHRe2FPCs6GSR=w1200|https://lh3.googleusercontent.com/pw/AP1GczNFZhJ6j6ExbnieB4Pc89tcV0K067u9wB7a3ynto9MBcQTLD9aJXB-pAB8uIjk1BCgIgYP69siaOmMlcsTL4VamajEHzJHa2UPs_stKiZs9JKF41igb=w1200|https://lh3.googleusercontent.com/pw/AP1GczOZ3e6NjAXe2vevDEtZG_vUdYf1xosBzf-v3jwRdmvLFZ35v8JKgf4lMqoiYLdP6fviIVyZGA9_55fnv2URlJE2KozeTAQxCClu-ayrmo7jKa0WuMcD=w1200|https://lh3.googleusercontent.com/pw/AP1GczMEztkf0CniRU56quhUpi2ynWLmunI_J7Cd6bqsJX35yoSLFS6v-pxcZcHGkGU7_77dNh-WlAL-puMLFT0ig99nMVlysZfqmaY6mCUK8vwri4dn5SoH=w1200|https://lh3.googleusercontent.com/pw/AP1GczMQau05uxk0oHbppp-1QHDpu-TDhJlq4FVLBdldpo4d2yYNLemTdo_6de7NO8dMMA85XsTCYVXrHCIpvDzxk8uSUks0Mue95vkKLD1lgh7EGR02eMrW=w1200|https://lh3.googleusercontent.com/pw/AP1GczM-ofkKGsM_k4S6NadPTNtNowC8XzB4a9PH7s9k06vVFTsgj3LNDklTQks0FPJnzIVpd6SzxBM1Ow6T2HDLl6EPHePD-ze4XFMQjcNHjN_mptTIo3ZU=w1200|https://lh3.googleusercontent.com/pw/AP1GczM3qKim-H4iwxPyg3a-37ZNrKVgRUcd12YV1rVtZqMBX8PVJYn7iOHhczQQzimWEdz0E5Fws323U09XW_CAkZJUnli8vkPdD9a_WqFeCqmbJo9ioAyr=w1200|https://lh3.googleusercontent.com/pw/AP1GczNzZvOl34tqhZxZP_Mi9S7GX6ecr_1rCduQdl6z5lZtbZ2Nn-GUosL-2a5YVYVVW8Fg7M8trnt9oquWGiKF638jpzu8l0RGUK-alKQJXUntDgd0_SjO=w1200|https://lh3.googleusercontent.com/pw/AP1GczNeqDF64gCMnW85YGiwF3mVqiJy91WI5AZd3p40qHCShdTi0dJmPkBUTkY5UHZQRvbwlDyQ1mugNixhZ16zmVyG4k0uhkff3gP8Faa1Je_9k_CmGCWc=w1200|https://lh3.googleusercontent.com/pw/AP1GczNECVV24bxRarvukZwEs6GHvk-HnGttmEQwFSr-e8l6wxD7usGBSZSiPkswyHUHm7WWGqv72Mkq1BwIBRPm2KBjJmHOYri0qHMnqjYJj44j1U4iNZMp=w1200|https://lh3.googleusercontent.com/pw/AP1GczMbkceBqvQY7blo5C9sAFXPelVcl_dV8YG98uu9l4Tz9nZGgilzVuXjscgC9ilXgRRVOb2G3BXkzC5N_cYlsXREH7X4AdmlnhmRtqoJzDyU31nTx6d3=w1200|https://lh3.googleusercontent.com/pw/AP1GczMWxBljiWQoQQhERsZWb9ZTEul5MTPIatMAVP6ih_4GeJ36pnq_c9xp2brgD_pjX9aGqMVxHw8zcors2oFx8X0vyJ-cbxnkez3zhfatpf6-Rk9Ajy8g=w1200|https://lh3.googleusercontent.com/pw/AP1GczPg8Wyvh2_FgZJGeMAnH3Oa2NgYdJZjOZwO1iGXLM420n2lh7SboZ2jm32Fqr2BQgGivW2akLu2hidh2YwLwORQ3Rsrwn11XFAHpPyk8jth3UgIBtgC=w1200|https://lh3.googleusercontent.com/pw/AP1GczN12bInsjtq_EAkg3ZM9EIYcAUSyW7q8EFQKXTHOQBW6JE6gh2Vk7887FSXIS0nDA3lUyP3ERNHJ7jzAVyryRQjs5bR2cd1C9NVALCNVmi0zqrVNZrM=w1200</t>
  </si>
  <si>
    <t>372</t>
  </si>
  <si>
    <t>Casa en barrio Timanco I Etapa</t>
  </si>
  <si>
    <t>73,89</t>
  </si>
  <si>
    <t>https://photos.app.goo.gl/AKmdkbz5QpSGwxMx9</t>
  </si>
  <si>
    <t>Cobrar comisión - Juan Peña</t>
  </si>
  <si>
    <t>MARTHA CECILIA SIERRA</t>
  </si>
  <si>
    <t>CARRERA 22 No. 19A - 09 sur</t>
  </si>
  <si>
    <t>12,30</t>
  </si>
  <si>
    <t>15 - JOSE LOZANO, 19 - PRUEBA v</t>
  </si>
  <si>
    <t>https://lh3.googleusercontent.com/pw/AP1GczMxi2kWzRoIP0U3YngPXr7PkRHhvT-uJztD6pcz_ynOUesemndxr-Od7WUSXJrGA6wL9cEPsI7sB7OfvW2IgykJuGDcbpViVn4WbEXR_rtoiPl3m3CS=w1200|https://lh3.googleusercontent.com/pw/AP1GczPmUHFJ7M1_1rAvirtLIntSvBr05IMBdsBFcxRRsoxU9WbfT5usVL4g5pNEVSzLM2hnuuE2Fs6xSoGNkqWGF2XjJbIA_5uSW2lbe39B50omAOkghNV6=w1200|https://lh3.googleusercontent.com/pw/AP1GczPqDDa1S8iKq8H19X1geP9NPJyyN_MvkFd9zsfHOg2UCszvztSawYYolfO6dBSJhqZUpTqUSVdiArzxz9VBBbMKYDlGR2FlyfC1k2W8udsrMwGld_ib=w1200|https://lh3.googleusercontent.com/pw/AP1GczOcBFbfPzG7zLm0kZ_MAa8eIh-TtCpVHRdZlZgLVUMPeN83umrT4EQhfJQI7TWgq2d9TtjG9mUIzU9X9XRfc9ICesUNHm2i894KwqRZFqAXMv_0qOXT=w1200|https://lh3.googleusercontent.com/pw/AP1GczOcrITuMx0Ur6RkD2a3McfGI--5d0Ia4yGEzVoGheUvDFPNJoC5R3FTmCCpoDLTzoP7Y4AdEMZKo3eVqtGQJpIcyBoOKeoCX5JYR2cSj1fDOWcuxTlL=w1200|https://lh3.googleusercontent.com/pw/AP1GczPnR0lgw2U124GipCxTLNR3x82O4EnlemfGlZxO_Oy3BOpNiCXNtsSUHJMb6V6pTeG1PC-8iClY_SmdMplx-ovQuH0l2ZwSSv4h0EMbUVIh8AxVF0is=w1200|https://lh3.googleusercontent.com/pw/AP1GczPV9KgtwJkJd9a6dPytlO0FOB9SqC6T1bHNGcCrilXcIoYwibWk-lN_eSHxbXkj04nGNWBNMfRVO4PvwMOMdhrFYg3cjKD0x0VaN9LPUPBG580bTN-r=w1200|https://lh3.googleusercontent.com/pw/AP1GczNfqAhaIciZ9TZ2MsgpezkgcL7jOt8mlJjDXuD1lqOWFD8S0Dp7Lc9TCshrajeIhoMRhTrzzmMiBE_vkxMaeTKbNjJC8e5KRU568Ko5pXyZpNT0gZ4O=w1200|https://lh3.googleusercontent.com/pw/AP1GczMIlRKMVHR7tqaevN7owNPZwykfNCPK5EGWS6PXbNHA_cZ_meSTjlTKZdrvvB_PwEE3lWkhkUv_EMDyazBX7nmusGt-XDgFkR6IJA03JRriZKruriVU=w1200|https://lh3.googleusercontent.com/pw/AP1GczMKDaiYG6dq09m2UTSsgNXSTbG8E1yovCdXpYB6-P_mkGRkjv5pKd3ubeKh32fycywM0PcSPwF6FfBiUtljQxIBu7lIHznwNOMtyqeadOhJYTuUgFTB=w1200|https://lh3.googleusercontent.com/pw/AP1GczPfyIlCd0rg8S6x6Y2pe2VLkmw5b5O4i5LmcEtrwYUKvH3tPMDlSXfiJrcnOff9RRUFwpxKryUgz2aZfPclt9cNMaOxuY9Jmy0Nv32f2nboeIn71fKS=w1200|https://lh3.googleusercontent.com/pw/AP1GczMFEYQdUp6c9DfgFzXLmFvSLc3vovGhEfCt0oKdqiCxlbdIhk-vIxWu0GKmg_eQB5CHpmdTMoNDZ8C_Wuzq-kfq2zmqvzyt2fnmwhElqptEk3Cc9CHD=w1200|https://lh3.googleusercontent.com/pw/AP1GczOdaYtEJpEzZ7XfL_PDaZqb1IuNNDO-SCo8xbh7z4X61EHWPzsmiiGDn7f9lv6nAeREKLA-px9MnIeFjjYvYo3gf9ZdcRIMZ1xAt3s_IkDaasWaOpy8=w1200|https://lh3.googleusercontent.com/pw/AP1GczMIvb2RuKsgUYMBsPApTCo2ul3EtyTG6s3-adljVSLEAZiT4q2MPsFQBLBaaqYnYgmYOVgWPfmikrCCkNzdMZ0tQFBNvkN_hh1je5duV2vkt61J1vpv=w1200|https://lh3.googleusercontent.com/pw/AP1GczNrbB8pkdu6BVbfZpa73t1-_j9n5MgXzRiN0PgHjBWj4VcK1vRfgUq40TAMJoMPqXXOQeSxpr_mUbPWjsuT-BnA1KWd-4qiLrfGHSxHVjeMSOOrBfyY=w1200|https://lh3.googleusercontent.com/pw/AP1GczMzjz4dVUq832qCVTwEGKIbgiePa8Sg5zOHOQYL8lovK8IOmpTW_QCIRPLRTCiWwt42nX6nadOlhgzUdvbGS6EWa7O64pY71zlq6T_Ex0UX_WVwTQYJ=w1200|https://lh3.googleusercontent.com/pw/AP1GczPPAERlzrGOwpI7sjj4hX-Lyp-mGqBOo2qRbH7riUsamMIo5gVgHyBHfIKAXgqDwM6tAgGpjBX_v9L0wzoHdao8I35eUEfHkHz_MiyK45HjI_j4Kuja=w1200|https://lh3.googleusercontent.com/pw/AP1GczNidk8X1Z3C01XLw5NE7dGJdoVt74p-sUdiMYKP8dUR0kPP2_7xIx3k0X6JsSGzDztSON3zTZAIheKAZ0NPxC0c3U950CWupxnXbVVmMteqjVDSebe0=w1200|https://lh3.googleusercontent.com/pw/AP1GczOOasLlbyU6SEhhM_v_8gME_jFN1a5wWvtbfQoy_pI1YXoo5vwuSpzDbq0ryJCM2HKwiJFU2r-hyZqRinItryIu8pOr9ePU1yGskNG_dU7Or6T0AgGr=w1200|https://lh3.googleusercontent.com/pw/AP1GczMMUzJd6XoJdNcPECr-ahW1TDKdyVs0ZW65KMToBI_uFBzkJDMTAZlhiytYk6ZpYCXs-ox3w3-1PfRhVDBijQT_3RmQPSZFyfQkEt7MR-Kf-HJX5WlQ=w1200|https://lh3.googleusercontent.com/pw/AP1GczMpGF8ZC8UjZ8Wl3FmwSrQZZ-8P8FNjuKHuZCEQd9SqHFEx9QaXVvmzh1jYm9c_TytkYXzjCjNSP40KF6_pKKMBCvKZtlbNgkbYi4MwAFB_acZjmEgW=w1200|https://lh3.googleusercontent.com/pw/AP1GczM62Qy2VA-3638ZWiOWzXvnH8Dgts_ZRObR1OaO1dQwPlYS-cKrwEf9LWKe-G5CQpfQ0aYijvYf7wJXIdAbN9DT43Tk0Ka0HSPrk9iGq4AvR36Afj18=w1200|https://lh3.googleusercontent.com/pw/AP1GczNr3t3r58nSOQMiEu1HBvVn5aUx5E1chL28ZKzst_5NodR76XpL8Yp2rl0ouX9vennc5BrL4id8L5cSOZs2RVFkmdG7E1t-I4sBBdq4UFzTfadHc8Ps=w1200|https://lh3.googleusercontent.com/pw/AP1GczNlBAuMdXLGfQ0-_pcS4wgvmzKT_ZjT-pAq6UZ7SKckt_auMCpM0drnKyi_-IfyDfBXhz8ZdjC4PDZB_1fBzKn7Vq-9zUP875sQMImMLjewW53lU8nx=w1200|https://lh3.googleusercontent.com/pw/AP1GczOoBz7JWFJHlh6378fLCoenNsVm7mXpluvuqSjnUiptdloretzcAp8-dQlbUQoegFZVzTzE5j5qBKq7G5_mP_2V6X8UkbwXvrQVkV0iXOiWstnqNpA2=w1200|https://lh3.googleusercontent.com/pw/AP1GczNVcjnk1d9e7szrmmHLnoI581ki4vPkyY9d0A-2VE-LOO8Vkk0-YuKCBdiPn7MrsyTnQ16daA9bmF4HltRE5wRGeBS8yGokwW0eJdPCMGcKrGVbbgNy=w1200|https://lh3.googleusercontent.com/pw/AP1GczNQSJ0YWo7JN7eQhH8FkVqCOwQqU5IsLJXzLWgMJnQOpZ1lei6ZZ-Y9VSfI7FlTj3xo2Doc1dKE6C6bIxV9O9XN54q_zUE4kGmNpoQtWEeSgM-YzPe5=w1200|https://lh3.googleusercontent.com/pw/AP1GczN3xBXlWzWhDvFsQS3Rwyr-R63HP4Of8FbSZkzhQSCGgwbpa2xDy_TaE1HEd5hRTpogj4px_5USFU5fs1Op9wMrgZbxyB2fnuTdKoRbfk0rogzzIws4=w1200|https://lh3.googleusercontent.com/pw/AP1GczORjkoKXzSD2sIFJWfODDpSkkQnv_l0lhWPB8rSknbDipwtKFqwWk6-pa9tyI7Xun_8RbAaOJg9XfhZda8EBh4W3hSe9sgCaMLOvef-O1kz1Y2j4KXy=w1200|https://lh3.googleusercontent.com/pw/AP1GczPZD_H8U5JIBlVnccDsZkSi-oq1eDc2K3f4v3nsloj1CLqLdD7lP3B9-EdIHJFdPN4M99-CqFlJjn3q3FgIITliBOpg9QGxnPCF0Gt_1mFIoHy-iooG=w1200</t>
  </si>
  <si>
    <t>569</t>
  </si>
  <si>
    <t>Casa en barrio Bogotá</t>
  </si>
  <si>
    <t>Barrio Bogotá</t>
  </si>
  <si>
    <t>https://photos.app.goo.gl/34KGoMpwwxVPeV8A9</t>
  </si>
  <si>
    <t>Cuenta con acabados de conservación, piso en baldosa, cubierta en teja de zinc, perfil en madera, cielo raso en PVC, con lámparas Led de empotrar se 18”, patio  amplio, en su mayor extensión con cemento rustico y tierra con árboles y jardines.</t>
  </si>
  <si>
    <t>Dimensión del lote 12.0 ml x 20.0 ml. Ubicada sobre vía amplia.  Patio amplio. Escritura al día. No se permuta.</t>
  </si>
  <si>
    <t>MARIA EUGENIA PERDOMO</t>
  </si>
  <si>
    <t>CALLE 8 SUR No. 22 - 59</t>
  </si>
  <si>
    <t>2 - JAIRO DIAZ</t>
  </si>
  <si>
    <t>https://lh3.googleusercontent.com/pw/AP1GczOtjV2vz_IlwZDwJ4tpogY9dQA0GjGo4qPiS40htusPz7GTOxQO1QBTvlXVZazIVZcTQxx1QcjIGaOxTJJLUaGcV-vEAQ4d82Lks6v2w2czzxYg4k90=w1200|https://lh3.googleusercontent.com/pw/AP1GczMYZWO9sa2DL3owIqZkFGQVF88zAsIH0lZP14XJlK9-ADIn_JzuQlWM00Z1LRmgmZMgjZ5o-GNabAcjROg0mCK5xupCbxJ-6YiR1v5jhBw873pXHNHw=w1200|https://lh3.googleusercontent.com/pw/AP1GczNHHrHy0CVyxDhvJuGTS45J1yQvvtZrC_g4j5O0w2VQDBKCK1vRURJWI-0qJ3w3TFi5pr1ypIE5WFsLMrpWACItZwW_VCVxRTSKdzcoHecwPlKVTfcC=w1200|https://lh3.googleusercontent.com/pw/AP1GczOww42btFYoMuLPYEbO8x1NX7wnpIx6StHt3N5x7rWKbuxPdecxlEUYhovBRJ2j0Tb6DCpRSqkuCh2N1QtC9HEHZiOXjWe1nreBC7hC0jecW-npo7Hs=w1200|https://lh3.googleusercontent.com/pw/AP1GczMumgOEvrT9oq1-LTz8V5WyS-ukq1T6ghyYeeI55vUu5Vtt1x7nu4IaqrDJ1jaa4XF-qZjObmk1q3MX8jc5ug9L-h-_GHyv-bs6B0AS8LWwxpvhSkU3=w1200|https://lh3.googleusercontent.com/pw/AP1GczP3O2auyQucHPnnpHKcfelNjhIS7yHoan1xRJtjGDKnJdRaBCubyJsBWkaSWe2rmQAfp-2DNFiuQ2lHaMV_i8WaNzKHb6dPShqs7tqiyJYO9_wtXHOW=w1200|https://lh3.googleusercontent.com/pw/AP1GczMpedIEUXY4oFZCIxay1tOr4sTNkKDqmgGC6VQf4lf6tjqAKPfQrB2HrbibvjTPaQzTSqHAZPYwKi029p8r7yPEbtOYZO99PKLsZE1O3quYSS7TtCwi=w1200|https://lh3.googleusercontent.com/pw/AP1GczOnlMOuLzidi4pCJYYmLBnB7iJ2JqtfTaSgGnMA4pc35Ra_2m9WIwwAWe0TOcirFoAeMBRwGCgLyLvAXThZykJH6Q3Bm-leY6dB9hjPwN5eNhOKUSoC=w1200|https://lh3.googleusercontent.com/pw/AP1GczOGakJlaGxKJaMJL_TJk7sB1NWOoM8v6KQqaJrZAkcDnn5tUq765plen467ePuKTB6nrxhPhuEnFvNQqbBt46C5tRcqNswrHKCAkQtc6Oxh7O9tCkMt=w1200|https://lh3.googleusercontent.com/pw/AP1GczNrYbGQ2j9ODDm-rDywD0rrIxP0Zi6DwTUkr59yNqwFlEX0AN0rZ7cl4aNB34nZoE1r9OebGjlgM2z7HKLs5mS05vKt3tL-wGIt7sW1YSFwhCrBU40w=w1200|https://lh3.googleusercontent.com/pw/AP1GczM2G1jJ7HOazFkIVve6s8e1nHYj-y6vH9s2gg9FdW3wEl8tOGeT0dE0-hhZ53c7m3q83KEg7TVvvoaDYoWBgwdsrUhQpqK6sO-Lj1xvFvbq-fXlpmLp=w1200|https://lh3.googleusercontent.com/pw/AP1GczPxLlAFSBQAb7nmWGwnu-BWVE1wTlgAjHlMtVNitQDQ1IjSkbdqllkoXhblI3NJ8f2U7HDlU2M0XVsS-8Q5eeBY5rkWMLZpKy280OWuoDqQ_sW2Hh9E=w1200</t>
  </si>
  <si>
    <t>496</t>
  </si>
  <si>
    <t>Casa en barrio Los Cipreses</t>
  </si>
  <si>
    <t>Los Cipreses</t>
  </si>
  <si>
    <t>https://photos.app.goo.gl/d1SaTW9zYcfm9pJN7</t>
  </si>
  <si>
    <t xml:space="preserve">Casa con buenos acabados, piso en cerámica, 2 tanques de almacenamiento de agua de 1.000 lts, cielo raso en dri Wall, tejas en asbesto cemento, todas la habitaciones con closet  en madera y puertas, patio pequeño entorno a las habitaciones. </t>
  </si>
  <si>
    <t>Casa sobre vía vehicular amplia,  con reja antejardín. Escritura al día. No permuta.</t>
  </si>
  <si>
    <t>MARIA INES</t>
  </si>
  <si>
    <t>CALLE 49 No. 25-21</t>
  </si>
  <si>
    <t>https://lh3.googleusercontent.com/pw/AP1GczOkrlJuJV-r63pD3SgC_9l3VIWSh3zvSD0wnAbTpGSpUuf9UcvWYQYU0-rTx-Bokdk73TndH7qetXli4_AEcWj16amYDlPF7ooI64nYY0Rrvbi-esYC=w1200|https://lh3.googleusercontent.com/pw/AP1GczNtvqwi9EH2nKyCV7dV4xaN81lcvZ69XPJ7zAk-vHxC005q0PfXsf-E5KChoLtMYbpDWs3P8XsOjoBqDpHxjo7FHTsyMjGl05WxpVkKTVCOSM1iVgrp=w1200|https://lh3.googleusercontent.com/pw/AP1GczMEu2gqUwrKHTozm4lXFcrLdRyXc59hp5Ge4zQJnJKP1Lf2iDnpz410Ut5DWu9UU6VZiIPHcwFxy1RJ6lkwKbAkJx-vgN3IeO0ullVgZtIxLNAhF4tq=w1200|https://lh3.googleusercontent.com/pw/AP1GczPyLZwPDfWNNK_V3xcBP852jpAgOvKaRhamxjOZsH4wk8wSjOb68oFGYa0vv1N5jExTiTlUJebVUYWTk_NJo_n7Y8dz5mfJ9w2aOs-_qBJWofc6ITqW=w1200|https://lh3.googleusercontent.com/pw/AP1GczPv5H2fzeJm7sdxcH7cb2iQJRf881m8wyg1gHC0Cb1zW_EAqpGHZb1_Rx1WQxkqu9QnE_YxeMF12tP7blFE5Lq7XzWX9DAkfD0aUf2EaAM95zoKaxfM=w1200|https://lh3.googleusercontent.com/pw/AP1GczNJoVPLzoplbi406aZwlgtrGK7Us9k2tsfDuj2PN4qucvkXMTZJ6Nf1gqQ1aAvBiks-1J6_4StMQaM0gwKIp0sOThHEbgMgvNAkCNfocA4sT0SNF6bh=w1200|https://lh3.googleusercontent.com/pw/AP1GczMmxGXsve42_1aReQn2hPTuzd4CCv5wjaM9UYp4tx5z7lfIFdYHZGYjxt1faKNx0h7AHEY8e9k78FWYf9DZxHFgBvliBrTz9Qi3Kz_B6tll9i5HEySp=w1200|https://lh3.googleusercontent.com/pw/AP1GczMIG3mFvsm8-oAtnCHh_O8_UL-C_kJKZy8WPVtSQYABVC2gNU-fvMigA_m8c3Mtx2NirOLm6W238PFHyD0TJ_wBLbtnyvZ-aOfTUgN4jisddlrS6Bx9=w1200|https://lh3.googleusercontent.com/pw/AP1GczMOpRvYCJsqsm9uAnrF9ZLAFSPCoFJnx7gpIq9PEMcqN51_agf_0VxBla092AyIDblObEeAFvJTMfhrcH1FGi5DT9jmEjWWt0XsVew8lZip5II3QuGC=w1200|https://lh3.googleusercontent.com/pw/AP1GczPAIu5JnHmtg5lb__hcTNb4puNUF2bGDKeebglc0vbmPBQw3psWLfVlGDTdh_gi5OrhB8dKUaBo6qrN6P7HRny9aylZJi9Rvp_fn-rj4vPjqvDhPXGw=w1200|https://lh3.googleusercontent.com/pw/AP1GczM9JGSEKkDRA7u9uXindMG3JIdOtXBdzyp7ivd_wlVIMp4U5d8kcl_bOEkJLMeBFKxjU0OXcKZb7BcXqM4kiVqUFH_Fr-wmu0FKxNWKHVXra2jiR_VV=w1200|https://lh3.googleusercontent.com/pw/AP1GczPEm_vSBu8r_hANWqCZ6NfADF8SOzYit2WgEkp9IzxJ9N4zLpC_sCo9xrOw_urW9FQgtr3Mp7kPItnNaPNKmj4PcfTlNrCVDNQBVjGgPnI_UhcqN50_=w1200|https://lh3.googleusercontent.com/pw/AP1GczOWEsA3TFxODz7ykiHLG2ai0S0GFC_7werFomGq75_mUT2yfhb49SXwDZPdfVpxi-CymWxiFIfU2rV4bC9ZlCXYV64JXHfJ_NsY2qtaEKYHMmXXHllR=w1200|https://lh3.googleusercontent.com/pw/AP1GczMdvZgilnJmL5tIjW68Zhe7fCMeBQZakXyGo7RptcxPmR6aMK2SqQrtMndLKlpH99lIlA2lgHSrVRsrAoR2DGDDQWXLl_DNOZR87Bl9XM4r6u43xnb9=w1200|https://lh3.googleusercontent.com/pw/AP1GczPhYmgskWaUtnPAp_FyM4_orrTA2m4m1plygN7oxdQhC5XzJLs5poSgxr32OfHKXg5ZgqPRpLMvt-1_rX-aX3Etx5WsZfSpfYxyOVXVu0j8bik0CLvq=w1200|https://lh3.googleusercontent.com/pw/AP1GczM4xr0MF5OYm3kWaj28FR6bOjGJnvoAcl8fM8YfsVFEiFzq5PAHTKYu7yv68-yjlBgttgIjbXbBZfq4JIIB5HYiPh73OU6SMwYGTi-MohrxGxWMsiL_=w1200|https://lh3.googleusercontent.com/pw/AP1GczPNXQ0vAUq7KhL9qWdonXseWldAWkxlKh3tvvyWLTxorB6QMVPPmeM_y-KIqDTBaZ45aQu5P1mAmS51mzPD3MUBgSwCntI8DIYf_RZW9oBHEygsDVli=w1200</t>
  </si>
  <si>
    <t>439</t>
  </si>
  <si>
    <t>Apartamento en conjunto Residencial La Esmeralda - Norte</t>
  </si>
  <si>
    <t>Condominio La Esmeralda</t>
  </si>
  <si>
    <t>https://photos.app.goo.gl/bcbHHWkeWFovPXhZ8</t>
  </si>
  <si>
    <t>Este acogedor apartamento de estrato 3, ubicado en el Conjunto Residencial La Esmeralda, destaca por su excelente distribución interna y acabados llenos de carácter. El área social ofrece una cómoda sala-comedor revestida con pisos de cerámica brillante y muros en un llamativo tono terracota con elegantes molduras blancas que enmarcan un techo texturizado. La cocina integral está completamente equipada con mesones oscuros, estufa, horno y amplios muebles superiores e inferiores en color blanco clásico con detalles de vidrio. La zona privada se compone de tres habitaciones dotadas con clósets —resaltando un imponente mueble empotrado de piso a techo con zapatero integrado en la alcoba principal—, dos baños modernos con enchapados de calidad y un pasillo conector, sumando la gran ventaja de contar con su propio parqueadero privado.</t>
  </si>
  <si>
    <t>La propiedad representa una oportunidad de inversión excepcional gracias a sus atributos de confort y esparcimiento, ideales para cautivar de inmediato a cualquier comprador. El inmueble ofrece un bienestar térmico superior al incluir aire acondicionado instalado en la zona de descanso, garantizando frescura constante. Además, el estilo de vida se eleva al máximo dentro del complejo residencial gracias al acceso exclusivo a una fantástica piscina social perfecta para los días de descanso y recreación en familia. Por sus espacios listos para habitar, excelente iluminación natural y una ubicación residencial estratégica, este apartamento es la elección definitiva para quienes buscan comodidad, seguridad y alta valorización desde el primer día.</t>
  </si>
  <si>
    <t>Olga Lucía Castro Romero</t>
  </si>
  <si>
    <t>Av. 26 No. 5-99 -  Bloque 4 Apto 501</t>
  </si>
  <si>
    <t>https://lh3.googleusercontent.com/pw/AP1GczNoLZo9r5NoYn_iJ-mcwEiTZf737cg3shm9Vv5IkYysRmgU02_0tp3JLKLUffCEsTjMSojCHeCabBqo3Re3N79d3K9B6JVYYMfJiNsXiQ-IlUOjMpCt=w1200|https://lh3.googleusercontent.com/pw/AP1GczNDgn_pOQ3Y5jJ4nlYPGKuPogj8F9Vv8nYY7dtDu1oz9_M2M9eegWeT9DVT3oP-lBHL7AWGILo71X9YUYbR3l439lCrG6vI4WwL31JtTczKZpqzcIjC=w1200|https://lh3.googleusercontent.com/pw/AP1GczNMLYZdjOQTvFV5rCMQrLZ_rp9VjbNPuaKsKbxBUDgtwTlx-UKVlb6LwM0il__NsfsFDIdV9q65TMsM2uYY5GuXs5_wKBhd_5dwlFlreEcb4wHGdtvJ=w1200|https://lh3.googleusercontent.com/pw/AP1GczMyhA4b6weyHiSMAMdnjwpBpBAP223b9G4V0P5aKHhkH23UuXjnxuKVHd5xNILXVbCm0cpSItQrQJa9maoElBPw0ty1ydlzguyV8khrPiWs24iVIZ_S=w1200|https://lh3.googleusercontent.com/pw/AP1GczOpiQebQdUmHzfd0UkM-tfY_t-aHgPDl3eSTKBUJaBBNXfBosU6YaHO_JcoroQPWAys7iHYVKHD7cXKdO1cFx4_Opj2--52KEZFmOrt43RRcyG2pO73=w1200|https://lh3.googleusercontent.com/pw/AP1GczNnAgSXdnM-qZVxailcDZO59SM2CUXIoQ-hnOiKWgG0_9jqSQwNzqyscLCqfbdWYZLiC2gJLQkMyB5tEJ2OhOpNR8Vt3djkLXv0T-mbQfmCGoK3yjTm=w1200|https://lh3.googleusercontent.com/pw/AP1GczMO9k57IKd52izMzqdYBo4fqnPq8gEJgXQPBlU8jhjd_OUDJPmzDqmUdFbYczb2nrkZmKued3edUY58GSUAmgvBLcA20QkruytEcDqOnkc5VhDRxmpB=w1200|https://lh3.googleusercontent.com/pw/AP1GczPjLrDexR5r_eAyCQ-fs1ERlaoFnbjSFgGJM0Hq1A97YHDgWFanL0o3eFUTA1hPl0E4NevVlQOO9icwOYLRuNW2o-tP4fUT-ARxzfeJ-iB-uDJPtIGz=w1200|https://lh3.googleusercontent.com/pw/AP1GczNq9meKRcA7CUgBR7D57vXO6DlKuFm9SGYVrU2Py3pMb4Yqs35uCiBG2wgUbHXxnvFXlAPVD4iasFfq6X6N9seWkubrRY7W6Z16uJjmO7cw6eK_0TZ6=w1200|https://lh3.googleusercontent.com/pw/AP1GczMpwxFaIraxrpBylJwBqcZ4OQwYl3xA2addb9GV27ekzpjQuC2vinRKbO-DBxAkSPVuMAQFA29jwTZGu7KFH4Q13tCGZLe_x0WzE2mEy-AEoC-vxph4=w1200|https://lh3.googleusercontent.com/pw/AP1GczMqYejj3o1i9Uj6ZA56rGH5ReDlKaN2gU2Y7elOKrwmOjL60ncDtXsd6TX7uYRyemKvwBramvp2bAVsaL6C8wa3YuExQGkO5C13VdT2VnXogtjH6ax1=w1200|https://lh3.googleusercontent.com/pw/AP1GczPHJK1Lou46Rx9HTqHqEOoCRkLFPKAdkRisxDfp31PXsDDQnaOAlmTy8oc6KJaA7u-bIveYwLGrRA6xgHq7yBlx_u9UwOiRbbjwLQsNrJciiYc9Worx=w1200|https://lh3.googleusercontent.com/pw/AP1GczMwY10aB7fgw57jf8twu4X-TtfVUr-l65qkc3luvUUKERoPbYJWWmSLHYOCOD8XHjvW4ZSeho6k1Pf2zWaxx48frazH06AIu2KapeRrn5A52r3cmFPb=w1200|https://lh3.googleusercontent.com/pw/AP1GczMHIbxVGJahteXYnbyTKjxbhkxpjDC2ehqZmMGQKZ92S8diZtNUUJVdlNHG3rtosb0XuyMFFqR4DNAB6rQE4mQAsmmoDd6KWpfr_gsgxLgPYZXGiVV0=w1200|https://lh3.googleusercontent.com/pw/AP1GczMVSdC36nnXPvZwCU0ohQUxRg1ppmYw8sWuNooH-N6DFEic6B2axmu5ZtX10hPkm7sJLPvRlVWPdYmrrpTPs_V2nPoxASNhuejFwWczwgw4-66Lxasc=w1200|https://lh3.googleusercontent.com/pw/AP1GczM_OlD7TMKxukQDONlICvWeCzHgJ_yeIyoQJ8etLaCS536ghDQq9Fyaj3d_nKwCzxUgHIjmPbJJgaF5f8uglr-jhyqQ93P7YpkCgD0Lt5OXukWzHqTc=w1200|https://lh3.googleusercontent.com/pw/AP1GczOIjrp4XN0PypsH6WTvf5WJCLdEC4a0t0CaA6YDU-4OmfUiq6FRUniXg-k876on37jhvczHAFAbfLZjrAvd1imiNVfxqBnR3XbYAdtwG3LHPVRdzLLu=w1200|https://lh3.googleusercontent.com/pw/AP1GczNluoutjE1LmXC5cXcibQ59p-yDC0-nnxaYfTU1xAoKoJNfEW7bSF47daF2SWxh4ZchbQ-OZ-Ol4IXoINDWOVh8S0247hAUlsjsR7K2SzHu-4OjOq-C=w1200|https://lh3.googleusercontent.com/pw/AP1GczOaIOG8gMhQSKoRqUCYeXlYib52TsX_pu240PIT8is3qCzNqiR8PpYaudYeqxEARZ-Mr2r5abX2AAdtX6meQ-700Q77JzyJuT6dSq67Sj2F5DTLHsz2=w1200|https://lh3.googleusercontent.com/pw/AP1GczOD9GHwzUji2lbpZj3AfCSPEscqT2XLbloUCUgmcy0HcEhErAN9L8Xcgmq2-iMRk0EtWf9cw_4HXlKlUuf_rRtqJd5EKiLFY7DhXbQarcmnRCfvs0MZ=w1200|https://lh3.googleusercontent.com/pw/AP1GczMpSjb6_XwIA88sXKDbZryMhy027x3d0KubLotgasin4ohvs3fyQU-KarCJIYmdK5DGv9c8UATef-ZOmcVmUWQ0Ch12x18ZidaHdWs6nWPBNM2oQJQs=w1200|https://lh3.googleusercontent.com/pw/AP1GczN0VaVloIIjRw6yb_p-UfGk8aFGTNwGkfZKdmX47x3aLroN5ivGO-1PzxJpg3qNXNnkaMBaGJojGdwN4GOe2jF9jazjSv6xFh5U88bsWk8zB_6Sy8g_=w1200|https://lh3.googleusercontent.com/pw/AP1GczPmTe019eUigCuCke00IYuAcNaCBNhBcpq09y_CLyA0mrgSJZ-TwUfQ9-WMTBVuzNWxemAuiKv6IBmYDnqfBtQjpJX0l99VQAOUd9gNM_vhh957B0tY=w1200|https://lh3.googleusercontent.com/pw/AP1GczM1X0jmMXhZFH1mjp6vjGr1ljDw8kcNl8RryyrT36yK4Kvd0F5TGQmyqiba2gHp5FYKIqlg8VyqFFHKlkqAp0Dg_EYxMq683jlVGh2U-VZfIBEu_RqX=w1200|https://lh3.googleusercontent.com/pw/AP1GczOWKtZRZa9WMB-v0jqgmm91G3ICOsO7h2p53Gkf0TPtN2ODN4XoiXotrdiwoVUTvchV7VLmLVnQhhags93SYFtgl2TenqkfCg4uKcbD988oQi77sAYW=w1200|https://lh3.googleusercontent.com/pw/AP1GczOeVD5iFjWieDgfuPiFElVpFMKWGGHj1u8Hz5hMZRoFwzjicX439_6VH8piX6medCk3ciDHnyHlu6AKEFoxVvfS7kGcQRBuVEuESJxJUB5fLME2Wkh6=w1200|https://lh3.googleusercontent.com/pw/AP1GczMNHl__Wf3YqAbG_M50o3eg8-E6T2R4A2erJeSItBpaqMbXxHmZbY_U1eYTvuMBhr_JMP66BWokdreBpnMSEtB1Q-enjFHjbAhG8vsSixwK11Nv0hrB=w1200</t>
  </si>
  <si>
    <t>221</t>
  </si>
  <si>
    <t>Casa en  Conjunto Portal Del Salitre</t>
  </si>
  <si>
    <t>Ciudad Salitre</t>
  </si>
  <si>
    <t>Portal Del Salitre</t>
  </si>
  <si>
    <t>https://photos.app.goo.gl/LPYqsyhFpfUEwXjq7</t>
  </si>
  <si>
    <t xml:space="preserve"> Casa con buenos acabados, ladrillo a la vista, piso en cerámica, carpintería marcos, puertas, closet en madera color wengue, Marcos y puertas externas en aluminio anodizado con vidrio templado y baranda del balcón en hierro forjado. </t>
  </si>
  <si>
    <t>Conjunto  conformado con 34 casas. Casa pequeña de dos pisos. Con doble acceso. Buenos acabados. Cerca del conjunto alto llano,  supermercado popular. Escritura al día. No se permuta.</t>
  </si>
  <si>
    <t>DIANA TORRES</t>
  </si>
  <si>
    <t>CALLE 20 B NO. 51-20  - CASA 15</t>
  </si>
  <si>
    <t>https://lh3.googleusercontent.com/pw/AP1GczPoqj7NoEW6FmV9ZjesM2gjAMxffiiPntW1y4iNaQfLSnyjIxHLqPAv12otskmRKuSaDIAhKRR3_0PDcFSA1JF2h3ZPtCbAE59mAqhP99rof7DkTZVV=w1200|https://lh3.googleusercontent.com/pw/AP1GczP9RI64WZrDhnbTkkCpJW2Io-jpXhG82QBHqq6aecbLKtBJthkUXh1PQcqELyzauoq9Pqku4XtmoPH0YIw2YgXByZHevBFTDoB1LAy8jjefmdtQBtqT=w1200|https://lh3.googleusercontent.com/pw/AP1GczMGt1qMOGdL4Jpb3RVs1BCSIZti5MO8GzR53DXvopM00EshXWZHB_HayD9c65hR0Oks_4SGbGdSEnJEV6wIPPbJ-9Yvfxml0EQJBZoIcL7EqIPtSq0y=w1200|https://lh3.googleusercontent.com/pw/AP1GczOT1fF3dQHAB5HJpplYVPyPBoeXvdcPHPWfMoB2_ZA_pQGrhfkolW7Y3PsH08nf4KpxgUGWJtVHXa4FWCeNMF42_FM44QV-8BXUCYCQ1TzRKU2uAfGg=w1200|https://lh3.googleusercontent.com/pw/AP1GczMt-PNRfTMf13ke_8qz4Jy0UDLycSpkUsd0Xe1_VLudXAXUBonR_iOGOLYz-D0HQk5LodMdv5ehuNIcBhU8dF-aKIIcn2U4iFexEwtzTzryxp1VWAot=w1200|https://lh3.googleusercontent.com/pw/AP1GczNOHnMMAtrbBc-ALORvYba0zjkZDtl3m31xSwT-i3CZDE6UWMKTQEJt6MBD1FujF1rgn2uN_6-bO1aeJjN3fyCuaFWOa6_DUvfj8lXxr9rvRDb2CCM8=w1200|https://lh3.googleusercontent.com/pw/AP1GczPmdYBFUkvwDxklA3zfue3_JK4xvoLA4T8jbd9KMlABoEyRXHhd592-QToNFc3SzRCN4nBmB4yIxfs1Xw8qmNMB0ZoJqkpLTrz7wtl-MPEyE_JPvNeH=w1200|https://lh3.googleusercontent.com/pw/AP1GczO4Q0ulgXKyp7NxoSTEdh8AQiHmBhEwx5NnOVHc3o9qR38vs2xxe1Yjrc1Ehv5PzOzO2vxXQmfLMgNVOmYrHIesjsypODMHlI0VbEBn3MpSfMFdk5Fv=w1200|https://lh3.googleusercontent.com/pw/AP1GczOXM1y_LEiLXwqCkISjVP-Jxjkf3wf5a7D3khuZ56aQ82S4LUOwOP8fnNmuq4JQj8COzcrEg8B3neQ0gC4ubcylX015Pc8fZ5igt2BQgFmhXL7LA5eq=w1200|https://lh3.googleusercontent.com/pw/AP1GczMIsZK5rrzTUtSEjMcqzK9Z34BUKNh7SaVfftRt8YV5bDZ_mageQUgOqXjcgvI0D0KMBTo_zJ-tq9tVTMeWyJR3Q6BvtamlHwTJX4fkTUCGIBiwLNT7=w1200|https://lh3.googleusercontent.com/pw/AP1GczMz3y37zNBOHB9kDNOhvxA0R3BicphQJzWVGmm_am0wD4MvzOUqliAT-3p5iBQAfu0z2f2LlFj5L7b-WFU63Fj7lXz6TEgMA-E9fI5AhvNBrzQ_wBh8=w1200|https://lh3.googleusercontent.com/pw/AP1GczPC-gZpfpaq3X5CtVdm0Xo3jlQOVJEBTKDcbIe4greUEo9YubkSi6QrFTUWRCbwHxXbFGQqCxFxWAG7Yyx56u-_6DVZiHSog3WOXnNIJq73KTA4UqBZ=w1200|https://lh3.googleusercontent.com/pw/AP1GczO5ebTIjnJXxax7EWFbY0_C3KkTeGUQo_Lp_NToaN4LIJBDKrhkqwBOi-0SKPN75VRwkE1YAh-2BcgRF4KNnAEzopFesA6zcVWIkPVsfTQCbEz1Yg3Q=w1200</t>
  </si>
  <si>
    <t>247</t>
  </si>
  <si>
    <t>https://photos.app.goo.gl/YAwuBVHgJqzri4hEA</t>
  </si>
  <si>
    <t>Casa con buenos acabados. Piso en cerámica, cielo raso en machembre, patio pequeño central, carpintería puertas y closet en madera.</t>
  </si>
  <si>
    <t>Casa ubicada, sobre vía vehicular, dimensión del lote 6.0 ml x 14.0 ml, cuenta con reja antejardín. Escritura al día. No permuta.</t>
  </si>
  <si>
    <t>LINA MARCELA - Ya no vende</t>
  </si>
  <si>
    <t>CALLE 24 B sur No. 29 - 65</t>
  </si>
  <si>
    <t>https://lh3.googleusercontent.com/pw/AP1GczOdoMyyqxO7-3KZkAZ_dMtUsDEtFBlUfyEwVAuivpjkymDd0mS6eZdE0K6Ry3Hz-U1bT3k8mTx1N1gwURqYhDhrkpmWo6pj-j_wnkya1wpRXLO1evxi=w1200|https://lh3.googleusercontent.com/pw/AP1GczOmk6BasV4kLXMktnLDtsz3QHNusoTo99AXZFqvj6L8lwEY97Csutq3lqmwevoM3cn-Ols1f6JQz1cDLSJ2wdciSt7FkUct-lvbUYTnwZj-9GNvch9x=w1200|https://lh3.googleusercontent.com/pw/AP1GczM-pj4gvjaEv1EVqhRum1LuG7eXpPKopZtyqVjk2dQPtV7ZOouyHZ-cSMe2j0QJ3D9Oo0uI8Ot5aSiMD8O1DMFzLrzOVBNQmi-787yFtqitRwroL8vl=w1200|https://lh3.googleusercontent.com/pw/AP1GczOTl-eLSahaCIUu4pwOl_u5KFzlpaLajtpHpWjybQxShZyUhfa3FzGTrTyUemge2Bir8gCgsZkxmB8dMvEg73jM3C8NPhBpuUJ-KtBjY5EVYLUgNSLJ=w1200|https://lh3.googleusercontent.com/pw/AP1GczNfrBRMBZngv0Xz6XUlKsO6JR-2hz-6awbd5TCb50KfpkiT072y6ImRX7lARozYWk7apuRIVWdLC797jU9OLAcZzBzUcZ8k5N9E-Mbt0UWf4cxDdXp8=w1200|https://lh3.googleusercontent.com/pw/AP1GczN8B1K2QxCts_TdpIJ7ip1jterFyLvr49WrvyogwCjVK98OkSbDsmF8xdPbBr9RQ5Fgn4gr-NlBrQl4COttYDF6QfGbSdaVjW4EY0GSPWlcQs7I2Ar9=w1200|https://lh3.googleusercontent.com/pw/AP1GczMaghz6d-6YB8Zo4a7yCGhEg1E6dDYPqFWQPZHTv40f57zuq3Pag2H7TjSu1-ryu2JOQwtG5RMQoorWc9a159DMlt77e8FjHwQt4G8BtDKZOECLKDIb=w1200|https://lh3.googleusercontent.com/pw/AP1GczMSr8_-GAOkYKCFyHskhwaV9GvNt7IHHHO-J8SVqWkyGnv1NhScgQe14oyreCt8GaBJc4NXHBAtL2AP8FSQ1qcwT1b_F75jABN20eUjxGn1nGQCZsBq=w1200|https://lh3.googleusercontent.com/pw/AP1GczMR7vh_TzKgtCdLv5_esr8nmkAsqcL6PK2XB_XGB1GjmVliuC7eyfkNRXCMWEu4WA84RguyG_rBk3-N7GRLHiLkT5XmFvgGIXJZt4tYOJwKCczFrRx3=w1200|https://lh3.googleusercontent.com/pw/AP1GczNe0r4T64ZJ0xmYsptNF-j2yCLGsiq25akimdc5InKjVwhatIupY28m8spr42OM_hlGz-g-1xEHOvbW7cUxBnYFzOkhtsxroJ9c_w3P4KqBvWruEOCD=w1200|https://lh3.googleusercontent.com/pw/AP1GczMSERckahjgjzjaK7SPyKZTHii0qDadNnVP0hV1ZJ4T1vFRRifPc74BO7WeExc919VL_BTKjxMFsxlQsdD2KyKlbAsqLhMcxeVsaFnKx_QMK0n1ZQy3=w1200|https://lh3.googleusercontent.com/pw/AP1GczOWV57nbGyxbFqNwdoLp85Y9T1Tr7ELOor9JegQX97m3zGuDDNTperfrg4k5E5amVut6D4qp3nH_j8TlN3rilll2azhG6V7KkmMNlqwKbQEwjlLUV1n=w1200|https://lh3.googleusercontent.com/pw/AP1GczOVqc82NbjscfmSIV002eyNK58ygvJx-2KjIUh8PMX0Y_S87kEUlZzDnZdlD_nhgn-yX3MU3LM9AE6ZOOccEPYC1JB_nvPQCJ7OdhqRQ0k9X5uYI-Yx=w1200|https://lh3.googleusercontent.com/pw/AP1GczPD9Rtk7YhOFLkS-Mubv0VASpoOafXcsBEScxQFuDZR5I6WSHeyf-rK563Xhip-aEDwcY2HSwizOwUXWXj80cCjhYYkOtx95QFCNePjdJsovmpgTpvh=w1200|https://lh3.googleusercontent.com/pw/AP1GczMRCUrLTXSWx18UHyQmKqokJ1-DllvFdxxcgTjcNiF4_NQwpa8spNrW1yr9nHHpWmOw37Fj8QXUSBj-F9JDXs0o0qJaqmi2tr-FMoJeVaE6WUPesGtj=w1200|https://lh3.googleusercontent.com/pw/AP1GczOdSa3bqQ1sFgnREzYIhgihIWOJgCKbSaSAsuMH-DWNQhWQahaFf4IyquoitI15EE8ewnX4GsanD4hAArrkatnQvPPNp3Sz9N5E_TGlSdvVCds8kBms=w1200|https://lh3.googleusercontent.com/pw/AP1GczMBx69Uk3e7imIYXZL_rASLkOuzPfvP5NVkfiU8MniaXl6HhmWTuCKBWUx8VL90Bp6_fzCELjekJT16sBDE7o-lcIenhC2pOYUrrGk4-pwePkWWQN3A=w1200|https://lh3.googleusercontent.com/pw/AP1GczORaqwaz4x0EESArLK0WIrTHB5m1pcyon5xZHuTDKmPioYXTkE9KamxCLdRHsNcrwu3bHxmECi1Yb_hRHCd6Uc01KoiogqJBVTYaUzuzO6hWxRLUqzg=w1200|https://lh3.googleusercontent.com/pw/AP1GczOFSS_4XLyQKcMFK3HFeotUnZPg69jdCHzKnYTJGt-OgPbx5974jXMXjODRSxrBlahJvUK6X-xchKlvTIbsVJdUJszsEa-hCTM62YrsNzxZ5A0b0upu=w1200</t>
  </si>
  <si>
    <t>282</t>
  </si>
  <si>
    <t>Casa en barrio Chicala</t>
  </si>
  <si>
    <t>Chicalá</t>
  </si>
  <si>
    <t>https://photos.app.goo.gl/1RmDVwjwVstzpCz47</t>
  </si>
  <si>
    <t>Casa con buenos acabados, piso en cerámica, el patio en tableta roja, no cuenta con reja antejardín.</t>
  </si>
  <si>
    <t>Casa en el sector de Chicalá medio, Con diseño original, ubicada sobre vía peatonal. A una casa de la esquina y bahía vehicular amplia. Escritura al día. No permuta.</t>
  </si>
  <si>
    <t xml:space="preserve">FABIOLA - </t>
  </si>
  <si>
    <t>CALLE 66 B No. 2w-20</t>
  </si>
  <si>
    <t>https://lh3.googleusercontent.com/pw/AP1GczP1w7umzjDwhL1b5N9Kd2ZVvVoFrg06KyUnDdN74pl_ID8n1Wndwb0K1_5KnyTIAxoOdfGHRSqE__JBT3bhTVBI5ushB_9yAWCeUNoMH8SHRZChWo5j=w1200|https://lh3.googleusercontent.com/pw/AP1GczPTtUpIxdJfOoghaYmZwWvOX3mG9HZNHg-TwTz3ZjqCqmF1yd7DCi6NlZ69anYxDa2BRe3pdljKK2Yw6UpEcdkS3TlvSm8XhnbFUaJrEFrVw5_ppdrQ=w1200|https://lh3.googleusercontent.com/pw/AP1GczMLeE93SSusGPvppJ-ISv-AsNTlUHZijq9WxLWkOjEyps9Aj35qF34SgPYGgA5Nt-bVI_3Z2eZ61glSSDiT3irCblaewBcIjtnxxBWdyln1mv5Qun7N=w1200|https://lh3.googleusercontent.com/pw/AP1GczPeSjUIb9NEoGB8BpuyYM7ndexGJWpFE5vra_IKJBLU9Ta31G-I4JF-2jL8ciRF7ad6clrk68tgj1ZOOLUWK9AO5cY8mWkpANwLq-ynf897nbACZfe4=w1200|https://lh3.googleusercontent.com/pw/AP1GczNwpLwkWlHXuUgDndgywyn-wcs-jKAMpstZsAlnv0QeGUodYIaKb5L79qD-ChxgMYOFbkHMfqUI0dICVXj2bM_yvL5n6MQ7cvwDoBpcyl28OSKs9XwU=w1200|https://lh3.googleusercontent.com/pw/AP1GczNcxAdHPlxFZJCLDlekEV0p1xgq76J5s5yTsbYOruVTW44rOnN-jUvTHUDryiGnVIpuHy5OaxstC45Pt3ZaF3FHGoAUGGeN9A69ZfljazjRGcLnyx4W=w1200|https://lh3.googleusercontent.com/pw/AP1GczOhs_Dy8HiT2_gBkykKemUn1XeBcTkw3BSAFBS2BqbnU4C-NxpuAjMMQVxNnK0hHWrYokJSnDc5Ju9Z_Y53HTzYGaG0MBrTLbzk1sqy23MLzkCBUVDL=w1200|https://lh3.googleusercontent.com/pw/AP1GczOMFbEiRWraqKr1sEBfSoG0A8LDnykf_lnU3TVc0nTcftjcYOnfQCbtlRH2mECB5jPpv1M97-AVOr-LjP2TYGBun1oErW6gvFBSHcsmmsqCzHgk8cMN=w1200|https://lh3.googleusercontent.com/pw/AP1GczOkkIAmS-fkXP8IJSW2H1TTgnq89gdAej_ksk-1IBzRset9ygdoUYQFYsnBayijktzy52slxvTemu5-UfaMZq56aLmTf4dikVJtaLXmod0fz4CmxG7A=w1200|https://lh3.googleusercontent.com/pw/AP1GczNxdapfO9xFEouBShv5ro2SKSbnzptbJFgvBb2e_G2FmB9Hpv96aOA9QYSIQxeZ_gdyuZ8WCXpMYQQJn23ozwcMy6eVy_lXibw9oQ3PwO9ke8l6CvSU=w1200|https://lh3.googleusercontent.com/pw/AP1GczMfR9sYlcl7lenDHQy6Dk17urMafn5KQcq7dE9zx007GzPbVJHd0pNBs6EG_g3LzXc6BPkS3KLZX2Lndo6-MJDkYXajenygipMeDRS96XQqFpI8NXgx=w1200|https://lh3.googleusercontent.com/pw/AP1GczMOVQ5djfFDVBem1XGauj3BEqJNA6cLywPxUE0DIejaCK0ODxgzIReB6mlgZZr51DM-1NjxDFOqtXxSX9QjkvJlA8MsIRwgnb7_EosX6vI99kHa8cM7=w1200|https://lh3.googleusercontent.com/pw/AP1GczPp9MXI67jgbPvsCvmxwPtjgQtA4uwjMYhCeH4OD6ecpyrPiuT7o-I_oBp5O24BWv_-Jj-Z5Aing1IqLqxoUa43ok-tZTU-fdpSmKKBwDsiJfw-pmt5=w1200|https://lh3.googleusercontent.com/pw/AP1GczM8-oB6kbdugo7G1k1REjqO5Q7f--OxUWTtExe2JQKPMk8ZndJyvQralfwzdgiS28f6dUNsGb6w9oedtAn6-W2tX5nmG4rGPztz53186yBuWN3rurU8=w1200|https://lh3.googleusercontent.com/pw/AP1GczND2hSlc5Scn9bKG5fCXpVJF6uwujnDMo3SiuzGN_PE57zCa2EbfGBC-3cYRJ_1b05nBDS0QsH-sTsQ_Qkt_qC1khMkxC3jD2iGY4xNmlK8nfAJsEUn=w1200|https://lh3.googleusercontent.com/pw/AP1GczOzhOUtdMHrZDPMfd_2b0jbk5ude6aCqBzAjvC0LRaYkxAUkdfyptQP_ZVzqCoDbpTBNNLgQ9HeZNjoN5dvAofKD4r4beYK6KPXHj3ZEkAnz2IcY9HP=w1200|https://lh3.googleusercontent.com/pw/AP1GczOdSouV4NHUBiZ28GHTH8gnC3B4cuDmWdCNcwL21SvD82J8BYbE6suLpqHuvKOysVjaDmt91SKo60neAij3rHWxSpSxxLwAsXUhF2CrtuaQl45DB8w4=w1200</t>
  </si>
  <si>
    <t>117</t>
  </si>
  <si>
    <t>Apartamento en conjunto Ciudadela Residencial Entre Rios - Surbastos</t>
  </si>
  <si>
    <t>Conjunto Ciudadela Residencial Entre Ríos</t>
  </si>
  <si>
    <t>https://photos.app.goo.gl/KjHnDQGCE5zVvSbv5</t>
  </si>
  <si>
    <t>Apartamento listo para habitar, cuenta con un área construida de 55,00m2 y un área privada de 48,00 m2.  Distribución. Sala, comedor, 3 habitaciones, la habitación principal con closet, aire acondicionado y puerta con chapa de seguridad y dos habitaciones sin closet y sin puertas. Pisos en cerámica color beich, muros con acabados impecables en blanco y un ventanal corredizo que da acceso directo a un balcón privado con baranda de seguridad con vidrio y con vista interna del conjunto</t>
  </si>
  <si>
    <t>Apartamento ubicado en el prestigioso conjunto Ciudadela Residencial Entre Ríos, en el Sur estratégicamente en un tercer piso, bien iluminado y ventilado.  El conjunto ofrece un ambiente residencial sumamente tranquilo y familiar, equipado con amplias ventajas logísticas que incluyen parqueaderos comunales exclusivos para propietarios, estacionamiento cómodo para visitantes y espacios técnicos diseñados para bicicletas. Con escritura al día. Oportunidad de inversión.</t>
  </si>
  <si>
    <t>Semi-integral</t>
  </si>
  <si>
    <r>
      <rPr>
        <sz val="10.0"/>
      </rPr>
      <t>https://lh3.googleusercontent.com/pw/AP1GczMPO1UH7ftO2c4l0pEW3dD3EirDKXu41YYWePT-HLuu4oi3NA3Okc-2j362g4b0snQeHPRL_ub97loc1gixBHL8zPXLOIF6YBd-Ai4ja4VAn3B2jQwe=w1200|https://lh3.googleusercontent.com/pw/AP1GczNLAplNLQSo3CKYSuNO0BrTNFBA9Wo8Mf7DOghm2zgyue4KjBkWQTqtW20EjwhZ7v-0Z5H7jpewQY4UUglsmrwQfuBZLgxHQ8OUO2YMolP1G9AD3v97=w1200|https://lh3.googleusercontent.com/pw/AP1GczPJ5PeMnE1ULTTLwDuA3a5WZ3b0L-HKVv_EjbbpD8iDma8hRoYS7ieOs2gDr9yoU5QLE2Aikz4Jb-IkncKASF8rosa3VV96BH-mYz5KlxVVzvKU0FtD=w1200|https://lh3.googleusercontent.com/pw/AP1GczMgWw0kZ0mBCGzHivyuU-_WIPxNKHwJrkuVYtbN39VhKasxPs3pG-7QdKrV72XDQSR2KyvNbose9ZO52xkW1iZ7GfPA77MR21RoJA2Flog0uuZA5D2f=w1200|https://lh3.googleusercontent.com/pw/AP1GczPIEUgYv75kSjm3AdYuUF0seJkIGpswd5XFgHo2dn1qOs7P8JVXNMgfouOBVbSCGGzjeV-tn6M633fOYQqmchY_aY6_kZHijYtucP1h8hAIFazrrTfg=w1200|https://lh3.googleusercontent.com/pw/AP1GczM3tMN-njxrpI0N6E6D6l3wJandB5u7b9q1SOLtpL-en4_lYbLLDtV6yC_du3a7GYjkMgYWCt6a4TkJh1BMJAvlQxwZvt9f9QY-sfDPIX6cohmo4udY=w1200|https://lh3.googleusercontent.com/pw/AP1GczO9Ur1QSrX_ou9uAocIuCZgBeVwdBw27jRlOVYmqGbCQ4hK7wgcRC_5BzllVCxBNM5pY_An7iNRQ0c-WKZK2PEUcCo_R1BX_ogcVsCxq4mU0irkmwyM=w1200|https://lh3.googleusercontent.com/pw/AP1GczNGImjlru0tVlNmxtPZY1wCJmqyc78TW9SyK4kDKndQP_qutwP4mwJxieX6HjO9BF982SrmsUnFB5DovLMfMMFlG5j6rO6TLmUDKBT1DB9IAevG6f-9=w1200|https://lh3.googleusercontent.com/pw/AP1GczPb3MQmQ3oZsrO-3nbBoYesUyUcmzNUlnyd2cCg1fQdkvM-IhBtg_2cwEro2jNeL2lzeW_QyIaLH5qnTujuWtOfM6ymGgw6hBDhFs9SRzRjsLL4L_k8=w1200|https://lh3.googleusercontent.com/pw/AP1GczOCUCZbkvcboWaqc7tVJIBjXzXjU1v56oVAsHAQEFiN8UR4iBpUJnAV6sMFKEw31m11gaHu77vVHNUF2xeIRYFR_IQVV4Ku1TM7WepsBbA_KX24c9vz=w1200|https://lh3.googleusercontent.com/pw/AP1GczN-S6VXyhWnW2-ZQU9IJRgXV07g1Y8ikUojE4f2SvgiY4kX5DqugUoYsJirC9p962VDgqSFLgiu0zWAHixb6w5kYNix4jcWLV0EKHMp6N76tjq3s7vG=w1200|https://lh3.googleusercontent.com/pw/AP1GczMcSjJFjW0NoiHsImjPixeafVDSxTH_TRu5LnKromJ_kCfSxeQjicMATHAOT5XEPMl0xLNedRB9klgb3DUJCK1M-owjZiin2RME01x02Ofn5cFx2evG=w1200|https://lh3.googleusercontent.com/pw/AP1GczOTHWjO0hC6V2QU0CFiFv-e3uTF1IbqUjU3GcbnRgHVAw4AtFuy_y2YzjM7dhLlzZvZ-vFtRu_O9iOf844Jan43QGA6tZyYI-6y16M0YfdBaZYt_tnl=w1200|https://lh3.googleusercontent.com/pw/AP1GczOF1GkRK9EkYWP9LJHxzRerQ2jB_Vbm5WEEk6qOBYFixedLEIeOQ1FAp_WQ-W8sK_dguvkLrx4MQPCkOaPBfvQXwG4iuw7hNea9E9-l7nc5bxxrvgIc=w1200|https://lh3.googleusercontent.com/pw/AP1GczOsByFrSlN9UZqq5XlnLDGHIMZBSf2_7IXwf0fvErR3DcwutDaibskGm7B92_uzUuJ2WHBSv7_GL_4KoaXFkdGkWNPfrLhTGKV4HvmWfgeWiA62YKTY=w1200|https://lh3.googleusercontent.com/pw/AP1GczObYlc734Y2QMh2MDEt1o9sfOBgY_FoK1fZKv3kAT113mN4dunAf9pVGVL6HqK2NeKWsWeryhpgF4XmDBCI_ODJZlXh4a68t_rJkwuXXkxMWZiWmZSL=w1200|https://lh3.googleusercontent.com/pw/AP1GczNvos_FTu2X-iLsHObZLsxfRAfmJ2Z0uAs1Sx0DF0dTdKHuGSKc3i7Ar4113QnY-3lo7sSZUnoyaAP_y4Z8SNlZ0vFZZ7AP7AbTZKxed5Q91_BHZNT4=w1200|https://lh3.googleusercontent.com/pw/AP1GczOMLuTmxK1a7RITu2Mgj8nkAHBsEPo4W9Fh7EV719S-N-nMHZPOrz0HsTOp77-S9WbYn1FDimJXUtaDiGfs_xHSn5pR2KjEhMiYoLvm3mDoG_7YXQ6p=w1200|https://lh3.googleusercontent.com/pw/AP1GczNtRA9ImnNZgTVmFDW8mTeXzLAJhon8s4bnby-GSkSALGK-eEOhCqqn5tsRaX65pIPf1iU4nRka-XqUZgW2vDlUVhJxeXnqegmu8223X3gHS49SIy2B=w1200|https://lh3.googleusercontent.com/pw/AP1GczPLPK2uH1LNuIDxIUJ9H-RWumvhxUSMNtPHVUUtL1hLn5xERcAvJenIgN-fHmXl9zfPJI_w-Vg1jI-FgKu0Fz6HIV0VtNWeyxT_XjLE1hRvf2acF10m=w1200|https://lh3.googleusercontent.com/pw/AP1GczOoAuOUFqZysRCz2z8g_pYQixrPzRW_qbdePSz5OZKrVfntVHeFw3Qi7GASt3ynlqcqTYYjOXafcTrCkC8zeg_Rf8ErxqZFiNl6Lvmf916xKhXu669L=w1200|https://lh3.googleusercontent.com/pw/AP1GczN9-im6QSYRd548TR5NGUNSOyJhpEbSWkmiMsDRmV5zJoSR68MaZM-bfGvMjvnBcxYmOoPpYNcXQUtAUYR7C9tZMhh6HOOjaToSCsaTRj8f5-z-wiZZ=w1200|https://lh3.googleusercontent.com/pw/AP1GczPUy62IxB-XXM-OANvZenMqdqpVTKf-3yPVGkTkTc3q-zgD_X7yD9rXtqyOG2dSQhGibsZRSCfeHGtB2-Ce5IJjH98e-wWkeZpoquVQ911FbWXcHhTA=w1200|https://lh3.googleusercontent.com/pw/AP1GczPBGJKhCDKIgaDkgEuhyLIFBYsE5Z-cfepzcxhV8hpwr9aezgwHybTPWlDI3ImdQXxkdAPBJYzMIfd7cF1v-89_GSwjDjDBGXZpLbKpF0KIGqmhKgzP=w1200|https://lh3.googleusercontent.com/pw/AP1GczMptphPVhtXwB3h8j3nWRFkjR6GjSi0t8Bef2IsUwKSkKv-Qn3r9zXbh5RLnl-Hbio6GQIfG1AiHM2iqwMcgs3zFs1u4cYQL6IC1Xs-ooFHt7MJpGgg=w1200|https://lh3.googleusercontent.com/pw/AP1GczMJ1MCrGsCMS1WQUFac8W2TSe2VLwsxVdC_s3RgyZPuqDu7Js736ANkF267MsCUjeaRXfkGP-kCbt4YmC_uTG6bfhtDocEMixK_XsdBKDDwOW7E71cJ=w1200|https://lh3.googleusercontent.com/pw/AP1GczPfWZEjKPO6LxZE3HBR88u6GK6n6Nf9uOQEYPu6Zy-RYsTg4aPyivUzs8AsVYcHy9O0f3AGa-eHP8HBOcEvdCteN_5q5GrvtsCv01JRd70hHtpnT1ga=w1200|https://lh3.googleusercontent.com/pw/AP1GczP1L1qazAF5NWYqs7ikXsEcn0TeqWbTdMTp9AGis6ur-5nkI_4cCLzTkGGzMCoO2XNp21q5PussO4hGqk_ggwdnJLoERuwNyFUo2JN9KpMJXTE9P1Eh=w1200|https://lh3.googleusercontent.com/pw/AP1GczPfh3PbfIY3m-69dY2VGEaHHE6TeZfKU-t4cfn6FqP5duRpKWMtCaMx3gbEn6oEKqS_OVdeKPlQ5m8gFa6W1991mut0NYhAYM3dZeMuUPpGO0seePeg=w1200|https://lh3.googleusercontent.com/pw/AP1GczNsGsurzAkGfL5kM4tig0i06fmHhlJ83BeeeblQW8r4Dy8ubL_DU5Z3peRnDjXL3lngnQbYaoi7Bcn3-60PzS616D8xTErhOusJEjjkhKBcCx5H-NOm=w1200|https://lh3.googleusercontent.com/pw/AP1GczPCaVwz4oJTC3B_6gOeWMYD-6SS-jZ9xoNQAQHfJ6GsmnuYs6EvCNqwpRmUqdzreeLtNNjXLV6_injNQEB7jVXwlKOtQ8M2fQB0hmi__qYqJLFDNHRf=w1200|https://lh3.googleusercontent.com/pw/AP1GczP_qUwje0UJg-Zj6e9qUiaCCi28tlxmue5EKclnFUECprMqKy7nl882zmvQGAk5zaiEreLzeThjWMGbNzDsVvMylAXKOv51-o5lPlQWmLOdAKGC_GgF=w1200|https://lh3.googleusercontent.com/pw/AP1GczNjmzXeHSyMJZndzZ4K9jLdv8HX67P4PzkxZUArLz9cfHZx0u46DEQr22QR3Et8kQMqyLycBelPbg8Y5W98o1NECStNhYk1BB9kkuC5K2SpUpRdJJeO=w1200|https://lh3.googleusercontent.com/pw/AP1GczOp9Ta62mHk-xUjjjrR4SGFAdYE6doEOuASfobIdR5P_R8VgZMoZrdr6DrtZcso7bQxqhk1Z3rxNuu1gHxF0pEwyz4fvFxWjfC1EZgyyzdmeUt-vRKW=w1200|https://lh3.googleusercontent.com/pw/AP1GczNxJGvY9ZNpOoq6mL18lcRARAF3EmgEqfSe9fsTz7DaQc6xzQWg_R20GCdZxbPx8Ngow2kKMwY5TdOJR6wPQspmDpvggCHPayRvf0wFWEPfq54bDuxz=w1200|https://lh3.googleusercontent.com/pw/AP1GczNahaz9t-QroeeOgSOorr9AJf1i_gL716E3_StNnLYrBEJOzvcIpmur1ySi3niqmgP6ngEXMvL2zSvdXwt9m2sLvfMEZSpm-dncsFo35szDKz3_IVwC=w1200|https://lh3.googleusercontent.com/pw/AP1GczMgGkOnjJaku1sGdPcqg-MQ8-Xn10K0ubyipmeYObI8bYpLGBhzCJevVSPLbiwLhPBu-iLpGuuna1g3WFj5tZ79HITQNtKm5ekImexE3ioZqP1gdhF6=w1200|https://lh3.googleusercontent.com/pw/AP1GczMfIP9Dkg5Vj3p_Dg7vUhf8V_7q8tffWS1ZlqyDu4PhmLD9Qi_CjVd4zMHzkpwrVAIOM68FDUakw7BCVa-B5LS5osQses8W8NA-gW8IrMe8QkRpHVd-=w1200|https://lh3.googleusercontent.com/pw/AP1GczNY9EpqyM5BWtfB37dqqH6yXwm4rqEehJ0U0mxq475KvnvJOLFlL7zhp-tP1kGoVZcCDM7gsddOgpkOkXCyDKDOYT9K3Z7jUwoLUxu3nEG84C87AzwI=w1200|https://lh3.googleusercontent.com/pw/AP1GczMfQ8TEH7z74WaQl5LpChdSi3VMGNGaha1quf9Bx0WoimWFrOKTY0X4tFtopAM9RW_EqCKIU4x4gN_2WS3FFnxUKaCQgTaUuuW4KNIaJXjXG3pB5OTH=w1200|https://lh3.googleusercontent.com/pw/AP1GczNxKjhL1M5Kj092HpNSv495N9cV-LRSSNDPtuIHgjuXmzEzTq3YCBHBcYyk2Y0j1g_6hxPa5pjtvzcJ0JpKf1qA44-E-RN1Hh7xvyqzXeOCLxzeLaIN=w1200|https://lh3.googleusercontent.com/pw/AP1GczM0C38pk0yAHQjfRvK_rgQocWeoFkCOZxQowRGTExjG7JTgKw1g1D_1lUaqwT6tCgPeMRgmIss9REY10Z6m0HUa9E530xTXgJE4011r9ytR_Q3EAw4g=w1200|https://lh3.googleusercontent.com/pw/AP1GczNVJzLp6pqIQObfaw8GLPgrJGrm4eZX9tuFuhfaqr3Z_wDDFj-vsv58pCvsgytUTjTqciUl18ZHwq4qQnq6BCa-I5CAHCKBtIW63VREY5E8o6LXoN-0=w1200|https://lh3.googleusercontent.com/pw/AP1GczOOuiBXxMgEIu43UdyS_AZHoz_EUScrx1MiLXffbqlDlo4KVnDDr_YVprm47uLUs-5dunVbyVeD-EEo1Um0kzQXUxJOZE5R31Tgm5JJ52UYwDmaVGJe=w1200|https://lh3.googleusercontent.com/pw/AP1GczPmjrLFH-2Gjp29IOlTwQavR1_5SmshgeAixTYd8cAaOgA73vFsqEEmFX-6RnEbl_ctFMEqz-V5LzYJR4PQ6tWIzDVvRII_SdvZ9vyRgCrrKxwHFBej=w1200|https://lh3.googleusercontent.com/pw/AP1GczMl0-pMmy-VDj4RwvKt-H0zCslXJcV9NzAbx_lN6fxnYXb5g8cpL71qJUUBg8DDGiZ7bOEOxsE0Q4CkF4qGxClIiy2h-D2JX4f-GVirRfnREBuesfEf=w1200|https://lh3.googleusercontent.com/pw/AP1GczODWqtNnmBtM7rX5cqcnRspn3BXffKfkUD-qB-iJn7WXoXZ6aviWdi7zJ5kZrTlhq5bDf-ZQq4rbqD1tdrgGoyM89ux2sTuZf7T5oVpsgd7t4_j9V75=w1200|</t>
    </r>
    <r>
      <rPr>
        <color rgb="FF1155CC"/>
        <sz val="10.0"/>
        <u/>
      </rPr>
      <t>https://lh3.googleusercontent.com/pw/AP1GczPd0vs2rVbQ0GU1JHzbx_9j6caWQlOl8LVR_GLlAoW8lM375xsURUl8JGM4Fntwf_ZFnLZU5BbKKVFG4391MCn55u8-By2o7eajppg6mOK-nNHbSmrX=w1200</t>
    </r>
  </si>
  <si>
    <t>096</t>
  </si>
  <si>
    <t>Dos apartaestudios  en barrio La Toma</t>
  </si>
  <si>
    <t>https://photos.app.goo.gl/YMQdDMhXVhQt2m2u6</t>
  </si>
  <si>
    <t>Aparta estudios: Cuenta con un hall de distribución al primer y segundo piso. Primer aparta estudio, tipo ejecutivo, remodelado con bueno acabados, piso en cerámica, carpintería metálica, madera, escalera metálica con pasamanos en hierro forjado. Segundo aparta estudio, con acabados básicos. Piso en cerámica, cielo raso en machehembre,</t>
  </si>
  <si>
    <t>Apartaestudios bien ubicados en el sector institucional de la carrera 7,  barrio la Toma, Quirinal y  Avenida la Toma.  Baja inversión – Alta rentabilidad. Escritura: Al día. (2 escrituras). No permuta.</t>
  </si>
  <si>
    <t>TIENE FOTOS-DESCRIP</t>
  </si>
  <si>
    <t>EFRAIN PENAGOS MEDINA</t>
  </si>
  <si>
    <t>Carrera 7A No. 14 - 33</t>
  </si>
  <si>
    <t>https://lh3.googleusercontent.com/pw/AP1GczNwpp2XrGVLkXxrSmubvhZCqCAC9iOb5agDiYxn_9GIc8qGxqx5WXg1cT-IEtR1yiz7xnStMgv7qBVyaWXeWarK0yVawjPHbZ4Sp68YbocuhCGDGy4=w1200|https://lh3.googleusercontent.com/pw/AP1GczOLTUgfJ2B8PlcknrSw4_6SK47_-DTxjYjKhsoI0cr94ldY8bdlPAsRqeMhqzRvsmNBZj1ARr_IIkjY_77RoPsMbx2L6e4lvtLs85LnKwBSknnLN0W4=w1200|https://lh3.googleusercontent.com/pw/AP1GczP52LvpcPkDmY704i5HduEWukCdFKGHMhX1_InTn1DJuro_7M1VK_hvxLaq29x5SuREzVbXHgY2Nb6_9xDtCpbUJv7NSHgvdKw2it9RCIM9vhBGSo8=w1200|https://lh3.googleusercontent.com/pw/AP1GczO6vioQCpk2UqhI4S8Lfz988JVSU4ibGF97EAX3Pj3HfF3d_pS_eS3nwB-Joq7to3lYb_-1EdiMjkkYPAfqSfc5INuiLil2j26njpWD6L1rWuoASBE=w1200|https://lh3.googleusercontent.com/pw/AP1GczN_MbWXFV9JyAgnZBhRIGCyfVt27mecHyPPt0-YmvLLY-QGj1LwLFCD8ExT8DLqOCi-u6qXzbvBwO4c6yuvOgIa30favr8f9DKkCr0okDzSXRDZ6KY=w1200|https://lh3.googleusercontent.com/pw/AP1GczMCAPiuHHKmqSdKXAJCHsQRgsPXkv6sh88zETZXbrPbse1p6rRvy7QSfXm4WllFnKMQTG2INvVSHTh9mPX4mNRs8o-K05VU7n_tp7L08XX1fIWg7Hc=w1200|https://lh3.googleusercontent.com/pw/AP1GczN7yL7UCSBQACwsq-2tMHW4gRa9fb3EgGGQZoCF64HvYR7-cANxp_nz6RiUJpZtC-6mXZh4nz2FHyiXMzhmpa1reAIzDptusBufGC04qsc6rkWkzYo=w1200|https://lh3.googleusercontent.com/pw/AP1GczMuouVogZcpa1EYyFFzB51QNtZFpq8Mix3a4xIsl2ad-MHTtO1zdISenFmSQbQa0lCg4u1yVLr8TOo7wHLz6GBWBiYPAxJdJ8CEXbi2JkowF3exrPw=w1200|https://lh3.googleusercontent.com/pw/AP1GczNtxEfBLGSB1vtBcNv1Sfk5XqHagxRvXBaSbmVUhq_qL3dMsAF1FpjX2BSvAtsE7gFyc0WdvlD-1Zj_KAHziPeA8sWkxS-x1VQMXFI4vHs9aa_zwtU=w1200|https://lh3.googleusercontent.com/pw/AP1GczOxFIfxPXQw6OqaNx2Hi-G1_aIt0uxwJoxGkBv5CfJhpEC1E0ndyHD48pTOa8-RRco_DNqGMKAnqlOy08q6WAWBSENR9WClLaaY6NbvFAnP1zX1hk8=w1200|https://lh3.googleusercontent.com/pw/AP1GczOsP_nfghFtZnx2WqutZGif7qV2xIK4RwLHswZDNo7P3_X0odh_hU_p8tIiOlXVddsqfOEIjKnDLi-aHj-4Uunlt98aZonoGLxwW4Au6KMA4TvRUvU=w1200|https://lh3.googleusercontent.com/pw/AP1GczNuTXEnPdpUI49gmpPCFbC3C6yW8Xk9BS9IH-JaoPzfz4Jyjf_Bsz9CMJzOfsmFjP5I9ea34hkS73SgKe5qpXpbhfEmRp9McYL7RnD9bua84_7D4YI=w1200|https://lh3.googleusercontent.com/pw/AP1GczM3r6urzA8nsGAK2__YBzMVpoSJ5OHPJ3OC6Oj4QwMdj7cTTc9vcDrs_Jhr1WWM-NH9I4iSPjc9KcrfAfFJ9qX0hdPnYw-v8p-34lk4Qo9M0WY3XhE=w1200|https://lh3.googleusercontent.com/pw/AP1GczMMq7QogItJy-q5PgFss7uQonqXedOJXUODDokePZrRZ7hSnoNf2EYvfw0sHVtpz38mooDXzbYqDErayVg3GkHAj1dEl6Xk4KoE8fxrmYFTwiajx80=w1200|https://lh3.googleusercontent.com/pw/AP1GczOPE4apRVpIIf4PRF_ckPOpwT5Ds86yuNgLsHbR-UvUH23ynxG7ThG8LTNduGk3HtQ8SW_84Jhp6NhniweygXLgJeLDzqka1RwhUS7A7eTR24-N0ao=w1200|https://lh3.googleusercontent.com/pw/AP1GczMkfSd29iPM5d2SzZgBKgRfSTM3S7BKHIYSJBkvogqKPZ67cB3V_72QoewLK9A8JQ7lv2sSlWlJxrR8W5Ppz9J2w1n3c-CnSWC_CN3mkeMefXT5Htc=w1200|https://lh3.googleusercontent.com/pw/AP1GczMQqNf6H9TRzsJhLyx2t1Y6gh79VFHyHOpMPUcNOW1ZvAniDDS_L46-uMI_JZ0N8ZeyDjZrgVQGAdP-wm71BMki-SgEGyQJXFK6EmfI_8qDqN0n7qU=w1200|https://lh3.googleusercontent.com/pw/AP1GczP-Aw4wTxFVPoGmR3KYgYbZDmTXm_0UstFCPEDd7jqevXYVg3sIi2x5zmHNppBaQHAOF9EkJLSnPrF2c3IVIgSQ4HWgseJuvfz-UAi8hhH1SS-iujo=w1200|https://lh3.googleusercontent.com/pw/AP1GczNhkrQhu9QBNwCKVDW0V7qEXJUgdRdBGLl3Jzy2lpTaUJCJbr4kp8kbjB3lTa6p_5FqpTh4o-V-w9vI2TuZhJnYKoufRFVuAaoDnVFf8RpIfsWkmjM=w1200|https://lh3.googleusercontent.com/pw/AP1GczPwdJvj1uFp_Qqs0ra6zjHrFvR5PdzPXEKY46MWTQFL_2yK6Zq9mX9njyb-CkSS_BjZz615ZfnND1IqG7hbrV30sVV_UExB4EoAsqp2KTvesV95EnA=w1200|https://lh3.googleusercontent.com/pw/AP1GczNxMEiideyW3Ei8W6B4Koq6cSGsj5ZPLBRqBm1yOcEZvZJl9CsBfXd8_b2epaRE-dLrFMe4jP0mGEn-QyxYhnjaP_uA7CPiVHrKtK435j8EpSHZI48=w1200|https://lh3.googleusercontent.com/pw/AP1GczMpnnOvLccUfrXrJk23a-1Co9UC2bG6RbKaPK2nUkNzi5Uj5fu4scTw0r4NL1IkPfaBgioMezrg6Qefj1p6b83jO28vGlDQ9dNfv0JGdqkUWgEMJEg=w1200|https://lh3.googleusercontent.com/pw/AP1GczOYacDcK6GU0HL2tjAJSSmlr0V1sliavgJaB4NbrnFwLBHTvjHd58XzzcIOOFfDVVYWmhrxg6J7YA1Zh_d4ZB6MiYBF-GTsgSp_VDXirq4kjeHBzp8=w1200|https://lh3.googleusercontent.com/pw/AP1GczMPXJnMbH-CLsL7SuwU69J45537hJFXDneandD10RnAcwGYfQAQKEdxGzxyxIWVyid8dQXy6ypD_THGwu2N9Ul488eUJSq_gHou4ui-dZJNv0-8F2U=w1200|https://lh3.googleusercontent.com/pw/AP1GczMqzwxN9omMOnR8x0WkrPVqEY93p7Z3XlHfQvDhHUEo-GD8uF8zT21-MB8qlyU9VNyvsL-lMK2NaX8GIF8s8ckgFzlTo1TirOekK_wOzwCw_-en534=w1200|https://lh3.googleusercontent.com/pw/AP1GczNliFhYPI6vNdkPMk-FD8kQBc9DtheHfJL1fFb-UEO34mtN6ObKhJeqqVbJpSG1px4FSWPipDVHReRu-8jjkU3FbiGFwrX_OXEx-NqWuAWR8QVKJu8=w1200|https://lh3.googleusercontent.com/pw/AP1GczO0KeggyBM6JFmTGfo-4EIlRNwwyOPE3RrQLZxioKv35H1ZpC3Um0tTiQ2w8x3zL-Hn_gS9Uy1d7zGsCC6FHKYqF5IQcaTD7As13cJQVIXXINILuPE=w1200|https://lh3.googleusercontent.com/pw/AP1GczN2rkIf53_cvS_WXmfg3TfZZfYeKIZs2xJWJXChYsU4nHDVpMt5RNUYx0WgNARjqRE6GaWwnhgmMX2xpn1gywqycsXC_kStCGYVWLIX3UYvzu7hfSs-=w1200</t>
  </si>
  <si>
    <t>522</t>
  </si>
  <si>
    <t>Casa en la Urbanización Mirador de la Victoria - Campoalegre</t>
  </si>
  <si>
    <t>Mirador de la Victoria</t>
  </si>
  <si>
    <t>Campoalegre</t>
  </si>
  <si>
    <t>https://photos.app.goo.gl/ySdUsbd2wtMtgKm2A</t>
  </si>
  <si>
    <t>Esta excelente propiedad destaca por una distribución funcional y moderna, diseñada para el máximo aprovechamiento de cada espacio. Cuenta con una amplia sala-comedor ideal para compartir en familia, una cocina equipada con mesón de concreto enchapado en cerámica y una elegante barra estilo colonial. La zona privada ofrece una generosa alcoba principal (3.48 m x 3.40 m) con baño privado, junto a dos cómodas alcobas auxiliares (3.28 m x 3.00 m) y un baño social impecable. Complementan la vivienda un patio de ropas independiente con excelente ventilación natural mediante claraboyas, parqueadero cubierto propio y finos acabados interiores en estuco, fachada protegida en graniplast de alta durabilidad y una sólida estructura de cubierta en bloquelón con cerchas metálicas totalmente impermeabilizada. OBRA GRIS.</t>
  </si>
  <si>
    <t>Invertir en este inmueble es asegurar confort, seguridad y valorización inmediata en una de las zonas con mayor proyección. Su diseño arquitectónico combina a la perfección la robustez estructural con detalles estéticos listos para habitar, como sus imponentes ventanales y puerta principal en ornamentación negra de formato premium que garantizan iluminación y elegancia. La comodidad de un parqueadero cubierto propio, la óptima instalación eléctrica interna de 110V distribuida en múltiples circuitos independientes y la total claridad legal con planos arquitectónicos y estructurales al día, convierten a esta propiedad en la opción más competitiva y atractiva del mercado actual. Dimensión: 7.0 ML X 12.0 ML.</t>
  </si>
  <si>
    <t>Calle 39 No. 14-16</t>
  </si>
  <si>
    <t>https://lh3.googleusercontent.com/pw/AP1GczPuCN4BA2mBlZbcDIm2aXTi--hPRNygZ3kLfdqxP4yOF_w6oyVZLnv2SxUPuFmf9XciqmAtEZC3nOXB0i_Ev9SVaMk87zs-7qlrbV0avNJ9yD4eSYgz=w1200|https://lh3.googleusercontent.com/pw/AP1GczMbu0cRoIZrtObruolassvVx_qARXZMrX22ZmAiW0NWFwFsmUPrRQkj7AU9rK6N2gjVILUFChNVab6WzsL9IRCeS7b2MDKoHSg6Y8uD15pFuL4mFhqS=w1200|https://lh3.googleusercontent.com/pw/AP1GczNLqdQp_lNBlgiDzjV73DQdChQIusb2wuXpjjaLdQdckGfLCHMaMePu1PZZSr8zu1CiXdGsVLyqD8QCwHd1gMvc1iqM30pJBFl6sHpJvkz_ZzC5VmyS=w1200|https://lh3.googleusercontent.com/pw/AP1GczNBFehjaS1uxRZI9l9axP221ldpBO6LAk0Oy2tU1RhWXUt3LWJYVsdyXqLJOhBGkjEBtUlVj-i-6eGBuX_RvRudg0C3qtn9vlLWDDlMwTFjEhopQPqj=w1200|https://lh3.googleusercontent.com/pw/AP1GczMjetDdiiFwG9HFFelD2MQKVxy39xFKMtwqSV13DPczUHJZqPsJODS9l9IT2IhTPPhwPYbgdL09SVrrNtyLKp7ZRongCnUfRnXoSocNyMLaTtodFjRt=w1200|https://lh3.googleusercontent.com/pw/AP1GczPwseSraeJ-gsmCDclVUQzpcTJK_mvyvpu6zQks5N38F6tWstaK5EgWU8AT2amemdMhHsumNXFt_prDzleWPJOClpQATQHtF4IaRso1ZZjbZe2zSqg1=w1200|https://lh3.googleusercontent.com/pw/AP1GczOlLvaPkWasGWNleUY0bfJjTqEAfvmWlnsxLxxj2EJnbmCtBA1Avvv3zC2bgdYdM_fpuwyCHmic_xVJRa644pPI69hRytJWWm6WBEDx5nFrfOCEUE8P=w1200|https://lh3.googleusercontent.com/pw/AP1GczNP78QKHF7MqJPMFrfiuvUrZO3QnkHIdppHV7mSe20dPK4Rz-l2kWPKZQHnZziH1V98Vio1jLyuzrMGa03iA_DbtMEwBgaC6h2kDp6O1xPazQNV-IrX=w1200</t>
  </si>
  <si>
    <t>788</t>
  </si>
  <si>
    <t>Lote en conjunto Condominio Campestre Campo Berdez-Vía Juncal</t>
  </si>
  <si>
    <t>Condominio Campestre Campo Berdez</t>
  </si>
  <si>
    <t>https://photos.app.goo.gl/CzXXn36mVpKn7ut49</t>
  </si>
  <si>
    <t>Zona comun : Porteria, iglesia , salón comunal, canchas, parque infantil,  caballeriza, piscina</t>
  </si>
  <si>
    <t>Lote campestre urbanizado conjunto campo berdez a 500mts  del cruce de Palermo el juncal - corredor vial jucal betania</t>
  </si>
  <si>
    <t>ANA MARIA FLORIAN SANCHEZ</t>
  </si>
  <si>
    <t>Cruce Palermo el Juncal</t>
  </si>
  <si>
    <t>19 - PRUEBA v, 9 - ALBEIRO TOVAR, 24 - FERNEY PIÑEROS Y LEIDY</t>
  </si>
  <si>
    <t>https://lh3.googleusercontent.com/pw/AP1GczOcsQC4o2ftVxYQ2AZHzRuwO_smjtc79E3Q-qhh9MbHkA3vA-Q1lQfserRUMSehHQUDLMM9mjez-kJ8DHu8-eJkP7poZUlm-wd42z5tjnjJxqkc5v6v=w1200|https://lh3.googleusercontent.com/pw/AP1GczPhtMSpuTIhQ5pfV4UgEP4Hd88TN3M6BQm314JQauGd-_cBmLvv0Pn4jTASrkwdj83zTLCpFv3JZukX2tUCwBCrlqUBmgY0LqfDde26Rku9fJ7V2fBM=w1200|https://lh3.googleusercontent.com/pw/AP1GczNgHI68-ZE6ulrM8VyZ3jd1QXr6_vuvMsTkOHG5hDAg8eZ4IHIwexXEuonblPRsMwzELE35e0c2GYFYenGb1CwJ7oqAeL4AL_3QmPHEHkoH0VofqcCg=w1200|https://lh3.googleusercontent.com/pw/AP1GczMxuhh9QHIPiIFrBxHqg8E0POxuzAPLXFUbaq_uGHp8YnZU4aeqtp2LS437VDznlXA5RP_q0j3VfBl2gakVJEqwEDMkCoWeURjLN65_wFIoBH2qiKqY=w1200|https://lh3.googleusercontent.com/pw/AP1GczNshjeGx2e796JNhcvpN09jIoQI-CBmdfqRP1JVm7UOtmW_xW5ot6FL-egNavp3V6z5-Dn_cEcs7NHubVkLk17oMIu-dccmrog-IFVmsEQpdnmJ6WNE=w1200|https://lh3.googleusercontent.com/pw/AP1GczPorKTtOIphg_Jc-U7bVUzq9GRkLXLumfh_VBmXoXS9V36VvXs7TgRkSdeOvRkZEHbrTzy5Y5YwzrebB2mdz7eCUZel21GxD1IEkYbDQRWD0C--z9D9=w1200|https://lh3.googleusercontent.com/pw/AP1GczOxW2sMJ-jglhYN5TnJT73vRmzp-_p5hs3gEth3gtpSalPCJq7VGpRbE0Nev_8g24EyTXZsgImpRSB_ZA3wnVXnGhuS_O-Q0DM5T4ltlxTDWHXjzfE2=w1200|https://lh3.googleusercontent.com/pw/AP1GczN1v5omWQh0K5isc5-EQdB0M41ObmyrgBZATOWNvdGjNRHxXbpeh1KefXGbh9oM41mBFBnj2cmbEU9C5Yx0aJcr0S4gbpR94D95uH55zWhzHiSM8FQv=w1200|https://lh3.googleusercontent.com/pw/AP1GczOt0yulOJ9yyorNBdo6R4vffdLwwYxbVDqx1BeB6iLKeiRBIRbmMDT19tk2ADHZpnIOMqOJLsUpYAFcSgYU4u_JzugDP8ZJM6nNrGPrg_C3Wavl_bRw=w1200</t>
  </si>
  <si>
    <t>574</t>
  </si>
  <si>
    <t>Casa en barrio La paz - Sur-Or</t>
  </si>
  <si>
    <t>La paz</t>
  </si>
  <si>
    <t>Vehicular</t>
  </si>
  <si>
    <t>https://photos.app.goo.gl/ELzNVeSarC7Dikh37</t>
  </si>
  <si>
    <t>Espacios amplios y acabados completos. La distribución interior cuenta con un garaje espacioso, sala, comedor, cocina básica revestida en baldosín con mesón de concreto lavable y lavaplatos en acero inoxidable, área de servicios, 5 habitaciones con puertas en madera y 2 baños. Sus acabados integran pisos en cerámica y baldosa, cielo raso en PVC con lámparas LED empotradas, divisiones de baño en acrílico, carpintería mixta en aluminio y madera, y cubierta de eternit en la zona del patio. Como plus de seguridad, la propiedad incluye un sistema instalado de 3 cámaras de vigilancia.</t>
  </si>
  <si>
    <t>Oportunidad de inversión en el suroriental de Neiva. Se vende funcional casa de dos pisos (Código 574) ubicada en el barrio La Paz, construida sobre un terreno medianero de 6.0 m por 12.0 m (72.0 m² de lote y 110.0 m² construidos) en estrato 1. La vivienda se destaca por su reja exterior en metálica, antejardín amplio y su excelente cercanía al CAI y las escuelas Floresmiro Azuero y Claretianos. Además, incluye red de alcantarillado en PVC de 6 pulgadas, una habitación en el primer nivel y un espacio con gran potencial para proyectar un local comercial.</t>
  </si>
  <si>
    <t>JAIME PULIDO QUINTERO</t>
  </si>
  <si>
    <t>CALLE 19 No. 35-24</t>
  </si>
  <si>
    <t>https://lh3.googleusercontent.com/pw/AP1GczPIaK5I-5PL8oH8AilxMns4HvukdQhbQ-fsjtA3g2w_kLRryt_JJBe66b0aoXXzSB8LgQujU6khwDWonVKpvCj1RRRvuCSxtPuAuMLfB7eEEw-OPTJZ=w1200|https://lh3.googleusercontent.com/pw/AP1GczPOavLoRhFGgVeQK3tqhbZrMNhV7kNmevK20bvnc_evt0-OU1ImuHieWmsurFPiHxpQhH4WQlQoaV0Kd3wPCBi2L9L7N1PeMteI1IqjwpCb6_tt1LVQ=w1200|https://lh3.googleusercontent.com/pw/AP1GczOpRAqqYn-93BTi-oNeUsGmgYftcGJrbXOYghWeiYqh8GdAnf6YrH7zZ0wfx-tnATomRLAiZGiOFkvoefyMOCZ0IRjahlROKdI1mF0VtDYyC_8Gm-uF=w1200|https://lh3.googleusercontent.com/pw/AP1GczNh3d3L9mnvkvL-OB3dA1jEoO7JaFN-e17Ts2cydtK35nprJ0kLl2aMZpn3SdoYkC97LYQjYigMQja8Wg8Z95oBikear3i9qdoMRBaGy55_4gOfg86J=w1200|https://lh3.googleusercontent.com/pw/AP1GczP08eekbXFRrf6GhlN7L2evPMSEosaUfDCeoxhj_UQ7D6KYUDpY60G4qpyUzPcsAhlAAyLGtDftcdF3MzlaOV1c3bUliEeDQCbDom6EzM3Mdl7_c3lf=w1200|https://lh3.googleusercontent.com/pw/AP1GczOWMxBDEbr8AwUtLIDeFjl4I5rNPSxT8l9RFjbtXhR6YVGqHMS-gR7c0lToSi6BHXve5SCyw8qiX7hQFW7XdwLHUILINIaKQSvZ-kxK-KOkMCPsw8P5=w1200|https://lh3.googleusercontent.com/pw/AP1GczPM9cHkvpBWASj6saKGu5c_QtQ_GyfjyUTXj_LgxQ8v1gBCQcimpT0SPDw-mObtMocUJAUyyFmU8wfsFqgdrR5U6oEUVyk8tHllCdFoaN0Kya2tJFEF=w1200|https://lh3.googleusercontent.com/pw/AP1GczPgxf1luqgYmCFc9YwQweUZct2o0JaMD-LTc-3mQapMvJnyQ3Fudeu8lBltcZmz-6Gabq0hpWWmRkhyd5UmW6-oORomMdaGCDkncPb9Kk_cAYkY4Afo=w1200|https://lh3.googleusercontent.com/pw/AP1GczNvAPiYIAfcQ5m9_Qa29cYy8O76usJyB70UDz_M_kY9bcH81jlwlJc4_DZ6_0jjw3Q0ylAJlpFnltYBcYXHDLMGG9dL97Kl5RFpcoWWBBiVJg1s8a8P=w1200|https://lh3.googleusercontent.com/pw/AP1GczNffA2Wg50F3gRBWZb4py8uKyC4qc5QytTCrAJdVJYuTFz6Us18IaMygp0q07J3_o97_dQRGdXLqdoiIG-spQu6-nCaTRyjMEh27DWTaMGnj3eKfqv7=w1200|https://lh3.googleusercontent.com/pw/AP1GczOgxClIA-VY1nyjAXICbGEfHdnRh_zcugW2vRkUK7fQ4LCcbwnGy-oEzXyTiZ8GdT9fI_NXL54BqQ1cFvV3DdfcQ4eqEjIgNOkPTjCB67wro9cbF-Jw=w1200|https://lh3.googleusercontent.com/pw/AP1GczOVPK7R2NH4R4c87ovswZHQOqZZQFFcvjhQ5LEOcCUTlIu7FlHwp9FwMdTfp1OHCGFNfCWxbAytfoQeZJyUhXRWf7cp1qyTuw9e6yxIsnVeSM1Bi_dk=w1200|https://lh3.googleusercontent.com/pw/AP1GczMu5rETh08ej-JvFlgKUDjq2VxI9Cf6Kkpz_ujx1f-z2AjWablFf-Ael4Zbqd6MC-FlXnp_IzoBc0qE307y_U2hdsjt1ruFAuMJW0_VgY3pTf4nmxu8=w1200|https://lh3.googleusercontent.com/pw/AP1GczN3GOPOFXFTH8JdpzzOgewxjGwmxppvThX3SG5Sr-KvMmwONA5VFqiUY8ElXQpEVVgNpw9ole67tRflu9BMqMrPaDxttu7TaWQlMew9jm5Nhl8WrW9a=w1200|https://lh3.googleusercontent.com/pw/AP1GczPaC-2QizvGZIE5dAIN9o-9Hu5fyHCBgOhOI0kxuQ66ZoqaemUod-_tki6ZWPfsVkJ7vTgC9tv4YIZHDQ8xyIt3tCmHP-AbLGjWeRUJy40gQjv7_M8H=w1200|https://lh3.googleusercontent.com/pw/AP1GczPFH2_OzA4m4SCuoxGw8oVWLnq0CaykXaQbpJqmhQf_P4tHQbctPRZ6waeau9vW8KFy8y2nItNNL0rchG_AVq-fh0mNRuy8Pb-TUbODkIMxof63aObL=w1200|https://lh3.googleusercontent.com/pw/AP1GczMc802WeXZ03cTOUUbKcDDaou6dSbqtFBbnpL8eRavyINcG791Ks7WWioEENoMGkktkmKHYVnFiHDCDWycWY1C0Yz_yhgM3mXg2N__TJXTjbflD-Kh2=w1200|https://lh3.googleusercontent.com/pw/AP1GczMQ-TTfoR95ivamclWdZYLRw3JOYaICFKEKlNOCKUQyAou_XE1u4MBGW_NllscK1oobYDw2EuelPxKxURhp7MStLHh21ezy5gZE9I7dI4vySU2WRaup=w1200|https://lh3.googleusercontent.com/pw/AP1GczNBKBs9-rBnVzZTkC8t6Tf58ktQXoS0pRfwweZmcSB8UUq0d8Cg17Bkol3DiQV1FoG9cMNiWl4yKX3PK5PtsPQ1KWQTYI2lXjLKqiiXngrV0WKnENLC=w1200|https://lh3.googleusercontent.com/pw/AP1GczMUVFKuJIbh34Li2mfBzoKDPqHN87y6TrUeRGOtQihD4_sDnZjWiZ31HQP6-rRR1MrsOrD3aCD5A4c8TGAUDzlwOTvj2uJOBO_vfzs29gZi4AplVWkx=w1200|https://lh3.googleusercontent.com/pw/AP1GczPd63Zw2Z49FeOjxKpkmLGaguRcA0dcNLg7cV66Np69Eun_Kj_2xPBS5W4KkLSYNsvRPbncFI5_5aw9Tgn4_sM5yjzBHqXYG6bXCy1QQrZalZlEPO9g=w1200|https://lh3.googleusercontent.com/pw/AP1GczMoVm8zkst2LlyJmoh4nu1IyguSMHnsJ3AYWYfLqzyOI7rYWlqmup0ESUAaUUYPegZCqkXCMTOIM8_LaurEVKDtzurf36cUHpKRZdRufgD9RpJ0Mmrf=w1200|https://lh3.googleusercontent.com/pw/AP1GczMJFiYee4wqQHAT3T3GSiVVEXAK5by42kxl7fCaj7zF4bupUSW8kuIMFTdQtAO9btUAbu7ILPatkXzH3UdU-vmS_88FQSEam1-IXOsyBjcHJdhr-iCL=w1200|https://lh3.googleusercontent.com/pw/AP1GczM31y_L1HMXMoNmH9Dc8kD8esfLx9lgR8TESJVI3o0OVOEiyEfBO5S8fT3f4c2vItQwS0FVZ2ov-8wizhDD79woFT8RL3bMTS2D05DAqZKIPNVYyzvc=w1200|https://lh3.googleusercontent.com/pw/AP1GczOjw8S7Mws_RBv9dvu6N2Z6EsOh7wJANWUztANZIcUUzUTCmmFo0Hl8sovjRKvpXGO3mWmP_5ZBEutkxrl8-RddwRfwPzw1MkiHboYGLDjhMUMGvmp6=w1200|https://lh3.googleusercontent.com/pw/AP1GczOcNDRT3uvexXPD6jh7oosOxkbZwkwnxJZfZ0PKwkvna2glGDXncW2L9mxqyNf65vl4K5A1FA6L_y0Tvy-98F6MwanE-w1R6p7D0T9v1nanOP_XDN1G=w1200|https://lh3.googleusercontent.com/pw/AP1GczPEL13ZHZgWC8AKQ2WhT7K607D8eZdq07T4G-966Qx1ArcuM5y9BiPypUJ6zgf069kb97ROExv3QMfBPPVi2YmRwONV2bN3mMHd2N9ZHErZ1Bo7Yyh6=w1200|https://lh3.googleusercontent.com/pw/AP1GczPJtYgsDneAD4B98fm0FrVqSLV70ue8IErAHg4yHWAeCNC_4U2br8ATcaPRSib8yhfw9F9dqigfHBfaH25gSE1ZbXQ2ifZHRjeSCVe0Rjcot8Ew4dUD=w1200|https://lh3.googleusercontent.com/pw/AP1GczOhju8fz5rcIstMT2AAPgaNxF-pyJ_mp6oKaxPx_y5FIWyMCP9rjK6vd4p9E2o6l_0MlHxkr4LQIPlbbR7QjolbHTznPezWJ0pXN8bndjRPBe_WdYlq=w1200|https://lh3.googleusercontent.com/pw/AP1GczOMabOHuLQ1eTnh0CjYVNtVj61EMaX44nTcNkgT6n_Aao2MDqdEZm0K5CXVV7gm_U-UUw2PtP1iqKINgFLtY76veMCEqegbbddSaGYOeg8UVCMj6C2Y=w1200|https://lh3.googleusercontent.com/pw/AP1GczP1gOW7CvUxtI0_3N6ITwu5i6m5BXkhGC3CEE_2xjPMWODdOS2hFn5JejJK7YYHiRR2-rURbyHOr4XMdGcRb12m2rR4SZoj8ZYIg5BEaHmQ8RZ6lSrH=w1200|https://lh3.googleusercontent.com/pw/AP1GczN-1tsyS34fTjo91ZldJ8SaIE4zNgH115wg4_aMtKVOtwLUlc3UNA_5lVd1Y15PHW-_yD9wNEtASziJlPMgAPAtRM_56j090WyV0A3-p4Yofi7apEn5=w1200|https://lh3.googleusercontent.com/pw/AP1GczPpk2_l13r84LMCR1AbBpI_5lBIA0-CXW7Iqi8IweS5wJSIbKqePD841aF3Oa-M0LmwfRjzrmDt_SyOcXHy_mzH7AaI_yVWLa1A3hRkbxhROg-J2Ctx=w1200|https://lh3.googleusercontent.com/pw/AP1GczMMYtb3oV6mJeLxPCPBXyPwVe9eW3Cl2aRetrhcQMhCxw1Emq5ozSxDkIsDn9jNJKpapk8330-W2fwdSgJCd-WRox-KLQDUjxvBgue7VAyzo_NHOnXc=w1200</t>
  </si>
  <si>
    <t>352</t>
  </si>
  <si>
    <t>Edificio rentable con 31 habitaciones y local  en barrio Las Granjas</t>
  </si>
  <si>
    <t>https://photos.app.goo.gl/5uKvQGabQK1sdntd7</t>
  </si>
  <si>
    <t>Cuentas con buenos acabados. De las 31 habitaciones, 4 cuentan con cocina integral.Pisos en cerámica, carpinteria en aluminio, metálica y madera.</t>
  </si>
  <si>
    <t>Ubicado cerca al Aeropuerto, San Juan y San Pedro plaza. Cuenta con salón de eventos para 40 personas, bar, restaurante, area de lavanderia y terraza.</t>
  </si>
  <si>
    <t>HERIBERTO TRUJILLO - AGUA LA CASCADA</t>
  </si>
  <si>
    <t>CARRERA 6  ENTRE CL 28 Y 29</t>
  </si>
  <si>
    <t>https://lh3.googleusercontent.com/pw/AP1GczNCBgGgi2RRZ-VYQdQoSnpdxdZJLLFOCUuQmyx0_ZiQEMSIz_xJdw66tQeyAPKtMldKCFJcG7HIiHNmKrLUiISE4G7acnRguubn76pUGyE5TOrY4nCl=w1200|https://lh3.googleusercontent.com/pw/AP1GczOomR98QadHel2FpNtatI9oNvergqeCfdwv1XK7bvn2Fh0JThx6lW2lC2uOAhfGmSeJpjdwIpGXxNDYSu-5_ygjGjS1z0Au4D9mNkF2kKGZjPAdUSCP=w1200|https://lh3.googleusercontent.com/pw/AP1GczP1udhUsSZH6pt491K7ZNtmW6-o6ymy2LRPQQlayIjyzrjo_z6IENAmxbJPQ2_yy6AxehAI1toCz_vXBpGaFxs3x92O3ZNHqrUXkvx2ZxznywM2pS5D=w1200|https://lh3.googleusercontent.com/pw/AP1GczP2AWUP3EQlePPP6aOkRKfexkHw1W1A26h21Pd-D3MhrXI5zY8J1jylZPTOe8PBsiXV7baoft86_6ah6kZ9DmPIkD_M2oxHwcVBxsHMZD2Vs8en4eGR=w1200</t>
  </si>
  <si>
    <t>800</t>
  </si>
  <si>
    <t>Finca ganadera en El Agrado - Huila</t>
  </si>
  <si>
    <t>5.386.568</t>
  </si>
  <si>
    <t>Agrado</t>
  </si>
  <si>
    <t>https://photos.app.goo.gl/sU8yUpy657T5Uuat7</t>
  </si>
  <si>
    <t xml:space="preserve">AGUA: Cuenta con 2 aljibes. TOPOGRAFIA: 180 has, planas. CORRALES: En madera y cemento. </t>
  </si>
  <si>
    <t>Distancia: A1 klm la represa el Quimbo. A 5 minutos Vía principal.</t>
  </si>
  <si>
    <t>lLIDA CUELLAR- TIA ELVIRA</t>
  </si>
  <si>
    <t>https://lh3.googleusercontent.com/pw/AP1GczN0VYaNk_D90gy-DhFXTuKxTdseSzKxBMEnx_uD4XnXc5P-h9TSeiMs5RQvwHbnKxXpdhEQimorX7nS4Sf4mhMXAIyKh9cgb4E2SENhryvvU-C3EQNo=w1200|https://lh3.googleusercontent.com/pw/AP1GczOnN4fQ0wH7TlNlwutPtvN-HqwUlYoKqaRyErxO5Z3dxwMHKibjrMD4ReZuMXLLtKt1RMK3SeI-V7wRUHlyzqHshKLaw1_kO9uYWLXzTON-78wUjq7P=w1200|https://lh3.googleusercontent.com/pw/AP1GczPA83BqPYBftY6fxyE3cYLXLerEaweXHJVzLXc2c2KmHKMsMIDPisXku1e25vLg_Wy5ZtutlGCFO-Yf_uK3EyBRl0PXIoyNTZPjYXgCooa8J-gsayOj=w1200|https://lh3.googleusercontent.com/pw/AP1GczMni7d_bWmzoRkP64M5iwTnxBMNHgfcPM0u2UNmf29rZU6xbeHTUAl7pGhvvcxJWu9CNlk_OIokeZ_VPPFvIoVuk991oVFjrF1cvRnjyewrIoiWb0uc=w1200|https://lh3.googleusercontent.com/pw/AP1GczNWV1UopjjPh5F_o0mkJFZytvrMaWz7Ig5O0BH1EP1NXGlFJ4y32bZSZUJhbbQcXAMGBc-lVGdVopJPuXw1Mht4mnrK8kB7NYubehfos97VgTf_rxSM=w1200|https://lh3.googleusercontent.com/pw/AP1GczPT_O0_oPdxp_05Gc_2K0RWsnPErFY8sqLLs31tY9FOiL-uBlC8tKnZfY0hhs6PKYShBwWKaAKJhj4JtgPpw352Il4NOi__aWiTSbGo7YIVsTZT6D2O=w1200|https://lh3.googleusercontent.com/pw/AP1GczOK945ItdHOrmyctrByllmOmvfChlmN6k3_9wXR3GxZy39IIN6B0YeeENyKq2Wk1UMt25YSVflTpFIqTV-DpPo-s0VcLqgNCvsb7OI86Sw_6BhKQVXT=w1200|https://lh3.googleusercontent.com/pw/AP1GczN2Qr_tw-lcuCD94tEgvG0gli0STY_KVh0gH9RM8SXq7Mj8i5bl_uYeCOcJ9SGvZhF2f6zTqR4RbBpBuB_VLK8EsqkKZFPyUe0us0o5z5S1mopl7Wf5=w1200|https://lh3.googleusercontent.com/pw/AP1GczPR2tKhLTR_dK0iZ28BEMImvUH9KcBBCzWw2UVngKfsyZl_T-3ekxi2Fq3aPI2wU5Brcw5zOz7U_IkyjJy0_CeOIb8XH4J9GsIGZJ2Cg0SeW1i3lCop=w1200|https://lh3.googleusercontent.com/pw/AP1GczOM9pBygUxwNBl0RbKaxsL7bdJPhzU7V4oMebAApYg8_UsAiUNezm4WKB8OWgsL2oBDI3NHJrQGF83a2PaYOdGMA17PbCQYiBYT9G3zJLxYfsY6cCLJ=w1200|https://lh3.googleusercontent.com/pw/AP1GczOszV4hQxgu7n6hrPGWfP-g4pgggQp4gNRKaK7vmzAaAD9WuPodMEl9Ng-hnLVeshs5sYbbYp2i2uU7l5TSXtsDkRqMo2jKgXk26eiipVNZavqCSPfB=w1200|https://lh3.googleusercontent.com/pw/AP1GczNlm2U0-wKTFl9qFdwuY0twNkhB1yubRw_CKecasZbS1xdSepV4L4tGuPP5QLvo9klZZYwL8swGvFc4CL3iAQvXBB-Isoa_QlxrnUDsY4lYhNnGxHHO=w1200|https://lh3.googleusercontent.com/pw/AP1GczMpWQrfAMNc2CHL0ctlix8z-z7AZXo0I_JgurlIPJtcArAwwPA5_qSata73xeDzdFa2YgbD6ppfo4QcFXIEBBzgJtsVVwI0O-HTUo34DNmO2QoLqr2F=w1200|https://lh3.googleusercontent.com/pw/AP1GczPMTEeTsTJx2vRjk8bfw0WWB8LlK-ftX9r3boaSNHpQEYsF2AM0JJ2qERlD0Ip3L3zCyZkU3KTa0ljA8BrOacc5jkIDgmmx02eb8OU_OoGGv1d0d-PJ=w1200|https://lh3.googleusercontent.com/pw/AP1GczPncC4yt7hen9iQ5uQxdohuyuNMiwXtC4DKaXjNkwJP6mZFg5dNIhlvEKNRXibpx7NJpY8xf_a-9wc6ITE_tNaD-4pF_f3WJVQ3NsbIUh6196tgYIrc=w1200|https://lh3.googleusercontent.com/pw/AP1GczOroOPb2ort-sE-NZJA2dwhlt9MApEcm9f4V5bWJezzgj5fIOQzELubXdlHAQURNcf49QiKTAVUl1HxXdwJxpgMAWtw0hiaHYVT0tfunG9iqVx2mTnS=w1200|https://lh3.googleusercontent.com/pw/AP1GczO4XPs3t6RvCeUkjPpdb1y6st84jGLy1682mnqBity4gt2gqae8BCcrP6vTrhGOB6JOLjjum5ZiEfWNmG2OZ_CmKigo8hJvdLr0kwve91eINfv1Vs0n=w1200|https://lh3.googleusercontent.com/pw/AP1GczPo1uTcOSOsyIQw0K231ehxoULp04Mmo_2TidRCvwuLCV3EtIes_SKo8s_M1N4Cl4ucXRl0OewfkrHBVyqL5nBogO3A_qXdRXqv2poNy18FH5YXwUpQ=w1200|https://lh3.googleusercontent.com/pw/AP1GczMVviBU6UQ42cH6rEEityvh7rJoWoNRTmPFJQ5fzXP8VKOhd3peTGCHAqaGEJmIAFJuadX5IwsipR2tprRlV7_ygFdKjiUXyIzxskJjr3Fnljtlu5Mo=w1200|https://lh3.googleusercontent.com/pw/AP1GczOXP_iPg2XCpW7HB4I2A_DZ7hhN1bwGKkvQy3aQQL_V_GaqG9NWrhlHDwPRH-UPmqi3PhjBmqtQfNd5hJtIGEzZrfS6IPwx-xVHV6r8kgngl2aLH7am=w1200|https://lh3.googleusercontent.com/pw/AP1GczOe6uxouMbHTsGUeLKSJc_uzYhCXhFw3LksGRUmaZ7Yq5YEYeHyalsD28DCSi_nkpP8nmHy6lKX4GIlLZWoS2_KRy8UJoLbu2b-5oD8P5A7qaYcBJZe=w1200|https://lh3.googleusercontent.com/pw/AP1GczOPwrZhvjTxQttWu-nLhHaRUNMB_XdRFYI40thsKchPwrzK5TMsZvwVrdPUi2CbuoBQQe7cnAOR906WFGPeEybtd2YKlclmyJPbyePUU2uv0Rt0IStG=w1200|https://lh3.googleusercontent.com/pw/AP1GczOH_G5nVJ1fp7kOMV7zzVl64gFiL9Tyfrf2dqBJu0P8t5hvKHRTAc70gJsjk1RZ90KhRkVQyHiFfdaMnfJ7qwEMkbU3Sw6F8ushlJ09XBLk3J8p1mOY=w1200|https://lh3.googleusercontent.com/pw/AP1GczN76Ps0QXd0ZXJrhVXtKhAymPXu5obgW5V6mp6oby4exujRDedYI-gUxy4-0K1FwwyDwj3S18k4MRhQN653VP-VpipUbdIUFnuBrsbj75BSbauxXzTQ=w1200|https://lh3.googleusercontent.com/pw/AP1GczPNq9lDT9cL5FlnCTS8o9Q6f9kMJKvGYK2B6tO4qZ0VQ0EpIIIdwjYxW-4ODgn1Yh1UcYyW3loLKIQTDN3f4K8QAkzUNULv-9oridePjBv0E08atRYa=w1200|https://lh3.googleusercontent.com/pw/AP1GczNrYEay-7EuzeVsnLy0bNj2RwLUBm4cvev1uu8suxfp_RT5SwWgiwERhpPFfPlpargAtWgwxWOLKGZS_M0ylG6WHw22Rx8Ns07ht-l8efKQa9KXWdaC=w1200|https://lh3.googleusercontent.com/pw/AP1GczPqS83KwigXDFBZDVesFbICt4tLJ_OGO3_dPi6fq0GjQGq_DiE806iG1UQ14BIF1Gx-nVAxRas_OkyzaG4LjRvyWamLRRP-GR5tmrekmzPjj690zsGe=w1200|https://lh3.googleusercontent.com/pw/AP1GczMAnc4CE66gPCIvG5fU9ujmr_6gn9-dUpXTcq5BNIj-2KjwxTadeiXuNAF7D4n5L3-3zQD2oRaLSPkK5TyNS5w0HAHSZ_b01y36TLgT2FNdSZXgyGor=w1200</t>
  </si>
  <si>
    <t>571</t>
  </si>
  <si>
    <t>Lote urbano  - mayor extensión - Norte</t>
  </si>
  <si>
    <t>Esquinero</t>
  </si>
  <si>
    <t>https://photos.app.goo.gl/mraBH3mGL4N5yz4Z7</t>
  </si>
  <si>
    <t>Excelente oportunidad de inversión en el norte de Neiva con este lote esquinero urbanizable de 5.572,13 m², ubicado en la Calle 46 No. 24-20, colindando con el barrio Los Cipreses y frente al Conjunto Residencial San Pablo. El terreno cuenta con una topografía regular y medidas perimetrales de 120,36 ml al norte, 107,85 ml al sur, 49,00 ml al oriente y 50,27 ml al occidente, ofreciendo un amplio frente sobre la vía principal y un uso de suelo mixto (residencial y comercial) plenamente apto y consolidado para proyectos en altura, torres de apartamentos o desarrollos mixtos.</t>
  </si>
  <si>
    <t>La propiedad tiene un valor de $3.500 millones de pesos ($628.140 por m²), con escrituras e impuestos al día, libre de gravámenes y lista para trámite de licencias o escrituración inmediata. Su localización estratégica dentro de una zona residencial de alta valorización y rodeada de conjuntos consolidados (San Pablo, Villa Nubia y San Valentín) garantiza rentabilidad y rápida absorción comercial; venta directa de contado, sin permuta.</t>
  </si>
  <si>
    <t>Alberto - Manizales</t>
  </si>
  <si>
    <t>https://lh3.googleusercontent.com/pw/AP1GczP2KXjUHfnCFf5cn_Y1Ycm9AhxXpLJWIkTRA_ekM_Gkg8wr2yx6O0Fyc3nfYtFkt8Psl6PZ_1K3hBySrOy5Si2KUBU-tHs1hbt8zRvtTzCai7Aj0xac=w1200|https://lh3.googleusercontent.com/pw/AP1GczPPArxDRv25gGwZ5uP8H77avvNS4USgRPywXyOl19bce6C5xFaF3gVpPWCSdpogRJ4IkV7tU8s0hQrnXGhhBG13nJ5-6V1vv5JNjchCEP1B0-Kzi6EQ=w1200|https://lh3.googleusercontent.com/pw/AP1GczNwsSxdovRTSB_QdHToB27v-_UBobXzgYggmg-ljzsRDNKRfm3j9gyWz9GPhHfGkYSz-KO9RyXpo9hOo4YsutowriqZwrwDNLxoJg8WbRhDLent2E6S=w1200</t>
  </si>
  <si>
    <t>291</t>
  </si>
  <si>
    <t>Edificio rentable - Hotel Center</t>
  </si>
  <si>
    <t>https://photos.app.goo.gl/owGzaGHSr5R6KcJu6</t>
  </si>
  <si>
    <t>Hotel de paso para remodelar. Bien ubicado, plaza San Pedro. Cuenta con 30 habitaciones y 3 locales. Dimensión del lote 18.00 ml x 28.00 ml. Escritura al día. Permuta si, por inmueble rentable en Neiva y efectivo.</t>
  </si>
  <si>
    <t>HECTOR BONILLA PROP.</t>
  </si>
  <si>
    <t>CARRERA 3 No. 4-49</t>
  </si>
  <si>
    <t>https://lh3.googleusercontent.com/pw/AP1GczMuJ9KGtSomrE4Qa3ysh1pjtFuvOtVxnUl3bvi3Jq2oW8k_AIw_PcUaDHIPmTXjUWJCWpBH8v9frnGONfGg_hyDVGKp1233oFZtA8_4t6jy--xXaD_g=w1200|https://lh3.googleusercontent.com/pw/AP1GczP5jH1nZVZNBEm4se4CKyzXbbJf5jsbwYLGi1UrpWeyyhLrnJvByXDWEfEpYu7m38TtxyxBx-ccsDyWo7xaW4uRCSD5MUfazDbV442kz4hwgnEEibAs=w1200|https://lh3.googleusercontent.com/pw/AP1GczO6t8ObMYU3K19Fr4q082tJkYusJZ6mUGQ-q08BwmqCJgfj62MUTif3nEnQOQvoapOepmqF1p5_4yJ83vbrl3xef24YXEkQyajOC2zDyOBz4jMqGxzQ=w1200|https://lh3.googleusercontent.com/pw/AP1GczOQ_SfrRKegaBc7kfppUPHfLOMu0kuAEeWEDPiCcFoeQa-Yy5ENO2zMpjCgTplLFX1jTjAcH7rQf5glhbZXkpCHBtlY-wxwdW0giDkGgbEpfq3UqdFv=w1200|https://lh3.googleusercontent.com/pw/AP1GczOGCGxblW7HjRo3XFJYnt7wz3B_xY-7-6G71tqzPCGrMNOFZecHkrK319nDb0ZQT1qoFhWajXfL1C0OVNFlrDhP_CKImkIKVSy9AGUjd-eEcH4PVjSe=w1200|https://lh3.googleusercontent.com/pw/AP1GczPmOZpsITtsIlOlNfmks47Itgyc3Px348Bp6qZ8eutt-hkcFMFBljnJCiTWOecge4IIW-nO-s04gzDAo_M95D2L83ycFYh4gSvXFbTYbtxUxSsEVF0o=w1200|https://lh3.googleusercontent.com/pw/AP1GczN036l5HipFItPJJMu3igc8UuI0NpsFDe_vcUbM3S6uG_voskFRVTANFAOfyvSG_UNxiRU3VuDABe9p0e_EvV-uXCoXqL9PS8TV-TsiCyOX8o9B_6FX=w1200|https://lh3.googleusercontent.com/pw/AP1GczP1QqvAuN0FKk5On1E4S1xmCH-PPRQjtRKAXzp1sQJRHNWKtOrVk6-ARncU3mgvgxK6pUqZLz_Vvt3G6sPNGnYS_lkZ69rOollBDjeOUDnrnJoICZ1A=w1200|https://lh3.googleusercontent.com/pw/AP1GczOAthPeRH3vHqjQ2EAVRm6GhugmkFIr822PCoje_OjshhzbI99jKRpbL2xkTVEj5XMUJ6i3HSDV4Cj_XPyZYi1RbkXaGLXqMV1_diJLHfdUUwQjoOFg=w1200|https://lh3.googleusercontent.com/pw/AP1GczOQbLBvYgRCAu9mYIE8vP8M-EUABPYcAOJ_9hDG93_f1oR6DC9riplk8ztxDMB23z5f8oXuLJ9aGNiMFEwb_wGU0l-R3kQ7k8B69kprpzgxTVQaAxYp=w1200|https://lh3.googleusercontent.com/pw/AP1GczNkozxlxbzbJHGuvJhw5U2cGqja9-TZSg0SgJqY9zc5Q1i8cvqi3DwJNuRgPRvn-YXTAdmFHRY_JPdjtu1SpI-ly05VMXx8qfsxaWiDYS3uz4cBD-K3=w1200|https://lh3.googleusercontent.com/pw/AP1GczOoTX49eiKJ3bDwOGFHvopou3ysoYy2fMYkhhf5KhDOwRswN8yWl19h9khn8c0spKnJjMpRZxOYe83w6tNqC7P79Gn9vEaIObct9qwNXluDh8dMVvzK=w1200|https://lh3.googleusercontent.com/pw/AP1GczMzyvOic6EWH1nmhBOCoe8gy9RHRgFrhspPTQ6P6f_uKHRB8CnCpXUb0_oQmiTuX457SVJQ63NO30u2-qO4Dr_eYlQ_ZZUD-XNMC2ACigheETcHfQwI=w1200|https://lh3.googleusercontent.com/pw/AP1GczPSep7CZigw2Cd8HQtjb0mK9Whwe-xi7VBZyl5rkpFDk6hj4-6YeZWZ5hVKSt5Xzu2zRp1AisDkOeAjxxzdXcW6sIbga5QAmc65qF42B0Wu9l1GEuQ1=w1200|https://lh3.googleusercontent.com/pw/AP1GczPXhgz-QGNr4qXjDQVbqS23_dHrL3kK8TjqJt4tFTkfClO5JJb927UYt-K1Z-GdYlk4MzRPtkJJDkn2FvU0E0sTgQIiCxzxVA6V-oqWFvGjU3Seg4dl=w1200|https://lh3.googleusercontent.com/pw/AP1GczO92zZePuXs7xGbD7QnlFbJBJX8xe_asjrwW1HxpqCSAf0jwNVijyQvYKn_2Kwv82GWjGmvIAQ_BtN1mPRI9wz_XFNMRvFSuM0I1eiWzhYhbLmlTBxw=w1200|https://lh3.googleusercontent.com/pw/AP1GczNhMgpVCCbGA4ASX_NJhWWwS9pGoG2K6t7qwKuEhFDEttZpv0sl9pz3zqoD1Guln6IZgIA5rOhPyCcZ3foU7GoLKvvB19RNYLUMIZeZeCJGE5Z7uXVz=w1200|https://lh3.googleusercontent.com/pw/AP1GczPpO4m67hjgWnwPdYeNt1rHZA0fZZjSuQ7Fnd2yD4BjngJhHvFb-b55eGHQwU_HV34Rn8-sNKIVzo1KpHjrmtgIq9h3ueJgdZ-z1600W-dVZ3_6tbXb=w1200|https://lh3.googleusercontent.com/pw/AP1GczNpc7kxZHWwvbezGo0rYmJSXtYrOIhgjmH1mPWGoYdPmXL3iogUY1fM6BKRwAXTC9sY8DQzvxUevjZixWc5meibvg6F7yyAHAZzpeWx2_ZULcxMDI2W=w1200|https://lh3.googleusercontent.com/pw/AP1GczNp6CIdUHntLHlIznB_oEWu4ilGmHjR2lrtX7aaQEfUwIxVoGknXiWtv23U0JiiX1D9Ob9JxS2Puvvf7crbuYIB2kOz4LV7dlfZkpRvB1va0Jkb9qCN=w1200|https://lh3.googleusercontent.com/pw/AP1GczM-04CJtM_rfiZhkRdqMwNmjKw4S8b7iYMaua-7nWCzQzvXI3dBHhUkchDtXADnRb59sjFxeGLSXdWg8PKZtiBqUibPikv5EmQ7hMsPfu5x2gKi2kbC=w1200|https://lh3.googleusercontent.com/pw/AP1GczPjZ13cqOQrXAxomJArJCZcQ_c-owE6K1vbUXXIyS33gsJvEKRhOzDcpi60V7GS77Jys7bAh8ds26yP-78E40ua9iNoS5XKT5VCGeniv_KFd3xKk0cd=w1200|https://lh3.googleusercontent.com/pw/AP1GczO2pXUpv1yTEBYxCErSv943XBdHnAafzqmXQRP78ADKo1P9Br_dRb94ZvMiPPhml0L5zFEOuCqNCf0w5zh0y63BbiKeMU7oakK7zlW4N9ySBZKu8NiU=w1200|https://lh3.googleusercontent.com/pw/AP1GczMukduSzLcDe_tINwh6nsDahbJQWfbtlYnSTRa2swdr5Uh0x_WEi0NjgYWDgCKUMm1ERn5X3dYrL2NOCVrA66hBAIEvTrTBbXO9AT-3gwptTMl1S-TX=w1200|https://lh3.googleusercontent.com/pw/AP1GczPTZxBa1VC16TNHi_p8K_oCWzfP8JXMo2TKunCPSz8nIo_M9qydyQQNqvKtWFMzxHKnR0FD4WeMQPU_Qc8Kj8aIRXsu5z_zDwpEvm8QyLadNN9JkTJr=w1200</t>
  </si>
  <si>
    <t>474</t>
  </si>
  <si>
    <t>Finca Avicola - Vda. La Orquídea -Juncal - Sur</t>
  </si>
  <si>
    <t>https://photos.app.goo.gl/xmsXw3KkGxxyEzxd9</t>
  </si>
  <si>
    <t>Finca Avicola, Ubicada en el Juncal – Palermo, vereda la orquídea. Area total: 5 hectáreas. (3 has + 700 m2 en escritura publica). En una hectárea hay 7 galpones con capacidad 22 mil pollos. 1 potrero de 2 hectáreas. 2 hectáreas - con 230 palos en aguacate está en producción. Cien palos de plátano. Tiene 2 casas: Casa principal y la del mayordomo.</t>
  </si>
  <si>
    <t>El agua es por medio de aljibe con 12.0 ml  de profundidad-(2.50mx2.50) y la quebrada sardinata que pasa por el predio, ademas cuenta con aspersores. Distancias: De la finca al Juncal 3 kilómetros. Vía hasta la finca. Escrituras al día.</t>
  </si>
  <si>
    <t>318 3278798</t>
  </si>
  <si>
    <t>AIMER MOSQUERA - Refirio don Ovidio</t>
  </si>
  <si>
    <t>https://lh3.googleusercontent.com/pw/AP1GczOec21a5So1UmYTi1fEHHUI-yZCpQ_EjxLQGqjLmx6vc6ZBMQjiLugOKT5G-26yFHo30LwjmmpKFcAObZ7iDsmviMMP0vWq5IPBFdhKdcp3opSliJ2N=w1200|https://lh3.googleusercontent.com/pw/AP1GczOfGv09mpdlz1psnTlP1lTA6q6msSjab4Nt4ukeOjmErFIakrUGx5HY-5hv8KvbLbjV0kJKHQimcVA3jd5cEEM3awguDpZllW5q_LpclwItyS6-vLJX=w1200|https://lh3.googleusercontent.com/pw/AP1GczNW69x3nzsUi9eGB94mrC8LcfcShW6c1PKZu3eKnN_S819HwDnyWBwR_3s6XeiseC9K4boIaTmZ61jpGMqe6dgWva7Hrx_syU7IM9_6YnVcYmL_OL-O=w1200|https://lh3.googleusercontent.com/pw/AP1GczMqjaR4ftVFjF2O3jTiY4Djemp7KCUQQY7XYsPYRwBVuiufmL0W3NZBdKhKrRu-CuI9VyWYxTd0EI9CaPWkXUn8xnXeuyJxSqeaw3zdyL028J1va_NI=w1200|https://lh3.googleusercontent.com/pw/AP1GczPyPCeSKjNAvjSdWeJOG1lSH6iLHcdePp4p8G2YJZ7Cdz7uraRyqD2oRLz5oiwB7vDG58h4g-6_9dbVpv_2w6h6I4zSGNZS_VLRqslFjJ3P3F4liOqY=w1200|https://lh3.googleusercontent.com/pw/AP1GczOuLMizHRgIRXoU_26iwsXy5T8gNyp6F8QfgtgGvci4YOd6NGoQekkQbeDUlcn7YraANzIc1nsYJ6MkZonXrXJRJaEnib4Wi3Q3QuT8v21OWG5z5RQe=w1200|https://lh3.googleusercontent.com/pw/AP1GczPknJLkDpdQz_mumfyJV1aAIT0-ofd__c-d0Wu6mAqHvJypx6Y-CcLsZQzX9Fts7mR3cVCCmrcBfNZQMWCDjHW-eFsWxgzkB4ntZvXxycAFuMiFga-G=w1200|https://lh3.googleusercontent.com/pw/AP1GczPeelgi-Q8k-3r4BrcCN7vOeG6ZsmIB3MDWJgFDWEfBrXXF6pw6-931Mk1bPWD7msUPOALwRZGuicp1z6xT_1rH6T598SSfG5WhVQEUChKzF5VvRzfh=w1200|https://lh3.googleusercontent.com/pw/AP1GczOhXL0elavGPNFKE6BrEsXXhHjKUfHJZJr5W90Qflp1xAMc6yM-KnkQGiCUyzic_OjXnEbjTy_gARMB6q-MKkXcOxsgBIQIlevuvooOopOQ2JfraDYC=w1200|https://lh3.googleusercontent.com/pw/AP1GczMVkOzExaNBzcf3XJAhtGMfLmM7TNhdMqbu7Ggy6RDQ_ZtmMhWOPdI6jBw5uvDI0F9g4Np_XyJk7GdSGl6ptPGf8gqLR8n_JVohl6pngShT4RQ-AGhq=w1200|https://lh3.googleusercontent.com/pw/AP1GczNoeIvUYyOKURgTQsxzLddZsIJnnAYWJl1qsL_2EZVozXrHPl8rHX-8tq-_TkuzwE1rlfMFspiWm59kY440rj-3NkZLeN5G24mdNYn75OW0IOQvrzdO=w1200|https://lh3.googleusercontent.com/pw/AP1GczNxSVxNfqAy5OHmw-dQCIbSSHqpklWucYh5wDZbW-_4V8rcrSviXFV1rTE-hm_dl4K5M1zmuVSaB-DBjv4U-WGqNMfp8rW9KZmVJCdbxoyOfE3ruRub=w1200|https://lh3.googleusercontent.com/pw/AP1GczN_0aJgA_2cqh-9x2onWBTZTuGxYsEJ-9-H5Z1pq9YPqyl2pWX7dj32SEdwb7ei2elXYd24oeQ34mqLG-fmuu0GmrOkXqHh5KpNZccG18j2vUdzKCvt=w1200|https://lh3.googleusercontent.com/pw/AP1GczOPv3yXYy9rq_hLVNP6qvEimgQbNgLDLnnoVnawTSjBbH3Uy50Bg9vtvQrezfAQ8XOWP0JInh4RDAWvwwx_tN3vYyp3UwgclqMvpidfx0c3DPkIUKyM=w1200|https://lh3.googleusercontent.com/pw/AP1GczNdyGMp0LGAd5pg_1gHpYUvIMUo0LTvsYMBdyIIOCmFMdCop4EM-AWw_jZobASykmCc1yDoBunU2qr0gHbT97kuYKCMhKCqQC2RCU-7IPiRYGFeyveY=w1200|https://lh3.googleusercontent.com/pw/AP1GczNuIbZshAKPS6FTtWJhc1XdlRXp9l5E60opFaO1f8zWmtq55MBowm4GylXrecIiWueoEMJXRb1ck8yizZ2dj4UG5K1sndG987hMIpyjxehhgE6IegQF=w1200|https://lh3.googleusercontent.com/pw/AP1GczMXY8ewVrtu1SDTrpfrMo9w3FnZEdXKix7s_w9GMmwCpYK4edYvGXagmztnpAckHabMWlTv6rCHUt7UR6AMqijQShp4VXy1ofi_orzS-Sq9sJx1wCOI=w1200|https://lh3.googleusercontent.com/pw/AP1GczMDxpBiEnBXBh_pSaoIvAeoR-6MHTTbpyZWxaAp0IHNoFCZCSfaioCJrR5-sMkrHqN0BvlArR0BMY9bUHzzxCJnOWXr6TJ5n8VrmDL3SAQC3za7kuRn=w1200|https://lh3.googleusercontent.com/pw/AP1GczPmoFz-V9vbea3xcuyC9Mdsnhvkan0rcICRo__wK55Ez-wwzD7tOOpu7MWBykdN5oe_uuv-K-b-wciKRjEaanVgxo28t_bBR4eORMeLiZKyw5ZQ0OmM=w1200|https://lh3.googleusercontent.com/pw/AP1GczOE0bB9jMJiWxOCAKY_QOeDQFvuDcri1PkeGrFZA7cz4HmkY1XiYfx6axK_ID4TDk0wj6CpS7cJaXAuynqiEnsSzNP-FBHiKIuwyhq1NcDj0J6M2_ng=w1200|https://lh3.googleusercontent.com/pw/AP1GczP_wKy1lJpUkkWARnAMbIm07YKHaPhG5i8k6Uabq9O5ofLOnxM47h1T9ow-6GAaV3P021deqMERgPr5MjmTaTH0O5vCNBdaucukDkUyOnRRexpbnYCd=w1200|https://lh3.googleusercontent.com/pw/AP1GczOySqMOsaLe23f16nn1em79ooGzecShnYZvdWXZ-0bim_6B73z05yVxq-JMX_yWKOALq6D6Xw7smfsdv0fSjjcoNe0rcCaMxS_6JTt5l-PyWrbPSqSD=w1200|https://lh3.googleusercontent.com/pw/AP1GczOdtkyXsg81w1RtgoB6k65WIFhtwNdUXRAWiJTWeZ_msQe9M5JvQ7prx7g3_qmG8C8SJ-KHsGak-JJ5K7TYJdIjJYA-vUAO0wrBRaOAi2wMa06p46EJ=w1200|https://lh3.googleusercontent.com/pw/AP1GczPWGuwM3XbxAoIwpFLnAnpIAoV1t2lY5J0WcjOgdnsuBPfRVvnIhKLisHP_xwr42r4hzRWz3rCEs6EbYbU6Nf4nnXO-O0_Hii8D1SHPQnVerNfS4Oo-=w1200|https://lh3.googleusercontent.com/pw/AP1GczO3uFtvD3TSWc7NgfIVrnFeJEYErrvJomfmp3gR_tVZy4M0dX5u-sIaEGsbapUR50U5RhDlmqTW4RsMSct3tACPaiDm82buov8194s-3o-vcAHDcVQy=w1200|https://lh3.googleusercontent.com/pw/AP1GczOP6lGWsNBO21J7Io3q0u873bqXqzf76HOHICnpXAvX_dDF9VfDJcFsGgs2D43qGb2YrmFN-RpCCrjnquux3iOMUUFb9fpc1mrnfmqX-o_fvIcvffJG=w1200|https://lh3.googleusercontent.com/pw/AP1GczNwLF9ba8obRS3qlNZ332BniWIevyu4736M4BhF2IH-1_UJlvgLKEnz5ib_L98cGCXQWcrBVzogMWVsRo1FCOpLYJC17zu6kiQTWRhCsaCtqgHwX_3p=w1200</t>
  </si>
  <si>
    <t>593</t>
  </si>
  <si>
    <t>Edificio rentable con 19 habitaciones y 2 locales en barrio Centro</t>
  </si>
  <si>
    <t>https://photos.app.goo.gl/7eAR7XjbR28wwFx29</t>
  </si>
  <si>
    <t>Cuenta con buenos acabados. Cada habitación cuenta con aire acondicionado, closet y baño.</t>
  </si>
  <si>
    <t>Edificio  central, ubicado sobre el malecom.  19 habitaciones y 2 locales. Rentabilidad TB $12 mlls - TA $26 mlls.</t>
  </si>
  <si>
    <t>MARIA TERESA Y JAIME SEGURA</t>
  </si>
  <si>
    <t>AVENIDA CIRCUNVALAR No. 6 - 32</t>
  </si>
  <si>
    <t>https://lh3.googleusercontent.com/pw/AP1GczOnToTX_qBcdHLZcQcxyQ1vkQh9TjvGv5ndU-nxQJeSOySORyy5iwjbp5IDt5FN1KXJbCY95_3aodMrFdek8GUMTmrJ0wS8S8M2_bb_XrYeQFuOBmDC=w1200|https://lh3.googleusercontent.com/pw/AP1GczMF8apNMySoMH-5aoz8lqXzkwk7Hh1Ey6cd9-2g5286pCQAB-PGOkPnyV7sO906AqQo-5oHqlv255OD9BaJ5WWCDAMnNsOoambulGlj6ZzA44Mt8Ng5=w1200|https://lh3.googleusercontent.com/pw/AP1GczOtVNgdlL9UPza1GVo2JPdqFJSbvN4EHk9GjVq-XeJxv3lcr44lnlv0dWnRKn9lVfBO7Ye7KSE8VluhL8xXy1Iy2crTcNzgAz9k490RNp2JesUNd3FE=w1200|https://lh3.googleusercontent.com/pw/AP1GczMVZoHIkf-q-9_d3K7Q991_dGZwhh0o9RmsIsrkpnE3w7RfnwS392GgGA8Quv1-PakOnbWXMPWjqsY5eMjkCWt-fK6gxYCJVaEhGILIl24sfAJuhr_s=w1200|https://lh3.googleusercontent.com/pw/AP1GczNlKlXBVRHnTewN55lVbaMIsRJ0cuosCQc0Sij4Cj64rir1uAcOtutM1vWqv_Wp6_jo6DSGQ58xIg9Mn0JPby_dmTSToEfNbd-TrpRs_GGhauVydjQq=w1200|https://lh3.googleusercontent.com/pw/AP1GczPGvyi-judV-HFb4qelQSiIz_tVIyhDaGhz9pFa29vQ1tqWkxGNNCrU2LRtEcshP5-cJWqSPwf3IK5enxT1ClX7AIpy7r9w-OnkAteYXT4Ok0E2z6TX=w1200|https://lh3.googleusercontent.com/pw/AP1GczOKvQdbnEpuEH-WJ8sa3j5Ma83rl80o4RLsXACpZOKHyj2IUG_cJL_aRhcUQceQYDG9WPqhTJQ8pvLSNTIJ19vEEd27hb-raT8FlUYMKCywiJMPrE_b=w1200|https://lh3.googleusercontent.com/pw/AP1GczOrllrN2Xv939c_Rp2t4q1vVuNeHDbI2fNK1AO-aEQN0KsV2LsB_M-7aatIkbct8w2ipyeg_BJHs4I7XM9W3rE7E6sWXK02AlJEnU4pA3qubeacl71m=w1200|https://lh3.googleusercontent.com/pw/AP1GczOlzpJQMGyQLzcPk-8lR_z_Zt3Rjj40auoRZKiLs9IJS4xEk0KF5jdE-a_KLdcSC-45KapXyB4ttMevdeaWBdNOnMfbkdUSa7QD_hU-zGhu2MyWLCF8=w1200</t>
  </si>
  <si>
    <t>781</t>
  </si>
  <si>
    <t>Finca agrícola - Vda. Villa Adriana - La Ulloa - Huila</t>
  </si>
  <si>
    <t>6.169.83</t>
  </si>
  <si>
    <t>https://photos.app.goo.gl/9J3sKjenW5Bs2XxN9</t>
  </si>
  <si>
    <t>CARACTERISTICAS: AREA FISICA: 6.169.83 M2. AREA ESCRITURA: 5.890.0O M2. Ubicación: La Ulloa. Vereda: Villa Adriana. Departamento: Huila. DESCRIPCION: Una casa básica. Lote: 141.47 m2 Una cabaña nueva.🔸️Lagos: 7  - 1. 365.57 m2. 2. 185.23 m2. 3. 89.56 m2. 4. 171.57 m2. 5. 211.12 m2. 6. 226.90 m2. 7. 26.01 m2.🔸️Galpones: 4 Capacidad: 2.500 gallinas. 1. 53.87 m2. 2. 83.94 m2. 3. 80.0 m2 4. 84.44 m2. 🔸️Cocheras: 37.36 m2 Perrera: 1. Horno: 1. Depósito: 1. 🟦AREA SOCIAL: Piscina: 87.07 m2. Casa juego para niños. Billar: 49.86 m2. 🟨CULTIVOS: Cacao: Area 108.16 m2. Yuca y maiz: area 160.0 m2. Arboles frutales: Area: 780.78 m2. Mango, guanábana, carambolo etc.</t>
  </si>
  <si>
    <t>🟩AGUA: 🔹️Quebrada pasa por el lindero superior de la finca. Permiso de la CAM  por 10 años para captar agua. 🔹️Acueducto veredal. Mensual $40.000 🟧DISTANCIAS vs TIEMPO:🔸️Neiva - Ulloa- la finca . 12 kms - 25 minutos.🔸️Finca a Vía nacional ruta 45- La cabañita 7 kms - 20 minutos.</t>
  </si>
  <si>
    <t>YIRBENSON POLANCO LOZANO</t>
  </si>
  <si>
    <t>La Ulloa - Vda. Villa Adriana</t>
  </si>
  <si>
    <r>
      <rPr>
        <sz val="10.0"/>
      </rPr>
      <t>https://lh3.googleusercontent.com/pw/AP1GczOtQYcRNx0TRQgWiTnsezjqKhE3opuHNhIcHvSy1I1UIZNHyKK8y3FnclXEokXhEEKOgqz4RsQNZw8HvP_NESPdWepGSQpTEa0OO3qLEWWAr3MUPVIJ=w1200|https://lh3.googleusercontent.com/pw/AP1GczOR8lSFGb3YNRLKoDgJeOh7biNJhKUVF1dIGLhqot6cNZTkYLFDXPzy0DU50qWlYNZwECK1k3YhzHtZi5mlYrff0CCmyDtH9JSaiJqubN4WrIXRm3O2=w1200|https://lh3.googleusercontent.com/pw/AP1GczNzXJTaFsXsibDJ2YuRuPH7SKlHVempkm2xcraiiN2uGgrWtJ8G-UbhkSlZ30FyouBZh4Fb9Jdp-R6E2GvBpFe2a1tfjFXB35sEQH-FiW-mAsNNA-ID=w1200|https://lh3.googleusercontent.com/pw/AP1GczPVbI9HCJOORnRQ7wIXWxQIaIVfKj8DLwE_ksHbNzwj-exAiGm-x3HOHVgdq1YLtOFjR0U6WCaviCAozQumqCf3dQ5MwXCKdQPw6DjaJnex3jwgPDn_=w1200|https://lh3.googleusercontent.com/pw/AP1GczOSUiohTjKzmGLKwrienYHda9U1rmv0wDQCk-bkZJwnvv29Q8Qocz1o_qk5JLEerAcQhp9cdjiySiAoG0y_rXDMI4TnNMX7tfW1XHfabb4LJAZeHgUg=w1200|https://lh3.googleusercontent.com/pw/AP1GczMJaMfJhht9CLNQgz1umFMYKpbe43ljFQY9L7bslnauiCjN69pfbRBXw-cIkBgvysWtQ18dAAxN7e4reC_KRBuIbga_FAU27zXFzg0An1gO1BiM-clj=w1200|https://lh3.googleusercontent.com/pw/AP1GczMoYJDdfEsz_B7nwU2jGRx7iW6iXYeIn8GUQyTBQC28StYgr60E0zvQ3LOg3ehtBwV6eSRegKa7El4_NxzmmL2OTX0cdGosWO0iyOKw3-o13NWkKFdx=w1200|https://lh3.googleusercontent.com/pw/AP1GczMhWP3G1LUxjRm9akj4ztbkrcAKmEyW8_xPENRd6VsTA6ZVsC_gtB6dqWQC1AlzLg5PbFKTp8744cQSrmSku4dPT8iIYlZhbyHQlMA0sYSwNAZrvsRO=w1200|</t>
    </r>
    <r>
      <rPr>
        <color rgb="FF1155CC"/>
        <sz val="10.0"/>
        <u/>
      </rPr>
      <t>https://lh3.googleusercontent.com/pw/AP1GczMbXRCm0l24QJtn0oC75V6WoX3mzO7B_6V_vgAn7VHyFifHcfbA-3RfevZfo3WyHYEJUoZ2WXyorgpcWe9fh_Cx8QCb-8ooq6SyENOaufWr7ZUffojS=w1200</t>
    </r>
    <r>
      <rPr>
        <sz val="10.0"/>
      </rPr>
      <t>|https://lh3.googleusercontent.com/pw/AP1GczOIFz5cDJhzz9-CFDLorSn_X7N2s71twu_9kTSTI2MRXF1NiIOdfm0NPXo3dUk4YSgTuCl0fHRZaUaJF003FvQSLvnd-bfMCPn43ALCKge8PdH8Hh9j=w1200|https://lh3.googleusercontent.com/pw/AP1GczPw-o4VlovCqJvmPKMXaFmr9RnSd47Zi9yjvcvxyE9Uho555B-1rTByere5p5V0Hk32C9jCbl8zHr_OqSReduIXw11iidBO1m9CbKz_Tlq-Q08e4uU8=w1200|https://lh3.googleusercontent.com/pw/AP1GczMrs84deuieKRDXicHqdNk4T4PJJle0YdX7wOOoIljBkUIg9KXEnGQHNZ2a4MiIxPOwD1FeLSXjyzkq3gaPiaObH1B6W_4uyRQ-WVAuo4Cs9-nTrHs7=w1200|https://lh3.googleusercontent.com/pw/AP1GczOAjJV5hfvaPO3mEkXCfgJOEpSDptGFBFUpuXZpl1tdxO485ixKH7K4D2_uxLdOsTrtjGZ-YFFBmuneZqfDiMW7bBQhbtbNi6q4Jxxwir_AX68NKRra=w1200|https://lh3.googleusercontent.com/pw/AP1GczNemUCjxt5qiKBt3BlMwNWhg_6_eoqbhForQ-EzxVN-1aqrH_etvCxze0lAvFm3TPzhhepDKdWSppLKwrceiQhWGaVdzSRsPqxGTPh0x9_bQO3y0ZzL=w1200|https://lh3.googleusercontent.com/pw/AP1GczM6_Xtl9i9S_SIiuxlRlXwd8s327fQBBzl-Q2leIw8xoPM7E2f5FZyeES4fhIuAGIY4cvUbtH5oCgAvgKfV77ksatN6V_Wqv1THVJL-6YMxysf7FYse=w1200|https://lh3.googleusercontent.com/pw/AP1GczMtrrqIEuUMx12SDXWfmrE9WJeSNC0yhWOJMhOYYK9JEyqVsZ6ZTXCkTDULlo5dtICee93m7DOZGX4EfuYFolhzTq2VCq6aR8iA_WkUvjiOAJKRJ4Sa=w1200|https://lh3.googleusercontent.com/pw/AP1GczPuNr0a2eqVTMyYhxh2n-XjsGIvTSxbN-Q7OpzCcmZLnn-VxgDAIyV2jcDTkFl-iM2OpdUFWItZYzmczhxxdISPREjDvB-dMCMuWjA6SPZmogmc_nXR=w1200|https://lh3.googleusercontent.com/pw/AP1GczOfYW_ExUuMKemXs0bvEbyi4k3Ej04YR02-y6lA7MYAbAgLLX2oply_ElOimfSRZByfutSd0MdfZHHziGLDbHkq_bRD6rN0Wq4CZFuQRWg84JqNhlex=w1200|https://lh3.googleusercontent.com/pw/AP1GczOIg9oiOAsPKCteAvTE3oR3luDmdjPQWtnMx4As9x2mDIuS3Z2YhMekywAxt4QnpQj8em2ILnUfJHwznV8FckPkPEvVhc5TYacOlfrhW3aQL6qiJdSU=w1200|https://lh3.googleusercontent.com/pw/AP1GczMq7L3BbWF1lNvbOIBYqWRoiW9pNS7Xxg2xHXmhfMlre2pEm8u7m24lyo9GEA4fyNAyDupwfQyv3n1Y1UubZ1cuBu4-NH7sWQzJuvrH7gSerOpBWHEt=w1200|https://lh3.googleusercontent.com/pw/AP1GczNbRkdH0vMKkm2ZlI7yQ1YBu0qDmWOo5KRV9YRXXfK0K_uObvZyuPFYXTeNp6wi9ppwJWtdd-dO0D8PHwCBfatDX1KlS_4u44PG12COwKZXMAQjA76s=w1200|https://lh3.googleusercontent.com/pw/AP1GczMPKApyJlADu1IeeP-TXomPadpoJoKKuMVxotiOK895fIK5GCPXvzDwkilunT1G8q26Nht1PI0MJSBmUKAwWv-_bf4KdMMwhqzxkMJl0De8tT3hdFDr=w1200|https://lh3.googleusercontent.com/pw/AP1GczNr7OKsx66U_S0ceX7ekvdJx05AjhSWlHvk3wSY4QhxIHwAklPK28t5X75-khsrhrvPYd1hH3Kl8dmOpx1H4gITOQMoO1VfbBkoBfP-z-z6lnja8GeP=w1200|https://lh3.googleusercontent.com/pw/AP1GczMf1pxZ_hC3V6DEHHOhGvYZ6T8rJUq1LW78t0z-SqGT1w3ciK8t2uEg-Th1l0hyYEJ5yNHj4SCCHfai00gLDX1-hf2P2Bw13QrbzX1bj2YFr3-IJpnM=w1200|https://lh3.googleusercontent.com/pw/AP1GczOYP--k9fVSL85h7xKzSTJxBkxMai3VxlGgKcLxYb5WWz_TEIt-xWpmlxXM66I4iuSDI9kPokq9Ka0E2RQ7x_dEB-DMLpxUNrCK56tU_RywyYSHxd0l=w1200|https://lh3.googleusercontent.com/pw/AP1GczPBVf4gzMYIZFPCNfhvYHwoTl6DQ8QRmtUjuRlS2vAuIb-o2wdhSxuxkagLbZAHMCfMwmiu7BNWzGSxq9pVkDG-2hWOoo2D5fIjwzgqT85uUILtYmIt=w1200|https://lh3.googleusercontent.com/pw/AP1GczMrSqPkCnLaWUtgfmSkW9WdPjvN28DYB6Z6xZEVEoxugjlepk9ds_fS8eCIUt191w9Nys-e6o30TttusACUD_MmSUUNTzqV0vkUlmMLX8PMbLY_LNMd=w1200|https://lh3.googleusercontent.com/pw/AP1GczMAGDuQn_g2WEeq1qcFsBAC0hFhRLnjREkvstO0v5HcciQ9erz3bqyXAnSsznBJt_pfk_DqmMgwI4ERT1P_--IhRySPhZN9uf4IfZ5d8xa4DBRtFyOD=w1200|https://lh3.googleusercontent.com/pw/AP1GczNF57gRaw1B68Vnn-CcTXZQjVdObJY8MW_25rXEbDFRX_2qWpTRidrWtwQ4FeeIV_ggkpQm7wdvYXspPNEI7KB7Y_JvdK-gEGVePzMoEYzi2d75A-wV=w1200|https://lh3.googleusercontent.com/pw/AP1GczPWeuEI9c1QSXB5rsq_GT2qFSyl4UVKqcNE3buyqgSeCkiI-37p5-AzcMS-aQHmpJu9_3bYGjiwz-rZLC-zw_D1N1i96iZQXn6m5e_Y3WFurtAOH0An=w1200|https://lh3.googleusercontent.com/pw/AP1GczOiq2Fth6qjlHF2HWLXSemLFGuR-MCswlxArQY-80T9s1XBUpMNyPoCp1TM2t6Ipanpn8x5EMEmT2rp2nYNAvN-_OwO-SuWURjQ2z5aAI6ffUWhjQGM=w1200|https://lh3.googleusercontent.com/pw/AP1GczPjBkHiNaDVtdRXk1GZzQtI4YBAq-ouOPDMSv6usI8C6LIRLDKKZTBVRxV7IiEPWsBpuAsXQ0LPqDH06vfXBa8LNlpqjuZfZfu7IHwE-VtoFlJrm-6u=w1200|https://lh3.googleusercontent.com/pw/AP1GczNiLxbkWsOLgS4ovHwBRNVFhYL2iY0YVqC5KhbSjmpUg13jXZB9kndF5fucgQ6Zq70X0eOqcr6bZplj-eP6CkYKaBKs19GkB9As189oUuCDsc39V6xB=w1200|https://lh3.googleusercontent.com/pw/AP1GczMovuhCNbOei4F5dwzRfbnOmM_usPZievxrB9BMKqGpJ8H9aAc9ssS9iaR8JDonc9XanKiPfBpVcY_udS76xTOphoJc2CZ9gl0-R7uEPkq2NNAFS_N3=w1200|https://lh3.googleusercontent.com/pw/AP1GczNtK61s4otj1lTJRXcH5AJUsUUploCLdrcXGycKD3MRrUhVF3JY8b6TffEUC8OCFWqoRpbPBW_mmsfaQos3XIbj3gE6fX6f7btsoska8q8Ss9AAUaP6=w1200|https://lh3.googleusercontent.com/pw/AP1GczMZIaiFg9ZEXedqQd2AhoGFFwn-1ZPmxOy-i23K05zqFKIaA62AgvPjYfjl-OL1l7L8RSJbhhNFGqIiBnPrV3tSlqCuAE9lkiMpkc8EuFSDeyVHqzgC=w1200|https://lh3.googleusercontent.com/pw/AP1GczM5cdxKruQqI3KfBrO36xJo5xjbykBA2lFZy6hd9s_HqFbK9TTC7gA1v2B0YponrMm-afPLlSGPlDpbs8q0Qi357PnLBrXFESK6O4sUUs9wef6-5EfB=w1200|https://lh3.googleusercontent.com/pw/AP1GczNSxelcKiDPfrzXcqekOIL3Rt7VetTR2emTg1MPB29iorWtdhTQoBnp5wKYgebdPyGClxTYS0xmZ_XMJt21h7mxdYKSZGOIk-3YuHWh1om1d_PXO6wN=w1200|https://lh3.googleusercontent.com/pw/AP1GczMcihNuvMDK-8CCq1jpNno7mOnlMsNiRboZ7lmkyak9uwYlrWg0ztq_1zlZQ7MVlLjRSZcTJA8DyZpBoJpXyy832QX-HYkRm3emKidMZTzQmnhP_hSk=w1200|https://lh3.googleusercontent.com/pw/AP1GczMRNQ4MZDoDdgo78Df7V_GO1obcDukD9AqGnergLWI1g8GTy0Yz-bHZoNFeI1_xz8LSaJlXvSB6j3NLw9nt7Ui63DyaCgm0Rd5ABcNbQlJawBunJoZi=w1200|https://lh3.googleusercontent.com/pw/AP1GczOuKqtoBloXoVygEpOBJn_vHEdqMfgxLEEdKbIOrXVDhHH2y6n-AT__7bXtHuHWF3m1-H6Ya5ENFAgtcJhru4OZqzdlGwnApFQlAobp1IsJ4SUaS-j6=w1200|https://lh3.googleusercontent.com/pw/AP1GczPU2npQYTs4OeuC3xO1I9w7dgLuE8NFTtQiJKPCJIMBqVRd38levfF-fNHljaztmsAZq9JkJiatQv-Hr6_T6rYldJN3_YBqNTfD2y0ahj7KOw-yIB5K=w1200|https://lh3.googleusercontent.com/pw/AP1GczPnyUBUR_LoUe4YQYTcoqWAM6Ty_O4rZSiKcP2P7r1EYMQQswx0ztx3H3vuDGjk-NAjVnqrIucQaEca_UDY___oRlP6vzvhityXcDlXboujtubLrRG4=w1200|https://lh3.googleusercontent.com/pw/AP1GczM_Lk2teDicURx-sZowVCRPzTFIN--N8-O_WNchCZFTLM0XtrXKiV3zaBU8E8bu8CihZqwVjmTAx0-LvKZFMl9DxNhGkQOraCTIJaxgarXxPHLvtzyF=w1200|https://lh3.googleusercontent.com/pw/AP1GczMleL9afsZvCXpNYeA4-GM5wnTRh-JO_gYYs5hmSA38Eu-ocIUkmk8nT1B7aIbfhxaS4xFaiX5tkfzjiQFP2xx2jCqo46OO0W567oKoRdRbSZfeAVkR=w1200|https://lh3.googleusercontent.com/pw/AP1GczMlHj7JT3cvPnds3VuEBt9jdEKBFuE74SsSENM2eyLX2eiIa3PQe62CZ-VQ3Ee8nsBejyf7-2nduEMtXlEqT9LbrF842JCPnPJU4pbsqkRkkbfrDJde=w1200|https://lh3.googleusercontent.com/pw/AP1GczOZpFCxiqZ_HU2Mb2hdIEiDlZVdSXURgqeRqbcLdSKjrWDtSKT_Utg19AnrD0LqNQTVaaU_MIUbiKYHkAdM4vLyq0rLLP2hH9AWMsqGBs4lSU-uVC1_=w1200|https://lh3.googleusercontent.com/pw/AP1GczMlR3btV9pTY7Vpjz_BFABASprlnPU-jwmtyMDiI8FrHXq_o4cgmXaObVA4XRm_8zMpoxO9Gna1iTZguADNvVbr4ljLUI4EMmX-gIYzqG6XBrVivPdn=w1200|https://lh3.googleusercontent.com/pw/AP1GczOby4ZB8IUN_W2VmAvr2qCZhT6SzBXGO0Ox56ZFodOEWneOL5Q3O6Ca6IS1qBh53kd7OG9nl8DHC6zRaUg5C44qiTBDPmbCTbWpsgDgjPeSD979QAU3=w1200|https://lh3.googleusercontent.com/pw/AP1GczPPenwhH0w98UikraJTMkzVR8DM2RbmRJe1P6v2SblYEr_MAGnXnzdFhdy3MXfNkfXy8vW-uswd4DjVbrHsCOskqCNSdGtH8WSd4pb6PE3sO0xfRXkf=w1200|https://lh3.googleusercontent.com/pw/AP1GczNDFlWeyQ84jQONX5iYzbS5zcxYVtO__E9gACLkddTBybU4QCC7fWAMoe1W8b4VZK1Bii2-ZzjmGj8ISzg9vctZ2fz1lsdD1T2ykbCq-dK_iEO1fJVo=w1200|https://lh3.googleusercontent.com/pw/AP1GczOtFPxkqjq2lH8eGw27xl-FaNr67ayZ_IQs1umuvhI81oMC2WCRmjbUZ4og4l-BK0grXBlfp1j-XwrfqHblWV6Q4VCyThAL56Fwk7-r2jEYZTAgCi8R=w1200|https://lh3.googleusercontent.com/pw/AP1GczN4Kt4NifowhIJ4g3vEq8HBskN-fB70qPQFyo-ZYa5RaXn06vqH79PLqygpamowxYRzMUjnm3svt83rzISVW-UtmzKzSqyB7D7UR063OcG99Ko-Yi-n=w1200|https://lh3.googleusercontent.com/pw/AP1GczPggO3QQbZmwgexcByYtSwlen7ng8RsI1qUl6Vn3bCUBDfquNjb5GDUXs803UFAtegRRci1MYrsf83we6NjK0X81p_Qn9hw1M7rAPyuzDu65CCsqnJ_=w1200|https://lh3.googleusercontent.com/pw/AP1GczPcKTy1SKDnByyjKaRtZkN8nT2USGJMv1MOnnfxqHH9kE8bVC7kzimJShIaVat89JgMkL_ZxH9WAYo5kAoGmGVEAJzdRvwhZ37IRB_S02nEs8Co585e=w1200|https://lh3.googleusercontent.com/pw/AP1GczO1s2nqWf3vwY2G6LuiwrYLQlPcC4E-N9AI_E5kRbm-VXu9WpX3dee3eOvTwt95MKHkG8OCqSDIia9750QYZHWNkhsHtyd7lnc-mgyBAs_PFKzORXUs=w1200|https://lh3.googleusercontent.com/pw/AP1GczMMq47K3tzBJL_5ZfHS4M6AG1GzECbh1iXAOdNC_4xbMHrtfrZVDyz5DPuJNYiBwYKX7QyVc2zwUhf7fm7Li19D5McefrEAb5gg2u_s7XAVyJJGFQQV=w1200|https://lh3.googleusercontent.com/pw/AP1GczPUQpadYl9-oSISgzf5tB6vVGLqkn2HARXDmBAh2h3npb0DuoUhbGdn1t2CKsw4vS9OxM8TvRXwggo4ldsvgw0lGBWsy1uHaRsVv8Vy0G6PUANYBE9K=w1200|https://lh3.googleusercontent.com/pw/AP1GczOw9nbHqD8-ULZZSKQreSXeJyi0ihTIczVShgz-BGkAWjFQqZvHb9VWikQgsruKlYf4XZ7E-aAJgpSPLzzI9mNZN5MgN9llrAy90Uk-k0UfmPRWyKQF=w1200|https://lh3.googleusercontent.com/pw/AP1GczOVWKhrEh9Lesc_f1RAGc2mmXJYptMyO7JWf5P659tpZAM5HrmmTicObKQ-pwH1D4YHx-koG-AkHVuz1zWh3ukuYtfH5Ae6SzbGw9ca9Yf_t_6DfVnr=w1200|https://lh3.googleusercontent.com/pw/AP1GczOFs8NUGD1JJTVvuJKwuNpvIUd_svWmrUzbXYJOoH2rVNn3c48QOCPB_-UK2mgp981XsfnuR1X1a5B69MCbDOra4XJ0LfQ35W4jdI7ksjJNSpIU6lhq=w1200|https://lh3.googleusercontent.com/pw/AP1GczNFYiaefMPRIMkZYZgYvLzoFmHPYzDYw350LCWmREbhsaM6poQr1qs9w3Vx0JEtTynCTpgd5s2LGSpRQa9PxMTYL7gcsqEcf1lwQqJ8CEoYchdj5GWN=w1200|https://lh3.googleusercontent.com/pw/AP1GczNqELKvSJAOKNaRgGpomsjdv9srg4IZgiA-mZKjeycpyn12-plcMXblLUKSoF6oAHbhVRxKqjW4YxrpQj93CcQzArPZdFrqx4oPg8tIj4vdTs_c9JAs=w1200|https://lh3.googleusercontent.com/pw/AP1GczN0qywkm5ibaQBWeL0nzRAjOXFlMCg5Ncz0nDhMBivCXiYcI8gsUc-Zmywmc651rQ7ebhjhNlaNxcFI7thHIiajA-GVI1Q2Pfb_OjQInpzkGeiGWjPi=w1200|https://lh3.googleusercontent.com/pw/AP1GczO4N7vu2ypwPuRG5PFHCURZQvXrr18yHJ6NQpTuI_DnlzyMWeNO1WGJD8aEdqYoWGJGUavog1LBPgYP1ui4W3UhPpO4xUhVzjdzzKkHF1zzuR55ngbd=w1200|https://lh3.googleusercontent.com/pw/AP1GczPYUeE9aX7MSZfaTfstwvvl_TgzHlGZEKoKPdkjlq8NFoJCZCKS0bSd5M-1C5WqxfsJNL-DkwRx_i2mYpLUDzcfsLJIeLUM_X5EPeDOtQ8TGXv6qEXA=w1200|https://lh3.googleusercontent.com/pw/AP1GczNFvd-XFlsOrhHpNYXQ6rO_yP3ecoyUnclgXSywGFky2szFKNiFfwkaRACBRfSts3XjEyqxdBHyFyA6bJIG5SDqfPdMU3JHQbX0yEKa3-y2ut7FZmbA=w1200|https://lh3.googleusercontent.com/pw/AP1GczMY1NtV-WNhSlrDJS-b7m6BAG4SgC44Mo682K2fFW2AkAUBl-Q4wi2l2Hrm_dVWDodUNe2ygA7swF9x0_K23I7w_sdcwS02YYadMsDLgcWozCmui_k9=w1200|https://lh3.googleusercontent.com/pw/AP1GczP5SweHqOs5vYt75WmaaPc9BqhOTsBibB5Z3uvdmyQ9bDB71H3jEWuTMHqjNR9Lx8Mqpj1P56CW4XeKf2Sm6Gb6XnjTEDZNk87sibNPeO5JpwhkKB_r=w1200|https://lh3.googleusercontent.com/pw/AP1GczP8PM51UKo7ZJCJyhifIoaBhLQW96Y5XfMca-1Rat34M3ihmY7Wjajc62Z8YL8Z1cCMMYtlBHOFQbbPMkYya1Gqb3YktwxHmoUuzNiZE5pprEHazXes=w1200|https://lh3.googleusercontent.com/pw/AP1GczNB9g7OtuSacyFNCkR3Or14jksbSHdao0uX4p9gDCCrZc_7xQsZLlbsxyxgVk00iDLB5kvWEvBhLUTy5KjrdQu9yDTst6MwQed2wjqgoJE403Rpy82T=w1200|https://lh3.googleusercontent.com/pw/AP1GczMSTJtmeqwC6XMce3A7tMrh0OrUe-F3pHfom6hIk1MtDvjkGz7mM0ZvROYeGF8Uq8dX2DKF-fxUyp7Sa2j-AOu5K982EeuB431K3J7fKG4VlFb0HXi_=w1200|https://lh3.googleusercontent.com/pw/AP1GczO4znCmN6ekpjek2fm3179UkJPREAmOu57hc8UFvvAMPrn0D9ls-DCHql262zqqixbcfB_CuahC4Y6UriMONn9oHHgoDLhdtVmal0VLmj_lBPWUYthM=w1200|https://lh3.googleusercontent.com/pw/AP1GczOXRznHgOgFu-eS4l34UlUqKbBpQDhONwMXOfWyXLPQHdyZSSUGySRTeB59ah_fNoNww2EWz6ZRqzKuFwKtvwrShxFEy3rOarA_duiJJ6iRnAHQ0cW6=w1200|https://lh3.googleusercontent.com/pw/AP1GczMuGjS-LjedprkcDfVvgoSdHak5Ex1-BDq7FTaHHZ6B5qaKYBofaxDAM_gbiiWyNFdAnmjR6Qf5MLliq3G7typlZ395jprlPW9sgZ_JnU0l8-Jh5nNi=w1200|https://lh3.googleusercontent.com/pw/AP1GczNnyEfcA0hvUKC44vjegoJ4EVeEr7ciIbY2RuRnAOu8-9WqZaiVldsnMf6LluqsgStjA4f7xWDJ6lpMfmAa3BvfDH1fX3DoarjL6ZBk0LEygTM9pVoJ=w1200|https://lh3.googleusercontent.com/pw/AP1GczMmT32UPe8sv4fM7TdNPdweoP2fNxHZP-vtmc_420dDirorXv3G8F3CntvZS4zhxtKCbU5CMyAHCWfFxTADS1DJQDLru8uBSHFdcK1_gZYTWK5lXBqk=w1200|https://lh3.googleusercontent.com/pw/AP1GczMv5zvGUG8Zi1qA5UXXkzT_r5p63bxx6fRRAb1QNvaRIkulbyaz3XVycC5o-mwBn3XmjTmFrcls3DD45hSrOOLm-lf-4cp8VlCED5QrmO4xvvbG6QK7=w1200|https://lh3.googleusercontent.com/pw/AP1GczOSqDXR21qjZb_NmNWYPwor42z2IdjwBkxktJ6j4y5E5vP_7M4fpViof8-z813_MWKttocH_rQAn_v8FK-0BRL636xFrviuVErQH6zntG9idH0m_HRb=w1200|https://lh3.googleusercontent.com/pw/AP1GczMBJYdyyz0ycHIYDnynPDetgQyFJC_vyB6vaE7otAQq2I9VrF2pNdvWTVXZU9Zm1CNGcGRXkbQ-JyHG40MJWB0X9ZH-ah3V44i3qgpDeKXqSPSco5ec=w1200|https://lh3.googleusercontent.com/pw/AP1GczMPOq0vAvxILg5D1clUzf1bn_N6qDVezxPkNa1FZ7Z3e6dqy3Ol1DD5TuTfV2_-EG8uccPWbEaoCGSidhz5X3SB6DJJxv4KOU7MARl1QgmfKRnWI0XF=w1200|https://lh3.googleusercontent.com/pw/AP1GczPHesfiYeKt1h14apAJ4PW-zdK1vSmU7sCDltmrdfHSDk5v41i6ywzshwNO_aA7og5j2uGKJc2wAfoHsYTV4D1Vrs392d4lCHN9wi9B158KPs0DMI2m=w1200|https://lh3.googleusercontent.com/pw/AP1GczNrNUkbddnQuZwzKHXbQxxuzzZX_BaPHYEi_NVMGEDAAtMNiBtMNybX4H7s-0T_GbS21zn4QeoZsAQ3TvDv4ArMwEih44yDx7K1AiiXhY722QMFg4PA=w1200|https://lh3.googleusercontent.com/pw/AP1GczN23nbiU7-NFAi41dIpdEL95B6pmjrmdVvMF8TfZK1W-ETsrlA4L-94_kzN6l1wCoPPWWvVakcgq6ht0X0SVRYHOfzhoiK8HRvtIItUpQoxWRNiCSF0=w1200|https://lh3.googleusercontent.com/pw/AP1GczMnB94pzPfR57txY-e0Phm263Mv51AJ3PDTck_ziuFivouPqcgJccgKGKSRprBI3g6KCqoxRuOW7L8s6YoZamQeNKpqVyelN1Vm_LuvU8zQuWdv4HXY=w1200|https://lh3.googleusercontent.com/pw/AP1GczOporjN8BdCuD9H-sS-U7u-2ReD7CedPkc4XmY_PozYYIOF-RICTZQ0tftnopkTT-2cWRIMqe8cXz5B7cfoXt4tFIIxeARpcsoRPe3H6282wwOD0f4X=w1200|https://lh3.googleusercontent.com/pw/AP1GczPT40zZXhvMRKIqYTqW6uh-mNsmydXGzK0o3O7xMFqGaLTC9ADaTYLfRL7tdzk3G8etKzMbDkWNo5wsfe9nvJ56UuFxDdIU0Ic72oEUCnKzQ8UuUZnU=w1200|https://lh3.googleusercontent.com/pw/AP1GczPbWd-IOMjNQ6n5-sxGONvld1WDPxIzTzGB2dioDY-D_MDrGdQPCfbfO5BcACq-E_jir8yDV9957eTLgZoYQnI5fCrw44-Ie0ujo0wdTg3iM0ko_eHz=w1200|https://lh3.googleusercontent.com/pw/AP1GczOwSp4j7aAn2P5qBqgwjbylVnbsHlqHGCqQTFL5pEarE6COySQpIixzcko7D90ok8vayNFGTXDjGO88rPiDBRc8boXxZdxh-W4Sp96pWGk2hJ_oyjMS=w1200|https://lh3.googleusercontent.com/pw/AP1GczN0yMI7nl46GUyKS54UYrWfoOBW3ykyPygF6bipOU8aX__Uaz4j9GC-jvJb3CtYK-h8DSuahonSBxKY4yFzY_-kOj6C5PNwaJTzgJYPIJP7G4EKl7Ag=w1200|https://lh3.googleusercontent.com/pw/AP1GczMklA2uX2Fz4fVTSGK5-H3Zbip1m2fbC7ka_zHJZCEFU3RjCREn0ghgt662Qv3OAC_SmW7emR6XXEA6swuagBaOIJnAQgdiULe12XVCle27fcno1Uld=w1200|https://lh3.googleusercontent.com/pw/AP1GczMBAe1MnDoq9oIwBIOzgGE9elrWr2Ekgon5IALtUJcoxAFgEIwug2lSGGQiWZKbByRFJH7_-WOMiirKiJFpr2WAHDBbxReYJzZf9N3uINpywhhBqTIR=w1200|https://lh3.googleusercontent.com/pw/AP1GczMC0odS-SdZcPJBQqrLYdDITQtHxzUqDdd4Av7K97ZnGhYj6qE6UpTj18L1K5_cbnDE1Dc9_jeJ8aJgGg5r7FgDjRhfznDsJkCJZHewsrFA6cIkgheF=w1200|https://lh3.googleusercontent.com/pw/AP1GczOfD57_rpL_NiZnyIZEBaEFIyr8GuBeP27ifcoGC-GHB73wwUre7c4TJKKBWtcOOObiWYj-tRShuh3bOkJsinyan2frqAA3k2mgETThT70iD5vg7-Vk=w1200|https://lh3.googleusercontent.com/pw/AP1GczO3yZngJmJMfuHVMTYmLch1Bvevi6OPkNPkOP26uufLAoyqf3KllVgVAqCNSCKYwAIc2Ouu3HFhJcjgF_gt2Jgbhw9oZDwqeQMcX3F8qm8O1Fqw2cIP=w1200|https://lh3.googleusercontent.com/pw/AP1GczPSRgcbpSRyA8tg-Y-UVJYGBNQ-nkTj0PjOZRxFHr6bn3nnQz7KbNobIWqdJt7t9-lLMjWJD_zyXlI9ZJhU73jcWAW7bRPZwv4LTBgflhdhzVgQnAAB=w1200|https://lh3.googleusercontent.com/pw/AP1GczNpFTy0-nVgqQUMd4YPEpSG03TQKbkxZ4mntq4oj4wMxsYJod_Uhoxr87t2RQFAfFlUQIeJf7Le-tKNn0_vpQi59q_J5O4g83VQ1AsCrm0uykeIQshE=w1200|https://lh3.googleusercontent.com/pw/AP1GczMU9Q5IA7EJRIvW5ZdVq_nJ_pi9EBxA_oX4rEac14FAnJTW76jFU7mftW0vMXKnJeaHJ_rkw1AUAN32-hvEmMMT5NbwJr4OAIDBCWC9zVl9bTqGYPWv=w1200|https://lh3.googleusercontent.com/pw/AP1GczN17wTviLpuO_FgOELTsJZ_EaramxmBpoHInrOJwezOjf9hlhQopuNcJd1uXpiXEfGU_Vf3t3pKiIbWdbOnW4VpQzQ7RXgbIh_5-jrfzlIZOAd2PJK_=w1200|https://lh3.googleusercontent.com/pw/AP1GczN6mtKJAqgjpJLfFIGE9TKOeyp1M0Drae-YV0PgElGkyl4exS7TN5OEpZVdclyM-lNPXH78gPh0VtFYxpEUULi5oGZ-4bR6n6XmhJPRRJtjAuebHtoo=w1200|https://lh3.googleusercontent.com/pw/AP1GczPancIlnUuNzecJnaX83bTWiMKNcf0tyfl5XABreajD3uIrOzuQxy8okDXIGu-wKCLqomWgzMbH3PdPlrXc6VtTNEylxU4njIm4fQYv-QtT9LalGqXt=w1200|https://lh3.googleusercontent.com/pw/AP1GczMe4W336fDGxJV8Wkb9sDnMqnBXM0S-3gPqCSLKTs08_YHuv_mFH7O8upZMqhyBFB_xC6Ir0BUI7kXZfN6S2HmEiPXQw90e-SlgEgJyC3z5wroaqjlh=w1200|https://lh3.googleusercontent.com/pw/AP1GczPT8-QLm9XZyoywVcd1kTCh0HlDlttJ1L_-_14X7zooQRYVhPwlUJSyS99p8yW57hQE0PtPbqwtZ-7C60Tq5ugyIW5GEiyIgqRHT87GKD5c9H4Y19YY=w1200|https://lh3.googleusercontent.com/pw/AP1GczMv75G_B_lehkv7Zxc-Ikz_movRm9f45M3TtMjqvxScInbro2ucoM8WCmf5mVa6ww546MQXd3BgTv8qbKdRtr20d3VMkjDWUsPhr1XjtKO78Jj4V5bV=w1200|https://lh3.googleusercontent.com/pw/AP1GczMzDMk_UvHyY9oTuV4dlGduQXnRH4GNF3fMY01gBOc09GRuTmRxgR1A9YwChXhLoKNt3zdOp-cc2Id8-C-VxitkjBvcZF1eSerFr_WSTk6Qs5nfEEaf=w1200|https://lh3.googleusercontent.com/pw/AP1GczMscilzLa1_FrgKrVnkK4dOA5ybIft_NwUoXJwvpf5zPSpmKqUeRyPJhsL6j01fnc4ra1auU6SBz15yvnsaKpfk6EG5uVPZ_5o_bdzTWdNi-0k6YWO5=w1200|https://lh3.googleusercontent.com/pw/AP1GczMDsW79xZLX8MWguV08xX7avTW7ex0hknWnlFgL8PFi98e1yw5IxBMSLqfa6im637qMOUZzrfbqRaZrWdynFJ0vzpQKys_tirJsFU6pvVwp_YNCZIUC=w1200|https://lh3.googleusercontent.com/pw/AP1GczP076r_lraaBFTgbN27O0ZEcrl-BvEZRRmOqvH2oipHZji1G2k1mD2k5kZpq8fAS1SnJ1e0T5ufJ16IypPFvUCc4Pdv5Gsaa0Np_qCQsCgmLycO8s_B=w1200|https://lh3.googleusercontent.com/pw/AP1GczNTd_C4cUAR4nNxzSSev2ZrDHYnc-BuVcL8QTX-b91hxKNkWMfjB_31CrwdVCVGavK43TF2HtCGkCiv4aqhXkzOxbMyacpgfNc3YlC-q91MR1REaDYD=w1200|https://lh3.googleusercontent.com/pw/AP1GczNoNKh3Mv74enHk8XZgb4DznOMvSgNrw3esD9I4prnWw-fOz5t23DJyNkIQax_X6wAmQ00AsaJ28H5-_IpJe7htTgT1hIk6ENfE2yIEio-lC567bcuk=w1200|https://lh3.googleusercontent.com/pw/AP1GczOcb6P1Eu7YiefgzBK84K2OAzkLARnm-Gc_QP03OveiSoma6KMyxqUtHkuBTywB-_vx_BRLQ4wa1Qqj1eVOk47vNSbprhdT-0Foyh6PUxY6N0b9iGEU=w1200|https://lh3.googleusercontent.com/pw/AP1GczPlisCJJbZ0t2XjxiQexIM3IyZurmgZDLrhdFDtWdO86U88xOVCTOqgzgoyhPSQdWCfU3rY58HZx_pE01mMyLJJA95mDvMUjQedRlIZjcN9stZnO5A9=w1200|https://lh3.googleusercontent.com/pw/AP1GczNI0lTvyruV5OwdzVQsQ_8b5uq20GWLD1YEEqhxzgK4rOB6NNP7yI2vydBnDVromYRwNN4K0trfT8GK1HuCBnv2y8hut0KFcCogglidoG1AaUtE8Fxo=w1200|https://lh3.googleusercontent.com/pw/AP1GczPkV2E30V2t04XRU0IaSwFkIPmcfKC6AHmzLBhmUN8FKbeSOcp6aAQh7V2tvb5vXXzAYt1fGWKnuAV6loz9UNUV6zaF2x3joTwvWKYsoEHeHjZZpxVM=w1200|https://lh3.googleusercontent.com/pw/AP1GczPAHCf1u5U-lcNLh4E4tcjAe1IRsAsmWILSyMUfcuLsy8pLi861jucy5qs2c2zieWXSPlnMi9BKqrHCRft1o3DZ9ef8V2MqhaK7M1_gwqKO0SRcVBmx=w1200|https://lh3.googleusercontent.com/pw/AP1GczMmx4-tkEzli9V6Vh1AP1dby9-E2jUUXPieye0WVsYa-Od81AxsnYAKoPN47KBWUbGQY1jm7Evbt3NfUaexhQRATx-MHDK-XYx5bV5pCYVbIS01e7N0=w1200|https://lh3.googleusercontent.com/pw/AP1GczPrVvu4DzR_3u9_FTSFmQpkXUU7keRpAnZ4s42pTtmPlHwp1BOOJp3BXXIw4W_lGttEV9FXBs6BaHIRD1WS23Vn4SlCLA0GHFRcocVnUDY1WVo5naqH=w1200|https://lh3.googleusercontent.com/pw/AP1GczN6aCU0hlFgaESI9yCHyRhSEVTDzS0iNFKqM6q8-DeNIbzRT5YMj3fLN7TOVQXH56DdmMd9xYzxMJkRxSEeZUj8zl3FbTyhkkzJfzKljR04wTh4W4iE=w1200|https://lh3.googleusercontent.com/pw/AP1GczMcxSmAIzkItdqTqg_3IUEfLsrWoD9x-cU5z5r-dFWqE_uiKWEkrNnwCaYsJIxKzU0iJdyRUHv1nfNZcDBqxc8uKtPjPCpHkUgUNNStYkGACOgqg2eG=w1200|https://lh3.googleusercontent.com/pw/AP1GczPTCI8qwy_e_Wwno1lorJbjHvLOoXPeKaqi3P54ZLiW5etosLdC5nCfDlQUWey1-ROQT3mJKs5wdNYtSgK1BofWGWDSlzXRVuEtM8D-l9PQSqupqPgX=w1200|https://lh3.googleusercontent.com/pw/AP1GczNiprKVuDiGig7zLwn31AE9nUtVQs7oSOjNhWmwSVXJKUNQBsJ3MRteq3lr9ofZdbyAwcebZLLnGBlukdVCQPDF26aiA4FKYorpuIEAWvmNiPKgYPTz=w1200|https://lh3.googleusercontent.com/pw/AP1GczOy7xsh0M2a_JcgRUcqvJyNVPtej9L2iFnzX_WAFquVdu2kScNW5HS5BL5icQxtUCiDwigFYR2iK3XIWJ1rn9gdHZ5Ol2Fp46AWdTf4lec1KFmZzIsc=w1200|https://lh3.googleusercontent.com/pw/AP1GczPxaQAWScKb_0D8e7OLmONXzs--sdKJqIgUljvbE9xHGgWzgaFTrR_fDCraPbF1q-z0mglrMjs3eXbp0XkQOHvDvWtOzhi8G2NZoxygTaFkkYMwPLEH=w1200|https://lh3.googleusercontent.com/pw/AP1GczNkeBvWiNzGaQJh9F5HOTvEuDVayuxoQjF6LGQu8VE1_jTwDq4b30WfgdjZL7zNF-HClmcclUrlY_kSdEPuijpQJrt8qYJgJ0jB6rW0lYRM2c9SVL1o=w1200|https://lh3.googleusercontent.com/pw/AP1GczNGhj0EzE_yeXR7XRX9g7ZW1bYoQj1cSFxu31Y8UIg8Wioh7Ypm6HdZIMqoQAhHVJ_Rq1LAdT95o1_G9MjmOvlw5iI5xnChG16dC20UWMJc_W-htxbx=w1200|https://lh3.googleusercontent.com/pw/AP1GczNd3S_jTdFYZbPuWTKqHNhvREFmBaFlvytIDxZ_Reo_0NSEhcGLiH9rq2HToyA2F_pIJqdfjfyivwFLfLs3xqGkxV33qpn3yiFl9GbXIHRaGs2FTjWR=w1200|https://lh3.googleusercontent.com/pw/AP1GczMgVgMYVjNjeBZZB8GMB0c1Gk_GhEZMR6Xov8Q3Tpv10mnWhlXD5SVH_2vJln04GOWkYEjdu9my7Dn4FYPrChVxAPqNonFrq14NagCwsxnj3C3xLAAA=w1200|https://lh3.googleusercontent.com/pw/AP1GczNTJiR1jsUiZ1HIF5OudJRQWkzg1laDiJ8JIh-t656YsZbfj_MR5sG-7Ekyr-7kP7RHu-kRuXA0BmvmZbByxj9qlBcCMmlQcT1FZ2tTbThzM3GMdixr=w1200|https://lh3.googleusercontent.com/pw/AP1GczMRUEhxU5_09WsYlQPdJwXMLA0cL3m3okPH0TX5ZIi_YONbSb4vK-plXEa-IqradctXDyCwKX6jYpqCumXCvVCYEgRGYQtnUe1PYKmWMD4GSBFFLrRE=w1200|https://lh3.googleusercontent.com/pw/AP1GczNrk-SLXV72jWwe7s1FHmiy91uNX4DoF5qzOOkOXgo4zByM13luZzSb2il46O420TkCr-vPKkz7h51UxElKrOJKbvwv6gQ0juIh8YWMN58NwqBLioGW=w1200|https://lh3.googleusercontent.com/pw/AP1GczMm5ezA-0a5VEBBQZr_BENsq7hgbh9v-p-PMiFpaaALpW9AX4Vj9NY0_STpqOp56sOyTEAfnmBhxCoTBpgyqBSllNA2xFShRiEgdd-O2egVLWv_Lio6=w1200|https://lh3.googleusercontent.com/pw/AP1GczOK7mEuzx4aKWqfZQqMmeT9hQ67skyJ9W3cTe2FOnPv27qlMJfP-itXfA9HJNAjxY_3uWJzpa50fS_-pE79nH3kYpgDLzDxvjORxeAXmnxtaZbGcWHa=w1200|https://lh3.googleusercontent.com/pw/AP1GczPpem6P_e-gma-y2vaCDFlHWnrByeicqQUzBntZIMfuVsxkeJjMG5mqHlsfDWo2yl6X48_fjo-TQFkI6N_eIQZiz4USAwQF4qGxgeRB8CrRUKNn-_Xp=w1200|https://lh3.googleusercontent.com/pw/AP1GczMFzNVIJWZSy6WKZgnDa9Qf2QPOrL3vZte_UInW2Rd88lu_sHG2sXdvTnE-OpjZMDKB1zTws5bToEhWlXfd24eZteJ9HqLIAdTUuCijpBV1EskVJZlT=w1200|https://lh3.googleusercontent.com/pw/AP1GczOSvUXjnW9GzKqm7PjEd7MmTjctIqAQh5SeTAR4w2cxR-uaJkxxtcmrmc2tqQEa7luHbJ8ei2xDA2kfwk0Ocnv-5aDUxQPtsGcvdHgzTLhQ6ugqRf2U=w1200|https://lh3.googleusercontent.com/pw/AP1GczNWK_cy31VeD_ZiKhTrWKDyY5RKMrl4Gn2rnYHNV_G9TMlA45NuIHGXo1DE5yOYfZNXHNfJvVFxsjIlbqZeuAh4zmJlCCdpIxw-ZMD31d5BiE08nCjW=w1200|https://lh3.googleusercontent.com/pw/AP1GczMo6su40ew9otUUrgNxJYIgIg-6ORjCEuJM2pe3zeO66c5xYDTh_Z3UjlZjkvlMM8yaupnJK7OWAvZuH31w-p27jWqkX8gFcSyyPjs4ipcCDxgbgNWl=w1200|https://lh3.googleusercontent.com/pw/AP1GczOIy__jLXth0dzbCKlP-gjfDZl5R5wRevSV2-5dY6kyNHtevkU3j2KwZPCQJCyuPTg577ZNlYJBkYwJtNOlhH8WFkoxfi5ESH987yedKymgCyiD5ydJ=w1200|https://lh3.googleusercontent.com/pw/AP1GczMfPhmpX3WpxBg9L8SpHOWXhIt_XoXAqkgXuoQZOK_5wqryolptw43oW4G5ImT9GO0o7tSbNoRpdBYvCC7U61PNX0Bvr8wPRIEDHJ5DErLJU9NFVxuz=w1200|https://lh3.googleusercontent.com/pw/AP1GczMMyqZ1_4EDDKXNRJAUYWouhAhZuod0DLMmohX5SKGspwvlTKq8xrwAfqx6-Izt9OxDzQDp0PvGSHP2KQyBNQjexXINZElSlpGlCZPC-sNDjjkYnWa9=w1200|https://lh3.googleusercontent.com/pw/AP1GczOB_b2n9OeV3PjR3ZTbAA7a9BXzicXWxxFPJnXUfRzGNB7qi0N17DmvWTXqBWYUkMlhUSKoA9H20TZlVm-XhZyaLqzl8qHRC3WXlm6wfqvO8eFnlerm=w1200|https://lh3.googleusercontent.com/pw/AP1GczM3z8mi2wsf1AlPIOBu6d8J2InKx8MZzzsowGKJ-rNpIO3lbQsMrFqh0t08AVtqeNDM1gExAxb9BIjFCzcAIiHQOzB1yu95-zT6dK-m_FiMZndBicni=w1200|https://lh3.googleusercontent.com/pw/AP1GczNOPiHdN_OqtYXji4SmDf04Uy-UvotgalDj3Zzqy0nIbG03mSD1GW_FeTpC_DAaTVfnQAw5FdS-YyxH3BF9ihof4efmqSsXOJYaGYrhLY9CjeSJwYdD=w1200|https://lh3.googleusercontent.com/pw/AP1GczNywI-26va3hi71n7lQ8hyKmX4knTidwQYnP17Pv14Io5oWX1afGuKitWXErjpL28u7BhQFGNhqZ_MwjbFynA0HfHbBCQIeDbVGlu54OLSsVYgWc01o=w1200|https://lh3.googleusercontent.com/pw/AP1GczMTZmKR4OFMvVO_m3MX_KsTp7xrr6waNskveYoHW1VIgVcLu75xQZohtOt2JuZ1yckfsLU33Jn0ohke25M0p_XjAg3udKukZWlg35Y3SgmtEGl-S2A5=w1200|https://lh3.googleusercontent.com/pw/AP1GczO60BrwQiCQqR3GTtA7_FHFfQaBKhpIHdv3z3Rn9ePGlNIbeCmPui1gtoYIeNeGpMI_LMaPugqKyfM5KtZ-YleNtY_Cg6rLZmdomL-WvHfJaAf1Iyhf=w1200|https://lh3.googleusercontent.com/pw/AP1GczPs9ejWNB1y7cOHmVwYyXsR0Pn1w5BKHHdWbB1LOBut4JfvQybjwJZko15i7ZRZu-aT6MBhIZUutHwqEdFFnqWzk4UFsKqzp7aLNpsuqskHbCcDrJSP=w1200|https://lh3.googleusercontent.com/pw/AP1GczPfC9ZZ75EO-50G5llpCrehzNVAtFnEVBMCJLdJcM77p3O5WkJlmE_1vUJFgHfWh4_Y9LKVIeeiGcODu_xGEf1p8S-7luurbXw8yY8jjdnlAIJ1knVS=w1200|https://lh3.googleusercontent.com/pw/AP1GczMUJRkEo0ra7MV3RE8hSTpTYs9XdKxRMUP57B8sBsp2n3v7hXX1eqWpb4r9xh-AfJNgmklH2okbzV5lgyckcwmkaAXSgfI4iNmV7LGt_D-DLyYPyAjR=w1200|https://lh3.googleusercontent.com/pw/AP1GczOxmc-SsFQrHsa8u8HY4TJ3uMGPpwMo7AzKl6phMfaKGi6w8bMSDhms6gzxYn8vKptkD9P88-ktuOwFs7tDge6vEBHHpkwNyIY6-z_g7LwVgQ67N2Rh=w1200|https://lh3.googleusercontent.com/pw/AP1GczMvJmWy7MGtF-Ox8AxuXpfKs5o8xVl1dkcw_M44_pVjRXfEtuc5cCqEreGSbhJ9kEbF1fsJAFuVmQ7LsNhA9RlmP89YN22azJ2jypSOBh-S77Vj7QZr=w1200|https://lh3.googleusercontent.com/pw/AP1GczNrbd9p8iv9WazPvpe8cFTDLMRdA0CrRUyC6JtekGl1J_KyQ-QynhZAzfWjdOFhzS4xIcXJ2WDLEjHO_DWGQKmp6CmxX5WArjZRotm4eWk4kbC_bty3=w1200|https://lh3.googleusercontent.com/pw/AP1GczP-2YwpxGdXzBIqY7e835OHuVPAwdSJ7w4k-qBz7rXbSmZBLEGE9fbkXmA8T5wryAZt3f_nxj5q6rfgnm33NxsU2ChNhSr-1Tm1hvKFmQNTfMHDJABe=w1200|https://lh3.googleusercontent.com/pw/AP1GczNCGFBYDOjG1FCaTFPJfcRY7Ic4GOq_W4o43fw0u6CF2T6qhkeXb8qX-QTDn9jPLZb3iExJXDQIIWwP3LTkqwPsT39Bwku496W1u4t7h_vsFTz755lf=w1200|https://lh3.googleusercontent.com/pw/AP1GczPX6NgT9uaEGoPSNvTq_99FODiU9dYzkX80EJhVxfUFACzZFw1H3y6GyGzvalCpJkBqq4FwaVRMbObrCttFECjRad-7DUdlMheprFL5V_8ozphQUC9-=w1200|https://lh3.googleusercontent.com/pw/AP1GczPl0KoKAEc7XWUHhouDgsHsqbBuFOjNH3Kn3wUB-YrFW4G5CgCptMU0tKy6MLQMZGNOq4wrJ4GOUlO3kA9qGudjQhkSVRYUESPf6nyR9qpRGz4su7vY=w1200|https://lh3.googleusercontent.com/pw/AP1GczPn9Zhf_jBvioDcNV9GGQS34id3qWfWqennGGmUST_VYvSC4nF5ByCdukMTbjrKehj1f8OmdJIKWY2wPexp1-4vpi0SKNV-0tZQI8USZ6x5Qp2PJWCu=w1200|https://lh3.googleusercontent.com/pw/AP1GczOHTbf0Z8Zd3nkl1_RiQgHsNeNngDqHeari0lfvcEy7vlWiQ1DgHvJxYAtgcnMlf5pStJqao_k1UqSvHX_rCoY2MwFTToWYnFdEIC9v5dBUhbwSRH92=w1200|https://lh3.googleusercontent.com/pw/AP1GczP23hY4f5SuTXZDRus2VIzTj8faFo1Gf7WCCenxDnDkOwp0Kq18yn5YoOtB97AIN3zMtGcDJr9hrlUwhCvpvhlk9Vp3qi54huOC0V_17OmE0rY8PJQ9=w1200|https://lh3.googleusercontent.com/pw/AP1GczO3l-h6nsNTv3yMpPjqDn9GoXBHY7IHssFb2cq-f0ziEAmC8bSTsVvR64zOQ-3QSRuTCONQ7AkXf1eSbdx6ksHJi_UKypHKaKvQbDxa6ry0oPmtasF9=w1200|https://lh3.googleusercontent.com/pw/AP1GczP-CsW06knwfwitYVo88LqLXG9WuENO6KT1wZ-QRZo3jzuadjrRhh7Wo2B9ASTKH9OKQlp6r02dV_ON5vC62uI2Tpd89uQ9MSZyOZTmt4hW8aXrV5Ug=w1200|https://lh3.googleusercontent.com/pw/AP1GczO8CmertgWf6nqW-OJO0Z6Fc_BGINbTRFPZl2jfX_Q5aNAeAI239HGjVcOlTIqPfaZozLjbpNUvqPK9XNOs0RLOHUS8vPRGpLFvb0hw_LJMOjsrLzPp=w1200|https://lh3.googleusercontent.com/pw/AP1GczPtC5ugSnyNp_K09iXbWCReDrjMzsP8hD5HEcdu69W3sZxHGM8ChdKfbU7VLKCS4smrSaAeOTcJUwjvHnP0Tr2nkDtpf87lGTKHRRBk3tGmlkoOnicx=w1200|https://lh3.googleusercontent.com/pw/AP1GczPtsz9AtobENTbbWaPIqquizkbBE44D6xv54eyyFjTFqUnsXe7wKIIGJwfE1756EDI6JiYmTcjIMWU6H9IfRmoUCbN6cOY5Zl-f5KJKS5KTuqeu7HGp=w1200|https://lh3.googleusercontent.com/pw/AP1GczPtTkmYBWqTZaRtngKTtDpeiRTMML5a-jav5ZiesZI_Cm_QuFtWdO-bAS-o2Hs90w5yeMJi9dDWaJmI6BiMSdf2l4YoaBC0up1j_JfelPE5f36wkFgf=w1200|https://lh3.googleusercontent.com/pw/AP1GczPsZ80DXvWgEvZ8AogqZkk-BQ0zEWQHz-1Im7AqTdJ4TdLMtVpTNBEPvCD-PWhJReBDPWuD-1Ys8bDUTz15O6nRQEdSV7abfIz7WbYoawb9PKElipaZ=w1200|https://lh3.googleusercontent.com/pw/AP1GczPISwd1xLMGmDgcJgjRbMEeBCTVLINM-s2vcTkioyi4u4idkTx9ZUWjNIMPYO7CN_uwuRNLTErgHvCgz8FYQO9rp8vk5nxM-V-9cuoFG0ebuWY9E9ei=w1200|https://lh3.googleusercontent.com/pw/AP1GczPxB63eN43yFIsZoGt0D_hBmBlcYTefOCo1C3lVEg7TnKV8tNMegv2WaloPlif1q9cA2K66pY6BFxtuUFr2OWmYn48Iw8NwdKNBOJzopOi6013WbXo_=w1200|https://lh3.googleusercontent.com/pw/AP1GczPshrkCz5o2IdGKTqt08FDnVw3OKOJRqpDxqNNusBQMy7-cGk42Qg9RlNFjHoOdGvaC2is-_MgWqwvty9pCa8r16dFZupYVrLqq3oiLLG0vQP6Gb65m=w1200|https://lh3.googleusercontent.com/pw/AP1GczODPTQr0sI-x6J9HUgZtzbelI9cAE6HaP4f5FTl7cImlRqIiMXOr5eV3HSFPmLjG8GIpuNf5QzruozKPonJE6QiFWuddamkU3voc07mEDuyUvcwR26J=w1200|https://lh3.googleusercontent.com/pw/AP1GczNA7Jb31nJu0uUPKCfyer1N5EnsYEcW48-6uhBDbRSoLxGTXe4SoiXaDTSa-eSiTLu-EL43JvTHSTZ_eRuJDJYSVHkN2P5MoQszCXjHVUOYLIlMJ2tz=w1200|https://lh3.googleusercontent.com/pw/AP1GczMpF444pmWmtCS7hYv6vyQkUdV8FZJHsjkeu8kZtYp7aCsu3JRRNL2DjeXZYiTPEAdcEZHf_fuQ9D19MOzMHQo6g_MFruzR_sz2qEKxs21tw2EKx3D4=w1200|https://lh3.googleusercontent.com/pw/AP1GczNigyDQ2CNvH_NTx2xY6QTihZJjuSnUrNmyzz8H5JGQ7TaSnexvWWS4uZqVorQ6XUM8d5Oh1lTtkrI1sKtt7Ho0uv9ThLhBwDdWOA0b84XZAuOM2IWF=w1200|https://lh3.googleusercontent.com/pw/AP1GczMd9JWChipyv44nj-vqW-0ZQqF6KfEOoeUrddejJqs_f0WRr38C5tZoRLiIQgWKPhAqsu-InodwkSLucJvqYmESsW6GFeFliWW8XRWA5tqK96E647HA=w1200|https://lh3.googleusercontent.com/pw/AP1GczMyNErFHCQymTGj71UzPlw64pi8-WsNIZBiBDkr2alUWcBOX7mTnIy8To-4WYrS7uiBdnqiWEGaS2Ims3kGVE9a1CMAZMnxvTPuy1zBq232Us-Xu_8C=w1200|https://lh3.googleusercontent.com/pw/AP1GczOiMv3Mr2Lz-IP7vcxYPptXyWctoJGUL8lq7VVoyxilfBhYa0PcDGn3UO6vb2iWJTNzPYoFfNTxQ3CAkO3jKNlj6WZanlW4k0EGHO2LFV8tfHS6MlbH=w1200|https://lh3.googleusercontent.com/pw/AP1GczN2G-wzKdjra1CXnejOeHs7B05q5Euco9rW62_WnXBp2fF6AeSj9-7kptETFj5EgaZsYAESDZmODYTeGmY9ZK_z3GDT5brSAXwVHAYQ52PnVBiONTTZ=w1200|https://lh3.googleusercontent.com/pw/AP1GczMaQ3wxG0eTD5Uz_WeaIHLijyFpStdw7ucBe5AYcIxLNiqfRuTXdIBxCuu8cVX3DlI8HVeQQR1wDi3vf7VqeMMC2OgqPQRkeQfeC6HpQczSLI5JYv2H=w1200|https://lh3.googleusercontent.com/pw/AP1GczPPai3wD3izlvKKsPhlgUMbzjtAbU5VjEK5Ch_LTp-38hqCTArcpVC7QW8kGEqPnsovhoVOPR32SAqIobuimsjCbv9KJ6aEzmaiEcczaCSnvFYDGE2U=w1200|https://lh3.googleusercontent.com/pw/AP1GczO4ivkjFWH41Top_VDDG3aPtZa6tjutcnuyLO_FY5BOYBRsaOVfmgYf8gpIVP-8S6qXpAnAucv9h8Fht_97HWZgW4TdEuy_-pXScKNm0vPzFa3He_Hh=w1200|https://lh3.googleusercontent.com/pw/AP1GczP8AvPXQY2pFGJ6oAPmlqNWbvdGGBX2GpDk9buM2NDX_ifpLrYmfhP770Cw8TU4XSRUvs3FH_20LZbQJVvB7j_IArs3R3X4pQZT0iOQ4rxbikhzWNmP=w1200|https://lh3.googleusercontent.com/pw/AP1GczODFH4fuIj9MTSLzEEBC-iWO1hziBZu8qWmwCwVdmsUnfS_hfnJ51ZcuMNTakF5brza5DeC-_H_inBoMqBaXLzGR1SwLVLp6oYrCCHwO-QQGmnoxw1T=w1200|https://lh3.googleusercontent.com/pw/AP1GczOGcM-OgwyJdORqCexCks2XbqbuxIlaVeH-7YclWI5C9U0PTouGUna1nfkOlSHVQL0Gu1ompUD4sJElVjk1MfwDmReLzwkITPZO5WjRKCqGFU8kA81q=w1200|https://lh3.googleusercontent.com/pw/AP1GczP7CZKrzV8QDhItrABSljY2R0eJn-it-Tilpd4znjbmDy6aleLdd-6LBcR-XWbbKgASHGK-Qer8KDtQs6U4G_cs8gFKGlscPNGvUYpsETymOBZ7XlQ2=w1200|https://lh3.googleusercontent.com/pw/AP1GczMte8NMyEg4ZqdPUaoG7Fvb-neJLEp9p0jf3A7AAfPJSkAsFdrsH3hx51aprxw9h8SIfxjFD1Om7fJr9wS06jCSRpu7EM44jLpFuiIJ3HsISARF5JEG=w1200|https://lh3.googleusercontent.com/pw/AP1GczOY7Vb0t4A74wNuTZtetGZoqJU-vIF_8MaqEwhWGKGYWXaZlLsVs0A7npY5YxbcyGXfxmJN5301Iljw_7AbI4EM9__q8W2Al5ORdNE_5my66H4Ue2v6=w1200|https://lh3.googleusercontent.com/pw/AP1GczPijpEmbwWouuTs8e5XGAOyGlLyANzPGCs0z8Mt9KV330PzRRQbjUr4XdbRKm-68o8REJRIUCmMriKptf8ucGzWzxf0H2EUnj24vaNTsd8kVPal5lBK=w1200|https://lh3.googleusercontent.com/pw/AP1GczPjDdzStF1kPL1Y0ur-jFC3J_7tgEqPlGDjG2QhAAOf4tBabJwXZI8wlhkGAG9cYSuqfaUJSEf3OvAv6Klt_mmoWk1fEbuFMhpEyBQTi59p_xLr2ANZ=w1200|https://lh3.googleusercontent.com/pw/AP1GczMUKDnpqugnTs_qi_ZGo88EzDrk4qE7VNuZbTIeWAKumtIWsyWI70_3pcUApPWE7i-F2zuOlDL5lU-jXg3oWSSJJgi_vhzLU6eU14yJRDQqsfNyLZ2m=w1200|https://lh3.googleusercontent.com/pw/AP1GczMB7l6k5T_PYCsR3LHJVwGLpSr3bhMNSuF_7JXdAWhTGJK0ZZOuSVJkYJaP7UoLtIYHOv_kOR-OezUwV6_rTjd66x4P5DMzjn5jZOpeU03s8WyaCnzJ=w1200|https://lh3.googleusercontent.com/pw/AP1GczO0tjVC8TycH97OaYFcj-5hJCfJnqmsgwBZ9dwdZkPwMDeWpa8CeWcgGGqDb7p1yp9Q4sUAm2s-A9n31ZZRsGiUrjdyqohzcqYQU9i_yEZpoh9tiEB8=w1200|https://lh3.googleusercontent.com/pw/AP1GczMUcV5JhOk5oSCWv3JSaOvc0wjC8iSyxCocBM2dQ_XXW7nnfobVW7a4SP3kg6Ob0aM_jOr9Pn-NZkvxBkBrAzcbzkpZwktODEBP0N-_MbwEfTUIngvn=w1200|https://lh3.googleusercontent.com/pw/AP1GczNbUQMgQ8acsAc-irrj7ZX9zkn0WnrOJNsx6SlvC8dJypEBVxzUjOH-ZizquGO6jcIKkPgD7JipmXJ5EWmpkGdN4n_ktygkRbrPfGt44-20SyOV5LsY=w1200|https://lh3.googleusercontent.com/pw/AP1GczOQIdft5nPcoT4O3CtXuqtWGi4pos0Kaf_PYmyJb8pofZPty9-cqxPGGWSu899tjn1P97KwDXKV4QaimCavQgeyCLT0dGgiIKF7Y6imUC6AG5xtc2I4=w1200|https://lh3.googleusercontent.com/pw/AP1GczPEjCFqHund3sCHdNDcN9SUEb936KEze44aOZTkKgSxFFAt41YNn-I2FC2wK70csglC-wQZl5x8m2wapKDmVKIzAlJuQpA258rx087GpzMROB9uBND9=w1200|https://lh3.googleusercontent.com/pw/AP1GczPNsi4N9Vr6LCCrv2a2XH-uG7311fJdPziJhi6BwDCUwnQwjljN77IufiyocKCLn-wX0fkkQi5f0hRFYFFao_guBqFaQZZw5PcRwLR2KAb98Z_KboD7=w1200|https://lh3.googleusercontent.com/pw/AP1GczMY4bTQTnMo31-13WMbeCAnB1EJSbLw_7gzzEkhzOYLDaIihWd-0Z-DKTKlfYBM0pwrPD0p66K9eXpQo8bcWhw-8RqHHfSJ8-o1KSSMkcbF7CuAvXSM=w1200|https://lh3.googleusercontent.com/pw/AP1GczOZ67HsDQlkOTe8qDO57tjclSuGMnU3heeto3B4uakKpeQ4KnmSDs5DIN7Ow6yxC3HBhPfg9HPgDyzvS4O7CH6N9GNwOtWoTAI1YWEdmAx1fDJd5iUx=w1200|https://lh3.googleusercontent.com/pw/AP1GczOSNFRe5KGgEfXFAmHWtbgWfSDNPqqSxCQ4XGu6_o8ufzl2MfjN4ftOJqsTwt4rlA44HtWgLE4DNx792DHJbUh-hz_FEYwyUw7bLnIzBTL1nQp4rQF4=w1200|https://lh3.googleusercontent.com/pw/AP1GczPBivX5hgfV0fTkz-CSeGK517LLqoGIEAfM9v42Lnx5S73TwLIa3nDIQ_iqndNvPFgsOA6pFxfbU5nHTkVV0QJf7ofKxyu_6RZvdXd7hjisWMZXIaXD=w1200|https://lh3.googleusercontent.com/pw/AP1GczNMnPWstWXlUGVLUVzg_Mx4gnmH75a7akV5Lc7Xv45RvTeQeDd4r8TlDaJD037Mq_qCnDo3qWNjvT7tLUhIBRMbzQoEC0zXqnNXtP1wKIyD7FWppveb=w1200|https://lh3.googleusercontent.com/pw/AP1GczOXA6a6FmHeI83e-C0gKDNvKqlYP48kjrH5Z_Kx3T9c3aPxFOEKPj5yZrjRxE8-6h5nCcjAWzHbUFbb7JioQFT-1vhlhxaGqYyyGxVRyJIKzaIiA6c0=w1200|https://lh3.googleusercontent.com/pw/AP1GczOr8FPUO68PvfaDTEXHCFMy7GlLOKv1XVzjrJNOzKdLYP5X_HDKMSdiNQnZb5GfCwhcZIHlEG_nuPTAGJ1wyGb1TK35itkzoM3J0klTVwdID_ueTmSB=w1200|https://lh3.googleusercontent.com/pw/AP1GczOYoYESUGcWvHQ9upGKj_RebIkAdXLGa8-xsSDILQWErxnvF0eCodMGRUVzJBqsCvVsehEyQ1U2-h2Le22iKd9LFgV0rOpQAm_OJmN8pgpAdTP-s5XI=w1200|https://lh3.googleusercontent.com/pw/AP1GczPbldLd5ir2UZe4CH7fA_wU6YwAvi7hb-d4bqkzJYQQ0v0UgWDH7L9wiwahEAfFD9RBKLppVisCCS9F0raVla4L9sGXWKTriijGUu0dzmOlTLcUHD5s=w1200|https://lh3.googleusercontent.com/pw/AP1GczPBYGjbJi0HpD4Tf_xrMV7J5qAgeODVirg_zQ1PKq-uE-HLMA884ISSufMjfXpcW-F8Zm_OrlWe70FYtwZCGsyPs-ajzk9dXDLhr5ZumikAJ981qEOD=w1200|https://lh3.googleusercontent.com/pw/AP1GczMEdohkzI-83pOXta5BiosdiB8S9GzGvKe0G2W2Qe1_IJMpVgdNWoClPSkD-t-Un68Oehkuygj2SE3Htflw8K2-TOjFTjMgwVaU-3aAjcKpmehaG45E=w1200|https://lh3.googleusercontent.com/pw/AP1GczPzIx0HsZVcKcTj6bLcjD5xZxYKcunjWMMsaCRiOGkUGm1lvLijb_c_t_Hr--wBYsTZuXHbnx_tz8mrDdSNw71jt0r7NMJdie6o_Z9C869khQrnwIBD=w1200|https://lh3.googleusercontent.com/pw/AP1GczP2xlHGqbLUIedxOLg2pIBF-i7upYA4WiKjvdvW0PMX3BWYztUqkxG7RAMBK2jDUaSNQWKxtovMp7ZNCD2D1Fh4Ogqyes7-o8aDmoMFmLOGuLp_FySO=w1200|https://lh3.googleusercontent.com/pw/AP1GczNe3qxlXsFah4tgEB8673M-zcyf-aRWs1_3OOwdLpLgZtRvHY-PTFSpoBOrhD3ctG05L1fEQcZEYdpOSsiUtc29z462aFhjynDH2wKHaK5-1c0Vh3IO=w1200|https://lh3.googleusercontent.com/pw/AP1GczP4skUVzW3OzXVK-uleaqDyx2450DUAedppdHGaSSpX5LQMPzftj4UfUFqRa7R02HxGSTbNZstU5yBpRa2fMCWnWZ_H9PiYzRGL7mMMH6uDwpPeIdKA=w1200|https://lh3.googleusercontent.com/pw/AP1GczNvQFhWWdnEyDffwUrdIF9J8qJ_RYcUi3A-442EMRZYNyuFkcsSgSDKQ454NTJuzCi0Qc7SWs7jWJ1xUmoRHO3BfAIP1AuohhcEmNULBtus5Px7Zt17=w1200|https://lh3.googleusercontent.com/pw/AP1GczMXCE1h0IypoJP_TAbob8vsF7N3LbSeckODFcD4IXETT79AcZ9dD2ONz4NERr626FA0yjK_uwDchAIK6-zdEggP0UkCQtwPxFjdORwot0jJEJazxCyt=w1200|https://lh3.googleusercontent.com/pw/AP1GczMF8XerZLoKj8SlSMe47lRG7iDxGCAusjv2zE1qxIG3o3HHOY4YVu6nj9a4qH9YNeZo5Sj7_W3ZyzOHgK25RR0I0kRTuJnae7oLBi0gyLhGUT1pZmIv=w1200|https://lh3.googleusercontent.com/pw/AP1GczOeL7Dtp1dUzSw5zbV4QJHevo9DK95pZqYkn2v10U-kL_oVpdcQFkjLNDM9GDYRYxxD2hTnq5Hsu96ypgwVrR9KiZQ378ON_QCyH5_RSmm8wzpijSgd=w1200|https://lh3.googleusercontent.com/pw/AP1GczP9yEbnyoOP3bV_7KLIayV8Mk9gLVrea6-MWcyP74qaXShntvuXG68L6nT46EWBAae__0rlNC7HhigMPcQ9Sio1gGdi1VieD75dBdMoPiOY0CLdbMOl=w1200|https://lh3.googleusercontent.com/pw/AP1GczNAeWnWJPzbpT_CsGBYElHgzTGve1B80VW8rzv00OqlhwUfhsGVW6IwWlvLZcAiLIQlTwAwhjnfrYafhnPPDdcrTBCxRJ-gtqV36iLHlIBlJjhXS5BJ=w1200|https://lh3.googleusercontent.com/pw/AP1GczNtzXqCzFlwhYKukjXnyVo6NTto1pPdgdVypB1BtpMr1f6alZMTvJjDichcbMkJiuOa-cUKBXQLbPlP59LZcT-__lNFuhELbuPDJqNc53RwAsWRC2DR=w1200|https://lh3.googleusercontent.com/pw/AP1GczMVFtgmuKMSHkMm_uIs_fGivixBztYxgGV6OxEN7m1zKxFjhK40tn0vU1vEdNTBmW4ni1v8gnMiEevZisZfZYYnpXdezxvltOcHVGMR2WzHuE3JZLyY=w1200|https://lh3.googleusercontent.com/pw/AP1GczOkCSljWH3Z0KBgcKb0INVekjfo37pmykTL9auJeByusd-WwIQvLoapLFXoes4-6VD-xQ2HRQUDrMh_mFWyGq71inz2KVTiKTYlmyizUDGik7c8h9qn=w1200|https://lh3.googleusercontent.com/pw/AP1GczPbbtjkmZp7-AdEfA96WxeFn8hsahNGqX3IUX-VfO0857YpJ33L-Wlmv7pNqAgSuq9vc7sw3rCbZ4HoODWS3sjai-OXZgSukZ713rerKN4f1NIvcuse=w1200|https://lh3.googleusercontent.com/pw/AP1GczPWRZcMxnXuyQEQMYSBq8zvLHG46pJdmSddkEjYr60sVoxBzzA9eIh3vMb5LtqbLAoZlcdLoWL5ouAIlMqnUe8Cb9RTgAXVPERvoTMj2FWKYWPQWRHz=w1200</t>
    </r>
  </si>
  <si>
    <t>806</t>
  </si>
  <si>
    <t>Finca ganadera en Santa María - Huila</t>
  </si>
  <si>
    <t>Santa María</t>
  </si>
  <si>
    <t>https://photos.app.goo.gl/nc6T15SXSgEHYwfR7</t>
  </si>
  <si>
    <t>Finca cuenta con hectáreas de conservación bosque nativo que no se cuenta. Topografía: ondulada. Altura: 2.530 msnm. Carga 80 animales. Corrales: en madera, estructura de la cubierta en hierro. Agua: Propias, nacederos y una quebrada que baña la finca. Potreros: 44. Casas: 2 (principal y mayordomo)). Servicios: Energía eléctrica, internet, pozo septico. Pastos: quicuyo y poa.Vía. La vía principal para el sur del Tolima, pasa por la finca.</t>
  </si>
  <si>
    <t>Distancias: De la finca al municipio Santa María 22 kms. Al colegio 15 minutos. A la escuela del Huila 5 minutos. A la escuela del Tolima 15 minutos. Establo: piso en tierra y un brete pequeño. Embarcadero: No. Cultivos: 2.000 plántulas de tomate de arbol en 2 etapas y unas 300 matas de mora. Algunas cercas de la finca ya tienen sembrados eucaliptos. Proyecto: Tiene excelentes agua para proyectos de trucha, ya estan los huecos.</t>
  </si>
  <si>
    <t>DIEGO CASTAÑO</t>
  </si>
  <si>
    <t>38 - MARIO MUNAR, 24 - FERNEY PIÑEROS Y LEIDY</t>
  </si>
  <si>
    <t>https://lh3.googleusercontent.com/pw/AP1GczN3S4LEfc-JadjFnQytwXFTMoNTLgIub0_i2bSl1KtMYhY1Di2-BmRqBUgcmNGloqjN2qFBTWn5p3-YL3yZzymuMr6m-Qhiy-sBryUuSumAP0R_W2c=w1200|https://lh3.googleusercontent.com/pw/AP1GczMtUDdupggiZDA7jhbChq4JhJAoVEtp7hV1cPvX1-9VG_T150gxSmg5PgzS9WWPH6nZL7SMVpFzLPVUHp15F4D2t95c3VLxW2BU70b0ySnBTV9rJ40=w1200|https://lh3.googleusercontent.com/pw/AP1GczO4DOCjs97K_k4Qh54NyRU3iIEQ2_87FhPznoUYa2Ji_7IjqnJQQgBf9uQUTqvSlUBf44oVCi5YOOueAc5x-WhYjvxzdseuSJGwzv0YO3NyGirveGY=w1200|https://lh3.googleusercontent.com/pw/AP1GczPSb5z8H9UUlHOpk-wRiSGpnk0UVAfKN9Xh5SVAC7YRdhWNGX5axMyv7mFW2_zf1IgpTjD7-hSpp40gvtc18zZ-TS1YaJIgKwoCtY1OZFnJh0_Ddpo=w1200|https://lh3.googleusercontent.com/pw/AP1GczNPQ4BSUmZPgptDmDsStLT93T3JE2XCbGdmRmqGrbG-nHlFXilsqm0ECUHiklQpxIn6D3e5LTK-f1x4Qz-ZvvJRXHrJHtDAtVXIEYg4wqTPSp1cXIE=w1200|https://lh3.googleusercontent.com/pw/AP1GczPcR3vGMWr8fy5hbHAzJC8Gw594y47mACDjlqSJ6coxyhwvnv-j5CFNk8Y29kifoupp7JISgL9jUXTeKlSCUevEs6p3SqI_16OM07MH0YfXayf8jVo=w1200|https://lh3.googleusercontent.com/pw/AP1GczMQd-D5vsCwqZ3E_v-eOhN2jupseEDCCPdc4ijIeijcBtmNGurKTFeB2SxqJ3N-yBrztKLMNZGan7CKNU_qPU3h8miMGkLhrFQgVXPB9kiUAbkaTqw=w1200|https://lh3.googleusercontent.com/pw/AP1GczOBhuooBmyDzbYuRnxGnin4lrQ15SgvriGlf-2yakckre_QAL_CjJ-IyaD160g6PDhwhTYNVHC-rRod-4HKK2ZaF7Z4yhr53XG5xWgaQBqA0ThJeek=w1200|https://lh3.googleusercontent.com/pw/AP1GczNtwsx_w32rY0zd1elBv--lK8hM1hQvb4GIP4lXiF0bf2Cdwt0Fp9CBIadHuynckTTSWdlixT6qTsLjKm4TR4Zc_vHdIjQIq_DayOahNHh2sWyde4c=w1200|https://lh3.googleusercontent.com/pw/AP1GczOzTWwd4vTZyAv4rwXM6SN-KeI_OyoE-yU4LUkbAnQxtpmiRbJ6pXw0LQR98eWkYiNTVy6daOkZoMXfodacSXoLshjyDfwbCUO5Ge3cSWQop7-BerE=w1200|https://lh3.googleusercontent.com/pw/AP1GczO2P-FeXD7DihdilL3CZSicUAEZt1tKGUHt-6KzgpQ0ioJ8vmVSAYgOB6wNsO-HGDf3jKd0quhgPN_PBcPblkV46VigZgJkY23jRDibznLJ7dSVjlA=w1200|https://lh3.googleusercontent.com/pw/AP1GczO3mu3HhpY24QCxMxepNTHD0F7MZuwjef0AINn8Q4aw7NSsRwIAxMfywDHeEiEFCLzrHppzh3lgHzoK8D7ieYrlcF6_aU90Wwf-QVdf49zG1u94EHw=w1200|https://lh3.googleusercontent.com/pw/AP1GczOHyOMbMb2SgzODAusQ3Cfc06qr0fgE2oZ1yzkdwSTExs3pXTbwWPrDY7neFwcTpkSFwjQzPrVeUK-ipBVNVJL0FAjsyrbXSAVBSdngNkbfXlatVwU=w1200|https://lh3.googleusercontent.com/pw/AP1GczPcC8JfnvWATucv0DUCdaSRuWvFEQI60EyFfSaU2S-pKcO_RvR_gBLCNBI7YosaB8UgYZRjlCHZIHQA4frbt9Xon0FS3Huvirz1wTlD6ksXT7sMJ9U=w1200|https://lh3.googleusercontent.com/pw/AP1GczPhhzx2HzPNpAe5N4wCGtSG8Z3FMc57nf1MzkcEpiXDa50fUXK4620GZd43-YB8petvKIr-eulBCfnOxVwJNJtpe3fzKxM3uLG5gdr_mEPACQrW9e4=w1200|https://lh3.googleusercontent.com/pw/AP1GczOlCqb6zngW9M9U_skXPHYW14fCFSqur0DoFk_doNTdK67avEzfF2oQIRU_lL2emPoFwPKwBxFRQGpS-Z69aoODs99s0co05M76c4ToEsqGRgnHv6c=w1200|https://lh3.googleusercontent.com/pw/AP1GczM5TYFzSJczxeHMjP9_g8pueV3Minl4mp6ETfMbr7LFSwkLIQVAjlqFOL1X9swKPkTrEj6Cv1lwoZiNGy4PAAxyFWrEtpu3AInHwF6DJLt8u8sxL2E=w1200|https://lh3.googleusercontent.com/pw/AP1GczMNrd79dLfpXB5Ddl7zDo-jUUugftGRzZ74PHcJLFBktolrYQRLgAOdEFYQIlfhA70r06rARF6-vPmFfIN6HViJMAQDdWCnj5-w-iGq0GUVHmhcnB4=w1200|https://lh3.googleusercontent.com/pw/AP1GczODJlWeYlRel6THe7kjpjYcjR1Ij721OZ0qkZfsqzTX8y8AnuwsNiZaXyFhxEl9F2q09GXdDzU6zdC_h_H_o_yVVQvSPKBFYEHElsMVkPpjXODDDgE=w1200|https://lh3.googleusercontent.com/pw/AP1GczPc2VZOWM-VFC3C_dP7ZqCBZN2fdGwHdNJWBP0xbGL-NN02rOQ8qvQt8Cb_eplPkyrZsGuywIp0hrTnbs2TlG1KEDo3YnXtQiNa_fjC03QyKFMk7w0=w1200|https://lh3.googleusercontent.com/pw/AP1GczNG_hQ-ZqRN-cUtd8bqQk9MppPO5vojII1JLKHrohvQELr4OKEi0Px2hfeesXxrslmY-3kNgWW9siC6KJeY0ayaCFIhzhM4sZ5t2fCyGYS7973pLYY=w1200|https://lh3.googleusercontent.com/pw/AP1GczNju8hr0cRtxWEhNj6tpc5Ykqh4JhhDSly382CuMV0QpfP3Tl_DJ0aGJOa4Q3ft-ryp6HoNZwf8jAkQ2RSCmJxSAaagHKJsbf8Xvub3VPTEc5LhJ5w=w1200|https://lh3.googleusercontent.com/pw/AP1GczNvUBHiM1JlSjFFb7D81wjp_AjQtbo8yksC1Ycydyrj5zSo9G8xAnx9ILu9c6MDtPWof7Myp0eo25PpqwKktSZZ29vKBM_-Wsuowkw7ubv80B5z2fk=w1200|https://lh3.googleusercontent.com/pw/AP1GczNqYVUMGDQEbjWmXZ50-wiTrF6U0t0W3Ig4lXmwt6GOqIXGi71Ww2zUMtFufyiXw_7Wt2E_ZsxN_em6EVB-wbcmN87-0WpHI1RnVRk5GPf8OlCY50w=w1200|https://lh3.googleusercontent.com/pw/AP1GczP0LqwJBFLBeKjJubCxWNiiOD9N4DggPD9PKJAvgh8bgitKexpxIpdAEyrygmR669RSe6QC59uv5yWMRHHggninuWIHLA9BpDzgL_OlDt1lI0I3qNk3=w1200</t>
  </si>
  <si>
    <t>807</t>
  </si>
  <si>
    <t>Finca ganadera en Alto Juncal, Palermo - Huila</t>
  </si>
  <si>
    <t>https://photos.app.goo.gl/WU262hfaFgyP4zDq6</t>
  </si>
  <si>
    <t>Finca de 10 has. Topografía plana. Carga 15 cabezas.  Corrales para ganado en tubo y cemento, comederos y bebederos. Areas auxiliares: Una habitación para maquina pica pasto, capilla, 2 salones para eventos, piscina privada, una tienda con barra, un salón mirador con baño y Bbq y horno de barro. Cuenta con 2 casas (Principal y mayordomo).</t>
  </si>
  <si>
    <t>Agua: Acueducto veredal,  2 Aljibes de 1" c/u, Quebrada la Sardinata, pasa por la mitad de la finca. Listo el estudio para nuevo punto de 2" a perforar con bomba tipo lapicero y energía solar. Vía: Cuenta con vía hasta la casa. Distancias: De la finca a Neiva 35 minutos, de la finca a la vía principal 6 kms - 20 minutos. Cultivos: 120 palos de limon, plátano y yuca. Cuenta con marraneras y gallineros.</t>
  </si>
  <si>
    <t>JOSE JOAQUIN PUENTES</t>
  </si>
  <si>
    <t>https://lh3.googleusercontent.com/pw/AP1GczPvtwiuNDOgiTRIB2nJLru4-A_INBgCVKJbeosGi6NuFcM3hkv5L81zriPr4-hbfzdI0yK8xRF1iYvon3inumZ_qxQZ0gKpKFTkvXEUZHsWte_ABz6l=w1200|https://lh3.googleusercontent.com/pw/AP1GczP2D3cVF21v4ardtxU6U6ifrohzaDvSsvmAmIe-J-dwsa2osvY7nQf3OUI2CQNhi26GH1ZfbCUXjjq6O4_OqzWS_NmXSqWOrxYG2W4gfXNzJ1FZ9Q3L=w1200|https://lh3.googleusercontent.com/pw/AP1GczMBQTUZ_xT3hFxwMhR7jn7YVmm5nwBq7PrCHuh4FEU2aWy8BKghAp9E9FpOxEW2k4RoxNB-4EGzlVodPZa-wSmH5wPpiOSVwFC1W1Yx538uqq-rCPET=w1200|https://lh3.googleusercontent.com/pw/AP1GczNbjk1fQ2st6FVP_erILFQ6QXaUKIWPHSk3Ae4OBVGNM6Co_kywqUWpX--eDjXgV823KAQG9AN4UcCuY2wwrL2g2xS1dn9VpQs-5LZZDzh5cCbeXfXE=w1200|https://lh3.googleusercontent.com/pw/AP1GczMq8qJVIRBWCvWJknyVzFxFDtnXzrvvuhR6gGwTSvucxippupv__iDWsSKJoseNaXkMCtW4ZgEabwOcwyA-spLnQl5CWyc8OE1vF8l6pObZOywYnp65=w1200|https://lh3.googleusercontent.com/pw/AP1GczOnr3EfbYtEVxdWzUDakTSZe9a_H7N8mw8gWSmvzqf5FSpIjbFu4SpKF930MxFWip-ydc2DczNO0MuuOKv__VJ9csKp7mbaSZGWPLEbq5oyGj7v-pNW=w1200|https://lh3.googleusercontent.com/pw/AP1GczOqWbtPfEPvS7Wgrx9N9t4NuEXBYOPcxl6F5G9c-sf6onoKTJI6-Ql-Y5SFeUXSnrVH1y2jzu25gHQbi8wvMYemcJ-rj1RQK66sU9ul5tdc_9F2RBIU=w1200|https://lh3.googleusercontent.com/pw/AP1GczO2jSmNoKLGLeljBZX3Igg7_k2sKLfqKIwRPn_7sIcZs_fQV0iUXY3eMc0wLZ6NM2sVLk5XEDMo2Jou5DlQhT1kDYrLTZ7rfzlEJ-Ob-3tTiccjMy-p=w1200|https://lh3.googleusercontent.com/pw/AP1GczPMvDs0v5YDTiU0poSs2WK564AjPNpu96-QMi0plwDy5sQMrGwMJGtBt1kE6j8h5jWgxkZvpdHaqms4Zd60wRQg3cTuwUX7IvHlgyYh2zPhwIuABTQq=w1200|https://lh3.googleusercontent.com/pw/AP1GczP0M76qNdMEk7hwd9fZpS2YBKLrRGBVmTKSA-OFr8xbILLkji0ozANvv4BeaIKAX3ZchBo7VGe9_YetthfyVYUTPuxegPC6wTY58K9nwGv54EPpWvde=w1200|https://lh3.googleusercontent.com/pw/AP1GczPSmNWUXaLqwWEgsYR9f1tg7nETQudxZxVym3Zfx9WNZkb21IesvzsMwAF_2hCg5I2Upow7rxrcd_xR81f5ftD09NxDmNlTiLez9aiVOa6qBF5kdalT=w1200|https://lh3.googleusercontent.com/pw/AP1GczPB--1SJUHCSCWToe2m0bLYlJ_-kxgbbxNagpNueLileU8GxrljvJ5CWx3mSfZe20ROZAWENsA-jHe_qWlpPpquOu_cegP4N3NPP-C0TcZQ5B5oBW0u=w1200|https://lh3.googleusercontent.com/pw/AP1GczOmYRQ49vHaGWG_kj9HCvyg9JpmIQFMrnXHyYM3eHEpb3zPCBqhjzXyasN3ORlHOvkgyvXyji1D0FiQ5K2EyfegQtL-LWa6dT8588LB0iKdRzh2t-RU=w1200|https://lh3.googleusercontent.com/pw/AP1GczMU8qnhx_BrVvj4t526epizG_ZhtbDvc5twQcl7XYi35v1ZNeAMq5toA_-UUupO2rFOcTSYDfo1oH9GlQ2XAwWfJy99WJeCYugz0CHsAGfnUsVDSe9E=w1200|https://lh3.googleusercontent.com/pw/AP1GczNzezfGhXmxvqGfuedcb4mhylyvw10_qF8IUG2JGxxfsBeb1FsfRBFJUmZNLRIGV9MAnLwngfC6vVf8tlhvKfNuggD4rlJ3Mnnx9Z3Xxmsc2HytxPNL=w1200|https://lh3.googleusercontent.com/pw/AP1GczO9iHvtaEeROfkxpEVTWrjqIDpQh_CHefxYt3WTLJGq3ZoHGexZ8AtAFmDCSQ42UJfpz3MWCoBUyOAjHnKUH6Cnc0QR7a5j9Wu0F3Y4Y4n8bBooGA2o=w1200|https://lh3.googleusercontent.com/pw/AP1GczO153XiwV1qXWcG-pcn3pAGzhOezciTwJY6pAMLvQKHRy_Y_FxxTRYvY5afC7QxCcMyH9bjhWxjYLUZ7j2tjEO2g7wMtQovhnTQ7pFbqL1l80yvxlU5=w1200|https://lh3.googleusercontent.com/pw/AP1GczPPtjswgjTMaRzuHeaJiXdznlM08joe9fMLAhGCRumVYTrDnaxkGtBae7968viYHDUBohke5FJhhdFiYo_vnvT6_nhuL-ohydK2s17LselUcgdNfQHv=w1200|https://lh3.googleusercontent.com/pw/AP1GczObfNJ2xVrzlkW18lamp8i0asNAmXnRU3ibVFE9gYYfCB8_Nv9v5OFprhy_khjJSq8ZBsE3uOoJ47jNWK8PICZAc-SRdFhrOKH88HacooLF4f0zrkQ-=w1200|https://lh3.googleusercontent.com/pw/AP1GczPXa8Z490SlEMwYMR1D5Z_ReG5LDfYfl9y7wCIpPnsBcW4kc-FEIZe2VEEFq6P6W59Bz1neDOWpLmwhxv0sKdPHAMs435o9SubJrbY5dq3a40bK38Rt=w1200|https://lh3.googleusercontent.com/pw/AP1GczPe0tMTd98fkA7sIimWCdtOWHFULq8m0UKCumsIzmX3xGkqPsjI53a253Sgl6GR4QcsShalXtP6_EWod6SQKWCtILJUtVeGdjMpAeIOXWPicQz5BPAJ=w1200|https://lh3.googleusercontent.com/pw/AP1GczOdwuhjupwh2yCHMMWXwhEbiuW775eFu8TAn3Cou5bTK54hck_71zkF3K-NUTTzz9FcyX88f-B4IPlyTuhDEpx6i1PoqcD2w1cQj7dkP2-7gHwf4jHD=w1200|https://lh3.googleusercontent.com/pw/AP1GczOLOIYRH3ht8Uqiv5PIzmrEm05EVkLJp6UMkAUzS3dJnCHXarV3Yl-k-NJsa-ES0Qvp7DDcbx16AbaUxOjIPQ6_1fL0_KKSqosYYuRYpYOg2VtSbkv8=w1200|https://lh3.googleusercontent.com/pw/AP1GczOjQZT2BUyLAxd-kIyHycLMW7Reao0dLugFYjdNLnqUJn-M2xYCKVwvMo0uP5OKXkVSTZG6zWZgm6o23-v6FbjnCFm8nZmZEvkMTOFP5NeT0RPo-xyk=w1200|https://lh3.googleusercontent.com/pw/AP1GczOmb2n4b1X1LKIBXH8ZI4qzjKteMUaPVarvI4QMutSOAJJGZzTl5yOKWh3ZPjKYb6BQ4C8Sq_3Pqzi9bn9IUPQXbC05de0bGX7k2tzvjhOHkUlOAomF=w1200|https://lh3.googleusercontent.com/pw/AP1GczPpPNFHJ0cNNs04KZJkFIdFgCOb5JdRyUC-jbaqLwWAc9CMf8XbyLFWQE6swdpxJ47WtOB-9D8p-EuZhkIaTMLs6droIatxQH5lnfhp7S8PhiW3B7Q-=w1200|https://lh3.googleusercontent.com/pw/AP1GczNuc1ZfPdhzq_Wfm0hjRxedxM-YkKdOVqRwMRvOc-vlv_42mvkYC2kpMepWFHuseLJzyTC1iU7M7rQy3iOCNj2JlVR7CiRcAQ6eV8u_IHkyubdUbLsg=w1200|https://lh3.googleusercontent.com/pw/AP1GczNxskc1W7ttYKx6VBvDHAGMl-8WnKJj8Tma562Zjmbx7xMUBTJuZmOMdz5kjuBPNcoJ4n7rW3BfVAtBvtPpL92D7EX1-PNIQ39NwQAgUavE4eWAHMLi=w1200|https://lh3.googleusercontent.com/pw/AP1GczPqMWugpfjcI1VXXz_erV6Kt4i_22lTQk1Qa1guBFMaeGhOeOOEigc_x-8VzYQnXYWpSOJGix5lDnQjiFgxlXFXIQSrRkqlrcXOtwlHOqCjCP7KFORP=w1200|https://lh3.googleusercontent.com/pw/AP1GczOhEW-EVqbMnqearxLpL3K42hjKAo1zCvk_3bAlrZ-Q6E9YvoGFNtHy68FGzQkQha8zQB4wjyAboGO0fwmCWHKSkiMbQQ2xDyVR0UbsMrn1zL1BmShX=w1200|https://lh3.googleusercontent.com/pw/AP1GczMGge0lkWEDRWz0CA4---owXwAI693kdA32Y5oIB7a_13FqqjnhgFqGu7RPh5DbeKgNWuVYHO_1VDL9JU5l844NvpsRR7G4URyJu4EDp05UEPW7kVYu=w1200</t>
  </si>
  <si>
    <t>575</t>
  </si>
  <si>
    <t>Casa campestre en El Triunfo - Caguan</t>
  </si>
  <si>
    <t>Caguan</t>
  </si>
  <si>
    <t>https://photos.app.goo.gl/VKUqH9iCu4r1Cafg7</t>
  </si>
  <si>
    <t>El Triunfo</t>
  </si>
  <si>
    <t>MAURICIO ESLAVA</t>
  </si>
  <si>
    <t>EL MIRADOR</t>
  </si>
  <si>
    <t>https://lh3.googleusercontent.com/pw/AP1GczPtQAmDgx6ohYBN_rJNGu8lLezbM2P-Gx6VfsPkgFDBN-n4fnHJki1SX5kv6u6sir5qG8AcSVdU9KgnVt7iDwjw0haOcudfjQJRqqcd_kYUZgBNIIYm=w1200|https://lh3.googleusercontent.com/pw/AP1GczPppTGg17CRUXhCWn66Sk2lKYK26aSPdyaKZHRKZUvUdWIt8kSZRpUVWkAwEXsOHL8mUTtglmgUej8Za0InVJVqmE0CETR3HXTrpxEtG3Y3qfC_MyHL=w1200|https://lh3.googleusercontent.com/pw/AP1GczOvwuAtq9Km-BQ-VKnalmBGfQ3z9kGSv7Uji9DZ8w3ZMsJlySSD0DO1lUZZMcfadzhJ-Eo_mxMZD3Y-BVaFylCrAhbsZs96-uYayn7nVS5XAlwxh0sH=w1200|https://lh3.googleusercontent.com/pw/AP1GczOpbNJnEbYZprxFK_TlhhdsJ4DVR_vMIlVGuOvn6xL8z4JDy_V6gYIg0iLN_HLzmul4HMDx-DSjrSyzELUul67qhKGCyaRRQYza6OWf_etgSGG70eKu=w1200|https://lh3.googleusercontent.com/pw/AP1GczOKeZreCg9w95ZzPT9HjXQBZDwg4ju3Nyn8_zZfAxA2BjTtRPucBYUExv-gHTvhaG4haHJDilywMAM5_Cfn8hRC9TjVWV5SiGFzcrkidFBVnRl2H1LJ=w1200|https://lh3.googleusercontent.com/pw/AP1GczMwA2IVutuwm_Y123eiNZRtIUaBKcwCylF8kuzWF2vM9lUT59Mb9tpIIVR2dSgTGr7fOgOyMjnRBxAYPXF7Ad2PMlvpbLL9An7U4rqFQiWET46MyamA=w1200|https://lh3.googleusercontent.com/pw/AP1GczOhuPFzfW_L-lmiLueTFug47kBT_KSt-QDQuCpzGlBsrFYMA0rbRHQZmm_sMG0MraiRKzUScj1Bx_tgEna9S4oWhNLqZCXsp-c3hxlg-0VLIILzzr1y=w1200|https://lh3.googleusercontent.com/pw/AP1GczPRHrRVMuJBdm03ss2xRdYnPAvznqV8bH9vWgz2Vo2dUCfiwTAfe4mFDQxRQOhbmv8UV-jq8kpdzltkhdr_MhdP5oss_7LD4Jp1Gr0CfJDs6j9t8zZK=w1200|https://lh3.googleusercontent.com/pw/AP1GczNkHKLV3mHfiZKphmj7JUnPfsO3dF9o-bnh39uHs92nxWQvemFuKL8HLiTCjSnPEFGG-DuBhKpKDFIe69Ldbz7lXguDeY4LkRHkeiuLZHczMo9CmrPP=w1200|https://lh3.googleusercontent.com/pw/AP1GczNseoiAnw2x5IWtSQhTHGWX4FPLd3KjQWnp4Vun2irTBbxArY_epfdQYlDtVNnbRm5kqd8EKbUUoINHY2GVkcWL9NZIAcpQOymKt6XUEjFJJpHOeUYr=w1200|https://lh3.googleusercontent.com/pw/AP1GczM4l6UmmTc-YV7bAGTbtceJ2_PMDGIIlp2Hh4LfvFXCaVit98TCTVAOb8scoQgbTzxBWi4aS4uRkqivkVMPPbaqZkPRgNUa3Ua3yZn374unvvIK_ydu=w1200|https://lh3.googleusercontent.com/pw/AP1GczMlRDBH2bkrDHDB-F57wg8oAO27jA5M49JPsntGtI4cp7NyN2c0Bqiua9U6MDMQP-udUCVhLVn1rErdy5Zv059CAh68N77_oHdwu3WKiX5WJ0FBgkPF=w1200|https://lh3.googleusercontent.com/pw/AP1GczPzNS44HTYeKGCiPlr-MRJg2cAlADA2SDnTr9uiq2NI_drv7xri_GWCGds1scxOODFspEXcigcnEZw01uhUwi_FTnlqD08kLgAq4NlZD_t9-Ichc0B9=w1200|https://lh3.googleusercontent.com/pw/AP1GczOEJBWhhKms15L1t_l9tlkpxlOJibKF9WR6_YtYDXAiX7oyNx_PuQzVvl4UZBj3CD9eRXqA3DyowAZ7SgNv60M7UY7TxOS_-KwHiPMFXw3BbnJuU5F2=w1200|https://lh3.googleusercontent.com/pw/AP1GczM4xK2jCHCyrsBuCzZ9ZAZa9B0_HB_jgjsibnqa3R63Ze1_REGDEuXCoVCOKMO1jnQ15jc12tcm1T9brhsLrSCKohS1-T8Y2Ok-fyotHbukII6h8M0q=w1200|https://lh3.googleusercontent.com/pw/AP1GczPWPbKBV4iqQGNpKdSU6qEh8YyFhLV5qoqF2-PGViiNgUeNmF5-T4JoDYbXXU41slehq973eUHx8BuY-YOzI3Wtvm8d8xqaubvGhGrDIA8ekkzfsfxI=w1200|https://lh3.googleusercontent.com/pw/AP1GczOTpTzIFCrsVd2kk1fp4WvZR8Bgm_i-OTFLTSz0Iv9-Jb8r0EhURFXCjAzbrI8Ml6ohRpYz82Rmd7Sgytl7PGOlQgYiew6BRDCweSjDqaGc0lvS8t0M=w1200|https://lh3.googleusercontent.com/pw/AP1GczPisMsNQWsA-pA1QmewNRpOb8PSpP8HMQSbKLifIu0C-zePZ1FelK-btQKi3klpKBxN5ym2T9BC5QIUlhz0r1dH1ca03pMU33YfP8r_A3y0RMaT33Iz=w1200|https://lh3.googleusercontent.com/pw/AP1GczOTcDa2WJuzouEnqxYsSS_sk7rf-90dNWVfBMBTccG8MdoIAahc6P-yYMmVJulSjk_deExbDmlb7VXnqqNK9-uWoNGX5xAB7s4VN7kcYur-CA-VigYL=w1200|https://lh3.googleusercontent.com/pw/AP1GczM_-mojg3OiUiKASguUIQg67y2Sty2O6HmgHv5xCXzOiTDRMZaZhMhnTO7PLL_vwXTHOfe30fV_KtBEyLv-3dWxyQdahDZk_YJtzsTrCzN9vke0E5dC=w1200|https://lh3.googleusercontent.com/pw/AP1GczPYRbIjSMMy5KtuLW1FnTriygtTPI-Es0EbDZphWlZDSBiD6if9VUxGWbYlYs8wZ_cUvsNmrEHHzAXZMKi_53w6Sbspk-edc1LKhUkC6PFq5yXllCnH=w1200|https://lh3.googleusercontent.com/pw/AP1GczN1R2LlkH3Zbo5cXoBkX5YFlWvZ8sMFixkTBcbzS-6UhZe_wH-DprW95eW_nTHtMjt8aR8o4sVzGBYtpt8dg_sNPBkd-RBFeO_KafFwggxYzpuP0iT5=w1200|https://lh3.googleusercontent.com/pw/AP1GczPAQB6Ax_Ps60GA4KbYP79GcVWwHyPZovndz8Lj8mDHnpCubcg-XxFdhdvMvCpK4BbCPbwMII4N_S8pRqC-zjIfx3OpEL9H7ebtn2Yo9Hn4KscqdNLP=w1200|https://lh3.googleusercontent.com/pw/AP1GczNCKvmtm7jf-f2NGpa4jgiVbQInwIBTrOEJ2JQjNkjX8WU8Hvp2Ze_FID4y_hh6E5MLsR0VPDvnmKpn1UqeV0WO-up9X30dfWQJsnPUJgcbQTnQSFJR=w1200|https://lh3.googleusercontent.com/pw/AP1GczN3l1cSjCHT_2Jb58nGAbKIDAdlYzMbdJYDefgwwz_kh6NKTbdugrkGY1Jth6UJsGfGQzSoQRq5q5HKVQ12oDZnEC6lp46C7nG5t015_fseEFtS6ei2=w1200|https://lh3.googleusercontent.com/pw/AP1GczPpSs4rXDwsQQkl0DfbFI4fW9XOsiDNym6s6jHYw88MueYnuLnNvYJDvcdoWchIPDypvFlxeraO8eQqNzavubgfidBfhKb_pLTx0STiTo9A1kwEgI78=w1200|https://lh3.googleusercontent.com/pw/AP1GczPjvbec1sMxM5I6UvnENxUtp2DduSFZxPNxAcQ_KZaJbrf-uVComgfyxfjh1mvDbOBA4J7qR-I5B_wozFgwqjpXLBn5EqujLyB4cQkvdMII5704EVVG=w1200|https://lh3.googleusercontent.com/pw/AP1GczMiWUxO0mdrbWWv9y3pey8LjiVf_JHyqHJBukXdsfqwjQsqIiY9h3HQiNR6SwW96uSDIvp_EMG-et9FrjJvdhAq6iKlpzABHt9eCbmORnQWIdQiN64Z=w1200|https://lh3.googleusercontent.com/pw/AP1GczOYJx1rPygkXXYefTHRKS3mTqEN1kJpBg4wLWsv_z4cVz-WvGf73nYmtNZCLHPYFqO-5XU5tTXZalFDhEwuh-1QaQA1DXc1huS-olxKHYIjn0BNPmPx=w1200</t>
  </si>
  <si>
    <t>646</t>
  </si>
  <si>
    <t>Edificio rentable con 3 Apartamentos y un local en barrio Balcones del norte</t>
  </si>
  <si>
    <t>https://photos.app.goo.gl/rgKAFZen8htxrBvW7</t>
  </si>
  <si>
    <t xml:space="preserve">Cuenta con buenos acabados, Pisos en cerámica, cielo raso en PVC, lámparas Led de empotrar, Perfileria en aluminio, Divisiones en vidrio templado. </t>
  </si>
  <si>
    <t>Edificio proyectado para 4 pisos, amoblado para colinving.   Antejardín del frente. 3.50 ml. Andén lateral 2.0 ml. Construido 1er y 2do piso. 3er piso muros de carga sin terminar.</t>
  </si>
  <si>
    <t>Dr. Martín Barbosa</t>
  </si>
  <si>
    <t>CARRERA 22 No. 57 - 01</t>
  </si>
  <si>
    <t>https://lh3.googleusercontent.com/pw/AP1GczOLSHwVu3Ok6rZML3XAbSMskcn0CiNhxEEhk9xhtxdoTkj-FJYiHPfnUxTSdxPGrah9WdYB2ULUEiD3oIOF9Scv3vUZ5yCnGGse5I0yxHZwXRbztL9q=w1200|https://lh3.googleusercontent.com/pw/AP1GczMo3WGa4ZJ_SwbsSUFkSHsthFHyXpb2SMflpUd930pz0MR3_o2VxO0wPKY9uyiGT5YXvf0UsAdjjaD23kgMgzyjyqX926ugTAfMV2ahUxXMKLbWDM1o=w1200|https://lh3.googleusercontent.com/pw/AP1GczPdLf4rLVRqdc2s4-uDooHBLgXGfRBhCSItluqjtY7H4mOIEoM5nnDvaPgsNXhAFPsen5jpHNK7BVO565dzugs4WuhjcqkWa6ehxpasRhaVOz1XPLAg=w1200|https://lh3.googleusercontent.com/pw/AP1GczMUDc8446bTRe5bAnP6-IAVdiR1g0MDInOydBx7xfhjRdRfOChJfU3IxvdMQRkfDj7rw5-i5bXWTsHsuEgVTFwWKakC2KDzayc-FiJb5Dya0YQWY6_Y=w1200|https://lh3.googleusercontent.com/pw/AP1GczPuupsnh7F5FKoazKskdWp5vL7kgBDVu6R9hZ-QCq04mNjN39c7roX_A5RrTkSksy7Ufk9NUDZISw-ThnTpZ4fanlH2cZ1sh8vPk96OUtpPV0xrnZsq=w1200|https://lh3.googleusercontent.com/pw/AP1GczPqfqke2HxfuzF9qL9bETPUwfu4Gmcy5AhKA8368SXAXTt3-443CYE9xaaWMLURv4sbW3bHFhBa-Vj57Y5mw2At3BioSagTXNs0KQIsSsE7TXSdt-YX=w1200|https://lh3.googleusercontent.com/pw/AP1GczMllWzBIR96oq4-WI8qyH7rByu9y8YIubd03WWk1mvhR1NC5tRN2r8tDWSFCu82G8Sd2-Vg4iXdZTfljiBqbJGHVg91GNHmRqKL6g3BVFQN97C8_UYC=w1200|https://lh3.googleusercontent.com/pw/AP1GczPJxDAVR9W4Nk90oMAqIb71y7uxKrJd4K2fpYg4WtHDYAhTxsMT3XwZ7D-s-hicr7LI4PR9XjNN7YsmhwAb0Pv8BxVu5wV0wVn72J55Ock21W_pgD7T=w1200|https://lh3.googleusercontent.com/pw/AP1GczOt0MmCRUBUivxfF4zC7MjRQTcsWI4ZUmUemlxfEKVPsF4JjEvWlXyGbTHCzuYi-y1yJE0Msctjee84U_vTYBwdRTDv6T-yad1xuZlvZLXrWfkS0HVx=w1200|https://lh3.googleusercontent.com/pw/AP1GczP6WeDljvet4HP8pRI1xbrdvskFbRMLLTufuIZPPlSSMf5s3sPDTt7w-bKQpWGYmco4zeZ3UnWL1x9Cp-xxTyI-yZRmJIK6G1QsHEp3iz1XoNcjWgsN=w1200|https://lh3.googleusercontent.com/pw/AP1GczO5HrR9aTrjN9HmbutHfxmSrhAd8Hqb6l8rge--L6JgAPAjGcBBIvtaWeuqCiZzRxHtfCwJoiMWy6Pmkti-he3j9WMxTxs6QvouboFp5qDO8JzD01ft=w1200|https://lh3.googleusercontent.com/pw/AP1GczOtrZnRKP3ibzgU46S-Y9iD2rI-FVewpWrRuIdxRXk9YCAYuKkcQLtEOJ0ZS_S6tQf3N4HKwUqPOY86M2tj-plYgMxc79LlYJBTXhoh-H9JnztaJ4Nv=w1200|https://lh3.googleusercontent.com/pw/AP1GczNMLR317veCD2FMG9qwXPnagziT58jY81avw71ujYc4-BkeSxfiEwxDP3z_mvz8pHfpzhJv-4ei3S1DsOP2SuL2qOnBLDcp2zjMddK9Z7tMev3iSevm=w1200|https://lh3.googleusercontent.com/pw/AP1GczMysiNoJmc20ULzs-NL46A-0gXcdbVfYAGO2qEI1I6ggoYFnbi8o4e-CsMYN0xleEmBJVuX1_4-26tSaWpbx2vOPndJ9iiyEj7_YgdJoPIUeZYg4Rvp=w1200|https://lh3.googleusercontent.com/pw/AP1GczPf_mtAFzba9WoPVdmFJ981cXkF-1IY1TP4zkmrCg-O7WO4tgaoLXtYqPkaW2no7H4OHb2FWFh0aYOcFsNbCk5RLAGZFZKUYraLmqavTWZIqkC4Ed1v=w1200|https://lh3.googleusercontent.com/pw/AP1GczNhk9Cj5d5VZNFd0uj5GN-tnenn62teohMhguAwgMvtu8-KK6M1RY_BvtVN8M1gL6nTzBO-IHxQPe3KxH9Fz_OJONDQAb-1-EsqXD-LXsckCK8Z1kxS=w1200|https://lh3.googleusercontent.com/pw/AP1GczP4CmZurHS2NafSMUlqfBsiNPVZkZdB8pzs5C4jcFSTxInS7xZkhVXLl4_cp9AGU9jxgYYJ_aXQ_JsUIlwSW3CRixf9m0q3yP07dH5VEwFdiv7Oy6tV=w1200</t>
  </si>
  <si>
    <t>094</t>
  </si>
  <si>
    <t>Casa campestre en conjunto Mirador Colinas del Lago</t>
  </si>
  <si>
    <t>Mirador Colinas Del Lago -  Vìa Palermo.</t>
  </si>
  <si>
    <t>https://photos.app.goo.gl/eApdB51BBj5jC3p76</t>
  </si>
  <si>
    <t>John Jairo Andrade</t>
  </si>
  <si>
    <t>Detrás Club Los Lagos</t>
  </si>
  <si>
    <t>https://lh3.googleusercontent.com/pw/AP1GczMSQ_eP4UvmKRSnNxhHj4WobfNW0_FEvUrNfuz2am35YmhKh3zFyymHwp5k7rwGj_KLDuuXkbJ0fnK1pW3uWOEQkkUlEeqcyECGLEs8G-T86Ejzrep9=w1200|https://lh3.googleusercontent.com/pw/AP1GczMzIT1ex314WSE8JG00iVIdH7NR2k2ghSGecz54rpMtR8GMf9WHsqZ_V5suAHs4yDKTuyOYgL_rAVn9swNRPsuw518clEhOY3wWCcKwll8zmE2bwzYw=w1200|https://lh3.googleusercontent.com/pw/AP1GczMDMRffb6QGYsG3Y63C3XPrmL5Zp5AC649zS8nnbbmb2JHrzh3EQOxPUEfUL0v1HrJXfKWvcvBKNkYKYnIOV2q_6I8STSyj7WYkt7qB0HTW3AcncTQQ=w1200|https://lh3.googleusercontent.com/pw/AP1GczMQFZNIpam020s4bXleiGfzljiKduuM70HEzwk_CM6c2oIwCuY_9AxAbcAVDx58DUM0pr1fuPKWgijNwQNvU0n45P-o8-t_9FGgEpOJvCrEzBGQZijo=w1200|https://lh3.googleusercontent.com/pw/AP1GczNK2Yni0RKqs3CD5UWstnt4kO3fvkKYdjX15eKqf0azMvB4hPAEglsT0bD_ESbjkNXj4RxUp_SGaPHhAdBA9nssQfNG82bHQG8TQA7tE-tFTQ19BJnC=w1200|https://lh3.googleusercontent.com/pw/AP1GczPxfizKoVQJCIhs8uIiFhO_772IUb1EVA1ZwkeakExZui2K0gKgzY2X1rV4aSsEWroEjGYnw_NorqA6cZL4zlHAlQrD_Bp1uVqEgud465E1vnf0slEu=w1200|https://lh3.googleusercontent.com/pw/AP1GczPKzhFwf-dHveTHuexur7Z0pxIOKiHPtpFSjJfDY_djUSFhpGyyu7bWXXGlVLLcNrVYeHe0xIslxpHdACDSmnD6e138XIEaE-tmaJDeZBqRrivPYmCo=w1200|https://lh3.googleusercontent.com/pw/AP1GczM601rCYUmPjxC1hvtlg7GUks5pSilByZc1FmHwb81jp6fK9yBtrAXusDAC6-IVk1SuJVlk-S1DEVXSgXJYT9tQcqnk5eJKq3V3lTF68C0U4V3MJ_SX=w1200|https://lh3.googleusercontent.com/pw/AP1GczMQ5NHE3VXVk6_wJH0H_1MCyCGKks9G4tObDr3REHiscOsL_rvfaDCXmBTY4ngaXUCP5I8y1bGspomoratx9B7qd4tcs2UGdpeLq2yNygCvs17lVtwn=w1200|https://lh3.googleusercontent.com/pw/AP1GczN6yq-4lLoQU6o1y2CmAwlaFRu3nabfZQ6U7jtziCu8GLAb3Qf-v2eIwwgj_parFxPRx6Jq9X1_I-uiPqB8IFS-HIDCO7rBOSPBK2FMU3XiUz84K0wf=w1200|https://lh3.googleusercontent.com/pw/AP1GczOKnEql-wAuEXBaPkM87g8G-16cLX7l6tjX4bQxtJ0MyuQcbZmF2kY24iVupGwOCRJZkpT_-a0pAipdWHcK54hLxtZv2gr_FamKwsWrCQgQvSiqE4Ny=w1200|https://lh3.googleusercontent.com/pw/AP1GczN1WCIeA2ZMDHO7n1prjb6_iR7AsTkbZpGeeLxk6e1qvkLE6b-q6XbZBGwCN0RYIRL8CNi_QYKWk8az_GrVS4tU8spWEjqfuz82lxfFFeVVcLUziaoI=w1200|https://lh3.googleusercontent.com/pw/AP1GczMgAdI6596Xr-ww7r2W0ri1z5He6g07MLddITKh-tCkmLycydnFRj4wvbaaJ5H1T3mLeRlCt0PZUzXD4K28ndn9xfoeR4NEnh3E5DxgXs-OtW8HXrmv=w1200|https://lh3.googleusercontent.com/pw/AP1GczOeUT7VJVbpP77YAqiS-d7RRKP3E5qUaZqA52JjeCNOcy2d4PxMGi7UrqRpq8yDlbHhViuV74S4nmCXRErgYaluJpM_hg6GfkVb6Z9KsQo3Eg-OpDp2=w1200|https://lh3.googleusercontent.com/pw/AP1GczOxJCLDD7rSJL22UKzWvfJ-SaeDzISaxOmNEAuqQx5Dszn9mGcW8mV4Y8IcVzH4twrdZnayhuN9eJZMeWDGvAlwZN1kdQL0mgO7G4aw8kx7PO66SfnH=w1200|https://lh3.googleusercontent.com/pw/AP1GczNx5dWXSnYVpp_SuQV5G75mXgl8xVlq4tp4vBvC8VkafmEywite9m1Q7JAiG7jFpJpmltQH80awvKnR5kr3hggzdHWJXb12kzzCJaJrswcneokwyylx=w1200|https://lh3.googleusercontent.com/pw/AP1GczMFe7YS2Ol6KPE6CqTb0RBHBEkQaIQ3f_zScoqcFAKP4HPH2m8Kal0rUE0CCyiY9OZWSZw1YdAys5qojODu5BeYsta3uehduOB36vushekmHKkCPISk=w1200|https://lh3.googleusercontent.com/pw/AP1GczPgRessB68HpiIeH28Lc2g7vhu_8j6g5sR0Cx07nA_AIUcghTe4tfrmXo1_KDjQyRygiWeUUkxu1d1oFYLwfomL04nKu_BIC3D4BV5uN-f2OEagTPxw=w1200</t>
  </si>
  <si>
    <t>620</t>
  </si>
  <si>
    <t>https://photos.app.goo.gl/5777s2morKceCkBWA</t>
  </si>
  <si>
    <t>Cuenta con buenos acabados, piso en cerámica, cielo raso en driwall, carpintería en madera, divisiones en vidrio templado. Bbq y área social.</t>
  </si>
  <si>
    <t>Ubicada en Los Ocobos, antes de llegaar a Rivera y a 300 ml de la vía principal. Con todos los servicios. Nueva.</t>
  </si>
  <si>
    <t>GERMAN RICARDO GARZON TRUJILLO</t>
  </si>
  <si>
    <t>12 - LEIDY YULIETH, 25 - LAURA DANIELA ALVAREZ, 33 - MARIA ALEJANDRA MONTES R.</t>
  </si>
  <si>
    <t>https://lh3.googleusercontent.com/pw/AP1GczPZKHvV-f22n9k9A_AXwwXUXWc4XRiJhH9_GeJ9kxy63wch9mv6oEverUNd4IcHa_t0oYRYqqgFKDu7zj6cp4-uGkneDEY_vWkpbuK6sKVOJTssOas1=w1200|https://lh3.googleusercontent.com/pw/AP1GczMhdvGRxYrLFo-jI5RdmcVR-U1ePprhFh4bcUdVWvVxXYdE9LBZ_eV1OwA7YK8d0b_HMLEfGaZ2lPdhHE63e_7w5vgASKSXzSJIYlTY6kGjPKBZiCsp=w1200|https://lh3.googleusercontent.com/pw/AP1GczO99HfOwPmq_s2DoMVAUbdOCniLGM9_WlUhBuY01o2yMNSubRb9vxOFidPacidCnByadn1U9EXgLPFgnCmRlT8pMNlsP6YZXDPD8v-YbhUSTrbGwq1-=w1200|https://lh3.googleusercontent.com/pw/AP1GczM5m5bX8J2pVzWwR3xgRsjugFxBNZ5-UXaw2t1qg-9WKcRFWutE71xZbwECDQkDVlB1n8zOWaZYGOykdhv3-OEl31J-QPPgCKRptfI4GOUDGk24tv5p=w1200|https://lh3.googleusercontent.com/pw/AP1GczPukSnWNZB16sorTJNFAxl1gfsUITi0mpNV7AJDbWpCM2BwgGFXi2M0k7u3ZcKxbNOzExn3DudjUeAxJiifzXh1JoihyBUzCXENrjUBuJboBB2H9y3H=w1200|https://lh3.googleusercontent.com/pw/AP1GczNrHoCb5IZbwJXCPRdXnaU7FsdAdfP0GH_APnnp1PaANY_sXZ4tDtfZTjEhR6_TDC2b0259kuZv0a_NFnjQ9XgqIq31jk0C8-aoiIxPKmzazyifBsTC=w1200|https://lh3.googleusercontent.com/pw/AP1GczPDOIkra1X5AeWB0SbYXgMIMWw--nLPurArbK8Pj0Ah7PH_WJ0d7p0TqgBUbLAPlikB63O0wc2odKkpLahrjIqnMotGXO6CyDUIDvfqrV2hHL7-CBUQ=w1200|https://lh3.googleusercontent.com/pw/AP1GczPA_3KFWhDinGmEMBEh70skjV_VG12xB55CWry1A3x8mS-4uhQdlr8_BcSoFQUdhNUdT2xGJVBx4ro3PNwstmMx9nyuJbVmthV9vlxT27Snio8e37I5=w1200|https://lh3.googleusercontent.com/pw/AP1GczPxuWO9ISMLW4KS48TU-vDFgNeyRJZ_oy8oc03scDVUF8UE2Q3xf_8-eO8M_HYftyiKENbefvSOsSb3Oo3toOLk2Dta9_ArXLU3_NVmvBGdU2MXoUav=w1200|https://lh3.googleusercontent.com/pw/AP1GczOaOo8JWE0WyxJga0khs5xMCDKycbXlEtSY5X8OwTkDoGOLQHKxM_Y0GeBfYMDnU0T98oCiJCfLasZBreyEm18BuhfrNKoiOTsstcRfaDMp51oOJDym=w1200|https://lh3.googleusercontent.com/pw/AP1GczPdlbd4QFV_FIMqjTxFWoy87Z2mg0ttmcMF6pQpe0icipdz6xu4bF8LUq0BZNMIVLmLpK33A7PoXeGdNG8KVL7OxFHm-jECbbsjXoHHfr7Ro-jQAl9P=w1200|https://lh3.googleusercontent.com/pw/AP1GczMLk9UxXsYg7278sVYkqcbAWGNG6DHq_YNox-w3mwJgAI-Gt6bUbV5FWztReOYU7qx2Hmm2aEfaPwxAOFWPDSZbd0Gq8jVGdq8VDBMvFinf21TNtlZ3=w1200|https://lh3.googleusercontent.com/pw/AP1GczOoUjtfgksK1kGkBVVXHEcQtRoigsrdHFoc0DeuIwNBH0PT-G1Qk1LXflpchnC6pGI_6_T61xcBg22DgpCa-hw_tfGLxjcym9uENAMV_HSwq3Hjcvun=w1200|https://lh3.googleusercontent.com/pw/AP1GczNknZqhilI27ZveLkAU4brMzklBzzW9e0d4jtvZ89c7DgVk2C1qwcDwSXQEujJU8lKZM5WMgbm6rYa-w5uiL5UlOI_YKdnwDu7k8J7iLYW4xWQRR3bG=w1200|https://lh3.googleusercontent.com/pw/AP1GczOrFAuXuiNPODPPSt8X-fXZ4Ds_Z_pjhf6K3LfAWvfn6rHoT5i6tkRaH8sCaWcajGZF1SosUTB4gHMxutFo6BpZoDhj9l2EBGy8ts3sGj-j-NtukZuw=w1200|https://lh3.googleusercontent.com/pw/AP1GczP__HjQmkXYYmD7dyad3H1KXi5a0k49WVlY1xnLsxo4d1h74f5RUk9vz_7Prhn6UItGOCF1hdBXn5jlA0AoTz_iNTcCajacV6PLlehEAKYc8bQl7G4V=w1200|https://lh3.googleusercontent.com/pw/AP1GczPXNkiQoX0J5cQkQBN_4k1PS1vr2Lj_3NUSOe79Gpt_XPLy_T-Iqz8Wr6d1YJJiSNZWE2kcGsM2T9nGNXngBAhZyGINLgnYKc3uYhC9wDv5qEisvbwF=w1200|https://lh3.googleusercontent.com/pw/AP1GczP4x7C48dkzi8EvYzV71y6NVaZiA5YDc0pX4tbvSjhjM763r3lrM5nAXrPOfp8rFiunlPRK_1EfvrEun2K0EFgEkVbJ2sH4dAtGQkhp4bmSilc6gtRb=w1200|https://lh3.googleusercontent.com/pw/AP1GczNx2iWtaAIc9Of7OU6Km3peWnSp7yI16SBejJMB35LEemXaxyUcGN8u_BORE1VeqNws_5k_y5e7EczyLP-AG_hn_Y3i1cIFXSjN2udLsKtAZtxTIxCZ=w1200|https://lh3.googleusercontent.com/pw/AP1GczM8sBuAQBtNrzQe9EWJNceYzitM31e55mVD9Xg7uvvHgBVKJHmA8v4y0pJsWSG0AjD6SjpdKe0o7mkWZSLD3H3iF5N7-ESNMXm6FbmC1GuTThHhAjKW=w1200</t>
  </si>
  <si>
    <t>013</t>
  </si>
  <si>
    <t>2 casas lote seguidos en barrio Las Granjas</t>
  </si>
  <si>
    <t>https://photos.app.goo.gl/Se2rjyd29VEGoztUA</t>
  </si>
  <si>
    <t>Dos casa lotes seguidos, ubicados sobre la Avenida 26. Dimensión del lote aprox.  19.0 ml x 21.34 ml. Con patio amplio. Escrituras al Día. No se permuta.</t>
  </si>
  <si>
    <t>JOSE BALMORE ZULUAGA</t>
  </si>
  <si>
    <t>Calle 45 No. 26 xxxx</t>
  </si>
  <si>
    <t>12 - LEIDY YULIETH, 35 - LUIS ANGEL VARGAS</t>
  </si>
  <si>
    <t>https://lh3.googleusercontent.com/pw/AP1GczPjkYHzCuNQzFyB1ttRaQ5akSv5BKYyuXcv7HYVJuEeQV-C39jAn07ahxlSglAn4vicftUb6JwYkIpKireMXPWNWxMWd9b8g-ovzgOkL1xpcin3M88=w1200|https://lh3.googleusercontent.com/pw/AP1GczNR86gqiKTxNRmj8SdMrfzlT0pRemxBqasVOZDuW9NmNPc0bfHCR2TjUCtYkFHgz6CEPvorHtLkq9cHvn73R6d_-G5GiAKlENQTPt_Q7BP0CCNfCa8=w1200|https://lh3.googleusercontent.com/pw/AP1GczPvHcytCLcHPiSZk3xem0YOOOaY3FHehgjq0j--Hn6OOQV4DhOkjbSaWx4GurSLzjwuCpVApE1C-i_-wO4kybD31udsx1Qu_s3c--_SB2RykOugtfY=w1200|https://lh3.googleusercontent.com/pw/AP1GczNd-U1rxCJUnby_2ZsUvwKHtGtaCuoyWqbuM_MFVpTshPFgW0TxOtXkuToLkM9fWpJiBvAeh2GdSMZJFWnwZ-FPREzlasZ7ZRRJtFwBhje7_bczHhM=w1200|https://lh3.googleusercontent.com/pw/AP1GczPFXxUicxniey8_2mBqauZRkyOO9td0DkxrX1mKRCRwC9A1XH9RJTHoKMMZOvHychaI6lQ5XLfyxfVBryiVld-JVjA7aazlRSyAljD-JIFbST_cw2g=w1200|https://lh3.googleusercontent.com/pw/AP1GczN8ksIwdmk4VmvSWSXU7MYz5rgAbtRoCk9O7wOKM06gAUBvpi_PnIoaxH2LwnDibLULl75q8mH2f1f54y-SiG98ELs3u_3EbT5FaJsIkfN9pf6rhbA=w1200|https://lh3.googleusercontent.com/pw/AP1GczOVz4u0V1EhIPe7GKEmz_S5ly0fKiMoGrS4o2a5cs6iFn49yrl64wst2vu9UlcOfB2X_-2cyfSiosgO62brZjD0sflEVKbuiLT2zH6MM4egOLMWICg=w1200|https://lh3.googleusercontent.com/pw/AP1GczPHs205L9oOiCx8DjXbQiMq5OihOpmlM_fAZWsMLtn919wFR7daBH7MUJYxbUJARBUg001z_R5W-C2MttsE7ulP3tS9x2lVWmvfwOLzPYMvwM3Jx6k=w1200|https://lh3.googleusercontent.com/pw/AP1GczPuj4dFfc3eYCEnVn34wuwzKNAYvB_90nhtuS0mwBB5YLo4r7RUUki2oVQ6dDRHGusRbFyWgYYJM5GFjHcEEnXqvWX2OGUzyuywExB6CVTY1HNTnbQ=w1200|https://lh3.googleusercontent.com/pw/AP1GczOJoyPJZ0ziJmGQP3urBjn-AHeG1ba1oZyuAYybA2OTcBWAccpk3tPGDSZCMKR9s8wP5u_Por0U08A-IAkiJxb_TJ1i7Ma9KUhwgWy34n8rMsyKrNU=w1200|https://lh3.googleusercontent.com/pw/AP1GczOnrevE4lTQWdepBeKXKaX6PAKNuz3AbH2zZGfLt6V41RbKep9K7KJvdmZWBAponbocxKIICGpXdDKKevKP8Ond1V7DqO77_PgrRB4Ha5d3W36scFw=w1200|https://lh3.googleusercontent.com/pw/AP1GczPahZxVG2KMrdEdaPYC4jXaIgxRsO17uASDkq6C3pNT7aZrEGRaUCJHGw5O2QYy5zTiv_5wtFSoA-L8nM_hBepUnEmwo-zxglk_pr-xaUprL7odDrI=w1200|https://lh3.googleusercontent.com/pw/AP1GczM1wwvkns4vHmtQCQ_PG_Xsk8TWYP7JC6XFKfTd43z5Zh4i_8XypH7i61ZQav8rclPiG5Mausj08uzpFKrpiBH18FyLb0I2nyrHl2yvaXslTZUWB6o=w1200|https://lh3.googleusercontent.com/pw/AP1GczPAdZnGsg_mCtP1Zk1gOe2JtvVHkbGFUYbOrCYGB18yjFTzUBkasCNUzAqrmIs13lb65oAD2iJPnUR2lFN6n2A0MthJEKHyXn7Vv7oGYX-WZaVaMKw=w1200|https://lh3.googleusercontent.com/pw/AP1GczO1jh45nMW3W4vyFyKKEXm_KyNcqxqKFCE_CukXaxQXldDkY77HhQeCzRuAE9Mf7NAbK8YtTV4M69bnDVPfl5fe_0FjU0QZYSBOJT8tTLROUg9LYbM=w1200|https://lh3.googleusercontent.com/pw/AP1GczOnFCimCnXqL1z7kQDeYGWodKvC2ZeEcuSENA5COzZEYCzrJ-Y4d2NE6wTFll2XSQBnLwsENF4SQMmn73MkrLCAVATrR9upRBMNkY3GmGOWkvTlrkw=w1200|https://lh3.googleusercontent.com/pw/AP1GczMDBkouhJDHyfGEnzAO_iIXlxZPkMhfnEQYmdcuc02fj_sIjim6bxzDDqCcMyTiAnNi0ePrccTmy-eAeKKeNbTKxp5lDhfUyDQ2FmSu5ZmXYoqi9wk=w1200|https://lh3.googleusercontent.com/pw/AP1GczMf_VI1hbi_zDszDpvCp8prUaq--akTlHOVVZNi4TlIfA5YUlKZ4gU6SoHJXAjZTKl9-NW3EuhHfeFTfqgnO0fF7dLYpmzVqwTLn32jtUipYzrz5qE=w1200|https://lh3.googleusercontent.com/pw/AP1GczPMxwAsRFZ54TV83yobdXLhJ50cNgE_-wzOE9L5FPHFZuVK6z4nGgjHx3NumXx9M8C0bVQ8rWStW2boSFUlIWRbT0H8-KgDroDl6mCH__YZk_dcPvk=w1200|https://lh3.googleusercontent.com/pw/AP1GczPurDk1Yc9qRRj0N0xP_-MDR3y46d0hyfF5NFBrgOk4sjoZ9_GYvlYRewj6vQ7aZM8Qqiy3CiW5fX2G5F4ndxhVpCCqE1v-28rjqWYXk7JbqI7x6GA=w1200|https://lh3.googleusercontent.com/pw/AP1GczN2SjayuDvLytl3-TRqZCtNeDIVAQM3D0FXyRZAGEumljjKf7KQ8bDJH1YMDU7rC0Eoi3X4iklRCvpASuY9QHw9ivvIzXVsur0BiwWRihgAhBv1tf8=w1200|https://lh3.googleusercontent.com/pw/AP1GczMfvjgOgwl4-F7LqOXjL1hEoaeF2Axyief-iSFvpSM84aFCa-8HxSUouphrnvcy7RRbkWUkB9PRYJVBcl-aYMsgDHEXSxs5MJgJ6kyeUzSZKIKObuA=w1200|https://lh3.googleusercontent.com/pw/AP1GczO2WGyOL319b6u1psFHj1xKi7eNPavdEPZTdDgaBGjaORiyBq9qUCi53pjXwJzzdOusLDFbSQ7nMsY8JPz3jN6kOblqNPM6QfmSRNcVCppSW8DiTaE=w1200|https://lh3.googleusercontent.com/pw/AP1GczPsUDJVUPWbQL3ANFYE4AzwxHq5pSEi_KZNyFeGKG-fUNlXtyodmm6hwoFoSOI_HgylGH9S6sjQ4Puntf1-0pupLvG6kl8I6qpUMF9q4KglDZSUEqI=w1200|https://lh3.googleusercontent.com/pw/AP1GczOaMRh-hsmuS2L5FQKgFZF3cD0sXLBRrPGXcqiA8P7RnaBrihJu6njNoDuxGnVVnp-VGuu5gMhcBPNWL_3zCDf-XluMmHiAF9XpKDhdLQBQ5pxrsH_D=w1200</t>
  </si>
  <si>
    <t>277</t>
  </si>
  <si>
    <t xml:space="preserve">Casa en barrio Las Granjas </t>
  </si>
  <si>
    <t>https://photos.app.goo.gl/e2dH5UwKbSdUfcbf7</t>
  </si>
  <si>
    <t>Casa antigua para remodelar. Dimensión del lote 9.0 ml x 20.0 ml. Cerca de los centros comerciales San Juan y San Pedro plaza. Escritura al día. No se permuta.</t>
  </si>
  <si>
    <t>NO FOTOS-INTER.</t>
  </si>
  <si>
    <t>JAMES AMESQUITA-FAMILIAR</t>
  </si>
  <si>
    <t>AV. 26 NO. 40 - 18</t>
  </si>
  <si>
    <t>https://lh3.googleusercontent.com/pw/AP1GczPOacFCr3hp5trzHTGaCvTHgIX2RFVbB_6a5bXg19Ntw7Qx8_7jVtcnBjRb_ivhd_LdroKTwmtnDPXkVWeBbbGP2tOE0jRTicqXfIlb7HGS1Qznnvms=w1200|https://lh3.googleusercontent.com/pw/AP1GczMbYjjVVAIdNxNv8JiHuKgT5KRsf2ejNtgueJubOZKJUBiPUzFlc7jL2zYQbDAXT3hszVIVGjF0fv9odftfohVfjVY23SOJqOoinYLNHkFO469A3G6a=w1200|https://lh3.googleusercontent.com/pw/AP1GczOfKLHmEGdVCZAEVEifyBFPbIVplMAjBg6kbsrkAr6RARyRIyl3va22GWLgh4RYj4UG47I_CE-_xXMPLg4Nw4Ngh-fL3-INXC_bTD6OBkHn7LJT0sYr=w1200|https://lh3.googleusercontent.com/pw/AP1GczPSRrJ5rOkaNlgNiW44nVjAWDRf5w6R0IcO81UomvcymscqAJXYByAd6Ig5PTChoo3BDd61JJUJu7tYDyZGW9Ro3cyMv9J7e2ldd8WJd29scj_7AhDl=w1200|https://lh3.googleusercontent.com/pw/AP1GczMLanvkJTHAPsiVmk-9o5xvKvWDB-hWAtso24JuhLsv0fpwa6GlzoFPj90-Pd3JQzqsSLIBUm07anhXfUvl0nOz0kObcOlT8wVYxkveOLM7CT0K-yee=w1200|https://lh3.googleusercontent.com/pw/AP1GczNtU7_DmzTk3k_M3Trdcxn7nYv9njs7DjUMi7jzJkD7UslKG9t_yUEs3DmI19NkDaThedYIdH1GNDrma40ZH82EXd3PR8AvD5gVrkKykOh4KvrPHzn8=w1200|https://lh3.googleusercontent.com/pw/AP1GczOQUn3KbvWkzGjTp0hAxstx7ZC_d7hr6fCUrCR-woNPPNFtihFJ_f866a7c8bDULtxflhEt8ou5F0CXGjD-eP0i__5K6PQCmsKko5p2hMis4MyvKXlE=w1200|https://lh3.googleusercontent.com/pw/AP1GczNnG_bYsvd5mMEJEHEWDNbcPEARWsi2Rv3bY1_uniQWUAWTUajIsIYGyXoLJuqEVcxP18LcAF9Mwjt2ssnPpTWULhV2eB56q2YwB0Ln2KUUjrG5x7sn=w1200|https://lh3.googleusercontent.com/pw/AP1GczNZFO_WenHvYAlqO_-zLMuTFKJgpde_4wkxMAgV7GALFeKaXDn9WrMAChabiplOsGRZbn-SjQ09t2kuRLK0vgc_7hibJij_VieawA6hnZz3IP5aUzT9=w1200|https://lh3.googleusercontent.com/pw/AP1GczNpSlApB8p7KJi9t8R47bY44mSHoHSnPn1TMBGFN0nJ-zyypce77gk5H2SbOiekPGxOuAcCASlh-M9vv0hx5iVeqRNiosXffhCazFOeJogVS7bKjQ9_=w1200|https://lh3.googleusercontent.com/pw/AP1GczPi8p4kkbylGos5qWpZSoXupANVb2D57IKHfLIjLficI8LuAHby82jG9lLU_k_1p6MVWUv6QaaeMzAqNBwX84fveriLYudDw-RGqwYCZ6xWL9m5YxBv=w1200|https://lh3.googleusercontent.com/pw/AP1GczMmZ4tWZStYOGKHuYFigxWI4jZHkK2KKv0mHB17bMZIfIxFQ5BeVRE7ZxHGaWvoLQMZgyccb1MOfAWJjPu7V-k7j5_ypBHB28KhHBaN78BOHPHkhmaf=w1200</t>
  </si>
  <si>
    <t>805</t>
  </si>
  <si>
    <t>Finca cacaotera en Riverita - Huila</t>
  </si>
  <si>
    <t>https://photos.app.goo.gl/6yAnteo6WodTVoMD7</t>
  </si>
  <si>
    <t>Finca ubicada en la vereda Riverita. (cerca a la Finca Agroturistica Fenix). Con área de 40.000 m2. Altura: 700 msnm. Cultivos: 3.000 árboles de cacao. Lago. Agua: Se surte Quebrada de Rivera, 2 nacederos, turno de agua para riego por gravedad cada 20 días. Acueducto veredal de 3/4 a 1/2 pulgada, buena presión. Precio trimestral del agua $50.000. Cuenta con una casa básica.Cuenta con piscina natural.</t>
  </si>
  <si>
    <t>Distancias:  3 kms de la finca a la vía nacional Neiva -Campoalegre. 5 kms al municipio de Rivera. 3 has de cacao con riego por gravedad. Escrituras al día. Vía destapada.</t>
  </si>
  <si>
    <t>THOMAS</t>
  </si>
  <si>
    <t>https://lh3.googleusercontent.com/pw/AP1GczNVRoqZcGP1HiGXAmKnmExUFBohVQkqc168n613Z8yf0umVlxCTCmGS63WMqhdERNLXWk3ua_Zzwl0rk6VBxVLLs-uulTpYhrhV2N6UjxiVAY6dEL8C=w1200|https://lh3.googleusercontent.com/pw/AP1GczOGQUX1_lTHNVmSDpS7cu4zMqnx6L-KXKd4-iod-n5cIMMabCkM6QJjNdshIQMXOOcOLe6E6GCK5czgkHXWiInibvSBIY4XtGsmiJ_tCypmgZJOKq5T=w1200|https://lh3.googleusercontent.com/pw/AP1GczNzGcMmxKV8eylhsPA18vfQ_O7SdTDeFtG2gh5B3ZN0Akb8--Ivq8KQAKi4FLxditL3ao25DDpYXBIShB962fodJ0kgLb2UekbHXiNLFS9U6SR6pZIJ=w1200|https://lh3.googleusercontent.com/pw/AP1GczMNsB-XN6J3t71grOn3vcASygL3wGrUzjLIn_oBqqNZlYJ9a0-pA8Y4WwdFCrFjJN6ax4wwb4R7ZRCBEXxtQ6TfdAheVJQ1EoJZ66oWiDzxtR6u_Mg-=w1200|https://lh3.googleusercontent.com/pw/AP1GczMKC9xXfTFkynx33zAIX7Nre1fqImqADnaPw4ZqA89u5QFtoT_cQjrgA4_EgHnbtu1EUY_ZsaDs61kRCvc1HhxeNw2AwjcH_iTNgpNcr-Q8-14-2Idm=w1200|https://lh3.googleusercontent.com/pw/AP1GczMQJK9cuJRNqPsiNZeX35qbFyJySbz3DsNmY81Ugt7OlMjJ6gaCsdHTatY1nuH8VuG3F7Qx3DDRV2GQmOHArRzNEzLjnVElodH70uTNXjzvEgW50j13=w1200|https://lh3.googleusercontent.com/pw/AP1GczPBfLvgMgzepZcCDEGdp6TmCQiirJP4kIQxA3uEgoCVbJfDV1bsBQs8VQ3j3EhWf-SevgoO27U6l65B18QUVwDyNjB8RQKY-tPiCV8quOC2jiuB2PsV=w1200|https://lh3.googleusercontent.com/pw/AP1GczNlhPeuBCZ4yBYrSfm1Fa3IJsYKOXoQpMXMHPKiY8DS0mTx1z6kyMb0xwNijrO59DkPet9SJDxQQHqL-YeGIM9HveKAWeVWyNT6pzbRYNFTtsrn9sfU=w1200</t>
  </si>
  <si>
    <t>629</t>
  </si>
  <si>
    <t>Casa de 2 pisos independientes en barrio Prado Alto</t>
  </si>
  <si>
    <t>https://photos.app.goo.gl/vSUeZWEgBPSyQgTL8</t>
  </si>
  <si>
    <t>LIBARDO TAMAYO</t>
  </si>
  <si>
    <t>CALLE 6 A No. 29 A - 115</t>
  </si>
  <si>
    <t>19 - PRUEBA v, 20 - SAMADHI RODRIGUEZ</t>
  </si>
  <si>
    <t>https://lh3.googleusercontent.com/pw/AP1GczMhFp0Z0vZTYbsCfsQl501RcXJUQXAJHeqNg1FuYCgJRL_RhXFHv9Z4CKyI0SmDxwECu4eqPFx2qDSi7zvkgwRfGZYynhZKGY9dk3EynFHX2s4d6kuf=w1200|https://lh3.googleusercontent.com/pw/AP1GczP6IMDh3eFT5AMfAh_xoGSqV_AK22UM24NCYYz-sSPdqf3wxunAJocdPtkrOe4TbFsaiTGKB_tbzWk5qemDREMJ_2uY5I2ZTKDoFFgxnKKE1tY9EPvs=w1200|https://lh3.googleusercontent.com/pw/AP1GczNvNwouiEHV_0vzi5wilt4e4AyAShHML5PdDSp5frYRtnY_AKgD5VTr2QwWFfi2uJH8XbLm05BVvMPjzTubI5UKXEG7ODwfT1YaWVkjSBSIfrnNvv2U=w1200|https://lh3.googleusercontent.com/pw/AP1GczPYfpUn9vgPj4cavzI11Bx6wpIb93Qaqh1aGC9amz-iIcQkzMuphntGLaGDTvVQTWS4KZpNYdEONSKX6-wUxGgaAChsnFymOZqSC-VYaFoXwRxoeC7E=w1200|https://lh3.googleusercontent.com/pw/AP1GczNid4qL3s63CRNwW5FNHiqRw3mAlvktu6OE4F1c_kpPc5M1m36FxZ5zFmIkZRgUTHL1nAZ8QE753THHte-aSSM9mWSBbjjnY2zlzsLf3he6AzR1FM2b=w1200|https://lh3.googleusercontent.com/pw/AP1GczPbbNAtFVydSl1-cZpkVZ3OaA8GBwdsVKm7xC-f4jRt5ntSNteLsWO9cv7ASRp6S33d3xy3HQJhXNuE5axQJL914h__qjG89EUeiOX0lkyEBpt6v4Rh=w1200|https://lh3.googleusercontent.com/pw/AP1GczOg5-O1tTfiopzC7QFx07PwLjd3q8c23OPbg3CcCwxP_4V2x4uhESsJtSn7ly17cSCNAHFCs1DWytvk4I6xiK2TPJ_ky_TwljEvlQcct0r4CBJ80Qf8=w1200|https://lh3.googleusercontent.com/pw/AP1GczOoNscENleb2ukEa61Uw2JNWTmWYWYyAWw8ONxLu-QNWrPPr0n2ieQyFYY8hHH-0AiLzzWVQYExjBRrZwSYTRBAXAxHURp83OzucO9ja9NNHrteQ_7C=w1200|https://lh3.googleusercontent.com/pw/AP1GczM7E3Q6avCAf0TDFpIHvB1grJJskH4r-_3bdK_0ECCwBskzvcIthaLRi8ixeJCSRQtclJanRfO7-FPBcEM8ztBHVx71yjKEvY4gMq1DZsKS7FiCpMuM=w1200|https://lh3.googleusercontent.com/pw/AP1GczNG8FUe5uu0-g-bzX5b6Lvk8MOhM3e-5wWFdO9b9xIUG0Bp8A10b9YsLOoAM49ZMOw48Nomia_u659IPao-u2Lqanqm2znacNYdF4f-axEvloAZOidw=w1200|https://lh3.googleusercontent.com/pw/AP1GczMm7yKpgDfQySjV3h1ROmBG182HEqiRLP67YcyEOj1zwbenVBzPV5SpOTenEVyhmGNMPKgSbOb_aqaXHOYvw0HFTVglljzMmMJkTY77IbDA0475VmTv=w1200|https://lh3.googleusercontent.com/pw/AP1GczOWw5wUTIv8xvCQf_IfGLOUG6_xdpJwAq7qHITC0nYSjxuuPKtka1AoPZRYZdXvAgucWvV8L73lNEjUvhNNV8xEFRdTCyP8BkaY-AtKdqpeJO3lmvsX=w1200|https://lh3.googleusercontent.com/pw/AP1GczOuuOF-BZsIZZHKHBgLqXB8YmZMjdnM_vdjSw3YwFaDLtLWsmRU09-FjAdK7K4ZnTnXmN8JvIYG57eMorzeNX2RAGy5NcUA1GhYm-vMFW_aOu6Lt0v2=w1200|https://lh3.googleusercontent.com/pw/AP1GczOmiZjzIVtfZYH-kYZcEUKrUVgaOfy3YGqbxNXFI3UUQ3eIMAdkCdU5fNo55XMw7xn9rZqqm_WLf9yHmbsUsjDKLfta-iwTT_au7S4HwqUUIZmdXHsP=w1200|https://lh3.googleusercontent.com/pw/AP1GczMompS14LROVVJtwEfo--Xue54gaMrdFm-ZvQgOHLx4ZD43GdvQaxxn-FS76lDDdIm719Ih7ARzjYF_cwC-chNCQiDa5krNkKKntPIF7TpNAmGnoX3j=w1200|https://lh3.googleusercontent.com/pw/AP1GczMdwnYa7oqRX_9v9uiSvl4IvTPyuEVOd2sIfCcxjXtFRAs-v73QkkagNtgChiyakVJP7ROQ6_OvOzW2P6l4rgLgxc6iYQSAdhMoyzuZA3M7VVtB2ajY=w1200|https://lh3.googleusercontent.com/pw/AP1GczNWZx1YWY1Rta0YU95GRdRbvQ7TXdgncFM-5z24emc6PlKv7-LYjfR0f_7pyox7i0cDHJHy7bm3u8x1kwpznoyp1rx2ygYyKgeZVnPoU8uYdnL9gAQx=w1200|https://lh3.googleusercontent.com/pw/AP1GczMaFZe3s7vadMHVwRaeoQfCN0J8sjKvG2tm2YWHYRsZko2pLh2y4mV6iNvR634P5a58CCf__hEj3QuKSM4qm4FwlfwdiE5RSszxtkFf7nshGhEyEGlp=w1200|https://lh3.googleusercontent.com/pw/AP1GczPHcx30xQJKlAVMFEO-1RbS32JUCI9B95Xbs8ejI9Ijd2-0_czak8dQH5BflI4Q4h21C3Ydg1CeZbqKXY9YYE924TbOe5R9BY9TyyW5H6im35WRkluH=w1200|https://lh3.googleusercontent.com/pw/AP1GczMQx467rY-ZKEwLft_i-TQcF8Mah_RSHLuYLFOIBpKEFViNwAgP9wmx8q4XXECAuB-Sznm5SOCl5UGX0f6a5ga_kfkTcYrLzNkVRDDE5ScET1tFQ3r1=w1200|https://lh3.googleusercontent.com/pw/AP1GczMOqmrUTwE3eGV0J-WlOikchbETDYH1GOQBr50ZONEpfESw8I6ByYXWJzjB_d2MeMlAYaB8yJ_i0tC-20h0xLdEIp4fkBeFjKGov38D6h6II79xXtJk=w1200|https://lh3.googleusercontent.com/pw/AP1GczNfmm82Gwgi5B97sFrjaC3Jj3SPfkvFGtEAc_srR_vdhnQKoOwZk0I1bE_oH9LV_mpQMazqrJ2NpsHm0QfgCnfITNNNNZfhT9Cz2C3L_y3vvZuVj3Rb=w1200|https://lh3.googleusercontent.com/pw/AP1GczP2pLNxmBYAdUI5b70_xnx3jRN1OURKFSfVipoTHACFlszr_OXRmj1nqLT0qua5n38qgT_Jf4uZVRQtbdW3uxoVlQ4rpWlEiliAaWUMaGNNIpWOvON6=w1200|https://lh3.googleusercontent.com/pw/AP1GczNUoqoEs7mZR-GVazoZWwLgkOKGiKwYnIiIS81TTXGpH40qWHU92pDVqaFwJEVbot6BnZvPyASHYMsLlE5A4c5WAgeqNFUryYVn77aRymGaTMX4Qwn3=w1200|https://lh3.googleusercontent.com/pw/AP1GczM1ueGE7ZQtMn8wNIGypT8fu2VV9g5rZva5QpGqeY6VJCjAIfMbLK1zsBdbRU2CBHCOW9vW9m32MdK4gxjoEtGo4eJlHaOCdCRbUe01lcQvJRu_bOrJ=w1200|https://lh3.googleusercontent.com/pw/AP1GczMuyNGboLbWJAOO0jwszFwkdi5A_xTKi54VrrcZ1xxCO4MShlTJ_4gXbVgXAP4NU_GTztg3--Js44TMDEsUCKlTjb4RJBE6cg_ym_8fnw-m_36ZsYLw=w1200|https://lh3.googleusercontent.com/pw/AP1GczOFIm_QjUs9HvSbpTxdZ4-3UpMDNF-Z72Ka9RB3lrGxWEDsXtlsUQDqiMzfu6xwMQEiayK4bzH77mbwNjYpDLQNqNzf9M7XV3MCdN0I0TTtmd6d4Pud=w1200|https://lh3.googleusercontent.com/pw/AP1GczOUbD3EcY7fsqmCTg8Y8XgjF2yALtVYwmLpfCUIlX5CqOP2GIlxvrZQuW1KIPXnN-NT8prhPnWGqe6ic6nx1aFTLmWt9aFH_8cxQlK1ZYsTz1WP1KDY=w1200|https://lh3.googleusercontent.com/pw/AP1GczPXijY9NEnFxyuE52tD0JmWgfoxYGtd1HgvCae8FH9uWF9lazSAi30Z_TZdYAaIr6en6bMfeto-ZQihMcmK84VtqnpOhkxLINJCCBknrBav7kk0YY-4=w1200|https://lh3.googleusercontent.com/pw/AP1GczNHJYO0InuRq0sPeT416haGxybVVFJ4AeqMCICiCK_n7ooMV9L5yRkZxNgTa9hCnupUIBWvdfBcsnFQ8rOCmT5v_sMTKLzJa1bGpV58O1w7Z6K5WssY=w1200|https://lh3.googleusercontent.com/pw/AP1GczMqL2H80lz4HgFGx14YQJ8GnfuLp3-XaGQHydWyuobKMpziWtTOSiChJts9Xc7gL7BCDes0WGNsktLHFUxxVel4SNNCqa17CSiBR63aQFmRm9iPLldh=w1200|https://lh3.googleusercontent.com/pw/AP1GczNPaOExo9SU3Rg3n_RLn7JTJK9ABJtK4ZxUjEWk2MYl3V_A-R32yxfGNWsICe_ft2agm18cm1hPrqaWd7gDCaCjQ_wNDRJ1VVCZQ-t_HDKk274v7bO3=w1200|https://lh3.googleusercontent.com/pw/AP1GczM5Kqn1CN_0gbweSjABvw0qyT1DsmRG5OAUT-_cMUxc6wzJlOADypeN5H0vzWxhcPZzJGCX9fRPc6zE-__ba8sXkflEG8AsWoIQI4P_qvUjqG2InfNT=w1200|https://lh3.googleusercontent.com/pw/AP1GczMAEZgauzBUsoRsZg6ag6bz-D47jq5E99zoqQbdhcA-Z68-AEjbkLjGRSR-07rUrWNC8pXhRMY7hjPbfYVuBCfzOElOwo3DVn7bQD_EuLr5sqCV7pVv=w1200|https://lh3.googleusercontent.com/pw/AP1GczO6EA_jvTm9RXOVel8SmW-ke_En8l9xsBFMpkq5YfYga6WszBAwe-8NER7VbtTI4lvp9NnOUrvVwgV-5jMe9JFpyrCpFmvA2kSdCUeMb9Wnd89KaG10=w1200|https://lh3.googleusercontent.com/pw/AP1GczMd9Sqydfn3LxaE7mXBteAhB3odAw5WY-MO09yqkZXaXqWwIPQ4x3fhUr_Ep4XMyqfOx-j41NpfsNcela2u7_yWZNMtdikX9ZNDcjRaDVcdWStJglDg=w1200|https://lh3.googleusercontent.com/pw/AP1GczMDuzi0Y4aUFyiP_8Af47deWA-C2v-fJkGlzAHOfwmK7VQZClTivHW2WWZljn9fzifU9aR6dGOro6Uss17my_QSXlGDFxV1wi1VaNJyd4Ogacf-mLC4=w1200|https://lh3.googleusercontent.com/pw/AP1GczO1IpSEcO3GFjVduXRxRyFZtagfByi0H9zP9RVBt7o6PZDnRDWF2KOvg1rG-Re5BnzL7m86w9AH4aw41B3tW-ipwD6sSCKi2H3Zo6wCkd-cVhARS_2z=w1200|https://lh3.googleusercontent.com/pw/AP1GczOBlvsJPHmtJLgkLPLqF85x59tzcw1gB6bibeobLo3sd1kPiTRonu33GKQ2ttQ_4bqG7ZUtpZ_wNZmfwOxzgPwrlhgv8-A8KrLcl6kYW_cG6tFZuwXn=w1200|https://lh3.googleusercontent.com/pw/AP1GczPG41kBFJ0p058pJTxfb8wT0jri6GA39sui-X2CSWjN1f6_qar0EbNTKn3z6pJYm_EUOrJ4J1wCcPhIOQNudiyiAiDr9FKsvpeGfwwqoxFk4KSB-Mek=w1200|https://lh3.googleusercontent.com/pw/AP1GczOdRNQiQooPFKmk0LcZs1QLwbS8IYKLYoStDtwWJc-M39a07btrFFuDQ3ccfvXFdySuyZZTKW8jysR-l7uigrsUVavb_tQhNs6Bb_xxmP7VQEIObAFb=w1200|https://lh3.googleusercontent.com/pw/AP1GczPRl3V-5OjkNtue-rKh4GAB-nUx9ETxDuFYZEQX6cz_oidYtaEPWhWHAiUzk1Hoyd-J5g1wBzfqcmsQ0tNp-QGu4haPraRdZ9tTquvj3fRFM4rJtKsp=w1200|https://lh3.googleusercontent.com/pw/AP1GczMzs28ZYl4k-JDnk_IawaAkObFZxWwlTQ4PcheTuABoqs5qIOHsZdS9rPJ3v1eFAwlDySDWIE43c6fIh7gD6P9q_BOoNAfHQXL6VF__xSIglRFs-IK6=w1200|https://lh3.googleusercontent.com/pw/AP1GczPonMznhrNVCI1HaExne56DRAgaCu1i5Pr-mBBkxHmafAt5w9WvJalOR4LqAezIMxP2D_97Az_A8AqroEJwZACy62vEonZQHjMqIp6NEQnUSRYDD4nv=w1200|https://lh3.googleusercontent.com/pw/AP1GczOACVZ-jAedaqG0PaiNWuUJvv5sagCdwjhSZnETRtxVgeaQK-NaKoHUp-Gcg_fznjo4jolqDsKxK6GjCPwzzjYWeMeADeuwwyQD4PLU0hMTRHEJ_rJ2=w1200|https://lh3.googleusercontent.com/pw/AP1GczOc7Aqwf4-Au8d4s_lGEW6heywl--nlx5YE1ffa1pv8FFgwZ7iqxfq39HcLT5zgiFojeHae5_XXQi0Ac1vstrQ1fpupYO-52d3NTGSRzh5rux0ItAsu=w1200|https://lh3.googleusercontent.com/pw/AP1GczNYQBUk4zd6_5ipoKSuG7tFEXdnbBHbh63JQNBzZKdhIWmIX3UIeAMVCrMYTJTD-tGrOR5p84jK7Jew9o3xCDN2-vUJNM0br0Tjb0xzp_8A4M4dKyS1=w1200|https://lh3.googleusercontent.com/pw/AP1GczMmSOW7R8NCqtJLkuWiJm9GHIRAKTf9bquRU4xmaDyxagGCvNdfhdd-SqXiqO8iApac-H5NLyImm8BYAawKpkqmvxgUq6Mb5lomAS_B-Kv96wjGdO97=w1200|https://lh3.googleusercontent.com/pw/AP1GczPf7ljCN00U3rAGYIJr-FoE4c1NzMUPypSiZzV_H4U_82ynG7Chm7lGklH9sVaL7Wo1coAqP5kwYjb5dK_CJI639Nlmd3j8r1tqBcTcewlZkhbekb0d=w1200</t>
  </si>
  <si>
    <t>284</t>
  </si>
  <si>
    <t>Casa más local en barrio Tenerife</t>
  </si>
  <si>
    <t>Tenerife</t>
  </si>
  <si>
    <t>https://photos.app.goo.gl/qo3xXSkiK3etd51v5</t>
  </si>
  <si>
    <t>CESAR PLAZAS</t>
  </si>
  <si>
    <t>CALLE 21 No. 7A - 20</t>
  </si>
  <si>
    <t>https://lh3.googleusercontent.com/pw/AP1GczNG4-ctQKouL4G5e-IONHw7S3wtm_A0gojuJF6PVaoCYwf3KLiH4Gzl9PGvwsFezHZhukWWeZsFaTEwGIFbQVihkYFiIaj97M9BD3VVVW-nHth2w-gR=w1200|https://lh3.googleusercontent.com/pw/AP1GczOWYFojjItBcKqX_3Q2U33Li4yp5fEO_RokTVH2FRE_nWoUPadBWQNWaqXOnyllDWUZfrsWoXWfTsILJa-nycrKP6NvVNfsKddG---bU4yDms8Xgl2f=w1200|https://lh3.googleusercontent.com/pw/AP1GczMhjN09KXvgEmEVTey9pnF98YBkI_PAwgEPdD2WMIdfR5LyEtNA45YhtChwsWYoaqKwdm2zjQNImlDq1qx7K4R8uX00hoXK5h27GdzpzmsxsCUnA2E1=w1200|https://lh3.googleusercontent.com/pw/AP1GczPhf45mdVlNxgeb_exFTQgNESgV-GJGlI4YfPwz2siHfeJDXWY5GP2g6B4Bci64VESXTFfzLnV4e9kw7j0pgMKhSfotbKSHXYxTo4TFIBDysWrSGLPC=w1200|https://lh3.googleusercontent.com/pw/AP1GczMB78HiZmfKxpdma086XdJEbWxUBxsXq1MRpfrSeY10Pn0ulzK6EcuPW2VHKyiFX2qXGn0_RMzIxxyXAPX2jD0GT6XAv8Zx7ey2ZWBz_l2wSOKigE2k=w1200|https://lh3.googleusercontent.com/pw/AP1GczMGVQOrCmtCpAOdzZeZMa11HKFdSoBkA5KMjRMnPLx8r6rOy8ECRL-xuFSXOLvixI2mJl4uu8ryNpXzCYecR0vN8-uFuJ7weiBA-sJqU_6IZn29Q-ik=w1200|https://lh3.googleusercontent.com/pw/AP1GczPdoQ_ZX5Kv1_0zBGLxEUsfhdyS_PyEButVu9quHlm15oPgVYxrYctuW6DXXKOEb3m5SwVb3ypLhuuGSYcLkZqasf69cwer2npsTCJQZMlu2XfWgCdY=w1200|https://lh3.googleusercontent.com/pw/AP1GczO3mso3h1AHhHS12nsKWAmI7lVF9cfhY0ZHVs6YZ0hh7InrlIDmpelAH9pvUYgWm2ZpFxm_WRELn7pl4RPddf-HczE5MSf881vU7aavaRT5Fik_ymVj=w1200|https://lh3.googleusercontent.com/pw/AP1GczNmdScgfNctvf00c5BWvJEcVYgfVN4Y5V_5R_MBzRgOEVhRKCNDvQ70UKYZ_cT_1Ym0eHaQJ7YQdIeRczUYmllxY9tnz2jm6FIz7llQaswqX8d0J90r=w1200|https://lh3.googleusercontent.com/pw/AP1GczO6gEnjG5sUBv88bukHBEOfIiodXlS5bnsk1F0WyqGBSGFQsAnTJfjDsS6C9hhB5BV7O0F9y9R3V4HCidRNF-Kl5ybf5ABQcPyFSTvpkj7g3Y2JvVzO=w1200|https://lh3.googleusercontent.com/pw/AP1GczPlJpJtnl44--jCMXJK64cH4tuOSxsRCurKqRDbXQnGB3NL23WJ3VAWhoS_yRH9YgUnstCwEz5wMrmwM8mZ3oEW7zh_cHYaUD2-HVxV1br0tC6jcLZz=w1200|https://lh3.googleusercontent.com/pw/AP1GczO35p69yGP9WMwdB2gXCkszV5VAbp4cpv0jAqACh8FP75SwC_Q2wOO8Ep9ZQBD1wp3Xwt9VuVCkocBi-ijBBLr2ModEZru2k8lUYAeNBbKBW0p_C_K9=w1200|https://lh3.googleusercontent.com/pw/AP1GczP1V540zkmsBvxVc7g7wIXYwn7DqY1DaS-HQ-MCxvJmTIP7D-e-O32hWQ2PeoqOjxXPC59h7fjjIRUUjBxGUksGdmyeheFaYv9KFZJnLYHPR1rSyRq0=w1200</t>
  </si>
  <si>
    <t>103</t>
  </si>
  <si>
    <t>Casa campestre en conjunto Canaan via Ceagrodez (Rivera)</t>
  </si>
  <si>
    <t>Canaan</t>
  </si>
  <si>
    <t>https://photos.app.goo.gl/ht8dcbUxpU3pKCLm7</t>
  </si>
  <si>
    <t>En su interior, la vivienda ofrece una distribución funcional compuesta por una moderna cocina integral abierta con isla y gabinetes de madera, sala, comedor, 3 habitaciones (dos equipadas con aire acondicionado) y 4 baños completos, sumados a un área de servicio con patio interno, cuarto auxiliar de ropas, bodega y depósito de herramientas. Sus zonas exteriores están diseñadas para el disfrute y la autosuficiencia, contando con piscina de 5x4 metros, área de café, zona de reuniones, parqueadero para 3 vehículos y una variada producción agrícola que incluye huerta casera, cultivos de plátano y yuca, así como diversos árboles frutales (aguacate, cítricos, guanábana, marañón, uva, entre otros).</t>
  </si>
  <si>
    <t>Ubicada en la vereda Los Medios (Rivera - La Ulloa, Huila), esta casa campestre totalmente remodelada se sitúa en un lote rural de estrato 2 de 1.200 m², con un área construida de 370 m². La propiedad destaca por sus acabados de alta calidad, que incluyen un amplio piso en cerámica de tono claro, muros interiores revestidos en fachaleta decorativa de piedra, elegantes cielos rasos en PVC brillante con iluminación LED empotrada, puertas en aluminio de tono azul que conectan con el exterior, clósets en madera de pared a pared y una cubierta sustentada por sólidas cerchas metálicas. Además, cuenta con una infraestructura segura e independiente gracias a su cerramiento perimetral de malla a dos metros de altura complementado con limoncillo y concertina en la parte trasera, 7 cámaras de seguridad, lámparas solares, aljibe, pozo séptico y tanque de reserva de 2.000 litros.</t>
  </si>
  <si>
    <t>MARICELA ORTIZ - NO</t>
  </si>
  <si>
    <t>VIA CEAGRODEZ</t>
  </si>
  <si>
    <t>https://lh3.googleusercontent.com/pw/AP1GczOn_pyqcIeT38iNByoas2saO6OPlBYSPcSJXxBTeSpXfKCIOHGsYN4jcRnu83qYmpA-pQ7-x6JwjXp8DwOlykVQ6ilemN6djBNwewBqd9jc7645jEWu=w1200|https://lh3.googleusercontent.com/pw/AP1GczO8dws88Dqy-hrtytLYUENuWEF-467xJIWtehLpyFTcdjjgSJeHo137tID6q-9unwjlUVLaQ8Yib1K_KbhC1_nHbmZGS16J1sTE9HEiqpUvPQRO00oO=w1200|https://lh3.googleusercontent.com/pw/AP1GczPasJo-oyYeSU6XFVhybL2gdiY5ZADwV1K5AuRhz7Gl4p8K2fViNzsRIUt7gyX70DlmQsEqCmrXiE6qclz-uBedxPz3N0SBzk87AWGaMJcX2RnsWow-=w1200|https://lh3.googleusercontent.com/pw/AP1GczOMkeO0aZa785rfNGyQ_VMiAcelS6YUkOb0bWpj7nARJfZcPtEZe8uZPd9KHecGZundnNc5aF1a8c-gHw8AHdYjsziX7r2nxlVmpRQm547-k-qy6SDR=w1200|https://lh3.googleusercontent.com/pw/AP1GczOio0cH83XjvVjhA_-jJ4T0a38RCzV2P8paLkaN4-O1VavGqBC-3ejkSVx5Y45bz7SiF33SqTVG5c-GLKhx74JtElhV-WN-e8XdBkMs_ziPr8yGac3A=w1200|https://lh3.googleusercontent.com/pw/AP1GczPb8f-A-9rp6_9ZuMTlQWfCE8FLM7WhBkyATUcfU_STJC_kWz9BPPFtcdX86FyjZLMn06urHkb5UMEdN-GG_MOAAZzpid5YYK128znHDiUHbYTGGYp7=w1200|https://lh3.googleusercontent.com/pw/AP1GczOOw6AFMlsNQNxg8Ht0GBwFQRpE8bMLInA4xIqjPDWMKddOD2P6PyjzGxd1InkLY9FymWT5f_ZkA0jTjMAO8yGafAKqMR3z7zeZdvg26jXb9KEwfyl0=w1200|https://lh3.googleusercontent.com/pw/AP1GczPtf2Ir9UaclFkQ1GyVLAY_OS0zOlF0D9UY6B8L5ahl-KbqZTnGMoVDN49_ine1HhqaNwLdJ5cI36XZbJU6Uq793YSOBuVdHHXio8egPmIVVLCBYwnV=w1200|https://lh3.googleusercontent.com/pw/AP1GczPXvT5eSju2HIydLbEj7pTnTL_XQndq1AgobsfVOQaiZzbs2fskr5XkYE9JFQVFdYrV5BIfVmpt1BeWQa6rWFDa03hoIaddl_e_8bTZ_Z47LIsuZKNG=w1200|https://lh3.googleusercontent.com/pw/AP1GczPF0X64iCuYUuI72uyqLS6jzjKsHFFviQ3UpmPeb_gJ5gCB80T8hSNSZoCpGtmgF5z_O-vOYv0Q8uvP9ZcW8DV0pCEA0a_OdYDzL1mWi8RPgBLRrG6Q=w1200|https://lh3.googleusercontent.com/pw/AP1GczMWXXYD2ODdTHmkGRTwOS6-7guYFtVODmeAvwsfAlp3fiiE8bc1JDk0R9K6XdV4n9KeFEP1HBBe9L6aYjoAgTab2g1AmOZNbxTLHxHqGzSi33ayKyDQ=w1200|https://lh3.googleusercontent.com/pw/AP1GczMFdjgSvTFMaO6dHUO8bA34RImGdfVFOZEq6D4gIOR7whADOwCbpPPOAxKgLqn9wdZjeWElA6K6fhbTX9KeljSnwHc4ILiaPm27kV5t1zXsbbOPiHK-=w1200|https://lh3.googleusercontent.com/pw/AP1GczNPWQmUJmT8-8g_JQSNiCyslUU3aNxeX_Rc6f3HghnL46LZR1MfKw_kNgzTFmHwFBVry0WouY4ZktPGfNRU9C7WURkqFCtGOlYrmLFUt6yIJwkp4oRq=w1200|https://lh3.googleusercontent.com/pw/AP1GczOqxaLW0XQxnNks4eEdJutfTxlSlvHYSrls0yQVDoaX8JvIz39-O4exlZypgcKAZbicy2aZOVVRJDWYubGFOqLCsa5R7dUzR_EI3ta12RAO1ENjl8km=w1200|https://lh3.googleusercontent.com/pw/AP1GczPHEgxi99FI-NGX1DBH1eJLj4nht-WvHQv_CwpYBephxyncXP7LRC5XyQKlra3szQraJ3NnYNiwc8WpTcnK7fcurVek6JsLu1U_wTp5XQjd9DCkhuLe=w1200|https://lh3.googleusercontent.com/pw/AP1GczNKc-auhIJPomFBu_j459OD3Pu2na-z7s1lcxS4xyp-MPKDNr523Sfwr_FWYmkde4SdB2LdrZfKk3LYpxNCgKgzNl4cVNjckdW2zvBsUEtFqvvN4kkH=w1200|https://lh3.googleusercontent.com/pw/AP1GczOWFLNIwt4q9sEbLP7fq61DvpzmsWsw5Wn2IAzjLbfnm-wkqEWM6bOX6IpIxxSxUutN_k0OCdGaw8mqp3ga2udAzEwnqDxL83QSAZf1_cNeJg4ub9Yp=w1200|https://lh3.googleusercontent.com/pw/AP1GczNVDBu0jIEHdU8T5qbLmxWF4AmV_-YiboBT1XHpZv9cHjvJXRsDjsvmRbjh7gWInhBDoEhLek7rVvtKq8wBVR2IaxIfxOzU9br5IVXpsS1VmM4ng4e9=w1200|https://lh3.googleusercontent.com/pw/AP1GczMqsbOSZvjn-Mu9PUxVa4hnytBBYoyBnixt8p7EPbArE7T3pU5tlu5rB7oF_sTt0NvaT0B8IF1J3HmrfcnomL_goi5yCv-VPZtyj6NGWtgjgcl0mhbr=w1200|https://lh3.googleusercontent.com/pw/AP1GczOC7NX_N9-6N1t92GMnwXB8ySTTxUZd4egB_hhVKZgwCdeBXspSdSTXY-_pkYP8UzPOES-xDn6fe5Z5qMqjWFpvvDv3b9W79o38n-Y-4kHSVT1l5I10=w1200|https://lh3.googleusercontent.com/pw/AP1GczMgM54wZWW0ivz8O26_W53YJ9JdSDPLfOL6Uh-u0ZJOAdxOoC7umNj-rME3OVK_KYlhnVmvm8kPpHkE_-yQDy_e7BZHGVXgmJV3s9b_I23p18mz3tHU=w1200|https://lh3.googleusercontent.com/pw/AP1GczN8rkRzcxviyMUUGHN8vP0_mUrVy054qb-wgFeSbtovoyJmAkXM5ChBwmqvCtBesWHRW_d-htlJrI0wh-IvVQf4jZht6uyr4DJyLxnCJ0pjpMICxN4G=w1200|https://lh3.googleusercontent.com/pw/AP1GczOduIlJSn3YC-KKG0OezE0kddsciQWyNoo0a7ODwBzC251i_CfJeA6fudcRMRBfxdAjrZ_-bxqYKuWSUNu50wSNyk2berPhgdNPb1ZRdaiBOQFLCnRL=w1200|https://lh3.googleusercontent.com/pw/AP1GczMmh3gbtRR8sd1COHWECG5yWAezyjpTr-73s3DQ1ZU5Oe3dBKJuSQ-OGFj9EiFDyrYYuZtoHdjTi5gAkjhoykfzE1XbFXhCn_a3m4AW-vKWTxK5rRbw=w1200|https://lh3.googleusercontent.com/pw/AP1GczPsW0aahr5zDmReYd5T47yGrSiQS6YECIwn1JTjtJnalDCAmO_7NSCkW-Ptf4mgp-MuWZRCSx1_CI9Ail7yGuOHdqBgIfxFhnocpY-hDJjNATanZO-w=w1200|https://lh3.googleusercontent.com/pw/AP1GczNDtcpidz65UHjkI4LK1PdOEk3u8XlgdVP8innDIfxNf-2Tv9SZ0tR5zsk9sbsv5XWBrU5ZTin6dCR8cJrQorf8dHFu4TMOuaGFwWzXtZAax5_q5vAZ=w1200|https://lh3.googleusercontent.com/pw/AP1GczNAZBCwHEa1lVYCxjdKxbWZwTWIvvF55ssGKNpRppJLwI1QU0C-_csfrXBDpxbKqFVCNiaHqB2cfNotI8tuFXIbkPAzFzp7rLZWdiV0p_G_COiuSOJs=w1200|https://lh3.googleusercontent.com/pw/AP1GczMSq4PtsPbM8bZGKdKIOOV0xNcMb97-utMgwaTDnemMKHew6t51RbnO2OPcEbyEvAWbhRik4txzNZZtAe7RJ5kR4uIqB5ykyFwipw5O-eEwyGLu_AWH=w1200|https://lh3.googleusercontent.com/pw/AP1GczOBZwlI166dLlXlzS4Ff2iimv8BzsuIdrwv5DTH8JreHAwaJpBR-CGViRH3_AojrnOoWPUMydKtOem6bLaqexkn31lroPK1BWdAZsPU1R6b1-GFNEPa=w1200|https://lh3.googleusercontent.com/pw/AP1GczOBvmH9YLglbwiRdasdc4MHDkjQ0_vQGuAh_piF2HFZKYsSq_xvOuOROGCHVLBAQrchmXxNfv4CTGDNVM_M5MEXq8mdvtiAGe6jhlbI6XvXZUs2dMfM=w1200|https://lh3.googleusercontent.com/pw/AP1GczOoIu1eZj9UHfi23sDwfjZ9h2sCwzAvMbzrxdEJuy-a5pS8YQJLyVewuvr9ZGPB3ThdoakciN6imyqQbE-dhJ-Tj28NGfJoQcp0h0r4pxcDUs-rI9zx=w1200|https://lh3.googleusercontent.com/pw/AP1GczPSg5wAS0kS2qFqpRHrhkoDDNLz-RGllJxEUXAwZBg0dKYHhGMDtzNmXQb9wqJhmExM3HGwGDVzVG1enyFP33NcbxNCoK8Gb7d-kLAcf-azU3_FhDJZ=w1200|https://lh3.googleusercontent.com/pw/AP1GczMkLjKFJ5H-hSxIv8JMiAJrVOyvQ95ncffIgOAVnuBOym3C8bcr7zhpWO1is4O7MaHU6O-K5NLY1r6lbV8z_Ct-7MAAIwh7FPheOb_e_JuLwllwJzCQ=w1200|https://lh3.googleusercontent.com/pw/AP1GczPTSqksWduqLSJYqJrkNtZBoDItolXczvlMWu4K1mMEbYofneYrf1K5JDdhvrkfeyzYQV3NSxa0Cw84Y3W8Y9RisAkKkEJXoXLfj-BJaOvXz8vaw82T=w1200|https://lh3.googleusercontent.com/pw/AP1GczP6HcF177MQ22yTaJAva-bpQKpKfS-EhWi-Ntor16UVNvSie4VsisPbSPAcvNOTERvpTaLOx7U2dBOp9SACsdlrAvz57NTSXkpm3mrNslo4lnjyVYez=w1200|https://lh3.googleusercontent.com/pw/AP1GczPzZ94mkLP-bMKGoDEQgivcwpe37wEU2nB3gbmKC3Sb9ueaFRi9PQjrCjfCh32G-DWpCT99eNA5hd2Va5SCAnxECyevUe8spXOpVxQLW1VcgbtZ2QUc=w1200|https://lh3.googleusercontent.com/pw/AP1GczPUVxqti49u_fCmAGU7DwZHpVc8ECGX5-A39cNqI34Z98zAbWCgzw8gGLgQIa5qglhpLEEZ0NqWUQYVBH_iIoDFjn7NCH_4ku0Yhqb4wpXzgAY4lZn_=w1200|https://lh3.googleusercontent.com/pw/AP1GczOjm7Q2JaU9RadTJPNLvL8KNv5MSnL4o3JH34RQWj1UOC5v5YmMIPNHqbyT2u9QlBrgjUFKk5LE-_yo0OGZw8yq-kcg5ebBUt8SsIJ4Bh2-_J5nsjEV=w1200|https://lh3.googleusercontent.com/pw/AP1GczMPO40kbQlQDUDMN_zhdjZ_7VE9eqykhv9Hz2XYGjL6Chj5SiWnXszKQVxJNNuUZA0wbtgKI7ZFgl1mfL33FWhb5jj888G-_nKjkFaphNtETo5TJgO8=w1200|https://lh3.googleusercontent.com/pw/AP1GczN1bZcme5ClqwZFA8B8p0Yz1dEAwBazsvYABuM7fNq-WyyzvsOD-zVHx1sOxoQsQe49zDdOrEpc1EFIdmKwMVi_knkiRQTTQtXjpFOGQqH8cEDunWwF=w1200|https://lh3.googleusercontent.com/pw/AP1GczP3Q3tDMrePgDY0-iUoBrIva_cm21tVJfXzGmCBTo5bao-xCnaONAvSTzZtfs5l1qhUIFmtxIsjMWQxuU42XNsIaYjamC3rGP9udQLoB9B9ZJmCPKq0=w1200|https://lh3.googleusercontent.com/pw/AP1GczMXgDXxodMQBgSIE6mTPtiq4911uSqQ4a1_rbZMfQ902dUw_ZtLjVGaUbyiWFhv1Bjnk6dclayYyecNJl98lj4OXysn8jgz7bYEGZT7qG19z0M3u6S2=w1200|https://lh3.googleusercontent.com/pw/AP1GczPVBFE_16hT1hEivwQrosW5Iko9jZhsuvRMjv6yq_yQPd8ujEaqJzWgrMqr5gXcmkiUU6yXbnHXU9UEFkNOmLL-dCMDQkqTFBR81MDAnoI-xoqAvRx8=w1200|https://lh3.googleusercontent.com/pw/AP1GczO1ovlAP2q5NBBFe4fzXFqEfVa3noG6vKi_xPaPV3P0EyRHYuHzYpO7n_VsIwmZ6ERdUW0eKC8GcTQs913JSNrPy4HrpcD7suCPYvSXzYUNddSgH6fK=w1200|https://lh3.googleusercontent.com/pw/AP1GczM9KobCUpDh90bBYtFrkG9M4rY21xapZnmZW0jePfZzOpTkPgy2TswDr2UHIaiYTTlc_VxViGGGen5xEczbrMl0GnO8jkt-NBkLCKZH2LxTBqjKoSO0=w1200|https://lh3.googleusercontent.com/pw/AP1GczOtJryqjRbSa0cJxtX7ReXVTybEMNRdOfIkaf_4gdG9DR0JdbtWt2em81kBo1brs7QM1beGCYGChA-xmwQuJjNtnTJjm7jA1-V_QWHzLDezYn2WhN93=w1200|https://lh3.googleusercontent.com/pw/AP1GczOZWSHLfubpnOwvkDQLy3V53C594WBytzE8j0_JbHl7M4pJvpIow0LoG9HhqTkTrYDYLLzjn0AcuDRV7nXHZMxEoPJ0nB8pIEJlrOtpUwk2_E7x7TYC=w1200|https://lh3.googleusercontent.com/pw/AP1GczP5xaJ9y_3OIwLg-giyqBUBoy6SQYZk_BT5NdtNmVQlDDP6Z3xNb3bLT8t3eyD4OM43pKnu7Dibpy_fAmyBG2joOTrILdUEyzR-FRFchErlJPBUOiGj=w1200|https://lh3.googleusercontent.com/pw/AP1GczOId6lP-Ed_y6foG7mbPSVSS0DuENXji8nouGXolnIE9SGbcYKeyCyqUrLiwBc32xA8QX2bwPxYmNuXAR1VaksJIBDHnRnIZLzuLmlpyzLjNMDvD2yH=w1200|https://lh3.googleusercontent.com/pw/AP1GczNmTX2ACouqHgD4UGWoNJHURf-T-G3yH19JnyzI2c2HxuqbwBISPxY9jlDkHhmxur1kar6tdrUEhqVD9Sy0_THUEXJtToeqGPnFLSLHIRf193j2LDRd=w1200|https://lh3.googleusercontent.com/pw/AP1GczOeZSpXoaeRUzvnVUCG2CKRPaZ1OteBk5BSjUOx5NQLys-kfxapum2Fh3azTT4rcFb49dubDATGA5i81ofFeE-2Pq7pqE0iXNCBesAEzrqUl1Ds9XBR=w1200|https://lh3.googleusercontent.com/pw/AP1GczOv-sPbjn2f0cbaWxkXaeNi7Yq69Zw13c-KqwDYcvoIPxGYoheiM2wIP1pqBcT8G8q5-RLfY7Z94yh70LKtIW_F3yQE-fsaYfz60YpsspRs1c0oQb1_=w1200|https://lh3.googleusercontent.com/pw/AP1GczMBVbCmhZuPRZulcRcGd052oOb-1O7M5oWXLt5mVhg8g_cnRDZN7KfCmTORner9cZz0J8X3QkrJEDMW5zrUc3UoJKLwlax16-V7tzuqhYAGwU5HYDef=w1200|https://lh3.googleusercontent.com/pw/AP1GczP-iyoJdFZCtk1zlGbqgo9YLwzRw8WzTct2nN5DIB4gy1xCnA4qM9NIHuHg6TXugJlfUSEMOLbaxrp2MWuaH5UrUnP0bZYM6tThdMw6N-nbCuEcPeLx=w1200|https://lh3.googleusercontent.com/pw/AP1GczMV6OqUVZHPxYkmSGLHwARgGf_BtUX7q-9hpbOAsepFtOByUvGPYaZ_lHNFLUW_TBaA2q06Y7-yPxqu01dTCFlCfZaiRYHmn5038GvuSbDbfcQmAQsO=w1200|https://lh3.googleusercontent.com/pw/AP1GczN6T0Qd3HfEfiDPvc3l77kekmFTNP6SgtYP5srqyXK6Xm16U0cpAHdV1HV3CHjV8k5wL5aLRscteraHle3Q9KRtvoEStzK0z54tUDz-8sy_k2Qm2DiT=w1200|https://lh3.googleusercontent.com/pw/AP1GczMsFj062DzeNPO9d0MSeebL06xrIk04yBF-Pnl7TCBODvK3vDW8Si68XNPLvNbHvx6LkY-LPC-JbQjTY8plufNvjzuE4KoBS2WiqlqFu-sL0G-hyriJ=w1200|https://lh3.googleusercontent.com/pw/AP1GczM24NMK6HL_isyBL7S9gG6kN9uDHu9pa1d0drnyhSNGTINMsTlb6JAD1lj0chtySUa7j9ZI1LquC9HhE8E7k2Ff91SeTTtIjSUjpA3NEtS-RlxIFyxe=w1200|https://lh3.googleusercontent.com/pw/AP1GczORz3jUMO51Zc35YnplFdMNYSrPhkWc8zXtd6-c3Xi94efImZgrRDjSxypAsEGN3WOUbvz9eRL3C0vbqPxPxUC9e1c2-bmeVIB5zE26s_eYKYQrBPd7=w1200|https://lh3.googleusercontent.com/pw/AP1GczM7DPGbZ_rGADp5aRVLc0O2qjgIBrmi1u3J1Vh0CNOvPEpOJ6vy1RrNpncTVQ2ocj5vE4M_ad_vixTChmYusdVrTDYYeOlbtRAOpzLJOyNqSBHNcyNN=w1200|https://lh3.googleusercontent.com/pw/AP1GczPKzC4OWZj-_yrflTpwQd9uUF3ra0K9slWBK6byeje0sphnWbL0TlIgaCVfZ5Gaou1ME1-Kg7d4vLU5oBykT6P5n3tZL6JlIyephf1_OEEXDk3_rQLY=w1200|https://lh3.googleusercontent.com/pw/AP1GczNq3v-yfyKjaluRRsQxzu9IIRG1BwspAs3khZW8KJ-VT30BEhzzlQwyS06KEejIV782BEsLnqmxUDLAodphZZDbQD_F8mHNe1hS8Ah9G-vC5BC299wn=w1200|https://lh3.googleusercontent.com/pw/AP1GczOVj8xomccIIiQ0CXqXgkPQUWkYFuoAalyikd0o_G2px9wQwki8NKkivjTEIVr9rdLn3CWtAK7AB10xAU9F69FpSB3FuwgJgH8pEo97Aph1VvdgUMAH=w1200|https://lh3.googleusercontent.com/pw/AP1GczPAi4zy8TonC2vBbBHZz7BSXFBjyPfgDQkLepH0v1Rj0uzttH1ANrqJk8fotVyF9Wp9JMntlZEXdH5bVspZAIP4F_ZTc5t3o2BIQhL8yJ098Km_cxkD=w1200|https://lh3.googleusercontent.com/pw/AP1GczOKlJ8Sg_Q5qVK26Ch8jt5EBvs4mgaJfdp0g1z1dPOsxcuUk3kuDMjg8YTddO14pGdzriHSkvlpntL_Irc9TASMHc6D-BFgCpeJssFlT7UTHCk08JA2=w1200|https://lh3.googleusercontent.com/pw/AP1GczP3G6y_IIlNqeGpaU6AnmZqjCJamVRPl6SaxlpFoaJe468Kyu41KUJfhd1vm0RkaWV1sbnrSJbG8jpxwT3dy6Dz3FltaAP2hsvgk8bbLuK-jjO50C2T=w1200|https://lh3.googleusercontent.com/pw/AP1GczPTH_bcDx5kGKKc9H53GkMJn11V7coB2gKH-m39cdypCQPGh8qd65r9DUR7qYcxDPBN7npCRcTaRSpzaW0Kip616hIGAhYAclOyYYgG2lcs4Zzg8wWw=w1200|https://lh3.googleusercontent.com/pw/AP1GczPZURiZ1HjrrKQ921hjYwYutXg-kuZgmu1V8f_xm-ZhxOARViZqv9WrBP7DLZZA_2hto-xjTMCSUmyVzBD0ySUh98Dqnbb8PZy2FplJBGBXIDDmd9ib=w1200|https://lh3.googleusercontent.com/pw/AP1GczPswN2L7pVLonkVFrWaU7dGMGmobTCUToKNlDKJaTS5OFgdk4EtBNxM-PuWCjE_SWVt4R8JMLJjkF04FAIHvvmO4lAAZnV5W2hnajNpi7nr7x6squ3O=w1200|https://lh3.googleusercontent.com/pw/AP1GczMX9m5l4reKvRABveGWnOh_lxPrazJFxjwwrb7Ym1ESf9qhh8WRRgf9weauxtDvjLRSZOqHxI8Z1G2qOjgJlcM6HsRg39fN3_Td3ZXd0mevxdGMF16A=w1200|https://lh3.googleusercontent.com/pw/AP1GczMy8lS7EQEI53wNUK4MlJ8MTlnUOGRFjt1OeU8-zaR5HQfB_X2VmRS8GGudAxjZq_r_OaRT0YIg2MkgAaN6EjBLkPSHa6UDzxWX48J-KVoG3EPD48nQ=w1200|https://lh3.googleusercontent.com/pw/AP1GczOjzpLU2hJFlbFuad6FTZFQZzyQisKxAAsbkstI6FT0S9qT1ZV7gdln11dAEmyE2OwRINjrZNC1UBdOtOs7bpD-ErfSduPBDrxUP050A3SPJMfqIYhJ=w1200|https://lh3.googleusercontent.com/pw/AP1GczNrIMd1yMIJ4mQz8QbmevvbHM-z7lB-9tbjjdXYlTlnWZ5lnEm2JFVfjEYixy1Me6jsdxF7CCsyEOJfig2oS_AqNhPZQe4SzD4fk3Gcge437yT7-926=w1200|https://lh3.googleusercontent.com/pw/AP1GczOK4oS15ndWQPmZI8YYHZmzXyN1A8QwzyfvE7khamOmGhFOxxaYlxAVMHJlhqxx9imbA4TxqrMc75_v9xgjKwc7xV0LbLAd9YN-X2yr_gfyHnBb-E2f=w1200|https://lh3.googleusercontent.com/pw/AP1GczPP18DGsshbZxeNPWC_acHMXmFD2PEoHkAGnjCdoKiahnZSTtM-5xPjdxYAxCx2zQTeKS3yoXLi6Oc0LBcIgpe_7ExXDUlXzQNM-E8feb77DvHqoKQl=w1200|https://lh3.googleusercontent.com/pw/AP1GczPfFCykoan1IQ982XIIumzpQtcml4ir3iVXII5wG1IBqShPuw1kUD7UmBEu6eSqn1kW9yCntgMnUrYHwBcJU5Q8wnYhKofbaUUVVU_auMiRoMoFK2N6=w1200|https://lh3.googleusercontent.com/pw/AP1GczOPCcuTHTjaDsInr640Ih-z2P7RppZGjJ9AkSuhIhKGvRiY4UQs6GWlqWaaYtH8ZjUB0-NwXGjcnNGdK9YQ6GXEFXjwM_dSsgC53iWb_QzdKIhy47m-=w1200|https://lh3.googleusercontent.com/pw/AP1GczO_spBtojX1WSXDuH0CoZSDQsgZH6J_wMJl5LGfPmKawfI5hxE_tijtzf9ztkR9wl48y39ZD3yDyRFaBSzdtr_3NWjyjZ-JDsr7RQzO9FqYrBtVF1rT=w1200|https://lh3.googleusercontent.com/pw/AP1GczNbasn_TLCDMyHgbu_5dzB9lKZL6x4As7n2t0WMHxguS43T08GT2Ji2EmAAAWwqwmrO6melvoYQrpkOSh1Tb6Fv9FXw8Iufeju1anIH_f2ZAXmQAFTg=w1200|https://lh3.googleusercontent.com/pw/AP1GczN76tn6dcSEJ3xUyInnTxdhMnTkvK1V4-gc5AFwGwu2ZW24musCh6vFW89YkVY7SSE0CY6c5R39yCuG6WfkNgFksT6ypo43vFx2sp5M4mVUIp1D7l68=w1200|https://lh3.googleusercontent.com/pw/AP1GczPqql9uoyNcVcQmUyoPsZqI9g70VQxZ6kChsEXE-CYtbC9hkPlbXJHlIHr7gJdxJn6Q6UVTejxjWhlKEuarLwCNmdpAdu_Pg31VND5trPKiBxBHmcqk=w1200|https://lh3.googleusercontent.com/pw/AP1GczPnY9lFJSn3jGM3rKrrGdK20DqsL9ylgU7_ybXzGbge4Rkr4e2jv1yI8GKKaGF9MTlONDWiz1IL9OCpfxnDbvrZz2c_9eWui_FqrZwDlOVA0VFr3_Md=w1200|https://lh3.googleusercontent.com/pw/AP1GczOxgCuoozt8g5A0E5tDoqFl1bmqqbvzhiKwyi7o-UaZXz8Ye9PfMgwSB6T6EoSpoIhnR2VsWuNiV2DGe2VTG622Zs4nQr0WlekgasOyebc-W_GwQyEw=w1200|https://lh3.googleusercontent.com/pw/AP1GczPNnV8vegcvMZW-MsxFLr28th4hegmC5kPebdbilgrDz-lQjSEIpTcJ_Yiv10b_cD1dtWJelncQHTqLQ0oW6EgLvyaMYbu-IPPfxpv4Zds9xanOerhB=w1200|https://lh3.googleusercontent.com/pw/AP1GczOYDRYqlfLp3n4sc4aw311yKrFGeyHvCyLvdH7xmeJ9QPcKOHKRdBptX0QVJXGmBnxRbU7MoHJsNnJjYC_2fYCDOP4xhzS9fLmTXJ94lZnAaAHIqNzY=w1200|https://lh3.googleusercontent.com/pw/AP1GczNFddG36Hfl7s_7cbf4EUfYg-iQEG0T5NWzA6hVn3lkheAEM1UaEyKRybVZKI9aD0LcmFgGVUgQLsWe_GGSgpPr4XCwp0tJKBkx-203rWaZR-wEcQ_9=w1200|https://lh3.googleusercontent.com/pw/AP1GczOXWARsIL941wV81VXhh9fi4bJjRFo99ngClRY4Fr744ODfdjoOb3hVA8rmJGxMIGjYQeHfl8aAarippLTWLVeaJ_AU-O-j8QMPCsMh5w26sZnrivqd=w1200|https://lh3.googleusercontent.com/pw/AP1GczN-jkiGAAgBYuoEQbsdg0hK9rDUJ2ARGDO9fYMAuFXl6_u8wDBMQKnt3HqvhvtUbS1vaxGcv8IP69YMDaYXfvafCr-lYMcBTqYUD6eZsrVN2jTl8R68=w1200|https://lh3.googleusercontent.com/pw/AP1GczMGkfJwYElMw2NI3C1_d4m_QtkpInKi-BXoyP3tdbMuasYYgM5LcT4gBLSxzXjwdIU2Y_72lSOzhgs193Mn2UvhHvUE6YzJmzisU4dBF8HP6llBHSdJ=w1200|https://lh3.googleusercontent.com/pw/AP1GczNptejTA5Pzk3JCGVTz9SChgVO4ot5Wldt-Xe0JA2tW7dONdI4Iuh8dZNzmWd3IRtCBsYflbVZXJQGMq2meMnroM6nWt_WFySkdTfkqL00cXoxQthMz=w1200|https://lh3.googleusercontent.com/pw/AP1GczNf4l3Ty-F3NUtZ7u_KdamCE3wIVw_ZqB7LaoMZUw9C67SMRrAX2AhH5MWosglPfFKxsgv7IOR54QxyuABIo--9LvdToN26CQXJbAnWavqXeQyGn-lG=w1200|https://lh3.googleusercontent.com/pw/AP1GczNwm-MseMwD342VD0qFqNeixkNBa3qvGEyGLMzxuYX8Uu9KpQFVlykrKtXNvvQmkJVLX3XnQbxOeN4Vn59Sf6ZLezGSvDkrgkTmgzx0xFT2zxc7LK9r=w1200|https://lh3.googleusercontent.com/pw/AP1GczPLLyzeBVlOKylmhUgagsQ0aRBJ5wiIUdlerLwDWuvwe7NJmXpU89aipxoGThrgOc_MVlUnYZjXC0QVJd7Ly4fJOTuOZ478fgPNx_5m6BLfxLN4W1So=w1200|https://lh3.googleusercontent.com/pw/AP1GczN4Ktl1aP7K_ScM7x-4z652pYrV_Rf5a8ffXVxiuZWvPPZ1SIobKZOW_sNh1Z87E-LaeoWGFceh_J4-OdrddAb3MUZV8Gfm1rJmLPC0E0gd1LT70ug_=w1200|https://lh3.googleusercontent.com/pw/AP1GczNk2dYTu-mqR8ZyNRDmKIhtb7_l0J04eO4f19U_Ry00gFQEGQZPoEdyhjl4CKrg4YlGDpSydoX-upa-hTdpX1nIuPTWm970JwCrM4eHqbQ2aXuaLMCg=w1200|https://lh3.googleusercontent.com/pw/AP1GczNqovFXpPyEOZ7qd70tKHPiOvdkNd0Gr7zei_JtmJyEHhIu-aNlAUR7jDHcOIZBDDMLM4NU60L3XtL4tTUS1zArD8jsOC2HB2rKDdRwYWa1_QSd8NRH=w1200|https://lh3.googleusercontent.com/pw/AP1GczNRPCViGrVXE9Si7uLjzgq22zb9qHnZbezdjduP9AmdSepS3cWf6n1XiMLNEjo_Fb0fqcoju70mgTTF-JHfGBkbze81-sxl5OkgE0f2qsJ0H7WMvRjF=w1200|https://lh3.googleusercontent.com/pw/AP1GczNo4E0pCzZ6osFiPtJEWQ9asBYkGaQpMYj3XpyL5cSCopWxUVBJIuNH6aZuant62TFq5e6YwBJwlleZyWK0nNHCuOWYFbWJU8-IPHpAeh3DOB8DYSTs=w1200|https://lh3.googleusercontent.com/pw/AP1GczM4fLAqdSGJXaElb8x0m7CRsus8TZbOtC2JUQnpyvfX35gL-YPgub317PIJ--tCqdd-qxyedqpPwtDYVcCBDdzMbBVczSoJp2bnQJvRhxosHAyS2xGc=w1200|https://lh3.googleusercontent.com/pw/AP1GczMO6sJMDQ3wIYC27SvAX_R-pZDCGQrbqiR0_Y859r29298rtLPHbqH3uF7uAZuPsPto0_BxOjt26mbkJCvb0iWhtv615qbTxNDQULfJHyYa9U_Ad62-=w1200|https://lh3.googleusercontent.com/pw/AP1GczOwdA4rxCrYZnTVZ89qB3plUofBaCa9UEKhSAD4rDRXUThg8RRm_iIvlSu7E9dsUEXTVSHgbvWbn5YOX3DFfGsoVEgBQjVVudGdOzLRazidEhpeNeUW=w1200|https://lh3.googleusercontent.com/pw/AP1GczOTHHDOHPPFuwG--IIKdZ09D4MNMMazWurS5-ogVVkTwpKsKe379Kt2DjXgdOETq5udVqTO8uMWN6OrBiNVTw4u5mAtjaLHDBUkZcCk27Tc3KPD56Ou=w1200|https://lh3.googleusercontent.com/pw/AP1GczOw6VeG1TzkCpsXkc6TMl0rhmtNDCsbHzF1T3PPtFQym5Nkll0JDyGWGyB8zNqXHZcYM7cNjGrUGDx9k-5uvKREG-AbydmjbHOrnbyngXU9SJChLZuv=w1200|https://lh3.googleusercontent.com/pw/AP1GczNGNMIdJfA2PwZQVzgUiZpQrwSHhwEyniLMX4oBjaW8SrFXO9vkeoHPUHjzEzL7LCzdaFCWWosYYJdXO8YQO2vBUeuds2Q-hBihymT8XloaOG3mnp5N=w1200|https://lh3.googleusercontent.com/pw/AP1GczM-e-8a_MOYpVqDJyLHXlHPcOEbDlypvJbRdhC_Rzk74p7lTIG-SPKwyAszmOUS0jrt7atBBvNPO2BEK8gRUh4UsTLVzIb1HURYQ9ekaLaADuZJ8uez=w1200|https://lh3.googleusercontent.com/pw/AP1GczPHBzbTWxM2QXHmwmM_Gc-59I20RqRN7RBYPBh6ZkSqqj1Cj-HZ1Nh-kuBK77MezYXZUDlRjtEEihGpKjWb5RnN3kYUozJIzHPudBJRXg3FQxn_V4nF=w1200|https://lh3.googleusercontent.com/pw/AP1GczOA6dPfQymIEI6d0rvqW_V0WnYIQbxRvD66oJRYxTAgL7z9j1_UFsTe_v9f_NIkEBpzhFpCNjec1b7YV-RpNLxztIbnQKZ96NgDvyNycCZQ6hjx0BUI=w1200|https://lh3.googleusercontent.com/pw/AP1GczMoyISCf7jluHUp9EELFs61boKSK4Pf4WIZtwqbwBeXAUzr_XEPr-4y7nJEzMPZU722VMmFBM7fYEngHavvN84R-73Hlp5hCDnSgJWPs8z-TvQqGh85=w1200|https://lh3.googleusercontent.com/pw/AP1GczMfezI_ZNmjRuANzhNIr5iTWLr1fW6XbSee1jTS0I6ny1lXfiPBDn9_ZpO7WPosiSys3tREfWH2Uijj0iD9EUWaGZCrs3-_V9E7qzM8XNWymyofhELV=w1200|https://lh3.googleusercontent.com/pw/AP1GczNnn7YEuG7HlJokQpya4KriHJjluaG7Ge_PMRwBxIgK7pTgEc5yevQLPpbMrsHd5Y4CUye5RnFpHEcN-rZGOg_XfXT6Qby1vupN6sNFYGgD_KHMT8Xc=w1200|https://lh3.googleusercontent.com/pw/AP1GczNdoS0wgC4reoPsa4Gumlc0mFrwCoXPHJqNhdV-cArE3kjQ-F3QyssB4iiU0fw2Ubzcz_TdGY6MXP0mlMn7R43f5polqtEt5FVLhHD5UIuIXsShokTC=w1200|https://lh3.googleusercontent.com/pw/AP1GczOyRJxPB8xwkTn357PIHrWZKOjezan4awXO6jF15Qj9Cdq83bxQFp2D3XTmvkhC2j6RE-4fbv6gBj4PYxukHzXtcARxWs3AnJKnllY-kEO0_zRsvy4b=w1200|https://lh3.googleusercontent.com/pw/AP1GczP0GnA0k5RU8owJXK-DcZmUa1lJmFUVSVzgwWFHHDc0OZXbTzy5aTsje37k24uwkE2_5XxLVTMILQD0j_6TnzJKJFE1iA8POd5V1-h726oPrid3DrEn=w1200|https://lh3.googleusercontent.com/pw/AP1GczNbvG-gxcWEM3b9pX1XFlF8jrj8UbLLPLe39Mv1zPUY_Q1Xn3zyjqkpo7-K50RL50I_aownh7FiwL4xs4cs3mpLrzqY_saFsqoAjgh-k04NKsxYcWqB=w1200|https://lh3.googleusercontent.com/pw/AP1GczNFesbh1jLtgRPFHS6WLUPO1bpSEgiM7JhK1CvOtNv7b2IIbynaUl2ns7_Oewi0ca9lnpFh6aQdqf2-uhtFvtbUpbAWR5SthG7Ff2UE67ynkvTsiSLj=w1200|https://lh3.googleusercontent.com/pw/AP1GczMWxZOtvhRIi1BBvFQ5M-UL5YsIE8aHuQBpEc_XOe_dPkD614ulR2OWkApsHboa5ACn5cMRz-baa85jGXuOZpFAEWVN_q40hjhCPDokN28How-pykmk=w1200|https://lh3.googleusercontent.com/pw/AP1GczPv0exFTUJw3SfaNtBo94uc2Edq-roIr2HQTC9YIEcvK3SQyoaYcA_3uxsMw12ebCUTHZyn91nJlRvF_Ac7OabdN5B-LB7wX66BDPxXQ-LY_JmQu-Fe=w1200|https://lh3.googleusercontent.com/pw/AP1GczPhVd6LQ85U2zmgVRaPgvY09TpBlxCWzV432BoFfVXJG36dnGBAzTP40DfS6ofKq0rFwSreYJK-rM_-wVN7n_LvsjneV0kP3fknnV2BVh3e_K2SH0W3=w1200|https://lh3.googleusercontent.com/pw/AP1GczMuY_-N6dba8-cr2-pZHPUG_uuE2hLur9xla0atOPBQlX6v7SnPBsa4GWVa4vL9XMQyXvXsOOoJ5aNjBa4mmERiMfbrMoAEtuhMaASj1I59wViE_kNV=w1200|https://lh3.googleusercontent.com/pw/AP1GczPraOblotZkX83pj-b-_Z0IsHn-_GFHEaAdMuOhKLyRUIqv7wWq5nZ6u0kzqHSp9daL67ZQ2zMdTuZO2nLBB4vzCw6COMmqmGTG-WYQjJ2dv8VxcJa3=w1200|https://lh3.googleusercontent.com/pw/AP1GczPm0lQx4EG5Ae-0fImHmr4yabHFuFuzoAtpEqCwUopKAb9RXfMrPLDVubtQzEgl9g1W7jkMai38NPOZteBJT9EtBjxDrN6FCCEopgRAVBPCcdf3D7np=w1200|https://lh3.googleusercontent.com/pw/AP1GczOc2CyjufXYTIFgCxSMpfOio1DMNjFfQM4jE_6bn-ghM29T4oSgHE3VVegBse6Y3ZmqFTsmwrmQN1K75fZQkIU8a9_m06WGjlO-3rtHQcXkVJe5W5Ri=w1200|https://lh3.googleusercontent.com/pw/AP1GczMCXGAAmgZF65tw68xJzimOnwkMm8ReEDlzQgcZQLYgpMEJ9O04oHe0ByJFpyaHHt1RvI1l2eRNBJRUBbfslyH10eoTEzIrvZ01F2U15AvsIU1RThUM=w1200|https://lh3.googleusercontent.com/pw/AP1GczOaiBzAwCF3kcjAc7gYIKLAZjibgo95H25FGAeC5zuM4Lnp5rAkNKrNcxQzanDVBGT57b1sj6_14xElGHiRAGWz3Y51_J78U2rUetOIy8Y4w1TUzS1F=w1200|https://lh3.googleusercontent.com/pw/AP1GczNMpRKO2n_G7STdCG48gzRhOhNOzGTAoC1R_uuljLoQSJRmQVBe0OMmrs7Zb5fOSLyVMTHYvIQkVMFfhpIWlngHX9_ZSeXaB_q0T4EQRmuUsqFKFC-a=w1200|https://lh3.googleusercontent.com/pw/AP1GczPmXE6rVUrYozNlLkPu7udSV_M4TW0g-qrN22MiXWHV85InFlP3wJMPRjYBAopKBEjfNhedvA108s5hjPkZz6cFvbXyHl3yHTrvL-yH1yNAipESo7ai=w1200|https://lh3.googleusercontent.com/pw/AP1GczOr4EWlrK2MEs_C0caeF7_bIQZtuDjYNQmwgqmmtJwQTg0SM2CAEHufOA7tojmWyiKwt_BDBCWkySc51M68pvMF-4-8It6mCsjRyMyB28Y5uR8SZUu0=w1200|https://lh3.googleusercontent.com/pw/AP1GczPV5g017CBtmQcLMyt3cpiUG_3G3USXrry-bpv-9SS-4x2WPaNRRjl1TGyOWe-nuznglaDWWCSHrLrfSmdkXju9ylm7QfNCsqBmSyfjakv4NliuImGZ=w1200|https://lh3.googleusercontent.com/pw/AP1GczP3yxje3c1WO0x0zaG4vuuyxNddXjF1KA3oqY3_yJ94dwafsPCNq18s-u7qhG35RzOGURoVDxiZmxQ5EJdnOWIUnJydbKCM7sdH9h0yHHfNSR_zi5lz=w1200|https://lh3.googleusercontent.com/pw/AP1GczMZwYrwpGPDHYC8kf6VX2fseSMiEB_39RS5tj8hE94b2cH1EPSiGz7J4atd9rwr_p_OFuiZ1w4p5Qwk4dWJ7FEr0gGnlK0amOI_gmO7NJCq9f7z1q4f=w1200|https://lh3.googleusercontent.com/pw/AP1GczNkRqUfHJFuFDemktbEi8uX7u3zQoL2QkoIvi63PybJxUR4zfq-noIg5qzmBhqChd4OufuAxI3kx9rirBwBKPjNaByrFRVf3CcGSl-sIR2AS4rUDOj7=w1200|https://lh3.googleusercontent.com/pw/AP1GczMD-yzdYIYpQiZN_Q4C_YvWeJPCr4k3-i71qqtPgcU7pmTt1RFdw4uu01XyuJEyLodBPtkdA4aoQ08KMWYLj_i1LZPNYZ8KTOMHBgOFZzVIXcHh9TdM=w1200|https://lh3.googleusercontent.com/pw/AP1GczPmDWdOO1nPZZtY1Hyc4flMDZzoRDmp4I-9e-uJ3RHNBeM-T8AeQVJ3HroLjfala3SznbPqizwsKXupaboCNuwezKWkkMxSnk_TRgtXS5DvYpxKVM6b=w1200|https://lh3.googleusercontent.com/pw/AP1GczOthxky5cd6qQvXlk-CYlC8g6uI9HHY1bjQSoU6KZ8ljIVgg03yOYkeve-QENcuU13IZmVNrlwrx6YBVCiGwVWKOzvnTnnAcbfAju9BAZJ2rPyP6b_Y=w1200|https://lh3.googleusercontent.com/pw/AP1GczNrV-iyyN0nO1Wn57zQRXvRUQo62TjIlh51DBgOQWtGNUy6df-5Ebe2N9Z9_hExnXoJh469VNI7H5btB95iwvLjN1MPvHj9mVkT3jacdxBY4-g6yNBa=w1200|https://lh3.googleusercontent.com/pw/AP1GczOldwXTvMawySYITiZPYOTHS0ZxgwHq25HOrHneZfeTKJeFr0UbJ9tI6_37DC_XVzbldUrRP0zF8uHOsLzpbKFSOT3SntI6vCq_eGufrA_0hrOyzEw7=w1200|https://lh3.googleusercontent.com/pw/AP1GczMvPRO0D-U1o-9TggL0I0-iaCWDbUlDJtA5tGkOj_Uew_mi3VGd2lvnZ9CbCajUQTlIsquoQm98xE7Vik70d0Vv3xPAzrHKKH-II-793Urd66KJgoWL=w1200|https://lh3.googleusercontent.com/pw/AP1GczNW-2J2GIR0YHe6ee5HgbHqznnbE7kHi0OHyJyoxYlc1qKBoOsWLUb6FMSnV2ogMY4I7JXBPqOd-eWQq6tRP86CyFyr2pgXAyaT5hARHyF38dyeqqdA=w1200|https://lh3.googleusercontent.com/pw/AP1GczNa4efyEBGioY8Vnwl8ERYxVT6qq34C05Um39c4V-KAoinrQpbTMl9lq1uzow8c-M7uViCA1t7QKWmj7bGBTNcbpM_wzbv5Hrs2l7rRJeZH7r4_t28-=w1200|https://lh3.googleusercontent.com/pw/AP1GczPRMyNdrSfJXlG9TFzzA9ZS4aKz1-ZBwLxvtuFFX9c8uH4bRRPbysoVrgUJKZ7x8evSxaKNz_Gghog8hYSa6s0n9GWU8oiSbl-KIj5uf9VX9Yy1Xj-S=w1200|https://lh3.googleusercontent.com/pw/AP1GczO403gbLJ10N9FD9ObwFD6NINqHPWFuC2MS1KSw1dbaDQW2rz3d94C0hiDcLvWm6I2nfRTzkwgBvTNhqbaeYxl302ZKuA0sr0h9Eso1Vjw_al91uk3F=w1200|https://lh3.googleusercontent.com/pw/AP1GczPjSPNE9AtB-Cc6RxdcU4Ry-3bbS_C9OCJy02gQ4mayaKWtUsK4oh1YvN3LPAowP4cSKFeQ97Kp37HBl8wX230FEdv77T8jvWpWG873Cw1xj3itWK4i=w1200|https://lh3.googleusercontent.com/pw/AP1GczNcgErDol5zm6HwBqjkgiVVw2i3q2HqXxxJcKdqANzPxMe5oyS2sZzTX5xAluomWF_pw3KommM0OeSK0l7-XslLPfxkkEAk_xSnPn1BXiWjxekMazoF=w1200|https://lh3.googleusercontent.com/pw/AP1GczMr5xtHChtJkeo1bIEAF25RMt1VNwX1DiCxnITrQkvMB16Knf2_JNAdAb_ucJ2_Nw3uhNO_gA6Y2yM60n40weOFFwDCniDHVqXbZS5pAKndZ-Xqq4Zx=w1200|https://lh3.googleusercontent.com/pw/AP1GczO2vJf9QsjPfUNofEF7-PFBpQGZfgy-Y0ZYT2zrSbSni3YpaIGGF8hpM8AHSBoL75pSK7H-qdmTqwKQkTM-XDwx3mrG9FH2qUy_1g4QDCswpSdJHY9z=w1200|https://lh3.googleusercontent.com/pw/AP1GczOHvJj4mrm3l0jocIwVb8VPbBlEU0h9q43dkfve6SFIsjxPn7mUKXOEB9Uzd7TqGBnRGuAqU4RWk1JxufN6KLjb-7S6TGdjI3OmU7udI7Lk7bz_Gow6=w1200|https://lh3.googleusercontent.com/pw/AP1GczMQvDAwfh6K9YHDkqQopdkigR5XsH4-NYm20cr57h9X9g9ewJO1seW1Ib0PIGP-qubbXLtXOxxqu3cJtJ2tNK9FK4CspoaNSGxk32The0vgFmsDnkJH=w1200|https://lh3.googleusercontent.com/pw/AP1GczOhKp5dhWbeisNOIPImt_KBHX7sSt0TGGnY0SZpwU6mpDtPw9PRm-w2hWXoZwtgogCNOtp9zbBBr5LArnhQL91GzQtPnDdyn6shKNaG2zh2UDjJUZOj=w1200|https://lh3.googleusercontent.com/pw/AP1GczMKQdy2koPt5jD3doHJm9vjdFJN1GEp5_wPyiXawFC_nBIYVYb9bQadVo4_-9pSP1i5KdtzWnkx7y9oD6rVWkpSiQKup__zfhYc3EqPNVXh8Pr3rRcT=w1200|https://lh3.googleusercontent.com/pw/AP1GczOuOIW-rjUpaeWDMKCKhWuVH0vHSNzRB_4j46pOyqKOH-_lnU_fYNAp9mBZFFQLHdw1uMrfIaFcNrBHGW5qkWDBRZ1_LXo2wN4gXtbRorkGUQro9hSN=w1200|https://lh3.googleusercontent.com/pw/AP1GczMl9zrki7wqJdI8hFnfBSzMuYjMSz1H9XCHMszKlJpylK37MC81ytX8y-LLZcJ_uPRzca_KBs6bkT6WgBy5jdP_kiHaUgVf-P6nXawPwSJN5QvAtUax=w1200|https://lh3.googleusercontent.com/pw/AP1GczNZWhvuwBc5SY2aqCHJkEgagCtncUywDbeS0V7070N0LvVkriWKKMWIM5ieb7QwQ4bu6oWuIhu5dyKrInzB8aGnVCFA1LNqr8RKCDIOf63fvmARm9Il=w1200|https://lh3.googleusercontent.com/pw/AP1GczOE0huDb2vElR2oylcnPD3p5Y0zeWHPsDqc79eFQMALTK6-_ZKT5ks1gamidReDuzy-4QbtNsVywtHh65TjTBuwtCYUNMEVJpHpBzbWOQMzi4CIFZRN=w1200|https://lh3.googleusercontent.com/pw/AP1GczOAnDdKETgFbGcmHhG8as4d9XXskbKK-zfDxYprFIXhIrsZVUHeeRcTcgSQkAIe2hUZMMKD7-ONoOMxZyurI7m41IJEc7-cvcRAeHzV2_0zA60roP1d=w1200|https://lh3.googleusercontent.com/pw/AP1GczPrHlSwQyRasVWTPn8-_4S6efsVtQ_yLprcHCNzQlZvXLmN0-CvoAuF9Dx571wGo8XXriM89QiPHu27vHcdgDElrGPoTmiihqpkaH1S99bErQpI6XxS=w1200|https://lh3.googleusercontent.com/pw/AP1GczPFfKtPwF5dUxZreOpTrhNDVhcH78gRoyTDTx9F_7CJKSK-7zU6ugmD2uEk3FoBhx2l9P1LFw7_bfNmm3TVGCwZCHYs-ijIdUdAkVZ7Vo5UTx8oGh-7=w1200|https://lh3.googleusercontent.com/pw/AP1GczPPQgKPDDFX80lMMyiYIeQ3SUuZ6BXS7m8nT7mFL1pRa6AQm3NbmkAetOIqieMAl39T1jYhpSjuV2aaLWsMDJdVrX8V4CMaw1dF2Wg-0RlOLbjEECIh=w1200|https://lh3.googleusercontent.com/pw/AP1GczNkuMB6s-Je4LowejN7AaHSZZpSvSQI11DMc8QruyiM7mgMlMy3Q9Vr5rqht10Hy65-yUfc7HYkhB2x2UxvKn579sXs-pWr4ef-mwW5kV4hS1gRwyzV=w1200|https://lh3.googleusercontent.com/pw/AP1GczO1XATTtraps6X-n4xSuua-DkOz7REj6CTujrXFlXItpv26xZXurhtPquoRVGR18q_9OYgoEI2Tdq5dHu8QhPZxmi-lEB-sEU0Ym32prUEtehvDD4rj=w1200|https://lh3.googleusercontent.com/pw/AP1GczN4DZ0a3yc5-ZLByLD9WU3c8YLBCp4Ine1q5ZoaHKPLqfJjVo4uIebeGjsEH-qqTK_KuG3QAoXOkbJmeWzxojIfgOW4qJm_KiuNi3ksppXd4jf_4U77=w1200|https://lh3.googleusercontent.com/pw/AP1GczMgqDs0N3J4uem2S_g20hFmaMPMhmaeVSpbFw35zeyl_uCAgLK_fGpofF4ZJaVDxBHL8LO5f3cVVAmjNB-Zakxfg_iDAEOxXLKGSdOCTb0aXrHGaNFF=w1200|https://lh3.googleusercontent.com/pw/AP1GczMwmROjzTQUBGdY4Ur_nUVDJTBCzuMuyJ37wufu7g4O3wdQ8hAW_Q7SLofWAaSv6AKvbhwq92SZ3fIhq1npD4o6UusOF5FMP-YGhENSfo-QteE__Sny=w1200|https://lh3.googleusercontent.com/pw/AP1GczOpowCp_QqII-bG2TvA2lyPMebkXU5mjCUrb_e05e_hallQlUPiiBOq3dxICTea4qJgzCrxBdFEdJwgzhdvsYl9gurwMVQhjhmKPRqhMOizCUxR-ACX=w1200|https://lh3.googleusercontent.com/pw/AP1GczN8-x6eYo0_AJW2XWsNFwnunWQBISZdynLlEG0vZzEfFkmLE3-7VxQMtA8U1I_PBJGNw5iUACVziSfYxvAIVWFIFdqkfA1I9ceN6_EIJWASV7uiJLeu=w1200|https://lh3.googleusercontent.com/pw/AP1GczMntXD0Ti4YjG01pVI2PSjgWq-sJrWF5BxEvs5xGkIXfo7ITblJA1clLVUkwEehCuDyloQRSac4bVNuxRndlqpT69Xd0geIeVTqpTxcd12VMMiqJDuZ=w1200|https://lh3.googleusercontent.com/pw/AP1GczNnjx4AEnQFTCb5Mo31aX1N5n_Fm-_wF-mlktWvf2YU_2ryJK6ECI1gqM0szP-mbQct_1bILZvuOxiOnL5kY8OFx2vXWo3-yrlNnor9Uk74X4xg1-se=w1200|https://lh3.googleusercontent.com/pw/AP1GczPALAaZH9cIjLH4ves2VnBnvW7_7PkamX_XxoSqcBXZFp2Zk8UbznhS1RsG_0eN267zp-ykwV4nLSbjAm7BNDemqku3xrTclRdnxGjwnqeuE9URSFvR=w1200|https://lh3.googleusercontent.com/pw/AP1GczOaOoLS6lL_yDqTSisp6fnvNgf62vw5Xla4c3Ir19WWeQA92KTLpXrPHjOxMK3Lp_iBwZ1n_is3PKdQRy7FAwvLFUFET2aW0dllwvy1FGKnoI-GQ_KX=w1200|https://lh3.googleusercontent.com/pw/AP1GczOcTzfglwMujTAD1xPvUQGE9cAT6dFTkWhnYl-hknCKGCQP3QYDVEt85c0G1FQYKYu8BT_ts7yuw7ToS9JXqS9wyztPUNKAGxSSEE_mt3pbKR5rsADU=w1200|https://lh3.googleusercontent.com/pw/AP1GczPXUXzaet_xgeXjDlfBCS4Na8xew9ZCVVxHvvybPV9iMBMjnkBX7I3WMNLoXZ5JAS3od_X7sm0XlEpE83AgAAWqXtcH-wiRdCeBQiCX0bEP6_sZ9xqT=w1200|https://lh3.googleusercontent.com/pw/AP1GczNhgFWrz2XfdX55aQpwpZCQtwwJwBj-3cau9c6ZD_Iae1GgPqG5NwXvEOgtoZUcDW5fvT7ZmdxciCKh64azSSISYs_VlzxL6PCNvNCehs887agH5cDV=w1200|https://lh3.googleusercontent.com/pw/AP1GczPdZdKbAjwXJHVd1k9TUVJ5AI17ZKPR-aq_IAeRfT_cEcOOKCOAQK7Q6ShBAfnsB-tvREwDGgQAfm0uO6OsF1GgTJa1Fy0fHd3K8NYe90CV7Y88-3Sj=w1200|https://lh3.googleusercontent.com/pw/AP1GczPMi5T1cXUEVNPdthmhqwx_W7xQYCvwskbBZVTUHTU5Xb21N_f0f22zkpHI4q5N92LekPmgw1n3e7slnvkzpdFRmlVmTBzxqxpprA0-ByjIVUJApOt4=w1200|https://lh3.googleusercontent.com/pw/AP1GczPbTUlZddAEhzNjxeBAmR7y3R2tOUkRhCrBsLVwK-zQO7g2rY7iLCrUHrkf3HGzUgG094mW4stU-SRSyLkXdGpblW7ZmgAjIN-J_9Ca-VNrKNLYLosX=w1200|https://lh3.googleusercontent.com/pw/AP1GczOwP9V0RHDoWGzS4kfIrbS9p6Kk6pQwv8hjA7dDKB5ZnGk2V5aS5PDMLorqU6cKGxeMzgjFklKSJZ3_S-2A2InPv8D3hTzPJ2TOOG5KtUazNqJCw4hn=w1200|https://lh3.googleusercontent.com/pw/AP1GczNKU5b4jfZgTIiI3zsFgg5snH-1mcbw6a_pMViBd2VxGo2h0Ab8tb_JSybZkUJX1n32x2gNKLkCvxffpHLVnpJCRzmR2UfF8pAWoFgZLNpH2nFm44ZR=w1200|https://lh3.googleusercontent.com/pw/AP1GczNWrnRrXbOJO-ykjc-cV31pfio5DSWezwwS375EeyDdZhlkMDUVsdvk_QCtR8nI51T8UaaWJg2g7MMNC92cOwfxi4N5tcGOYllY2tM5oKQB5IxLRFFk=w1200|https://lh3.googleusercontent.com/pw/AP1GczM3cj3eVHNm-Mt28zm1_D06gnNnOJrXtn1fUujb8iUooe-EqcBYBl8LRMc1sbHTNU3vUzypS9krHH44xMaU76tcUGIBSLPkGY0Nh6A9LQOunPXX4Y7B=w1200|https://lh3.googleusercontent.com/pw/AP1GczNLUZ4fM7sDn4pXp__1JXWLMOnGnaq7GNXQQ6c9p8OyHB-iOVaFe1M5Tb21dRAEa40ZcYF8-8VP-V8tEkGc9xbYZ_JBwnnz1E0tnE0doC7FFPEfnNEq=w1200|https://lh3.googleusercontent.com/pw/AP1GczOuKMaoG9gJQRVsWEu5JGqSar6q0Ob4GqO1C7c1JO-xZRO8_CEvY-uEJYfDaFgRw57oSGNg28IWT48hXUQacKiySGwKfSs421KHEynYCs-0RVxyc5rI=w1200|https://lh3.googleusercontent.com/pw/AP1GczOz1Tm-GbMPWre45P3q652_ZE6x_f-LqHB6ZKIbfHyjgKud5bug61_4hZjhjvGjegn9LritVhSydWLYL-QW3m-IX37gCQS6oPoD3RSomLoY6xezF2Di=w1200</t>
  </si>
  <si>
    <t>226</t>
  </si>
  <si>
    <t>Casa con dos apartamentos en barrio Las Brisas</t>
  </si>
  <si>
    <t>https://photos.app.goo.gl/3vWinmhjTfJUDdf59</t>
  </si>
  <si>
    <t>Casa amplia antigua y rentable.  Dimensión del lote 13.0 ml x 35.40 ml. Bien ubicada sobre la Calle 8, vía doble calzada con separador. Sector comercial. Cuenta con 2 patios amplios. Escritura al día. No se permuta.</t>
  </si>
  <si>
    <t>NELIDA - REF - ANA TAXI DIAMANTE</t>
  </si>
  <si>
    <t>CALLE 8 NO. 25 - 15</t>
  </si>
  <si>
    <t>https://lh3.googleusercontent.com/pw/AP1GczO6OGkMT4sLOkZxJAxFU_bUlS_TCPyeEsj0wkU75cfFGsczw7wJain6zdL4z7bpFi9Ldl1ns5b9YrAA-BwXMnErsemsNRrvHIaP9_fPquR9aZADWuDS=w1200|https://lh3.googleusercontent.com/pw/AP1GczPCLk7mkt7ju6XtPxN2YrxkZgkZ8nnPn2t2Zehn5Qfej8YSdQzQfj1OVFJuFre88ywp4goV99niO22NH5boxC-XcCe3V8Dg9r5lJTiX-G369Scgugr3=w1200|https://lh3.googleusercontent.com/pw/AP1GczNXPFsxBkzvT6wSHpdoAX6ds_XJlqZ_TSYVUEBHocDMP_rx4vKfLh0sHrpehxH6CZtn6S0zM9heeZlm6pRs_n__q03sGZFLdlzP6fGxbLeILTLwXFCP=w1200|https://lh3.googleusercontent.com/pw/AP1GczMckPU2tAaHgEKA0ACE4597YKO5oMU37K8VYNd6X0yYEx_Jeitl_qIiLMqohtGht5RHcNR-jRu9L8bgtUE6RQf0sc54g1HHdTpVinDOV4CldFZ2MGuU=w1200|https://lh3.googleusercontent.com/pw/AP1GczNNbVUYiY796HEmO6YyoQEL3g_MH1bhpXwwg08OBXw9p28Zx8FFwzoCI8hljJa0mg6oZQQW7xXJFWLRqnPDE1hwMmvf4EjSBJUq4x18dlLPfI8o8EDi=w1200|https://lh3.googleusercontent.com/pw/AP1GczP7IVZesEjpd5Xrn4cQidhLFx9lRaZ8EKp5MD8q4O5r6mT7_R94BIRDvQ3g5JzIfWRQ7yr4a9msM8M78BUTi1sPO5yohfqpz6KZFOotWOupbHZI8SrT=w1200|https://lh3.googleusercontent.com/pw/AP1GczN15Xx_I0DQONN9dNejpzpvZdWrxKTiN9SvZkTrVwFRoLq1u_rHgXYCeyKhY1qF-PulT1tRW1TDmdN8fNUipNDet8nQtZaRdaqPWkqG-8uBkrl1fpMU=w1200|https://lh3.googleusercontent.com/pw/AP1GczPXHxR4VjrqtruWQ41Ev07tPUFocba9rsPrbNpzwOaS8M58YzzHphe2WtjvdUstZ_x5SOeevdpm1ugGLoiyc4X5bDJQupOxRPzuTrttulJdNxmJYy_E=w1200|https://lh3.googleusercontent.com/pw/AP1GczMOWtQSHHLlpPBQO97IUdndWf3YUgJnzgK1-7hf-kAYmotnTbWaTd8C8s7DtxzBG2K_w6SXsYq10hH0vAn5XFxRQVCQSVviVzYbcLl_dpSoq50i5WSq=w1200|https://lh3.googleusercontent.com/pw/AP1GczPAzZWrJyJziAsWHZeLBtTDIpTN6cV_eLPm_d_v8v7N98qAoEM5zuBb22i9xC_zsr5_kSFpKE8YK3ipNui_KwjKTsJsl3gKmWXtSv_ZrP3KDQaoFJNU=w1200|https://lh3.googleusercontent.com/pw/AP1GczNBzdb1Xd-HCrjWPzpxBS9RNTD8AP4yE2yWd5OAzNcJq3t0l369rCtH0pGX4IuxkImmd0dkk5XKyf1Sd0zX_UfORzBSncTmn15n5tvoU-iY-DFk2Krh=w1200|https://lh3.googleusercontent.com/pw/AP1GczOA31H52SFUR7_J0fmRVBrewJ2cBiqtjvdPPY3gREZvh_Vq828WUIuU1WkAZjWJBAMeGIdRGZm6JcaRBazInGmdVExLnnmsk3SuWIcpx8bdpMNAl4aK=w1200|https://lh3.googleusercontent.com/pw/AP1GczOZuZO5_E0010HPka3IjKa2WMlvfXfl3aofYars-_0emyMcyRLxYcTG9BfSpiydNx7orlFG560BOJvYKSgG9bEF5QN8Zgy5heH4GdyZAVGXJJ9TVTol=w1200|https://lh3.googleusercontent.com/pw/AP1GczP_8aNE_Q2HFx5d4lOYDFKeFH34yliQz95dbT6UHrqRVZihNUUphOwOWQGOSIVuKOnN_WS9AhYTGsnAJainkkBNYTGfHNX-JYEODzMpwVaewAH02xIR=w1200|https://lh3.googleusercontent.com/pw/AP1GczNGu0vSyrXy9JwoL-KuSdwVnP70wkqjkKUDXNVx1l-reBhw_hjsc0DAqk3nznTsjyeV6doXoSbOI2QgDaWE9f7yP4pziS1DRKpvU1hUkeZWfs-ful9X=w1200|https://lh3.googleusercontent.com/pw/AP1GczPcP2B8RSCQAHKSOCnMAku3J2x3VXFvGcz1rCq-ogRh7fA_-wykrVQ3G8PxMLCxLVScqhbIENwK9J6KvrSP87BCiDmObd3FUlSqdGcpqcclwiRDCH7E=w1200|https://lh3.googleusercontent.com/pw/AP1GczP-uqkDquEoghCE5FqJJHNNLnzGtfLO2xDYMadX-1ikMEMQbx51ZTI6VzHdvFSBmokzlW0PulpQqAVIOv1YYelPqav_6Jz_06FpV7OnnBkxEbo4Iu-x=w1200|https://lh3.googleusercontent.com/pw/AP1GczOWt5T_W7d2vD_A28AbYUyxabz-xa0QmOO4FTlHg03XuqLc0kYz0qR-boecSZospzLTbqkFzEnNpsnHo0B6dPFhiwMTkcU8caT5IQmusaonTr5T-Olt=w1200|https://lh3.googleusercontent.com/pw/AP1GczOjQSwKMaBb_PpEXAmfORV6gGV1ZobaxjHkGiR6jA1V7qU1W5trCQE6IseHUY8hUYQJgFP0LqtK4woXfzASPpAP28jC2_KlOZWpqqp3XGKU_wnPX68v=w1200|https://lh3.googleusercontent.com/pw/AP1GczOH3uFllRvz6aoB-Ip6T0g-ow20850Um1ThHRtGkwFjzu1laoRyU87WMMgZ5nBHGtvPuArekQ3EAAV8YzcRSNkTK36Jb6b9QqDv7JJzksQSu7fMoiKA=w1200|https://lh3.googleusercontent.com/pw/AP1GczM66p4yGyywXc_FNhPDXvMtSMchAOZrSkhkLNBTEEZI4ciDT1dq8RuZ9r-iyv5f1nBrZIgrmuEznprB3U8SIDOuIMVEoYHkPY_4aRwehO3PgXAMFW12=w1200</t>
  </si>
  <si>
    <t>506</t>
  </si>
  <si>
    <t>Edificio con cuatro apartamentos en barrio Alamos Norte</t>
  </si>
  <si>
    <t>https://photos.app.goo.gl/SUhnDFn299R9Lub4A</t>
  </si>
  <si>
    <t>Con servicios  públicos independientes. Bien ubicados. Sobre vía vehicular amplia, a una cuadra de Homecenter y calle 50. Buenos acabados. Construcción nueva. Escritura al día. No se permuta.</t>
  </si>
  <si>
    <t>CARRERA 17 A No. 50 - 33</t>
  </si>
  <si>
    <t>19 - PRUEBA, 5 - Inmobiliaria ROCHA - Andrés</t>
  </si>
  <si>
    <t>https://lh3.googleusercontent.com/pw/AP1GczNkFdA5lqMsDBjP4mQr_sEHTfG7f8KrL04o3TgFQYIUdp9HvRoFWjfC_FZCtmUl4JDLxh9WPyZhjx4Q72UKZwthVHNrqTqswwt9P23qnmp8tjSZVkVh=w1200|https://lh3.googleusercontent.com/pw/AP1GczMhD0drFwjscVrvjsm7XUFVWbyG20eSIgfddEzN5Nt9vhrjPY3UjFNw91O-QCrPEnuSccQjPvZrn8vVNLJvWmAaDMCZu40jfUBXHWcRiME8j_emJbPH=w1200|https://lh3.googleusercontent.com/pw/AP1GczMuc0O3xug4F1SlW2Fzrcz25tFBysoy3SfnQul_6CGu-S5Grm1PMg-DhfXtL580eki0NLKBpumpb18PPqzb8aLIx6-WYT3r3QT7CGvhJEXD_h68u1oS=w1200|https://lh3.googleusercontent.com/pw/AP1GczMHxsZVcw8GW_ZekFZfIRKi4EVjjDQ-y9gYnKZLNoayvLz3KvedoxC7doltqgeDHm1Q3oePb4yMcDDJNbv5L3mBjUOukYbN3PQNwZnWei_WjYbePFEd=w1200|https://lh3.googleusercontent.com/pw/AP1GczPcp75_xD6Vr2ZR7NUZtYvcW6Bevm9RZ8YIdPXFOV4NC2AMvQ4646qHYwkG9ztzDJApY6rRNkb40nRtq8EbBJ-fJYyW_Y3tWfcnPOMtkhRAf1xYyehD=w1200|https://lh3.googleusercontent.com/pw/AP1GczOJvpa-hiPI6NXLQHZICCqs0HOHqymqGvXBikYhqbOpDsTPlnbUlxJFbbDG6m8aA-W-hAi0Bq8RgY0WJ5vE6L-jI9pdNQXSLuJzx1fQGSIfOyLOItf-=w1200|https://lh3.googleusercontent.com/pw/AP1GczNn2tkrkfoZv9T96ONrNiliXCmgFWFUA6f_GRshzM8WUKx3iola3kqb0_O9c4xanZ-G0lSnKRLoy0ugscTvcfx3qzat34id61cNY3tFAkA5FyMzBOBb=w1200|https://lh3.googleusercontent.com/pw/AP1GczN-wI4fvYnsu-Ew6eWATjdrwi-_H9Ii7sEIC1f7-NIsY1Ukvxs2iyRBqyWPbkIzJ_pgVljQDMaLIrVdhMLCwoFfz_PYm7BnFhGKzFWCxRlbwflx4cJO=w1200|https://lh3.googleusercontent.com/pw/AP1GczP1vkRFdHvs37bXxl7ZC99QdLP6Dr1TnIz36GUfN8BTciwY-XnTjzTb_DGo-FTfOZrQPWmLH16Tr-4SYYKOVUFgjz3OgYIIdHkDK5XgNHQcI65Br861=w1200|https://lh3.googleusercontent.com/pw/AP1GczPKE8kezlvDYWi-Ad_AZPnfj85gVKD4w5uOBROeecJd11dUKCdlmn4PetHdDdn71bDmPW7oCa9GqRrBMOQEnnkCvHrs7-8Nc5WM3-BcAW1gEguH5wvj=w1200</t>
  </si>
  <si>
    <t>433</t>
  </si>
  <si>
    <t>Casa campestre en Juncal</t>
  </si>
  <si>
    <t>https://photos.app.goo.gl/FkB5WTBKrrf5XScDA</t>
  </si>
  <si>
    <t xml:space="preserve"> Cerramiento en limoncillo.  Area casa 144.0 m2. (12.0 ml x 12.0 ml), acueducto propio, energía eléctrica 220 w. distancia a la vía principal 1 km + 200 ml.  A Neiva 14 km. Al juncal 2 km. Piscina, Jacuzzi, Bbq, jardines y cultivos. Escritura al día. Se permuta por casa en Neiva hasta de $200 mlls, el resto en efectivo.</t>
  </si>
  <si>
    <t>HERIBERTO-AGUA LA CASCADA</t>
  </si>
  <si>
    <t>JUNCAL</t>
  </si>
  <si>
    <t>https://lh3.googleusercontent.com/pw/AP1GczOCMAw-HlS3loIMFdDyWHwRs5Y-zhNZWCPUz4CoHhcu3XGl9tbKeE81Uts0IYi_d0oUA5X8rNFhOkCu6XPEDcP7gDxpqJ87Of8D4yL8mn86HHds91Im=w1200|https://lh3.googleusercontent.com/pw/AP1GczMMA6uQFXbpZMMdRaCPJxugzt0mpw86pI7D2yTZDWias9XsTmkuDxCKvYB9TAtY17ZEsNpPmByeizqa825xq4C4pF8G7bNP-ragejtLhgPz9xKwbov-=w1200|https://lh3.googleusercontent.com/pw/AP1GczPpq3rm-gGCSJJzqgHarjcA9wMkbzoarS2SxbpCg4CYY_4OOmHAhYmqSEE3HS896M5i2l9VolgbgMaCpkxjjPg6Kf3Lv1X0FK5uwgE-oS0eH1vqnn3F=w1200|https://lh3.googleusercontent.com/pw/AP1GczMWrRwvlV6T8NzC8iF8wkO9oq4xe39jtq6X8OMjn_zC9yEyZnm8RFR44yefcurZrjKgyQpV94erm_t35_Al8nJVjD1q0gU8QbHfHfHbTVACGOv4f0ak=w1200|https://lh3.googleusercontent.com/pw/AP1GczNiXIW7SIf7kpsvqdcaq2YawP2z01sepNqd8uAXdQ2u9xZQzuJUaQK17tXENm8ajbsxa_jKfqfXrSQ_fD77CFE-v7vMfbIyN-MFxUbHb04Nk7zm3vSw=w1200|https://lh3.googleusercontent.com/pw/AP1GczN2HMEVqenpit2uCGQLtHgwcxhFevHw6w34wfpw6Z6ivVSXIKyAo4h-Bs7xekvUqaxrHDa-6ogkl3idbu_J3ZXcpkTVQmdRaqo2holxmheG2adqhLYj=w1200|https://lh3.googleusercontent.com/pw/AP1GczM0J_GlprWI93_pG3D7FXbb7HhxbjjDsGvy5RBs8vsy92HbGF8bif5f6380SHIaGUuwM2MTGkQNRYjiZNT0m8Wxgw2zclPR9WLXMWHR9gepy1eMKuYv=w1200|https://lh3.googleusercontent.com/pw/AP1GczNa9f6nORhZascHxpP2MX9UR_IiGklJDcV_B0asNFZ7EGvaSoZwrgYDDHSJe2T20uzpyRffgjWmRhJqAAYaQEkmoMPTpeM2O3i9ji017fpKwMwTDXNI=w1200|https://lh3.googleusercontent.com/pw/AP1GczPBuHVyY017mxUvldaqFkTlnuzQb-qglldnWus1Y0CE-1_Z_prtv7zIR_V5ig419Y7divTYbssfTZosp5mhrUH3tOKaCftzSVcwsYuiPzt_zZOQcC2C=w1200|https://lh3.googleusercontent.com/pw/AP1GczM1VNoqVoB8-aNPAX10KqFyiF3fXYtnBayQD03uPZ5q75Lw0UkJaMoRyKZ1zXNVBiLcRrhbeNrL3I8rhYcwP1NW2ati3ym85ka4JxhBvSJkHsNFS2KU=w1200|https://lh3.googleusercontent.com/pw/AP1GczMkg5xz1KT0R2ZEoSc0G0AA_a8ScgiTihJk_9coRIu98o-w1cwwgJe-QFz04DAgvupexpOneKwKPngVOkI3_SD61sUE1bPZJiB_Ze4i4-VqMJegEWsP=w1200|https://lh3.googleusercontent.com/pw/AP1GczNtRrzN-ZahKTc53h4Rpv36C3V7PqtI7cJdx6xus755DNA7_70uRBMfUCs0oFKZar1IABRsHohJ53buBTWGe_GBum5I2Sl_257SDvMmLomrznKU71y3=w1200|https://lh3.googleusercontent.com/pw/AP1GczO2JLF-DkbpwO9CDOdffuN7i8hZH5EHv9ogN0MeRhyXg6D3Q4tWBS6shAfEq2-H8MpxeJYkUKbZs5JcTH4QNjFbBSTIyL5U5mlMFvezchxQ4mExEJ47=w1200|https://lh3.googleusercontent.com/pw/AP1GczOJRxc0q_FmA2q1Q_32rRqso9X6LQ1-RtxfNFIN7c-PM-2jvyyb-hYLKKlhOht-CffklnDO3QBidH1j0GLtkwKVN07qlIUR8qqAZikvwo2gqsIsmdly=w1200|https://lh3.googleusercontent.com/pw/AP1GczPIY8Pu_ZNxQoB27nUxvutQdAZ52KJsDFrD83PuR0Nuc_bbm6jMF3vb2Zr7BcNb5xSbVWNAwU1E_mlvsGfij5umOu7Vjd83zUiCcABpS8ELJ2zve8sN=w1200|https://lh3.googleusercontent.com/pw/AP1GczPDvyBRsGprtYw_mk4hMjdZszZdtvdki_7-LvudjJvC-6Hu2e5E2tZonJHS4rmOioNsygI3FbebEkEefGhvgAqxBgU-4pb6EokkQoYZkVA9fmP4lOfE=w1200|https://lh3.googleusercontent.com/pw/AP1GczORd3fWouPxkXAOSYjA7EBLxnNcpQwgBNSBf3dQMzHnDw71zKo3mB3ASl9M-nr13bPE9SmUpGIjkjmMSgMGGduV66Ce2fZsYn0TK9MIfksGreXZuOLN=w1200</t>
  </si>
  <si>
    <t>080</t>
  </si>
  <si>
    <t>Edificio con cuatro apartamentos en barrio Las Granjas</t>
  </si>
  <si>
    <t>https://photos.app.goo.gl/inHTqNdUHAsmNeYx7</t>
  </si>
  <si>
    <t>Con buenos acabados, piso en cerámica, placa de entrepiso en placa fácil, cielo raso en Dri wall, lámparas led de empotrar, carpintería marcos, puertas metálicas.</t>
  </si>
  <si>
    <t>Dimensión del lote 9.0 ml x 20.0 ml. Ubicada en vía vehicular, buenos acabados. A una cuadra de la avenida 26. Cerca de los Centros comerciales San Pedro y San Juan plaza. Con reja antejardín. Escritura al día. No se permuta.</t>
  </si>
  <si>
    <t>PENDIENTE</t>
  </si>
  <si>
    <t>Calle 38 No. 8-17</t>
  </si>
  <si>
    <t>https://lh3.googleusercontent.com/pw/AP1GczMfv2sPmo6xGCdYLE3f5RU2dpehGrxW6AKwa8ccPq9FxXo1qLulTqkOp65BeB-p0zai2ctj0tXXXH6VoX3QK67XS7UBP2Lv0gtV2ZZ0aDvd2LBGg7g=w1200|https://lh3.googleusercontent.com/pw/AP1GczMbJhdcaSBqshBWufYzq8vHgfUZmJLwhRaVXIgIB0HQ8DkZ4tdRY6J_6g0JQLRyg6vXjDVOpT1QbhEZnUQSchsVtu9pMXxcTYOm9b8SUO7Rg60Ynlg=w1200|https://lh3.googleusercontent.com/pw/AP1GczPqAIFgzWl2TFh9YhTBXlcz6R9oNzvtsYm7xUgDXt_2QoDnYuMW5e_2hVD93_BewuWlO6aC7jejI-3Gub2E1wL8FqkwI9YGrI0oMCPQ_RJ4lmYoOvU=w1200|https://lh3.googleusercontent.com/pw/AP1GczMkQlSJfvRdZx20__Rz-PKWWtBAScx1uH90IpRxuuNyzuxsqfrVZvh37kh1e_6IAKSlnAom7TtaCtmb7CTozAV7ofzEbVV84yOCulSb8XO1qSvGT3Y=w1200|https://lh3.googleusercontent.com/pw/AP1GczPQmIGe2StFwnJj-NhHeY2L3qbfsMgT2-kWEeFjdDEHDxnw78OojuaT-fKZV0kdKKL3GG_-qxgryVzPhYvG93bIKDpLD-q5SBppUSdyzX8oaGS5PXg=w1200|https://lh3.googleusercontent.com/pw/AP1GczPQIKWJlRq-NpO4XYdCNx5xW5rxDsm0WL0IdaMUAz53tMrfxqKdQ2Pek29kMsHy-wqcK7wkfbB5vs6849F8uC0YUnprYpk9W_H5hglWUR9Dl3qqN1I=w1200|https://lh3.googleusercontent.com/pw/AP1GczM8wkrZHcYqWvhocdN-yFviMYYRjBfcqzQa7VlNl_AXS1aWb0lXX7HxXqfNUREkBndsOZX6TzeAPnNuN4eZSDHvTU70uQCaKEt6HWEnZKvLngw4GbU=w1200|https://lh3.googleusercontent.com/pw/AP1GczMFoFYmVQpNYk6v0C8QCL3OaKTmmxckmwzCVoyLJbLtw_Qf8MWi-T0CyF8u-IU_a39cgOmgR0fl-_WWxeQk2TWt4uKVsOzCi7cyh0RDYX_eku6THvU=w1200|https://lh3.googleusercontent.com/pw/AP1GczMlHfSjvkDMrcAtOihtCvYxIqUNEyLP48VIjBph1BodSUDasQPExN435UPvexoNEDHIDjX3RK8goc0ZHijIjp1lh2VX6idHknsDyA1EtfxkeGg3UL8=w1200|https://lh3.googleusercontent.com/pw/AP1GczN99goZKsPgLXnVvwDN2dt3MV9WAvyXtC2l2mtaa__mXCi-35wh87GhPwDPoPVDyZa4oUj6UDHGNycVifTd3foCLYC2Ybd0y_pu-0UYKW0z-qFkr3Q=w1200|https://lh3.googleusercontent.com/pw/AP1GczMT3_um1DAfbw0AXSEPoJOj9m7byLn9j9kt5VGD1B_2aqX1BWLerzjUECY62lfAwtUChhUhzAnH0596rBwT3RJjaJXv5O24lwgOuUUfTpSeHIbxIVc=w1200|https://lh3.googleusercontent.com/pw/AP1GczOea6Ei386Zyc6XwcTffozDJxOKwG1h0uTf_M33tEpY_kk08JEXLvDh_cOK9Iyn25FG23Sa2229FVEAGun-ws3WF2xPN4zyExQTAkd9suNsYEfFy8M=w1200|https://lh3.googleusercontent.com/pw/AP1GczPUik3SqgMuv4LwspMofh1Yg8XdcJZ1Z5Mo5ONTRGpFTpYDykTjmqQrWLyCzMYLRFhtqtISMh31SoEZRCDFpTZpU96I0AnOzZ0mKlZmHHWtWV74wFw=w1200|https://lh3.googleusercontent.com/pw/AP1GczPKXwQC8hgnCC7Rk0iowm5eWMTLOBzC_hhh6UBHqc4WKv0rAsugOWC2yyPR0mq3YyChHhxr_InHVlvvDL0EwsdUsYU0CupREC_3EH-8iRcm7o6NyY8=w1200|https://lh3.googleusercontent.com/pw/AP1GczOgaaNU0uxz6kTTc5pTcRDssbwHB5zsyiGTb6TXv6IIyk5lzHFR_lHwxQj01qYlW_y_wUjYFA6_Ze8rh-28eGMpYzXtOItaCZ7eQssl9ZO4PUwl34c=w1200|https://lh3.googleusercontent.com/pw/AP1GczMD-JyvOqjrFMuwdUFbM4EZCk9CqRxHAHoF-CJXNXPRsJsYUlTACrBSx1GzkJGaCzx9AGDscRBOnJTgv2PurwsFoxvpRNkAcsKAHBwPVIcf8gzeJK0=w1200|https://lh3.googleusercontent.com/pw/AP1GczMZCxiT0u5aIB_YZvrz8cDen3MXPSYBtcvqllO_Q4brJ9ouFllngzKS1NiNnnBBvDtoGgd1W03ov400BhiCelFDARyTZX9DMYIP-8HoXYx7acbkQow=w1200|https://lh3.googleusercontent.com/pw/AP1GczNtzYzqJNvWO7vVj3NSA7upRdUXI0mwW9cR0fl6jdqATRhw38DcR-JNKNVHAWVT8bbiyZqwQIgUbZSkHtccZ-cgRV4n8l8v04cMDzA61ZIixm9QILk=w1200|https://lh3.googleusercontent.com/pw/AP1GczPO88-JgjTNiACpKSaULBZ05pTDSEp8lp-k0rz4C_YzxQwJ5ea5-2hoRjhb6Vxojm7CUuWgXZ1w4X1xo7rmgcjiwQFzHiXXKUyBZxqXvUzCRzSMywM=w1200|https://lh3.googleusercontent.com/pw/AP1GczNghB0OuCFMp0jvTBpjwLo13YXr3p8AWyMJCP4sZ4hux2OCzFWcGPhb7DhG3E0GxrKP2_OfBxjteKWPZuXO6x6nqbgFsRA-kXXfA524nLVVe7Apsgw=w1200|https://lh3.googleusercontent.com/pw/AP1GczNMRfQO32YZrYFnjUpTinzB1KE0ALZmjof8gLsiL-hxnYDkEMpK0X2QWau9iMTvMP_L8E2CROwCAoi1KiFW7HT-5s_gI2EtZgi6ulIZoEUoILQOjRY=w1200|https://lh3.googleusercontent.com/pw/AP1GczMFX7zhd5okNYlb9V7VdGZ8OTv0e23hFYVScHc8Q51wBZWH5avOz4aeAxEoFxSmjJOD8-Y8DOJAp6KG5BsvwGeCjjHlvWm6g2XEkMJ08LmsMdYKLxI=w1200|https://lh3.googleusercontent.com/pw/AP1GczMWYayr-x4FrxpO1pX7Uu0swYmPZcMu2FN6E6mibJnQYOjSqXu_ltRrjHrMmktPbKV0qRq78zRki2A1J15gcThCllKqHOeGEL1n25SuPhxcrn-8LuU=w1200|https://lh3.googleusercontent.com/pw/AP1GczMLWnbhWjbBTp0Cgx2rChEWn8iUrJszsJHAGYFje0nwYAAOxrSLbY-_78MEb7WV-cX1HW1oSFQFpne3FEGDp6sqBth7mB29MekPnQYvNy5Ej_EVQhM=w1200|https://lh3.googleusercontent.com/pw/AP1GczMJChXUKXcYBiX2MDU39s8FlCSsG4lTIp8VewePzdpoZJXPGKARDCNeBNOUPsI7qMOMgYwUK1kJzulJAbyVggiEhemp1eXJWDWodKoCmqnE3h0QM4wh=w1200</t>
  </si>
  <si>
    <t>518</t>
  </si>
  <si>
    <t>Casa con dos locales en barrio Tenerife</t>
  </si>
  <si>
    <t>https://photos.app.goo.gl/d6umWHuT9TKaYn6G6</t>
  </si>
  <si>
    <t>Casa antigua.  Ubicada sobre vía doble calzada y con separador. Sector comercial. Escritura al día. No se permuta.</t>
  </si>
  <si>
    <t>JOSE HUMBERTO ROJAS</t>
  </si>
  <si>
    <t>CALLE 21 No. 7A-40</t>
  </si>
  <si>
    <t>https://lh3.googleusercontent.com/pw/AP1GczM0G0lwCxqJIlTes5x4ICIoxh6Ol5L-OF_QFGgIEc3Ah8oYxZp-iZI_uG1g7BsbIpBw3e48eMozDNQABrMz_3SWA490j17CwRywNExCyzUEEKGtsmJT=w1200|https://lh3.googleusercontent.com/pw/AP1GczOG6Lzev5-9W1jsB3l0Si0jFv-5-R4T4ENrviTFD2xt2T7nJJy99TBPcyVg8b0Ri1IiNBpSrKW3GuUn9gDdFXQPGY1NZNSjw4Db3Eoxqmsowm-ML6LP=w1200|https://lh3.googleusercontent.com/pw/AP1GczMfNqyHVc7nvr8QBnZcL8JIIf_AJOY4Vr86j_QfvHd7lpD-Mx309J1a1HfuscJXxjlvMFKXu1ODVmknmSLkzkRIOtS0ZY16uZsi7FXrZkG-4jwB7T-W=w1200|https://lh3.googleusercontent.com/pw/AP1GczPhbPK6FHdrOxmUOrlFb7obkOzXQpa-IROKEUmIzAX-BrQGrCcHEGfYq7GkLW7wO-zsBmnR2mPTE1dnH3Ddd3W8W-cieUqFHMXcZuxy_8jTw7-Mz3BA=w1200|https://lh3.googleusercontent.com/pw/AP1GczP2ejhmUfXA1ONsdd-dx4YmVi3yPgi6j6fbqN1bYxCuVelVifUyPEfMCh73EE22y1d2II2V9mt6yyDGtXD0SN6PSUquPzV0hPsb6LR2F5wWai6KbBZ-=w1200|https://lh3.googleusercontent.com/pw/AP1GczMCGy5Sd3OYUVkhIhRmjF2YYrnXUilHO_ACPktSuJUaAyg5dgp3oRs-wWEvFVTPl8roHShOkPzgPHPgCsFFu4-GuS9OKMxBXpXznJwMqRgLdkSk_M4r=w1200|https://lh3.googleusercontent.com/pw/AP1GczPPg8oe8MzB2Xewk-LehH5FQdTY7DY53wLbvgkBJU_bUDTp0WiEWtUQjQYxkTiOUGjGsHuh2GCiCDGwz6rOM-2mUmvcUMFE2GtdE9Fb19RYZIVxpo_p=w1200|https://lh3.googleusercontent.com/pw/AP1GczOylf07YDXuXm43EtXg57aw_njb0qcXL6WVEmkJTnzDxYkSA-4kbiRcv2QKfdQsa_r3273g76JRIEkLM7oc5S0Q_PExbmshBqBQ5fLehnT772sNYrA6=w1200|https://lh3.googleusercontent.com/pw/AP1GczMx0fnX30E37_8HFmM_6liTGrGt-xm3pgfEVbqxhLfNQ9NVGQlKTpEomiSxBTl5KqZpANM7jS_8jILD1HFWxXPm5iK_jq_Nbox5Fr_v2LuYvlA_SQPX=w1200|https://lh3.googleusercontent.com/pw/AP1GczPKDtzHZXORSI17A4ttElEiPwq45-Cor9fddx2zdjwriKhrIrQv6uQnRPK4DyDnO3DOY3t2NdxqD78NDFROhkJsEkSj5Xy4bIo7eU1xYTi-i0qQJ10y=w1200|https://lh3.googleusercontent.com/pw/AP1GczMjJki5taSVsqhxTdmLzaV3Hdh-ChEB9Ogda_42VxEEEIKqz29cE7PzmeF9QpG_wrDvwXRpjcWDY1DFtcYvkQvdsULA37MehjOBpofoX82nWkBN623S=w1200</t>
  </si>
  <si>
    <t>306</t>
  </si>
  <si>
    <t>Casa campestre en conjunto - Vía a Termales - Rivera.</t>
  </si>
  <si>
    <t>https://photos.app.goo.gl/BkL4mwwUDw4pAhix7</t>
  </si>
  <si>
    <t>Esta propiedad campestre cuenta con 405 m² de área construida distribuida en dos casas independientes con un diseño funcional y ventilado. En sus interiores ofrece sala, comedor, cuatro habitaciones, cuatro baños, bodega y una cocina semi-integral con mesones en mampostería, estufa empotrada y muebles superiores de almacenamiento. Sus acabados destacan por pisos interiores en cerámica clara de gran formato que aportan luminosidad y amplitud, muros con acabados lisos, escaleras con baranda metálica y grandes ventanales con puertas corredizas en vidrio templado y perfilería de aluminio que conectan directamente con el entorno. En el exterior sobresale su corredor perimetral en U con pisos combinados en granito lavado e incrustaciones geométricas cerámicas, además de una terraza mirador con baranda de seguridad y vista panorámica de 180°.</t>
  </si>
  <si>
    <t>Ubicada en un exclusivo conjunto cerrado de solo nueve predios en la vereda Termópilas, sobre la vía a los Termales de Rivera (Huila), la finca se encuentra sobre un amplio lote de 1.900 m² en estrato 2 rural (Código 306). Para el descanso y entretenimiento familiar dispone de piscina privada, y garantiza completa autonomía hídrica y de saneamiento gracias a su aljibe propio y sistema de pozo séptico</t>
  </si>
  <si>
    <t>Poder- Gerardo Manassevitz</t>
  </si>
  <si>
    <t>https://lh3.googleusercontent.com/pw/AP1GczPGKeqPmjLr4_d8pL7K8K0thFDgT--f2Xde6X7mtAoyWuXUSUAqzGDCitiJ087KjzntxT7sIs21gI4rrqS1Tk8-Tj9PQLXeaSUPd6WqeV3wP2swNqKh=w1200|https://lh3.googleusercontent.com/pw/AP1GczMr9nugT-muxI4wJrx8qbLwByTHEoahxIWvWKsdnWL0rQMAml6iqTYrBKIpQj7unB81cDCN7NMmolNPx6ZNjE_YVNnqnjUiZYLCEhyHUeBU1MRGOlih=w1200|https://lh3.googleusercontent.com/pw/AP1GczPYiiTwyMSv3grJK4FqMG1Fyt-CL1QgiSjSQnfUgH1s94AkSBnilBePH70yWBLkOepyxnmDm3V6Ri29ZeFdo61EJmwqxtK_lUskT8vHgYaordLqSutJ=w1200|https://lh3.googleusercontent.com/pw/AP1GczNuRZf9GtWNCRwJ4CEl1TUTdx1Gxd-hrbk0vJNHNVns70Sns5RfTGX_9cdbgcFeRWL39iUNyrHa8ELq3azaPSY1XO_ldrTIxLPlZwOAF_aXccihpl52=w1200|https://lh3.googleusercontent.com/pw/AP1GczMVnWWzThHkXi1OMfI4oWd18Y1OLlRqZhvqGop0n0-BGHzUMtM86nguqIVpcMyG8VbQ2JNTQrBuOLUJr87_xPBt0QVURSYO9p-a9zYS8-obJ_rATQS8=w1200|https://lh3.googleusercontent.com/pw/AP1GczOIRUtHbbIGA3JyYrxismBkJuC6Kfx9bSbNvShgEDiihib73Xu1tVtE9ldIyj9xFtlaG78AjjivGe5MXwleT5UDZYMarcd_4VmbLf7DZ16KUfFT-S-P=w1200|https://lh3.googleusercontent.com/pw/AP1GczMa8tv0xacmeJanyOK7iTp_W7_OWY4chslc8u8R0ZBkMSoMaifHXTkodKuvsISrqeAv9Gr0omtyMjsB8rdMHu10hnpXvi2RpLDHyWc8oJVHpRtFkEZ7=w1200|https://lh3.googleusercontent.com/pw/AP1GczN5Gj7Bo2toiZjzc_Oe6Eftp7gEvYg8Irc4m8MK7-cqk8JjYgVeL6pHMzxlqeIBvvmlwASLIbKIbVklBTk_oNd7PJ5WLi6XhdvSPn2DodVYZWNAFS_i=w1200|https://lh3.googleusercontent.com/pw/AP1GczN50vHpheq9Og7SH6F2yPhSRa0RLW1FTUIb_JtI4QmIkJ3uMCdz1yLxjQt89_17zN-kbQ1N9h5AYdJy8zolj-98otaJLW-WuXRTSV00Rd56kyzw7T65=w1200|https://lh3.googleusercontent.com/pw/AP1GczMquhBM586gORrHttrmtZGkRpAfX0S5IQeyZYc-ClalyGk0mHQebH4ZzG6iTiHlgRZTesXfk6uB3rr390CoeNFibltyD-Fo6DJ90Xf1ByQV6koZ6jzB=w1200|https://lh3.googleusercontent.com/pw/AP1GczNe7q5Cl8KQjjwHDtSnpGSqzRlEla0ZbTWNOicnBCjIImu6CgCp5y3jYMhaSSNlMsZH13jGvbLAIoJ9Hqzxu8rV_XOjT68l6mvVr9MmT3RL8n8y0-P0=w1200|https://lh3.googleusercontent.com/pw/AP1GczNZr0BaR1lSB5_fHZ6k6U3Whaf9bo1nf_g6P3AKXrpQMhjVCxa2U4wsAo3pP-oCaIwuIJNxZiSvxk4hOcdzehE59w-fGzocbP5SSbBbk367ummrwnma=w1200|https://lh3.googleusercontent.com/pw/AP1GczPXBce9WEM6eIxdh7FAm4x7vmYtK7vmdCpqY8Dso_MIeyI8Mf2s_EQNBgXlisz6Ed_I1fWfm1AK8DyIj80VSscypZvV0YEFRn_0jiZepdk8Xo4UygFG=w1200|https://lh3.googleusercontent.com/pw/AP1GczOrp7ww05n-sXVR8O1mLlbeVZMCMc4idRkoxmPKr9KFmJaFa3Ap_wXhkspqtu2dvX1c9Zo6y2My_cGA466lmMmqVGDsBa318FAzCJg0rsRUfMN2GEa8=w1200|https://lh3.googleusercontent.com/pw/AP1GczM7lBdY9qCPhY17-MpkEgAr_jCPcV91a4AS6OkF6NMpbYM0ZT56Ai4SKPfqla3Toq_Cu_eb1mNlocaEaJoGnuTVWUsMlJdP2PK5i_mjL7d_wb3TPvDX=w1200|https://lh3.googleusercontent.com/pw/AP1GczPHARuBvaDhq3BgcKYgXXyT8sBQP4jdpGNJVGhowlEKrLq78tMKdhWi7BMZIQCG7zwOxxe5dtVEelVMPq7wKy0STh_hd3A3V_-Mt2TW_dqbWIMtOJk0=w1200|https://lh3.googleusercontent.com/pw/AP1GczOXgZueVI8k1QMcsWvy7SDHwj7vFCZAsfm9B9fGWd3SId3BSjla9ODJQ_97n5YAGIn548h6rQZ9fPuoibLs0YQxZfXJjLVPaEn_f4_nTKrJodL12-eX=w1200|https://lh3.googleusercontent.com/pw/AP1GczN0KKL1Yeh9WtC7ROlsdjCkpMLmK8ld0x9sseUL61akQiffc0HEJQHVbeUe_kRMFNjLLAE5WOhJ-zhAcS40FvVEqpgVaNl-abpFzIQ54MpMO4B8dS0O=w1200|https://lh3.googleusercontent.com/pw/AP1GczN4zjUb8TVM6YjqXmJewRK6lVPmeU5cu37I200ohgbxL7KOMrFQ7X2Gkrn9XWSdPjYnvEvIGHsmvQRIJjHARBg2d2gyUMjDVbBv6egioGig4nUnJSZ6=w1200|https://lh3.googleusercontent.com/pw/AP1GczOQAR1xkWQtXIk50TAnjTerPxjTWaeqCOHuUCePTcVD17hjzx1GN63IZxhbuRL7W7X1avZXfnosxK0rmOke5WTHAuinhivbnbRilPhHhp-E6od6elfz=w1200|https://lh3.googleusercontent.com/pw/AP1GczMxSvunq73_qX9CtfpqTcqVN_hO5sYVVl65c-QABEk--Uv-IgO3TlEka4UH-RPqNUUB4Wz39HzfAtTeyeiI8yGeNW77-O6ufEfkxkw4mev8iP9SoKvi=w1200|https://lh3.googleusercontent.com/pw/AP1GczMEY5pmZSDndCbPXFgLaGQqNSGmIjcCnS4REgN_qF6RA_G4jSLI6VrkAV6krnwlva05h5dW0DXiMxWm0MgFla6nfZCY7qniEJ8Hbz4oxOY25mPcHGTr=w1200|https://lh3.googleusercontent.com/pw/AP1GczNZoNXEgRcXi9OJXVV4QHq3lvGc_Vn6Uqah2PzXE3FtHzoPUabzxTZBcWgRwPk-P_C7fJKQvZgxayG7INWztvDPLq22y066V7FAaAz8avIg7PLDz7t5=w1200|https://lh3.googleusercontent.com/pw/AP1GczMbyqVsnjnpn0gjvxG1sJI94xD8igNCaNOhT5v4P1G_qDOwtIJq0ti33Wb6Jeia6ulbTZ2noUWQFbJpAOYP2esxg1gEbebllw_9DQoh47-IqDJn4mYy=w1200|https://lh3.googleusercontent.com/pw/AP1GczPx9FBAj9Q0s7qtP-uO08ZGd_YAoORLXy8oG76Nc4ct4NGocVDx2MHRpNir4J5CyPuSQOrK7EgUtC18JBRo-LEszI-u0n3YzRd7p8JsN18UU_5rGE5t=w1200|https://lh3.googleusercontent.com/pw/AP1GczOefUTvoAqa850Vgu0YHWDrtRZLV_AuLMVfyyhb1XADxbjH1HEwQshFvQkFdTwKbcPBMKCwN6yLKuc9WmetcTzCfsvOZAVL8SkjY80XNGqeii5M-vnE=w1200|https://lh3.googleusercontent.com/pw/AP1GczNQYkDLkV8GTzrmw3MFPgIXKPCd25jOzUiUQ3uDZ7WlwK3ldBN7ctp9cRnicNA4xACxzXjGleXV-oshHCsApZ4AES13sMOQw5jnDJ__FTAFmmTSibcL=w1200|https://lh3.googleusercontent.com/pw/AP1GczOXBbVQgfehE1AEHHAtG7MjBMdWbRZxpqBivXO4S_FinT70SsVQJv_t_jzcbIm4YsGxHQIK_0765M5UhMntScSQEpeFSh4ji8nuw6mY44uUjlkgev_q=w1200|https://lh3.googleusercontent.com/pw/AP1GczPePp2k-1a7w3rqR7L9QPDayNeQNlaQaLXOBbNfkrW-tf9n9k7yKSOGKVHLkPT5Qt0jcwRrQby5cXguLqAqScU9H5WKomOHVTtqmuklQmMN7SkYgODX=w1200|https://lh3.googleusercontent.com/pw/AP1GczO86-Gc5ji8RHhEINX0kAcQScVYKamvwoGw5s5kP1Q-27Q1jOJOFWAPIL9Qy79WGTTYXujxIU-vJbDA_HCGM_lgaLSLTqFzHr7-OEN9gznArOuoKO0E=w1200|https://lh3.googleusercontent.com/pw/AP1GczOzHN5tnJqHJ7l_-SA0RQAONFVjpWjAxii-9TZf_yM48jV4IxKo8jU1ifdmJ4KRRHdR5-ipkQYXwyovH9HQu98Vz-wJ6gF6wdQX_Ann3xmxzSreYohJ=w1200|https://lh3.googleusercontent.com/pw/AP1GczMZ2aaUmJjTaYMqT-vJaSwJmtT8HOaP6xbJJ0pVwhgJjMhlM0NhcLoiozfO8XiQ5H3VjMlYyfVko5gHGyX9ciaDI0L1h61AAINcuHq5TT2CmN2AIpD9=w1200|https://lh3.googleusercontent.com/pw/AP1GczNxus02CQ_fX0eLGFU0bhgYtAQjNBMuZKHqR9TD32u3u-CPaDEXV4tqhoXlN3gtyrrvyH1hS7301a2dMryewIwWwBRw9HP24k8h3irJJeSHaVqWM0mn=w1200|https://lh3.googleusercontent.com/pw/AP1GczOADpNwObzqyG-Bjb3fHSuHbbSSHOJf6jFIe73hp-quybwVq3N5Es-Uf1uftrtsR9U1-PGXRgSRoslvcAusbAlqzVIFo3tda657ZDjFlESaufmU8JHQ=w1200|https://lh3.googleusercontent.com/pw/AP1GczNsXTbnIWqG87w_abU8VcSrhU5zT2gOLic3cG0fGXSlMpxU_hiGIsNI99979PwA0mL10oi6JfCS5ORjOlWj9x0JgqtPd_4DeBVKG6WwjVJ--VNQtfMg=w1200|https://lh3.googleusercontent.com/pw/AP1GczOcmZrKtOiCex9mHDi-0wqU_s3HIBPusKnVMYoDu1K1XHlkyt8QuavZbl8E-vQvNsEbQRaX7UEDIOPS_p1QLsXetX0CrIsTYpfTHviW9NCkAX-kqpej=w1200|https://lh3.googleusercontent.com/pw/AP1GczN5W_tWq-ko9RPBLhHFExTqRHg3UcP4rflhk-0Rrb_RppIXNcNrxeVvzu133Yq4QCcds6HFiadVk3Tjew799lzLPeSFrcfsO0KRK58Xkd4ATF6y492y=w1200|https://lh3.googleusercontent.com/pw/AP1GczM7auI61jgBeIy03BRSLU7m5Xh9_0RDLx61JQdjaoBrbOStWw-sSI_Vxi7H6pvFnz5-lIKCTJeYEjp72T-Ji3PJSVGAOua6jp4rhsUBvnbDqE1Anpud=w1200|https://lh3.googleusercontent.com/pw/AP1GczMCDKOumOAcpkp-fQmnZAVIjPGN5SKjYCZ-aMajraG7Lm77Lqer9cq52-hpUEM7wk87ZAXRiSIpqwNP5A0r0CrpHFG3mCw3pP2F8NZh5ela9OxpYEey=w1200|https://lh3.googleusercontent.com/pw/AP1GczOEGp4yKq7u6FKIRpmvT6-B_xRuy0qYQh-2wkXyWSAzwFhf-kqyf1-Jdolv9Uf37KE-kgLUDWYYbtEZYj5P4u1VGKitAzp1K8LvAdx906rssF2IOCVj=w1200|https://lh3.googleusercontent.com/pw/AP1GczNXdIGxS7jQt_wlLotjbwdsM8HZ8ogMHPnKijbcjs6M5YWX6kjW2JdSEmrsV5jLstEqWRZRw6kT7HrA9UKiIBTKyBO5xJI6Y6PSC5PGNxFi883NezqL=w1200|https://lh3.googleusercontent.com/pw/AP1GczMY87MMLdfJEpn3BFIziuMNDmUoj-LgpoVr9vnmTbKKPWjd__5ixmNjTzntcjeZgH9Fw9f5AJ7XVPkuX9cuMCG9bcDQUts6ub8uTAgcIcv_NWB7H4hL=w1200|https://lh3.googleusercontent.com/pw/AP1GczOvgnAFLhmd6HbSS45nTU0YuxqVyWLJkHFSQeUSp1IcildxPBftn5TDXCZx5QRdfzHjJGsJAH3_geMDU4p0ccq6EOVdbouECbfBC1-O4U3roqZ_D00M=w1200|https://lh3.googleusercontent.com/pw/AP1GczOVgZbkFkISEDeZTaey_Pf4v5PLO2Joj4q1-i5W_cEr-IuMluyaFYBFhaYk05uhCg0fCzO9o1Vao4eDCME6pG1eeGnTpMQUUuZjbFnuVKJni5uk_VQS=w1200|https://lh3.googleusercontent.com/pw/AP1GczOozGyvCH_1j4Pjgo-gnKgV7-Fm0rojNGxo_Ftlow2ovt3P_tqpwhJrzqho04u6T0_xbqkEiTe2h9hhZHdaWb4PmcJoxfiTJGKywN2NrpFle9WcOOiM=w1200|https://lh3.googleusercontent.com/pw/AP1GczO_-FzkotRSQN2Pu7pwfVJWxmLZMB8T2El2ZILdNWs1gB443GP-lXOYWBLoiMT2rD5uDhQAocArIUloljeXv_jUFCQpl0ttb-ltX4x_yBUZ7VjtG6Kw=w1200|https://lh3.googleusercontent.com/pw/AP1GczOrDm4O_qmxOySduEWuYrf2KDW-SSYyuLcINvso7NEePIZ9NSJAHZ_MT1nqzQRk_J2USIiifLZly8SB233q6x5EI9BOvN9562LtYyb1-AInB-HVufn_=w1200|https://lh3.googleusercontent.com/pw/AP1GczOW8mSZwkuibDbVvVwE88kGrm13AR9Z4e43O2FdgaMIgkUtAf64DeBxj2F9uBX-7dgyZzoa2WVnDJLVDxymX2wA720LWDrDI6qi4IXckK4d1ZWzKMrB=w1200|https://lh3.googleusercontent.com/pw/AP1GczPW8hWSjny4ABHg9C7DpBbUudvGqqJuhOMQpL2DvIRJIIzx35WJxDtnTBK2eWUYPL0PvDBT_PteVygyJTZIAk4qpR59FhHx-OPyJ7TPTmk9RXXIPtbM=w1200|https://lh3.googleusercontent.com/pw/AP1GczNvxZ5AHL6CZxc5EshtCQWPHWkVzq3-dJnVxEUd3djFKfZJgAlY-PLgs6jWa_lSSrllQQfFQNyGiO092DLAL8UbuAPM0H1r2Nd7taXfuoN2-REmTT-m=w1200|https://lh3.googleusercontent.com/pw/AP1GczMqraacCcrT3BCBv2SKGsOW6LOyFbbBHF5bkoLsixbkNGAqB1xxQudc4nLAmMTCgyaAG0Medc6e_XcTDt5QxtHBxwYPU-9ZiONc9w4e4AOmH9cjcku2=w1200|https://lh3.googleusercontent.com/pw/AP1GczMYULLX3rD70ja6RZRl5KU0DJzJlTn3bCIaimA6xwmo4CmMfEdAiy50WaTiVBIHJ9LD2_RPj8Jh-LbIKtaSq0urCKRzyQZvNW7Ah3FdruwOGC3CbO5-=w1200</t>
  </si>
  <si>
    <t>280</t>
  </si>
  <si>
    <t>Apartamento en edificio Mirador de la Toma</t>
  </si>
  <si>
    <t>https://photos.app.goo.gl/2hEdEiHSJQdkBDuu7</t>
  </si>
  <si>
    <t>Cuenta con excelentes acabados, con depósito, puntos para aire acondicionado y planta eléctrica.</t>
  </si>
  <si>
    <t>Edificio ubicado sobra La Toma con carrera 6. Edificio con 13 pisos. Antigüedad 8 años.</t>
  </si>
  <si>
    <t>ELSA LILIANA RUBIANO CUELLAR</t>
  </si>
  <si>
    <t>https://lh3.googleusercontent.com/pw/AP1GczOocNYML_BlbYKwbKOxHAVB9lcTZPX6gwTvFRIVTqgLl7Mq5SZfqIQhHz7gDzf0h5ryFezQAnOgmGKTliNsjsWZo9_Ao0-kXujcqAsF0QZe501zpMNc=w1200|https://lh3.googleusercontent.com/pw/AP1GczORp5eU8cCjI1XUqYNBRD2q-HjJkGuEyXwETWH45KO45qWvsAcQZgI3k3SW-UjDcZd36bA93sKGAJ_fl-RpMeFJLY8JOdUDj4YTdtv_dEKe8Zo6wEMy=w1200|https://lh3.googleusercontent.com/pw/AP1GczPOMSjRRLJm2TYy16O26kBCvwp-ayrRSSDxXvdST4iZtN9UJT-fvXLnLojxQh_OvObiF39Z2AXkfIrl6d93ObyH8W6YDO8LeqdItpHRleI1_TLina-N=w1200|https://lh3.googleusercontent.com/pw/AP1GczNZHyDyC2y4wlvl4ze9McKr0pkBgrnEiTO1f5MjEUdol8-qGhq810mAyN2IRCiURA5yeT2Qs1OOftK4DVksuDg5Ii1H5RgBk2bIbFXm2JrMQeevjsTJ=w1200|https://lh3.googleusercontent.com/pw/AP1GczMmjQi-dohatkKOwcM-HI_MVCrYhreS7m-AUz48U6fXF1D_puji7fl6_9DN8drWrBXklVZSkjMDxmkZD0cn0PEfboO0juL0CQpnUtFsySjiLju1Xg_G=w1200|https://lh3.googleusercontent.com/pw/AP1GczPP-vBaHuTTKLoHrEwnN0-qxsEE2bwOUQbm-YyK4Ef9L_jJ2zUPCh_sMB5lnFxJzLjPGoqGRRm6AytcTDuundCcRL1LAEy0SxF1MFpCWtFEyw-RU-6p=w1200|https://lh3.googleusercontent.com/pw/AP1GczNx3ieFBc7yXN0e39A_2wmzx8JJD1G7KGfvr6BV14gkoI3MYWyUFR6UwjPfZLQvGaThox0ht8xuat4gbM6szBT0NK_x7ANEugVmv_RirskUeGqeaihU=w1200|https://lh3.googleusercontent.com/pw/AP1GczOstY7LITCRApwdaFCy8hMhHhR0T3FWYE39GwNud0XXd3RHP2GYbSOdzqnJmYUC8e2rWpLVSaZDGwadM4kl5h2tTSS5UovWeA-yLXOf4RU6JXMHXT5Y=w1200|https://lh3.googleusercontent.com/pw/AP1GczNxFf_i6LkGkGMDk_5d5slP2HSq7KcpH8r3JPYK1vn6AOyEoP6EpD0-pZiC2ig4eDZxJ5ulV5C6rFuTGP_VTFizKSNTL7pXWckbtXYr7CTxDAK3ZGug=w1200|https://lh3.googleusercontent.com/pw/AP1GczM6fKxpxt5JndeKdB5SxCoOC8OvqzVrcqiXWVfqUgxp6n6fZziliTTsyEEf669WwJk9mcY16-l9yGfZrEzWZqV9IHgHp5JodtsbcetwfmStlpg-Ae1n=w1200|https://lh3.googleusercontent.com/pw/AP1GczOHdpuNS7KRcW0ujdyG0d5FsUj8hlHoDAoBsQyywImT9NEKs8XX8nvtUVrs9Clive78moDalC2HJqTicTP5z__VQF2bGczPKNTgIaXmsCv8lirjUhzS=w1200|https://lh3.googleusercontent.com/pw/AP1GczP7-KHlXgxftyzuTeEDrE-LN6gfzIR1HNcsp_6Ds-qcxLP75VL8LHxQPgRviKFvGK8hgp7ger6o386zZM2PuEtjXQTromLEjKf2pxApR2qLEONE2T8w=w1200</t>
  </si>
  <si>
    <t>087</t>
  </si>
  <si>
    <t>https://photos.app.goo.gl/ckewZJV6TJD1E9vS8</t>
  </si>
  <si>
    <t>Casa en venta en el barrio Las Granjas al norte de Neiva, propiedad esquinera con excelente ubicación sobre vía amplia pavimentada. 5 habitaciones, 2 baños, 3 garajes y cocina integral en 188 m² construidos. Esta casa genera una rentabilidad de $800.000 mensuales, convirtiéndola en una inversión inmobiliaria en Neiva con retorno en aproximadamente 42 años. Barrio Las Granjas es una de las zonas más consolidadas del norte de Neiva, con alta demanda de arriendo y valorización constante. Reja antejardín, buenos acabados y escritura al día.</t>
  </si>
  <si>
    <t>Casa en venta en barrio Las Granjas, Neiva norte. 5 habitaciones, 2 baños, 3 garajes, cocina integral. Casa esquinera sobre vía amplia pavimentada. Lote 9.50 x 18.80 ml, 188 m². Rentabilidad de $800.000 mensuales. Escritura al día. No se permuta.</t>
  </si>
  <si>
    <t>FAMILIAR JAMES AMEZQUITA</t>
  </si>
  <si>
    <t>https://lh3.googleusercontent.com/pw/AP1GczNM5mZXJY-T1OGjKaFs6Wx9klwtHHA2HJX2hTr_cP0KvP_BxX-R8Vbyz6QGZcULb057PkdvPuXmS5srKJv2VpWCyisrH_NVOQw7zLxWvS12vmFRPZF5=w1200|https://lh3.googleusercontent.com/pw/AP1GczMJuYCl80pNh-2cUE1pVrJieU1ZDP4cjGIGVcFY568Rl15cl8V1Hq80mpBeS3-b6AR0JG--pAx_qTsr1LVU4nI6ODsbe60jz30Z6bE5UqORFdBydU8w=w1200|https://lh3.googleusercontent.com/pw/AP1GczPMwMuflB9IxgDM--xLKBz30b5Ynama6CqQw2clAjpUAeXn_lqENUI9hYmBFl8ez5JvWz4448cxAht9ng20dPTy916DzmNm4pGdaZzTZ3SUz2vVjsqF=w1200|https://lh3.googleusercontent.com/pw/AP1GczObrKDR_AnZjv6DnhFVxm5kV2A8xBN2OliCSZI6-zIoWZQSXtsgR-FpFZAq43lT5vKut2tSTFdZANZNwV7ZPKVplxHUy4M2cLYK06wdrUaEiaAZb7jm=w1200|https://lh3.googleusercontent.com/pw/AP1GczO48UaprEl2RsT07wrYlsmDCtVT1Qflz7VQDMoCs3zCpQqwLuOTrPqlKPFzBAz9xTZs46c2oZRkwG_lf_j4f6uHM-nhAI7PAi_OGHzFpCtePBoZPjUl=w1200|https://lh3.googleusercontent.com/pw/AP1GczPt6MggSidCqHaaO_HZKueSaW7T_si6ZI7-hu-RJkaKcdAP1ZzQzGaR5dX07rTuTfmUreixjvPFp1CiVCK65pdOG-AAMQ6zyOMJkV2TErau99YY0Tip=w1200|https://lh3.googleusercontent.com/pw/AP1GczPkFVsHY519LJ5KlXT2N9VmRfc27KlJD4qlnFn4z_qXxL4jJObNB1eEIPX2Y-hrDhtT5JNHmIVYA9icWofDK03vmkA_XUad9edBlu7JxOYq7PoLqix7=w1200|https://lh3.googleusercontent.com/pw/AP1GczPxab9F1Tt8W_NZAbDxyjrhOheWRi-vHxWQDoT03_UN47eF6SnmDuKUWza9io7aJ3LBjy-Of4r4wQzzpsQXzFHohadPLmjGBoWp37Oe-7yMy5WKHc7j=w1200|https://lh3.googleusercontent.com/pw/AP1GczPUl31U64gjf4u40f7rgr_AlgM_BUyRBGiBaGAAVHVVJwqXqhAcs46NuC2NSs9eSsBCLPD1ZAS70J87sP8P4VEBDWSVuMbTY0Cbtc58rnw5_-BRLfDF=w1200|https://lh3.googleusercontent.com/pw/AP1GczNTU4ExothJwlX3-zMz3PKU9kEzWAbG-Ml2-2dZeRESXICWXOYlx8BGRXXeXd6Y_bNvC-Oz-v-cJ7jW7KGgrRYd3AACxuhkYRgAyDjRWjFm879Yj6bS=w1200|https://lh3.googleusercontent.com/pw/AP1GczOdj6MDomUysaK_JWmLexzG62SQk2vUfB2RYw_yiBgwQXLzkiuB2Do7PCbq00Yipa8_L6dIhLMHro0-bJ3K15QH8tlb1BkgufX9wXftDEa2H76X8I2S=w1200</t>
  </si>
  <si>
    <t>470</t>
  </si>
  <si>
    <t>Casa en conjunto Primera Avenida - Norte</t>
  </si>
  <si>
    <t>Candido</t>
  </si>
  <si>
    <t>Conjunto Primera Avenida</t>
  </si>
  <si>
    <t>https://photos.app.goo.gl/oqB8DHSvi96CbmFX8</t>
  </si>
  <si>
    <r>
      <rPr>
        <rFont val="Arial"/>
        <color theme="1"/>
      </rPr>
      <t xml:space="preserve">Esta casa en el conjunto residencial Primera Avenida cuenta con una distribución funcional y acabados modernos. Al ingresar, encontrarás una sala-comedor integrada con pisos de mármol blanco veteado, los cuales se extienden también a una elegante escalera con pasamanos de acero y vidrio. La cocina integral está completamente equipada con gabinetes blancos brillantes, mesones de granito negro y un salpicadero de mármol similar al piso, además de electrodomésticos de acero inoxidable, incluyendo horno doble, estufa de gas y campana extractora. La casa dispone de 3 habitaciones con clóset y 3 baños con acabados similares. Una de las grandes ventajas es su amplio patio interior, el cual cuenta con una parte techada en policarbonato, una pared de piedra texturizada, jardineras con plantas, un jacuzzi con hidromasaje y un área de servicios adyacente. </t>
    </r>
    <r>
      <rPr>
        <rFont val="Arial"/>
        <b/>
        <color theme="1"/>
      </rPr>
      <t>NO CUENTA CON HABITACION EN PRIMER PISO</t>
    </r>
    <r>
      <rPr>
        <rFont val="Arial"/>
        <color theme="1"/>
      </rPr>
      <t>.</t>
    </r>
  </si>
  <si>
    <t>Ubicada en una zona de estrato 3, esta propiedad ofrece la tranquilidad y seguridad de vivir en un conjunto cerrado con vigilancia las 24 horas del día, los 7 días de la semana, conjunto conformado por  26 casas de diseño moderno y acabados de calidad. La casa se asienta sobre un lote de 76.20 m², con un área construida de 112.26 m² distribuidos en dos niveles, y un área total de 130.17 m² que incluye el generoso patio. Esta combinación de espacios bien distribuidos, acabados contemporáneos y las amenidades del conjunto la convierten en una opción ideal para familias que buscan comodidad y bienestar en Neiva.</t>
  </si>
  <si>
    <t>Prop - Ingrid Julieth  - mamá Ilda</t>
  </si>
  <si>
    <t>Calle 44 No. 1W -77</t>
  </si>
  <si>
    <t>https://lh3.googleusercontent.com/pw/AP1GczNfSc-5jv2n9pw0xtAmADgvBf2PGjKkiwmH6xWotSN2YhRhCRuZRAT0QzeWWsb1_rLBO06SOheIUnaKtIWOmNMZUa43HVUM-KkflW4IC3JYAhsEbcEp=w1200|https://lh3.googleusercontent.com/pw/AP1GczPIJmUagyvJ0pT-6jxM6sM-oZ-_xgqNjydDjpZtiKrJsOT7Y3lkalJPE5Ej4HcshBWbvHXBGhO5O6AI68Bi8cYXFiloorrj3k7kv6Tnl4GQAcJI28ll=w1200|https://lh3.googleusercontent.com/pw/AP1GczNpTMDxDn8SFWUBraMEOvXztWv1Ktqm-KR71iODMgrezyKQ4VFtwqA7F0jkyl21Ze0_ib294Tp3Lwd6u7VrSk6CeGW0kzW4r5bRHigE6qgHqOdhQer3=w1200|https://lh3.googleusercontent.com/pw/AP1GczPYuT5ZvAeAt1bcpkh8RUOkLjDGvq-f0OSkz8oB-tQQ2ZNxBqpovJtMAEnC81ZYPtPjO9roeMvhgb7NLUSaDkHAcszuNbgWW8YZdHKOxo3z3KPQAY37=w1200|https://lh3.googleusercontent.com/pw/AP1GczPEJ8Pjeo_kc09lt3GJiLdRgGFZ-VD29TnYGup2qLl6n94rI1TqhUERWttmVNILZHBGCgJH2fMNpgsBtY56DWAIyTBfxzPxxWbhIIaeULeRwq3MiDpL=w1200|https://lh3.googleusercontent.com/pw/AP1GczPnv7cgorBqnj5ZJg-VIf61SWwkFj_A3qRKL38YR5tgzbAx0OxyEyJOOcpUn2g0zzgvgOXzd_0kHPK4miNJ5OgnufaXJFfLV-LuK1zjxoojwuuCZGaX=w1200|https://lh3.googleusercontent.com/pw/AP1GczPWzdwLdTarrpA2VIdeCtbCghZgEMrAvOo-PSLKrDij2Nv0y-AmJ_e6Dz-e2IGPsMUSYop2vZlLL6E4IYA-odeQAOxLbFpeqn2xOsJAifh405TyzV_8=w1200|https://lh3.googleusercontent.com/pw/AP1GczMmUmGY_yF7dUXTVL0-WGNaH77NDeHiqrPfPj5qha0hUk1w91BdZ81yIDqHgpD6z3ZImYtUYFSXDp4UMZTCoGf1abNItdXJIxinO7oJejFHMdV9Fc9Y=w1200|https://lh3.googleusercontent.com/pw/AP1GczNrURwnoz6SOyIUsE4lU4LbaXeeqMNDojsm6KfNH6zf6SrJWU4drRWIsw_SAKObpvUs4Sj77RcpBpdTzrCov3qprXUGyBKEK7nbZyrnlGCpI-CA0n02=w1200|https://lh3.googleusercontent.com/pw/AP1GczOJotTpJK53MPlssSsk7vFN5kIKDpb7H-RMJHxi3CzHQ4CRZ3WlsslqhJOdyomdUAJ6xLTxTLV0oakfbUzKqS7DDeIPQavt7PGHaf-93fsiRyXUzS9-=w1200|https://lh3.googleusercontent.com/pw/AP1GczMmLMr5ZCWIkkgPKQXB7imGrhsu4a5T49AU4q6NPh7xOzS3hZJw8_tTt7V8jZypMJn4wN6RhCOR0XW0n8WMD3NC32qR6AHuf1ZaPBiHhi-qIVEvoezP=w1200|https://lh3.googleusercontent.com/pw/AP1GczPN-BSzLyW0j9mfSLphq-A0jQRh_7cCUjkqxhPrZnV33cT94UPcVZ477GKjk26YojWSiEXjAtmbHkpbALAYc7231djzbcUXoysaaNf_Q3HrU1t-oomy=w1200|https://lh3.googleusercontent.com/pw/AP1GczP3L5uhT56LyqJv0vVDqvyXO4cfnZa8ZCsiZ-3v-bjYgfVElErARb08sRcLhAv5oBV2o70orWHhoz3CbBarF4pl7HSS4iVAsv3Gyeow1d0j9o0Uah4F=w1200|https://lh3.googleusercontent.com/pw/AP1GczOwDdp9T3oU9-GdippGnMwG5hRv2oQdPRhzghhg1XyPRaYGhtT3zK_yqcpnzDysgsQANcAniHs1t-MU9EQtLgpxvfTfnLzAQ0JoXuiAKJppcfvWucbw=w1200|https://lh3.googleusercontent.com/pw/AP1GczOQTAi-D1yyCiZHnfqtDb1YCgXcCs6yLNRaqc3al1YTxw5-8gEnvr7_5IkWR3a28jFhU8Np_VRNoFmTzbYmRGiqaenHq-CUlTcsn2AL886axi3A3zwJ=w1200|https://lh3.googleusercontent.com/pw/AP1GczO9pdyW6f1BEq29MkwJ4of1ELe5-s1BJI2IDFRytN3md10MfR7BvWYgXAE2mArZ91j9LeTwk2hE48GPTc22-Go8rExD4eGzZWLDHAtAb_oVPJprClQi=w1200|https://lh3.googleusercontent.com/pw/AP1GczP2nx2xKn7Cn9zvdNndkeunfTRvcXgMZ4HHobUX9QdEd-1_tvEGc3U6G_fL6vmxWAqstXGAUqS_C6rGxIxv9955d_FHtULch_leSQ25o3wwDAGTUeih=w1200|https://lh3.googleusercontent.com/pw/AP1GczMJM9L7cgEoUahJXOX6OeSa8K9aiZdNm4FWLYouFSG68YLb9GfMP3fSqRIoLNIjB03e1g-Cz5UKrF1Y6vQ0wzCRmH1HHikRCAnFrvk02oFALphLi_0f=w1200|https://lh3.googleusercontent.com/pw/AP1GczMuytIhW7Cj83pxln9EB_yrqYikIub-jYGS2aZY8KQYBQf32r9oZnuZIPhVfbI3j6_t5AWhabZ8_M1hq_UMHl8-3JNJ0EAn2pedkqshbyjZsMGZAhoN=w1200|https://lh3.googleusercontent.com/pw/AP1GczO6Wb6_4B-7PM_HJXGIklI6o2dTisznnRynj5uhEucnGK2BWaDA7kBBTMv-UYP7T16NXhnwx713uLwSo3WtP5PF5Uc69ZzXA8QsgiNd8g-1CZInV1eO=w1200|https://lh3.googleusercontent.com/pw/AP1GczNjgqRyQJYxOgkMDbEDwo5Y5jC5FfCbEhYXma8D0DzYXuG0z9kzm-z7bjyfQZdE4Z57L3K3mWhdSI5jNKl02TgReQVLtuU1O0LpvIUFDAFMdk6gwfPT=w1200|https://lh3.googleusercontent.com/pw/AP1GczNyGJEEjAf5VpDD8CLJG5-n_BQI4gRZT1fW62EyAzTxL6rJj5fzWuK0senO69jLXHslADjj4Q2rCSh-H62hvGeidKVoCzwKMp0_oArl5yMT6m4TV8Ht=w1200|https://lh3.googleusercontent.com/pw/AP1GczMLna-GpL9A73eBM4dFLxVFSX5eJo7b_3l-HUjxjF_XWAQOLL-IXU5s_zOSWBYoH84hmbefFpCBSK-YdSRssEEp49sJRYVGhmQlNkzz-ExfIIRZEyjz=w1200|https://lh3.googleusercontent.com/pw/AP1GczPA4UXKjDLnfLuycXGVtMwzBFyA4fa3M2HeTDn7iuFYE_M_lTnG7M5CHRNPxVWNiiSUsZiXHeiZl_dnGClUzKR2DKtRSwiFlhY2N2Uu-9tJ0hbNmnYa=w1200|https://lh3.googleusercontent.com/pw/AP1GczPG8-BGcPvZXRJPLpqTgeX3IMjc8792KhHZBwD9Aqh0yiuswc5J9FpVY5qLJJr44dG64dQeFyk7atQo65am1iGb2ORLJzF4MBMzloDVse7zwYhc3om2=w1200|https://lh3.googleusercontent.com/pw/AP1GczOVgX2JH68DqxUWg9KXTLEwB23dd-NAv01PKffle6LpaTvhvs4Qq2nQiXNeawWIP4z8TdWkKE3-zyZdxuvvGmAd7Z0De4Ly-bLOHkmKIu5Lx7NNi7EN=w1200|https://lh3.googleusercontent.com/pw/AP1GczNr8g3XQpyiwCUFWM8kgDMa9Ok-REQnXzTfJvY1zdn49JBXJ2P5_MftRg2Hku9D5wmZAdjFeSBTPCsZ-kR76I69pULgXJBeWBSwp8qml0XY-WXY_Ki1=w1200|https://lh3.googleusercontent.com/pw/AP1GczM5azkT3JK3kkZ4WNeS2K8xwSeqMSL9rzX0Z4OY8br3ScmcinL1gUf5iKzS2Pn1B1tNjYcBrfyCoajsQB3KWoDHJXtjVe2-CFACNrCK9CF1lF13bx1P=w1200|https://lh3.googleusercontent.com/pw/AP1GczN2vf6OlJjL-rrOJUI_SxlnnNaqjheUiJcvhlmYehta_PlCBo7hePwmtWIiuqNBrqzBXnjdcKFsrPoWcIzRlv8y1y8H8BIEFw0QJU8uckF4m0VjE5Sr=w1200|https://lh3.googleusercontent.com/pw/AP1GczO2yFxy-m6mCfDFS8zQAShAZvAVtpH4pLHOCqfy79CrvSdDDCU43v6BYdbeSPttuLLE5f0bGmR5UXPFuC7OOTEnW8kayQ8mMKJR5uKp1XArbjk7BYC7=w1200|https://lh3.googleusercontent.com/pw/AP1GczOaYe4W-nWR_PKFc1vZ9mUPmcZJDDV_r8IiAc7BoA25MOE4L7lsRuzDxvPf1D98FOUXWOhr_v2U271rSD3qO3REapql29_mcA376uHXIpqoaXaLiAia=w1200|https://lh3.googleusercontent.com/pw/AP1GczOt2iitcdKgP-03t4yOJ0_s54B54EK02BFp29DFKjMPKmzWcvkHIs3FvWV9jOti1qDtNw9BIH9lzFSftudPpzJdGHfL_Ln8Ye9JfWQ0OiKvycnxj5V9=w1200|https://lh3.googleusercontent.com/pw/AP1GczOjLdWfjbbyWGvndU5cXhaXtXUASPKYo3z8j8uKxkBVnRNGETygXXMELtAwZPNbm6T64oPDU5oYLj74w5wCBkertjUaBiE336qRFRxNoCJqkHyquaPt=w1200|https://lh3.googleusercontent.com/pw/AP1GczPuTyxfNYQ_c-KdpQssBybeBYyFFRNuPJNTRbnrW3FIBVGlfsJIIjBQAfS5h5fXc3den76VIM5jE1mg_HcXOIxhuj_jeTjMunG6ukzSJb8muuKCffsQ=w1200|https://lh3.googleusercontent.com/pw/AP1GczPpyHOD9lJpblmsJa9aYyZuohCeFW0nuHZL6r5I5jF8m8TZLl2lcxYKDVHj_PYC2bwo0WkXYEbZGgMC7Nj2gfXf-nPCdjgO7HWf46nOpjGYvwjukgxU=w1200|https://lh3.googleusercontent.com/pw/AP1GczNfDWYqTDGEi9TvB1lVpfYMr_t563D51QtAE1_pb0JUoeXSeBggWOAEY_kXmL-vaFRA6shKuHCRG3L9nMDcPoPJ1S57iT17N4b-De8u5tzfGF2o3JZn=w1200|https://lh3.googleusercontent.com/pw/AP1GczM9WNS7BAscb22X1fSUKO-H1lsOF7F0ZrNZw1sgggfIyMnpNFC__C8x-f8czURlJipl0R6Q98EUW_D0xYWwVJQ6qyOHQoqYuhKzXJVkw8S78GHxa7wJ=w1200|https://lh3.googleusercontent.com/pw/AP1GczO6JVohbsT6YdboWnmdSmDUdkMEjSU7PNjrs0iBR8HO1DZgUCwkOgnn8i3tlo_wlDKXPlN2fTPN2culZCmW8pd5baqO3PkNmuBBXupwStPiRVeiH37u=w1200|https://lh3.googleusercontent.com/pw/AP1GczOswFQ30a34iH4JesYkQRjd6wJIIn3ci5A9hBwsJWr-Ewr-cGQJvB_IvMduVXAfcUoaRyhy19dZ9YN4JEik3R1fGXmOgA8k1XkNOsC9zdq8Pu3b0Pmw=w1200|https://lh3.googleusercontent.com/pw/AP1GczMxJ70wQMu3eRgARCZc8H2ch7Je2H5dZTITv3p5fOVzmsO1zF1H8pgBipropr96qdlUzGjF44ANXRHI9dko7g9LOWjHOKro2mZ7HCyhH9xuNukmoWfW=w1200|https://lh3.googleusercontent.com/pw/AP1GczOIPB6B4BiRC-qEB7o96HZ4tXAtWAC37OExOFKgkkVqEKdU5zhWpchAiHjLo0ky4lvftEZJDL1icYOyBgyrVQ6P6lnxHwsgPRGGcy2jHCsh-EED0eBP=w1200|https://lh3.googleusercontent.com/pw/AP1GczNnWXfkdFy3qSkiDkqXq0bkj74maTrhSvIFfnsoxcBRD0OSDjzAzNqPy6rP5Xr-5s884-h29y2dWgsvgqY_y76wnLTtgk8TNHODcMM8cjlCZo2_DkOs=w1200|https://lh3.googleusercontent.com/pw/AP1GczOv4qfKIpSNoB4md_rqiLWr4Fq9RJ5yS6OkxdRKlIJcbdnnx1g6QqCrVIET9_yXkf94UsKfc28w90xUQ-F_eNDgcK0B2tHJGTbTOwzJQl1yoHrVxArR=w1200|https://lh3.googleusercontent.com/pw/AP1GczOX6546BKwmxUO_yAmtFv01sMAV11pUlPmD8eLDI8UirGdwcwVu8j3kf217hUOsYuFFuJoFPheLSUj0tU_L-jXV0pxUqbdWDLbPTPOb9EBMGFSusfzl=w1200|https://lh3.googleusercontent.com/pw/AP1GczN4GQjRB05A0LC04kpeSrfI7W4RyxVBGSYsaFUdaysL_KC2bHeU6etLtPIeMdBptLoNPGJcSApQRhLBeotoV0sMxI0z_mU4W_zd3Ad04tWMkVkXrET4=w1200|https://lh3.googleusercontent.com/pw/AP1GczO_OCJK71KjD0Z7RKLm2uvyHDliKzCmI7BDzg6wKDwuhaUDVF-7JIdORBIk8m6_tJJMcRj5A1UZDCvqMzh_h9IjeFFh3huJ6abSWYKJD57Ak5lDWR0J=w1200|https://lh3.googleusercontent.com/pw/AP1GczPfdMzrUQPtV9glNlDsm6K5ZH06kbMvU346_3fvUVJGb9sBBKl5qw3uFHqRkFKX4rvSoF-gaIPlzGuA3tJVEFAz-KYeXQqljy6I9UHII0jvaujgQYl8=w1200|https://lh3.googleusercontent.com/pw/AP1GczOi84nQN2ZcTfGEjMbow1j8LyJUbTAa_bre5IQu8iDbNGVMV0MnLkAxlsbvtk4hRx0O-135kC7grA4k-g5id77srD_oGMLgacrJMYsCTA0nfwHeyEfg=w1200|https://lh3.googleusercontent.com/pw/AP1GczMLAetVz-h0yujdnHBz4lh5u_F3W6WMB1pGQA4ExCndTC6ruNa-zh7LjeY7q0U6oUT4r9jnyD1xV0tRU0d3C6MhFAAqNxPhBMHWjTVpc6Sc-HZzjgpV=w1200|https://lh3.googleusercontent.com/pw/AP1GczNvQhen2KsMMic08et7i4NUG1QWxJ-tn3sxAW13s09wQFjQ3POiJPacg4sW_mSumsjYcovxQ2hslUQsrci41_Cb8Xq6ah6XKe0kmGOOYs9aXtamEkt5=w1200|https://lh3.googleusercontent.com/pw/AP1GczPJFvkY4XBZxEfvHzGp6mYgDoOs2i9cdLTzn8O8tlTZKeqSJaLP3VB1aqPYw3ycvNymnAu64ZZONlTHtrHoG1IvcLwIHWI2SfXUwa2-OzAxu-fKJrMO=w1200|https://lh3.googleusercontent.com/pw/AP1GczOlzaG4Q6GkdY_hz-V4s2_zM69iRZ061VVhEDGOUyeN1WBWz_4LOD5SNYpHFoTgHZLos_ePB1Xjpl2_FNgqC6kORR9CKBm_niiEYFj4O4p6gDuzEnoL=w1200|https://lh3.googleusercontent.com/pw/AP1GczMJjHTGDnNb8R387T8YKxFKO221JEbptaqEkDi6uzW6mR1D0Ja2I-ufnNY8IzvaoJVlMBjvA-Fe5S9AeYk-wAEenr_G-5C-Tehcvhhj87Z1gcaWin0v=w1200|https://lh3.googleusercontent.com/pw/AP1GczPoPPT3IanWlVC3PSq_LGGyVayQStkfAmzteCTTkwEZB_FORzVNPR-Hjq4yjF_o-1VHY2d0Is2upIYqPUFH8tpN1cIalUeXM08ywrBFSXEw1GX2YwDA=w1200|https://lh3.googleusercontent.com/pw/AP1GczNFRNKpA2IzaC7stUxEucj3CQ4EhVDHfytYkS8GnBe6Sq8PCV45Jo9Mf2wyEkBjsg_0WvYb26N9HZYRjsXbzZQRJS1ix-6wZRTeCzeRhpZgGpx6NpiF=w1200|https://lh3.googleusercontent.com/pw/AP1GczP9poemE1DOOHVNgGiSkJxKOLdPPfhkKPdD9ChMLLbx-xL1DDZIUne-cRQjXqVA5zSUf8eGIO81ZaCiXm7s2aGcqx2yrOy8zqiqtpNNKisFqYE1M2fM=w1200|https://lh3.googleusercontent.com/pw/AP1GczM8IsBcLeMz4rJ1WpPeBRw5uZgFmTuaG3jBeA6l1vHnmQWlhCfEufY9JgcGIuCrXiBpMsYJwJ-1-yquNG6_kSzeRR1chM0N78gGT_rx0gtyCiXeom30=w1200|https://lh3.googleusercontent.com/pw/AP1GczMXAU3zeCmo9ZjkkKs4VMnHpTmmUYSj0L9EozbNYf_Zo6cpEQBwZWEAhzNaogUTqZvl8P74rOvL7bIJefrQ6aGFh99lnRJV-T_UxPpaAirycdcNGDeY=w1200|https://lh3.googleusercontent.com/pw/AP1GczOuD9P177W_O-dwEvhyqV8LNVjGftfzNpNBh2-ZZo3ifQJzq4kyLL_iENgbGUGe64Bpt3nvvm3ktouOrQiTiLPQ9Z3y_5UdsuGsapL82yO1XoYHLNJl=w1200|https://lh3.googleusercontent.com/pw/AP1GczP7wDJ7W9to2aDrNownbNqCDenINqHNxnH4Lne4pg-LDL33XB0Amn8pRHUR8WQwVQcsHru4ZvaJK5sxFgEJf6PcEA8pBro4refgoaQZyrM3Jy8BE6Mi=w1200|https://lh3.googleusercontent.com/pw/AP1GczNiIBswMutMP5GOQ4BkqM1Zi6uaVxlBzHYyZGqewRkpY30tHximUb-hf17Hwt68rIe5epfdXCsobmc-eXyJ_PnDBQbIwfjku-0y4VFtmaRENHj9-rLb=w1200|https://lh3.googleusercontent.com/pw/AP1GczNSFtOLICTqLw1hVF_ttgkn4Dh5rYSCAnV0mZcaeAUQlTInf-IXap0HyikVeerSpH0TEjHHtZQ49ivn9ibtMW77GKTan4c5kug3YyuJHmJjGYxrjQt7=w1200|https://lh3.googleusercontent.com/pw/AP1GczMVrLF1Nu06kaukxoU-xYmB2rpA1A5EQfFFNWuxWkqKYJM0iXD2hHYP_qXVf7Lx0xtD4ksO3JjIgMTA745NAuL6Bl8QK-ppKrfrJKgUcDTaUQ-x82ZN=w1200|https://lh3.googleusercontent.com/pw/AP1GczPKE3OkHsm70OIrPHXok0XyODI16II2TDhd8ptmSNVfs35htJTKUTT6SAonJtoeAin4A7DOdFbvuJwDlepznvUf9vCBh7JlbbutZQXBsfC3vX_xOiux=w1200|https://lh3.googleusercontent.com/pw/AP1GczP6xM7Fu-ORQ3jGy2ezRczLokw--iFw61QdtAAf-zCO75_fLkkBY2jKn2uQ5YZPxsc4Yq9SJAYU7x9v74JNKgLEdVZhO7-MV1GAMlBY5Dp-H8KqnV0X=w1200|https://lh3.googleusercontent.com/pw/AP1GczOcd9fmGajUIbGLU4WZb6ZZJziPfso0B36EdqYQSgFURa2r6KSbz3ncjQjcjDXdtoTAXulzQC7BZ1JY3aREB_kpRtxindrOofYz-7AWVBW0c7abEaMg=w1200|https://lh3.googleusercontent.com/pw/AP1GczMFtvcHmcsopW1anvWzzlnNmuyFyAqGWIIMB10AmIP-MDCr_rZ3tS3JoqbqAnelmGjH_6ypl02S2nq6_2qvU5UXXpkxz_BZequM7diDzcYHDpzfozsf=w1200|https://lh3.googleusercontent.com/pw/AP1GczNq3kI8AfvkxfbxOrb2sM8dSou7abymF2OcWmzLIETzMbbzEGVcFOUieyFu9C52_oCJaYrLTjd76kwN1N9vu2QOre2lBIzn4LC4bd2fz3whpWpweNxj=w1200</t>
  </si>
  <si>
    <t>743</t>
  </si>
  <si>
    <t>Lote sub-urbano - Oriente - Vía Vegalarga</t>
  </si>
  <si>
    <t>https://photos.app.goo.gl/owsU4TNseikSa9Nv7</t>
  </si>
  <si>
    <t>Lote sub-urbano, ubicado sobre la vía a Vegalarga, cerca de los conjuntos Pradera, Mirador Yerbabuena y Sahara. Si desea mayor amplitud en área, se vende otro lote continuo.</t>
  </si>
  <si>
    <t>Sobre vía principal vía Vegalarga. Vereda Ceibas Afuera. Dimensión: 33.0 ml frente x 55.60 ml  fondo Aprox.</t>
  </si>
  <si>
    <t>Hever Dussan - Hermano de Pipo</t>
  </si>
  <si>
    <t>Vereda Ceibas afuera.</t>
  </si>
  <si>
    <t>https://lh3.googleusercontent.com/pw/AP1GczPkaGY81LqlhTwe-Us5Exus861MiV2C5urnf1vYQ4XF3IHsVIpaa-Jb9A5HzCfOf8z7d06mylucCq0eyAP_wGwSWMNkcDe3TMAl-F0iGE3q2027HzED=w1200|https://lh3.googleusercontent.com/pw/AP1GczMo8vp1gd0XVo8xw8UZ05tIv1tG04zviRwDauJVTyBP3jihCb5V09TixXnVQ4jE26rKTV4PSypma1VTvg9gYnWLnJwc6ps5HfkeliREUIponPVF7DlT=w1200|https://lh3.googleusercontent.com/pw/AP1GczOQ75KDwwa1F0Qi12VLUilUcRYCYF0fD4v9Ll5BgbtSDhWnCCUWb7HJMm8yoqsV-meqvib7pn-ChWDupj8JSz-HlUUePj75jU1qepAbkJ58j7hkXPAx=w1200|https://lh3.googleusercontent.com/pw/AP1GczMtadOljXNpmSzcrrYr3vMHoIv7eNSAasJNHX-rITBheClpHOHphj-hQu-ppG9p1QR9Rkc8s-JlalfbNvUBFulWLvAnveX2-L-2X1JfM5rQxTbH2H5M=w1200|https://lh3.googleusercontent.com/pw/AP1GczMF9Gr54F4pA-n2qlI6-8SuZfZr4LrQGc4Pam_lfgTWFMZbMRbxgPmWEfL3t2ieWe-vDhXmK_6FMtfo4oGbWS4UjtBJ4bHQSAwWf6U4FvpCx-wmhBew=w1200|https://lh3.googleusercontent.com/pw/AP1GczOrwZE4CnpiP9e8J148xXrATPd84n3J2Yd7a6w_MrC57Z6IKvMZbIJNy-JkCcrdCwvHMITEPsQEbjOe0Lh8LTDBsVIawVQDhsqavZwC39AsluZ9vne_=w1200|https://lh3.googleusercontent.com/pw/AP1GczMzeaZPpFHZLA9xaF2IxsIq-zNtZA6vueQhBw9BoolbT0PBzktJj-p-hfPgLWfGhqzq1Xgiih5Mlr-TGgTJWjmZ-wPvW9yfdX3ORnTzYQ9Bt2fQlg5W=w1200|https://lh3.googleusercontent.com/pw/AP1GczO1Kho5ttsR8KGEmDRevGeGO1Y4qB7wKh_tmZkgeiJu2HV4-o6U88GoB5V8dap3UyDUyxnVTpwMyaOnEL1iLLf4HPQhMz2dHb2CAL0LnMOzLxjKRqRP=w1200|https://lh3.googleusercontent.com/pw/AP1GczO_WuUAohHTMEWLC-zXSWQRhy49AztrGjnO5ZBsbGMxk05kJ101AFNhiKZt-T4_SSnPvawCdCw-QRqPTl0LkvY_G2RnxNeVc3Xjbm66EhvBFFxf43cI=w1200|https://lh3.googleusercontent.com/pw/AP1GczM7s7AJ79D6dOntcSlfO-npmisa5mqn-MPeczAK19vsz2fHrpSVcC5h31EGvPukaSCD2fgFCxMf02Uen7jFO8sTFpSB4HK5IBSUU5bInj-Oe8B-ZIpq=w1200|https://lh3.googleusercontent.com/pw/AP1GczNW5Z8kP8m1d34tyAeRVOP-_3z7S4EEVi4KdTsMOLGyWo9uc_2yMIntZR13wcX3hYTv9U-UCVCSEurx3_S6pKfzHJ9OqHyCy5PpChW-SywSzDG6YB0U=w1200|https://lh3.googleusercontent.com/pw/AP1GczNd0ZkNhJmskjCQ3JxFti34GaXOFXZEqMlDNu--2s5DGhMIr3nFTgK62B6TDIdkPBcqAjKWikzjP32ZAqO5vY-NHc6fymdX8poiobGkJzGqTgNT4dhL=w1200|https://lh3.googleusercontent.com/pw/AP1GczMbBqlSoCZCbPPYVRVZG9rpc3bh_vX7CFvwrYcslfP1Kd3n_VrU3reSlgkk_OpnLhzrKS3m_XICaY2Qx4G4I0vUE2_EW0PCHKxs_eobW3QI4IG9cPJU=w1200|https://lh3.googleusercontent.com/pw/AP1GczPw8PuN84bpg3atoRsZUVK_hylbdtPYpYQ1sQYuFPryoi4NRPk5RVZxK6hXOsNluaNr6ksPxfGlFU2Z_Hasgu37ev3sKpJyIfKabcd-GEjpGFUG7fFE=w1200|https://lh3.googleusercontent.com/pw/AP1GczNEz4cdQnvcPz53ZLvNz02mNE5Ey4qaUhGBeT5y5l7NHCQo7sfSavxfcYTOq_qKa8ATeYL4UnfdhjH-lwdLE0VZNRMcnCcDAn8TQ5mlOQ8NUcc3UjfG=w1200|https://lh3.googleusercontent.com/pw/AP1GczNlpiQmow0n-5P4CxidZIeYaHQ0pvJf-ekTgGqWCaO9Rhv0U0xXYv3ZwSyLN2uSqqaoefEA1Dk0029CMpYVGy0s_jQzPRqa_rZvHV6XIU3zTYaIFD-z=w1200|https://lh3.googleusercontent.com/pw/AP1GczMuBKSoMBpR8NdTKsawpwBBKYnwVxIjetKnd9QccUQjejlmPm4D9rQGfKxWV9I1Jer4EQSl7c7Bc0_hjsD_XdDv-VIsPTbZ0mbCKHXIfOou3DeVI4w5=w1200|https://lh3.googleusercontent.com/pw/AP1GczPkR3DJTsonjLJAKGSKfTQSVHGLhbDKj710W4SVFWfhQsCirIWlehU5Acq2zaZ6W1BJHLSDKfU9TjX3-RMmVoXQGf6rk6_qgloSJoedbY6W1s_cY6Ip=w1200|https://lh3.googleusercontent.com/pw/AP1GczMhLGo6Zr80AtD0o04S3nF-RW_sFJllCS0JqpUZuxxpVsluhk_uk-NL1fKw0kgX7_SVgG1G1RXofYDEV70zbpUnuW-xcdO3Tzh_IFVP_i7-hKSyCEO0=w1200|https://lh3.googleusercontent.com/pw/AP1GczPfOpcK9vzuO3zY95JqMKHg-COZO8u3Nf9DQnmjAPwuqg92eyVXfK0I7DaTbT-UZx1m0jauUvOOpbjAdBieBBtyxyafWATL5Yjn656V1zvaKEX_E5VY=w1200|https://lh3.googleusercontent.com/pw/AP1GczPvnm5s3-uJOjeXh_7bjbkR9TmqhmKCSGB3OFUCrBrv1CAY7qfwsK6gigyD9O397WGVCIBpJdKd41GbZgaproHOUQ86-nNrtjsXhHxWjdRKtM709otr=w1200|https://lh3.googleusercontent.com/pw/AP1GczPUEQBTqUO9xfWhj-qf57gxufP9qUJPJ0xOxnB5sr063Ldi-mbHVwPePkzaY88-j42sojzwd4tYxdLL8LLtgoNPzff9K_dLNUcXME4MRfuKTQaKtX_s=w1200</t>
  </si>
  <si>
    <t>423</t>
  </si>
  <si>
    <t>Casa con apartaestudio y habitación independientes en barrio Las Granjas</t>
  </si>
  <si>
    <t>No</t>
  </si>
  <si>
    <t>https://photos.app.goo.gl/VAdNDoM3VY9Lrx4HA</t>
  </si>
  <si>
    <t>Casa  antigua, ubicada sobre vía amplia, pasa  por el frente transporte público. Dimensión del lote 9.0 ml x 33.0 ml es el segundo lote más amplio del barrio. Con reja antejardín  altura antepecho.  Ubicada frente a un parque. Patio central y patio amplio con 2 árboles de naranja agria y breva. Escritura al día. No se permuta.</t>
  </si>
  <si>
    <t>PROP. SILVIA - ANDRES FELIPE</t>
  </si>
  <si>
    <t>CARRERA 7 No. 31-12</t>
  </si>
  <si>
    <t>19 - PRUEBA v, 11 - AMARA GUTIERREZ, 15 - JOSE LOZANO</t>
  </si>
  <si>
    <t>https://lh3.googleusercontent.com/pw/AP1GczOOA_Gh7dU3_R3RnuIUJKafUdT15sXBvClQ3dXNp2uKoq2y4A3Fq_QHWs-RP09aDQlzdjb5og7gtBKv47lFPtECdAxM1NbTDPV0frYOOXiCgOS9IQMy=w1200|https://lh3.googleusercontent.com/pw/AP1GczMU1Pqc_KbnX5E46pD6Fk5-rsQ20KevVCGqE3GpV1P0EauWkLAXOuqyoP6vTp9ybgKpIUSFBe0jj0Bv3bCgFy_zet2RrqbHSyIrfbmuN3nH6MYmH4FW=w1200|https://lh3.googleusercontent.com/pw/AP1GczOkAAAOUHXxLQU-mA_bG4crPElJU7hykJHkxDfv0MsdS4ZUQQlRTdwerB3u7RzSM6yZKSUV9X2B-8Hvz3TPVWUqh8LZ-JVsMaQtoe_yP-5lKvlbluUI=w1200|https://lh3.googleusercontent.com/pw/AP1GczN4UNFYOaeUDakC3j1ONnOyKlP82hSa6tQAUQcjmpuZlFg1bwYabdRcoZ733yEeSfiZb7mZfD_XQ4B2zMrdkFcKkInBSwJodqxZlC6ZFqedh5PB5tjv=w1200|https://lh3.googleusercontent.com/pw/AP1GczNVABLodJE04Gl2aDXshLoz18YIKRFSrO5vPHv_vMxI7epsbaFGKWzvpA3LClZBM20G6Zg_E3vOXIYmJedK2tSvHaSTORUSLn9q8L_ue-7JcKvtpvN0=w1200|https://lh3.googleusercontent.com/pw/AP1GczNWNlON4hHK4DYP4KeyUfN52LD98C2hLmKBse-yLhykXiCAZ13_kVbVqvvgajMa2-xTxsew5l3acG0t1j9f71WAL8C_AqcugNDQ6Kb657k2EUA86Pif=w1200|https://lh3.googleusercontent.com/pw/AP1GczPzPdhXUX6qzdygpQw6gtoRMarZ-X8XbUe2TfEylYu-fDXYhaq594hiubL8V6Km1iVnTqsjzX44GgG9As5OITWlX3pH0iXZPOWm42jiSG7Pk35jRzl-=w1200|https://lh3.googleusercontent.com/pw/AP1GczMPj80W7oZaFJDIrny-5blojJOHa7xVyis9K4n50owhKOmNk4_TU6tCat2xq9MoY1N5ZTi_yUfmP81XkL2dQ9rXpreZN9PiUo-lanIz6cm3dHx2ms1v=w1200|https://lh3.googleusercontent.com/pw/AP1GczPViCGgPq3WFoK_xmCCkfbZqsWLSPif-XIUjQd4NF4x1X_21d4CWEG4bZd2s9avGRrTWk6vthj-TRPi-onNu9oLe-ISjIIKwWzKA_TYgTRMGVtFw0KN=w1200|https://lh3.googleusercontent.com/pw/AP1GczPrUC-Bgi4JA12EJ87ZANbYgdmXQl998HLKRFct-q0Sta-8ytR4DNyBbxkR2zzYxn26xImQlD0L9Eahmb3kN4Q43wOz-V4VPHSJaYa5Iko2cWrZRHrW=w1200|https://lh3.googleusercontent.com/pw/AP1GczNuacz3aqpIpshZOeiEoD-8ABIOlbWVMgScOrVfDUoGfdRUDqhVW0gLMxopPXUyejp6eKtH8BNHAusCIGZeJLzs47sSWtmbRJ3aXhi_odUS2wrvcK2R=w1200|https://lh3.googleusercontent.com/pw/AP1GczNrV110nCVjdqP1nZUCo2d5NjhZObd8xFpzbpiD2plVhAbtHrjXj0bhM_VdNtC-gU_Bs_UplR-ns_COH4C4R_UHQlEniSVSC8djH4rzrzprCp4sXaJL=w1200|https://lh3.googleusercontent.com/pw/AP1GczO540Gjvv06l7PJHaY-FH4D-oOHlEzzQ2foFJ5ZcolU7CAJY9rFPhfeZcH_U1PIXVAvw0juKx1unJI-fc1WYks5ENq3Miu3UVoGn3XhfDJC8kUUL1_D=w1200|https://lh3.googleusercontent.com/pw/AP1GczMB4kgTya9d9-vIKQCsLTFZsYk8OzOK2zEjgZ2PzluLAa_WgA2PfTkB6g8mAhlBnxFIKU1hHTHlaZ2loLFyCcOu2_qF4_j_clwlpq-JXsSCJwutts1j=w1200|https://lh3.googleusercontent.com/pw/AP1GczNBn-AAPsQ-0T6rAhWcGE9WqsMvxebKNAmZ6rkQ6aN7uRG5l3hjkjToImaGnw6A5vTKBFHZJHkhN2_LrC3lS6KMXwXg4OYIhQ7mkgUxajH3JuwZwY4g=w1200|https://lh3.googleusercontent.com/pw/AP1GczODMVcoHbnturoWwYNUIMpOQvZahwAddJ18CfoSWC-Giuo8qxesSJkW2P2Yt3_jMgMzGhpFRQ4d-nj5U1zu2ulWNKUM76kJtdUe-Xio4oaq9q7Gc6WP=w1200|https://lh3.googleusercontent.com/pw/AP1GczPX9xiGojxQJPC71iD_DuVeHojOtufAgilNIcV6l7AM7-b7lG4PfEVWHR3kny-kOvmv5ISwHxGIGvDcU3ozElrXeR47384IlDbX7tRu4EOQU3h8Ywvi=w1200|https://lh3.googleusercontent.com/pw/AP1GczOlOfDpRBbx8l_LOGnFDDpMsugamq5FqarXOL_WwG1R4ISQXXbL-k2tBecAv3VcAIgLkpa6YNVEcaijYRvQPYMebt8nyQgBI3CYhWn3_QjozWn058QY=w1200|https://lh3.googleusercontent.com/pw/AP1GczMIuXuHqHmhwXJ1b2VbKH6pr2tEuP6EQW4XTc2z5m4JfcpF6_tGk8iw2b1rQLaukiWUMxlLdWDNf0K9NA-64ANkkJwS8AWy0KTnaI1nQodugoZvaSW2=w1200|https://lh3.googleusercontent.com/pw/AP1GczO97zxxNB-gb3ZvgP-j5SDm9DG0VauOKZG8DQpaoSKZJUQq2iT4Fqg2wGCxX5MTRDcMyJ_uX-C8TKZpzli4PEuKBjJOfnxlWOZ-RR1eGZGZRgZoCzbB=w1200|https://lh3.googleusercontent.com/pw/AP1GczMoPqMnx60XEEfQyJIJocAXooDWuRAkTeARXRgQq_jj_TbJIYBxPUSTwN28RatPjzJnr3k9F30bLXFxQ28GYyRq5PRhflekyx4GiA3_dCpaoT5HrJz2=w1200|https://lh3.googleusercontent.com/pw/AP1GczMCc97EWH4BdZYH-AHmVa1vBpotPRXNA9lA1SftseuLySi832VaClPKCfxosMPT3bucOAKkEOg-CjWvd1HhAiU9V1lXNlUEWapbrWol1d-ze9ypIreL=w1200|https://lh3.googleusercontent.com/pw/AP1GczOm9NSAcslbd_y442LrTaQb-RClNqX964uakTm4ValWEetdtC8PohtBauWxCNhE5Rn_kR0qM3RYkeAnOovBot-UwL5QgFqAEW1Bc6KMvMWdv1wOk2xv=w1200|https://lh3.googleusercontent.com/pw/AP1GczPe5HzndHw7hWFkRSjNwz_kx259iOSPW-oVbDZog7Yto9QyDaCtV9O5cvjlHwiBCKLqAsA52p2t7E6QHAL5aCQ3lYnvWgAmUGSLCM1Gc0yPdFvq_HvF=w1200|https://lh3.googleusercontent.com/pw/AP1GczOZConiFTBPvyx84Zu2esPUyABfCKNdms3b7IigB2wdUCuef1S_fG2uPC-gAuyitNAY-WxV4j9wn8mAmZz-he0XIDjExXxtJ8v5VHcixyVjCqz_YiBt=w1200|https://lh3.googleusercontent.com/pw/AP1GczM2jLhVDGQlUOELmEOpVepTTYxI34cdU6ZYDTDCILo4tNVncldSg2KhDlMfXJ2XDtAZ8LcreZpTB19OIDwcSRAuV0NgGsQROwBulNjJKmQe2D3WT6kr=w1200|https://lh3.googleusercontent.com/pw/AP1GczOr0X-ljNd_fC8gCOb1r6wJs6AHIuMV9yCjejD5beH0BsOuD-o6NyIAKfO0auIbfLk3v4qZSBh4qPEKh1z-zwDfaachiLR6l3xlr0iLB8IxkWi0lDAy=w1200|https://lh3.googleusercontent.com/pw/AP1GczOK6Zf2c40kir5QDvTqG7gyUmhRyXq7Xlmt_2uDk_DYYVp-hoVEO5_ZckTO1dYAoQRD2TMVwMjvXLt_DIr6X9Pzg2tQbGArTXZ_yFE5qKY-hyruxSn8=w1200|https://lh3.googleusercontent.com/pw/AP1GczPcbe31-iErCvLVf104ABzgdyLMrs2GEcbLntBJ0A7pnJY16787dXYVl0kvesTx9PHPf26nvCmfFCyQJUHZ1dP2Ld_4AlH7415oYdUXy2HNfQ-g3aeW=w1200|https://lh3.googleusercontent.com/pw/AP1GczNc3tQ6lblCrDwzYuF0U2fYU_i2jncWjdL-aDgaI7r3fktuuJzbZWqkjUQ8SqozWw5a7SX6FYCsZj9eSz4pA-ELVE-dPS7k_dnt3JUyPdUgnKpO6c5V=w1200</t>
  </si>
  <si>
    <t>086</t>
  </si>
  <si>
    <t>Casa en barrio Los Andes - Norte. Sobre Av. Cra. 16</t>
  </si>
  <si>
    <t>https://photos.app.goo.gl/kSFG3RuKevpxqgcq6</t>
  </si>
  <si>
    <t>JOSE EDUARDO CUELLAR COLLAZOS</t>
  </si>
  <si>
    <t>CARRERA 16 No. 30 - 16</t>
  </si>
  <si>
    <t>https://lh3.googleusercontent.com/pw/AP1GczNf_FjrbU0jyKJ688-VR4hSUAKyjTkDQnhHsRBXD4NDuwok56ZHiCGIv4oMbuM6v-o9kFFLsnHV0zxyYNHcHaoiy949trpTG6s_LRvGH6b5IxKWcl3m=w1200|https://lh3.googleusercontent.com/pw/AP1GczP72jjjAaMhzfnWBipsrFChLI32trni5IKvO0WZM7j3gRPqemF3exPQ6rWBBsMhZs1xp1Hu1X86GhFDM5rHmbXch29GO-NOyP-puDQR_E8SAdNA3jxF=w1200|https://lh3.googleusercontent.com/pw/AP1GczNIEC_UH4OkM0ujmHXN9OpuPFXmpO_iCTWUIKjkRR9nkcFHhMdqgezFy8oruxPZfn8GBEB2UulwaSzmRzMvE66D60LONtB3e7pHpzCBfSrIXy-wEPp4=w1200|https://lh3.googleusercontent.com/pw/AP1GczMaQW4-992eTD6LJc6D0QBql4EuuQDBUiGK0lUrBgetV8hXvMgatM31w9YCGYtziakQ-jMhMlI7tR0VLeGrh0vcjs4xqaFwj88c6oYHOksHf4BkL9Js=w1200|https://lh3.googleusercontent.com/pw/AP1GczMskwSMvGx0PLoTM1K_LsVXBmPKFmoJfuFNG3c7HQ_mb8wHPCxe_7UurA95pC3q5htnNkrJ3UWFGEKMCb_oUfcR5o24C3msAmv8HQWkvrSaQrc-CNQL=w1200|https://lh3.googleusercontent.com/pw/AP1GczMs9m40Ugp3ZofI37o1lzXDBwe0ko7DFbumUvVvz4SS0NgToku5rOTcv5XaGV751csOMNVGMMnZHPWXGbCUiSYOoVTRW-j3jDfPsKA0IsvdupcdFAES=w1200|https://lh3.googleusercontent.com/pw/AP1GczPK-s0sg1isrh8mkS0rkIlDOXX40zcvRCjebz7JBOUvCA9vZ75AVV8usHQS25qAfs3J-yYZmdruT-0VRTef7yP9EOr-qMjfd8MNRAqsSX5uAMToYIg1=w1200|https://lh3.googleusercontent.com/pw/AP1GczNtZnlJ7DlB5dPMQJMUHLg6pDlEdti4jU3Yn8J2hgheoDEZ1vhTh84aT8Op8rJ48D32QATozQdxne-TySyuBtkDJd_UGkWQf3TAzou_vYcsU_cD8Wb_=w1200|https://lh3.googleusercontent.com/pw/AP1GczM2Fqlr_1omNxN6YA9DoVUIt4vGebbd8VmXKPNQJoW7vqL5jIy5I5WZFM5TwG1Si0oMvtN5vYgias4bfUnXjQhTVrr1E13p00180J53UrdkqkRFCYQo=w1200|https://lh3.googleusercontent.com/pw/AP1GczOJK6y1DEvkHh5JUc-3lZv9hb6JlqLQRYnyK-0g8rKbDIfJE1q5O1p9qb9AwdykpA73TyihpJ5GIPVF8eegalA1uLhc2Tp35bHz9czSkDf6Z_L_SBZt=w1200|https://lh3.googleusercontent.com/pw/AP1GczNolnsUyurGNJF2jVTkPp1RpmPIghuOT55K5zN7uLsAhM9xg0J5nevlYoRjAI-cS-MvvsasHiNm5NNB6BmgxIXVTpGCmgj8IihfeQ3jHecnJ7r4D8Y_=w1200|https://lh3.googleusercontent.com/pw/AP1GczNDcUCdUmsUuPF30WQF29LyUDrz9DD19zQJaqi2ZBcdMyv0HdsxpNvCgG7x4FD7MEBXJ1mpJN7362AKggGg68WGBy6Tr3sy2aCwF7MjQolTvFbPgiCT=w1200|https://lh3.googleusercontent.com/pw/AP1GczMIgu7MyfUlC_DSxfxiAUq2E0jwD2CUCz9BdFEBmSikK4GvrZ3vo77_4Gn2HfB0wlmIucltUX_1XSFUJ6v4J1DRVyeW_tUMqxMiRxaeZDX-ugwNc60t=w1200|https://lh3.googleusercontent.com/pw/AP1GczMYqjZU-6W3M2xds5o4bchjw8FLW0pJa0p36P4p4F5KkB9qhBxJFIccmDjvp08SDwAmJvq7W6llKSfVJ6cWFwqrHZogjOt7AZf7XaUOa3ZTPsLOfHeZ=w1200|https://lh3.googleusercontent.com/pw/AP1GczOgRu9n_zd_rE8Ot1GhHK9bbsfaljcaGnEFkNtaFDZR5NAbZgxOvYTe1oCTgL0dp1TzHdqpkDfDE-mb6Ew_uxJ1GhepIcm0us7P9Fe5Zh8IFPpLYmqN=w1200|https://lh3.googleusercontent.com/pw/AP1GczOBd9qqVq_9X6WXJeA3Q3llk82q4CNo5UO209DC_d0N-DGH0kk1oAIQlioOmPU1Jj4UEj6QjtebRGuwh-CY-wvTTXrPlnIUt7XsdpEuL6r5gNyH3_eO=w1200|https://lh3.googleusercontent.com/pw/AP1GczOU_VftAFkuGPfJ4A2QmcpZN3wVqfYWzYgE1gkyY-fBaiavxGpkbbxR2GL-pCtcYom2kXse8B_bI70PUS4VH9eMI24ujrakyafMwW3QrGnIW3gZ3l47=w1200|https://lh3.googleusercontent.com/pw/AP1GczNDV2xEXy12edDtQ13sZVu3Y3J4Y0XbYoD2_YVKpWNdtgWANGf85-k2MupwaoADgycPfdEW3IU39iH4CpxjndT-JNTKCy8ydD91MORyqPBmXdPL5Anu=w1200|https://lh3.googleusercontent.com/pw/AP1GczNq9GfE0AZMoO2Q_zOCn1uxoH6pN8cIY5DnVR_aZ6Qp5CQD-_nbpi9zwGtXsWBD6o9AeI6UASR6yzfhzo45N4Hl8d6Phinbth4InTqPxA_OEnQKTfQG=w1200|https://lh3.googleusercontent.com/pw/AP1GczOnlMnZVXiV7MqAWlfgdf-CKIatywXr1X9iW7KDQiMRE2qX2c-oUAw6FDgwZmBlTPW-mj6j9BjPQgRZUVAac7VglWBNEmgwDb39tBvrzxqkaRg4O8cD=w1200|https://lh3.googleusercontent.com/pw/AP1GczM-oLvfmXIyAzzXbPOkFFrIb1ZUQ_zVw6mqs7FUV6Bl92ZvaPkv_ij4Y6xc4EkR73O2VwpZhqbRMa19J6QdtDSCXPDQd9-1zvjoEga-slQ4psbqCU5U=w1200|https://lh3.googleusercontent.com/pw/AP1GczOI5YVVEiTEmeu7Y-5Qcvef2f-fGYLMYdxnw58Q--amqwm_rOixLKJi5K1yOUvQuPQZJcPsd8dnss-AyHGKBBO3ZD3aSZEJwRJTmmQRdSOJPMpSE6Np=w1200|https://lh3.googleusercontent.com/pw/AP1GczNTLjpKZfXf9ef18JPfUirlWpr8onhww569Zjmab5V59BjONhzEXWqH03dQtx-lD_3MEj7Gd8nUtoONAC7jlkbC02DRf71vf-W67yiKhJ0shQ3u2piG=w1200|https://lh3.googleusercontent.com/pw/AP1GczNX20DKhiLA_--RSz-g7ZFw2tPqWaFlzJ9fyE612k0vEmSgRkaGs9Yde21T_WdbSQcv397itgJROgfgbUDiZAk4fHEtKVaLvZeMue47k20JZRENn6gc=w1200|https://lh3.googleusercontent.com/pw/AP1GczOumZTrwV8t2DqqpPxu44JFt6VK-y1CHX_xdgL3RnlKLEJTP7BE5xwGc0DSCaFP-CGTtzd_50s8_zGWMoQq4XJ75zbTBjfBxCYcMz8pCt8Vpggj9YdH=w1200|https://lh3.googleusercontent.com/pw/AP1GczPGwYeH2GgcFgmJoALQiflb-IgSRqzurNROAL36UvTwHW22-6MYIvgC-DzMXdzPRY4LXtSGmEvcJhtMkOMvd61E3S43OdtjZUs0Cod__eN4u5i9VLKn=w1200|https://lh3.googleusercontent.com/pw/AP1GczMs18W3YnEaoeTthQ-kvPYI3YI92Es9aP1Re7ojpDX01Vwpe_BcclZ_cfg-ZeJYIfDttvYOlQ6dEJ9zF7M2fW_pae9REES-j_LQtV3tQbqLvqM8XREP=w1200|https://lh3.googleusercontent.com/pw/AP1GczNgW-RwrdGH5JMPE2mY6yKhBJKXDjYTi92AERiYEJUwSbzKc20goXeNCf4Ts99oxqgseStZaOOO1x1wXiZXhpunEE4CrzMrNJCuHWl7Bi8JN4UPTFJ9=w1200|https://lh3.googleusercontent.com/pw/AP1GczMXwSY8K3q95jjzZfTInUezYQN4yoevKMZWuqY54OrghKHHapoRqAO831lA1KJS47gxaeiZg4RXLrlXcqSkLJThPRd-YzNDYn-9mLeFq1dSZ5GBaZiA=w1200</t>
  </si>
  <si>
    <t>393</t>
  </si>
  <si>
    <t>Casa con dos apartamentos en barrio Altico</t>
  </si>
  <si>
    <t>https://photos.app.goo.gl/L8srihkG8Su13syv7</t>
  </si>
  <si>
    <t>JAVIER PEÑA</t>
  </si>
  <si>
    <t>CARRERA 10 A No. 3 - 08</t>
  </si>
  <si>
    <t>https://lh3.googleusercontent.com/pw/AP1GczN2fWpGiUsCSx6J-pxoACoKPdnOwi785v_uF2Et5DTKkMZVA_0UR994tTLLhzgMkwtGZxQBZj-tFW0Z-Ea5hoi_yMx6-L6wfDbuIkc7rReIVE5RJVHm=w1200|https://lh3.googleusercontent.com/pw/AP1GczPviht-HoGl4s15f4-5xW8Y22cWK9o-ayTMv8NWRbK488erCoACa_AsATQZJz1WPbTnhGLnR0o77hySAUXPFkVSgfk6blIK_2hJRJuP4T6dKgzem9-Z=w1200|https://lh3.googleusercontent.com/pw/AP1GczP-PCkly1pjfZLQ8zgZ_XoU_Ygc_gNEls1T46QuK_AjGuxDo7ZhkKuivgBGPbOhAU4pnMPpeIOOCq3bbic6vnw9zfj9gYSTN200HJxrbasIh9FH3PR0=w1200|https://lh3.googleusercontent.com/pw/AP1GczPpKMLzSKBTVBK_xcXnN8rHkpeM2x_PZ1AKyzp0ZAzwkIEX0DniNnv0IKTCcnWMrMS_5zE2uiBShxLdQN_-xOmVAx1D2mqyLsdvGNTrjExtDXq1D3DS=w1200|https://lh3.googleusercontent.com/pw/AP1GczMom5NXKNfu9tgWhRMLrJRcfUmqp1Mnp1iFxV-tMXze-UjWTGUe-UZVf9e2tAG11aUx-_6rsCfYkYUS9yvV11VPJmAOE9PMdZaBZUOegK9eu4vZUofc=w1200|https://lh3.googleusercontent.com/pw/AP1GczPbBIh1F792GTEd9R3yBBhbjlZBuKbjMgfyjQgagE8zEv6_8ri7GIUagUBTmxTygH1qPl_NtEHtq8hg70KqCyP9oul5aEA23fcXFd-CgW7gltdIoQLu=w1200|https://lh3.googleusercontent.com/pw/AP1GczPYCIfNT_VfNDa1ZXieUxYB4n6m6AocQ0jFyI4kAeaL4jO8xYOHsPrysE3u_66gepALDKEZkidICwQhWYC3XXd5mHfs8xQsGAtEIV6ae41FgeA0T6WH=w1200|https://lh3.googleusercontent.com/pw/AP1GczMn5q140c3h3C6hmjUDKybJhh-sz_5RbT1tXqGfzDRoPQ2Yc3N0eOR9WBeaSugpziQX572L3UG8bwvpGdIi3Pq20gdRWEXWZPtBs8rnYPX3PfQLgddx=w1200|https://lh3.googleusercontent.com/pw/AP1GczNl9sw-0LY187RxMm4jyKLZBO4jKms_HMcU6wgmybWz3Ma2Yu1eQX0lWdTEuqa_AuxW6c-WOnln9DzLmot2aQN3PFBKXkFncM4buBulb8IdSbX2lZmC=w1200|https://lh3.googleusercontent.com/pw/AP1GczOxDErUVQSQOfQeDzTyiYuwz6-V2HXHtr9XiS7OCR4spD6SIFVcuPLAuPNlPANS3msjyjQWVgQpfqMS9vzbK_qnKnTQ_eP6LDZ39zarfKhe_lbnHzjy=w1200|https://lh3.googleusercontent.com/pw/AP1GczNOEIwok2thAB5ewS6tjnb2W3YjRvpZdMGYz-gnwwLt9MgaztyLFD-sdFQoNTZnKTaiJDQcxJlV2VwFOiwpE3M-N16gD1agde7rKfS0sEW1R5SeEyMd=w1200|https://lh3.googleusercontent.com/pw/AP1GczNJr3Q8-flYIMJsYXL5dG2S4kwChZU3iXFY1Gntf3l0QSju_HJIMXgpPO9bH6RLxCY9ZFcmfxMQ5fs7HHxy_0UGGdazUNZ5GW1VGjrgVKr9ED6XJYzm=w1200|https://lh3.googleusercontent.com/pw/AP1GczNbmyF-3bdpwY5DnmZpbd8sW6yA0An-z96UDJkpsjgjcoZ1384dfJAIHfOm2kdW7RNrQXuQXisuovTkh3IT-VPT-6g12b0FAag2FfI3kFxnr4mPbHwl=w1200|https://lh3.googleusercontent.com/pw/AP1GczOO7Kzo_V4iVw6pqxqtxbWOAsYJBGDoZ9cxb65q6L3rVuLfbu6aMsIs7GJRS7FqfoySpxfwex0xB_Sa0DEE7uAj3_pP1tWYnXlvNvLJ_FvtwUl9GQEA=w1200|https://lh3.googleusercontent.com/pw/AP1GczNWDQB93jK4Ms0jQCJ6jF9FPY45VPtwK_LUyUzLSq6aRBJ7gRTJSdwrKkj-6XDwCh-ulbhPHsZLZYi_fL-sx4YC0C7R_4erMowLFs1GrCo9yf3JHnj5=w1200|https://lh3.googleusercontent.com/pw/AP1GczPbs_VOZfOfFLxY0-iHmGY2_vrhygH1QcFBBP7BRGvpTk2imBp3JQ5EUpFb9sMtNvJ-PxzSPNC-wrtc3rjAU5uNWNu69JUeUpUvIFyiw7ELm1KCevpa=w1200|https://lh3.googleusercontent.com/pw/AP1GczO_wwF8aeGu_4763hY5O01YpfAF8y9h0MAane_-ejqTZVb0q3kuS3NRb4KzYX5fYe9JMJ9ffc3rpJUAv9Blfi4Tj7zeAFwn5bnCxZXjXvHFnK7mhLnY=w1200|https://lh3.googleusercontent.com/pw/AP1GczM7vrSOUJfqhU_ApLGSYPUgg7EdshQU5lS7p2gq3GivAH0UssqPXqo1yB40YAGDQ5AOM3iVvWv7gkQpP82tKxqskH1MBDLdcnO_6kELsyFnQuUw9-1i=w1200|https://lh3.googleusercontent.com/pw/AP1GczOv5Vuz57EzHMni5-nCekJWsp59-ElRbBGK0v0NxGjaUhKZM5zTtNV4SeYIZeEHCbKsSf-OuoRBiAw-fPNeXslrAVwGyH4D171bRNWK38ensmq9kE3s=w1200|https://lh3.googleusercontent.com/pw/AP1GczM5bRq9bVyZh-9-zkJLa7s0nT_1dZ3MKUkB9Apm9zD-hi7u3y0hKJj2SKsAg_RtA2QvBywf6Y_CxvWmVgHCkXJP5yijYzpMejggxnrKU_KEDEEnlZr7=w1200|https://lh3.googleusercontent.com/pw/AP1GczMNzIPFLpraRKFXrz3iV0g5FXKra5qiX-HGVMsbgCJsghnlGiTAhjrIj3jacDWtxtedMiFVwe660j60cbshnMpjjJoYSRPBWfUrQfBCy7Zscbxu5l8f=w1200|https://lh3.googleusercontent.com/pw/AP1GczOSbIW70tDiwX5wCW9rcmx3tigXxuYd6-qc3MCFz__iBlYFS-IAOyJZFOt1plgQJS5zD7grSGVzFBgf5MJ4FwIfFokzyn2zQVF8PBJoJeadV7EPocbS=w1200|https://lh3.googleusercontent.com/pw/AP1GczNmq01_Dvs1atDagcgvJZ7MISZOt0ge41Z85HZxqVwBm4W5_OHhkl5ka-jj2NDH7b7HKyDyMuo8Va9p971EGsQ6kne9OjzkTLUZL0eFKrjb0_OVSSAH=w1200|https://lh3.googleusercontent.com/pw/AP1GczOcFZUE9ukhYLst7W60DTDWQNsSM1XPVJXKek8ha5oMNk6AFdqDpCXO8V_e9Skzx99QzP7Ezq_Td8O8QV9VCKPJ5QHhwRHlq7D9BTZHNR1eAedFKALp=w1200|https://lh3.googleusercontent.com/pw/AP1GczOvMUgMGn4v4jFIymnd0r7Yq1EIBAFMSXUznXStTAeg9g2ax1bhp0SHpCYZEfLdhT9TPTW81Wu5GrU6uAMYK8-1uGWYSphAW2liL-xP3yLtQpDtZOB5=w1200|https://lh3.googleusercontent.com/pw/AP1GczN_QUNS1IBTlHbeeX5JnFrwSS09HmYL0H27gRBXq0pW0OuVoxVS8IP1WZjnI0-66c2-7LCtzovl8Q9q5LrTUdJi-w0dIdqmUbUt8-o6azJf4yxLvWe9=w1200|https://lh3.googleusercontent.com/pw/AP1GczOLBGI6fTFlag6K9c6pQGfui5K1dXIaRHz6WI60PSZur0mIx61ePtI95l2OMPhiY6AIyXBNvr8EM8MRq299XSFPkU28tI4vROG5P8Yh9TDfrI-2_-85=w1200|https://lh3.googleusercontent.com/pw/AP1GczPATZA6PJ650GnupvDNz3nTvFhhOv7Qb6IFqs7ASDjNal4-B7fVGNEzum3FigQBnzxRfbu5n7d9OdIIc2QuABrV8ltKt8Gh4awlA7ykNdGSyyKgaFNp=w1200|https://lh3.googleusercontent.com/pw/AP1GczOf5D6jTzMjFboBnSpCeO9m0d46q-OYJ3UGX5fMGoq_tYYwRRTZJTk1GmVUhfCT514zB0Q-1yVtOQusV_5pdFGgTr-MPhQL5kQhIPF3yaOO1JI00Pqq=w1200|https://lh3.googleusercontent.com/pw/AP1GczNnJybLFFLKlNgDavNPIYiMBCd__C9ze2S355muA2PCYBj11JvRCmHP0s2F09NeU9Rn45Xc46Q8yF3-t2hHZDVcSmMWsLqweTkP-b1X-5JlGw58UWh0=w1200|https://lh3.googleusercontent.com/pw/AP1GczPnuI-xiZx_5lax3LEOW163j8iMBcHV7aEHDzXDMscecsCk0F1dXC_hcLGqy45HFL9wNH9ZC32DDup2G-TB2hCAzfWYPXyjR4hzZYuAIr4bo9LG8z9Q=w1200|https://lh3.googleusercontent.com/pw/AP1GczME5j7zmqGKgrxTElEf3GI9IyCqeFJ8QD-P6pQBKSvDsMv8qdAbYvqQ8NeFA2ZWYFQKbV_9f0XtPZOmUI17EWhlRDU-OaCxH51WYIVyI6bG-lLtKrCJ=w1200|https://lh3.googleusercontent.com/pw/AP1GczMBlYDcolspt4fyypo4yZDpt7I-oXCWaS7zE_4u6mgMIBsfeQM4Ui3wBYSrbcPHhrSAm7m8vIopdDE8urv-aCcrFtr-FRzpe8K0-f41tDGdwAzpogRh=w1200|https://lh3.googleusercontent.com/pw/AP1GczMO2mEPj1_poCejfYWdg91C4FIDj6YPi7iOBz7grFkyrLQ3FgZ8_bolMPwUrFNGFcgOiwPpiNnuQBYil5-1gbGJbwrTLvgeFnuZeblKD2RyLLmhfVHv=w1200|https://lh3.googleusercontent.com/pw/AP1GczNHJ1zcgMs4T34V22-ckZnEv-EoGUe4xVSwVyiTAxY37uBNhLij7gv6rzQ0rZvB2vRr-cB696f3EPdARkSzeGlsNt1SXONNmPixVOMZUBBJJNA0UPHY=w1200|https://lh3.googleusercontent.com/pw/AP1GczNb8PiyvmoZ0yzgBNvJRtkGlGmpWpLOmHdYNJ8Ql560PvFjXw-HCIAppenmjFSKVmNDnSPX8H0_Fei-mOPWELYCwGtQtSX13zXlXSGfqKt_OYtPqhWz=w1200|https://lh3.googleusercontent.com/pw/AP1GczOs6LfX4yR5c8C1kN7MZR2IsEGXxO3KlwZOsb4n2xoFABnu3pV6rp2hfvfilZbIStNv99HaDrStjfk-h3hjxAF-gPfcxYb8bmoJd6W6rlByeF2rJ3lE=w1200|https://lh3.googleusercontent.com/pw/AP1GczO2Ou-SecZPM6Sxy2Zr-TLZVI1sLCczo3abz2YE5pO2u-TkBdKWO1ui1urDEkecFrhd5xzRpmoe__WgrCRPA7vhjWnrkXxDq-8b5UYis5z59hYLNmev=w1200|https://lh3.googleusercontent.com/pw/AP1GczOGgti1-IrGbOV4EOvnuNqi32E2a1MyzotLwffiGzUCd82_9mmqBdYv2tU1XM6-j8WoljZb23imUzsAnnKhlLhwyCIWLgZ3C54Daf7cXour-31Pim1H=w1200|https://lh3.googleusercontent.com/pw/AP1GczOu9pnEDvLiJyLdwj1vDXYOasgZ3QUbWTlYwn05854f-nJ0uABegg0T5fmTI6mQd-fxqv8_GPMzY4s8w7lwVS1HlMg5CxsX6cD99CyFsn_uMOMAmUfZ=w1200|https://lh3.googleusercontent.com/pw/AP1GczP0GgJlpC1DuyTkZJj-dMIxNLP_j3-q5inTpjzvePkHgEOgM2oHl5SaU2BRWNRaYsVElX6WGYj3VaTx33LIzd5BH7KrmIzJgFWYGegjpeexPMywNA77=w1200|https://lh3.googleusercontent.com/pw/AP1GczPF_VtS7DHRRyvXoFOID75Q1TthzAihTS0Bv70Rajip8IlTTsuNVty6zSPH7MnKSoW77hw1PEcOHMH5BqJwBQCWS0MaBDCSkjPVgHL4eYGLoAM2Y8C1=w1200|https://lh3.googleusercontent.com/pw/AP1GczNknEr7DgCnPN8YFagK72l1njF0qzHAdg-zpQPA0Y5Cs1Qi-kg_W5jj36eT1hlgvTSCP-9t0ypwMt43rI4h7bsPlSrZDcIaX32nNSaLz1-Z1mcFpm_e=w1200|https://lh3.googleusercontent.com/pw/AP1GczNEuTKtFay7kKYwVS46Jm4IO_Ed3hPk0AV96muGVgONSedEL9EWRLtHPva3jTLcWvltZ35fC8sCY02XkHMTtayQ7MrxTrLV899WVQrxWqpLLhxUBw0C=w1200|https://lh3.googleusercontent.com/pw/AP1GczOvHKC6F0KyeZY5GLPLfiI9JZT-x_fwrIYqsm_70yNYxyPB0cuaF6N8ZWacq0AdedRQDLKVE2B4qgWTZRm4Icn6sRgNduo806bEael-hgo2s85nGNWs=w1200|https://lh3.googleusercontent.com/pw/AP1GczNyLRjFk8dpdxSRN4690DKWq3dtndlARmLegz5_IgDQGKGOEIU3bM1gN4_4hk_UcNzGxh-7HCDs9zcoIqe15gx6kc3zxMYQ-JbdEBO_6n3zqiA_53ev=w1200|https://lh3.googleusercontent.com/pw/AP1GczP4EM437LaUmJam0r777D_Dm4e1otHoUl7uJajlrF_WWi8MKdlPHwjRKDSsITCIcqtYn944HcyIvLHzEeUd8qx58sflSTUrHJhgKpYCGzRY8vCC0JZF=w1200|https://lh3.googleusercontent.com/pw/AP1GczOYxdiunr_BFnFQyCQnub4HiXZd7TSy4BJgCkRbjvgB1hzVND7gMwWixFzfseBL3hTb9n2Ge9wg6daZ3PUN9tkk3vGTrSb94QCKxjV12nKj-rJsDGVK=w1200|https://lh3.googleusercontent.com/pw/AP1GczOaF9eURlgA3hCDphbS7X7puWmMDjkFqPSmCWpcYw1k9ZC-mGA9YXJujlmRVeAst6PvL7nnz2NJOyNgu6BzA7NkW-V2WMh69MA4fgh0qxDG94o10u21=w1200|https://lh3.googleusercontent.com/pw/AP1GczO8ZkKRn_of0YvjWMvbRhhARUUcTuy8BERcpw9viMgAZ5l2t43tB8sh9CJ3c5QCX6U-Vmg6VpZWxIeLQnKyFciBC1ZZncLInBRYA0dqVSjYH5P01gj9=w1200|https://lh3.googleusercontent.com/pw/AP1GczOQGUo7UOleNqzm6ZFvOf8A7EIaGjXKGG-4ah9FE-X46kqfWI42WcfY4YQRhmaycuIaJkCka0jOACisHqrW2TjNnzKO9kxitzQdLHjov27yJ0kY9gqq=w1200|https://lh3.googleusercontent.com/pw/AP1GczMMhwVZCMUUnjJ2CTOwgfxyJCFx3FlMAKJqPvqpNVPtuunPudDjObdjodkq_nEo8uzCV3Ejbbw6cJiX8TjDBGjMI82fx8dFkrAJLk26zC0ZYLRHb8yJ=w1200|https://lh3.googleusercontent.com/pw/AP1GczOXf4whbyMhq08GwQC_OUu9CnZj6lts2MhnmRSS6061Mnx6sb8jqEVh-gbpQS_W99waZZxMMWKQ1fGeE4-ww8HcdSvNx-ppX7e0EewStcnY10QjLvGv=w1200|https://lh3.googleusercontent.com/pw/AP1GczNLt8MFkOagQTTjuZj7ZlagfuIMdxZIJrKtYMY1l5FTL0h1Jc6wdD66E9B11e7Chgyr0em9WVaresh6vxM9AnEEMN_39foSsb3ZmsK8hGq_9yPQc3Ss=w1200|https://lh3.googleusercontent.com/pw/AP1GczMSOMWzm1Y0zryUXF94fZrU1Ik3ZvnAjvEU25T_6bF4FY-HBmI4STczlizy6lDx4E7ttow-McJNcT0Bbr5wt7t4Q_NadeoqIaV4vhYMb1QlGkZwlBs-=w1200|https://lh3.googleusercontent.com/pw/AP1GczP7BTcXam9JuGujDReGdbVHELAL4anWNk47h2fnf7fFatJLeaAg4T2Mx63yQ_KDZOzPLUtqXJeqBUsiNpaaiMxf-1bxzqChUlFDv4NFU7lDtI2jEGPp=w1200|https://lh3.googleusercontent.com/pw/AP1GczPno2zDuCBnzff_pl6pcmXxIMM0iWHaUu4HYKGtyoQ2SYTNKXcpO4yIFggBuBrE1UsByq-nowfhXF9iBfcaEJEoXEEIL4xpUWu66Er5SE8o-EPRlIgm=w1200|https://lh3.googleusercontent.com/pw/AP1GczMuAp6HK0ryQnq1m-fu6K0dO22iLGPajbpzj0KgWv8SCooQVxN0KaH4NeZeQJAyQscezyJWFGD4ShqNjv3xDIUOqFtnH0ql8D3hpOjh7edQap61yLP1=w1200|https://lh3.googleusercontent.com/pw/AP1GczPddCnObZDBMYrnistUVEy7Z2UG3dnNII1jMhkgz-wrKoN9S4XOQbrQKfw21pnAn6nvRBswBGWIhEgeXqXzeamhAkd9yfgqNW47SxL6dqYCufoR6WJZ=w1200|https://lh3.googleusercontent.com/pw/AP1GczOsfBCD3qXKtXmZ_l_wn6zcoH_FeN0UxDMUiUjeiR6TJ0DWYUREFMW6FveHqYp-glbm2cnhRbY4R6h1U6obCXM-FxHbciM9BrJ7z9yrbkehH3Y6zFxx=w1200|https://lh3.googleusercontent.com/pw/AP1GczOOWRkWuULcBc5xEjFZmjinAjjsmi8x8NPf_EMlIYeMqUAAXIVYMJq_hm6rGTnWe1gQtwwbEDhEZ8hBrnqVfe0BZQD2BiW1lUdFFaTWyjh6PpoUw9zc=w1200|https://lh3.googleusercontent.com/pw/AP1GczOkkT1o2y21OIfmzCcgirZh1VPoljX0cHU6HLHFXz8j0b5z7XV1oV7q_F3uKCxGoyrRKLqx1nqqCmOJNtGX3rZlGHjCKGquL3jbEafrTYYHmQEMsNOP=w1200|https://lh3.googleusercontent.com/pw/AP1GczOxAy2HhIcxsknllGZH2TlOOddAL12DSoZJFvXJe1lf-sHxbMMbd3VsjEfUZj1vm6eEmKSs99yWf2mMmvlyyRTJ3Xx_pmxI_I2uc-oScM5cYZGLkevw=w1200|https://lh3.googleusercontent.com/pw/AP1GczNDiMjzFCf_xydzoKX1vM-VEEnA4zYn-hCc-cK-RtnMHATiVZvseWODlvh6PR2qk8Bf-xlWyOjnWsS1qJlhK7l2DVyCA0vNpmKdx1OmUNjSmwhypwBh=w1200|https://lh3.googleusercontent.com/pw/AP1GczMxEwlqU9EK9OVXvhayd6fzR2Aq4dBNgJ_dF2v4ix0W1L4QLHaA3rma2JuwXe5JhBgY3YBX6XTp_mns7UGqVtOo2o4iaBIlE0CS7XGfAHKumg-lRZ_U=w1200|https://lh3.googleusercontent.com/pw/AP1GczO7_fkr4oo-9Iyypv-r7hOo4Yf-Zc3liHJ_dOfMphuRFuaR2qOe_xprSsovnVrw4TcL0HINPjJtvngZ9oHTE9yPtevBOOKLjkQYYxJ6sbr0VQQ-nku9=w1200|https://lh3.googleusercontent.com/pw/AP1GczPx71W5W_HnsU1xtZRI2EbdlM-FgNVB0KBVIVpUKKf1iilbmYS8xVhbShqs5DFlNqVCPC76euZaXAHw9PP3hejKE2YPZsqMXrlQWSbhqHopGpegy9HK=w1200|https://lh3.googleusercontent.com/pw/AP1GczOEGmNBXCWFzkMdAT4srUyQ_ozQGZERk06p0ycNic9IBl5KENs6j6vmKbAGNM39R-U6cNyBAo5ECEiyugL3WHwRSSTZ6LXdEFURDS_CUw2suGs84WW7=w1200|https://lh3.googleusercontent.com/pw/AP1GczNwZrPiRgFY6G21xM2fKpipVGrDs0ldvY_Gl2GkIw4qyjUoGzZnegk45U6SS5yPkR8ClnfaI6fqJp3ziABVGC-4hwk71Qhptw-a2d7kX8KWWOVWtRTT=w1200|https://lh3.googleusercontent.com/pw/AP1GczO3NJi3JQYRTmq1QRiFSFHM5uM0Orf4NRThXuAnW_1FQ7yOxT4Fi-Wsn3k2YY_WlN-k1EKjMmftkHZFXmdL5hP8I1JudqhpmXj-cQZWRhjfhpqwl10a=w1200|https://lh3.googleusercontent.com/pw/AP1GczPBe2zrq0tXynemVjRt_KYWyh0RnpJFx-RLndEDuEo00Jny2adsa_1MgQX4890Vf4yreZReOsOLHcqDn-UmglWaviSUNyYEsCcZw3WlXVr4TV7FsgV7=w1200|https://lh3.googleusercontent.com/pw/AP1GczPfAqFBsXZIdDqrnO0qLygEyi4Gkwl_FswOJxjCDjM-bVpvvmXWD5O5U441c_-325P2Tm_iV546cPKmmlmucG05csEb9gaI40FHAkXP5X3z44HP7faT=w1200|https://lh3.googleusercontent.com/pw/AP1GczPV2iYePYod7TQ1LhJkHlkcFsZAQrO14rH1eoBx50TPYWF7WyRkJ6WZgWP1Ggt4s0w_XaGpE5gPnyR3jLjEuBik_sDVXCSVSLbEfwZBIkn6TJWov9on=w1200|https://lh3.googleusercontent.com/pw/AP1GczOLu0wX-8HbUQDxNG_4qSSFi3sjtqCU4PJAJ_O5u3FIaRNiP02ZBcqn2WFhm4NN0Nkwn4hYcOShcRc4zqHE6s2gRFbG1sBK5PBH588eoioF2xGDi5aA=w1200|https://lh3.googleusercontent.com/pw/AP1GczOSDMuPHKAKczxIk3rnesRieO5vthRoQpAB2eLwqXxvYprQPCkWgyMZjD_XgyG9RGID6k1efwziRsVnW0HTzIlfTbGnAl85i5GEGV5rIBMgtcpmVjQE=w1200|https://lh3.googleusercontent.com/pw/AP1GczPQuioxzudl2lN2O2EgiA6Sqec3iHKT0QW3o_dsh8lsGpo1ADxImQpa51-A1zIkITy4nFV31tgC2i62QEFKOFy2hfXh9PLBs8pr97LtJIWbl7-J18zi=w1200|https://lh3.googleusercontent.com/pw/AP1GczMqv968ZhIt6KuzjnFQBnlzUxZHJN0SDIvFPNQiCFv-hUcP9pY7TRxWif3rg3AKmghNlW48zJFxsL3rDSS4mWuDOZibsLieOVYR5aqPbZVSqCu7wnUj=w1200|https://lh3.googleusercontent.com/pw/AP1GczMJ284xFW8brKenAgRHv5dhf2ZMMXcv9juLfKahcMegKTTes9S4jbbjS1VWJjRYMMzFNEvwTZTIhz_xoiVGvhM_c_rIX2P92BQ6OrvHBB3A1sjXmZ2d=w1200</t>
  </si>
  <si>
    <t>335</t>
  </si>
  <si>
    <t>Casa en barrio Diego De Ospina</t>
  </si>
  <si>
    <t>Diego De Ospina</t>
  </si>
  <si>
    <t>https://photos.app.goo.gl/PRBw3zRyA7QBUFid6</t>
  </si>
  <si>
    <t>EEUU 17866651822</t>
  </si>
  <si>
    <t>MARLENY</t>
  </si>
  <si>
    <t>CARRERA 10 A No. 2 - 35</t>
  </si>
  <si>
    <t>https://lh3.googleusercontent.com/pw/AP1GczNMRbmNos6MFDSavrYEjfGLGYsNmfX9z-kpsLv33DBO9e7mOuRuQKYk8Mzl-CxI79OgS1pGsHl_mtuh3D2PfDFUfUuFbzKASwsp2-IFvt12czxR8hl-=w1200|https://lh3.googleusercontent.com/pw/AP1GczMau228pATnILm7uQz9iVqIsVBKz5wjv7W_PmZFbXzUqrfyqmwqaE_UYfx1CnpW6ApW6VdSiSXp-CrbQPEljzG-ltEzrRl0ZeYPS_o9V8AhwE9wFgYj=w1200|https://lh3.googleusercontent.com/pw/AP1GczOgAb5saZYV1eAuFSO_2lvOhbV50YfFTpBrlyaM1JBb0BHBBC1c3PMrXADsOi6V8sI7hkCKVUi1GHnmlv6lF6QCbX89HtLm51zU1vBpX-PVsWazaQ8y=w1200|https://lh3.googleusercontent.com/pw/AP1GczPeUIM_qdlwtk8E1ciX0Fb1hJawSObvIgDze36kSdRvhYgjwgQ-ouB9jAjPhLxMnJS4mlMe5nY_l4pnATuH15PFpsLvPc63LT9k3XUVf8lukgy7vdpV=w1200|https://lh3.googleusercontent.com/pw/AP1GczOpZlh1Ibzao_eGA97ZQ96JNX4GDBCRXv61nh_zAEYCZKJOSbc3jQZk72OGdAJKdhSTfpuA19Yr5MFU49KPtGwQvBAlv-vHie7X5twWqgqniO2Um3XO=w1200|https://lh3.googleusercontent.com/pw/AP1GczMNEM6Vof42_8tPLO-qhQUiyCMPt4BcezGupb5c_gVQFX-83dMrNM3WATgop_0jWGNxPpdMlRTrvxIiSZ6MCqCRaXWLbYfqwQS0YFqaUhFj2zykdQ0A=w1200|https://lh3.googleusercontent.com/pw/AP1GczNUjiQgqhtQSf41ITxXWFMDsJ6gDyb6yEeN2yBAOdJV0g0zWxWaYCpbGY2oSO7rzabR0MDhAI8BSU9-dCBTJZzJh46Jl-TpWuQwVZ2sjXi-uRtfkI5-=w1200|https://lh3.googleusercontent.com/pw/AP1GczOYanDUkKgCD43zfzR0WOvxBG6K-hUW_8yy2fC6WEQUMtvLqGYCPKFlUtI6Aef4JMPPr8N66MPiUSMDJzQL-FP-xoX1_JJgSN5opC3BENj0zPu1hEA0=w1200|https://lh3.googleusercontent.com/pw/AP1GczPpBbOs4-sLj82TqQu8Mht-_gUggwhAbmkrOxwPhHLxvhlZ33OuTAKak9idxmy4vTOU1nTLruYVaTvRUY7-WwCaFwcC2dUWTs2_dyBwsQTgmLd8Q3II=w1200|https://lh3.googleusercontent.com/pw/AP1GczPNtwINGiTVrHRHxcE6V6cGTVme6Xdc2I6tTQfGxCFPUECKx0RIbI6r5GXAGeCqd00P31v42f4cbQR5MXlPo6ua1uT1jxBHP6dhu5xpGETjHSvhL_dS=w1200|https://lh3.googleusercontent.com/pw/AP1GczOdQVFnTQ-PD553pTWgNp7ZVn-sNa75M811hC8PQZ87jfZ9MFJsVsECXUqLN0PMwnFACI01KP48LxWoC7wViVPlJGQqJoYlmjXSwjuDNwjjeApG1yDi=w1200|https://lh3.googleusercontent.com/pw/AP1GczN0iJcfTcvgfuuesi5sXhERcIep5iW1jAdvmmfKZ8RFzc4hYsgOr1p78duhABtdTIl9XaK-SB407NeccMF0shG2lSKzoHdVlosvEfJeZUmQ1saUhPGr=w1200|https://lh3.googleusercontent.com/pw/AP1GczM4BOSCgg4gMQu0sSvT01rwhcCWTmfwz3ivh35rM84SaWKuJUR-x-UfPAzE_iG6fiuNYG290Idx0veglB76tRr0rQP-qLZf2wFaorrcDx6ZzIBTRGCt=w1200|https://lh3.googleusercontent.com/pw/AP1GczMgvBK5NQfh3BZsBBeSuHi0YHw7r11YkB8DFKeQQ8BphrDqu7yQA0PwpE0toUCUQlrSPQ3X1ucUnJmmpX9Mt3RDDUDLjNyNR1b0-RBTek0E4nICjEDp=w1200|https://lh3.googleusercontent.com/pw/AP1GczNkbzdXsjxYuNNRNXtAAzzzeENtUf0MdH5-9lX4reWdxIXJ5L3znD6A79rrHKhab0YvlOdjZNHs4K-rOe_5crwkd0y07wBxIvldSgCRSHwEwsfzXGET=w1200|https://lh3.googleusercontent.com/pw/AP1GczMoA6E15Oo9aQMPxA7ligdD5vgUuEmrcwAeAfTtjuOj3PHTIRYutXp27UeWYrVgB9HmlGo3XrNfhzy1rUWPWoV4dWmu5kxCvsmV2He6Z38MUfyckKHm=w1200|https://lh3.googleusercontent.com/pw/AP1GczN3g0BHlWXdJLVpyIJtSV-jcmJP7PTHzDeydKyucsA_TNJXQQnks_6zt_vCPxf9Cl3LoGd8MROnYjSYZP7EzxzAH5NtGPUD7oWf3V8YLRSZHb3BpIjr=w1200</t>
  </si>
  <si>
    <t>290</t>
  </si>
  <si>
    <t>Casa con apartamento en barrio Los Cámbulos II</t>
  </si>
  <si>
    <t>https://photos.app.goo.gl/BScognxLyGwbVcws6</t>
  </si>
  <si>
    <t>Cuenta con buenos acabados, piso en cerámica antideslizante, muro con fachaleta, marcos y puertas metálicas, divisiones en vidrio templado,</t>
  </si>
  <si>
    <t>Casa rentable medianera de dos pisos remodelada, no cuenta con reja antejardín. Ubicada sobre vía amplia. Escritura con hipoteca. No se permuta.</t>
  </si>
  <si>
    <t>FERNANDO GARCIA</t>
  </si>
  <si>
    <t>Calle28 No. 8F - 18</t>
  </si>
  <si>
    <t>https://lh3.googleusercontent.com/pw/AP1GczMRR_3OtSCv-bpQ-l_UvXSpyO6K1ydpvzm_sL_jAy_9RXp6k2ApHSNd775lS-6b3qhXrxZ3w5z9lQxuc40G861GZO1m6wPSoxPxgT6_t8aF7CoEveYv=w1200|https://lh3.googleusercontent.com/pw/AP1GczOm304Vcsakwa_HMOJDyqsdaZ1qsCVPTLISE10giNpD3djVM4571wPpj_pQYRqwzkg6CTyPrgD_60IDtbJCZp5yDhx_yE1ZoqPrkyDbSrH25mlOx8t1=w1200|https://lh3.googleusercontent.com/pw/AP1GczM0ISAP6e4wel3CJAOYylzPsmo-UAAX0c5Qwnc-GmSEJGhLKf-oOzPmlDb4zheeZp7WqgUOy16sBz2Y1jBU7qRYN4KSprAB7yk06wg7JuhO6LXOpc6w=w1200|https://lh3.googleusercontent.com/pw/AP1GczOa33U3s7PRIZVFACr9JfnXBzmOdQavQmDpbAXNpSfw7LNk0zry7xATsxfA_svQMn3eFw7F1pcjQgiSTRwT7PP6sVs00TRCpZ8yLUVUKdzHRCNQWJe7=w1200|https://lh3.googleusercontent.com/pw/AP1GczO88JEhQguDmNGevKzxcG1HOlaM6KrWuEWwwaf1ijDaAIDsEvhFh17C4AcC-Y_cW-7pg2O7Oxf85Gsr0YFRHxADhGQN8WJEfQObi8Ym6JRJxfmGYzlb=w1200|https://lh3.googleusercontent.com/pw/AP1GczOrmGodIOLjb8VWwmrPOA3oQLE7xAShZKJvf4WYGYdNHezqv4poEn_OCULrurEkRUZItIrQnEW27X8tuy1DWgRquXv_s_cuBUVH6NKgoR4nmUAZdL9y=w1200|https://lh3.googleusercontent.com/pw/AP1GczNKrMtwzfc2fe1uucaF6hg5MQ8072ltW8JeYtSFB4TjpZ7IbrBA6-z3kKy04yC_FLburIOQuT7hudalmEcmEeuV93xTyxURMxbx9OHPVT3yCMIWXjIM=w1200|https://lh3.googleusercontent.com/pw/AP1GczN4tzgNdGugECBuVoJGHUn760nvX_1Goo2znjrhfzV3sNizTYfTyxSqzk8CZXvWjIEYEbse3b7aBPCOD3By30FtkPc0fpOVKulS06Iu_FLGGEB5CnRp=w1200|https://lh3.googleusercontent.com/pw/AP1GczMsWtb5vC0f7_C7mLpW4_zs1r0E76vpQsfBPc4Z1PSA5NDXasmprRHyy2s6kAA-YVcVM-ZL_-vwMIFYl4ip28LIl-bXpx_vLPfDTLTXs4xA9QHgDpwX=w1200|https://lh3.googleusercontent.com/pw/AP1GczPHd-ELZaKc2QES1w4gQNJd8gH1FmaWrfWlijReQNMvPO5sijWU2YKe7AWgAKxa0Xe7lAjQykgGnK2fxztW582AyjfGU_mFAL-BK53xqJgPlA-1inQ0=w1200|https://lh3.googleusercontent.com/pw/AP1GczMhF5hfxwvXwvRUqQagKUsuqfUmDrFxFb4fOEUqC1ORNqVOrhNm-Wqm08BS4NHobcA09bh8Vgjd1uadOI3ggB8syc2EzZOAwI3XAiAQl1V0OXrhc9az=w1200|https://lh3.googleusercontent.com/pw/AP1GczM6sOBhLd5yj4iKmLMJ3vx1h83Qm3o8f2LlR5zo9OBvGQzOVGwUx8SzIJ-12AAU22OILhUJ95Poz3oI4nfHie-BBDBE1YyffyjzbD-nh7NyVBtqbjjN=w1200|https://lh3.googleusercontent.com/pw/AP1GczNWAPwrTrF_TkHaYBTDOPde15GFHL9csbwRvsou4E95iPuAR0ADGtKlkXAET3JK8huwUk1oo8gJq9uiCXgxSqZwliHELX8btshMqd8AnHl1qZ68tWV-=w1200|https://lh3.googleusercontent.com/pw/AP1GczNR_H-UkPhzowQur2Vc6zsM-HdakQWnSC2L7d2x9LjOS_pY8eto6PNGDR3Ivdv3BIrLYVKlPVs9_OSYOhuLz-eCOW18khF2H8Ekj97ni10WJ1r5bUYx=w1200|https://lh3.googleusercontent.com/pw/AP1GczPXVpwx2fzy4OdvH2JyRADVZbNYAz0xUrffM1s6ZHFkOCjoOgYQDsqNRN7pnBNOCsde8ymly9apRNcJ7X3885bWjYL6JvC7lNdl9wu1ROw7ijPeWCQg=w1200|https://lh3.googleusercontent.com/pw/AP1GczPTDnlsN9PQgdKNFvx45vxN8h7scSoTHwBg8UgFDDgijQHRDA4lonsBcP7QGKTC1Lq8Et4rZOKSIUder302rPLr6FyL5P-bQ2gioPYxhCBwQ8ZHvGCb=w1200|https://lh3.googleusercontent.com/pw/AP1GczMo8UlbcX6n7qKr-TqEvnZOm0HPnF6VhlW2AsHDFZeoGb98v_iOas-YQpq1WY6Hx9p0irbSJL7kqjG9ZiKNRDbOzDMfBDm3T8U3tWT-HlhbZhx9n8nM=w1200|https://lh3.googleusercontent.com/pw/AP1GczPvYNGtCLn9Q7qn3xd7CyMGT8b1FslKBz8sQ1EGoeGkjMZA7fkaOjMd3vz0taQ0VQwhnmzUwmBaXCURVeHBO2vku4aHj-P_aMzRVxRd71nYtsWuYBwi=w1200|https://lh3.googleusercontent.com/pw/AP1GczO1-HQbaHbfRSN_fs-sYlD7-GF8MiZUdt__1Ztj12AMNPQuFXaxLOtTkZjhGOn6li6MBgtm3j-_N2K0T7quxo7JnK3BJ1Ywgh12IYMAmZVVOzx2mPZl=w1200|https://lh3.googleusercontent.com/pw/AP1GczMqfpS_96T3Z4H_E9X3xr6oAB1sgzbX-jl2zNV-PC6TeA4r6_oQFhH1b_-OEvfALYFrBuw-_A2F5gCIBPVJUw_44IWrIJDrAgHfQcHkiiPpWeRg52iM=w1200|https://lh3.googleusercontent.com/pw/AP1GczMPJI6UhqxG-dgzLFbnaTASPP5mRrY3OEjoZ9EwBUfErzi538DDQqBLhUrvUSEauXqqDj0BgX-bv9ptSI7DaOToQftBh02KFYy2No2k9acwqVTzJCpm=w1200|https://lh3.googleusercontent.com/pw/AP1GczNMyrPkl2uPbVXKsUbKfX0I2Ykc3HxxttMNwFYbcGRJtFgvzLFjMWUWt_lthABFKEdmp_AJbamDtsGb0IANmmSCKDbUuOwMnJBZx_Qj3KJk0P-ZHUYq=w1200|https://lh3.googleusercontent.com/pw/AP1GczNoONKaPS9cSYMDjpcZYz-id5RHU9-qf0a4t305Ex1rhjUwY1wsRJrYhC6j9pCwAiSOXKquhOQQrouR3rpVbOG6x-xJwIyZJiNeotBi3_O7CaPlIs5H=w1200|https://lh3.googleusercontent.com/pw/AP1GczOI6vO-L3X39BapxL99ZlBKJr4Ngz8FQhD0e8Yms81mUCte7N0hQIbb24wl2jP5Xc3-yA3KKIq7w_DDtsXrvz_u916iq6SQ81mPdtJJ1uE-nP68J5V3=w1200|https://lh3.googleusercontent.com/pw/AP1GczPwRTaz3-TyCpKtxQakfweZU0UEP9n0jVisfYrQpIvdqqlzuj8MU7z4ON6QhDEw3RVBKSrHHgFQHApxOis0qlfkpXmz0k_eS_OKJhkvcgO8P8NxJgmh=w1200|https://lh3.googleusercontent.com/pw/AP1GczNkjj0Xbni643DK4HuxlVKzf6BqT9QJFJO-IkVSRLCG3Y2qs_Jmw31aIvnUb8sbwUpgiBJObOsY5BadIqVbO7fXD3nxc2hFp2o8dQozx0u2din-3pzh=w1200|https://lh3.googleusercontent.com/pw/AP1GczPUk9PYqUcQ_j1c96f8Invrl2phJe785bvJFqiImNIPnL8GL4rFZITI_yGIWCBsM1iT8_R3NS7IXqOuudFk05jjQ0O18tYMevhPqqjTb7-jcOEIjuQy=w1200|https://lh3.googleusercontent.com/pw/AP1GczMimjVB7Bwx4t9spVrTkqZhUd3XTgI7h_vi-iDSJBz82JEnk0vFno8SdxV281qBUhT9HKS2dgkAeDQBS2OA99RWitqh1fKmnhr0A2nGoDzexIjGN2_L=w1200|https://lh3.googleusercontent.com/pw/AP1GczPYV1Hd_C9GsIzGmztOFCusk5LCMovxUzsOpfQ4BcQPDJOS_2a3B7K-C73bM492GxiWfo4w8FTx3o7usa6EzBjtVKYHUtfmdGDC_73jWOYBdSXpZwcF=w1200|https://lh3.googleusercontent.com/pw/AP1GczMItkXGJ8iSacopPnK4t5LHrzl2_WpGlDLJ720bfcm50_BqR-QjJsEtDcMgfoZf3H8knEzYf2VUiGkayrNTinPED_881qZQu6K4qSrkW-MtjLSY-VI4=w1200|https://lh3.googleusercontent.com/pw/AP1GczPhVoxQn9JYadl_-RBUf5pSacgmxSzP7ruOA0kWoToJLdKSgrrauzRarnHtP1nOLb5J_xOcV_VlANfPssD2veIIeuBMQoVeB2OYqQ0KlaYqmbsG5Kf4=w1200|https://lh3.googleusercontent.com/pw/AP1GczP-X5QgnCJc4tPbksWUwrrLEtgxKFKVUoJoD4mg-78xAMsW4Y6zOLLRYXTSqvtxKG3ZQO_-Y2LLfisdgnrhMgniohfxaTcwrEnwAqSGfA7imy7DF27p=w1200|https://lh3.googleusercontent.com/pw/AP1GczPFlvulk0xm4V_sJ0DNoS6tBk56UDCafVt6MzUX-x0XMUm9ZQ1ZmFxwBqKZ1lXs7Fg1m-wWu9Ng8hZvBr5Gsjn_tPk9CORtGfruTygnowEdo9jfWSky=w1200|https://lh3.googleusercontent.com/pw/AP1GczPEoN9Zahx4c5bociRSm3yBbZhgE4m8RZVpoxIjCLS4Wd8ViIHbLpGevHItaipIcYBJjsi3zHOe1KoBXaI8PrOWQA0Ix02MbZJQ-IZcabRa7VjnkGcK=w1200|https://lh3.googleusercontent.com/pw/AP1GczPjW042mmgziiiZkZtNjlnU9orZUWqs3jm2LRW_HEriev-EprYpcY0Um9GSTeyBaKGNZjMjC4-l3jLXRVvtgeGNDHu_DRM3ih0X5kno0k_3yosCuDcL=w1200|https://lh3.googleusercontent.com/pw/AP1GczP_4XxtzTbRFZLU1vX3mBBSTX7bdpXfo0jVN4rQFrFziomw9za-XSGtv8hm2b8eWgnLedH6iU4F5dm2sYsq6MTM6tOzqimeICYicwKHQuNrFOtSBfy8=w1200|https://lh3.googleusercontent.com/pw/AP1GczMoRyOfJimaeBM95ag8X_nRCE-8PIax-0C20U9FWRECOSFgecMefIAQIwrAqhGQ7lC1xi1G8gccIiR88LSHJ04mtzSs6vkmFe4Vl3IZYwQtuuQnYg6f=w1200|https://lh3.googleusercontent.com/pw/AP1GczO5V7GKSDaTf-90vRkEuXSF61h7ecLE-JkwALQaaPV2uaCVtn6wDfdb_oWbqhHco_D3bZ5SI6YzEyUuv0VbuEu5GkEwj0wx0ME0Zk0qoz9MkKn8Ewx6=w1200|https://lh3.googleusercontent.com/pw/AP1GczMK3aRN--s6-wKEchDBWni3li49NoSlhcP0s8AnzfdqBK7vvuLQu3av-e7X2zM9Yba-Z95KORYx9G6sGK_Ffac-sHr12MQxebJikIcWVsSXq7n0HMey=w1200|https://lh3.googleusercontent.com/pw/AP1GczMp4w9TYtidlORaGA8C6O_gPBi0Q76XZI1qDvGe8CZq8Ko4ZwyYaDc_d0yt8kL0S4W8A1ZjeNqLTIzVYzVkxMOHD23KTo_SGNzNf5R5XUAMEaKd-dZb=w1200</t>
  </si>
  <si>
    <t>162</t>
  </si>
  <si>
    <t>Finca ganadera en Puerto rico - Caquetá</t>
  </si>
  <si>
    <t>Puerto rico</t>
  </si>
  <si>
    <t>https://photos.app.goo.gl/TXX6msddF9pfSCax5</t>
  </si>
  <si>
    <t>ELVIA PEREZ</t>
  </si>
  <si>
    <t>11 - AMARA GUTIERREZ, 15 - JOSE LOZANO</t>
  </si>
  <si>
    <t>https://lh3.googleusercontent.com/pw/AP1GczNA8riXnZYtyG0tVOBY9AImWAzihe1Qoc1hSGyVrnaM3BcqyQtlmUFrXUgjFrVo97aMUcFOks1gHLT5k7VC0B09wjTgYdmkW_BHldOn2k19JIA9SuZk=w1200|https://lh3.googleusercontent.com/pw/AP1GczP123wGXWtPB0HnqkSa_b9SlYALBqu8I3zbcsvIRMlK7oghw0dTb2uesbKXC10dm0XtArFWoOWi3iv3a_T28bHHdNoGRIUi4FGLxgMaS-dxAK2Abk4j=w1200|https://lh3.googleusercontent.com/pw/AP1GczMBzbXaIM6nuhxjXav993gUN5gMnjOXLQqctQDXrY_OJgRBbX57XBhnio9viIFXj47aL0XyzsfbkEFh2JwiTZW209hCD1AYTI803ih3ehyXvR2oMhRz=w1200|https://lh3.googleusercontent.com/pw/AP1GczPcAMp826epefSoyyBx_44lyc29mQ_d3nZUvy1Etxha4acyfxWhIIg61W9fvRjRegWY_zSAjpXKP9UPVMu2RpUTPCX9zh-XVgldaOC6tOxTHvLimi3t=w1200|https://lh3.googleusercontent.com/pw/AP1GczPP9MXJ5fLS-0C2vVZoJq0kx0p_mcTKlneZElLdM3IDcVcE5eSaTS4s5IAhQs3wahYKdd23qXxeCTEoBrAcFCxPsnHsY84vbkJEci3fqynPycqCAB2F=w1200|https://lh3.googleusercontent.com/pw/AP1GczOOpCBjobw87Fwzn5tHgLQuDBVE9oq5D7ZByPVoa4qViuDALwqoGt-z91ZU8rQDOB6mv5neqcuN3-hqsf8aMqW_SRDs0RlNA011L7DR9L0-fAk4hL9P=w1200|https://lh3.googleusercontent.com/pw/AP1GczPXiZz6eGAtfD1mEMwyi34uZbl52dSKBq2LfD3UENWZ-g4nB1z7OKUyrNOANuJE_jZuaLF_bDq2ASwZWEzKKw9r-JWNqdUEqc_fS2z-2tHL0yOM6Vhb=w1200|https://lh3.googleusercontent.com/pw/AP1GczObzN7OcbfF2YE244MdkPXV8vVviXN83H7sLxy7A6Nq3maMSLEg1i6m1diZSuiNm5WqZ7yFseuaOnNCRl34UYNogfFTDZHgGEdp3I1NqiTFsME2QuQP=w1200|https://lh3.googleusercontent.com/pw/AP1GczNkLSw0-UZVF8JXcio1qNpupwcU7IwKmZyLNUaDBNy1j7sO00GskBN5VZq7t2hlFTJh-mAbzi3wM-m_cKSrs8TuGpDVAPD26p874jQQCPGx3_TZwH-s=w1200|https://lh3.googleusercontent.com/pw/AP1GczNg3ViqQKPF0vqckLKQO3inPU24361H1arOiJPy35qtLV2Vd29rkak0qG7RiKHdxfZyLv3PYNLavjUHsReIKUUqIUrXtA1m7Mm-bZux5mqr2TWMzW4m=w1200|https://lh3.googleusercontent.com/pw/AP1GczOtbqnqx4LbmEOuZap3CVUgoZWewwdA-yZx_T5JjSOKD_E-i2UyRa_GXgIHDpG6sp3BEailz5VhvN0C0WBcO1a5yroxhqJyCSVNKJOeIQ9u5DP3DUEh=w1200|https://lh3.googleusercontent.com/pw/AP1GczO6_rVGvzguDHaBTKJb22O378pNVQbhF7L3TJLboKM2e08tdTSnTV-9cxNRqhjDNchKJCQy981j4YdvXXM53R-jZfHJ17_5hFn3Bv2z4bh93qV-x-QU=w1200|https://lh3.googleusercontent.com/pw/AP1GczO9RZYuE9iEmcwMrgftacnFtraNcELRsvShuWnBSjaJb-CwOyOGkSIbRGPcuP7dICCc4NiO9cs0J8MoGJnuXx08C6ryLTgoII-qe3BNXLJxKMRQncOW=w1200|https://lh3.googleusercontent.com/pw/AP1GczO27tB5Syx4aJm2cGNOHaZR4l030Sr1iQSQIMH7flImIZnKb0RbbpYe8qPq9lN5cRgfs5QD_D-3W7PQ4xx_FOcgIhqsABMtaPD7C2xtqaB2kTxDkaHu=w1200|https://lh3.googleusercontent.com/pw/AP1GczPfG3Irq56oruRQwMIs4QxpmyGIuFhWKuW_SIhFc-Y9UlZ8qa16wpsnqNS431OOkImqzBAF87EYg3iCMcxiwmb45HQPV2IrB8SfVGdu7Rs61AaALRRK=w1200|https://lh3.googleusercontent.com/pw/AP1GczPUKb3H4OURJHhQNHNx1kqyPtooAb2OW-YOREBQJwBPtorK6jpbUMsu2v83kk61MdXNNPjwpqDt0DyDMzJ8Mp1YuBCLQBHGE1izunOX6hxJR4RQpRGG=w1200|https://lh3.googleusercontent.com/pw/AP1GczOao3eEFRxdUONqWBwijDL3nZhIS-9PhcBYGX0-WGmyWUCBLJ5PEACnErvW-M85iLqd_JuEAOyCtqQKH-WQb5W1ln0byNEvsHZDRG9XXLbMbRUc-Y6C=w1200</t>
  </si>
  <si>
    <t>102</t>
  </si>
  <si>
    <t>Finca arrocera en Campoalegre - Huila</t>
  </si>
  <si>
    <t>https://photos.app.goo.gl/f2zJ2ip7i6WaDPdU7</t>
  </si>
  <si>
    <t>Finca arrocera con 40.000 m2. Topografia plana. Altura 525 msnm. Agua:  Por gravedad, tomo propio. No cuenta con casa. Otros cultivos, maiz, algodón, patilla, tomate, plátano.</t>
  </si>
  <si>
    <t>Finca ubicada en la vereda Llano sur. Distancias: A 3 kms el municipio de Campoalegre y 2.5 kms a la Vía nacional. Escritura al día. Rentabilidad: 12 mlls al año. ($6 mlls por cosecha de arroz).</t>
  </si>
  <si>
    <t>FERNELY LIZCANO</t>
  </si>
  <si>
    <t>https://lh3.googleusercontent.com/pw/AP1GczPVDts72LpxsqbaMkwoYE4IkRc7yhmAsIyfkS5oawwz4lk7chX8k7U8MXnudvrLkjJxbkCdxE7a18t-5jbCsZSZ2fwA0QvF5eZxqJBtFSi9k3blRLAD=w1200|https://lh3.googleusercontent.com/pw/AP1GczOsRiv10Eh_u2R-bSVzPhsKToiWQO2_Sn88Lfp4sNylKvTcxXrxRqlyroPh4hFfauNrhr9mii61GnCTRRu2q1yG8-gUxSIjsHfK63RBJUJco3PjFvaW=w1200|https://lh3.googleusercontent.com/pw/AP1GczPF42_hIAy4WLc520UXQu9k8CflYSeiIBUH6CqaJlKGlJxgC2EHgC2PMYqBa5OqSkv0sRtjDu756rKoqSarq3dv5RmhmZXCXP-wonOMOkXg1N2OZejX=w1200|https://lh3.googleusercontent.com/pw/AP1GczN-EepsNRrGZOmGl-G-9NFM3dfqZ_wwd5IWqQmHRxjnHhtoC-XO69cL8gxSchiJgWqgkKyLmsE-UsPBaVy7PfgAsTit6q68gpxohX9MPswWfKZH8BJS=w1200|https://lh3.googleusercontent.com/pw/AP1GczPPq-d4bGrnpQhVj0Ut0cEDLMn7TJw-5cVZfwbzHcg1YG_1QbCXcFdYyUksPCm2ZBFYOQpzdeffz8nFhYlRVMrRbLeNzQ1uWoO8z6vwBJyrzunJCptX=w1200|https://lh3.googleusercontent.com/pw/AP1GczMKIf8H0vpM0N9ghtvBOlEn3rTfxIum4RUJal1RcZ6i2oSNqO_r-ls96vQahYz_I04eYe-D6uCABYDT80BmLJQmwtRmVnGoY2GwBSA1g4uZSoYWLfTF=w1200|https://lh3.googleusercontent.com/pw/AP1GczMTB0oGkNrJBgCAoaAqofJdOF7Vrrwvt0BBVlMfYKk82McB4LRliNfRQYWxcsJASU9s_gmR_etk_Q2UTDn60V-7tfp285HL8Runv1f246xiiuOeEaoW=w1200|https://lh3.googleusercontent.com/pw/AP1GczOeMTEtvdHpYnCKFeIs80eBe1sb_YopV76P_-5qNH6H_6XiNkkW4cmWJODVqQ7gX2OAC-nb8cwnEj92PSTG7dv7dkq-xlH-esUQovFugBrFM2TBqZac=w1200</t>
  </si>
  <si>
    <t>039</t>
  </si>
  <si>
    <t xml:space="preserve">Casa en barrio Altico </t>
  </si>
  <si>
    <t>https://photos.app.goo.gl/9F5WjutUKUm9tWKf6</t>
  </si>
  <si>
    <t>Casa bien ubicada, medianera, 4 habitaciones amplias, 2 con closet una en madera y otro metálico, 3 baños, con buenos acabados, piso en marmol, cieloraso en Driwall, molduras en yeso, patio con piso en granito pulido y tableta roja, división de baños en alumino y acrílico.</t>
  </si>
  <si>
    <t>Casa amplia, central, iluminada, ventilada y con reja antejardín.</t>
  </si>
  <si>
    <t>MAURICIO</t>
  </si>
  <si>
    <t>CARRERA 14 No. 5-75</t>
  </si>
  <si>
    <t>https://lh3.googleusercontent.com/pw/AP1GczNcBgeZBPzYw4yAS-pmepidcWkOmfVZNjsoljlqVHXsRO9smijto5A8NYIZTgz5j_XuJN3g7Ut5sdDsA6rGca1_c2lR_3NQUpCgPVIaaK3ZOgJflzP_=w1200|https://lh3.googleusercontent.com/pw/AP1GczMFcY_rkiZNtf6XD8iggBH9aeBASuYKpeFIx4-aODm5mWdQEA7yElmg-HwJkT7EArY3sNChPseuGY27rtxr7qI0a6rvHUILFex9U0xw_I9YOwqrVTe4=w1200|https://lh3.googleusercontent.com/pw/AP1GczNu5vdyOvwUJrkf2J159vIsuWhAIz0UHtSb7h_Jz8BnBBEldkxNrsCKltO7tYeZLNpBYA265F81Beuza-t7gvpvuR6nraopeGRnCUqVK7z-iS0FUgvP=w1200|https://lh3.googleusercontent.com/pw/AP1GczPDz9qGX-cyNVi8DuIPdJnYx6r67lC5qiSAI19J3kOh-9W7FdyfWGmH4MbzcZkajEfgJjFMVutyikK_pthQWdu4l5bipS6ReyOHtDKuxaJGvHx2LkRt=w1200|https://lh3.googleusercontent.com/pw/AP1GczPgPFEbUp6rH9ZBCdrSXt6tTZaaYGTU5GHy0vRssO2TsPOcsw4uIHKVE1Piv0jVHO59uzmlgCLx90pkeHLmqpx92wH0KNIH9Nt04JJf7epr0DmuOHJ0=w1200|https://lh3.googleusercontent.com/pw/AP1GczOw6ebXtK-aXmT67h5kKXqX2bWtJiJmrQI2gbjOlZ9Ynq2uHq8YXCuZGxUE7qgja6PvJBM5XLFULdW8QQu2AHD6RuZxy5UHvt3nDNTnqQTZG-iCuLlp=w1200|https://lh3.googleusercontent.com/pw/AP1GczM1uyMaqftD4xAcq7MiUY-WprtcJ8H8SeljHXtUbZ4iui2EFC4sZeHt6Vkklwi_QY3vKdfgeZ5xfPCTKov9R4bHIvHd1lHiNOJGL3mfyy6H9M-dC1mJ=w1200|https://lh3.googleusercontent.com/pw/AP1GczOpOoQAQZakecUXrkMgTzgBSGyipydkCu_-0p5zQvPr-nI0efXUHtgcVu1t-ZZNCKyHtyalrs7UxxTolDZLSyOrToSl3pRkRWCFLtn_dX9f_Ik9eVwh=w1200|https://lh3.googleusercontent.com/pw/AP1GczNZ9LxvyMfv3CRkcAWxs6uREMGR-WGyUgHOFVtEbkCynMREUZ-j34NXpJ3nIDru4r_Ghd4dsoQmTe3IV721AX10yvtIU6vO31lCGU3Og1Txet4xyKtA=w1200|https://lh3.googleusercontent.com/pw/AP1GczMR8h2wvD76lmabSJemwi6ZdzNV_r0D1ZHbQlcz6CTdRzI85VnFkgiYJJuVHiOP18Gp8FGgZPgZdpkGo5OLKTE5V7JPAvFiWWJ6rYW7Kcki7tfTwVS5=w1200|https://lh3.googleusercontent.com/pw/AP1GczOtbU7m_6cJ3k-cbKbW8lKxo_Oc6LTtIsfDfkWFI-Xi0E9-_AL_m95qlFAKpC-NdTf_lmhfBhlWTVGcLUWAdTxtHSn_8FovVjZmSTr9gM-oSRE0OYJG=w1200|https://lh3.googleusercontent.com/pw/AP1GczPgjTxBbcpVQ1eJE1bwQjc9A1kxeOSI29fZsM-lVbaigBKHkopSJYLLwSbyq3Amh57I_4_rAlUbsxqhohjlaqzg5E5_hLNdtNUALlXDvYNRdlcE5H0R=w1200|https://lh3.googleusercontent.com/pw/AP1GczMYbCouyqI0_UHYr4LgLsuzVHzuvIjIzwi_mYDVBSi0R0_tIMkY03gRpeMAQrX2AZ8LiqZk5k5WtRhq-EwWDouPcxeLAw9mwTNY0byrBgeROL3s2j4f=w1200|https://lh3.googleusercontent.com/pw/AP1GczOUSTkhBlxOp47BoxFU99OPbY_54jJlIKbDD55l7hvYOtQZN5aLRu9OwWMMg35ax23WAa5T5bCExxapZjpIIZzH5edL6mtoZI-suRNOJAbt5Mt8f06r=w1200</t>
  </si>
  <si>
    <t>014</t>
  </si>
  <si>
    <t>Casa con apartamento en barrio Las Granjas</t>
  </si>
  <si>
    <t>https://photos.app.goo.gl/iHhwkVwwHrLyJ1Pm9</t>
  </si>
  <si>
    <t>Casa medianera cerca al c.c. San Pedro plaza, con reja antejardín.</t>
  </si>
  <si>
    <t>https://lh3.googleusercontent.com/pw/AP1GczPvCaBBpcosfd_vZFDeug5VKsZIbdCdv3YvY2wUZEzhhbywlFkTrC2t5PMfSp7ryleoVjvTkqw6IEBAf26NTWzhYyoJc8n8dOcZesQtFyen-_Aztyah=w1200|https://lh3.googleusercontent.com/pw/AP1GczOtvZ-A-hWLk0rV-P8stRjy7PQrnMpgNAbfEE_705mqR-j-MFdrBN6WaPD-Bsih2IwjdBLcbfHOrDmOWXFj7gANyN2taJAD5-EsTL3VUgJBAebZCX9_=w1200|https://lh3.googleusercontent.com/pw/AP1GczNkgQnbLJQqGOef0pzZAs2Ch-evT2dhgyhrA7ynBHz7EQC9wZf9j40RKW_qVnKBSTA70UFLO5uPuV_EcThTvOjMWUHHnB_XS18svtpmDejqjErVZhsW=w1200|https://lh3.googleusercontent.com/pw/AP1GczNPa5n89x1wWoWXNotp-tSK4ACFj6GIY45aNgi99FTovCqgeUerUh0wX5cbsdnnQSdCN4Wx2xdvek3GH8tP9-Xa0TrmpSnlemkMBWFLqEt2dAa4bmC5=w1200|https://lh3.googleusercontent.com/pw/AP1GczMy50qI-wMsXdkkypwDHZ4FtXV_fIMK6J_E8ZNsS9snE0sAS6Y6T8McN8kfsI64jOEmKxfvmGsdaU-XJ4XFW9G58-ytFcXgyjr-7cBA_3Qv7rSFRw0p=w1200|https://lh3.googleusercontent.com/pw/AP1GczOcUCVFPumovjLSU3vzF8UN-0HMAOJnxodldFNHjkIt4fT88aUEcKvRnWgwIFF7bqRJTmFX9m5rGQsJvGcPXWmfWfNY6XqbZjauVtF63kFYG37R0TJR=w1200|https://lh3.googleusercontent.com/pw/AP1GczNU2MY4bmtxUbMUOirIyEiQGrA5cbu38oSzVBW4L_wFMB3XRHCg2e1mB2gE59gGe60Qi2Xu5fSURXhnEsjvZGIlZ9pUBBoU8v--_axLZo7RfO48o7Rp=w1200|https://lh3.googleusercontent.com/pw/AP1GczMjf3t5M6tKCAvaXcSLTwKfJD5MC9Gbtb_9jTmF3vsdwsiFzweDvPDV33ayhHuwO5IdaTk53Tu95yiAylOaaYCguOHRI-jpR3wi34Q8W_BLUYBrk1Kw=w1200|https://lh3.googleusercontent.com/pw/AP1GczNj9pFbByeRS4-J-iJP0kgdfpqEko_WXKy-Fcm2OamVXEO7xdraTzx6fFvgMkhfBcZowsbuDOn4wt4JYDEyiM1zoJMkYtF-kTK1Taxn3bkZulDDsfdy=w1200|https://lh3.googleusercontent.com/pw/AP1GczO03Eq0PZE38G3bmTYmZY-Rh1W-XWjWNxN5r2Aln0DB5a3lZ125mNfVhzI1J7h8kdyHWG6khqX7eAdxuvtvL6JyzCJ08bPDLOmE0hpcDKUDjeF-Dp7N=w1200|https://lh3.googleusercontent.com/pw/AP1GczMGfo8rGa6lq0jY1dC4tPmIGo0wey-O1Dr0ZbGCmBDCMxpTYCp9aY2J_jtcnJNHBjF71f-8GrBFsmPqz1PcYJi6p-eYv68Bj1acl9fQse794zotushW=w1200|https://lh3.googleusercontent.com/pw/AP1GczOeN8ZC9DUQtzWzlp46f-4ATruWPGr-dEDX2hv694mUdlJ4lLDDE7AXnMFRTZ7fwcFqEYy7rxpGkxudgsRHMFMG9mktEUYlqaaDAA7YTVaf-qdm_iXv=w1200|https://lh3.googleusercontent.com/pw/AP1GczPJ2326hqr75mVJY5VYmB8o_7CEUdYnDrpTFmmWrk7KnuN2yjcXmlR1A21HN0v8SpBO5h1Hhu2QxSePpXWkFMWqzRL0sDHbo9OXxvC5gKECKj9KaiKT=w1200|https://lh3.googleusercontent.com/pw/AP1GczNJ3aBE9aQyJSwdIHrPIjP2mIpHZPKfK5NS_orThUZmZDiouvX76AtWwdDNh5jXkaZExmxwmSUH3N2hJMvnusjueZQNeVUtSHGqq0-V-GzWbjJc-7fI=w1200|https://lh3.googleusercontent.com/pw/AP1GczMpMUddPtzPtSBXFSHMSNe4krrpX_zERjBOat89k0D14Bas7yu0SYKhxax4kFXe0CutvfpjpulHwmBSJseIMCz-E9EjIPEaSG2EKYXNxolUjmZDscLN=w1200|https://lh3.googleusercontent.com/pw/AP1GczOJOYfr5c96CWOh7NyKaPuYkLmj7J6owVOEalwG67-Rl4m52Ky-9_1qed0jd8HeqVRrDuugi0wPbHyfnQ9xTIcjZ-y1J5TtGorhIsOrPb9DRahWs3ee=w1200|https://lh3.googleusercontent.com/pw/AP1GczPvvOPaMtrd9gktMcy4opkYUeDU_BvdoMQMwJkutosswCZ7Gbf-hdkitfJsDKwdAqYqFWwro6VD6kXvLEUp4WqlHdog6oCTDGVRhdGnQG-hw79bJG5_=w1200|https://lh3.googleusercontent.com/pw/AP1GczPCvCcEBGMTqtVYSpLBvKfPYtqw42SrjAwdLT9SzzvDglUoHTVeLAc6J1kwdgjTO6EhcIXo7wdNySyJpLeUHkzrFSKu-WLY_I5-n3bDszke6v_ELvvF=w1200|https://lh3.googleusercontent.com/pw/AP1GczM-Y9KT_GFnmYl8ceeuYf0kXckfuz4qDkAcchyVq7t8BNT6FtYNFW1cSmlrmgxzJVAHtD0Ko93W4YfPQ1nQi7cWjfMCZGxcPe9TqllgVuDyF4EhZ4Zf=w1200|https://lh3.googleusercontent.com/pw/AP1GczMirUOYWr7U20D9oR-Pk4oniAfAQwrTaEx63lgOqhtYyrHKXRqA8kgjlopL6rrmax__80sNx5dOmUZoJH9gNQ67egOR7e_lQArDzdXmaSVpwhZXjzNb=w1200|https://lh3.googleusercontent.com/pw/AP1GczMvq6JKbQ8omKFT1Sc3PV0Df2ESJWBeWHAyyCdMc5WCUS81vz9qL7PdRyWRAmPoDIcSZP4UpMgcShgtf5q7SnlXYsqy8YeBN7n6zKPQVhRenBbPMEIZ=w1200|https://lh3.googleusercontent.com/pw/AP1GczPn03iwph2XgTvIAIqy9bo_u5VlsQsam0MSoVowRxDjAHylZG_A6iLSBeViduzrRoy-_60aIu7wPEvcHcsuWp3N5ogRZw0RvQVp_gQzuPRltt-w11JK=w1200|https://lh3.googleusercontent.com/pw/AP1GczMhpYO9EIHoDUUQMS8xVEOz7f_L3djRn6RBQVV8Wq-dEBWnAhCByJPk93-A1pYHL7v7aHpWvPeIotE_SI4d1qCZNT_pri6C5GTcL-Vblcp6Y-5eiFAo=w1200|https://lh3.googleusercontent.com/pw/AP1GczMsr1jE9-I6xtHI3wN0yTfSMJDFuhl9OwxXfRh8F00JB8gnXtxhIDfrzrQtHkQBGtUttPLhw8e-a4J8GWVC5_EHAidhoiZ7EAQ-p62uc929wI-Vkwwb=w1200|https://lh3.googleusercontent.com/pw/AP1GczMwpUEziTORz39ryp46cwSQN2mqz0KhlEQFKR9N1SuRngQSWRZZdQL7Y4rfxwyY8H4sEEHCNjKd_5oZSxQ1hqg52LGwVk6tFg9DdJtOWwjOph6H9Xzp=w1200</t>
  </si>
  <si>
    <t>758</t>
  </si>
  <si>
    <t>Casa con local en barrio Santa Clara</t>
  </si>
  <si>
    <t>https://photos.app.goo.gl/8mUQLUfcDcZ9dtnS9</t>
  </si>
  <si>
    <t>Casa con reja antejardín.  LOTE 5.0 ml X 15.0  ml. Cuenta con local, 4 habitaciones 3 baños, bodega, cocina básica.</t>
  </si>
  <si>
    <t>Excelente ubicación. Sobre la Avenida 26 - Sector comercial. Cerca a los centros comerciales San Pedro Plaza.</t>
  </si>
  <si>
    <t>Marco Rubio</t>
  </si>
  <si>
    <t>Ave. 26 # 33 - 42</t>
  </si>
  <si>
    <t>https://lh3.googleusercontent.com/pw/AP1GczN_irTIIomHCquWx2pK7orBAlgiIXm9PJ-Yg3JJG4f_g_wtiIcc3IekDvjAo4uwFulvIaRvKbM8_F1xxDdHTNmBp5We4pTSkjWubICOBy0C9tDmtgjS=w1200|https://lh3.googleusercontent.com/pw/AP1GczPNbmfMvnKHUwP13cNJXX4czj9tc7-9ZbKmSZau1lfGlrn5ExmAaAJsp66hqwkJMezWdiqGZXdBjCSfObml04R2chO4_n3_GchnMwbElIsGPR1jSJt3=w1200|https://lh3.googleusercontent.com/pw/AP1GczMhTGHtolCgAFMl8mMNgtnK6BGiUJGeE9fAEEWKljejjRcfcUdpgg7I6EwxXyuxjaG4oLBJ4DX8xl3PI8hd4ktjiQgyGp9j4T3pLC-ZmeD1MLthg1Qv=w1200|https://lh3.googleusercontent.com/pw/AP1GczOCFC-3a0U8O3Ib19LaTq1BeA4uXWReWJ0vCYHyYFBP5RIcweGiH9Q5mcsHkp-h382MNQ403msFKS5XlMuf22a9k_bhZ6NbaA67i7hDHZr80Im6-w35=w1200|https://lh3.googleusercontent.com/pw/AP1GczM9ZS6XDXPkbqt1G8CkZthJAFDfsiLYxNh_JwL7yejLL1vRgPgAbkFa_YR-a9l4HwDTFs3XoQ5ER0ocHnbrqj9VkgE3Dj2rIerSvR0K4kqQh3CcGpOG=w1200|https://lh3.googleusercontent.com/pw/AP1GczOR9l7juLDI5KPZKfNaJN44H9kzujuvlYFXjAQ4SwNUKf3Y5nnDbjR3UbF_kT1g1BzWcgEhHeocTTkcz9aEnPUom9t3Tmy6xJhZ7zgEbybn4pkZtMRU=w1200|https://lh3.googleusercontent.com/pw/AP1GczOLh9-rdG4obzjD6sbDVJKLGhhCRMO5fwIndYazJr0LLG_a8qhSR6kNYHjjFYYDytbKDFPBihCugSjJFZNDKFpL024ykng1OmtTqwBRDhhOytgF_8jI=w1200|https://lh3.googleusercontent.com/pw/AP1GczOiMTDpCHvFj4Ge0xG37eDcU4F4w5EWMlR-jVVtuEo7_Mf17CY1s4kXMJpZqXOyaHwYxfVkqmhPwRH2gsQVEWe_Zox6ArCsHWriBQDHTShw4eWP5Bfe=w1200|https://lh3.googleusercontent.com/pw/AP1GczMHG9a6XceVb4U_LGI1apUb_j0hs0XXcLRPBD-DQKB4KL0pWnNmUhdHAFNfxiaZzhDdaoSu-nrpbYvEVztM53WSqmJ9BO6XOLViMb8gbaP0cNWPo9iT=w1200|https://lh3.googleusercontent.com/pw/AP1GczPJLghpvHAmS_d8ic06OXJWQqva0At-HJYbN4vrRHd1HdHsVdVrw-KUyauOkuFOr7jkXnk8g66MPi7nv4XU2x6pxXkguGInpZljg0_4o27ZisvCc9uD=w1200|https://lh3.googleusercontent.com/pw/AP1GczNFVZPvZXMbvQO33_m0-n9o8JoSCpVHj3lp85R-a9HqvT4r7C5kkEdiIUv4TrDSciE6ZIImYdAGtPUgIw0SvQ9IOITgzgadO5lgSSEkPvMUbFlwa4IC=w1200|https://lh3.googleusercontent.com/pw/AP1GczPPuVck3KPr296lnq-Oxsb-ZPgmkaiM9t8b0Sb1GACYgJLT-zjD8bYgEbnXiVYyCR0j1wy83TweduruAgEpQ3rcUXUVHD0dJVftz_Oj0I94wCUGkWF1=w1200|https://lh3.googleusercontent.com/pw/AP1GczN_2e1vjmmHmxswnFByEJ6DHoL3dn5aP-2s0w4h1bhYnJJl4UC127S-0tEJVnN93hJit_hFSZbYTEGRehR2x1HZu_naEJcB_ih8u-sJ92jZ3HlxSe8d=w1200|https://lh3.googleusercontent.com/pw/AP1GczNzNTzCFwA_rT67lMu6Bfp_FJUYFbEqEKvwg9LEn4BAmTYPjxBr_AsL2MGNPFgXiOvojweOiENPItMV127Clqd0i23Qv18EULx6nbpM05W-Q4Cjg0Xa=w1200|https://lh3.googleusercontent.com/pw/AP1GczMzB_lxR-sdULToeYUbXyNK5wV6znlr-b4Eedu0ZAP4WdOAQ1I0Aap0WLiitVpmt_ow_uAXgCieZxLn7hPgUyw4YsG4dWiI4_Ot_zrwKRarYyTsr9ME=w1200|https://lh3.googleusercontent.com/pw/AP1GczNzX6cWSksAZkfFv3lhfACvikSIFrMiRod27v2dFJQB3Xzblxd7Dfsl31_JpbtpM-yLs2YdHMBoyGQoWggqj_04iXgOZyHnWL5shwJ0sEmyL1z3Texj=w1200</t>
  </si>
  <si>
    <t>591</t>
  </si>
  <si>
    <t>https://photos.app.goo.gl/u4vTtbfW4BwEi1HS8</t>
  </si>
  <si>
    <t>Casa  amplia y antigua. Dimensión del lote 9.0 ml x 20.0 ml. Ubicada sobre vía vehicular. Dimensión del lote 9.0 ml x 20.0 ml.  Cuenta con patio amplio. Cubierta en teja asbesto cemento y perfil en madera. Escritura en proceso de sucesión. No se permuta.</t>
  </si>
  <si>
    <t>GLORIA GAITAN - Paga $2.000.000 comis.</t>
  </si>
  <si>
    <t>CALLE 29 No. 6 - 53</t>
  </si>
  <si>
    <t>8 - ERNESTO POLANCO, 9 - ALBEIRO TOVAR, 40 - ALEJANDRO ROJAS MARIN, 12 - LEIDY YULIETH</t>
  </si>
  <si>
    <t>https://lh3.googleusercontent.com/pw/AP1GczM6MAFjR8BcIivL46TM7L1RKuNSFK2NJ0gZtWORs5sJClCfIj_r8MGqbZUJWon_WQqatOKdXvFkXMauPQApe8lFIyl0q91ugIImO5OQqpNPTpDyr_U4=w1200|https://lh3.googleusercontent.com/pw/AP1GczOk6HwQYY7Lsrduag_jmTrxJdPgvX0Ji7SfDnHRME6kUGYMiNkbVRBQo7Ru9CkOIVpd-w1R91dZBqJBQ-pikMy8hRrciglhNIfyA-nNBIz-L1JZ9Xeu=w1200|https://lh3.googleusercontent.com/pw/AP1GczPaSpTIZTl_gBpdDNizhPy39VuOP21fjcWOwfFfPhgjTcv2ROuT-hVsMzLJyIo19r2wjzReiwMS4kuQqCq_HbIiF80PNWGLqtcU3bPRRGN6eBL3fibh=w1200|https://lh3.googleusercontent.com/pw/AP1GczOBN6CKWYCUDl2DU0Nga7HvAfYJwzGfCMJdb9KMWfK7xuPK4jqfGhHkaCSvBbrfYeV361WRZjx3yBqkq5Exze-9TtCHb-Q53ZEgMFjip0vSVoyaGs2v=w1200|https://lh3.googleusercontent.com/pw/AP1GczNl4pjWh9bfGzPLDWOQoulbPMgpg59D4EweiMN6oGApA16DSmmKGuHHKKnoju_ByMY3WCL_QUw26X7-jWM734oVeGftVw4MfvUiU5gk_Kc3tLL_AoWb=w1200|https://lh3.googleusercontent.com/pw/AP1GczN3v9mE6pqcgklEcFDl-7MAIclKSWg25PKxC5xfORlmzxvK-CDV1E5ioyI0GT6CKJkPT76QRahjQKmn-QVtTzNDnSEy0DIoF-06E-iYUzgqxyZ6m2gN=w1200|https://lh3.googleusercontent.com/pw/AP1GczO7f42XhBXRWbhWVBFb1VMecBaU61vLbMuzmb143KRfzu5TGETV5KVehiznqy180cEyIslx7M89bQ1Bla0g7T6lLhvBYdhrKpW-u7A2LmbcXS9pAYU2=w1200|https://lh3.googleusercontent.com/pw/AP1GczPdY92J3w9XqXpzdEPkCjkHQOQo5_mD8MRM38x0g1v_2ar4lJMwGUmMyacIrH6WaDfWxCIXoqviIQq-pTHt5BUcIw5NhMeZBl0hlHMSfy_Qbzu-2NGP=w1200|https://lh3.googleusercontent.com/pw/AP1GczO4qJ5SiT8LI_TZotzBXBO0SkmP2aYZxWy0esOSg4E-fIqDgR1KlxEO7Ul89GJht3cRo_PZHswan4Dg5a8C8ApZK0tA3olJecvphn0euku2_fmFmWBE=w1200|https://lh3.googleusercontent.com/pw/AP1GczOSrco6vIw60Ct3irRbjThkpjaVwyr7vx7MRRqvA5JYSKABgYjH1EVQog1QPtu-S52kE7eOzUMo9PyTynDHJaRLOIoAYDYuO5H-qxTNUhV4buoAebFt=w1200|https://lh3.googleusercontent.com/pw/AP1GczOCofMmYNz7Kf57ZqLLfePkEWn_CgueSSEAa17Eb_7aFpfbB0XtsipnjG8Nor6_AcN6aWV-IIVVI7GvvnIzWp1Wl-FOnyxC2Fy3Kuu9ieCeSxTWWiSL=w1200|https://lh3.googleusercontent.com/pw/AP1GczN0idVxjq_FsF_NBVBAl5uSH4G_XkR0D6oQ6z_CO-Leyf6Qdbo8dIeRbFzeAOu7sPlypMQ7229Xb3QB7Pab27iBvoGjwvJYzxIV5lvsVJpyhArgDGTX=w1200|https://lh3.googleusercontent.com/pw/AP1GczPiQokSqmPFkQ4-9kSxvjdmoJDA9kivhyp6-bDi293c0EQQh8CRYboETPQaJiOWCoQREHGiaZ3WWH98XxTVu9tGjO0PUcDooWn_dK0DfwtS0y2V0B5D=w1200|https://lh3.googleusercontent.com/pw/AP1GczPzVSHmBxfinYCzn7c7hetcTQ8UZuUf8KJXiE9JqidiomLJvR3ykZctjnTz9OXCfpj8ue-0MKLbC0Ul_bSCSUy57PcD6oEHl7MhnF2HGbhCiYS8udB5=w1200|https://lh3.googleusercontent.com/pw/AP1GczOf3v6XGuhk26EnJmX3UTeua7ICx0ytw9jJIUobN7tVhc9latuUnT3el5zZeTIQLWTYWy_upYWJAljmglAAPHYOrA97OHqHIN9MnBEcog9zaiuec03o=w1200|https://lh3.googleusercontent.com/pw/AP1GczNUam9Qb2jEzK5RitxmnogDdiTy16JsxwvOu2sG7lgfq2oHrbCCX4eCjTiezUcMG0YB9axLzp-htuHAjZIb_L7OPA7AbeaAsMddPcLPt_K4Di93Mc8c=w1200|https://lh3.googleusercontent.com/pw/AP1GczNhxhEETOh_9ntU6pSQ5_AlmdjHV7W7Y-NxoKRlzvQ6qXVw97VVqx03-lG0_Mc5nVAU2fbBkRZgR0qhLuhnfy3aXwNvnpyYPYMWrF-WX1tAw26l5A1i=w1200|https://lh3.googleusercontent.com/pw/AP1GczNGFokila2H-g4feM_v4gillrS0edu25TFlcdlcu8TOkDYaXHsRa8Vy5Bo1F4U0-L-igKsQEBu8ooxzZcCgPCI2rfDT99zqW-v9V3P59SBBaiuapGU7=w1200</t>
  </si>
  <si>
    <t>019</t>
  </si>
  <si>
    <t>Apartamento en edificio Quirinal - Centro</t>
  </si>
  <si>
    <t>https://photos.app.goo.gl/Y17QF47eCpuRLgSh8</t>
  </si>
  <si>
    <t>Apartamento en venta en el centro de Neiva, ubicado en el tercer piso del reconocido Edificio Quirinal. Inmueble de estrato 5 con excelentes acabados, ideal para familias que buscan vivir en el corazón de la ciudad con acceso inmediato a bancos, colegios y comercio. Cuenta con zona social con piscina compartida, parqueadero privado cubierto y cocina integral. Una de las mejores opciones de apartamentos en venta en el centro de Neiva con este nivel de especificaciones.</t>
  </si>
  <si>
    <t>Casa en el tercer piso del edificio Quirinal en el centro de Neiva. 3 habitaciones, 3 baños, garaje privado, cocina integral y zona social con piscina. Área construida de 100 m², estrato 5. Escritura al día.</t>
  </si>
  <si>
    <t>DARIO AREVALO</t>
  </si>
  <si>
    <t>Carrera 5A NO. 16-53</t>
  </si>
  <si>
    <t>https://lh3.googleusercontent.com/pw/AP1GczOJNmjeCqDVcM_kX_hHvaB6vWlGVY_XlAyHu_PodnNUY8dFgM0YAuoc3JNQ-mls4USUXYPjixiW5FYDfHMYsdNeOIT4MVelp93mG6BlvwHI1vqoUA-8=w1200|https://lh3.googleusercontent.com/pw/AP1GczNUbTnBJGaY8V4Iw-gVoKxQkdWNM2pJRIfKjzaEee5mxav0R55cj6rluZmVerrog3l9hkFRuRQmFD9mx2z4soxN_5rE8Dp3Wo4fmU4pH7VCSahN8egX=w1200|https://lh3.googleusercontent.com/pw/AP1GczOH_o-xj93sLdZnMBdzlyoMYUqDo4PiyEXuo8roQXIQjOnbROPWvnQWa6AoX3eJf7EqTHNft25Wb5GtS4XibpY53NAVaWScIKICPpeWd7sqUoWr03bU=w1200|https://lh3.googleusercontent.com/pw/AP1GczMW_494_mfnr3UlO4bOmsxNELQcOvQtupnNlhTu2R3YF-xt70g1G_xhBl0dtI_2RSRxD50zeuJmzxvi3Fbs6gOIo4haektyxr7kk78TVF9cpqfbrFFT=w1200|https://lh3.googleusercontent.com/pw/AP1GczPH8yeH0I9MPiIR5I4b3r84OuNuWDn9DTVU_tPZVnDLR_U9223keOH5bOlYOMZUwSQT5hQyEAB4oEMtZAO-tclbiRJu0L7mw8RcLjTk3NYQVc5JcbLe=w1200|https://lh3.googleusercontent.com/pw/AP1GczN390-L7e-dhb58CDCokCNgnRhsZAen_5Ko4FDdXOBOqeJIQrJd05oPfGlW9pl_rrSa8Xb4anll7expzVToBbLG_DrHO0CJ_u3j9KEg3CaO2kALcV-Q=w1200|https://lh3.googleusercontent.com/pw/AP1GczMgL3M_emCR7-dMtOD810QIzdKXW9IUlMjvYfMPcT-FLQ1CkJY6YQV5epLYmG8BdjiHNP_IX0LonhUEp7-zYqfoPaORQWc-IyWDcFA5ka7QH1Qqt7m0=w1200|https://lh3.googleusercontent.com/pw/AP1GczPFYtNMEcBgq7yyK1iif9StUdIXvzxWUVaC4QJf-Lm3UPzSC9WzGiZLNtKD-wo8JG6WP4w7uMAdy8Y4ZZhu0X-_vx0ATn3IcYr2v7KRtT6H527jqloy=w1200|https://lh3.googleusercontent.com/pw/AP1GczP-yXMNXfUPN_DwkQjDWBv5r6ON7fRGz0dbh_0IxJib81592ajnfbYndF1dRoUegRYTgmQI3bJNePUT0_o3N-4NWm04VV2gyXbTLWlEGK3Fs1ullR9P=w1200</t>
  </si>
  <si>
    <t>112</t>
  </si>
  <si>
    <t>Casa con dos apartamentos y un apartaestudio en barrio Los Cámbulos II</t>
  </si>
  <si>
    <t>https://photos.app.goo.gl/crR3aocbxuAfbeoP8</t>
  </si>
  <si>
    <t>Dimensión del lote 7.0 ml x 16.0 ml. Ubicada sobre vía vehicular. Buenos acabados. Escritura al día. No se permuta.</t>
  </si>
  <si>
    <t>YA NO VENDE - Floro</t>
  </si>
  <si>
    <t>HIJA - 3166199358 - 3186996192</t>
  </si>
  <si>
    <t>3132414739-8742120</t>
  </si>
  <si>
    <t>Floro 318699 - Rocio 316619</t>
  </si>
  <si>
    <t>Calle 33A No.9-03</t>
  </si>
  <si>
    <t>https://lh3.googleusercontent.com/pw/AP1GczOFTT8DNwDiUtQ8JxGWnXzLOyG1pISEE90IK9Vzvw1ahQlR3v9svLPNX74vNdmubYGqRE-D1N0gtctLX3FAhZ1i3hrmPj3fIdF-Rk-5WSoHsHfBN9gK=w1200|https://lh3.googleusercontent.com/pw/AP1GczODRO5zqJyMI89jXjWfwDmr7aLRx836xxTxg7_WIt_x5aFahhO2lndy6SRdSR_-vGwwnyQG4QaNM_wyqvI-FF5d-G9RAF45rHYqRoRvuyjOxX50YreJ=w1200|https://lh3.googleusercontent.com/pw/AP1GczOjcuQMox7HnAPPWyTaBsklTVg70ezbqZvxSe6yBOD_usEZRmhaz9vB_1KmfrHMyYExtRTTDCMmxRHSWAOEeIE9ima4vdvTtYqsAUVjZlFatyyUAjrq=w1200|https://lh3.googleusercontent.com/pw/AP1GczOBSlGldjBS2ovwBa_akeFz5uRfduLwj8mmn7UHlawF6shMay7bu8s1q8Zz-S7p2S9owOKRG6DEyxsrXTj0LLL_Z7pG2f7BiTyTy8Ktm_KQC3aWA1jM=w1200|https://lh3.googleusercontent.com/pw/AP1GczNcvWtyLSayeD_OJmeBoTS6la-dL0XSlRJ8Fz5zMg7cYfXCZGIJVkNhLDyNQuLTId_0YX0_KM0JNUBrdxFyRgzH7tB2r2jMCG8S60RHOemg_mSmYqjE=w1200|https://lh3.googleusercontent.com/pw/AP1GczOBIDI2BnEzqiAFyYlo-IsFNNNkWzI0y-Dp4b7xQ5ifYkeV9p1m66OVIsQx7cmLCokNCIeIU05__h2ScYkCDt7fkGEYiwYchZsHsMVVNfK7u_W0xExS=w1200|https://lh3.googleusercontent.com/pw/AP1GczOMgHQFcukN355IAcARYQ5LhHLkHatBANpfz73u1qjExSLYV2K51tPcpZzpjD_GEreu8547UPM3WNSaN6vRpekBlHWCVhrpVoUmeSqvAveapbUyhmRT=w1200|https://lh3.googleusercontent.com/pw/AP1GczOHlqf9QnLKXRXU8Pv-k_Tierkmsm_eF7rrj0BoX9XmPDLO3FkmkIqesQKtql-5Ep-cX2wceBiBx_Nux4NZMWzrkdNwGzfsG9MLSrpOs5eLL7akhsAZ=w1200|https://lh3.googleusercontent.com/pw/AP1GczPJR9-HGL0aV6izGntMOgXNJOHPEjdOoQs0ObVNT4ZCpfnaWxjRwewYwuLJX3zm3cshPVpcGlgWhNydn5bNn4LzxXNZgy9-svFA_oIbfWiFZZ6Rd7o_=w1200|https://lh3.googleusercontent.com/pw/AP1GczP1it4L59ilsnoFe1KEPjgQ34BrwXaxUuM_E0EngjTVS-7g3_F-aOeDUA9hnJffpR2Ofj6TdkqOpsWPM_2UmD3yZaRlt9WwL5jx2m7t0d89C76K3Kay=w1200|https://lh3.googleusercontent.com/pw/AP1GczNs-YqU4Fp8JSqyRuw31ocz2LgLS_WQ47qLaJsq-hIi57z82eKzGPL5Erj7X_ogY5jr6tZHTq_LUMwX1lHCqR8tkvNzXqcSBFDEKgfSGbHHGjiLveTg=w1200|https://lh3.googleusercontent.com/pw/AP1GczOqjO7fIfzetf_dL1katf0MspoRi5kmmqRqyWFQ-404lP3cNLdafRugysZfdLDI26wqi6dTfJfTcHsMp3nob9NLoGztircd-gwYNUiw2mTid9iaxFqP=w1200|https://lh3.googleusercontent.com/pw/AP1GczN3t7KxyI6-1MXoQZO-0NHDgznkKxnPuBOaUH3c2xyfnDe0gcaWjVDF7w38skboa0wTvb97YNCOs7_P4NwiWVuRsdcGHCu2tjdekobePctUWW101pqW=w1200|https://lh3.googleusercontent.com/pw/AP1GczM-WyrPH_LdS6KnoKw9MIuh11k-iN4jWEfiEWsMGQVJHnA_uwZsA1B79wfPB6tijHWEpVDqWAizfQ8l9rTILekjb5Pn7g8VpAauBfEtuhSuePb0KZBq=w1200|https://lh3.googleusercontent.com/pw/AP1GczMS0ixc6KQ7p0UY6BcYP4eGP1m2ladrEf_7H3k30jZ677nQ9UzaRQzWCq_m3fiiwH8WqkF2Wli2KTh88stoGPOy0u0DD4SFwVsfLItmgGkwOde5ehwh=w1200|https://lh3.googleusercontent.com/pw/AP1GczMSNs1yL--OdEl36BT8tEVpEAm4CV7VdzrFfE4RsFEDqL16sqvVZvUT9CBTdAmx3HdVg8AEWnhy2cMaBtWMu1c5vDqwWf7-oTPx_xmeGjfOhsJtwdVU=w1200|https://lh3.googleusercontent.com/pw/AP1GczP2sTl34H4MkApxDJudVokA-E2RK3Kl-rGcI4hIo1ysjLpFElTponAhthgnYn3AcA5lRndtGN9ffxmaoq1N4mGKyrhV9i6-B9T9VypxB0MxDXed8WgU=w1200|https://lh3.googleusercontent.com/pw/AP1GczNT4cu-U4F8ZerZ9PFfjqEE7UfLODJqAoTykEfAcU7-txrcCBaybBTVQwBwG2uaNX69adU0HpXJA2TJhljGPxZpiQGZdoaYRZ-x7BLXhLmQxdvN4QM8=w1200</t>
  </si>
  <si>
    <t>431</t>
  </si>
  <si>
    <t>Casa en Conjunto Condominio Villa Flor - Melgar</t>
  </si>
  <si>
    <t>Villa Flor</t>
  </si>
  <si>
    <t>https://photos.app.goo.gl/iQrEvBkQUdUQt8gD6</t>
  </si>
  <si>
    <t>Buenos acabados.</t>
  </si>
  <si>
    <t>Buena ubicación, sector turistico.</t>
  </si>
  <si>
    <t>PRIMA AMPARO RUBIANO - CALARCA</t>
  </si>
  <si>
    <t>https://lh3.googleusercontent.com/pw/AP1GczPP-1slVbKkeWTVv06SsMYb-BzJ_oPYAWM_F0SBCb8SXt4fkBb4x_g78-uSkMl741v0kCOumElxYp04swpW928QOew8XiAjytmSia7fgr8Pg_y1iAqq=w1200|https://lh3.googleusercontent.com/pw/AP1GczN9uAEe42f0GwMzqSJLkDIBMXxW7AC-Hds6c_vr7Y9yE7lFJsEhLUntd4Mj6Sx2GaCZjoLue-hru8BVPPiZNWDfK_slkBo8Wib-MH3uE9TUWexWeOaV=w1200|https://lh3.googleusercontent.com/pw/AP1GczMVLlRIthoUpy3P1FpaCPgRZyF5UxXta0-5hQCxJg5hwU4INvhVXOSGxnAL6MyDOEsri7K_tuwq46Ipb_9M1KM2Ihljf6Bvigaekj71_0qrfHesI3XT=w1200|https://lh3.googleusercontent.com/pw/AP1GczPhtgSm_vtN5PTBtvcO0BHGYzh3ywuh_Y10GjFwJR8PlJdaZDMAqE1wiCOdSNqH36DMg4vedUqkImHN0jBu8Qsn7YSfSpgqnN5CfWr3bSjZePIxDoXP=w1200|https://lh3.googleusercontent.com/pw/AP1GczPVgaOte_Th0fbmonVDJ8J3Z8UVow_YLaJ_pl3F9WBWhoS68XoYE2ISYjbybKJ6kY8Husrt2aEpmgllOPGRCeYs9VTiaKx2WCx6Rn2JyI-92uQ6dgHO=w1200|https://lh3.googleusercontent.com/pw/AP1GczPR9wicvPihgG1d2eWJ5a929VbOGW1hwUoSikSsNb24Osw0BZlLhxWeZt8d0ls43ENVeaHzgCcvRXOHSDXxJn7pKVFDJCllie76UpJe5TinZCLSBnH1=w1200|https://lh3.googleusercontent.com/pw/AP1GczMYAZPqdxCP0XsZ9jU20LOPvuVyK6vJV7_cJ-oFweIv-eFp3jiWUIyjFMvpjYu0KGuohWE0cURMS0Bk4mPu94jsThcBwHOcYvk03YwGhoGO-Oc4sw2V=w1200|https://lh3.googleusercontent.com/pw/AP1GczN3KKCzQBeukNAMrBGmWWgDu65rXpiZ5uwGSweXVZ4q2_H-2_2b9cEe5gtwkZ6eYOIywJl0gPnAlWuIB5mhlw8m9-mMaxMGuakZ1FhTAAQPsFMA5ccU=w1200|https://lh3.googleusercontent.com/pw/AP1GczNh_JK9Mru-F955JeQWzEg80pBmrLzWrCSWrRlDwfqhhjlfEZJodFU0f70RDUubZmkbT4lnoBmRhZ9vMiG8BihW3c3GiTGOodWOdEqYGWVXepFIHWta=w1200|https://lh3.googleusercontent.com/pw/AP1GczOVCu_FYb68lEEgDHwVHXCOMuq_xwGCNAual7L1t1lgIPJNEGqwebIYwBUwp56AJeYLfo1A3ZXaLS7aqyTY5_sdFB1fU-uKOOEVHC6V11w0ewTSHs9D=w1200|https://lh3.googleusercontent.com/pw/AP1GczOv9Inb5glUYvrHvM98g0Kgf73IIfUHJEEi5abH6RCc_SzfFMmG1Hv9tqsoUqw8rsoKW-B1WQ6-3RqJ6QHi94lXQ1jBfHp5c5GmQldNOGCPr3Qoku3L=w1200|https://lh3.googleusercontent.com/pw/AP1GczPHal_fQ3SsZLW-NFXaPp0GLjJOgqtPVs4lkCcpfw81bthVB3G2lqlVjCIdfsmY82kuzCOoqxdv0rbg69FiCnP7J8GOzDO50YVcL47X4IGLTDyS_SS5=w1200|https://lh3.googleusercontent.com/pw/AP1GczNfTqFdewBmWT1MqefZSNTzo4Wbkg7xQS4ucd887LPma5kOsHVdxEYFwsR57UI5DgZc8NNzgrwqzsrMh9pLAVCYhp75wex7jNfww6K4iGwmNGVFcJia=w1200|https://lh3.googleusercontent.com/pw/AP1GczPl8Wko7yGJMxsEQYeozN69xD60YLHM6DoaPwf8wqOA4x2dmGUEoQxuGSAnwsT28duF18albjzZ4oV0iWuIunLTwTzy8VDMb-8GMWvVWoOrUwXu8ozb=w1200|https://lh3.googleusercontent.com/pw/AP1GczMnVRnzuPcoJAhbNCEKNAbgjPVqWrWE55sB0eYdVlXS1ad1zciDMysWTeoZc_HvJez1uyRFwSwni2cWAa4yQ0Spdgq4FwPh3kMgNIO0pnKhhUB5p6UB=w1200|https://lh3.googleusercontent.com/pw/AP1GczPGisesSMLB3SkS3KsCyGggd55Tsc95fCHR9ZiFBCkqzsoHQC6nTUSF7cfUxJ2AsOYswttX_WX-Xr2pYMtN8ECXOA7AkPKfkkvvyOoFgTy1NaD-f0mG=w1200|https://lh3.googleusercontent.com/pw/AP1GczOQdKfRwSC6MsceLVrfxoSVLzW8ZKv1T-HnRCxT5k8meF8s89e2rR9jRKqaHpqxhINUHym8n7r0H-03_vsXBz6jb4dUxs4KF024NYPp4nxSMiwkY4tF=w1200|https://lh3.googleusercontent.com/pw/AP1GczMsJzuBrfIuPkeka6rTcdJnpRraM2nw2Yq2vkB2gl5B6IC7PiQrg-DxIi4kZLGCiKhTSxZhbgkMpaNzt2YPZ6rU6mloY1ZhWlnoTuLyu0ve25P2ZjuM=w1200|https://lh3.googleusercontent.com/pw/AP1GczNzHJUrcoTg3UxN0Xj848DZbeTN-BmYeXKc4pTyi2VTyEQOcAWv17DjJPjXn4TzvyEX9NYt_2a1hw9YBAOMY1v6QBM6BDSvIc-ZHwy6o5jARe7Iwp5z=w1200|https://lh3.googleusercontent.com/pw/AP1GczPnO6x5yfsXZrsDmobb5QqHMlpj9pCsHXUWbXdO0nSE_RWmjSfJpxnu3e6YiYA-enIzZFptzkeRafLYS2xW6YCTdFT-K6KbEpDbazAZO5GB9R3meHeN=w1200</t>
  </si>
  <si>
    <t>108</t>
  </si>
  <si>
    <t>Casa más dos apartaestudios en barrio Las Granjas</t>
  </si>
  <si>
    <t>https://photos.app.goo.gl/pwuasSkedRPi1xYPA</t>
  </si>
  <si>
    <t>Alcantarillado se cambio en PVC hace 12 años. Tiene 2 escrituras. Con mezanine.</t>
  </si>
  <si>
    <t>HUGO - HIJA  - Piñateria</t>
  </si>
  <si>
    <t>CALLE 36 No. 7 - 40</t>
  </si>
  <si>
    <t>20 - SAMADHI RODRIGUEZ, 19 - PRUEBA v</t>
  </si>
  <si>
    <t>https://lh3.googleusercontent.com/pw/AP1GczOPsDJFK1N1ZNDtmvuq_v2drxfDHXsg0wl-9wDvhmDjWT0IDM7hMxOZR4g9DrOaC8Onh7NJJ5jHUrfpp6mOk1MVw5gc1vrDyqxEHiO-d-KXDesNhvY8=w1200|https://lh3.googleusercontent.com/pw/AP1GczOrpeMbuf_iouI71apDLwpUvvqweIgNwqs85TayR5cvokTXK5MU2inTVLJM8Fl2zAaGYRkRhhfi6WMsoy6tpBOcwiHb2XZyQWopAMfDdZHe8dovBqUy=w1200|https://lh3.googleusercontent.com/pw/AP1GczP66sY-N-H-GAcqslj3qiTSxHsjdsK2jdkilDJHegm0fIyE9ZaQ2SBPlc7xoGr0SVnqJ0HxCThsbUcqVq4dM8k9Va6Hnma1V-RrLtOtuVJPVRXC2JUL=w1200|https://lh3.googleusercontent.com/pw/AP1GczNtoDPwfDV3IsaiDIxKZOPopkv576J4nDBeRwUdRSe3eMyZDCRwBerG3poWC4-RkCWTMJEIIJubm0xFJ-krb0LqRtXqesDltdq90Uek5Tgs8CCtUlTJ=w1200|https://lh3.googleusercontent.com/pw/AP1GczMbqPb4c24Sqjwc4wc9iPxf2_8COOOE9bEfdcM-k65mq3LgavH1sl_ZcwFMF0oEHsnlzH9uw2NwWublE29Jr_p7OWqqepm-AhKX-GbnNPLnZ8bVA6TT=w1200|https://lh3.googleusercontent.com/pw/AP1GczM8IE7P_QrIDN-BlVIDemxloIG10a86C1oiT2MpOxW8T6X6oh4WkIxqrSOfa_PbGoSuU9n6ynIoAx8HgYsKMMFA5Qc6_GhmzRkjeWFTabHBTnWQKISG=w1200|https://lh3.googleusercontent.com/pw/AP1GczPJ_58L1teeuAfmynLKpM5LjOD0Ly4C-gRWf9ZwtTlXpwLPkKtIOaVheX-yCQjrmIq5qK_1o3QAF5hyi2KL69y6rFHUuf2hiCOgVucOSJ2rCIn7PzFQ=w1200|https://lh3.googleusercontent.com/pw/AP1GczOtO-yQM1iZqwODxHqPCTO40y4HZAb1u5N1b7oMsC1ucxVNZco2U2q45wNw_ZIW2FEPUE6TmIZY0wr23z47uAL3ptrxmOobO7yoGJkRls8gTGlGgmVY=w1200|https://lh3.googleusercontent.com/pw/AP1GczPPDpYPeTAI-A48VX2L8ysU4M0uJklvA3vLiuqKud2tldPrWFN19RadVU3Fjf4Pih-I0EcKsxYxxzBvaQ1N_Oznl0WQtVPLPhTseFbMzgK1w6kHlcLg=w1200|https://lh3.googleusercontent.com/pw/AP1GczNF7XJ9_bRbOdzyRXRfKWX_GetK8DbPBlJWguTrIb5D1LoIZ6f_HhfRWkpVD7IaRNqsBKxbNrWyMGotM35NbteSd_ylKOhE_U9Z_3PnyFcqLX3L_J_g=w1200|https://lh3.googleusercontent.com/pw/AP1GczMdRw2lxOXtrLPnGyHSndxTHRu7Lj_A5lS1mbQNfdIuV76VC9oWfZ6U83qbBSu2a2smgHgBvlPYug0rPl0GnEsm1wllbyBaQqxIrhvvm2GDLl6SL0oE=w1200|https://lh3.googleusercontent.com/pw/AP1GczNDg4BJ2RzsA-FhJf_hASYlPXN9cuTdgciXoEcLmxlZ7TJeqe4J19cyCYs4cC09DED7Q3IXhahEAvWZ5aoMedNtIW_8gTqeB3NUCWqwpY8h-ivgpzZH=w1200|https://lh3.googleusercontent.com/pw/AP1GczPy-zxycSImAlxXQSaBTcF1ScLbybmwqx3aw0Usanhdbz22ALoEifCGnpVt3rwMYFVJyP260ETS8gNX8pEXCHsttQq1BuDjVHHw730TlLc7XTyF-8JU=w1200|https://lh3.googleusercontent.com/pw/AP1GczOknC0dAMuWxaY8beAodkLvI8-enpwPZtBuTk8L071zHxtUQsKFw9EWPMGIjNinYdIeb22yHlHCtpaLVwS2USi7O0rtqAVT5kLg1yTl3uRMNqnE7FHg=w1200|https://lh3.googleusercontent.com/pw/AP1GczM5cszle01eZgXygmZsryDSZtvgd2sqF5sVy7HLGGWfNQlEEXkC0HfUmcVDSJK6KO6ThXvYaUApH92NgvBQY6fOsPLColqA65f2zwkOHQJg5omLtO-W=w1200|https://lh3.googleusercontent.com/pw/AP1GczOz-9cerhTi5B-h9OXFNqCQq3zIdiz9leGIYgSLl2Gl-ZSmTQ1yRPfjUulvRQkLjFWcWhPU3M_zo5DACFnRbfnyCFZuuXLpmsKtoVeefAPNDyPCYOoz=w1200|https://lh3.googleusercontent.com/pw/AP1GczMwJsmCQFE4oX5qLuFCJRQ_ROYauGh6H-u6U_YmoM0r4XA-F95LPtu-8O6UzxcaxltnjpdheBUel3TKDZDPV-6Faivim8ytMZcGfxe6kJOav1tCk4Ru=w1200|https://lh3.googleusercontent.com/pw/AP1GczNe9h0vkMAk-RBJyGCxXp3zW6j0PgzMuXKT4vp5UFmxb9ESGZqmIrmeCTdf3InDimhTl7eK0RDAZog_Csd4ShXaR3oPvXCXfaQJTr4qyiloeHpBSuh9=w1200|https://lh3.googleusercontent.com/pw/AP1GczPGt44S07YGu2PcnYhNiZwR5mh0KyST7ajua2V9zfmyFYX8PCep0EWGfyLbhHhtR1yj0ZBdJWNNNUbOWUorDBcOxvW9m2sMoStcAR41FnbXqo4LcCpt=w1200|https://lh3.googleusercontent.com/pw/AP1GczNesz7fwWKHrui1VBFf6yXlsQNq7UwUq7GQuSl2k5-BOJN3Ic2Q7gzdOWrC_Kvqk-kRN83X8RKdV4UMa4vm4qhfBaI-KsMf153OzmEMVs7V78gBW0w7=w1200|https://lh3.googleusercontent.com/pw/AP1GczPad86ZZmerQQZGeas7c1vxGQheaX59iijU3S2rR5h6Gppc7uJxWkSWtjbrDKqfghh7q98DOtbCvasnTl-RyBwNxbEsdZa13clTDisI2zDYo6cVHVeT=w1200</t>
  </si>
  <si>
    <t>038</t>
  </si>
  <si>
    <t>https://photos.app.goo.gl/QraPhs76ino1nDaH6</t>
  </si>
  <si>
    <t xml:space="preserve">Casa ubicada en el barrio Las Granjas, cerca de todos los equipamientos necesarios para la familia. Único dueño.
Distribución: Sala, comedor, cocina integral cerrada, 4 habitaciones, una con closet en madera, 3 con puertas en madera. Un baño enchapado, piso en baldosa y cemento pulido, cielo raso en machihembrado. </t>
  </si>
  <si>
    <t>Dimensión del lote 9.0 ml x 20.0 ml. Con reja de seguridad. Ubicada en Vía vehicular. Patio amplio con piso en cerámica antideslizante y en el baño, con apoyos metálicos empotrados. Cubierta en asbesto cemento y cielo raso en machehembre. Escritura en proceso de sucesión. No se permuta.</t>
  </si>
  <si>
    <t>BEATRIZ LOPEZ</t>
  </si>
  <si>
    <t>Calle 32 No. 6-67</t>
  </si>
  <si>
    <t>https://lh3.googleusercontent.com/pw/AP1GczPtkG9qT7I0IulSliRhktbWw5vnps0EKSyea1MVQoQtXJnAD-65-_JlU_qSHFxA2gknmx0OKb9LrQbjJW9sP4-GUpur18iU1tRrfYVYczz14xvALEo=w1200|https://lh3.googleusercontent.com/pw/AP1GczO3fAllWMfsNWxAbvvc-R2PXht8JdUjmy3ZJKHzOScxEiS9id9TlyHRkwhx6P7A3zKzYS0gAjg3C-rGE71-uP0YbZrSHCWeP_8SCasJ7jhZnLW2eE0=w1200|https://lh3.googleusercontent.com/pw/AP1GczP_wnmpFjlYWdZFTxWNHKcjm41pe-sdo7GOxpWCr19D7Wa5rr7Yc7ryiITG_rwv31oJ3g65X9yAsH4yStc2riOwp6S1DQeVYeLOJ8_cbu-1KAVny18=w1200|https://lh3.googleusercontent.com/pw/AP1GczP7a3dSbwXsH9QO4hcIOo0oYfRjZhmZrHg4xY2bas8I8WeXJ1ccRKYzx-iZNP1aB0MDtKUJP1cQCuBtHVENxbDkAszHAGGDyhs2hEWtOSawc5ESNWc=w1200|https://lh3.googleusercontent.com/pw/AP1GczPVAyuwPjhPSeOT1JV-4KqgrNri9-SzqeZ8Zwc5ILz_gkSA1h3oe_KvgdSvvKa0d3I1JPEb8-23qPsBZtAOXHCp4w8wDwgwsmpTFJuW6sdLmPmRMsg=w1200|https://lh3.googleusercontent.com/pw/AP1GczNUfY8ipnciuBaU6UviyovutGfnFeET_DZ_RzqWdjdplOIHDk8EP0ifbZp73vy-VbpSvCbjlJM-v0jLHUW_j0_hoXBcxHa0Lv_TR-0Q2oUdTOckWVg=w1200|https://lh3.googleusercontent.com/pw/AP1GczNHOmyYy3Bs8YOywZIiz2LESTdF4ZoZ4gdlA1dLb0XfroKlQmuNMv_RTDXK-Z2GfWbZ932m6Jw5oIV1qlo-sGv2QGxywWAkFkyyMvbgUj-2KC8wr7E=w1200|https://lh3.googleusercontent.com/pw/AP1GczP1bGDigHuz3je8gwbtVLS1aTg2ni0fPO3gU35_CpdGF8amxaGGMmvyuYWSKGhD3_Art_I4WCoo4JIOnVC4-04ydmccjEs0HNWsw-8Nhozcgb8sfhA=w1200|https://lh3.googleusercontent.com/pw/AP1GczOUajradohpZNnMnZVGlLzkDgqB5TV6Cahtmrs_iHxzOm3rZ2oC6e7tpRSDZjF62ZYUgLvnwsXh05xCkWH96zVyrrZbFOe3FA584215u732-QBRf_M=w1200|https://lh3.googleusercontent.com/pw/AP1GczPN21QtZ10VJiWkjb39feYq0P0PlovwJMIsrwGcf6UlpMZGeHBhIblp6mSdazPnmARB2eAU5x2D-Ms8LpntwnE039qvuptOHpRTxkIfKUCR1YWPCxQ=w1200|https://lh3.googleusercontent.com/pw/AP1GczMp1ZZjrOb-ykVJHJepfcoYqG2R5svQXozlgQWwDqX8-wrqgsPwvU4F_rSGZWdcUYzVtmVwGROYDnWHO8vcBvk0sMcYlUKw3Ap0wNL6eA5agMzBMkA=w1200|https://lh3.googleusercontent.com/pw/AP1GczPcTq2GaYWBLTdZReaE23JXqV4HHXu1U3Yo98j5DWNrsUos3cqBPgq396giHKu5VRQMh9B-oQd-Q9JBpOhqqwy9v5SWdbzRH0gKhT7zkN9EttDF0Io=w1200|https://lh3.googleusercontent.com/pw/AP1GczP_TC22vRpHvB_KttOXFrt4c42DGnaBSTAQt3D4-9ydJIXxKu2Ic3fAfcUxBy80EW5eN5TyH7aQjVteZOpY1WAu12zunAqn3wL6Cj4iOTvoO_-bCkk=w1200|https://lh3.googleusercontent.com/pw/AP1GczODPhsn-x_envJAOjpuSJr2RSzhTYpZ_TZzGrqvW8qd4ilmqqCovZNb29i9u1jAtmL3cpxvjo7drS5RLsbAiF5mFPVlH8iFMAv6kNMyiIkEf_x8DIA=w1200|https://lh3.googleusercontent.com/pw/AP1GczP1eA0xdyfWrTH6Psmx0FOcYpbnoAXhxk_a1ILUSPO0ijD-4fSZ1I9Z1iw1PSibHg4PrK1ySi1eY0o5gRae3GZ76ozU-2lCsDO9s1xyTFz2Cu36jd4=w1200|https://lh3.googleusercontent.com/pw/AP1GczPSEJgDBfdm1AFdv80RLtK2WVH7s4tsX0lVxHArS77gixyIIlEe2oOcJlFoNEXZuxgoHL1ZoSQl-qnpxNSfTyDUgKOCfLgqUVVUWb-QCOoc1tYqNEM=w1200|https://lh3.googleusercontent.com/pw/AP1GczPdJrEBaEXDmJ9wuo1T_oL3oPxUkizjo1j5Hj8_Fqf8T1aWEnuyLEenrT_TB0RlESWiEWvV5HYKljgDTEkiSk0-cSOIIur33o36fSmiLBXhUA0UpRE=w1200|https://lh3.googleusercontent.com/pw/AP1GczMBUldpGCFeht0L-IBlCFoPetM-ZmJ5QZWmvYRgrG_5qwetNXCzZKBhRqy8QJVe1oDLblx5ZFeN07QRnCVa8ymIc5vl0a5Pjj-hJ1ARmQtI-HPsspc=w1200|https://lh3.googleusercontent.com/pw/AP1GczOYnuJ0avE9_58XnfzSZocu98lC2JPmKxcHndO_x4cshYtoh0fLFDLog8voBKnB7W9kxmnQwbJZzCM4y_JvQpHpYHWc7ysgDcEy6VV0CdE6WGYQTpg=w1200|https://lh3.googleusercontent.com/pw/AP1GczNAN9HdXbjwowXMdHKlQ5wMGZvfei55mWsGID-O3oyhgjc5rawrYUpiAamSccqFJpzfImoosGwlSP3ng-ktWEdefh0tB6mcWiRChDeSQVdg1OsU8oQ=w1200|https://lh3.googleusercontent.com/pw/AP1GczMvrl0MpQvwbzOfDkFldBuley6PE0p_NtbJjJu8KGHkG8BO8Y_gg5XHGDKHf9sh_MfxDSkZElxzgKtbJp88GhlxkcTLvAj3qcnxFUYUdtf0Y_WGrzc=w1200|https://lh3.googleusercontent.com/pw/AP1GczN2fW0viW0rCW0996eiTvOhSxTD7U8UsEFY9LPFTOUgpadwyiNi_FmpVlLjFVfToTjUNXx00LJufNpUcwZWDXeRHsZwlX1_0jCVh5FfMUwRCZtlxT4=w1200|https://lh3.googleusercontent.com/pw/AP1GczNmog62_YeObDD86L98GHuQoKNB60CAKJtHGSwLuD_DjtB3KZPELNQv4xNmQhBYc1iFwZ2YkInrDnotV7sxnUMgRuDHjEUbtUlqauceVXZmzIgSV3Wa=w1200</t>
  </si>
  <si>
    <t>611</t>
  </si>
  <si>
    <t>Casa en conjunto Residencial Valle de San Remo</t>
  </si>
  <si>
    <t>Valle de San Remo</t>
  </si>
  <si>
    <t>https://photos.app.goo.gl/SMX1KNLJMiJsYoiJ8</t>
  </si>
  <si>
    <t>Casa con buenos acabados, piso en cerámica, cielo raso en Driwall, con patio.</t>
  </si>
  <si>
    <t>Antiguedad 3 años. Buena ubicación.</t>
  </si>
  <si>
    <t>CARLOS EDUARDO ESCANDON</t>
  </si>
  <si>
    <t>CALLE 46 No. 33-178   C F 30</t>
  </si>
  <si>
    <t>https://lh3.googleusercontent.com/pw/AP1GczOB2CMru7zlyZfFKL8a56Xk4y_U4l3Qux-89Uoo74EqCR5QnjH9fy0o-u6BNuQBNldYFVPSpdHVg0KSxcpS8WUWSXqPcpVdCDYoeDPlKJr5wFejT34r=w1200|https://lh3.googleusercontent.com/pw/AP1GczPJKPMj2fq7e3OFzQN9MZuLMxW-pEFNGwLD6_MLocHSNQX0RpeQIAG_DhwzRTbEWS2Ns43eNxGiqfGR9De9mVSflxrOFqdusWay5KZKUYuJjtK0wemV=w1200|https://lh3.googleusercontent.com/pw/AP1GczPXXriREknXfBYbF4tKmGWghkwA6Vc1IOJDc_tgYHhjAdTrb-G7f8GRppfrA0yJPmT_YchjZ_TWhjzAKlAHSSh3XGfZu735oQURKqfik34YP150CBah=w1200|https://lh3.googleusercontent.com/pw/AP1GczMOiOEl5gUUnaZrbE6QLKJjDzXrVjO_rr-HwmGANmjWOG_JL062Nau30VXzNUIrctDn2hq2nOp7i3WA-_dhQOU9ADmmxiSOsBEB2hqmOLnN8ddnksUg=w1200|https://lh3.googleusercontent.com/pw/AP1GczO7bHoPQ6WR31PQnZcPgDO7qi_8hS5kn1sPnsKVeditqqBRkIbSuhP0YrCsofP7jdd969U5V_1ZJZbTHzVpW8oCqTfBxxSp0uJGIVrHY-aH1JPPlGjN=w1200|https://lh3.googleusercontent.com/pw/AP1GczPAcJokCVX8WQiCnd5aFctMY38RMfo8hwxcNHhjPBXk_FeJStf1WlImVfC7F3RtDfzqa3ApPNGIfRWrr1R-IxEeJeLm4hweCm_4JcIiv0fS8qL55QvC=w1200|https://lh3.googleusercontent.com/pw/AP1GczNzSXzp2c5nQyGaHZ4T3S6Ue7HRqFNXnPrM5S8jpWF6Dylv8lVGgBOciD8-XZdPa1kuqv8GFdtSBeHHNGQgF5kvMjqyNxTwmBgnZBfl6CaFMY9wB31k=w1200|https://lh3.googleusercontent.com/pw/AP1GczOXA8VZZYpdYvveGNl5Z29YwHr7MLCC-ue4ppaS7zsNnuLBxSprO5gJA4eJlwH2qL6gbkIgTtpDUDsJmw8ECJnkdtQU_WGj-YE0ZdlLzeGcuVQJf9Zl=w1200|https://lh3.googleusercontent.com/pw/AP1GczMTSZuI9jMMm4OoTNj8ZTpR7oNi67Ibh_JP13oCM2JHaNCFf05b8V9adg1q5vmEREa-eUniCffGlQHvjm0YRexLL7EKrfCguazsh0y3yTAiWE14HbeT=w1200|https://lh3.googleusercontent.com/pw/AP1GczPGkKIwa1Bk3nP7UopIKowmhLuSX0JkloRRaDpiAjUtOthsLaPE4QvikQVIq2sGQIZrCRKAq2liAwZ_ibTIsNgJJVUq0ruGDIeB6Lc18zNun3PnU-_b=w1200|https://lh3.googleusercontent.com/pw/AP1GczOhZePCiCht6ORDNDJTdXgM8dQKXaYjrYuadQEtJ02QaOxJxCD1CAE6XmuJMAsVAGK2mpC1aZ85MfRMUg8yw6OhnPcQKUAyh3Dp-9T7ORy-SP2KD_O5=w1200|https://lh3.googleusercontent.com/pw/AP1GczOJT2ROL44owAus7KgcaqLMwhPJUFX_v8XQjNI57W4Nrl3LacRoMrfelBGBUm5A-dfS5hI5c1t4WnK4_bzWrzZA8hLTeeIcT6szyEfqWGYhNM54Fu85=w1200|https://lh3.googleusercontent.com/pw/AP1GczP0mFEwe_x84zfiaDXU3758ArzOsvqwgstZjCpB1lu9pXU0pINfgfDYlwCm3qSn_TsFhkBP7z27e2kN0yQjFdVnifwkgUZkJgwzb-L8HHUsjiKQay01=w1200|https://lh3.googleusercontent.com/pw/AP1GczO_5IN4yZhsSGQfLk1HEmFWxNWT9S3QzXwOjuByibqcb64mjYvQwqiVMVmm0_uH-1hFCzuDP1hFL2W-8sFEpP-7k7lL8mCVdEewKFNQzjDboHmJHXD5=w1200|https://lh3.googleusercontent.com/pw/AP1GczMNNG9gkBu-FJCn029lU_el3cXyLiWLmVCYpljoXmZicakSJPaQr9jM_BQvjBtO29CXJgFcO42CtOvzWXzRAXH2RiFsCMhAx0f7HC3e7rf7I0Xa_cfU=w1200|https://lh3.googleusercontent.com/pw/AP1GczP8aVto79p-qk6ehUi1xWO-UCzkTDeE9Gu0V_vbUiq5-dJGW6wVoEEqR2-qeDCIKvPVn-Ozw-JFegVTwG8IW9bwNz1-LT71xOO7Js7RC2ILMu8dSMkh=w1200|https://lh3.googleusercontent.com/pw/AP1GczO8IJPi97AfCeDGkZcMJAqmDfdVjnwLq1zZ6_SFyole3Mqv52Z8N2F7FKO44ttbyiyDmZhWYiBl1hlKIVG_w2Cp8J9rAiil9haoUe77UKyaSnlMzDzW=w1200</t>
  </si>
  <si>
    <t>702</t>
  </si>
  <si>
    <t>Casa en barrio El Vergel alto</t>
  </si>
  <si>
    <t>https://photos.app.goo.gl/LFsEBeuCNZ93fK3C6</t>
  </si>
  <si>
    <t>Casa Medianera en vía para un solo vehículo.</t>
  </si>
  <si>
    <t>SACERDOTE SANTIAGO RIVAS</t>
  </si>
  <si>
    <t>CALLE 14 No. 40-30</t>
  </si>
  <si>
    <t>https://lh3.googleusercontent.com/pw/AP1GczOCkSmd5jKIPS-ETX4Zwd6fJdRl67A2j1VOjNZZxBQO0ePiSHrunZ7TFZQsVH-8w7arEtcE35FjItS-dXueekIg3v_eKSwdk02nSyCsyGREI35jt4t9=w1200|https://lh3.googleusercontent.com/pw/AP1GczM06SXQ9nc8UTkubbd3hYEwEilE8k_wpSapn5ODnJU7gFqb-YKQZEWcelROQFRqS1qRzD82IsSFacvavaXTubJnYc94vxK8mgvyp9BC9rU5IDJXO3Mx=w1200|https://lh3.googleusercontent.com/pw/AP1GczNHA_upoaicIOVrr8XqU9hvrw9rA3OFp6IjdYAvMk2vvY9dBFUg77dwhyNt3JFzkG-DLXonAWDbz-zO52jKFTVRc0qwkqPmxpZBe_nMojo1atBzfpDg=w1200|https://lh3.googleusercontent.com/pw/AP1GczNm_Lzo_msnHPyZYZUSBBkaKWOpYspHtS_WoYQmB7pD2vNfaMoS4Y_CdqOZI48uGi1YvEeXOM5apmY5iXDNAlWkmlbNw3vrPSsxV5RxFzHpcfrSdOq-=w1200|https://lh3.googleusercontent.com/pw/AP1GczOQby8_pr4MXb9xCBgnjN6-EtOhDnQKKnWXnXQDQ3QDj7P3pKV6MUqVF6Wi8ODLizxKgv_SAZB_s4XbdICPnYD8Ofaipy2rQd29bnEPgO0pcClrdkkw=w1200|https://lh3.googleusercontent.com/pw/AP1GczOjH0N1CTZgT2bI9cV78lUfcm0zMaeCURt_UHU_92XnbZV-xbiw0vw_2-JjHD62t2Ua12dgt497ZTUQM0AheCWMuG419G4tjmDkUGGXj7dKfEnbBpTH=w1200|https://lh3.googleusercontent.com/pw/AP1GczNEemlcNDtiD_Jd4eucbuvd8SFyWgCDmh1sqnAnsbAYC36fWrqiQW5-LAcfAZeSF_3a6YkyqQzXyKHd39o1Y9ChcD69FkguRemjSpvEWZY7kDgJBx77=w1200|https://lh3.googleusercontent.com/pw/AP1GczNAIBhQSE7lxrM4qZzCq8vCoJ2Mdv-vJplizUn0d7v_snv9vsCnzMP86pXcgj0z0DSlib0lxXC9zamknz7IceRBvSng3GGFB6Og84Dllj-Aw8bRcdzW=w1200|https://lh3.googleusercontent.com/pw/AP1GczNflhQvmHmd_c98Z5C30hO5W0ZDGF3UtWCpQRG4BGmyluBibO0DZchcX_nHkpsmUSq13ELZF0O0mUeQ0HV_l68Bb-NCXtZjWzAslZElY2iRlSk6MOmM=w1200|https://lh3.googleusercontent.com/pw/AP1GczPtfy_xdp2a56ZZnWg-RICZCviCtXMf05rTdGOnRDPicQ7b3JLl8jLNy7akhi2XoXB92wrB8dqvKnrjg1Z0tvfM-VckLg79W276ToUJBONslNMLZV5L=w1200|https://lh3.googleusercontent.com/pw/AP1GczME1vzYX9Wwi-f358zTbWTc3snTgBpYj4onwQ90wKrOIRLZG7mluynZNjK3xSn83NSbTFCtqj5NDkMn66zyKf6mHHNwMSxS9ubIu53Ex5lUJoNeAfiF=w1200|https://lh3.googleusercontent.com/pw/AP1GczNkesZTzytCOQkGtx1w5cVkLl_Zh9ZQFNHwbyAZr_3_0aXQP4g_kP6gf6XhRr3d4SZ5DQ_2PU-c8z0kfNYq057HglAgHPVW71HgZ8v7qMHq_hbmUUQk=w1200|https://lh3.googleusercontent.com/pw/AP1GczMlyWdAkH0P2-lXscOalELRyhbFRPf_pMVSn3vZKa9zVP8F4RDHLP0WWV2QhzILD5Hg5T8WdtWYhilocv8QnSQWoOB22DSE6M2xjzNlJDYye_YtL3dc=w1200|https://lh3.googleusercontent.com/pw/AP1GczNUI3O7dzt2yTJCueguOQUJxCWtQoYSnXXTE4h7cZsTHsAlboNbOejTmIO1ctP5SeV8xd7Ip8kadjND8Gom4t2y-B6LZu7XRlQOqYIkCZ8te5OuUbYw=w1200|https://lh3.googleusercontent.com/pw/AP1GczNFFbOejv258lbZZZB-cz-lu9WJjwMzOSxovFlkLGOxQDxWq5B7G_EWxObj22ef3VsMlFASksw7RMMkQP6NiFtUlkmcZQF3l-jJVtJPiCaSA69lINFT=w1200|https://lh3.googleusercontent.com/pw/AP1GczMAkljgQeQMiNqjLJH2wqDgn-FXRDGzp0BOO2zv4Zwe9Q8hSYDmMR-EBeoywb4drRYtw8oPXfjPRoVPcweB4U4Y-YsrYuTqAlqKNLoyqwhuiVMU9nk6=w1200|https://lh3.googleusercontent.com/pw/AP1GczN4xJNkNa4antDcos89FViYwcssxl3Bu0NCljRiO35wKyoVJZ0QNjt5BYYX7U8z_h7X_xZUN5cPUczY5uHn84M62rfksm4Q_jg2n_kCZDY06aE7OX68=w1200|https://lh3.googleusercontent.com/pw/AP1GczPniRbNMTNjDzjOgIBpHuOSCgr2VN88dFK6j57tWsS3ZG2WaSku6HiQsrUoxMlH4j7ppmlDz_zOPOrFPBWs6vgDyPr18xhFfTmUrEKUUQfUSKcH0pS3=w1200|https://lh3.googleusercontent.com/pw/AP1GczPv-8ghsjRt4HEuj7AW2IR2YQAPNLfearFWYPDnb05V076fZwdnq-8h5wbNbwaIZCLBrRC0qvudfystuHcFZryVXJA_VDNeBYA0-ski_KfhrmKz5ZtS=w1200|https://lh3.googleusercontent.com/pw/AP1GczM0ZJPvjj9MoPfeqNXiCQTMzwyyWfDpyhiNERkeWxnl-dV-6FPfIlPne0oVezDFTf94JnwlDsxMg65vBTl9OXTx6Hx06zYiiFS3Amjb35lq31wuAmV-=w1200|https://lh3.googleusercontent.com/pw/AP1GczMGvgQrPlLG96FLt4SeHXHF0Lz_d0CpzlYjSFlYN_EZL3c3uSzNOJ0U5QHT_xgjiT4g44eDnq23sU7OLt1V3UpuX05t51CkhQNoMy8n35u3j1aTTSmT=w1200|https://lh3.googleusercontent.com/pw/AP1GczPE4X5TUqzbL-XOG8LTHR4r9MxSrLPUTZJhWLOEts-_GgoJl2XqkOFSYs-iz7L7W1wB-2v00CtUuRBOXzSCrkwZ5-XnGTsT4ET1-29aeThaM6h16I9Z=w1200|https://lh3.googleusercontent.com/pw/AP1GczNVtPcp4RdRI4bA6CzsXDhGGC4XGrxxNCaK5wDAL41Wairdqd3UywQBc1-QZyRFWttCU0eODmVW6iJtnB-LuqyWX71SSn2nYlth_YW30EPZbjAtAe-O=w1200|https://lh3.googleusercontent.com/pw/AP1GczOy7uFWPwFNooBsq_pMlCMynTEjTadwB-R9vyD7NE5TFIMH70SYpzeYV5TrAK8xZyJrLspRRK3GGqZS-jsXIGCnjmryBsgzMWO3oK89uhpR3c6I1s4i=w1200|https://lh3.googleusercontent.com/pw/AP1GczOHLEir9L3a6TJeaBJOUNpydXycoplUYVzhu-61GEc377Dh28QpseS0mn9LK5qk4ekIdusw5HrZep-YwEXP5VuEPMjnGd3lTJ0VxctIS_tkuIvE7PUh=w1200|https://lh3.googleusercontent.com/pw/AP1GczOiFGvwI7uJtXJuWX4B6CI9DFgfm-yTWYK2Qmxiio2f0lU8UrQHCKrXiIdjfcgnfyQT4CKsWzUbBgmSybL9HB7NP-smtU7VhojI_pgAxZ84gmzmT9AQ=w1200|https://lh3.googleusercontent.com/pw/AP1GczMtc7mtjuAsmuuqmDIRONvP-hXnSFGuFCM49JLsbHWYFKLGhwk-BqAhS_Fq0Mo6kOyhTpo1MxXlIRX96Nsl4xx37GUIAD51P9Sy0h5P9FUFt1fN3LQF=w1200|https://lh3.googleusercontent.com/pw/AP1GczNnvQL8tYBJvmgKD-IjwKWfDIz9PgS9CyLm7W2EGTr2z7DU8AUD9cB6iiiulZj1RBMfd_gPAVuTpij1lS3YDNDa5mfZdxBiOx2GKiFRWvYA9id0KQYm=w1200|https://lh3.googleusercontent.com/pw/AP1GczPZ8dpMxTkVSrni6ZohIOFx2G8PnYqZf9iK_X1iqnsC_pT1H18wIGD0dIim_mZmNGoCc11lviD9SSpz3An4cjD2O3s7uUHIR8ptCA6F1EvNiYWCF_Wi=w1200|https://lh3.googleusercontent.com/pw/AP1GczMooy9tXrl5PZYCifoJrukecQDueynwk-qPtNF5rjcHKUxpohGCe3PVKsnl4OcBy9_w6ALAMnQ_Z3DkFgBOOXROCFXtwpCqc1cZZEL_dI0-QNcPTwvN=w1200|https://lh3.googleusercontent.com/pw/AP1GczN1II2p9NY9dD0qtT3_f52-W6gAhpN9sW4gFane-squ2mr_rjiJy1ww0lutUhSlMmNjzeD7D5V-gnVkvCaISqwM8SKb7ay-Muo3nwtip1fu3U1IHa_i=w1200|https://lh3.googleusercontent.com/pw/AP1GczOo1CNcieqzvv1s4hZRErBjt49i7ywjCJnQwsBkn9813Dcd7Rq0EgJIYe1ah5ioM91whuhzEaKRGwLMxaULv3GaYcQNmW42AKEkz_cJTJv6gz2EyXWD=w1200|https://lh3.googleusercontent.com/pw/AP1GczPQrYN_P-ZnahXF8k2r7ikNKvRGjzu3FxpW4mQPVgsI6Lv7U1OPuuIeSXSiBNUFqXe5ADifbCpwGA1Lg9xAUlJPTj5Cfut9Mb0oXilnUpvDONlpVbvC=w1200|https://lh3.googleusercontent.com/pw/AP1GczN8UkOXccd8gEOVzYUPu8VhfWz_y0o3zFYwqZoq3WclU_faehYdF2LNAPDyp4GzAte3XTiZ9jRPKe2KyHpL3L_Ja_IL_WlIO-FZYBFAhej4labSjB75=w1200|https://lh3.googleusercontent.com/pw/AP1GczPONyThAqmNyMZxmpmG6AIh0sUzV30yChNDQ2SmLE09mNkbsF0c-Moh2ZfYRroQqy3dVXjsnuk9BfNoprWTKNZgKzS9n6U3w-kkd698eN_vOkVnhgMP=w1200|https://lh3.googleusercontent.com/pw/AP1GczM3yJNlu_1BiQ7DkF6KVM3JUYB0ZeAhoUpt9mxJSgH1carrrEw_lWRF8PvImCvrh42iTdBKsf6WlrpnL0BP5Rsz5y0pg_pviRzBvQxz5eya7WBhmqcR=w1200|https://lh3.googleusercontent.com/pw/AP1GczOlTiCa800HZW5PZ9eREY7MYRFu-IVseeTqdKp5et22spPGhwhbYycL8HdvpoQS4gPuSv0lntZgVAY-soaYZgP2P7NQHVD66bprSjcGqslSIlmcBiC7=w1200|https://lh3.googleusercontent.com/pw/AP1GczM99TVmBodrivf6vrsELFG8OP4DgxYRqFh0EXFX6YvjFbFFxrkCfXAoinsEj-KjvtmbdRmZuPMQ35tn8mygcsmXeENCZwI3xu0FJbZ1cWLpdwLerHVo=w1200</t>
  </si>
  <si>
    <t>733</t>
  </si>
  <si>
    <t>Oficina en edificio Colseguros - Centro - Caja agraria</t>
  </si>
  <si>
    <t>https://photos.app.goo.gl/7kh8pv9B3KLyvDfy7</t>
  </si>
  <si>
    <t xml:space="preserve">Oficina amplia, con buenos acabados, piso en cerámica, muebles empotrados en madera, divisiones en madera. </t>
  </si>
  <si>
    <t>Oficina central, en edificio Colseguros, Calle 7 con carrera 5 - cerca al Edicio  Caja Agraria. Remodelado. Cableado eléctrico nuevo.</t>
  </si>
  <si>
    <t>310632661 - Arq. Daniel</t>
  </si>
  <si>
    <t>3146405735 Arq. Martha Barbosa</t>
  </si>
  <si>
    <t>Arq. Armando Saavedr - Daniel - Martha.</t>
  </si>
  <si>
    <t>Calle 7 No. 5-91</t>
  </si>
  <si>
    <t>https://lh3.googleusercontent.com/pw/AP1GczOFYHbXVSnlqbhaVtnGq0qZPe-k7BOil7pMoCUINly7LDE9rXsj9A9NlDQWxtkdMxekdbdqtqBHO0nsVr8Jibt1lJy8yTd58xiskKQBws2ympPSYhZA=w1200|https://lh3.googleusercontent.com/pw/AP1GczPBkU5LYpnzTSmKSRqvYXKAr1DI6VRCh7xdP-dLIKFfTr7c_HQc12DrZz3PGWOoaagAKRuDgc73eOsJyhltHN-feSvmbnHwCYgLykTV7vO4bhustTxE=w1200|https://lh3.googleusercontent.com/pw/AP1GczMJA7phoqonqxGkTryaUlvhT31c1nJwUdPkPki1qtH4NT2-XDjqr1gqJadzaY38prcbECr15jMvUxa9PHYjXUlI9T6GdpWDwhAQ32bv8cNccqRzy-FY=w1200|https://lh3.googleusercontent.com/pw/AP1GczPafRsTQO3LUlJNUEKEhOBipw4Oy-6Fa6XQbR0z9-xZDCeZZSGtJnpOTByeqnfba3PQgUvuSImekhzR9z1PZLBG08P6435YaIOwLjCCBjKScfgQm7dv=w1200|https://lh3.googleusercontent.com/pw/AP1GczOb7vYj3eqsZD0JD5VF0_kVTroVYtKtEE7PLM7e5vNbZjQy79qdo9wBDTZlEf9A5Jq_3G_8jIu77sTLUiKI9wX6mP94g1pTBLy0A1oKsE-6q4fbFRjp=w1200|https://lh3.googleusercontent.com/pw/AP1GczOfxTGeJd-pWmCIxjfl4jr1wi3ecKiVMIIR1FhPFKezQKJesDvChjpcSGOOnt_OpMqvvoHriS64NNzuEHudjxPAiJ8oZ-n4MJZpms9ubWKaIFKg2eB4=w1200|https://lh3.googleusercontent.com/pw/AP1GczPPsI5KNtRtdvaoBexQEOsSa1WkUo9YSlkPHX3SvlKPL0yceq-nUd_iOHro27PYgr36dudVzK81C3BIZo9AuoNifpIfPAdn26HDZIwt_Ph5qVaryhh3=w1200|https://lh3.googleusercontent.com/pw/AP1GczO5Ao-67C1bvR0_5Fjm4Gv2UuyK2053HcDMkU4cfdG2mXYb5moDtH2QHMsUBHWsJ1t3k1UEdgnuTHnUCt3wFPMvpPaKtq9m0tWcO3laWPmLeCIZxF_i=w1200|https://lh3.googleusercontent.com/pw/AP1GczMYGh9e351WDzMuY95EZgHs-MVXDwFePd_p3nkXEizEIbNJLEbv_31OnnajP7_ykD6lDHceqoL3pyNSZ3BqiS_ZQbrCqLogn-U45QpWoVuxt0SLAnBN=w1200|https://lh3.googleusercontent.com/pw/AP1GczM6YwxmSpuEHUgKbL2E3r_3ywDvhEb791Yi90MaqN478AgXiDceiOkDzRkR8VhLc8fOM4Njmca3UmQ4LuTVm6DmZ9JXbilUd34zsFXhenJ3SiRaxs_r=w1200|https://lh3.googleusercontent.com/pw/AP1GczO24k4XypV9SuRRiLyGV2R1Sdhj5koFR9kaOVNb8SLb9ryDHkGr23WpAFtiu4SdgwPUfQCp9dgtQYG0uGqknTT1nu_l8GdiXf_eTIDQzlCfeZeONQm6=w1200|https://lh3.googleusercontent.com/pw/AP1GczOgthLZ55-e_V1Z0Oig5bwRdAf_LFd8M8_vnYYyLn-YE1oc7pU7EZ7tPPFi_w9UxmGGvHWn_gVo9Me1nltPjPGtZUPOargsryXmrzm5lzLk2yaaIgkF=w1200|https://lh3.googleusercontent.com/pw/AP1GczNqtYR56WJhsBp0KY98nEVCjZzevwq3S2II80SDFqCscTODY5CrCNk0wNNIg98zh5FGU8O-ADFfpxdz26NYZyhYF95ZRuPmhgpQMG4-nKBiU2v5c-yX=w1200|https://lh3.googleusercontent.com/pw/AP1GczPBnUM2ueLGZxh7SjW971c4no3k4qB15fPd6q612c6HGlwqPAMzYIVG6d-S1BKb3ZFCKPzpP1MnIpmCSPtAFYGJan55OekVxpDEm9Ggy3g-HuXI2x6S=w1200|https://lh3.googleusercontent.com/pw/AP1GczPfLE2UlRO-kEtPX-hgmWGkGBHIFG-EeToW-gR6iPcCz1msmOjO_0mHioIAsWuizhqtg7-O6aYvnIdjuj9Zo4A0FHPCffSY3iSHprm77Jway4K15mav=w1200</t>
  </si>
  <si>
    <t>802</t>
  </si>
  <si>
    <t>Finca ganadera - Iquira - Pacarni - Huila</t>
  </si>
  <si>
    <t>150.000.00</t>
  </si>
  <si>
    <t>https://photos.app.goo.gl/6wdkGQ2CJH1VCgKR9</t>
  </si>
  <si>
    <t>AGUA: Propia. Nacederos. CARGA; 15 reses. ALTURA: 1.200 msnm.</t>
  </si>
  <si>
    <t>Abundante agua. Acceso por servidumbre.</t>
  </si>
  <si>
    <t>https://lh3.googleusercontent.com/pw/AP1GczObxNGJLRuaL4pLm4SBMy2BrrfIj6K2zVVJLqEb8VPiL0U2pgV21CKb071z0gNonfqwNTpzRdMwJvpioGLFjbga_hIOS2aFnXrRks2p-a-ywESkhGsa=w1200|https://lh3.googleusercontent.com/pw/AP1GczMknw_d3MkOdxYoxfxLzV0ZA9FxcscXHxa6niPIoeKnF7Z5RLpUrPw5-KvFoVzdni-OUqRH1R1Jqp1eFi6UEx9LPimgF9zJFl4P4HILdmY03c4s2ovX=w1200|https://lh3.googleusercontent.com/pw/AP1GczPEaMnGbm3XDK9TioFKNTboOcnkAJNoVa5aQTLl_qKI1ZJBX6-87EVy5vNmez-_8NkcqXuxVzRo1Kv84yAuMSm3UIFH78iZf1Gn9FyRY6wSgn8xNLVg=w1200|https://lh3.googleusercontent.com/pw/AP1GczNJN7n4CiX2RNsccfyFHMWzpaX_TQcO8qbMh1P8UF0hv6iOu9tH_TICEB0ImSZ7qaiZGAGKC195KWFmbKjkoXkH_YQhblwdn9qBek0T2mJBk9hg63Z9=w1200|https://lh3.googleusercontent.com/pw/AP1GczMP57iYO-vA8wq8DMMyebGAflTYgDsh7ujCMu1SGEJG2WpWKsiklzSBUKozOB_FnU5Ik6K5A13sGMKIJwPnzuFdR9NjoPri9DQDtm09L79nVUOnYUdL=w1200|https://lh3.googleusercontent.com/pw/AP1GczPaKvt6-drhjQqzmfAhEcpcfbTRNX0xWPXrWNukc1cOUJSAqUwzSYkLWogVv-kYAhXdV05BTk5qgcdhiXzBtHb7NNqJ7LeElZ4sf2ifHsVK1MVu8QUu=w1200|https://lh3.googleusercontent.com/pw/AP1GczM7WnZ0fUnZO4Ew6u7kl3FymNJE5HDWQ4RcRCnRPRpZKNaYzADI1DNJScwBwYgsA90nZ3BffsMrXt4UhneVWUsyngAInu1oQTxDiLYgB24TCA08ZrHh=w1200|https://lh3.googleusercontent.com/pw/AP1GczNvNIh_op2w7e36H0hajIehDjKfjHRBQyS7mtLS50sT2VXzmFPxnrIGtc5aYYMhy4wlXxzM7sFgtXOOsdMLjYr428dqWJ30gq8jV2fzbDA5y-RnFDYI=w1200|https://lh3.googleusercontent.com/pw/AP1GczMQrUdFoEn3Pe5Nhk5cqZ50BlPPnej9a2TmdiHi3KfWuF4MCg93OX_GING-kTauqtG5_HX_fxuvAWEXvKtkTlUIUlBPWHpXP-qAo_tSCPkLVkQM5Xn4=w1200|https://lh3.googleusercontent.com/pw/AP1GczNx0X2oD1sXrnALRBH3QgqAyjRPJ3BOUt8V-5GpcWDK3MRqWcsl7WvH68pySlE7zt-Ak0omcJf-Md-4BSn_Z48Z1WZIWp69yDjIR_7K_VAkmvpRCO3A=w1200|https://lh3.googleusercontent.com/pw/AP1GczNDh9FLqT0VmeghRbcmJu3_js1B3sy3QRRcJc7m9IpcOYD0PF9g55MVrZLTwzEESrReEpptiUHqddwec8D9IXbyRQ2yKHhSqhja_cCBrJKQNFm8Rgjd=w1200|https://lh3.googleusercontent.com/pw/AP1GczPcnk986-zGKnEwXXD7m-PSLixrOlXWaU11MpRZD_dzlWljGAqVM87LYsYTzZagdmhWHFJAZg7LJMGWjK97vlgaliqbwTw9ONY1CW67SlQEnFfASG9j=w1200|https://lh3.googleusercontent.com/pw/AP1GczPHHrC-KvnUQBS7i6FbhXz5aZHDd9YgOcdwYiLhhHlhzvuSnmAAuEGwkKwUtWK7myvWs0ZpOiVzm1p6Vx6CtCOEHNfWn5wJqdX-890pxHQRv7D5dDC-=w1200|https://lh3.googleusercontent.com/pw/AP1GczMN4yhGgXWZmt2Z3puvD9Yl4W-Q2u4Z-0wcQ4rlt7nd5e6s7J-PJ-g8LgEVw_n0WlpZLdUIEGtImTgZG2_F1C8dU5rnH_bLUrpbRQXzIvw6-P76VCK8=w1200</t>
  </si>
  <si>
    <t>511</t>
  </si>
  <si>
    <t>Casa en barrio Fortalecillas</t>
  </si>
  <si>
    <t>Fortalecillas</t>
  </si>
  <si>
    <t>https://photos.app.goo.gl/6Buyq38oXsPZVuni7</t>
  </si>
  <si>
    <t>Casa  amplia. Cuenta con un patio interno y patio  exterior amplio con Bbq, árboles frutales de mandarina, mangas, limones, arazá y guanábana. Juego para niños. Ubicada sobre vía vehicular. Escritura al día. No se permuta.</t>
  </si>
  <si>
    <t>https://lh3.googleusercontent.com/pw/AP1GczOX2hV-uuNUrra1AChoacnbb_TlY7uvb52x90L-1TxgB_LPUKrxTFF2IE8doQozY33hoQyan4gJfdqGBLd4HFHUgB7Cr6eRYXpFEQWDv4gxOUVcHQQW=w1200|https://lh3.googleusercontent.com/pw/AP1GczM1VmLl4rmMN4sLBXPv5jsNlEXdTGJOqGNaanNHMk3MZ4UcjPMKjG6u9utjlSsEcVTATgQR98yr1t1I1Jjc7CiKq6DO2BU61-9LlzIYaA-69PVWp27P=w1200|https://lh3.googleusercontent.com/pw/AP1GczOJQDFpyseTPgDxy-KfKwW5Euh1gKJNeBx9oTvr2Tl-jlD5i_itjxd_fCqMtFRMImlQfeKN9kyoX0X6Pdd3YCxdaa9DdB9m18gEgWxtRWFmJOm8kyZf=w1200|https://lh3.googleusercontent.com/pw/AP1GczMYZSjIM33zMFpAs1rvUB8uoeL0_5eUNp-p8DxZyTGhBSFl6aBjhLn3Qbo-r9K_ZVco1xiuX9yLPDkaYLyNFNYOpW6f4Evd4nin5b4OcV2iCXxZnRPa=w1200|https://lh3.googleusercontent.com/pw/AP1GczO6kI2LBffXs6zR2eP8gE79EWNnvRUJHWwkcSjZQjA-3wo9IjF5nsqLkzfLxbR-6ILimdJr6zInul3Y57CWcDR1-K1IortyeGC7419_qOFo93-Pcbvp=w1200|https://lh3.googleusercontent.com/pw/AP1GczPTmgGViEDSNWlw9esJpnOtCHFoe4oXD_NCKGnw7RFEV25HmBac1Q4p_GWH8F4aOxzBV__AOeFEhC-IxCRY52uCYRLa-7VEyFV_hNVMx8c5odBi6SD8=w1200|https://lh3.googleusercontent.com/pw/AP1GczP7282KfgOfBaAL_Zmd9DBtltcXG0JctWPY6WwePlcRQlrgwuOgLD6WVl9Tn_Xxm-dfUaQI7qqUxVvu2klfOwNMBcbgfX6lqd5Nu8yMfB_XRGymANui=w1200|https://lh3.googleusercontent.com/pw/AP1GczMbGgz0jZZXMRAiRFQdz3smkaI9W9SXaeyUE4YKa0G_HvITWif0F6VgQrpShLTv4Yg4heJAUPVb5Aiu3JNwtgRHEQBBgTbRm0sPx0uOWdPw4gz30AtV=w1200|https://lh3.googleusercontent.com/pw/AP1GczNtF1bRMtwCMvPbEIqT0aOj0xyWSAuMSzAJmlcsJ7LJge3oOg0Zcb4M3ds1-fYcA8cBuVSEeVLOC9Yxl-lBNe6PSFdJDF3aCaDICg1oDiJZbl3fgOs4=w1200|https://lh3.googleusercontent.com/pw/AP1GczMolcuLYRFly3YSiV364hUrddMHU38ORuRL0-dzy9xFvsuOuTk6n7kYcs-jSEaFtXXMMX4NfPCfmuuHu_BkWhQQ9M9jGw7tuvfe2CyYRabmgZvr_fxV=w1200|https://lh3.googleusercontent.com/pw/AP1GczNugs1X6Ikb_QVCY9E9KcXAM1I1lpcorotoEZej8lHaq165O0TgTTN6qy2eC0iGN7XidV2ii4aHWs1tUGXKyDho2qAcZTV4PtVrku0V6qCRnlBlAD3n=w1200|https://lh3.googleusercontent.com/pw/AP1GczPuhTdMu4l79AdEp1jvi3BWAmdDqcihQsC0wEFLXfZx7OUmETx3YvH2Z96yx6zYpsPDvJOb0ejp2AVU1H5Hlh8imt-9Rcz7Bfqy1Wl0GwitD3gtDrEB=w1200</t>
  </si>
  <si>
    <t>628</t>
  </si>
  <si>
    <t>Apartamento en Conjunto  Brisas de Caña Brava</t>
  </si>
  <si>
    <t>Villa Cecilia</t>
  </si>
  <si>
    <t>Brisas de Caña Brava</t>
  </si>
  <si>
    <t>https://photos.app.goo.gl/G8vhU2ASkSr7biAk6</t>
  </si>
  <si>
    <t>Apartamento con buenos acabados, piso en cerámica, carpintería puertas, muebles empotrados y closet en madera. Parte de la cocina nueva, puerta y mueble del baño. División en vidrio templado.</t>
  </si>
  <si>
    <t>Conjunto bien ubicado, cerca al Colegio Claretiano. Con ascensor. Escritura al día. No permuta.  Parqueadero Comunal.</t>
  </si>
  <si>
    <t>ANGELA BONILLA</t>
  </si>
  <si>
    <t>CARRERA 31 No. 51-60 - T 6  APTO 901</t>
  </si>
  <si>
    <t>20 - SAMADHI RODRIGUEZ, 15 - JOSE LOZANO, 26 - NINI CASTAÑO</t>
  </si>
  <si>
    <t>https://lh3.googleusercontent.com/pw/AP1GczPwqoY6f1agFmtbT9KqQMgpk-pzSX5cs0BGh9cfGFV-o-VGNQtDgXSKcQSY8afItzYm1maNZZvJLJTUa5EZSaDakLO2bX5Ep03irbpZG6U10e1G1P6f=w1200|https://lh3.googleusercontent.com/pw/AP1GczNxttdA7XufoF8XAqRXo37Hy-HXg9w3BWDXZsGNyCzm7SYh063XpX0DsRoaFgQQSIp4ByytJGMzqb3yhSIfJnOgZrsQipPio8MPnbnH-nYixTgUVi8S=w1200|https://lh3.googleusercontent.com/pw/AP1GczNH4-YGIXjkmyeU-iWHNDn0--UWolf0guiLr75sQ-EbX1qQ4r7dIsnlXIUReZ6TW8-iZF7PAsUrEREeN2kzKh04YcjQ_lfeP8QWYAK8zYs-sSKhI2PS=w1200|https://lh3.googleusercontent.com/pw/AP1GczO3qVlC10tjyU672e4p2Z6RRa4XM0aNLjYJL13cbL4XakGFRXH6ivvETWXJi15XmOwDIX6evhK3bCT_WeIU3me5fHdCu6Atgfdu7mXgSlsicj7ZhUWa=w1200|https://lh3.googleusercontent.com/pw/AP1GczPeyQyp5CGl78zxrji2x7ND1DCBsvob-6zAQ-RxIujHgblbTLcew06aXAA7ZnXLTv9WrZ9Ru1EyQgea7p84CiBLSFbMDlFpO_2V4VkU2u8qP2PoIvEF=w1200|https://lh3.googleusercontent.com/pw/AP1GczOM6cCO-YyVqK_ZJvwSb7CYOJpCmVPC9a8Sk0lC8wkw10HE-1Rwb9ycR8w0cdkZ7N1cPXjvAOFRq60mtC6SM5BspPTIUS61AUap3DzGoisQXLGtdssM=w1200|https://lh3.googleusercontent.com/pw/AP1GczPFbriFiSMhQeSqygrHZ91_4sZzvaiQI32c8YQhk1sHgeST0Bo0scenaFkumOYxN3dxLkiULJ3D-2uDe3jG3a5SrKEREU0r_qWpNtK2L0I-qnFrdrOL=w1200|https://lh3.googleusercontent.com/pw/AP1GczPTB0XknthQWMcdFlQzwIoP8_Inp2y_3o6Rd4l3Tb5MvmXzdZTikmeKd2pa7EJp3BtaeoFxgZQRhtmCKWURmMVyOIxs7hqDzDM98iCyuw2iSj9WKfr-=w1200|https://lh3.googleusercontent.com/pw/AP1GczODKxmslwmlx8X6XvwXXGqzKLUDszDs6GWK7CVnZcgkZPri9neE2QfqRhpFXUa_PTcEUNIcKhQLoIQOGszyU0za0U7DHrKdLlS0oYpeXqDN8OZbI7sq=w1200|https://lh3.googleusercontent.com/pw/AP1GczPoN5tDvHU18-1T-OWgvLqfpFoavWfOVNH5Yxjzl8cbFklkWnP-scm-MzUI0sIrPHHj8YwVEM6HoUZ1Ve5rqrFz1hNywAIBVVvSxZK6YA-qDeeaebBG=w1200|https://lh3.googleusercontent.com/pw/AP1GczNpON8Xyyfqd-FvAl4D2BLmp8t1wbMlUB_9B5HeruxQi-fDZ63FeQy0i834Pbmcuz7VOIhFIP-4pfmT3xA2DASWEvjsm2SlyKYFLnlvvoQIC2WqrhDg=w1200|https://lh3.googleusercontent.com/pw/AP1GczPYS6NlqL9R1xXpBGdG3wvWJSH7s2m1CUnaqQwSFT-zKQ66AxWPJqTif2XxZRqqlBnbqeBjjTaNEHdkWJ-oIRsnDkFLGWDP9r923EIj8ZJDJvq2Jbdi=w1200|https://lh3.googleusercontent.com/pw/AP1GczMK2-o98rG-N7CB_xaQ-y1gJOVYgbYyeOPcleLvcK6iFNuuMhm-GyCcBCU1SAF0cpJ_V8eKAcOcn-grOP9pCN2-i_kkevgj0Pe0DVW2zbn1adHGLDts=w1200|https://lh3.googleusercontent.com/pw/AP1GczPCrpbjx1E-80m1dAY2fwBKR5FieurAZXFdJPo062cCFGOeg8PfCThdZs1AsGpIWCpe4_GVlqjBPO3FfmSEe3AXk7LnykgiMYYQIHW1aSw2S3-enRHj=w1200|https://lh3.googleusercontent.com/pw/AP1GczO425gnvCr3PIqvkatZH8Ho4MAdPb51esOZ3SJsqNkc3-vNhJJU8JXNO_3yBJVthfbwrGoskTFPJbQdkyxXBqY1bZi1TJNLIWkkaD2t2dNbFGGMkDMp=w1200|https://lh3.googleusercontent.com/pw/AP1GczOW6qfgHh394MENMBIS5gMF7MCM1di1h4hstyT280evyJI4LHwoiRQcB6vfuebH0Q6NcK4DJRiZBs1UM-I53RkHs8UT3KwNLpmTZ-MzJ8g74ja2Awvo=w1200|https://lh3.googleusercontent.com/pw/AP1GczNSxJyK56zcqrJGLfocPKIGy5RD-AADK44NIoKD8MnlD-e-ftbgKSbNeF4_ZJXcnJYRa7W4IzbPycxe_FWIGsm77Vjm-aGNSCWPLzC7A1onmk4IKpX3=w1200|https://lh3.googleusercontent.com/pw/AP1GczNERQeRdkGVoVUmAHaH33IZUZruTVCkSrgTXp_AhrmGKLU7bXata4tfsTeYGVxLRqYFSQ_1a1g_TEVfZm8Q2YtzZsS-n73AAUjD_v5r-YQbYTAh9_MH=w1200|https://lh3.googleusercontent.com/pw/AP1GczOUL5c5Kk2s5tVLOLK1usBkgylArzVF6uUalCPB7DRsDT-kz9kBCp5ZmCOwpAASeJSb2Hqn0tWBjeLrU5na5HkKDBKWSwPehqXwoZMhMGr9TGybNA19=w1200|https://lh3.googleusercontent.com/pw/AP1GczPY3wdVEaP8KrFLuOiIe3WxdHkAS6bI2cJzvWjBeEd020CowJ0c4FPnzGIMbwLKRtYCvVZSk0hAUhIFxEQdZb3hjXqQwkNPLecJu48mXs_2rJBA2MZM=w1200|https://lh3.googleusercontent.com/pw/AP1GczO5Sob8uIDjvV8kBG-KfZiut57WMO6e9raOW-997fqZgZFHNI-xfJIZ32qwtvEfWohQJi46R3yQ5MgByw_EWAbfIvRKwH4l9VTVhNsx4FNpjiXhoIFW=w1200|https://lh3.googleusercontent.com/pw/AP1GczPLBwVGvbOPnEmiInK2um9RFC6XUZ9-aLparMz3IIlaUpKP_-z5ougA-PUg1aEIU2Zk-YiKQoxQ9dTvgUSq1Hjat-H_BbC5mhL4peC1yMZNV7WSoqbV=w1200|https://lh3.googleusercontent.com/pw/AP1GczMYfbr3QWGnSy_g87Zf-H6NG2ncyLAgBRaezoxOc35EKySnugJ_TTQ1C8uaMdL8u8xA0GEmHQQUiKiYD7mXJpfxPCkhAETjQemWg9ky5lYTZeTp6RfX=w1200|https://lh3.googleusercontent.com/pw/AP1GczNyIqW9M08mn2dyFkRv-gbbfKVE5Vdb8LffMjuExrOLJcCKNGy2nAs0bGOVv7UAOXh9Ip4KycDaYGhe4WmPxJobL7GzV14Yhb_u2qfmQWLGwhTzKOTq=w1200|https://lh3.googleusercontent.com/pw/AP1GczPVigRaB49toM98ER6rlGb1R3xrDqMgj8xt2pwOvVsWQuUpn7rSCO9xSYBf-QUd8sfzbK3URrxFxTVmUmQH_tfPAw5mQ7eN15kczbQbgJvDteCL0frG=w1200|https://lh3.googleusercontent.com/pw/AP1GczNG7jZ9evLspFrqJYmWvBebXweYCnlCUdhznu5pEbk8o9shtVJR6tpAv0SJy388KbeBJ1WgqANETqGHialeR5IKL2gh5J7veLsnwB6Pp8yec67WunCP=w1200|https://lh3.googleusercontent.com/pw/AP1GczOAnMSBrbbwS_j85pfDW9kM0-dCuc80i1UgfX9RmUu2RwQ3aLJUh6oDK3VUwiStsqt4jNQuDwyoKfBTH9m26hSDhmAytvDfo-ZW-xddPXy-izIak9bi=w1200|https://lh3.googleusercontent.com/pw/AP1GczPu9Sg0OjJwdsoCNBJzz6s5yGjZZ1lnJS_XQ2FaoEYe7D_ozHmrrrvvxJZGfSpw9uNIdeac3YCdnKPs83oVwUlC2bqlEvpVrUXP5_mV8I84r58JBOVJ=w1200</t>
  </si>
  <si>
    <t>557</t>
  </si>
  <si>
    <t>Apartamento en conjunto Ciudadela Residencial Entre Ríos - SurAbastos</t>
  </si>
  <si>
    <t>https://photos.app.goo.gl/SKk4jV1DAP7Uk2rX6</t>
  </si>
  <si>
    <t>Este acogedor apartamento listo para habitar cuenta con un área construida de 55,08 m2 y un área privada de 48,63 m2, de excelente distribución. La zona social destaca por sus pisos cerámicos en tonos beige claros, muros con acabados impecables en blanco y un ventanal corredizo que da acceso directo a un balcón privado con baranda de seguridad, garantizando una excelente iluminación y ventilación natural en todo el espacio. El inmueble dispone de 3 habitaciones equipadas con clóset y cortinas blackout (incluyendo aire acondicionado instalado en la alcoba principal) y 1 baño funcional. Su cocina funcional de concepto semiabierto viene dotada con modernos muebles superiores e inferiores con acabados texturizados tipo madera clara, estufa empotrada de cuatro puestos y campana extractora, conectándose sutilmente con la zona de lavandería.</t>
  </si>
  <si>
    <t>Ubicado de forma estratégica en el prestigioso sector de la Ciudadela Residencial Entre Ríos, en el Sur de Neiva, este apartamento en el quinto piso, se posiciona como una oportunidad de inversión inigualable para quienes buscan un hogar llave en mano. El conjunto ofrece un ambiente residencial sumamente tranquilo y familiar, equipado con amplias ventajas logísticas que incluyen parqueaderos comunales exclusivos para propietarios, estacionamiento cómodo para visitantes y espacios técnicos diseñados para bicicletas. Su excelente conectividad urbana sobre la Calle 37 Sur, sumada al confort inmediato que brindan sus acabados listos y su sistema de climatización, lo convierten en la opción perfecta para asegurar una alta valorización y el bienestar absoluto de su familia desde el primer</t>
  </si>
  <si>
    <t>301 4200411</t>
  </si>
  <si>
    <t>https://lh3.googleusercontent.com/pw/AP1GczOWgX-hUfQhVqfMdr5zWyJiqAnxziwiRytkTX6oQJ8a-Xp9QSdVTX73F5Xvco3LRNQFqx3OrtYFMxw4VVR0U-pcsSXLi_cNgrBIZlEsEFAmEmGMfu1N=w1200|https://lh3.googleusercontent.com/pw/AP1GczPWkWpXXW6b8eM6jyv9Pv4sF9OceL2LVrgbbtFw48KZY6gghflIDx0qL-PbdWnDYJLIXLFVd5m-3PLvoHweU4GfocRd6LdL29EJA9d4C6etlL-1sIMm=w1200|https://lh3.googleusercontent.com/pw/AP1GczNkbSIpIePIVETk3-lTP34NkykqtbdlrKxe5SajonD5bGTKrnBkfkG8GGPA0NuSEovmp1EKGqWdgMoNeocafFiA6Y5O4n4pIVTrWtRCMBl7t-fr2FcO=w1200|https://lh3.googleusercontent.com/pw/AP1GczMO7lujbL75kyNDeKXVgLg8Crrznona8xuPN13_FJj_-q09O_KzaK52hOrQzyCTqLZ7_kBp7ZtQo3DyAWXPADiRQ-fZjph_ioxC4y3g0TDZDZwFuKQV=w1200|https://lh3.googleusercontent.com/pw/AP1GczPD7T8-I1fVwlA0aOUscNaF0qxkcXdpO8IpsR8RBWjrPS6JPdgUJ8b2fyfrK332x6JyKiqGvO0uajuO5FXbhYWEqVtaArlpx4Lr15uNwVOi2juxPs7x=w1200|https://lh3.googleusercontent.com/pw/AP1GczM8sy5UBbK2s0IrH25o9VV9wCWNs3Ca-c-046LLk0TY1sHypLxvCpAb7zHnyurWOKRLMUUF-zadwaeTXz5RIkavpBmm_3OMNY4U_FlO67eCVvW0x8Ni=w1200|https://lh3.googleusercontent.com/pw/AP1GczMb4NtqmEqPqsjNY9VH_qCwaSW6ThPMK_5cmNmO1IBBOXefpyDIK6YpvYAe8Am5ujPNvL6K_3r4Z91mdNcr10E9ffayy7SReuQYiGpLZIcgHAxzIhOj=w1200|https://lh3.googleusercontent.com/pw/AP1GczO2U8NADl2SytBunUoTyikVctIBGZilTGVRgZ0VtKZ1W4ANn15PNxcqH6-Utvna2RYj26kFyvG7IIbqn8WQmXiZtG8BpQPf5rh24ikmtK7adxChkO2M=w1200|https://lh3.googleusercontent.com/pw/AP1GczOAtKUJ6UXiILzeoiG9r1P9TEg3tVD-RH3CDQ2RNlx0_UIHFgWSRZg-O_u52g6SdYJl0f7TjHp9LslTgnOpkwPr8skRjPmy93Qgx5F34J78asod8DLj=w1200|https://lh3.googleusercontent.com/pw/AP1GczN0Bde_TIT41xM_Zpxv9srF7NPfBWNoNjUSiS1FOxjzob38whwNTZ4rotzFvnwscR_sclsOFOBWdT-l7vRPnzFkbQjEXuPN9j0JgprRxy0_ocF31S2f=w1200|https://lh3.googleusercontent.com/pw/AP1GczN68A0CskboVRTZm9WBMzsfG1MdB9iobZHG_OHKDvUaA0kpN8JscRkZpT4N6SUjSQWnald7CvthgBm8ve4udQDrHGQD722RCHOo23ATfLMQD-sxRP1a=w1200|https://lh3.googleusercontent.com/pw/AP1GczNhGSCxCb_XVyiqkZuutN_62q1vQfBw0Pr3OpZ24iELjruzfIayeb-6H95DiGc_GmbiRzIgViNDxJJ4XvaEZCQhYhDWKkpxKyOKMFenDpfrZ5j2p94m=w1200|https://lh3.googleusercontent.com/pw/AP1GczNB3J1E4tmGTmcgUS14jNoenBKyRFIUc0ilkqBTfmHnN3K-m9yNgEjX58fGr8m7mBxLMloLVQM0-YmEllhGZQY9Oom24zPoXOCxEVBZk5oVPNjc6AXY=w1200|https://lh3.googleusercontent.com/pw/AP1GczPuqzmpVxufRDlnARKDgglLSc1szgdPkDLen_Wz_7EodHXniq3PO4lfy2ExpLSfvTaolGHYwFFUj3dvw4gqbJlVrE0hX1pAPVPTm3JS6PcLkhJDyg05=w1200|https://lh3.googleusercontent.com/pw/AP1GczOEhZKd0oSVwW731_zjo2R249DkFBx7KSCSKViU81wLf7crI2eKxhxCoUBlIvB53g4RB5fRp0TAmuaR5MhWygXJr-kVB4PjkCdEtgA8H2gi0hIHU8kn=w1200</t>
  </si>
  <si>
    <t>Casa con 2 apartamentos en barrio Alfonso López - Sur</t>
  </si>
  <si>
    <t>Alfonso López</t>
  </si>
  <si>
    <t>https://photos.app.goo.gl/BSCAZzjFCwecqKVA9</t>
  </si>
  <si>
    <t>Casa con 2 apartamentos, cada apartamento cuenta con los servicios públicos independientes. Piso en cerámica, Cada habitación con puerta, no closet. Cubierta en zinc (antejardín), interior en  teja tipo metaltec  con cercahas en perfil metálico. cocina básica enchapada y baño. Tanque elevado de 500 lts.</t>
  </si>
  <si>
    <t>Cuenta con reja antejardin. Cada apartamento  con garaje para vehículo o mpto. Estrato 2.</t>
  </si>
  <si>
    <t>WILDER MANUEL RUBIANO PEREZ</t>
  </si>
  <si>
    <t>Calle 2 No. 25-43</t>
  </si>
  <si>
    <t>https://lh3.googleusercontent.com/pw/AP1GczOqe50zM2IC3g__jFHGPItYlzmS68HHhvgb4p_aaWK0Q8fOY9ab7jvW-_7g2c0L7mCLvLKUKi1RAOv_ZhF9Vbay-w64GQLZtgk_zDiRXw5rmbGpq-Ff=w1200|https://lh3.googleusercontent.com/pw/AP1GczPHIKvZlMr6Ct8xGetB1uYiDEE8VokQB6AMDXT1Y4uwLZfPrpOON1Qvtz7yHnsDJf_vI9sVBZ1RcCdXhAXL9MbkQzjDFNqwsk3t2hdbWvtE8DKs1csu=w1200|https://lh3.googleusercontent.com/pw/AP1GczNxzfWRyzunoOAX3LnzCBfHUezCbE0sVzNGtUo5sPJ4Ev6hsOZyn7LOqKxvyXAL2WUssLJkZfuiTlUePq2YbKAZicqXrWkqUIwGBEo-LQar9kMV9ywU=w1200|https://lh3.googleusercontent.com/pw/AP1GczNuKbcFdiex_kMp8tQZr_UqZNQnucVogORjF7BOZNoC96o1eJgVqHXsyjd-ocjtk2-7DAz-hZ2VFcogTUlp_cdzB6gZ8ALlxGKJp562hjstAV7tCyba=w1200|https://lh3.googleusercontent.com/pw/AP1GczPLaGTHUSXRSjlSXFlEAqrLlbs-NUbK5ASwALw9j95q7xgzct23e6mXOmjPSmFHTCBXjojUpm0fcVH6ISozGJxdOf5iJ8P2uLEV6T-ZbP2o3tkykMwY=w1200|https://lh3.googleusercontent.com/pw/AP1GczOeYuQllfVSr_6t5mgsX2Hp5agVHiUqSLp0CtjCjU-Qy1DNDFJzjRxF43JbVfNpGC2d6yrqku193yKMna7GXeBwoCe6dUlssW6pPqYyNHL8dFJJdNZ8=w1200|https://lh3.googleusercontent.com/pw/AP1GczPR_GGVSzykRUuR6vz9FbwHFAmygf0mG0aS51qMRSNPnCYicicC3IrGzMiNk4MQ96uJMezWuySuxvffEinvAqva5A8DpHWNNTTTq7faEVJ-d1vE-ija=w1200|https://lh3.googleusercontent.com/pw/AP1GczONQspDoa61lhjxibGPT119a0wHA_y0gRQteN23yWDzh0Bht2HC0fHa8ne6ScgYmSygJLbS6Qzr_oZXWoWutFxes2B1YPgVq0X77426UcldgI3rOkEE=w1200|https://lh3.googleusercontent.com/pw/AP1GczOWx5_N3dT9vR0Qy2bhZ5ignyHkI7sXffTBl8ph3xQk5eemotERyER0cYrdhR-T_n-MY4zSfWvTDusuznf-bpCXpyVMvnOthKrqdiOBmtyS4o403mCP=w1200|https://lh3.googleusercontent.com/pw/AP1GczOoiOarKhVpKCZ_RFWyEh2bpK6YOSlPJx6IzF-hswp_5H_hy8bOE__l9edJ8iBbU6VL1AcLLcMD8LUpiHdNbrPYyGsCaIRL2Jslx5gbCsuRZ9hAJi62=w1200|https://lh3.googleusercontent.com/pw/AP1GczPGB8NrsLrLelHAgbs6qqXumJ2qO57BotRhKSHvh3MK9B7muFCNvaqF8-sC_uprIsZsyQM12E-hCYjy5w-cGUIyUdSyVp73lvQRHbfZ-t-z9cEIh2Wv=w1200|https://lh3.googleusercontent.com/pw/AP1GczO1Z5IqNgbELeOkEUU4jQbna4YV8JEJDfwJjJScP1ZNxrGzGRBMLce-0LNdunymdzkL-K9-tWSdFRvAlOa4aqr8Cq-g7SXSo0zTqOD855ooHs7NiNdZ=w1200|https://lh3.googleusercontent.com/pw/AP1GczMB4CFccqnu07A0tZWDrfHFkZbbRpXiwDb_NMTu9eTNOSg0fPh45xo9qll2R0lnu72QzjX4THb-DKRP-bMiLyutKUMdWa1eAJ0OLDTm1wUmhEv07wzc=w1200|https://lh3.googleusercontent.com/pw/AP1GczPbUjYyBXGtzVMTK21u4_oKRx_JBOAub0nvVlXvdeKrj4QRGS-XblgfsO8K5YBnJB3y1vhRHL01GPUrGA0sWFgCCJzUdhlUpZRWq_UbH6ltuM2LBBHY=w1200|https://lh3.googleusercontent.com/pw/AP1GczMNiTzwl-iVMvJA3Z51gkDu4bB2Xef36Dm8HK0jBV2J6DL3pL4wYqkR5evIWNH5ageOCO50zD_Uaz_jR88y3J8cbyWvK5AQf00rH0haLRey-wJM-5WX=w1200|https://lh3.googleusercontent.com/pw/AP1GczM0MHvId6t8roLtvjteCE3fsDDn_TI7YuZRsyjih-tqTLKamrHp358msrtLm1zPhNPNXkmEtl6Hyi_FkU2XGWzab2dDiVFHN68nzl3g3ApDU3nE13K8=w1200|https://lh3.googleusercontent.com/pw/AP1GczNRB-dm6r26i4hCDRkldq6Yjzm7pRmCqyINDV81J1anhFXIS7sacFTZPaxAwPxWsoUtSEEgBd9amvN2qC9rqkNPekFGgoGdbL252uAB-cGm1HJlDjtO=w1200|https://lh3.googleusercontent.com/pw/AP1GczM043doPjEKToANEIfWA-HsEEvTPMU4Yolek5keIo47tbRHkjhy9HHZrxGa0wJxrMJZ1w7JZM2TRo-p9TXMUBuRQOJyakcM_2LhmD0Zu7dJk4GVoWrB=w1200|https://lh3.googleusercontent.com/pw/AP1GczMwiiB2u7LlPSbOTTiGf2yrQt9raFhHrHX0p4brHgWtu3_Nqu5vnAchrthE0wPmKpmjDk07sPk15AciqNPmpQZlH9YASGJ7N3dZZrR2nZkyA0mdk1nU=w1200|https://lh3.googleusercontent.com/pw/AP1GczPo1a1uqKWcYx-Q18eWWl9QnWAa7OgVxtWKZUsGHxISx1cXtBB8SPQCB3VDDHSjWwBlj_mJmsf6uLvV2T_0vwHDp-tgoaQiPWFe5xbF471KrqwhrjU7=w1200|https://lh3.googleusercontent.com/pw/AP1GczPvdUOkL_pUsVu1RYfpADOMgsHl5OF-UuCTRoD4wgkDssOITviRlHIsmpROrwqdul4OV0gMckznGFZkEfZhgCIKdCHPPMaU_5AHi0yJI6-0sNxiybGb=w1200|https://lh3.googleusercontent.com/pw/AP1GczOE_Ml822TRoBmHY2Yp4OLWthZYmPnCXFXHdgMPPrNXDTu81BVc-CLH3HNjXn-AGP4lUB4_dehi2Yz0zwnvqxBjPjaBcVfw1y22SQQS82sdfPHotOFj=w1200|https://lh3.googleusercontent.com/pw/AP1GczNe04spoQV1S114e0HLxersXHUwclXlY_9NjAuNDhERpB4jqWhCdLVosVerRdyIme9-i9yCt-PjmhsMRzp45V9jxl_MnqtWf1DIcN3aw5w3tXpFqsxO=w1200</t>
  </si>
  <si>
    <t>362</t>
  </si>
  <si>
    <t>Apartamento en barrio Las Granjas</t>
  </si>
  <si>
    <t>https://photos.app.goo.gl/SJMUPeeYXJSxe7dz5</t>
  </si>
  <si>
    <t>Apartamento con reja antejardín con garaje para la moto. Dimensión  aprox. del lote 3.8 ml x 20.0 ml. Las habitaciones sin puertas. Patio. La cubierta en asbesto cemento. Piso en cerámica. Escritura independiente y al día. No se permuta.</t>
  </si>
  <si>
    <t>MIRIAM SUAZA</t>
  </si>
  <si>
    <t>https://lh3.googleusercontent.com/pw/AP1GczO8zPP5gyF414vCSI4yvfSOSXXsOJ8MnNocvmB6hSTCXgixXKhvpfsCNKN9-f2mVabgGdcydKWk4NxIKJReGQlKqyaKmpOgwiWEyTAHzXKckrGDjMtI=w1200|https://lh3.googleusercontent.com/pw/AP1GczMQsPchgFKIHo4iwHgkf_1eMrgBv-Trqovl7OWARQwxkqdbDKf_vlC9Vz3gEsNhsmq1fo4Gf7NHEPIJ7Uv4dxUeJhAC9wqUJK4YswW8NjSQ34NqvfeZ=w1200|https://lh3.googleusercontent.com/pw/AP1GczMkYWZ4GzHKonSAjiFlvVUDaq-NqdZcL0MyAjTVSFKBweiMr80HWKPRiltaOhWKt-Fv8gxyqfD1Mo_ju-cLfmGzWgeAjCPG8zA1oiJKnP-cLQXpJ2Xi=w1200|https://lh3.googleusercontent.com/pw/AP1GczNvH-9BGrKsKCzMhe0ZkeUTRZSjHxV8ILNAHS8dJX1jnwC1Zuu4_ZmvySH40N65j4n8LAn3mjdMWOVsjpku89SozwNWmXpGb1tNtX_NxwXUcqZM-yev=w1200|https://lh3.googleusercontent.com/pw/AP1GczPwn9i59Xa_6Uw4Uj9Yb7G64r9xUw7QrTseJSMo3Z-wXjCJR5CG1oqQTywq5wkhdtUZkrglG6LYmkq6A52heZxnHE2zsjkYY2ymcs0jNPRrp9usAR4O=w1200</t>
  </si>
  <si>
    <t>601</t>
  </si>
  <si>
    <t>Lote campestre via Rivera (cerca al club campestre de Neiva)</t>
  </si>
  <si>
    <t>Villa Gloria</t>
  </si>
  <si>
    <t>https://photos.app.goo.gl/JKVo1UiTY6XSxcpR6</t>
  </si>
  <si>
    <t>Lotes ubicados  sobre la  vía al club Campestre. Son13 lotes en total, (12 lotes de 2.000 m2 y uno de 2.493 m2), precio: $140 mlls y $174 mlls.  Dimnsión del  lote 50.0 ml x 40.0 ml. Portón de ingreso principal, red principal de energía eléctrica, con punto de agua no potable, biodigestor de aguas servidas, cada lote con cerramiento de limoncillo single. Financiación a 6, 12 y 18 meses sin interés de financiación y se sostiene el precio. Se entrega con escrituras al día e inmediata.</t>
  </si>
  <si>
    <t>LUCAS Y PATRICIA CORTES - AMIGA MARCHA</t>
  </si>
  <si>
    <t>VIA RIVERA</t>
  </si>
  <si>
    <t>https://lh3.googleusercontent.com/pw/AP1GczOSQTR239_Rg-j1MR_v0tg_7X_9ogkQuhDCc_rPrIFMaKsBQoCEWEMgDFucgtZ3p4y4H_UM84lqmeQzCRe8FPlZywODlBrkXdGzlkniip26f6b4dBRE=w1200|https://lh3.googleusercontent.com/pw/AP1GczMxGMGPnPDPUOX11nXVZb3Zo6GvDbvdvyTxmpvJKxwiPcJofgJ9LYMv8UAAZdT57KmlethuYhHzRrZc0-Vkmxt0gHiZz7qDaPQ0iqxY3dwWIma_bChL=w1200|https://lh3.googleusercontent.com/pw/AP1GczMYiS2qWdxFFWipa-IRvg-pYbW8EqWyljq_LWMPm9NCmlEF1Fk0aZIgc9Yr3WNqbU0fWieCn4G8NINaifxDnZzZAUvNbja9pd7aMiYxachX0VLxCP7Z=w1200|https://lh3.googleusercontent.com/pw/AP1GczP5oxZOquxr-PVievhxlUpDspzcaE1v_rHvwQj_gqfym6JstsEWfawLjt-1yDaP3ymrbwo1HQzZGv9_mPhk7xlvH9-UBqhRA8UaPq5J_yNEOhi_Q9md=w1200|https://lh3.googleusercontent.com/pw/AP1GczPw3hcAyT7q2W66bQ1SuJ8NLd-_ot4KfBInOixm_mNmd-z0ImSBn5_OilsJHY115_M66D-plcSkKhFU7WcNLVuJDbUZkiCG0lea59KwYfEym89v8OYb=w1200</t>
  </si>
  <si>
    <t>599</t>
  </si>
  <si>
    <t>Casa en barrio Luis Ignacio Andrade</t>
  </si>
  <si>
    <t>Luis Ignacio Andrade</t>
  </si>
  <si>
    <t>https://photos.app.goo.gl/rxUrK9BFFM84Kqpb8</t>
  </si>
  <si>
    <t>JHON TRUJILLO</t>
  </si>
  <si>
    <t>CALLE 84 No. 6-21</t>
  </si>
  <si>
    <t>26 - NINI CASTAÑO, 19 - PRUEBA v</t>
  </si>
  <si>
    <t>https://lh3.googleusercontent.com/pw/AP1GczNPn0LsLF59a5MlViLzVaTVsRDJpkiVZaiYPVzIXd14BEdAfo28G3ljPJA7AHBYWoq4nKrH9ec071uY8JIgHaZWFCBT2nYG5VFk6keMI5LSDO-zCs1T=w1200|https://lh3.googleusercontent.com/pw/AP1GczN5iB_uoy2aOmzV19VSg52ZCE02mQ8EvmZBteDBhQJxa3g6u11KeZA-h1EmPBSeHnzLhLeAJzKNOKgwELy8ChASxoQK6x-yhp0Gy1AWkfDFXbGPPWa7=w1200|https://lh3.googleusercontent.com/pw/AP1GczOUDDVxF6zBOt1kVqYSYuxtIM04cosaEfdGw3OSkp7yVrVHWNCl2aGtTpZ-LIkDfgesTkTrhXQBd3j_hT4pp0N27iAqVb7yKir1CsP77MZQT4qNajRX=w1200|https://lh3.googleusercontent.com/pw/AP1GczPaH192A7bBhw58beulOCAqjRlwU4xhG6x9E_cqsMfAAoe4vjdzqvr3Q2GJDdUknOLj932GMhwNMIG5jOvP8ZLXBekTVvKIJf5aun-0c7Wolp4OOC_G=w1200|https://lh3.googleusercontent.com/pw/AP1GczNnQ7jw1gm-mg5QBdB-MvJ_qZBXlqd6Q0t1_Q62OjRU5njobQ6l_ZEw4QYTA_X9FzPuTBJJRBvm1teiAj5uGm38XDgSbdyXc0pnVuRKSQRKefYpK3_o=w1200|https://lh3.googleusercontent.com/pw/AP1GczPyqYEYwokGXVq8MGibyi6Lg_rm1H3ASZuHe1JMDRW2Kxby8OoLFd44RsF0rcUoH6L5urONwKjg2o8haleQK4QHGJpSJbwjuvP2uR2UmrkN8SyS2xFs=w1200</t>
  </si>
  <si>
    <t>787</t>
  </si>
  <si>
    <t>Apartamento en Conjunto Residencial Prados del Sauce - Sur - Vía al Caguán</t>
  </si>
  <si>
    <t>Conjunto Residencial Prados del Sauce</t>
  </si>
  <si>
    <t>17vo.</t>
  </si>
  <si>
    <t>https://photos.app.goo.gl/LGq5j1zdPGfcTaQw8</t>
  </si>
  <si>
    <t xml:space="preserve">Apartamento en conjunto, con buenos acabados. Cocina integral y habitaciones con closet </t>
  </si>
  <si>
    <t>Conjunto ubicado Vía a Caguan. Bloques de Apartamentos de 5 pisos.  Parqueadero Comunal.</t>
  </si>
  <si>
    <t>CALLE 49 No. 37-170 T6 - Apto 103</t>
  </si>
  <si>
    <t>https://lh3.googleusercontent.com/pw/AP1GczO3TuxG-xCRGwukz3Nia5voLwyIXc_J5vqefyqxhxm534m6PfraglVLxhab-SzZa3rb-a-1JuF6pE8VDpihmk51oz8VxtYz7y3M78o5tIjb3LXXVnWA=w1200|https://lh3.googleusercontent.com/pw/AP1GczN2RvB9R_Y0H1kGQNkm6lGhfVsEuovJNtF2znOSgJ-Bicl-ULn0ZsQZ9vgiQQvJEYTujC-V9SDeFpK3asFJjn4u3jFjJmrdCNLJNHL9ECUwN2FHqFYa=w1200|https://lh3.googleusercontent.com/pw/AP1GczMD5aJsjPFr7YhrX-HomQ25ep_EgkZzIUsB1GnY59Ksxc-EylOFSO2qfn8LNT-pvdF1H5CqDZ6QkaS59pUc5-uOHY6e_mblGQfwWIOoN--IqJVjtsRa=w1200|https://lh3.googleusercontent.com/pw/AP1GczPFHOqTYbmHBtoueeRa8ZU8gIXOm3GA8RAm6cLhhuHuA7rAaQVzxTzRoefbezxZ43LHQi1JwhKUG6M7vl0RnwFjmOatauaw0-vrYxA74Miwg-B9JqmW=w1200|https://lh3.googleusercontent.com/pw/AP1GczMjFHP1iMO-Fbgd7e3m7eI6lzO8qaJwpKqd6d6zzC_J5JeuMB5NWL3IBgZetpPKMDkC8W3iUIJbdcc6AiiY2EJPLrpwJh0eIBjV1nb7TlvHI0GuqMIZ=w1200|https://lh3.googleusercontent.com/pw/AP1GczN2Zwcnlr2WPsgK-qMIiQVeXvP5-oYvqzzBUzjcQDnFunVEc5_CMDIA2pjXu6MrrLqG3B0y78ya8vaaHbq-S7Vk-Q33IzvyPd-SdBrFdZJVdhHHnw2k=w1200|https://lh3.googleusercontent.com/pw/AP1GczPR2sBuraC6W3UzMfA7Ftkksat5lY1vSYX4yrsRLx11sp13jTAStv6XJ9iJm1V0r-dB31V1XL-60OdY-8ekBDe8jP-iOHCeAerzKWLLOYIQNCooVji-=w1200|https://lh3.googleusercontent.com/pw/AP1GczOIiHyFx57SaVy6K1r4bl2gaWr6GXHXdRHLk5Jby81dpPVt2qlit54LhDDjIh8LeB_9ZqxESkhVSyaseDvHqGRNHYp1E9j3aNscEIxMkopJQeSuVsLE=w1200|https://lh3.googleusercontent.com/pw/AP1GczOePT_7optKJnbwGbGpfeptgr2F9B0QG5U8SojrjkzW0E8UlXBeLAv87qTuuZOZ7lPbNS6IvP30_zz3cDtLZ-LPYTxBRGjOR1DSUCBOxTF0TGVPITY4=w1200|https://lh3.googleusercontent.com/pw/AP1GczO4uIyb7yzPvExOwYq9JGW5QyYAXTPkXZCWmyalKBqZk7jFJk2n-OUdOfyPoq80muVQvxj5Es7Hsr9qO29RmndsKC3bHUOj_L4rJ0Kb7c2ius7B8T70=w1200</t>
  </si>
  <si>
    <t>Lote en conjunto Condominio Residencial Miralagos - Vía Sta. Clara - Palermo</t>
  </si>
  <si>
    <t>Conjunto Residencial Miralagos</t>
  </si>
  <si>
    <t>https://photos.app.goo.gl/Ggtmyu3H5psC3Sba9</t>
  </si>
  <si>
    <t>Lote en conjunto con servicios. Dimensión 18.0 ml x 20.0 ml.  Cuenta con 4 lagos, bosque nativo, senderismo nativo, infraestructura deportiva y recreacional.</t>
  </si>
  <si>
    <t xml:space="preserve">El conjunto  ubicado a 10 minutos de Neiva. Cuenta con 62 hectáreas, dividida en 578 lotes. </t>
  </si>
  <si>
    <t>ADOLFO CORTES - Quien vendio casa Triunfo Codg. 538.</t>
  </si>
  <si>
    <t>CALLE 37 NO. 3P-135 KM 1</t>
  </si>
  <si>
    <t>https://lh3.googleusercontent.com/pw/AP1GczM2wZG9JeBpHOB6yD-B-mGBTDk7i_OaGn2MXdxfzHPePH1VTgBDXB2qYB6scFvGCiCUwEGLifo7IUKTDVeuxykuMnzfW9DfA7HoEepReoWdsvxphz_8=w1200|https://lh3.googleusercontent.com/pw/AP1GczNaKssPye6ZQxEqeRK7GZM9894UG94osuR1k4o2dM07zqDX4Al-kqzplhwTtEukyjwTa3UyAdTfNozscQzbxmOyr5bV1SczCe9AyssGAMM0Xc0VjePV=w1200|https://lh3.googleusercontent.com/pw/AP1GczMjrfE2FO1H40maEW2EoKUFv1vWhYaPzcjgYGGQgfkX6Z3TGzk6Pfu16YjtV8yPJR7bN1dXp5sL-9cZnxWW1biYakJ7cmaxIPVWWPi_ceRLHjWApX8X=w1200|https://lh3.googleusercontent.com/pw/AP1GczPNivl7-dTjoSMVDkG2I7miuqHnsm4-B5654R7_sDT1ZoE_-AVEGl3yPAtb1jTmha5fOLiUZ_X7-ZosltlrCPK678d2pDYY7rgBM2_59LHHn3rMNCpI=w1200|https://lh3.googleusercontent.com/pw/AP1GczPFtrQzINnO0bLvbLu1mtDW9fk1nBbXo84d-t-77re3JrzkN07OH8Nb9p2CQEeZOY0WezWhrxPvwACgIM6EeHoA1D249YHJNRECGzT3GTKHUem1Te2S=w1200|https://lh3.googleusercontent.com/pw/AP1GczMamvHNt3d1ivlQ0Lf_9BE9_kKK20XH1TitD6c5UgLJFe7kwJ7EodQRFNftLaz38eHudv1cprhKk5NChmobsehck18cxHiOmnIp3ZLoskIPsaJ9qFeY=w1200|https://lh3.googleusercontent.com/pw/AP1GczNo1uvjvqQbwE4jqE5yy_OuLuxBhTtiuZjf7KIvEPpjTOUjd90WKkoIwslnrn02VGPBbEwM9SMvUS-1Ou4mtPvqd2e1ROhncxFxR9e62SK2812P3yOe=w1200|https://lh3.googleusercontent.com/pw/AP1GczMbJ_WdrLhv5Z-6hTeQECdn_YjhpS7x3_95P4sygJ-AdMvpwKE8C_fX1j4_hAcU_Rq8tFiFGAFRaKEInjltkWTv9M9dXk06eYmhfwswN1HsriB0KOw7=w1200</t>
  </si>
  <si>
    <t>837</t>
  </si>
  <si>
    <t>Lote Industrial - Pitalito - Huila</t>
  </si>
  <si>
    <t>Pitalito</t>
  </si>
  <si>
    <t>https://photos.app.goo.gl/jojk7qmaE45pJ4Kc8</t>
  </si>
  <si>
    <t>Lote medianero ubicado en la zona Industrial de Pitalito. Cuenta con servicios públicos. Escritura al día para la venta.</t>
  </si>
  <si>
    <t xml:space="preserve">Lote industrial localizado cerca al Aeropuerto El contador de Pitalito. </t>
  </si>
  <si>
    <t>Arq. Douglas Romero - Jorge  - Pipo</t>
  </si>
  <si>
    <t>Zona Industrial - Pitalito</t>
  </si>
  <si>
    <t>https://lh3.googleusercontent.com/pw/AP1GczPmQAJXmB_J0DXc-Rt4vLtylaN_nmuF8P77U4QFSVB4jbBItS0eZdCiYrpomVxWFN10jonCjc_DLCvQ9fIvAd-uOsi-2LxJThh6Sz1VRktQe6PdR36b=w1200|https://lh3.googleusercontent.com/pw/AP1GczPyDaKHx_mnmlGtEQ0w-8mzM4W7TuxcKOwdjsXeJjgH5xTzQ_wvWSqvyHPlbLtI2M9_2pIt5h9m483p0E13YyeR6_a1L92NOnbytb-BuBxnWHiET9MA=w1200|https://lh3.googleusercontent.com/pw/AP1GczOoVBcSPkTQaAq36T_3tDWH1IJsrZqSvSYS-v8c3Te0zeVxiSBgNYvFbd1mL5io8-pQG2ytIvcF1_60Nw2u2t3DIe8tknVS9oOOMbij5HRaGP8sO-V5=w1200|https://lh3.googleusercontent.com/pw/AP1GczPPyuLoQwmIV6uUlcePi4-Dd8Y8lJq_NIdEE7WnWzlsPETdXFeU1sjm2vham5aCFBa6bXETdXo8Ag4Eq3ojgsqi5DFQgn_1MyN439iypwZ5Gf_veI_C=w1200</t>
  </si>
  <si>
    <t>585</t>
  </si>
  <si>
    <t>https://photos.app.goo.gl/UhXT7z2hCdqHdySs9</t>
  </si>
  <si>
    <t>Excelente oportunidad de inversión en Neiva! Se vende acogedor apartamento ubicado en Bosques de San Luis 4, una zona con gran proyección y excelente acceso a transporte público.  Este inmueble es ideal para quienes buscan su primer hogar o una propiedad rentable. Cuenta con un área construida de 56.17 m² y un área privada de 50.81 m², ofreciendo una distribución funcional cuenta con 3 habitaciones, un baño, que aprovecha al máximo cada rincón para brindarte comodidad y confort.</t>
  </si>
  <si>
    <t>El apartamento destaca por sus espacios ilumindados y bien ventilados, pensados para el bienestar de toda la familia. Su diseño optimizado permite disfrutar de un ambiente fresco y acogedor, listo para que lo adecúes a tu estilo de vida. No dejes pasar esta oportunidad de adquirir vivienda propia en el Huila a un precio altamente competitivo. ¡Contáctanos hoy mismo para agendar tu visita y conocer tu próximo hogar!</t>
  </si>
  <si>
    <t>Prop. Stefany Sastre -  Enseña Apto Marina</t>
  </si>
  <si>
    <t>Carrera 33 No. 30-36 sur T 23 Apto 103</t>
  </si>
  <si>
    <t>https://lh3.googleusercontent.com/pw/AP1GczNOlUW2K0sDoNMj4C_uhO4HjqtXq4zu6mT2FrR9rcTtMjI_pK94hRWXsHe6Mr_PS5IGWwGYzrr5xu3iySgffItoOsj2UD50Z2DWJReQvEiw3EcJ3zZP=w1200|https://lh3.googleusercontent.com/pw/AP1GczNEA33VcQ9ihMkiXM1WLGb3W8xceB2RocoroRqx2t3pcCfyrnhNnHduR62Zgzsj0tzNhPqJTVJ1NI20Q-hkZTDJgKuVwf1_uA1E1o6FlzzobWi3g3qs=w1200|https://lh3.googleusercontent.com/pw/AP1GczO8dVQjTqAqN-TBQXFS5TLkJUmXfiIJUDR0TqY6eNoBSx1NcdkcVYFJ3IYHa-syL2NvcevLKo8gJi30ggT7GDcV6qVngpeBgnKqDiLXfF6Z5huu8vP2=w1200|https://lh3.googleusercontent.com/pw/AP1GczOKEcwUj95W95mFDbvLXtWfvE1uPT_pXRIE1FXYmcKHFds-UARmnn3kETGqBEsBZeVBJ5t_cYTOXN8c3nyUv_kPmW4CsGmSuOLLJIM6VmzpENv9SY16=w1200|https://lh3.googleusercontent.com/pw/AP1GczNucaxRH19dJWYtcIkvwIs9PhGYAR_oXOk9m4z5obmEjReJzoUB0g9X8nIwg52fyhOQQpptyBg2QXzguleCpQE6dB_oxo5uvHAmKHMsu_9HCjE_Fd7y=w1200|https://lh3.googleusercontent.com/pw/AP1GczNlk1YRabg0dQDB2oIKjw2In5Re8fMHrFYHm49_Qj5tMT9Ym_fipcCDriHCWNQVjBEURZ7ucozNB8yHFQjSfmwoR0TcxjkKdUFu5wFsigAgxBYQ84s4=w1200|https://lh3.googleusercontent.com/pw/AP1GczMM_wuJBfgmij5ejOC3zrdkHiHa8LYxTg-IfD2S63oTEiSpJAZrtOzagYZXK5v5yQQ_i11QXvb8eN3DpJSLsOMWY5pa4qtefyshKVfqnoKBQ-t8d12S=w1200|https://lh3.googleusercontent.com/pw/AP1GczMtbuqI-yXwTP5Nrct9NNSlffhBrudvmkS1eq8IdXv-4Ngyw_11ptjg13DIWG3rexLESq6Si1_Rzdv9iHbwaY-BYobzbiPi-rUQ1Z_uJpcHWP82neU0=w1200|https://lh3.googleusercontent.com/pw/AP1GczPYfnRsFRRQC_eNXs5DIY_BCjFiqjNfmeT6TzONP86IrFAbiHUs7SkGD5kMOgEyxv2TjnaC8y__qSPn1QNs04vlraIrcIMa-yvFsHvUHLP-5xwjUZ6u=w1200</t>
  </si>
  <si>
    <t>783</t>
  </si>
  <si>
    <t>Lotes rurales Vía el Caguán  - Vda. Normandía - Huila</t>
  </si>
  <si>
    <t>Caguán</t>
  </si>
  <si>
    <t>https://photos.app.goo.gl/3uguP1XrxbDbXXfz7</t>
  </si>
  <si>
    <t>L1 - Lote ubicado sobre la zona del mirador.  Area: 1.826.12 m2 -  $140 mlls - - - L 9 Lote ubicado en la zona intermedia. Area: 941.80 m2 -  $80 mll - - - L10  Lote ubicado sobre la vía principal placa huella. Area: 192.0 m2  - $ 55.mlls - - -  L 14 Lote ubicado en la zona intermedia. Area: 478.0 m2 - $85 mlls.</t>
  </si>
  <si>
    <t>En total son 18 lotes. Vía en placa huella.</t>
  </si>
  <si>
    <t>CESAR ARGOTE</t>
  </si>
  <si>
    <t>https://lh3.googleusercontent.com/pw/AP1GczPnWD3g652IgJtV5mTxbL0R4WymlQ8kFHLXDq_HnPiGvtxbSrvBK-bLH_DKPrPrRFqVRrRAaW0utIGNxb_EVRFrKMSFpX2yNp_6VneDrlmLm8MUGYmC=w1200|https://lh3.googleusercontent.com/pw/AP1GczMkErvotbm6jVRVM4vtM4f_RQwuBr2JR_0GCF28QDOpK0nKpGJ1Eel1XV9r93sqloiFdwBRVSHQ2VdJ7SeKd3l2qCfF7NwYC3LP9Kt9MyKYOkMG8Sla=w1200|https://lh3.googleusercontent.com/pw/AP1GczPFirZ2IjTo-ZpLCOTCz1IPZBz0AbiJJHKkwnhoZacfLeJFe6Ocy9yjjG8gs4kjy3xCAOp73UlKcPJI0_2qWooiHk1eA6pQxTC3-n3H3pADUeLevZFF=w1200|https://lh3.googleusercontent.com/pw/AP1GczNtpLPF9yH76RMsJ_LalY1fQszVDsIF1FYAy97_voeJASE57K5w4vLN7wyPJz9rKpQbxa-du_JbpWwT3D2ic7ZPx2QVl-MAjZ4ZoJAA4lj2LDAdBp1x=w1200|https://lh3.googleusercontent.com/pw/AP1GczMH2Hf2F2kXlcbj_MwBP8KyWlhruhQNezr7tuUZYXTFoW_WeOqVyCdcx_kG9p7nDJ6q4afmEonXztmU9s6TFZAQYR9cB8zsr8aIMQhM_uLiAn4lQqge=w1200|https://lh3.googleusercontent.com/pw/AP1GczNXkfdNxCeP9YdqQtc9hgJPkIGLTLV8fVP_lE6-l8NKrQlbO0KTZHTT_P4MsSJyfti1g8Wphnpz-yks_mc6ZojcwGfHuWfSF4bQ5WLolZyUJVU3fk0J=w1200|https://lh3.googleusercontent.com/pw/AP1GczMYNPksSl43t3py1SiG0Y8PAXC74BQjbVMsjdwxgYG2xQyYj4G-ILqtjWcc6qF9rTIddKYq_69iF8572ZCoK7xmh52eS9lixDKQOzfrRSxILsvunSuS=w1200|https://lh3.googleusercontent.com/pw/AP1GczPH23ZOHfWqxkjVmOr5-36QU4snc7BGJSauiBfAGO3ZPA-lYLpqWo67xdkio8vBDGW3PRQ2KYT64BB2MFjUjS5Vw-Z82KIWkjAPoE_MzBVroG5JFNAM=w1200|https://lh3.googleusercontent.com/pw/AP1GczMy4ItC_m07fg41l92jBNL5Mx3e6lCjG7JipZjepkQzGbxDWaTc_Yo4fqMu0KgrKD521CsCOEGfBglQyqU63zAanLQSgpFibH3DnrqHNCC1OFMKQc7t=w1200|https://lh3.googleusercontent.com/pw/AP1GczOo-I0BszyZ9xZIRha7DhzJnLVpNECyAgxe29HNo0vbdSOurYxdGCiaczc7NsRYqVYXlIiXWcJyfLqrjxIl3wh4K0fsyHC8vq3neYc7OzXC9aaor2EB=w1200|https://lh3.googleusercontent.com/pw/AP1GczPGMJjaszvj7QrCC5Djtu8d44UBXHrrIe5H0NphM8BFGy-llG-fns4s0lZImnckTbtttHJZBLJXSmh3dyHZvFbGGty0y9VBSsqwXupuUvFnO_knCdG9=w1200|https://lh3.googleusercontent.com/pw/AP1GczPh8sOfWnz863C4qetmqFrhG18jv7GiQAMHZ8OpZx5iSvpY2i5RfkZq6rjSLrLlGqj0WmwWep1w9xoyaFi_uuh-RyJJ-7zZy0XqlVNL67HguWrc79ef=w1200|https://lh3.googleusercontent.com/pw/AP1GczNNkDjrK1A92o23gTYPCxjv4E9EkNeUwszT0rNaPcVxpNwQc7XduIEox2WWKEFaeszB-PwlALup9J8Ilw5YSUlS9rNaTGyDj36tb0dlUK3i_ifbeDPm=w1200|https://lh3.googleusercontent.com/pw/AP1GczPgJxh3j0T_K1lrkx7pGDYt1OfJfvpLngtSwYuMSRR-XUdXnx3ZYsOwIe7IYJ-5X0mCztHcPn-1FAFyOQTEab3HbC7fjeCppKe4xO7vtnTc9Ochx7as=w1200|https://lh3.googleusercontent.com/pw/AP1GczOg9Zfjp9I3mpPO4kWU5EyCrLtlfR2foLT_GoxLv8djxhtohmJ3vs3J1gQwANqSENGV26a8LUkyuKndCNUBOu0u7sTq0o5O-9RE-lUUziwNFazgpjiA=w1200|https://lh3.googleusercontent.com/pw/AP1GczPwsLoebxIAl5iRbm-p6F3iq09DRiDQnPcmP23a2sZaeFhdbF94ycstqxfWI_qp1AKxgxoJCzBvpZ72jnMsFARO-rad6UjhGfaf6rSsOHLMdE-NIGm6=w1200|https://lh3.googleusercontent.com/pw/AP1GczO_PBu3qlEzHhrY5BiehvA7Ak9Fx7ZLipjlDDAz8qpz5oHUqRax-k5Qe8BcVg6DI8uDxs5CsXaUNw1paXdHiZ0U-_dDDYvALVb0tkEC7eh8AWS7H1n1=w1200|https://lh3.googleusercontent.com/pw/AP1GczPPywgjh_VTTy-SSUTWGsP0o7rbtA5uUw374BCvEh1jq0GPeYCGpHCKD8qc6rPLo8dXygEJvDEMtycxBq9Pp85QrTlaJtK5bBL9f8CrZmyNOifvkpSf=w1200|https://lh3.googleusercontent.com/pw/AP1GczN_xn0MB_OI0bypERAQWsw9Yt53v6cTEORpg1eFe8qZ8qV-5BSShwCORF0q_hU288RArJbYecLKMzjZNpJBZ6uWS75bbCkn77BWtrgcaQMix3wqmwZU=w1200|https://lh3.googleusercontent.com/pw/AP1GczNeOUwYyHYz84HcP4ly422yb-j1vi9tlKdhgTuDBYj1qhdRIz-dj06A-hExesXoxYvIiCEPe8eDEUqqp_7vMuxdjfu5BQ3xO7uKweXllzjonfd4bkAI=w1200|https://lh3.googleusercontent.com/pw/AP1GczMWnT9odTjhVBip7Z7rMkrtCOFw6W2irM9FssoaM3nFzS35twxvnBvbWp73gjs0nRW41U5P-CRum13c0sWAf0NQfDlkDuBd4e86msIbZ0QpFp5pJqsg=w1200|https://lh3.googleusercontent.com/pw/AP1GczNFUULxYc6Zx4yG8DQTtlIoo7ybhqTMH46Qz3anWxTdoB_miCRdNx8JxkJpzVNQ-SUOFLR9KwMBI00VmZb0KoWi8QHO66Qf2RNwPYI73Y1RqW9kFK6K=w1200|https://lh3.googleusercontent.com/pw/AP1GczNeqXiuT7iutFEE993eOXilgQOXZ7JGDPPFuDlFv1tB4gCoVNuYM44OApXikEQOFHFqukkAfppPjctL3faaG1nus8XelYLws_udKFBxH9N2hxUpYYwQ=w1200|https://lh3.googleusercontent.com/pw/AP1GczNSrQJaX7Dbeec_Bpnp6mooUxDdzNdi52j2LWcltSPsDQDK5XLxHBB5UV9JMlMPeHPIuU10rI0xcFwcWnJ8YxA5BGELTwLcaq2J9-tvcsuNnUxBJ4em=w1200|https://lh3.googleusercontent.com/pw/AP1GczM1u7Ye_5KTkGluXHy-NcrW7zNyvOibKCW9oFexT3xz0woUjaCGDMeD8gmUOi-Qpe7vGEYYml1mmpHqo-KvrijErxFMY0Nvt_ZDQ56ECS6ORDVdokG0=w1200|https://lh3.googleusercontent.com/pw/AP1GczMrrgo8dkL4q5nK0t5Zpqyf0BWGELpmY5FUt4VPz9FvMFZTFRAMgObgnMzRKVV-ogBJ8mlvmOtfKQ172320HUtdIGw6hZ4gL-lqDNYHTM4WSFSGHwHW=w1200|https://lh3.googleusercontent.com/pw/AP1GczM6RKBTUuvYwfqrDDXLlGnyNuanXP5qrpipkyHdvT0AMr0Fbze93dVrA7b2IITJVVckW3mTKrgPNa97lXGwVbv1JOytDi3gPYibKvlwRPZc1-XMkPgP=w1200|https://lh3.googleusercontent.com/pw/AP1GczMJ-Jv8U9JEVH8lOLQ0rcH7O5BBCF4R1mTPmJa0XyT3pIDNSTD7I903j4_pCRBSrPqdAexgZ1ik4enN6vV6SdWLLPpk5qRH8MgJ_HtMg881ImP8Pzmo=w1200|https://lh3.googleusercontent.com/pw/AP1GczNppuAuMWRDYPbW_qxyStYN2vtkuC9d1qsOuqtEskJFAeqZNyKWT-hkaIjKA9rtuScsWhxEdOfTQgopB242r3r8L9xnDtp08Aqwu-jkVKiRPGqpwFvU=w1200|https://lh3.googleusercontent.com/pw/AP1GczPZcxnDtM4ISHLyO0dSxQfvzR2-YbHm9ZUpAGEoA90Bk2fhgxitiJjfw_K9QP65vsgbX0oSqfYazO4Rdmb6BHQa5o7iT2aoRE6dNyyjT09rGXqV3sTW=w1200|https://lh3.googleusercontent.com/pw/AP1GczMWD7yRc5mzmbTP8X_xGnvZjn9pePItWjlWfF415om-64NVqZ7I8ENk5mlNsur3uCq6cjkvegyXqibH7tBi5Ksg6V_19DQC82yMaE7_052Sv4rvawJI=w1200|https://lh3.googleusercontent.com/pw/AP1GczNY32_NUI8qzL06Gbmlm68ExJBVlBEOdRqo0FwILhdeY9Ca4rB1JB4Xvoe_BGg8dbCoufvFc_g-kcqiipA9DMTv3wGBFSRZbmLtmLBaKRDMJ9s2_Wo7=w1200|https://lh3.googleusercontent.com/pw/AP1GczOd_XlCe906x_TxRjo7-nr5yr6srFtBIGerAjOmRJofvLvgacwkeq2KChFpG3_eM_KJ14HB5WwZzUyoPFGxaWO4vvkWNQQp_B5htoHu-mbm-32VpHKv=w1200|https://lh3.googleusercontent.com/pw/AP1GczO_G0TiyR_HUjalkHT4O1boDe6PdosE-U52zLqeYOFc70a5NFzzN9fuQY7cqj1j68Nam8ixY--CEZVvg_HnFXZiNZTBpA_2THRTr_-pPBzSJp-PwjkL=w1200|https://lh3.googleusercontent.com/pw/AP1GczOdvnXNIWipVW1u8vczNQ17EF_RVoJYPuyZYH4iP3jabegqz1slTNd7kDmYuKmhk3w8kFPnR1FNsipR5oYt2oH68UYlVVDqRiHchftePI36goTNB_Hi=w1200|https://lh3.googleusercontent.com/pw/AP1GczNDFvX9WJcX-SXWdlHiE4eJt3d2Ed2VU-KV_chm97HTCuasklEOayqgTEjLA8HMVb_HwvqMrcq7iPXKAjvHo19nZVkCeNISVcBTpJoBZvjkMIFQyCjK=w1200|https://lh3.googleusercontent.com/pw/AP1GczMedpU8pUDz5dX7Z2gDspcIP3zKuWoe9unZPMeomsZajkEnOV4UkmVyfW_ANBfG716JRv5SFyiRe4FRNSSMKMxHjzimdfHiJ_nrP3CdXBM2xtDeNhvR=w1200|https://lh3.googleusercontent.com/pw/AP1GczOlquvlkr39zu1fU0LVwnu8bL8mmLbSpjIO3gdfnd0Vg81HAa0Ppr7vxF8nKpJTZQw2TyHdMMXTdu5cZ9DS14g4Q4VERmetCQ7NxAWRE7lp7Z1MNtQh=w1200|https://lh3.googleusercontent.com/pw/AP1GczOURnQXoteaqqCeOVRYap7M4DfDOZg5w1kAtOTe7wWftX_wtUGknOuukmS2oIlbw1ItiCYFFyAiSRCqMPts0rKUkPgENeT-QqqSBe_KYCe90MJo3pJS=w1200|https://lh3.googleusercontent.com/pw/AP1GczOqtR0EcE3M-Lc2Lph8v4KMKGcyHxdJ814oDVvbS2qQxCg6hziyePJc3HHD2zsamcL4_GAo-bQhzIavHQ9GEFjgNhJ3koOnyoqaLI9lDWC8TVOWCaV4=w1200</t>
  </si>
  <si>
    <t>167</t>
  </si>
  <si>
    <t>Lote Esquinero en barrio Villa Angelica  - Los Pinos - Norte</t>
  </si>
  <si>
    <t>Villa Angelica</t>
  </si>
  <si>
    <t>https://photos.app.goo.gl/sHg7YC8a1VFwhZUV7</t>
  </si>
  <si>
    <t>Lote esquinero, ubicado vía los pinos, conjunto San Pablo, barrio Villa Nubia. Dimensión del lote 7.0 ml x 24.0 ml. Ubicado sobre Vía amplia destapada. El sector de Villa Angélica se encuentra en proceso de legalización de las escrituras. Se vende con carta venta. No se permuta.</t>
  </si>
  <si>
    <t>Marcela Rubiano</t>
  </si>
  <si>
    <t>https://lh3.googleusercontent.com/pw/AP1GczP1KVFh7M5IKi5aZzu2bNjkgBI6qVCQX1fzTn0GM9kyyvma5KwXjGMxEUZffBGzCp7GRWTzUP4B6za13CDQIrykcXVu8ndvBvBFILSs3N9TXjkR5LRV=w1200|https://lh3.googleusercontent.com/pw/AP1GczNZjQPkMSP-2lGbyVEJruDwVA6Pbald6X9DdBzVCyx_OnSSCXiIhW4f_g9KdgV3lI59e8o5ThxGB_We1bSWZvvb-kemZOFxXAhcG8ZLK-VPF8-ppma7=w1200|https://lh3.googleusercontent.com/pw/AP1GczOiW2f_PE-_Ld-fuKPe7dAn4dC58-4X03ZOK7SYqHsgiQRO9mNSPzLeN34a4AvFZ-hJ9fwzjgfV94xPOakts5EQ73F7j2BA7Ef589-7w0LIF8KeCJh1=w1200|https://lh3.googleusercontent.com/pw/AP1GczPngWK0cBFcgWn4Tq-ImUEXkj2AaWu_yrLW8uYo_HmO9MOk9esXSrBbdf7guILh9KiakCUgxJIXp0K9xUzfO9eLDo84d1IqoP6CB-nMKyf7AEzR-RQQ=w1200|https://lh3.googleusercontent.com/pw/AP1GczMhIfDBZ3nVwaNldhJ5o7TrAgAje7UDx_hsJdwilbGFL2AVzvvEirZhWIQcKWFvJfqWjCsRVhhsLh4Qb9TZAtygeJbfcM66PS-OZc_Or_P6YREJ2hBT=w1200</t>
  </si>
  <si>
    <t>367</t>
  </si>
  <si>
    <t>CALLE 56 No. 17 C - 24</t>
  </si>
  <si>
    <t>327</t>
  </si>
  <si>
    <t>Lote en barrio</t>
  </si>
  <si>
    <t>26 - NINI CASTAÑO, 12 - LEIDY YULIETH, 19 - PRUEBA v</t>
  </si>
  <si>
    <t>326</t>
  </si>
  <si>
    <t>Casa lote en barrio</t>
  </si>
  <si>
    <t>250</t>
  </si>
  <si>
    <t>Casa en barrio Santa Lucia</t>
  </si>
  <si>
    <t>Santa Lucia</t>
  </si>
  <si>
    <t>149</t>
  </si>
  <si>
    <t>Apartamento en barrio Alamos Norte</t>
  </si>
  <si>
    <t>Ubicada en el segundo piso</t>
  </si>
  <si>
    <t>120</t>
  </si>
  <si>
    <t>Casa en barrio Gualanday</t>
  </si>
  <si>
    <t>NO FOTOS</t>
  </si>
  <si>
    <t>O</t>
  </si>
  <si>
    <t>3 - INMOBILIARIA JOVEL</t>
  </si>
  <si>
    <t>059</t>
  </si>
  <si>
    <t>Casa en barrio Calixto</t>
  </si>
  <si>
    <t>LUZ DARY</t>
  </si>
  <si>
    <t>15 - SINDY MARCELA, 40 - ALEJANDRO ROJAS MARIN</t>
  </si>
  <si>
    <t>031</t>
  </si>
  <si>
    <t>Apartamento en Edificio Alcalá</t>
  </si>
  <si>
    <t>San Vicente De Paúl</t>
  </si>
  <si>
    <t>ALCALA</t>
  </si>
  <si>
    <t>123</t>
  </si>
  <si>
    <t>IVON - LAS GRANJAS-3 APTOS HERMES</t>
  </si>
  <si>
    <t>392</t>
  </si>
  <si>
    <t>DANIEL - PROP. Frente a don Diogenes</t>
  </si>
  <si>
    <t>CALLE 16 No. 7A - 60</t>
  </si>
  <si>
    <t>214</t>
  </si>
  <si>
    <t>DIANA</t>
  </si>
  <si>
    <t>CALLE 15 No. 7A - 60</t>
  </si>
  <si>
    <t>095</t>
  </si>
  <si>
    <t>PROPIETARIO - 3188895176</t>
  </si>
  <si>
    <t>JESUS SALVADOR SUAZA  Propietario - TU JURIDICA</t>
  </si>
  <si>
    <t>342</t>
  </si>
  <si>
    <t>Casa rentable con dos apartamentos en barrio La Toma</t>
  </si>
  <si>
    <t>PROPIETARIO-3209788288</t>
  </si>
  <si>
    <t>CARRERA 7 A No. 14 - 21</t>
  </si>
  <si>
    <t>500</t>
  </si>
  <si>
    <t>Casa lote en barrio Chapinero</t>
  </si>
  <si>
    <t>SANDRA</t>
  </si>
  <si>
    <t>CALLE 11 No. 9 - 29</t>
  </si>
  <si>
    <t>383</t>
  </si>
  <si>
    <t>Casa con apartamento en barrio La Toma</t>
  </si>
  <si>
    <t>NO INT + DESCRIPCION</t>
  </si>
  <si>
    <t>EDGAR - NO PROPIETARIO</t>
  </si>
  <si>
    <t>CARRERA 7 A No. 13 - 33</t>
  </si>
  <si>
    <t>099</t>
  </si>
  <si>
    <t>Casa con dos locales en barrio Las Granjas</t>
  </si>
  <si>
    <t>ENVIARA FOTOS</t>
  </si>
  <si>
    <t>LILIANA VASQUEZ</t>
  </si>
  <si>
    <t>AV. 26 NO. 35 - 23</t>
  </si>
  <si>
    <t>19 - PRUEBA v, 20 - SAMADHI RODRIGUEZ, 35 - LUIS ANGEL VARGAS</t>
  </si>
  <si>
    <t>065</t>
  </si>
  <si>
    <t>no</t>
  </si>
  <si>
    <t>RAFAEL PATARROLLO</t>
  </si>
  <si>
    <t>CALLE 14 NO 7A - 47</t>
  </si>
  <si>
    <t>056</t>
  </si>
  <si>
    <t>Para remodelar</t>
  </si>
  <si>
    <t>REINALDO PASCUAS</t>
  </si>
  <si>
    <t>CALLE 14 NO. 8 -77</t>
  </si>
  <si>
    <t>786</t>
  </si>
  <si>
    <t>NO TIENE FOTOS</t>
  </si>
  <si>
    <t>3162397941-3202513702</t>
  </si>
  <si>
    <t>OSCAR FERNANDEZ - 3 HERMANOS</t>
  </si>
  <si>
    <t>CALLE 21 A No.5-54</t>
  </si>
  <si>
    <t>458</t>
  </si>
  <si>
    <t xml:space="preserve">Las Granjas </t>
  </si>
  <si>
    <t>EDWING RAMIREZ</t>
  </si>
  <si>
    <t>CALLE 39 No. 7 - 115</t>
  </si>
  <si>
    <t>104</t>
  </si>
  <si>
    <t>Casa con cuatro apartamentos y un local en barrio La Toma</t>
  </si>
  <si>
    <t>Inmobiliaria - Esperanza</t>
  </si>
  <si>
    <t>AV LA TOMA NO. 7A - 39</t>
  </si>
  <si>
    <t>40 - Ing. ALEJANDRO ROJAS MARIN</t>
  </si>
  <si>
    <t>344</t>
  </si>
  <si>
    <t>Casa con seis apartamentos y tres locales en barrio Chapinero</t>
  </si>
  <si>
    <t>NELCY - PROPIETARIA - INMOBILIARIA JURIDICA</t>
  </si>
  <si>
    <t>CARRERA 9 No. 17 - 30</t>
  </si>
  <si>
    <t>434</t>
  </si>
  <si>
    <t>Casa con cuatro apartamentos en barrio Alamos Norte</t>
  </si>
  <si>
    <t>NUEVO</t>
  </si>
  <si>
    <t>LUCILA CONDE</t>
  </si>
  <si>
    <t>CALLE 50  A No. 18 C - 22</t>
  </si>
  <si>
    <t>353</t>
  </si>
  <si>
    <t xml:space="preserve">NO FOTOS FACHADA </t>
  </si>
  <si>
    <t>GLORIA</t>
  </si>
  <si>
    <t>CALLE 15 NO. 7 - 61</t>
  </si>
  <si>
    <t>196</t>
  </si>
  <si>
    <t>Casa con habitación independiente en barrio Campo Nuñez</t>
  </si>
  <si>
    <t>HENRRY CAMACHO</t>
  </si>
  <si>
    <t xml:space="preserve">CARRERA 7A  No.19 - 60 </t>
  </si>
  <si>
    <t>178</t>
  </si>
  <si>
    <t>Casa con siete apartamentos en barrio Rojas Trujillo</t>
  </si>
  <si>
    <t>Rojas Trujillo</t>
  </si>
  <si>
    <t>JOAQUIN EMILIO ROJAS</t>
  </si>
  <si>
    <t>CALLE 25 No. 1G-44</t>
  </si>
  <si>
    <t>151</t>
  </si>
  <si>
    <t>Casa en barrio Chapinero</t>
  </si>
  <si>
    <t>FOTOS INTERIORES+ DESCRIPCION</t>
  </si>
  <si>
    <t>LUZ MIRIAM</t>
  </si>
  <si>
    <t>CARRERA 9 NO. 20-36</t>
  </si>
  <si>
    <t>1308</t>
  </si>
  <si>
    <t>Casa lote en barrio Las Granjas</t>
  </si>
  <si>
    <t>JOSE BALMORE</t>
  </si>
  <si>
    <t>CALLE 45 No. 6-35</t>
  </si>
  <si>
    <t>26 - NINI CASTAÑO, 40 - Ing. ALEJANDRO ROJAS MARIN</t>
  </si>
  <si>
    <t>233</t>
  </si>
  <si>
    <t>NO CONTESTAN</t>
  </si>
  <si>
    <t>XXXXXX  NO. 16 - 39</t>
  </si>
  <si>
    <t>351</t>
  </si>
  <si>
    <t>Casa lote en barrio Campo Nuñez</t>
  </si>
  <si>
    <t>193,40</t>
  </si>
  <si>
    <t>HECTOR MANUEL - Propietario</t>
  </si>
  <si>
    <t>CARRERA 8 No. 16 - 01</t>
  </si>
  <si>
    <t>295</t>
  </si>
  <si>
    <t>Penthouse en edificio Quirinal</t>
  </si>
  <si>
    <t>https://photos.app.goo.gl/ZsxjJVGp7uJorD948</t>
  </si>
  <si>
    <t>Ubicado en el sexto piso</t>
  </si>
  <si>
    <t>NO FOTOS FACHADA</t>
  </si>
  <si>
    <t>WILBERTO</t>
  </si>
  <si>
    <t>Carrera 5A NO. 16 - 58</t>
  </si>
  <si>
    <t>40 - ALEJANDRO ROJAS MARIN, 26 - NINI CASTAÑO</t>
  </si>
  <si>
    <t>https://lh3.googleusercontent.com/pw/AP1GczMVKxFKX2WLwWWvK9Bb3oPbdmF6g4771xVGVcX-EU5NhM3awTHzqzcZQ79yu2F0GSlYKrtUL3R0UbovhHtuLPk6rkDo6eXjge5gusnblvXmPWETUUaf=w1200|https://lh3.googleusercontent.com/pw/AP1GczMy4WqeCRFUWQCDGStM6hWoFaM8CnK6Ts5tDPW2o6EP_VOU-eYjwE90cE3OIi27WToqorWRdcWyYUj7i_vs3YMRPydJalfdsW-PI7p7F7GCIaLLFMeV=w1200|https://lh3.googleusercontent.com/pw/AP1GczPlku3_bRQqhGtKkOQk4CForInjWuxRiqW060NoNMex_FHh_ZJCBe0U6aRrl8zRLxBRpVtNClfVZ2B4GXDeJ680WEKLM-pDfneSfnZlbUPHzdlOvpdO=w1200|https://lh3.googleusercontent.com/pw/AP1GczNcXNsCaPq5IcAJ5irzhEPC0nVE6UtUGp4AgkB8IPY8Bn4QUSRhutPMb8qn_Mbwru_1Te8rT5lBTbHH3hpEeiXUW4Ae01LarsI4izV5T4_2WyWgMP9a=w1200|https://lh3.googleusercontent.com/pw/AP1GczN0RHlRXM9GdtLqC1y8v5y8nwkfk33Fby1Ji6UONRHPWUWlJ2yxm_IpGsExIWbkCvVRk1HYdCYn1_kG4Dh93B3K2DWw9voR7sq8IDJGSuez3DSdVEjj=w1200|https://lh3.googleusercontent.com/pw/AP1GczPQPC78Yks3K4a9PCdQXQWm76X3MHamU2IXc39MWWQxHu2HVwDUxqaqZDhp8gTtz9bR82SrXYb9n1UhkGFSPc6xowXcFb17A_x-f5OimG9grn_wPk1B=w1200|https://lh3.googleusercontent.com/pw/AP1GczOonQsvYWLc_uhCOd1pCquSohFTImgmKX4_ZygOVKD0LkUQXvhh9ipfyXbLNkYuVvXgDbvMr17yLi3k567ZTW1tadDZ3A-gzOICH1q8TMlG2jO7ePxu=w1200|https://lh3.googleusercontent.com/pw/AP1GczOuPtDLX1q7vl3vDU59u20Izbqq_fPAOYDcq9EddziiNxabkQ3Ae-rjcPBZN1uIK6wjXA3MM4J2IqeRJbxgTUzwZ_0eH8DM_S9I0iupFOF2-kMStM1v=w1200|https://lh3.googleusercontent.com/pw/AP1GczP9ZbVMgKrG8kudHbzAX9UzhnfJDcYMDokVqYfwMguhHW_9cpPsA26d1ftSdR_KI_GZcnfgmPDsLbeDpsI6rwObXx_TTYAKChmNaZdWT7Kv-cPEpNJ2=w1200|https://lh3.googleusercontent.com/pw/AP1GczOfsXJgw-1EgoYBrltmrIBFPiwKMPlIe-v-20Ieefq3VVwuYoX7BsLIvpm66tjr1BWy9n0ydkcxPayEJ-IzWZpWzXuHe5HcEZUTZU05oDZaylh8TIXs=w1200|https://lh3.googleusercontent.com/pw/AP1GczNTwAemTlH0qdXqj0rU3_R8HbEh_phY9NDolp786af3YAKkA14oifpQWFcNxSDO8KW7O7KPd2398obh9OHS33uS1A89O_POAJ2jdjjuVUqfu4MJGh14=w1200|https://lh3.googleusercontent.com/pw/AP1GczMQBcZdrECKf53a3IJNUb7fv2mZWivppYAGS6TpAMC4Fln5xQX_S8PSdZqP6pJY07CETcOJV8L4ZTXW96IEjrDX1OsoKdjinMpW-91j_D8kL7L2ldah=w1200|https://lh3.googleusercontent.com/pw/AP1GczNe-WtYCtDrqFZFe4KXvP_UGwiYNkGK2ufdASNH3sQIbNk5efXxypRimCsQthvjeVw-FdIfaPDkS1JiYdloBMoSFQ9d-qD8tpUhEhJZppoo5tU-ywXW=w1200</t>
  </si>
  <si>
    <t>274</t>
  </si>
  <si>
    <t>Casa con tres locales en barrio Chapinero</t>
  </si>
  <si>
    <t>PROP - 3168123209</t>
  </si>
  <si>
    <t>CAROLINA</t>
  </si>
  <si>
    <t>CARRERA 9 CON CALL12</t>
  </si>
  <si>
    <t>195</t>
  </si>
  <si>
    <t>Casa con dos apartamentos en barrio Campo Nuñez</t>
  </si>
  <si>
    <t>NO INT+ DESCRIPCION</t>
  </si>
  <si>
    <t>DEICY</t>
  </si>
  <si>
    <t>CARRERA 7 A NO. 18 -88</t>
  </si>
  <si>
    <t>097</t>
  </si>
  <si>
    <t>Casa con dos locales y un apartaestudio en barrio Las Granjas</t>
  </si>
  <si>
    <t>Claudia</t>
  </si>
  <si>
    <t>AV.  26 No. 37-29</t>
  </si>
  <si>
    <t>536</t>
  </si>
  <si>
    <t>Casa con apartamento en barrio Campo Nuñez</t>
  </si>
  <si>
    <t>147</t>
  </si>
  <si>
    <t>Casa  rentable  en barrio Candido Leguízamo</t>
  </si>
  <si>
    <t>(6) normal</t>
  </si>
  <si>
    <t>ORLANDO ROJAS</t>
  </si>
  <si>
    <t>CALL3 32 NO. 1A - 06</t>
  </si>
  <si>
    <t>129</t>
  </si>
  <si>
    <t>RODRIGO GUTIERREZ/ PROP-BEATRIZ MAMA</t>
  </si>
  <si>
    <t>CARRERA 12 NO. 17 - 25</t>
  </si>
  <si>
    <t>060</t>
  </si>
  <si>
    <t>Lote en barrio La Toma</t>
  </si>
  <si>
    <t>SARO-AURA</t>
  </si>
  <si>
    <t>CALLE 13 NO. 8 - 51</t>
  </si>
  <si>
    <t>5 - Inmobiliaria ROCHA - Andrés, 33 - MARIA ALEJANDRA MONTES R.</t>
  </si>
  <si>
    <t>021</t>
  </si>
  <si>
    <t>https://photos.app.goo.gl/xnKaAo1zMB4uBUjJ8</t>
  </si>
  <si>
    <t>MILLER - GRACIA-MAMA DE PROPIETARIA</t>
  </si>
  <si>
    <t>https://lh3.googleusercontent.com/pw/AP1GczMzHz67XwXsYJngg4Tfk-em5kWXyuzYAiFqUVF3o3Fp4ep0a8Py5sZtO13HX2j9BsQLDJTKOQtQV4ubE3-13CFOu851XuGWY_3Yydh9GwHRm-oAi_qN=w1200|https://lh3.googleusercontent.com/pw/AP1GczO8vWtseZr18OMzwRYZ1g8kaKKGAguQh2aE4r2DGZGjdQ6yKfvx4MryFz6shcac-SprxBDHBCj7tMlHLb3OsY5k_0VhUx9eyqr_BSltSVOLLOTDn9o3=w1200|https://lh3.googleusercontent.com/pw/AP1GczP0Vz1XcnFflsdaoUui4glH-XDWWaW4w7gISZaIPjdJhOiKv6c1_Htb1mE-eqZAJkrJAA9OVJlEv-GG3RYgCwNBJaTqxWT0Rv0BPL94Zyrbg6R4qMFf=w1200|https://lh3.googleusercontent.com/pw/AP1GczNXbfBlsVMGRvF_wPDtPuCg_bD8CoDXa9cYh5yCKEgJpa19kINU4wnZd9ALhGNL52NBECJcCULYlI8KzZj4J4DuiThOw9pT3-bGMAbPeu9T1TNEDz8S=w1200|https://lh3.googleusercontent.com/pw/AP1GczOHF7xCdpvUJBEoA06-7Cn5fNPLF28LTrLjWfoZD07hZ5KsLNBRV-_YH511MzAE7YzKHCJzgHysyYlTubyZTezGtQrl5T2esi9Uqnw2Tnd1Nt0n1HfY=w1200|https://lh3.googleusercontent.com/pw/AP1GczOO7HUAQdlQMlp62gaCnzBxHxKkkm8K6fjTyNda6bVYshvObMwnMKvuJ4h3gdxGs7N6BJMN1blL4C7BypV0ia_RqhM2AdidhzwCEo5uN4zdULtXOHx1=w1200|https://lh3.googleusercontent.com/pw/AP1GczObm4dk9e3o3As4iPvGlAdv2wLYMrGkhWwSco2FpxuA6VBNiATfphbbXKvdYD4pUw6uZtlhbcdO-oRJNOU4hesJK4Up6E34q7_m7hVBZO6oFd2aE5UM=w1200|https://lh3.googleusercontent.com/pw/AP1GczNLbabcmkXfmoM9CR0GuLZcw-cF42Yd9-yUGgeWLGm1AySByToVkVrkZKrUecVoJ8CRIPWtNH29_Enp00DbSk_lLE4rrqrtqVe-2NdZ5hY_F-z1W0qC=w1200</t>
  </si>
  <si>
    <t>278</t>
  </si>
  <si>
    <t>TATIANA SOLANO - Propietaria Casa No. 265</t>
  </si>
  <si>
    <t>CALLE 6 A NO. 13 - 31</t>
  </si>
  <si>
    <t>359</t>
  </si>
  <si>
    <t>Casa con dos locales en barrio Chapinero</t>
  </si>
  <si>
    <t>NO INTER + DESCRIPCION</t>
  </si>
  <si>
    <t>RAFAEL MARTINEZ LOSADA-CESAR HERMANOS-INMOB. ELKIN FIGUEROA</t>
  </si>
  <si>
    <t>CARRERA 9 No. 17 - 40</t>
  </si>
  <si>
    <t>349</t>
  </si>
  <si>
    <t>Casa con dos apartamentos y una bodega en barrio Campo Nuñez</t>
  </si>
  <si>
    <t>ARMANDO - HERMANA SANDRA -  NO DESEA INTERMEDIARIOS</t>
  </si>
  <si>
    <t>785</t>
  </si>
  <si>
    <t>188.03</t>
  </si>
  <si>
    <t>no tiene</t>
  </si>
  <si>
    <t>NO FOTOS INT</t>
  </si>
  <si>
    <t>INMOB. LEON CORT</t>
  </si>
  <si>
    <t>LLAMAR..OJO…OJO..SUPER OJO</t>
  </si>
  <si>
    <t>732</t>
  </si>
  <si>
    <t>NO FOTOS-FACHADA</t>
  </si>
  <si>
    <t>3163955267-3192920519</t>
  </si>
  <si>
    <t>ROSA SOLANO</t>
  </si>
  <si>
    <t>CALLE 14 NO. 7A - 11</t>
  </si>
  <si>
    <t>300</t>
  </si>
  <si>
    <t>Casa con apartaestudio y un local en barrio Santa Librada</t>
  </si>
  <si>
    <t>Niveles</t>
  </si>
  <si>
    <t>FRANK CADENA</t>
  </si>
  <si>
    <t>Calle 13 No. 14 - 21</t>
  </si>
  <si>
    <t>28 - ALEJO CABRERA</t>
  </si>
  <si>
    <t>194</t>
  </si>
  <si>
    <t xml:space="preserve">Casa lote en barrio Campo Nuñez </t>
  </si>
  <si>
    <t>FERNANDO BEDOYA</t>
  </si>
  <si>
    <t>CARRERA 7 A NO. 18-52</t>
  </si>
  <si>
    <t>061</t>
  </si>
  <si>
    <t>NO DESEA EL SERVICIO</t>
  </si>
  <si>
    <t>MARIA</t>
  </si>
  <si>
    <t>CALLE 12 NO. 8 - 21</t>
  </si>
  <si>
    <t>358</t>
  </si>
  <si>
    <t>Oficina en barrio Unilago - Chapinero</t>
  </si>
  <si>
    <t>64,67</t>
  </si>
  <si>
    <t>Ubicado en el tercer piso</t>
  </si>
  <si>
    <t>GERMAN CASTAÑEDA</t>
  </si>
  <si>
    <t>248</t>
  </si>
  <si>
    <t xml:space="preserve">Casa + Local en barrio Campo Nuñez </t>
  </si>
  <si>
    <t xml:space="preserve"> - (Con Placa)</t>
  </si>
  <si>
    <t>CARRERA 9 NO. 16-51</t>
  </si>
  <si>
    <t>555</t>
  </si>
  <si>
    <t>Lote  en barrio Campo Nuñez</t>
  </si>
  <si>
    <t>408</t>
  </si>
  <si>
    <t>Casa con apartamento y apartaestudio en barrio Las Granjas</t>
  </si>
  <si>
    <t>ver en google maps</t>
  </si>
  <si>
    <t>402</t>
  </si>
  <si>
    <t>Casa con un local y una apartamento en barrio Sevilla</t>
  </si>
  <si>
    <t>PROPET- 3016675793</t>
  </si>
  <si>
    <t>PROPIETARIA LORENA POLANIA</t>
  </si>
  <si>
    <t>12 - LEIDY YULIETH, 14 - JOHN</t>
  </si>
  <si>
    <t>370</t>
  </si>
  <si>
    <t xml:space="preserve">Casa en barrio Campo Nuñez </t>
  </si>
  <si>
    <t>NO FOTOS INT-DESCRIP</t>
  </si>
  <si>
    <t>SIGIFREDO BEDOYA</t>
  </si>
  <si>
    <t>CARRERA 7 A No. 18 - 52</t>
  </si>
  <si>
    <t>292</t>
  </si>
  <si>
    <t>Casa con tres apartamentos en barrio La Toma</t>
  </si>
  <si>
    <t>NEIVA</t>
  </si>
  <si>
    <t>LEYDY - SOBRINA DUEÑA</t>
  </si>
  <si>
    <t>CALLE 16 No. 8 B-30</t>
  </si>
  <si>
    <t>7,5</t>
  </si>
  <si>
    <t>199</t>
  </si>
  <si>
    <t>CICERON</t>
  </si>
  <si>
    <t>CALLE 19 NO. 8 - 40</t>
  </si>
  <si>
    <t>161</t>
  </si>
  <si>
    <t>Casa con un apartamento y dos locales en barrio El Cortijo</t>
  </si>
  <si>
    <t>El Cortijo</t>
  </si>
  <si>
    <t>MARTHA</t>
  </si>
  <si>
    <t>790</t>
  </si>
  <si>
    <t>NUEVO - 27 ABRIL 2023</t>
  </si>
  <si>
    <t>ROBERTO PERDOMO</t>
  </si>
  <si>
    <t>CALLE 27 No. 8-30</t>
  </si>
  <si>
    <t>386</t>
  </si>
  <si>
    <t>FREDDY RODRIGUEZ</t>
  </si>
  <si>
    <t>CALLE 58 No. 18 C - 24</t>
  </si>
  <si>
    <t>283</t>
  </si>
  <si>
    <t>Casa con apartamento y un local en barrio La Toma</t>
  </si>
  <si>
    <t>MARIA EUGENIA</t>
  </si>
  <si>
    <t>CALLE 14 No. 7-44</t>
  </si>
  <si>
    <t>217</t>
  </si>
  <si>
    <t>WILLIAM RUBIANO</t>
  </si>
  <si>
    <t>CARRERA 8 No. XX</t>
  </si>
  <si>
    <t>238</t>
  </si>
  <si>
    <t>Casa lote en barrio Quirinal</t>
  </si>
  <si>
    <t>DORYS-INMOBILIARIA ??????</t>
  </si>
  <si>
    <t>MARTHA CECILIA SANDOVAL, 45 - MARTHA CECILIA SANDOVAL</t>
  </si>
  <si>
    <t>2152</t>
  </si>
  <si>
    <t>INMOB. CONSTRUYENDO SUEÑOS INOBILIARIOS</t>
  </si>
  <si>
    <t>163</t>
  </si>
  <si>
    <t>Lote campestre en Vereda Buenos Aires - Timaná</t>
  </si>
  <si>
    <t>Timana</t>
  </si>
  <si>
    <t>Vereda Buenos Aires</t>
  </si>
  <si>
    <t>VEREDA BUENOS AIRES</t>
  </si>
  <si>
    <t>399</t>
  </si>
  <si>
    <t>PROP. LUIS EMILIO</t>
  </si>
  <si>
    <t>CALLE 22 NO. 6-39</t>
  </si>
  <si>
    <t>329</t>
  </si>
  <si>
    <t>Casa con un local, dos habitaciones independientes y dos apartamentos en barrio Villa Carolina</t>
  </si>
  <si>
    <t>CALLE 57 A No. 20 a - 06</t>
  </si>
  <si>
    <t>293</t>
  </si>
  <si>
    <t>Casa lote en barrio Sevilla</t>
  </si>
  <si>
    <t>MARTHA CAMACHO</t>
  </si>
  <si>
    <t>272</t>
  </si>
  <si>
    <t>Casa con apartamento y habitación independiente en barrio Candido Leguízamo</t>
  </si>
  <si>
    <t>3102788276 - 3123036231 - 3123112563</t>
  </si>
  <si>
    <t>MERCEDES</t>
  </si>
  <si>
    <t>CALLE 34 NO. 1 - 07</t>
  </si>
  <si>
    <t>191</t>
  </si>
  <si>
    <t>CARLOS QUINTERO-PROPIEARIO</t>
  </si>
  <si>
    <t>CALLE 13 NO. 8 - 47</t>
  </si>
  <si>
    <t>189</t>
  </si>
  <si>
    <t>Casa con dos apartaestudios en barrio Campo Nuñez</t>
  </si>
  <si>
    <t>DORYS VARGAS</t>
  </si>
  <si>
    <t>CALLE 18 NO. 3-25</t>
  </si>
  <si>
    <t>174</t>
  </si>
  <si>
    <t>ALIRIO LARA</t>
  </si>
  <si>
    <t>Calle 15 No. 7-22</t>
  </si>
  <si>
    <t>145</t>
  </si>
  <si>
    <t>Casa con un apartamento, dos apartaestudios y una habitación independiente en barrio Santa Librada</t>
  </si>
  <si>
    <t>NO FOTOS+ DESCRIP</t>
  </si>
  <si>
    <t>3213788820-3136278573</t>
  </si>
  <si>
    <t>MARLENY VALDERRAMA-FABIOLA VALDERRAMA</t>
  </si>
  <si>
    <t>CARRERA 16 NO. 16 - 57</t>
  </si>
  <si>
    <t>053</t>
  </si>
  <si>
    <t>Casa con apartamento y apartaestudio en barrio Santa Librada</t>
  </si>
  <si>
    <t>HERNANDO ROJAS</t>
  </si>
  <si>
    <t>CALLE 16 No. 13A - 80</t>
  </si>
  <si>
    <t>022</t>
  </si>
  <si>
    <t>CARRERA 12 No.  14-65</t>
  </si>
  <si>
    <t>331</t>
  </si>
  <si>
    <t>Andrea Cajiao</t>
  </si>
  <si>
    <t>calle 22 # 5a - 18</t>
  </si>
  <si>
    <t>110</t>
  </si>
  <si>
    <t>793</t>
  </si>
  <si>
    <t>Casa en conjunto Parque Residencial La Alameda</t>
  </si>
  <si>
    <t>Parque Residencial La Alameda</t>
  </si>
  <si>
    <t>https://photos.app.goo.gl/F4bTuGxHWCARTQ3t9</t>
  </si>
  <si>
    <t>DANIEL RIVERA</t>
  </si>
  <si>
    <t>https://lh3.googleusercontent.com/pw/AP1GczPp5b9kun0tUsvjOrNEE3EZJ0I9JPydezu_LfPQ-0F3HqS5ZJltK1KceBi3fAFcss-VflTc7ylrBL7RhojyNSD48DhIdIYT_7aKBC3Rk2YVgfyHxAIF=w1200|https://lh3.googleusercontent.com/pw/AP1GczMW4Ko787bs0ZLIjuMuIExsIIp2rqQ-NApKKUGuPc9X5F9qB5nwkDsx7Tlyg7NXpjh70XfAgdHUaMB3g2TK6C0kuHZqNolP-yDUigTVbdXeeCB4O46r=w1200|https://lh3.googleusercontent.com/pw/AP1GczOCBbiotAVEm9HqcKJzrZyrdQrfeCzJSJsyR4xZHhTZNT0gYYIntJz4stdUIOyamO57Cb2swnMm-krjRTKAKTSif2EOuD6qAhtsHdoki34Ey0ispWe7=w1200|https://lh3.googleusercontent.com/pw/AP1GczMBUtpOe93OKgrzgz4sVWBGnyM--2-u6REOQZxetdppaXjnVNpoAQyTZ3IxfmhyJja4_YPBHH7yRdVA-zQjSCftUka2BiPK_BJVHYm9jDQruT3rJXM6=w1200|https://lh3.googleusercontent.com/pw/AP1GczOiiNILXhwNjXHzwh9jDkquszbTy3ZpvE_Es0aHC6k5MZn1WrPz5vp5yH6IiVpEbxcQd500gWdYV-iQ0r3TKMLbPuHz-7rZE5sOQ6TixgOlTw8jGVs_=w1200|https://lh3.googleusercontent.com/pw/AP1GczOKr80kiQr_o8bDUaGn2a24bghcH9Iet-WNX0lukWDE0r54TmlwaqB6KeiIkdQFQETEhfH8kqv1UzJikYMWaoe8O_C53lstn5PAZl0eUXCgVXSXAYMy=w1200|https://lh3.googleusercontent.com/pw/AP1GczM1t55w-FnNRDS96mX87hdBWokQdXfbbAtoMxReafZnyDBmaW32urthdUAu2E0ks4d8c0rk8OIIIKv_nXjDKecbt9aqBYYK95-PtUeY8UEH5UGB08Z6=w1200|https://lh3.googleusercontent.com/pw/AP1GczPJhze-3xxbU0ycVG9HyAxxClGVXineF7ZrSPSk6XchZzUAgm39rUF6JS7RK4oBmewIunbZrGtMfJkxHbulXGDwO1XccIiK2XRLKpaOu8ATjWFjhmPc=w1200|https://lh3.googleusercontent.com/pw/AP1GczPZ7hsk1f_CxatVNuZ-zjT9Z19Ujqd7R8kEXkE-AFGrKAg5Vjz8RG1DQeGxyl6xVAH7CujknvgpNDXCKAwdlxTyo2zybp3I_Rs1ib0fNIA7ns2ucOTo=w1200</t>
  </si>
  <si>
    <t>438</t>
  </si>
  <si>
    <t>Casa con dos apartamentos en barrio Alamos Norte</t>
  </si>
  <si>
    <t>IBETH CABRERA - Contadora</t>
  </si>
  <si>
    <t>CARRERA 21 No. 50 - 49</t>
  </si>
  <si>
    <t>203</t>
  </si>
  <si>
    <t>Casa con dos apartaestudios en barrio Sevilla</t>
  </si>
  <si>
    <t>RAMON BOLIVAR</t>
  </si>
  <si>
    <t>CALLE 23 NO. 6 - 82</t>
  </si>
  <si>
    <t>742</t>
  </si>
  <si>
    <t>3157779936-3153906579</t>
  </si>
  <si>
    <t>carrera 8 bis # 36 - 11</t>
  </si>
  <si>
    <t>719</t>
  </si>
  <si>
    <t>Tiene solar grande, comedor grande. Casa antigua.</t>
  </si>
  <si>
    <t>Carrera 10 # 14 - 75</t>
  </si>
  <si>
    <t>19 - PRUEBA, 12 - LEIDY YULIETH, 26 - NINI CASTAÑO, 19 - PRUEBA v</t>
  </si>
  <si>
    <t>685</t>
  </si>
  <si>
    <t>577</t>
  </si>
  <si>
    <t>2 Niveles</t>
  </si>
  <si>
    <t>FABIOLA</t>
  </si>
  <si>
    <t>CALLE 14 No. 10-80</t>
  </si>
  <si>
    <t>481</t>
  </si>
  <si>
    <t>Casa con apartamento en barrio Santa Librada</t>
  </si>
  <si>
    <t>333</t>
  </si>
  <si>
    <t>Casa con local  en barrio Chapinero</t>
  </si>
  <si>
    <t>NANCY</t>
  </si>
  <si>
    <t>CARRERA 9 No 19 -08</t>
  </si>
  <si>
    <t>323</t>
  </si>
  <si>
    <t>https://photos.app.goo.gl/dZafvs2VqV8t3a9aA</t>
  </si>
  <si>
    <t>GINNA PAOLA - Hija propietaria</t>
  </si>
  <si>
    <t>CALLE 36 No. 8 F - 61</t>
  </si>
  <si>
    <t>❌ Error: HTTP 404 para: https://photos.google.com/share/AF1QipNr2D3n9H427NkjKyKcE9OAQVrPeSmcP_qR37HDRGgb7drBAkIWflBwMnfZq4tWKQ?key=Q3RMaUxOeFJGR0lxdGpQRzBiT0taeVZMeVRXaXB3</t>
  </si>
  <si>
    <t>311</t>
  </si>
  <si>
    <t>3124238454 - 3202335251</t>
  </si>
  <si>
    <t>BETZI SALINAS-HIJA DEL PROPIETARIO</t>
  </si>
  <si>
    <t>CARRERA 6 No. 42 - 12</t>
  </si>
  <si>
    <t>285</t>
  </si>
  <si>
    <t>GONZALO Y HERMANOS CANADA</t>
  </si>
  <si>
    <t>Calle 12 NO. 8 B - 29</t>
  </si>
  <si>
    <t>243</t>
  </si>
  <si>
    <t>Casa con dos apartaestudios y siete habitaciones en barrio Candido Leguízamo</t>
  </si>
  <si>
    <t>YAQUELINE PUENTES</t>
  </si>
  <si>
    <t>CARRERA 2 NO. 29 - 07</t>
  </si>
  <si>
    <t>216</t>
  </si>
  <si>
    <t>Casa en barrio Rojas Trujillo</t>
  </si>
  <si>
    <t>ESTHELLA CASTILLO-GUILLERMO CATILLO</t>
  </si>
  <si>
    <t>CALLE 24</t>
  </si>
  <si>
    <t>204</t>
  </si>
  <si>
    <t xml:space="preserve">Casa con un apartamento y un local en barrio Alamos Norte </t>
  </si>
  <si>
    <t xml:space="preserve">Alamos Norte </t>
  </si>
  <si>
    <t>ANDRES</t>
  </si>
  <si>
    <t>AV. 16 NO. 50 - 33</t>
  </si>
  <si>
    <t>190</t>
  </si>
  <si>
    <t>CALLE 18 NO. 8 B - 36</t>
  </si>
  <si>
    <t>139</t>
  </si>
  <si>
    <t>NO FOTOS-INT.-DESCRIP</t>
  </si>
  <si>
    <t>JORGE VARGAS</t>
  </si>
  <si>
    <t>Carrera7 CON 38 a la vuelta de movistar.</t>
  </si>
  <si>
    <t>19 - PRUEBA v, 26 - NINI CASTAÑO, 15 - JOSE LOZANO, 40 - Ing. ALEJANDRO ROJAS MARIN, 40 - ALEJANDRO ROJAS MARIN</t>
  </si>
  <si>
    <t>029</t>
  </si>
  <si>
    <t>Lote en barrio Campo Nuñez</t>
  </si>
  <si>
    <t>MAGNOLIA</t>
  </si>
  <si>
    <t>CALLE 16 No. 7A - 57</t>
  </si>
  <si>
    <t>20 - SAMADHI RODRIGUEZ, 24 - FERNEY PIÑEROS Y LEIDY</t>
  </si>
  <si>
    <t>028</t>
  </si>
  <si>
    <t>299</t>
  </si>
  <si>
    <t>Apartamento en Edificio Quirinal</t>
  </si>
  <si>
    <t>Ubicado en el primer piso</t>
  </si>
  <si>
    <t>CLAUDIA</t>
  </si>
  <si>
    <t>Carrera 5 A NO. 16 - 58</t>
  </si>
  <si>
    <t>1098</t>
  </si>
  <si>
    <t>HERNANDO - Propietario</t>
  </si>
  <si>
    <t>CARRERA 17 A No. XXXX</t>
  </si>
  <si>
    <t>403</t>
  </si>
  <si>
    <t>NUEVO - NOT IENE FOTOS</t>
  </si>
  <si>
    <t>JHON FREDDY</t>
  </si>
  <si>
    <t>CALLE 39 No. 7-107</t>
  </si>
  <si>
    <t>271</t>
  </si>
  <si>
    <t>Casa con cuatro apartamentos, un apartaestudio y dos habitaciones independientes en barrio Candido</t>
  </si>
  <si>
    <t>NURTH</t>
  </si>
  <si>
    <t>CALLE 40 NO. 1 - 08</t>
  </si>
  <si>
    <t>224</t>
  </si>
  <si>
    <t>Casa con tres apartamentos en barrio Las Granjas</t>
  </si>
  <si>
    <t>IVON - HIJA SRA. JULIA</t>
  </si>
  <si>
    <t xml:space="preserve">Calle 32 No. 6 - </t>
  </si>
  <si>
    <t>170</t>
  </si>
  <si>
    <t>Casa con apartamento en barrio Chapinero</t>
  </si>
  <si>
    <t>DAVID - TIO ALEXANDER - uno de los Herederos</t>
  </si>
  <si>
    <t>CARRERA 9 No. 11-20</t>
  </si>
  <si>
    <t>527</t>
  </si>
  <si>
    <t>ALIRIO</t>
  </si>
  <si>
    <t>CARRERA 9 No. 28-17</t>
  </si>
  <si>
    <t>437</t>
  </si>
  <si>
    <t>Casa con tres apartamentos en barrio Alamos Norte</t>
  </si>
  <si>
    <t>NO FOTOS-INTE-DESCRIP.</t>
  </si>
  <si>
    <t>FLORALBA PERDOMO</t>
  </si>
  <si>
    <t>CARRERA 18 B No. 50 - 65</t>
  </si>
  <si>
    <t>150</t>
  </si>
  <si>
    <t>Casa con cuatro apartamentos y un local en barrio Chapinero</t>
  </si>
  <si>
    <t>TIENE FOTOS-FALTA DESCRIPCION</t>
  </si>
  <si>
    <t>RICARDO VARGAS-LUIS DUQUE</t>
  </si>
  <si>
    <t>10-02 Y 14-96</t>
  </si>
  <si>
    <t>15 - JOSE LOZANO, 28 - ALEJO CABRERA</t>
  </si>
  <si>
    <t>748</t>
  </si>
  <si>
    <t>Wilson Perdomo</t>
  </si>
  <si>
    <t>calle 36 # 6 - 23</t>
  </si>
  <si>
    <t>9 - ALBEIRO TOVAR, 24 - FERNEY PIÑEROS Y LEIDY</t>
  </si>
  <si>
    <t>515</t>
  </si>
  <si>
    <t>ANGELA</t>
  </si>
  <si>
    <t>CALLE 57 A No. 19 - 57</t>
  </si>
  <si>
    <t>9 - ALBEIRO TOVAR, 15 - SINDY MARCELA</t>
  </si>
  <si>
    <t>375</t>
  </si>
  <si>
    <t>3177690441 - 3123417483</t>
  </si>
  <si>
    <t>ELSA MEDINA</t>
  </si>
  <si>
    <t>CALLE 26 No. 9 - 11</t>
  </si>
  <si>
    <t>310</t>
  </si>
  <si>
    <t xml:space="preserve">Casa con dos apartamentos en barrio Alamos Norte </t>
  </si>
  <si>
    <t>MIREYI</t>
  </si>
  <si>
    <t>CALLE 50 B NO. 19 A - 26</t>
  </si>
  <si>
    <t>15 - SINDY MARCELA, 24 - FERNEY PIÑEROS Y LEIDY</t>
  </si>
  <si>
    <t>286</t>
  </si>
  <si>
    <t>MARIA NUBIA BENAVIDES</t>
  </si>
  <si>
    <t>CARRERA 8 A No. 18 A - 45</t>
  </si>
  <si>
    <t>261</t>
  </si>
  <si>
    <t>241</t>
  </si>
  <si>
    <t>Apartamento en Sevilla</t>
  </si>
  <si>
    <t>ENCARGADA-PATRICIA CORAL</t>
  </si>
  <si>
    <t>CARRERA 5 No. 21 A - 102</t>
  </si>
  <si>
    <t>235</t>
  </si>
  <si>
    <t>CENIA ROJAS</t>
  </si>
  <si>
    <t>CARRERA16A No. 50-18</t>
  </si>
  <si>
    <t>232</t>
  </si>
  <si>
    <t>CARRERA 17 C NO. 50 -18</t>
  </si>
  <si>
    <t>12 - LEIDY YULIETH, Sergio Dussan, 41 - Sergio Dussan, 35 - LUIS ANGEL VARGAS</t>
  </si>
  <si>
    <t>197</t>
  </si>
  <si>
    <t>Casa con apartaestudio en barrio Campo Nuñez</t>
  </si>
  <si>
    <t>https://photos.app.goo.gl/vAz1LaGWFkDAac8EA</t>
  </si>
  <si>
    <t>NAZARETH CUERVO (Es mujer)</t>
  </si>
  <si>
    <t>CALLE 19 NO. 7 B - 03</t>
  </si>
  <si>
    <t>https://lh3.googleusercontent.com/pw/AP1GczMBI_bsxu_BKnH9qcPMsxbbUFcg31QP5VYeuVYWbyzuIK4PBwgAboFxE5yQLt92Ckle4Z85GF8VWBui6H8OMXdFdWR3UrSmIRTNMhfTpQmpA2FhGLq2=w1200|https://lh3.googleusercontent.com/pw/AP1GczN-woLv5qS4LokWPqh8bacTIpPnG_r0oiMdjuHSLiqfMlBXezdRIb9pjlNLc3qbsY8RbYnVVE1bnozubHv2KWH523HQK1eLjF1emZgSDm4W6xKojGdK=w1200|https://lh3.googleusercontent.com/pw/AP1GczMZFGhNoXkgm293VTgirm1YNuKddBQvTXLlPNuBJGwqP3NHIXlotGMfAwFK5vvfLu8o5eK9MJ6S6S4futudNOBQ10sjizup5ZDeQrdm9FPygpIiHL1m=w1200|https://lh3.googleusercontent.com/pw/AP1GczOKIu-HRPJxmSWF_5ylYH98ARA3FTaXHD1t91jUHFQR53yHXjW_v9nCra0fkVMf66lov8srnEHBm9ScnI22ICWD3-qSJ506nqT6-YgSKPcUMvAdDhLj=w1200|https://lh3.googleusercontent.com/pw/AP1GczM4HJt756lA3hk3y8IxabVUxvy3HgJyZqYhZIT5F6wstCm6tyS5a9udPfeaQ6lrir5fOdws1SzrXbuy1SSMUySbmQipSITVMeOlhq7YyIZCB5eUqmDY=w1200|https://lh3.googleusercontent.com/pw/AP1GczNvZI1K12Atx-KcDMSlsTFBg-SKm0WQ36N3rvPTcxXn5efjn6TfbwWfO4hJDV5nJ8Kj_sexZKmW7gsrw73DYQGuY3h9RVgpHJqm9qQvlvyXRl3EsZDV=w1200|https://lh3.googleusercontent.com/pw/AP1GczN66nzorL0sRELG-CkL_t9nA0bTAGLgN8Eo5Ew6TSgM6vszCMT5ps4BMauTRlWam7Fls1kWoxW3q-D2etDlG5M4xpYpzIWFu6guiYpDZbFVR5h_ZMMQ=w1200|https://lh3.googleusercontent.com/pw/AP1GczN-cp1W_wQCNoSeddsQXJZBvr7P3LzkjIM_rjU1GV5obaEdRSp6tQ0Shoh275rFIybRZ-ndK91gXRb2K-WW3Q0T7grgngbgA4Si2z_LA4bqKfZQv4R4=w1200|https://lh3.googleusercontent.com/pw/AP1GczM-P-DJegDPFOChvtWA6591g0wyNO806X-1esB1pkpkDl8OTvsFKDSKdk0gz1OImeJYJO1njZqN1pDT8D814yImdFIrRdRjb0VinteCD0fy62YMz8Ew=w1200|https://lh3.googleusercontent.com/pw/AP1GczNwGCMjXcRozTW5uljsELeXpe3j38z5AheHhbRbKekLMxdOxBfcw1OUd55DSX8H71Ve6bjO96kT_HIcRnH0cAHQFn-B2qzi8hf0jFnXrcCQ680_PznS=w1200|https://lh3.googleusercontent.com/pw/AP1GczPCOTvki0Dsez2O19i_4W6IxOewf1TZVewwwXE_cvPuoOqP_RQEGabt2JLM8DhZ7lOOxQ-EmYuTHkr2HKJ4BJaJ0eZeClajtnYA2E8s-vEJiKal4g-W=w1200|https://lh3.googleusercontent.com/pw/AP1GczOIpp8QWEbfB6kC0nSX5Ucyq-IBpxz5xmUh3yxlk0oJdZgMHFACqsPdoxQbP5Hv2hTmu6oGJWVDOncCX5s9Kc-FXYccagX4nQ0AmtArvOF0hcCdQH7W=w1200|https://lh3.googleusercontent.com/pw/AP1GczMN_Ki5_-c8hPLzOuVLgpYKqhS587RsF-tcC_aQywiKsfg5fv722cQpxuWGeBVs07Icbp-Wdiipaf95LXLLVCtbH9VfU7ukEkLAqH1-3cwk_Jp8rUu0=w1200|https://lh3.googleusercontent.com/pw/AP1GczNhZ2Jis6lZb5V5LN28xfa9O2md2Q1N5dr6fS66xEte4XoONqTs4_CLH_VuYc7mz430RBRWVCsSbRwuyC_2HJVBVh_01v9R2W9RPnf7NE4Hd-CKNxQr=w1200|https://lh3.googleusercontent.com/pw/AP1GczM_xzQj1lX8EEwXZgWtrO-qCkE0OzWmK54dIPfuPZ5PYWoks0FELukFFBshZfhqbti3uFx5UYT3imTR_OVbSeo_-k4tzpF5CFeGIeRH4cPRjBbChDve=w1200|https://lh3.googleusercontent.com/pw/AP1GczO8Gqi-LpbLURuT0udYuYHnJlYqXIoyxAHiPqJHIAIwpVdYyfT7CY18Y174PzgJOJa2Zc0SXmYUop1w04jZE26Q24W_5-FF_DMwV2nlatlJxj9Q14Tq=w1200</t>
  </si>
  <si>
    <t>124</t>
  </si>
  <si>
    <t>TIENE FOTOS-HACER DESCRIPCION</t>
  </si>
  <si>
    <t>FABIO GOMEZ</t>
  </si>
  <si>
    <t>091</t>
  </si>
  <si>
    <t>3146854784 - 3112230028</t>
  </si>
  <si>
    <t>KATERINE CHAVARRO</t>
  </si>
  <si>
    <t>AV 26 No. 7 - 35</t>
  </si>
  <si>
    <t>083</t>
  </si>
  <si>
    <t>Apartamento en barrio Campo Nuñez</t>
  </si>
  <si>
    <t>TATIANA - PROPIETARIA</t>
  </si>
  <si>
    <t>CARRERA 7A No. 18 A - 50</t>
  </si>
  <si>
    <t>561</t>
  </si>
  <si>
    <t>RAQUEL - DIOSELINA RODRIGUEZ</t>
  </si>
  <si>
    <t>CARRERA 8 B No. 32-05</t>
  </si>
  <si>
    <t>741</t>
  </si>
  <si>
    <t>Casa con 2 habitaciones independientes en barrio Las Granjas</t>
  </si>
  <si>
    <t>Jose</t>
  </si>
  <si>
    <t xml:space="preserve">calle 33 # </t>
  </si>
  <si>
    <t>251</t>
  </si>
  <si>
    <t>MARIA JUDITH</t>
  </si>
  <si>
    <t>CARRERA 7A No. 40 -33</t>
  </si>
  <si>
    <t>19 - PRUEBA v, 26 - NINI CASTAÑO</t>
  </si>
  <si>
    <t>371</t>
  </si>
  <si>
    <t>MARLEN - COMISIONISTA</t>
  </si>
  <si>
    <t>CALLE 16 No. 8A-xx</t>
  </si>
  <si>
    <t>318</t>
  </si>
  <si>
    <t>VICTOR</t>
  </si>
  <si>
    <t>CALLE 36 No. 8C - 11</t>
  </si>
  <si>
    <t>231</t>
  </si>
  <si>
    <t xml:space="preserve"> Casa con apartamento en barrio Alamos Norte</t>
  </si>
  <si>
    <t>3123061020-3178708297</t>
  </si>
  <si>
    <t>ALEXANDER-ADRIANA CORDOBA ENCARGADA- VARIOS HERMANOS</t>
  </si>
  <si>
    <t>CARRERA 18 B NO. 50-89</t>
  </si>
  <si>
    <t>789</t>
  </si>
  <si>
    <t>Casa con tres apartamentos y un apartaestudio en barrio Villa Milena</t>
  </si>
  <si>
    <t>MARIA SALAZAR-FALLECIO</t>
  </si>
  <si>
    <t>CARRERA 17 B - No. 33-28</t>
  </si>
  <si>
    <t>717</t>
  </si>
  <si>
    <t>3184185721-3245249051</t>
  </si>
  <si>
    <t>3227660169-3203451277</t>
  </si>
  <si>
    <t>Wilmar Restrepo</t>
  </si>
  <si>
    <t>Carrera 8a # 19 - 68</t>
  </si>
  <si>
    <t>25 - LAURA DANIELA ALVAREZ, 44 - SEBASTIAN NARVAEZ</t>
  </si>
  <si>
    <t>542</t>
  </si>
  <si>
    <t>24 - FERNEY PIÑEROS Y LEIDY, 19 - PRUEBA v</t>
  </si>
  <si>
    <t>484</t>
  </si>
  <si>
    <t>Casa con dos locales en barrio Villa Urbe</t>
  </si>
  <si>
    <t>semi integral</t>
  </si>
  <si>
    <t>ANTONIO TRUJILLO</t>
  </si>
  <si>
    <t>8 - ERNESTO POLANCO</t>
  </si>
  <si>
    <t>394</t>
  </si>
  <si>
    <t>PROP-3133835739</t>
  </si>
  <si>
    <t>PRO-3108569565</t>
  </si>
  <si>
    <t>PROPIETARIO E INMOBILIARIA JURIDICA</t>
  </si>
  <si>
    <t>CARRERA 8 con calle 13</t>
  </si>
  <si>
    <t>294</t>
  </si>
  <si>
    <t>MARIA SALAZAR</t>
  </si>
  <si>
    <t>236</t>
  </si>
  <si>
    <t>Casa en barrio Alamos Norte</t>
  </si>
  <si>
    <t>https://photos.app.goo.gl/DEvGzbzvKXXW3xr29</t>
  </si>
  <si>
    <t>CARRERA 16 A NO.  XXX</t>
  </si>
  <si>
    <t>2 - JAIRO DIAZ, 14 - PAOLA DAZA, 8 - ERNESTO POLANCO, 9 - ALBEIRO TOVAR</t>
  </si>
  <si>
    <t>https://lh3.googleusercontent.com/pw/AP1GczMobsnO37tUHEmHRb9O3xN6r42CrbxxT_ttDwXPsDPr5Nt6SqSQaI23MCTCx1UvO1kNgVIDUg_qA0dJsRScqm9lfwQTyBeFuRleZ8zLlxNxlX-g7NB2=w1200|https://lh3.googleusercontent.com/pw/AP1GczN928BqJfRoi7ykWuQi86xT6pSg4iRUn9njfPdZYOus7ZapDvJxualOrQGTpMTDMHTYkXNG2Mx2qcRxR5apq1lPLa29yd-VxYGTOY3eklPZwXxKa3lL=w1200|https://lh3.googleusercontent.com/pw/AP1GczOMqwHY8r8WNUaGmJHv5e0szlhzN5pGC8SZlLCYtMaH_cyXTSDJMmOIi-8136zV8jc2Ie9plaqFf2kgdjZ1RDJt2loCSTWP-PwcR-8IyhXjsaYDXqi_=w1200|https://lh3.googleusercontent.com/pw/AP1GczNff4Mzgmd-P09M0b4zqw9c_LHBKoOGw2FNth7gKHS5EmVVUMVBvqsn5QQtmBxuWNjx5Lq7KoFsYNjfZ6FpbxxsO03knyhmGwYOCJwGtlFKT_WFicPw=w1200|https://lh3.googleusercontent.com/pw/AP1GczN1fJJyuSgO8iQBJs-WZ2beVzZAMEW76vNllV63GTyu0ZGAyckFM7SN3uoZqPxtvwkC7Gk1jIrBfFCU0uqQ1mfdxPNnFVLZh0Rh-GZly91MsspXCeV_=w1200|https://lh3.googleusercontent.com/pw/AP1GczMaIIFKHDDY4mQIOZeVagSdPXXYTml2IcXhQpXA0qHDU6gnyDcgATS8_LNxXlainHl5J_kaZiZ6DJmjF3h0SNWvFspJ6DTPN4ein6MOubH371MrB8Fr=w1200|https://lh3.googleusercontent.com/pw/AP1GczOVXHMoYqQz_uWCU2_Vq8KIMDQgYMCy6d9EOFA-VQeEYJIeE5DVLBd9kOvr-QnMbhDNdvc58H8jM7j4IAPyPu82_CiGPE27gc-EJfmBvjxaBSUmc3JC=w1200|https://lh3.googleusercontent.com/pw/AP1GczNCdeR7_NBcF8LAXSqfRVjcXayrQnTcnZMKzjqaSCglTR-jqbXPVQDoSm36hqw_Hsj6K5jM57YgZDR093NtWsqfHZCP9p8gBRjH9nfATxbmJccGXiTG=w1200</t>
  </si>
  <si>
    <t>201</t>
  </si>
  <si>
    <t>VICTOR ALARCON</t>
  </si>
  <si>
    <t>CARRERA 8 A NO. 20-40</t>
  </si>
  <si>
    <t>530</t>
  </si>
  <si>
    <t>ALVARO LOSADA</t>
  </si>
  <si>
    <t>512</t>
  </si>
  <si>
    <t>JOSE ALVAREZ</t>
  </si>
  <si>
    <t>CALLE 8 BIS No. 32 - 23</t>
  </si>
  <si>
    <t>502</t>
  </si>
  <si>
    <t>CALLE 57 A No. 18 C  - 25</t>
  </si>
  <si>
    <t>15 - JOSE LOZANO, 24 - FERNEY PIÑEROS Y LEIDY</t>
  </si>
  <si>
    <t>405</t>
  </si>
  <si>
    <t>Casa con dos apartamentos y un local en barrio Las Granjas</t>
  </si>
  <si>
    <t>SANDRA TOVAR</t>
  </si>
  <si>
    <t>CARRERA 7 No. 39 - 40</t>
  </si>
  <si>
    <t>395</t>
  </si>
  <si>
    <t>Casa con local  en barrio La Toma</t>
  </si>
  <si>
    <t>Dra. Abogada MARTHA LUCIA - PROP.</t>
  </si>
  <si>
    <t>CARRERA 8 B No. 12 - 11</t>
  </si>
  <si>
    <t>334</t>
  </si>
  <si>
    <t>Casa lote con un apartaestudio en barrio Chapinero</t>
  </si>
  <si>
    <t>KEVIN CHACON</t>
  </si>
  <si>
    <t>CARRERA 10 No. 17 - 18</t>
  </si>
  <si>
    <t>12 - LEIDY YULIETH, 33 - MARIA ALEJANDRA MONTES R., 20 - SAMADHI RODRIGUEZ</t>
  </si>
  <si>
    <t>319</t>
  </si>
  <si>
    <t>JORGE CUTIVA</t>
  </si>
  <si>
    <t>CALLE 28 No. 6 - 33</t>
  </si>
  <si>
    <t>305</t>
  </si>
  <si>
    <t>ALVARO</t>
  </si>
  <si>
    <t>CARRERA 10 No. 12-77</t>
  </si>
  <si>
    <t>287</t>
  </si>
  <si>
    <t>Casa con dos apartamentos en barrio Los Girasoles</t>
  </si>
  <si>
    <t>Los Girasoles</t>
  </si>
  <si>
    <t>JAVIER CAPERA</t>
  </si>
  <si>
    <t>CALLE 58 No. 2 A -11</t>
  </si>
  <si>
    <t>40 - ALEJANDRO ROJAS MARIN, 19 - PRUEBA v</t>
  </si>
  <si>
    <t>107</t>
  </si>
  <si>
    <t>Casa con dos apartaestudios, un apartamento con local y una habitación independiente en barrio La Toma</t>
  </si>
  <si>
    <t>ROBERTO</t>
  </si>
  <si>
    <t>CALLE 13 No. 7 A - 40</t>
  </si>
  <si>
    <t>082</t>
  </si>
  <si>
    <t>RAUL HERNENDEZ</t>
  </si>
  <si>
    <t>CALLE  42 No. 6A - 70</t>
  </si>
  <si>
    <t>068</t>
  </si>
  <si>
    <t>Casa con dos apartamentos y un apartaestudio en barrio Los Girasoles</t>
  </si>
  <si>
    <t>https://photos.app.goo.gl/KZjqG41tZafvmudA8</t>
  </si>
  <si>
    <t>FANNY</t>
  </si>
  <si>
    <t>CALLE 58 No. 20B- 41</t>
  </si>
  <si>
    <t>https://lh3.googleusercontent.com/pw/AP1GczNiKYv26bBv_zOVpX3Yw514iGnwb9VG7ZOBf558SRjXcISO8N2q59cY6vLKEfz23v0VFG2V_gv33ETOCFsopqb8bfx_UeowA3AeHxBRnNVMAV2iZGQ=w1200|https://lh3.googleusercontent.com/pw/AP1GczN0tPs-nI5UB09heLVMzk990Lc-VxkpWE2PIrb7h_RpYJ46OPUQ0VeJKhpwMuA2k9zPvJ5KV3dxAd5uF1E1hHEn6G1bWzc0wpOglPqtQEzbL5kM4I4=w1200|https://lh3.googleusercontent.com/pw/AP1GczNCAoazhYd1PRX9HG8HYtiVVDuSH2P1t0VdbKbqgZGrzjHhvRVEvxzxVlZFl1LuDESyiWRH8_gCt6H2-vITeW7eTqyDcxKOoZfVizKgFUIySm6JOuc=w1200|https://lh3.googleusercontent.com/pw/AP1GczM4p0RiPGLfHS2C8xHgI1aK_7hMQK-Vsy_jyPR7rdff1PeJdqSNNaTazxi1mYwMUxWAUDbm0dJK1sq3OxFLqFLKYfd8uu6xg0WSOCDIRfWbOjh31uU=w1200|https://lh3.googleusercontent.com/pw/AP1GczO0_2yRoCMGZbQPmUfUKbcfebBjWHfjFEFRTyaaItzntgOoWatdtgPcK83VGidtlt-Mh_FiUT94fYlRMERI9zPM_GJ09Ql4vZgYj8z79dg15O7YB4w=w1200|https://lh3.googleusercontent.com/pw/AP1GczPevtBDKF1wbeHNH0KrMmm0PYdcXeX8tbhTBiHre6_jUp6ZpmcdduQthNX_zTe50031i-XPMhK_0jQ1pnzeqR9lc_GmRZs6374rQ8E-unQV7Z97A6o=w1200|https://lh3.googleusercontent.com/pw/AP1GczOAssUFGPZTskNmKtUHxhZJBJYru7fdFE0OonbvJu3bD9YsVyLuAMngCUagrvDQOwDnNwkL0iNwOzh7kiFWGVJ-KOxIVIePvxRheFlwZIQsSFKibQY=w1200|https://lh3.googleusercontent.com/pw/AP1GczP9Orz2pYSL2MTUdtsn2_58eQ64FHEsMtabhfXFefe4gmXoG4_NBNp3QdHRLyEOhVwKHLrjpWh7xGg7Tm4gT203w2SNa5SkG6MOfnTBHRquwqC-z8Q=w1200|https://lh3.googleusercontent.com/pw/AP1GczPFOrany1FclYtzUTY74TMhoLwdYHItw7Nhs4bvqmEcz0YPHVcxz1iPvoymkpTEpHfVDx9xyqrJVieXGexvBLm3kNvE4swWbYO3TQDNCp3Owj0XJvM=w1200|https://lh3.googleusercontent.com/pw/AP1GczNHzgPlzziqmKgXjiRcJLYVBGO0YI18iQ7yM1wOheoqw2vXs_XL8V3uSm7n6cB4lWIzd9kJMajECMikrryMWq7eRNIYcsoexGsfwVnF5jLU3XJ_AxI=w1200|https://lh3.googleusercontent.com/pw/AP1GczM1kG49Kb0J-v5tE5EXFINpE2i3gQ75BqiDjgOTi7RMiDJsdph-qlO0kD-0MrEgigoQIiZUAwKlthALDNwugyocyx-EMzoCqvklSzGYQvNE0ElrOpw=w1200|https://lh3.googleusercontent.com/pw/AP1GczPLIJmTq764k0MFIL45lRZTwA8HtFjXjL7IGcMCjj-Vg-Msm9qMCa9WIxF3mykt4ExayzQUEmmR_GprYDLB-1kIV5n67vos2dw_Dh88-BxmWlmXzyM=w1200|https://lh3.googleusercontent.com/pw/AP1GczMMl7AOyg4APrh2uhYBYikt9Rn6n4k990DUlX2EriI3j155rpgbPQ0smoAMmGxHlO9x_uVpjqPMPwQphTLAuKhRT0dGCTA-DjUMFEW4gXAIWO3ziEs=w1200|https://lh3.googleusercontent.com/pw/AP1GczPHhfqVcxk4uKDaK1JGukz09p5TZdqgWMpZUck6pzW8NK0Q8Xls8Jtiufuyvuu3yiZkqkNaRYpEzeNEZZ0xMCmyLNTpnTqlnX8lkFJLXvDR88sdD2o=w1200|https://lh3.googleusercontent.com/pw/AP1GczMP90sxR09JtpXa2ICrt0EOt9BYzH5QpKmGIwkPwpisaDK-bqTZ43Wd68ap28wJOTEf7Vno5iOTNK4l80m2J_CToXlFlMxO9NYVIroJWDjAZZ8MZWA=w1200|https://lh3.googleusercontent.com/pw/AP1GczNhYANhdkDwYO_9G8B6sZwxoKCNFS9K1SLB6M7J-sDveDtmpCPZDVU1p3MY2rN95iHIMYSnKStf2rudotYOb4Fk-x0IMCaRHIJiN5SRKJf9W0-FSHg=w1200|https://lh3.googleusercontent.com/pw/AP1GczOrMrqHcq9izVSdYWG9jFv2iD7jgtLHHbSLbn2ObQmZlraAKjYhyd7yK77CPvHbOgUWbgGsSh5QomVVMEnDVqZdo8uRBrK93hxZ24BvXrO5GFLhMu0=w1200|https://lh3.googleusercontent.com/pw/AP1GczOBE9P8ZmTVvnH_re7yHk88293flGTkAaB1sDyxY9pJY7durkvnS4JIjLHKpDlcyunhf2-uH8_V5EylU9dF8ABGNiI9ItguJIQYJOg2EvxhuRmyVDU=w1200|https://lh3.googleusercontent.com/pw/AP1GczOcd7d9UtpCPoFwEdmdJHvZllb7_qaTPmpduVkSWAuKzcA2lg-4-Ks9jN32B4bOa7MapTgNLhElV2drpM2UoGaq9TM3JcxkX1xD7uflT6eCk0kKIcU=w1200|https://lh3.googleusercontent.com/pw/AP1GczM9hYDr_WEohYKCzgww9z_N4hpAyyo2-sQWo2P_lQvrajbh8iHDVPB7AQM9JOifPTCGTbHiGWt8BJ70-vCa5UNFOJV4f3W-QCe1W_duRQrWN6Huv1E=w1200|https://lh3.googleusercontent.com/pw/AP1GczMiOwTlzONj3fVYff4Srl5i0INcxtwFjHgMN4955rrmrBsPGnW2NBdjIeMArYIS0tEHJmCrZN3QSeg-Pmlan1LdWlCmgZQTY80JvhzGzTuGPcQMq0w=w1200|https://lh3.googleusercontent.com/pw/AP1GczNgtRjI63Rv9UrVUncZGPy8KXGTD_YUC5M4j2kVtND_25vTJHALSXCtnspvwaiTMSVzs_5Q0CBmZ9pa9R-uuUiWwR0fBEPqUzv-Crg4S63k9E2axZE=w1200|https://lh3.googleusercontent.com/pw/AP1GczMs8e_e42Fj_xetAfOb-1WwZ3cPdLESM8a-DHyoECag3YIHzY01wBs2wMHUFljfANhprnsnetDq9rMbIGZFD-g4E54X5vFrPw_xpPa6agKc77BRO6I=w1200|https://lh3.googleusercontent.com/pw/AP1GczP5JtVKEXlRIRMTRQ4zKVV4Zv1eWaQLc8SwZIbvZtTtdsbZxdkI-pOdKF3yo2G8jFpZqh9t0BZQaJ1R5F1sFA2VGh4pgwIw9o_xdSkWO8H9q2_iwi0=w1200|https://lh3.googleusercontent.com/pw/AP1GczOAFWhXmTsz9mHyWS3DqU4slmFHnwdEc-sc30woqCQVLrKEfYwxo4_jJqJT8chu40iWSGbrCjl-uPmNzOYrDyNlkM0BpoJisQd1fGSaPbi05TiB2fA=w1200|https://lh3.googleusercontent.com/pw/AP1GczPWlZ1KSMXgovmw1BZesS96jjEDrIaICnk5HWH1msD-zXCcJWphgN_jaDq6F9ajgerkt05p78Xt3Jwy_s42u7hUTXdWCxn390KLQmJUO2taxtxsZPQ=w1200|https://lh3.googleusercontent.com/pw/AP1GczNHgKL6aY86Dr7kvYLQHWs7WTeE0FBYyF4ioZYRa-rXLRufu-HfT7oRMKq7TPVbGtwNHESIp9Q_kDGtUySLw5m6wP95SGgMuWvgDMKiwkFoEOeS38A=w1200|https://lh3.googleusercontent.com/pw/AP1GczM3T6UbAkdblH2BWjDrBb3tdDWlyQ88436wp94tNTBZGkwlk_tM9y8pdrAcRzvbGv6T0pj0SJwMfTfH8fq_41fIi0aIqpq5MvRLBJs0EkGGb0eNVuo=w1200|https://lh3.googleusercontent.com/pw/AP1GczN_QMKvUPuSyMxact71rQQgOfO4gXyrv82uAq85XDQT3fOISC4O07hNKyvrgkIyR2H_P6-QWNIXydJjw3u_m_pM1o0_Fjwp8aKfuI-tEgaGkXFQmtE=w1200|https://lh3.googleusercontent.com/pw/AP1GczNqUkdq8s0g00z38ffv1G2rxQzaLRxS85o3OtwDywBtKiCJH6PXi6JI5gsCHfOnwMa_h7b8KucV4WSoJuFCGOXUMGn2KJajZZ39yL8_Wm18bExyjm8=w1200|https://lh3.googleusercontent.com/pw/AP1GczPh01U4rxihxwMgjoqg38PZeacWYstLWOHHIFJ8QP8LRDtLwTkVaoVDRF-YpwRKyntEbf15prkWkqIggOLEyNiABExl57ilZ43qFQH-HiBsfXESHuY=w1200|https://lh3.googleusercontent.com/pw/AP1GczNL3nbJc3awYXYK_1zr62bOIy0nuHLc4l98YuqnpwJXX5azq85qXM0zojd9mdSIbeYiQom6V8Pvf9fKRO41T1OEElPvQqFBENBrfl9unJ-hxzcPUBU=w1200|https://lh3.googleusercontent.com/pw/AP1GczNw3pYSj8INotGl1xQH8rugXocw8zh9mZCN2c6y1BBp7-1WAynCp5xMm6fXWZUuPpeX7SkogGJThKB3y64nheLOiojAjC29-I7D-Q735ytpyWpGUzA=w1200|https://lh3.googleusercontent.com/pw/AP1GczP54_Mmg8nJY0DkCXYQbPNAxRL-wIrrUPkFZ-W8ZC5Le3yCUJTSYMJmBe-pqVRMgE_zYjHpbABx8xPiHousoAtltcK0CKokkx68dO1dx7po7N8jLfI=w1200|https://lh3.googleusercontent.com/pw/AP1GczPTGtB2W-5e16L8z9drzwQBXYB71cruJZCbkJeJBAWzwPG85YBgHuSgJ-yBY17wf35p53Lw0FpH6uW8iK5Vh9jq35zq5C_qPyFR0WFazUvfXjZdNgI=w1200|https://lh3.googleusercontent.com/pw/AP1GczNk0YoS7NznSJ2Q5EDn3tYucHJdZxa19Y_9I6ruANWoF_k7NEMh1ZBRoIN8wCTDqsGbzBctwiRAzYf8Oc-LANIhFj6hg4na3K4aWwXCHCdRDVp3cqk=w1200|https://lh3.googleusercontent.com/pw/AP1GczOWbPxkQNnvpDLN_ao22Bv7IKQSYcqxUT_qK8qD73kaknxeOglkemGD-9TcSK9Fqlwehd858DMYBupocBfOUCmlC2XsU0ZsMB3FObMG_KXl40OE6w0=w1200|https://lh3.googleusercontent.com/pw/AP1GczO7FjcCdyneSKWXSuRuzL_31mAlEmz1PweL2QpiSRB2Gb-YFKUzPiz3ckont3QRp_BcNbikX1mdH3-Q_IW0jaqzggcbL5oomK4cIgTxpOtIxYGsLGs=w1200|https://lh3.googleusercontent.com/pw/AP1GczOhxs-OTe2Khozegt521MKB8PNRMw1B3peftHbDra2BP0mWp-ryIt0iY3Cr1osJdFxQG1yBHRDc83coRORsxki_vITWAAqQtCP6wbtx7fhuauD43ms=w1200|https://lh3.googleusercontent.com/pw/AP1GczMgYHtf0IXggDqMPKpuYmSP_yjvSLsVMGNGSv_LfS02jzcX8PlVGl1IlZj1FiYKq3k9YUxCP_EqHsi04-PYkJWhWYzdR5voHl_a964Y2Ol2BdfF5XM=w1200|https://lh3.googleusercontent.com/pw/AP1GczNR_RyJBT04JQOa0zsRpH-tEf8R1eFVZw6V-lvtbErUMO_FvfkQL_5jKNzk7nj3iyZ4meOPTJTnoULmjNxz5Xc_VtF1ubpBCxopBsuYJDBKBXHSBH0=w1200|https://lh3.googleusercontent.com/pw/AP1GczMA3I-TcDcu2K940mGvIEfgPrcYCprCyE5s6HVkFNg_ArnM7KpsepltUDVyTg1psJ-XScuWXiGLZnIq53Yh9fVdD1nRd8MOPYe0rcGliHHkvk24Koc=w1200|https://lh3.googleusercontent.com/pw/AP1GczPLV4Uo2i_g2KdtbAKXAoa5svJlaRO23RfVYtg6SCczswsy4B7FzPHBcFQLVwzapAQV34LfxeoAjDfVFE2O4eKWm9mj6tGgtIaYw3NLI-wff6kWEQM=w1200|https://lh3.googleusercontent.com/pw/AP1GczN9EXi7g9ARpb3FTteNWg1jfH-W29Do8Vuj2x0QSykJQups9gOQkdGi3UVvu1ZCNLc-Jj2CBklKQlLmi2MSQhiyWD0LITNRtm2vuXogLbOiAWuchuc=w1200|https://lh3.googleusercontent.com/pw/AP1GczNxwqSOUgPVhMayLCtEa-EKEnQeDEiQqiOTn0Lo5kvwf8pu97h4MzQnxHW9OV7DNpLPqEmR2eQxC2YYutDZQodQ15REzx7tk9T3wPa5ct9A7O1adv4=w1200|https://lh3.googleusercontent.com/pw/AP1GczOzuMjfirT4SQjBdXCNSjZEHGX-O9wOK6Dc2vEYRRfd7t-uEduobBsNX6ZfwhIzOWRwupTPmlXAx6_LBd_-LzKFPghc3RMU_YXWiy5YBOm9_-z7nQw=w1200|https://lh3.googleusercontent.com/pw/AP1GczOjMImhnUmsHBeuRonj6AIsfG-WRgHvUF3v5sl5db5Uju2o8d1K9LgoZmi2AuvWLtzIlIQAtfc6AF5Jp0cwt6hluKGX2GgBRU3oMJQGENF9w6nvycw=w1200</t>
  </si>
  <si>
    <t>011</t>
  </si>
  <si>
    <t>278.4</t>
  </si>
  <si>
    <t>LORENZO LOZADA-YOLANDA</t>
  </si>
  <si>
    <t>Calle 40 No. 7A - 06</t>
  </si>
  <si>
    <t>298</t>
  </si>
  <si>
    <t>Casa con tres apartamentos en barrio Los Cámbulos I</t>
  </si>
  <si>
    <t>NO FOTOS - SOLO EFECTIVO</t>
  </si>
  <si>
    <t>Calle 26 CON CARRERA 10</t>
  </si>
  <si>
    <t>26 - NINI CASTAÑO, 38 - MARIO MUNAR</t>
  </si>
  <si>
    <t>573</t>
  </si>
  <si>
    <t>CARRERA 6A No. 40 - 35</t>
  </si>
  <si>
    <t>12 - LEIDY YULIETH, 25 - LAURA DANIELA ALVAREZ, 2 - JAIRO DIAZ, 15 - SINDY MARCELA</t>
  </si>
  <si>
    <t>568</t>
  </si>
  <si>
    <t>VIANI</t>
  </si>
  <si>
    <t>CALLE 37 No. 8F - 61</t>
  </si>
  <si>
    <t>24 - FERNEY PIÑEROS Y LEIDY, 26 - NINI CASTAÑO, 40 - ALEJANDRO ROJAS MARIN, 15 - JOSE LOZANO</t>
  </si>
  <si>
    <t>424</t>
  </si>
  <si>
    <t>ANDRES CHARRY</t>
  </si>
  <si>
    <t>CARRERA 8G No. 27-36</t>
  </si>
  <si>
    <t>051</t>
  </si>
  <si>
    <t>ROSA - PROPIETARIA</t>
  </si>
  <si>
    <t>CARRERA 8 C No. 27 - 38</t>
  </si>
  <si>
    <t>26 - NINI CASTAÑO, 15 - JOSE LOZANO, 15 - SINDY MARCELA</t>
  </si>
  <si>
    <t>488</t>
  </si>
  <si>
    <t>LORENA</t>
  </si>
  <si>
    <t>CALLE 28 A No. 9-41</t>
  </si>
  <si>
    <t>750</t>
  </si>
  <si>
    <t>Tiene patio</t>
  </si>
  <si>
    <t>1(954)7981288</t>
  </si>
  <si>
    <t>Santiago</t>
  </si>
  <si>
    <t>20 - SAMADHI RODRIGUEZ, 12 - LEIDY YULIETH</t>
  </si>
  <si>
    <t>740</t>
  </si>
  <si>
    <t>Sucesión entre 10</t>
  </si>
  <si>
    <t>Alfonso Perdomo</t>
  </si>
  <si>
    <t>525</t>
  </si>
  <si>
    <t>Casa con local  en barrio Los Cámbulos II</t>
  </si>
  <si>
    <t>MARIO MARIN</t>
  </si>
  <si>
    <t>CARRERA 9 No. 28 A-04</t>
  </si>
  <si>
    <t>460</t>
  </si>
  <si>
    <t>Casa  con tres apartamentos y un apartaestudio en barrio Los Cámbulos II</t>
  </si>
  <si>
    <t>NO TIENE FOTOS INTERIORES</t>
  </si>
  <si>
    <t>JUAN FELIPE MOSQUERA</t>
  </si>
  <si>
    <t>CARRERA 12 No.  28 - 32</t>
  </si>
  <si>
    <t>260</t>
  </si>
  <si>
    <t>LUCY MOYA - YINETH MOYA MAMA- 5 HERMANOS</t>
  </si>
  <si>
    <t>CARRERA 8 A  No. 18 A -21</t>
  </si>
  <si>
    <t>8 - ERNESTO POLANCO, 9 - ALBEIRO TOVAR, 2 - JAIRO DIAZ</t>
  </si>
  <si>
    <t>255</t>
  </si>
  <si>
    <t>Casa con cuatro apartaestudios en barrio Chapinero</t>
  </si>
  <si>
    <t>(Para Remodelar)</t>
  </si>
  <si>
    <t>JORGE SANCHEZ</t>
  </si>
  <si>
    <t>CALLE 16 NO. 10-42</t>
  </si>
  <si>
    <t>VITOR EDUARDO ANDRADE, 42 - VITOR EDUARDO ANDRADE, MARTHA CECILIA SANDOVAL, YANITH PARAMO QUINTERO, 42 - VICTOR EDUARDO ANDRADE, 46 - YANITH PARAMO QUINTERO</t>
  </si>
  <si>
    <t>128</t>
  </si>
  <si>
    <t>LUZ ANGELA Y HMNOS.</t>
  </si>
  <si>
    <t>Calle 39 No. 17-83</t>
  </si>
  <si>
    <t>026</t>
  </si>
  <si>
    <t>Casa con  2 aparta estudios y 2 apartamentos en barrio El Libertador</t>
  </si>
  <si>
    <t>El Libertador</t>
  </si>
  <si>
    <t>https://photos.app.goo.gl/DPb7Jd6ah79vTUXo8</t>
  </si>
  <si>
    <t>Cuenta con buenos acabados.</t>
  </si>
  <si>
    <t>Dimensión del lote: 10.50 ml x 28.0 ml. Ubicada sobre vía principal, pasa transporte público, cerca al estadio y coliseo.</t>
  </si>
  <si>
    <t>ARGEMIRO ????? - BOGOTA</t>
  </si>
  <si>
    <t>CARRERA 19 NO. 15-37</t>
  </si>
  <si>
    <t>https://lh3.googleusercontent.com/pw/AP1GczO7Q7eCIYDrAUaHeMdqsIlwZybyyZII6Shr-UHxvKmnXe0Utod3bNmWuC-LI9LTfiEaNeMsD08eli8j6a6a35wLwYkQeLLYS4WXz6xOPF0EBcu5jCka=w1200|https://lh3.googleusercontent.com/pw/AP1GczO9TLDOwhnPfJaDn9RhJrhq7coFZN6TDmWoxv21CbzMdFgxLlJuPy1FrXGMfhbwzacKSN2bV8bf9gxgNmg7hn7I0KjK0JZNOMRy7mvUnLFYhN7Lfgkp=w1200|https://lh3.googleusercontent.com/pw/AP1GczOs-8BTrZKpaKVQEOVrb8PFFvj4ROdCrmGsXdtiJmuoyApec9r9P2F76fw0r3OXkS4_dqvsnxOkYFh49QOV6WVmM7COyNNwjj4gpqs3_m69mEeWoirW=w1200|https://lh3.googleusercontent.com/pw/AP1GczMx62z4H26jI91JXV4Ma8CZYNsB-cbOCOYRctiqNpYUAfJ8kBn5ExW-wdX9P_-qOQ33Z5A0aVl-Z__29iJKs1GG0GcsdNvW5QqvCUSDyG8-ZHTdvbJ0=w1200|https://lh3.googleusercontent.com/pw/AP1GczMbefsh-sc2dbXo8_hQC9INVugP9we58irUAiVtx_kxvuttxVRS2G-EqKgemiJgTa43an1ee4-cB-d-VRgZWn13GzlWvIvEYLgQqZOMLZm7yqI1Bwfc=w1200|https://lh3.googleusercontent.com/pw/AP1GczNQN79atw45sOPpaiMmmIoc-YUvkUXSLVKkuQ-OFBI3tCoOmiBenqf5MkK6Vi6ZIMNvM-oPM8ffyJkhxVAGOdd1NUDmIjBVlPAB0bCRWDQ1dG1Hwmnd=w1200</t>
  </si>
  <si>
    <t>010</t>
  </si>
  <si>
    <t>JOSE CEDEÑO</t>
  </si>
  <si>
    <t>Calle 42 No. 6 - 81</t>
  </si>
  <si>
    <t>776</t>
  </si>
  <si>
    <t>572</t>
  </si>
  <si>
    <t>CALLE 32 No. 618</t>
  </si>
  <si>
    <t>19 - PRUEBA v, 38 - MARIO MUNAR</t>
  </si>
  <si>
    <t>391</t>
  </si>
  <si>
    <t>Casa con apartamento en barrio Alamos Norte</t>
  </si>
  <si>
    <t>AMPARO LIZCANO-ESPOSA DEL PROPIETARIO</t>
  </si>
  <si>
    <t>CALLE 51 No. 21 A - 30</t>
  </si>
  <si>
    <t>366</t>
  </si>
  <si>
    <t>Casa con apartamento en barrio Villa Carolina</t>
  </si>
  <si>
    <t>KAROL-HIJA- TIENE PODER</t>
  </si>
  <si>
    <t>169</t>
  </si>
  <si>
    <t>ANDREA - CARMENZA OVIDEO</t>
  </si>
  <si>
    <t>CALLE 26 A No. 8 - 42</t>
  </si>
  <si>
    <t>15 - JOSE LOZANO, 2 - JAIRO DIAZ, 7 - ROCIO YAGUARA VELA</t>
  </si>
  <si>
    <t>534</t>
  </si>
  <si>
    <t>https://photos.app.goo.gl/ef5r6xZiwT3kBq7M6</t>
  </si>
  <si>
    <t>JAIME ARIZA</t>
  </si>
  <si>
    <t>CALLE 3 No. 14-46</t>
  </si>
  <si>
    <t>https://lh3.googleusercontent.com/pw/AP1GczOrG2jjePpACMWpGMfonYi81WbPSCkxVezz-szgoQbX1fXaINJpfS6ENn2ya0B1V2MqsCNbXI5m9sDzKp1hOs3wWZCgEDjRstxCLE950Dm8_L1QxcAe=w1200|https://lh3.googleusercontent.com/pw/AP1GczNbEPgLlBr-6L0zv5Xkijgxpwbn11gDoG1_x4Cb5tBy7GsVr8yCqvouS81W352G-smK--KLxERopKrs_F4Kuvl9FM---uPW9xJmsYWN3qrBUc0PLNkO=w1200|https://lh3.googleusercontent.com/pw/AP1GczPdESyn4nyEB0V9xgB_a6zDKellL4NIE5Svv-W5nV0HKQD77A-3l-SjZqX9uaccZphvonkezZTJfmpySuVn5TZHQnGhheboEX3gYuKe1cb7DcHr0dt4=w1200|https://lh3.googleusercontent.com/pw/AP1GczN3JqYfJpywXkmvwZzdi3eSBMxH8pxW_pU4o30B9-06_S42065YwURdq3EuGFtvbmVVi3yOaPIeu_nVGbj_O2C-iSscZzVnlA-XSMfnH-94jbKd6UZH=w1200|https://lh3.googleusercontent.com/pw/AP1GczNseLxa7TM84xnLT9LdYPKWA21HFzTTVO_auVMGy93kReAS_e5S1z5cKMeJni9PCWeQaFnA37x8KYS86VGpUBFXtxgDLXfD36-Qnrp9UVGXZ0-JHkPA=w1200|https://lh3.googleusercontent.com/pw/AP1GczPAem1fXpbEVMLLuhcIkYFShIql_Xt7bkKGEoXQ6bHaIeJnRjBGVddU2O3JOj8RewxTgwaZ11MnR13OztwBEvj0m3MFEnQk8TIvetr0pkesJaNb6F8V=w1200|https://lh3.googleusercontent.com/pw/AP1GczMF3onhE3EBvRbNIX1yX7S4Y_i70SM2uTKhyvH3CywycSZUrJORcWVo_rgOBYezTu2OKijEtX75MlS1MW_COpMHKv4uokpjtgGUREsRJ3v4h_VvuOTn=w1200|https://lh3.googleusercontent.com/pw/AP1GczPMEjbHd9s8rb8o_KqHOLLenec0fnmm_bE3nkAS3x_wM39VzEoPGBnG4FDpkGKnh4HEkP9JxwJNR6qMVKm_CFjuc3MRfR4HQ796OeuTxpimrJLz2KPx=w1200|https://lh3.googleusercontent.com/pw/AP1GczOl0RFkUWzoQ_jtgLE9nzbjjeodCs_n7Zow2wdHo0j32C854voWlhjPFbml1d5STbN2lY209oUn_Dl9n6-aNvuBUQpLpjwW7SsZwUg-F6eT7MbSuZvG=w1200|https://lh3.googleusercontent.com/pw/AP1GczPL8CVr9pnX0uSXsWeNH2ln739HAJYKgSl7Joc-Z-1wLWkgPPIi5g15ZkPtUqDFV5fSqcfc3DR1KM5dsGxYAVdzR3AfsAX4iAoxL8-UYs9Gc84sWc3w=w1200|https://lh3.googleusercontent.com/pw/AP1GczM2lw8ae88h0C6QFCgvoFPaPcKJoaa4eHzNGmpRngE3ldpuVfibHdXs-lGnbcC1l-eZJKmyFbxvBXp6cOw8D_dG99sM_lYqH-W5CQemT6iQukmJRcwg=w1200|https://lh3.googleusercontent.com/pw/AP1GczOltKkv08JZMlge7B57chRcXHfgIAkZrC6KICezPgxwXi9H5Bk9bpjY5tEs1EYmdsF56fQeyByw5zzECIPMoJ8ru8gkbqEtTD5SJdocqIohVV8lNAvC=w1200|https://lh3.googleusercontent.com/pw/AP1GczNA4rZpb3rUnK0PYAstwEhJ8ADdHJCC4Fyhl6L_GGg51n0t_Zii_8zEA5-MLfu9LoyXIYcT3u47wt4aZrKQyQCFjWHotlVLstEzz2dRIJPMlgqhLkRx=w1200|https://lh3.googleusercontent.com/pw/AP1GczMcIWnev8oER3rWRIcxxy07o165pG2bIJ5c1cwELWbzb6Za5QQhujL_bKTH-3r6FjlBOiqOaKcOp6WNo5v3Lx53CtIisF7RTByZ92ed6RIjyzzEV0by=w1200|https://lh3.googleusercontent.com/pw/AP1GczOaEbZJSC8k2mUvPf7RoMd6g_6kP7tHELbWOvk60NULhHQVKgNekq0KUS1emW-Jv0oH5hFwZq-1JVkUzUkqVCz216MUSNGF6nYvAb3_0s6TM14aQLNp=w1200|https://lh3.googleusercontent.com/pw/AP1GczMplZYCKTfpKkpjAkOJw831SB19H3RrHmL7tIi3CjMTzexFwxJdI1IXQdKnVwPDE6iA-HX41Hgh0smcVqoFuiJMFQMMn0wvji0bhFs7qBDa2piVbruI=w1200|https://lh3.googleusercontent.com/pw/AP1GczN5ri8E-5ef0GUm7eS87XEVJPE3d4RsW0bHCuMN4drNSqibgIYPrFuongHSiPSr5L3KG2d7g1llwmfABFtuvvZVyR5Shp7e7i2QYx6peBYisZ08-LdD=w1200|https://lh3.googleusercontent.com/pw/AP1GczMOmulvzC9awVAi-w5JvIiLpzOcpnlo0GMfhi7kdkb2Oxyv8Hrc7MmfRho5Wi2yjtRFtUKICACjOjBXx89JKxdfCGtRXVvdXUrL0fTy4aNEA4X10L2l=w1200|https://lh3.googleusercontent.com/pw/AP1GczOfpO_rdLiJRUSjmw-OWcVWtFCX7NsClOkpkOE9KWHQRkJWfAQtdLzRB-kqL2UIOTrLYM0PLsVDk0FaLfeqLf9j3lIWNYkb3nXNLKkCpIEI5wQqmNBx=w1200|https://lh3.googleusercontent.com/pw/AP1GczMV3ePuVLOeQb6-OVWoLJ_glF4dBpqX-jzzXrIq4qf0QSiZrTwR3ak7c689gq2WJgCIC-fHEjK6IDAMhlZX3doWRxnhYYqM97CbXOA8uZEcjWfR2KCt=w1200|https://lh3.googleusercontent.com/pw/AP1GczMLQmcJWv7uQogdt4Xr9KFkqA2iCpOj6fgi5Efo32_9n9y7OSTayAVgMXWzhE-7hoIeijL5Wm9IEEnNmPBrYV26Q_ZgWRmKTuBC5e2uYK5gHVr9SNeB=w1200</t>
  </si>
  <si>
    <t>414</t>
  </si>
  <si>
    <t>SERGIO SALAZAR</t>
  </si>
  <si>
    <t>CARRERA 8 D No. 27-19</t>
  </si>
  <si>
    <t>364</t>
  </si>
  <si>
    <t>Casa en barrio Santa Librada</t>
  </si>
  <si>
    <t>254</t>
  </si>
  <si>
    <t>CAMILO PERDOMO</t>
  </si>
  <si>
    <t>Carrera 10 NO. 14 - 27</t>
  </si>
  <si>
    <t>160</t>
  </si>
  <si>
    <t>Casa en barrio El Cortijo</t>
  </si>
  <si>
    <t>VERIF. NO. CONTACTO</t>
  </si>
  <si>
    <t>CARRERA 5 A NO. 62-58</t>
  </si>
  <si>
    <t>27 - Valentina Renza, 20 - SAMADHI RODRIGUEZ, 19 - PRUEBA v</t>
  </si>
  <si>
    <t>142</t>
  </si>
  <si>
    <t>https://photos.app.goo.gl/LFRkdQ8hMABKVr7y6</t>
  </si>
  <si>
    <t>QUINTILIANO</t>
  </si>
  <si>
    <t>CARRERA 8 A No. 18 A - 59</t>
  </si>
  <si>
    <t>❌ Error: HTTP 404 para: https://photos.google.com/share/AF1QipMyDdyA0jW9aQHb0tobuXfM_cVdqQyDD1YLZ7pUzT6Q5FOphFGD2MdAA-bKQ5xhWg?key=YU45b1NXdmZIbV9lWDZ5MmM2Wk9fOW5jcFUtTzNB</t>
  </si>
  <si>
    <t>794</t>
  </si>
  <si>
    <t>CECILIA POLANIA</t>
  </si>
  <si>
    <t>Carrera 8 D No. 34-34</t>
  </si>
  <si>
    <t>368</t>
  </si>
  <si>
    <t>CARLOS LOSADA</t>
  </si>
  <si>
    <t>CALLE 57 A No.  17 C - 19</t>
  </si>
  <si>
    <t>313</t>
  </si>
  <si>
    <t>Casa en barrio Santa Ana</t>
  </si>
  <si>
    <t>Santa Ana</t>
  </si>
  <si>
    <t>YURANY</t>
  </si>
  <si>
    <t>CALLE 55 B No.17-77</t>
  </si>
  <si>
    <t>276</t>
  </si>
  <si>
    <t>Casa con dos apartamentos en barrio Los Andes</t>
  </si>
  <si>
    <t xml:space="preserve">Los Andes </t>
  </si>
  <si>
    <t>MARIA DORYS</t>
  </si>
  <si>
    <t>CARRERA 17 B NO. 30 -21</t>
  </si>
  <si>
    <t>267</t>
  </si>
  <si>
    <t>https://photos.app.goo.gl/iZRCV5T88nYuyUYG7</t>
  </si>
  <si>
    <t>LUIS FERNANDO MEJIA</t>
  </si>
  <si>
    <t>CALLE 36 NO. 1 A - 91</t>
  </si>
  <si>
    <t>33 - MARIA ALEJANDRA MONTES R., 35 - LUIS ANGEL VARGAS</t>
  </si>
  <si>
    <t>❌ Error: HTTP 404 para: https://photos.google.com/share/AF1QipPOx7ngFmQ1P5H4xiq_Qua8DcPGi6X_c1qG3r_Y7WpYIkkF0t2mWbCbAvefkJ4O2A?key=SW51Wm00Q0pBUy1CVGJvLWNXNmRXc0pXWGQzU2tR</t>
  </si>
  <si>
    <t>234</t>
  </si>
  <si>
    <t>Casa con un apartamento  en barrio Alamos Norte</t>
  </si>
  <si>
    <t>TERESA AMAYA - EDGAR</t>
  </si>
  <si>
    <t>CALLE 51 NO. 17 C -04</t>
  </si>
  <si>
    <t>218</t>
  </si>
  <si>
    <t>Casa con un apartaestudio en barrio Sevilla</t>
  </si>
  <si>
    <t>DARWING VILLAREAL</t>
  </si>
  <si>
    <t>CALLE 23 CON CARRERA 6</t>
  </si>
  <si>
    <t>213</t>
  </si>
  <si>
    <t>Casa con dos apartamentos en barrio Rodrigo Lara</t>
  </si>
  <si>
    <t>Rodrigo Lara</t>
  </si>
  <si>
    <t>212</t>
  </si>
  <si>
    <t>MARENY ROJAS - inmobiliaria INVERCOM</t>
  </si>
  <si>
    <t>12 - LEIDY YULIETH, 44 - SEBASTIAN NARVAEZ</t>
  </si>
  <si>
    <t>192</t>
  </si>
  <si>
    <t>Casa en barrio Candido Leguízamo</t>
  </si>
  <si>
    <t>ISMAEL HERNANDEZ</t>
  </si>
  <si>
    <t>CALLE 53 NO. 1 D - 81</t>
  </si>
  <si>
    <t>159</t>
  </si>
  <si>
    <t>Casa con dos apartamentos en barrio El Cortijo</t>
  </si>
  <si>
    <t>VICENTE CADENA</t>
  </si>
  <si>
    <t>CALLE 62 No. 5 B -47</t>
  </si>
  <si>
    <t>146</t>
  </si>
  <si>
    <t>ANDREA</t>
  </si>
  <si>
    <t>CALLE 8G  No. 34 - 28</t>
  </si>
  <si>
    <t>8 - ERNESTO POLANCO, 38 - MARIO MUNAR</t>
  </si>
  <si>
    <t>090</t>
  </si>
  <si>
    <t>CARRERA 8 B NO. 13 -74</t>
  </si>
  <si>
    <t>072</t>
  </si>
  <si>
    <t>Casa en barrio Los Andes</t>
  </si>
  <si>
    <t>ANDREA-CARMEN RINCON</t>
  </si>
  <si>
    <t>CALLE 28 No. 16 A - 31</t>
  </si>
  <si>
    <t>043</t>
  </si>
  <si>
    <t>CALLE 20 NO. 8A-21</t>
  </si>
  <si>
    <t>19 - PRUEBA, 33 - MARIA ALEJANDRA MONTES R.</t>
  </si>
  <si>
    <t>610</t>
  </si>
  <si>
    <t>Casa en barrio Villa Urbe</t>
  </si>
  <si>
    <t>CARRERA 19 A No. 58-34</t>
  </si>
  <si>
    <t>389</t>
  </si>
  <si>
    <t>85,50</t>
  </si>
  <si>
    <t>LUIS FERNANDO</t>
  </si>
  <si>
    <t>6,5</t>
  </si>
  <si>
    <t>314</t>
  </si>
  <si>
    <t>Casa en barrio Villa Esmeralda</t>
  </si>
  <si>
    <t>FLOR MARIA CAPERA</t>
  </si>
  <si>
    <t>CARRERA 20 No. 58-20</t>
  </si>
  <si>
    <t>269</t>
  </si>
  <si>
    <t>Casa con dos apartamentos en barrio Candido Leguízamo</t>
  </si>
  <si>
    <t>CARLOS</t>
  </si>
  <si>
    <t>CALLE 40 NO. 1C - 07</t>
  </si>
  <si>
    <t>15 - JOSE LOZANO, 2 - JAIRO DIAZ</t>
  </si>
  <si>
    <t>396</t>
  </si>
  <si>
    <t>FAMILIAR PROPIETARIO - EDITH GARCIA</t>
  </si>
  <si>
    <t>CARRERA 8 B N0. 26-72</t>
  </si>
  <si>
    <t>756</t>
  </si>
  <si>
    <t>Casa en barrio Los Cambulos II</t>
  </si>
  <si>
    <t>Alexander Valderrama</t>
  </si>
  <si>
    <t>378</t>
  </si>
  <si>
    <t>ORLANDO</t>
  </si>
  <si>
    <t>CALLE 18 No. 7 A - 60</t>
  </si>
  <si>
    <t>302</t>
  </si>
  <si>
    <t>ROMULO</t>
  </si>
  <si>
    <t>CALLE 20 NO. 58-11</t>
  </si>
  <si>
    <t>641</t>
  </si>
  <si>
    <t>Casa con dos apartamentos y una habitación independiente en barrio Villa Constanza</t>
  </si>
  <si>
    <t>Villa Constanza</t>
  </si>
  <si>
    <t>https://photos.app.goo.gl/EgJixdTgg2FAnhww7</t>
  </si>
  <si>
    <t>❌ Error: HTTP 404 para: https://photos.google.com/share/AF1QipO-8Xw_wJpzMj_rpRsfPRwmkVv8Rn_KSxObTA45Oilj7muf8Z8Xw2wpG9Y-uWCP1g?key=NHdXcENMUzlIcFFYWXcyN09xdGhpV21qdzFmc3lR</t>
  </si>
  <si>
    <t>230</t>
  </si>
  <si>
    <t>Casa con un apartamento en barrio Los Andes</t>
  </si>
  <si>
    <t>https://photos.app.goo.gl/ednhLQVFmhmUPbG19</t>
  </si>
  <si>
    <t>MARTHA DIAZ PULIDO</t>
  </si>
  <si>
    <t>CARRERA 17 C NO. 27-09</t>
  </si>
  <si>
    <t>12 - LEIDY YULIETH, 19 - PRUEBA v</t>
  </si>
  <si>
    <t>https://lh3.googleusercontent.com/pw/AP1GczOOvGx-PDbPzdvK4JU8tbQK0zvNKrqvlDJILUC7dJ9fg_X5rsyCq-5MYPBKncBmJnELlRMfLz4jVi01EHeCI_sBbY7ZxnyX4vDMAmq2ZIpzUtNXdo4=w1200|https://lh3.googleusercontent.com/pw/AP1GczOHMNgRQSKh00mlFa9FxhdTHrdi9vgigsraVQWmaZy_0FZVWRLZlmXnZFHGdS-kyinNvAYMILkKaYkqtSmVz06b_r-37C89SrWelWi9AxbL0zGw700=w1200|https://lh3.googleusercontent.com/pw/AP1GczNv6EyRrDwFmaISx8CNQXM5s9Zg6tzeMk9A7o6iZSqwfjblnrh2Ax11oeRlYV5voR7XSCOyyclBldXFGIC5nYWqeEXsoQY5brrTtL3tq8W3D26N-3I=w1200|https://lh3.googleusercontent.com/pw/AP1GczOc63_2LrOHTfYDZRTiI3vZYfINKPtlXd-6Z2U8HjzCQZaOn0r32e7QqhNwdX_iLx950ydg2vznxQVOqRdcSScWQmbBWtKXzGotab3zmxmzaVswodc=w1200|https://lh3.googleusercontent.com/pw/AP1GczOiuuVeQau6BgeF1lIlGHfl_qOPUsA9U6alBMsmoEiaN_6zjeOV77NBI6jK6RYhI8aDlIG95Ik_cyPXywZnLyowxI4LWC8AZRuBb5JBEVLTb9I_7oM=w1200|https://lh3.googleusercontent.com/pw/AP1GczPcxQaeuSVGuYUOQ47gtN6FQTE3T5RATHNXru6FqUYE-uW-p0A4K2p4Zs1JUYBSjGokZ1RmB9l6ZxfOMo-4lDy0xLhkNpI_r4LujhFwDpJIecCX9aQ=w1200|https://lh3.googleusercontent.com/pw/AP1GczMNlSirttTDb9vGXAqeUOy23n3oOsbCHiOhhrHDlI7mlIvuiariTI77ag8bdpbDIc7fFCP3lEZTqUAhzRaHvbCD-xTeMYCtlv6A5QXKpAwUMYy9z-8=w1200|https://lh3.googleusercontent.com/pw/AP1GczMzL8t1bPpkcbnlrs59O6w_NXT3DpU_Yn9kvgT7clFcYe4xDDAti9GciAONl6G32f7jzgeK7_qJ9uhyqmzgCyPns56CREwohJAu9Iw_aAxgnjPRjsc=w1200|https://lh3.googleusercontent.com/pw/AP1GczP0iW0KfLjFqe_lOA2M085g2592qLWqAU46rxhMA_aDrmV1UdooCS59xFpRPR5nSitbA95z8obOxpeV81Y4J37nIGK28TyG1oHHS4PybW5eUMt0DW4=w1200|https://lh3.googleusercontent.com/pw/AP1GczMBF9viRaeaAQnQ55Wxlo0-bS-1waqLtBM8rM7wTf_6o7MKroAflySWYYjtH7i-H1FR9jokDLw-3plIdXcdF79WmMMX9T60YAx_2phGwV7ckHWUUO8=w1200</t>
  </si>
  <si>
    <t>227</t>
  </si>
  <si>
    <t>YINETH BORRERO</t>
  </si>
  <si>
    <t>CALLE 60 NO. 5B-19</t>
  </si>
  <si>
    <t>054</t>
  </si>
  <si>
    <t>ENDER LAVAO</t>
  </si>
  <si>
    <t>157</t>
  </si>
  <si>
    <t>https://photos.app.goo.gl/3TWRYyxFzM4xaHJM7</t>
  </si>
  <si>
    <t>OLGA - JAIME ARIZA</t>
  </si>
  <si>
    <t>CALLE 60 No. 5A - 29</t>
  </si>
  <si>
    <t>https://lh3.googleusercontent.com/pw/AP1GczOWkoavIPYkKx3TjtksU9geKQZp41ig_-D6v6BFAqUJ-hTngsDuZFiKIHTFtldvbwHQ6eAbcS2CS3qMAto5b4Zdj_nq8GAu1Oe_lR87g943u9HAfOCJ=w1200|https://lh3.googleusercontent.com/pw/AP1GczNNRZagGhC9oTaQ1I2HC926n7p8olY4TL5TzlpsBWlcTbkxLcs_-drfl4yNTQ6JcBVL1HcqlTJ2fwMEqHJLffiG4H_gi-puYyHr1X3KAVdwJyYJh5NZ=w1200|https://lh3.googleusercontent.com/pw/AP1GczPbsAjjNCbEPN48gqQW2PPMxISOhUhhTEXA-uFnRNor0MiPdihSWxQKjS6eFEO3a4StBJqbbTf6GdbNzHs6NISo1rwrkUK6S8-N0YeCY9T3fVQccYja=w1200|https://lh3.googleusercontent.com/pw/AP1GczPipeW9K0rDJzMMfOt8JpstHsdchqzlcY-W2khHlhstQBHqtSM6hhn2xnU9c-J7xccBqPP4L4o9BMVidP1E-DU3SYXvVyh5PRbewVCcZw126Gcr3tcd=w1200|https://lh3.googleusercontent.com/pw/AP1GczOxQamFXv7YPBRfYBazDpKS7ISHXO3B_kgVBRsQQaYXKT2XME8dGn6FuVMt_G-LA-trtCcqGY_FIFKkdglN_7wc0xC1HH7zpL7E7PhMyS2Qh2gqy577=w1200|https://lh3.googleusercontent.com/pw/AP1GczPb9tPToYtCEZz3vPnpdGzlRVe4lE4hOfIYTrm1rfjSvJQiOejcZ_RUOQSe3hKdGdh9FUreSCm4eA6-IhsC-KR0sGgnvv7V6YDLQIawp1Wf3Ju-zIMv=w1200|https://lh3.googleusercontent.com/pw/AP1GczN9XOEtEO8ySh4_1wL509ArciMU1xi3_CS8mAYKsjIMhK5RAECXPSAJ7Brvee9eFlb4Yssfhje6UveRL_CIB6GFl3epQTBl26hxFM0ZRPlibNake-8Q=w1200|https://lh3.googleusercontent.com/pw/AP1GczNVi2TXfiQmb0ztTq5zV0N37Dpvkn8wA16PXFsUE8YmTQgqNL52_91ZWpnPnUgoNVJnjM4H2yEfxrTb7RvhZKDlbNUfPVuB2iqMoC0NTDAyM_iBMTUK=w1200|https://lh3.googleusercontent.com/pw/AP1GczO-EyLFP6fvGxnPYZXQ5TYHLSOcQZyQgRBNyTmehRaMYQra5ws-sO90TKcOmWg0uaNTgN83e0txHVxVFu01Cwvddo7ggUpD4fxrc7h0Flmn1NRi3MNz=w1200|https://lh3.googleusercontent.com/pw/AP1GczNsDTcSdVJVHyJig8VfBrLgEH3EJUHtDJFrNpWniyJPNeTfN-edS9NU_jTaW6ilabkRHZWNegD28apmy4T6_Ivxw7GD-rnmcS-Lrcn20ygQxUQ_gupw=w1200|https://lh3.googleusercontent.com/pw/AP1GczMx-KuVe62iNa7cR_RfmXn3B0UklJwL4S93KVsJZooHLB8ZpsSd6auVwFCZi7Jyxt7E1Ie2B-bdIdklQiohgZe5fB12lDFAflEK3zthAyXIxD5mKtSP=w1200|https://lh3.googleusercontent.com/pw/AP1GczMpeinn7moOBZqlzNKzsex9QYcEP2dP-X6USMJJxaNKaN2jzOSZecEbVu3L2YVPtNFxCwsvgeCkKl6a3_dDbTmFGH0X_qSGAPn3tdY1WnxsOMo77lyq=w1200|https://lh3.googleusercontent.com/pw/AP1GczP-vS3TMainDcjDyVlR3b51-tKjfFt07Kay_L4Mq0srhs3ckBOVxmGdIuD2CVduERFe7eN_bJlJQ7dwUc9rqkd7Vmo9Kw6HFS7U41u7K_coy611dPfI=w1200</t>
  </si>
  <si>
    <t>208</t>
  </si>
  <si>
    <t>RICARDO ARGUELLO</t>
  </si>
  <si>
    <t>CALLE 49 NO. 1 A - 49</t>
  </si>
  <si>
    <t>140</t>
  </si>
  <si>
    <t>071</t>
  </si>
  <si>
    <t>https://photos.app.goo.gl/8e7jucMt3enixbP49</t>
  </si>
  <si>
    <t>normal y semi</t>
  </si>
  <si>
    <t>LUZ FANNY FIRIGUA - La Plata</t>
  </si>
  <si>
    <t>CARRERA 17 C NO. 27-15</t>
  </si>
  <si>
    <t>https://lh3.googleusercontent.com/pw/AP1GczOug0o9esHAYId5ys2gyW3fPBFuGIjpHfI_l_0RY6VrHIGn82rBeelOaDYvPVNusWfoX-8VgW-WTd5hDyIx2BrKy7CQVpcQayzebeGD3ROTbgztQVj5=w1200|https://lh3.googleusercontent.com/pw/AP1GczPSXlG0xRh5gOVnNm6JwoEVJRWxL1mG316NseUnmtHNIg6OT6zMnWMnZCKv2_fkr71RV9NeyT0PFTxTIvWpjseYuIgRjeswV28cWWd9MizrsKvWRAuT=w1200|https://lh3.googleusercontent.com/pw/AP1GczPBwppw45SWAL5vWelYRCcy34WlZnpHslemrS5AZuZiecxWyZKdBU4PACGQ2_pg-mXBYIIPO4sI-zWRBhx0_S3iN9YExTNJY21TnAO5m9PsFaiRNH99=w1200|https://lh3.googleusercontent.com/pw/AP1GczPEJdyQX3BAKf0EBFHuYwrfn5Qc-vJuLunM9yj_CF0sRw75v0TM9ks32PMvup81fgN7rsM1dCiNWyBM51L-QcCO3Uve3tBVzNTfHWqlvZIAU0MmC7VC=w1200|https://lh3.googleusercontent.com/pw/AP1GczNnIjmAUqKc0IYgJ_dS0ZNCltZ0531pEFrc3vW8Zm-ZL5rI--yQH_h-XZDHBLudqjIiqhM3A8Wl5hqdErXpnVYkiyxcpCVLbqpSvvfhp-UtBFK5eecB=w1200|https://lh3.googleusercontent.com/pw/AP1GczN7FXfgbtRQ16xoHWBL1CkllVv7EQQlYkmIVacOFXRREJ0OWkL2aeD0QikxUmyPsjsyOAzx9mAfVTj8sYtKYe0f_58FgfEk6Ru-jfEpjBSnx9usFCmj=w1200</t>
  </si>
  <si>
    <t>275</t>
  </si>
  <si>
    <t>Apartamento en Conjunto San Nicolas</t>
  </si>
  <si>
    <t>Andaquies</t>
  </si>
  <si>
    <t>San Nicolas</t>
  </si>
  <si>
    <t>Ubicado en el cuarto piso</t>
  </si>
  <si>
    <t>DR. WILLIAM GUTIERREZ</t>
  </si>
  <si>
    <t>CARRERA 41 A No. 27 B - 32 Bloque B Apto 402</t>
  </si>
  <si>
    <t>098</t>
  </si>
  <si>
    <t>Casa con apartamento en barrio Villa Milena</t>
  </si>
  <si>
    <t>JOHAN</t>
  </si>
  <si>
    <t>CALLE 34 No. 16 - 65</t>
  </si>
  <si>
    <t>229</t>
  </si>
  <si>
    <t>Lote en barrio El Cortijo</t>
  </si>
  <si>
    <t>CARLOS PRADA</t>
  </si>
  <si>
    <t>CARRERA 5 B NO. 63-48</t>
  </si>
  <si>
    <t>027</t>
  </si>
  <si>
    <t>Apartamento en barrio Chapinero</t>
  </si>
  <si>
    <t>601-3934419</t>
  </si>
  <si>
    <t>NUBIA</t>
  </si>
  <si>
    <t>CARRERA 10 No. 16-46</t>
  </si>
  <si>
    <t>2 - JAIRO DIAZ, 7 - ROCIO YAGUARA VELA</t>
  </si>
  <si>
    <t>312</t>
  </si>
  <si>
    <t>HERNANDO - SANDRA</t>
  </si>
  <si>
    <t>CARRERA 19 B No. 50-18</t>
  </si>
  <si>
    <t>245</t>
  </si>
  <si>
    <t>Apartamento en Conjunto Residencial Palmeiras</t>
  </si>
  <si>
    <t>Palmeiras</t>
  </si>
  <si>
    <t>79.10</t>
  </si>
  <si>
    <t>ANGELICA</t>
  </si>
  <si>
    <t>ANGELICA MA. DUSSAN RUBIANO</t>
  </si>
  <si>
    <t>27 - Valentina Renza, 9 - ALBEIRO TOVAR</t>
  </si>
  <si>
    <t>207</t>
  </si>
  <si>
    <t>Casa con apartamento en barrio Candido Leguízamo</t>
  </si>
  <si>
    <t>AIDA</t>
  </si>
  <si>
    <t>CALLE 54 CON 1 D</t>
  </si>
  <si>
    <t>172</t>
  </si>
  <si>
    <t>Apartamento en conjunto Monte Madero.</t>
  </si>
  <si>
    <t>Montemadero</t>
  </si>
  <si>
    <t>https://photos.app.goo.gl/XkKzhkG3f2cz73wX6</t>
  </si>
  <si>
    <t>Ubicada en el primer piso</t>
  </si>
  <si>
    <t>CARRERA 28 NO. 26 - 41</t>
  </si>
  <si>
    <t>https://lh3.googleusercontent.com/pw/AP1GczM97ncF3BCAwB0RGkGw6GG8xZx1cy6dSbnI--0Sql3-pTAQrOgcgpc8iZgFr6OrLyf9OWwY2GR1djyjMjHAX91iGO_rswv5Ux6bDCEWz3GW_e6qXQXo=w1200|https://lh3.googleusercontent.com/pw/AP1GczN6OWH_BEDuIrGVS5BfPNOPGltevqtzrVOXhpIf72uff8g5PusGEQ37lSZwrdrkx7LkkATSxu0HW8BXvvEGIvfWBu22-cVQAEsGRnCAuXfP3rb6b1zA=w1200|https://lh3.googleusercontent.com/pw/AP1GczMMMyTdI1VAJ2hPzRnuGfeY7MBDebkR8a44IwYh_FWd8c8QHXMvgdsqUlKzMT15MZRiD03sBFryajFyn84OGPuoLPpoJeZXfLkVmco0dVjOrSI7lNcm=w1200|https://lh3.googleusercontent.com/pw/AP1GczPPG99ooaLtYyMrBThgAgUTu4Ou1GbUbuf8KwEEMkXvXRxLphcCCVuDS96d-TW9lu29jYlyoZV9Gt_nwshSBcCc4Ebf3G-hJWhkryE7tzH9lBROu1XV=w1200|https://lh3.googleusercontent.com/pw/AP1GczNIskVJh-HoKyMUIhmXLEDq3ETO4kqIPJ9czhz1d5eVLeIQjXeqssBV_J9EX7G7wYOgXH63mp_M8Bs9JYnXiwWjZ_9qXq4UELQJodeW4zr66Q3_PG6w=w1200|https://lh3.googleusercontent.com/pw/AP1GczOjkqT19LmGdB2mY2a6oSZrJPzCFCnoz1W4P5QSJOZWUkNuFAniCjB6gAWkl7QgkzrNEph0kY7_JmGThJc_nPEs6lFL5P0uCdghumjG3E7Qg2J8LVg9=w1200|https://lh3.googleusercontent.com/pw/AP1GczMEiPQenTyC8EiYY5_vaaJL5Rv3Ej2WLxmWK_tod868biTLKxMXFGawidflRimKjjHYWeU9qzPimf54yQ78L1ioZ1mhCYFOD7CA3zx3IIeu3uGV8gw4=w1200|https://lh3.googleusercontent.com/pw/AP1GczMPPtOvLPIePA3m-rk31GE0GLZ6GOY0JDwyY7ExrYZzWoSirLGdo7RnGD-ZSp1CqFo8nBOMGTlSwkyMjrXc_Hky_OBvM6Bol86edN4RCO6TVoVBjwka=w1200|https://lh3.googleusercontent.com/pw/AP1GczPkUkbnEqH-aAuXH5Yd0pj2X0rm06ZkMChGxLUkWgkXkbBbGL9fpI9qfQ97CU0Qcw8CfksA33zpsW13Upls32EMR5qkznlNqtcyBMJTtVWyFZTuKEml=w1200|https://lh3.googleusercontent.com/pw/AP1GczNX-ej3Wd5hXNDYZkLzFyd1Xkm60l0l7NABbiz69KG5wFEk-zYllqIREVDWg6ef57ysG_IZ4Sud4sBHIaRczD6hnAgzagXZ1QoODSRa7ETlqzs7ND7n=w1200|https://lh3.googleusercontent.com/pw/AP1GczPtnBur16wJV3FUJzcEeyhYUMxdv1z-9zHGEZaxzVJThPXlKpq9JosOG1k3Lny2k5B7oYD4-T9yHCA2IZLLUgDrU2EReQy_jxOkCpYuYXU4RFfT1SXB=w1200|https://lh3.googleusercontent.com/pw/AP1GczOdl4FYzZFqWnjd7mImeK2GeI2j0hNEfmiaqo4vR5L762-OCsYdqEwjot201qlzlMLvEHKazHfMEx1rAdNh3T3eDbqDKiOHt9YsQZfN8gZgJ_j5Lfx1=w1200|https://lh3.googleusercontent.com/pw/AP1GczMudpGrwhtEZ7WM0nJq8crJ5Tyx1XCl3hpqYLeEXDX5IIh4V9E6X1qBftmdQqzX5a9247IXHKO-14JUK9x9rQJcZzLxf3wKVndC3REVZdyN2Emzg4Q-=w1200|https://lh3.googleusercontent.com/pw/AP1GczN-m93H8OmCH7Jp6qobSmhgAk-ZXTE_8qkiJsk6DYn8KGJ_iEgHTz__VFA_XY9rrxITSkmnUk7cO5H7Cx5v-PgT31Kg7bBZg2WX6gHCzjGZR6bLaZs-=w1200|https://lh3.googleusercontent.com/pw/AP1GczPkGRuEq6KWK4TS4CH0IZZYf2vKGMzzDrcLYkLuY_fG9J3FgmmuZfzTZ7tI_jdD3WRH7cG8ZgJLubA2K_zBGyBFFgA2l5HqbukFbMO40Mk7zVqC0JqC=w1200|https://lh3.googleusercontent.com/pw/AP1GczMxy25SdbizFuUZzO88RTJdxxpLALDvnmMEySeoMl_kabS66Qgi9FSfBryJwh9w6t1XHJb4zCAJfOYMNqcbjLAB2JAKqNrSBQhGNSLktg72yi7tUto-=w1200</t>
  </si>
  <si>
    <t>158</t>
  </si>
  <si>
    <t>Casa en barrio El Cortijo.</t>
  </si>
  <si>
    <t>297</t>
  </si>
  <si>
    <t>JOSE</t>
  </si>
  <si>
    <t>CALLE 14 No. 14 - 31</t>
  </si>
  <si>
    <t>211</t>
  </si>
  <si>
    <t>JIMENA SANTA CRUZ-BORIS MEDINA</t>
  </si>
  <si>
    <t>CALLE 60 NO. 1 B - 50</t>
  </si>
  <si>
    <t>126</t>
  </si>
  <si>
    <t>Apartamento en conjunto Capri (Remodelado)</t>
  </si>
  <si>
    <t>Capri</t>
  </si>
  <si>
    <t>Ubicada en el tercer piso</t>
  </si>
  <si>
    <t>LUZ MARINA PERDOMO - MAURICIO CASUR CORONEL VARGAS</t>
  </si>
  <si>
    <t>141</t>
  </si>
  <si>
    <t>Apartamento en conjunto en el centro</t>
  </si>
  <si>
    <t>CARLOS ALBERTO</t>
  </si>
  <si>
    <t>CARRERA 4 No. 3-21</t>
  </si>
  <si>
    <t>133</t>
  </si>
  <si>
    <t>Apartamento en barrio Gualanday</t>
  </si>
  <si>
    <t>069</t>
  </si>
  <si>
    <t>Casa lote en barrio Los Andes</t>
  </si>
  <si>
    <t>NO FOTOS INTER + DESCRIPCION</t>
  </si>
  <si>
    <t>GONZALO PLAZAS</t>
  </si>
  <si>
    <t>CALLE 27 No. 16A - 19</t>
  </si>
  <si>
    <t>063</t>
  </si>
  <si>
    <t>Apartamento en barrio  Los Pinos</t>
  </si>
  <si>
    <t>Los Pinos</t>
  </si>
  <si>
    <t>https://photos.app.goo.gl/jCGSvACD4avSZ9pK8</t>
  </si>
  <si>
    <t>PAISA DARIO - PRIMER PISO</t>
  </si>
  <si>
    <t>Calle 44 No. 21-25</t>
  </si>
  <si>
    <t>https://lh3.googleusercontent.com/pw/AP1GczMMAQacup24sfvFovMHcV-TcuYv2psbUEdssbF69_OMdtRcs0oDtP7_0qDmWqZPi8bX0QN6vImPzX9JSvOAw6oBYX8OKCWRlVpYlkwJOczdnrdUxvU=w1200|https://lh3.googleusercontent.com/pw/AP1GczMf2uJWMkfbYTgM6dAWH63cn1lk8huFZkSb83aEr9y-ewloTMZmk0C1Uf1aLdcuffpGWdhSF0wtdvigHvj4PVyMbq5_i4w2_td2ZKssxp1Y_ZjJ1Q8=w1200|https://lh3.googleusercontent.com/pw/AP1GczNR5TXT8txZFz0m_HsvLjMiCgB6CmP0ha-lddHSCydTHfqMa6PeM8CxBOTYnG-QzA6nycvIeKAr7wGXKp3Asv-9UIRME2hSvQYXvgba3H_5C7OaMBk=w1200|https://lh3.googleusercontent.com/pw/AP1GczO5UB-gn9QUqwWAkDuGatDyIqu7T0m2z9nCdv51mcvi21t0INQoKbZPUumjTNwuMvDJ0K6a_YJVOW-0_px9-idC1Nxc1A-4JVAJfA2NfKJFf_Df75E=w1200|https://lh3.googleusercontent.com/pw/AP1GczPz7--4zyRcJZhdsbeiei7uFP_uH-SEs3HCCInq0jQQUkAweyK2OPYF4IrEyKJ8jf9EpdBUOs2AmeckhnB_gbxyNz90NSZGdp4d7EtDcHmNZse4zsE=w1200|https://lh3.googleusercontent.com/pw/AP1GczPfKw-AvbobxqqqQbQ7xpzfiuQ_acFWFDKCttI_lOBTe_YvgqKggQmJ2wzmzApKb8zEMIrY-kQizGnGMvjMAw-h7OQPeIRD-p9UK10qAjPUCWm_-Pg=w1200|https://lh3.googleusercontent.com/pw/AP1GczPTqELs_vR2FzSgE1T1eXW-k0ZbDDNV9z31qpRTX0L9tMlaxLk74sk0efqYjGifg8kM5qjov49WfSA_3exh72zKOYsVJh6tS8Y9dRP-g9qdGWkqRNA=w1200|https://lh3.googleusercontent.com/pw/AP1GczOrGkHh0ZbaBH00v_W8EZbmfeIfxZ-7hUpSIWiBNnsc8pwOi8zxZUB-69NnKqQ_4tROA84zzQsob0xzxc-0WBIReAvSSBcq52Hl8Uw-ETqjPud4UMY=w1200|https://lh3.googleusercontent.com/pw/AP1GczN-Ads8wAVmBMkSCRq90bOo97JOpvue0Ee0pr2Udu3-DuQZ0Nn7NBnqbHkYw80eBsF4N47qeYZBNrt3srrzgUjNoGKwa095y7qaEuQfvBlygS3YZ_Y=w1200|https://lh3.googleusercontent.com/pw/AP1GczPui-bJAMaVTAeaEG95RfrEWAM52B1iqFvixTN4m4lTWi-ga3jqxeIbm29iDuMpxJigrOaQh8RdT5Y9jREJTI_fH1sL-dj5Y8MldFzpwbGIaV6v8B8=w1200|https://lh3.googleusercontent.com/pw/AP1GczOttVxh9lJgBVFG2SqUgg6uzXc62XSL9Ghwm9J3XDMSeXY1vSgmBfACCESkjB4uMQLujh04N-YDCaSB-DdM0c2466G09HZ7LC-KVsTl4m21cOwcpGg=w1200|https://lh3.googleusercontent.com/pw/AP1GczNwVO8ycDAgEpTCmiJkkAgA-dK1ACcxmDNTKge1GU-LxJnUK0Uv-wnOMEcGi3wcuwYyc7C-G4NFXZxSJKm_LQr1-fOke2VGyxPDJ0i47ISjIHarpkw=w1200|https://lh3.googleusercontent.com/pw/AP1GczOpOJKhReDm4Yq7JDXrOVRo3Xjs_msGcTj_8cS4fEEy55wRElKBKi7nc40id-9H0ki6QrF4v2UFFZejDs_zX0uPr_vovjpSBeB7NMqfAcFAD05wsjY=w1200|https://lh3.googleusercontent.com/pw/AP1GczN_LC97shKnBIusEBJUaQoQIGaa42T5H-cgYfOSYqPMttE58Qju27pMvCZDbriv_qG1XT-5evMlUcT6G4AnOfkLyWi8Xpn9Htrn7X0CJa336DAQ9Bg=w1200</t>
  </si>
  <si>
    <t>062</t>
  </si>
  <si>
    <t>ALEXANDER</t>
  </si>
  <si>
    <t>Calle 23 No. 1H-18</t>
  </si>
  <si>
    <t>380</t>
  </si>
  <si>
    <t>6084</t>
  </si>
  <si>
    <t>Prop - 3114813347</t>
  </si>
  <si>
    <t>CARRERA 20 No. 58 - 37</t>
  </si>
  <si>
    <t>19 - PRUEBA, 19 - PRUEBA v, 12 - LEIDY YULIETH</t>
  </si>
  <si>
    <t>263</t>
  </si>
  <si>
    <t>Casa en barrio El Vergel</t>
  </si>
  <si>
    <t>https://photos.app.goo.gl/ieYENAJKU4Hri4J57</t>
  </si>
  <si>
    <t>JUAN CARLOS</t>
  </si>
  <si>
    <t>CARRERA 38 NO. 13-21</t>
  </si>
  <si>
    <t>https://lh3.googleusercontent.com/pw/AP1GczNxAlYWp1qFU8pnoHb65jKJJnQQOzDpwgMJTzJTgVyg0NZVVXZn-4VVuaV_5f_2sp53k3q0TgN2KhQb72lgLVdvvJlG1i1tFNlwwWhrXJKwEHOiJbAB=w1200|https://lh3.googleusercontent.com/pw/AP1GczP6cNk5L5qR5W5gfuvtxHgZzvi1aztOZZfApinhRtIDAtrZILK7DU0YDiZn_XNjZsNQ0shV3LgUjPqzfepmy5WGlwRmUhY-jO5fpSDAKRXskM1JIchl=w1200|https://lh3.googleusercontent.com/pw/AP1GczMcy_wRPoJY46rOS5C9E1V33DFSiK4kH5WzTYK8HHszLe7agE5AeGoJUnJx4usscbpJMzlT-QeTM19HKUKqZrFSf9vZsaLjGOwYNto0G9wHkoEdpz8f=w1200|https://lh3.googleusercontent.com/pw/AP1GczMpyTh-b6LNhTiyszfGJJ4N7cS8QyK7NTTwQIBsV2ZrBY-IGbSdvaLOCD_dmCDnhHWvKWNT6OKck0WSDLfG_hjjAObKbsih_jfPwZpYjP3QuUE_I4C5=w1200|https://lh3.googleusercontent.com/pw/AP1GczOLYCnjdk8k4IpDy-RSNpkR84PU2je3YNHUPOX4uxdvVW44IibkYjceKhdwKTipmeM0YbIAP6ffa3F6_o54Oji0IKcEBFfiz55bdvXZZAiWZAjwme6A=w1200|https://lh3.googleusercontent.com/pw/AP1GczM1xET43Fsb4BwdJDcIZoiwJQ5J5yr2F98Evo6WX-2K_LSuJCAxPmaNEqJJLlVAe8IYI6Qjz6--16t4lGM7gRRudADXSRNAbt8l86kP3h_mgcwjKLxW=w1200|https://lh3.googleusercontent.com/pw/AP1GczPskn60AKfgBk7KpAW9MkhKjttejUI3iSzsfcN0HSH77aHYhiCqket0WUTXXruJp27P9sr7tSjxc4HjKiP7MC8NJsVM-KZ7aPuohVj_X6KhDAQ2h9hu=w1200|https://lh3.googleusercontent.com/pw/AP1GczNs588HGIaBAKUUaoxHunzbJUAne1MLjM7d8U-mAXe4v7aqWP7BPFosT3CfNr25eINAcP13-kMS_7M6jPvNveRF3cflAPxWwehbtB_W6Gyq1AuRXq2T=w1200|https://lh3.googleusercontent.com/pw/AP1GczMD4IBccRPaorfUdEhEiGKIrH9L09N7fKRGcUN4Dh2RJq-VwfHQHtKP6BkrX2norcTjg5cpwQYRmWws3xfPF88d1J9OCAB9Xx6tR0TkJKodBOER0qlm=w1200|https://lh3.googleusercontent.com/pw/AP1GczMkc9UdZshmFxkhtOIQzRe2ctn4F5DDPEX-f4RqiBi8iAS9krXEbHN5N1F01UvCpSC-Nj4fLBXfrf-w_lmGREkkUsiVcSAJFNPMsGL6XpbFAXWF2REF=w1200|https://lh3.googleusercontent.com/pw/AP1GczMWh7i3cS9iFnuO0h11mikuGV7KogiF4_nOIOLyp5_0KDW24RmdPqeUr1ptu7XK-mOsgmut-A2-VuuGg4g_D08VpXE-dUH1BB7j25cicB63fDLVKcch=w1200|https://lh3.googleusercontent.com/pw/AP1GczOrs42DoQuFy3WJFyPIvIMSDRBSQw3mhgR1etZPK9R_Czi6bMua11bfU1fiUUvR3lSJ67sqMIqP7fZNFVfNlUhYslC8ofLGFt_zAfE3NJF6QC685-lX=w1200|https://lh3.googleusercontent.com/pw/AP1GczObZVVUuO6AZozDQZiheqmIZPHuPDNexhvyEmg4TCUSnulaitp9t9_b0Uo91NBPC9KuDRJ-VY59VIxEFoeD5vpvokYqKdsseKn670-By8VQVHID6wbN=w1200</t>
  </si>
  <si>
    <t>244</t>
  </si>
  <si>
    <t>Apartamento en Conjunto Santa Clara</t>
  </si>
  <si>
    <t>MARIA TERESA SALAZAR-MAMA DEL PROPIETARIO</t>
  </si>
  <si>
    <t>Av. 26</t>
  </si>
  <si>
    <t>152</t>
  </si>
  <si>
    <t>Lote campestre en La Ulloa</t>
  </si>
  <si>
    <t>La Ulloa</t>
  </si>
  <si>
    <t>LEONARDO ESPINOSA</t>
  </si>
  <si>
    <t>047</t>
  </si>
  <si>
    <t>NO FOTOS Y DESCRIPCION</t>
  </si>
  <si>
    <t>HIJA-MARIA MARIN-PENDIENTE DESENGLOBE</t>
  </si>
  <si>
    <t>CARRERA 6 A No. 40-16</t>
  </si>
  <si>
    <t>242</t>
  </si>
  <si>
    <t>CARRERA 1 A NO. 51 - 31</t>
  </si>
  <si>
    <t>19 - PRUEBA v, 27 - Valentina Renza, 15 - SINDY MARCELA</t>
  </si>
  <si>
    <t>064</t>
  </si>
  <si>
    <t>https://photos.app.goo.gl/Tcrz2r6JpprmK3Bx8</t>
  </si>
  <si>
    <t>PAISA DARIO - SEGUNDO PISO</t>
  </si>
  <si>
    <t>https://lh3.googleusercontent.com/pw/AP1GczN1zuRKkvqfuiLHAq0wkiaCQDmlb2d5htJAFluOOqxH_a964oHEcU_xEtzdJpd_4TNb0Qf_XeCStrwxPJ3TqeQf_gYfBPD6BywVdY4k2NQLe9Y8zk0=w1200|https://lh3.googleusercontent.com/pw/AP1GczNsgwNucTES3y_MHs56EGVCj4XOIJ50dXmtiVI3JDzwwvwNFzlsTq43Zl9MFp5JAnGI22MGb_yLrdJCuP7iXHUsWZRqbABrGavNtVyyZZ7M0-Ssuxw=w1200|https://lh3.googleusercontent.com/pw/AP1GczPmfCZYK24-i7wPhZc3ulNPYxFO56fm5T4U_xGriWkJO5f8aVl2hCpgsN8cpqFsER68P_0Z4eOpuVVvcXZP-X1e1HMQ06snun4DkSUT_p8AORtQCec=w1200|https://lh3.googleusercontent.com/pw/AP1GczMyCPYD3oBYp6O32Wp8BYEQCAvjM7DImkWkzxyY9NxNVZ824eVfzybRcmRRNuLHdB8K4SC-GbM2bPuXP8a5jOVbmvfXSMdTy05d7F_R-KT7qALOtt0=w1200|https://lh3.googleusercontent.com/pw/AP1GczMWDUCXtlYqg_TbtRMHZyf850Os2xEgC0o7i3uAZ1Fw0exAjUOR710HX-8HMoei4HHPpuvaVco373fSdirzl_ejKsydTN6kjFuSNWWsBFqAFWwAlsQ=w1200|https://lh3.googleusercontent.com/pw/AP1GczMvu3BEGJWXdIXJsOqiHeWtgUQY-7COWuPG1D2PpC4q-Ekw6xUW7Y9iUQwXoTn_PwKfdkri08KSbTctZaLF650JcY8gKmzt1_uvmk32qQK_6Qt953A=w1200|https://lh3.googleusercontent.com/pw/AP1GczOXdKUExFvXHzHj8TmZkuI7Ug__hGa47ACyiilMB15BAIEAyfdZvLoM6fuaccy1i9GPSKQ3ib0usQSkBleCMjP4yEHKd1vEZhGs95_QhRrdNG3TWy4=w1200|https://lh3.googleusercontent.com/pw/AP1GczNoo74nSkvi-sjHKZYmnyI_bj2uqyeHdgmD1EokDYXGlhyTMBuomtdhsTCixR78GdixFoUPSEJyEVEbWNVzcnI23a3y0nlsg-GJbi3QyUgkT2QoXuE=w1200|https://lh3.googleusercontent.com/pw/AP1GczO8kJ5slGjUExDSZWZ-AyRo4Uvw0s5TOqrwQbW6-YtYwdsbFPGcVd-Vc_kqzJ30KzUswZBLo2KFUmuaHA0C_lsJhqVcXhrZ5lseQcb93XWbZ71xs2I=w1200|https://lh3.googleusercontent.com/pw/AP1GczPwKbO98_IKkqBjL5ZGAL9glYFEZHGQ60K_2pq10RW8qdiDF5mqjLvGtUFCEIiySF5pnWq_SgpyI4gogX047Ad2hq4wpyDrl20985KulS_2oyP0yEs=w1200|https://lh3.googleusercontent.com/pw/AP1GczOTnYVRWjM_GKDm5emmRCNNIwtCs6lBvIQvPljmvEHA_YSWSShBdTQxUp69QRmRMFIYPJx6P8LJnhZLz5wgZmSFb0SwTPsBnSviEoQwKhZkpsdcmAg=w1200|https://lh3.googleusercontent.com/pw/AP1GczOOAd04u2sXpkvrf9NzHutAfBDAyd_jEBwEEs6GK_jjx-Aacuni-Pyqn_NeNKXZNsTNUKGbrCKL44Sw6YRY8_JLBOc6mJy1GlVb_ZMVnMBWFVj4vjQ=w1200|https://lh3.googleusercontent.com/pw/AP1GczM2mzwhvU43HnJRWlCEqrHuZdxDiptyaJMlWw30H66pDvx3XXy2iuYkLmVqelGqU7K3-NC9Zm5B1vW4g_drJ6Zt-uysobz1Gcz97dgwPnP397OFHLA=w1200|https://lh3.googleusercontent.com/pw/AP1GczNE5Z01OABRYjgb6fFWbhC2soyUQHVNEOJ03J2kNTJgcVE7POZmioZvf43mZuGv-kUvNdOPLZ-zwCxFvHgn93ogry2qrxs-cdLV85Ra3NXrCyQ_65o=w1200</t>
  </si>
  <si>
    <t>012</t>
  </si>
  <si>
    <t>Apartamento en barrio  Las Granjas</t>
  </si>
  <si>
    <t>LEIDY -</t>
  </si>
  <si>
    <t>406</t>
  </si>
  <si>
    <t>- (Para remodelar 90%)</t>
  </si>
  <si>
    <t>PROPIETARIO - JAIME BRAVO - Inmob. Rustika.</t>
  </si>
  <si>
    <t>CARRERA 15 No. 14 - 15</t>
  </si>
  <si>
    <t>180</t>
  </si>
  <si>
    <t>3202606832-3213667551</t>
  </si>
  <si>
    <t>Calle 16 # 30 - 53</t>
  </si>
  <si>
    <t>12 - LEIDY YULIETH, 40 - Ing. ALEJANDRO ROJAS MARIN</t>
  </si>
  <si>
    <t>187</t>
  </si>
  <si>
    <t>Casa en barrio Jose Martir</t>
  </si>
  <si>
    <t>Jose Martir</t>
  </si>
  <si>
    <t>MARIA ESTHELLA</t>
  </si>
  <si>
    <t>CALLE 57 A NO. 1 - 19</t>
  </si>
  <si>
    <t>418</t>
  </si>
  <si>
    <t>Lote en barrio La Gaitana</t>
  </si>
  <si>
    <t>JOSE DANIEL - DIBUJANTE</t>
  </si>
  <si>
    <t>CALLE 4 C N0. 24 -31</t>
  </si>
  <si>
    <t>131</t>
  </si>
  <si>
    <t>Lote en barrio Villa Carolina</t>
  </si>
  <si>
    <t>CESAR BARRIOS - BOGOTA</t>
  </si>
  <si>
    <t xml:space="preserve">CALLE 56 NO.  </t>
  </si>
  <si>
    <t>15 - JOSE LOZANO, 9 - ALBEIRO TOVAR</t>
  </si>
  <si>
    <t>CALLE 59 NO.1 A - 56</t>
  </si>
  <si>
    <t>057</t>
  </si>
  <si>
    <t>Casa en barrio Alfonso López</t>
  </si>
  <si>
    <t>https://photos.app.goo.gl/CAf8xebasMJvfKyy5</t>
  </si>
  <si>
    <t>HIJO-JOAQUIN PULIDO</t>
  </si>
  <si>
    <t>CALLE 2C NO. 25-52</t>
  </si>
  <si>
    <t>https://lh3.googleusercontent.com/pw/AP1GczPOou4A_nGX8SMbthltEMFBS1CrxdJSsKiVDA6jbWbPNAGN0xHY_ofyoZkMUCUYbeKjZ_bTKjZeFSGrp0e1ncbbixXYN65iQGKRyka5hEMID4L7z_kG=w1200|https://lh3.googleusercontent.com/pw/AP1GczNqW4R03w-rKanndJWWyBbfv_sTW-g4ZZDleZmCPhUfg33mIAJRqfZqP8idvityAn2H7TVURH_vV54A5Xh7IOVqKjmyX8JWL2sICnF-GLG7ZJC3B1FN=w1200|https://lh3.googleusercontent.com/pw/AP1GczOgfqpyA0p-_6fLcfmQvhNNQ2C_DiO78bk8MNx9kxAIshL88j9cxGFdAcgTCxS1suuu9Tji7w0whtDrOZqTef9heNjDKTmYPHAvOTkIdRj03sH5tZbs=w1200|https://lh3.googleusercontent.com/pw/AP1GczNHVJ3ejGSh1rbNZ8_UsVkyaBuKJomMoRy5VseyABy9fZY_mXQ3BfDKAhq_ALYs_9cwVZPQP0rSqTnIjwCL7QlSKLxmURp7MSwLM9of5Qjqu_scLsW8=w1200|https://lh3.googleusercontent.com/pw/AP1GczOGFhtVT3hI15JI3EiVKjTaXBnVbKYt41ZqA0tSaHPy7pimsFtpSvzsmZ_dV3xD3yZg0JAZvOL1JAGLITebHE8Gkkt-1qMuQWFj-OUowscaghKDOe5-=w1200</t>
  </si>
  <si>
    <t>778</t>
  </si>
  <si>
    <t xml:space="preserve">Apartamento </t>
  </si>
  <si>
    <t>Calle 19 # 8 - 27</t>
  </si>
  <si>
    <t>777</t>
  </si>
  <si>
    <t>656</t>
  </si>
  <si>
    <t>Casa en basrrio Las Granjas</t>
  </si>
  <si>
    <t>Cra 6b # 26b - 22</t>
  </si>
  <si>
    <t>537</t>
  </si>
  <si>
    <t>533</t>
  </si>
  <si>
    <t>Camponuñez</t>
  </si>
  <si>
    <t>528</t>
  </si>
  <si>
    <t>482</t>
  </si>
  <si>
    <t xml:space="preserve">Carrera 13 # </t>
  </si>
  <si>
    <t>480</t>
  </si>
  <si>
    <t>462</t>
  </si>
  <si>
    <t>459</t>
  </si>
  <si>
    <t>esquinera 3 pisos</t>
  </si>
  <si>
    <t>452</t>
  </si>
  <si>
    <t>428</t>
  </si>
  <si>
    <t>420</t>
  </si>
  <si>
    <t>341</t>
  </si>
  <si>
    <t>210</t>
  </si>
  <si>
    <t>7112</t>
  </si>
  <si>
    <t>Casa con dos apartamentos en barrio Los Cámbulos II</t>
  </si>
  <si>
    <t>ICDE  - Felix</t>
  </si>
  <si>
    <t>CARRERA 8 F No. 33-62</t>
  </si>
  <si>
    <t>336</t>
  </si>
  <si>
    <t>Casa con apartaestudio en barrio Chapinero</t>
  </si>
  <si>
    <t>ICDE - 336 X 334 - J - % para 3.....??????</t>
  </si>
  <si>
    <t>GERARDO ROJAS</t>
  </si>
  <si>
    <t>CARRERA 10 No. 17 - 47</t>
  </si>
  <si>
    <t>421</t>
  </si>
  <si>
    <t>ICDE - C&amp;C</t>
  </si>
  <si>
    <t>LUIS ANTONIO - ESPOSO DE LA DUEÑA</t>
  </si>
  <si>
    <t>CALLE 17 No. 7A - 19</t>
  </si>
  <si>
    <t>5047</t>
  </si>
  <si>
    <t>https://photos.app.goo.gl/1g5619WrUderprit9</t>
  </si>
  <si>
    <t>ICDE - codg 361-$320-----F-Cod 6719-$320</t>
  </si>
  <si>
    <t>13,5</t>
  </si>
  <si>
    <t>19 - PRUEBA, 19 - PRUEBA v, 20 - SAMADHI RODRIGUEZ</t>
  </si>
  <si>
    <t>❌ Error: HTTP 404 para: https://photos.google.com/share/AF1QipORP5Tt9YzZoiUlG5ewQ3uRJlV0xSQMZZjEA8NjZ4QnuydAwoD7PZWUYEfZs5103g?key=eS0tOXpINkdmOUNnTHk3Vk10dTQ1WHh5TlBaYmN3</t>
  </si>
  <si>
    <t>225</t>
  </si>
  <si>
    <t>ICDE / FELIX 850</t>
  </si>
  <si>
    <t>ROSEMBER - COMISIONISTA</t>
  </si>
  <si>
    <t>CARRERA 5 A No. 21- ????</t>
  </si>
  <si>
    <t>19 - PRUEBA, 19 - PRUEBA v</t>
  </si>
  <si>
    <t>092</t>
  </si>
  <si>
    <t xml:space="preserve">ICDE cod 205 $780 / F Codg </t>
  </si>
  <si>
    <t>Prop.3219948880</t>
  </si>
  <si>
    <t>DANIELA ALDANA</t>
  </si>
  <si>
    <t>Calle 18 A NO. 5A-47</t>
  </si>
  <si>
    <t>12 - LEIDY YULIETH, 38 - MARIO MUNAR</t>
  </si>
  <si>
    <t>339</t>
  </si>
  <si>
    <t>Casa en barrio Frontera Norte - Vía Bogotá</t>
  </si>
  <si>
    <t>Frontera Norte</t>
  </si>
  <si>
    <t>https://photos.app.goo.gl/VSMqzVyknjzXkfL28</t>
  </si>
  <si>
    <t>Se Vende casa de dos pisos con un área de 90m2 consta de: Primer piso: sala comedor, cocina, baño auxiliar, patio de ropas, zona de lavandería,2 habitaciones, deposito. Segundo piso: sala de estar, 3 habitaciones, baño auxiliar.</t>
  </si>
  <si>
    <t>Casa  bien ubicada, sobre vía vehicular amplia, cerca a Hacienda Santa Barbara. Dimensión del lote 6.0 ml x 12.0 ml. Las 5 habitaciones con marcos y sin puertas. Escritura al día. No se permuta.</t>
  </si>
  <si>
    <t>ICDE cod.339 $175 / C&amp;C cod.1495 $215</t>
  </si>
  <si>
    <t>DORYS - HIJA SRA DORYS</t>
  </si>
  <si>
    <t xml:space="preserve">CALLE 47 N. 9 - 69 </t>
  </si>
  <si>
    <t>https://lh3.googleusercontent.com/pw/AP1GczMYJmzUH0xQPFnpwuJ3Vw3DGWALIK1nT4-tgwN83UpOsy5OWVg33T3GJgzLJHgNs2o8oiKb-yRppqCHE1N20DmkjXhr9NKcwIEvDlzhMJsOMfcBUC8N=w1200|https://lh3.googleusercontent.com/pw/AP1GczPbLF75LeiL612RJcw5w_8Hjd-adOj7VRl8pj7upecFPF9msunE_Vg0H5nLOj-bn9UyuPL_HK1hUMfZIgPfD-F1iRsLN5FrZW-oaW7n9APLHr4hKofW=w1200|https://lh3.googleusercontent.com/pw/AP1GczNHkh-HpG-Aojc1qe-qoABYFB_kZGt7mdJsTQ0D92pQIEwxLgn3EhaFankHDfevnRKbYIjuwEiwpPf9XyTj0AQX3f276LsKx85SyST6mhG0IFctkv34=w1200|https://lh3.googleusercontent.com/pw/AP1GczN7-BAz7j8wrooP5ItL8gkntnc3KSoaevmW3q2QYlzMgBlvb9-AQbDXbS3-cPldLyXVgLqTWolt_Mf3aj8wtzEQxnsSveDTBaPKg-iPvIe3zb4jCgpT=w1200|https://lh3.googleusercontent.com/pw/AP1GczOUozxtI3u3ZtIDvaHDDs1NZ_oRD_ngfg-oGShw15nJIAG16gYGaQKiI17H5DOMEhm3meLtxStkYVZWdZ-TxL-RXeEc7cMR5zRGyFSY-CX_P6njkcxt=w1200|https://lh3.googleusercontent.com/pw/AP1GczOUMnSH7U11zMbyANeeggwFW_7ncSla7kOmCM3B6TFh6A_xFpa9-O0ig7peJAuNjyNAho0UJdbbipwTUlmuBU8RswSeVxMYG44QKr-lSLyMd36cR0AB=w1200|https://lh3.googleusercontent.com/pw/AP1GczPZRxVaJ04daCb6RvKjbEGgcdhTeCNI8WQZ8u2ruHWcLYt7kfNaNi3j5wgfBfg6rcti7W9edVcaR5XJqlc_teqqUDRJV6e2lFBuebKsBQPBKNQ8MA7I=w1200|https://lh3.googleusercontent.com/pw/AP1GczPBQWNOlbNTnwFRNnwBSF5UUnww46sI9QBXl8a4LOjmweElDIrCUs4K6AAEKsfZHT_blKw6XiJe3qXh_zrOD49CAb9SEWQndWp9Bsmi8wUG05EgnWHy=w1200|https://lh3.googleusercontent.com/pw/AP1GczOF8YF8J2RHnFiKNXPjPj9MFLjyCZTw8YIj1t3M9_UPNOhEtaOuCpCimF1V-JEgCq6XEXHULHQSJey5M_1JIq5fOUTl69SF0U2_0Q6T4iwsldgRLIL4=w1200|https://lh3.googleusercontent.com/pw/AP1GczPOoVs_c8xOyr8VUZ82IT7_tLlWe5CCuQmqt3x3gKd9c5i6RzXGXC9jo-PBy8-D7jrJr5qdd7AEI3Vv_AY99a0WzDqotljfGgjVFBHXGFBN-EkFxHTj=w1200|https://lh3.googleusercontent.com/pw/AP1GczMhdH1H5KjOmEsfPaPW8BaNn1GPc2QQ7flmFk7i3jdRFvWnhHHQKDf91LiteMcod-86S5tgAlSQp5ONeegxuAElHWdh9RNseEl_rEwZwK9CqK88DUWY=w1200|https://lh3.googleusercontent.com/pw/AP1GczPIsHx-_nc0ODiGc7kqizFNxVIcbK5tynSAByOE53GaT6VqdQTu5GlL9u67nwq7-LP5-g63zIKzOUHj3LWMXaJXD3oG69b2Bg-sCQeN25enkStHRYJS=w1200|https://lh3.googleusercontent.com/pw/AP1GczMpojzJTXXFi7LxrLOuYBU1bF4wj9rxtg0VQOIxR8Ymqr66TG-C6Kf9Ip_KMmtChOmbB-beNjoYzOhRNbs-xXvtu2nBt9FxkL5sVAvqdgHOHZfm_mMA=w1200|https://lh3.googleusercontent.com/pw/AP1GczNP5aBube8Mb6mxKCCEo68g9PIc73S38aR3cNcsFXTWJhLxUCz3hSAY22py-lWzbcF5wS-EpTzjy2yOzcpaDtwSv6JnvB_vcQhoHTLa99TIWw4MFEiw=w1200|https://lh3.googleusercontent.com/pw/AP1GczMmoqRd_7O2rdEIZmWkDyDbLfYQ4on1UD3EhjrH8f0jPUKu_6F9AU2ZkWgmKvdwKmB2bRjY680WeGeIm5kS088zaMKPAdFj0m2zSCIYqimLpZlX1efV=w1200|https://lh3.googleusercontent.com/pw/AP1GczPhNCYuDVcfhiZUcHfx04aDN3G8lqXyg_WRhN9qUjQLQiSxxxAe5w2K2DhxKyfqUphkKV1u6FCykT5v4K1VWGSRDDYAYzRIEFgIJs3MlqQbKSemvRhu=w1200|https://lh3.googleusercontent.com/pw/AP1GczMGuZ8Wvg8Nbi9yK0U72H888rjxdDqrTQGBVCR6WrA2e9gPghh1QQmk02P1q7wovLR1Irv69HpgF0owQmEskAvNdGlAiHyCqy3CP642ast_NXtH26TL=w1200|https://lh3.googleusercontent.com/pw/AP1GczNnLxUYvvo_5h_Wc_fkPLbELOo7qs1w6t_W4DcXlhm7k73gKyW6t6PZl43ncHPCh_Z86kCZjCSZ2XyYX-S78byTBgWPvrCExdBPJcdPML2l-xfYLrzp=w1200|https://lh3.googleusercontent.com/pw/AP1GczMLYGVOGuh4M5G2ourwLw4_nCOM0SbL99GTAVO18lsTy6kJWN2zoK3MlCFiPBW0Ln25_2dMuOIKjjfPqlS7Qw1_P6k69HtpP3sW9SaRG_VfeCyM9wVI=w1200</t>
  </si>
  <si>
    <t>074</t>
  </si>
  <si>
    <t>Casa con oficinas, dos bodegas y parqueadero en barrio Las Granjas</t>
  </si>
  <si>
    <t>https://photos.app.goo.gl/jE14SB8eEprsjVei7</t>
  </si>
  <si>
    <t>Casa con acabados mixtos, piso en baldosa, teja en asbesto cemento, cerchas metálicas, cielo raso en machehembre, carpintería en madera y metálica, patio en cemento liso, cerramiento en bloque y ladrillos.</t>
  </si>
  <si>
    <t xml:space="preserve"> Dimensión del lote 30.0 ml x 104.0 ml. Con parqueadero para 100 vehículos. Cerca de los centros comerciales San Pedro y San juna plaza. Escritura al día. No se permuta.</t>
  </si>
  <si>
    <t>ICDE cod.74 $2.800 / F Cod. 5337 $3.000</t>
  </si>
  <si>
    <t>GUILLERMO - BOGOTA - $1.150</t>
  </si>
  <si>
    <t>Carrera 6 - transito</t>
  </si>
  <si>
    <t>https://lh3.googleusercontent.com/pw/AP1GczNcEfgdd2jsLZyh3uuT3Kd72Y0tbjRvs5Ed8zigrExok6bJYSRtYB8T4Aamk0D4BiLgIi5SgMgxznrOiQA66s4wh7eNQVqfSTbQqw8g1tI_iW52ovI6=w1200|https://lh3.googleusercontent.com/pw/AP1GczPjFzHbL9uzMi7haRAU8dAjuMn7A_Si8n5LEZSSrcLXYrPm3xQ6g_cG-6BOxbww3cgxy3uSXzXzgvIVQLclYgN4I0a5JTb421aE37SFp6-n2SQqjj8P=w1200|https://lh3.googleusercontent.com/pw/AP1GczPjMDZKQw8rw42_8FGSvB3ooQ1YLRcJAcZOTIzmjKfvvjvUMak0AyWiTeU69ZgdbEjfl4FsSsh82rqNqewsakWJRgbxxQpp7t1f4DDzE1yVmDGlgD0G=w1200|https://lh3.googleusercontent.com/pw/AP1GczN6N0V170AqOPvBOrLKjMAs3O1neS64fzEhsYtwv9Jptd10iLO6hkXdWQ2yRukicDbxmcK4EPwO7ZgjpmEnKzdM27yGFW3AwzPFs1Y_-sSh5IMjWlI_=w1200|https://lh3.googleusercontent.com/pw/AP1GczNJgsrX-OjUAP_6GRd_N_0NtI515srQE0puNDNYXnimCQNb8AY53BGGPeEVJjrncWko0EKdxGVXPWEKm-yIIdGCbWWHBF3v4zIhbXpaL24elqM-HODQ=w1200|https://lh3.googleusercontent.com/pw/AP1GczNwpkYz8yz3UeFKpL_aErwg4xShyOOY5RmyfFoeJX__IosWTo_vt9RPZZ-f-jYBBTXXx5FyXREMWNYItCX3mJ9So4AN1R_EJjpoEAAz_tWcfmTvq2CL=w1200|https://lh3.googleusercontent.com/pw/AP1GczN0yEqfykAAol8j65Hqn5MdA9-sMQwI_pxd2xpnamwYOOFIJKKUmnN0UVMijVJFV2JrXQ5P1qF5IXnVPRxSUXnQxCRqqtWuwYM9t4lw_OPzMPpYtxRe=w1200|https://lh3.googleusercontent.com/pw/AP1GczMrZut-VR9V88D_iR6tl1oQpk1QHOk6Dr6G_3lRcdjtiGFr51GPf15s-jLKAml5wElYQWvphRrD0w8fyzvd5ylBCgeN4T_GfzdpoRLXOltiBl_Y723V=w1200|https://lh3.googleusercontent.com/pw/AP1GczN0VHwsX9CiHO9AJQ7gSSvJZ2CR4NQyfr1Nh_zHW4vaK4YjtVJtnYJoSXFFqfz7_QA80erUwt8JDpnUN9Z_6LLdD_L3qMTqUWUMH3Py2TOYvR4yo2hz=w1200|https://lh3.googleusercontent.com/pw/AP1GczN4qg4Wp-ck5QHXXp5xYZytMCaBRr4PscbPc4CzXpI4CdhdRly0UIFY61sA5A9V_NOaU6pK1ZxJSYhkWG7VXUUX_rWMmuXumOe44_8BanuTf662TX55=w1200|https://lh3.googleusercontent.com/pw/AP1GczP3nj1QZT97lK31ckeWsYE-4ZCSIxAWuYPqotz2SQfRUYeJlmml27-dhgNvyPBVja9090as1ds3bfeeHxv2u47jsYjHP1Ge72xnW3Hf4Eh-B0sbyIyO=w1200|https://lh3.googleusercontent.com/pw/AP1GczO54omjWPQIDDo9lMEE6pMOzvac2FOH5hhTJiudSlxIVBZBDG32dhbMFbJ85SqeQDXCGLZlF0Qapsg70bsnQYzTAN0SKK4-gu8RoP8QCtu-RV1zMTCo=w1200|https://lh3.googleusercontent.com/pw/AP1GczP2YN5ngyT-2HscYhbeM6GJFZS7-uLed8AQ2gZBTzJjfcYPaJhrF1Ry6lVpAZARom2unkC8zoXJi6smo9LzDGH0tU2-ql3tzG2eBmRp2c0tJ_XWcw3o=w1200</t>
  </si>
  <si>
    <t>206</t>
  </si>
  <si>
    <t>https://photos.app.goo.gl/S8CDXGirYYSKy6Lm8</t>
  </si>
  <si>
    <t>ICDE---C&amp;C-Codg 913-$2.000</t>
  </si>
  <si>
    <t>JAIME</t>
  </si>
  <si>
    <t>Carrera 6 NO. 19-29</t>
  </si>
  <si>
    <t>29 - FELIPE PERDOMO, 35 - LUIS ANGEL VARGAS</t>
  </si>
  <si>
    <t>https://lh3.googleusercontent.com/pw/AP1GczP2PNgtIUby2F-QO6yBqHEm2kDLL4nuWNxdu_3YS91me0U_YnROtGaoFJk56DSE_VR0bJ3a-9o2dsN_47b3ocU_0sIuKhmj231Ui0k_xs1ioMyTEwyQ=w1200|https://lh3.googleusercontent.com/pw/AP1GczMZggX6d_AA6h8-CIN--3RzFdfWmMxDvEuP_8fTR_aCXrsDJiTnv0arGu13OeU6cMkZ3aBPFVodPJRGTHtGZ_muBTpXEP-YWnWQiEwCEuB3KDIOD1s9=w1200|https://lh3.googleusercontent.com/pw/AP1GczNRZ0p4XlPgLzEP5vkEqp4W7odUJFaRIV2BAP9G5B2eg9NC-bVLlFFrRir45A57NPgvtKEX79-bDFDhRKM0UCvzczhF4QlaUFK6TkgJfJmjWRZfooCv=w1200|https://lh3.googleusercontent.com/pw/AP1GczNB8lqjJTLJckOLdKqMyD97Gs76CZkbHcHsz0LS0J5-iNwb5r1zMV1UtutbtRzmET87W-NOWfl8rY4NTKJEQIKB4YBURMbne9kuuVskgW2wakr5Yc8n=w1200|https://lh3.googleusercontent.com/pw/AP1GczOZ9kZ4tBYKzBu6DznIK8PwfgeKF0N8UzqhWLwRboMBISVOKs84AIid0KY44MHrExy_Wk_tzo8k6qdInP7KG6AWA8xSv63FUTl24YL8Jgv6UwMMmrv2=w1200|https://lh3.googleusercontent.com/pw/AP1GczNR891MxVp0nDWrWW0OtxHndW2cKmnF-6Gavs0TiW_YMTYxg5D9L5zStuUxSAHz_m09poWqXdmHnq1iHzP1wnFYMTTDZt1huGxqNi2a-ernbLGVZfzt=w1200|https://lh3.googleusercontent.com/pw/AP1GczOZHMdDx4lgjr4zu9GPsiHaMwCgBPb-htFC6upP_uzNdryuJZ5jG4hsntDBqyYVgBeifRxMfJgnBWmby3f5Ox3tBwCQpGxPjCb_X3W2XBYoFp37Wuli=w1200|https://lh3.googleusercontent.com/pw/AP1GczMrNHHc1PGqNnXDIDjCo2ExNoREfSOk94YK4JMybrK4JuUB6v1egd36qoTkLBju2u55RJ-kMLvsP0GFw9sHfjXMr7K-QiLZy8sDl-pjM3FiHZBB7YWU=w1200|https://lh3.googleusercontent.com/pw/AP1GczOZpQRuXPJ2n7hUG59Gz81v2rchvSS_NwaN_b3Yt6-pvsU_ZinbCDvZhFwDjGSQjle-l4mE3fuk9f_FpUQFnFp4aH1CTFAITnWbSXwAgE-xixEmtna_=w1200|https://lh3.googleusercontent.com/pw/AP1GczP37Y-a1AAqOCJVdHmyxqCJwsnKka3iJobhq3TPLI58pvgTGNaJ2yFmfDItzQptRYze6A5h_WAU3uZ-DKjrsxMqCauT4KlVG9lapc66ij0SLzp7BkOI=w1200|https://lh3.googleusercontent.com/pw/AP1GczNWRGNjpX-vNiX_-b2mroH-nD18o3_6D9OR3T3OElecaRoqZIkNryvtULLq8xxaMxUl559edg2aYTpVml4Dpx8Q2BDUoVSFL83TOAzFPKCG1BvClf5b=w1200|https://lh3.googleusercontent.com/pw/AP1GczNVOYHnyZefOyW-A4H4AJ3QnfoE8nRxqrpdkPK3zqnBJ0GwZ8FcEWksonB1GyatvlT9GSJwOBS7ssvvMH6OnBoGkw1bslm9YUNxUO3z7XeOP9_967Zi=w1200|https://lh3.googleusercontent.com/pw/AP1GczOjkmnEnUIeKxdF_zNv5xyLWHQr57RXn9UioV06MMbvGsqjCFOsQvWZXagH81SMoKDhevJC2B3nZp5jVlx4L9enyHT4S25VhvyndK3iGzf5GreKT2U7=w1200|https://lh3.googleusercontent.com/pw/AP1GczPxleb3F88bvSOlKLPfYwhX49TCtBG6TdqgLtL9hxnycqkkgokiFiY_mwGUi6n9dzGhvFeiTXGjhMAzNaUy6gy5FoSHFx1Do3iw0mSzVJ22sW0OYkD6=w1200|https://lh3.googleusercontent.com/pw/AP1GczOZSsvKpUCPEenT6y8eLffWSLYjxTuvgcgcV2lZ59y9Q72EIfJt2-ReFvcEbPapx8-nm_-Z6Zz8RdEQ1T39JayPO9YAlMh-IilM9kcrwKUcKM6-4nP9=w1200</t>
  </si>
  <si>
    <t>6052</t>
  </si>
  <si>
    <t>ICDE-F</t>
  </si>
  <si>
    <t>Calle 18 A NO. 7A - 21</t>
  </si>
  <si>
    <t>200</t>
  </si>
  <si>
    <t>Casa en Conjunto Portal Del Salitre</t>
  </si>
  <si>
    <t>https://photos.app.goo.gl/zp8187GgtjVkoYDt7</t>
  </si>
  <si>
    <t xml:space="preserve">CALLE 20 B NO. 51-20 </t>
  </si>
  <si>
    <t>❌ Error: HTTP 404 para: https://photos.google.com/share/AF1QipM3cVzrC_fqgZ0MqyGnE1pX4W8MnDu9NpkuyCNExlbz72nGqxI9V_U5oukx9bmvWA?key=bzBKT0k5Vi1rR0lmSTFxanpOc1FmaUlOajdvb05R</t>
  </si>
  <si>
    <t>412</t>
  </si>
  <si>
    <t>ICDE-RED</t>
  </si>
  <si>
    <t>PAOLA LOZADA-Propietaria - - Inmob. Red</t>
  </si>
  <si>
    <t>CARRERA 11 No. 27-15</t>
  </si>
  <si>
    <t>648</t>
  </si>
  <si>
    <t>Casa campestre en Rivera - La Cabañita</t>
  </si>
  <si>
    <t>https://photos.app.goo.gl/nYKwoD2jq68q8MnT7</t>
  </si>
  <si>
    <t>Casa campestre amplia, cuenta con  cocina integral amplia, cinco habitaciones amplias, con servicios de luz, agua de aljibe, piscina privada con comedor auxiliar y hornilla con horno.</t>
  </si>
  <si>
    <t>Casa campestre ubicada  en la Cabañita a dos kilómetros de la central.</t>
  </si>
  <si>
    <t>Inmob. Huila - Ana</t>
  </si>
  <si>
    <t>https://lh3.googleusercontent.com/pw/AP1GczNmkAYXDL2_4zSQspoS8S5goqc9rqW3asRvBpY6DG8-OswqMSxMsrgP-cJKhUe3RJQ8ScCOWECiVWm4m6WCbQnZIuz_6m-mNukNy8MLcrfpOcBg-LZS=w1200|https://lh3.googleusercontent.com/pw/AP1GczPt4b3El1WCep__KV72jYMuZPfvjrA_DmKpoyakS9dn-ZytWS6TpnoWFEgyppB2YtVXl4O4MpZsHvw5aWh_2FW_mmFdWSZs5tsnCdPWwX6-hdQTgXgM=w1200|https://lh3.googleusercontent.com/pw/AP1GczPm4hToC0XfRQCUg19D8EbQi-_kqdynBmbBb3x8JBzflFJwA8iCKXSTwlJe4XcxFZWamwwUJunqJzFMyXJ5m2k2GkAv9q00HH_gM8AmLA0X-aWjfLoY=w1200|https://lh3.googleusercontent.com/pw/AP1GczMAXmqa1iizptX5IIn_FFXRUpjXqKSAo-iVxlWco59HvP_YFXGP93RnE9PXl-6lUpT3lEIl6o1dnAt4bWh8ULe8Z8VOVe1qwbmDkR5B-Y_n5UqEA1vI=w1200|https://lh3.googleusercontent.com/pw/AP1GczNwyYIu-qrOmeml-yeAsxIjg3aSagDbHGel-7IT4EVdYktGKZxyLYSSrIzCUCiFHGdBAz-9HNClHH7OgAJI75_r2yEC3YXIHVFUuSQSjhcO19Px4SkC=w1200|https://lh3.googleusercontent.com/pw/AP1GczMI5e4hrqg_8ZMq_09dQJpvmrgWIR6eRpcGDTBlZ-7kaN7h1U9JhY0MDCsp68sypfESWrPTIWcwanyfa2zwIPlsbSvJqwcoYBO6hDQVzv0CsyDVEins=w1200|https://lh3.googleusercontent.com/pw/AP1GczOqGoSIHqlLo28WnHyv-qH7m6ZT8aOJ8niuZklm7qbKgBJKomeXHzsHWfkVNlcchW3vAL2fSBgzqx0LHPzrdt6C6FWLm9w3kmOGbW4bWFUNqewEw5Re=w1200|https://lh3.googleusercontent.com/pw/AP1GczNRuS1iOtTcY4LOUKN36nSUjePgCsVN4niD3ZGRSm5xDIWhBJArVFnqMnSybt5UDQz4HqPEM5u0UcWccHjQNOm9v027jgGud8dwdL3FnIzLUi_Triyq=w1200</t>
  </si>
  <si>
    <t>432</t>
  </si>
  <si>
    <t>https://photos.app.goo.gl/cuSLc1nQTB3F4mb46</t>
  </si>
  <si>
    <t>Casa  central, con patio amplio. Cuenta con variedad de árboles, jardines, Con espacios de circulación abierta. Escritura al día.</t>
  </si>
  <si>
    <t>Inmob. Huila - Ana  50%</t>
  </si>
  <si>
    <t>https://lh3.googleusercontent.com/pw/AP1GczO9S21CZp4Pe-Ttn24ZGghNHgP1lIRw3cMi7DQrGZxQ1d4BLbT-VGgtyQ7z56ZCiYYeuZWR_28iMHFnsPTOXsRVV9a7RsNVnWqEuRYKJPgRLGig3It5=w1200|https://lh3.googleusercontent.com/pw/AP1GczOUNsRwjafO-XldFyAn6_QbI5AkTrR9UH3EZ0KhTtUuwI-bFBT_xTz-re5hwto-0fBiGiONq8tR40WmGgfDagukRMIljfSY_txxddbVprRBntGoATww=w1200|https://lh3.googleusercontent.com/pw/AP1GczMoHHu5896wQHO5B-jim6MnzpaBWGmA8fpLT1ckBE6NJSC5XY8wbbVTLM1ethyi-35CFzShJcd9yRq17IMCnbAhll0AbFNb0FMd0uQ81FHPEQcIDGN9=w1200|https://lh3.googleusercontent.com/pw/AP1GczPZA1K3iiLES7juDtY_2gzi_7GpY8HTQnt7pLpug9X6m1LjvE8yRImtcslW83ka-1Hidh6if8de8oRAJpNzHFjmZvCXUTI7-XhcH53eSuiKiHEvGVWE=w1200|https://lh3.googleusercontent.com/pw/AP1GczPz2fY3VmH1Yq4x9z3dnvQV4-MbA2yyMvoDDqkmzChzm0a8aX07px9UenGDJQF3qRa0zI8op3A7nd5A_Had-M7fYRmxHnThQ8TLDfr_U2CjxeOmw-79=w1200|https://lh3.googleusercontent.com/pw/AP1GczP21log8bLIhMzjB4y4XPofQWKMDYtBvniHevP8Mjqxhg-quejFKNQUrj22JOBR7ndE9NSq58V8XOZrDPS5AOJhwiSjbwbRhdoJColE-bXMZ4h6aASf=w1200|https://lh3.googleusercontent.com/pw/AP1GczPDcHxRoGGw5bNAnq3teAiZetIgemSrC13Hs38XfiSq_5QiOjxCaGwwuNSMADzyUnIA9UaVzBZ6cfHz7jYkdP7dhwUnzCSEuLAJnOGSuxNd7gk_EVRe=w1200|https://lh3.googleusercontent.com/pw/AP1GczOnvmefD98_svTvn07HHz1MskHjikvwqALBwgV6iVXj4940mU1MWEm0EKHBbtsyISSZJHlrxQ6A9kvfcJTFOVcmtkY_-LCBC8gsEUs9i8PnupOnvC9_=w1200|https://lh3.googleusercontent.com/pw/AP1GczN_xWyMv6hIRBliEP2hxSrM37GGeDar-ogN_WW_WhuVW2SYJFvtdTC82BXl7T5mhowGaihufXc-XgENoP9KBh1AxABgybuKr3_5vVhWugNGI83s0y3s=w1200|https://lh3.googleusercontent.com/pw/AP1GczNheDvI_2vHQ-vZn-fG1jYv-ihiy6VyIVP5La8uHu-uKg-LlvF589gIM58QEN-_KqX6CWyaoHVMYLOI6OCvY_P4Qwtq9dRCiB7L1zdGwucunAzOSEpQ=w1200|https://lh3.googleusercontent.com/pw/AP1GczNHEB2GE1AoL6w3Ibpk0KeKNMvvLt35Uw_bDZUaCFFh03tMx6nTo_s1U7i1ceuoG8F3xGldJhtX8jZnWWkzIeBIK1EinZ4WKsYS3pjnvzRdFWojupwW=w1200|https://lh3.googleusercontent.com/pw/AP1GczPEoKsZ5j3fToMW_VnpKhSzF7Hq_kzVrFdA5EYUGX86IWAdgbbdBaHzneIbO_EHMSDeIE-055OIu0O8JOVn9cdVMIvL-rvgcH41yal5eimw3cZwc3A7=w1200|https://lh3.googleusercontent.com/pw/AP1GczOyPFEslOkE2WzHikXPKr0nT_iV-3vB6eNk9HyHqarfZB-MlPoghSvtISX9BLXGspqe09Y1lQ9jV5i78_3wbRrQbvVHpq1PyhmFkdw82oCoxnY9Fs5R=w1200|https://lh3.googleusercontent.com/pw/AP1GczMq4h-_DirTeEva5e7qw56QMJDk06UUEVNeRyiZLQPMGSub3B6iIUN7CaBw4pPDSYbxoxF3NH-6jFH9RWv8Q9xsHa5en-wobXQG3pjIS5o8lCBusxhx=w1200|https://lh3.googleusercontent.com/pw/AP1GczNI1Dmo031znIMe8uEisP2CuChrHIYR0rdLzyZTv573KADFb4RYysqdOMRVQgYv081ph96IKb-im6eO9CjkmzZlqUmeYUJka8nBt5V3SjnRxtnm4ClK=w1200|https://lh3.googleusercontent.com/pw/AP1GczNAGG82o9p0FZ0ilWJsasaDpKy25aO5qUOt6yLjyPipgRLTyUC6A-vndE-NBX-xiRPbPAzs-0vDJVkDcim76yELtwRqB2mJusJXRIMEDYySoK8yZDno=w1200|https://lh3.googleusercontent.com/pw/AP1GczPCuaD_cDBxlljXK141BgdEsd4E6XTMMVO1qwK8f12rgcmNXtH6qjof3fBzrP0B2MuGPcBXoZlpdtMlCd3pUAmzARyp4SOQLUkMsH1k_N-mb1u_KmQl=w1200|https://lh3.googleusercontent.com/pw/AP1GczM4VUvL3b3JnET5R373vaG10gOQy8vMhggs6DaqB7v82x3dFxuyQJ9MGe759dHg55_u-DYIiqNHGB4vZIzxUhVumnL8fWcTYPlPvq-Dz-piyE7_8g5E=w1200|https://lh3.googleusercontent.com/pw/AP1GczPz5EzdgDH0l4dO3nPFtEbNfXM2k7OrEMEJdY1o8JG6TMIestjLLMQqY-2odASv20pGlTUuYqAeWoMnL_W04auef48giF_AqmYeb_fLYz5qMGDw5Hc0=w1200|https://lh3.googleusercontent.com/pw/AP1GczPCskzSSdCExbHET63FLPGP6R0mi_ehEYahhxohP9HrrSXB3ZZ-j31VAiWdt4M_sSHnl3DiaQRfKAwDUm3e585jfjdiVU_Ze1rdejsWRSxpQzRK11Zd=w1200|https://lh3.googleusercontent.com/pw/AP1GczM41kZHP02QnViiiep4S99d6YtzC49OyYuikMxfixyfm7YVhgdS921pCooUly6q6560Rvn3915xxz88NmcJ9yMf7EhtAooQ5LIyGtouoTVWpufcYIWc=w1200|https://lh3.googleusercontent.com/pw/AP1GczM_TTEL5Wqk2chnjyQXgASw7MkMZuQdMzddKwInLH1CwIuGzZ_yIPNY1QDqXgfIaIvzC7lNSKWgslOoh09SfccKr0HCPc9JcW6Q7DsFT7Ev7IvH21cN=w1200|https://lh3.googleusercontent.com/pw/AP1GczMzGa3nF4A94Nn3gE_sCBeG2nKyfOVs16UiLjMnzWdUCL6famNTiiDKkhcro4OmOeBO-Y7lhKoPefJ-oPbh2G6_btpWl2u_Rf7-uaSz3xbhKVzPGkoF=w1200</t>
  </si>
  <si>
    <t>346</t>
  </si>
  <si>
    <t>https://photos.app.goo.gl/4v5L3ZbosDRYFGsj8</t>
  </si>
  <si>
    <t>Casa remodelada, buenos acabados, ubicada sobre vía principal. Escritura al día.</t>
  </si>
  <si>
    <t>https://lh3.googleusercontent.com/pw/AP1GczMq9sA9HlFtkmq0qL79ON8tc5oISB14IUW1TfDtomGg6nnXpQyM7pRwpW2WItbjOhgJ6lW1GJidxLkAH7WZ_dGdFShB87l5ejILWkC2JipPn41SsC4d=w1200|https://lh3.googleusercontent.com/pw/AP1GczNRC-6PCe-D44AW8OnGEDlfn3pCwAX-E_CN5sJAQr5QPaKS3q90yeHqDeyuoUTCuy5pq9p0RlHWHY8YRaTjZGq0bDaG3M5THsb9SNKWwm42rUtK0Acz=w1200|https://lh3.googleusercontent.com/pw/AP1GczNNNrDvWo7ZOrE0BnFJyqARBGFA_N1FvQKZR4NseuNpbZfFOLd5aM3viaP4H43UE8xqe2fSeht21n0P-eyqCDr8qgykbyFcGcKLtfI-iynAuaZFdwXC=w1200|https://lh3.googleusercontent.com/pw/AP1GczMTWlu5KIZwb4FgYEb--1cvPwzWxyRQUnpQtxpuKBk2V3E6KLGDUmQtmZadpQQ6nhf_BEgg3OZu5FF-Gsi3k5GzYGuEiEz3UPzV9eane9J2R3Mj97Mz=w1200|https://lh3.googleusercontent.com/pw/AP1GczMy19Y_W7nMlJGiRk_ye56QhoujDt5u7jjHiErqNgm-kPw_oHh7XxtnRmpD8BlQACseW4xcvjE8gxMsDC7j6U_pY49ByD8rljrT35G8SL96c3W-A-7K=w1200|https://lh3.googleusercontent.com/pw/AP1GczNEDRyRZLIiXp1NoLw86nO-4nooJeeop8PsBqwxE6Q0fTXtB-qjj5aSHqw_3HZc73-w-1H4sMLJQODOIV9j40ZgMrYL0aeDU5R-x6bNf_9rYZeLV8dV=w1200|https://lh3.googleusercontent.com/pw/AP1GczMsYeMAsKitP045CgBBiBHSH0eQaSL_y7fMX8n6f0735ysr1Ra95lv_3QHedm1v5LReOZ35mji7jkkqcvyiFLohrMWPX4mi-jk2bjKrgZPFBGUMwTbk=w1200|https://lh3.googleusercontent.com/pw/AP1GczMhsMzMHAy0ckFNBQHmbbhhhctiCEPQ03UQjTF331WU5eVeBzoUA8T4Px34k0NPqCHb-Jn-4E4Z6eYaTEqpd07dH7CDeCg-jpNMoB0Jv8rlwJDYD5Kc=w1200|https://lh3.googleusercontent.com/pw/AP1GczMZeVQDotin3TUqVZe-eoxsfIoDSYUr8uFM2XSlFb-sdR-2r7VXSTTAGaYzU6gym9CMj5fMNPEsm_yfgPb5aVuJQZ0tYvuhYNAH9T92e2raBHW50SsZ=w1200|https://lh3.googleusercontent.com/pw/AP1GczMx4zp-jjYo5UONoUhQ87YpOgwUK6ogAS6abvC20GGrnX52P6ZIvOkApOStDsDIK8xo_pcDNoauFRCfDwAfVWyJm7ndH9DAT7T04dgPKLYxto-8zXjQ=w1200|https://lh3.googleusercontent.com/pw/AP1GczNxvVtuG8NzIM6vKExNKbYY2-bNGrkDXV2hN9sm8BL7AK2zTTZpdt4ITt_XFxsGw0pwSD7PptdefHusf_PvnW8aUTZUprwYC6hsqV00UlaLEYrPeXLi=w1200|https://lh3.googleusercontent.com/pw/AP1GczOTHQIpO692gSoIhvz9IDjj_yZi9r8CloAE-bcq3wXE_uj9D7TKcxgiy0frz4cRz9fLPSTRzgrP76HmPOnOZnV1OMLB7H9tBFK06tT1ZXwJT4FsefdU=w1200|https://lh3.googleusercontent.com/pw/AP1GczPZG78618MDLWuqrhPOZgPkW2fIdrOf_gs0kWmE5rii0-2PK0LG64PcBP2_SNEHAq54N1REpURbxjoiQwACoqdL6aQwlSR3DEZzfpS9ta7-5lSvHABs=w1200|https://lh3.googleusercontent.com/pw/AP1GczPc5Zyu7zsDdmpcb7kMgxW-CVBjZTiG2vPNDGpWrDWz-yrMSH5tPkco-XzqefbHyIzqVr5VIDdpFGtpmNS0ydo-MpvkS7YzIJHmTUmICOOH3rX96iiq=w1200|https://lh3.googleusercontent.com/pw/AP1GczMc1TLXROmZxe3DaJ18SzXbv3zBRMYrqN8kucKHl_J7fsc8r4IlmggdTpSMFCK73JDeXIUjZpVlcrN7uebN3opR_rQe6i_S2UEt1Pa2GW_U-g3OYAS0=w1200</t>
  </si>
  <si>
    <t>264</t>
  </si>
  <si>
    <t>Casa en Conjunto Las Villas</t>
  </si>
  <si>
    <t>Las Villas</t>
  </si>
  <si>
    <t>CARRERA 6 No. Xxxx</t>
  </si>
  <si>
    <t>365</t>
  </si>
  <si>
    <t>INMOBILIARIA LEON CORTES</t>
  </si>
  <si>
    <t>398</t>
  </si>
  <si>
    <t>INMOBILIARIA TU JURIDICA</t>
  </si>
  <si>
    <t>CARRERA 7 A CON CALLE 15</t>
  </si>
  <si>
    <t>457</t>
  </si>
  <si>
    <t>Bodega en barrio Las Granjas</t>
  </si>
  <si>
    <t>Bodega</t>
  </si>
  <si>
    <t>INMOBILIARIA YATRANA</t>
  </si>
  <si>
    <t>CARRERA 6 No. 31 - 35</t>
  </si>
  <si>
    <t>350</t>
  </si>
  <si>
    <t>Lote en barrio  El Jardín - Oriente</t>
  </si>
  <si>
    <t>https://photos.app.goo.gl/6NKeH8TTKk22kN8o9</t>
  </si>
  <si>
    <t>(Parqueadero) Medianero</t>
  </si>
  <si>
    <t>Lote urbano esquinero, bien ubicado para parqueadero o construcción en altura. Escritura al día.</t>
  </si>
  <si>
    <t>J - % para 4..??????</t>
  </si>
  <si>
    <t>BARRIO EL JARDIN</t>
  </si>
  <si>
    <t>https://lh3.googleusercontent.com/pw/AP1GczNW3ChC4ZyHOFmw-oJNpCX3d_1ZhNF1xY6Sy7E4KY6krX65XIEvRj6mQH7zYuIG9MUDbF1iYC9BHN5aZvHKA-vXprfIlljFoKXxpM55c8nJFCCNNOOg=w1200|https://lh3.googleusercontent.com/pw/AP1GczNLUf8w0GlkEqjNaPiLZGMieaHz29iRNVN1E0S0RmjNmruFnA9oe_ak6KqK8F_rNqa6ugGcLFKgAeCOXTBIVZzIdFfBxrxnYG6xzmD3HuN70IdoM5Oj=w1200|https://lh3.googleusercontent.com/pw/AP1GczN0MaDnL2x-V-Th8oQ25131SGl7hFGsK859TZFUdjTyFLhM2s-eGiMAlfF46GhcdDR18VQQLpatvvSCot6q2rEqSt6QT8MgQgjlggf-srqYXXIWguLw=w1200|https://lh3.googleusercontent.com/pw/AP1GczOkK4bShRRKvO_7LTzDfdeD5W6uj3yVIIHfoCvLXF-YHuxbAs6ZegyXLAuGjwi_eBsyr6lnvSduIAFXYqrLDPi_3fpZonGocu2LUEjF6CmoBFZ7O7fZ=w1200|https://lh3.googleusercontent.com/pw/AP1GczPLc3m7C9MMWiXwzRY8-u4uSjMaF83nlvJi6vddNbN97TAyDOf8drGMAHZH1nYjd9ean4N5Wt3VoM_WwwOvpM6AWgsU0mOeIpUaCZJumX0aVVpA85-R=w1200|https://lh3.googleusercontent.com/pw/AP1GczPQOjv_-LEZY9epE0moE-h623MxwVsA6G-SnByf5_OVt9j9epJNstd39_UuyDurRemIkfyP-1UkBeEfDRcOnZYoKVGY2ahVU0how_6pUSFNvxOJxQpQ=w1200|https://lh3.googleusercontent.com/pw/AP1GczOn9Y7g1YB4LzzTMiSOzUn8Jq2Our-GjTb8IkDZkhf7MKYfXWJ1CnRXqWbnV1a-WOUL77EhXKDk-oQyIrByPN1AQkzu_tlr1CAovv9Iiay_HI0lcRGi=w1200|https://lh3.googleusercontent.com/pw/AP1GczOXCGR38-5nrqPIirVt-qyjKxaoegDgzh0k8oAh4BN4hjiMwFCRw1oi3gOfyjUDoH7dcLp3HtJuRrEHFLhXw1czw-NEYB-Gw9z8z9hCMQ88-UZvedav=w1200|https://lh3.googleusercontent.com/pw/AP1GczO5AmHuQyfAkW-S6-c6uMdUmU9vctDsG6keH_9OED4HvAujbZD2fZx0wzs8qjPbxVoI5yodURjOzLDXGewn4wS9H71i4E_UhzoLH0Fjq7qNY4Uoy4Um=w1200|https://lh3.googleusercontent.com/pw/AP1GczN7nHuI0G-VsQ7EtKooIr0ZleEoB802nT6vdX5yy9jdenhh75eRjUptCkU0dtacd2w3oO1agk_-pFUx-8TEAj3OTZoUdJn93c2RuN82QJM3XjNUu736=w1200|https://lh3.googleusercontent.com/pw/AP1GczOjLFF96JNR1TfeOFH0KR6qRYKqpcNYNkKL9Jd9Lgqub8cTjY5Dsdy0fBblagdrrsQz5xw8UOTiGGFYXwVBFPtDU70z4eoK3YEMLd6kcnlu_MdQvy83=w1200</t>
  </si>
  <si>
    <t>911</t>
  </si>
  <si>
    <t>Lote - Oriente</t>
  </si>
  <si>
    <t>https://photos.app.goo.gl/rdksmWSBeyDJnLpU8</t>
  </si>
  <si>
    <t>Lote de terreno en venta y no de una vivienda edificada, por lo cual no cuenta con una distribución interna de habitaciones, baños, pisos o muebles. Este inmueble corresponde a un lote completamente plano listo para construir, el cual cuenta con una generosa extensión de área de 1.944 metros cuadrados en el municipio de Neiva. Al ser un terreno limpio y sin edificaciones previas, ofrece un lienzo en blanco con las dimensiones óptimas para la estructuración y desarrollo libre de proyectos de tipo residencial, campestre o cualquier modelo de inversión que planee ejecutar desde cero.</t>
  </si>
  <si>
    <t>Este terreno representa una magnífica oportunidad de inversión al encontrarse estratégicamente ubicado sobre una vía principal en el oriente de Neiva, una de las zonas más exclusivas, seguras y de mayor desarrollo y proyección de crecimiento urbanístico en la ciudad. Su topografía totalmente plana facilita cualquier tipo de obra inmediata y se sitúa a tan solo 100 metros del Condominio Hacienda Mayor, garantizando un entorno de alta valorización. Es el espacio ideal con fácil acceso y un potencial comercial inigualable para quienes buscan asegurar su capital en un sector tranquilo, cotizado y con un futuro urbanístico garantizado.</t>
  </si>
  <si>
    <t>Jennifer García</t>
  </si>
  <si>
    <t>317 5746312</t>
  </si>
  <si>
    <t>https://lh3.googleusercontent.com/pw/AP1GczPsesxBsK0CcC0yczACtv6TRhkS8mTnDm1IdZEEHmPaQwWL-RgCAuaMbky0kmTVvIYRRf1ScQ_2xOAAkNMspB8UdCXZbCxGMYinfpB0LlvajaGqQtVD=w1200|https://lh3.googleusercontent.com/pw/AP1GczMtosqg6IwjjT1-YhR_aGBUrd94M9YgGoL219QlizQUXb1We_7pYwx1QzrN6zaNE2aG0J6_eMzmw_8ieYbmIejSvGQ9LoYdzy7Y6FTPWumZXBiZUbAA=w1200</t>
  </si>
  <si>
    <t>307</t>
  </si>
  <si>
    <t>Casa en conjunto Condominio Santorini II - Oriente</t>
  </si>
  <si>
    <t>Condominio Santorini II</t>
  </si>
  <si>
    <t>https://photos.app.goo.gl/uuVkryXVQGR9ZpfD6</t>
  </si>
  <si>
    <t>Esta imponente casa esquinera de dos pisos y estrato 5 cuenta con un área de terreno de 152 $Mt^2$ y un área edificada aproximada de 154 $Mt^2$. La planta baja destaca por sus pisos cerámicos de gran formato en tono gris claro, muros impecables en blanco con paredes decorativas texturizadas y una moderna cocina integral de concepto abierto. Este espacio culinario está equipado con refinados muebles modulares superiores e inferiores en tono gris oscuro veteado, mesones y una espectacular barra tipo isla en cuarzo blanco calacatta, estufa empotrada, campana extractora y una elegante lámpara colgante de diseño geométrico. El primer nivel distribuye una sala y comedor independientes, un estudio o sala de TV, un baño social, un área de lavadero con instalación para lavadora, un garaje espacioso con capacidad para 2 vehículos y una amplia zona verde. En el segundo piso se disponen 3 cómodas alcobas y 3 baños en total en la propiedad; incluye dos habitaciones auxiliares con clósets en madera que comparten un baño social completo, y una majestuosa habitación principal dotada con aire acondicionado, vestier, baño privado y acceso directo mediante ventanal corredizo a un amplio balcón exterior con vista panorámica.</t>
  </si>
  <si>
    <t>Ubicada estratégicamente en la zona de mayor prestigio y desarrollo del Oriente de Neiva, esta magnífica propiedad esquinera en el exclusivo condominio Santorini II representa la combinación perfecta de lujo, seguridad y confort para su familia. Su diseño esquinero no solo le otorga una fachada imponente y mayor privacidad, sino que garantiza una iluminación y ventilación natural privilegiadas en cada uno de sus rincones. El condominio ofrece un entorno residencial sumamente tranquilo y seguro, ideal para quienes buscan un estilo de vida apacible sin alejarse de las comodidades urbanas de la ciudad. Con acabados de altísima calidad listos para disfrutar —como sus espectaculares mesones de cuarzo y el sistema de climatización instalado—, esta casa es una oportunidad excepcional de inversión inmediata que asegura una alta valorización y el bienestar absoluto desde el primer día.</t>
  </si>
  <si>
    <t>https://lh3.googleusercontent.com/pw/AP1GczM7DxcpHbO_qf4RArdZYffWCL0QCvd5PZD8Vel5iIc3fnOg-ZcXRIn95VKsx5IbL4Gv5PZR1HvOxJdjyHO7X6JWPYDOr96JiOz9hKv7tDwnCpiMs6Dh=w1200|https://lh3.googleusercontent.com/pw/AP1GczMNoJOK_3k0j1J_iAiK5jqUTRsLr8arCc98NCgAmGBgYiX_70tmdGSgdbUu6p-fXSEOnlRPFPYX3CDPQYLm6xzpcpOsw_kZ231F3BypAxcjvqExyUvI=w1200|https://lh3.googleusercontent.com/pw/AP1GczPIvfvwuuaE5TXV5Sd8fvmtq5yXlmUeA6OjKbbeAko9UF6ypapltTzdCLgqtkXn32pWnr9jniQ4lpOqGJyYOaESqALBnvfijYkzPdsNUpW70F3LPpmc=w1200|https://lh3.googleusercontent.com/pw/AP1GczMaK-0dOSWYRr_BXyhAoWGe4t1JKsG6Khdqem94_YuT-MPWsNQjO4gTj4S2b4VFRg6XqO8gVgUcAGysGamHhSPpG49wpoiOLKxgGmT8I3ApqurmMY68=w1200|https://lh3.googleusercontent.com/pw/AP1GczOsHYE7i7DrOyvLF7NODmw35ukjHZlnxWwKJahj6gGjeE3BxIuZIfJTyK6PfZz93X77RlgaDCIEmuZTBEQiYpVQ8GPRzeUmudKH9KDFP0A6r6vIJoc8=w1200|https://lh3.googleusercontent.com/pw/AP1GczPbA0XR68HHtxuxy8dThN0ozeTbnfUxvI9EpF6CqoIsXAN2VtqZIz3h-Yv6D6RdtIrfHwps-CP1j66K0cl0Z6PEV1imSCzXWg6ZQPTcsF9Y7_OdCja_=w1200|https://lh3.googleusercontent.com/pw/AP1GczNLgAGyQVC5l5MQVCZOVCUyh0gLpcKOS83q1fCrd3KBV1f6TsM416i4IK8f2wtJCnQibw70jmrXnVhdDW6Vrfjk9JR2x5DtBID2_WdmBBa_4d9vpIwu=w1200|https://lh3.googleusercontent.com/pw/AP1GczO4FiXdUqr3imW1flz3VYxsqMKb1oF6nDBBkj86KrOXRZfIYWZScBpdkgju-BJtNVWovh7UE8Yaq73FEqqZ0laTmPV56vu4zdWJMafE_ehb2sB-V0ZD=w1200|https://lh3.googleusercontent.com/pw/AP1GczPmykQLzlwYdUZhl-9JD4gW62rFJRdcX8cNEPn1RNJJYgLQdpDKVi5QcL2ygOMuBXpr3zLSfH3k-g4uV6x2n8_mAtTNcaKLtjJgqz4X8MUcPb6kFiUm=w1200|https://lh3.googleusercontent.com/pw/AP1GczNj5frgiFVI0G9JShwiUBMUrAlfiQaMXIn8IzgXffNbXKz1n1HKO4MLKAJQTUArHrOemtpxeWERjJO6hVp0lDyjLeV717pBePfL9Fw_2maydqJQHNyY=w1200</t>
  </si>
  <si>
    <t>553</t>
  </si>
  <si>
    <t>Casa en barrio Villa Carolina - Norte</t>
  </si>
  <si>
    <t>https://photos.app.goo.gl/Bpm255r6zAZ9q5G59</t>
  </si>
  <si>
    <t>Esta amplia casa esquinera ubicada en estrato 3 cuenta con un área de 183 m², excelentemente distribuidos en espacios modernos que resaltan por sus acabados contemporáneos en pisos de porcelanato pulido y muros con detalles decorativos en texturas tipo piedra y madera. En su interior, la zona social se compone de dos salas amplias iluminadas mediante un sofisticado sistema de luces LED empotradas en paneles de cielo raso de panel yeso (drywall) con iluminación indirecta, junto a un comedor independiente de concepto elegante. Dispone de una cocina integral equipada con gabinetes superiores e inferiores en melamina de tono maderado, encimeras oscuras de alta resistencia y barra americana, complementándose con una zona de lavandería independiente en patio de ropas enchapado. El sector privado aloja 4 alcobas provistas de clóset integrados en madera y aire acondicionado, destacando la habitación principal que incorpora baño privado con divisiones en vidrio templado y modernos revestimientos cerámicos, además de un baño auxiliar y un baño social totalmente dotados. Asimismo, la propiedad cuenta con dos espectaculares balcones con barandas de seguridad metálicas y cortinas automatizadas, una zona BBQ con mesón en granito y lavaplatos ideal para eventos, y un amplio garaje cubierto con portón enrollable y capacidad para hasta 4 vehículos.</t>
  </si>
  <si>
    <t>Situada en el cotizado Barrio Villa Carolina, en la zona norte de Neiva, esta propiedad representa una oportunidad de inversión excepcional en uno de los sectores residenciales más apetecidos y con excelente proyección de la ciudad. Su imponente diseño esquinero no solo garantiza una iluminación y ventilación natural privilegiadas, sino que la amplitud de sus áreas la convierte en la opción perfecta para familias grandes que buscan confort, tecnología y estilo en su día a día. Como una ventaja comercial inigualable y gran flexibilidad financiera para facilitar el negocio.</t>
  </si>
  <si>
    <t>https://lh3.googleusercontent.com/pw/AP1GczN7U6NqBWtAB7OYE3y-P_nr7fKBzsDjCrzXq-03wpeLF1LBGj0bor812hP0ScN7UsGDXzK0TJBAm7ktVb-zv8o9GVJ3Gsoj5UoVP7fB2xYBAczT9jAb=w1200|https://lh3.googleusercontent.com/pw/AP1GczODxqb0B2yoVn5qGuzmkWpsqewf-45b2NTAFktwN8_P0AXACGLDLbCzb9gxEBPCSamxzCtDP69HCNveCLQC3YxVK66_RnxtZyn9sGOnIypSiYQIcwuO=w1200|https://lh3.googleusercontent.com/pw/AP1GczM3hD6mGWZ6Vm3NP_K4xOkC3p-6t2PJHqUGMSaRmOmrzIN8CgIkOYvkkLTBiJfp1Epexhh-uWwZH6wZHZiZlT_kRMIea-eHmuH1fNHVgqamJL65GPdM=w1200|https://lh3.googleusercontent.com/pw/AP1GczPytWNodsk2K3EI3dvhz_dKPG392LACZssUF66KUbje_0_0Cr1C7V1M7GGJ9apIPuQ8Llu4rxcNTkecF4eAFNYG-UzXm-9IefpW036U-fncm6lIFSnK=w1200|https://lh3.googleusercontent.com/pw/AP1GczP1ycKIUY8QX67p1GI2EHqZZzUQCeuw2uoS1tRp4DxhNx6lpt5bs20N9qNYqDHmZj1p1ikZ_6zNYiM7Xx1x36NHQHCguGMSjm-vaXQogCK6vTLJ4uXm=w1200|https://lh3.googleusercontent.com/pw/AP1GczNvfQlBFIRdZ2WUlrBnnd_c5hy5ucws6w8ejAFoP6ZiUj7ovRjgnR7qcLmYpEirabMl6G812EuMGLxmgmnpzSVRbGD65Z6QOr27UcWgH4jtWrdfS2f8=w1200|https://lh3.googleusercontent.com/pw/AP1GczNTP38XARk7foeAUtqfNmBw0_Zn2FAGgfcpklBueLVOOJaPYiEBOxk-SNNhz9uGM_Nni3BSRaUuk6j2-e-juk3OvDJTdKnYEbSbrIuBLjReA0U298J5=w1200</t>
  </si>
  <si>
    <t>446</t>
  </si>
  <si>
    <t>https://photos.app.goo.gl/FBGAkmsQqeZeuGpy7</t>
  </si>
  <si>
    <t>Esta hermosa casa esquinera de un solo nivel, ubicada en el estrato 2 de la zona Oriente de Neiva, cuenta con un área total de 249 m² y 138 m² construidos. Su distribución interior ofrece una sala amplia y muy iluminada con ventilador de techo decorativo, comedor espacioso, un estudio ideal para oficina en casa y una cocina integral amplia con muebles modulares en color blanco, mesón oscuro y barra. La zona privada consta de 3 habitaciones (2 de ellas con baño privado) con clósets empotrados en madera clara, un cuarto de servicio y un total de 3 baños completos. Sus acabados interiores destacan por pisos en retal de mármol pulido y muros que incluyen una pared con revestimiento texturizado tipo piedra en el área social, complementados en el exterior por un amplio antejardín con zona BBQ y capacidad de parqueo para 4 vehículos.</t>
  </si>
  <si>
    <t>Situada en el barrio Buganviles, esta vivienda representa una oportunidad excepcional de compra inmediata gracias a su ubicación estratégica en una zona de alta valorización y fácil acceso a colegios y vías principales. Al ser una propiedad esquinera de un solo piso, garantiza a sus habitantes una ventaja competitiva única en cuanto a mayor ventilación natural, excelente iluminación en todos sus espacios y máxima comodidad para familias. La gran versatilidad de sus áreas exteriores y su capacidad de parqueo múltiple —un beneficio muy escaso en las construcciones actuales— aseguran una inversión sólida y un estilo de vida inigualable desde el primer momento.</t>
  </si>
  <si>
    <t>https://lh3.googleusercontent.com/pw/AP1GczNbGru5BvWtz4xZ2bgD1yeNXugUOepuEtm3pit76R53X8scp-_JBrpeujoV7v0j1aooJqpP2wiJm4RJJef4dwCMBtYL8w4eYQAh3Y8245mV7XJnBcBE=w1200|https://lh3.googleusercontent.com/pw/AP1GczPo5uZctZzY9uLGUEaB58_qHzG-hqmyVCysIrisFM9djrnPmMF9lYK6LTlngIu2TUzdF2rAMAM9V8sQUJNLv_hZ9w6PRO6DG8xasF5RG8O7VYL39ECg=w1200|https://lh3.googleusercontent.com/pw/AP1GczNGu5u4mDTn_-4KVOfH9F_i-69P3WD1A1UxwFbWWuoz1TP0G4Ylh41UTEQYE8i1Ja7KrkIneLfgf_E4oMa3ZOXMhLBQq3S-xCuGoFAtMiO49iKihf--=w1200|https://lh3.googleusercontent.com/pw/AP1GczNc9eBNub_0C--0EPe4CmkGunaiXr-sZ50zAOFBlUTaLOl1uEvEpwzLagRDv99EkBO2jg7qogUZeL2VIqY_wZcYQvifjJvl3XCxHbLdfjSmEtPz-dYL=w1200|https://lh3.googleusercontent.com/pw/AP1GczNhkkRJDUpxB-WWSqW2Y5qDpoQZRqyRFfbeMwzv93F2N4ht8pQStArd5ZZF7UZtSegTAHygVy7UpbkGVwjwjOWoEsUW7mXI8NPtWcFRp4W9icuXCH-c=w1200|https://lh3.googleusercontent.com/pw/AP1GczMwGAUqrVo5-PN6U4nooNtOqc7MkNu0gdfoCJ_lCcKCQQXzcLDu0vL5NDsS9zZQ3xAHOK2wCWKGYksidwMHjABHcSStmvlhKe6R6bbBVonrpbYA3btO=w1200|https://lh3.googleusercontent.com/pw/AP1GczOaNS6PjpoVWz55CAUTa0yvQPWaZ1_regJsq9yB0c-_6WjGxhdm1fufs2bvc4YfhM1hxRUaoZIEfx5YQwKhTREaNnSZ73wpYZVTee0Bhi-opq-mm2jE=w1200</t>
  </si>
  <si>
    <t>558</t>
  </si>
  <si>
    <t>Casa enconjunto Los Rosales - Norte</t>
  </si>
  <si>
    <t>Conjunto Los Rosales</t>
  </si>
  <si>
    <t>https://photos.app.goo.gl/vywkuSPfHfFrhckUA</t>
  </si>
  <si>
    <t>Esta hermosa casa de dos plantas de estrato 4, ubicada en el exclusivo Condominio Los Rosales en la zona Norte, cuenta con un área de 96 m² muy bien distribuidos. Al ingresar al primer piso se encuentra una espaciosa sala-comedor con pisos de porcelanato claro de alto brillo y muros blancos impecables con luces empotradas, conectada mediante amplios ventanales corredizos a un patio interno techado con un llamativo muro texturizado en ladrillo a la vista. Este nivel se complementa con un baño social, una moderna cocina integral abierta tipo americana con barra en madera y mesón de granito oscuro, zona de ropas independiente y un balcón con vista a zonas verdes. En la segunda planta, el área privada ofrece un hall de alcobas con muebles organizadores empotrados en tonos madera clara, un estudio ideal para teletrabajo, un balcón y 3 amplias habitaciones con clóset, destacando la principal con su propio baño privado, además de un baño auxiliar completo que asiste a las alcobas secundarias (para un total de 3 baños en toda la propiedad); asimismo, dispone de un cómodo parqueadero privado.</t>
  </si>
  <si>
    <t>La propiedad representa una oportunidad excepcional para familias que buscan máxima seguridad y una altísima valorización en uno de los sectores residenciales más cotizados del norte de la ciudad, con cercanía estratégica a supermercados, colegios y restaurantes. Vivir en este condominio garantiza un estilo de vida tipo club, ya que ofrece un catálogo inigualable de amenidades privadas que incluyen piscina para adultos y niños, jacuzzi, zona BBQ, salón social, gimnasio dotado, canchas deportivas, parque infantil y amplias zonas verdes para el esparcimiento. Todo esto, sumado al parqueadero para visitantes, un supermercado interno para mayor comodidad y estricta vigilancia privada 24/7, convierte a este inmueble en la opción perfecta para quienes desean mudarse de inmediato a un entorno tranquilo, cómodo y totalmente seguro.</t>
  </si>
  <si>
    <t>https://lh3.googleusercontent.com/pw/AP1GczMg3lK5hhxSO1C4ugVsJYYYjEjLGLj-9Cic-qwmPjQa3VQNtL9DYW_Y_4QaWirAneu2wdy73kSwStSufMaoctAm_W75SVoV1IGKZPlTrfL-mDFVj3DT=w1200|https://lh3.googleusercontent.com/pw/AP1GczN9m9bkAT_VzjA3cGN3ifZXQdbXTfbZzSv2yx34wTEsuXWg-DTpruQbhPsji51u_ED_6c-lxmq_T-qNhUbVErSuIvV8PBsJLDLYX2R2zK_Hh6GaWteN=w1200|https://lh3.googleusercontent.com/pw/AP1GczOcKE0E8Df47HVrBf4wSszOJ7f6CcPsJB4TaB2zqHuHxXaego4uXNg_MeuUQFHAYJPry8IMsiyUQBCEeP7Hd9Aq7g6BDn_K4Z9Ybl45o-lOlmkweJn6=w1200|https://lh3.googleusercontent.com/pw/AP1GczOr3doYM77xBADj5HM9TSMWYF-kNjk415FHUgDWng-Yc6fi2fKi34Xx4HBWk4g2Pn2q2Zf17LoDFJ1OU3HWYnmfdNf__FHGFnlbWKvlRhkJomBDGTdP=w1200|https://lh3.googleusercontent.com/pw/AP1GczOuJgNqtfDSXh3OpScfclKav_tPqKrAN6aNHggHEvyts8oSwDnWMz_4pM8TkdhIguiiXJSatmjVxCMq52Zlt8pc3ISaX4sFRy73sAazMTQUPeZnw7f3=w1200|https://lh3.googleusercontent.com/pw/AP1GczOP37sdEomOOBpROmKEvzVGeS75edBg1XybIGFr5HxePTGG8ceOtXXznBXEmSQhfsHNIHSb9FrNQNs76UyxRi3slB4FrkJZ0vlV3uOIBwBCgwGuM52_=w1200|https://lh3.googleusercontent.com/pw/AP1GczMygFk2WaPvneWgnl6RNOxSQgDWP-2RGDF5RF4-hHPVFYjwVGQQ1FFoXLSWZ2qQem01FzSYom3RUnEMXCzqNxIiRDR6JgARYUvWb_gRLzxPua18xeL7=w1200|https://lh3.googleusercontent.com/pw/AP1GczPXnHpZhsGURuun2wCHF1BfpJt_xk8zMlMjxshQJwRlgFzDJP5beamzP2rOxDljUsZ_4sixzE2DAQR8j91frJ5EsFjr5bSBY0z47cS70ZUvR4gL-jKd=w1200|https://lh3.googleusercontent.com/pw/AP1GczMFfYPkVKLSR6hux2xebWHqSPGsUJ9Sj1zn7F28jauLI1cTE-opSGzxkFUadgwqKfKSyoZdVtNY39Bk42unPHPeDCIeqdEtuq29O1CvZ1SUIarsTClp=w1200</t>
  </si>
  <si>
    <t>1347</t>
  </si>
  <si>
    <t>Casa en barrio Villa Café - Oriente</t>
  </si>
  <si>
    <t>Villa Café</t>
  </si>
  <si>
    <t>https://photos.app.goo.gl/ATghK3tZF9Leiw73A</t>
  </si>
  <si>
    <t>En el primer piso dispone de sala, comedor, cocina integral abierta, baño social, una habitación con aire acondicionado y baño privado con punto eléctrico para agua caliente, además de una amplia zona de lavandería con instalación para lavadora y mueble de almacenamiento. En el segundo piso ofrece tres habitaciones con clóset, destacándose la principal con aire acondicionado y baño privado, baño auxiliar, estudio, sala de TV y un amplio balcón. Una excelente opción para quienes buscan comodidad, modernidad y ubicación</t>
  </si>
  <si>
    <t>Espectacular casa de dos niveles en venta, ubicada en el oriente de la ciudad, barrio Villa Café, totalmente remodelada y lista para estrenar, con un área construida de 140 m². Cuenta con redes nuevas de gas, eléctricas y de alcantarillado, pisos en porcelanato color beige y parqueadero enrejado y techado con capacidad para un vehículo y dos motos.</t>
  </si>
  <si>
    <t>https://lh3.googleusercontent.com/pw/AP1GczNggZqTJXrN2o69GJXgMXKaCtZDXOc7KM9AQsyqiA5a3jNgOzNHSZU2v_8yrC_XPWQnjHsOxj4NCpI6t0K8JVrJNB32g8IfQcfsQzj9c82Puxt9Pzkp=w1200|https://lh3.googleusercontent.com/pw/AP1GczOi_anniTokZqjJbZlzdsFJC7tqMLmymRmNb7aonPQ4h5yn1fF9NAmzzsvBNM1e3BDNcC5tRamBDAUdz0juSySKjwtZCAmWvfl3-ikw-9RN-M0BHy4I=w1200|https://lh3.googleusercontent.com/pw/AP1GczPnJK44aIiBYK-fy1napWnedXBO-DgVkvl-KQ6NmcJkffa3eb7VlMJetf2heN3LlAq2FoN7D74poCV80xVlA-410-jZITL6W8QDJbT5vqOo5fme-P8X=w1200|https://lh3.googleusercontent.com/pw/AP1GczNObsoGVhrhy0z7-a6MLqzS_xeHqDkIIwxQS-m6AuyAJIPF_WG9c1HGHJgA-mpt70nE4n3qQxM_4WJF53yckCFg0HOK4zuU-oXrod1VPXaq-igf5qIo=w1200|https://lh3.googleusercontent.com/pw/AP1GczNJvTGT8aVF0VkKu7lK7x0hToUOBvHArCtdrt-vH0Ex50A0rAhAPt1TN_8ySy01LSvgRN35Lvb9Za3uEmruDnjDZe9DYtDGegWoagOtZtPFCdCA_5vz=w1200|https://lh3.googleusercontent.com/pw/AP1GczOT--SxoMYuv_o7Ivq_yodTGCzj92J3aCrIR5e-ncEUip-TglEbZVHP-RsW4LXtNQnSV38PqXZA-cOyGcKbNk_qlBG7llrRj2avHurKAYsf-de4Kpum=w1200|https://lh3.googleusercontent.com/pw/AP1GczM2flEe8lNJdAW2s-Jk6ITZi8L9Jvi-gFUSskRtPrS1LjC_zlGaQyuTDZkU9yDoiTvH9S4ojLFIzE6zTLyRGek1JvcyuF9oegzSTnuNXhe7zRqt0t7h=w1200|https://lh3.googleusercontent.com/pw/AP1GczMb8TCn5tFQktanl5kpxAlcBs4xFRkv2X75RM4mxBcySKrnsrnQOHvgnD0UbcF3TZxc_6mkh_Sy7cfARgXozl24stSt4wblmP9xh55Mbasr5FvOW4Ra=w1200|https://lh3.googleusercontent.com/pw/AP1GczPg-UwKgXEk26hkfFdKtWURNnbDvv9-hUaaSsVM3cMYdF4xMZJLhmblksIXXdf8PxDPZpJ5CDZRD29FOFD137DXG8g9a99tNtGkkKEAOYvOnvLebHna=w1200|https://lh3.googleusercontent.com/pw/AP1GczOE_wbKGYNayg_tnpoWl7z80-C2WlD51Hd6llWnvXQ91JjNa9kUx13Lw1UT_FxpHSMG5EWgielbGgZUZfL4IOjUTJVQ8cXAQX06BcoGzCd_Nc4sPXax=w1200|https://lh3.googleusercontent.com/pw/AP1GczNk_V-G6S1nEnwCqndZipIvkg9zzUG9ARa-zn6I9FcZ19QDfEMOAe0ct3lTrdcMevxDDxLH4gwsgOaNich8WLs3dXs2NcVM-imkO84oEPwHXGJMTFhH=w1200|https://lh3.googleusercontent.com/pw/AP1GczPAdhfJA24zdU9Rer35v9aabssr9cWszebjtgssVMN5KsD43RCAPs2vJvGEfGDWqOxyE4HT7HQIF0yALVu7B0qM5KxCcsIjHwB8tr9k57Jv-KK83PTp=w1200|https://lh3.googleusercontent.com/pw/AP1GczPdh1Ov8zuos1JAvZuBqxVgZDJJch94iBAuOPTwpcPxgvNp-OUQbVMaXtCBXf4OSj3tYf8dwgGOojohHeexXULupzOrVjp0ZQ1FMHXek4LZfaw8zRiJ=w1200|https://lh3.googleusercontent.com/pw/AP1GczPJZwplm9G05xpjqyKl1LdPj3pkMeKfr7KQ_aqgL0CvWw7YIfgOMQVQ9SIMtO8srQx9ffM7cB3WaapZ1AKXnkVJqnHe7EipaWcl9kLYrSrSIkUNpZk5=w1200|https://lh3.googleusercontent.com/pw/AP1GczP6Qso7RUPxxTBHuU2H3U6fUhwFfHHRfBR1i9EC2b2eBDs1fZ0fq_NAqaeUGc_U_IohzBZLfbv6Fwsm4-P1Az1fRt3KXnd14XiilIMzqbflm25oOCja=w1200|https://lh3.googleusercontent.com/pw/AP1GczNYMYNbF64qwjadkVPijJ6FVScwFlkyjJUi2geWtmMDwgdblpuUm-le_ydMqfQG95qKkIERYTuEd3bK_qaZvgP1q6gFvu_hp-teuxhhb0Ld3KIexk7a=w1200|https://lh3.googleusercontent.com/pw/AP1GczN7e3U9VjioFu2pJxBFqrSJJzrz19gPmaMfypDrL5SBw-KSSg_NmIIFKMQHt0UZKTyuq6pnb-ntHqFGhx2kVW7jlwygaNrWFf5NtjuSGXhCyPaG0RDJ=w1200|https://lh3.googleusercontent.com/pw/AP1GczPzDGBQGuevA_FhFbUV6s69UKA31FG32zBOQNYtCkUJ-QIxzqjy7VEt7yFBynWnVWm86d1LiMrDV7dhGxD57vLGdgl9BjTcKErArqp6e5dT14XsusUh=w1200|https://lh3.googleusercontent.com/pw/AP1GczOWjvmi1ynv8JBRg8UudkbrbeZdrCnBlhmYGJb9uV8XJtY3CEae-6RHEsojLcXAURYYBq6dU8zFXGyG9NMbNjq-U2-eFA8WzFUXSRlVXOJA3sv2Okki=w1200|https://lh3.googleusercontent.com/pw/AP1GczMx5a6WakFqVTAQ4SQjoTSGcQjY_XXXNYr9S-Ww04udIm81OA3JZkO840ISTRVCe4GZlslxByE2Lk13ETdKBIST_5Xz3_mYV1SFYTUvQqQqxgR6t8nI=w1200</t>
  </si>
  <si>
    <t>526</t>
  </si>
  <si>
    <t>https://photos.app.goo.gl/1R5eGbBHeGTXTr1u9</t>
  </si>
  <si>
    <t>Esta imponente casa de tres niveles en estrato 4, ubicada en el exclusivo sector de Villa Café, destaca por su diseño de vanguardia con pisos en porcelanato pulido de gran formato y muros con acabados impecables en estuco texturizado. Con una generosa área construida de 160 m² estructurada para el máximo confort, la propiedad cuenta con un total de 4 amplias habitaciones equipadas con armarios empotrados de madera fina y 4 baños de diseño contemporáneo con grifería de lujo y divisiones en vidrio templado. El primer nivel dispone de un garaje privado cubierto con portón eléctrico, sala y comedor en ambientes independientes muy bien iluminados, un baño social y una espectacular cocina integral abierta tipo americana con mesón de granito, estufa y campana empotradas, y amplios muebles de almacenamiento flotantes, la cual conecta a un patio interior con zona de ropas independiente.</t>
  </si>
  <si>
    <t>Situada en el prestigioso barrio Villa Café, una de las zonas de mayor valorización, seguridad y frescura de la ciudad, esta residencia ofrece un estatus inigualable y un entorno puramente residencial. Su ubicación estratégica garantiza una conectividad óptima, encontrándose a solo pasos de los principales centros comerciales, universidades de primer nivel, restaurantes exclusivos y vías de acceso rápido. Al contar con amplios espacios distribuidos en tres niveles, una óptima iluminación natural en cada rincón y acabados de gama alta listos para disfrutar, esta casa representa la oportunidad perfecta de inversión inmediata para familias exigentes que buscan mudarse ya y asegurar una calidad de vida superior.</t>
  </si>
  <si>
    <t>https://lh3.googleusercontent.com/pw/AP1GczMICXFKZ_iwNeExhxo2brQcAoBXDHKSHGAUba0TY1be6h8Tqqec5OK5InveGkN0TDexKweRB-1T1KCb6qvwixrvA3z7WlwBU_v11RovNA55DA0cZ_qn=w1200|https://lh3.googleusercontent.com/pw/AP1GczPpHrVigr1_YQ9QDw0VY_f68wPCOrDSPVJknJJTlZyvNrnTyZtsL0ZklU5uvNn3KykqN2DhoH-VMAMgaU8qAFsgU4TtnXAfjib3iyQXQFePdkE8CaL9=w1200|https://lh3.googleusercontent.com/pw/AP1GczNGyeXJmIu1ThYnHDrhW-LGYKYfJsdE-krhLki_3JKcrT03g2a1COjOkFoMXj7xX3o4_uCz0MKMy84H8eb7eoiQuh7BkTNysCy8XKlEhyhiT9MMgJNa=w1200|https://lh3.googleusercontent.com/pw/AP1GczMzxkPRvuHBgieNSf36VxYBWMV9rClvDC2tiD7LC8vLO40ku62HGGO9Ugjm1LwOd31T9suEBhOBydGv4Qc0PACGhuoeB11hzqH3Wf01dAwxHTdV_iLF=w1200|https://lh3.googleusercontent.com/pw/AP1GczNewHEnVZ_zrq7GS8xE1E51F9OtdmjedM0pnJA-C9_I_TkLZm2C44WR7M7wdnobBzsJKnY6EQpV3vquWLonKV7H2mXPc5jmmwDwRjtZTPcK7MjAoKv8=w1200|https://lh3.googleusercontent.com/pw/AP1GczOSFqM1BokdfMwfyetytdAZVNpKUSYreUSjHm0fhTdrFcT0WMLB8xnPgBmTB_8NE7rfjsmJhiDBe7P3Go2Kuesx7IdJ2NVtONWRfYFek87yyK74OFFH=w1200|https://lh3.googleusercontent.com/pw/AP1GczNKV3plvTgb48N3_TUwFx5rEF2Cy4pFuXbOOFTYR90zLlGupQjXRSV_bcTFeGxRJl00L37WbAWF62Lfn5MUnGQD8_eGbtL7zS95m5LIrYchjsKwLfEi=w1200|https://lh3.googleusercontent.com/pw/AP1GczNBYeRYIVPu43MOSjQf_GdiJ179sM_lC5zJTASgjpOWOH4jioObx8PYJuZisd4Faa38cHOKsjAk3gPdZweWBXo9XNacu1Dyob_w5jYwlSAW7R_H_jsv=w1200|https://lh3.googleusercontent.com/pw/AP1GczMiiwtfSbuumQmVTvg7vDcU3ZqlTQP2J7KCF-Tuj2ElHacGrzOhk-U7onSgjIVmhDRq8TB6s4VM1I8wkJHz145xceTeLyOAthyEAsR_yY18ONNmIXQx=w1200</t>
  </si>
  <si>
    <t>493</t>
  </si>
  <si>
    <t>Casa en conjunto Campo Real - Oriente</t>
  </si>
  <si>
    <t xml:space="preserve">Conjunto Campo Real </t>
  </si>
  <si>
    <t>https://photos.app.goo.gl/RtLpwQCXRfv4edYK6</t>
  </si>
  <si>
    <t>La zona privada se despliega en el segundo piso, el cual alberga un hall de alcobas, un baño auxiliar y 3 cómodas habitaciones con clóset, incluyendo la principal con baño privado. Un gran atractivo de este nivel es su altillo, un espacio versátil perfecto para adecuarse como estudio u oficina. Al formar parte de un conjunto cerrado de solo 30 casas, los residentes disfrutan de total privacidad, vigilancia 24 horas y excelentes zonas sociales que incluyen piscina, kiosco para eventos y zona de juegos, todo a pocos minutos de colegios, centros comerciales y clínicas.</t>
  </si>
  <si>
    <t>Esta hermosa casa de dos niveles y $75\text{ Mt}^2$, ubicada en el estrato 4 de la zona Oriente de Neiva, ofrece un diseño acogedor y funcional dentro del exclusivo Conjunto Campo Real. El primer nivel destaca por un recibidor con pisos de mármol claro pulido, una sala de TV con una moderna pared decorativa en relieve 3D, un comedor independiente y una cocina integral equipada con gabinetes blancos. Adicionalmente, este piso cuenta con un baño auxiliar, cuarto de san alejo, patio de ropas, un amplio patio exterior ideal para el descanso y un parqueadero techado para un vehículo.</t>
  </si>
  <si>
    <t>https://lh3.googleusercontent.com/pw/AP1GczMZ-HZ9MSCGUlFBDAf_Z_qtjFW8gakbRQ3NrTZOUr0iZ_R0dRVkJdQs_dJBoH30BMrplSzjdKaz770-_QAeCbGnwEVaWAG9oe7TOZTqTqoFSkJRdS5e=w1200|https://lh3.googleusercontent.com/pw/AP1GczOlNs5aEwaTt1gOkI3KHp4ImfAzPhb0LHHI0DNrx_d5A8qxbcqHLJmTsPj4scRB30x584b3bYsJL3hzLup5V3s9BtRv3qyOxwA623_suDrJKJfjpo36=w1200|https://lh3.googleusercontent.com/pw/AP1GczNCJpKUvPjeZPzE6fUYuwINM799ud0IV3Mou-JJjk--O5etEVWy3x97E5p1FmAUncL1LcFXcvatwOOtqW-5U56iesif3hsAekY1Gq8srwoHe3eQ4e1O=w1200|https://lh3.googleusercontent.com/pw/AP1GczMNfAZHkauJMo-8_6Y6P5s3irNbKxJJf47d9qMjSxGnphl2pdg1UYEvRLKwFd0qofHMmGj5Q4QeL9AYYeyXjyqktUgqj1ttyXuDLVfE9fhtrvkzMeV1=w1200|https://lh3.googleusercontent.com/pw/AP1GczMu_38iO_xgnzqjry7Mfb7L4IBacoCFJ-ULs1mFuhEoS0Zd8KUnMqgtMfzVfpflVtnFpUTY7EcL8qmsQNyWWRdP9pAtoUeJ6jC1OnHi9e06MY6l30Wn=w1200|https://lh3.googleusercontent.com/pw/AP1GczPF-qHRPdCVs-_O1RTDdWuxPt-Wdv39PDYAwPmGgF4odEpIDLAPFAVOhykqVXFe9R28JQsEwklYWWafU_BfmUW1PvgUzZ_uvrYvgufnzVPpYewzvRgE=w1200|https://lh3.googleusercontent.com/pw/AP1GczM5B_4ddvn1Fk8412BYaXtubWXxmViPm1qb6fhwfmWrwdKj3zflN56MROlnYOrw4rAW1r-NeTtzIIlC8AjpuoEZhoZyxx_ZBjjOJ7UtQZ_N74ZcmeiT=w1200|https://lh3.googleusercontent.com/pw/AP1GczP2BihJShUDc9IaOYjLc_F5F0ZRf6FJYttX2XE3NOUtMtsxBZRn5T4gD_QHChB3UjCFHnpzTCJQ0LyqBTD306WR-TGc2ndYgvyU6Y4MV3MlYH1xyDZP=w1200|https://lh3.googleusercontent.com/pw/AP1GczNa2LRS67cILy6GJuXBip8nLYT_8tg9Mp6m9cdB4jAdX0F5Q-PDZd2ipXfcbpD-82pTmclpitHMQU6xJsuTGWnAN9oq-QxSQhOSzOfy2PribxKNkDuW=w1200|https://lh3.googleusercontent.com/pw/AP1GczP9D8ap6i9YQLTBmxFuF8U_CHaGcUkEkk7bC8YiJ5DUI-qkJBQ1snpnbBA5ILasyPby8qZ_OLNinyDMAKcZVYZVCgmGW-6UPa70qpiAsNfrahqkgoYi=w1200</t>
  </si>
  <si>
    <t>1276</t>
  </si>
  <si>
    <t>Casa en conjunto Residencial Los Rosales - Norte</t>
  </si>
  <si>
    <t>https://photos.app.goo.gl/5CsgGSzRbqNyijVZ7</t>
  </si>
  <si>
    <t>Casa de dos plantas en conjunto residencial ubicado en la zona norte de la ciudad, que consta de sala comedor, baño social, balcón con zona verde, patio interno techado, cocina integral, patio de ropas con zona de lavandería, habitación principal con baño privado y closet, segundo piso hall de alcobas, baño auxiliar, dos habitaciones con closet, parqueadero privado. Admón. $360.000 (2025). Estrato 4, canchas, piscina adulto y niños, jacuzzi, bbq, salón social, gym, parque infantil, parqueadero visitantes, supermercado, amplias zonas verdes y vigilancia las 24 horas.</t>
  </si>
  <si>
    <t>Cuenta con buena ubicación y Acabados.</t>
  </si>
  <si>
    <t>https://lh3.googleusercontent.com/pw/AP1GczMgyUkT7EDJK6i2GvFMy2AW6KraqyQ2gy0rZf0vG39incPqEDbMV13nnhGTmVo4zpBkVVVMaWSQTDt9dp0_Jc_rO13B2Wx-WidTHx0WjWrezb8UHxqc=w1200|https://lh3.googleusercontent.com/pw/AP1GczNwgDokCl9tXtECssQqsKYd6Crer2HfIelwdvPW4GuW6MA8ccxbvYPP6LDm9e1Bzxn_msZuH3xzD-5Y38HxqBSAifL6VSI7_MN1In-foxjetSqfZn0D=w1200|https://lh3.googleusercontent.com/pw/AP1GczNE_X_yqfr7mNDz2-ZhZJdZAsydmFQIONiWstaxGqZFWTApUj-cWM5R_pFdN6VMnuOzLrtez_gPa-jbVNNTLD0LM4WyG0rMVXgXXN-e338gEeRFJ5JP=w1200|https://lh3.googleusercontent.com/pw/AP1GczP5j0XcouY5lu5Fsf-X26-C3HVLgK_C31ypo5nEcWIOyiwaGgNnwYPqQonOMTAw60UVvS0VWTeN2shQPdYDuWGjeV1oREv9Wtsw4i71jLCZhlWPge7Z=w1200|https://lh3.googleusercontent.com/pw/AP1GczMcYXw40CwZZvBwti_Ng1rfxFfE2L-uPv9hSuGdhZvsKJlJSzWtgWz66XZNUci7cnAM8lKdWLdfJyLdQgFFVvH94E35QX2WgrgHb8jfc-pdYMnibijR=w1200|https://lh3.googleusercontent.com/pw/AP1GczOv08VkG5ry7YGGrn1-RaWgZ6qbN8j9UTdnBA8IX0WIh4cs7wsLAiYuUHr-QXGrfUQe-5qVO79QrQiOjQY9psP7ofQtjhvWskRpVI7V7Dxsooa-k5L4=w1200|https://lh3.googleusercontent.com/pw/AP1GczNa6R9u9Pm6uMDjUEQVFeIK7bNLnvEAjW1rHfrdEWAhI1VU3LjuzX3d0W8QVE1XXIntz4bs2e07FFRRXs_LFYB1bToTJlc4bkCWSGZNW5G4uBPeUFed=w1200|https://lh3.googleusercontent.com/pw/AP1GczO31Cs_rSkOoEO97mkjkdJvZF_OuvFNejATcc84ArJEfKOpoTFfIaX8NDIOPShdba_ASAIE_WfPLrigQhDcVS0bT43tJr0ZVC30TMxL86m-MoeGQ5MQ=w1200|https://lh3.googleusercontent.com/pw/AP1GczOwQq-sIp9x05Twbtxj1BT8uL4lhDSW2emFjQfGfRHgHcmp0yTjZjiakquz-ncSS8aSHeACfLHLoE6llU4tO9nFlh7dTWS5wq5oaL1YreqUjI43Vzrc=w1200|https://lh3.googleusercontent.com/pw/AP1GczO-1fqfTDjBpujj5xbBWddyGY_7SpKQX9UZ0LC2UTUNeSdWl4nZ_6JI4L4jv8RNDAsHqpYcJwWxBxsTCnb94dAFklLopXWoB5vhJDKtGAZhDuvvkMEg=w1200|https://lh3.googleusercontent.com/pw/AP1GczPwnfSC3d9MyW_EtRZsHn3E94TieU62kfplia7xQ2haDexlg89Qt4k2-ImS1Zm2zgHY-t5vcAqj-KrCgK3YNBg8CGhA-rSaq8WeoFnqp3ZBp9qrfaQI=w1200|https://lh3.googleusercontent.com/pw/AP1GczNWt5Mmdk1N1keWfye-jSxbi3givKJUuWxtJV_mhqamvs34xjL02yDoPExGv7e2XJ46TEonLLDfpw00rqXvBnSvKWY1OZHdDQIhUsLHduHjzNK6cSt6=w1200|https://lh3.googleusercontent.com/pw/AP1GczN37uO3zXwsN6M1K4obWOGeBlwEdvRALUnuv24dsJZnxCJVCwXxnJKuL8fmbY1LwVbdqeNUR8TpWdHVlWqMUwtGLPkZLf0zwyPvnoMtPTrqcd-cN_W8=w1200|https://lh3.googleusercontent.com/pw/AP1GczMIlLhA84Jx9fES1WyKlnIeJrpcse6X7vPQEayNUhLcmM1Ni5x52dQfhxha7mO6QGMHNfBaOyLg4dKFD8FKfBZQKfYyO0VxSWaKi-B7U5w4GRtpz7bi=w1200|https://lh3.googleusercontent.com/pw/AP1GczMYCLgBDN-r7Qx3eFFu7mV4ch2Jwh8advGw7hLdolt9AXyBK2C9yIA7E8ZmDjCA49WWVtOd6uCQNeI6G5YnXGtpPPKvhsPGhwqKM2XIBLTS95b5dkuD=w1200|https://lh3.googleusercontent.com/pw/AP1GczNiC43VChnWP5Vq8IkekXD-NJVRjKWHvRBzmE5s7UEV-bJnJhmhvSSC9EFeHSR0CB5Ms8Sdx6YTX_JGPtvRY2H5vGnXz0oeyf1JyYNXpOm7sxyRZBqe=w1200|https://lh3.googleusercontent.com/pw/AP1GczMjSlN_3XKfHRIyvgAActMwy9Y7i1LsDGWd9BMcx7OoGTD8PisVik9c_KY0zSku8tcMB28Ka_q6iBNMvUkx0enLoBKSdYGMJRhGxLQh43lmrzipBo-P=w1200|https://lh3.googleusercontent.com/pw/AP1GczOr1pSyOPd5OEVLY83jA5CEO43pV_eXWFeBVmiJo9tbnw5Q-RcKDuasQYTepuCJjkLPgW8f4gkOagIc34gGoV7z_rola3gE8SGbFdHz8qwsJEjRgB_6=w1200</t>
  </si>
  <si>
    <t>875</t>
  </si>
  <si>
    <t>Casa en barrio Santa Sofía - Norte</t>
  </si>
  <si>
    <t>Santa Sofía</t>
  </si>
  <si>
    <t>https://photos.app.goo.gl/2yy7eYWraLttWx2g6</t>
  </si>
  <si>
    <t>Esta espectacular casa en estrato 4, ubicada en el exclusivo barrio Santa Sofía, destaca por sus excelentes acabados, luminosidad natural y un diseño impecable con pisos en porcelanato y muros con texturas pulidas en yeso. Dispone de un área de $120\text{ m}^2$ excelentemente distribuida que alberga 3 amplias habitaciones con clósets empotrados en madera de piso a techo, 2 baños modernos con divisiones en vidrio templado y grifería de alta gama, y un cómodo garaje privado. La zona social se compone de una sala-comedor conectada de forma fluida a un patio interior o terraza, junto a una cocina integral totalmente equipada con mesón de granito, estufa empotrada, amplios muebles superiores e inferiores, y un área de ropas independiente con ventilación natural.</t>
  </si>
  <si>
    <t>Situada en el barrio Santa Sofía, una de las zonas de mayor valorización, seguridad y frescura de la ciudad, este inmueble ofrece el equilibrio perfecto entre confort y un estilo de vida selecto. Su estratégica cercanía a importantes centros comerciales, universidades, restaurantes y vías principales garantiza una conectividad inigualable para toda la familia en un entorno tranquilo y residencial. La excelente distribución de la casa y la comodidad de su garaje privado la convierten en una oportunidad única de inversión inmediata para quienes buscan un hogar listo para disfrutar desde el primer momento.</t>
  </si>
  <si>
    <t>https://lh3.googleusercontent.com/pw/AP1GczMDgVWvYGDNs01QZormv7CQK3O6ZOJHSjY9k8-jH_OYSTqCsHIAJ13TAoBk6vy3zzxo01Od-G4r6IRgh7L_hY46D8VjT438XV-RV3465Qrixz0k1-HU=w1200|https://lh3.googleusercontent.com/pw/AP1GczO4wmUIOsGuIHp2GxAYs0VNTHvRExZlJLVv4vFYYSDXr0qZ4ci1daH24BqhzPOM3-5fEfU_65nVBkiuXYUiNrC2ii00MK1f2C3xI-khOmZYO44nicVH=w1200|https://lh3.googleusercontent.com/pw/AP1GczNmle8cl1mDgy8teBiChOBqc7oUuvpqB-UUXVUP1na-JkLI37koQnHTL_93rT5QYLXCvazA8PU9ErtbX4ldKQKgCyhsEf6MSvztf1VzrMGMGlOf19Pf=w1200|https://lh3.googleusercontent.com/pw/AP1GczP8ibDaj0X-exC5vtsU2L5NivSfRNjmg4oxz8ohh4T9btaVliNGRlQQvoRfi8nVNlgET1UXVutB9_ZiAdRQ_djSA5cBmwD2usE1p3uDahy86zQ8fZu2=w1200|https://lh3.googleusercontent.com/pw/AP1GczNvH0Alh3d5FsteYJvco1NAIiHAYzAqzCEtlS8w5zyUpS9mJMwmidAxcqwHmDtN0n8DO9L6LxBI2ddc0nyenDVcIE_BgZgY0TlDfQHHR_SjgiDNH5vu=w1200|https://lh3.googleusercontent.com/pw/AP1GczP8AqP0ac7Oe2ebmmoa65MB70DtNQd6wAlduuX2UYrx-dENGfjKeOkEJxTIafIaaVx_VHHP93srUfWb3S1hOeGngeSwsmpYTdXfH_0G2YxwDl4aA7zM=w1200|https://lh3.googleusercontent.com/pw/AP1GczOHGc6z8siJYjEie06ffT8h6UWs4q8bPtOhNGIPZZih0-3M4xeRfLqAW11KiGJpP0sISjNJ6XA4-I-lGtJWKPx8l-gyVoGfS63gxoWIcZJymi-pFmAW=w1200|https://lh3.googleusercontent.com/pw/AP1GczNkvReWplfdzR6-hH0L6v_S8dp6wscwuOXVF4ANvlo8PMg9Rh4fJE0yhv8ZSYVT1RX4i_FDcemvfNiMN_tb3WwhlGFxuFxcIOTtITk1x2XLvy3Ptm6E=w1200|https://lh3.googleusercontent.com/pw/AP1GczNW-X_PEi13tG2tjsHzAtyCgK5hgVPRmihnlSeO7HfDVsy0wLXOYla4BMrIyi258riJ8j7_MUQ7oidtGzZUz1p1PyOO4OXNxOdKj3j-tNUhlMmISfqq=w1200|https://lh3.googleusercontent.com/pw/AP1GczMXITXCK-eUu2W9sqkRLBNaFMnHsukOWRVrGWYSKDEuL9N1tytArbzFl-Mx4wFFQLaIkF70VGzWFHdZDbUzc2dvTL1YoBN0wh7jnRFsIgMCq75vvyiZ=w1200|https://lh3.googleusercontent.com/pw/AP1GczOigH3cR88w7FuxSZzVZ6eZz-UDzOHCHYwf19ZV6nNF8LjRKzeE9uJ6iMJBn1GaK36PhOZyFkZpszBMccLDGVai4Ejj9SeRUgPL2gn0kXtN8YB0pzb5=w1200</t>
  </si>
  <si>
    <t>1325</t>
  </si>
  <si>
    <t>Casa en barrio Primavera de Buganviles - Oriente</t>
  </si>
  <si>
    <t>https://photos.app.goo.gl/sNxAXUx4t3MKcYK96</t>
  </si>
  <si>
    <t>Cuenta con sala y comedor independientes, baño social, cocina integral, parqueadero y tres habitaciones, incluida la principal con baño privado, además de baño auxiliar.</t>
  </si>
  <si>
    <t>Casa de dos pisos ubicada en la zona oriente de la ciudad, en el sector Primavera de Buganvíles. Inmueble en estrato 3, ideal para quienes buscan comodidad y excelente ubicación.</t>
  </si>
  <si>
    <t>https://lh3.googleusercontent.com/pw/AP1GczOUj1FDc9cs1Ftj2fWfoWCsAfqnPsjr3IIRI6Oyn64OX_pW9ejCgRDFK9VSiekD3Bjx5X819-vkMx-mobvP3HmagvYKH5jkv3Ol-h7LvqTa5HBkzluf=w1200|https://lh3.googleusercontent.com/pw/AP1GczMx1t0fu-ioQm4hQh-S7CMXPX_u3HNwVPVqOcUvUsGGsYylcXeF3f23w8HCeEFAPswTRdlxuUgFEaMGYQ9V_LazOh3WSS_lPj33hkgObs8tl1bO5EwA=w1200|https://lh3.googleusercontent.com/pw/AP1GczPwUHlxTNwQtShsKnpKvdQXNtm2cTcc99x0gSc3cIfbn25X17odh9dxlJQa6Fimw46mtT6CttE6pM2TWO2sfnoijEt3ZEmf9PMGL4IgfAPjKc546HZk=w1200|https://lh3.googleusercontent.com/pw/AP1GczMNw6XLC2YXz8dSq23YNoJrQ4DVHpXSreuIT-n4TepUHvlf5dBWT4ro9vtsHL337FtITiPNaOVaLhEgpcQK9dmAdtvdbKji_DJGatkE1deq9oTgFUpS=w1200|https://lh3.googleusercontent.com/pw/AP1GczMqRCCAdWLEram0SGYPcJrz9-x8-DakxebOI_6ufDlWEhgZ6PeVOH__XYQfpVWPGd5qUUKCfyHReSOshHFIycLXWm5y7UJaq-qSHX2y29Ctp1sNPFik=w1200|https://lh3.googleusercontent.com/pw/AP1GczPYCUzJzurGeiiNgMqCPsNJdhGl2XROMVIqa0ZpTxcDl0-a0gXNxczR65wFP0o8w8KBz6rdIEBmgzN5v-mGYDeA0vsoA0XS5EuTtjmks64kpNMizFXv=w1200|https://lh3.googleusercontent.com/pw/AP1GczNhVQm9KCg6e24Jjij8F_mGI6toWWDfvV4ULhkbwCEU1d2EL8-I_kv3aT7Gg1Yln13Zh6qUPMX0nz7t-DlvNUIHckArcGhDaXrdZt82Gal1-iqwPGGT=w1200|https://lh3.googleusercontent.com/pw/AP1GczNGo7ijLvyf8MIeIPa-kWgCPmTfaruS-jAuZbU-fDYnSiQk8A-X1hWnw7DEVtW7KtwmN9tMOG9DHA-BtfoyPUTBw5_e9FFSpxEiPR00et24qlDjzgJK=w1200|https://lh3.googleusercontent.com/pw/AP1GczNWWmylkRp_bUiqaLzlO7dFXcdZY4KFN-m905mk9fP51YhDUnjn6O6Mh92DVzFOjv738zE_5U7hRVzZxBfNw7wkQMgCSdsyB2vWNjw1K28sRCW454I6=w1200|https://lh3.googleusercontent.com/pw/AP1GczNuVaYq_G3Rfvv-sIINDA8-SBgeg0mfsB7K4-fwZsbZt9p7YrK9E4rfIiMHd9G7HXprKYFYopFGQTu4beK73J90iHpwzqNejYAd-T4slQ4zWwegfe3t=w1200|https://lh3.googleusercontent.com/pw/AP1GczNf1cQGPMzVwzZIx-dYKvVH_-bgHEAakWByflcxMFbxRmyg1nUtK4u9AS6GMy107LYkD0lyFvP2C4hKa4LXdsneJwdu9mLVqmBBwRHZtX5NbY1x1TTj=w1200|https://lh3.googleusercontent.com/pw/AP1GczMkUGaYM8KnW3TFt33bBZflu7-wFxrIUPV6Ey8Wi5T0MVAslik5Yq2lMPsLtpRaSfXMlUpxo19CcNNLH9tVeeRAde3td6cQVtkMrowu6vzjIU3YDGNa=w1200|https://lh3.googleusercontent.com/pw/AP1GczPgBMd85JVqMuShY9Hvvcrum6gjWrCZwxfVOJ32Gqh9gw5nnopg2ikEzfe-DM7-RKpGQnQPUS_uaVaI1Lg38sLNIup9JNOXCyO7wFn0QGV3ULkSE3-P=w1200|https://lh3.googleusercontent.com/pw/AP1GczMalogWRYlU49XQaRcMlgoXkaxwSUv1_ZBGqJ1JFg3KL6Kbke9rwzvD6zfWPFGpUcGmsDYLPY76tGMFsXJr9QCQmtN9AWH_UIGpLAQwjFicW7nkm3d8=w1200</t>
  </si>
  <si>
    <t>400</t>
  </si>
  <si>
    <t>Lote campestre en conjunto Condominio Rincón Campestre - Rivera</t>
  </si>
  <si>
    <t>Conjunto Condominio Rincón Campestre</t>
  </si>
  <si>
    <t>https://photos.app.goo.gl/bJHfGtCcuMemsEoc6</t>
  </si>
  <si>
    <t>Excelente oportunidad de inversión inmobiliaria mediante la venta de un lote en el Condominio Rincón Campestre, una zona caracterizada por su alta valorización, crecimiento constante, fácil acceso y cercanía a vías principales. La propiedad cuenta con un área total de $950\text{ m}^2$, se encuentra completamente urbanizada y dispone de servicios públicos, lo que facilita el inicio inmediato de cualquier construcción. Además, se destaca que está ubicado dentro de un conjunto cerrado y que el pago de la administración incluye el servicio de acueducto, lo cual resulta ideal para desarrollar un proyecto familiar o una vivienda campestre.</t>
  </si>
  <si>
    <t>Este exclusivo condominio ofrece un ambiente seguro y rodeado de naturaleza con diversas zonas comunes diseñadas especialmente para el descanso y la recreación. Entre los atractivos principales del conjunto se mencionan amplias zonas verdes, una zona BBQ para reuniones, canchas de microfútbol para actividades deportivas y un salón social. En definitiva, el documento enfatiza que invertir en este terreno garantiza una alta valorización del sector, permitiendo disfrutar de un entorno natural y tranquilo con todas las comodidades necesarias.</t>
  </si>
  <si>
    <t>https://lh3.googleusercontent.com/pw/AP1GczPB5RGW3jteRY0FsUoECEzVLY8oKOnc8hfYPcvSg9KNflvreNKqYixsr8_UKPjsrzelUOXV4cP_6UPdpbst4zricBFMtu2U2xxpYh9heoCXqJcI-1zV=w1200|https://lh3.googleusercontent.com/pw/AP1GczOdoGn_AWupOquh_VHfoC8oW1NJF5AQR0PSstGDA6lN_Z6wX_yQA5Dch6i1M5yx_UiAmtY45i8M5APY1C8bpDrV0HoaIb4Q2WT3L_TdPLuXED3qsOAF=w1200|https://lh3.googleusercontent.com/pw/AP1GczPkMP6iuiviglqGhR80-wJWmCPwigXg2-5qgNHfDBMuw76ivYPcms2PmXfEd0Fi21cT-wveiiij9aFqccjcumCAht-Qq8j2LrOzVgWvDRvgr0O7FVLm=w1200|https://lh3.googleusercontent.com/pw/AP1GczP2Sq3tjnEBR8kfC-PNDnqIGUfgFBxmLtAtJaU0-W5ipMX9qCWXkFCTxAfMjs2rlgzKBp_h4NxcCNN58z70vMtdOJLcZbKFw13lcBBIirahZz5yPJiQ=w1200|https://lh3.googleusercontent.com/pw/AP1GczNQmYUIPPCRK2wCM6INEtM9FP_pj5Fs7B-7dNCLrtrSGN8aT98ErZcgko6GJNDncwcyXTfj7sx4hhI3ppyUiVT_36l3tZwS4CkJiGekJgtwdgTfvutF=w1200|https://lh3.googleusercontent.com/pw/AP1GczOKs95a4E4Oy_4LdRKQOiLwEyU2gX8U3dbl24eZRZiiTb-ayRO130TfykL54cS3xE6FFc7kCP1NLE78Zs9KDgSrwAnMq6JqekQTlKX8sKubPGMZ4go3=w1200|https://lh3.googleusercontent.com/pw/AP1GczPoZAG86e-tKONveOJEFzJCNhWE6ENo9_NMrZF-SI0WVpg6EVEe_ScU7f9-3-CGDzSvNFEvyobc5m7OB7wLTUGO_iTHonFBoO_Uf7MtiUEaWWVOGcPH=w1200|https://lh3.googleusercontent.com/pw/AP1GczOKG2gxHE254EEHJ5dK_Gb1eUbL_5SllQbtlJCH2CDOsQ1Ke-UcgQgdDMW3y3M-TarT38TjQ_TEEAh5uqsFD-j4ydah8FmznoBER-NVe9qlC7IoQ-t4=w1200</t>
  </si>
  <si>
    <t>1373</t>
  </si>
  <si>
    <t xml:space="preserve">Casa con apartamento en barrio Prado Norte </t>
  </si>
  <si>
    <t>https://photos.app.goo.gl/c8AvcMzASdTyyyHv7</t>
  </si>
  <si>
    <t>Esta excelente casa de estrato 2, ubicada en la zona Norte de Neiva, cuenta con un área total y construida de 120 m² distribuidos estratégicamente para albergar 2 apartamentos totalmente independientes. En el diseño interior de sus áreas sociales destacan los pisos de cerámica con texturas geométricas claras y techos con un elegante acabado en machimbre de madera pulida que aporta calidez, acompañados por muros blancos bien iluminados. Cada apartamento dispone de una cómoda sala-comedor, un patio de ropas independiente con lavadero, 3 habitaciones (para un total de 6 alcobas en la propiedad) y 1 baño con divisiones de aluminio y acrílico esmerilado (sumando 2 baños en todo el inmueble). Asimismo, las cocinas cuentan con un diseño sencillo pero funcional, equipadas con mesones de baldosa clara, salpicaderos enchapados y gabinetes superiores empotrados en tonos oscuros para el almacenamiento. Adicionalmente, la propiedad ofrece un práctico puesto de parqueadero.</t>
  </si>
  <si>
    <t>Esta propiedad representa una oportunidad de inversión insuperable en un sector residencial con excelente demanda habitacional, buen acceso vehicular y múltiples servicios cercanos. Su mayor atractivo radica en la versatilidad de su distribución, la cual le garantiza una posibilidad de doble ingreso mensual inmediato o la alternativa ideal de vivir en un apartamento mientras arrienda el otro para que la propiedad se pague por sí sola. Es la opción perfecta para inversionistas que buscan un activo seguro, con alta rentabilidad desde el primer momento y en una de las zonas con mayor proyección y flujo de la ciudad.</t>
  </si>
  <si>
    <t>https://lh3.googleusercontent.com/pw/AP1GczOW1iUophPMVV7wC5Q0mrBSpfnLpWaQPlq04JBpqoBb4talYUmr7xD21kndnzdZUY6d39JhE11K7Ud4OxKUOb_le8TzKM8Sliy33MfLXHdokgnvdmok=w1200|https://lh3.googleusercontent.com/pw/AP1GczPcTXZqHnUrlnntPM6Q_3MxC_C6cTTnvmI1Ybj9aOShhKFGKj4OcAvjV_Gr6Ulbii5qU_Ls0zeuyVJLN9OxjEamUlHJCfGEyUXC-aX6eMzrIbK0nLLY=w1200|https://lh3.googleusercontent.com/pw/AP1GczPMd6jBr1bmtN3xSFtmGyhdmw9akY30-0k0go4mZsXE2tXBSl8vShm7eIlSjhecDJOCHEplZ3JgclxgY0gahFRa9gtCzrJUDrSL9jPewew9eoTxQ0nu=w1200|https://lh3.googleusercontent.com/pw/AP1GczMUWy6DOHRDvsy1wFyGcfKvKdn-Pib86uc8HdzGM8D7qlkEGXBN_Qkv3dyU02xsi1dUUmZIVm1oWnIxEASGKDJNFIzGPJ37QJlahLnMaAHuv2aywK9W=w1200|https://lh3.googleusercontent.com/pw/AP1GczMRDuLqPkHNk94XKrHRtD1wqFhjAYvcCaT4GaNTVAdVgPfTrp7D5wwGmj23GkychkD5mVsdJcv0SWZM_ecQ4f5pJq7BkAzxz9p2LOtgmw9wSGaPoXuR=w1200|https://lh3.googleusercontent.com/pw/AP1GczNQKLzNjCkRW-f0v-KB3oY0fOu1uTPgh0h44oFpHcJfLfyHTQHmnul-dBMLfGvt2UAXZ2FpKlZZObPxQjlbKnWctdQo7a9l2wbGET3NMV4-ZYZRsngD=w1200|https://lh3.googleusercontent.com/pw/AP1GczOl7Hizrjk6peVtrOvB8In71C-XKiChgUZFDOlH6wZdhy81VG7g2aw7jzukht6rV3c5cM3SXZOGaJKO04rU6eugmgJwCIDa39IQnzQqsAy32hHajxsd=w1200|https://lh3.googleusercontent.com/pw/AP1GczOnfgLJZRimA8uqFsA3YolfjW4478fL1P4tZLz8fTe9fIttSHRclCN5fOZtB1HzgocEWgbIBfZ1V8QzgcgqJQBl-7HH0X3Uw98rrc_jrmjeZK0jYJA5=w1200|https://lh3.googleusercontent.com/pw/AP1GczN5_pfTOz9We9mhbGFAzm8KURSOUzmxnYE5atSdZ1b2oJBGgTPVV4pKdU-TkV1rh8fRuCKUPUnj8XvMiD329MEY7CIMuh69wQN5P_1zpCemhbhO39Ti=w1200|https://lh3.googleusercontent.com/pw/AP1GczO-Mv9SceEshDoGEmAwIDeuFn8fY_UDOLlVyXklM9UsfAV93aOQtNk8tS0ClYil2hbYNdzC-mFvSouQj8Sh6Jg10qV3xupXV8m_IRIFJBF30bMA-pVV=w1200</t>
  </si>
  <si>
    <t>1372</t>
  </si>
  <si>
    <t>Casa en barrio La Trinidad - Norte</t>
  </si>
  <si>
    <t>La Trinidad</t>
  </si>
  <si>
    <t>https://photos.app.goo.gl/vDUBMsLCaDNw2T6YA</t>
  </si>
  <si>
    <t>El primer piso dispone de sala amplia y acogedora, comedor independiente, estudio ideal para home office, cocina integral, baño social y patio trasero completamente techado con alberca y espacio para lavadora. En el segundo piso cuenta con 4 habitaciones con clóset y aire acondicionado, incluyendo la principal con baño privado, además de un baño auxiliar.</t>
  </si>
  <si>
    <t>Casa en venta en el barrio La Trinidad, ubicada en la zona norte, con un área construida de 125 m². En el exterior tiene zona enrejada y techada, pisos en cerámica y parqueadero para 1 vehículo. Estrato 2.</t>
  </si>
  <si>
    <t>https://lh3.googleusercontent.com/pw/AP1GczMoLrEYmUs7x8bDIyhB2Ih7O9b5gLADjhHCvbJDCMUiNL_812RHv34QdEIbAoGelT8Y2ALNmaz_i1rv26T1KE-ndbUol2mGZr_5owzqfTom0abZWTjt=w1200|https://lh3.googleusercontent.com/pw/AP1GczOayl9O0kA3jZnZcYqOaEFhrsb1LDvynhJQDkPyz2EOS8XsRlcG0fN6t0v6zAKlhTjzSQSMcZux0P_RGep2faP_UCB0rDF2rc_w8ta2lM6vetJqdIhL=w1200|https://lh3.googleusercontent.com/pw/AP1GczM1LvhcuniKkOHx8gqBTRlj6g095-Wh4ow3Snl1UUFlS8-2W3v1oyYOfXopJdd3B_VOnUTAfT1e3rDFSiq62kaH0cTHsJOoYLF6oAGtLU_TKjqUt1Kk=w1200|https://lh3.googleusercontent.com/pw/AP1GczNiD2i0G9_qJMVlF95BJTn8CIYZAvYKM2YcH3VcWu5Mb3g2rtzdU3vEbTcJEFBW94uTyd6ZWFfCR5a1JLc2h3f7qQZeZWmKty2jfWlbaqsAG7jvp1fq=w1200|https://lh3.googleusercontent.com/pw/AP1GczNoAXeUY2PdRTcAJztUS1fVIxMqTtbtDPcTu43SDFAFtW9ybZp6h17uDq-bUQAlEpPaa43osBPHPRAggZjubMXDPNivqxTlnGcm0eWkekBaCcxvRVUP=w1200|https://lh3.googleusercontent.com/pw/AP1GczOCJ4PDdTQ-21QjPfbRWvhm2BBlB8WCxdaF0fMimEle6jDwAkh5wxvJ_Sm6QmJJpVRMWe_ycjFBAq5_QnN0ZkV_3aoxObOiot8iOOMsZCLv3PBw-RE7=w1200|https://lh3.googleusercontent.com/pw/AP1GczP34cpn0Z972vJgVaZGAIu83i_nqMaBh1B1gOrsYDNPt043CPJG65EGEPIhxcx8oHH7K0k7ybyxQzEokePYxWeyoU9cwi2liQBXR1oQNFjTzvpFxv0F=w1200|https://lh3.googleusercontent.com/pw/AP1GczMe6Tlk7I0-pVM6r786aQugVBkVP06STe2-i_MAMZoVNrBF6LLOCB21Vp6q60-LfFqiRb9k54ghFV-mgQJrWs2SPTU_1-vUAVo7EPie2r2MtPGcCHTP=w1200|https://lh3.googleusercontent.com/pw/AP1GczNlO0z1lcYOl7ZtLsVyb0uCjv1L5dKLkR3fMVax6BASXzexf4VQowdz4x7ogLZ64qqY7tq2LH2l3f4MFV6cLimXKji9hzxId9dXUlQUveDI1N_vO4h2=w1200|https://lh3.googleusercontent.com/pw/AP1GczMwLvo77_koWFZFKc1qoWLD6_DAl3nbs31GM3FfOCTRHoXdB5g1VzhpvuaO4UUt72tnpR5XpryoaHlMoqhiz9Gag79ucftL3Zu1By2M-QX6HLDjTS2M=w1200|https://lh3.googleusercontent.com/pw/AP1GczMAAflOJ1RwCBnHlS-u0YWlgyhgWzi5iNmxD8PYnRCQYxdRuQwzKXZVKiZPBFojA-gcXzUlkTEOQwxaobielo82Ggq8cp4yXSdxs-7NQ7BnIUUB5rS1=w1200|https://lh3.googleusercontent.com/pw/AP1GczMe6wakyV-BVOh06kdqMmEO5n-UFw3H350BtFBJon3AlUnqgdqPeuBI0DAfmuxg_hu6dluePWzKI06ZJzVS58OtMR3_USp9yX07lv9CaHx5oDfCm0se=w1200|https://lh3.googleusercontent.com/pw/AP1GczPSWYR-irSoTY4JCxvPcOWOgLW5XlNacKH0kQ9N05HqF8NXSXSrRTExX4GyXovLfOEagD_iH8iYz75a9XgdUVVXxVNdEzyuBu9hj7vrJoGfOUrLrem9=w1200|https://lh3.googleusercontent.com/pw/AP1GczPM5Yd-EPuNIMiVz8R_2mgvyq2pqvbd1qKt4pcB7V1KIPmaNSkOCdmWa0yKmABnL4tRUK12dSWFbrPLeNxIRi1kaZWRubr93hKiXEP00JxGImtCVzou=w1200</t>
  </si>
  <si>
    <t>1371</t>
  </si>
  <si>
    <t>Casa en barrio Canaima - Sur</t>
  </si>
  <si>
    <t>https://photos.app.goo.gl/sC7Aj3zSm2WnPzKw8</t>
  </si>
  <si>
    <t>En el primer piso cuenta con garaje enrejado y techado, sala amplia y acogedora, comedor con excelente iluminación natural, cocina integral moderna, baño social y patio de ropas techado con alberca. En el segundo piso dispone de 4 habitaciones, todas con clóset y aire acondicionado, destacando la habitación principal con baño privado y balcón, además de un baño auxiliar. La propiedad tiene pisos en cerámica y ofrece espacios cómodos y funcionales, ideales para la vida familiar.</t>
  </si>
  <si>
    <t>Casa de dos pisos en venta en el barrio Canaima, zona sur de la ciudad, ubicada en estrato 2.</t>
  </si>
  <si>
    <t>https://lh3.googleusercontent.com/pw/AP1GczPHpN6H1e-WDiRN8K1mPPR0ZXDQhyH3uyNggDHpealuIsGKBTklrtfSN8EphaPpFlXCIPVkPyGFArGzK9dUdAaKeWptdeOqgH3gg7hYkrVAjtHfB4pg=w1200|https://lh3.googleusercontent.com/pw/AP1GczMFC5rQnth6D5kurxzahQ2yyD0htXDNiTbkNKnYIOUXR0OpqgUYsNth-Js31i-aVQBfY6_ayE5vQA_xojD1LodMAnpWsob_LXum569oLo9NGJtbtv4H=w1200|https://lh3.googleusercontent.com/pw/AP1GczOQwui60-_Hg9l_HYhKSPly19UMCkkKT9JhZXNpw9ooigcw7gm3Bj3WbXg-_77gSRymQXupeosM_Bsoqw7DQkqUXLoZHDEXJdjJ3bhUZL0xH7gpLUaI=w1200|https://lh3.googleusercontent.com/pw/AP1GczOknABBURUsh0MPehG03TE-u_r8TB4mwmelIZMvrEp0GGsnI1fWEtB4xjIjD0Q_QGDdDgjBH0704iqHvU-fiVNdfynlmwAjDLy2xg_1hmgpRv83utxc=w1200|https://lh3.googleusercontent.com/pw/AP1GczMdnwDHT3Yuowxlq1fYWAdfx7g9bp7a5kWqzCrH4z4qkuPJwbRzo9GISD_BdN1lXLxBsu1laQOKObcel5fq3aRQMY-YJYUQP8IYozWrvHvJxiqH6zrN=w1200|https://lh3.googleusercontent.com/pw/AP1GczPZeIJDi2E1xw9DVMW-SE5b5n9MsaXHQ7ze7joXMGdVGBurxVqUkYDnxUom9YgRDOXQp1oxbVfo1tlW0obHxhmwyZbi_1DKGJ6GEVHYxJ62vWFWEoNz=w1200|https://lh3.googleusercontent.com/pw/AP1GczNI8AQOcpHykBkQLXjEt3h6sM4iNU4FOkpdHkrP1sXAih-sJFMndb4B3Nt8obyLgxnaxB2nJ9Lv48fofJxiAIc48hZhoFInuZGUTwLc60QoABXvAWLr=w1200|https://lh3.googleusercontent.com/pw/AP1GczMI7Zhv8FZTvrtWZeu4iN5navbPhOrWY9CF7Rdx-eXqV6m1sJJrb-V2sfvhNp7yuBYxivy_GtZj9EaeM7Zle2K9sfGaz7oDIomcxizE8a2DTjBsfWaF=w1200|https://lh3.googleusercontent.com/pw/AP1GczNFqvG91Ku1Ds8Vbn48lcXEA5sV8nKHaIwvGWVxkPF7PXEGBz3MMBxKCNzrKz9yNb2CzB0_megtMUCBIWwYyE42nb03HHehQv1H4A_gbk0UCx9rSbAl=w1200|https://lh3.googleusercontent.com/pw/AP1GczNqVNC4onXG90q_zQ9LlVnriATjvtjQlowuvLFqaQ6YkkHltWN5EsZdiEO3u0IduAZjISb5rBYyLLoW5MykW5I6--qjcC8HsQ1fH7MCP1wsMHHMXo2S=w1200|https://lh3.googleusercontent.com/pw/AP1GczNuCqv8qTp43ilYlLMKThYCqAXY006QgQYAqhc2c2PHVmD-nIz8H4Jk1Kz9iEPbufdwNIRk5uCI-BxAdiSwWyjuFChUEa5LdIwJG6PB-4PIo_9lil7T=w1200|https://lh3.googleusercontent.com/pw/AP1GczOZ7dULhbB0YTzRBNwa3hPYyJigTXvx0B_EtcXxSCylfFEXkyR2YDEFOZ5tENolJsxw5E_kfJda4K9Fek5f4zNfJbND9hd62YLtfhWtec1vk9miYoOp=w1200|https://lh3.googleusercontent.com/pw/AP1GczNP05pbru97gKqbniR1br-1CHu8IYJ7kzgERtFOdM8H6oBs8Ss0_0N1RAJXGgnNluXhCtv3j1hA3sdYJ9CTZXKIGe7y0Vmv-A4ytCpWB0fYUhhFaQSd=w1200|https://lh3.googleusercontent.com/pw/AP1GczOXOwxvOjc2Sbcfv8pOH2nzFoviPp_1Jb1Wz8Kko8YFrBy_cTKsucG_mH2r1KI4P0LBw7jOcR14Odk0PH4nKsTP88wyT-x-nqhppjPCRhccStncAgLW=w1200</t>
  </si>
  <si>
    <t>692</t>
  </si>
  <si>
    <t>https://photos.app.goo.gl/WC1ZLi7nswvCExC67</t>
  </si>
  <si>
    <t>Casa ubicada en Andaquies, estrato 2, área 130 mts2. El primer piso consta de sala comedor, baño auxiliar, cocina integral, zona de ropa, habitación. Segundo piso consta de baño auxiliar y dos habitaciones.</t>
  </si>
  <si>
    <t>Casa bien ubicada, con buenos acabados.  Escritura al día.</t>
  </si>
  <si>
    <t>LOS ANDAQUIES</t>
  </si>
  <si>
    <t>https://lh3.googleusercontent.com/pw/AP1GczMxqoMmuJYGQc4ddcTcNjjVFAFgsLnHLMleAhgsmOmw6G9iGTgVEM-U8oe2JRsklq8GaaWDtsjwqa6ftYbVrP4DwHq2l3EbM6-RFbDI8KQFPwS8WInN=w1200|https://lh3.googleusercontent.com/pw/AP1GczODBx24OkBXb4OtiBZxa17fZmx1HqxwSUZFxTv8Nmt7AiZN2wEfs90kgrP-nhSUW0uFaPxBwmBr4LKkc0_-2uh1Tf2z_UPNMBgu1gzHYCI1mts85lXW=w1200|https://lh3.googleusercontent.com/pw/AP1GczMtrg7czOSP5fwnASLsjP0tNpW0ZEc5M1vYOSgwwE7yiEsvqoXCssWfajkorivDRxEwwjVqs1yGVJTCTXTq6_Y7aF-2iJ3oLAva4h5NnGsFnSMzGTJy=w1200|https://lh3.googleusercontent.com/pw/AP1GczOi6zjDxaz6_0Pu8nqEwEAAVSwHMXM90eG6MmatYX9n3xhOYIxfk3LbhzhbFN2BIX0YBGQJgGPBq3drRj-q2uByycXLjsnpWd_qmwtmi828eD_xCf_K=w1200|https://lh3.googleusercontent.com/pw/AP1GczNfuBJmETFaNAJc0LIBYEOhgQF5sojAx7ukNLlX3zJ3Qo50v-OrYaBomb9Vf0l25S5eiSxWZuQp779qqrAm98K7nwF9oXGQ8GMoVU716MDfc19flLsd=w1200|https://lh3.googleusercontent.com/pw/AP1GczOsvp759W7xfstJDjl0Q8G1pHkQfJvjCufTFYcDQKNKZl7zkhgqNOqTNYXu4l3xBc6F9g4rBfg2Q-6ew70TyXQtLKMdcx7vJluUK0fvnCtlDCTMw4eQ=w1200|https://lh3.googleusercontent.com/pw/AP1GczMnFZ-q3cH3ZISytF9OefeBjTTd9ExUDzO0lrqBpgAcEOBCl5cdTMZgsZfRXJg0dnZ6DheCcB8yqNPHlyqWrzoW07q1bxqKHLvvk0FPhP0ErXH9kDkE=w1200|https://lh3.googleusercontent.com/pw/AP1GczOV0phghVPMrGlbTXiZBRjGIdiDjd8uLhwHqdkyfPYu3C7oPZ1rsWEkZ2hrkacjk02Jg1tsPmqpE0K135_m2DyEaP_Xvs1-xUW5LPWftkjr9_evO_6u=w1200|https://lh3.googleusercontent.com/pw/AP1GczMW6Gfd7ZRwApZ2SIGSUUBWKNB1UM1foosMHSjp5cJcq4SutgWsjtz4RLwo-AQXwNhlD-SnoQZMGkmyDqVvhAFfg4yG9ZmnQ3AtcB2jkrv0nJRVlJ6g=w1200|https://lh3.googleusercontent.com/pw/AP1GczOgFlnu-ahGEjg25z9LjxnqXhNGJaSbegn3q5VWt9XJkIXrKRpFuFdWbCjmX_fvKSOxldaEzxRLNA_pfBAmR8u3r6LGdcahWaVM92XeukXDA64QStQ4=w1200</t>
  </si>
  <si>
    <t>545</t>
  </si>
  <si>
    <t>Casa en barrio Santa Inés - Norte</t>
  </si>
  <si>
    <t>https://photos.app.goo.gl/fHVT6qohfZtgJAnWA</t>
  </si>
  <si>
    <t>Esta excelente casa de un solo nivel, completamente remodelada y ubicada en el estrato 2 de la zona Norte de Neiva, cuenta con un área total de 90 m². Su distribución interior ofrece una sala-comedor que goza de buena iluminación natural y pisos con acabados claros, una cocina funcional equipada con muebles modulares en madera, mesón de acero inoxidable y una práctica barra americana, además de un área privada compuesta por 4 amplias habitaciones con pisos de cerámica brillante y 1 baño completo. En la parte posterior, la vivienda dispone de un amplio patio de ropas enchapado, con lavadero, tubería totalmente renovada y un enrejado de seguridad superior para mayor tranquilidad.</t>
  </si>
  <si>
    <t>Ubicada de forma estratégica en el tradicional barrio Santa Inés, esta propiedad representa una magnífica oportunidad de inversión o vivienda familiar gracias a su rápido acceso a transporte público, comercio local y servicios esenciales. Al estar distribuida en un solo nivel, se convierte en la opción ideal para brindar máxima comodidad y funcionalidad a adultos mayores, niños o personas que prefieran evitar las escaleras en su día a día. Una casa lista para habitar de inmediato, que destaca por su excelente estado y por encontrarse en un sector de alta demanda y constante valorización en el norte de la ciudad.</t>
  </si>
  <si>
    <t>https://lh3.googleusercontent.com/pw/AP1GczO55Uu30IRqJlWs5I5iGRO3mOXdi9BqQaGjpovaoMJnCohTtj7TUVW7tWCOqCjyXJ0eSjr_c1pjK2sRC0dCWe84KyWS15-s2O-sRwbFBjQ5eYddyhHU=w1200|https://lh3.googleusercontent.com/pw/AP1GczNJiYHp4wtF5OsUlV7BrDQmpAkvx2ZKbzJ9bHy5A6-0ic9GDGqCkBTcpEnhAMyuP8nOodAzmj8ZvmVQrrqfYzghjClmzvp7tpd8IXHnrhrXRVAOFLTG=w1200|https://lh3.googleusercontent.com/pw/AP1GczOsLR6eJvY-eqZS4vowfUx1eKt5SpjDI0lS3KbGsBpgKQCgzri3PlQUALrW2z_GgipYG3-WyJxF5TOOWYRhvkkiok9xAWudxVrHY8ZvPOsWcXZ-Auch=w1200|https://lh3.googleusercontent.com/pw/AP1GczNFDfGeLk3V_qOfxZ3quiVy4hTIOSXet0jhE11ikaYSSSukmwqDmHnqNpv4HC214a9719ijVV0KUoyjT6Z1UMC6JlhmVn8e3jkyUSOD3aayAf-Soy7j=w1200|https://lh3.googleusercontent.com/pw/AP1GczNCL5JCjwHnjui9t-EGDq0hcvUu-yeezktAd1IdqGZSvSlrGRmVxPPO2Isz3DhIO8SVuw7Ys88ckXU4XwgQNZCx3IlVtUwtKrimd4I00IonnuDsJAFJ=w1200|https://lh3.googleusercontent.com/pw/AP1GczPo6qqLlEjsUMzy08CNeV0mdZMU8bYn_xbL34jg8vzaY5mwOs7MC_QZCbg-kSq2MnuTmBzyJtJ5cEBAjr0pivDfRnwstWoLtdQch-F472IIBRoRwfAT=w1200</t>
  </si>
  <si>
    <t>122</t>
  </si>
  <si>
    <t>Lote campestre vda, Los Ocobos - Rivera</t>
  </si>
  <si>
    <t>https://photos.app.goo.gl/KRxef1yBWHiLw1tp7</t>
  </si>
  <si>
    <t>Este espectacular lote campestre, ubicado en el sector Los Ocobos sobre la vía a Rivera, ofrece una extensión de $2.209\text{ m}^2$ diseñada para hacer realidad un proyecto de vida o de inversión. La propiedad se sitúa en una de las zonas con mayor proyección y valorización, destacándose como un amplio terreno ideal para construir una casa campestre a medida. Entre sus características técnicas y de infraestructura, se resalta que el lote ya cuenta con pozo séptico instalado, lo que facilita el desarrollo de futuras construcciones en el lugar.</t>
  </si>
  <si>
    <t>Por otra parte, su ubicación estratégica en una zona rural garantiza un fácil acceso sin perder la desconexión total del ruido de la urbe, permitiendo a sus residentes conectarse con lo que realmente importa. El entorno ofrece un ambiente sumamente tranquilo, natural y acompañado de un excelente clima, convirtiendo este espacio en la opción perfecta para quienes buscan un estilo de vida rodeado de naturaleza. Además de su atractivo ambiental, la propiedad mantiene una alta proyección de valorización, consolidándose como una inversión inteligente a largo plazo.</t>
  </si>
  <si>
    <t>https://lh3.googleusercontent.com/pw/AP1GczMpg57kRYJaAHkIKPqMmHKkv5laq-8QZUQszVQ-DntNnIE3EW-QqP-ss75lwasMWomxd2e2D4iMtimw4iopqps7xLEP0axpV8a1eP3EAyMh4fHO-i7v=w1200|https://lh3.googleusercontent.com/pw/AP1GczOZs891m5LSUHtP8h6eOS4G92yfB-gG7tBaTJyFY5vB6p8pks-icDSBPNVqXfMwBWrKFf0u47qZva5qXnrSPNGVUUyA-9kLZzHbF5Ly_zWRxNG_qWmd=w1200|https://lh3.googleusercontent.com/pw/AP1GczM3ABLTd3aHaD8oVDSw_6Re8I_I_9f2nCPct7uwUaK2qkuj4g3AC4WRSH6BhkKBZhERa6amTQ3vNHHJqL03a5pJa7esQT9FAUxolUI4inlYM2Y7wWTZ=w1200</t>
  </si>
  <si>
    <t>716</t>
  </si>
  <si>
    <t>Casa en barrio Timanco.</t>
  </si>
  <si>
    <t>https://photos.app.goo.gl/pfSPbDiR7hZYh24X7</t>
  </si>
  <si>
    <t>Casa con buenos acabados. Habitaciones con puertas y closet. Escritura al día.</t>
  </si>
  <si>
    <t>40 - ALEJANDRO ROJAS MARIN</t>
  </si>
  <si>
    <t>https://lh3.googleusercontent.com/pw/AP1GczPeo2CT7B-fpapmj3Xgl5sF2PRdqU1Z08_UFD5js7i-W67lAORRJMYCehpwVqlRXvse97Oi0VnZCaP_cZ_YKRCeHvNiw0nyRdCl987eB7qHDjHkA2Ek=w1200|https://lh3.googleusercontent.com/pw/AP1GczPmpOQkZbfT8wREFRjq8hQfJK0nVYacuWTz6dwD1k4mOeZqMAyM5r79fE7sk0dval31wJ-taIG8BYQojf6oQh5g0ADHVf5ti0t7r0FbXF_VUuuv7YH_=w1200|https://lh3.googleusercontent.com/pw/AP1GczOvQF1x6BOWOSUIDKvvuIYPjx0Lwc_9toA1vygcUWmVLakE-WgwHZe79XUDuqVH9kHETspTEoCkzsHANr6A3st9k6YjMr-Z0OBlQ4J23kPoaCcMAWW8=w1200|https://lh3.googleusercontent.com/pw/AP1GczOnwdovVEfX82m1xZFXc-XdpnvGiqRUInIF0fiAJHHDn8-3vNrf2XQKSubQiNglTjqnXP3fhq2wi2LnFIVYeTa540DS0A31qguNPnJRDBuRNOmqg0_9=w1200|https://lh3.googleusercontent.com/pw/AP1GczM2-XhaTUCF9658T6qEfJ5XJZABfRagmmYrW7TviD_dfhjyLFJKnKvsKp14Tu6oikP0SULWgzuBJeSkNiupPFoEOZSSiEPwNwWK-kB6zFV8U6kXbFEW=w1200|https://lh3.googleusercontent.com/pw/AP1GczMOxkSp5hwXOd177BlQxlt9wIhp1UBSa9jVIT2RbK0UZEq7OdiSr6EL1WJyQtpiZ6y720PAubtQ86pLW2MCwEf2ChHAgtgINGXRCad_MxSXPv4pC5Ni=w1200|https://lh3.googleusercontent.com/pw/AP1GczOt99aCxabThqWnrlJH41Wz7wLCdOc_XNfNbPP5TkDwN9q4-TUvh-Mhv4WOYYFMNxaqHuFbm5luNsCdBk2NGgeiiawtFqClKBH2M7c0XR7iTocvW5Mw=w1200|https://lh3.googleusercontent.com/pw/AP1GczO2jq79J3-AdgK489g121IlBtKMTslqiJQQUxIysgLIlTXScrGbt0uxl0sACJd8ufrFH8zH2VfcMT9v7QxjGkOWt9L9ofdU6_YMi54E9ftyXX7jRits=w1200|https://lh3.googleusercontent.com/pw/AP1GczOBB2c7sGj-x2srXlrMQVSoyiTfOSOK-WvDy3PBQvI2H34OC0qhc4pecGQAzbnAkmlQdvRf7kDUTf_5dHpdY9DEps3qqX9xg07Tr9hhEUuHElbYEg06=w1200</t>
  </si>
  <si>
    <t>531</t>
  </si>
  <si>
    <t>https://photos.app.goo.gl/VxHcARrAZNkoGNek7</t>
  </si>
  <si>
    <t>Exclusivo lote con un área de $528\text{ Mt}^2$ en el "Condominio campestre Altos de la Sabana", ubicado sobre la vía Palermo. Se destaca como una oportunidad para invertir en uno de los sectores de mayor valorización en Neiva, ofreciendo excelentes vías de acceso y una fácil conectividad a la ciudad. Asimismo, se señala que este terreno es ideal para construir la casa de tus sueños en un entorno tranquilo, seguro y rodeado de naturaleza, diseñado especialmente para quienes buscan calidad de vida y una inversión inteligente.</t>
  </si>
  <si>
    <t>Expone los beneficios y comodidades que incluye el conjunto residencial, especificando que ofrece completas zonas comunes para el disfrute de sus habitantes. Entre sus características principales se mencionan la vigilancia privada 24/7, amplias zonas verdes, piscina, cancha de microfútbol, zonas sociales para eventos y parqueaderos para visitantes. El anuncio concluye invitando a disfrutar de un ambiente campestre con todas las comodidades y una alta proyección de valorización.</t>
  </si>
  <si>
    <t>https://lh3.googleusercontent.com/pw/AP1GczMAgoICQ-CWICadEgSQuu51SfeHrB0Brak7BV8gEIdhozct6tfI7g_g148bwGYi6YhASxJ5Lygdn4JA6aB4Ylt300zFXARaVfj83UdBcuo7Z6VrTgtM=w1200|https://lh3.googleusercontent.com/pw/AP1GczN9xs2L0M-8j3n--XsIxKfTR_oGMk-tcs3F_N8Lhh7eV3xpxZqE_OdKJvyykf6WwnrnO8s_gUpwVz6VRhhPWw15J3904UIw6zkE2qyoIvCc3ZCmYNQy=w1200|https://lh3.googleusercontent.com/pw/AP1GczO5F4U--HNquFyPWJGoIDoP2TbHHpO9G7MRMG1kmlshtVX7QweEFLkwndSPMYkmsNPX4J3WzrByo4pIKZzFRM8G11LFxzNCeBWw2mP-YsDQGK94CoAq=w1200|https://lh3.googleusercontent.com/pw/AP1GczPJhdioyo8xPbUcHuN9QdisSupAeK7c3Ni1iNTcybVvi3DtAJudJDmrwQtiw2P3N3mSsIxqkITeAv2QfiO8Hha-fRMlmHg9qxB-CKy3Fpg0FYq0Nb8C=w1200|https://lh3.googleusercontent.com/pw/AP1GczN10npyVg34Kh5HaBCooA4I-HwVfMyw5W2E4LJ3DymxPoSGB6M02N7vvHxETmVbRE83fd-JAPewYdCgppPRsAGjxcGr50pPeRjvJpvBu42b7lSxuqNC=w1200|https://lh3.googleusercontent.com/pw/AP1GczNQdzQlvmuoxxja95WrTj6LsYcfFm4j0f3bXQnLO0mluSoHbKFQPndSBsD9jzTZO1tLkEzCsMqmwxOnNkR5eMY7iXB72vtiCpGtrK4pj6ak9Q9_E_E1=w1200|https://lh3.googleusercontent.com/pw/AP1GczMLQS9crbJkDOCKBdTYLZ_dyEHpWX6MGD7muj0YmtNja_ROFAv3FGs37sTPHjDuTFODvia2dntIE_yOtV7GeDu11H8E-WNN-nvAcoxi1QvjDvZLhw-m=w1200|https://lh3.googleusercontent.com/pw/AP1GczNeMOc7Bq3v6LNUSwd4nSI7vOj6II3WtQyxnqoLA6UFAjDWflkmWHyR4TIVo08Ia_zep2MtzoL5Qu1rF4DZQ-3lCNvqzPWaRJHLtBnwD-cI2fAmfPYZ=w1200|https://lh3.googleusercontent.com/pw/AP1GczM-6V_3hl46oESHhh6Mq2KwW8qV-1wydHzpZGru5WgJpvLAXL6a-dE43DWn-6Ly3HXeqkDWejwRoKcRevsPnUe4WojFkwwG-84dw-GLPrhnYX_HUGEo=w1200</t>
  </si>
  <si>
    <t>523</t>
  </si>
  <si>
    <t>Conjunto Condominio Altos de la Sabana</t>
  </si>
  <si>
    <t>https://photos.app.goo.gl/YdEsGnUP9zj8BPiT8</t>
  </si>
  <si>
    <t>Cuenta con: Piscinas con mirador, canchas deportivas, senderos ecológicos Parque infantil, gimnasio al aire libre, salón comunal y capilla Servicios públicos completos. Vías pavimentadas y vigilancia 24h</t>
  </si>
  <si>
    <t>Buena ubicación y precio.</t>
  </si>
  <si>
    <t>https://lh3.googleusercontent.com/pw/AP1GczNEmoWfl-ReCWINTZjKeG0RgNdDJa_T8G5D3ukS1-y_oYNZshe0oB9f9AByyb8ycZx6OrpAzQuQGGNUnEFLUqeKE2thc1HW0Gzq6C7KkhT8-710Zt3z=w1200|https://lh3.googleusercontent.com/pw/AP1GczO4zw2Wu5pAMRAI3VhDFH0s3sGpgi5BnYDsVSo-kJ1e5Th2aaBPUeWncWLF2Bq1ZcgTq4IOVpnagPkkduE8y1cePUOKNdAcAEZFwRvlacdtaSB11cyN=w1200|https://lh3.googleusercontent.com/pw/AP1GczPo6Gy86uUrHK6xOqmyb69oekC0-M3vFxIFNJVETj-_00lKc5bKOxXpI1WBn6c_om14OK6ud1bXiRQMAKw4wmrWAzjQ0liE-kq22q4uPdx5mPLNS7eN=w1200|https://lh3.googleusercontent.com/pw/AP1GczNCGwyxzIMGtdWfTKI2g0zszzVU_b39XEQYZtCSbdVFOwaqx0bo6IBhYdaFTqWrj9ypKZzz4-NTrtPiPU2Ikk6p6wPsYAHF7_0ZfJYm19DZ3vAGZaIu=w1200|https://lh3.googleusercontent.com/pw/AP1GczOYvngwjzxrNpSs4nPBrnqo89cl04vZf4-O7dUFkrrlse9SnUD5h8rq7w0uvJyj5wPL_vTKoeXBcEWv4vJOEReA1bJyp_noBTXEj3001AKI5KWnOBlN=w1200</t>
  </si>
  <si>
    <t>085</t>
  </si>
  <si>
    <t>Lote - Neiva</t>
  </si>
  <si>
    <t>https://photos.app.goo.gl/QasMcfxGXBEbyKfq5</t>
  </si>
  <si>
    <t>Este exclusivo lote en venta cuenta con una generosa área de 2.000 m², un espacio ideal y totalmente aprovechable para el desarrollo de un proyecto arquitectónico personalizado o una magnífica casa campestre. Al tratarse de un terreno dispuesto para construir desde cero, ofrece un lienzo en blanco para distribuir a su gusto el número de habitaciones, baños, garajes y elegir los acabados exactos de pisos, muros y muebles fijos que se adapten a sus necesidades y estilo de vida. La propiedad se localiza en un sector residencial privilegiado y de estratificación ideal, integrando la amplitud del campo con las comodidades modernas en una topografía óptima para la infraestructura habitacional de primer nivel.</t>
  </si>
  <si>
    <t>La verdadera magia de este inmueble radica en su ubicación estratégica frente al parque recreacional del proyecto Villa España, lo que garantiza un entorno lleno de frescura, tranquilidad y una altísima valorización. El lote destaca por sus características naturales únicas, al contar con una espectacular vista y colindancia directa con un hermoso lago natural (nacedero), además del paso de una fuente hídrica que aporta una armonía inigualable al paisaje cotidiano. Es la oportunidad perfecta para invertir y vivir plenamente conectado con la naturaleza, disfrutando de un ambiente fresco y un entorno rodeado de paz, con el gran atractivo de estar a muy poca distancia de la ciudad.</t>
  </si>
  <si>
    <t>https://lh3.googleusercontent.com/pw/AP1GczO_AnL2OLxZsofyqVJAndEQ_JNbZ4WGYETbZUnSrm-sqqergSQXCBQmt8PAssErVEdiYbe0dxNV4iKPzXdp_2QfudyaQI4X_MD2vwDe_WMABp5YX8jo=w1200|https://lh3.googleusercontent.com/pw/AP1GczOIF0ee8BuLp0jFbcjrx5pNM-dcGw93DotVQCkaoYMMC4iBOauPGg-VFhRQLhS1cyoD4Cou7xCWVHHLjwJm6DlP9GxpT3XdW9g1Mm4GnX8hpB30gjAM=w1200|https://lh3.googleusercontent.com/pw/AP1GczNNfhu5qTrDh93OP11p6iuEUoz-uFpQ124XwCBQHcK7bNNkLmCtZBTqW9iaZKppHkd9z8i05NsnChP-hkTlDiVz-CmHYaHzbtNNeC16dl7J3_84EJH1=w1200|https://lh3.googleusercontent.com/pw/AP1GczP98sHDuKUy8XUcvoJpkuPxGOQEdBrbsTiF2Ei66EQ84omxlg9N5H2p_0g8fQrRP0A3EKFFK5mD_api5QzFQWfbUSm6mXJxW-F60OnWT1ZaUkAQGcQV=w1200|https://lh3.googleusercontent.com/pw/AP1GczPo5Wb5a2fVONMjFYcNzmB3Q6Sjy6JsIKPiSvbVCWOgexb0QZTSSbaqdLkfArI2EPzkhShQm6gMnGAcSl_x309_cL1GWL3iNGZKZuorALQsN84-polc=w1200|https://lh3.googleusercontent.com/pw/AP1GczNQCkA6K-rXtcbnVceC3F7CoJYj7otTGKESCIK67iyHw9qo27KF9-Z2oYbftj5i3r8UInza-Fsa3QNIIuWZZi3WCvKIkCqPKKeGbBLuhtEp4DWSpGqp=w1200|https://lh3.googleusercontent.com/pw/AP1GczML_JOgKEOLy7e5XXiX3wVWdw20lJ6nL7TqziuspPyuvIjehGQykOV7we7irRfwlryGYge_GTXH6RNPs6H0BM_wnv07oWXSnK8zEQG9vhnkdcEEVHMT=w1200|https://lh3.googleusercontent.com/pw/AP1GczPxI_yz2Z6YgLFWKH6BoyTXoPxAXmKcnUKG8U-RjSv4Uh_-0dwqh8HWeMJ0VfCTVJuoC5LOmAQciMwltJ4tcxoA-U2INovJ1vQe4TEPN4gWI4sNn923=w1200|https://lh3.googleusercontent.com/pw/AP1GczMuS_04U9a0LJhTWEyL48vb4pVjTieZ20NrpI7GOgMCIiNNO7AlJ5JKovjaqoeMVxCviCGllaSyEAackXHDq0lhy_3_-Ge_aSMRf9iQOWJaNu1YbiT0=w1200|https://lh3.googleusercontent.com/pw/AP1GczM8LaebfO8BpXtGI3yy8Kw6ny3Mg74EEULVfcl1tlZpggasRlPZAIs5Dp5BBEm7QnAi19DKChbP9Vsy7Mbe7J7GhusnQuBpIoA5tALmktFPBZxR1Jys=w1200</t>
  </si>
  <si>
    <t>249</t>
  </si>
  <si>
    <t>Lote  campestre en conjunto condominio campestre Valle Grande - Sur - Palermo</t>
  </si>
  <si>
    <t>Condominio campestre Valle Grande</t>
  </si>
  <si>
    <t>https://photos.app.goo.gl/yYtTWHVVYB8y8saTA</t>
  </si>
  <si>
    <t>Este lote esquinero en venta se encuentra estratégicamente ubicado en el exclusivo Condominio Campestre Valle Grande, situado en la vereda El Juncal del municipio de Palermo, Huila, a una distancia de tan solo 15 minutos de la ciudad de Neiva. La propiedad destaca por su topografía y su ventajosa condición de esquina, lo que proporciona una flexibilidad superior para el diseño arquitectónico personalizado, una distribución interna óptima y mayores niveles de privacidad en comparación con los lotes intermedios. El terreno se entrega con toda la documentación legal al día, impuestos completamente pagos y disponibilidad para la conexión de servicios públicos domiciliarios esenciales dentro de una copropiedad que ofrece una imponente portería de lujo con vigilancia privada y control de acceso garantizado las 24 horas del día, los 7 días de la semana, complementado con parqueaderos para visitantes.</t>
  </si>
  <si>
    <t>El principal argumento de valor de este inmueble radica en la oportunidad de inversión y el estilo de vida premium que ofrece su entorno, combinando la tranquilidad absoluta del campo con la cercanía inmediata a la infraestructura urbana. El condominio se destaca en el mercado por contar con un robusto complejo de amenidades dividido en dos grandes zonas sociales que garantizan entretenimiento, salud y bienestar: incluye canchas de tenis y múltiples, piscinas independientes para adultos y niños, un gimnasio totalmente dotado y un gimnasio biosaludable al aire libre, salón social, senderos peatonales y verdes, parque infantil, una capilla privada, una fuente de agua decorativa de dos niveles y 4 zonas BBQ independientes. Es el escenario perfecto para construir de inmediato una residencia campestre a medida, asegurando un alto índice de valorización en una de las zonas de mayor desarrollo residencial y exclusividad de la región.</t>
  </si>
  <si>
    <t>https://lh3.googleusercontent.com/pw/AP1GczN0NLssHahfKpLHOQ2YgmlDCUzYkneYKWnBc--lSL9O02LQ4KxQ1vNlnx9dDiRpYgugeb-mNVYq0YgzS6_H_8EY0sKs-S7uW-R8it9N_wiASCN_wYGd=w1200|https://lh3.googleusercontent.com/pw/AP1GczP3ZGScpmgkQufx0PKTRZj3vKNpgF-gadqAK83LVblQ-pH_YIflqTJLfVzAMjh_PWJ58bYYCHo8mOeJY9pno09rrtbXpMssxxtv_5HuxEyzxKBlyyPF=w1200|https://lh3.googleusercontent.com/pw/AP1GczNYj-hCuW_wUxFGIXBg__PxeZELIWmHNdnKm7FhtfCBt55DYyH-BETwVxmEIfI7d90nCeszNqXOH4TJBBymO-TwWgFULMrVUiuzpd8jGfirh_Bbv_hI=w1200|https://lh3.googleusercontent.com/pw/AP1GczN05jaxyRy06vg5OjqqYxYe-kekOU6_2IXauS8BOVVUb62BXrX6QXlX_7xth4M6fZsHB4-5-h6ToB6pibQpcbSP5HZ5ZU4FDzfeIBWjBjp6DaZgpxBm=w1200|https://lh3.googleusercontent.com/pw/AP1GczO5C_KvWnaenJlQ6A_gySsL0PfQHPAYUMwiXKciN2Xo6G-w91sKqHP9sEXdlJtJsUD-MLxX_IJmujVpvN90Hbv5zz1CDrct44FX6MlKANSgaGo2ByGq=w1200|https://lh3.googleusercontent.com/pw/AP1GczN0EnRtQqj1J4SdDw44TdPMZ825i0F_h1CPwFJCxRzgd1IPtOkhJAn5HFw4YaH92n8f9TweBbPlAp3jWy0ENaIrICHJyPR0eht2L6LsC6YMGYFzJKUa=w1200</t>
  </si>
  <si>
    <t>1375</t>
  </si>
  <si>
    <t>Casa en barrio Prado Alto - Oriente</t>
  </si>
  <si>
    <t>https://photos.app.goo.gl/8LdXEDn39kshfydx8</t>
  </si>
  <si>
    <t>Cuenta con amplia sala-comedor, cocina funcional, patio y garaje. Dispone de 4 habitaciones espaciosas y 3 baños.</t>
  </si>
  <si>
    <t>Casa de una sola planta en Prado Alto, ubicada en zona oriente, con un área construida de 120 m². Cuenta con parqueadero para 1 vehículo y estrato 3.</t>
  </si>
  <si>
    <t xml:space="preserve">Jennifer Garcia /  Menber / Jovel cod. 1375 $420 </t>
  </si>
  <si>
    <t>https://lh3.googleusercontent.com/pw/AP1GczPlSeJ7hVebAuippNKuxaYnRX45jnjsGR_6xLT3mMn1Wks8VXSgYrSjP--AR4PnYKIQn7KKXxFlw6HYLseKKvmxOx5KHBiePRlT0GmJtNZjjX0Pa8n0=w1200|https://lh3.googleusercontent.com/pw/AP1GczNA07b94J_Ltu6rMsht8vyDhlUeEM2W3XpTQKsYANprRxO00I8bn2KYB-gTeNfQswKkcKEUnV4yIwnXVgkZXCFnlotdPN6l6rSOvuTPfz0rKLmB5Vlz=w1200|https://lh3.googleusercontent.com/pw/AP1GczPBGSp7cW44lJ-4sT-hHCdxfDXWJirBCzXaqdc1VIbe1vTlFVIeXEIfP_s2dU9OwXY6N-NvNqps74VDqugNAuyK0jHLazr1qpACv1wGiCnQQt8jSCHs=w1200|https://lh3.googleusercontent.com/pw/AP1GczM8tTFYQKQ0g4yM4trodJsJf27Q6SesvKJciZNAs_Ir1DnMNFNSdgR6ksAFIzTZ31ph6BhweanFFLgyqpLFgwyeblcXgVkEbE8N4JR4n77Kwvfn_oDb=w1200|https://lh3.googleusercontent.com/pw/AP1GczNvI1yfeT0gBSBZr9xPHF_1wQngmjmHg4SQyB1OTRDpgV8aQ4LLDaVFqt_1brAv0dBDGizDXKOEjMASSdwv07qRA63Pqo2fJDyMEEO0DkCsSzowAxY3=w1200|https://lh3.googleusercontent.com/pw/AP1GczNGvFvJ4bQ1UUZ201AbluJMNvVGyZOHxZjUSNGQMFrl13RZjJBB0Q70cE8OW2XHgDEpslEdsx3dX7t4NBcNkSYOiJ3gWEmJUpe3R2Fj2Ttee9fUOlGk=w1200|https://lh3.googleusercontent.com/pw/AP1GczOQju0-iEk4EmpunSDHhJ6JS4-Shy6eVw3u2_C_OL5y2ll59AKuorLt9MWYW6rMusEN2nkKk0JTmcD9PRvAdK3TOTfcbGafqCv3k83vGZU9mNh-XnUa=w1200|https://lh3.googleusercontent.com/pw/AP1GczM7WVZxGY2oSx6DnD6H5ug3P_GuKtwgvJ0yWzXN8qFEqcCBISSpfeKreEy6gCE0GsyNQsZ8HnsDeACjmAYdz4Rpujd_ChwjN1C7e8TZb3sLPY271NkN=w1200|https://lh3.googleusercontent.com/pw/AP1GczOFZzJWvbmZ6W_74JSmGLJLZGTKtVF5e_0rFSoyldlM6V0W_NgYw0lausMbFe8fABqrvV8JgGBVH_5UHC1AOkRwEpuqAR4x7XliVACAWETkgMdjWhBJ=w1200|https://lh3.googleusercontent.com/pw/AP1GczO7FDUYQEyXdAlDS3A1HtZQX9lHWve_rf3rexmo3FpyoSXX6anAiDfBkGLPZ7IhrmMs634XOqSUh85vLaZts5alq00c1nF_wUiURpSgYvVyjY3T23Bm=w1200|https://lh3.googleusercontent.com/pw/AP1GczMUSKRzjO6Z_6XPP3w7iTx4TDMga1OC4-Z38zz_iDfFvNM33Y_Q7-EXtJ2MpaUAe7VeYGBMWlK_FFFrUXDa6xCONj82mUxBaGqJB3ieHK_onKjPIZiE=w1200|https://lh3.googleusercontent.com/pw/AP1GczO8WNHgCPvosJW_mO6YpymMlwlkqaOir-dP7M8Oy_qMBYAx-LYH31kEOzXTOhd9x4xBwTpbSILGqtt9pWPpHErqIpBsqUCXrjr5zyORUUG5ToEdlonC=w1200|https://lh3.googleusercontent.com/pw/AP1GczMMlmmxwMD64ClZZl_ipCcixJ9Eg1AlN3loD9mNAMpS7E6vAUmAi3M2iL8ee0oZr3AuSHs4rTYIsF8DKxK8wf3GBVFxx4pDm1xpvqE1o5CsPeafqsf4=w1200|https://lh3.googleusercontent.com/pw/AP1GczM4X2qGNryS7hiQ_sZRtuqmJ3jtWDAghxWmSoaCFroN1a9woe-ceybmd--TyVmLAMSUFw7t85BFhB63_lEl9hRaR9OR6DnNNCW29EiRlZaqqXf7NunO=w1200|https://lh3.googleusercontent.com/pw/AP1GczNx7O8a0bTJxKaaHwNJfQs0nW_OCOkmYFs4ZTgMTceBaJK5zC1hh6WOn0gg5DS9oiwSp7GILz8MyTET4mMLS8y6YYerTYzOwg6He33uUQW9R5Wyx-qo=w1200|https://lh3.googleusercontent.com/pw/AP1GczPHgiGsgahu7ugPaIPCdIiXfyqN_2tBz2MBHnxinXK8e30eFfiUotqCFLTUhtBI5H3VAD3aF6Ae5IK8G507eSKUGg0QMSeDya9Qoi4mhtqAf1zeIpGu=w1200|https://lh3.googleusercontent.com/pw/AP1GczPCf4N4KcwIZrnq-7jG6a0GhbEoAW8dcsZZBNIRqzZKDNSQISFwHVH0NZugpAoQVbpb30Yc5Fxeo0lyEjrlP_XKCVGBIfBH_c63Xfn91ekMuJJVKYy6=w1200|https://lh3.googleusercontent.com/pw/AP1GczOHN5OCkIdp3heuP-EiHvVb9X_vH0xXxGBeJSh6vCJ-GvlponQstQJBBejfb1nkfhCEZPrKEl-C10vVXVJ8_-xODD-G7jEZdb392Q66pQ0mSmSzs4gI=w1200|https://lh3.googleusercontent.com/pw/AP1GczOygYlsNvWRmen_yC3fXwe5hps4PSeQKIN-jktfsn7UqCr1EF1CTXjL_8hJoYnj829yswyCxQZYXpYxtUj6Wzayvu2mJUItpAfwH2ZztJzA3RTIgQtO=w1200|https://lh3.googleusercontent.com/pw/AP1GczMJoN5_ZM4J_sV-dgHkQcVMZdbReHf6fRGvv0zdNxi0oA4Uy0xpuuNz8YudA6LKcNbkUBm0AUvhLjhYoUUDIH8vZCwPFvJJodhNzuPIlg2uc2EQ3d9T=w1200|https://lh3.googleusercontent.com/pw/AP1GczPLuPXL0AoJ5C7QIEK6o-KxbFUWlI05OJWpdUYZq3Jqc1J00fhxkjmG1FbZ02b2U3fB4x-wr-jkk-xCdUDoeLcqx1df_kBwxtWYKK4qaAxoHuXSqewk=w1200</t>
  </si>
  <si>
    <t>1251</t>
  </si>
  <si>
    <t>Casa campestre en Neiva</t>
  </si>
  <si>
    <t>https://photos.app.goo.gl/x4GZiibDV9W4M8pc7</t>
  </si>
  <si>
    <t>Hermosa y acogedora casa campestre, ubicada a solo 20 minutos de la ciudad de Neiva. Consta de seis hermosas cabañas, cada una con su baño privado, casa principal con sala, comedor, baño, cocina amplia, corredores con salas de star, gimnasio, y zonas de juegos, amplias zonas verdes, hornos en barro, bbq, piscina.</t>
  </si>
  <si>
    <t>Buena ubicación y materiales constructivos.</t>
  </si>
  <si>
    <t>Jennifer Garcia / Andrea Bernal / Jovel</t>
  </si>
  <si>
    <t>https://lh3.googleusercontent.com/pw/AP1GczOjsArIc3rblaqPnFUVRwcaz8R8_FwDp-tGGqVLS0vZnGAqSydF35fhx7vKqhBw63pWSn2TuVezUSCaNKoyQI_kpe4seatlLlhG1M7RWg0oE6EvIJDU=w1200|https://lh3.googleusercontent.com/pw/AP1GczMpOBtCGdBr3z3Wfg0b3UbFDDd-SeIlYGLdQRYKb4f7TbJz1xtt6SkFWOe-5x_NV0EXb8ES8_toe4jv94YXF_8p2-AOkOzA9Zux1AO17GIScXyG3VoA=w1200|https://lh3.googleusercontent.com/pw/AP1GczM0XBLF9sPQhzPws0VQHZquTYlVPQiFp-ykpreO1YY4HLc3qHkGZVz1hIVa-zuljwesqHLc-3Wp1ytj5Nd-buplbex5x221zmnO0es5lnlyS9rx4tC7=w1200|https://lh3.googleusercontent.com/pw/AP1GczP1QDhQ4gm2cU4VqOM6pysexGFfTKtjuMCqDDr48L-FkywH60OmA9K9BaJJj2e7YXKMKounp-Z86z6-v897MrlxF6LjhJwRch68oI4q4w-_emr1kluC=w1200|https://lh3.googleusercontent.com/pw/AP1GczNQdXy-Bn_XeXBWPArCAldgFXURvIJyEMEJH6GF5R5dntkntnctE97T27Lp4-y8d9VW4OWbKneiPwF7MiVZ4GSN6iZpgEQGMmmLdIRqJXDtQ2RZj8-s=w1200|https://lh3.googleusercontent.com/pw/AP1GczMy3qg3DwTYbceH6dNTFKIvAUJ3Bz2bB2oNQh1ppveVmLCZCPR8wyOclQMnVTw4N4hezYag8TDLKSPhI-Q1bxogniFMMJ9jMGV-H-RYqMWJIzUIpAPA=w1200|https://lh3.googleusercontent.com/pw/AP1GczM1elTDhDTyRLtFONuRvZXPTUTUQjtf7hE_YBr-kmvX3Lhz7dwVc7EkKiwwPkORVNrvEO0M_Gf4wVUyZLotZhJt2ra9WGPgWNu0XeL0wppimfJWQdBo=w1200|https://lh3.googleusercontent.com/pw/AP1GczO4Iu2E-Wj29AzAU6ld20F0n1lMiF1ZtDoF6-qcsX925K9XtpwQz8lIHlXem4lQG5-726a1i3CaIgIgq4yUJXRNUafl2BCMnkx9_MKRtSC0SbpGCwwV=w1200|https://lh3.googleusercontent.com/pw/AP1GczOZ6qP6t-RKG29uL4mws6hR4WdCGLrAy2VfuU7RBimPjRJ1ohx_bksxA8INsQ8QNWSEXTmDwfaI3XwNmejarFJf5Pz4D3z_j9r9iCgilZir3E86OwBb=w1200|https://lh3.googleusercontent.com/pw/AP1GczOi4Bgi2jTAA0YQ0kHhnF-8cINEY1dnhv8gAxOEgoHVTF3nT7oYhKcbPkNmCD1lG0rYbAY_oWAXb-3OFYe53BvEeJf-EEqdp2pzcOGVNNC7_BN_p3Je=w1200|https://lh3.googleusercontent.com/pw/AP1GczMrt88uaS27KeboMnpxE2zQ4hYgAl5xG23e8nTFvXFABrdIvjq8IbZKhg1fJhVkNnv9v0tCzHi37x9K_mITGvwEvjUXasMmdhgurcRu3I9KpNpvNmBR=w1200|https://lh3.googleusercontent.com/pw/AP1GczNLkt_xA1-FEIvPUdoCDftk2RRtzobwirf95amwLUhehvzfGnBURYlxbQYS4JYPA3pl86t-nxFrInhj6kyyQGL3vuCi1WTSVcj48Y6sSmj6i8ZLF9Fi=w1200|https://lh3.googleusercontent.com/pw/AP1GczPmhka-NtMbdf1AatSqADWgrL_AX9HdW1OT5ImG5v6Yue5--ivckyIbo99LgOJOdxW1UUbTGWLUa-lckhj-yF8C_CbRhIBVkR5b52fbOUp1JWkDPG5N=w1200|https://lh3.googleusercontent.com/pw/AP1GczPVDtsnwFyzzskM5OJUkLkbz6Z3nMT5-dOUquxPH_fZ-l26GB1MQDbkB2_SpggPkxlrLw2Rh3bN-5f8p77bZmhbnz7Hd3aVZw32mCT9jD_7KNDDsiST=w1200|https://lh3.googleusercontent.com/pw/AP1GczMNOf3EXfnQnLMiytZyvvJPjMhPp81QynW5-CQBlIY2Zq6NfbkJdncQ2bWXYl0aX17HCT_oqKPxihb7KR7UY2sCw9DnI1ncwoufhOAXG_fi0EpTQXTB=w1200|https://lh3.googleusercontent.com/pw/AP1GczOuBqlZCAH2MhWPeWxSZr5T-MVZiuAz3QoLGPPql_vPj8gUbXFjm8wq2KDTz0DY4mRFt4HilBpCSw30F4n28vkur6jHRtHPdijoHLVvpTfMQ4wI1Rwi=w1200|https://lh3.googleusercontent.com/pw/AP1GczPKyZl5rwC8-PQxCQ_he70LA6oJiqU1tu__aAyYeI2g2SLRSm0R7BtGcyL0zOo6zvhCTDGS0atHkc-snYNDw5a7R6hwmN7aR2gOHAS-HEdg1HNASP7B=w1200|https://lh3.googleusercontent.com/pw/AP1GczPFQ955fQsfvqmKeFfvbZqNz--R0twRXuvX2bzlcjsvE3TC_qR1l1ZBPf4rbQisRRQ6t-aES6EIdsk3xwoGs5Fw45C655YotVdIc6E4cM-GIMI1iYrF=w1200|https://lh3.googleusercontent.com/pw/AP1GczNHrRNHC3PylzGexIgVOqg2vZ-XvD5u_XgjJ30vNEvgekIOAhHNKVZr563zxVF77BjuORpPA_YakcAcRE7p3v_Y-0D_FnpnTpm8rSNrwIvlVn_QBLYX=w1200|https://lh3.googleusercontent.com/pw/AP1GczO36kgDaNzho6WCJmS0iMTJNA58SAZX19OSmufS37PhExfXoKLUJSpJPI7eOuJbdOop-CSM9u2pAQ8yhdsMeAd5pb5mGHwu7EuQ3BQP_9vyo8mySyV8=w1200|https://lh3.googleusercontent.com/pw/AP1GczNk6JMaZvGQdJvscySevf-sEl6cqivi1mHW9vI2N17Tu75QVVNcKHVUhePpDgqZlyglf5Tek5eYCJdjbmWdwj2Ek8ilct55XdGaWId_GA7bo4DN0Oxs=w1200|https://lh3.googleusercontent.com/pw/AP1GczPVYcXXprbUPk4uzdwFJs1ETm1ua16v0XWGiRexh3E3urW3OWm6J2a4r-ME7Wzy9lVvGuUQDRs0q_Q9s2242zRl8TmFklPjE8Fgy3IPp9LSFLZgFYA9=w1200|https://lh3.googleusercontent.com/pw/AP1GczO1c6FnMMmsIpxWK4NYtSan2X7SwtUQSHOMM0VKxu13llOEWYVb6Vuzsj6ytJQdotoLjRXovaX3RO8aMPNyjVsVRWkl5LquTH4cLqkLtn5BJagJsvol=w1200|https://lh3.googleusercontent.com/pw/AP1GczPUJWZFxqaB5K8R2GQ8_jan6vjQxcXXl-NCWiDQ8MDsq4EwmgEg1RJJ6ArV9PSoBZdokI-KnKwwZE3bUDz_wOdyCMH6w2xLumtCnAdNt8sv3uWMZmOw=w1200|https://lh3.googleusercontent.com/pw/AP1GczP6NKi2r1Bhv3LL91tFUx6GqLX7-82ZG43GgRnY6F5wsoHA5J8Lwkxi1JEOf0wGhAzn2wdm9gQd8jech3CfpAUFqznR4YQbP971kbvjkOEcLyUhbLtG=w1200|https://lh3.googleusercontent.com/pw/AP1GczNtA-DpkzhkGeH0ZzQNHbzrIGtng1-YUqeIGv5j0BqGZSmTaTTp0oQdBFb8Nnx0lvCXuVu8Wie484BxVv0oFdA7Z_rYA4DFAubjVshI-zBIbIdl6oEF=w1200|https://lh3.googleusercontent.com/pw/AP1GczPH-AeEHpdnvzHndk5dA33kmWakOUlfA5em9AI6xev2VCKDO5HvfzIMLrgK1vF5rCvc59pC3XrZRowP_weUVvCM1VKGy3vgErUNvb39K-LMhUnphRP3=w1200|https://lh3.googleusercontent.com/pw/AP1GczNiOemRic9CFjCseuvD-7vk_q07WLJgOgCBQuQxtRmbdbL08Y-wFEk89kSF0KCk88OcW-ituG3LwXkLNT5JShg8qZ6Frv8f6SgX1QuIT4Uc9Lyi3wvg=w1200|https://lh3.googleusercontent.com/pw/AP1GczOsS27O9KVDbdDFWC1AJ7tf00IUwzcZBNLLA4Y440hzz_eDQ5ZRh-BgFqkiLuItWC6iUKYiC9YOQNn2JmgugAQrmDZv96RZzB84BQDVxnM-Th0TCMmI=w1200|https://lh3.googleusercontent.com/pw/AP1GczOfr8t-GXAB1tZI1ZM3mFu7BrZ6HqKRRi6Zg1aQV1Saw4h5MmX_4LxrDJZ1UpaLZLdf9frWqvUarCjUlaIwjDba90hFbwPHVONYIPbNK_8d_xKB-VC9=w1200|https://lh3.googleusercontent.com/pw/AP1GczPs3b2u_DA77aLyVvBB33Zlm23Elv3vV8V3FQ43mVJa9YE9XOy5sLcQwX2DYuhBznOfwM6u_Fwh2Do0BFJQHC46iL3EcbsJ7HKCnerkYG_VnCmihid7=w1200|https://lh3.googleusercontent.com/pw/AP1GczMfHKHK4RAQk5jsth_l7ktyoC27KqmNhasOhIH9h-J9OY8jY_-gRmrWP6EPdD9_rJ3Br4625hVqSjII4-erQkwRcwVRi7NSUDebhFY5vY-_hG5jSmeG=w1200</t>
  </si>
  <si>
    <t>1196</t>
  </si>
  <si>
    <t>https://photos.app.goo.gl/zXnhAxi4jYWx1k6u7</t>
  </si>
  <si>
    <t>Esta espectacular casa campestre en Rivera se distribuye sobre un lote de 1.700 m² con 450 m² construidos, destacando por sus acabados de lujo rústico con estructuras en guadua, cielos en esterilla y elegantes pisos en mármol y gres. El área interior ofrece una amplia sala comedor, una cocina integral de gran tamaño, 4 alcobas principales y 5 baños con divisiones en vidrio templado, garantizando confort y frescura en cada rincón.</t>
  </si>
  <si>
    <t>Diseñada para el máximo entretenimiento, esta propiedad cuenta con una piscina privada, quiosco social, zona de BBQ con comedores en madera maciza, una cabaña independiente y garaje para 7 vehículos. Equipada con agua de aljibe propio y pozo séptico, se ubica en la zona de mayor crecimiento y valorización de Rivera, convirtiéndose en la oportunidad perfecta de ICDE para quienes exigen exclusividad, naturaleza y un negocio altamente rentable.</t>
  </si>
  <si>
    <t>https://lh3.googleusercontent.com/pw/AP1GczOunhM1J66Sn7aHfWAqpy9OQi2Jx9F0ySrE-pRrSM9G6m2MS4gj5WAm2MGU2EhSVAifZEKfeTVxfkHlxMDA_KqSDVFOZ21GWWm5x8mzLHu9SrnaQQCA=w1200|https://lh3.googleusercontent.com/pw/AP1GczMJFw0ldzizkXjdan163hgFhSxIG6DaU8JEF4y_U_95ITlh_9fFWGuPP5QFh00VjvsW2V0sXnAFjtkmrdL_9uFIy_KzTeVenX43uKGFQi8HMGEDhvHf=w1200|https://lh3.googleusercontent.com/pw/AP1GczNqce4KZQhwZynPwGL79ze8Ki8WSt7QcJukErYez2oYyAsEU4ZzIDf6jIqwjVFnV4EHOyLa7aJpCAd20J5heDkb-teqVfM65WsB9F9lI0YMSguxE7y0=w1200|https://lh3.googleusercontent.com/pw/AP1GczMvIrnTZfUNB99Es7Fx8ErVcjpRJA-cPsmiQl8QYi1uI5vwTaYGki-Td5W87M9ipOKNhoNy8wI1PanNwgp0rTlwNacUmhpX1aXibQn1UIVQeTN_bTA4=w1200|https://lh3.googleusercontent.com/pw/AP1GczMKw5SoghoN29bNcU377fTAKujjtbLllMrmJAMQVeLzh6CZNQNfKHdfINW__kjCXPE2lTWIQiOW1tVwGlF29yzwc53gElOt_lykfCbHXcFvlv9axC8K=w1200|https://lh3.googleusercontent.com/pw/AP1GczMymZ6hP9ktxfK-it6h_FONeHQ-zn3RvdN3CwZ3CqkIP8J2_TM07iUOwEjwa-P0EslwjxOBGXS4hKx0RbBEEoM66SOw779KBGG2waDwqHUFMf1dUA55=w1200|https://lh3.googleusercontent.com/pw/AP1GczMdG-iAC1tw39qtAwd34Dq5lKRub3KzDQl1OjxIEgXw71DmRMQzhdg2GB75j1U9SDlZj9LYsU7ov7kNJkYW4Yf8Qmxs_A8izBj2ZHphUjnrEZ9-ooRB=w1200|https://lh3.googleusercontent.com/pw/AP1GczMivE1McuDYSY74WTDdDOLe0tKv9mfudef5k-Q0veOn3K5BDMNTAp907Zu-lA5-VDHFZoTBp_8_Tq2Pb8ITo6ONAdl0fuD43XxKLe7kne3qFRh1Q7HO=w1200|https://lh3.googleusercontent.com/pw/AP1GczOyoH4Ar1csGV-V7vnWOfveEOnxuAf04Fh8fCEq1GC8VyQz28Bn0PTRuSVM4j2aMdEkwDpTVTNA2gC_AKPCa6J3s5u6mlLJF0S9-5YxegpmzrfnOOBL=w1200|https://lh3.googleusercontent.com/pw/AP1GczMkfVHcrr0cHjlmgoe6iGmCdCGVHBlm7UXMHRAXJpVody5lCNulEEyXacXBANHYY-Sp1syH60QCknKfkAgvlaM9f_F20TajwVc0gW6dFdWantrmc5KB=w1200|https://lh3.googleusercontent.com/pw/AP1GczPVTcPr9AHOKHdmz_ujkWQuMMl1MBuX_IqMOV-YHDYaUS-Un3hmGEl2Yze9JOxe1LFqN3Q52DxCYdOuxsauhF-B-GvhEVhXXXThMaTq7AHaBPCrkWyc=w1200|https://lh3.googleusercontent.com/pw/AP1GczOU_8Aa9Dl3tLUW6V4w4-L5MrIkgqsg9ngZQkzNELuky3mNmS1UamNujBlyVFoKphyKTVyQfJ3fkqOuVYIFsbtAmvM9o_FLwtgnIBFJbt4v7gWxQpTB=w1200|https://lh3.googleusercontent.com/pw/AP1GczNLQHj8v5hK6TFw0kFg-yrPN_zl3zUACQqtfKIEmG4OnkhUVPl5f87stDOypKW1EYQz6UoIw8axj6NIljJ6JszN07mhfAiVuSfnW4HfgOX_7o3ZxllV=w1200|https://lh3.googleusercontent.com/pw/AP1GczNhjZYkl_vlOb3LRKvpstmdkNjcVmOD2d4Hxpj68H2wyqGPb5BSHqKn2rJnGyq-bsUijKq7YuQ67A5W1yMcUUVxz1U68iRT0v6q4CPb0hb6Cts6KYGp=w1200|https://lh3.googleusercontent.com/pw/AP1GczPPRatl8j5NghxZT94rmYk867FDZ5tRJ6p2gHyYTzWwi8OzIubFtZcTh3pueMtsPUHmPrwIoDWzg8GhtabkByLrVYZuy2tqz0QV19ca1FwoOVPOWfEa=w1200|https://lh3.googleusercontent.com/pw/AP1GczPGw9hn2v5OzN1SZeu6My93iF2eUk-Mpa7I_HXHXD02RTAladFdEkm3yFkpEE7SJW-8774cXKNxxgSZinGarOMwt4T8OJyPI55jSKWKs205aUToSmKC=w1200|https://lh3.googleusercontent.com/pw/AP1GczOvg_PK0eB_bq-LKiO7iePFZ2dOBk-lQIR-X8fR-yi7Q2j4b5gqHcpyv4palMYZ1hBRCw2TQIH4LTpUOMrx20DiTLVsXSLva3R_VNr0k-elMyJ4B-IA=w1200|https://lh3.googleusercontent.com/pw/AP1GczPbtF6rx4AdV85iifh2ySIUIoEg8UP-PHQDVS2BrMtmtQTdeB2XYjcIEjlYYRSVk_Tb2CdcLpU_4A3PvAu93PZBmyW4GyyUzlyRzPy_QdCotkBBr4Si=w1200</t>
  </si>
  <si>
    <t>1253</t>
  </si>
  <si>
    <t>Casa campestre Indep. Vda. El Triunfo</t>
  </si>
  <si>
    <t>Triunfo</t>
  </si>
  <si>
    <t>https://photos.app.goo.gl/7QAgGYjqRE4rnLW77</t>
  </si>
  <si>
    <t>Casa campestre que consta de sala comedor, baño auxiliar, cocina, 3 habitaciones, la principal con baño privado, con parqueadero, piscinas para adultos y niños, baño zona social, amplias zonas verdes, bbq y salón de juegos, el lote tiene un área total de 1.480 m2 y construidos 370 m2 ubicada en la vereda el triunfo, terminada en obra blanca.</t>
  </si>
  <si>
    <t>8 - ERNESTO POLANCO, 9 - ALBEIRO TOVAR, 27 - Valentina Renza, 19 - PRUEBA v</t>
  </si>
  <si>
    <t>https://lh3.googleusercontent.com/pw/AP1GczOt3Dx5ZitLk14BU8k7Qwd3gRkwmSbuo-2SwRmMQX8ZWzUUfkSQavfcoW-Wykcfp2mRtp5u5mDUwn4gWmS7LH0XtId8Pyh-oTAzLDIveMwE2q3W7vnI=w1200|https://lh3.googleusercontent.com/pw/AP1GczNJ2nSgLHIhx_03RlomMB2mfrDFyg5Q0noeitOx5gTSZsdTlNCtFL48lqLruZ4RepQ_wvN0Oaz7G1U_GR_O9_Zh60Uhx2_A35IqGTiq-HXUiQN-_Zpa=w1200|https://lh3.googleusercontent.com/pw/AP1GczOueXBin-bv4igy1YLJvgyVsKLNPojneK4T38BxJNZxc-g4jMEoCW63X1FmimEbCS_9xPShRSvnheaqz1HeN2NfYjBSE0e5vt-v5O2z_09mn_hYl8pk=w1200|https://lh3.googleusercontent.com/pw/AP1GczOTeml9WOnAQwRLL-kgRjy6wftJRgtZ3ljNHnTWunDd9Pi09dZtwWBJq_G8wQ9klFiei9Sx5IkdhiXSR_2x8wJLH6OwlFU_SlErxESB36owDSjjCj1t=w1200|https://lh3.googleusercontent.com/pw/AP1GczNDpxTLbSPalv_wqaAUzP1JuLJ_4hiv1XHqr04Uudel9vLW6vB-dowcbP_wsTBV0NOyuoVHpj6Ae09kuoFlI-Y4oiqnxCUqwiqT9z8U1xV0WGxdZDji=w1200|https://lh3.googleusercontent.com/pw/AP1GczNRq_N4pPCeVocJZwdyily64iLviq1IRsx50pnGxdRkbKLSFdVEnR46pkpyq9hAwiQi4BsqO7vuWcmX078MLqJlDHKR3_2CDGoevJm1iAmoF_aSFrlf=w1200|https://lh3.googleusercontent.com/pw/AP1GczO5CSwKqeGwc242UvJlitlhFDi9Zb3XTt63zxB8rchjgFAMoxSBQ79dtxphRd0HexVmYSy4oCBoAsb_N374hk4FNq9PZJOSiGQwG7ZaO8mWIUBgiBlq=w1200|https://lh3.googleusercontent.com/pw/AP1GczM-4YdT3kwwjVGT6DhY0XT1Pi4Yf1o30N6dhXMlTVO_xL53gTyrvGbSmAfbWvPE7dZn-Xp6jUTDnt-n1RhIKeOISlTeKpx2GHqz-daaMlUDSXYItd78=w1200|https://lh3.googleusercontent.com/pw/AP1GczOnB5VSUIrOSCynrzMWIBb_elNQoPDoMkoXY5ZEvh03hrw4VoWecOiFUT5RTw4b3bg1LahwkiApXiHFCIVpmE1lzt_1FxjDQMSw5bOKLjQFh4a_9sWG=w1200|https://lh3.googleusercontent.com/pw/AP1GczPP_nxQYCTXqOQh2j-XPldwUsXx2SQtiZG6rHIdbRXB4uFeHGvtQaVACRsqplUoRCt_f1U7dKZF_R05d4RZ4JCfOsjxgqPpXPrlGzSK7ltUo0DfA0BT=w1200|https://lh3.googleusercontent.com/pw/AP1GczPyBNPNUdkL5AwZajB2B6ZYmldHAkQR7ckruqaCqVQyQyUAvc5q-xfn3R78FjbcfwGpUJR54EQwtigidkvkCj_3KWdC2WyRvI7j3LXiiKZxJALnyIBj=w1200|https://lh3.googleusercontent.com/pw/AP1GczO4VNPrw3jEqKwv1gSun5E-C_0k3Sv0H6-3IrLswqzo6jMeeI-fJeZmoRsRqKa7Su_E05QZV3CM-7xSlZdlH_fTggEjyiIMnolxRFSmxJKjBLR80FVe=w1200|https://lh3.googleusercontent.com/pw/AP1GczMWVOoz4YuInnHOvdawZ3mtEWggM-31l0G-ZxQJ3qjZ3BtX9LKwU36PZeAiRxK__76TjTwuIGDp_lx_iICCTK5V-9qm7oQKq7PTqyUBNCyG5gjIgxpu=w1200|https://lh3.googleusercontent.com/pw/AP1GczO3d4EvIqwC9VYtpZgz1u947Ka91oxGbmqYSvSMj3mhWKXtGah8jUE2jo1KnkCI_l4lmE_ywCqZ5HIqj6mcQBjP8JAB0_9LYNqE57xOeqT8EG2uBpF7=w1200|https://lh3.googleusercontent.com/pw/AP1GczOteZoS_p8aAYsQScMSIKJBKeEkK7_nouzewylWy_m2iFqfF8zae8zRKPojfZgL7zWvSLY4OsI0wBgS2Iiceqk89IyvMwtNN5bSTjhRF3gFoWnognYF=w1200|https://lh3.googleusercontent.com/pw/AP1GczM72h87_sxPoaE5QorxF5ROg0A0lFrJDrL0KsZppD-dfz5_atj_UG6aGLH8ld4f5kcymcrGznHPSMnIO6sRHnMOVFjTeTUslrz7sLnIvdxIwq4uzUAt=w1200|https://lh3.googleusercontent.com/pw/AP1GczPDuOqJx_kdLLI0HqhKlGtmww2jfeQ_OQELAtaUKXP8RdfvkUbqoJZVMXcS7IC4iAkKesi1vX_pdJAtkoHhws0ApXIPZrDS8e2FtbiSLJAS2Mgfwc9j=w1200|https://lh3.googleusercontent.com/pw/AP1GczNBnj0Z4-y-89Ez8a784FI6a418MmgF6aX-SbLDrthHgjetsVPtWNrZDO5fUR4uMY0bXlJ_7Xr-jSuUF6kRIVNRj5X2BoGF4HZ-d0jlwicFMSicn3RE=w1200|https://lh3.googleusercontent.com/pw/AP1GczMWm_WO7_fnC-oyYBCxGpaHXsTpVyFzWIuRwWqTB-5L4QllOQuklHv6kJQ8K__CAPA-EbXk5cxaP0WQ8jhaBP4TgaRit2CWEcV2CZVO_cA0SUIDfTuL=w1200|https://lh3.googleusercontent.com/pw/AP1GczMDf1BT0ry68mQuO9ZHXVw_xVLSpBD86dWA2cUANSQLoM5y13jAfANDG2Ua9kVnEuu8-X5c8560S2KhbVODxmhMud841IlDFMAZ-KxHsHjsRYswa-2o=w1200|https://lh3.googleusercontent.com/pw/AP1GczMjpNl_zAA2ZHyYk-YivK00dV2f4jXvq53SXkNQoqKvIhzFuCcE2BXdLZru9P_-tn_Yn0SvOsScy3iuGHVMOd4v7Niu2OK2g5Izi_hU8MJquQrwy09-=w1200</t>
  </si>
  <si>
    <t>1311</t>
  </si>
  <si>
    <t>Casa en conjunto Yahaira - Norte</t>
  </si>
  <si>
    <t>https://photos.app.goo.gl/LFBQojRRi5gPRiA16</t>
  </si>
  <si>
    <t>Distribución: Primer piso que consta parqueadero sencillo, sala, comedor, cocina integral, una habitación, baño social, patio de ropas y zona de lavandería, segundo piso: consta de hall de alcobas, balcón, dos habitaciones auxiliares con closet una de ellas con aire acondicionado, habitación principal amplia con aire acondicionado, closet y baño privado amplio.</t>
  </si>
  <si>
    <t>El conjunto cuenta con 42 casas.  Casas de dos plantas en el norte de la ciudad, a una cuadra de los centros comerciales san juan plaza, san pedro plaza y Homecenter. Estrato 2, el conjunto cuenta con servicio de vigilancia las 24 horas del día, tiene zonas verdes y parque infantill.</t>
  </si>
  <si>
    <t>Carrera 18 #45-04 Conjunto Residencial Yahaira</t>
  </si>
  <si>
    <t>15 - JOSE LOZANO, 26 - NINI CASTAÑO, 19 - PRUEBA v</t>
  </si>
  <si>
    <t>https://lh3.googleusercontent.com/pw/AP1GczOs4t-SKIj3sV92ycryDx9PU0vIunigKKOXDEWxLVbfus_8sZg1g2yTvglt4Z3urm6ynG7opNrDcaJV7gPbdcBybPvMrrcXh2X84BAY7xPg3Ss-fUCE=w1200|https://lh3.googleusercontent.com/pw/AP1GczPrGvpGCpzyIsSQIU6sJEH76qc75P0-6Mo4CTihDOjHXhBN6mzb3LDdxQjkRc-vLOEmz_kHgsSexpaRioCLrViPHV7QHcl-FkjWU6EsP5ab84TCbbtR=w1200|https://lh3.googleusercontent.com/pw/AP1GczNsQLx6oWmkH1xia24N3sldJKVaGFUmHWczLpmn07hxx7beUYiCL3DhhuIif4Gbni_7Vtx6xgqJuNVk2eAD8LEwXXHIpqI3gmkcNbA7GkkluBoLhf50=w1200|https://lh3.googleusercontent.com/pw/AP1GczORAotVTiXfF9Wd7ZTOQnKcWiExo-Vq0bB_iyY84eDalpVIuf1CbvsF2dJhOfM5wZMLZs8UR1uYNsH-JnLRWjFJ1kaD7KSbV3indrbXpAxTNwvHL2fw=w1200|https://lh3.googleusercontent.com/pw/AP1GczNTU8q7N30A5EAz835Ede0juz-PhOc9uek6EUUaxO4wdQ2m2W_69TmZqROJaNRednI9bBX2FuLHvj4aVxKzuvMFh1meyysCRXGkSiZdFfyJocojUbNB=w1200|https://lh3.googleusercontent.com/pw/AP1GczN-Rz9wq7FGYwbZM6jXqg-lUirEI5T1AdTdRjP8DDAfvqM3ILw0viXYKUvDAD4tQ2rPW_ZXjbJEac_3Wqaia8NxxeD84eMSnU7LqelzeY65meRHVuE_=w1200|https://lh3.googleusercontent.com/pw/AP1GczM8YbDyMFnxDdxSXYhFQ6shEvju6Kzk72pEJpObKb7Ag6XpKQDBmjLOLAx7HuewwOeYwGd5lEkiraQ4UMYUv0SbGdpielcauCACNzqIRp456N2u1Cki=w1200|https://lh3.googleusercontent.com/pw/AP1GczOHMrhFJdPoh3p8_pzplQkF5aI-qWyax2c0JZMTz8VMkx54p0SCte-bKjKqfCkOmHR7R_uh-WSZucyqa4CRYqudJe7QuRwZQeo_hE_1089fUbXg0bcy=w1200|https://lh3.googleusercontent.com/pw/AP1GczMgYYBKFWHZ6crFTkNpp3Q5vffB_OzB_V6EfYIRUIH_W_ZvEYtITtq1G_HLU2j799qgFySk9Aaj-U2VnoeNHhQWuZS0AXezSOXTKkAjv4ZqsP-h7tgq=w1200|https://lh3.googleusercontent.com/pw/AP1GczMgC6Zd-egStTzfK2h8RHCOL4n0rX3ATynPDrBT5K3h_e_BJApTx5y56BWRl7kSvUM9JkMi1MhT_1q0X4DyEo5OeB9ihD7UkFqUw6RBUZ8qoWJUKdrI=w1200|https://lh3.googleusercontent.com/pw/AP1GczOWmWZtF53bHc171AJGcOGmC1DlUVW1fL1NS5fSb8ZSKZxFEz0EfsIKE_g1gPRgbx5ehGvRgNltWjw6lhUQv7tdW3CwmI6ahrm70H-HOXITCcqi78Aq=w1200|https://lh3.googleusercontent.com/pw/AP1GczOq-kcqYM5EZg1fZDfs5GNXUbaHRcpWKKgRyG26w8hLUQKTs7oAl01sFf_5uRnaVrfSF-uZKF_lyXID1UqNIV0oyadn96lnp7g1qceBD4POeyC2hXXk=w1200|https://lh3.googleusercontent.com/pw/AP1GczOQJnsaYlq4VuewYvHnFhb0-XNmRStZvpPOcaB46whxfHf2T2zmpKQ4l2iVAHV3N8UikjWJiEB9AUIfxRcuB7kpVe0Ugv6zgMxAyKbofmUqQNhW_kI4=w1200|https://lh3.googleusercontent.com/pw/AP1GczPIrTWrpI1tblsdG9hemKR7WvHiExPd-TQ2JDF9JBzA3HUZNnHBBXwN41GZ6QydDUCkizuODwfoDAlk5HvxVBpLnjb9t5Pj0UQEbSLp1VZddn1Tj1vA=w1200|https://lh3.googleusercontent.com/pw/AP1GczNUyPUBb3yjWpgbhF2U5cJOnTMAYLfeQZL0bxO83atczruxcDHP-L0nUecwdnL5izZnNUyosyWk-4ZHTrFK-Bssi2VEuTH_TjRaTk-fdgj2mU1Ek5HX=w1200|https://lh3.googleusercontent.com/pw/AP1GczMEOVlzasYZ0l8uyhQJxt9C78KqSI6ajKbkO78asWqIQGervoqx0uWrZwpzl2tqiEADwDN-dd4WMu7yRnXhEUW17XwIHT917zQ-p-Q-f-KOqy4-I45M=w1200|https://lh3.googleusercontent.com/pw/AP1GczMaA5HIo4PRlVvzhzyqFvoq9imK8pe6jvsktSw8XM9yhRszIlEPcuH_h0Octcc5UzTVkFXVAO2Iih_dFqfj255rOt8e9Ly_sogibzjxH283g9mxPvaY=w1200|https://lh3.googleusercontent.com/pw/AP1GczMPFVKT9WmVHnym3PQS2s1UQ5SO8D7Her8fGeq3Eux7YO2AIq2lu1NMISZfLNnoV93Kka0V9obMsIaaD4O18T_lWEl-vkEugcQFP8YmBzt6O_0TQnfo=w1200|https://lh3.googleusercontent.com/pw/AP1GczP12kc3MR5H95EcwQj7JPXtMKzX8RliwYpWoaC8abDUZhUi39AZDOV-03u4adXVLAr9buEUufvoZ66f5WcxDFxshnsN59-xqI0Dg-93bGf5nbdnw6A-=w1200|https://lh3.googleusercontent.com/pw/AP1GczO6hKGKtnaboyXseLc4UW0WsGiWOKI-Oh00klP3FakM880RVgFB_aukHhnTYfUKh2f7ES8gu9W0qW91xbxu6bnLGdZrdWGvOeIwLISw9LMY1tZl4Yr7=w1200|https://lh3.googleusercontent.com/pw/AP1GczP0t2T9jJD4n05G1yOf5CEIco25EjUf8kU7tqFQ2GpUwCACc9BcQ-j0jcPAtggsCidodmPPkcZGeRDcmnicPTliGPJ8PTBGwJjCYN_xoXQ-9WyDA1j-=w1200|https://lh3.googleusercontent.com/pw/AP1GczMv-i3NwRTymfwEuwTK_Er1oh4PYK8nlq-5r6-LY_i0p4XEl9obSPvP6SkPImfpZBVMkU1sfgCy7PWLZ-b-ljkOVovSbnyW8s7C-wXwA461KcvkaBfE=w1200|https://lh3.googleusercontent.com/pw/AP1GczOn8ysyrZDFVAFIOTTNzYrSraycxZWsxVJmHWgj55kZxiFNoTbq0NdcN_orOmy3HrDPK3ZhQtjdepSl3eAJMgGKbmqW_qavTf9J2ShW5D4VvHtwH_uY=w1200</t>
  </si>
  <si>
    <t>632</t>
  </si>
  <si>
    <t>https://photos.app.goo.gl/pxVobcSFy1uBe4M57</t>
  </si>
  <si>
    <t>Casa bien ubicada, con acabados en mármol madera y Driwall. Escritura al día.</t>
  </si>
  <si>
    <t>https://lh3.googleusercontent.com/pw/AP1GczMFAoeK0WCwOw-MJE8VzkaXFTFVVBxIYHBqD4qRA_KQ29nfo__UV3AprYn3W9NCLV1GzwWwJlM05Dit3IVGABoCQrCPLtdRdLg1Wb1jVeCQESMqfcvc=w1200|https://lh3.googleusercontent.com/pw/AP1GczPaWUaPgyczcoLbGaJw1HRgNsvadydZ_JdnP3nejCi7wmLWDeHk3uzt68kdjHjOqyH4iy1d1MAxN3ufkhdZExSYJSD5dQCYrn7QOy0bTJS4moZ5dFUG=w1200|https://lh3.googleusercontent.com/pw/AP1GczPGwodAcddJOlPsSvMxk-UVHDRGAVE1u6DgeHglppTk-nTKVjyLK8HUFl_FAWiCiSs6gJn1akZ5Huh4IBQNWmKbo9taXlNcS1h8rH-KqjN8pTPAR1Ct=w1200|https://lh3.googleusercontent.com/pw/AP1GczOdzsY7UvIvi-6BvUAka2bJw0Sr8m0NaLphXHp7ADP1ajL6q1-7VZwl1jh27r5FYvBH-5kKVB0J-mA3EhGmVjkiGKMJ25WkxnbG4ZbNABAANYBLn_9B=w1200|https://lh3.googleusercontent.com/pw/AP1GczOTGgJ5wBEJ3vIpkKyRtFgt1nj-sVKwDYDPMqUgZtLerqj6zIh8crsbKSlwTb4aBNrw2U3GH5B_IUfmnArmAadeBdZre5rgGOuru750OqK3s8P3sBS2=w1200|https://lh3.googleusercontent.com/pw/AP1GczMj2d_0IRwgNZKuOuiIB6--0JyMj-1Bq96GFqt8ZdM4X2giMLDSQnr9HTI9oNpLivi_bhdNfqEY7GQ46_WJspGimTAv6t_6fufDxddup7TWUigxA4gE=w1200|https://lh3.googleusercontent.com/pw/AP1GczOcrgIlvC2vd-DBbJarkfZprJw6GV7Ihedyof7IFPqtCpAZlUacKLDZf9VPXQQeipRjnsefwWIRR4vwXrQJBYkG2Q8qCX0LuT_PctJzaaGqlFEzHBGH=w1200|https://lh3.googleusercontent.com/pw/AP1GczNEnE8jMzkVv4WKL3t41p53oeDyf7qVjwB7plKWJqbs0nGMJCXHuLg1faKmhK4-xcHz_vfj_hqiojeXtpPZ3Iv7YjI0xrV4h466cTEtU7izqb9Wg5wr=w1200|https://lh3.googleusercontent.com/pw/AP1GczM0TvtU4B8ee4GAN48KPUk9cLvu07mFXgmRADL3Am1es3zcuwmaIydvMpWa5w28hCb_HRjCud6Oq2QSnrFYjda31K_d8IpoL5oiDwc_orgFEoclZ_zP=w1200|https://lh3.googleusercontent.com/pw/AP1GczONDKoPnXKr91ybr12semuE_to4Og7ylRlbNAXGCATK4mqXilPZPWJ2HF3QxX69415qdrbpxZwsnV9Lm-HCn8Emghar0TqOYa8WRRjn1yuKWHicDtrU=w1200|https://lh3.googleusercontent.com/pw/AP1GczOvEezED6R8X5wyzJ7LdBwZWwGcsUujaB0Jm6NRUbnbH1D-4YJM1XD4xJYH1PFChPO7tr7Ak2QsEvo16tUO24LYLg76OnE0FxE1dPDiCOs_DzgbSqvr=w1200|https://lh3.googleusercontent.com/pw/AP1GczMBJOGj5ep-Cc2b_zMwD1zvYBu9lsoJJXXo3rHzW5ymGwPZ8-TFfp9WdL-pCizAkf8iYlKefzGILPYaFCQpUt-rvAq0B-y1zGmpvyImxBYQDXVlzw02=w1200|https://lh3.googleusercontent.com/pw/AP1GczNYDXffdbQzd_XfZgp-JLKASnro6AL4T3hgY5SyDfZneVftAwhWmFDdXIKRw4cmKqw-cz3z9HzbELvg8dttbyt9H8kmqZbhzvBttNa9_YbdJLh3EQhB=w1200|https://lh3.googleusercontent.com/pw/AP1GczNYhr2EmY7HpjTmG_vUL4yte_bwuuusfUJHJSmLJPaZIU-PZmJhVfB0G32qhxjPEcKdaj_a5IzjDt4EXOh4z6adRbsJcSAk9f13VdeCrlqHkiX0Bi5R=w1200|https://lh3.googleusercontent.com/pw/AP1GczMFAiC8mjdSbEZqnYah8ew4YRvQa08w35qdSDmhqufOPU69ST_NC91_XcwbZG940peRXMfZZqpfmX4YTZDYQXxVySt-BjzgGkNeDmmv0acCmkeoFrDH=w1200|https://lh3.googleusercontent.com/pw/AP1GczMp0_cENDjdKTjdTo20JWeBrAXy-gENmZH2q-u2pzSn9xLl93Lt_UO7_9Y89hnEqrQgRljBKHKvv3IM4vYdbGPz7oqsA1rmgh6LGwryFwfNmUQAwkT7=w1200|https://lh3.googleusercontent.com/pw/AP1GczPMym17sffE1kdaS4-m-a8dMj_lbVG2pDZax5NaZn7083ToA5LUX1KJ_TnAdqCAuQAQ04xEoIwdP6tmutKDGSxOSNsWCFjPeNPyN4tXRgwZnyRNcByX=w1200|https://lh3.googleusercontent.com/pw/AP1GczPJDj0pZ37YKwcmpwRqaLonzTOKWKFXjOsJEKzcPZFhGvr-BY_93r0NMZ8tcclqGJSiMiWa74XoDfDw6M_B5NXSrk2ka7cDNEcNmJwV0-92fsIjVwyn=w1200|https://lh3.googleusercontent.com/pw/AP1GczO7LUnoO0nbjXs0VN4HVHQtR3Y6tuivc08C-iYB92-M5eXoKkD9tcgOE8Im339DgbO7SykjLGoCZURck4kB3BKs3T4XengAauz0qjAmWy-NM-tBlJUG=w1200</t>
  </si>
  <si>
    <t>1323</t>
  </si>
  <si>
    <t>Casa en barrio Frontera Norte - Vía Palermo</t>
  </si>
  <si>
    <t>https://photos.app.goo.gl/Mu3iRgvhvVT3xnk17</t>
  </si>
  <si>
    <t>La propiedad cuenta en el primer nivel con garaje privado, amplia sala–comedor, cocina integral, baño social, una habitación y patio de ropas. En el segundo piso dispone de sala de estar, baño social y cuatro habitaciones, incluyendo habitación principal con baño privado.</t>
  </si>
  <si>
    <t>Hermosa casa de dos plantas en venta, ubicada en el sector Frontera Norte, jurisdicción de Palermo, sobre la vía a Bogotá. Vivienda de estrato 3, ideal para familias que buscan comodidad, amplitud y excelente ubicación.</t>
  </si>
  <si>
    <t>https://lh3.googleusercontent.com/pw/AP1GczMkBuSPhE__cFrIH0fuwQeooMR6TlIm_ZMe6UkvSW8_3qJk9P2gtOqtqGXLvdb1qKaRqvZgxswgiQRWKQaXKqE8MLxosudB1UZrh6l2Lqa0CvAjWCyr=w1200|https://lh3.googleusercontent.com/pw/AP1GczMcmMhUuwiGi0oWxTgYbwvLXYHFimCr7scSuO_Ta9K7I_iGnXNA9UCZF1IhepFwxHpvCEzrYS8iYSsAY3aDWY1eHImKND9x0t06dvdzUMPUuo9fRXE_=w1200|https://lh3.googleusercontent.com/pw/AP1GczPRyuRlZLMdAPXHD5Zkkduv9-nrCoXuwTADFI3Sq6PE8zPvpGhwUQiyRozpTPJorgI0TCjT00ajiMBCEhnR8S_bkr8YEOhG6n0a74VGo3vhhG5iKsqO=w1200|https://lh3.googleusercontent.com/pw/AP1GczO2PBRmNL0GLwFRmRM1yARQWPiKgXUlDSnGLbRVSSRug8Ke2bpa6bzvFxTKUunedShkl1vVk07wunz9ZCWmIQnBXIVYSNDgRAIfnOJLlGEEBFRtmx5j=w1200|https://lh3.googleusercontent.com/pw/AP1GczNjb8TCHB5p237rTjQ53--VgLbwaeoXZAYQMgOgW8FPKjjjI5QIFs4tMGPRXYZPbQg4LV_wN6HoB7gFh8bTwQ49B67n9LT5crThdg97hBlqhTY40uQs=w1200|https://lh3.googleusercontent.com/pw/AP1GczN51LEHu3QZ8mlZpbsbsLuN49oJNj_7bhoiWmDj71vN7GqE1iDee6CbiMCFhbCyz6QA5uc9DK-YcMjB9zsAbqVkKRHePxiwZrnyYYDU9SyPOMVePa9v=w1200|https://lh3.googleusercontent.com/pw/AP1GczOcVBOlN7uEeN2LJcbu2rtuhgoFJsNbEfyhMJicE64IId8Gize4i0fW2ASJ7PuMbqpqvIFQ7Pq6s2_oVvyoicbU2BcbE6kBLSVfm7zE6dmBjUUY6sjP=w1200|https://lh3.googleusercontent.com/pw/AP1GczO75S_7pSS466NY45Poq_-ZEiQx1EfDb4gIeeefpApD59670VXlV2rwjwyidwCnhFAHvrXQ9frHSHMiujyuAmYjNbqx-VweOsGvMXzUimVIuJDfS1Bt=w1200|https://lh3.googleusercontent.com/pw/AP1GczNxIv6R_aXzx2tbLX2wcTWnD9s2p2uzbzLhOqkNLFEFh22fEiXjU7KQOHJ-DJso6cImQWT5x4a40bi3qmqP3Ph3HF2NN_zHysdzYu5e1covF3XBKCKv=w1200|https://lh3.googleusercontent.com/pw/AP1GczMqO5DsS7ggTvyhc5gOwsgvJIyazNmiTmZwKuvWJ2iB4JGRY6lgiduGQDYg8NJSbuxIqQRb_qeXD0o6IuoGggPWyXWZDQA1WuncIu0FQHXKwcoRqzQU=w1200|https://lh3.googleusercontent.com/pw/AP1GczPI9VnjuUh5CzCQWrskkmMruUh8xjj54X_EDXdFt2lD6gOdUo1YNxC-JTuF-Sx3oJbj4PDdZGxNjMmMgCbJntvBCDVsd8FmL6D30Xngzgi6YWKXwau_=w1200|https://lh3.googleusercontent.com/pw/AP1GczN4oQIxrUadMfp7qfkoGHcLchsf2pUZr2isd3FFT4Dzj202jFpJBoZKxW0MdoE0SG3YwzrY8LFIamnpkv9jR4AOO63w5wZdK9OMs_8xXs-PSJ-sLNt8=w1200|https://lh3.googleusercontent.com/pw/AP1GczM-R8roj2CO3F1lA51QEx6edr2D4jmXeLEGReCLOxOGXqeYypuaCcb7gAwa4ykVpMnBgZUOwiMuF-TX2MrpAW-UhvbIqP9R5F-kM8rDSIjugvJg5Xdr=w1200|https://lh3.googleusercontent.com/pw/AP1GczOl6vC00hqKh-DGQe8t7yqRrRRCkzJ_mTi6RhC8uh7FdM5LOrwiPEIzqBk9GdwncIN7Rle7DFuaIPyF-q1U0T6-VW-_qnMp_NgY_KYK6wA-AJI9BheW=w1200|https://lh3.googleusercontent.com/pw/AP1GczOzCLyRQx7OXJnPzHp3bU8yCT1EVpmIXWzrhvrTH1_mXViiOLpPbhpZVYQnFRNvewDwypNYptyY5oQYhKatH6keWRkj23UKRUOR_BKBT_aNryaIRcSd=w1200|https://lh3.googleusercontent.com/pw/AP1GczNjY27tB0yCHGfNV_SXv39U6Elyhv2rvFhleBoD6GdrapgVf4wGtOCNj2AtOgLslKFjXkshoPgGCyQSH8UTkwOI65D91JGcvFQ8YqwgfAAdp2iDqnce=w1200|https://lh3.googleusercontent.com/pw/AP1GczO1xvs5D6mGwMD2H-ni4gtw9-SP23u_89v2THarVitCoqq2spBlRvq9VFXVoEwurE4mOrg_2Eh92wPNXT2pFVZ_n5EuBtOR_fAWVhP_upJ99R5VSAkl=w1200|https://lh3.googleusercontent.com/pw/AP1GczNJDB85dXkMzwOL61YO5nuqpTERax2YAVK4R-f9pv75hxVy5P6EvgTQvlEKqyR8-rvBLCOL1_Q7EMWhFfNZKGCqFcYc_obzRmLiNA4u3bcAf2VwZOnU=w1200|https://lh3.googleusercontent.com/pw/AP1GczOxHGwDJlmWzLJYjkDV7qceB2w43NYSr2-jl5qWloFOhqS7gi6fvG_0CWm0SacpB3tdTh_UdyZyxn24PqbCazc_gnd97zPaxcV-SfbHz5MzYreJFkDx=w1200|https://lh3.googleusercontent.com/pw/AP1GczO5Pu92ooVMbsXm5gzbsm1-O5WbASeMK2fBeHxrXpb6FnyJ-deC1BuYGHyrIySvLGgpy1YMjeaBeQWeqwOcpNOCccBEy1YiGL9kiJQoNlMHgen9n8tL=w1200|https://lh3.googleusercontent.com/pw/AP1GczPcRKzZzZ22tjZgiX2xOUUIwUnLtREbPzdbuR56CDc-fJ4MF_ygxe_I7Caae4js9au06XjarEsUWoFO66rJvXGclwHhiz7hBDgEul2mer41D9TKgAOs=w1200|https://lh3.googleusercontent.com/pw/AP1GczOtuzR1Wyv1bFYj1rnSzLLXKTTaC58MfHDoM1NVjrzNUC-wIFQGy431jWjm0RkOMeHWst27WKohir_CbXQAYNluhW8MYPCd5XDOxUM79XYbkwFQ7tXq=w1200</t>
  </si>
  <si>
    <t>1084</t>
  </si>
  <si>
    <t>Casa de 2 pisos independientes en barrio El Saman</t>
  </si>
  <si>
    <t>El Saman</t>
  </si>
  <si>
    <t>https://photos.app.goo.gl/UbcxE6AvCGuuiQRY6</t>
  </si>
  <si>
    <t>Casa con buenos acabados, piso en cerámica. Escritura al día.</t>
  </si>
  <si>
    <t>https://lh3.googleusercontent.com/pw/AP1GczNw8Tho_7dqvz_fd-ZARBq0ZiPuC41nPlj3nJEUef0HuQkCD9x_nCVpPUvGVOY_3hDgYgk3-FI6YmI3FUehuJ40f5Fbj_RnbQ97pnr2WvBj6aewFM2Z=w1200|https://lh3.googleusercontent.com/pw/AP1GczP489XaUZHabziSBohH-qc2RFJD_lX4-k-QXsp44eEDnl1en2RXGlWffje6md3tS-gq_ugCwY4_ibIu8_sHSH2c8He8NFUWjumqEi4DXdVDnFj9LQdr=w1200|https://lh3.googleusercontent.com/pw/AP1GczMEsHa5nqFmx_U_MoYwqTY7Tsb8Kd5_JOS3wLj-6O4Fl9Ap8xXC0ONBqU3gzpMjHV8WhRNEA6PlnY2xmSgATRQxwiahRRZS9Ls6M2XEKVsg5vgZCnSD=w1200|https://lh3.googleusercontent.com/pw/AP1GczMLUGvutrDsRXtp68oiE2GxDL6nc3bRHCgiGq-tTD7QqgWPnmm2lXmhGBugtmxF7GWd5XMeOqkRW9IdrBNdwfRdoUXIRyloKoKBXwgYpdwdYsOi_6O_=w1200|https://lh3.googleusercontent.com/pw/AP1GczO7KCH1x2N5veu_a3TB3kCE0zaNcbMbk6jeQQYJz-HRuvR5r6me8j1HmmV0pTRSQ_nXitUhm4G_K5VY6zUocAV5rbuKYzPegwcWIgpUm-QqzUVFQbHa=w1200|https://lh3.googleusercontent.com/pw/AP1GczMS75Jkp45cods-Gzn-IsHqoKECKraZi4VhXDPhzy2PaOYyThanMX34MTs6rqbeVT2VyEPDDngglltl1juJBbS1DsB_kz-rnxhl5XNLw_j6G-0CAeXH=w1200|https://lh3.googleusercontent.com/pw/AP1GczNUsUemC0PLxs6YJJWRqFacR3LbKXCjJFxnSwZaXLejG96jHGli81B-tatGwFVCAXn7D_7h49iyxroD0pzYcQHP0Q44GRPSvJyKLejCKQpUfnLqByem=w1200|https://lh3.googleusercontent.com/pw/AP1GczMqY_NhwVUWSeyyRwQ3NIho85lnp7PcL1YEQzCzIa5u4TRKHxHyYAoG2CrRrqwpTn_1bPdEwI7BcIqH_sWuhDQpIqEqLVW8bq0TDs6TBZGoK_9JLfHZ=w1200|https://lh3.googleusercontent.com/pw/AP1GczNiMkCAXTMdb1Nc95O03N0fk174wBq-hNsw6Hv5QMk2ry_OGAJKJAvaGzh88Hi41Hh0aSCx1NmC-PX0O6zbZ0MPxx5A2yYWl0v5GlsrSdyCDdH2G6eg=w1200|https://lh3.googleusercontent.com/pw/AP1GczOUidzSIpokrBBdCBhyFTuy1-aCscLLIyuR8uCE4uEMVvqnd1WI6ov69mNU9j84FFMY2sEbTC6dq6pwQPQEdgCdE42KFEYZOeyBZrzcy2mJa_pN61Of=w1200|https://lh3.googleusercontent.com/pw/AP1GczMuWXe77DsOdcNbujdwTvCKv64P-YMdmlFlPTZ2ZJlMbEA48ggPndltgXh7JkEIcjNF2P-M-nPOmQKPq8zLjcF_bCRZxGXxOmdET_vARsecgsPonwj5=w1200|https://lh3.googleusercontent.com/pw/AP1GczPeVG6uFGGy3evuNsW7DqF1zbcVyTaDQpe1Xtw4kwN38OIDjEq-jpxuP7BSe29goGLmhes-YmqoOr5WcYFfRc2ULDB8BIxgynQGKXOm2mP-ogqI6J0z=w1200|https://lh3.googleusercontent.com/pw/AP1GczMnHs4v9gjSBlPuKSfWyEBq_-1VqaaOVVhLoyyjNrbdJIQgjEuvQKBVXv7S1JAjOdbigY3E1CyxLZoBKSxBHMGLaGJZTzei7pNJfU5ezdHjYYLFn7hv=w1200|https://lh3.googleusercontent.com/pw/AP1GczOZbXLiM6_FM9RMimH9NxfjZsL7Go5f_Iv9WA-6OjaoJXcBP7hbaD2s2VuqZt22ijv2VteXg_5Y-8RzR2ApCURCFR137qbktp-kbRY1CMtQqHp5RXm1=w1200|https://lh3.googleusercontent.com/pw/AP1GczOv120btcgyYH7hU7A02qqGSrsLdjFL1PpPrgDrGoaOc6UH3hPuCOGvuqPgY_jmx3obbFxwptFG71RKo0KVUMu3rrk9pi74J7hhuoeOYBloBimSHqwU=w1200</t>
  </si>
  <si>
    <t>1055</t>
  </si>
  <si>
    <t>https://photos.app.goo.gl/UmFuRays1ga56oJn6</t>
  </si>
  <si>
    <t>Casa bien ubicada sobre vía vehicular. Buenos acabados. Escritura al día.</t>
  </si>
  <si>
    <t>https://lh3.googleusercontent.com/pw/AP1GczOpThYuTmihxlvceOcIqt9VZKT-66flm-BEu4YS2-sz6naRpSnXB70W229l0tbhY3ASYiuR3xmTfscQWdo8XHmlauhCmOjxaeHLW7PmWFr2Qe6p6CI1=w1200|https://lh3.googleusercontent.com/pw/AP1GczN3n_ULvdzIGJx5PsI2VNv0kixFJutur2otAv4Zg5yJDbZwki__xlnbpeN0gGeOLUiLnTQfr1IKwT4xQ2LaNgxwf2rnK0cc-vt7J9V8YMj4XwTYOpXB=w1200|https://lh3.googleusercontent.com/pw/AP1GczO0ESNvU1463K8Mzs5iWV1XNOB4NM7RhK5wvEJnCyFg0ADRX3jsUt9wQPqLiHP7B962nWCTka4lJK6h4--vcKffwfNaafyKhoZeLDQoYGp2YFr9I29q=w1200|https://lh3.googleusercontent.com/pw/AP1GczNQlkuhpng3eO_QSVbdDKPMYHF_zmexNOwDCGCD4rcqHDD25DNgVxxaHMenzQa4dueCQ2BPsE7BUKFUja6_fEQbPsZz8M8qyFBrytCEwWfnzGpxeUJN=w1200|https://lh3.googleusercontent.com/pw/AP1GczMNN3hfWcrt2gTUkSUbUDtxJR3JQu1w3o65-D9dmTnSF42-R1E4dxRsPbfvUM2tzkkyey6MI4tyQtdh8qZ92cQsFRNPF33dqaNTKmwWfYTKSeuFNKdV=w1200|https://lh3.googleusercontent.com/pw/AP1GczNB5fuCsV1pskbvaCKTsiWtD056_izbEKIvdQbpgQ6mO0z5kXaD-4bfPKfM4rrLGJn8YOOQ0I6SJF6wQT4sI-7nqkqSTCqchfaqGicpvBuKy8BsxHro=w1200|https://lh3.googleusercontent.com/pw/AP1GczMljzA5A-3Qo8phD-cfZIyj_NssEIvrJlCQWY8sdRMkY2NH_NWTodQdw-16oK1mAWtlwJPo13lH5CCDq2v44Y3Be7FUSvfCScwtZU4kEHJvQex2eET3=w1200|https://lh3.googleusercontent.com/pw/AP1GczNbEHQWAQ0MIzjxdClwCVfbNDYVG3HK4okEJdMqG4eznHzxsNBotlWTErU_EQo0P3lWeGnQm_xfLXYjBka5nTppyp5L06MVmYfsugxuNNipp-vNtHj2=w1200|https://lh3.googleusercontent.com/pw/AP1GczObHdh4ka2KJG_ZFIt_MnN7vP6Wt_1x4qQUeI7lGDzr5-Pa4qdEQpC2X598Wdtu7CwxTpK3aOh3k33-1DVjODEjnLr7DnmCWLggfsQNZrDR97SK2_5y=w1200|https://lh3.googleusercontent.com/pw/AP1GczPETd6edp55TT_AE4ponSixRliUG4sbFS0cWaC8lhI2s26wW8wsO5B2e9Q2gKE0m4UYehpXcme_KhxWiJOQ7_y2h20zaRhJCeEjLyK7u574tkxWbU3Z=w1200|https://lh3.googleusercontent.com/pw/AP1GczNMSqJ4jMNNPa4h0re1T0yU2vctcQA4033hO-WuzGRSWFAI8eaLgz46Fi983Kd24Hil-00pSPMJjq5vVXIwtcvyctia-vmRY5tTFKf3w65fKOImbCiF=w1200|https://lh3.googleusercontent.com/pw/AP1GczMte32awzk6XFAYFIoi8sge0LuuzzsQFmmXOuVUbb7GXDTqLlkuPQ-8Xx9sXEAv7TSzlMGDs_E44wViG5avBPN3WFHIQIHFZynNHhz-LG9h0A3MHQJO=w1200|https://lh3.googleusercontent.com/pw/AP1GczNfXicYM7wOYqB5wpU55iwVjsrk0xE24qQvFnfAcPchF3Yug3R_XNd9LHbA8eTtkyazL22Fx-hlZNjXrGuqLJU9pPhy4I987sgQM607c3CdKqFyTMAV=w1200|https://lh3.googleusercontent.com/pw/AP1GczOiOmnDJtoYmIXTz7_AhX9C4LhJDllZgDc_vR7ypiV1dKAubnSCyJU77s4BORPA2eyRhd8y4EQe8GnxnKy8EA-7WUw3KfZX_StkPRVRCSr8u6Dz6TtH=w1200</t>
  </si>
  <si>
    <t>947</t>
  </si>
  <si>
    <t>Lote urbano en barrio La Gaitana - Oriente</t>
  </si>
  <si>
    <t>https://photos.app.goo.gl/WdAWd8AiTcs3vUBW8</t>
  </si>
  <si>
    <t>Hermoso lote urbano, ubicado en la zona oriente de Neiva con mayor valorización en la ciudad.</t>
  </si>
  <si>
    <t>Medianero con doble frente.</t>
  </si>
  <si>
    <t>318 5746312</t>
  </si>
  <si>
    <t>https://lh3.googleusercontent.com/pw/AP1GczPEj-2j8684CPnoWAtzh3j1mFP0XJ7JPg0jsBtXhsOp5s69WvTOrRoAd5OVOZILnNK7YTGs7LhJmcyHGpSN8zcg7nr10WO15VY8GpQCmtX3qygB21sT=w1200|https://lh3.googleusercontent.com/pw/AP1GczPUpBWwHubtD3AQwKoKl3TkKubLR0h_uwDDocl7MvSEEdAJzKqMCrUDuaB_9tGh4BE9ZR5SCieDLmjdMBRDq6dt43ENNi4j1zqtgBoqb4ej_o4m0ajB=w1200|https://lh3.googleusercontent.com/pw/AP1GczPjmzeuv1DV4HpYnEb4gtWTyOdfqfLj2W5qplGhnB_CoBGsgwDX_jT4gxKBXFh7AiT9jKmlGtb-ugsP_yKCOXxCPTjPaZN2fVvTvCn4VSUOIuKa-OVY=w1200|https://lh3.googleusercontent.com/pw/AP1GczPVUBbvzqxRon7ajheTcJEgQzApSws6WTtFJnDDnBZfOHgjclWiGDz0eAytHJl6j9zmVOs3lwpTAgowkCAA-wI_iSCmMhCj2xtZNi0gDRfi9GimPLb4=w1200</t>
  </si>
  <si>
    <t>1010</t>
  </si>
  <si>
    <t>Casa en barrio Sector Sur</t>
  </si>
  <si>
    <t>Sector Sur</t>
  </si>
  <si>
    <t>https://photos.app.goo.gl/5SU7fRn916vpbRpW6</t>
  </si>
  <si>
    <t>Casa de una planta ubicada al sur de la ciudad que consta de parqueadero enrejado y techado para un vehículo, sala comedor amplio, 3 habitaciones, baño social, la cocina sencilla, patio de ropas, alberca amplia, cuenta con un patio adicional amplio en el cual tiene construido 2 habitaciones y un baño.</t>
  </si>
  <si>
    <t>La casa está bien ubicada. Medianera. Cuenta con reja antejardín.</t>
  </si>
  <si>
    <t>https://lh3.googleusercontent.com/pw/AP1GczPnojYoquFxfCgQgRL6YP_O6GBcdlAzIsxTE-y7jB86oWo-fSS1qKZaDOr1QnH7Q1tUNQLBoaxnbQi1780WZnsgufZDs1uBSCIPQwyliwkQyS3a0Tsn=w1200|https://lh3.googleusercontent.com/pw/AP1GczP0qzNdvRErKl4jFaNDxYQeOKQGummFEnnZ6vOMkunvofPtldYcfDbUF62TnpsZdc8AnyXsy-0kAXpnD26CMnuP9NxI58fsizxc1XfB_EsHD4EVz-ym=w1200|https://lh3.googleusercontent.com/pw/AP1GczMO7hDoEAvG0bm4OKJBlIYwFv3pC2lIE03fYXd5ePzqF7cGT4Bt_dvUkPSsyUn9-PGxmDuLrPEFg0mPbpnggcv2I8gzFlLKNJ6Yzdm8XuOF-zefCVmg=w1200|https://lh3.googleusercontent.com/pw/AP1GczOkRIwIrIg8aC-mJem40v9kOYO1dx6Hu1kfiPpWafzhihgne4vvMhUlmIT8iTH45BXoN2REahKRNeflr-M5TtwThyPKLJ_uP-PRx8jjZ9vNz3VTgqQ-=w1200|https://lh3.googleusercontent.com/pw/AP1GczNMpRAe1cqJcXopXJu7-1pLllzqYkVKAPoj01YaiY2ZaD7z81I5cpVm_G_ZjQMhQG4VDgbwlUVtADEW8bFrjZs0rtM-kF49fNRjvZWjdWYTnI6pwbiN=w1200|https://lh3.googleusercontent.com/pw/AP1GczMfEmGLeb-zqCF9k87T5oDJyNZch0f3DmdGeby6MQNP6u0g8oPt8ifkJ0IpEpt1NsPdeh7HZROjuoAtAoR_CCBP74RSM-bfArXbgtZyhefdL1IeEz16=w1200|https://lh3.googleusercontent.com/pw/AP1GczMr0oElJI8sW3JjBV2ezCMpGTPcOP0THTHs2UCrNOGylftP3E9TTyKign2G1GlhD7pHRyRleYjtR-Sx6ea1-Q1LEBJSwrnophJRE_7Avnbyzgz_EZpx=w1200</t>
  </si>
  <si>
    <t>1326</t>
  </si>
  <si>
    <t>Lote urbano en barrio Primavera de Buganviles - Oriente</t>
  </si>
  <si>
    <t>https://photos.app.goo.gl/sn3Y2bei6UCPRzBKA</t>
  </si>
  <si>
    <t>Lote bicado en la zona oriente de la ciudad, Primavera de Buganvíles, con un área de 112 mt2.</t>
  </si>
  <si>
    <t>Lote plano, con servicios.</t>
  </si>
  <si>
    <t>https://lh3.googleusercontent.com/pw/AP1GczNeHA9sJNBWq9GmVjozE-OmuCipfnsHRuyFa-dmNVOopiehv-NZsVf9xcZaCl0MCoaRlkS4wD7H9nFVWJMah89HQ68fL9RwH2OF11_XJFeNl4c4iSAt=w1200|https://lh3.googleusercontent.com/pw/AP1GczOJbDeyd703CTCtxdoa9e5wyplr_4gpbgojTg5008d81IM3EiiKl6LTtyp6emajwus8YxSNPfCPgT_sbKu7FPYXTRtkUCBY2LEH8pf_nx72h63yx3jZ=w1200|https://lh3.googleusercontent.com/pw/AP1GczNGntGuyw9cB_ZsOVepPHxJ2qSCHu9XtfpSygJVqBuy8xQSUQOwr1dM83jzBUCgQ21mFljxgzC9tka-hXffzZIm6hcS0oH_uj4gXrnZ8ASiOh-u8X8T=w1200</t>
  </si>
  <si>
    <t>953</t>
  </si>
  <si>
    <t>Lote urbano en barrio La Arboleda II - Oriente</t>
  </si>
  <si>
    <t>La Arboleda II</t>
  </si>
  <si>
    <t>https://photos.app.goo.gl/osbC6Z91wDPytfqm8</t>
  </si>
  <si>
    <t>Excelente lote para vivienda urbana, en la zona oriente de la ciudad, con alta valorización.</t>
  </si>
  <si>
    <t>Estratégicamente bien ubicado cerca a Universidad Antonio Nariño, Colegio Colombo Inglés, Centro Comercial Santa Lucia Plaza y zona comercial.</t>
  </si>
  <si>
    <t>https://lh3.googleusercontent.com/pw/AP1GczPAakgSUxrYjzNCd1gyriaKzZFrZKm4DGMhNVIjK4jpJfBWVxRk5PhvJBWb3QNxBWZgSywmu1kfjOyRQ6X_7-dztSQ4GYfyjmarD-e4UPkswprTH0iy=w1200|https://lh3.googleusercontent.com/pw/AP1GczOukd17YHc60ssZWRLHbQGuiBBa84v3JZlMIQWfgBMsOngAB8ELuc337J6JnFTyMKOQtkC3uIDk4Fhsc9o9CrGjpjflsyK7HQDruYuTg09qk6sfvY_J=w1200|https://lh3.googleusercontent.com/pw/AP1GczNdQmj8lTZPicgObAyGqfP9m4EHl11JMreazOaqnk1bAaZswKTXoQnrGAz43SnHcByP9UFP0MRIn9GAy2PcIMhiFoJt-GQFJYw9Vr9LzuyiwL3zAX1T=w1200</t>
  </si>
  <si>
    <t>1108</t>
  </si>
  <si>
    <t>Casa en barrio Villa Carolina III Etapa</t>
  </si>
  <si>
    <t>https://photos.app.goo.gl/SpZULHC9pfFEULiSA</t>
  </si>
  <si>
    <t>Casa con buenos acabados, piso en mármol, cieloraso en Driwall y machehembre, hierro forjado en pasamanos de la escalera, carpintería marcos, puerta, closet, muros empotrados y cocina en madera. Divisiones en acrílico.</t>
  </si>
  <si>
    <t>Casa bien ubicada, sobre vía vehicular amplia y pavimentada, antejardín con tablón rojo y granito pulido. Cuenta con reja antejardín. Fachada con viga canal. Molduras en yeso. Escritura al día.</t>
  </si>
  <si>
    <t>Jennifer Garcia / Menber / Jovel $340</t>
  </si>
  <si>
    <t>https://lh3.googleusercontent.com/pw/AP1GczP-X0WnzQ8GfksyRX-HR0KegkiHi79Zv_wb5a1TXzB_LFo-Rbvja69SLd3mP5SP5YKqmvVsd6AJ_gN_hyAEeyzQWJL8bM7FPbJCcZ8ZounMYB2SCU3j=w1200|https://lh3.googleusercontent.com/pw/AP1GczOxGjgG3L4SQW2MoEBiN92QOZEM3nh5wsTQhIwrglAEqEMHP_KH7v1xUvDs3lQ-ljA8_WRa9rvOWIbJ6SKx2ymMqIZDwQgPG4oiORQP-ntn2AqGQ7we=w1200|https://lh3.googleusercontent.com/pw/AP1GczNRNQeKyROt44y6AX2C6YHO3D8-HCDoAJUBa_qGsR90-kcZ4dYmzmimlSE6taFRh6Da-oCTjcKs3q94x5d0uQE8uy3Sz1Av_Qce2DzU0I9DE2EWIToW=w1200|https://lh3.googleusercontent.com/pw/AP1GczN0hOKhZ1dAgNJC3oM93Krc7e8B2iGDab3L4QSrW9gOnR2PmpxldBseUudaHVyjUGD97v94WRrFvSVZHaCHWCnyzvzPdZKpDGEL3NCfMPf6OmtyZVan=w1200|https://lh3.googleusercontent.com/pw/AP1GczPITjLGY5OIGSgr8nxailEpwtjA35Eq_KPTy7yVAwGTJ4zxMHmXwYEYcOK-fuFFvNO9GvvCSgPU-KTMBwkrQY0Z5pPHJJZjVEEqRMw0ZA7yCvMGnnb0=w1200|https://lh3.googleusercontent.com/pw/AP1GczPdEUEBqBkaRiMTtsIts2RZ1G4LSxnoUezwM61s-JS6DrMkyB7UGVs9IDFe9CeMk5v0ivyfpgM0m0nLH17Ga_j3flRllTm-UzfV5zE97U4w2ESOXD8v=w1200|https://lh3.googleusercontent.com/pw/AP1GczNdz0QIYPCs4CxJzszEpWEh1B74R2V20-O8HkXUebTY9iw_TCThLDqBtNVYSappZrsQSU8-J3zmBGDzm-oXIo0SqvPzERQtlaRs8_AsRlDIL_z1PMMo=w1200|https://lh3.googleusercontent.com/pw/AP1GczPNtzEbfLLleZiBUmbDvWtY-up_CEHd2GJja-ZQggguu3EGtpdWoTLBhb2re-FWD1Ltyk4fXlxGVcPyCLJaqb6Gtw_EgEwVl-Jyt0ypzdpxWqGjyX6o=w1200|https://lh3.googleusercontent.com/pw/AP1GczOBpf2jSvIAm_67OgdEbTNtKt5aZ8t_ctIZEOt3RJn7NSg7cj22laD3LYw_qfqgDwL0Y8pqYFyhss8RFqM-ddRXK_isM4sqw79MdaTLh7cAzlE6Zskz=w1200|https://lh3.googleusercontent.com/pw/AP1GczNVWxXUCv2Fft67_xv8EsQaB9tCmIeqwrstOdmzpb1O1nDrglNzvk0bIFnuLgoMXt_TpsDXupZdCW4kFPvYPg07nhPBHH78iRg6XrXq57VtYmIlZcsl=w1200|https://lh3.googleusercontent.com/pw/AP1GczPL99qC-err95PtiM-eJro_2T5JxUxFKzM4jXHXMBmCNl-gEaoJL7knsGJFr2-kCpW_vsnbykQEw0bHMTSyGW-UgolBI9jHn1phYLU1cebeMeifrO2C=w1200|https://lh3.googleusercontent.com/pw/AP1GczN96WT-FTAvH2oTjDYmRS3vXwKQaRMjnTp5hDspG80Nzn2r2S69zTmLN5X5UCsxiKH40xg_ndY7wXsYsVnmEv8DIcNCfy-aOGmGRjVn7HkxGOcbl1Mc=w1200|https://lh3.googleusercontent.com/pw/AP1GczMUG8u7ZAYTqNGvli1P1lUd9wUTwRfUB4rnvJL0e2vscm01QSYozUyaLmg6gdsi94OWik4YGHuGDj9N8b1mQxrZBUn5JrKVNzOjQuPTuNxtqsJLFlLK=w1200</t>
  </si>
  <si>
    <t>1027</t>
  </si>
  <si>
    <t>Lote campestre en conjunto en Vereda Lisboa - Ulloa</t>
  </si>
  <si>
    <t>Vereda Lisboa</t>
  </si>
  <si>
    <t>JORGE EDUARDO CHAVARRO</t>
  </si>
  <si>
    <t>15 - JOSE LOZANO, 12 - LEIDY YULIETH, 15 - SINDY MARCELA, 2 - JAIRO DIAZ</t>
  </si>
  <si>
    <t>1376</t>
  </si>
  <si>
    <t>Lote urbano mayor extensión - Norte - Vía Alamos norte</t>
  </si>
  <si>
    <t>Alamos norte</t>
  </si>
  <si>
    <t>https://photos.app.goo.gl/LYfAd5DWSnyKvNYY9</t>
  </si>
  <si>
    <t>Lote de mayor extensión urbanizable, ubicado en sector norte, vía al barrio Alamos norte. Zona de alto desarrollo y valorización.</t>
  </si>
  <si>
    <t>Ubicado sobre la calle 41 con carrera 14. Altura permitida 14 pisos. Libre de Cesiones.</t>
  </si>
  <si>
    <t>Jovel</t>
  </si>
  <si>
    <t>Calle 41 con carrera 14</t>
  </si>
  <si>
    <t>https://lh3.googleusercontent.com/pw/AP1GczM95GT3IN4jHWtvk8cZszCOsMMskpkDmKn6zTNwkcDsvuRXG4XPDYgyYAibiDfClRwBo7PaKfjnD_wKM_YctL5uZhf29tSPx4hGqdkBPa3m27Yj7qbv=w1200|https://lh3.googleusercontent.com/pw/AP1GczNAfrC5dkJ4-fv6N4nL_yZz-H7gL-oj9fZsd7fVzqNKnAGuXopW50uRV1S0VJP6J61gL7c9N_hC0B_bU4Yqa4BUJwIY3777EV7LcHd2NOKF5cWKsOZY=w1200|https://lh3.googleusercontent.com/pw/AP1GczOg3qfkr745HwB5aN3ZW3Mb2deum8lhJG_z3noBYqB2zTCB8obrVUyu_HMInGK9EUuaJX56hgHz8rPVwbGW7C9P2xFG0vlatQNmCWzVDYqTHr9KLvZN=w1200</t>
  </si>
  <si>
    <t>1384</t>
  </si>
  <si>
    <t>Lote urbano mayor extensión - Oriente - Ipanema</t>
  </si>
  <si>
    <t>https://photos.app.goo.gl/8dy5mWuModDURvc86</t>
  </si>
  <si>
    <t>Lotes de desarrollo urbanístico y/o institucional. Precio m2 $220.000. Corredor suburbano donde se desarrollan condominios residenciales campestres, al inmueble se accede por la Calle 8 que es un eje vial principal del municipio de Neiva. allí se convierte en la vía departamental que conduce al centro poblado de San Antonio y a San Vicente del Caguán.</t>
  </si>
  <si>
    <t>El sector cuenta con los servicios públicos domiciliarios de acueducto, gas y energía eléctrica. Ubicado frente al condominio Hacienda Mayor. Vía en doble sentido y pavimentada.</t>
  </si>
  <si>
    <t>https://lh3.googleusercontent.com/pw/AP1GczOSF2pGOu5IqQMsqC-sH0e1TlErDeWdrTLMk0u5dhwPm4RWaJx8Ua0ceLdrsrr03YWrVAds-59TmO4xuUXX3Y5xFlah0aUv6pGOxSkcfQHZO-ETBIYq=w1200|https://lh3.googleusercontent.com/pw/AP1GczPqsI0TukPh-YwLgYpjak5-aEAS9lg2xo9edLx24RihWFZpkACXIbkpV6Ik6Od3urFD0UsY03U0Q1bZjrs4uC51CUOWjv7VxwWx6HWSUEIJf3u6qHQM=w1200|https://lh3.googleusercontent.com/pw/AP1GczPVqmYy5XSrRyQlleXuqb7W0AFRr3c1xmq82lYKX7zBNgNnhDkKVU7MxMpEzS-pGpZzk_iW-mSKjBn_8mB-6m374jUnNdfqbfx9N0q5MsIwilEvI0gd=w1200|https://lh3.googleusercontent.com/pw/AP1GczMDfc73-WPnGqXkGA1DER8KRzIOpF1nfet_kBVx-VbpX1ymU9Xn_LXNSkNSPvKRuGpkyDvPK49KW1tPXKlDKmGSWswIXeFQeLVV2CtSJkHVD8hwKf_2=w1200|https://lh3.googleusercontent.com/pw/AP1GczOFMoZrEVntaLF4yeGqeK-SJoBk5qpzhll8A7jG1uSDzWSV-tmI7201PKuj8u3AlnpxxZupuByIkK_bdHlqrOxUV2N73mnDB501FTv5BIXFAo8avXSI=w1200</t>
  </si>
  <si>
    <t>746</t>
  </si>
  <si>
    <t>Finca piscicola en Rivera - Huila</t>
  </si>
  <si>
    <t>370.000.00</t>
  </si>
  <si>
    <t>https://photos.app.goo.gl/Mfw1xoU1p7hW17sk9</t>
  </si>
  <si>
    <t>Finca de 37 ha 1/2, Sector a 25 minutos de Neiva, Rivera a la finca 10 min aprox. la carretera es con placa huella, Cuenta con dos quebradas que pasan por la finca y dos nacederos de 1 pulgada cada uno aproximadamente, Sistema de energización Propio y Nuevo con transformador interno solo para la finca de 75 K, Proyecto principal que se adelanta es la piscicultura, Proyecto segundario: ganadería, Sector establecido de acuerdo al POT área para establecimientos turístico, Cuenta con dos reservorios de espejo de agua de aproximadamente 5000 M2, Cuenta con derechos de agua de las quebradas q pasan por la finca.</t>
  </si>
  <si>
    <t>Áreas ya establecidas para la construcción de cabañas y piscinas de agua natural. Cuenta con galpones de gallinas para 2000 aves, Posee tres lagos principales de engorde de cachama y mojarra así, Lago N. 1. 1.050 M2 = 8.000 animales. Lago N. 2. 1.100 M2 = 10.000 animales, Lago N. 3. 5.000 M2 = 50.000 animales, Tiempo de cosecha cada 5 meses y medio, Cuenta con 5 (ha) aproximadamente de cacao, Cuenta con 2 (ha) aproximadamente de cultivo de chulupa (En etapa de iniciación) 4 meses, Cuenta con tres entradas principales. a). Que comunica a Campoalegre. Sur, b). Que comunica a Rivera. Norte. c). Que comunica a via segundaria vda el peñon. Oriente.</t>
  </si>
  <si>
    <t>https://lh3.googleusercontent.com/pw/AP1GczPK-yiAj4nmERXlJr54wLjlQ5ba6OG1--26UycE6o9tlh9vqOHJMFuTl2Z10G69kTJrEKLqx4_a3zmMyDsuCgU0JpVBq5627SO-K0escNfv8-1dXAXG=w1200|https://lh3.googleusercontent.com/pw/AP1GczONF0KedeXGno7A4nkMQjYbQJ4Q2YtDJL8kTtHu-GLGFGOblS_UjzZr0qW2R_4NZkrheDIcpnSvbDgBnR_CHnDA80CW-0hpeQKehpCUeCkqYX9LMe_X=w1200|https://lh3.googleusercontent.com/pw/AP1GczNJqQzIIBhEpNuHgbWVkgScr4wZqPikdl6eE71OAprE7up4iSs89-UybM5b8zm7z0b_WtSwJ8qUui-h6-ZvgYu6XykPytEheoPNhbZK3T0hWe_xXKAz=w1200|https://lh3.googleusercontent.com/pw/AP1GczN1dVbvKZGZzXqh8SZd2IMGCUZKpA6mizyGj8wf4cOp1Nhi-L0HDahRRQ5VHwKdyMgmIHsoU4Tif6uUvTkZPaKlJSxcnh5mAF7ceEb6ZfIAt8_0keE_=w1200|https://lh3.googleusercontent.com/pw/AP1GczPzQIYcDgp-1UcdECjWKCwTOkoah8s4lwZy2GsFVHomag8gYaxDxsxzsUC6heVMsy1mjGO343qHeCHTOKNOjSvlDovFsAFgeX_9AVlVsx74ITXM6xDh=w1200|https://lh3.googleusercontent.com/pw/AP1GczOkKqvAO7VSurmyMAJm9AlhqnxhuB7okmrtwPF5LutVyOiZ8CDsLu7XsQuwQn-HH_LIIK4kUw7uP8dNfrVXx-LR3hhXIUheqdg3eOTOVNoyGmtrC4Q2=w1200|https://lh3.googleusercontent.com/pw/AP1GczOBJUaynVGO8fZUgJ16wACHr4UuTlDJLRe2J-0LNqt46GZ7wfsz0ZU_U7RpOJLqE-FkK3qcZPMjFKVPBuP9CxLejiA8dK5w4Vs_JJ1jWT4BndLzTzw8=w1200|https://lh3.googleusercontent.com/pw/AP1GczM2dUz9dj_G6mPIWgLITborAGzNs6nzLUtVQvURX2803Vrm1lLY5SdcnLR2Sjv2-sEiVmChgB7IycEhTx0NW2wAs8kHF446D8SsI0yehmGOmSEl5pGs=w1200|https://lh3.googleusercontent.com/pw/AP1GczOaSnbzm6vY9rFC-7bGg8YpTgpLBd1JjCoGTHyYVf7IZuj34vI159Zz0B1j5RZumvr5wKvshqMaM4O1YhJtbORrOLPE3UxjG-m4MX8cROgukTA6Deru=w1200|https://lh3.googleusercontent.com/pw/AP1GczPa55zdbU1we-id4lLUYTbwWlpiucDUAaKzZo5ZBDS_LeLEPz6AWsW8PBbetXRac3PwaAbgG8Q8KkVDYQiLd__AaNmRTszLfZ1AjBRPwfm5yzTVzgan=w1200|https://lh3.googleusercontent.com/pw/AP1GczO22rcvVsboNmaYO4L-AvQD0k4BFV9fFeLVg2hkEaxvxl8r3IovEr0dz0hMOPn5YQYuEdGyRzrTNsSt1P_v28IqODjMn-nuXEp5Esp7_ZC7kGWZapor=w1200|https://lh3.googleusercontent.com/pw/AP1GczPgmPe5seYKwJaLmthXLogSPKpmRfy-F4pHGcXPMo9bmOxGq2Ct943-0yP0kFRlo4wafdOvAEFZapKe3wmGwINYlspTmd_kEGscPSYhgedSsFJbCuhy=w1200</t>
  </si>
  <si>
    <t>833</t>
  </si>
  <si>
    <t>Edificio rentable tipo hotel en barrio Los Martires - Centro</t>
  </si>
  <si>
    <t>https://photos.app.goo.gl/EhE6jUHgc2zhCMUk7</t>
  </si>
  <si>
    <t>Excelente oportunidad de inversión en el corazón de la ciudad. Casa especialmente adaptada para operación hotelera, lista para generar rentabilidad inmediata. La propiedad cuenta con 22 habitaciones, cada una con baño privado, además de 2 baños auxiliares, 3 amplias salas, 2 cocinas funcionales y patio de ropas. Dispone de servicios públicos instalados y una distribución pensada estratégicamente para la atención cómoda y eficiente de huéspedes, lo que la convierte en una opción ideal para proyectos hoteleros, hostales o rentas turísticas.</t>
  </si>
  <si>
    <t>Ubicada en una zona de alta demanda, con excelente accesibilidad y cercanía a comercio, entidades, transporte y vías principales. Una inversión sólida con alto potencial comercial y proyección de crecimiento en una de las áreas más dinámicas de la ciudad.</t>
  </si>
  <si>
    <t>https://lh3.googleusercontent.com/pw/AP1GczOk2tRIeXLnhLsrS9lFaslpGvI8AGSLIJKwPL4NFIlQV337CtpX1dAElrd6b-Uav1tx39lBUF6sylXYCVxm6Hwuqa1X3BsxEGzVCkDWFU1JtuslxzHa=w1200|https://lh3.googleusercontent.com/pw/AP1GczNuur7FsEhOx1YNPLgWF35uchmkW7qHUL08KdBXMjkqh_lzCqsnS2IcKCBO9bai9bl5YtGkJt9FxWssXPuH_FWvvYfWCH8kvMvvV9k6r1AsSLH3UNpx=w1200|https://lh3.googleusercontent.com/pw/AP1GczN3qJxViMVs7WZAIfVwpzPMC0yF3KH2NNflmhYUst3LwvdXjXLYHe0oNI_ixPpyAEabWtETuWdT3UgtLJMAIDfZ8M-Id1H2r3zM7jhiW3ybgaBiec5_=w1200|https://lh3.googleusercontent.com/pw/AP1GczNJpNO5looMBMOyJVE_lvW6GqV_4h8frpjGD1e_lON8hRIkjaXIO5FDiHvzBx2OgYfJQojW1FG7tv_P4LhNrfAyXrEv8wD8jRTT_0grHOunZOiJ3p0f=w1200|https://lh3.googleusercontent.com/pw/AP1GczOj2BcieGkvDPh9kDoJCk0WV15QOg1vKGxyhMxTGMwfYX8z5cNw7RoCT2FfHiUxsI52PQrVCGNeQy5Gw1rH9rtw224j_5oAjPnGK3L9UIT778EL82u3=w1200|https://lh3.googleusercontent.com/pw/AP1GczM8vDc3bz_27vbSt03dK9XubCf4ttg5-3k_mvN2KT5vscm_m97QO2JR5G7G7jfVwf_oIxXZ-XTuXpkFtHr67h2vazBBtMrDw1Nx5tQg3U-lErDxDbyr=w1200|https://lh3.googleusercontent.com/pw/AP1GczMoRNDxhDpHPahx6sEXhAsntwmiZPANctH-qUb8BHodWTox2GenKUhfIbo4t8js4GN0HnOjLtdFuW3_bJ66wXcqK-ZRnYbOeI4VdEGkrgNCKh0PID19=w1200|https://lh3.googleusercontent.com/pw/AP1GczPCNY0wSLm78sGL8byhwEu3pejSPfdDCycGWCjlt3j5bIe5brvMft479CmOt0L494iOnZU8Aw1zTq5gQxVzOEk3RDYeVTVJL1N-RHqTl-GySKDBC7al=w1200|https://lh3.googleusercontent.com/pw/AP1GczNTmHewWOYc6pqehhRbXBTBBFocWYzlZLbjXZP-BjxAqi8Vq_JYAuq2jWd8yQeaHjETXPw7_bK7SW3H_zfXURjLubsNb2n5W6TYwjX8Brbyclq85mMz=w1200|https://lh3.googleusercontent.com/pw/AP1GczPKHvB7H37zC2sZgBMUi6Z5Ms0DcynuWqD0Jt1nNxqrGZrba8OHf_fvgEgsrEHwgKwqisBbeVPuRqIL77qqHQ5SHdObW7aNCqtVwT7xxrQ3iqao2MhO=w1200|https://lh3.googleusercontent.com/pw/AP1GczP06ksSTfJMdjdt-YphD4ppJD4YYuKdYNqaM8bEYk824WA9wSiiqs0xr6wJYO9LzmnHWUjDPycBAc__YdYDHFTnCMUmOgDbN8HZUf8nLdwXDQMTCAto=w1200|https://lh3.googleusercontent.com/pw/AP1GczNngJWdwhvIook4AIa2IxkBE84wWGzcaCKyF-olOV3yGSojsa3fpDghNJXzYFX5OHizQsTnFB_z7nda4itvfMFxaiK5UcGBQQ-uAMvjT5GbyvvN0p4x=w1200|https://lh3.googleusercontent.com/pw/AP1GczODRMcRQr-_RAyRE3gmT26C_Kd41WgSfzqlajLznUGbi8Xyh0qSOWtVaaVIYp38SSk3j2pWUVIikT1vGshOBqE8PWyLz9KV2tWTybDskyNHJ6CR8QuB=w1200|https://lh3.googleusercontent.com/pw/AP1GczONBso9aKmoVsZmKuJxQgswD6clnCzaa6ejeyOIukqT7L2DJtzyzd7B8E1jV6GUXntlE13d7qJI9SJXfMq9dm2Tqtm3xnYy0Q5zh14K32prSP59XZ3x=w1200|https://lh3.googleusercontent.com/pw/AP1GczOxlwMvet_utS0EzAdw1PXGrJcjtI88W3STumVsy_kGd5HcaEbK73C-N3Biv48TYm5Htc9MIigiORZmbCS8Wr3PlPqGX0f-5k7zG82idh72-QGFQNaK=w1200|https://lh3.googleusercontent.com/pw/AP1GczNwsZJEYUXnbcyOkUT00hbBRfa4lJKow6Yr5y8U8js6j6TNN_R4yZv4I27QWTej7UGDKe-eQ0z1yczewg-4lRy7hhSBYI1t6le0OjqdqCsQoW0WOERm=w1200|https://lh3.googleusercontent.com/pw/AP1GczMEFJ_Dtt05LiRzEkZFFFIY44rqjB7vhe_ZoiF1fb8mB9eyN6e6Qdd6W_GgGphwbzAIGR4uNohQrOYblLVbBBmoBQ5ZJh5-f7GkmmdoyIgmiVQ79K7K=w1200|https://lh3.googleusercontent.com/pw/AP1GczNKNB4f8KJ8vANFYlY0VfGXKL51xpwYdILliPw4SYMYd5QYnQkhDKgUSIpUa7BNCPLy0cIM230zVSTwsTynuWxl9hrqtQk1Bo6bP-gLBsDeaOAW3OAm=w1200|https://lh3.googleusercontent.com/pw/AP1GczN1VTNMu9DwD1ZCP6tLJzX8-eXr9pMkHYSn8cPEAoDqIL8lz3PhNpZvZ4-KbtT3P8tv2NPMFW-FTgiEklA3ppwCelT_pqoWSLb04s9KpIz8J6eW5PuP=w1200|https://lh3.googleusercontent.com/pw/AP1GczM3x7LZT71zqDjveqkIQEEE31gSuaDpnyznuB6qW5J5yRaAeFUHlyO2WfzM_V424wm-hA8Dmf8_N4tJFmDAux1rRz2TNfHNksyzmX4oAEW9l0A-S-dj=w1200|https://lh3.googleusercontent.com/pw/AP1GczPqL9aAISBwwGGhYUSok0_MgTFG9u5OPgSevBeoYEMwnPfCWRfy1cjBNsWoIb7mvbNmbwqgmf8dHkxnii_tYI_WpMyVlhk2MMdOBSom-_aK0FDjexpg=w1200|https://lh3.googleusercontent.com/pw/AP1GczO_twwPEzehQT-acita_jejfxJdoJJ_oapArKwLzK7tw4y7T8zhx56PxDeHm9rtBXkcnL0OUFM_pe8oNGIF1uA2lUUpgnODf6qbUoL4Nbkehde7nKhO=w1200|https://lh3.googleusercontent.com/pw/AP1GczOabIdNMJ7jAEKglPeHxzrciGoT_MXv_V8Hhhf1oNir24YSJC34DAi9_nCKHpl2L7SpZqr2Ws0SgK2iSbI7wTYMJTYgijE0AYyWzw4Rtnl_XQ5mK5ps=w1200|https://lh3.googleusercontent.com/pw/AP1GczOtwfCOUYoJu7BtQRcAZTikypPda6v6DV8I5OUSoEFf-N4Fc9tjaVJ4CYLAHYXlcB7WDrLX414KB0uwn65lC8IHZHovspFA5b0g6oj1d6pTSiyAlMai=w1200|https://lh3.googleusercontent.com/pw/AP1GczOGRMGk45MI3gib1PEQ4bOE0M19jzHvM6j5oGWNEJcIbqS2jPbIBo7A2BevLeKJ_aiB6NCcsYC_idCDAYyYDpZ-FmaSVC9szg7KZxycyc2Xf1MTO3of=w1200|https://lh3.googleusercontent.com/pw/AP1GczPa4mJDHo7JjqXF1osn-u90j5ZNU8aydo-qTfK404ux9hna5ozGcYZohW3upFPwlc7oLjPLRd0BWz4oMhvQ2uIxo9T0wZS9YtMwe_5bp9It7hrGARjq=w1200|https://lh3.googleusercontent.com/pw/AP1GczP3kcIBH0CPwfppV1oX_PBWzCv0_aCt5238ZJX7NZn0PiggpBt3sSL5rRw31YOmgRY02u6s48G3yecBiZXnTCLrMhsrLusX2U_CK1u30eLj4kqLfvlU=w1200|https://lh3.googleusercontent.com/pw/AP1GczO1VCjbqAttfktU3DjSddSLVYFu_R8Kb5xwtWaqC_pRKx6XkRKM8PYMSEwn2pOTjxQ8y5XhjaUvHaxLDiMvwMw_0MsyEk8XvoEpe1z6inOuqzaCXL3s=w1200|https://lh3.googleusercontent.com/pw/AP1GczOdiKqXnYYpxX-8oNLiiFtC3XPKDAwzy-hvcl38ORB9mxAZWDq0rf6IhRzqYOzoHmdlU4hDFCdyOvtIyN4a_PoTz68jZFZOW6iqhjZvCTvdF-RlVUG3=w1200|https://lh3.googleusercontent.com/pw/AP1GczM74MEDJydHa5GmNqWEksRvD6UrUrh4w2tulemDeWMFpzZC5bavH-Wpo_x8tLkgaHvoCBmP7SCCr5qVxmqC3BnD_8pFcGJ0GGcZZ5g4-WdGSaclCZCI=w1200|https://lh3.googleusercontent.com/pw/AP1GczPF32d94Ap6Z-qgWvFTQDYT-b97LZ8y2a7E1AYF33rtQQLOSOZFvdE-X9nJ0HbvfKCXolFV6RbMbdwO4_hTqf9w94qYwNhrnONAf8r85aIUvTDpiepS=w1200|https://lh3.googleusercontent.com/pw/AP1GczN-UqMflBTzUzycYzwTgS3O0S566DsYpa8TvCiwdt_y0o7Lns6CFLlm_rQByRUlnTz4nUKsxJMI0KAYrTPuONg07qgGIJepp6AEXyG5S1fdQe8GC3hK=w1200|https://lh3.googleusercontent.com/pw/AP1GczP7nCoLC0Ta_4AJC9IQfCK9ge6W2GTZPi3aajbhX89YATgMbsv5ys9Hhw18DudhM3QPIikxdWrDa1DdgSdCJuoTl068J4wSOlH3V6Zj0vLMa75WuKS5=w1200|https://lh3.googleusercontent.com/pw/AP1GczMPiy5ektmbpcewlljfyEqPtPG2T0aSLwwzT9CUhAay-TevFiSDkaXK1LvH71MdNdHUCZ2tHs87QlDJ0Y0eSpDK26rjztLhB-ytpbQo57mzj8nzYv5R=w1200|https://lh3.googleusercontent.com/pw/AP1GczOu-lYuUHzuX9IhrdsA4RaGknRaAu7QMMrrkFj5S8vqNZv8Km1SnvGKWg0843Z5EQkj_nU59yTbFCoRm4gQ6v-hT93TF6mbjb0ofcU8iDdoskN6MSxm=w1200|https://lh3.googleusercontent.com/pw/AP1GczMT85o0eDYn-cVElllb672ncs6jTUF4N8GrbOtDxEPuqb11IHRcWUk8gb_rI3ubz6IH7spQ_V9YKO0d19mw7ZAlAZKaU9s88fEsfrsYGSvv4tlIriuQ=w1200|https://lh3.googleusercontent.com/pw/AP1GczM9IRezIheTG7gKJAzJ4NiZ8wrJJWJ3orlWG2xvfYWmFr9g8PKmB4sbGBaYrtXMvgQO25H2FPHIyuyn0jNFXqAEX-NReoh0R4DQJIZ31coF7MXqJx0Q=w1200</t>
  </si>
  <si>
    <t>1366</t>
  </si>
  <si>
    <t>Lote - Oriente - Ipanema</t>
  </si>
  <si>
    <t>https://photos.app.goo.gl/1prXaXf8KNjgUonWA</t>
  </si>
  <si>
    <t>Garantiza excelente proyección y desarrollo urbanístico; se encuentra además junto al nuevo proyecto VIS de la Constructora León Aguilera, próximo a iniciar, incrementando aún más su potencial de valorización. Con un precio de $390.000 por m², este terreno es ideal para desarrollar proyectos residenciales, comerciales o como una sólida inversión a futuro.</t>
  </si>
  <si>
    <t>Lote en venta de 7.000 m² ubicado en una zona de alta valorización, cerca de reconocidos conjuntos residenciales y del Centro Comercial Santa Lucía Plaza.</t>
  </si>
  <si>
    <t>https://lh3.googleusercontent.com/pw/AP1GczPayQPnGIpyXhDkLX45-0i-05Bp4cYnd3l1NknY3uDyhXFk7Ow4yzVDnUUkO51TAVdByKgvHPCpT-ylfz9Q2Trhs0IxuI0fT0U86BhGmFTSsoI-pQEj=w1200|https://lh3.googleusercontent.com/pw/AP1GczMIG9ACTJXOV5gOUvIoAzNrJHXqEIGNIMdYuMI3eTpCqAUD_k-XrlOczWXfr6zjFr9ZAed2KxTNfv-pkzmAQTc1ZSxe8EYaEq_tIiVQWM78LNkBVlZX=w1200|https://lh3.googleusercontent.com/pw/AP1GczPd0cmzyDF3FezieK9h9N2Uw-wiKLsaEeulzq0Ltp3_IblJrP4QcdZCDqWvmX8IuivZH0NKScFIJFWAE9n_P1XqP59t2ueGtifdJYEgum7bnJGtPAwZ=w1200|https://lh3.googleusercontent.com/pw/AP1GczNolk8Q2m5UmBeLTRT94SZxgT25lJ6Hp3pOIQs2s8o1QXSneWSgxdcv9wdAccY9SjrOVxFOwdWBbIc7zmJMUD_OEq5qg1v-DaShrTvfJutCwrrG-3eT=w1200|https://lh3.googleusercontent.com/pw/AP1GczNbOA35rASdmmlU37Mvnhee5Ssxzjd0Xz-WNfuv3C-1-YQUppIkIb0dfPdFy8HqfilwOIeQ7lxfSW039119ayVbLftRbAEdqzE0mL6XCwQiOuklt0-6=w1200|https://lh3.googleusercontent.com/pw/AP1GczN-QOluA18BmqhSJFqGRufUwHO0khqUGAwpA8BORmbYHx29RTyJ8U9HVi98TwLujhoII341L_9hwQfonrxJJH7r6igor6NVEOHbgZeIUeQ-DG9UVyff=w1200|https://lh3.googleusercontent.com/pw/AP1GczM62WXz4ywqdur5bV-ySOefTpwEHR0z_TA5LXcP3wXd7nfY-66hhPJ4GYdEwrSI9BCsEvCx9by12kzjobEH8mcEc_-QSjX5hd8SiEAYyxVcL9FzD4Zf=w1200|https://lh3.googleusercontent.com/pw/AP1GczOgQLx57VpAMVpd0Lf3EdLPAvt_WX0vCMPPkQ-a5eRo2fW2iAB4izf4tEMZ0RZCuou551pXhBub5wYKOviJ2r2psR47Yxu5Pja7zS0W9RfI8dIlx-qq=w1200|https://lh3.googleusercontent.com/pw/AP1GczOjeVVfeAIZTGOFMsSgl2bLNF89pbl5z1fxRP4O_iemT1eQW6QRuOlQjmyfeKyTsTUx5Ru-BqUC7aihORXrikvi8xA0cDxuyKLmh1WyZmSOzp6635Ic=w1200</t>
  </si>
  <si>
    <t>1329</t>
  </si>
  <si>
    <t xml:space="preserve">Casa campestre en conjunto Condominio Altos de la Pradera - Oriente </t>
  </si>
  <si>
    <t>https://photos.app.goo.gl/bpqZrxB7PWs7kjrJ8</t>
  </si>
  <si>
    <t>En su interior dispone de sala independiente, comedor, baño social, moderna cocina abierta con isla totalmente equipada, sala de TV con barra, dos estudios, jardín interior, amplio patio de ropas con zona de lavado y habitación de servicio con baño. La zona privada ofrece una espaciosa habitación principal con sala, vestier y baño privado, además de cinco habitaciones adicionales (dos con baño privado), todas con aire acondicionado, y baño completo para invitados. En el exterior se destaca una espectacular zona social con piscina y jacuzzi, zona BBQ, baño social exterior, solárium y tres amplias terrazas ideales para compartir, dotadas con blackouts exteriores para protección solar.</t>
  </si>
  <si>
    <t>Espectacular propiedad campestre con un terreno total de 2.028 m² (dos lotes) y 500 m² construidos, diseñada para disfrutar del confort, la amplitud y la privacidad en un solo lugar. La vivienda cuenta con jardines perimetrales, garaje exterior con capacidad hasta para tres vehículos y dos entradas independientes; su acceso principal ofrece porche y elegante hall de recibo. Como valor agregado, la propiedad cuenta con paneles solares para ahorro energético e iluminación exterior, convirtiéndola en una excelente opción para vivir con comodidad, exclusividad y sostenibilidad.</t>
  </si>
  <si>
    <t>https://lh3.googleusercontent.com/pw/AP1GczOGoZiiHny_W3LqC7QnOS5-M-03B942z0rvdhWa2JHS2gj99ea1H95upsl1UKBhs03xdCNH1AF9Vg6LymkgmD3KAe2P5_QYBuV5AGUPiTU49q1K0Fv7=w1200|https://lh3.googleusercontent.com/pw/AP1GczNv3uUjTxtWglGIrBAs5giMyAQN0i-2aLbOLk7Uvw8SatovrHS8OHa2NlwEfVM6i9VFhLL9yNRXVoC6RShSIOT_o-3N7jdwSQoBInTotdqmb4VIpQvt=w1200|https://lh3.googleusercontent.com/pw/AP1GczPZ3KMwjAK3eSDEKYkIizBM2gb8jyfHuEcFadY8jKCfXKCiaN9vipYhIUbxy_d1U4psVx_zvCYJqNDiZV1sJQxKscf2mrB2hdMA2SrtTzoLW0Z8qaE3=w1200|https://lh3.googleusercontent.com/pw/AP1GczN7xNMol1Fn9tEl8aoYA9FP1LrUVhgdazRL1xtBEyKSc-Mrk8C0tnqoYRnjednK24wsJkoyP52TeQilWSYoUhsR1aAQ7wiLeGeFNh3mJACgBs7TwfRs=w1200|https://lh3.googleusercontent.com/pw/AP1GczNAr2D0I6WE31D7BialSAi1PNb44I9Wz78rWrdLSE1j8CzZVrRm31aXP3DcKsfq9RBdY8yEXyZNbUUV6Hlfxx3gBfi-a2rWopOTqAwgP7fUP32Fjlg3=w1200|https://lh3.googleusercontent.com/pw/AP1GczMKP4-EEM7CbedszpgsU611G4Y0YrO1jOIMEBrLKnKgqIR9nClHeJC5evEQgMRvlEEtTQ3NiIJzocf2fsHQ94JINjwlsrtyKmth8WwZWK2sIl8YezCO=w1200|https://lh3.googleusercontent.com/pw/AP1GczNAcnvguZV_3HcJ0y3WBo2HQ8g6aGrr9nSq9OdRSXBR_Lo5mPUh-btozPLn8C5Si1xSFpNKbs4fcnQpr5fbZa8JDUAy6nY1oD1XZ5xgCyrwU2QxBybb=w1200|https://lh3.googleusercontent.com/pw/AP1GczMBmNMt8yUk-ocFwE73OKz090Wrvlhd7VK2KLlQCZ1OVMA-oUr2U4S-s8-EhTORxWWJ_qcfhZkrU8HOR-ljc3ypx2-E7S2GPyEv6ZGlDHewUOhMurdv=w1200|https://lh3.googleusercontent.com/pw/AP1GczM0QLI6g_adN6eMWABqWu9WEBrpbKht-A4BZhH0GphxWT1kGG9QRcAr2gOZi1w38pNKYGrBmcqh_6NNy63BZIKZBU0xGM16XLQUe1Uz69aFlk36XHsc=w1200|https://lh3.googleusercontent.com/pw/AP1GczPuIphPNVs4ymLsbMgQHvQQnOc4_f0db38pRWojb7-QiWdtc51PMxYGmZgG8pKEOxf9C7UIOBeaqGjzmpd7W02yik2SagMyWv2lclCgAS3URdS82ZZ5=w1200|https://lh3.googleusercontent.com/pw/AP1GczNyeygdBEPZa7pjj2PwQfsuD2qj8VwJY7SCHZfO7L6dNpYxaJg1W0SbP__P182Ioio9iqqUt-GMYYyXDeb6BWNc3TqkpzUN-UoV3UY1UlUyIyH8qACE=w1200|https://lh3.googleusercontent.com/pw/AP1GczMJjN8zvi8SPHajvel5JIJTQs148nLBluJmk6h8hMV0DuwsNmBknHpkoyWpZHlOA8NL9ObkRXvMbdPL811MX6PwhSTQ4nR2wKdlzb_lJLSoW-1vOEbu=w1200|https://lh3.googleusercontent.com/pw/AP1GczPUDX-KsyQumOWJ-cm8x3awYXfpmG-ETK9Y2jydqLfv3VnUvOodLw-OcBin1wu7S9R6mlrW1FhrqcBVrrNFC1ZQS8_ii5te9ffE1ugaKzRGHZcW1gD0=w1200|https://lh3.googleusercontent.com/pw/AP1GczNpKg_P1X191MpGbP11UGJXBFwIf58W5dBgi6kc-UfQ-n-FpuKDUCeMgCFoKV7zSTKku6HGvg-Tz-ZVuWrRjmOr3CCzq-sDCPJTaUErgjIV_ylkt2m6=w1200|https://lh3.googleusercontent.com/pw/AP1GczPpU_blcPr9ArTJgXdSnS2THMi3IYRlaLIPTLCMXCbOqZhnTX5ntBtKgirfQG-6j240a0S8jdocFlSGmY9iQ7GZ4N25-hcXLgAo1ogagQk7ihx_AwSE=w1200|https://lh3.googleusercontent.com/pw/AP1GczOcq5z-HAuQJMZpiPGqRoxPl0UAzxFxFv5k4Q9YH2j3AW2cUWUN_xHyndOx_oXMaMVJ-pebXdiM3-7FOe5SPAnj6pneYna1yUQjBPJ5H7PnKTRTnp-9=w1200|https://lh3.googleusercontent.com/pw/AP1GczM_fszWp9rS-w1yuxuPKckXBsirhKz0fXSrkhZF8iv2XiO9Mw243AyzBLd8FxjwNKyooH-pntUNZW0CRV1Y-VLI8gJpBzH6uAZzJagnKhTXq2oFlUnS=w1200|https://lh3.googleusercontent.com/pw/AP1GczOke7gjaB0FeE3-jVvfpwGMYcM8tlvoSae7f_kluOfLRnmvpNEvbues6IQk9ckmXGDRCFw6luf92LGa05xtqTa5XOz59wm4DpdYLV7xzJ4UfFOtaOJP=w1200|https://lh3.googleusercontent.com/pw/AP1GczO2PWH9YwATwpRs9M0ic7XeJRL65YjcBIPirtr6-2bmhRB-Pq00weA72eZS5XDHEZ05q4pxBUiEhUgalJtozysn-ae9XqUY2KiwLHZFp3iPhyoKmZM7=w1200|https://lh3.googleusercontent.com/pw/AP1GczMpujj8ErwW9Qg-ZL1_CkX7bT4BCQb_x885W-p-7VQ_Zo9JSaq0V40C4wJchCgq65-WE2hXMYq-Fj0bw5FE8j7Mt6ohnmreBFlBniOFoA8Zpf6zZRkJ=w1200|https://lh3.googleusercontent.com/pw/AP1GczM7vXoZnsTd9G3YR1bhbX3d_m0ZvlWMDUb279nwEZ0DNGgbmqD8YwXZVxPNV95TlWfZZgzNCYNqWfdRJ2aBE27dQoqARB_9zzF5MOg5v1HQPsralWdM=w1200|https://lh3.googleusercontent.com/pw/AP1GczM64VOQQxoZvV4dF9C1lhpDE4xLG4wVSf1U4e9OmVDNXIENfHD46O_UqFZDKocV6xU9Gs19rJE8qoJcql4pdEW4a7rYIuhgY7XODUj3cDMr8PZx6ltD=w1200|https://lh3.googleusercontent.com/pw/AP1GczPisoN06gyN0vVkuGSJJHCE6K6UMug8mOEpTDhcKqNopiUzzMuqDyqxyZV0zq6lxT2Hy_hYrJudPK_-xKFrf13FLrAxf-9qasqQjvMpSI5FqvwYiEJU=w1200</t>
  </si>
  <si>
    <t>1295</t>
  </si>
  <si>
    <t>Casa en conjunto Residencial Siena - Ipanema</t>
  </si>
  <si>
    <t>Conjunto Residencial Siena</t>
  </si>
  <si>
    <t>https://photos.app.goo.gl/HwZVRRfpX7Hy37dh8</t>
  </si>
  <si>
    <t>Área lote 660 mts Construcción 440 mts Primer piso cuatro alcobas, tres alcobas con baño, baño social, BBQ, piscina, zonas verdes, cocina integral, área de lavadero alberca, salón de juegos, jacuzzi, paneles solares. Admón. $900.000.oo (2025).</t>
  </si>
  <si>
    <t>Casa bien ubicada con buenos acabados. Piscina  + jacuzzi privada</t>
  </si>
  <si>
    <t>https://lh3.googleusercontent.com/pw/AP1GczP6fDTQp3UhsVqlgvGv4DTu4rjgGyUtDyaMo2QRP1QVcAN6_mgxhCxNEupjXLQYJQJunZQTE_q2MQEc9ka153EDLeMDlpk5Y5e--L-vWZadDgPxBOD1=w1200|https://lh3.googleusercontent.com/pw/AP1GczNYGtNihx8YPJM1Sxb-2OAYXN2O2eE895EZWHVW_T3RwdxpJGRowb6vt3P4OUBnF3558HTYmqp-lTboO7LJlM0ixjvogcMXWzDgy_rMYUaXArcteLmH=w1200|https://lh3.googleusercontent.com/pw/AP1GczOlzhC0zneMh9OgflcuEcfjJPSBhMX0JGlrBXtMXHsWKukKhSJ16vuoS3ftAHH9VllIguCmhTNGXWAIdJlEwhZSj26tCY_IZnh0tnziJnfSU9vvyBat=w1200|https://lh3.googleusercontent.com/pw/AP1GczNbCWLuZkCJJdKLoFPkdpyaOSuovIimh3mOxh2w2h_O8llLY3Uvwj2c528Fu4lJ_BYXesIoOI-IFVbXls51llZuuR3c_fI1Cf3jjGLxE2BlGsHcTvSj=w1200|https://lh3.googleusercontent.com/pw/AP1GczOawze8JBTIqIMnf0jSMBjNi0NgafZtbhzxDvVGs2gRtLvrWVYbWC9YTo33IY6_hXkr7z4nI2E7BB1pmVCrFdFFhRGgq105JfB3COcfUXNirPE2hXGw=w1200|https://lh3.googleusercontent.com/pw/AP1GczNfYUjzju1VOzCQ2nO3aWVenDcDgsVKlaXlylf3IUEDSwjDnlMu-Ir9IAInBLBDLYBd4Aj0Y7TjCAse_0Xc3XeSOKT_2cjafMIujMXkRyd7NwsJaN13=w1200|https://lh3.googleusercontent.com/pw/AP1GczMcHhSimSwxAT-8Mp3ldwyJBeDq0I3AMZZP0MD-NiFxfpd5-ZqhZIMFX6-U5P-6-sDXCQ6gq-2yI0ZiYZG2BjfRHTrmnmxJB1vOJT1Pe12e1mw2qME-=w1200|https://lh3.googleusercontent.com/pw/AP1GczP1ewLF9cWxCOfgK8LIgBOH_VTYCZ5iHIk7ZzbZmMd3zUrZ-M8p9e4JGhS6Kq_p8GNnuorc66LLfLgQt16HRofxTJBEP8P5Ultmt-qF-ypk3K4rqPz0=w1200|https://lh3.googleusercontent.com/pw/AP1GczMuX2w9PbbXsCqJipg3GI1p_a4jjFIblrKihI4Fqg6FGF8dvKJPJfh7XUGoWQPUL1fI7Uu0w_TpXzy3xbwsN2vm-3c_q_8miC5E5r28L4Hj3e49Pgl3=w1200|https://lh3.googleusercontent.com/pw/AP1GczP1pPgPp5qzkm-KkKiuHSACQi8HZjlGGa9y7_EoOL3OiEOu7_hxOFQ8WlGN2O_w4B0I8YRL7w2aUhljwC_xFjh0DWFYw8LsCQHllxxqHUQK-oPRX0eA=w1200|https://lh3.googleusercontent.com/pw/AP1GczMkNzONyYlMtzWfmh3m6Sdxqud4qe04pIyu2K_Nficn4X-YUPwmq4OGIkwsXBPZe1rLXsNVVUNiX7zXfz8PZhhH05UW0ujR5S0--LiAzSk0hqtRE0Zw=w1200|https://lh3.googleusercontent.com/pw/AP1GczNGTZJUtbwr5Cw1uaFUM46ee2TO7ufyS_KkIltF-uhlyei4VR6QmkbXCFnXtKgqshMx8AEljXIGqQD6EmSGBwkKogNLokxjfC5ZU8RYQeAetWvD7-aT=w1200|https://lh3.googleusercontent.com/pw/AP1GczPJ49mV_YBsvDtGf56eGP3zzno8HidHNvMuOy8EY4GH34B0xqvtqnQNQv5nn3K49yNeFAMxBBw9scLkZRXpnqwCH-UaCRm1cVasHpAPmNL1kBDba3pW=w1200|https://lh3.googleusercontent.com/pw/AP1GczMwJeMxp9DJTeS25LI3aGlSp1Ak_YMRZJvGSAjLf1oILLjApfAf-u4Zv95YQ0DyhCAc9i0nmhAiORCjWBFpFZLAF39dV9K90LYlcBnA0rIb2iqWGxKF=w1200|https://lh3.googleusercontent.com/pw/AP1GczM_K-BHrmmLz8WE_NxEPd8X6Stx8A7RrNA6JiZpPVrRK7qCBKILJBIsq3Tx-85dlOIzZ451ZmkwA_X_GvWTo488AqgP4ez_TGpnew7tmXKOTLD3vGw3=w1200|https://lh3.googleusercontent.com/pw/AP1GczNRj7-7NLahhG523OmiT-iyKMc4M5d5I0PwOUQNfngfkTSYJIOqopxjEgHJJ8-UJ7ZQV4CxeBWUjpcYZSA520OSk6tMl0k5SS9n-wJgHiYY3QgO37qc=w1200|https://lh3.googleusercontent.com/pw/AP1GczMAOvSUwKUGsjcocORCuueT-3RflcLVIuiKYE3uqZn1dolyj_hWcvCUn7iDGRvnfJ-icBlR0mMV5lNoPG6wBpsuNNtEqAlDy9CKUyzNokg2kGTfQLb5=w1200|https://lh3.googleusercontent.com/pw/AP1GczOaT0gaGPoFzAOcjksaCw0DrM7-GYt5Kw682DumgLnbUKE4VUy_8KbLWmDbdN4_YY-zU6NEgStMyHo-utj82j0SFSSHF4l8kQEbbOB5OXZG4uF2uBvj=w1200|https://lh3.googleusercontent.com/pw/AP1GczNVfMAW0OxjXfFyok4RhLX7r1F3VUf78W66NeHN4ZOKWUC4fcDaNuLVwAROlnxtcGcRQRWE2QuL2V5s2CAxF8iMK0i-hU8_1f9Egu5fNe9mSUbWhVyH=w1200|https://lh3.googleusercontent.com/pw/AP1GczP1Tqp-mhRScaBzQF7jmUsHZX0aSPvRsO9I30lvm1qwO-HH7pMblBId7iY6HMi0by85FjgN8TUbvUZz0896it3uOn6Al3weGJ32W3z9wqU1Og6XlmSS=w1200|https://lh3.googleusercontent.com/pw/AP1GczPPZr8XO701ML3nBLWVkbxgNEQsV_VXvs2z3Okze_Irx8nObw-7STWEA8VCcDdy4XvrYJPO2reIB6bwkqo2YvHkMBaKqdD8LH497OfO03djfu-PvsT8=w1200|https://lh3.googleusercontent.com/pw/AP1GczMUATGl25EF4r4SNpb08_6OVHYYWigeK0x6uhyw3bUNJzvoly9N1yz7pF69hvDVVYmA_8jkqZzJkTerAFQ0UUJPsxX6vxZH-7A8L3WYZ10gGe0gZxe7=w1200|https://lh3.googleusercontent.com/pw/AP1GczMfaohkqGkbo0O2dFC6dcPNsjNcCmG1uSrZ5NXTGdUP8IuryI3MiiVqwjaLTdpaNWMG69nrE6xl-lU00738YGr6LsWxAvSk33I5KDAPkPajCayMbapJ=w1200|https://lh3.googleusercontent.com/pw/AP1GczMW5p8g4iKYEP9wclCBUxJlluuh8vSBegDb8iDPE_cyOF9MJnQXnpD4KH46jQc9N4_XnzFVUbhr0bpxGMu2q-dwpXcUodQU7o5Kz6rma9JlpZVvfDTp=w1200|https://lh3.googleusercontent.com/pw/AP1GczOb7jJzJeIZzl-XysgDy6LSHOBEWL62q5q5NJjZND5ne0hI_QYyAQYCmIIbszd_pRxIKTb6abwJJLFDmqZ3VCfNgzcJQoUw-8TTCBLlUPi-5VspCJMJ=w1200|https://lh3.googleusercontent.com/pw/AP1GczM3roPUhjy1Q36f4qGsY8JQd0Bo1KrqAm5nOo3zq82Xq6l2AgzBko8oUs8KXNY9yu169K2lBolI2VoSyO_3jRFjG-C3EvG-G-kSdTdzOGrxBO0qJQ_H=w1200|https://lh3.googleusercontent.com/pw/AP1GczO2OPygCv9qh0axNuDIganKHZfthcBsHSHLe3AQUa0igDxlz0QxSXHxQah9DFn38Lq0emy21QdUVvXflYCM9Y9BK6CA0siQrYjbsj3SFQ39tLx6AcHH=w1200|https://lh3.googleusercontent.com/pw/AP1GczNCEYd8RcC5L3pe2-5g9JMUjXH2tc2NcGJ47yQIeNt8DbjqnwTMKLXaldQ3hi8Sw94Ehp_GOMd7_RY0XYMkO76ZUxKmJlM9xXuxznsu8BxmWwfaVapt=w1200|https://lh3.googleusercontent.com/pw/AP1GczM4PljThzWF-mvzuwlgAJhd-N0QNpYEX1UkczMUJQuS4WVXf0sJvg_C4tzTnubo6bZ8CKztHT5NYGkReSAKvaUS5veXm4Je8K2Z_L2YO4niZ8nBcHCq=w1200|https://lh3.googleusercontent.com/pw/AP1GczMAze6YMx_q9nJ81Cz3BNOo0ek0bB-71-mHN2L2EyvhX_BSpEMjzuc0_fJ8dgKCUxPiyGWdk5cU5YlbEh_UTKtWQa4zqBnOCXrVZ0iNCy2NRdRP5HTT=w1200|https://lh3.googleusercontent.com/pw/AP1GczMuQxj3ctsqcgkOxw2XDRrnF5q53ODikD1HpqdDVt7rlfpZ1bMil0ylbDVwtOC9EE5U8LpwFOcLvN9t6JsYeREtJXMju3Gp71FHOJmIFlBxahVgvjMT=w1200|https://lh3.googleusercontent.com/pw/AP1GczPPD2k9dskKLx67OUzsoYY1Zng65k-b3XF0bkabyWmgzBYWn_3OEHHzFfxXYL65ZFpMfsmzU0oUC6jtddQ-p4-BubpjS-cUOWcKAuqW2ICWsrMK7Pzv=w1200|https://lh3.googleusercontent.com/pw/AP1GczPTpZWkBFCmYyZW5IaQsq34k01kSpZIov2x0xNxsgkRwGzAdbcz8YzP1vBDeTxB0lpoFfcRvGALlY0fNsc5swKzc34QA6l--7GVvY9aANT7OwbJ5b3P=w1200|https://lh3.googleusercontent.com/pw/AP1GczMcdAlXfTZArBOhmaGje630C2ECgKFBh4c3ddgIAmk_FOsz9nODjqz5M0SFFv9L73tMxFgICBEw-fG_ml73md_ggOIVxNFaHG5GkNBqljAk2Y27FXjc=w1200</t>
  </si>
  <si>
    <t>808</t>
  </si>
  <si>
    <t>Oficina amoblada - Centro de negocios - Centro - Cra. 5ta</t>
  </si>
  <si>
    <t>https://photos.app.goo.gl/DYePtSJW9WC7tCoB9</t>
  </si>
  <si>
    <t>Locales en propiedad horizontal ubicados en el primer piso, distribuido en oficinas, totalmente amobladas, con baño para caballero y dama, dos parqueaderos en sótano cubiertos, con acceso en ascensor.</t>
  </si>
  <si>
    <t>La propiedad horizontal cuenta con planta eléctrica, transformador propio y planta de bombeo. Actualmente el local está generando una renta de $ 9.712.075 + IVA. Edificio inteligente con 7 pisos.</t>
  </si>
  <si>
    <t>https://lh3.googleusercontent.com/pw/AP1GczO5OLTP3vhNQYTtQI7LpIWd6Qic5TIUtNdx8T9JlcOzWEsG7iJVsL_XZJBtvc-xtBcuWxCKGDtIKKbnqz4VyXmgGQ9V47cF8Qbh2JNavyenzvzjMH4p=w1200|https://lh3.googleusercontent.com/pw/AP1GczNbCfhHWqqYsp4_vKVVMoaob7-Q-CHUmheeqlNSGtRPU-NDFinsxEt9YlH5hRUOTAPy1SntD6V1mYlRmQKkjXcMjsIoLtHuh9oBnHwKgbYpCyUb8CsB=w1200|https://lh3.googleusercontent.com/pw/AP1GczOXZXRwgCuBwCl6SeCzO-_aXIeHnMaBiDpHAlr0xHrkBAGpmiabEQy6SBLv1BJYAmjvybLoeiJoxFDnI76SPog5Cz394tRoxr98KXizkmV363Rt_Ws6=w1200|https://lh3.googleusercontent.com/pw/AP1GczMGUPwpPpLXGj7GxMfp6IVCExnFdI9Z1C7plMU49ndoSP-wH0G68m8UGvDk54HdnbZMdQmkV9vwR5eoZm5I6OIl5WGZ-R7VbvtyuCHHsrhkSy2ePq-w=w1200|https://lh3.googleusercontent.com/pw/AP1GczMHJrmsncdmf9Ok2_wqayZpza7pxJPHbWgFRYu_5ChqvqkkN_YckuugmCcmv6gbjecpd-gFRvhMG2RVEOBGK9CgZMK6AF252hNG9JvpuJbuo9oVncR1=w1200|https://lh3.googleusercontent.com/pw/AP1GczOuTV72cHVYViDUBp4QCnWR6JDtgznxAS5sc1Bta4ZfjEAQYdWpSueYZIj_ZCWxHrrq0nwLPKrg_Inho16rr1CCmIZOt-P2Sq4jdu1--Qhn4ucZi5I0=w1200|https://lh3.googleusercontent.com/pw/AP1GczM1uQf_6CqEZD7e5N1qxGXz5ompijmfZEHYkEQOuHtvBZt5nOuootFJ4CjmKTlVd-g1pR-rIex1j8ooWYxnKIbSDP2qkr0n88Bjz200xn6o_jH5HMLz=w1200|https://lh3.googleusercontent.com/pw/AP1GczMJu75BC7kY5McmeEIKuK508aVY4AAPz9UT7mwKcwUX8po84_SFZidP90qBLBiBB7VH_CKUIajmR9Aa0e21eb1mwb0bN241Ae_Ljg61uIecChh2n7eW=w1200|https://lh3.googleusercontent.com/pw/AP1GczPqbCEYegD7TfSatTwxhenwr8RFADrf28godVF_VxQvkqJMcooiKrvlBYH0JvP8bFF5qh9D65jYFn71BaNbKArRx6fbBSl7TqWcvk8E-4R_2VQsdvN6=w1200|https://lh3.googleusercontent.com/pw/AP1GczOEHOUMw8VZr5TC-fAmqcxrfg6P4OhKJ4jLXAsduTl48IMHTzXgZx9NKs0y6CPa6WsBG-c9M7US-XC8XWhO932JDSojtnf3UC1KCY2Zi4qkS-rhwaUu=w1200|https://lh3.googleusercontent.com/pw/AP1GczNgT2tC46p-ELghm-55-IORmcw9E_zfKrex0r18up05sOduuNzuJmnZWoURoJJQRtL9F39psqMLhJ56JpNOL0LM92ZCHN6lv8Ejqag2rMpjnvP35Ims=w1200|https://lh3.googleusercontent.com/pw/AP1GczOdWv2pN5w5USiJg9vCofAu-laC0odZg3QuwXOtGIX488KO-iXMdJDzd5yOBxAirA-i7oEu2RkrcyhjKGXReTkoL1AI-xHlgmeJLfuSGiNU0z3wEdYR=w1200|https://lh3.googleusercontent.com/pw/AP1GczOwjY-5z2J74hrRWlwwFd56V1i5cAEfS8s0QbKRB37WTZyK6V11ngwPvv09-ii2ScNfrRVmP86PbixPZdrySOLwngsnUZDmHJatIb0IWjz5l_xXoBny=w1200|https://lh3.googleusercontent.com/pw/AP1GczOoFyRGgf-Y2xgqTSFuho1xzN2zxET7BzNIKDhmQmoK00PPnHFxUbtHtzbIthOMuMZLwtIR6kbr8vtQcU5rrUuwtHr4EzuJqkNdVGwalPbU6tKj0UNo=w1200|https://lh3.googleusercontent.com/pw/AP1GczPevpjp17yQvjK-uBg63_EJmBX6oTN7pbS2aNq-dzw91zX2BgTi1Qxc7pJy_6XByIdyIV6WKe_mqogvEtiZAULUsTDJsyxytB-HJtWQdYUTypDcQ4IH=w1200</t>
  </si>
  <si>
    <t>1284</t>
  </si>
  <si>
    <t>Casa en conjunto Volterra - Ipanema</t>
  </si>
  <si>
    <t>Conjjunto Volterra</t>
  </si>
  <si>
    <t>https://photos.app.goo.gl/CQs95GKg41VjFQCt7</t>
  </si>
  <si>
    <t>Casa de una planta en conjunto Volterra al oriente de Neiva, 4 alcobas con baños, Vestier privado y aire acondicionado, ventilador y cortinas eléctricas, sala comedor, cocina, sala de tv, estudio, terraza social, piscina y jacuzzi, patio de ropas, gimnasio, cancha de tenis, cancha de futbol, cancha de squash, parque infantil, sedes sociales, vigilancia las 24 horas. Valor Administración $1.200.000 (2025). Pisos en porcelanato, cerámica antideslizante, fachaleta, cielo raso en Driwall, carpintería metálica.</t>
  </si>
  <si>
    <t>https://lh3.googleusercontent.com/pw/AP1GczMFd5ZoJC_cJVodIK3TK-nv8Lp2LVoZ24jpLvglkJK0pBnS_zggC7zZ1N_V4RGSdFT3Cr6hG5m5Nq3j_hJ274kG6tHdr-Vd4g6CaO1F3_yJ5c_c9lsq=w1200|https://lh3.googleusercontent.com/pw/AP1GczN0OJVsvlOVBAQyfwP7FgYkhJjYnmbpQVeRFg-widg90m_SpLkJZqq2nNZVw1leGUVhZdOI9kK77h97q_Ki4C4OWDqMYY7TkR2JLPuT4ljcaOzKPAGO=w1200|https://lh3.googleusercontent.com/pw/AP1GczOeh2Ac8mN9Uplvby5REJRzt7OqMljrHvUlyspVUKfMzcPYsvVIQLSxLwTT6LlsaMSqO3PnLaU1gy-uON3h5cLrh_Jgcx490DCD5QbMUlf3P43F31YQ=w1200|https://lh3.googleusercontent.com/pw/AP1GczMHx_u07w0C9tj7w_OosWl0LEEurcoHDpdZVsuFxRM0zvVne_eiOq_etM0uGfm0ftv38cl5YeJ4jHyyAdFT8Uzs1sZMH0q9tZ8ZXncCO-loHi-Vi5Ey=w1200|https://lh3.googleusercontent.com/pw/AP1GczMyiIiNRZBnqT6LoJEiFv0OAH4IuljGZ_eDE5yPdqDUHvsEJBl5SZypnwOxdNd1tMp3-RpkIKwnxI8oXLrs81LkKFPnKamOsih6ta1CzeyUnD6jPkJS=w1200|https://lh3.googleusercontent.com/pw/AP1GczOoJ-vvxlT-V8MkEoabHfcyVkAAkRO9grpkyp2zrtrPiOHs3GQJJNiBqsSJu4AhJh2G2wQLkZhzD6K7gmwKWW-sVmERtxijktGSqYcDoy1cvBsF-djU=w1200|https://lh3.googleusercontent.com/pw/AP1GczM1WBRibHQLpmvamG3IuAUKCdx6_boJQKtEUQj45bJ2mKzuSJfFfIrLHbJ0Y6iSIJzckIWtm17Q-q-L9pbR-X7wSiFn8Wkk6_av3UXdli6V5shS7IIo=w1200|https://lh3.googleusercontent.com/pw/AP1GczP6sBv02IMrR1_KstFXswfWKpHwpuovmg5OtdV0clNwaKEkvt7k9rga1_YqOQ-w0a9wyxV1GAcEVwWMA5IeZIpVqHXsWr8Y1ha8iYD0InhmMFMTZaXq=w1200|https://lh3.googleusercontent.com/pw/AP1GczOxgGvfq-4yYJyqycp-Sfg7GqPmW3t8eLMyrdlDSaHw8LutQNc4Z_-inVNZ_gg7s9VeojWWS_gpY9QB8bF2mBl1EZWxevDihpbcyjvJzz77gO1OC9Dc=w1200|https://lh3.googleusercontent.com/pw/AP1GczMyJsd61IVQ3TgxjI3jDpIcjlYxtj1MH1e_-dGcUpOkZpCvE2xaZEbABlypuAo6WqNF4zrGi8vB3dw54A6lBOIR0hnwsxyGITzxbvSGV18NEWPyD3qj=w1200|https://lh3.googleusercontent.com/pw/AP1GczOVM5DXlqHdldKZ_q1vR5lDwwAeappdXsQNbTZb65iSwjxv-gWLvWEjjGbBRjFdQXB438D9P6yyTukeq9D1dEuUfltkFwObu3WWIvu1ChfXaA-qNh8i=w1200|https://lh3.googleusercontent.com/pw/AP1GczPQi5d89tFHL1QVR17ygx5C0gbjQa1zbfipG-zssu2o9pDCOCEqJ6BMydkIOVix7QZE0QbLjV14EenE7rv1lGOTpiLuMd-rHjuM3v_BgaGXk1Oujpgs=w1200|https://lh3.googleusercontent.com/pw/AP1GczPwJS3O36u2dXnQh325aFKuqwlxw0b5msSUXk7pBT-E4jfUq9wzmAQqQf0uC1g3UdzqGS5eoYma2UMU5g6nU2YBlMekw-QuN1_tpIjolufB5PH_HNWN=w1200|https://lh3.googleusercontent.com/pw/AP1GczOF5F_KIsSR9LOLgY6EfRIgXWbsZUJsCpriU07goAYCOtHbpho75_GIGZO6RnFBaif-JNsyz-M3HFy38frCVqmRMBAqGgtWmbJ4E93qf3H-S2WpjFj9=w1200|https://lh3.googleusercontent.com/pw/AP1GczPHuRKYMA0bHMvtLIZHLDnqXq_5RxCLyPqtzZC4qZGul40jjGq3Xb2wJZoQfv6YkCr7KwB3Nf5XeJZAxFRyfQLZ-Rm4FRUBlR55Hq1PVscEI4pnDPCH=w1200|https://lh3.googleusercontent.com/pw/AP1GczPckWu9OrxnYBLnlGcaPtsbU7PoD5lcZ6cBW3TcTSNf9dil1xehMLHljDxiVDQKBB7VUiUjGqugmznTE_W7KMavCYRgAt-1QT2FdW5Dhi6PXbONj-GM=w1200|https://lh3.googleusercontent.com/pw/AP1GczOMzZg0vw1gCWeVaEqU623vr_pogJZjKABprVV02XeiB3eqc2zSnxVpI9XmicG3EY4Bo5i9K_S3hjQsaCBC7QDGj9XrjCmFQLlmgqP_L7rglrhwJw1U=w1200|https://lh3.googleusercontent.com/pw/AP1GczMVYeP11ruhyuTyuwhVd2tWVuWQfDtSVnkeKdDfBLddfcx5Pl_uokH5vM2375hJN6wupwy4q_HdRoOBvSVrmcyLnbEgDWJZtGuVMPFYIWw1jKMRhELm=w1200|https://lh3.googleusercontent.com/pw/AP1GczPYSxf8kc5ecjzqKsNsL8CR1yePrYzqrnzlPn9LamLHPiMn87_lGdyoXzGZ28MKSgu_XbaB7f6FcLYmLqYGYpxqZ33ekvH45s1A16cJ3264L8Ra63xk=w1200|https://lh3.googleusercontent.com/pw/AP1GczOXil3WxL7FcX1--1XbVl5H-a2Z_ZaqkH48IjzxGsnlGtFaDm22ro82igwnEoEGtLHkfFc48-FyEmeSo7KCKOsVpBMxjJtVZQqm1-k605MG9GPZaY3G=w1200|https://lh3.googleusercontent.com/pw/AP1GczPggDT_tj7qoAca3h4Fpe-SVDuIUnr8elrgWThO9TPkOpgmiivyJSySFRt-3qjF1Te3sNsdxQNqSIBY2vyS-j6vjt_NSTQkusnHsR6A2c1kwh2Vz73x=w1200|https://lh3.googleusercontent.com/pw/AP1GczM8kHv8UQC5yrLg9KPLVxu3UKlX1lp4jXIciHx62QjSG6FL905385F1Cd-2Z6_-zTwvZutg2tfSengUiXdouMqTvS-pIZidVmq4Ao0D4KfuDTVKlpmI=w1200|https://lh3.googleusercontent.com/pw/AP1GczN3U1a7kBGHI4V2klb0DOjbMVNonCVtxwAvp8ExWn8nB5NqQ0k5w2IS6_zAA8bvmaXWZsx4DIRW6SnE8RyVGHuhwvxPmPIMB24LIFOzjpnrZR6HPD_V=w1200|https://lh3.googleusercontent.com/pw/AP1GczO7lmDnLqdHOWHwXDlcR-vkIWvwAApWkX3yCEvMq1kG23vTu6ugyEfQyYnVvznp-yRSe0apwPnmXD--278eNCFCX20oFk232GOxhv4NjFFZ30G82tMs=w1200|https://lh3.googleusercontent.com/pw/AP1GczOeh1HxjNya0_zMiTlUNNv1Ka8zIFJc34FiCxIAImWNeoZziBNzZsYB49NQJRIb-9LyvpWAT63frs-zPAg-xKv1NvbMbU6cmUgmVGh1OQQFh4fmOxx4=w1200|https://lh3.googleusercontent.com/pw/AP1GczMYmrzkFDHbiNaOGYMudBH_BzER_r6hVdTp2kZQDHhFiNB_sjp6b25iKdSIsTFbopQmKV7vI6_dC3XS6O4YPyHCb0IGK6y12JvVkRXtEfDvBWkT7eo8=w1200|https://lh3.googleusercontent.com/pw/AP1GczPqlwcYtryRIh6NMSRSZIwNOxTCUHsLWhQsI2t7AuDhfOZK9Kv1r1QyctDMnGq80UxkJl_GdWm7QdkGc9u1ZDTFmQLD1qE-JfB07fAzZ-YYoooEvVvt=w1200|https://lh3.googleusercontent.com/pw/AP1GczNptX7S1QZABEIV2DuOrpbZgKbd6xDdcCoJ0Oh3CvfUimwIcj1arU_a5j2hu0RHuU9dJRY69wuF7nCZBlF6cOJwLKcGYi36O9QOph5fP9dr7HtqccJp=w1200|https://lh3.googleusercontent.com/pw/AP1GczPj4BuD6NkcQiYwmCVrmLLL20qp83306okCzwamshUuc7ksESLJjSMO054t0Cc1jX1LqiyB4fEJPEeaJz5RKgipg-RNj8SH2G7BWhB1HZTXjCWKqre7=w1200|https://lh3.googleusercontent.com/pw/AP1GczO8-3M5VxuRGQaWUbxlICJdm89xFSa0aGUFZ4Zfr-gx5n_jOuYrE5ugoqKO6J_pdG9RWG35-cfbmIt5wNwX9HjxFXpoVMo6UUeQAQFHHO83ATgkc_4h=w1200|https://lh3.googleusercontent.com/pw/AP1GczMtTktEw_LzNY8UbcDCq1ahv34XPZ2VzZ15XeniEyj1A0mhdYeP08woru50_1pRPbPxdAkjyIx09RipLSLBOFLxNQE7e_NNW6OUwisHRqXxXEYC352N=w1200|https://lh3.googleusercontent.com/pw/AP1GczPK-FJIobUBwcrPq6rLiOBPBnT09VWXikjvf1_A1tHEuqzX5rqEfkXQ8sqZUAUaUpZVFVzXFJV_D7-ibGkGu1sJvDW9TF1ULalCOsM1qFA4GPe-l_4F=w1200|https://lh3.googleusercontent.com/pw/AP1GczNW179P6NZLPpPgVgoiuom9rmbQT7IDLSWq1AdQo28EjIVauAGIf52j4g_Nsu1OJ1ulv-TGN7vaDwWCDA2Sih9wMjLHqTc0wKWTC8BXUCp3OVFKjvCp=w1200|https://lh3.googleusercontent.com/pw/AP1GczNU6Xbm_9i_gKZwIMh0ZN3PUFqrVuY5ovbhLHOBf_Psvl6Dv3zNs2RQFXaLQd1lBTrkDOOQlEOfpQXgUvA8XWcgr4oKg6CIuPx7snNlUNJcdF9tWgAr=w1200|https://lh3.googleusercontent.com/pw/AP1GczPNOf8ezTGPO1uJDRAac_oRYHsINgosKjrETEgUlWzEC6rnH4w6niEMPXmQyHXsQ5sZ1_3ZDdb1y2MH8Yvm0GUknqjx10K70c-_4590uikPoJdMTpAM=w1200|https://lh3.googleusercontent.com/pw/AP1GczPF37X1hfH1iAVCeTMeCB1xjv6qKdBTMuw5dKDgEdTXgTAl5sLwnv18oJJYolm779O04ZA9G5cAH4lkp-vrinXnt019A7xr-0D5PHZudQ0qfltEW_UT=w1200|https://lh3.googleusercontent.com/pw/AP1GczNpu70W9revAXhI3hBQe-1JBhv8J59RjNVauEJAeOmwKmW0iE485NB0bx-7hYhPgISQuF96LSM1g75hzXAGZm6DpGvMjqKMU86NvyQDjqgYjFDYpH_m=w1200</t>
  </si>
  <si>
    <t>809</t>
  </si>
  <si>
    <t>https://photos.app.goo.gl/p18pjb9SvzcQDgcA6</t>
  </si>
  <si>
    <t>Locales en propiedad horizontal ubicados en el segundo piso, distribuido en oficinas, totalmente amobladas, con baño para caballero y dama, dos parqueaderos en sótano cubiertos, con acceso en ascensor.</t>
  </si>
  <si>
    <t>La propiedad horizontal cuenta con planta eléctrica, transformador propio y planta de bombeo. Actualmente el local está generando una renta de $12.549.439 + IVA. Edificio inteligente con 7 pisos.</t>
  </si>
  <si>
    <t>https://lh3.googleusercontent.com/pw/AP1GczN1Z72NWNtDiy06oiuhNo8fj9cSBjUkreb6EQUlNjUvh_plGO8MrULdxp8_LRuDUUwoXAfOLQ5nJl119XvryDD-KT6BVvrbDAoR_eLOmuSIEP5XN0rI=w1200|https://lh3.googleusercontent.com/pw/AP1GczMcGNawl62duvoPcKI7knGvrUEieV7sff6Fl3AEmk6TXojg6m25GWwsLi9U20TRVgTXF8yzZ0trcCBsJ-IK8_MqthrUop42frwRF_CdcyDqUUv9gEjW=w1200|https://lh3.googleusercontent.com/pw/AP1GczOcvFY0nUF_PtOCVPCj87SaPGOLwBQx7e3dXE2tCclrSJPW32epC0DquHIWkuiLrciXtPhKG5Vc-ay67rOYIKmaZzNrkxCEfYPwUDxfyOC8_eNlm1fC=w1200|https://lh3.googleusercontent.com/pw/AP1GczNeEJdCtqfFZPFMlmy9p06Yj_X50HMEZjj7LNOfqCPyHU8QNTuka_WtCOWmJBjJP-02-k9oMFjnBItOsykyVLW4PVMLc7ekCY-W2Lyw2Qk1uLb937hn=w1200|https://lh3.googleusercontent.com/pw/AP1GczPf1IlSLcP-zpms-YUIrA_1mgd3QtPa8qOw2FpJKXY2817BaoarTlOMkcQsPkkIsGzBkcGFzgvhHuLJtdYtvIpPMsbGxGNFelxv9kPLJ6BzxbjDDguj=w1200|https://lh3.googleusercontent.com/pw/AP1GczNunBpzxkO-w9--EKw8ABgLRowrWLFnd2P2zMAn5HEa4QPvIyDijQyy8ygKaU8DcmRs5cfoOALz8oRTNl9jJYljkAtwYDt5lh0UJNsvWW18IIoadSCn=w1200</t>
  </si>
  <si>
    <t>1265</t>
  </si>
  <si>
    <t>Casa campestre en conjunto Condominio Villas del Campo</t>
  </si>
  <si>
    <t>Villas del Campo</t>
  </si>
  <si>
    <t>https://photos.app.goo.gl/o66era5EkT5Epe8e7</t>
  </si>
  <si>
    <t>Casa campestre en condominio ubicada al oriente de la ciudad con. Jardín, 4 parqueaderos, Baño Social, Sala de TV, Cocina integral con lavavajillas. Sala comedor con acceso a terraza, Zona de lavandería. Estudio lineal con muebles y baño, 4 Habitaciones todas con closet, baño privado, aire acondicionado, ventilador de techo y Black out, Zona BBQ, piscina y jacuzzi.</t>
  </si>
  <si>
    <t>https://lh3.googleusercontent.com/pw/AP1GczNs3RNc5SavxrAFebYtd7oxEG_fvSfmQH_-zKdG-AeS4m1z-EvmbdV-0NaKALwLYQ4IdpCvIoYfLefYyjFgq7py290ILfIgV-bvrxQPAoS3aAA7_jI6=w1200|https://lh3.googleusercontent.com/pw/AP1GczPaMVhduuowIRnQZSMVwhxFSEXg9zF5_3Vile19ISkH1mSKMDx_-o3buqF10NugHhfrcGTjunYMESuCzyUODy1afgDqC9ipGJ3vu7I-hhJ_8Ej3gLh2=w1200|https://lh3.googleusercontent.com/pw/AP1GczPHEX2IToteV9h00JyOR14VQjGct2DhGNsCvQXrU5ftiD2xkAYKvkxx8smu28RPs_BQSMF0rCuDfEJmJOu85yibqliZUO7WIISCLx0ljThsVuHyNvuN=w1200|https://lh3.googleusercontent.com/pw/AP1GczNNpst3YJjhbSeiQPzQMu5uwJwOf9ou-iKbS_5bbnpbALT6aBJqWLx5jrMGgvd2GSh25zIdb40JF5T9rUnMwJLAa11Y2mccjBqTEjqaUzZQtHja8cc2=w1200|https://lh3.googleusercontent.com/pw/AP1GczPoKowMdHjFgbL9NAXCVcGYObJX8MMqW3vm8OWBVsei-dBMCBZddp6bs7sKmRjevJjzCF7949ZeHCLXDR-Logw58-FHXdOELiybBVGo_S5GEGZwBlhe=w1200|https://lh3.googleusercontent.com/pw/AP1GczNzHHB8ctRHZqf8jZOHtTDYQifoaUB3Irh3Z3fqwuX6VPQKlzYgsB2BB63UywpuGWw4XVv5NcXDrHJPWVTog11DTcvmEYRfjmdAhaurxOBxtWv8Errl=w1200|https://lh3.googleusercontent.com/pw/AP1GczNVk2dwjP-wth5d6W7TRzM58vIgBixzyPlbTznT3cjD8YDpvEbkwMn37R16APENQ-jTcbZLqFlDE5ky-RiWu_7aPv0-HBc6yeCBbmpEpuIFUX15ow4J=w1200|https://lh3.googleusercontent.com/pw/AP1GczP2h0ThysynX2gMUSL8FIdXyQ2XEJ7KFzuhLBj0Y3myVLxgGNErPbKUmg6clR9ogp7wxTtYs6aDwwqZWQ5X4fqQab6OtOinge-Gc1xvk-8WJjpHMJj1=w1200|https://lh3.googleusercontent.com/pw/AP1GczOpAt8Dw6Wf5T62o_-aKSxNPz6iQ_ZK6Nv7HHOEp2-gpXb14AVsDd_3HuVzYy5MA5ZnCcuP8zPndc2WO72hFixBowYGxOIIKHJdeIA7RVcbTmgKp_d0=w1200|https://lh3.googleusercontent.com/pw/AP1GczNh7hmXuG5ZZ9YaIJZyZoLGH7fSF_nZTZfiXGNSHsj0RpmldGHeNELVCrINnMNchGdDeAj6HSwEr-5vIcx5_X06MJNV6xYzfrUnKMGbPakTj6Qew944=w1200|https://lh3.googleusercontent.com/pw/AP1GczNPqiYWEcLZ3-X3Mbvj1Be_L9vQUexlY5yoVg-GGbnZuOqPDFF1g7xNmb5Zj6ZF5rpOhKxvSMu9CKHzNs1CTha03bGHi-Ae2l8mtWaRbmAOxPLYvE8w=w1200</t>
  </si>
  <si>
    <t>1104</t>
  </si>
  <si>
    <t>Finca campestre vía Palermo - Zona Industrial</t>
  </si>
  <si>
    <t>https://photos.app.goo.gl/a46dNFdp214C8gqD9</t>
  </si>
  <si>
    <t>Descubre tu proxima hogar en esta encantadora Finca campestre, con un ambiente acogedor y familiar, perfecta para disfrutar  momentos de descanso y recreación en compañia de seres queridos, ubicada a 20 minutos de la ciudad de Neiva por la via Palermo Zona Industrial, la casa cuenta con tres habitaciones con closet, la principal con baño privado, sala, comedor, cocina, baño social y amplios corredores alrededor de la casa con vista hacia las montañas y zonas verdes.</t>
  </si>
  <si>
    <t>La finca tiene siete (7) pesebreras, deposito, tres (3) Galpones, un corral, dos (2) lagos de estanque, dos (2) potreros, amplio salón social, zona bbq, piscina con una vista hacia las montañas, horno en barro y baño social. Ademas de tener una casa para el mayordomo con 4 habitaciones, dos con baño privado, cocina y baño social. Con los servicio de agua, energía y servicio de gas por cilindro. AGUA. Ademas de contar con un tanque de reserva de agua, dos (2) aljibe y pozo séptico.</t>
  </si>
  <si>
    <r>
      <rPr>
        <sz val="10.0"/>
      </rPr>
      <t>https://lh3.googleusercontent.com/pw/AP1GczO9bVXDrMuJdgA66isVcV1hTDrhrNDceKOnDUZtOh67tvbVqiUF4zqsij4GmqJOim44CVD6pdDjLxGyzylYDde9_h6NaytIxV6IsEH4MwnUFiSkWnUR=w1200|https://lh3.googleusercontent.com/pw/AP1GczPGFxOXLzmcY7Nr-tnziqk6YrEF6v-a2_OzaxWiLPE-mUKriqA6c76LMZjd03TyTdDzGeDpu2PiaUBJ6zg0iFQ9iOgfX7OznAONr-T_DAB_1qN2h_Dm=w1200|https://lh3.googleusercontent.com/pw/AP1GczNRlcpsZ7X0au1zSD0VnFzBkb7Ufbb17dyrh5OI4rR2PG_9jeHWtO17BEFWmh4qqDORUHghaj6IT5r3hvE_2oW55lHptmvKtIThMdzlqQwRCUHFyoWP=w1200|https://lh3.googleusercontent.com/pw/AP1GczOZUEAOOlh-kf9J6xtTRQ4zlu5_f2QNKGgLcXmQ8197JUWLBTpTeAAFa8Yb4XUkKM-wcIm1-ckacgU4KGiDdgmaE8OLpgTlHYTbzrqi11_Iit-eDQRw=w1200|https://lh3.googleusercontent.com/pw/AP1GczMO0g6zufk2-f7FD1-XKFf6HULUCcoJXhgwPoBsCqWvsqDRrPEhEFq6qT_qH8-lIKhYtzREhcd7yY6asfi_2yAdWbvpgkA1RH-i2H4opa9tE8rIEAN4=w1200|https://lh3.googleusercontent.com/pw/AP1GczPtBOorm2l6Oo_A_dEApeWqA5PIPYH-npeR90NyEBtUrLta13tvot8HNLHrBTrfRpo7c665wiYEaqixu8Q3cnvxQnkUkamvoUstljuUycJXOyBJQ7hR=w1200|https://lh3.googleusercontent.com/pw/AP1GczOdYRHDe5BBOVwx8vMdhkl8Wcpzp6I-OHrbuKABCbnJEifvODpzEA8LIRDm0UC1QhzaF3p7DZIR9dDShv8yaew4Jqr7Ag0CrFJovilRtgu4xUfrwTdz=w1200|https://lh3.googleusercontent.com/pw/AP1GczNnQ3l_SClF-f_h5veIRfVHdriN_9sdyuga3mw_QL_AmcgrbqiXio4Z1pV6KB-w4nEY7Vif4XJfqsxIYjt8W_bzC1lyv74ztTO394aDZ0jfGNwb7ZIt=w1200|https://lh3.googleusercontent.com/pw/AP1GczOTBx9kWUCt4YGicXMmtNBWZC-Zwbr0Uw6ZRJA-rHnIIxOE5VtUjT1QrZnvGHpdrU3MNdc6p-qBXLmbIptiXvqSVYhR98wCqV83lhLybWJO7BF7NbLW=w1200|https://lh3.googleusercontent.com/pw/AP1GczPq1knRGazoeMW-UdD-oIztdFKFf3vQLu6Slr2GsTJqtQiWD-DoCJtStiYM5DBjcRdGdovWj55JF0EZsBIatny7VRQhTfgQCuv-Alcv0zgTxs17slMG=w1200|https://lh3.googleusercontent.com/pw/AP1GczNtsBYeiP8BFEuKSNqtKFnDluuhqxWSzpJkhmRpIAPsUplIk9RQPOMArqROtDvu_Tx_MKcGYh2xwhtwpyYkUm66T7lS9n8Jh5lMJjKvK6-V8wP98yeS=w1200|https://lh3.googleusercontent.com/pw/AP1GczMnTOaJ2_ktduoBGnSPfB3uT3sQ-YkIszzlh28goo9kt9U2PCAp3a9BO1GR7HiRGA5c0KZQzXlxV7KhLGIap2VUfOO7wMm4WjVH-s9R5kTrdfoFKuu2=w1200|https://lh3.googleusercontent.com/pw/AP1GczPPJnYPJo2sCjucM2jnPi22D1b6fxVCESOqf6u6BTFh03NkKddiRxgpYzjjwKFZsF65FwJV6n7nRe4bMA8Go5KEOJFDI00GY21tpDmzKtI-8HYhjIr2=w1200|https://lh3.googleusercontent.com/pw/AP1GczMW0unBKihdw0N3DVuyKuSXN-gofdWh45h-CJ0ARJ8N4v3V-pmlZVXUgEoCJBGwSZLe9yj4xby5gRQLBAf3pNYKge7MT0LJNrDQM5HQ9lRtTKuRzcWr=w1200|https://lh3.googleusercontent.com/pw/AP1GczO21xZNGrKzZ7XPz1PkeB6ygxYeJAAtXFCAk8hVClLhw6G0SxoQAu0SUtxF8w9hToBXb76lrndnDU5oWWZoLjhoSJKeKIlaqFhsJpdrSpHjBM_Lvedf=w1200|https://lh3.googleusercontent.com/pw/AP1GczP8HL_1Kiuzfc_ILSNBt7GpESYGCmEdkRULe_N6QHeVOvelWUfaaY-vLvP1mSyhGb8uaepDaScxZW0Vwf7Dkm1_oAjPyfZHEj_3Ash9xs1TDTyXhCcK=w1200|https://lh3.googleusercontent.com/pw/AP1GczM-z_Du73ec5xKKShSJ_STofrjvp6ynA60aWjlBWLF3EKiL7Ak5fgC6BaQFuxeT8dEEdjFyUbVgyMWGIdXJL49i8pyz5di9fSfMjP92aHIGDCjyjfEk=w1200|https://lh3.googleusercontent.com/pw/AP1GczN1gdBrRq-s9iKMCgjP6-xmGtYOmmV3y7WdDguw3f9AbIxQJa77upROhkqOqrUzZJhVLf0gh-p_hhWtpI7tIpJmDqYoHi_wbXaFVBIZbqCnLUVkAPQL=w1200|https://lh3.googleusercontent.com/pw/AP1GczMAaNVNZqBvvhZ4R-qNJylVn7xC8HLGP1LjKHSDbGIZh3DMnkM4WC-ZwdZvPuUGEcMyPOWB8sTSTwTLsxABjW9tbmTghp3u1tPl5RER0XsMm3hlU0cp=w1200|https://lh3.googleusercontent.com/pw/AP1GczPluyJF0cP0CLYRR8Nz0lujjbQZ5XsP4KhwE2MVLcVIntK0Z0nSpk9B9nWf57E61Oywl98DQWau2ZYxiL-Y_zCdmPWMzPcF8zxdOgKtFjwwgmMSf1Um=w1200|https://lh3.googleusercontent.com/pw/AP1GczPW-Fzj1LWKt7NhTgw0s0g_7cRfOSa4niTIuPdyT1Y04AZeayV4rsePq7KUQoSewrZoZMYKr9ynyijqBuFobjI6vyCLRJcXSiGi5UYcM012Xi192Rxr=w1200|https://lh3.googleusercontent.com/pw/AP1GczPwSnAIpsDptse7PkPmB8lX0aieqKbpW_rS7KVWkHveyr8MOwA9fsYXn7UgW82ugAph93NFIdwmAhJ_r6A4YANDA55tphgRWRxAEr8N5Kt8OWyj19OB=w1200|https://lh3.googleusercontent.com/pw/AP1GczMvoAZPHKvybu_e_BgHfzpqFH3T_3yPB5iNF-vjnauekCujdNLu4jINIWmR6p0pNzHdh_9ad4DGD2hnmqbdS2VB_lw-Xj-jij0zMnwl9-6QeZo0CWLJ=w1200|https://lh3.googleusercontent.com/pw/AP1GczOr4KWX9VvnpsTmdcBBD4qeg7DRkToLMySXOoq5f8DBvQ8maWOElRX5IEIXWry4dHqFthmlfIXTrjxOGJma3VXKnxo1CoZ6SzVgDPNOMtQYku_ZZWR3=w1200|https://lh3.googleusercontent.com/pw/AP1GczORrEUgW9enn6pA2tt1JtHx_ZN6aHfof1MgJ4w_tCeAURhNJaA0HLvX0fIxbEUMVW71OATjAnmsw78bypS5TULKX2IowcB5CCYcTwNr8GgUJiD4vkZz=w1200|https://lh3.googleusercontent.com/pw/AP1GczNpss-9pOqgx2npUqA1rr7Eo9GRaQjz-Y53a_BTNit5D5sY8a49aYlZz8OWvj2rzgbwmEHNl3_lRJ58JI6E5QK5EgjuIH13yE5338ZXVZpSbtn4Ca6O=w1200|https://lh3.googleusercontent.com/pw/AP1GczNimcXSFTC3nI7m9wVgc8XwwZSHnwzwbGXaaqT34yb-uYiIsdJPegsiLYdFKD8PqN5OMQ_Lp-NFDMfdNVhpdy6FmU25mtH-9aDtj9HUihZg3z7nyCC7=w1200|https://lh3.googleusercontent.com/pw/AP1GczPw5k35l8zwmiDNLlCCpaUqVGLuTk_11G_kPaeQWHReuOt80UwDlSrrgMlkB3VH0wmuaqysVMiHM1mUpZl9TxW85FekqGoAWptD1cgn-lUO_PwQl0U3=w1200|https://lh3.googleusercontent.com/pw/AP1GczMrfVp4K7CYWly6BCD6bbn47dGKhYYM4scCXC80tkgsQhxvMlOp7fkaOvZmrt8-ZuXje1T9hRRpb7rd6bhP7OFaXPvlbDdyNLZkOcwB9yLMmLR4VcOH=w1200|</t>
    </r>
    <r>
      <rPr>
        <color rgb="FF1155CC"/>
        <sz val="10.0"/>
        <u/>
      </rPr>
      <t>https://lh3.googleusercontent.com/pw/AP1GczMbkUVK9OBKrJee5trdIJ4mEbeR2itlgt-x902Ce1n6Q8X5ly9Ejvm7_zU4AynpcQ-cLLVXA2tlHh2WcqINARIT_WgilV9QPj1NgdcAu-F8wuJ8egTJ=w1200</t>
    </r>
  </si>
  <si>
    <t>810</t>
  </si>
  <si>
    <t>Locales en propiedad horizontal ubicados en el tercer piso, distribuido en oficinas, totalmente amobladas, con baño para caballero y dama, dos parqueaderos en sótano cubiertos, con acceso en ascensor.</t>
  </si>
  <si>
    <t>La propiedad horizontal cuenta con planta eléctrica, transformador propio y planta de bombeo. Actualmente el local está generando una renta de $ 3.628.000 + IVA. Edificio inteligente con 7 pisos.</t>
  </si>
  <si>
    <t>https://lh3.googleusercontent.com/pw/AP1GczO29wpJqadjhlArz52eaHDsnlewRBVKRJipq39mdJjHN01daE6fFlKM3ybCJm_P2eKUD8Wx_p6xAHDbTb2i3reNTcxFmrgs28Ipe3A27vMVjRQ4GJP6=w1200|https://lh3.googleusercontent.com/pw/AP1GczOxPQDQoZ4WoKEykJiHlw_DNV9U4uOKsa9TQcVZqa9JmZHgIMpiKk9SZnsBRhJ7XZdh0w6gqgSuBZO39Ge_TUAKl9UybfUepL6tLUCyvEDzqtqKQt1J=w1200|https://lh3.googleusercontent.com/pw/AP1GczOgNxkdsiXPpxKY3BI7w7YceQqXhsXykbfEOc45jmfSludCfNOukwLPZs3s-y-1E1bQfcMWH5AVi9ZtPpVrDANpUpUCasuwsfwnrvdzvn7NEhl4whfn=w1200|https://lh3.googleusercontent.com/pw/AP1GczN3XM95mEDNaABHO5vJITlvE9OCcee8Ny42RSuIWOYZRVxf5RH46fO-3ZE2ZbWI4Qs0uowgsc5eCfYMirOGzCAswWsBy_-kqO6gB0eS8bY8mXdIvyjK=w1200|https://lh3.googleusercontent.com/pw/AP1GczONqOhe48qxVVaX8qfDWBwVQYilIKGl1pGU_b-EDsMqWIEOAlbgZl_Y4-loeTC7uuKH35_h0J6vwhhDucdgWGxXDEYSk7K623tEjt3UnzHL6AhSncz9=w1200|https://lh3.googleusercontent.com/pw/AP1GczOxAsIMqz81cqKwod0axMNo9fGGjdtxGb_H75j1AEjjVH6uPKdNeLh64KVdO5sarUAzW8u4kW7p7_xg5YORWyMphfQP4A3W_VmAvYIaS8WMFz_OxliY=w1200</t>
  </si>
  <si>
    <t>1370</t>
  </si>
  <si>
    <t>Casa en Conjunto Altos de la Pradera - Oriente</t>
  </si>
  <si>
    <t>Altos de La Pradera</t>
  </si>
  <si>
    <t>https://photos.app.goo.gl/FJgEfD1w36cGS8V97</t>
  </si>
  <si>
    <t>La casa cuenta con 3 habitaciones, dos de ellas con baño privado, además de un espectacular segundo nivel con estudio, baño y terraza. Dispone de sala y comedor amplios, estudio independiente y moderna cocina integral abierta. En su zona exterior se destaca una increíble área social con piscina de 56 m², kiosco y baño, complementada con sauna y turco para una experiencia de relajación total.</t>
  </si>
  <si>
    <t>Exclusiva y amplia propiedad, ideal para quienes buscan confort, privacidad y espacios de lujo. También incluye zona de lavandería y 4 parqueaderos. Una propiedad perfecta para vivir con comodidad y disfrutar de un ambiente exclusivo.</t>
  </si>
  <si>
    <t>https://lh3.googleusercontent.com/pw/AP1GczP5gKq06KKTYpDjdGUv1DfipNpCXJ9siFizxXaCnS8PYLd74VNdU6C4g-Wd2jX4c6vdPlHCvo5ob35cTNTQ1HVtkTTkxIk5TTSfR9VXzwd1M5YvMmsR=w1200|https://lh3.googleusercontent.com/pw/AP1GczPwdIhH0X9lBnAN2C9_PmJbWk_7v7bbXFn9eoyWUuWYje1XE9nK9pm3Tl2W4JRu1HeuPBAXO2bRUXr6A2iYu0OshtiBGdipLK9LZlprkweXfmk_wuL8=w1200|https://lh3.googleusercontent.com/pw/AP1GczOK3oRspV_zueES2qnDbOxkpn44BtNYYWoMskO18RMXZq7N-54oeK7FPsmRt8U-KMQJUyjwnnPN-T_YF8TDjqQnrWKRGL7iWPaHy7fsV_ig0_NVnYzH=w1200|https://lh3.googleusercontent.com/pw/AP1GczP4J6owjVfINMwNO5A9LgjkLlkWC5cyzSmVMrgEeiLGtIBhSsifh6noB9loKqrw5YliSj4Q-rhZ9JbHPPjtJSwSfEyLFbj7PXaewZ8SGYRdW5Ki7uTg=w1200|https://lh3.googleusercontent.com/pw/AP1GczPbIVcCSIXCLWEv6fqxdgrgMxPUuuHnfMfi1MoSBIh-9fCwpskO2P8nT9Yl0SV6_3E_OkqGhjNAETd_71cd6cn9aSSUPVf_9meUHGYMesSuYkWpWnpo=w1200|https://lh3.googleusercontent.com/pw/AP1GczNNVsoeit0AaEf4JDVBIR6bflpnxfMymRSIIQRmTGSga9fsVDxuQ8pDRJSDQa-MMAM0y_oW6PsSGhQt8hohcrihhFnE_-PYpVtxAfAs6ts6EFPoG3Ce=w1200|https://lh3.googleusercontent.com/pw/AP1GczPMOTgPxOrfdW8c-reL1NayFzmGxsp_93BP2xV-9aMA5-ecy9Z5aSgHBXoPfVSo7uavs_g4vyW6mWpyO_dJ1xpC49E7mWVihAXN3IvJexFgQhUwKTeW=w1200|https://lh3.googleusercontent.com/pw/AP1GczN0DPftfxY3sxXigGXCpUjzpGs9KEgw1dnMlkxDy3bNMWgmhSFvPtfm7p0-HORB_cBdRpooWxp8HpTbGw7uZGOnvMr_BJq7c_ZrBvY9dlw4Il7tqWNb=w1200|https://lh3.googleusercontent.com/pw/AP1GczOvAP7kNjcDjw2DcD-whhshJOh_foBvHM5xAE5JJwKk8l5s5MRONnQJ0lgpubzDGiraetJQjsepRFEeQTve_7pL-JIYzIC9isbRapyvI1M_s8KuwL7Q=w1200|https://lh3.googleusercontent.com/pw/AP1GczMtoOinJpBcliuoN73VBp_JJsZFipFnRODqzbyhvmrO0d-Q5sHoxgxmJWlRSWJQfnB_FCflnm5u3f4qOo4OL80QKdMtHmPlW-yW2s7HXmK5D1f1iZzw=w1200|https://lh3.googleusercontent.com/pw/AP1GczPM78dVSPGMj6CqELW5CZNKiogK36eF4Yff4C49NipfuDA78OtyOwCaF2OJjaUVKMFtCEZdvl2lUyf4jwy82KKeyI4dyQXaQp6DO5PHPs_MXuAoSngl=w1200|https://lh3.googleusercontent.com/pw/AP1GczPuOYG_MNUkJtTJq8tw3vefOVU3APVOpcQhGo-gC2m9WrIq1qfoYwl9dhMoDuNio3ZGrGBP5z-A-STiyEd9vtZ-IFy96v6XEfujgw3msXdBB6b1ztc6=w1200|https://lh3.googleusercontent.com/pw/AP1GczMaBTvzpkgKHMQH4o8FSFgAyTJtyntXlwjYie0hWRa7jx5hznfBG2xVbP83x8YgLvetPpdI-Jtq22d6C2pdoy_KrdtZdraFramLcybtAttLldQMT9FZ=w1200|https://lh3.googleusercontent.com/pw/AP1GczOYvBhme_IyK6V-ybQ2FdjeAMRao8rboba-hNvggoiy-PR_DjILSvW2_EGeIFmQEOJLHx2BnIPffXLoVm-Zg5Vav7dWqRUVdwOPJPqLTP9RnKORFAV_=w1200|https://lh3.googleusercontent.com/pw/AP1GczNCEUUlazVnfbQioHkxeHp15JryNDEpmimjE7mYCCPt47gwgIfg_CQx8h21URp3aPQ0jd5117Pv39vGrVcBEZzifSmUWCP_wNareBx-UZMY_oQysXQC=w1200|https://lh3.googleusercontent.com/pw/AP1GczPByNcLpMioajd4e8M7NsjgHJ2jGfIWFH3JAMtwnriNjNJjKjcrgj7YzNy0ReMY8fex5D5vaei528Trn0ZXcRYE_oGKvB8HRAcwfcxQOmV1nVJIeteB=w1200|https://lh3.googleusercontent.com/pw/AP1GczOh-W0wlKRY_3uznT4CQHbP48eAR58GPIUTJdIp-Z7U0njRSOOFmaLvRH9x25cwRHz62st7NWQMg3XGrQuEVHytcrVjfnl2jrHFPzsATshPxswPxLtT=w1200|https://lh3.googleusercontent.com/pw/AP1GczPnwrnEzGxwfepQZLi-V-a8XQCj1Tk9OlAZ76gavjnakjJPaXJDpltdY-gm3p7o6foSMi-APEg29OiIp-x_uC3uCNrym3lmdDQoMS970FeuEG2nnDaK=w1200|https://lh3.googleusercontent.com/pw/AP1GczPQobmuvODpxFIMbOTdHXP-alI1fAvgPJDkHns4uq848GJTywniGmBccgt7-0AiR9_uU_qe4lSacIAqrUqj1FHM6EQGhirtOurwIKEX6GJOo496y87P=w1200|https://lh3.googleusercontent.com/pw/AP1GczONKImcW48EZpqDb8T3-21JU0_M-l4cSITHHSBK3oWZedX9nS30qFeWAFpK-pwBr0adlItYvzsynQ1HbM29Aa4LYgOcP3iOaXeI3APor-vT9HY072ZI=w1200|https://lh3.googleusercontent.com/pw/AP1GczMGLHOtiazkfBrW1yMQDHuQHn8Llke3lSwwMZgvGRAtlcnoICgcdBFquPJ-6qcGSu7grIJ98gnOegGGmGW_dXzpct2dTzQ0pDmbKX0qIExmzzMmLih7=w1200|https://lh3.googleusercontent.com/pw/AP1GczNGE91YvqE30UkGvylscn4lVHMXAk_rDKie8pSfF2h-d_sQNLuFmwCmHfq20cOWfLwTqDoFuEVVG8f7B7VFFJYnoIh0EOn3gJ-G228K0nyI4EFjwDqL=w1200|https://lh3.googleusercontent.com/pw/AP1GczPSLqjRc_JG4uhlwEczdxegU_zfV6lcnvu4LuUzoWTo9pluHARYWDeh8KpZD7mUSwJJ8Uq_0iPkakC_EwiI-RBCP4mBujpqe9RpHT7xtT5z0Kl5gAZy=w1200|https://lh3.googleusercontent.com/pw/AP1GczNY8kuXpeGBY5XDJJK-1kT--S9VpwzQSZ-vi51M78hLhmbeI1iijgfsRAHLwQxbQTy--R2-XDz8c4ao8XHK_sKmanRxku0YaoG251eTASoWtW6Qpm9U=w1200|https://lh3.googleusercontent.com/pw/AP1GczN9736pRwGGWq2jrZClRYpq225SdfTjAncjOqhaE2DaDvfFXygIhgdPOQnQgSXpX2E1aBHfZclS7cryVk4VMacss6hqkms_f34Y5Pt_t7smkGsoPNL4=w1200|https://lh3.googleusercontent.com/pw/AP1GczN00pPW1qkPiYQw-6fBZ83H1xjjQg6hVZiIXKUUmTmJ9qo4wuHZzCUwJe0RFifR8LUmACPJqAXDhxowqaay2ORHqrQqLCiXjliQ_Uiy9_LfReiaR7QO=w1200|https://lh3.googleusercontent.com/pw/AP1GczOsGpdYDlXIMdpnKnaupHvJi0uQeYbQS7uuk0EhqQI4fKUeFygDPHQ5cMD1j6lkMZFIkNG7kwRkzDf_piGkYEnVXTkXLuiET2Hzz7nXI172uQilK-ak=w1200|https://lh3.googleusercontent.com/pw/AP1GczN41f_DGcyPMQ4cT1wn0YAFD4E_MlsU3V58C2WgVE0Kf3UQd_5LT1Rdk3fvbwTFmmcvnXbHoB3uqvc7MaveX9CEiwBTlJbgMAv92Pj7BRT9zjkHik6M=w1200|https://lh3.googleusercontent.com/pw/AP1GczM-U61UbXN2JxdFUzWWrG84I6p66QA0WVxt5o55Tvu-i_K9M2Xuop73iz1JTvVg8cuoS6ldmjwJrQcIPf5smLYjw3t7_ldVsmkJkuJ6J4JOcVn3z28C=w1200</t>
  </si>
  <si>
    <t>1034</t>
  </si>
  <si>
    <t>Edificio rentable  con 3 Apartamentos y 2 Locales en barrio Urdaneta</t>
  </si>
  <si>
    <t>Urdaneta</t>
  </si>
  <si>
    <t>https://photos.app.goo.gl/hx8eC7J6bJFm1Wbq9</t>
  </si>
  <si>
    <t>Consta de 4 pisos. El primero cuenta con dos locales uno de ellos con mezzanine al fondo para oficina, el segundo con bodega al fondo y se puede utilizar como local o parqueadero. Segundo piso cuenta con un área de 200mts, todo en plancha, 4 habitaciones, 2 baños, 2 patios, cocina y sala-comedor. Tercer piso cuenta con un área de 140 mts, 4 habitaciones, espacio para ropa, 2 baños, cocina, sala-comedor. Cuarto piso cuenta con un área de 140 mts, 4 habitaciones, espacio para ropa, 2 baños, cocina, sala-comedor.</t>
  </si>
  <si>
    <t>https://lh3.googleusercontent.com/pw/AP1GczMdVby3DJiCVf6fwcoZV2J2ekn37xnkIs1qt2STElPVFIfoujldY5sbaAoVC4ex3JE_pnh5THXZ33TQ9zUtQNB-USJY1cQejod7l6STGe0y50QyxF_-=w1200|https://lh3.googleusercontent.com/pw/AP1GczPka0e4lq4chOiRqj6hYQ1fQhBOuIXb40lCj59hDGCuDUrhQk6siXHTpPZhv3-PbGqSu0nqFZoI6QKxDMo1cS2sC8ALV0dU22WLuk49-NpvYDtl4x4o=w1200|https://lh3.googleusercontent.com/pw/AP1GczMnt2haTw0iuHg2DurubywWkYMI78QL9_Ydfp9PIK4-8zX6N_DdAjajucqpOIHKZcfl9tQVDuuWH_OIzLjOnMfXk0qIZ-xGxFedQddo-nRO7w1DOpHU=w1200|https://lh3.googleusercontent.com/pw/AP1GczMQigyLdwjHvjgf12ZEObUMrx30a1oSyG1qAGp1B-yJXV82rZYdN3SKyK978mM-meEPNlMpHDB3I3AvGOf2WrXMveUcTsHSEugtQ_KiyNtBfQx1nF-7=w1200|https://lh3.googleusercontent.com/pw/AP1GczM2E3c8hNyxHtIf18pTLl0COeo-3BGQ06g-DkwunBuTXLm0TRPZyFZ0zSHQZ9Z5Vq0tXDcme0reCGo1Tz5sFL2_uoO9YDklnMAgeeY4xa8SX7tXQpgs=w1200|https://lh3.googleusercontent.com/pw/AP1GczP984urJpLRGg1XulbUPTLn5emy2WJsBvpbBN-Fr0uerf8EKsSf1olgro29Fk70F2s721e8rS3QC3Um1k-mmyTHPVNMZdxXKHx6Xbj_9I6SqH8P0wp3=w1200|https://lh3.googleusercontent.com/pw/AP1GczMFHacEsKlVf4m2e9N6NJYlxfS3zRb-7BQSUBNmYkmVK0JMg-67OgKgC3r9TFQgBlHE0q1MQQMVTaBoJU_7pcB7tJccfruavLNtxIvnyCWqEG1BIMPO=w1200|https://lh3.googleusercontent.com/pw/AP1GczNOVdIp4ntb5y_InH4U5U13l6dw4NH4RlJVPzkIimdXEKa_p9FUEIsyVTYI74OcT5ot6jqgXW5AARSeE3dtK8hp5hE7dRwZRUqD4nyg5pBFmn9ELH0j=w1200|https://lh3.googleusercontent.com/pw/AP1GczNQskC7gr0RYWAbqbRhfic1woWpwYd623T8JlxV27bB9agYBVF0cDyF5imiSJ9Bdmy2zJVDAdPnkuW-lzMPOmjOZx5AjtmyMqZ-58Azd07IPN65ttOd=w1200|https://lh3.googleusercontent.com/pw/AP1GczMHymdiNRBIJVpWSkHa7SklNpKBsEUCeeHHuqPLbfn7BTdpX905glafa3CkkMN4ow0-mEyIv_tpKtPYn6be_SV-HJh-MZ9rq6og9VwqvKjTdxBG4VZa=w1200|https://lh3.googleusercontent.com/pw/AP1GczOP83grJCKwGRFGyLpfbn_wA3G-v0dHh4xnddqye_KV_94sxoX3Ov6RPeXVOzjZFwskQwn7yoHlNYhViZGWA7PAFFvJJ2OMEaygXFKbFNXSbJG08Tdt=w1200|https://lh3.googleusercontent.com/pw/AP1GczNRpNQA1Aj5qjpRZYo4DzeIyg2mAvg0uH4uLW3hifiPtdNIg_TKTfh_ZeHGrtar0QNTRiNd7fLfNy4V7I943IoYOuyClUGap25fmGF3Ux3mBkmCHio-=w1200|https://lh3.googleusercontent.com/pw/AP1GczMm-gsDla9TlIsv9bJO-lOJqbFWSP3H9hK2GGspIlOBcjuYjn-vKBhlAkDyisf8gVwN-Eni0qI-PqqbmLpD0YHddTSwpaCTxhIfrvaJIAsATAgf1vmn=w1200|https://lh3.googleusercontent.com/pw/AP1GczNBwaVnMev4RGfiHP_yzBn75dAZURJOQ8nlQ9zXAL3P8P_uWSX3wdP9uSMmy21XLrsMm4Jm0MIIMLXwwJJn6pzt7SdFPtY5BlTCAgDk4LsY6EhCYmDl=w1200|https://lh3.googleusercontent.com/pw/AP1GczMjC77leI__4kCA4jUBk8xNqx5K5W2bRS5Ugbqm0ff1D-riiiLomeb5Y1unZroT5gyfQoovLe3OZILO8Toqlul-xJNMWOtQ9gGNWLrdnyi2YkK0yF4C=w1200|https://lh3.googleusercontent.com/pw/AP1GczPzrEpze1nPwAzAYWC4tXsXGn9CCHbOggnI8KgFpquhdtfQzR0O0FyEBRey3jOhHMNQUohi_O8unTGLMTeJAK6fucwRGpjfiMeSy_vhse3hrIjsgo54=w1200|https://lh3.googleusercontent.com/pw/AP1GczMsLegE2Wc6DDbMQfOTheIn6n9KwIM0rO923rKRMIgqVNoq3kLu329pxqZyyly9XiKIDa6qAa2Qksf4SSQWxRNewvmsWZkk-O2XXUnMeSeZXedc4guB=w1200|https://lh3.googleusercontent.com/pw/AP1GczMu2oOwQp9WiZ8i70h8vXEcfwpHvnIsgg0pSqRpgWHyXfIspg6_opX1ouhkkLjQWtovV7aaJZNgYnDD9Yrg5WmwHyZNdRdlRuDIF6ivp8xtInyDpDsE=w1200|https://lh3.googleusercontent.com/pw/AP1GczOfQwb9-08KQd9Evsn2276PEtF4O1NOJhTX50lCx1cdLIQRJ9iH_iZA0CIx9Eg2XqXJm1ewqjkD48vdTK-N0NyIcMdaSc26WgNPRXIoDT6Wf9Kh4BOP=w1200|https://lh3.googleusercontent.com/pw/AP1GczNPhw21Wnjv_n7kcJk1DZK8PFhR1mMWv5hT1gpz1aN1YBw5VIpouLrkYTP51-V8KZfq10zM7JalSzm_R8-jGVTiXsMhle3ttzx_48jA1V9Qy4FQQ3oK=w1200|https://lh3.googleusercontent.com/pw/AP1GczM0AxfFFny1ExGdIQap0Yu7g0lZFXewaeOqnOnqIsPZbIj6ez9ID4GS0SelDaEz_TtedPk267Cx7Ci5afDMqFS9PCwhpb8wtsr9fjP8vSzwjgA7J7UW=w1200|https://lh3.googleusercontent.com/pw/AP1GczM87b8JI3Q58poOgG0WwJshiuS5YrIGQSjo2ypCFDz8-aifeuUoiUsruoWt8pc2084zUYrrDq8aY42mII2Od7og73T-nhrl0cOd7rNmSKVbAkxT-815=w1200|https://lh3.googleusercontent.com/pw/AP1GczMX4TwCThOmAvqFPJbdjtBPkjxmS_qNRR-0sAHQ1jgE8SMlxz6wjiNHoQU3ATFhWA4lFHsnHmsUsXalki_PUbo-19p7j6E1kxwpVOb9hmsyG5F4yaFa=w1200|https://lh3.googleusercontent.com/pw/AP1GczOceC1up__rHapidu6-DBO71Kjj1-9BRBsW21LE7Kiz7Bi9SL_pH4WMHNNWzjf1IIkDJpwsxJIAUgZZQ3eRwaMx_xHvU_wm_rSeQt7iGXC6N1axm3pC=w1200|https://lh3.googleusercontent.com/pw/AP1GczPjbCaASz_QwcHJmQ39SsLXY9uxjyjrFmcnhhFVkhARFqi-JSl1vfk0H2Xr5r2coi5oIyOaMRqU_6tV9i9hZ_JTHF4qLjobB5yGUj1k7sooIH00i2De=w1200|https://lh3.googleusercontent.com/pw/AP1GczNr_wQsrkbTMWCNqk8d7YvryL9_hKxUMciJdNSzGTJIGeQlt072t9isUvwYwe10xzmuRrz9zGrTxV78R7hu7_0zqrTk4BQxaRN8QqjO-n1aw8EZvaUR=w1200|https://lh3.googleusercontent.com/pw/AP1GczNxbyliLfKtjH5y0gJb7LtALpzwIG1wKt4WZUK56mfNHDAQzWiBMvJNi3GCQ1AmDY5snD8RCiZB6Oy1gsozX1lE-5wNnXNACCp_MByn5hYy6c4i4CwP=w1200|https://lh3.googleusercontent.com/pw/AP1GczNODVJFyynPI5gZ7AFpt84lYi4rzvtfb-zFJNPAADfh1JSgKf-F4dxWj0PBOlLD3nUsarchBacU0QbqI-D6uC94R4UPiEmELNt4LKFpAsCNJdS6SCLy=w1200|https://lh3.googleusercontent.com/pw/AP1GczNFfpiaLHq3Tsa0mcPvgg-2tEOon69sr4yPvU19glFxT8dTXz0zrsGOLbWYNzRUQNwkWmL-UXAZpvURV2mNdkQReK3pTfpsvg6u_TfkmUW79QJZ4LfN=w1200|https://lh3.googleusercontent.com/pw/AP1GczNQMpfVPjk-AuNO6BBeIkA6bcIllpfqz_5vxcYla1Ch6WQPocJyYYxCkaA_OgS0A2WBbSBSGhwzpolh12fC0m75busAWxqas7s8UMC6kxpsJc3YVdhU=w1200|https://lh3.googleusercontent.com/pw/AP1GczOk3cJf8XVrLgzN8p0RW4ZoBjKpbrkt0-nAuKDFf7GTUamOPnZVLNOVXGxreOUAKtxX-N0WGgTILeCjQ_Mbajsx2Zh5IkMerlhm3vqSSRNS7AgNuUhE=w1200|https://lh3.googleusercontent.com/pw/AP1GczMpg7MJQEYFQkv7RxRiImPsH9JygShd2vM2iBE7knr55bNP0gl4rxPcJ-EYPc-f3tlfv93O8aXw5d8Tanhj_z7SOdODOnQrZxOjt14llo0AIASMEcUM=w1200|https://lh3.googleusercontent.com/pw/AP1GczMp2EAgSXaFhhGPrlLtCflvxHF_hIlH7irronTgRfOJgCHoZ-Uh4qvbIHnIWBTC7MfIJ4PPPG02AXo0bqpcIwxJsKNxGSLr7I5T9iDOlxgt8XQaFk8E=w1200</t>
  </si>
  <si>
    <t>535</t>
  </si>
  <si>
    <t>Casa en barrio Centro</t>
  </si>
  <si>
    <t>https://photos.app.goo.gl/3cb68uzbydtyUFWu7</t>
  </si>
  <si>
    <t>Casa tipo colonial amplia, ventila e iluminada, distribuida en niveles, con varios jardines y patio. Acabados en conservación, piso en mármol, con perfiles tipo colonial, divisiones en acrílico.</t>
  </si>
  <si>
    <t>Casa bien ubicada sobre vía vehicular pavimentada, cerca  de la carrera 7 y calle 7, colegio La presentación, sector comercial, notaria tercera, iglesia colonial, parque Santander y gobernación.  Escritura al día.</t>
  </si>
  <si>
    <t>https://lh3.googleusercontent.com/pw/AP1GczMzcF-YIxfCbfOWT3pekNi32RZ0stwvdLlov9uxvTYy2GhhO_GOqy9uAgB8ni_rcpd5_rD9C_fx73g076NpuX_rw4dH2CeOklC6JIDS6AlORe4YXphY=w1200|https://lh3.googleusercontent.com/pw/AP1GczMQEuvYH4maHbg3bBQLLtmkG66ia_GvFSobh14Jqids3dX4_JQ0nh9rHojkB7IlAm4tXDbU5rfFUSA_NTc2fGmZlk2uexOmDJ0kaxJepfwcj6mLeVxy=w1200|https://lh3.googleusercontent.com/pw/AP1GczMEmMkK1IFsOAmWsI1LBfHx-4sS-CXcH_WkDZosrSJwFttHqTy1sPcGATQOfGOE4xAQhNnECsziQ4OlpGQ-abomuAq7x2p19zx62DXQJVfgeuaamucG=w1200|https://lh3.googleusercontent.com/pw/AP1GczOjWoad8oE_mlJIM6k4ruYb8Ub1Pc-7Q9d5WImKiXaZEnisNbXBU1BCf2FPIxo0MGrUPCdv2qRbZKFCNdleZxha4m1NHew6GOtG7lDTJFZdukewXc8E=w1200|https://lh3.googleusercontent.com/pw/AP1GczMOhEdvatLofcZd0mzcAjHeRyVHKBACITRlFtg9bCpBV16vLGllJZEgmZ-SydJlYIjGY9kFwvDveJsCQjOAhveptQDd3HjYNYkFeEdjjyzK5TIigkxi=w1200|https://lh3.googleusercontent.com/pw/AP1GczO3AH2ByXr7EWLed3ZAkWIiB-CfGF-ASBG8Vpb2RRp0AkOfKq1MnC5AMb3eJua8A_5lODt3hebxEblXCaHiRDUGQQjpQGUiw9SvE1TFBvHSJJGBPmOg=w1200|https://lh3.googleusercontent.com/pw/AP1GczOwZf_9JJi1sVP5XLbiqkw-DsUEzK2c2EI0EfmHJf25pz_GJwbAI4QEi0fPUGnjYr81UuSMJ0iOQVZObouw0iDihFpLnEei31S9hnZvRfqe7sgSKqFw=w1200|https://lh3.googleusercontent.com/pw/AP1GczMVwVeTncGKI4gJIJssaG9ToZeujpyqJ0IlYhbBC8FbW4plv7_PV9SWQmPyAhzuWmDQ6V1G_ZR8X8dkKRQjmxg-1ttomeoI_1_hL0ADPh9TmYiI5KKa=w1200|https://lh3.googleusercontent.com/pw/AP1GczNuu7IxsNrw7BClgSW0wH47CJYShEhvQcMfl69-UgcBkWwL_PX8WvRM8_3XdAGTrDAauHCDCCYZGwcnyK3sqqeZ2zVNRsC0ja3LL8JFKbvHuf8JSpao=w1200|https://lh3.googleusercontent.com/pw/AP1GczOyxrDEngC94Z_yYP0hf0fvE68bFhrLq0iU5e_Se2y9RbCAaw2D-ferosCCK_G3jj54575LSzo8MQnAYGrv7I-7ts1vkYjKfqgXbxfIvonhAs7iTmRH=w1200|https://lh3.googleusercontent.com/pw/AP1GczOEZTgHeH8NR3PnSsjZK-K2hJHhM3mDnFEAFSZD_Gxj9pCg-ikoX_9FPJt3_fuHY_0MlkFcKtQaeOp4WoU83mpgE-bqRO1WvqYh5rmM7EFSZNYXihUz=w1200|https://lh3.googleusercontent.com/pw/AP1GczM4KHHQKDpSVZ4D4xC41hzd6squykwtvPHskSXiCDNGX_V78yPFG-PUXi405MyHCnGGYNDTyTHBqtQPMr6OfWzZ47PGonL9PTAVI490natgJYn-OZFt=w1200|https://lh3.googleusercontent.com/pw/AP1GczNxO95TMVXV3ZAz72DaN_EmOHaj6c8iiCBX8-pp5Dg77W2pR0B2li30_2yaFIgeuSWQm646jpPK1C6JWwcfZO-BAqXglLh3C-RvdDx5d83PPydJ9-Sr=w1200|https://lh3.googleusercontent.com/pw/AP1GczPK08j7twr6Z64z9XXveW8NxNsfZXXjPXoFRpgKOfkIPt4eENPCoBmHxCLYyexfpNsTxBIoLRjq3DyGQu_VM02sJ73ZUb5E5Kg918kQC0WePhTs6NMS=w1200|https://lh3.googleusercontent.com/pw/AP1GczO_ZnnB5On2x51C72C_n_8IilnTnmIkIiId611ktQgbyV_zMXLbrpY9rM_iOslsnuQBNn819kF-qOmxqMYO5jUHMdHsmo_XxwC4fn2VGab4Y9U3dFzf=w1200|https://lh3.googleusercontent.com/pw/AP1GczPHEIhz7kpBn_mMXunXfk26jkmRKQ4TNrURlXl50v-k-q_Sizm_zCGRmYjWtAjVP1tgaBG1mpVWpJTf1D0U_5itzaxL1-oh8ggOpbPM36MeSMAllRso=w1200|https://lh3.googleusercontent.com/pw/AP1GczOorZuHCtrjp0xX2bwHcujNVOQZHygrLUWbyM_dZpjwlNpB4e2mCQWbBz61nYowGclTHMyn9Fz51_FrTpDttU9GWY7idHCHz8En0sBSjNtwBGrvy7nF=w1200|https://lh3.googleusercontent.com/pw/AP1GczOOTKhRnt_swNW4cbIezTtGrpA-cwIZ_Z2h1lBTpd1AFBwaQKUlkaWis8zk2QBOheWOP_RP2OcqtXJGlB82vSA4K5Fs9L25fOwvthK-FRkfLdSLN6Rd=w1200</t>
  </si>
  <si>
    <t>1356</t>
  </si>
  <si>
    <t>Lote urbano - Sur</t>
  </si>
  <si>
    <t>https://photos.app.goo.gl/kaaW9UEMg2BTzxtGA</t>
  </si>
  <si>
    <t>Lote urbano de 1.000,88 m² ubicado en un sector estratégico y de alta proyección en Neiva, ideal para desarrollar el proyecto que siempre has tenido en mente. Su excelente ubicación te permite disfrutar de fácil acceso, conectividad y cercanía a zonas de crecimiento urbano, convirtiéndolo en una oportunidad atractiva tanto para construcción residencial como para inversión</t>
  </si>
  <si>
    <t>Cuenta con matrícula inmobiliaria independiente y una tradición jurídica clara, lo que brinda total seguridad en la negociación. Un terreno con gran potencial de valorización, perfecto para construir, invertir y crecer. Frente a Estación de Servicio La Primavera K5.</t>
  </si>
  <si>
    <t>https://lh3.googleusercontent.com/pw/AP1GczONaEYLyAJ5m3d4eUv9hoB9GjqU4KA7N79e6ffDl3GOVg0oAKpmO8vQjttALmsJ8QyKJWCW5rcwm7d0670CvBKgb3ZseR311W7RlDuke26z1jSDYkb4=w1200|https://lh3.googleusercontent.com/pw/AP1GczNJk-cGtrTJwou4sSToIRR4VPChz2Sy58RxIN6Kc1VWUAgwJde13AuiZvwviX284wfljU-iWdmqA5ZtxPvT1-9Hwdhnlw5iHWtAx5IAPntjo8kBBqP_=w1200|https://lh3.googleusercontent.com/pw/AP1GczP6Z4WmeZ4jk8t13l76TUGAbuPqDl3uBDdkG7pAe3iOq7T9_QgFI16aJJ09aEd6eO4C9YgZsv3XOPjLOKXiXsBGRzGw50kA8BZNu6LCHVotJ-4nw9EZ=w1200|https://lh3.googleusercontent.com/pw/AP1GczMt52cx-m1psj0glb6APFrUmTOLoQEkrbA2JUoswnd4w8OynDuxzvvlyIsDc9AVu2DBGj20cm54i1INDXO-y2zeOv-rGEMTY7Or9A6JN-ojBs4XNyrG=w1200|https://lh3.googleusercontent.com/pw/AP1GczP_smvKcs_Ra2QWEqCU7_ZB23jF-LI-s5ucNiJHcorjLKY67zMmkeXBiz4xIgw2w_FsE04sEelnswpaFBCJuv6IcletBgJyHe8wGM4ixtDASSttG0QV=w1200|https://lh3.googleusercontent.com/pw/AP1GczP8AXVpKfM782EBD2c_3pSmYKX2kulrmuMxLTd7y9-Ip3NYSWYIdVtOzH_AINTV3LTEoaZwk7182Q0AYabwmJOS1ALHMrlosU6e-QCEy3SIJl7-K_Yb=w1200|https://lh3.googleusercontent.com/pw/AP1GczPhgPX8qxlP0quIbg7cf-4PpBCB1bfOytqVOSaDk7V2nnIrUbWJP5pWJeK-C2fyzUUDvzxcPe2z0BjTO6naGXZLl8cuMEnV8unP-Mb5QF6mzcjSHC1D=w1200</t>
  </si>
  <si>
    <t>253</t>
  </si>
  <si>
    <t>Casa campestre en conjunto Parrots - cruce a Rivera</t>
  </si>
  <si>
    <t>Parrots</t>
  </si>
  <si>
    <t>https://photos.app.goo.gl/yfn8LE3oXGJLy9RL6</t>
  </si>
  <si>
    <t>Buenos acabados. Cuenta con piscina privada. Escritura al día.</t>
  </si>
  <si>
    <t>RIVERA  - PARROTS</t>
  </si>
  <si>
    <t>https://lh3.googleusercontent.com/pw/AP1GczN5CwAFaefd-dywRogGs5fjm2S3mG1RrtC7WjLTGiPIZ9uYnclox23M6FUSMqsCBlTAfzoe2y9CKF4FiBe0GdOSbkBPNiM2G-g00eOWOD54AfKOdWmo=w1200|https://lh3.googleusercontent.com/pw/AP1GczOKsU-0z-oDfZzKPxNcFa0tLDRxODjI2LXmu5DqkP-i6-1bW7KL6xOBQhEMElLuP8cufnJDkwRktacYOioN5fxXltMZBr_wFjEdZs9cMRU9ipqtr34X=w1200|https://lh3.googleusercontent.com/pw/AP1GczP8Xt8WpA9Eb-9MjfD4f04g4MzAFYdyRZwoYwMr_eMkkYkno4LcYBIe9b3FNWgOljbkkLek4FcLi-PNVTKFVdQppoAUrhIBBqNFI9MIjYIWHwYS_GQg=w1200|https://lh3.googleusercontent.com/pw/AP1GczOkkVwKR-l7WmD7gi6IjeM5rNAZ35MYRzSclZlZlIlMU_FKq49HlQzTKTtgmHt-Vys83774XFDpd0CxOH9xXOw9s0jZYkCMbEhxcM0B3K5yRsj3D85V=w1200|https://lh3.googleusercontent.com/pw/AP1GczPMe1cFqB0s1IR60bz_wB_BCUuX4oJas4vzJpNswK80HJi1sDhc6UIkKQbtvnDTB64H6ONhSiDgxkxOwuImrVj5ciwow0Vyrs4ACrkZOuNGCojkmEyp=w1200|https://lh3.googleusercontent.com/pw/AP1GczMVdgrJmQKhGTXL1_iBYoe4Hnkpc51ISEBFmOdHEAvAMHqa6Wz81pf4JJjqDVXJoteMbSIUKMK_lhKiKD50IgLsE-bhlkRlAK6iwJ4u9dHXdkIHp4V3=w1200|https://lh3.googleusercontent.com/pw/AP1GczN9M01MupEr18WetVDfN3X9eEHC_muGIhL9EX4khkef1taBMGUk5NcKTE4ODkNHCrcIUgOseLlhQCM6U9aa9-ARJmMLT8Z0Wnnq_A5sxK_d-_xTUQuQ=w1200|https://lh3.googleusercontent.com/pw/AP1GczMqxD9H-33Uhxnw1RW9_0qLiS09B_mPbrF2KzgalgegXrzir4LnG5IDVHfNbPduI4b-3WxTVGf5yxa049vZgAYW--Uf3QZ9zLD92a5IdITNOU_16luv=w1200|https://lh3.googleusercontent.com/pw/AP1GczMt4v8wakoQpGAHfI-atVDLGcY6ZiEGauFlF7BcGxntOIebtCX14e5z9O0zrqhXRbcI5sXyheM2YeUirRlbbtFGyuiA43JaBGVsK7sh_WQ4_LyakBJ1=w1200|https://lh3.googleusercontent.com/pw/AP1GczNmSYb-_uY6H9G2nFdKnRyLeha_igC_L95FrOMRsoCVwxUFE5pEq-K8QUgGDYc7sCdtsnCmPK3wTUbXOf0vrJbdQIdtJ-HkpQqYbwGKQrXuPpCbi8Ak=w1200|https://lh3.googleusercontent.com/pw/AP1GczMY18bEdWKPEdwedbvb56eLPhnOoQPfQhwxjFrHDQJYytS4fgaaU1Po5NfAcy1HG4pm42YsP9N8EfMcq5DGHrZnWPR19_a0h0thN7uSXGFw-8cjW-HP=w1200|https://lh3.googleusercontent.com/pw/AP1GczPvfRlKzNm63N9AukW8LoAVdSmSE77oCS73_NAygAXzK0NMvcfcmNDHdTq3YCdsZaGiqBVrUVRTpQGpYF7m2eVCwsliy-vdIryvsUr6Q8h_E8oE75sN=w1200|https://lh3.googleusercontent.com/pw/AP1GczODHv97gPBVk8KZF80ffirvPEeJYgXrivRCuX43wQrqM6z8cZi78479SXvdceMD63qrXMKTSvNJENRiTuHDmFUROhTJC6OF8clpGtMIIvdXhx5RkO7T=w1200|https://lh3.googleusercontent.com/pw/AP1GczONmn30OiCbnR8glLivJHx88FVhsOvUwadbPenhMEdc2Im3kaF6eUl4Gv2o1Nn7nga8oTVKiXZ7WEK9Fu3wRDso2IpyzerJ5USP91ZHL3hAUA3m7ahP=w1200|https://lh3.googleusercontent.com/pw/AP1GczOI7telvlWcsrQdZiyxG9KpPrI_Onm7bqF-ePvsdYyVXF0rh6aXOvyPdVTdik9P5lFguFycQWkZ0h9EBrSDX7kwpf9JIcu8jQetrNkWCP8UAoOPD1-m=w1200|https://lh3.googleusercontent.com/pw/AP1GczNwztQcE56tkgIZwR-vLn0kNRaw9u3IQbbAQl-Hl7Tl7JDMPd6WmRIeayYp7IzHj9EVVBX6EZIMDqz-xacHRcue064okK9qwUlqWMvctV-bSdCmtwK3=w1200|https://lh3.googleusercontent.com/pw/AP1GczMvxjGPsDh8sbz5HMiCdbT48ef5qa4QWQzpnkIfcGlmp4HcdsOTQ0aN4IOtccTsWG6m701LLrMS2FrUnTVrTT5ZqKNDK3rc_J5HQWg286-3e_OX_Bk4=w1200|https://lh3.googleusercontent.com/pw/AP1GczOUqF0Vfoymniff6ePZmwQBBCBJmxIc6gwhsCiMX9Uuh5T1a9drtKo3jGEZzp7W5Vv-Y4ajHtBoe0ADDwtjieWa5YP_aI62_hD2C51zWQPyuh3BwB1G=w1200|https://lh3.googleusercontent.com/pw/AP1GczPsSfQ0WwhsCdWch2RhP5NrpZcVsBcnCdAvcJ28-TTnGYg-fuIUXnPJ-dyWWdo0xOZGDsoPCzr6ITqwqCvIVjI8AQaVJTbqKvjVusp_8Qln0XxvT-HB=w1200|https://lh3.googleusercontent.com/pw/AP1GczPcM48jgGjacs37TBH6ULKFQvklkLBVxd2ZfXAA2Q18aE522nh4at0MluMN_GPRGTVoaHa5KqPXRqKnMM3maM12XbH8twIaulnYh0x3eh6nXn_0owt6=w1200|https://lh3.googleusercontent.com/pw/AP1GczMK0x4Uyhn8DLb-EHHViWAVSgeIx91zc8I5rfxcUy29f81bsjGEtcza7S23Fga8aeIQ1MMNpdDgrlOFN-jWXmfbTC508n-zNd1yTprZyY4-PkXLQuJY=w1200|https://lh3.googleusercontent.com/pw/AP1GczNUZX0nNzaPSdjt-v7BhqpZpmw507cEwExy-W5Ui-WRpY51WrLfQO9VPwIfyxnqn3kbkv-HUMwRJPLTx2O-nIf2dkr32NkLQH5FZdWvLVqf3EtA1TDZ=w1200|https://lh3.googleusercontent.com/pw/AP1GczNZhNxPjQNSoizkcJZx-lCz1BhDW2JMug_5MG9zMUf6B-CmJlOX0Jk8m9uN1wwhjsDd9WIH-uEt4q43-4G4Xz7Q3X9bZtZG3uO-ACio26TYRF6oKIUZ=w1200|https://lh3.googleusercontent.com/pw/AP1GczMY00VyZ2aVmL_g__crBoDqTZ8unithtdhwVV06csc3zumiiLp_9H3Y_0dGfYznxYvlVlz4-2MKcI5CI1DZ57iZDq325HhvvZSLYsP_pU5tS5DUsXEp=w1200|https://lh3.googleusercontent.com/pw/AP1GczOGSWa1BzfXnx4nRrnWLTqltfkruQ3p-18yhyPZLVKJCSKBH69c-JrUvJlOtrF7S8DffNBgmp0L4kOIigaOcCCTzkFypuwmk0JVByBuXq2mgz7hAne0=w1200|https://lh3.googleusercontent.com/pw/AP1GczNes3qsQYx0dMlKgk1Q8bk2uygRh3tK0C5M1X0CaNrNnTRNrokdVn2fGBhjDOdtXoOBLbWqZnago7CGb6ebWxsvgVBYrjUaSuRRR2_lCPn7RFFbq9Y2=w1200|https://lh3.googleusercontent.com/pw/AP1GczNlhIv5Cly04S3trzX2zhFjJfTko35KCOW1gsR6CKKhugl2_GbnpptOTOfhdUG4uo3IW5thTQ3WTSfAdBcpNuXLf7FDd3Hv235fuZvJpp3lnlXXpDQZ=w1200|https://lh3.googleusercontent.com/pw/AP1GczMBhQzDm6bNkwU3Bf13hqFDRenc8TGzhE2N_1b6RHKNYSmmY_cbfD6G6mNsvPO8FYIs4EwxOCiPpoGQDRJo47u9N1WhisRZ2gFpcLoXIwXxq9iCyT9O=w1200|https://lh3.googleusercontent.com/pw/AP1GczPPc_fGs4bSIu6T11qQCfM_b4JDb47y8UvAN5JC2i809HDtbOYgJ8mxDjeXGRAftvzCVZNJPOMf4dkvPTGZFZiPjPE6uEPEmCNVCAOSGuZqLDs3ebLh=w1200|https://lh3.googleusercontent.com/pw/AP1GczOFeSf1Z7k0E3JaHrbDvfz6GRL5pcywkw4DWBdhM0JxQLgcQsG-2S6byZ3ooVPpN3MWc8asObhQgoIqlusWCkSx3v3U_eKUeqMliFce3QzS6nMl2nfb=w1200|https://lh3.googleusercontent.com/pw/AP1GczMtGiAShXl15hZkrwa2DhxqOubM-Jwi2PkfLaEmKgaFypS_nFFCrUMoKzEJKnT0ZLSOAFHTJWiFLy-jnJQkK1aj3_q6gVCNl4YGSGr1oetdCF9STT26=w1200|https://lh3.googleusercontent.com/pw/AP1GczNgB-y1dPFx_QdP0q4bO63RHsQJg61VMdAQJ5EWhP_NrDrZtpMOZ4bI_It52tEIgS4D6CJbGXWa8t4OAez8xK7C3GYDxxblahkAH9by8B_Ch3WGIjXs=w1200|https://lh3.googleusercontent.com/pw/AP1GczOk0uc9kMecFZ72GnlA1xxffsQJJBXc6AHqel0tSWM-RwFoySy4UH2lwREofpnuo0O6Qn-11pWQ1ZOn3q71lcbwrhFHNmPDn92hfxpI6uA1kXThY7xM=w1200|https://lh3.googleusercontent.com/pw/AP1GczMy85ZDNit0t6uOUmyudMXHz_X8ri5jrGEICvXC9OD3Jd5R-3BTn9bHSw6SC-ZYKgPo5MCS7bNlcOpqsg7OaeV1qZBJfp4ARMlhV9abpmKmK4ieKCN2=w1200|https://lh3.googleusercontent.com/pw/AP1GczMbcdCxFp7CpprnVkb3nR5b3JyStvxt2swKgP7v_Vk7ySUe5YTuqjOMcQrQ_XQr4Pm3WEOqxLOuSJVMsuVEBna1miI99lqbVXBZLPw9luEW1kD5fUMo=w1200|https://lh3.googleusercontent.com/pw/AP1GczOcxPgq_8rkZjfuYqrJspaqcwdQpuWM4E39PjNqmY6Hli74srw7CWqXT0odiULO_BGViITzBxO31_Ln0HYDdH5vUKh6szeCe9-UzTUm2M3glrjB9zAe=w1200|https://lh3.googleusercontent.com/pw/AP1GczNjt4Uv7HYFL0e5Zvdc4WecNlhgt4LeAYE--FtezWXkYEg97aYmKFIztoHqGGOI0goAqfyOiM0deM4pKC-62FuXHMDSU7huK9m1Hn1mlocl3O9NWTeb=w1200|https://lh3.googleusercontent.com/pw/AP1GczN2nVH0t7wEnsUvnsD9PXEloll-EWfGoRhknbweAzFBPQV11yaPBz8TcFVHnYVoS06k4qkm6wWb30OqvZ1_MJK5ZsK49nUcDC3T7iQo3wS0LoL2UuQ9=w1200|https://lh3.googleusercontent.com/pw/AP1GczP2IUn2jkWBWy4XuDSDc8pKU9iAwuix9EFngQbbW0G38dzmMnRLnZRLUWF4x-ZFcF6UubJ8cnkLVSBdhOt8_JS47rQz3cFeeuCvTjXrNBjMGw8uE3XI=w1200|https://lh3.googleusercontent.com/pw/AP1GczMKvbuYlPGMJ5TQa_qZVGC7SveKnT7EBtSKLKFWIj1Bc2jzrXXzv0km4mq6o5GYYR8pVQxDIGl6SYZ8MTOib1xwhtOSL5WfOtWZI_DO27qfmaJWbBu5=w1200|https://lh3.googleusercontent.com/pw/AP1GczO8wBvvL9Ty9PAc5ZBc1XbR2LcYNn3xwDOfhb-fI1bZmq5T3nEmLIEdkxhnOHw_-B2uNL_T_Of8ijmSrwQpAY5lZKZA6lItG66-1nL82j2WyC3slFd9=w1200|https://lh3.googleusercontent.com/pw/AP1GczMcbi8uhL0zJROxsTrqiI9Z5sVDCPlwHh0s5f8ugnDeqb8PH2r8MyEfhDsHTluwFb1LVvf6VKoa4mLiTsnXI9eOxM8jFpSeJTjC85O0xefEh90eZ1Ok=w1200|https://lh3.googleusercontent.com/pw/AP1GczPtDeeevIdS5a0QmJAqlA8auPLIWO3m0dpA5RqCqNXDlRwTzVKVdSU2KVQ_2tZNI6-s7e-QmPnDgnIX07o1dHoMQBjW3w4tqOMU33fWYaKdtd0UslH8=w1200|https://lh3.googleusercontent.com/pw/AP1GczPEt1NUmxgnctPx9H1rRxOhPFCFhc9D2Ne3oowFvPTTPm0WWJ-hN0xJ5SJgFUK_aZR-NVspLRNMv70uQqYz1JF3C6pWKguJ4T8jcmk2r9iuQxLgnCic=w1200</t>
  </si>
  <si>
    <t>198</t>
  </si>
  <si>
    <t>https://photos.app.goo.gl/bhWunPMWWqUnr4QG6</t>
  </si>
  <si>
    <t>Casa amplia, con buenos acabados, piso en mármol, cielo raso machehembre, carpintería metálica y madera, muebles  y closet empotrados en madera, bodega, patio amplio. Escritura al día.</t>
  </si>
  <si>
    <t>https://lh3.googleusercontent.com/pw/AP1GczMnUEtqtd2mpxtoZRJGvaZb3iwggFnfUlGECJCiz1kk9v-mit1WKyz85JIu-Os2BJCjBW-tKCY74VXq5kOkrN_PQddi_uHlw3lSbD9Zuz1nVRYbguzM=w1200|https://lh3.googleusercontent.com/pw/AP1GczPAyiYZcEto8v-62VkjNUhCoP06PGoB6dpxLFoGecd_JZH5OW0hiCX6R0jrtfBSeKCYqut6X7BQiV99-tH3tkDvW9TnPnDYrbCSNN1eZb31hW-08EAn=w1200|https://lh3.googleusercontent.com/pw/AP1GczPGZSnDnKIfDmECDsE99kMB_O14h-6Yq3dgCUT--8FupC_96toHmgPmCQBFXI54ekfuDZkADCGBilTiZVEdfz81NDry-76IQ6VZiwoknt0rRtBH2WGx=w1200|https://lh3.googleusercontent.com/pw/AP1GczPT3NuxHdu6KwLfr9zRAo1AnWz0OLQU3mJIc5rVptWj2OZz3BkTTMJPDhkBsPQkqcFIP0L93S1tIx3fSOMPAgMZ9ExpXqmQmcBdSP44vhhMqSUwFILJ=w1200|https://lh3.googleusercontent.com/pw/AP1GczPE_WAENJQRS2yZrgODSywDP4lDZNO78NEiEYIejDW57DXOLQPMu4kMpuW6ZtL9nMPx9dHG0GKZdfjcofPa_cB0cHilX6PtOH5qmuQpOkhqG60iiwoM=w1200|https://lh3.googleusercontent.com/pw/AP1GczPP05ltZmlOr-ZIUCFlhruWsl_LEQ01DaDi4nCPbqkW1yyv310xJGiqQOLH5BOcT1tPynyioEZMyhRRye5AVHzLg9KCxWnpqBqMhYugcLrtiW6ubsyn=w1200|https://lh3.googleusercontent.com/pw/AP1GczOInAoVZ56wlG2umlG0ZalJOfamxpCJU15gU4TGVk878DqPAvON8NgG8gHBnN3lQccmfU2PKftjE34cTSrC5BPqn-nNFWHKDDjHFr_RccoN20108fs8=w1200|https://lh3.googleusercontent.com/pw/AP1GczM5XPZlF90L7MDGOhIjpeXjvRPDW9WmU7qHcQ4QjGbkbZD4S8HLVRuFmJJaGRCXgl_9b3u5LEFZRfPXfGz6_szbVVzT9ViBowHZBcxwTmrCKgo_Bwp3=w1200|https://lh3.googleusercontent.com/pw/AP1GczNT6FXZ1XU1oa2kongIqdFDgPKOdfgsweO8kda5Xh4pod5CoamhCQXNiMkOs5kUCtykX5igTb6_i_wO-Md7ZFB32ZCzVZaJGcl6_UKtv1QsVvckGrTp=w1200|https://lh3.googleusercontent.com/pw/AP1GczPFt3RODzWl8DswACrswraEYH2lDCEcpVnwrzt-QRhoZfKHtj2-wxAu5fxiuqEshycsXscCeVurZJ0Eic7oVs95a7XqdPsuYLv20p4oEbys0lCoT7f_=w1200|https://lh3.googleusercontent.com/pw/AP1GczPWhFmqtAMVWWTXU9NHM8GvSgEhJhPp1SPURMyi4_BtquDuDhxehY0CKXNFYziON-BWHPI7xqXgGSRoxg664Sl7kJBZgTtN8jFZcxVcyeQpg9TsoR_r=w1200|https://lh3.googleusercontent.com/pw/AP1GczMkkqn5KrYYFaxq3e2HFIfoPX7-9i32HqDtOw7R7RltKctY4tqugx0NZaw29fNp7rR_-q4n_tqMPXM3XEQ8wF5OLAchnXROc2eAPUwfvAQlFrL8Puvg=w1200|https://lh3.googleusercontent.com/pw/AP1GczMLtTmJenGTFNifVutbIDNTUYVq2834SHSjNow4z0gqsyyGcCRe2ZAfRD8ksy4KA54_sX-2n0Fge8HxyjcdilQEEmj-Ku6ZqsxAKvtenVtHmi_Y39Cp=w1200|https://lh3.googleusercontent.com/pw/AP1GczOs8JM4YoxBhE7V2vxum5LiD1L1xg8nRRfOPPwZ9wh4WCF996Sw7l0I-ewM7hPrOMpBywVtFEJgxGXut1WcJqvzFbzU-nZlKornmvq3-W5qdNwJGBqq=w1200|https://lh3.googleusercontent.com/pw/AP1GczMG4jECuzDWQX5E0P5f__QzKTq6KBvo8Vjl9HoTX-LhWuKPOiBY4TYZJtm0WxYjqg_xw7SYxdCwKtkRGcItlD6WiW8AavOHMRPltO0CzlilDTXn_8WT=w1200|https://lh3.googleusercontent.com/pw/AP1GczNIh3yKOH_P3xJt7w62PEuGgWZVUS2GEMgboiV-2hPbTIVaHTHj3KpIWJ02VAvFnA1Nf1RfqGAZFLHNb9QWEbwXOn01HyoHeYQbAkROflIpkLahwg2_=w1200|https://lh3.googleusercontent.com/pw/AP1GczM0w8i5nXafvOolhQwqz4mGTmG-JJWXCkpBGEf5FfS_UCF5bvyunJJHQmCt-0Dvqz84HRVSllIni41aOe11h-35D91iXCRpu6K6QvcuS1Pxe-j0ntKU=w1200|https://lh3.googleusercontent.com/pw/AP1GczOgBAGwDxdCOC-nRHQPmZxAh11l-GUyHhuRktHfQBp1JPpRJACJ1P5Ns9ePJ02EmBJEblURrvyoyVaLU2yMhDy9tvHWJwQaPb-UujekN9mSE4kiPnf6=w1200|https://lh3.googleusercontent.com/pw/AP1GczPRPqglcsPQKzOHsxnodU0SyFL3Ecm-smgq3avMEpzb7jctvD92vaZN1ut5UD4qKext4_LFg31TjrnNXdrikwhWbWO3_708eiaOuin_OEjOhFlJMoF-=w1200|https://lh3.googleusercontent.com/pw/AP1GczOdrWLSG7KXTVEZHoDy8UjFKdJehAu_f3g_4HeoJ9mkJ-GRfOFuNYaIqmztosEDLRkrX4fftiOILg71IBQmnjAFr65kLRU19jrxq6WPbgu48zIYd2c1=w1200|https://lh3.googleusercontent.com/pw/AP1GczORtrOwPGknNtE9kY0siGBdgddbUO4f_oYkddhN4DqPdUGQqC6TIxXv1MeB2R660kv0Psmhe_I6O1o9tiCLg6SGeCpGSJ81bJZWpx0_ISF2jNyZ2COz=w1200|https://lh3.googleusercontent.com/pw/AP1GczP7bUYin1BPMkhQmEmqls07gtnRgsGIjjDl0XEdvikqdkK0kJs_-R2WvQ1rW71eByfr_QegNx8OYUxC0FsHwFEvLPDfJT7II3MmERJO4gfkLHvBlhwW=w1200|https://lh3.googleusercontent.com/pw/AP1GczMwSc3cXBjSyd2lHNO_cpFN-nmYKLYhSAkNe3BfRpskbE79s5CY0wYl22MEJFoy3Im_mcW28oItapabBLgIFOwJL0Ni-5_PJCyW0TJkFMHmTMJJaN61=w1200|https://lh3.googleusercontent.com/pw/AP1GczNoP2cEjFj-EbiFCNYGzFkSs7jmnBQZrpN7PhpkyiGfkJ5YnJxWXrcXC0IWorzcShsq8IBIotUEF-OqrM4A8w_6BTAD9BC4pkZrufxcDSIW-L_eIYKX=w1200|https://lh3.googleusercontent.com/pw/AP1GczMFNXi3Zi4jY38nPvIGAnKNRY7cnuTbh5vSTYfFNo-HiFMBN5eTUrvXHBj89M6RY55mxfRXgy8_eqH2FmWvyB6cg3QmKHw3P8dLnB79u3HjNEuY587t=w1200|https://lh3.googleusercontent.com/pw/AP1GczMGZIoCATWa6ih2uAt0TvtErHKIXovEiwXonebxm_7xriSyDkx3mQoAHNagntdIym4Axl4rqIYtMAX_qTHtcneP_-D5oRfp8mDjZoCzbpQTWMNrokZ1=w1200|https://lh3.googleusercontent.com/pw/AP1GczOmwJIvt9nAlXcv3bvm2to3_z1NPv1uCY8LIMwD6_Hysmb9Dl57TjqTiJkEvewrEbKLOtfgjnLFu2fcM6AIK1kiCxvi8zzIWlM7UZjCg0hwoY-FvJBX=w1200|https://lh3.googleusercontent.com/pw/AP1GczOMbO2U-DyUdCY4Rf3hy7Oe2LYDm6rAyIknaqJ9rUuhN53ikwGYB0fSD3iDhTBb5kH7OvF4SLPTDOrv91qfDdlbLJFRLOUjPdGkcxUC451ejoxS236y=w1200|https://lh3.googleusercontent.com/pw/AP1GczNQj4ZqBVyLYoDhaD8jwKJJxmm9iXwhg09Tt5DfjkDZ22aKyx8UBF2ry_G6KPHhNqLPAbIuXjnD7-BOnZZsG57pcNbzCor9xBN_gFaKw9WX9S7VSsD4=w1200|https://lh3.googleusercontent.com/pw/AP1GczPHQeBtLW4iuCvGcFY8GuevFjBp6HzmzB-0FjEdHkj5WVNRQurFiaQPgZSMWR2COP7vfJ4F5nFQcTGVwLb_wHjWVHLHRIjiW2WhOAmx38z9aMIP0fsz=w1200|https://lh3.googleusercontent.com/pw/AP1GczNZS-xeQoPr2st6SS0fOW3acD-978ABsoHk6hFRk-hNjh-m3xcLCOBJ8Z0eduHqLlO7aVOdG4hMCehCrFM31VWBmkb_r8FRYz1wbWsN1wPyHCAuTXVo=w1200|https://lh3.googleusercontent.com/pw/AP1GczMZrAjxprTyxgPMOFm7h3wHpGcHg9nFxfxkjFHK_HDFomk2OkGjr4_eCspRiX6Fn4JZHKhzoFndWxUqmTzNA0gcaJV0FtlezsbrpnSLAtgtRiCNUV2X=w1200|https://lh3.googleusercontent.com/pw/AP1GczM7pQpuUclaftgn3C9PIOKaLVo3y209jflIf9LGweOxrC83bBYMuMeOUWlf40ts7zwdH5PNfZn59oWOHzECK97zenDnaD0n2L6LYdnSnhxBYrEIEtXF=w1200|https://lh3.googleusercontent.com/pw/AP1GczO_8iPDFUiTsHdw40Ppm4sjU9ETjEp1u9TSs9EY3UN8MakS-0YW5WLFNa0ja3n4-vKBtgoPoGvUVIjMtWTvLzW9ZQhrBcLeVq3p1n2axpknFGVu4KoJ=w1200|https://lh3.googleusercontent.com/pw/AP1GczPxv4RanKmON3HiiPy_OJ4B8td5NFNLjZGjvifCRerpnw1WAgtDuCYDn8QXqls_M3aurHQoZHp32LtiDmD1MSrRi57PRk9JpeBfzT2Yt4G042yh4nUR=w1200|https://lh3.googleusercontent.com/pw/AP1GczPUmQOiYdrrQ8aC7z8eL28JvrNHrhR_jZUSqBdH23CSxa6jEiqnMmD5Yc4JsIeNEsg0HtC4cJYQDFnHIaOap08DGXBkDf1pffSp-zqf8xKIe8SMqdMP=w1200|https://lh3.googleusercontent.com/pw/AP1GczMAqXrWiQrhcjSBJq6opJmEBYVO261MgvxbE15JR8gE7xHq2hcbXUnxbGy5TR3RA7Mg6wtbMZ2jRHDWQjIg0Dgo-8GPknOYOGbMGsBYLDhAAjmtM5JZ=w1200|https://lh3.googleusercontent.com/pw/AP1GczNre6Lig-9-npzebRjwe1EyiYcUpjKmHOGBoY_Cn99wniAvQoOe7UEsGPEE1igVTAsJLPrHL6ut_Q1z7k55BUYmCp-S1AIwkBa9mmmfl62_8EleU3fU=w1200|https://lh3.googleusercontent.com/pw/AP1GczOkz_8aBa2s9bAp9yCRuRKm8PXjS8tdS9Hvg1v-FxtkyzTXZUa1cOHBEbUSPwJDjrNSRl-bPsw0NYTh5XnZ0uDFs2h_IQcN7quG4ieSZIHXyMoE_cMa=w1200|https://lh3.googleusercontent.com/pw/AP1GczMXcWyIz942lX0W1YSb6D0lnjHmrtdwOWrEC0BJ2GlEvonFtxwkLVqZrrwEClxFFPWTJ6T6IgyARij5fJy4MRlKBenaSRpocgSeYOnzN_V5NSrChebM=w1200|https://lh3.googleusercontent.com/pw/AP1GczN5brib0PYdbPm47SGAsv67Mzq9qq9K5efylksS0oM6OEGPDri7Qj-F4cLWWSdxvf_zr1oZikVY8fAxMV6Vdx20L2bHn7F3H1NEk-sz78e7vJbMDxXO=w1200|https://lh3.googleusercontent.com/pw/AP1GczMFIQ2RbS0k-2U8PCecnqHOHTeO37Tx_zoxlwJLSWWcHNocJstdffnuUSczO69JTNExc3NlVqLqo8AhrEDdoT-bR5LpJuvaaLKS8g2nazBdNdXgUOv0=w1200|https://lh3.googleusercontent.com/pw/AP1GczOcFXlzvpNiqL0qye2kJhPJ4kc_jsPWDxVtLSuCs1d3Et_FRNbBatSxwUoDzUEmo5QJrbYFdBbbwu3ZQbygODSJfF6cvCMOBXHmxgwMnnFQewFX1VZ5=w1200|https://lh3.googleusercontent.com/pw/AP1GczOnit4YNGohxpwC66Ank34LVuqmSjhZ23m-hN63dyhrrWFcAODtq3vpH6juxD1LNBbyEz3ZJWNeWzJ7Ym8_5Pfb69dSDHzCx0gOiNQyMiO7VctIiXaE=w1200|https://lh3.googleusercontent.com/pw/AP1GczM3S-GbpC-aJgqaOtu8QXGtm5K5F1-eWb8svKrVcN1cQJ1GPtSHucDDCUoiBuPUI48qyjdnOknrrSw4cQfhp46udh1Biyd1BmQnRJYlOqy4Hojd4Pjk=w1200|https://lh3.googleusercontent.com/pw/AP1GczOYoRxTyc4i6-2EL0gHuRAHGz0uUwvMCZBAJQfV1MJrcHGo2Msp7VxxbjoZC2UaLPmGqEnrbrzyn3ZPNn7G9ktk4_hIe7sai6w97zeLHkbJbHhH_noc=w1200</t>
  </si>
  <si>
    <t>1351</t>
  </si>
  <si>
    <t>Casa campestre en Valle de la Rivera</t>
  </si>
  <si>
    <t>https://photos.app.goo.gl/cA4CjjEshY1Qqo48A</t>
  </si>
  <si>
    <t>La casa dispone de 7 dormitorios, cada uno con baño privado, estudio, cuarto de almacenaje, baño social completo y baño de servicio, además de sala comedor, amplia cocina con cuarto de alacena y zona de lavandería.</t>
  </si>
  <si>
    <t>Hermosa y acogedora casa campestre ubicada en la parcelación Valle de la Rivera (Rivera, Huila), a tan solo 10 minutos del parque principal. Esta moderna propiedad cuenta con un área construida de 554 m² sobre un amplio lote de 6.040 m², rodeada de naturaleza y espacios ideales para el descanso y la recreación. En el exterior ofrece un cuarto independiente para herramientas, salón social, piscina, zona de fogata, cancha de vóley playa, quebrada y tierra cultivable. Cuenta con aljibe, acueducto propio de la parcelación y pozo séptico. Una excelente oportunidad para vivir o invertir en un entorno campestre con todas las comodidades.</t>
  </si>
  <si>
    <t>https://lh3.googleusercontent.com/pw/AP1GczOhybmHsW6004ZZ9kwd8FdrYthSzgqQaz8vOi5eMeP1ul7cJV9GMdMUWpcpf2Zyqr-Z0Iw_j4hgdyo-jJj9tPCVK1zfTIahBxeP3Pr1JLb4X6N2Yw8d=w1200|https://lh3.googleusercontent.com/pw/AP1GczNh7X3KJBtxZse2GqeOVJqBJqI1xjOi8iPoqcbkFwmwiuhQ8I3u-S-po3QWAbQJceGfrg3Kp4d75X_XbDG8Vwk0EPtoC2bC-6hDsICjAVaTU4qfHq_d=w1200|https://lh3.googleusercontent.com/pw/AP1GczMyoq4uAwPiGs4refrKvABbcJnEZHP8X_F1JVe1uZg0X27MPEYrPmre2EK0JwylKhSCC-XS391b_lcjW4ssQSVHAK0avwVqKrwl86FK6tpN-M9x0uu4=w1200|https://lh3.googleusercontent.com/pw/AP1GczOkrnLkuB6-EZ43kFZbQTh_7WZLs0RqP3ZCXxXxcdciRrQvOP5xJJKwa1QFiePh_hBnxpjszna2mdQY_g1bDpf0x_ebmRnCSyJeJUjesToqCiuec-iW=w1200|https://lh3.googleusercontent.com/pw/AP1GczNIQb8z2JP5x4uWUNIJ5dztypE5FAfy9f68KUaSYL3t-DXwcDqGlgRTL4_9tW-9IIFUTArYAz6tNvuWt11t6Gv2QBp-Fqe6c1oAsVe6zpu9FEHrvXBH=w1200|https://lh3.googleusercontent.com/pw/AP1GczPWPAxeXldXmXZOqppDtEEjsLqsQiuaNJclxtOz2bCwMeU9Z8eJjY3SU8osc7vw1RGTs95Xi_9lJlsNf3_AZsezyjHJmcxse6C_THstZqWrUyTW0QTm=w1200|https://lh3.googleusercontent.com/pw/AP1GczOS5trKM8s0j3qGQbFLjU8HkN44QJe6wtScVo_dH27sQcOqgOSsZUwkQ8xUZs4CNXWG8TYo132ESCfV67PLS6sB8CKlLWpod-q0ELLh9ON_KYYf9MAW=w1200|https://lh3.googleusercontent.com/pw/AP1GczOfW9tVmPswVPzy3fwz4SSIQtHx-mAsuXqlCglPz0sGv7yI9sLOKqxqS4sB_LUKaU1z06Kee9ZP7WhyK2KsLlTPvVs2zYvsatz0z0LfBLX66YxtofGg=w1200|https://lh3.googleusercontent.com/pw/AP1GczPZw23XdorikZ1fC9lfmTxdzuCDZH8Rtyho6D515C_cSCLwkhEQAAmet3NDge023u2dtt21nhBcEFzsSGvYcw3y8l4t2Ytra-SHmRSFHpLj8lZI6u2D=w1200|https://lh3.googleusercontent.com/pw/AP1GczP4f5h2on9Mpsd2X7fniV9J-nPYBjGwLWsoPQcbQcpIF71JWF8clkzfhhhPEDzRHN1nB-WHqnmfsvzUx4LbL61aXNIdDL5IxXVwDpgz8y8JpQNFLgvU=w1200|https://lh3.googleusercontent.com/pw/AP1GczMvODzPV1P9MGlkk3ba5xQ2aIQ8T-ktHmq_gY-GsMX3_xbJqk252m4284KL_0EOI72cSrT-31iBngGTeKxjUACt-lv1jZLX5-Xv9mZ0ahftEoNoUM-6=w1200|https://lh3.googleusercontent.com/pw/AP1GczOsll60cPUsJCP_R4oQ7rKjjortcpLWf_pI8CIQ1HKhi8PoKmLSd4aKiHKK1kpcs4If9PIauq1Kpaov_bRysKwDBybidMGRobya0nvNivRFgqPH_VG4=w1200|https://lh3.googleusercontent.com/pw/AP1GczPm0JsGR8g1-cPcz2-63AUtMiFCJXETIp2jHqZT4uRybWVwuqMECKNRKu3i85iVdTYEc4xEFWBnFy6BaO58Oe46p7SsEPpRIJZJDYU4lzCTYVyI3mFv=w1200|https://lh3.googleusercontent.com/pw/AP1GczMhwE7s8HxTTTHuNQHnVAtk5wDyZ9qpnUdFtQjIeQshgzObsqncj72ib35OaCqLsuntFn1RSRxs-LZLfHdcP9ILGSXvx8gkiKQSmpH2_1gj4I7k6GXH=w1200|https://lh3.googleusercontent.com/pw/AP1GczNvG-cnxC99AIgtlx0db_-g1GsSSTYlab9OVYIzUiar3v-H2WV_GwWhXlkhdsHkam16aGxdH1GtRooZS6W9G0U4FDQLJXpL8zSp_h9XXaFXjwYthfJC=w1200|https://lh3.googleusercontent.com/pw/AP1GczNSQkNmY8dIi1eRj9fQJKIpuwEadQs4bZ__Ot6ISDzCO9sFwfSIxsoiFNjkU5kbVntnlmAkigwef9dTj8WzOfrEwfR33Mfo6sMm7KRY3ImZTo9wl3Bl=w1200|https://lh3.googleusercontent.com/pw/AP1GczOF6EeluRCzlEbKFe_Y6ufWgkFqPbZEPJ8JL17t5ueHO33QKi5L5k9ougBetYJ7V_7H0waWIPvHWcDft6Y9u1cQgnupOv6HPco5PawRi89HZZOHtJ_A=w1200|https://lh3.googleusercontent.com/pw/AP1GczM78rvMdiK55sGr7baG6aYzbDZOHrm7wq5HznPEcXqUY67s3pDR1f8nH13UEPFukeMeprLuIY2L16_lFy6GWtOh1eT60JIq4HCTHnAYav0uVuUbPyrI=w1200|https://lh3.googleusercontent.com/pw/AP1GczNJGRXnDS0ofKirV2fFsbN_VklYSjhdyd2ZVQLUFetvF_-I34oVgEBHkVJk5Bd_457PMHQK5sx4FKERYclmOl7aRQiKleomn3NO2HVDGTHjIi-utgd9=w1200|https://lh3.googleusercontent.com/pw/AP1GczO7OvXMurbwK6VH8_A_7snhNZtsBr5IeEC6pLuyE57c-ZOFebTUbUSXVoLot3zVku4kDnR3cwdAR-58QPqyVnXnctsIUaQ14Ud-fgb86h-_vD_nfs8P=w1200|https://lh3.googleusercontent.com/pw/AP1GczMvuQ0c8UcQGbKFLHe5Pp1SshUVRpPEwfqrYtBHfmrZoQAyV4FlrPWAku4LowkTqv_ksv4oWci_OMai-twEsuWDcTKHNEjMsMbYs8P-6iJdKnawlWCN=w1200|https://lh3.googleusercontent.com/pw/AP1GczPVDjBENHMFLqYGeHUMVPb-MJky8CLfc9shPjw2ID2abIzczW1R7PITErBHYRvA-qBbIW-1vi5K6PSTfmKo1zqIptWtra9yczB0HuZDCQJ8VMQW7feP=w1200</t>
  </si>
  <si>
    <t>579</t>
  </si>
  <si>
    <t>Finca campestre en La Ulloa - Huila</t>
  </si>
  <si>
    <t>https://photos.app.goo.gl/nQaamarytbj5jMaz9</t>
  </si>
  <si>
    <t xml:space="preserve">La finca cuenta en el area social con kiosco, zona BBQ, zonas verdes, piscina, árboles frutales. Area privada: una casa de 180 metros cuadrados,  con 4 habitaciones amplias, sala comedor, cocina, 3 baños, corredores, ubicada a 15 minutos de neiva. </t>
  </si>
  <si>
    <t>la finca tiene un área de 26.000 mil metros, consta de agua de la vereda, acueducto de rivera, tiene riego de la verdad y tres aljibes.</t>
  </si>
  <si>
    <t>https://lh3.googleusercontent.com/pw/AP1GczPUpQG7JeW8BvgrTT_wviubJ8BQ0NIzTleiTsMOaHqpn4KOnEvZq_ZGWsB6-HPsBUVp87C8Gjf9-7H5IBCKXDG1SuPtbMJUlxeT5PIEGlGS1TGsWvJF=w1200|https://lh3.googleusercontent.com/pw/AP1GczP256iKFu_1PqgPYwAdeCilNhYCMph851Bnl7WefSL3pKY3TFx-BgnXm1uPqIv7j1qvyEGcinuKsk6RfO2fqYRy-WSSvPHngFXxNSJzb_HewH5XQv7E=w1200|https://lh3.googleusercontent.com/pw/AP1GczPYmjs69nwKrDmvY1U0q4te4qutWSG6opdUIvxiLtOAzF4mjqKJ9Qtf28FL_kumw3sx88-FTLHMuuaytk_CfOTcgsiJ3mPh0QZ_SV-bxCfpBTSFwNs-=w1200|https://lh3.googleusercontent.com/pw/AP1GczN92seEjJojOpftolkMkyHisbYniDlyDj6W19bnh_PldbTFrReYvY9sKEfk-tJAj2GxwdV_B7g8UB39MY7cPtNHpU7lm9WH5WYS453-ewql6-Xb_mzO=w1200|https://lh3.googleusercontent.com/pw/AP1GczMGRVMR9mW5GAJvi4B9-0rTNPibuJe_eRo_YhMvytaVGf8oQ_QbPquBuIbqCSeRVJYMkL6Tju7Rc2EceXO4bdpzcb0s1PWxhC4JO1chW6KybLFPIE3N=w1200|https://lh3.googleusercontent.com/pw/AP1GczOXOh9eI3GVgceUHuARRanX_BA5_boYYnHLi53DQXJZCn3ewNUkvwSpUU56Lum8JK09G17Gs7eOHg0WpV6CQK9qFSHYzI7zrJL5_6KzSfwDzPAbZ-xG=w1200|https://lh3.googleusercontent.com/pw/AP1GczPOJatq3XpYvTOsK6pgaMGy8xfUR2d2yhLEErRBlNyGYm9cZyjZWsLn0onwRsxR0EE5AAYw5DAzJxBErMsv0uxdQqE27sgXhsWN_QCfnXYXlIgvYn84=w1200|https://lh3.googleusercontent.com/pw/AP1GczPhxq4LEJccn8BkIDp3j6KJZH9n9eZNsC6qEFstu8EANrrH7R9pOlJs9Au2vgjTkit5TAFtPuuD7y5Xv4bb1egR_-n3lC6_H-K1CS9BbHZIHZqz48jq=w1200|https://lh3.googleusercontent.com/pw/AP1GczPBPPZfdxr05zNpJ7bdxw3g82-GTfdTgCCXJE4tv0DgDp3AjhhfBEMWFremnQVIKsIyptiXlcsMpv5i_S5O53lUyPbnYpUGW0VTFHGWoQMe75NQBCH6=w1200|https://lh3.googleusercontent.com/pw/AP1GczPPK-f3MGT2W1SUoHvDZ6jvv_7SDQgZy0AfzAIUYQhLFbKtyiyL4WHG7wSeI5oLMp8laCD6SQuotQxiF0Jea63A8YY33i87iU6Y_WJxel_KW1bBsIyn=w1200|https://lh3.googleusercontent.com/pw/AP1GczPI69qIudv-RdIfy2-oykOaAjCGxFAamWjIeUNP5wSX80wUS644adPM1IyyuwY6xLIqTmITh8LA6eQNPTwRMpXr0c8sgaIaUyPy7GeDF8V3wd9l-XVC=w1200|https://lh3.googleusercontent.com/pw/AP1GczMsuDt_GcOt2bcIWjrJ5LWGyMiwGEGVIbTVPi0uIe-jHLfnuL2QNMsg5Y3l3WLuISKM-pNGVdTW8ZuTmJkRlTqBBY-uYV8edf_jBkgwHkPESFWKpfz8=w1200|https://lh3.googleusercontent.com/pw/AP1GczOLOPEcsKxpSDTRfCnZeNnf3helP9OpO_vhvpmBnqFFpJ41Xp9m2UX-CENPvf5jpUtAd6ACIuNc7nScYVmN-QH70wZg_o8g1iPNfXL_N8peKUdyS0pv=w1200|https://lh3.googleusercontent.com/pw/AP1GczOU3-AdWk4PQoU3sKW3ANXNsdVSCCfAiKjenAeER1tBfUlHedXfqhVwC-nI1_SwZrbp0zN1BnChfER_dA69sqN5FT-Zu_BvYNnnMBmZZ9YV4vpFcRDI=w1200|https://lh3.googleusercontent.com/pw/AP1GczOhTVTzBM7eiyn2bXsbYb61156swggp0FIa0A8Q8kVw1I75TDXbw_H2ke4rH9mkATphOdW1rldY1Le6sVvrcORZmntEDh-qTE006yiLZvwer_sUas6F=w1200|https://lh3.googleusercontent.com/pw/AP1GczMy_JgZUF5qCJ8odHsIW4NVbm30yD9kHwJ4uTJSh_ZIboIYulusf-KCTiLCOvXNFm7pas9x8RtaxbMIxO5U9r2vquXGbbtfuu8Zk4z-s21tXIMgIycz=w1200|https://lh3.googleusercontent.com/pw/AP1GczNlJstT2pFw-eD61CKrTNj8OnshmmNSnLPB98cB2hH-U2oWmBOwvyvOgy0JvkXcnftS9w8pIkwyijPqze8KJ0ihT_7m2Jf0z97vH8k-QKehQahR8AmE=w1200|https://lh3.googleusercontent.com/pw/AP1GczO4rP9TAruVkP4esMDvTQNYtLLj04SiX-1zTb4Yk8pJL9Y6UHRhGpVo71Zxaw0mIafY1NReZoqltm4HN6ickPeLr_e4dVGb18aBs2vvDYgXxwAaMtGk=w1200|https://lh3.googleusercontent.com/pw/AP1GczN9sP3yF0_BEdS_NTd4c5HmFkN59JbxGvUHPvOw94txvsw8MmTiylRXSU7vK_B0bLP92laLMxvmGqRLhd7LMryv7CqeMF90Zs3ubLqHdJy_gkTHtH7u=w1200|https://lh3.googleusercontent.com/pw/AP1GczNwS3qHTMT1DK5A9VDRJH18XSJ54Hou9DRZgi1IJFbZC0PxOxj6U8yLzLBj60YChLP7u152ipxrvTu-BwTIAG8_hGTJbkH9zonWRG9Ra3A1LHbfV7wz=w1200|https://lh3.googleusercontent.com/pw/AP1GczNxasPKP0LrKZmkmPZ_nRVe9vMHIY0Cs0y2dgpV640mKY4z10Sdu1qYFSYe3Q8nJkKywKN80SmwFHg96mByr16o-WbJ-nqmoQEGZYdCbm86PGWDmo2O=w1200|https://lh3.googleusercontent.com/pw/AP1GczPMuVsgE4m4XH18yNCq7RM7ndkPsVFEGrSzicMEqcHMUPfnqca6FK1padSpC2yODfMJBdIdalcGsQFOwqDLV7tJ9yHgm24GXzi0Vzkfgbmp3XrP0SIf=w1200|https://lh3.googleusercontent.com/pw/AP1GczMLmZI-7VZ_WyyI38OzV4mYr8hmvgXZ7AF0bbtCmicYNo9xZhT4w-0zTTHDlhzZs8a3XfEQKtFCHLez5Us15Gjkh0L49SvKXOEq7_b6MPMQ2h0oRCSH=w1200</t>
  </si>
  <si>
    <t>1141</t>
  </si>
  <si>
    <t>Casa en barrio Centro - La Toma</t>
  </si>
  <si>
    <t>https://photos.app.goo.gl/NQyW7AuUhgiyAFjq6</t>
  </si>
  <si>
    <t>Casa  en niveles con buenos acabados de conservación, pisos en  diversidad de cerámica. Carpintería marcos, puertas, muebles empotrados y  closet en madera.</t>
  </si>
  <si>
    <t>Casa bien ubicada, sobre la avenida La Toma, cerca de la alcaldía, Sena, Super tienda Olímpica, Carrera 5, colegios, zona institucional y la salud. Escritura al día.</t>
  </si>
  <si>
    <t>https://lh3.googleusercontent.com/pw/AP1GczPkBKTq1GeGOcGqEQEp2TOyR6AS7x_JbyN6BKUzZzPkErHfJbKkUyAgKdMVmWiN9aiqNbFXhMY6LgQ2sjhXKV34jwfQE_2mADOKc10KVGw6avE0DhrG=w1200|https://lh3.googleusercontent.com/pw/AP1GczMt6KRmH2iGlodzsPctQ9TTu6Vg6HLDEL24YF-6GcnmK1BKjAMj0AFxP9tsvJxsgOP-V4swmbY4kBBQAgIxWy_sK3PH0_Byn7Um8oFMSKk2QfF-sl7c=w1200|https://lh3.googleusercontent.com/pw/AP1GczPrVWlQDZsi9URMKHAMgGHL0nR2tbRb7D-pQaBqnqcw-M5hAPw-SVizMPqCxdYBN1vA-YlXzV0QdGOlkMI1oyLhsPZkBIdse4eGVv3RCPwxhQzBw6zT=w1200|https://lh3.googleusercontent.com/pw/AP1GczOLrXfSaTcRLCgYSKJfx3WsnGzZpRWd_2Xz7fr55L47iyTMFPbqukYstdrpJ209ft2zy-b8hrXCfnfvD9zmlYhjT1sdV4xuJQ8x3n9jxiGPnpqGmDZV=w1200|https://lh3.googleusercontent.com/pw/AP1GczNP3K6qRh8Yq8qTCRhO0Tu8umpLK5QqBeLD_ftZkmYO4dLONYd_TGaD9sWDXSxe4pNb3yAww37erkiazlNEoPnakj8ZDDpQwWZraogC8mRDkiW5-cK8=w1200|https://lh3.googleusercontent.com/pw/AP1GczO86f_V3N4O2u7SPoKvhOuKQH8ryxGaLIv3DCB5ZAOmCaEQdO9hePpr2UvDSb2wv7j90Se-Aqo8YY3LXcCzwwxurfgQhCvDa-iSa9bvAB7wYDHSlcX9=w1200|https://lh3.googleusercontent.com/pw/AP1GczOnLhNREvg7mpHGb-GapXyGUAcGsSvd4WHcc8vufPPveA4fmL3SVz0yAPVGfUCEq78_TNs6ZI7XLhpUgYfJCbrzwPkOxQYnovnqRUA9zLBfg-WgA_nM=w1200|https://lh3.googleusercontent.com/pw/AP1GczMzFJyLyd4KnD0jubIHrh1v2K7O4Fo03VnsuMQ1jumUUFxHE1oZTJojwjQJisDYYzGCek5xH7rP8dMvJDZ3aB8fF01veCGMHE3YwvGe6808BdO6IUgR=w1200|https://lh3.googleusercontent.com/pw/AP1GczMEeVfGiZ8c5GOsKWYzJKg5GyXpX6SQY73eetE3FXKlWxsz-sxV8H1woQw7FJ_jTul5p8oSTeec73qfUMdDkzwiv2uFE09FsHecOdPZLJVhLcjnFjpI=w1200|https://lh3.googleusercontent.com/pw/AP1GczMknkxkdXuG4Z-k90kmNIzJslV0ICpsfNmdhiR8E6pUXIq55bWSsAaAtefQx6EOIe1A7zUYixJLFL5FN9sYpFet7B_u4p0h6EMOA1ACWzKWiZDw5cBy=w1200|https://lh3.googleusercontent.com/pw/AP1GczNn40RL---SOVsVKkorn0gnJdXYU2mHZXZ1vZYcyL3hSgMBUWbZMoCcckCxO9Qrbl3s8jBEoK0HfUJwty2BlPhYNk9WAqOrGvpFgBZ4H7OAnhk66elG=w1200|https://lh3.googleusercontent.com/pw/AP1GczNsTK9qGb7qN1aA2EF0mUJ9s20HDcuEpR0MUH10xpXnkVCdTsJkB2lKwZAa4dpeBYCx6d86DW31LYjTjE4z1i90VXLMmPi3FuNt9SAlvhyDJupDoJt8=w1200|https://lh3.googleusercontent.com/pw/AP1GczNzPDu3PNjAKTOpAfmjTSJaZExO3TNC9_joEXxSU_7IXoR410n81kIQbFvQg6-_xQQVX3njLujkFJeQWHHMo01ZN_1BvLJ4hbpG1Sr8YSOSZ9FSkoZt=w1200|https://lh3.googleusercontent.com/pw/AP1GczOQIpDOf2aZFXItrfZyEEpTmqNk1s6IX3bMxpls6Y17lIcsaTQ9nHmDH1cvxfeB0YR5AxTYo0HhhArDl9McmVTMlzortZPKaQQPKnfvkD6MhyQ-9Jsz=w1200|https://lh3.googleusercontent.com/pw/AP1GczOqx9p7u86GRZmX-txqxMYmUy5eeqxI07nFLpGIWV860Frbf3YJRXcH641_Lfp6973OZYrxXWgIqsVG2XXfPNo_ZgIq-jc_2cyoleHQN2qsXpYGjGIE=w1200|https://lh3.googleusercontent.com/pw/AP1GczP9a0jxgOMhPS4rLTMQCsTRjyCQ-A96jXagKYJ-eZgWCcSYLmL8R0qiS1uixJ10EfxQUP7gMZWFV0slXIpFLLQjqPKpKKa5wKqDx4wu3jRbqjRY9ruW=w1200|https://lh3.googleusercontent.com/pw/AP1GczPHdcfe2_-7dvAKSVzAyZH-i4yeMOdI2ig73n71NlLUb-LH4hryGYO6oRwoykxjdD09qtJfUeYdwO7Y7NM-40C1kUQVBldRGdEi8Z3G-1pHzAM3EFUE=w1200|https://lh3.googleusercontent.com/pw/AP1GczPOuBS026BpqOLgDC0e76xSfxT9cgoFyisfRs541Bi7J7NE7QmGgg3cSjK49ObfEykoTKf84HV1Jzqybm_rSxfZbp3nZzsJNXJJU5PP8gZiFfaaRLwT=w1200|https://lh3.googleusercontent.com/pw/AP1GczNFwnG41mmhmYtNTlXz1SJ0GjF_kSHkbtIL4K37NieyyJjHWLG6pRhIoUjJiQPcidnwiayLg_n-Dxfy5kYCZmmpxvLiggSxF7ZQ-U-xfJjuKupsqext=w1200|https://lh3.googleusercontent.com/pw/AP1GczO9R065UFZ2E17qhNcaaIqpEFHWtMAzbGGHfZkgNv3arqrmgVmxrKLcwQ48QeUFQ5ySRgefb1VD8HLK1nSapu6ij0f8PH5oy2EyEaFwbCWzukwJe5F_=w1200|https://lh3.googleusercontent.com/pw/AP1GczPI1fc-WwkAfwFXDFosG8i5ENWk9hfPvJYglJgatPrv7U6tnIWnLayzCz-1awlF8uswl3vO1W_auRJLFWyhhj35VQe8Ctl_PJbwbJxmM1GZNEO1XsuS=w1200|https://lh3.googleusercontent.com/pw/AP1GczPyGYYvh8peBaV7NztHOQ1aY-B4kOCRQStX1xV29PVsMRkcXt2l_sovAt1Wfh_uvgQq_o7q7ni-2H6tqvQ_uufvKtb64HbUMYXjpuHL1rx_mAe_MiOI=w1200|https://lh3.googleusercontent.com/pw/AP1GczOsN_FU15Z3upxaS8WoCKqCLMUB455zcJIwzhRWFS28GJp7pacJmGvRU6MMV2u92KO1EVzWq_mkGH0otrMY09OVGsnr0encPmpvirJPQR5gSVjdUA1r=w1200|https://lh3.googleusercontent.com/pw/AP1GczPYBPhAzxL1E74E4_ccinCHeJWh5Ghsb2XkB2Bv7BUa6W-FOutz7VDfA0a2YcPdcCME4cMvLCZePiNZ6hHmL7GmQRWiF9m-92beCNPADs6pBeem0mTH=w1200|https://lh3.googleusercontent.com/pw/AP1GczO--LvM11YRe57GuvrXaqyUKlu5eHyhFCLFCHt3Q5BFSV9IVfK_cf_Xp24SHFfm4c19gsoG_ItFpIwfQSnHA6ESOFl5mMYLHrToDIBdb2jMGlrFKHQY=w1200|https://lh3.googleusercontent.com/pw/AP1GczOa8eYvJ5v53ZKlJanC864DHB_Wv6Z_bQqtbtzA7s94zSflXFS94BNmi18TwpBm63ihoO2qPbs2HuaooOQz2xGDuN8YnWjfv7H-IuBmE0EN427G6Ban=w1200|https://lh3.googleusercontent.com/pw/AP1GczP5h546aGyIpkBpD0P17677WNorXEK4Tzt3MZMsJ9U1hzldxKSljsyWn7XGCHPdKqzR4AD3lCkNvWtVpmuyJUDNjGYbtwzzKEb0BavvnG9F7Rlqb_DR=w1200</t>
  </si>
  <si>
    <t>447</t>
  </si>
  <si>
    <t>Casa en Conjunto Condomino Lucca</t>
  </si>
  <si>
    <t>Lucca</t>
  </si>
  <si>
    <t>https://photos.app.goo.gl/bc2kFfEwFAphJbPQA</t>
  </si>
  <si>
    <t>https://lh3.googleusercontent.com/pw/AP1GczNGX9iuynbNg00bgJ-VIMHSwZXKN4NffxjfAmU265LSRsdw_7GD9hK8ewrV1iHU1aGUn8L9f60ap_f3dTRroxu_eB1AONqihkMCLnhn7ypdKWXuFoIR=w1200|https://lh3.googleusercontent.com/pw/AP1GczMV4E-V0oA-ViMXYsaTaMGCVZjScRh2Rai0oOY11DsnVUQ2LOqnsYnGMsh4JEFWrMj3jK0ogm4J2i1XlVwxjIS9Tq8IRUSa_OQ7Cct26Hpt_saSHWIP=w1200|https://lh3.googleusercontent.com/pw/AP1GczOoQEA62X0uENOSAF130-l1YKES8qKP_XA23nsl7-H9m9iRCLpeldqgaNUwBXNWkep6JFgsEoDmUKrzbAfCQQoiK305jnDexs14Q3mIhV1vIbLLpRNd=w1200|https://lh3.googleusercontent.com/pw/AP1GczNQjeUkHH_iCvOQJZwCnJqoqlK9leduWO9Rp15xxZa3HXMPRopjEy3DUZTNVlCukrnAAj-oPWaY41UX-ZIwqAJ4oMrHopTa4F2HORUDyYIRJ_gRM6jg=w1200|https://lh3.googleusercontent.com/pw/AP1GczMOLihs_t8-saZr0VPZhLS_gi8cl8RbBm9aVfJoRb7mCalYVvPJxm8MUUnLme7SnMaJQ62e1-3F0Pjs1sSFp81yz65UCx4SAZxEapKNuWAfPVgKWCPl=w1200|https://lh3.googleusercontent.com/pw/AP1GczN_jtg0-olczKeiZklDF8MCCs7qBNx7WgIBrVnGL6nWhDrunkMzra8PpXbSBVQUCISU0NdnCo4PJGrLivgsA8Dbe3M-1RHEYYGEDFfvMqHxjZdKEsbf=w1200|https://lh3.googleusercontent.com/pw/AP1GczOSmEFprgsVSdJRvduBcyqQ5WoNf1s9ZTKpvnVA5aJbiSmFodW-cdpEMK1IAHiqVmGAMOdUKb28Awdjg_qBvaOFE3z3Y-dfhFcZw4Q_0R7d6OX8orFG=w1200|https://lh3.googleusercontent.com/pw/AP1GczOhVbNzCqdGABKlLRPPRPUHAZSZ4x74eJPKqqBoScNonPnBrYl2ItFNn3aisBWyxPyke3LZ8C7s3oRG6A0fJAB9Cpn1kppZ-LzupoYW92TFQnmQpKBn=w1200|https://lh3.googleusercontent.com/pw/AP1GczO5OYGc0gX3QiilMkCj81V5ZIysS1cy1OkrE0NuODj_-uC-sPxrz3Uy-IFe6LT0QUWUfU2dG3x9BkN1AfbGLLzmSqcl1jghl8KL9f66GDFHT5XR_dTh=w1200|https://lh3.googleusercontent.com/pw/AP1GczN04Vz0NAjxW3L4d8xwSDov3xMnIEkWZ0RaGtYqXQCnqUJxFvmBoLcoZvABecnXuo6wgLpFvE4HtmFr8A6VsV0UmyaoZtBltY5JobmduUUlsVUszUTF=w1200|https://lh3.googleusercontent.com/pw/AP1GczMFHLeP8kOoErEuBZlrmVt8GLXCmDOOGRixbE6UpyXPBjhK4tdBPEh7JWlVNLhrnV2zTkNj1_hLZo_Xcs8ju2LIYaeSXC2bRKcyO5zM7tBnw39zn7-r=w1200|https://lh3.googleusercontent.com/pw/AP1GczOAKi1H1ImWBfPVanflXDwyjjXLkRisvAeLyGjtA-9eKJHxEQOjTH3dJJYFbZOGi-uKWAGZ56AgNIFHsVP3dPhU8WK1gmX5NtfisvD_EDMRsnDcrsaw=w1200|https://lh3.googleusercontent.com/pw/AP1GczN5hMeAd8Cv0aiMGMXsPPm8h4si-zybbXQ0yw8s5enEOTqu8LRn55zsCzS2sCPgenZ7OU6BP_UOrpDOqlaFkXHUr4-GeMq8MoLnoxytrCGVuveY31Iz=w1200|https://lh3.googleusercontent.com/pw/AP1GczNwj3TmN4BhlZ4k9zTIuvux4qmKl9BvVvqdAGFjXdg9kQlsYKvYGH7qf7QBTdFkCKAOKD0Q3YWQL80RvVIvEmh7WojSED8ehdc_L7Je3OWlUAUuhBVR=w1200|https://lh3.googleusercontent.com/pw/AP1GczNN7NvhOmV-994Q5i8IwH3olqV2eqkHUPy94KmDTwmL-3KZ1Ro7eCkV5z17C8ST--oPHkR2N6U6z-FjsONF3DSQe6pKzX5zh9L5RIQtyI849UDTxSHL=w1200|https://lh3.googleusercontent.com/pw/AP1GczOh1mghvWxmth4ULavYghUUdtIDE9XcxcyR3g1BCyxp7OTBKMBNWhxHAqkFxL9tfOF_hbTccvwXPJ3Ax8jRbiWQ6QwfQjiC2pW_d_mu-mr7v0yaZnja=w1200</t>
  </si>
  <si>
    <t>425</t>
  </si>
  <si>
    <t>https://photos.app.goo.gl/zpb2nqo4ztrDVUYp6</t>
  </si>
  <si>
    <t>3 niveles</t>
  </si>
  <si>
    <t>Casa de 3 niveles, con dos accesos, ubicada sobre la avenida la Toma, bien ubicada, pisos en mármol, cielo raso en vigas tipo colonial, carpintería marcos, puertas, closet y muebles empotrados en madera, con patio. Escritura al día.</t>
  </si>
  <si>
    <t>FALTA DIRECCION</t>
  </si>
  <si>
    <t>https://lh3.googleusercontent.com/pw/AP1GczOcKXapnc8Wc8Vhpyiv9FCEg-rliRjqct53_s1F6uhKnCepMBzct-5f1GeFvSlRHSR4u96xtqk-JvRLOWnJdIl2vHcJ7xLGTpS-fhGrk1G1eHxtcmye=w1200|https://lh3.googleusercontent.com/pw/AP1GczN3MMXjznTlyygobqhXWRci3ms2uPJXNY4zd3Uoks6WC512U66V7HBzxjmU3zNzLDrQZuYWmL4gHIH-GBNIqlwfPxxGZ-peAr3RzNagCQvmg1CfZAGi=w1200|https://lh3.googleusercontent.com/pw/AP1GczPOtP-NPI7Csu4AmcEXNOcP-rjMA8GN1t_ofInkUx8M2eQF4vEy3i_tXoj_VkaEwYPJjJeccPlnxMPoxt43WXi3yN7HP02ur6QvJtCR8x0xaF73jhf7=w1200|https://lh3.googleusercontent.com/pw/AP1GczMTPXO9AYJe8bA3gEOruDsq4eVWe4Mmq60dE65u7SafJ_v1s1AZTG7yVJzTUKnKUnIdMVKUQbi17m6b2O4Z7GBCWD0MVo0twJHlMO1SiQ_b2gjVU8zF=w1200|https://lh3.googleusercontent.com/pw/AP1GczPtmDloa2Q-5CVPcRE2x943apuxtiuVdnq97a6F3Tp4qSRYzGuBPncFpg7uAVgFAGc5-w67xVAv-qwIdDmgKrzsvRymXSghzNtJSkRaewnZ-7TuiiJd=w1200|https://lh3.googleusercontent.com/pw/AP1GczOC8Zt5NLU0Uls-uhnJh8sgny_gtnfef9UyL_xu-yNM2Cd2XPHme5y6GzJhtDpKPuRXRLuKPSumkHQSsnC4VXh6xk5peuNiMqFNMwpZYRXDp-kz89s2=w1200|https://lh3.googleusercontent.com/pw/AP1GczNrQq5-lB21vqtrDYMB3Ge7C7RxOOO2_be1TQjbFNBwlKl8XPRFqTvsAyJ1-1cRGQasM93B-KTCt_xj8lMHdlO9um50u0_d3GDd0sOiKvnslWdeQOUJ=w1200|https://lh3.googleusercontent.com/pw/AP1GczO0GmU7sxwGHNlvjxRnaEdf9JmmMKVC8r2pbaaDK-4yKQ7qdQ-bz8cm7TjlnfP31YBHxxndRw0xF0GcvszJtJh38hsiun67AcB9SoSe00OkWYZ-cNOg=w1200|https://lh3.googleusercontent.com/pw/AP1GczMPggAYC5uybV6wqAgn2mctzHcFWvZBso_u91NzfS1nZLev6aRdbc0L0oDmkhrPZxjKPlBXMAV7W8Wq9fddI9BZoA-5v3I4CsFVS4aEBz20yXrUC3Wv=w1200|https://lh3.googleusercontent.com/pw/AP1GczMzPljqGbhS-y94ZD1oXSLJ8_z0tQq3Qq8O1vpv59vexuuoKqvxLbmg8mswTNTm_XJEqdFz1GQm0_xFiLKAas_HcY7LdcqQ3oz0aNtUFmmO-YxignHS=w1200|https://lh3.googleusercontent.com/pw/AP1GczMv6zrmMG-v36dXtNaTguUA67vPOrrF0awagJkBwb4sXthmTKuJFRXZtyqQIcp4HRHwGafRef6AE8-ALxij87qlBJfPixF7q6erivvJRxIcSX2yCftG=w1200|https://lh3.googleusercontent.com/pw/AP1GczOR_8q67ZuuGz6uctyKB1hPwujOS19HjKo6tRbwXIWoFVub6A_QGlH1DzVHMl4fEMdbivUstx47L7DCNJY5IseMBmuih6UWG0JnmU8996-OeH5WR5x0=w1200|https://lh3.googleusercontent.com/pw/AP1GczMk3e3xMdNg9Bx-8Xy6qvt0acxYCgw--1PzNMVzaIYGWpcrfVPBFnFv_rBl38IBADxf9fZxdJOPMQ5ttFFrZR-qCyOVkKvAFTT3nhFlI789HDNkQykz=w1200|https://lh3.googleusercontent.com/pw/AP1GczMSuxlSTkr1hrTfD7syKPkfLJaUj0qb-N4k8vlwr14DhYHmGiIvgXkVwpglMTTiz2Rzq3heLdAX4ycSCmfW-bEx_HDmKHx_LBrIRTWAfggRZ8-dk1wd=w1200|https://lh3.googleusercontent.com/pw/AP1GczPxHaun2hnEIY-9EodsCeU8mJtGbtiJyyGp9FADzS0PMKAnDmH912__g6VAOXRa30obNftwpSB63ugAyaFYY00Us54Am4aHWfhrKvN26VD12qeLYiS1=w1200|https://lh3.googleusercontent.com/pw/AP1GczPihmFz8xdZ49XvKFOcXSqcFokdlxISn0MRHyLSxjlOdK6xmXYxc1300eyg0wlCwy2VrKCzFqOhgM76Fwte_C4dDzfpuRO7clLkii-F6qOAbsoT64pD=w1200|https://lh3.googleusercontent.com/pw/AP1GczMNW5B6-vYFbp30oYknjX67C-DWdxi9kcvpsZGmbmRcgcITdkkUXuLlosIHu3a0yPOj-AUCih8Ql2B84Nfip8XVtdTn-cd6A-_VZp3-Zoo-NESnfOCb=w1200|https://lh3.googleusercontent.com/pw/AP1GczOMP-_CY6PpMnFWgdQrNX4t4sAxrGMJeY3qE4YPYicA0Rxvf1iZa4F8JSVhsX1NY-bdPFp0BBq90rv25BBo-eZQQAWi4OgivExNaO_6I3ZKOo6AF4oI=w1200|https://lh3.googleusercontent.com/pw/AP1GczOvPSKtVL_H5o-exT5EupNktyE-MS30vtbZ0y2RRAQ3mrFJSi4WVJpPC1hpjGO5yjZFD4i-_XG3PQr4sA2tyyBThb3jSqkAT27iAwETeHGanOxqokB7=w1200|https://lh3.googleusercontent.com/pw/AP1GczMhkoxKgbzlpX_kewIdo6vhqQ50nrHL8X3WT3MtKtHkcfwD7IAy7d8CiSE8UqKuxmCV-MxFng2JjBRH-9XpcL1rDiAwvnv3jXavbe8_RmdPnMGSAvOm=w1200|https://lh3.googleusercontent.com/pw/AP1GczPTsNXoV2cPC0WF2hlqvBItmZDDkLs408eTtwtx2YhR29EC2mnSrhB5ONY4yHusWX_C-0FgFVWSvBdnL28gx0MH2gH8vPsgniU_lEATDMmmNublEhDd=w1200|https://lh3.googleusercontent.com/pw/AP1GczPgoI4_VocB4-nAMYRF4vmUhScZBRCS4yT4smi7uuiSadPMsjngZ7ZXzxS7LBUU_S1BZCUWJEyrRYtu6M9gj7yZZ6G7wXqcnCZPxlYR-GAulSci5TyX=w1200|https://lh3.googleusercontent.com/pw/AP1GczOsxAa0xsmGDHR9PHDlhlaEhCvfey-xCrCaK4OfMgxOZmKant8UorSoM_CFOxfecbBr_eQuhqjeL7Y_Phj9RY2KNbuSZcPhvjXGQiKHwrnClxsbCgUz=w1200|https://lh3.googleusercontent.com/pw/AP1GczMsN6qUYadeecmyW0dGwTHPfUk0CFRoYOQ5nLp8F2HN-BgtUfl2vEbuF8Kxr_426H6X7I_Fv5gOdj21dXsJR29devae6M4hH3oAMel3Awa-XZxRf4ql=w1200</t>
  </si>
  <si>
    <t>1133</t>
  </si>
  <si>
    <t>Lote urbano en barrio El Jardín - Oriente</t>
  </si>
  <si>
    <t>https://photos.app.goo.gl/poD7FwNEo6o4EAy87</t>
  </si>
  <si>
    <t>Lote en el barrio Jardín ubicado en el Oriente de Neiva, con un área de 1.000 metros cuadrados.</t>
  </si>
  <si>
    <t>Una buena oportunidad de inversión en una zona de alta valorización.</t>
  </si>
  <si>
    <t>https://lh3.googleusercontent.com/pw/AP1GczNah0IJnlKCG1-IoiKRylGsCYZil-lwkTW6Q5FO_lVozO7hVz3A5qurkslT8h1apt-4kvRR0lBsb_FS1cK1zkS0LgDmvsvOtg023KlUIsPjF32DPL7x=w1200|https://lh3.googleusercontent.com/pw/AP1GczNS-2LI5LbQsd8mz92Mq0kMvRg3k5SQUYkTeuDoS3Ca4YvryAiqJLDLsZa5RZDKTnzkI4qw15-vioDkLDLlhUT-AknoF5T7tViTVMomGy073tn3LAp2=w1200|https://lh3.googleusercontent.com/pw/AP1GczODR574u9wscajLYnGeYoFSTaXuwJOvSdR9v-92FNQwTNy8tHy_2I3ngA7i5gzYKIBAwg6oWmzwW-x_1Kl20ugqRBFywNyQLmEXdwmEc8aWaNZhTc_F=w1200|https://lh3.googleusercontent.com/pw/AP1GczOmJ8fkazjLXvVE7U1MlBb9BcsdUNBTJZ1ddlBmdgd8BlH7tr0Pc-KpKkXk2sULnwQGf6m-RCCFsPEUPHDHBwFjh4kjAkLIjzYogdt_BLzIKqEazvYo=w1200|https://lh3.googleusercontent.com/pw/AP1GczO29oTh4ZipzMPR1M_MNzfGFpQPpbMseuO0kT44Xcqas8gxZGTpGqpmhaHvpeLS5GdIOw0fNG4Z4DLOPuzSjEzSfCy1LyHvfNEQg0RWt9zQlR5Mh4_v=w1200</t>
  </si>
  <si>
    <t>1338</t>
  </si>
  <si>
    <t>Casa en conjunto Condominio Portal del Campo - Oriente</t>
  </si>
  <si>
    <t>https://photos.app.goo.gl/Fy3PtKv7NhV62qa38</t>
  </si>
  <si>
    <t>Descripción: cuenta con tres (3) habitaciones y closet cada una de ellas, la habitación principal con baño privado, lavandería, sala, comedor, cocina integral y baño social. Amplios.</t>
  </si>
  <si>
    <t>Hermosa casa de una planta ubicada en el Condominio Portal del Campo. El condominio tiene vigilancia privada las 24 horas, piscina, amplias zonas verdes, cancha de basquetbol, salón comunal.</t>
  </si>
  <si>
    <t>https://lh3.googleusercontent.com/pw/AP1GczO0TxELF1xzsrEIsuPzrAkA5yGZdowjptTRJ1Og_YKRFe8DKC8xJrrGLvztSFRWCeUQuVvq4aTDTmDPypXdINMQt-DjjudPc0vw0CPOJJUxpP8iODN0=w1200|https://lh3.googleusercontent.com/pw/AP1GczO1fR5xas-NbyxhUOyk-LtnjFyi6SMENxnUkHvwS0unIFsIoNoRleEg1h50faxUc0k4uOS3sQ1hKV-uwtMyGlTGMNqo3ILBmuy6TZRwq2gyn9H48NLI=w1200|https://lh3.googleusercontent.com/pw/AP1GczOTafhgX41RPGycqL2bWEOxgiwQY-0ioogk8SMeO4X78M-XMjT2zVEV4qw8nHVD8aFHImc0RgXM6OsjyGYmBEW0lvbJGn6KaHEaQH20RDngDoLzCy95=w1200|https://lh3.googleusercontent.com/pw/AP1GczOu92Zb32osyOE68Iao4ddg1Ziv9EhnF01WWSegrPf4DfAsK0M-F_CTXdEo_cHZQPboR8X4Xt6j5QOQFjF2ijsiWDqm7jrJBhfvFF-JQYc-Uz5sqq7j=w1200|https://lh3.googleusercontent.com/pw/AP1GczPNq89A86R_3Jsldlo-AeJvsdoRro3hEx9uVBoBcj5Yren6Mv438qXq70c-b6VhYG3VdkzqLsajsCDIPjvhjzZgquRmLoP9x4--m-rtq0Ll1606jAhJ=w1200|https://lh3.googleusercontent.com/pw/AP1GczNWpIETwM4pGfJaxD8g3vLcY9Fnpp3oXvebSoBKkp1sF6io_WpWGOYIPPTPbe1-BRPa1mg7yoDMRTGXkPFaRSbC__XRF83DSMX6VE5xJ_xGLAfHJyIr=w1200|https://lh3.googleusercontent.com/pw/AP1GczM7mfqN8LTJeyQ8usYemgO2V8lLz8l4PjFeZFHQlAcuXcC0lExjuDQ_trPpNyCEx95yRk0qWEbNc4_-zRruhdhtXbB6uXS6OiWi60-QymHKiiKyPmyf=w1200|https://lh3.googleusercontent.com/pw/AP1GczMkacjAZIu4SejJzOLCrjlQy0Kk-yBjnONSj4clEmddJGq9014v5pkOi1TS2OV5eIrSKvXpKNpVREU3A7EhQhwlfAaFKP5HbGOVaKdEUnd4LRxX1InV=w1200|https://lh3.googleusercontent.com/pw/AP1GczOZmaVfsGp7en71zKY1ANZlLeBbNk5RGCiFRfSCZxrMEFkH0WLEFa4Ovj-30GonrSJa9K59clLoA6Vieqg5Dy95e2zroYmMVOeJJwDtbSKqzNCXMkP9=w1200|https://lh3.googleusercontent.com/pw/AP1GczOxx2T7nNpIFbhsXE8tSyxQJw5kreZOEfMchAErIsaLQfJVKD7BHd9QyFsqT71oA7LynP-ZHcLDicU44n7Ha0CxZQ3aLprSi40Sc16zvxFmlq3E1QbF=w1200|https://lh3.googleusercontent.com/pw/AP1GczNBypkgQV5arPfho-EPQIorwHCEgYDn9Yvmpu0XyFmjXlJRF_C8wBThqZoTYvbLfIz4vWlq7xwDhrP8o1ub7wPvHH0g-mWgaJ2yRcjiIruJZ0YuBB_b=w1200|https://lh3.googleusercontent.com/pw/AP1GczPyC721n_hCFp7HOgoq3iJf6uoHZ35lceRFm5gzRDGU-L4D-JBSGhijDOY_towaoD1eUepc4jc2TP8_q7ANhESPBQQ3cQIsN4DbuLTl5B52qGpbO-L2=w1200|https://lh3.googleusercontent.com/pw/AP1GczNe4FIhkr7dQxWxIMxEFQZ8THkWMi-3C5jOUElnZFxPaJj5TNYatxwvQLPHR2OvXXt_k9MVqQgqqqKa5inyd0vhS_X_C3AmXnZUii3-osz3GRulcKPu=w1200|https://lh3.googleusercontent.com/pw/AP1GczNXnyYBfeqe6yc4vFr9Lw3npUHMXzfamd9YH6Wc2nWjhn2ybp715gsEdHF5mSiuDiIWeZzmhhMVujaPiqld1z5SP5fXOH_InGldct2A5n8NBLdEYu9B=w1200|https://lh3.googleusercontent.com/pw/AP1GczOG8LDlf_OCQqHUVHYYSgx-_ZJjqdOjCAsFRoLYy7yihRefmqGFetDA3P6oYnb1tghVhjAXq9MKCO84D7DMmG-4JRHDfHN38Kcx_OVBu8vnXmsjtE5n=w1200|https://lh3.googleusercontent.com/pw/AP1GczMkzllNiK91kwUF4_Se8DRV6Mw2puPY55IZkjU9ygnjYdDkBEToy4NlLLBvPU6UHaDSBINcqX6AUKPrwG2f5-gpKUIa3TJdtWszIK4sjiUxUrn52tDd=w1200</t>
  </si>
  <si>
    <t>1327</t>
  </si>
  <si>
    <t>Lote en conjunto Condominio Reserva de San José - Oriente</t>
  </si>
  <si>
    <t>https://photos.app.goo.gl/mc6LBnRPgok8F19D6</t>
  </si>
  <si>
    <t>El conjunto cuenta con cómodas vías de acceso y agradables zonas sociales y zonas verdes, ideales para el disfrute y la tranquilidad de toda la familia. Su estratégica ubicación le permite estar cerca de centros comerciales, supermercados, zona bancaria y clínicas, ofreciendo comodidad y calidad de vida en un entorno seguro y exclusivo. Una excelente opción para construir la casa de sus sueños o realizar una inversión con gran proyección.</t>
  </si>
  <si>
    <t>Excelente oportunidad de inversión en el exclusivo Condominio Reserva de San José, ubicado en un sector residencial sub-urbano de alta valorización en la zona oriente de la ciudad.</t>
  </si>
  <si>
    <t>https://lh3.googleusercontent.com/pw/AP1GczMSa2z_vxO5Vjh0hexpRCqxctwiFFw7VoMd21Hho-XTKCZSzjlDiLbfMghHpfftsFnuYwN03fvmakXtYKpSmvqum4XfodIp9mkGRqnJ1898iKelc4ly=w1200|https://lh3.googleusercontent.com/pw/AP1GczNwBGhSW7VsLy8yQWV_3YKvhwelnBCgezqxU5e6Qc5q1k7n3ZQNGjUsJ1SyqARpCzYSvd8D5ozWCtRBdt0_DqTVyZq9HnwUWsxbTblXI8__C1-WNDxD=w1200|https://lh3.googleusercontent.com/pw/AP1GczPmYEHZo3VqwezrcZqXlLHpOPhX4ZbmBPZ3LeYdx_sO0NrQSygY3q25e5A1rCy-VrlaSDiTgGCzmTQrjTQsqwwSb0pBo7Fi7dgMyoeftbKYTifv_95R=w1200|https://lh3.googleusercontent.com/pw/AP1GczOjVX7eEjZ80FPMZWyyz7AsrQkqD26bsR5Irbkss5BUmhHUaO41EwNeLb9ijJw1NHDS_nTpVIdCQhD_v2FUeMExDbNcqNl_0d9Ap5flP8HhAO8Lgqcj=w1200|https://lh3.googleusercontent.com/pw/AP1GczPc9n4WrliODAJIslM0fN5Gbd3MgRfAQw-4sU8RgHngbgWbu1NEV_vD3uy-S94oHVPieZebXthCPWA-Yw2G9TmMCeY-uKRS7Gs0Ep7fdhxKwigKqZ2N=w1200|https://lh3.googleusercontent.com/pw/AP1GczP2__M3S_IAVkzPfDIjIb1dmQzubfNGDa9KWdedpdNZZFXClnuFl5OBsSQ69xrkS0quqBUV94tvaGVNq3zVQlYpWSjQEycdvHsYrLis_vBmM-6TFofx=w1200|https://lh3.googleusercontent.com/pw/AP1GczOsSCCjkmyd_X0-1gGpSw_ug0uTg9B56FVGSE6Go6LcfJGm4G0KpgPKqC0XKz1JaHWoW0l6T62UWKbYeeRBOwxVhUTAnh7CZJ_WWK8LsmnKHYOnEkJ7=w1200|https://lh3.googleusercontent.com/pw/AP1GczO-du2eNBoveHnV2VJhROOmpnLtYkqFfSegZ6yhDTmZQNSIBngZtde_t5TldKt96Z_D9RzlZKL8Jb1t9ZwtJyFhHIO7xzEnESIkZDXtVbptA9IFooqT=w1200|https://lh3.googleusercontent.com/pw/AP1GczNDTTWUxGyQMhxpeP58Jfs7x0c_DL-XgSVURnaOufC99OGtU0EiV7Q5s-ycaFuYz9Ig4vjbdaj0_yFSGPFwSIftaJbL3C7b_cvJbD3tcChB1A2mJVjn=w1200|https://lh3.googleusercontent.com/pw/AP1GczNLLDA7Fo5cZZ7PwS1axuSQsJPtdqOsNkcjkQifANw8WBL9NQFds_wNVXiwcbHbqBCBHzS0YQSyhrBJEcfxG20RAYYUbIRNoMmCpgQfMsnjCdoKDmU8=w1200|https://lh3.googleusercontent.com/pw/AP1GczOMMQVyVc1fbaLrdRua7YDRPcYZ4u9iG7LBuP04swLlNG2cRoLogxzhd0eEyZaRnAU_VLQakyf4QSMyZolR-tJR8Bg935VvmKY9mLN3q9kVcLWgZu31=w1200|https://lh3.googleusercontent.com/pw/AP1GczO4LLmuSSoULJfRKvaKg1xf3Vmf-9Lcv_WG5L2m1-JYqkZ8zoFb0oSkMl8eTAqpFHBh03kKFkcapJYCNp3SJYi18EToR993uLTUFPux_lA2ejwU03ua=w1200|https://lh3.googleusercontent.com/pw/AP1GczPF0k9YE_4AMLO5sa3eCGD-hjC8ZRgQG2JzZ3iEa71FOF19SsdFFWRDpTt_zWHsb5EW9NeNqLcbKdx-Wh2SpBOSFKwnM_ezTtJQ8te1C3oBlIHmOyhn=w1200|https://lh3.googleusercontent.com/pw/AP1GczOnhbGYWBB4Z8UP6TnM1Ghx2_eaMyrryWEKY_jfi19Gf-KCrjwXmvgdxYDp3q9SS5S9hGJQZA5tWWxmVijCe6tIlhJbyaQMS_3RrD4YuAib9M8eIrBZ=w1200|https://lh3.googleusercontent.com/pw/AP1GczPqEoGv0WCR0CTzJkEqMgC6xgNgVrena5s1ZaOWlOiuyjn6_U5CWUuLHIk79NNykq_omnb2IWacYu6-9i2-AHgbSxnWbNAPrdMTKwxTg3cVX9UBt3Dg=w1200|https://lh3.googleusercontent.com/pw/AP1GczNwDkXJLZtG5Vnu6gLNNDGLyn1tAuHZifV4IzcTmCrung5t5lKHDjO-xbfF-NNu40PAFZx-5b4s77-oMKLY44KBABz_ZJ1PyUNGspjOCdfQTtbdmuu8=w1200|https://lh3.googleusercontent.com/pw/AP1GczOKxtT4lEJqADf0MYkth71j8Or7rzq-BfWXCaq0Xa7wZbTBFakJTg_XFdEs8nYuyECO1v-oN02jXIcN5cF9NZ0NeXmuFabTOKr5ftqWWR0GD7B_0xqo=w1200|https://lh3.googleusercontent.com/pw/AP1GczOJZe5hZREa6J7q8ttcUbyjHFd0YF__r1ukSiBocsB-yp4s7NCeClfXR4rIp1JC3k8lQ8rPeZLdcGQG4Ufb1bqoEDlrc39LOOfLwm3tFmjabVVoNURu=w1200|https://lh3.googleusercontent.com/pw/AP1GczNWCQaQFSTxzswo3kXFisnfKUEvsuFCkwCxdURJzQB316YUW4vGYtEzfh9mOXBJGSvpreYnwcZbn6vdBgJcXWcrr0QKKZ2ghTqCI64V2FTciECJRhsL=w1200|https://lh3.googleusercontent.com/pw/AP1GczN5em9ejAUMLhucVXjVEkK5lQbc35TiDdGXYZ9vH3AA6Csx6XdkudJkBeOLxZ6RkdSmYFQ0oHC6XqVFB895VBbzFez_zPXlYv4JH_H2F5YcNUVt5DAR=w1200</t>
  </si>
  <si>
    <t>824</t>
  </si>
  <si>
    <t>Casa en barrio Villa Milena</t>
  </si>
  <si>
    <t>https://photos.app.goo.gl/Azh1WjR5Jm3iMkYo7</t>
  </si>
  <si>
    <t>Casa con buenos acabados, piso en mármol y tablón rojo con granito pulido, muro en piedra Palermo, cielo raso en machehembre, división en vidrio templado. Pasamano de escalera en hierro forjado.</t>
  </si>
  <si>
    <t>Casa ubicada cerca de los centros comerciales San Pedro y san Juan Plaza,  sobre vía vehicular amplia, sector comercial, antejardín con reja y cubierta. Fachada con Viga canal. Escritura al día.</t>
  </si>
  <si>
    <t>https://lh3.googleusercontent.com/pw/AP1GczN3cP8X0BBeXm_GVMnVkeTh5JSTN4XzsfsHWsZadCiQe3tYdXp9lPTtMfKC0Zi51_t3MosKuGhoPgleu7YinTX3D0mR3f2yEFO_c224ZHDaKTYwMZ3X=w1200|https://lh3.googleusercontent.com/pw/AP1GczPLJHo-DmtYnDowoqvbPiGFhYWavKVYoLXx_Fh_66aUU_o8iDlT6OFR3DcV037n2DWMkI3xNlkguxV6j2F0mjABC6glUtSFzi1kftptvEKhYjqyUmr_=w1200|https://lh3.googleusercontent.com/pw/AP1GczPBcUEqZ70Dy7ZLwQkFFhfdOQPsfusxmUU54PzCQ9DxH12xrr47bvMDlqdeonlvMUShpl2a7fPmkskXKj2ZfvoT8Kv0ZEkw-Hh-PVnK7I4m1IGT0lr_=w1200|https://lh3.googleusercontent.com/pw/AP1GczOAnt-9uaRwJwxeyEX7IRr1JyshcRVoKYq-AnctNPWNDfiqroiOb_dQWZDhyOA7UZ2uZ5x_zD4Dqy06Rb-fH_EYsOtnfUHSZ7D0KGjkwEjZqqGWkx38=w1200|https://lh3.googleusercontent.com/pw/AP1GczNClm9yhAT51YygGJ9UOSI8uMTbNClmv-XPgqYlz_hcU9u02cbFJEMlLBNWpAUC7H3iId_Wt_LZIXorEh8lkMYGUqXLbsyHQsODficupsIkO6bywe0v=w1200|https://lh3.googleusercontent.com/pw/AP1GczPEnfZh5l9lTdbamt0o3LTxk8UPYTc801VVFvl-BchWKdYxM01c8hMigio2ed9ayFsiwbf-rVV2fdU2i-vAbzCiV5yeyIxq2d60JWfmIyjhDJUyu_XW=w1200|https://lh3.googleusercontent.com/pw/AP1GczO9wQeJs4K2-l6RA6ojct-hSRS5I1TsyB_yGacJSjVdxqOqzGNmTrQNj5MXdIxAIVeuiSeuSJki2xAxASnUVvgDjPE4pfnLhC885n-zngKp9qtrDK_O=w1200|https://lh3.googleusercontent.com/pw/AP1GczOSJETvbY9oJFUX1a03dmMsy6AmGvv-O4sooYaMnggebTuw4TGkc-7YseHqZB5ghAaUkEFicK3QPoVjYX3xeVTTIaBECOuro8JpX8HaDQrfbJ0jjtro=w1200|https://lh3.googleusercontent.com/pw/AP1GczNDha_z2xJ-HaJs99iaUJg1QxV1GuoJB2ejvCERDCiUygEQ9VJ6jhsqMUqOGfWQ2by4bqsg6e9Xfc7afuD9yov3JoZg7fg0UoicoL1bhbjy81AOmWxq=w1200|https://lh3.googleusercontent.com/pw/AP1GczOJEHjFCMluY95GgnJH2Ji23nYRtHREhfOMva2jWc-mCZISG-7XPOcVpRTPTin2sm_LHeiJ-OKWNJFRvaB-b_hC3Ul3m8ph1boVt45Ms3W-Ggt8YZ8i=w1200|https://lh3.googleusercontent.com/pw/AP1GczPwM4axNdQ74MT-W3Xp4DbVkiYmIx7FBwGM3lR_Ri4tZSiZLXpbK5qkruGZa4TAoJ7mhYc_igz3b8u1VWdkPbRFWhjdODr5WzU3FgKraHkJwEokorKg=w1200|https://lh3.googleusercontent.com/pw/AP1GczOVKXlFjuRrIJHnYSi3apP5VbcjnPEhhIOHJ8Q0HuWzRwctellhT4_cotevjOQvcAdRZDy5_eVp68UHwoUKwmqFY3YdRRW63c6rLqVzvyxb9KVjSSGR=w1200|https://lh3.googleusercontent.com/pw/AP1GczO3GFCBIxXEgaKIGy5cb2bjGPw1MyDFm4055mBCLTPBhcGSSZ9yDnvFbtMckf30PUtw1Un14HrMPbnJfOFW4CJHKbAJ3bzsEDuuJiBhW1PKARqK5VLB=w1200|https://lh3.googleusercontent.com/pw/AP1GczO6C1UcqjanYtUZDEgCyeRG6Ywz1tSQUH9Uew8WhBUDZBh24feyruW8b9dXINjjjgeSkqSSNx9FSsK1OdgHdG1F6UwK4gwuoy57InkidRcvGOgmnXIi=w1200|https://lh3.googleusercontent.com/pw/AP1GczNpxl3CA3LLH5g015BG-NHJ3WBODuSpbT3jykHVlZHVxIO7_5Zx5XBLacQbJLwa8zf8wD-0BNHm250YaPDAYq_uunQt94eyuR89eyIbQmSmEQAZbY9b=w1200</t>
  </si>
  <si>
    <t>427</t>
  </si>
  <si>
    <t>https://photos.app.goo.gl/L5BSgcdVkH3fhgNG6</t>
  </si>
  <si>
    <t>Casa antigua  amplia, alta y ventilada. Excelente vía de acceso y de conservación. Con patio transversal amplio con cubierta en plantas de enredaderas para dar más frescura y bonita visual entre los espacios. Con buenos acabados, piso en cerámica, cielo raso en Driwall. Casa apta para uso comercial - salud. Escritura al día.</t>
  </si>
  <si>
    <t>https://lh3.googleusercontent.com/pw/AP1GczNKyUqpAkIhwoiffFkt5O4iuBYErwkANBVWr0Rs6Bd9YqpqqNVK5AsI8RndpFf-7oFNUDUtsfc17HLjnxrgk-dEALd1R-Xii_JSDOvdWz5oNhC5GJjX=w1200|https://lh3.googleusercontent.com/pw/AP1GczNA9f-QGdiM4uRrgl-GVityih-7Yy3kQtQK0wJII1qYxAOVrrYvFoYvmw-l0WXKHZcxCimkKbaqW6hR23IpSLE4FvpfuQhdujqsboI5WSGKc0dtwgWM=w1200|https://lh3.googleusercontent.com/pw/AP1GczPr0EWUy9PxMPD_h45emFCJzEUXYWclvPELw34DJcsaKxqyM6bvIEVqnHbo2nZJxzIoBYTst_7nuc9Be61K55Fmv2XFUXRRaKFuYUvn9Ybrxt2_WxML=w1200|https://lh3.googleusercontent.com/pw/AP1GczOTOlqPl4Dr4eSsgvaO80Yaiweae9Qj_GgW03-J0LXHMhWCRim2QdX2t4cFY32pYif2Y12RAUJIw2M2LqiIMzvnGfJXepfo7tZ2t--CEO69fSO40XqP=w1200|https://lh3.googleusercontent.com/pw/AP1GczNCfyv7pv_U_EAY-eYRkhhYNQka-B8t759WU0bFbn2c1mj12Xfqw1N1ubbV1_4CzFtlp7DzCUUbkRjuCU5Tl1EVHY4fRUwLBlMEb0Nuoe52vxmoGyra=w1200|https://lh3.googleusercontent.com/pw/AP1GczMC4XbDaYB7riCUoyQExsBysi2uSiDKxTBIr8Q_vHgzTlYbRC5YtwZEzFwkxkLcHr3iINLDTf2fHAop_Sh0dnUDz5oeRv3BQ8gLjnxqKKtgxGYUc0eJ=w1200|https://lh3.googleusercontent.com/pw/AP1GczPLrfAzfUvegWPy5lfGq65WMaTG-viCekmH2gLuURDVswMuUf5QojqvG9a7eLddJynFh_hVhNmfxjt_m310FMEJBRYQAc-Nhpn40HYAXq5d8c196MdX=w1200|https://lh3.googleusercontent.com/pw/AP1GczMxkRvuwZmIVQp5dyujg8wWB4AuPC1p3DBUSV2KvdNVt9abHhIgkc0eIem9cPvuThvA_6ue0WlL18TwlJs-9Nm4ihi2R1rTW5xxdKJTp-9Nwy1gotXJ=w1200|https://lh3.googleusercontent.com/pw/AP1GczOJhFsFQ0zQHjYv0_y1NBP1f1lzQPII3JiEvO0L2dNcx00dgXq2fyyNtKk72oFNVJW5hhUU9ms1qsMHUb9JQeRR9v7utYgEdjC8xQVa1iAwVNSIaLWc=w1200|https://lh3.googleusercontent.com/pw/AP1GczPHfD9I87919X65-ppU_91xfyQ56O-92FpE2zimvWhv-twGabQi1kmlj9GD9q0iJxE1Mw8v_iKUwJYef8T7HtECfJUHr2OL3ea2vrkx5IraGVUAA8Yo=w1200|https://lh3.googleusercontent.com/pw/AP1GczMAAqIqrjWNdkeccok-pbWZt8I5Bt7t8uUdrISjzG7LOm3XYU8G9YGm01vpoY57Z2L5-Yd9ypG6RwYYkzrSKm2ePzSm7HVie0fgTYYbVC1QPTSVnrXs=w1200|https://lh3.googleusercontent.com/pw/AP1GczO63Yvw9bLyvDA_hiricEPmYO7bPgGSC-iVB39eV_4z8e1dI-kkmulEVK8Og60ALqa-gX0tgI4eISL6g0OUa-vsnqoXmMmrrwi4Rgz4iLT125Lp5Z1W=w1200|https://lh3.googleusercontent.com/pw/AP1GczM40adHLM1OcxcJveh8Dz7rDik4EEfMjDXQIMl6tT3P4LKPmElYsbpaINCp9y8N2H2KHy6_wzIi__NTAYzsRDIHV4hCjZjZfda--WcNJsNymB_EoD3w=w1200|https://lh3.googleusercontent.com/pw/AP1GczNVCg4l9LS_PhfOF9xlLBRpIy2n6igdoviqWW8pcxFGNKiRTmQuU7eAMkR2LChYWTYdTcEBEGzWvsZvZ71J9qW7COWEVvINVv_LIIGlm32pDmWRcsdj=w1200|https://lh3.googleusercontent.com/pw/AP1GczMcE53V6KgD9GWjkNKyX5xItDbi66DaEaTxcAYXpmhXyHrnIuFphqKIxXP86m8XWEIgMBB-Qe1dkmmnxjHybM0aQqYR4cMxMw1uw-3RR_SnccDTvwrO=w1200|https://lh3.googleusercontent.com/pw/AP1GczNAY1YkBiulPtihBjeStWPgUgZ-KuOgMEU144lAMs8BkrGBTouKzk78RCGsr6kFp4H6lih-CfiNBUwUTAW5R8NUMD7D0IlcIl1SZ85TTe9gPwq9lPPW=w1200|https://lh3.googleusercontent.com/pw/AP1GczMBjau5NMYjSts7lMXrFzN_7UMD0QJbUE6xgXJTfHqm0S9VOsVxrnggGtx7xCXRIeNM11OCyFT3Vqfz7e00y7t55WNC8V_s16Kuy01nT8i4xzlJYKXM=w1200|https://lh3.googleusercontent.com/pw/AP1GczNBx3y9rWdAorI-4qLQwcNN3sZO-uRUZsNBfL1MTKsdnWXAG2xfkLUfk1bcZ6tJDW6sYvA_BLWyAzupNveU8DLPrWuyjZaNseTDKYNictqBNYCtEcKL=w1200</t>
  </si>
  <si>
    <t>1139</t>
  </si>
  <si>
    <t>Casa en Conjunto Altos de Iguatemi</t>
  </si>
  <si>
    <t>https://photos.app.goo.gl/AeM1B5QBFYuk39Yo6</t>
  </si>
  <si>
    <t>Casa moderna y amplia. Área perimetral con jardín, árboles y Bbq.  Con acabados de alta calidad. Algunos espacio con división en vidrio templado. Carpintería en madera color miel y perfilaría metálica. Hierro forjado. Área de estudio con biblioteca empotrada y  baño privado. Cuenta con una terraza amplia. Todas las habitaciones con closet y aire acondicionado.  Escritura al día.</t>
  </si>
  <si>
    <t>https://lh3.googleusercontent.com/pw/AP1GczNExLehCYDz4wuQn5t0zfUAvX9P06GUECqPcvd841FBN-LkhIpD7kip19pcHI--JBkRy25baAvzOfsvZzLBtpJA8JKSMkXRU0JudGxd6CAAEpxXFmVg=w1200|https://lh3.googleusercontent.com/pw/AP1GczPnR_9ytIUvkRPooW96ooVXXfVM8kr9JhdcJ9b-GKmtGVlqLjA8OtzqUmv5wKP7OgonGJpcZ6FE0wxz492Ik_j6UvVWezSjaft_pB2z44y01XA749WY=w1200|https://lh3.googleusercontent.com/pw/AP1GczMveOTWAisZIcX6GwY5GQW_2h0FF4MruDYHRgHgWpKvPVh8IuObyb6VEd-tZqFxwS_BI7I83speEJ693dTlrSCRB1HUdNYjh-T4rHTIVqvSfGXBXDho=w1200|https://lh3.googleusercontent.com/pw/AP1GczOh1QSgKvCNAaWCPASq93IKrt2cAjB2gy_tVqxAeB_MlC4G4xcFVjcgvnGKA6Vbrm0av4vMUkWry6YDp9ui19nlUdwdqd9gsMV1FWvzmU7N0FkYkAa3=w1200|https://lh3.googleusercontent.com/pw/AP1GczPpt376Hv3i5S5PMbXdyltwFY2cXBzFfyXWP4ebUcDhrgztDgenhVicEMjvyL8vE4CFR7pP-R3g-2Y5ir8L0kKvcgmlg3ra6E0FBIcBvQ0eNnp5pOdk=w1200|https://lh3.googleusercontent.com/pw/AP1GczMKeWpyqGILPhhKdTzA7NJukb0UknGaCeY8xyoINZsLY5_dSKDM45gccXrml2Y565IxN5Y_CFKxv6-04oXe28d0foejbOScw1UGWq5wyU3lTzdiPufQ=w1200|https://lh3.googleusercontent.com/pw/AP1GczNGA2ihLUdSksWEXktCTH_6UWuYIcr7AOXO25aPrDeaxg98m523yBoRJ4CX-wsl1BqCoeIhtzhflITfxF3662oO8nxecDo5M2KOEdSTJan2tiTiHQTE=w1200|https://lh3.googleusercontent.com/pw/AP1GczNqUdc_-DzCf0PqwbWR2MByORSQM4l19gVlwLYmVFtCao_YgfW0WbcCHoRdky4DXL3eR9wIwzXcPiBkSqXIR3yR0yto495gJvnSpAezf0iDyqUDwbQi=w1200|https://lh3.googleusercontent.com/pw/AP1GczOZIn067e4aEr8rfjwJ3ixA7Hp4K-V-uUreZ_dOUvnwvd7CO72FyVYmazuWucdMIdBn42LuDW4AIkyUA3H0sPzXG22_98Rr42SZu6a_0QT0mYZd6WJt=w1200|https://lh3.googleusercontent.com/pw/AP1GczNmlYnj1PU3QfkMHFG6RfbLpyVolwaUtyosAnB_cmfv_zpSSUX-W49FEoB1FkztdlkjgX9tpZFGv5K2Igs1LelmmfmWtPt_deFsTJVQifC3gnBIBRjG=w1200|https://lh3.googleusercontent.com/pw/AP1GczPQ2_Gv2k9BwMQCteOq7v0eawvbf1ecptoq1KaXAIvUu6f7LZ8rVZYjJrnCKqiJ219bgfplAxs0T9bvn5ifkqoo1xezU11nRvywbJgKda5szAB3T_vY=w1200</t>
  </si>
  <si>
    <t>032</t>
  </si>
  <si>
    <t>https://photos.app.goo.gl/uVDDREVywH7S5yTH6</t>
  </si>
  <si>
    <t>Casa amplia, con buenos acabados. Escritura al día.</t>
  </si>
  <si>
    <t>CALLE 25 NO. 5 BIS - 112</t>
  </si>
  <si>
    <t>12 - LEIDY YULIETH, 26 - NINI CASTAÑO, 20 - SAMADHI RODRIGUEZ, 38 - MARIO MUNAR</t>
  </si>
  <si>
    <t>https://lh3.googleusercontent.com/pw/AP1GczMqbpb7vXdP2rQbTs7R98TITQMBHQGNgwtkqruD3fR41QtfYTDKcqNnrLAjTprugKkOLP9KrRzvCSk3N7vxBCTeVVVlSeuyX0fijvYu0-bzDg0JlNpj=w1200|https://lh3.googleusercontent.com/pw/AP1GczOXmVug-14fxlr-V3cO4CsEpJ6qlI8jJJQGQJer0YGgxH5wJUuroD9s0mwAwzQFwYYmJeDPGEdNul7jBkb2fao2dB-wxVOQCLdTegWedlSId5F6GJRb=w1200|https://lh3.googleusercontent.com/pw/AP1GczNlMCNFmBOQQ_-sx4Kgbua3wGSXkcNRkxIwNFliNjcsJariOrX1-Ov75126oiIl9dTNrh4OPElbhi57raZQMSo_Cc82SoXuf5nqS6DsjCYXqBfQmmka=w1200|https://lh3.googleusercontent.com/pw/AP1GczO-gK-G_d0qSxv2He2nbEe3rUTCTsjyY-3f95pDg2XkS_gYBF8jX5sDgP_0v143az0jG9jtTXsZ7tZwiADiJ_qwOcpxQtYugitVys-D0F391hQSSsA_=w1200|https://lh3.googleusercontent.com/pw/AP1GczOZCgFh3F_UoF9rjWd9Gev9yHQMsQk0hhvRRe5-L8MK3_KNM8TadL7Kr-2yyN769kjq2qgnJZZml0zyVSvrA_bfGvw4HWDHtYYU_XjEnb984n4bszfD=w1200|https://lh3.googleusercontent.com/pw/AP1GczN8Vb7ypihJpqhem135-KQzsWt1s0Ez5QF_GClIi9ukxSULZSwf20U1bTbcFsNNCNGnlClH7QR_lAO7AMGcORjK8Oqmy_mn1z5UU1PQwdN17lwKFShu=w1200|https://lh3.googleusercontent.com/pw/AP1GczMh8tI-0-GjW9xBi8qw2My1tqppkU4OQbC4oi5ibv6qwIyo_qPGmvwrQDhd9q9qBSBAiAHhGeu2jr6v7hQVj_N8aC2fU_QF8yaPbCKp_u37rh_C20Lf=w1200|https://lh3.googleusercontent.com/pw/AP1GczOJgw6xBGd9hWPXCaBfWIEwk5U9nIZ8LiyuxF1twSkcM39x2uIEuqBFlF2FApgt8xKcoSF1tkWVIT7dqBbtTWksdHAtPJ16x276rpAYdN7bTBViox-F=w1200|https://lh3.googleusercontent.com/pw/AP1GczMN2E7UBkr5u0MpRju7DkzHBZVPSVHaPl9unQI_6ZeAzbVkURfOUOsX3Z2ijgxw-Vl9uwjezfNEvu_UPR6PAICM5AHNJ9SMsbaUixxA0R_JB9coCzVS=w1200|https://lh3.googleusercontent.com/pw/AP1GczP8IxiiMCc0qdrh2ZNZKEOqAaqBFAvI5u-NsDZKRsAQhwuxKEpsgey5MaKx_2kB9paIsLmc_NX1RfVOSAhmI_ASAzqs-h3eOCpvvj0Q4cfOw41kN8JG=w1200|https://lh3.googleusercontent.com/pw/AP1GczO-sPel3v8XurouCsVCI4UDCa71-k7-bHL3XeJ4cYzMzEXQ8zVVLASxElBWgkzXnec2nweOqYV_3hONwR7LLJbUCrVtpp4i8NsHXBBOTXrgyNk-rQ-j=w1200|https://lh3.googleusercontent.com/pw/AP1GczOl7ac3QWbucYbuR-8JJVothl6m6qTyhpDtk1Bj0FzTcza1EjFNEXQMpFSBXO2tx6uMluKDnBVJisZzlpwnLs2t2cjNIzhWF4u366Tjl0Tl_rLEVx3G=w1200|https://lh3.googleusercontent.com/pw/AP1GczPbxwefdiPoBj9R5lOhmUmG0YCHbszs_dngCHiBIX1fQNrtcUxSiMOICNGOgf-9EOVIt8NGpU-waIapf-2MX1ctbjLOLGKcOktIQaDxdO9luwS_VxLG=w1200|https://lh3.googleusercontent.com/pw/AP1GczNoLHj828rSLj36UnaDW53nj525Y5YK2MYzWPFwpEqBdeCnTm-dksx6SnMpqxJ3B_PdMtokjCAttxBqJuQzJE11_3u-lNc2mZYNngobrshGEmiZ2Z0O=w1200|https://lh3.googleusercontent.com/pw/AP1GczPN1Ic_9sPwOGYv-MgAb671gkCrOG37oOx46ZctmD2F_T1qZWAL79HgjgXdDfDVRGcnE7r4bLeIFZp7nmU93mx7LGwDiEN_xIVV966R0yArFZZ1_M2U=w1200|https://lh3.googleusercontent.com/pw/AP1GczOb_qHYkcev0KqWJv-_aIDy3lv5h_3DoPZvoZDJqe0fKSpYprid8gVUggDnkjJ8BxnC6kgAC_A_gMtw4s_79I39w5d66QC39SNjO-sp2RMZ6bXQNTIW=w1200|https://lh3.googleusercontent.com/pw/AP1GczPHwrfPOjuMRtie2R2c2L3u-U8U-h1PuX6Ii2FcaFm0I1EJcNjyXr10emK-8NUosja_sKKh96LImD0tGLO9QuRrcJPtQM8OCw7t7vfg4P_qmnpceXOU=w1200|https://lh3.googleusercontent.com/pw/AP1GczOd_qK7MzX9P26LBf_5PJBmkSUacEW2lDrE_pfREmiR9Uqe6QBligV5gyWOQpT4ijGIPFdyRKuSp7BRZAqgtlz_pEK7ZDgc0uK8LHw4sx8iXm9-ucTa=w1200|https://lh3.googleusercontent.com/pw/AP1GczMCKbc0ylrXUI8yXhZsbVw5CvVrIVYvyMEjp-g8VLNtaLbk1F6oC7aDSGZl--0kKoEsS4tiq21UTIL1S3eWAVnHtadKBYapDvgxPPDMCKOqfvoCuWLw=w1200|https://lh3.googleusercontent.com/pw/AP1GczOl-gf5GE4D8ZJ5XHM_ONLpNaebk4s3YJ2AlO5Nss14p4dVz4Ko_jJVeUsEr1AUdbHHh3qg2U750i8WzWx8avfES_qqw6Ribkj9b711GX8Di4HQdZrM=w1200|https://lh3.googleusercontent.com/pw/AP1GczO-6pNxPI1eeI-ty0Unh3dnYh02LGlK_C1NXTz3QjxBlOrxGRLtJb1YGzYpt8HoAoqcFQGt_AQDBA1raG2YDPdb19Xsy9k-n0n18LsR9V6O_Bj2sT9M=w1200|https://lh3.googleusercontent.com/pw/AP1GczNriZh1ONnnM31ZWNJdk6yFESBtXXL-HqyGpJ4mvineyBMePwM7xQsKnIed_boDr6-ojy37raypw8Znw9txDXV2YblCzyPhL62XnZOO4-ZefYMBkF7_=w1200|https://lh3.googleusercontent.com/pw/AP1GczMKLSH8j1plJvr1bLHi0_lv08lCUZqtCtXmeTz9VfiXgYBDOtmZNbv63r5Upjd18oIqgking0OneCumEhf11JOx54DP6rCB5fW0fS7hGjF5_h84P7_u=w1200|https://lh3.googleusercontent.com/pw/AP1GczNs0AFNJc7OH51Of1PHGmRB13fiCD9f9esPvtMiW8J0To82kY53oP7RmXCRQRbiJFUQInzdUma-yC_7sIX--O_u5hg_h3xOJ4Iilhr1N5IkwU0MGRiW=w1200</t>
  </si>
  <si>
    <t>1026</t>
  </si>
  <si>
    <t>Casa en barrio Ipanema</t>
  </si>
  <si>
    <t>https://photos.app.goo.gl/3jss4zehsxWf1NM78</t>
  </si>
  <si>
    <t>Casa con buenos acabados, piso en cerámica, carpintería en madera y aluminio, cielo raso en Driwall, divisiones en vidrio templado.</t>
  </si>
  <si>
    <t>Casa bien ubicada sobre vías vehiculares amplias, cera del centro comercial Santa lucia plaza. Cuenta con reja antejardín y patio. Escritura al día.</t>
  </si>
  <si>
    <t>https://lh3.googleusercontent.com/pw/AP1GczOMg37gj9A5bVXk20czseRJVWcVWD82hFO_VTcvjCJB_Rsi3Fne5ju6VFkl4jBBLZ71gAaJeFJFNvQMmeooORDHoNLtpXpkHXrm0HFZQe4bEaPBPzJB=w1200|https://lh3.googleusercontent.com/pw/AP1GczM9CPaA-JhS2okH8zbjeMtypSDIwH-t9RRNH65hVibN01yLbwGW27E7kjEVHD4rosUi3yzkT7vlXNXk-iDWlC_kW2mGoMIdD0hy4BJMKrVkqG9fKI7e=w1200|https://lh3.googleusercontent.com/pw/AP1GczO26ocCMtXH3Z_Q4R3Mqz8odWcPtEa0cPm1zeKOYNl-DM-Ohwgx8-g4-2Sveo6-SYm6DHxUNuPSgY6Zn7Hhz8omv7AYbRlxi_VPJ44PQ6eb04RW5UGF=w1200|https://lh3.googleusercontent.com/pw/AP1GczMn5o8POH29AXLbhKaTMgOtV9XCbhEKgbJhqgQhRHyNFAjg28jW6nIQoospeQowXg6qelNci_NJ_hGKoobl5f9wE7LNcrfqqNLHyX_wvD22pX6LB_h4=w1200|https://lh3.googleusercontent.com/pw/AP1GczNqhKWlGsI2lpd9oDR9RFDdFhi3-VX8dS2WsJiEfms95Ez17oLheNBHhpPn96PGk4WsMVZewePMhTd_mftzhSJUR_a0_Paw9HwIQTB88gt_hVtvlppi=w1200|https://lh3.googleusercontent.com/pw/AP1GczO7pb4Qxp7hQM18dQnNVNlBjiX8he0wRpZEsY4XeqhCY_1xUf1p5J5Ja5cDSjMUPDMyok6E9z-Egx6n5xQv9jm-P5Cw4nMN1eE_oKsjBAe-d6Kwmnir=w1200|https://lh3.googleusercontent.com/pw/AP1GczMojg_xVKAMeG8FTmq6BQ4BxRBcBI0Tyqc0fUW3dZVN8spaZK24z7MPudGrPZiXU5vzJ-fVejIc4SAmPtByRCvXrqnnCqh7Tkb8CeedSmJmKCFEkdAA=w1200|https://lh3.googleusercontent.com/pw/AP1GczPTSLNfKDkvjGOvNGvyoxQsiI5cYPM5d4efUeshyWi0ekZTCKaxL1-1ygf2DQzszLflngjyMRUTkMWXH5h6UyLwhP1ukSqcZ2B3kKiwrCzz21Q7zoXK=w1200|https://lh3.googleusercontent.com/pw/AP1GczNaVmM4ogmmPdUkzx4Zw0ZivZ5y-lG2m09k1jcViwGaXgSqALCop853Qpq0PZdUChaU956-0fqqpWLseq6tVexHOW6AY807wLv4UHqxmxVN8MKQ29ie=w1200|https://lh3.googleusercontent.com/pw/AP1GczN47iXftQXSnpS0xlCHUy1jdlA_PzvR9LOo7TI2PlxhuZAA5g7yPilARLZGBtPvkdNs6r7FtUmq-LytH4oUwk1D9mXwsyGUIMhWslnbzASmSFCno40N=w1200|https://lh3.googleusercontent.com/pw/AP1GczP3ECu6iOHRSG74L-baK_yY3L5__ELEaazJhRnt2TdRo_jCU3nguL9Cq1QwZwQrqpf0YgIyaudkH4o2IasQFcMopWk-cs8Nnl_ys1zkSkNDKH-owU8K=w1200|https://lh3.googleusercontent.com/pw/AP1GczM7a6y1rIvjfCoJCRW37VZUJhovnKVFTiQLjW9XxxWkrwuSSSa8VeCFQ1DpSYavuP7BT3ddoW70rGMwEtc-gK44FWBezqXRmWfwh4mlObN0_P3LhBsK=w1200|https://lh3.googleusercontent.com/pw/AP1GczP6OzckyZFm2tr3Ht8FQbRUbe7prgTY_drmeX1oPZWCNcETeet52Iq-RYW-JIyksqbKamSIpy1KZa0bHltVvfeSjMkDCs2W2zJye7auyfOtNBo2vpej=w1200|https://lh3.googleusercontent.com/pw/AP1GczMDKAfBy3l1rlaVJNrZqQKjQ98qMr8yUXva3y-jjPm_4Ue-kTInWoBcEGPGY1JukhHUSmWpKuw0R1feh0V6-Ze0o_dlUjc2J4ue6V6RWzn9gE2qsYY6=w1200|https://lh3.googleusercontent.com/pw/AP1GczP4RasdlGxUAMBEyeDn5BneNP5NUva7CI52fak3i6KZXG1YduWRT0Z7ebBEr54wR77Z02BsA1iE0Yy4FxuARx2krzzEAn2E7X1vyXliYWWhjAu1p99s=w1200|https://lh3.googleusercontent.com/pw/AP1GczOkS9LsMJzCJkvGuJrTPCOOYAeQnsMK-PdFWDmY4LBjPwixiQbp2imPXiO2X8p7FPx0ndUGUsu1qS5YBujvTgv3vh8jKxGjOnMT0sSgO58cNX8RYy__=w1200|https://lh3.googleusercontent.com/pw/AP1GczMmQf26IIsktS1-zWQp8_7tTF_4xdVJR6OoNQy5tXN9eedyEpRnwKm8suHRX7TcZ-g2KZnrTDvNhtV-Lk6lXdn7wLfzImXAMUBRT_ZtAnenqtt-njmy=w1200|https://lh3.googleusercontent.com/pw/AP1GczNWkZk1QImlXAvHN1J9xi0V5RTzv8pvRlU4E74Q6MgRYLIcLrVXL08A0fUacEoPTCHVwV7rHoLNhIVD17pJStpe7zCNb5f24rNLIfN62CBU4qB9JOne=w1200|https://lh3.googleusercontent.com/pw/AP1GczNO_emg9ZskPiUHRaIZFdqV6vhJFWhScI_Hpa4iIuyU8FsCAk-70VeAJOX3FsdABUnyxTNIAIoqonlTu5PD2Sp5ltQffj2M9AYI4-llv-l1_gg-vMbr=w1200|https://lh3.googleusercontent.com/pw/AP1GczP_C_BVrb50-l-RAe3gtjkT-3m5TiyLvANw2634bUoIbY-6z9pKAB8s-ArcBS07sRu4lD9ZsDgKip3R6MPNgYo_52ugcBj_YF7CVYC03i39L0wv3JBS=w1200</t>
  </si>
  <si>
    <t>1357</t>
  </si>
  <si>
    <t xml:space="preserve">Lote urbano en barrio Centro </t>
  </si>
  <si>
    <t>https://photos.app.goo.gl/vNy5oQSYGGGH8apN9</t>
  </si>
  <si>
    <t>Con un área de 320 m² y condición medianera, ideal para negocio de estacionamiento, desarrollo comercial o proyecto de renta. Una propiedad con ubicación estratégica y excelente potencial de valorización</t>
  </si>
  <si>
    <t>Se vende amplio parqueadero ubicado en el barrio El Centro, en una zona de alto flujo vehicular y peatonal, a una cuadra de la carrera quinta y a 3 cuadras de la alcaldía.</t>
  </si>
  <si>
    <t>https://lh3.googleusercontent.com/pw/AP1GczNtPgeekBxFwiT3RuYz0_LhAMbj2UZ7KZmFJiwkA7fdWgmxOuBj5odwQOV83ct_ZLs4VkkhGdCj5YDrO-eRH3eSCaU18xz95hz_ZXosrDvI3iz76geo=w1200|https://lh3.googleusercontent.com/pw/AP1GczOqbu1qIAcIW4iMAh7zQJ5t7f_mpy5gIeIRlthcZlZUwshbhhct7tkXWFr4MHgs_j9m_VEovmoeLL2DYKa_GqvWkj9yzEh56xvFjjNYZir9LAWOUAN9=w1200|https://lh3.googleusercontent.com/pw/AP1GczNFESLzU59ve0ocvQZJB0jb-S3ip2MdlPdIV8TTyCGvLVJ5TTanNnYqYUdwGt2StlhZ1hbfdmywgtNO5daGUsw2VxYaNWoKwLrCZncotz5O7tvGDQbj=w1200|https://lh3.googleusercontent.com/pw/AP1GczOt2FiTXQUUf3JAF1dUE1nmAhPO9E_SV4YM7hiQ9qs4xu5j4Acy_k3iWvzFjh5KGuBGnVvZQDph5Uh6aGS_n1azWDR9d1z_j7-X7UvzthJm2Awyko5y=w1200|https://lh3.googleusercontent.com/pw/AP1GczPfWqK7y-d57X8LHLWn25hz-ixZb2jKYf9vmqjrGQKOy6mF746owAN3C9T0DWiMV8UYxx7VP6ofnRKrZizVmzQPcAxuvLwIN42S8TmQvIr6WKXHjBGz=w1200|https://lh3.googleusercontent.com/pw/AP1GczNk9vd1N3yEjwQEB01NuJdPbvxlBhYb5hzH5NSmWXtJBg8LSy6NcDYutAmLFLnk2veFGn55PXQ5rdXRdCHqX8cYc3kyHkn3tN-ms9nwWIWC4XorcoY_=w1200</t>
  </si>
  <si>
    <t>374</t>
  </si>
  <si>
    <t>Apartamento en edificio Puerto Madero - La Toma</t>
  </si>
  <si>
    <t>https://photos.app.goo.gl/ee7VaFE2BUMSfEPG9</t>
  </si>
  <si>
    <t>El apartamento cuenta con 3 Habitaciones con closet, la principal con baño, Vestier y balcón compartido con vista al sur, 1 Habitación del Servicio con baño completo. 1 baño auxiliar para las dos Habitaciones y 1 baño Social. Sala, Comedor separadas con balcón vista al Sur, Cocina Integral tipo Americano Remodelada, zona de lavado, 2 parquearos y un depósito.</t>
  </si>
  <si>
    <t>El conjunto cuenta con piscina para niños y adultos en el último piso con una panorámica de 360 grados de la Ciudad, Zona Social, Zona de BBQ, Turco, gimnasio, lobby de acceso, juegos para niños, zonas comunes y parqueadero para visitantes.</t>
  </si>
  <si>
    <t>https://lh3.googleusercontent.com/pw/AP1GczO_sr1QlNnVS81wqNLdOZW4KpdJgrVl31_RqKX8Tx8CnMgebjtcfUl3O1gk31ygpL-fjofF6-uTSQL1j0952TY9vlmTEyxsV7Rvgr41uNzMnUyIwUSS=w1200|https://lh3.googleusercontent.com/pw/AP1GczNdxBMbA9aDqJ-ZtwtkG05sxDxwiaxwzi56Yl3d8jvelRZtaGYDpkvhcI5oZVZPJ8cVW8TjrK6Wfr8O990ux9ML-BGxISYENgTI_yX-mvIVx1lfWUhX=w1200|https://lh3.googleusercontent.com/pw/AP1GczM7-njZuKEY5MI0GYlzJ4ykjqAUQcQYQK3yb943_vlT98pUHap8OZv5kgkIOsX9ylpGY8yPjyPtqpYaFrJnDaTSn1fF-3aElAzna6H_LokgnOIFQ7Iv=w1200|https://lh3.googleusercontent.com/pw/AP1GczNBeDQ06IpVEtqBDE3fjMqig3CPQO5kUc8xEkpDSMKJTVarV4Jkw2clpIDUjCE-mArUWWcHtpecwIcWW27XQw7osxZ0MLAvtfzeNGNA54LR60x6O0kh=w1200|https://lh3.googleusercontent.com/pw/AP1GczNjJwPrz2W4KLK-CorudqaVbAARz4c6WZ8BvFTSrRtz83G6meUfblz1YTbnk8Tn67zlnJXGGa9gu0bH4ftU6lPO-Bt0sT8OYDvauLoT6PFZVdBe-9cU=w1200|https://lh3.googleusercontent.com/pw/AP1GczPnmKEMzIQMVS1aDd8N_k3qPdIWmhDpv_QvgjeBnuDzWrChmn0Udlri3PTrk5DKsY4cRfnKNeKA09ty3WX83yS9ljmWMz8f_qQ4OcxEw3q-CZeRYZdm=w1200|https://lh3.googleusercontent.com/pw/AP1GczNbElim00F3SllGRzfLa7qi8EuCNkwHDV7k9bBOLIc46PJUBxvL0ULQZoJOjL1HXeYj32gOJ3fAMgsrB98EMDe8KR5MUBdUkGbpwLgTm49Qv0xFDwZz=w1200|https://lh3.googleusercontent.com/pw/AP1GczOktUa25v6q2xO4Ri8SfluIrtIPhRYcyEb9QiSn-k1LDOTepz8UQbM2pDuwEQD8h8hGc6ojqT98E0iVfqc7tRNhTAOc5sZOdY5JRpeYmAGVkIP1Cc6C=w1200|https://lh3.googleusercontent.com/pw/AP1GczM81_KX6NlMwl-Z04HQmY_sf9hPfBc8ZRk-qfz-DuIbGCyyy5uOmFgQGAUX8-5TooUqxHnzHhHNm30DNQQwnF7P9fKECEiSAkhJylZk-TDQRVofFe97=w1200|https://lh3.googleusercontent.com/pw/AP1GczNhTnKDj8Jl944VcB904s2_eFdzmYdJrsPULYgdhNStP75nO-wgJ1_iHj5VUR8T0wk5LWvSly9nB8RhwFq-VnD89OZmM4OJ9Xo2TFzt3b-RoTbVsh6i=w1200|https://lh3.googleusercontent.com/pw/AP1GczPl94bt_I125orKp6wi6gMWGduWIJSCwoCadANz03Hj1Xo5GaFB85cOPB4Ds531Xs6hCkqT7K4Y8TSql5r_ak_u2dBSOL7mJ0SsdjWVE2o-p3yqhKYE=w1200|https://lh3.googleusercontent.com/pw/AP1GczPSzZ2OYyk3pZzdKRFYJ2HriIvjvS3SdQFeO4lvI43GS_PiBUe11Y_u6Sy9yakWm_YxAGvWlD9kfOH09eEM6D6syTKbCUtXZlK1g-l2TBcXzH2fOEq4=w1200|https://lh3.googleusercontent.com/pw/AP1GczORRV3Q33vkc3VDb6I4MslFInQ-hUZcyAZcgxZrOArXkS0ixTReRijwzLyfy4TwGjJHG-BEOm2jmLEwE5_xNGGl43XWrdQhyoVLtYHYB3UeutrmGppk=w1200|https://lh3.googleusercontent.com/pw/AP1GczMXObQZao0SqxHzcQIx3Yd63xRojNzBp5A-ggzfc_abhsMy4pISWAKGW-04kcMGPoSLn3YNGD2u9Y7spxAuzLFk3UNlzEiExCMYzoJK_-m5MhJuayOt=w1200|https://lh3.googleusercontent.com/pw/AP1GczMPaa3erPtk69w43kURR1ZrVN7ozKWlV6yh_YqXRl7bsZLf5YQZrLQyijw6Q9kmKO4isMcD5KWWxhj0NRj2M9-g2t-vFK0zCxrB9XLkgtTzLmKR3o9m=w1200|https://lh3.googleusercontent.com/pw/AP1GczOVuQuBO8QwpravTDoiNvD1zf5Plvdu1mO6iMDXPnKOMbokOf1r0lX1zzYC4rRg2htjrQmn9JLrwxGU2nL-up5HxKDkc2Vr5ozqPb-NAcFl_qoe4TT4=w1200|https://lh3.googleusercontent.com/pw/AP1GczMZi0Hls1aNw2xiHp94TUHIp8daVoZr9FXISvbOFmUtU9jNgKtxHay2KacS5G6iFED-3R8adUakl10DNHoQ_rR8IOCxDWwI0wNzKERfFX6nWd5uusOj=w1200|https://lh3.googleusercontent.com/pw/AP1GczMudqiJ44GdqNVBWnNoTpaOdcf1fmvgC9WJBYji3N3k1tsRPEFk7rWmWsUVJao4PDlFBdQt7sLaQ8X8dkdclKMFCFVap6k9dn64xXy9Kj9v9TmSD9YF=w1200</t>
  </si>
  <si>
    <t>813</t>
  </si>
  <si>
    <t>Local en Centro de Negocios -  Cra. 5ta - Centro</t>
  </si>
  <si>
    <t>https://photos.app.goo.gl/1av9Q27K1uyFxBsu9</t>
  </si>
  <si>
    <t>Local en propiedad horizontal ubicado en el cuarto piso, con baño sanitario para caballero y dama, dos parqueaderos en sótano cubiertos, con acceso en ascensor. La propiedad horizontal cuenta con planta eléctrica, transformador propio y planta de bombeo. Actualmente el local está generando una renta de $3.122.142 + IVA. Edificio inteligente con 7 pisos.</t>
  </si>
  <si>
    <t>Local con buenos acabados y ubicación.</t>
  </si>
  <si>
    <t>https://lh3.googleusercontent.com/pw/AP1GczNdvhcjl6lmX4KXDpel_RYcqY8t3Bi0t7KcxzvxYKqR-o5uDcTCyVLndsvjPbMJE-RzjvL9YmhRnKvWfUMS4Gl7uVP6ERnau_3BBEBjSDSP6DUXupmd=w1200|https://lh3.googleusercontent.com/pw/AP1GczMTOdPo9dQohIF5IwA_M-eeERiKIH31RypmnEuEODZgacoKW1zCr1NoF6h84C8cDn5SwNxOumo4Y1WXgyJW0_7qSVpFkMmsnifaTvjzghHMDawoO7DB=w1200|https://lh3.googleusercontent.com/pw/AP1GczOpVpNt69NKeV6P5CmETtqXx8X0EWb3Rje1zZmZ3gRA7QFLbIoHVXoB7xuOHwU_SmL4Q73wbkUsZiFmThp7PQWeTpiOfKR1g51AXCCNJo1Jp4dSKCRv=w1200|https://lh3.googleusercontent.com/pw/AP1GczMU4b378ZzFBxqfwE8alnYyelwxG3YKmIUmZBysVsNg7Z-pKQH6JjbbsgCBHxjX4O8LgHKN89Udshecoa-qb9UpFS3qyDHGRqZYhLWqeV9RJWe1NF3n=w1200|https://lh3.googleusercontent.com/pw/AP1GczOCJxirUBneyZF4m7Csplx9JFdjXMSO8jNOxZUlkrgQlsluZt3TmaSVlxYhPlgZaGpuYMnOt2sNvmMP_CHtXBGyTR7jpwtfSb5hHDOCTpVwMiaXWMLr=w1200|https://lh3.googleusercontent.com/pw/AP1GczNb8bc9z_8ic3CzPwbdhkUslFrzcTi7rePT4PSY7XMkfqYnVjHNiEBL_nJI1IqnZau-0_cYbGL6j5pzFUUU7O2UF0jRCo9E-sCkRNj4n_eV-cQc2rdG=w1200|https://lh3.googleusercontent.com/pw/AP1GczPesmkddHSR_dISDBgcOS-XrvDfM_g0JZWtA__rtwSj-zfufItQzOUoix_iMiaAb51bJFf-g4kfL1XEJVDjv2GcLbu1f3syRUld43eI0aCOVrRO8kMA=w1200|https://lh3.googleusercontent.com/pw/AP1GczPtP6h54g6zkOVubMMN5tZFFo_CrUbgnjwgXzBRxoRIXRRUQ0cH7jw-54HBQ2vLfnyIOWueF_skA7mpURBIG9MM_tJoVBxJLkdcYN81KHdLAZecX8rT=w1200</t>
  </si>
  <si>
    <t>812</t>
  </si>
  <si>
    <t>https://photos.app.goo.gl/BqZXJN9aSL9MHNib9</t>
  </si>
  <si>
    <t>Local en propiedad horizontal ubicado en el cuarto piso, con baño sanitario para caballero y dama, dos parqueaderos en sótano cubiertos, con acceso en ascensor. La propiedad horizontal cuenta con planta eléctrica, transformador propio y planta de bombeo. Actualmente el local está generando una renta de $2,485,080 + IVA. Edificio inteligente con 7 pisos.</t>
  </si>
  <si>
    <t>https://lh3.googleusercontent.com/pw/AP1GczM12Xz9pKSqEICC02zw_RoqeuxfW86uDnJFt1C2aC08MOxsm81AF_KcdVKw4zGSSGdnp9uJJS7q8VtAB40QbNyKwE2kAoX6aWlQZgZQrFtsLK5WUqHG=w1200|https://lh3.googleusercontent.com/pw/AP1GczMKuQNaVWneHvXuGiREcfTX3V41urAFBYHFMSTwf3El2CckR9xc-4p4fOlKQzpxeOTjzEKIMqQJ9DNV5-NfgHNUle9EFy7xtSRuSPlDsZRvCTOq1DQc=w1200|https://lh3.googleusercontent.com/pw/AP1GczPjdwPeN6mZM0NILLtW4vqrzjXS9atWI1SA2HQOo0llGZZvLJyBB0ARQj0pykN9OOgQ5X4P1DFDqfzlScYlQ9uBa-lrLq_8URjuuD5PqVQJgEbik-Bj=w1200|https://lh3.googleusercontent.com/pw/AP1GczPZEv3D7IeYrawR7o9vOyLgH2mryeoiW2SXZQ1Ya2N2nWIkVS3Q2CtLUHTMIYLNx9SzMdzzvD1tXbqxlZb6rfOaQn-_anBdDbWhcmFfN7klEmrNla42=w1200|https://lh3.googleusercontent.com/pw/AP1GczO6gQjuvIU8Ir_U5gMnSFiwKRenoN74W5igALSE09AHWQOQmg4ex5eBMj5z6FCEJk6IPzal7pUu_p4Au8sLEatlZ9aJP3VxL8lwYl5FSUtyr69RMZRy=w1200|https://lh3.googleusercontent.com/pw/AP1GczNy-KwAcS0yo-Ph-aqE49s_-os5OwllC0LXE_AuCZxa9C6MUH8mTtXSBM_zNHIZpLY0Phf18ET3xco52o-2MPePUfKP27ypl-k_we3Ff0vQmqnscVi6=w1200|https://lh3.googleusercontent.com/pw/AP1GczPDLhzms7HHmE1rUidxSD2hn7JiiHeGYdKb-ShADtudXyWGtvsxzc31tNG6RNNAoa9-PvS0PgvTm4iMR3khqOxMWejsgsnDmSQj558z5yavOpuUiyDu=w1200</t>
  </si>
  <si>
    <t>677</t>
  </si>
  <si>
    <t>https://photos.app.goo.gl/HKnphBre4aHR5DWMA</t>
  </si>
  <si>
    <t>Casa con buenos acabados, piso en cerámica y tableta roja,, carpintería en aluminio. Vidrio templado.</t>
  </si>
  <si>
    <t>Casa bien ubicada sobre vía vehicular amplia y pavimentada. Escritura al día.</t>
  </si>
  <si>
    <t>https://lh3.googleusercontent.com/pw/AP1GczMr1V6pUNxsUvddw-i_TTr-1wkoctRRd3Tk7E1NTejsxxDQrrrkB9hevI189NC0UED-qrop50bWCftEaL4WxqHCr4jOOQli78TFOIa4dDn-fE5REM6n=w1200|https://lh3.googleusercontent.com/pw/AP1GczMWSNNKFlXyehRq7v9jheiXqmRTeJi9X8Nt0GAA1MqLZPMlm8MNeoWyV_EDBkLeN_XdMLXDO_N1N7JuWJddulooFGf7F_UhCNkDeZUIkUCTX-YRaa_r=w1200|https://lh3.googleusercontent.com/pw/AP1GczM-xdPr3Wtu36OuzeP1BqDExAuValNBZ2OVrdtTgniIH5jTtIiBsiDoQypn7N3JyE_Sj7YVjktNeWI8TAV8tI4-zeN85yT1lpvyDGrMEMggFHtHwLtT=w1200|https://lh3.googleusercontent.com/pw/AP1GczNMq_MS1Beiho5GKDpRkUeW5teDyeUv7OXgRgVNi8AkAxuei4PqXKch2bkJYigzQ3drgjpFrbWhCSfyXMRG7-ZA0IifI0rtSqiBRSnJ0pNkdGc8nUzt=w1200|https://lh3.googleusercontent.com/pw/AP1GczNdRYZzyatF1OWTsp1RY3llrZUaP1V9JsGOkVx67_iUTniwnZ6EcQKTpcIz-BIsY_RvMX3WcixgOTpNYsYdzeukYRRBrRvNC1wX3sKftLqy1s4VSSYp=w1200|https://lh3.googleusercontent.com/pw/AP1GczOcZf8qckyBfVAn1Qkmef7RCMxyWaa0vFZdn3ntV9GwtLtdqbjIRRK5ViQH6w0zONodVPiuyAzZTksqa0TSazEzPpfAutp89UxZPZVxR2KAvI47P-ZI=w1200|https://lh3.googleusercontent.com/pw/AP1GczMh4zjtGI9NiBKSYSsIxrHhdcOoN89VbW6QBYR6EzrhgbC8ruVqLR7sZlBZ3UOw2DNMqbRL1TenOIsrJiiGmq5v0qv7mwp5Mh-M2Q2hMqGvabiBas2b=w1200|https://lh3.googleusercontent.com/pw/AP1GczMjVBC32s-_5wtFKo44u1BVNrqLyrFcU3ccqgZJfDnBgxXb-ZMrdv2ujREHj5TDO6hCcZw5Wt6gcNY7-a_ublo3R2dNd4wLBTrcjEWZLd2rI4WdIZS_=w1200|https://lh3.googleusercontent.com/pw/AP1GczM-vMijWLKUql5GuqWFU9FkiLjZq41N0SLzOPa0zQz5uH2rbi0rzsnModpAZVPKCaaufY9JqeFUz5M6_AlKaWARlfPCwLr056KMqKRHQC2BP3OFbegh=w1200|https://lh3.googleusercontent.com/pw/AP1GczO3UP8QWpDXIlHH1goLeyEgv4os7wQodzvWYwACQy5AEkCkLYfTj3lUOPljqFmws_dmN55iJcrDGoD1tGTyNU9YOOSJSGKICKB8f7PeysjBjw3nKf_F=w1200|https://lh3.googleusercontent.com/pw/AP1GczP8vPi_whqWsjT-C0PmWvn2Qx3QIjDbMd1AE921YdTzn_CC1OapFgpSA5gbBsdXpiIeAYF3OrPejkJYfiLPW_w2HTgUpPPQoFtyKOzRK4_mvmaOtzbr=w1200|https://lh3.googleusercontent.com/pw/AP1GczPVxnDF52nVYjvPqWaUOFaIqMfLZc75kIEEJsqF72KjswesgwH2NnfFn3MGWFqbvTRyekPRp1SaFa1UPjvWut6W1HDOdJkNtZHTH3m9uJfHaZkqps9D=w1200|https://lh3.googleusercontent.com/pw/AP1GczMIwgCgw1dhl_E4J20odmv1SqPYIoy58fTHPiyGgCW9EfYTqvVbQ805BWU10gBxyqYfGPe3jqwrzzpQ7m0kSztwv41eFGhgVQckUtfNgO1CVOH8sqWv=w1200|https://lh3.googleusercontent.com/pw/AP1GczNPYcECpA5hKuwLBExIViRHV0zxGKbtcARfFz2NXSxeiUpwr05CbigVIQfW05HLb2vgsKHQU0Mj6MMAI1hUMYzOSyfDm1joISjeQoD7QwP4DoQKQ2bB=w1200|https://lh3.googleusercontent.com/pw/AP1GczPtmrEMIKlZ2VJlPBqQOexq7qzIVL8qGmY5dJ6YDbhDV9xz289xVCI5ELnzpHcyvpG3jbQIzRGnq0fNtUmMGdhAATmlvKjgnlNQRiMnn4E6B0K0p3HF=w1200|https://lh3.googleusercontent.com/pw/AP1GczP2AnD0vs_lLuH2IatLihdLENH3aaeUBPclTrXoXatZ1MlrpSj8fX-25vKRhOjd1m3eonNR9UOceAqnnB8eOJi6xzC2ktMrMEzFW9QfCIKcbNI7qnTj=w1200|https://lh3.googleusercontent.com/pw/AP1GczNVjV1w0nZ8PGzX3wx8xR9GYPE1nu0txaMax738MPDb0-Wrr920Y37hMkcsJ-dzzlbSv35McEeVjCHOXZbCHQ5U8ll071k2DKanKNpQUAMmqBWG7QOs=w1200|https://lh3.googleusercontent.com/pw/AP1GczOsiZcAjUwQ4sOHg78pqm-hcGve9XY7lJfVDgiA7k9000yW8FuWvpPqZeHgRpnfLnqOIrP40t0J5TzqWiKZ5WjWs_2mUKiZbQZjWxErCq2yS2DNo0gR=w1200|https://lh3.googleusercontent.com/pw/AP1GczMDnfdqRNoidDeh8FFb2P5INlgPJss_tslDkMUAvtscaftEYS0xlSn5HnkPav89bOokvXoNovzfxMAAzA2cwkxh8M-pvXylPb6XLCpOUbwI-zizH72L=w1200|https://lh3.googleusercontent.com/pw/AP1GczM76I76nzlhZI97f1cX8_yKW5dYlfll3oCxRwEbcJl3HCg6x7KUuPwQbpsgyw39OaB950UbVCSa6Ke3f1BvxvJVb8elved6C5VDXxhjC3dTAjezxWXG=w1200|https://lh3.googleusercontent.com/pw/AP1GczOdPZV9PrIB2BwVjb0XTBupfG78pSq6IIop66aDIV8C-t5KD2hrHirn0A0LMU9yvJyIJNCY67Xs4QgEBRggi1bHKFZutgc9k_uu4_M6v8CofqEN-sC5=w1200|https://lh3.googleusercontent.com/pw/AP1GczOAVBLhupz3zPPuFh75HEEfvA6vRrtHCBNKaTw6mBEAoFE5zKkWVuPjalUwWH5nUjLtFh1vBz8yBzwwq8z9pGZUjbm06p675sxmL0r4xuRedIuiwsLD=w1200|https://lh3.googleusercontent.com/pw/AP1GczM2-m6uVKvkxDQAClnSrijU582pQo4Snz5SVZaGKM-_irCispFiDWbH9ikrpsXkoSrfKtDY6KNvskEIBXBsRW42Fi-uEATp02Bw7HkiqlVTqsXA1k9Y=w1200</t>
  </si>
  <si>
    <t>543</t>
  </si>
  <si>
    <t>Casa con tres locales en el Centro</t>
  </si>
  <si>
    <t>https://photos.app.goo.gl/mRN3Zvg1BYZswE7a6</t>
  </si>
  <si>
    <t>Casa antigua, con locales acreditados y bien ubicados. Cuenta con patio amplio. Escritura al día.</t>
  </si>
  <si>
    <t>https://lh3.googleusercontent.com/pw/AP1GczP7KczbO4c22QjIgsPGbfIcIsYwqcL1pTXE_wDYBK2rjmd9hn3FEKgeDehFKqYIbxgnJsAQLLmUDYZEUd3HQAKIldrrd4a4VXgN5BGestIFJPLRs5lH=w1200|https://lh3.googleusercontent.com/pw/AP1GczP4syUeyN5ol5VKtJOygvcW982fYoJYY3rve-d3eGJfvL2DGnPOzps010U6idXldoqyuXKmlo0oLDSrg-skhp7_K-t-BtPG0rLDd4gxbsfaWpAJHiCn=w1200|https://lh3.googleusercontent.com/pw/AP1GczM_u5tq_KnOvsSnWSS77eIC9LaA0Z7da9Qhj138-6PvSOfWYBWMe4Qpoy9hM57D97gIXFUukLSu-HF2qJ4UsU0fmpjJu2-58EroOY_G8tEZmrY3EJJd=w1200|https://lh3.googleusercontent.com/pw/AP1GczPHLpvACJLH5cQV7haIMt1oQ9mYM0D6RJ03DrX6VaXmsRxdAtidbuUsH4Ib-SMdb4Dz1pnj1EVFSlo_h1ief6NTl5Hr2uFGMXlG88xfvoXj58OmwsbI=w1200|https://lh3.googleusercontent.com/pw/AP1GczPx9T_8NniSFfgaI7zMNjzVIYZRZVZOucsfEL0c_r3TucYb9IBXAQ3qqPoB_e9_-onUQECP9PCKazn-2WBGVCK_tIC9DZrjDkkqv12RXKoEC8Cx-Rkb=w1200|https://lh3.googleusercontent.com/pw/AP1GczPwALo5lU2nSrQ1157sk30x6-rdHbQ4E-etE6KwygwgZFyWrayeTVwDl3FLdzp7RAjgaxTPSe1eFeTaLJvtg4w5V50lijyAF2GOuPBpKPysXGgWNY4M=w1200|https://lh3.googleusercontent.com/pw/AP1GczNjkLCoCHIMSFC7vFC36iWbyaSUUFjC_1gbeBKsNMW3CPGyplXvXmYzq5i-9VLHy1soK4EEbZmPVkMn9BNax211MINL8BQwrC0oStZHf0FbTIDj31MQ=w1200|https://lh3.googleusercontent.com/pw/AP1GczPbrYtM70VMcIwBhSKh_Yn6F50xqlUmx2-XURvEt4ZPg_W_aNX8CXa5WJAEs1ZjUZtH0LoTPly1aOWK-2GiekoaIcS6_v6HIm0Jqe-SWF7Bxf2_LIOF=w1200</t>
  </si>
  <si>
    <t>1341</t>
  </si>
  <si>
    <t>Apartamento en edificio Versalles - La Toma</t>
  </si>
  <si>
    <t>https://photos.app.goo.gl/jH8CyDeWEkGHBXub8</t>
  </si>
  <si>
    <t>Distribución: cuenta con sala-comedor amplia, balcón exterior, cocina integral, zona de lavandería independiente y cuarto de servicio con baño. Dispone de tres habitaciones, todas con clóset en madera, habitación principal con baño privado, además de baño social, e incluye instalación de aire acondicionado. El inmueble ofrece dos parqueaderos independientes.</t>
  </si>
  <si>
    <t>El Edificio cuenta con vigilancia privada 24 horas, piscina, jacuzzi, salón social y zona BBQ, brindando comodidad y seguridad. Estrato 5. Una excelente oportunidad para vivir con amplitud y en una ubicación privilegiada.  Apartamento en venta – Edificio Versalles. Amplio y elegante apartamento de 176 m², ubicado en una excelente zona de la ciudad con fáciles vías de acceso.</t>
  </si>
  <si>
    <t>https://lh3.googleusercontent.com/pw/AP1GczOk2IGwaOr5tZgmyg6Lq9KaMS39Tilsh0HfVGfY6-uUfcO9yuyyQgk6Z0W-EBBj2fkceJEgZM8STv1gKwJdrxsV9hDJtcmZorkrasSEA1-yYsETthqU=w1200|https://lh3.googleusercontent.com/pw/AP1GczOOGD8OpqhRpqSYVZGMPPWaS0McGPiYn0UszMvRKgpmMWLAwQaqEJBK96_bpXsbDUAf3EuZmr1CayL6LINIV8n80Rs4tpfhAh7ZE4JML5j47G7b-CF_=w1200|https://lh3.googleusercontent.com/pw/AP1GczPsoKpJ3XYKqjSOK3Lst3XDsTtEwZbuIB7bA1Kt_gjZ7X7OdvXuHifWsTmQH_cx1pFnf2zmgf-XOVdSEovUAotoCwzDbVjNUcA9jVegrATaRiwItbcM=w1200|https://lh3.googleusercontent.com/pw/AP1GczOPicI_79gHCo3Q65R-QOHPHc3SzgpalJpNl5zHBc37S4IzETsxoimBRGz-I6ruhy1rMNYlLtybw60Kd1QuiLKW91Pq-wclklRl2x0FBBUabScDIyQn=w1200|https://lh3.googleusercontent.com/pw/AP1GczMnyaUH4kZagtx4OcN0uVxn5vZLJcLwZrU_OGpCai5OcO1DVAFy9HjDwbqHhXFeLvdZ48isoqrAm2vwvunGZVt2Lb-IcZzBg98QAN7WdnZbS9N6zNyH=w1200|https://lh3.googleusercontent.com/pw/AP1GczPKusAk846dKqNZ2vf3CFgSaOcMV8y3DXVJZ33jEffMLDnsuv_rLN7DYWNlldrlB8GDmV6OOI7qVUyLRLRNbA0imFAQUyPS-7r6xBKxckid2p9pQsnr=w1200|https://lh3.googleusercontent.com/pw/AP1GczOF9aW78wdgoqVbP8ieZbKbNHKCH9gJwVXhMkdtORYq5t9xugJLEHv8p5CDxG04StZXm0FRhNy_IwMiRSPj5oe5FAU-mxOf4hfykdYKXLy2OV8WmdEz=w1200|https://lh3.googleusercontent.com/pw/AP1GczPL-7aYopTFWIzuOd9Q0VOyZw9SotZHco_sOAs34w5zsNs-k8EYIBcTrd_GUkQy99byIuFnCpQOsmgc-V3tU1_arjmG7UycZ7LLmpDytgpMwIgr62on=w1200|https://lh3.googleusercontent.com/pw/AP1GczP1oLM_Y4b14eliPEA2fYCJFKz-BdxEoihlnWa1W0HF_QIur1ueiqRzL8TZ7VUfrgyYz2OcpQnqRprfMpjxVi8pKzxhnNGVjnBR5iIYmbh34nM8ZmFJ=w1200|https://lh3.googleusercontent.com/pw/AP1GczM99M1yY7w1wqSXmvE9h1qfZmmJlS63wDjbjBJ5-CyxObNOpNWkUFJcVhS8YTx4OWFGv0CZRbNPMuNNssSoGoTJKJOc8-tDxnejQZn7m_MDeSacTrrx=w1200|https://lh3.googleusercontent.com/pw/AP1GczNP_ZOXqdep788gwhx29_9WoVx-jKLlNPIIejeLNWJpFg4vj3i7BrPmoMlsctTbG2W_ork0Isr8Y-MJPB0fEz561iocwcfdvnzb4c7vG_LVkphi7xsB=w1200|https://lh3.googleusercontent.com/pw/AP1GczM0TPfvxh2mK94g3x_PsD5xnoBjzQDroqOMzenM3ZVcCYNpAZ40c08GZLsfPL8rL4sML2lVS2ZoKLODGBuXr9tabxNgHxnHbd3PuVaONoYnfy5PxnBF=w1200|https://lh3.googleusercontent.com/pw/AP1GczMSjWfcb4MeqPBv57o0m2oTUgLsjhZiRD3_B-8x79q_p21ZxGGFfngxp7fQK9A0EDDiCMRSraxmfuq73d6-yWhMenPWRDi9Ku0XtpqZ0ZMsPmCbr3C0=w1200|https://lh3.googleusercontent.com/pw/AP1GczPnobfb_KWnWWiXNY1FGoa0N8tNaWfAMioACnktg9pRS7vveQOpnEh-vHvA3KAod7FHNd8nQvIZTVhU8hq_gsthF2RaifsBk86isMAiHL_sB6n_5Ths=w1200|https://lh3.googleusercontent.com/pw/AP1GczM16ZOKBA38tayDtz87etjjH2rBzx6yxXAecjlcO_gA1V8UctVWAh3SN75C3HdiVEKAWTPpJoVVnOyLzuiegZkwiIjCS34Zj97DWCzK6H4o5Ix9E0R2=w1200|https://lh3.googleusercontent.com/pw/AP1GczM7VeAu7BpTEEtczkWi6Xw_7eE3mjRM0f1Lk3rrTMIlzOpbaIJpN8K0bSF32Sa7d5nhkHX5R0RAidB2g-biNUEadSPdkAi7dzWwO9Winmvs9lgX54uB=w1200|https://lh3.googleusercontent.com/pw/AP1GczNz_0w6si33R2WXlqHOeU6LT43zqq0oekO6MPvw1iuiFo6YmTIsiLs0i2feuVDNUuuQ3F2dBnbOKQ6AqNm0NFEPwT13k5L31fAuWqykNKAY494UniNV=w1200|https://lh3.googleusercontent.com/pw/AP1GczMuHEkKRmGGpLit-6POEO0h-xS2njmgLKXvl8ShnvSkHb_NZrZHj_vKjJ7T-ruJ3s2t9UpBgyjgqrMEJqC4KyeCMSZm-uTzwHTTFZ9NzgPrCQX2MAqW=w1200|https://lh3.googleusercontent.com/pw/AP1GczN3padYPuovMiOh54xgEIZoSpnQGLKRSmvVfC_4u8FXOuO_4BhcgoolJkjDdqF2eVH3fOww9Va_IYUWqeuwWoOOPAYXWzUsqC32D0oX_Zn11M1xH7ko=w1200|https://lh3.googleusercontent.com/pw/AP1GczMqopnFw8aMYO6zvxumck61yg38-9ttsa2ZRMdSxND80w65XFnuTDkRu9pVxPVonpfzhkJCYktAUJMA9QwswIY8ayvpUlphbkGKVgjAOZsAWVTacqK7=w1200|https://lh3.googleusercontent.com/pw/AP1GczMbeg2E1OhlYFeWhWAwn53hHm8MBibCSxEs9Q1uy1E_niu7NNazP91Xxu7GsX7W_C_uo2tThIV-U5DSWKE0KIZta2v1ZtZ4UAPSitw5AQ-_6mMcXpH6=w1200|https://lh3.googleusercontent.com/pw/AP1GczNxFG8TBrooQ5UOg29e-WR3pf1BkEVUZOvZ8tzmfHXxuTqwi5ZmLAean-fKgNlijrT_--GUj6Z6QPQgeqnVz-SB1fmlELS7dEwjG6IRcZdrshv1b-ZL=w1200|https://lh3.googleusercontent.com/pw/AP1GczMxAZG4JSY4pKo5-57_XzeCwTsOYmToIYnwilhw1fJzkPHwE7Sa6QNbcCtW-xkyd1gKl1-0-0LiXt4mVYGb-uguJRXSNbkiDZlSDW6g1E8CMLue6q0a=w1200|https://lh3.googleusercontent.com/pw/AP1GczN4Jcsfq4-dea0zAT9nhwYzHo4sZ0j88e1QQSmBdg9zIEsUtDPMkQNVS8nY-hM5y_4Z3xaf3siDqxReIoGnDoalwTOADxF1BEaaBWRMt9atNJXay9Ag=w1200|https://lh3.googleusercontent.com/pw/AP1GczP6hLiggFeiSuRA7nmBvOVAnq0-WbR5V8iR6jI2X_t8ChuZy8pB7wXIA9raO4D2B860P5ffW-5AN1yh4E0RMHozibKUGbY-g6M4r4kAk1tn8GUnGn30=w1200|https://lh3.googleusercontent.com/pw/AP1GczMkT1-23iJfCssLyenU1yG_5shkbrRapbFxgGouuRIckyYvZmOqdMQevDi6c4AbEry5kSDgFr5zVKD3kpIQWN5uk5GA4ku1LlAR_IFGJCNzC7OAlQXl=w1200|https://lh3.googleusercontent.com/pw/AP1GczNnixiU0JHoeiGDANbqmxvDWUlZFee05atUl6qnjMsAXW32KFK9tW8tDeBHc-086UkVeSHi6SMxGEDNeepmWYimfkGF3M7BuMWwlTeRECVjMxRiestI=w1200|https://lh3.googleusercontent.com/pw/AP1GczOufnmyM840JFs5IlgVq6mNBOp58opgUadd-EMoxukkY5xxOPnH9ZzONb_QrcGMFWwvhLFP5LCID1EDyGIqyJazXZGZIhG594PpXoYBMoYykA-eyE4a=w1200|https://lh3.googleusercontent.com/pw/AP1GczNi7tDDxDRdo3Qxbk0SJAOpOt1z7SB3KS1-cLWB7fLoaBcE7pM31EqT0py4zBcQ0FHMWgRKOPDJKIxC1KM9kigfkUqPU_ztquQNp72AbF6LyQRc9_dS=w1200</t>
  </si>
  <si>
    <t>1337</t>
  </si>
  <si>
    <t>Apartamento en edificio Antares - La Toma</t>
  </si>
  <si>
    <t>https://photos.app.goo.gl/gLEdoXzG4vUV36tb9</t>
  </si>
  <si>
    <t>Distribuidos en tres habitaciones, todas con aire acondicionado, tres baños, amplia sala comedor, cocina, y tiene balcones que brindan excelente iluminación y ventilación natural; el edificio dispone de ascensor y área social.</t>
  </si>
  <si>
    <t>Apartamento en venta en la Toma, ubicado en el Edificio Antares, en la ciudad de Neiva. Cuenta con un área de 164 m². Estrato 5. Una excelente oportunidad en una zona residencial tranquila y de alta valorización.</t>
  </si>
  <si>
    <t>https://lh3.googleusercontent.com/pw/AP1GczNxyBvXcAMTsLJzije7GimjZ8OxWGKllk8xmMewXdhzGiROjHVTWvdi2CIliLforuxhw8J1RaKyOgmTJyKRz4zhgW8GFV1Q9y_n7UZJD90zF-OcaiIL=w1200|https://lh3.googleusercontent.com/pw/AP1GczOysT5DZ358JFFL9aOTcdlj5zzqMo2ZMerSTmSpgfNGp-U6upvKW82UPHSeoY-9kK0pOEULGVP-Q3FgFhTMR_Nl4zjCTU60UY0AgQ2ybg5rpZj6ml5y=w1200|https://lh3.googleusercontent.com/pw/AP1GczOBSeolG7sBS8KFQ5dYD81OzmvKpy0WheE0_hjPVt-kLeAXOiKEueAifsTFBI8uaAXbpII0YT1-t3Chj4XXAMq64GFFUIW_JHGiMz6ZiM5_QB6R6yR0=w1200|https://lh3.googleusercontent.com/pw/AP1GczPUXOGUmqfRAfvu_pyLk71IyixlKStX63ckFqF53IbkXs96RJtJU68pqUM6sl8txV6t24FI_zJJ7osGECZeP-UQYGJDg77TIjraUYtfjw1piryNxtui=w1200|https://lh3.googleusercontent.com/pw/AP1GczP7uRSjRzVMotK3_e9u8-AH1jTFZnEUEUvkpwlDuNg6ZnHKtPPeMiVUBhxejo_rnNjSRWWZB0jQsCeQlkhxYZ5KBVfdWg1MTQNSKPd1h6cV_U1i-M66=w1200|https://lh3.googleusercontent.com/pw/AP1GczM8ijmg9eq-XxFunnwBmA4zKI9cdxqATTTN3sKW7duE0SXigPQUN65VGijogG99f4d_523TOupl7FmuCy_WSmORnXdvtiegcruM69cfCngTrxm4MvKY=w1200|https://lh3.googleusercontent.com/pw/AP1GczMdD-Muu5dah6dXqTR6KwAufyvK8RIsNYFkwu0kIO80wJdyzsuuCrB4XtGKaPOSVvonzWo74LZhmJYhttUUC021a_tqh9Wbz_ToHeYK5cL5m_75gMOd=w1200|https://lh3.googleusercontent.com/pw/AP1GczODut5qtzZMwbldpihntH8QfONFm8O7enq-w-hnpsGue3ObbbjSpU1sgN4RSAsXpT_si5k5Db3GE9zIZtp-Yvg1aixE1hcnLzfRqUXH2ojDqf0-bHZB=w1200|https://lh3.googleusercontent.com/pw/AP1GczO7UljtY3I1ChTzyIxHg_V8DiHP6kzsLqVH3RoyIiGEgkZnW-Yj-h37xzMJvTl00X_j7lrRSgq0E6HPDDZ7uuyIsnaCJ2TnU9nhQveDo_IrcVa-4fzQ=w1200|https://lh3.googleusercontent.com/pw/AP1GczOtu8AJQasIF7UflKYV2ja4ssFnaki2NcUXJRpByM62sb0r5eGdShFaWqqhSJdFi-ffTKQv_5f1fUMXYIAjHIxB0YJ9P_7KP2xrpZ7L1Yf2j6xnhQil=w1200|https://lh3.googleusercontent.com/pw/AP1GczOv-DBb36heKfUVy9ytkFnzn1Q-lMwXQUkUjNy-46UxLoeIN5O_PqVbTTttsQ4bBxZvVOovtUKuu3rNxJQWV632mdPPWp9Zz8fL2JWgqRahmC-feEgl=w1200|https://lh3.googleusercontent.com/pw/AP1GczP--GOjXmEzu501sfzGbAqMJ2vP-2ovT-Y7e3tBRQsPB57jjS0sLAUFSOMEORBnGrl9113-8yAsjJ7RWP8ekcC5WTrlWC6Ok2FjaEP0PYeCqdg76UJK=w1200|https://lh3.googleusercontent.com/pw/AP1GczOvw0MTZjtF-dQsRN5u09AK_ynDIGBAhGw61uOHvZpD_7b-wmj6rs4uzwDVUXRRoy3kwIxDS0CAfTV-Vk1Y8277t_pyG0miU5VNnbs2q8dvQrYhKYNF=w1200|https://lh3.googleusercontent.com/pw/AP1GczOdbKB3KRB7URfW33Nn96YUxK_3nuMTTqGUSbU2wLHVOTWejGu2KlMaGXW2vTSr_8VUpEyvB_HKreU8Z2feHh0ZiC5a6SqgDYMaeqh3kHqhIJ7Im8R1=w1200|https://lh3.googleusercontent.com/pw/AP1GczNs0yAZ-548j2NOvCbx1i9NA2Kh3F2k_T9ztNNsdSG82PlOx-KHu_FnWX_p8_slx3ADkeQUrOcryotcijOuUvtGjGy0sGYkOFAin82FcklihionDYZv=w1200|https://lh3.googleusercontent.com/pw/AP1GczNYPfqJVhxHzotP7V1hF7vcJFj8CAGaeGN-0nTwj-Snasg34o34sdsMaDmvMJyBFbhMgcYr38LPaim-ProrLSIaUxXZXt4ST_askHFZG9NtROAiPQ_O=w1200|https://lh3.googleusercontent.com/pw/AP1GczNEUfo9ECIu7jS6jHUCRtXc43PB8a4SGpaAHGk-sX11uiptXTz4XXTikwBd1w3ozFAtWD55gkn2iB1asCnSyh17Lv-dw2ERwH_fWmjNAHbQqpIf9ezs=w1200|https://lh3.googleusercontent.com/pw/AP1GczNR6TxN89hBWe4GCJtR2okH7dmRrnzu5wmgWmD55FxVTM3tffKWgwnPIB-pjc4LfxnjKqUqu3MYMg69f5m6TppR-LPKf45MxSHbGQKuTJAnhceU5R-K=w1200|https://lh3.googleusercontent.com/pw/AP1GczPhyd0V582bKftXk1xx253lyQvW3efXDzk_2p68lqbkKZLuntFU6oXMa_TcwbINByXe-SqO-EdEwMvVzGbHp-vchn6W60Htkd_pwXLJm6Uho6izq8sx=w1200|https://lh3.googleusercontent.com/pw/AP1GczOk4bto1tp-QRDg-zw0ekLKm4jWofUBbAplTUOio5GHF-DPTPf7PCjDZ8g6Nacw1UCJTJdBleZC4-Bw755-bD8AhRh9RKOGKdBdUjAXsRe_2e_6H0nZ=w1200</t>
  </si>
  <si>
    <t>1100</t>
  </si>
  <si>
    <t>https://photos.app.goo.gl/EvagycDkqAs9xg3D6</t>
  </si>
  <si>
    <t>Lote en el barrio Jardín Neiva, área 700 metros cuadrados, 35 metros de fondo, 20 metros de frente, cuenta con servicios: agua, luz y alcantarillado.</t>
  </si>
  <si>
    <t>Excelente ubicación para proyecto urbano.</t>
  </si>
  <si>
    <t>https://lh3.googleusercontent.com/pw/AP1GczNe8YwIqUJy4ciwPMVo5BUo1d-oWqaHInK86ijwziPdF_Xmf8dZ-SOhKDO_iP8-sV3rurhRe0jK0fxr8xBbgVxoV5Dg4IVZE13hYouz3PLzJYNC74iB=w1200|https://lh3.googleusercontent.com/pw/AP1GczN_pKMk6PfjinwLclg5BuwTi7quSJf5uh58uCeY-Xvwb3yIfOi04Iu_0LgnybvxFldgfWTxCBTbIKlJbY5_j0Qr2K7C4SQUBo2w2g1E2AofoIvMTJL_=w1200|https://lh3.googleusercontent.com/pw/AP1GczM4P4uF8J5BqKDehcyGlqssVSWn38ks9fDktLfVYYQp0dhwIFOZzSDQer3i62pgUOKFuy57KEmhfDXIL8WPjgkpXw5e7QsnXuf4VhwgcucUDNNMpMyS=w1200|https://lh3.googleusercontent.com/pw/AP1GczOD-mrLIY8radsTDom6sla4Uoi7OGzg_6GSBzvEMRTRT_eg6buLkTMDcDtZinuzc5pU0EkZfV5asLJjK1UCXNBuSYTdThs2E8UZ6V4RGDoRVuK62Niv=w1200|https://lh3.googleusercontent.com/pw/AP1GczNlvN_yjkw0wIasZiQAqYat8TLsPlA6T5L-hVAF7FIfsmc8EIvgnhq2uhkCtjOydp_bt0Lr-4yuAeT8hQnYcBYj-PDAUMQPkHr5MimBvDdAFHjy_Xgt=w1200</t>
  </si>
  <si>
    <t>1266</t>
  </si>
  <si>
    <t>Lote industrial - sur - Vía Molino Roa</t>
  </si>
  <si>
    <t>https://photos.app.goo.gl/LRFrXnRPDwqZ2cbq7</t>
  </si>
  <si>
    <t>Espectacular lote de terreno, zona industrial, zona sur. Dimensión: 67 mt.x130 mts 8.710 mt2.</t>
  </si>
  <si>
    <t>Zona de alta valorización, valor negociable traspaso inmediato. cerca al molino roa Neiva-Hula.</t>
  </si>
  <si>
    <t>https://lh3.googleusercontent.com/pw/AP1GczOo5MpZ03BUU8gg2oheFCDfGK_g9pqjK1b8gloxJJ7OeS5xkCBtqvPE9VK-yI3i5bUHemIWbHHrL6d3A3te_np9glEOVBkbDqUsuX7sYecTBbPafpdC=w1200|https://lh3.googleusercontent.com/pw/AP1GczOLKZFD79JOKuhYzAyLj2VYooJZzzdqIhUY-DGXHfEvwMaBz2wAM1aA0cQMD8mgygEA2o1XTtDn_qTuX2n28wrHINeq12iDDI53eCq2nUk2rA4lkMMT=w1200|https://lh3.googleusercontent.com/pw/AP1GczPBDxWPveoMhrxwyZo9kPE49eMIfjB0xnuV2ow_d-HWU2jCot2FO-EOiUCUwc0HscMf8g5AnE7-mMY8Pskjp-b-XQI-2vrgqLWxhJjxIRZty5Fulb2T=w1200|https://lh3.googleusercontent.com/pw/AP1GczPgudI4vW6xVyUdYzOvX_V-3an4B425HRSADbs4NcdpSQT_VGZqj49X1Z0da-zM850L2kvOAPKB3fTt2aNEhn4LbgxgJu7v9k0GbATCIHPtducIkssk=w1200|https://lh3.googleusercontent.com/pw/AP1GczNNIMgQK2K5ECL8wT7Gt59qpVcsYiGjPc6VD5eEa_EZ166YM87IQYWT1pxiWsfTkfSFlpIHQTEQrwOEmhgCyGrJM8HMX3Bx3rOrY9od52FGZ2RGA2T7=w1200|https://lh3.googleusercontent.com/pw/AP1GczPCs8OWf8fwYWGDjDIUjzPmXwmCDRHbIsAzEXXHyuCbuBJBMODHzm2Q_xmAAt-lah6R1LD9Fw3Rv_FkLg7zXfkd7hEokN2anS-dxlkr5Rm4st-7MvFZ=w1200|https://lh3.googleusercontent.com/pw/AP1GczPZEMEmU9VP1423HpWvkr2TC1qCNyYbx1CiGVAlOnukDyJQc7mTMQGmxAXeUH9GeTI9z_7Gabt8oWNt2Q_aIEWsKQzZMHPFEWs9SNyI0foIeevwniPS=w1200|https://lh3.googleusercontent.com/pw/AP1GczOmNntODMqdSh-puvZbq8w4FafWCNgiGkwOo4QNUU8R3OpUWC5vUHaGDleJTlcBMfwtBhnNt-cA_2pqZ-kVtVawlpOoV3NBQp60YZbECuwPRHjigBdW=w1200|https://lh3.googleusercontent.com/pw/AP1GczNC0bBhX_o7iXM5zuIkB7Yxxo7P7cr-lS7UnCOxQP9Yhf3BFaN-Gi7Bz7d2ZejoYI7ng38PVngKsITVSD82wGNwJgJ1EDWXrbMYNaH8Lc_7KhvpECs2=w1200|https://lh3.googleusercontent.com/pw/AP1GczOnRon0GesQdLcF9K6YWVGqgUb-Xxd884y5XEnZPZpMhXeymSzt4cKvBg3vFSmbefGwEoNGShwq4dJmGuSLessbZXAu6RoZenuFBAXxCtwcD6V11Z7C=w1200|https://lh3.googleusercontent.com/pw/AP1GczNnEMfxbVywm0wIsNyajyNiCExXobWu066Tg6-QsJSz5AjzzzkJWJZM8x0nxDAfTl6gAIy2-tokHYK12EQN2WCVm2YRLbLgETrMHROa9C_zABWZUqTv=w1200|https://lh3.googleusercontent.com/pw/AP1GczMFedzLKYm7hqnibe5R-hSlVwWkPgk54DHSUjM8y9CUs77nu4EReLkfsR91qHqdVCTFMrZ2G5ht46tMjaYzVIMt7hPfKfrP_UlBtSl7Ftr3nCap1Pbp=w1200|https://lh3.googleusercontent.com/pw/AP1GczMEDKnt-MgdY5nDJDIbnyRL9xpYoUqFOHTB732PJce7MvlLALRkSftoMe7igIS2Ogsym2H_XHQxnhKjWE_UgVxpnnS2wk_OPiiUdh_pSMCczLccSXpD=w1200</t>
  </si>
  <si>
    <t>Casa con 5 apartamentos en barrio Gualanday - Norte</t>
  </si>
  <si>
    <t>https://photos.app.goo.gl/CYwBCg4v5KkRYbtL8</t>
  </si>
  <si>
    <t>El inmueble cuenta con un total de 9 habitaciones y 6 baños, distribuidos estratégicamente en un área de 90 m², ubicada en el sector norte de la ciudad, en una zona de fácil acceso y alta demanda, perfecta para inversionistas que buscan patrimonio y rentabilidad.</t>
  </si>
  <si>
    <t>Casa de 3 pisos con excelente potencial de rentabilidad, conformada por 5 apartamentos totalmente independientes, cada uno con servicios públicos independientes, ideal para generar ingresos mensuales y asegurar una inversión sólida.</t>
  </si>
  <si>
    <t>https://lh3.googleusercontent.com/pw/AP1GczPMjQ02_C7eandU8luyNYPN_mHwcqYDHqt3tSGb6J-EDTzEnV3H97pXUCCpj4Anxa30cUfaMBqLrGiLHglOu2rJ-f_EE1Vhy3CCB4ByIqtWUEAMxxH9=w1200|https://lh3.googleusercontent.com/pw/AP1GczOHjllj5baoA90a7TnDCtFI3reSg9J9Jd16m-EJ1rzaTrE2uyxLE90WmbcUhPIpxpbL8xilozY_LirRWTnx4O0yAuQvi2-bQFu7NijYhGB74h-rgvuL=w1200|https://lh3.googleusercontent.com/pw/AP1GczMguMh3bmNjLa5DVzY1hfQikK1JhyV2_KSB53hrMfjGatNLz8qJ-vkh3wEuJNSpIry171FV-snEswYrla1ushh_JIujVg8y60AH3_Scv2U59zzgAvu6=w1200|https://lh3.googleusercontent.com/pw/AP1GczMsouve00x8Zb9sekN-Xyf9h3Wuo77DIc3XRgfB6Xp_MyHQRBOswsyGo9ecmFgkdB7aSvNSskrhrTHgWSjE5unarlPd37RhscxKuL7UsuNok1xFIoam=w1200|https://lh3.googleusercontent.com/pw/AP1GczN5SyY_gyceEjKJaiBmrC619sjiBs5hLdnyzZ9rfvS3-cEseMYfwuPZZWeRpWahATj75f3fTJ9COahcdCw4mvrzQp_Vr9SIPVUIWf5ygzRMQBbYRgH0=w1200|https://lh3.googleusercontent.com/pw/AP1GczMC2ok2llun9llX8Kw_irCUVwvi9SkPPiBWDDRnAERUMiD75Njr97L8PtNMyOhLzoI1Wgo02pb-oHug0gVA5vjkTKcSQi9cBuAFP4HzhDOkmY4gIN0Y=w1200|https://lh3.googleusercontent.com/pw/AP1GczMv8IRQquaVDq_vyo2yK-EwG11vLBb1hhRHSowO4slxZ4fmaBpoooOgf3oxZBbdlyD_mK7fhg9ZLQHIWr5-1lc__vdoH_SIHj55aVshcQfLviNGN04f=w1200|https://lh3.googleusercontent.com/pw/AP1GczPRPDmIJG0osnGWzAxbXc2ArGuZaJF5m6PJ5KkrpqTSgiq6GqNfY9ltANj6SfG2ZjEllEtmXOktJZpFxCU8iNa9wD76MOKRodJkyRcpUBc3H39InpAe=w1200|https://lh3.googleusercontent.com/pw/AP1GczOCUIXmRAiRQ2mjmVfkVl1VEXrhsUD7L5C267A5taUrakcyThmyTNwP-g3lp7AOda3YPT96N49zRyTTB9tvnBsqLyHtAdPnPjhPkDqDAU2A-vlIzL7y=w1200|https://lh3.googleusercontent.com/pw/AP1GczNGNVtRobuhV-fIlbwGupALKUYFsQqvmqzSOEJEG4OKGh7V1yw5lPyxGCTi1RftCqC4dPBwwR6TaFJuay0-uD7098tfC7xuG_9tt5ZohUm3o-GvwgPf=w1200|https://lh3.googleusercontent.com/pw/AP1GczMjJ0mcEyYg4m49m89lx0irorThapaZw0S28pTRNQgwUwMgRsxI1XTsP2Ffu5_6-pOeuMwGD098OWNRM826wUyH8dZeWlpakbeMnA-mfApoL-lai-0T=w1200|https://lh3.googleusercontent.com/pw/AP1GczNuCl7UDGz6RFzHVtVEX5pTRMsqYEGb8gJiJJJhMujr0ELHPEp00qdkNvCRmKMe7YWB7nNuaK7HNXr4UNo02Xt4T_stuwE-dgfWIq0du8NzQBshT37n=w1200|https://lh3.googleusercontent.com/pw/AP1GczPHw4gEQpzLfTy5mZceMRx6bqaA9uTQWLZqpL3FVerBWlD23O5jyhdTtXnRipitooq5oenR-sUPyqCaGSezF4j1X_Em0ho3TbqDg-9SkKFWBZ1gu7Nh=w1200|https://lh3.googleusercontent.com/pw/AP1GczMWPqLNmthqd_0yRzzCEM89-Gk29gJDbv8uX2wjHiJdl2aVTE6mq-yOsy6EE7IECP5Y4rYv0rG62FB52BRO0LeqPW59NZ_LhEAfrtMyXphjv_ccLEUN=w1200|https://lh3.googleusercontent.com/pw/AP1GczN9hdYmTuJhs3EwzAZ-xw8IQTyCIxiZ4ohDN-9PwVOlr8SKIsLUCDQyauY_JLA6z6LnND9o7XZy1jUhN9p7hAsTnCfTGbSmbjbuz6EwG9nBzr32vAgB=w1200|https://lh3.googleusercontent.com/pw/AP1GczO1U55RBOV22bZ8N2W7R_efB8ic_3iZiquUJ5rndA2aG8CxYff9GA3vR2pkJtA1mwO8RBegrRPzo-i_eJg8vLlEwdL-8JTd7TAhr0uhkqra5y6RSSIk=w1200|https://lh3.googleusercontent.com/pw/AP1GczMJbaPxL1kRfq4XM-BM7IVGjOEu4NpDqfjrr95VPq5N9buC83WLlbldmnFRBPefI4pqNUw16l3gN2MEZsiIVD_9MjW9Fb4jGno65CZ8R5HH-GRG9jwN=w1200|https://lh3.googleusercontent.com/pw/AP1GczN1kfFFRbqjbBb9IYwD27mBNSrdOj3vuudDbwqutG9HHk6zEQsvaH8YJc8aKRiqLmO4igbrHuYnxmfKeQh3qZHlrwp36ls10EyiLF0_phAcGSdgUe1q=w1200|https://lh3.googleusercontent.com/pw/AP1GczNu3MMq2ss1F4LCNm0s-3ceP8iEoZzCZyQcJqYapDjKVW1tzJjwYvO6cqxz8at2UXLU_6uWpIj-6NrIn1v3tcz7-ycwibQzcG_kCtA7gOdnkCuHU50u=w1200|https://lh3.googleusercontent.com/pw/AP1GczOw73zfY83mXZrcGdfuYwa73wrQJ1z8l6e-jGT99MZaznQm_i0mMXS5GsHF4FFH2bsGy--2dRljgZlyZZNCKqhN1nc2axIOagTyEByqHe-51eWkqgOY=w1200|https://lh3.googleusercontent.com/pw/AP1GczMeIuzLUUfKUF7_Oc4AFf7dEtdauTM_4bGfl2nWSSTFDxEjI-Jrr-l1lWhNJS14PcFxivgtkD12RcxvTluqH4fy3qX6SWgwVPOEb4pRe8SbQJdJ6er5=w1200|https://lh3.googleusercontent.com/pw/AP1GczPI0D-Qs39SlzYFpJPWtNpx0xc5Wi_bcdzARkvojD2SiXyPDHjxhXsS1Wyn-N9Hjwfi6GbOTykVmiy9JRNnjUolmiQ9xkjRKfYQdRk8Rd74euzQe8Y8=w1200|https://lh3.googleusercontent.com/pw/AP1GczNRagy1UDENZrbmPfGIuSZvNf8JN6zediJ_5GdY7qTycwP0MvjxVXhym_oj7mgfHrWhlijkhAgFZQmbiXRDIAHjoMuCVY-9-__VY6MtD1k-e9TIWCBL=w1200|https://lh3.googleusercontent.com/pw/AP1GczPY2hyn2RY8KPq9L8pjqoKgdAvVmn4KV3S7U22JZxpl8zy_kNkt5YiP1twnhTrmnOyYbkImwcVN8Xc0Ox5um754TQkLtok0jsVQytIrJz9Qd2kma7Ov=w1200|https://lh3.googleusercontent.com/pw/AP1GczOvB2NIi2rfvmNoS83FyEw8nUtQq5eAsxXkfeLFkN-QzhvhTvMNEkQdm_ibBkScDhk1cVRKUaQ7BvdQ6zeh2F2ldk85RTqGrYjJVoivSaZx_e-FC8M0=w1200|https://lh3.googleusercontent.com/pw/AP1GczPmfB-ivN74RBA46Td3AnnfSCPyUBtcWZgJQ31oaTEarnj5XkapdDZluxRbj008cYaJS68yhXKnuAxbGIKj0Ar3OVcUqeEQ65L1TGjj9zm6YzuSvKfD=w1200|https://lh3.googleusercontent.com/pw/AP1GczOaOSM586ayvg2MrqX1HwgNI8_oFzYUepPj9MBaOXzJ1vgR5wO9MWr4L9DoMmhJJZI5w-aR3xWOz6ksHiCCg1sg1KR79B3DkyChW0evPxzQLvX_lPRQ=w1200|https://lh3.googleusercontent.com/pw/AP1GczODJZqNB1wL-FVqpxbxjjI2RGnitKgeoeqt3qgZMy1u0Yt4_s7CJPT33uy2P8v-AkB3tMpZvl9Sooh778_Vh6B1jD3cjQ5T0Q3Ztw97F--05zpHVjF7=w1200|https://lh3.googleusercontent.com/pw/AP1GczMB9BXiuJA0Bo891lZ4Rtk4usSfpQRKI5b3U5r6BU-Af9TRQwDX9C7QTy9cbrnfZIyJv55SMYQWmWFpnKqv2GgDGLp5vJDF8dqKfmesYKhpxP4otK8e=w1200|https://lh3.googleusercontent.com/pw/AP1GczPQvq2T9YceOK6x8hhREiKN8dmelF2Bk1xi-pGgsBze5rW-RBxoWbQYGz4CrNlE1teCZ-7_T0vKax-m4kAAt33g3Mtq6fWplWoCpZc9Lt8IcXJpydyh=w1200|https://lh3.googleusercontent.com/pw/AP1GczOmJAUlDSOjFn787mKWv3gvqGvj4yqaEVeBnlH3uZ3NQQUKc59yTaDXGL6ETYHSxEFgcIzdYBCt7_s6GBvs2Rc0dXTmv5uQoXJye2OaM_sIB0KVBXoH=w1200</t>
  </si>
  <si>
    <t>704</t>
  </si>
  <si>
    <t>Casa rentable con 4 oficinas y bodega en barrio Urbanización Los Samanes</t>
  </si>
  <si>
    <t>Urbanización Los Samanes</t>
  </si>
  <si>
    <t>https://photos.app.goo.gl/4uCBjTqz5kNy2b4S7</t>
  </si>
  <si>
    <t>Casa rentable distribuida para oficinas, con recepción, bodega, con estructura en proyección para 3 pisos. Cuenta con buenos acabados, piso en cerámica, carpintería en madera y aluminio.</t>
  </si>
  <si>
    <t>Casa ubicada en el microcentro de Neiva. Ubicado sobre una vía vehicular amplia y pavimentada. Escritura al día.</t>
  </si>
  <si>
    <t>https://lh3.googleusercontent.com/pw/AP1GczMYROKjd4pgOnryAYWXCdho3XIy7OwzEkPingQh9GTarD_AdjZ0JxdRpzmmN2ajUJ_rzeoQp3P2Cxdgg46L-j-f9BsjFaBGhMDzzMHLLa0aol8NlYJ9=w1200|https://lh3.googleusercontent.com/pw/AP1GczOD6UksLJZQZ6359LWkyEQkuATABBl-dqRJdict2UR9EtJz1rvWVVBKrPfwaWIrdAWI_lAp453HkoTvRklcfn-1iT-2XzEoEyShwV45WuFyjYSD23B-=w1200|https://lh3.googleusercontent.com/pw/AP1GczNhwrv_SWWqU2yNrH_Btxn-o-bCL6g5cFMBde0O_MfpWjb8zfdE19Kq25cpPmUge5-1XGluk5jLc8ID5jEj71dL47XWM-pzmMfcGdepPVTw6hMPvOyZ=w1200|https://lh3.googleusercontent.com/pw/AP1GczOk6FsLYa2a1gX2CTfaYG7xkv3hT41UAuJSp-Q_bI4Eb__0as8jhx-35wWKeh718NXJek_Bk4v3T41WQEldyManEkxB5S2jYTJq1y5iXJHmZh4bpUNg=w1200|https://lh3.googleusercontent.com/pw/AP1GczPCJFpCs5xp6quBSoKWoJtrHGZY4S6Fc9A8Eu0dLU9YNE6ujcp6XSdkKW91CidpPJ7j2VrbwQlTzA2ApseU6GWwPgtkEeq82k21nbjF-w4iqD-z0tMa=w1200|https://lh3.googleusercontent.com/pw/AP1GczPOgWh-plpmqvj343agewtwRa5qkhB7icTEYh4H1hr8uolbpr_xsSOAv7kW66t__YDLiNjc0Ch2xi3EW2q62OlbO6DmD8liyWcivnn7qtHVLnZkNbjm=w1200|https://lh3.googleusercontent.com/pw/AP1GczOup8uPGdJauqxfNloHvyUB6hGqPLb24B_VxrkrZI5-27mcawVWp8O9eeokcUx8SsujE8JHXlOhRaHpWU26uIvmvKwZ9Whx1YdMyNNHMvnAnB9yEplf=w1200|https://lh3.googleusercontent.com/pw/AP1GczPyHXHN57WOot46nth-MzY8668Jwyrr5XaMPKuO9zE3T4KbpbLIf4gMIYXAy14odKxANKgcaQwIlUJZi2RGlFe6mVH3HZzf0__yuTRrihq4NPxNFHF-=w1200|https://lh3.googleusercontent.com/pw/AP1GczPSp5W4Veu1QmlN025aE4Uz-oH4eeYohUl6tFqAXGVQ8Ez7tsCjTILPceHJ9TNzc6XAPgH_pxHyXc_qRhHc2GozBzihLp081loC_XU5MMes7oPI__bw=w1200|https://lh3.googleusercontent.com/pw/AP1GczOJPGbHANzLYUL3W8dqp_zdoa01QWNI3nesc2ZxAPqTgGATce6qrnRrUIvPw8jnR8pgxvuEVuDYcYn_Y1QsIco-BeHEHVTzENiWM_kDSSMg2yEzhg9D=w1200|https://lh3.googleusercontent.com/pw/AP1GczMmuMHzc-aT7prp9u5dW6QcCmSJbZtzn_r561wki9xFMDz7RW-jN390MQesq4655wRe1dxzSSPzr1kU7awHKxYTvjkw-q_8H8O0OGM8bYph44SI-Ms_=w1200|https://lh3.googleusercontent.com/pw/AP1GczOTCa7DZ3Rr8HUckRLBDFWsByAz2pXCng9hbf8c-xyNAm8yMq3A4RDoR_2mThxn-2w4I8CyMWyFLjuJ_5fV3dnX1_o6lDYFh_bawvOsb5lnT6qntLyF=w1200|https://lh3.googleusercontent.com/pw/AP1GczOK35_9bI2udsMHwP6LSk0IMHRYqa-_J18qghBXD66AnyEZdZPzye9XeGI4WlzxjzT1a_Uz2jb-MyHiBUoUmq6xwA4HdLj5PXbYBDpopMnALQTgT6fT=w1200|https://lh3.googleusercontent.com/pw/AP1GczO1V5t0l6q09CTMIv2Nr_SvyYKQWhzJAqQlm_Eth5pPCEAXs_zmCBAsbI5vbP6U1aSyrY0pd0fYlvpePN6PaWrCrY7KDkdkk77IyNHwCxPs7zlNak23=w1200</t>
  </si>
  <si>
    <t>1381</t>
  </si>
  <si>
    <t>Casa con 3 locales, un apartamento y un aparta estudio en barrio Villa Regina - Oriente</t>
  </si>
  <si>
    <t>https://photos.app.goo.gl/RuCvacpnZu5MVcj99</t>
  </si>
  <si>
    <t>Distribución:  Primer piso cuenta con 3 locales comerciales ideales para negocio, y en el segundo piso dispone de 1 apartamento de 3 alcobas y 1 aparta estudio, lo que la convierte en una opción perfecta para inversionistas que buscan rentabilidad y valorización.</t>
  </si>
  <si>
    <t>Inmueble de dos pisos con alto potencial de ingresos, actualmente generando una renta aproximada de $3.800.000 (2026) mensuales, ubicado en zona estratégica de estrato 3.</t>
  </si>
  <si>
    <t>https://lh3.googleusercontent.com/pw/AP1GczMK6PtQkL49w-h44278uMBv9Z621beJRLob65hvD1WtsjGzUV43mH-8aZC-KZ_iWobVcH1gjL_R5JkbKrcgJ6XEFwqYnpB8S0s2xJN2qYpfmNUOtNpc=w1200|https://lh3.googleusercontent.com/pw/AP1GczN0-WH2WcfMvzz-eswBU1tZ7qfH9rfbfR8fl1WQPVXW5-fq5aa4eFScPsKuYKX7qih4KLLPjcQfmlY0sFVdGWdM0KKtf_q5uwBjPNrq9H3oBCyTm_iV=w1200|https://lh3.googleusercontent.com/pw/AP1GczMvscVap8ZxiGs-hfbVui1vuPg7GNW6VyZsl3RfjVysW0riZGVRoZwnk0yMzeuuzcU_2q5TzQQmc9gBY1UHY-pz7gFNj7KNzY8j1U17oLC2V0kX-b5y=w1200|https://lh3.googleusercontent.com/pw/AP1GczNolimrS9VVHtVkLUOgSMWREHI8O4TxZ-AKMcH_8RiOa-BDoTryLApQr4y2ULLX-Q_o3_U6koqNBlOPzybaZiWZjSqo-g42XbR6u2acSTAaYlKiCiIa=w1200|https://lh3.googleusercontent.com/pw/AP1GczNk1lWyNzqntDR_SY27phb0rM9v_7Cb-vwmfIqa_4aY9ha8-rjJu7fuvn0PrrZJAdBazX2SksbcADlHt9IFVspMEs10B5HGI5RG1lALFAzWID7MC2TG=w1200|https://lh3.googleusercontent.com/pw/AP1GczOPfGePaJCQ_bDr1tnm-KA17KO5O7ushcwXdE9A_lY4PXOoNWMCKHBroJYaD6Y6ar2CEj-BpS_aISzz0WmDwqK8eWrBjyuKiN_4oGflhU6vw07KcZ_k=w1200|https://lh3.googleusercontent.com/pw/AP1GczPOzvChqG1Xz3WN2IEuP7Pe7xSwEOFxtmYR7LmZHbux85Uu8o_ml7R6y4RvS6aKnugStgKGfQJ1a3Dx6nUyojWqncYjT5b-hDNm1QX8sP09VgreAW--=w1200|https://lh3.googleusercontent.com/pw/AP1GczNc7r4Kem4Tlt6f91dNYBNCqh37rvSc1CUO7YiqJChZY1PfRQHakZxAqkc6OPnM-2A7ujMZgbsGB52vj_GAeHhNlYW1qGJvYidpdSfmxA_jCGv78Shw=w1200|https://lh3.googleusercontent.com/pw/AP1GczOmesZV-6udPH63lX_pa-vnPuiq9ZlQRAhhR2LDCQcq0GgwduLmQIl2-ewWnPt2QGCMLsmT-WHZzVf3-ypF_LkHf8g6NuuqVwqphcUxSvVxphGEdSaY=w1200|https://lh3.googleusercontent.com/pw/AP1GczM6Doqh9uFeqxv-pnhxcckRPzHWF3pIJxaKqCmxuUXwgQSzpxEV_1012bVCejFKix8oDHjOWwiN9kSZe72k9hUjgSeHCJX7V99SHuJK16a9bJhG__y5=w1200|https://lh3.googleusercontent.com/pw/AP1GczM29Y0Sj1vZIcGNvY3SX1Me04pilPY4CoaBKHBlPBWZWxyebpwsjujscWxmbArftWTfMssbCtAFVe1pBMkDDaR-jn7TAXqazplhSFmDbgw51VmuwUnL=w1200|https://lh3.googleusercontent.com/pw/AP1GczN9g9hbLT-sNCoT_7LnGEXpVGF9--wKmzDS0RMW572dMHAIqDcAu3mGDxjWaZA_nz5V-tqmKn6uY_ZRYS0yx0P0tg7KzV5n1siWwiiqn7QN3JSvU9CF=w1200</t>
  </si>
  <si>
    <t>1274</t>
  </si>
  <si>
    <t>https://photos.app.goo.gl/eWoiHMc88eBYzJvy9</t>
  </si>
  <si>
    <t>Casa de 253 mts2, 4 habitaciones, 3 baños, sala, comedor, cocina, garaje para 2 carros, patio. Estrato 3.</t>
  </si>
  <si>
    <t>https://lh3.googleusercontent.com/pw/AP1GczMnFZdLdk3JMOtZ_OeYYGUnKsGRR92awuu0-EmqkU5Yh1Wsc5EUXkJWZzxbk5i7JNU8T1my9viKJAv_jIfHgkzINCzFrS8mzYc1wdYHHsllkwoELUpy=w1200|https://lh3.googleusercontent.com/pw/AP1GczPR1oDbclLEh9VKllF3DU5vCAmSS1--Aw7ZCpbo1tmF1seVQTykmGX9D41pGdMKtHjKWIm9I0cgw0QNz8Qj89RiY9e3ZAI1_DX_W7ygJ4WirY6e0uKL=w1200|https://lh3.googleusercontent.com/pw/AP1GczPFyVeUqcfRGjNqaXx6SNx7Kf7LB6zaBBaypcA0IdIfgFY0HCkoQwLvhVUrfPtq7_ZTEXMM0rt0RvRhKYQjE0RBC3w4usUr3hWKNUVCIJ_B_e1aJEwH=w1200|https://lh3.googleusercontent.com/pw/AP1GczPvn7zzrtZeDojYRgu1iPBxDfc94Q2KJ8brHsFXY4MqrgSlBIgZhuz_NRhoasiSdtvlhoKc__pXAkKzl_QMzZOhS1ivCiXGvdZ6_HTpH_x-0IDfoHAI=w1200|https://lh3.googleusercontent.com/pw/AP1GczP59WClC-1D9rqCAqN0KQTT-tOrf2HvoDfS4ztNOeZNK62BeIwpMdtuzom--nVWDGBmvyAG_f_CSVHMitg6H2Da2F08Ntr7rnZrzK1oRL63haQdrsot=w1200|https://lh3.googleusercontent.com/pw/AP1GczPnMMaXOKUAr91c2x42nav_pWNlmoUwwJgSCovVbimEE6giAvaYrYSoLF65AkEhMAzmNKyBKzlhPCjo06CfZahcuiM6mEfyKgPu75c_ziNzq3NgDW_A=w1200|https://lh3.googleusercontent.com/pw/AP1GczOV2S694yvBDy-5b2Z1PZvn7ckFCkKdGdLKqY0fzdqKysCqHEYd96J74vkAB6Xk43qkFxRsVW2gZHbGhjV_ECPZUJYCbMdhncnekWSVX-NG1gQQq_hv=w1200|https://lh3.googleusercontent.com/pw/AP1GczNdn_nP_vtIG4eGa7WeS9Ppd4e6fqnzF-dXhJ8U_Cwbt3oyL3llkpJ9Vc-FVZL155DZXJHM65QyiLdBHvO6a-auVBNU-KpBgrtGgiugincMv-pFHAWv=w1200</t>
  </si>
  <si>
    <t>1300</t>
  </si>
  <si>
    <t>Casa en barrio Santa Lucía - Los Cambulos</t>
  </si>
  <si>
    <t>Santa Lucía</t>
  </si>
  <si>
    <t>https://photos.app.goo.gl/QtC2cYpZZrsJQPW99</t>
  </si>
  <si>
    <t>Área construida: 171.0 m², 4 habitaciones en el segundo piso, 4 baños, Sala, comedor y cocina amplia, Cuarto de servicio y zona de lavado, 1 parqueadero cubierto, Patio interior + terraza exterior ideal para reuniones, Vigilancia privada 24 horas para tu tranquilidad y la de tu familia, Ubicada en esquina, con excelente ventilación e iluminación natural. Barrio Santa Lucía, una zona tranquila, residencial y de fácil acceso. Perfecta tanto para vivienda familiar como para negocio u oficinas gracias a su diseño y visibilidad.</t>
  </si>
  <si>
    <t>Casa equinera bien ubicada, sobre vías amplias, cuenta con buenos acabados.</t>
  </si>
  <si>
    <t>https://lh3.googleusercontent.com/pw/AP1GczMt13ConhVoOo4sYGSKtfz_IWWIvqcVZsbv90gROKPUAyx1oJ3Vwlw97t7DvUv_kKNtfS8sRmUxgdCTWPytF0wozhdRDr17mZfbEV2Y1t3bgJx9Wn1r=w1200|https://lh3.googleusercontent.com/pw/AP1GczOT2GbdM1GhkZZQ9M1jdsngnKLQqsC9WcdEosf3Vtekra2HRV5lpOX1NkD5ZEQSkX9kSWCLgGhfEfrcEUA0m142mhbXppca6X2dLEyqWZPPFy4S-vmx=w1200|https://lh3.googleusercontent.com/pw/AP1GczMs-86sXA-MtlEHhovpyAe4e1h4vZLS4kzlBXZhH9MYUnyLWeOIBc5ir-Vwy4rA_3r-x1SHsoNrAh6UNj-Om7cn4cdE3nUx53_zBSVWUtVdpYMGlL2u=w1200|https://lh3.googleusercontent.com/pw/AP1GczNc-cj7WwBHfj3t5Zx8KZYYBw2dzfOFtqC2SBFrLxAv6LOMwcTTFuYrs3x1KKsYu1p2qFp6FAitX3XaEvkgRAxHp-yeXIH7QAd5zHIMzFDHxTDF1RCW=w1200|https://lh3.googleusercontent.com/pw/AP1GczOoVouV6HNS8BM6s7bo7lQ-ppj3AFta6hgZZ6nKT_qyH14Rmca_OPHwzgkeM4XtrFdrXf8608HvWgW7CghyBX1bpOarJ1YNRcv9z-vL3Przb-3ocNiz=w1200|https://lh3.googleusercontent.com/pw/AP1GczMB80kZJj5TViAOOW31hZAD42PNxWOqRslwi8uvyMMBQfd6NrACs-Fy_VsYcgAy4fxsM9GKeX9cd9cJmHTIKjIJT6BhMkkem4_AfFsdkgcyJIEbrrB0=w1200|https://lh3.googleusercontent.com/pw/AP1GczMCo6cU9zPd8h1lvDcFZV-79WdCpe4mIHWweBhJZfskiHLTZWdFF0MpBwzLd3OXq0XoqJQmyzH0jo1qCzX1VQjRTD5mFlHd3NyhFhtu251XPwy4bEFt=w1200|https://lh3.googleusercontent.com/pw/AP1GczM6VV2lk64D8mb3T_vS1q7RfA-zzj8V-3cC3Neg4jm_qP83DaTr4sZK9FPHmRbj3IdBpwcV3NNbduBMhS4MYLpKUNkgCZ09YNEbYb_zoT3swCjZv-eK=w1200|https://lh3.googleusercontent.com/pw/AP1GczOdgfzDkVr7fgHnMRrPlAjR6DbTCljZyWd1zWq4Hqami9HNyXxHJG-TAz021QFn4wc5CcBgPeT-oGU4gIv_FniPO0zMQbWFBaXheMHbW6WZuJ9rdyYn=w1200|https://lh3.googleusercontent.com/pw/AP1GczMskn5j0nTRhDzg2usCnjNQkpE9MkO9gR-3dzZfzTofRtgs-b18Iunwqyy42E7dtBn9hRpCq2hJU3eFSiXisjWvjmkdnLiAz-Jh0q94r12Ge_oI7oom=w1200|https://lh3.googleusercontent.com/pw/AP1GczPyuWbArI8llo47KmLn4ikTVOhQ7pgtcJFEh__p7uW9IOmEt0_kdGo_gl5WFzV2mcMViAwSSCFteyu0dAgUJ3X-ff-Hp2ueJgYH9nuM-LXIVhpwvniB=w1200|https://lh3.googleusercontent.com/pw/AP1GczNdO-1MTwG1kT5pkQE3j9lkma-2o9cBOxSFsHqp0aUloQ4I62hMgSG7Kci1MylV4UhItR3bBVgU84ewy_UHirZNjUSnQK0fKtTqVCR5EEdtYL89YETa=w1200|https://lh3.googleusercontent.com/pw/AP1GczPqIq8ryjwoAipTWjipemkslSjxn--Jgji5B4Lf1Jvks5RIS82bEAuNsInxIeW-ap40EaxJBRVVmAr45990e-K2-gC6QvKTkhsRaVgXFyptFcNNrxGv=w1200</t>
  </si>
  <si>
    <t>978</t>
  </si>
  <si>
    <t>Casa de 2 apartamentos y un local en barrio Gualanday</t>
  </si>
  <si>
    <t>https://photos.app.goo.gl/WLWanwmGkTNRgeKQA</t>
  </si>
  <si>
    <t>Casa remodelada con buenos acabados, ubicada sobre vía vehicular y sector comercial. Escritura al día.</t>
  </si>
  <si>
    <t>8 - ERNESTO POLANCO, 9 - ALBEIRO TOVAR, 19 - PRUEBA v</t>
  </si>
  <si>
    <t>https://lh3.googleusercontent.com/pw/AP1GczPmpRFv5DkfmiVECAexOKaOzYJHQ1_EhgpW8u2aO1d3WlH-A_WhOi_yFfUtliWzvdvVw-QoUk-6rspkk35zmvjwrpi4-4rTnrsEo9qvF74xXT6EoCtX=w1200|https://lh3.googleusercontent.com/pw/AP1GczPxewC66waQYAQUOLe7S3Nglv1vi0C63bVwMd8mIjR5zqy-3OzXQN8gCuPymue-rwzq3tg_19O6pVLXUTT2gTCaTs6kITh-G07u5-1N-1742oHgEmY_=w1200|https://lh3.googleusercontent.com/pw/AP1GczOtvukeVixldDnkyhjMn-1xTTgO6e1_9Avq3-o2e4u06fuHaQU2Mp6M9WxxsMCXmc5NQ2Nyn8cKlr47QhTCdj9xaP1V8tSgsYtTBNMxtbrxR4BPovel=w1200|https://lh3.googleusercontent.com/pw/AP1GczNA5etm52pooiZXRjOxtTSG4qXgwQY1_xADbHXu-ylKzx-HWkMVjZedfVzKOJrYVlzv5wkPPZFrYbm9FEjLR01jOPviGPiJXmWu8-GvxZNY27OCG6JM=w1200|https://lh3.googleusercontent.com/pw/AP1GczNLossBDTSqikDInf55ldN52zTM3x1KnNHgo4mpPRs5meBpZFK2WqLVMmIuVynswCCw7RrHN-7Dg7nojplIoBa3MvOlmNgH9Jy4Ni_DnmDGI9FSHdx5=w1200|https://lh3.googleusercontent.com/pw/AP1GczMUzLg_SlZxP8TXwj5Jiv1H6PpaFkpqTDzT98ykDBKaK83y6FsE6Vzmv_agmZxiZRTsfcK9BSxEnk12jEzqzPqX1Hodu4TXTcf9Y6IQBZahuVwtmRlC=w1200|https://lh3.googleusercontent.com/pw/AP1GczMjG1RDoPCm8FE0yIbC5b1mpZkUwEIvP1axAn3_HCVMoC2MUpOG3KYl_yEK-6-WxrLo3JIad9BJRB-cLkoSmiMzX2lQwCkLKjc__TTywj47nk1qvxV6=w1200|https://lh3.googleusercontent.com/pw/AP1GczPNF4Om3T_vK7_1w_1K-ZDCiW6IwzcYXwHbRiZUVvwl3u5Wu5KNbOVVmt2TffzQ8dibjZh-AHqtmVWNeu-dP3-h3U202D-ABjBC7eCkQjrKFKusNLTc=w1200|https://lh3.googleusercontent.com/pw/AP1GczMpBmlmvtMtQvbAtxmYzrg5X8pIxbMWCmsZlSGVY947ywZN1lJr72K526vo5bsoUov0JdEYgCdku190F5ZZir58WVgVat-_HqK4CGhg9g-A2pFeuk6e=w1200|https://lh3.googleusercontent.com/pw/AP1GczNw0wmd7HT95367QMU9MRJskc7uYEIqS3ZLEJx3940K0kqSMgfmrJFohA-tFqls2_eDGfhSX5uANGE_Nzzf-wv2RVepxLc_Yaqm7xCrKJG-j1eDKZUA=w1200|https://lh3.googleusercontent.com/pw/AP1GczPU1aUIaWZwdN2sMO5J02ccLZbUFTHH2LemHairlHROG71Bv_TCCCXBNAwDltgMo3RIhz33zgjXk5wpEb7-P9BSdqurhgw2DlpnBE0GxUZ7L-g9ezFj=w1200|https://lh3.googleusercontent.com/pw/AP1GczMrEP3rwoEcpH185U5LkeNCur9pFHOt5Jbu4hRI0ygzp0nYcVQA_anS8Pf-FjnE049heR5r_HHoFeY6X70AgjHq5vRyA5MSV5xv3zTjnI7_6L26Svn2=w1200</t>
  </si>
  <si>
    <t>1294</t>
  </si>
  <si>
    <t>Casa en barrio El Centro</t>
  </si>
  <si>
    <t>El Centro</t>
  </si>
  <si>
    <t>https://photos.app.goo.gl/mEcLAecYoWVLnmwy6</t>
  </si>
  <si>
    <t>Casa de una planta en sector comercial centro, 4 alcobas, baño auxiliar, sala comedora patio, zona de lavandería. Piso en baldosa, cielo raso en machihembre, baño remodelado con división en vidrio templado y mueble, cuenta con patio.</t>
  </si>
  <si>
    <t>Casa ubicada en sector comercial.</t>
  </si>
  <si>
    <t>https://lh3.googleusercontent.com/pw/AP1GczOQYFTBF0ceNlb-W1kiXAEwjetU03YghOTWs4OrIu7esgBVGmbWygtIXjPJqCz6mgtjvxA_udfMMDvt5xx-VpiDMv5xHNQgg1KO9vjhnXouUR-p0LRJ=w1200|https://lh3.googleusercontent.com/pw/AP1GczMvDpDLW5Ah53zEeDO4UCOsztkI3-Yj2FbGpRcRA3dppqG2PRhD9x3BeueHc-EOeqzt6QLY3eiQpEvihtPX-OqLhirT4KwavogNynOGaJHSrn1lOJLO=w1200|https://lh3.googleusercontent.com/pw/AP1GczPT7QUHuoYsYNGvL5nzII_Dl-pmf5BtXK0tIN0iW8I8HmOPSdU-tiM6koRKUIvQiuxoJj_uLeXghVJm_9hGpdiJiMU59KVvLeTgZq47ecVQthiXVmK1=w1200|https://lh3.googleusercontent.com/pw/AP1GczMmiOhkzjAVVDVLy2FobbDqRMydVwt2BrSyh1N5829vsRVDelz5X_AOpyzx0PoxZ64GN_wWZkFOwA2X0YekeWUwVx3-W7LB_M79oRJEyxZHdJIqr4z6=w1200|https://lh3.googleusercontent.com/pw/AP1GczMH_HUxoM5BCZ58bpA4f6-mi63OSL4q18iwopjpdlF4GcM3so2fPZG5eFjSAGpnNSOTNXz-A8d2qUb9eTz0NaJYQYWv9qU4BWrxM4j2ncl30QkG4mRs=w1200|https://lh3.googleusercontent.com/pw/AP1GczPPeAaGMFCepbA5qChjfM7azY8yIPQIQVRFqdLyqEM_hhWdvhkoWwtYT2zCCEL7IHZHk9MIOXj8y3UXSv6ONgaWG8ie0Bjtw5AHIPwMxPf2w_7MQGBm=w1200|https://lh3.googleusercontent.com/pw/AP1GczPgPuODAjm6dTXn96v_E2zaL3aWSV0LpMY9v0VmgrCNIxq9nesM1N835SmSgIwrVqloXXlj6CF5JxWkGJOL8w-Qk-5EmzBI_zzwJ8WbkG-sjbsp-WxJ=w1200|https://lh3.googleusercontent.com/pw/AP1GczO7RCcyimWp8_dGsIIOgDKtyFKZ8onos1Brjh82aq_cIk3g1cUaMRsk_YL5zRfgtpzju69vCNWyREtvtbTEOcchQnqHDwJHLsnyg8yU_NRBW9Ivlq6M=w1200|https://lh3.googleusercontent.com/pw/AP1GczO_1Yq-sryvR1n1Lmlmp-9kjFQo7DE8OF_wO8W4Ct3vmgW5_FAeG75f5w4A1HT5QU1_3bB_Pw7wCY_KhnzrKN0OnIfRNeF-3gm4vi7KNkeyAT14G7F2=w1200</t>
  </si>
  <si>
    <t>1258</t>
  </si>
  <si>
    <t>https://photos.app.goo.gl/V74K3sZVNmBT32Tq6</t>
  </si>
  <si>
    <t>Sala comedor, cocina integral zona de lavandería 3 alcobas todas con aire acondicionado, la principal con closet de pared a pared y baño privado, parqueadero privado y un deposito. Valor administración $450.000 – (2025).  Vigilancia privada las 24 horas, jacuzzi, gimnasio, salón social.</t>
  </si>
  <si>
    <t>Buenos acabados y depósito.</t>
  </si>
  <si>
    <t>https://lh3.googleusercontent.com/pw/AP1GczOypi9-4SBW9E9cYjfiz6ii_oyzQEUJlTRPx7sl1cNwCGXVie7GM8w7FSabrWXBGKxP8W01iy4t1QNrOLOkx99_s95SBKstExOj9nUq_GfeW4XbfjpG=w1200|https://lh3.googleusercontent.com/pw/AP1GczNrdanYiryH-V9_WL3jdeKjP7rENLSkMFMGHEHEOzqyLU1qD9mkZCLTGcPnxc1kKniAgPkFj0lf7kVsC-iIx4Z6xv84qwpfavKewOhPm-xznU1DmqIU=w1200|https://lh3.googleusercontent.com/pw/AP1GczO1l8Op7UEuXHyB_o_HW5XJtgKcsRYqrSe2lSvwoAxJNbNOuuCdY4PkU63_nfHhVqPrm6fsjsV8xQbXZBJQIp4YGK0UX84ak8UYjbiO4qn43qkg6zhC=w1200|https://lh3.googleusercontent.com/pw/AP1GczNIENbt8MwaEhDhjJB_rUrRTF3TD-NQDXqduFKCv97fsEcDuWHg_cEUu8GHNB928Bq3ifqdZW26zgiIfuO4zpZzWjQ2HkJY4Rws0FQRw6QHw44bNdsl=w1200|https://lh3.googleusercontent.com/pw/AP1GczPJot_j5xYu3DBtfnvhDNBxzUI5sn0GZkl8m1DFq_0DxV7bibgazZvwkBOgapv563tto8341Q2U6zzSvzFQ_oNK0vVKKnOgCAFnqz63GpvVQw6HEXTZ=w1200|https://lh3.googleusercontent.com/pw/AP1GczOzhtsQ4Wc_ud1m1vu9VHJyAdVldEPFIREmT_ChdkqXpHXGIv6SJJcVlWsBOJm7GHxqIhopCAB1gIJUGQaYYlKKpPzblO7hlN52itKgfK4ySnRbBSGW=w1200|https://lh3.googleusercontent.com/pw/AP1GczMp6GB43JOYF00tTEJD5WYaB1Auz8jkNdMShNwbpnAbmAPb-mQQfk7Xz3vXCk4PtbhicgKSeH3YVdILGqrFcBtKJUZLkRbUxB7On_IgB1hXVkmx6Hy_=w1200|https://lh3.googleusercontent.com/pw/AP1GczNvWdoNr0sTfStcRRDuAUKiwUaUpFutEfqQkOgNJ4ZnmjqN9V_ubrjLndoWEteQ4Xw2hhCT6cOSezcImdYeYI7bm9jfCzwq5L23IPRT3f_Bc3v8njli=w1200|https://lh3.googleusercontent.com/pw/AP1GczNOqt1z5eXmS7xg0ijCzPvNYk9aDEf1R4nEGxOzmv3YYbmOGEud9efVpAdOU7O118LAklVImMfDoq6TNY6M_2HNiEmVluseKhkDdvfdM7OT9Ah5WUYn=w1200|https://lh3.googleusercontent.com/pw/AP1GczPscp-bCNru6zSOnqb3cl2FZukxfghYHNX-wu1rC6ReNC3rxKyTIYQIjOeYm8lu2S7BjFr8oB4GYba_27b1krEqmPIKsLy1praxOhgA13SeJYgJjZeA=w1200|https://lh3.googleusercontent.com/pw/AP1GczMiSdFa4WpOjIHm3hh7xyoWEKrnLACS-3JbXxrlhbbqvPGTjxI3-IpEvs28hHO2vIRk9OhVjiK196YflYCoTWF-9rwPXoqUsKHj-WKl2HstecHRPOs3=w1200|https://lh3.googleusercontent.com/pw/AP1GczNe1PKRmTbmyaUI6E2ctXS12J7yM7Pzxfr_j2WYJz_XqWi43B3itxcwOEsSf-TnlyeqkWm0AyNG1Qkq15542vG8gKLnbiMvWnfCa-VVIEqIN8SSt9L9=w1200</t>
  </si>
  <si>
    <t>1168</t>
  </si>
  <si>
    <t>https://photos.app.goo.gl/JhvqXFWdUTdMnoAW7</t>
  </si>
  <si>
    <t>Casa campestre en venta en Rivera Huila, completamente remodelada con acabados de calidad. Propiedad de 4 habitaciones y 2 baños sobre un lote de 600 m² con amplias zonas verdes y zona BBQ, ideal para descanso y recreación familiar. Rivera es uno de los municipios de mayor valorización en el Huila por su clima, cercanía a Neiva y creciente demanda turística. Una inversión segura en finca raíz en el Huila con escritura al día y excelente estado.</t>
  </si>
  <si>
    <t>Casa campestre remodelada en Rivera, Huila. Amplios jardines, zona BBQ, buenos acabados. Lote de 600 m², área construida 210 m². Escritura al día. A minutos de Neiva por vía principal.</t>
  </si>
  <si>
    <t>VDA. EL SALADO - RIVERA</t>
  </si>
  <si>
    <t>https://lh3.googleusercontent.com/pw/AP1GczPH5c7knJLSyJujwufHSnIZ_OKL41gtzT1WicHR6Ui5Q_nRTE-WDl6ta40YojuX1klYio4FaWqOS5XNpgs0Rt0dHCBPh7nNKYZg_owKsfMuu89Lrimr=w1200|https://lh3.googleusercontent.com/pw/AP1GczMxBpXMOQjp0Ars8Jbg_IUZ0jwKkb2_wHmk7-l0NGjpCIiWUoHZYmhzvO2y0YLpdYhhNgoCXvqKibZSa-NO7YaH2amNhyvCcY8HdCwTWLN0882igWq2=w1200|https://lh3.googleusercontent.com/pw/AP1GczO_n8LLk5ATzM-r2uvPhyYq_CCGC81sGJbzulRiu8nLrvqSUd1UeGF6jWrbvo5SPnnFZPzFZKIN85P3k4Sx8IFEeIqYgsgaYSjXWLW0NVydJf7UK5tl=w1200|https://lh3.googleusercontent.com/pw/AP1GczMz7qkL8StY9GTlrhRgxrJhlx8rO7mReugWf7sQkwVaugv7l2QsCisrL1WnqMPghWPN7GxXg50cWRvU-lSzgay0XXnnXPVYhzvEMjvQZjSmzMsiYtdp=w1200|https://lh3.googleusercontent.com/pw/AP1GczNJIjPH_NRzxxz5CUh3NtcjolGDHvY6gbL5K1XCtv6S2ia7wBT8uWvD5nAft7iHKSTYTOdHKQ00XcR4QOdSWKEIFbq4ju6SI-R8bWbMi1AeoisZSAho=w1200|https://lh3.googleusercontent.com/pw/AP1GczPLRU-zqzv_M2DbJaw-Jjb8wtarj4aHNyXBJv9y09KLadyw55aOiDRqY5fT2MR5nZ9DlXqhARbWE6oKUMDBY-VfEwcjtsriVzLDTBUH3YWTeSOFKXvk=w1200|https://lh3.googleusercontent.com/pw/AP1GczOEBBkx-3t9FVCkxdxBB6hf2guyp6q-dMDCDBcjWVWp_BORATV-jc0WYDA33RUea6b48QjRpjYEdhnO6GjY9NT0szJ-nhdKf2jH_YPvAvNvufuUjhdk=w1200|https://lh3.googleusercontent.com/pw/AP1GczOUGaamDiVs5ZbsO4RS_hwqqYXJn2hjBueIovHJQKBZEULuazkaHpMgLCw2-_Fwf843CrxZw7y7w8tHlJTjtdzvh_bWstqqt1rQ3i6GksEe4XYp2JHk=w1200|https://lh3.googleusercontent.com/pw/AP1GczPA7omtdjNB5-WHolxv17ONY3x2IWZCZjNYKCBJnyypHr9v9NKYApfioP-tO4SNBnbvygJU4hWObBiHmYJ_nVRqjzD5WEF9pojjoSwQeotofUuD5RNZ=w1200|https://lh3.googleusercontent.com/pw/AP1GczNC9IcSaOYgAwW9AN1YalYaVTgBmfWmZ2HbdordykSKCGnnlcQGsGiM3je7SGw8hGsOX9cCEokY0F_2e1S2afGQVI6yy1ootgDvrjl6IXK_jAV64WBE=w1200|https://lh3.googleusercontent.com/pw/AP1GczM5-wrCim3M0fhvTF5X-vmipMpyvmD-inHxTOVGB1FuCtgbZpIyYJPbPOSM9XDmcenTPhdSY4ItfDQ-WUBcoaJ2J65U71hTBnlBrV6x7x2Fp_gSFSZ_=w1200</t>
  </si>
  <si>
    <t>1260</t>
  </si>
  <si>
    <t>https://photos.app.goo.gl/MPa4btevbfPaadLr6</t>
  </si>
  <si>
    <t>Primer piso: antejardín, sala, comedor, cocina, estudio, 1 wc, 2 patios internos y zona de ropas. 2 piso: Hall, tres alcobas, 2 baños.</t>
  </si>
  <si>
    <t xml:space="preserve">Buena ubicación y acabados. </t>
  </si>
  <si>
    <t>https://lh3.googleusercontent.com/pw/AP1GczPV88jAZUDShNH7QtkVVEi2yw1dfNkVYKCE7P_xOzTYOyZGfxAx8pTbkpVoKRZbXwa62aPEQN2c6M_0rulMbGi5J8_EyIOGZJ9D0tq_OJy0NT9JzaB5=w1200|https://lh3.googleusercontent.com/pw/AP1GczNqa5l44NGVzWD9oh__KeM7fBmP-_IuWBtWGgI2YIZ4TNnNrQeHYegDk6--1J0XZggZlCO59W2Uu1DeUG9BYBhtkKNJuuw4FggdVuzVdlTGvfxjr2hi=w1200|https://lh3.googleusercontent.com/pw/AP1GczNBRN6XCN8XMstE-cWcJXDg8rgYCjNYKSBb-F7Q4cIoswMcrjCKvwB8N6s1Gsnf3VVaXD2nRUkJAKivaXI5Mn_ngTZleAynfNxAJKC7CgXZoK9OfKuw=w1200|https://lh3.googleusercontent.com/pw/AP1GczNqI61v4jBRVCT4oXsgWmzqMowpWRpPeH_gAJtmYZWItBgfVqETqlzfPJ5KG-0CkRQpy1wRCg4qSsqXHyT59HiNhQzlY62FJLxn8MXDIqZpRPV5Kni6=w1200|https://lh3.googleusercontent.com/pw/AP1GczPamq52KTKFGeCJqxirWxQTkZj17tADEe1kLrK-QsSy9MJu8ou9z2l1fhPwCMfiGK_KnxNakjOgjuNRTx8Su5jxyA_TF9z7Y8aZeio3nosnZP9jUe_r=w1200|https://lh3.googleusercontent.com/pw/AP1GczOcw5Ud-Kprt9Tem2wKAmQvaG85IgotDu_NGTjeBG2hs_H8gEmlVpvOVmQ3vTZXDsAQl6eN9daTY1dP11edfEqvHzUOXLLdWNH6IDwcYk2t2Q_9KiWu=w1200|https://lh3.googleusercontent.com/pw/AP1GczN50q3hhBj6S38zsQvtbZKd2uMa1T_warANZEs_L_Qd9rFUahthOzSPK4SKtLsqnOkDcO9yESyzYadkDEcru9Nh7uoCqqCbwSmztE9MvzFVgiDab_iN=w1200|https://lh3.googleusercontent.com/pw/AP1GczNDIfJkI9BfhkJfm1x_QIWK1mjY2z7HykCJjd-h65v_fFl98ah29hLHjIIhMOXO0GkZMZMzr_979WFn5QJURodhl3GELlVjV_HSlZwv2OCbCiHvQNp7=w1200|https://lh3.googleusercontent.com/pw/AP1GczNDjVM66dNYOIsIoamiAd4nTtpFPa_GSujBG_ey74P1lqwf2vTrzZQP7v-X9OA7vM53-FKCZKzNhPMsEw2_c4ANI6jHdMOJYjkoi5lQiw19LYpF_Ahj=w1200|https://lh3.googleusercontent.com/pw/AP1GczOczVTt4XS7sro4CpWzdYw-LJvDEav42BDUn0r7KoX6mMosbvBiFXTTorrmfYh2r65MYE7MjHm8OcfU3HIBzIl-6NyhPRQ3inFBKmbWxlZ-VKZbPzeN=w1200|https://lh3.googleusercontent.com/pw/AP1GczNfUngzRpLOgBEu6OfDAeG4-1-cqg0CFWK-XjxdOeAGefymiJ2UBHrydrmz7i6Od6HL6S2wWiUqlrtnaMhl9JJDLP1WEf4ItrntUnOtJUHoJcltU58S=w1200|https://lh3.googleusercontent.com/pw/AP1GczOblRx2POuRjXwg2MHhYViVd3mcDouat6LoKuD7pVbEZguwt9zVzj2v1yQxvQx5KNd65qrEIw3qXt_16rSV1e8qI5dEA7kqy56Fxvb4GZLjoD2xVqqz=w1200|https://lh3.googleusercontent.com/pw/AP1GczPZPilwFTymwOv5xJ9VBnnmu4-KXhP2l0IqfKPHinPsSmN8Wr3TiO5RFAt4sxEApz2uRCkSav9TfdhcITSxqqtwd7Y9IQQ978xWuKp-KWCLjc_jMkYw=w1200</t>
  </si>
  <si>
    <t>205</t>
  </si>
  <si>
    <t>Apartamento en edificio Aranjuez</t>
  </si>
  <si>
    <t>Edificio Aranjuez</t>
  </si>
  <si>
    <t>https://photos.app.goo.gl/PJiDDxt3uRVzmRit9</t>
  </si>
  <si>
    <t>Apartamento con buenos acabados, piso en porcelanato, cielo raso en DriWall, carpintería marcos, puertas, closet y muebles empotrados en madera. Vidrio templado, hierro forjado y molduras en yeso.</t>
  </si>
  <si>
    <t>Apartamento, bien ubicado sobre la Avenida la toma, cerca del Sena, supermercados Olímpica y Popular; clínicas medilaser y Uros, carrera 7. Escritura al día.</t>
  </si>
  <si>
    <t>https://lh3.googleusercontent.com/pw/AP1GczNa4VVqjSG5arCPbsnx_dPiHOxMPesVufmK8RT2G5Q2ftYnkyjrdNM-Ny3wOpHB84hKT_NCyP-zpFJE85d1WGYnLe620UyL7JxhAEZv5Gq0YtVB9x9Y=w1200|https://lh3.googleusercontent.com/pw/AP1GczMrvGzKgvxyDPEvMgaolezKvOALdcSV_VzlcGb0c9qqBsc3L4PQWDL0PJDMtFH8-rdldwc5lEur-wayP7K4CmrcZpPbTy3oNGqhU0etw5p9CRAoHM7X=w1200|https://lh3.googleusercontent.com/pw/AP1GczPZOXT-ojHZjfpDHU8JxazAP5flA_g5fsUEKhYIJe5NScA7Dp-_LDDpnPZrSetRQC35npp0WVA_phfwnEzaa2YcptE96-jihtaGUaestIWaM8pwqm7Z=w1200|https://lh3.googleusercontent.com/pw/AP1GczMZcvAiLSZ_VRD44Fso3O5hioC5a7BulZgVJaawIMGyQKb53XWuWQpVvbSTFh8RHQKE12sJZisy7M6gXMxrg3jJh2PLZgSx_P2k8sJ7qgUU4KL_ov3o=w1200|https://lh3.googleusercontent.com/pw/AP1GczOfyTN8WaT9kQuGU8qP4hRd4cMH1RmVvYCFXd47AGvf3yHEud7rECO9fi0r0LnJvSIu8NBmMEYCQo0pAoLo3rj_BDjTgm71j6QUhwRzxBShvRe8AhRy=w1200|https://lh3.googleusercontent.com/pw/AP1GczNsbpcRGAlsbenUpgMO1uJyYVmQnJk4XQO_yGAczQZRxFtUtV3AgjhsfckptqYORo3boqE3C58TO87XcLmFeJkHe1ubPZ--HSxtbKJ-FvyNRiQDcnyZ=w1200|https://lh3.googleusercontent.com/pw/AP1GczPRa524UX-_m74XA9Sd4VK3QnTb4BHesaS2-KMJu6YfkQd1F-ZCCcW5UM9GidRaRBZ3PQmRIFdSq0XeCtLAHd0Z5jkMIua1z3czdx-bgXKZEmJ9eBtz=w1200|https://lh3.googleusercontent.com/pw/AP1GczMawAUziTDudGXC7jbcXuO8Rgroy-zlTZ398d65xz3Dvw8RtY-FhmF0M7kfskBTK6ktZucwc4gNaamt1QHbFtrU3RccqNi5n5cWvkanRzRWxVJy-_T9=w1200|https://lh3.googleusercontent.com/pw/AP1GczOmvYJ9z_u82EK0trvRal5TFgNYU4rQlHlIL4YVFvpvqHROag4Y9CFFpZyN9TsDdPDf0X8URX1r6lxLTdHF5az3ZTz6zIS5MWqL_Wi53tW4ftcvUTC9=w1200|https://lh3.googleusercontent.com/pw/AP1GczMiIVO_OGA8tcgqLV_C80sZzRJ6vaSYpoWL6IscxEByBvHxSagn5zQRwbMaC1gpyu2ZeJjt0QT0O0IGAzMdnZqVQN2ifKei3PuhmOgihPZ3omf_0VFG=w1200|https://lh3.googleusercontent.com/pw/AP1GczO7kJi5NO0C_wpa5VxDwqrRI0rLH6EZP4rwCG94iB3_at3VXyMlJmYopA_uZRRsgsHIGGQpSvumLHsGKkcGU00SzqB4Kmda4VlDPdzUJFW5iIQM5C_N=w1200|https://lh3.googleusercontent.com/pw/AP1GczPjpvoqJr2TfDIiPq13BOZHh3N-Ea-jGHMzTQeqV6tRk1DRf1V4s2QQ387GyWEtJbCuHTCS7saOO1GLVQnZflCgQtW0XWpSoFEdsnNfeMjbNi8MnjaL=w1200|https://lh3.googleusercontent.com/pw/AP1GczNUebs7qOB1-Uf80LoYo678DRJYxxy9S89ut0Prx2-9BeraXOpX-xHIyWu4ruWkfH9sVD7caT7-MUHDsWlHgPh4p7Bx759k2g20BQezNKrmqunJ01RK=w1200|https://lh3.googleusercontent.com/pw/AP1GczMIHZdZILJ-CIvGRytMDyZGXCCvxemgpQWq8u00an84zr0uRU0x--paqoyvpU-06nZbyldyJIdahyXxA0gFZql4oRWHESEweP6KoZfdTPEuRaVIQd_I=w1200|https://lh3.googleusercontent.com/pw/AP1GczPUbRssDa5p5Cx5CFX9eFQzTheeL2CNjYer5gvH6f5shx9PVf6DvauIp2R6bQktvzWCG_yOVU07OMXtFhO9Pi859Mis7ERkf9C2pjHf5he9Gm-ER9J7=w1200|https://lh3.googleusercontent.com/pw/AP1GczMiNwoz7AQJ0M-vU6MQk6x4bKkyBy0KlhflMgfxNgxGkuuUCQ811srXwo3-kqmI5OenKMTpbcDZzbEb81a13EdNbgdYN_T--1sJlVD5gXL0W73Y9fYo=w1200|https://lh3.googleusercontent.com/pw/AP1GczMrHxPRMJnaABfy3cPE5PXAimD5HxK6XMYPpHgofgBRqoXGyI45VHByMjEx7odGn8gsF7ckg-bogiKo2yzgSQR6QhFoJ1L34eC72bnpmWbIEiAdSMbJ=w1200|https://lh3.googleusercontent.com/pw/AP1GczOlw42zs34_wIDJ8rb26d2jySKFGke58ezc4EPXX5rzpBWGX3U4ypkh3oc176KPuqajz5oTDEwvrZZ0MagA3VBvPm4a8m4ElY8Y_h7iRYLMSkpQ3eOJ=w1200|https://lh3.googleusercontent.com/pw/AP1GczOMa58RxaMRJzGPZu7Owssvk-G_yf7e35iV2DyzPBxcrfh7Pv9JWEKXzvxpCVmSGG8pc6En4MwDZ0G-5ydZ2CONb19wWo5bt2lspeMxy2JpPJkgs7KX=w1200|https://lh3.googleusercontent.com/pw/AP1GczP0mZBo3ANt3hgDJ-OeW_DnZCaLhd9Jy169-FqCZ3KmwoH9QIMxqE3f_QUcBWNgMn1LEhayaRp8PpPZwFe8g34zs0L2wDGUj733Ou3rJXF5jZ2mvukS=w1200|https://lh3.googleusercontent.com/pw/AP1GczPATPytUQtqgy3-EkzDTVkWym5uB-U5XGJHelIgRTywlnVB4lr_YiMQWaruVW5gRw8UfBlyHRDLsg56sMWu47zum99WCX-kk0hFM343rwC9JKa30qBX=w1200|https://lh3.googleusercontent.com/pw/AP1GczP5DPYTDB0BDNNrn5VxO7pak4hS_CDllalv9yyPsOGCRaKjOt-rnSXw1ltDWfAqYgoxgUngwiyveWjgt_aMsiOjHXj5mAKCOse9JIOUJXHXOmmsdw-l=w1200|https://lh3.googleusercontent.com/pw/AP1GczN5n279-3Tq5HzI3wqivNBHyhETTA7NsL41cKFBeezBlfuvRsPK6HPwA12B2kAvppoby-K65QaIctthp2aggYLKETkcywbHsmu81Idy341UEXRwmu2L=w1200|https://lh3.googleusercontent.com/pw/AP1GczO27tFn-m3nhLjKSlSFTq92jcCb6ynVm3hVKJrvIsP9fOxloW6JjSJEMot43Uxj3tp3ySLYorwKIUBcfvsYaCUHgYGe--MDxvyecelOeT-eCvI37Y40=w1200|https://lh3.googleusercontent.com/pw/AP1GczNNex9hu5ESh-OTEAed3tdDM4uVclH8_6QGreb0CXNg69PuERVGyKmi2XL-oqLx6J9T6C9rXF4pXjWrNOmYicHe8gtLCJIyQkdtTKgZzc_f3QzvS2Og=w1200|https://lh3.googleusercontent.com/pw/AP1GczPhAueR9UCZvUiX0Tv4WHUpHcMGD_8s6HPjf5pjE--Ka_Za7egVpNCl-ij4miesQMHnEpTErtG4ZIF6OUD52ss9neeptijkm77b7eRo3S5DUJGiTNTy=w1200|https://lh3.googleusercontent.com/pw/AP1GczOT7pVyCDp1kNGgH-5RE6UU5T4bAIQ_b5T-ORU-j5hatTp_kskC260MbMuh-hEt1jfk9ZgaK9NoeRq6TWhEZPFt2_0WMAze06vbQZ_HfJJ1p1Lo9LqA=w1200|https://lh3.googleusercontent.com/pw/AP1GczOSl6uOU1XpDaayRWwfiL-qB_z67JBo7chA98dMRHBscf3mcIRLKJOFUq-045UxyDC35wtKne9qOEKBHwraKYEj8syV2mC86BnPp-Q9GivtRny9E3MF=w1200|https://lh3.googleusercontent.com/pw/AP1GczNsWEWBxbeVhWFIDI_8IfShxc_KlfFD77Pgq-Kbbb9LHMf7zD7ISTAHXjmjJ-uvsv724TPONggGhstuYg4g5F0QzL3GKRqoRqwFjX9HQJwb_6Z6AHaf=w1200|https://lh3.googleusercontent.com/pw/AP1GczOU7T2hHDQATHFgbVt9fEjOUP2vjUSk1VZW1TXcBLzGo0odfACzayT1NK3rzUL_jaJKLp-500dzQjtS8NnoK-Kf_nTJ7Qr5tfGQykoMrejq2i6xs40n=w1200|https://lh3.googleusercontent.com/pw/AP1GczP4YZWkFjZ3PSw-MUpxw3ET02pJx_l1fF7rlKc47xxXSjNcKi622e8LLBn2zGSw3S-WhlAPAaEoJh8qOrUv-4EG92qTBjZSDgAihx7cpNfvYF0zaZHd=w1200|https://lh3.googleusercontent.com/pw/AP1GczMR0qy086shUeE-ccVG8YFGxQzmwO8lm3b29zzMb9F-lt1Utu64slp2FKkmbVdgGyLWv_smt9tkMGvfGyaK-oKsnAfPh3equPC-s4F0njnDfw8PPk9z=w1200|https://lh3.googleusercontent.com/pw/AP1GczPMrP1ZXKLzXQ1VIw-8SPpHaX62SAUrEh3OJW8YusyBPGVPDDdlal_E_UnfyNb02L9Z7jIZvxOLnBXB-KWr-dfzHlV-HGeyThR1iqTJ5yqZ3d5pNyvA=w1200|https://lh3.googleusercontent.com/pw/AP1GczOOPXk7aN8bJcGffctdmejwkapzAshQ871pfU35nSVro2hGgJirJChqq1EPgV9eDddmsNI0PTWUGZ5bHdvL35j13dJDKXQwbRm_8ACfFHISMupi1mNe=w1200</t>
  </si>
  <si>
    <t>1352</t>
  </si>
  <si>
    <t>Apartamento en conjunto Bosques de Santa ana - Oriente</t>
  </si>
  <si>
    <t>https://photos.app.goo.gl/ysWMgThXbNGE6WoD6</t>
  </si>
  <si>
    <t>Apartamento en Bosques de Santa Ana, Neiva: Distribución: sala y comedor independientes con excelente iluminación que conectan a un balcón fresco con malla de seguridad, habitación principal tipo suite con amplio Vestier y mueble empotrado, dos habitaciones auxiliares cómodas con closets, además de estudio independiente ideal para home office, cocina integral, patio de ropas, depósito y 3 aires acondicionados incluidos.</t>
  </si>
  <si>
    <t>Disfruta de una completa vida en comunidad tipo club house con escuelas de fútbol, natación, patinaje y tenis, así como clases de zumba e hidroterapia para el adulto mayor, piso cerca de los colegios más reconocidos de la ciudad, con parqueadero privado y seguridad 24 horas; precio de oportunidad, invierte en el futuro de tu familia hoy mismo.</t>
  </si>
  <si>
    <t>https://lh3.googleusercontent.com/pw/AP1GczP9keRKYOEnc2Yw065tHyefgv0FGklLK3uv7fpksZYtxTc89T9TM9Npo9evd8DEmoPx8ZksbLUDAIGJ57pG2kAeb2sW1rEhVdRSVDPY4MBhcXZN628u=w1200|https://lh3.googleusercontent.com/pw/AP1GczOLoqrpAjLtV0_12oFH2XVd97kb7xFL7MpvjOk6C-sYW-29LWW8HYWhowaBcwV-aOVR2c3dtQ3X37fB-Zb7t8uBi4UwXTon8L3Zrm7dkmZpikBZIPcl=w1200|https://lh3.googleusercontent.com/pw/AP1GczMXJp-7nUA22fYdgYa3xa35bXN96UQRtpUWlTulcxSX-b9HcmN0PFsmL4hXFBN-rKu8c4m6KFKB4ngf2x8zS6JL9SKFpqhqXIPpHgZHUJpGLrPJxJ4p=w1200|https://lh3.googleusercontent.com/pw/AP1GczNFRvPjhPS3yCiYAH_dO_iIlJtfHr5DnwhWorhB7DntnCv4bpx7sycEUI8lXxKqo9Ajh6NaDZlTbuF2AA-Dp60C9JmHzmCDb6bbcluoh41Dsa68I_sr=w1200|https://lh3.googleusercontent.com/pw/AP1GczPLA6lTrbwXYMkZQOt8-h3ibNhS8HbquwCD23FUN6TJFERwep4AukS163bSy_4RKPJlmr7WZMGGAihrMgWE2ZJFJAmwB5J7UFtET6Cqn5erJc4fkMVz=w1200|https://lh3.googleusercontent.com/pw/AP1GczNACVGJfDP1w8-AA_bpXGD9p-MgDyOt-8aULQ70P_fJ7Xlf62v6u8uyS23xkhnAA6jyv6IWUOsrnXR7L_cH3JQ1IPl0Gddt1UT2eSdXnwDseWzPtWnb=w1200|https://lh3.googleusercontent.com/pw/AP1GczN-APgws3jrX8CV32bS2tK6T0fHe1OsEspLLhXVWXW3AQkIduN2a6r-NYG3I8726Hg-MfFNFR3X6rgclc5lwEjwjAh9HL6ZnK_FiZ9kIEGJMAAZDpUa=w1200|https://lh3.googleusercontent.com/pw/AP1GczMIiZCzP_h7glw6Bd6rVy1AMQ7Emel-nJuip9yN3TUGMgAtdaROBMrKbJ0qZqEqu1YYOf-u87jGXFlWXyYFzGrCslYfR0t12T3Ca7_qgm0-wNt670PA=w1200|https://lh3.googleusercontent.com/pw/AP1GczPdvag-Va9sucMCFBgpwdwa4HUI1RVPxH85agiWA0ma1NdV4rp8dzgreTkAlC7xozs8gKrlS3_3Q8592d-38PThNssENh9ezTne8IGSUwUsBfV3195V=w1200|https://lh3.googleusercontent.com/pw/AP1GczOdQ6rlBuzrYCjcb1pcsYxrs6rumiLCAz7ziaprS5LUOfgX4nAL2pQ6L2CBgL27Jhr5P-8VOMaNhWvULSWZHPUusbnLrsvoNkU-Z_zN77hgmhQlm7Pf=w1200|https://lh3.googleusercontent.com/pw/AP1GczP-RYhXp16NgiF0HSV5ytq-uq8bCzSoii_adme_NlCkqoh-M7EyywC4jBgJtBO7_ApqeRol-DzIrWSQ8SqHzNuPrLZWVLdksIvIQ1l1cLrzR6_mCzMY=w1200|https://lh3.googleusercontent.com/pw/AP1GczNJI-MyV31n3tR19HVvZ3khv8uHOTmpKzhUt1X0IF1JZ7ecbEe5F96QCmzHjbKo-xgMtVJ5ZrStsiRwCXNopUGZh9t80S0MgmQvbwGe-QUXxYOvfwep=w1200|https://lh3.googleusercontent.com/pw/AP1GczO00ArRqIB7ct1fg8sdx1Kg17g0CIOptdtpJWjuOgdozwbiR-mGs2cxC5pWuZfTEsQt_4sHewEtfD0V-Cx_-PQXRzlbWOshr6wexAXqp619yauBsBU6=w1200|https://lh3.googleusercontent.com/pw/AP1GczMJBeX7g5gwdHloOcsnrUY381ZtToa8DOjs-DieJrAWMZrWIuTxavDxGmeFyD7Jy8zeoBXlwWGZehP4WxVfPHIts_Sfk3tpWGEffYC3NF_13R4F_tLz=w1200|https://lh3.googleusercontent.com/pw/AP1GczNtBd3rEGpltAeM_pI6uHsBYdc6UejDOGEknMtYRJda4herkKnFC_XOZTt_kh7Z11WPzZMZLyIb1I4RgTBMswvVgIFDoLvrhfN6h7NPmJx1IFgLe2sp=w1200|https://lh3.googleusercontent.com/pw/AP1GczOuQGVyLgqRBlEEbImsBT77fbprnJl5FlyzMblHe14W5kH8_ICzQYy-iS_DI5ywzfv6bAR59PfuX15VvTJ9z7vookV_Y3uNRP7TC-SeDVwCUI6O6opb=w1200|https://lh3.googleusercontent.com/pw/AP1GczNcFziVCk_7PMYHQ92IEBH1R--AShSI6ne7PowbHikelxqqSQHCNfircj4iU5_yr7qgUfHVrLxwA7wILc11aeQ1mCWwcuSqOQ5JRtzU8fB691kmZU_C=w1200|https://lh3.googleusercontent.com/pw/AP1GczN2ymJI4YGUp5Ba6JUheRryykhSoYeCouIG5lhUqXbYUj_5VqJiLHMZGTBhos5knSUpmehwpY9L45gtFXR06CgobhSbgdtpZMcID96pG8XU5TTxssHY=w1200</t>
  </si>
  <si>
    <t>1343</t>
  </si>
  <si>
    <t>Local  - centro comercial San Juan Plaza - Norte</t>
  </si>
  <si>
    <t>https://photos.app.goo.gl/zaTZAVoCVZ4X5XzK7</t>
  </si>
  <si>
    <t>Local en venta – Centro Comercial San Juan Plaza. Excelente oportunidad de inversión, local ubicado en primer piso en una de las zonas comerciales más importantes de la ciudad de Neiva, con alto flujo peatonal y gran visibilidad.</t>
  </si>
  <si>
    <t>Cuenta con un área construida de 102.34 m² y un área privada de 95.45 m², ideal para diferentes tipos de negocio.</t>
  </si>
  <si>
    <t>https://lh3.googleusercontent.com/pw/AP1GczPuYrvteiDT1MT6u2gsgaUa0VnXhHEdiJrqVDDTG7fGjU9X01QsixEE2gATjcRkcAlmOA07W_HV0wkj3F1h-lmdeENGYuJH0D6LTmkc6e6KbK11XMiN=w1200|https://lh3.googleusercontent.com/pw/AP1GczNluPfZHSwf5qNeN-KCbinc2AdEmGcV-vLj0HB81PDCUgWqKEWIayuwte_tkD2J1l1HXEqs5syFT7tQO-xF5C49N21mELYJBx5mG3eaouXZls70WhGl=w1200|https://lh3.googleusercontent.com/pw/AP1GczMkQknBepqlKKrpyC8tl8fbD1A_hmKj1ql1A0anQUPrBlNDamDmuxCkBJQQufOOfIMjLGolRy_1YclpVHYGKzNI1GUNADVyp7I8F7DfeWv03T2vwro2=w1200|https://lh3.googleusercontent.com/pw/AP1GczOuEkZz2o5xeb5mN-_Bd5RjMrTiclyAIXIeCWi-QV-86BCakbLnVnLuvPnT1w4dIztbmziBDcDzSZ4-vkKNK9CkTOfbze9-9NQ4AL0jjBBSPgf-yVGQ=w1200|https://lh3.googleusercontent.com/pw/AP1GczPIlaeIGp1mHtDjUyyLZrTH1OEf1Ptp17QNpbIm8x71QjlyDFx1wg1nyTCOyyxWQHHVfXbbgn11_n8cwH6gh2e8vp2gGubJF7Bw71QySrq4-bWLmZYj=w1200|https://lh3.googleusercontent.com/pw/AP1GczPX9HTIQP-NLBKmg6aoU5uuk0_cSCZplzQbPuU8YFGfWT-gXYbHLNYDlbZcaMMhfQ4XFrfa3aGtXSnCWXq-iQQiNpNu1zzrK1UQLxogVFbRyy58SE6W=w1200|https://lh3.googleusercontent.com/pw/AP1GczP-XQkioLuF8YhxQ1M8I8qJYhhXFvW423eXLPaqGi8Bq5Sbtdmn_H1uKkwqtCDwr8n2UAvqRqHoxWbjZzNGTOFYUwjtzVW3Y22mZPZqlBwKeqxLcgQm=w1200|https://lh3.googleusercontent.com/pw/AP1GczObdEZBgysutj3p0fXip_LD1u5-55O_B3vhLXv6MjjvzI_qQC8ALXNBeriavaCZranvCrSLt2SDW7cdhNVJD8ynYPN5Tn3FJaANTH7V6RTXmXHUbXHN=w1200|https://lh3.googleusercontent.com/pw/AP1GczMYrlyx_1n3HJ6oqWIczyGGEikeAMHoDkKjhhBUnILpAOGKHEe2BChZDsdbLjUSlMU0mi7CF7NzaNidaAGw0NRcz8j4rORq_mmDiMeAoiXHSzUZNy2_=w1200|https://lh3.googleusercontent.com/pw/AP1GczMAE2sTlXTJf6P2MVZZ0ZoAel93vQA6C_RYrIfN1psCVIVsHE83RLnzpFMvglGBDYdyiuCOz91iCYrd8C6K3X0ZjCN4ouqahF3Fo90PGR7MFrr-cGrg=w1200</t>
  </si>
  <si>
    <t>687</t>
  </si>
  <si>
    <t>https://photos.app.goo.gl/ahyQLpCvzygYoqKB6</t>
  </si>
  <si>
    <t>Casa  con buenos acabados, bien ubicada y amplia. Cuenta con reja antejardín.  Escritura al día.</t>
  </si>
  <si>
    <t>https://lh3.googleusercontent.com/pw/AP1GczNGX-tTUWf9ZGjFzcM7mbR01mtckGN7jryRUOaqt4pE89c-OBM2ypMZlnwlwoeZV_yW6OzZuGnSXe5W_bWH6zQp6YYWodVKIG_d-DCAVLY3MTpjyyuR=w1200|https://lh3.googleusercontent.com/pw/AP1GczONzc8acUrR-GE6dnNeM_OMjQ1YC77PYDDTzfUXpt95Z9fvtsk-yySmKypo3n-Dxilgr7iErzZTLDuX5u0O7KJtQrC62zxRylY0cJh2Wu32Kpwg6VU_=w1200|https://lh3.googleusercontent.com/pw/AP1GczP2OUZW3y5EgqPVzZ3s7hW-j29cwNMfM9YRnVA1TQImq_KW7k44qzHSeR15fuLQ_UoqoKEabu0Yg0L7ey1g_i-OvlAImk57vSjXgc7HfkNMHTTWCTVG=w1200|https://lh3.googleusercontent.com/pw/AP1GczMuBqKKjE6Gw2UnDUu_8khH-7FHmRO2POb2xMI0iY9fRw22rkXfq35Zq0bwpzAwzPr0XgFQlz7gFv_NNSPMI-VP0tBssxy84HATocXwZHp3oJMVbh3s=w1200|https://lh3.googleusercontent.com/pw/AP1GczO88Ic08K15ze3v4uMHYTzyiYduuJaaxNTkRVYIJWT7680QJz8Me32RLcYoLxqWwI-VlMWYfiQCTT_zwsMJjWpxRLepoIf7lczttA-4BGFDNTb7QMi9=w1200|https://lh3.googleusercontent.com/pw/AP1GczPhRe2DAKvMR5LrJtVxWlDLaxyNyn0xB6rZW99oAkFNvIKyNbwwT6-IwROAMh5BEqx70kZh5pW4nS0YCkPoHOcwMlcGMYpdS1IalQ-tuwL26OmpTjIJ=w1200|https://lh3.googleusercontent.com/pw/AP1GczNSGu63U5hq_I8uYz2-LpaNV6P2hyqh-rHgWc8iXPoVQWv-Cd2RKuY8bShv9BlVjudWoIZ---rnTVzAoQfM1lwXXoRjEWblWtyB0Hx_iwHbFmXq47_k=w1200|https://lh3.googleusercontent.com/pw/AP1GczPgGs_h5dImVlbxVZRZ8POdQZmapIHhFzCUBS1NOGVzSl8U9qbdb5_52cIoIQbXeVytEuGwmNuTDk7ecUZ3FHdnYY_5kgmH1rkd5BAmD9fCHDCzyxVt=w1200|https://lh3.googleusercontent.com/pw/AP1GczMAWN5dLCID7_ENy9W961X0KD18U6Bm98QK_J0fYV5VIN0qHEgi0FTSUzT10iDd-_e7hzbGfjxXSDrGGop9PT_3MaDzYwPbjN9k8tZy8fsUGdTCVm6b=w1200|https://lh3.googleusercontent.com/pw/AP1GczP2oJft6frCyzHExNf8hVG4Mu2W0i-_sEloKOcf2HyNqnhE8svVNPFgrRXXGE-Z1gsVFJWtGPvuhok7wOsAtfNdpqQU5aCifQ9cKZidA90yPTo1haEk=w1200|https://lh3.googleusercontent.com/pw/AP1GczO48_FniqXhwEd1oUFHVY_EIwllMvAqJBJfOaGm7leyL13vOSJNqo3vwmj_7E0_a6_JDvqBUWO3ah1GIDp-0uQGrcn9yw-49_35XFE-HuQqvR5O5dNE=w1200|https://lh3.googleusercontent.com/pw/AP1GczOtRruNhWRbQdfBJr2W5WB2hLs-z8mr2oqQ1SDnnSjrk0N02_maGL7pbn99UaE6WBn5Ske5JTR-qa5kXxsOEkAk56YJU8yAkBKmbOalSoEKdFbNBzDm=w1200|https://lh3.googleusercontent.com/pw/AP1GczOb7GezWwkKuI24c3J-WoMxq-S_OB9g4-4yiMoXWo1zHi4m83_vJq2Lk2b5xBkWEp4FX-ve8qgoAhpByncAg_U4TIQmpbUJ3cM99SmXhWOz4JPbYen5=w1200|https://lh3.googleusercontent.com/pw/AP1GczMbtx-12wTqb8B4VR4-GTTJXOcUdhf35MxgycpF-r0vCGb1PazNsAb9sLSM5GSzAVcXDiUkv4g9JbmLmwuaLQcRFBk6L-IQzFXrWC6CX-K93h1Lv9Eo=w1200</t>
  </si>
  <si>
    <t>442</t>
  </si>
  <si>
    <t>Casa con aparta estudio  en barrio centro</t>
  </si>
  <si>
    <t>https://photos.app.goo.gl/GQ5kFHFinAS5muQj9</t>
  </si>
  <si>
    <t>Casa con buenos acabados, piso en cerámica, carpintería en aluminio, cielo raso en Dri Wall.</t>
  </si>
  <si>
    <t>Casa ubicada sobre vía vehicular amplia, entre carrera 4 y 5ta. Escritura al día.</t>
  </si>
  <si>
    <t>https://lh3.googleusercontent.com/pw/AP1GczN6t3LugyBhowXvh2z5RVIaWFZqxyrJqPOBuniL9rSxDAY_CRqdiTfwa7YgrXa57BKB6qG6oxvyHqX23DM6FQeIuf6P3nwsZuYQ77wTDZs9T3goCBe0=w1200|https://lh3.googleusercontent.com/pw/AP1GczN0DISVepDi7iycwQKmkcHntkpaTebKCrU94Cgz8c-1S-68jggXN1OGbV_ZLqBChTxeQEY8Wu9ZySmverDLR7XbqWLPrEZxdKw1Uuo-LWMGOLcVcT8u=w1200|https://lh3.googleusercontent.com/pw/AP1GczPYmIS4mhobZcNoEwgQEw2dPrHDPk_PnaacAN2z0WOf3gJEpLVdzRggZWpPFkz_0Iyyzo3pFaMeBkBkljqx5HRJmnWhmDhgJ5c0Q9H0RsXBNHDYhuOS=w1200|https://lh3.googleusercontent.com/pw/AP1GczOYb4ZKsB--WxSCwPlduFV1pb2cNHoKnhvgQxjpYt30fgiOETfKwS8DnjD5_UsDvUPgJo1uCpilVjy2xOF8V3uTtV61BtKcLVdcpmrRqYdQ7fJFx4G7=w1200|https://lh3.googleusercontent.com/pw/AP1GczNXswM2CGeFDXqPMjHC7FEyTi9y4tr-4SzOJ7nq4ELGGW1DGY177gEhsnHU3nQ80loGCaFSDA5X6PgD9SsJvtR1mTVPCtNWyWIikwx0FKmN7icVVIvy=w1200|https://lh3.googleusercontent.com/pw/AP1GczMcfq7L0tDygumJ5kraBt_cyz3pKktiXdY7ujXRezRBe7t1xsQbXazhtygdTP5PJl4DCS_rF6dsAR_ZX6wPoBaR3OaMZq4UcOkNlXdfis1epwMtXvCt=w1200|https://lh3.googleusercontent.com/pw/AP1GczPJFCbLPR1AlplUQm1vSEhbXqlCu051KHmZTDQvYd-a5GsoW3a0TNRqzWWeNyLhwODB-lKgvmLCAgTyk9Sn1oKjIVjTIQz5hTgiokCqcuySkNFPddJ-=w1200</t>
  </si>
  <si>
    <t>1297</t>
  </si>
  <si>
    <t>Casa en conjunto en barrio Prado Norte</t>
  </si>
  <si>
    <t>https://photos.app.goo.gl/xhzBLta3P2yzEBaH9</t>
  </si>
  <si>
    <t>Casa Ubicada en Zona Norte, Barrio Prado norte en conjunto cerrado, lugar tranquilo, fresco, cerca al Aeropuerto y principales centros comerciales de la Ciudad de Neiva. Cuenta con 3 Habitaciones, 3 baños, Estudio, 2 Parqueadero, Cocina integral, Patio de ropas, zona de lavandería, balcón. Estrato: 3/4. Administración $360,000. (2025).</t>
  </si>
  <si>
    <t>https://lh3.googleusercontent.com/pw/AP1GczP5wLt6XvriFdnGZG9SMGNNE9gYoVdcPd5B1j0vrjBe3IpyOxbojIZ9LSN-eIG9sK_S5EzfGqKYr0_O-UTU3VKcp-5fW4Lxc6moUs2jXFMUR2KJ8CtQ=w1200|https://lh3.googleusercontent.com/pw/AP1GczPprxw9cLAK2O79KhkEzztx0PNs7O7rAfFSuNr8PNCRg0zNBE07RCCKVHndrAqjWoNPp1ud72gYrs_lurdOvoqaYsWjTQJPESniL41l8euF_UzPNHTB=w1200|https://lh3.googleusercontent.com/pw/AP1GczOPPy63HbaqqJPNqYGCf4ywBZu8V3S9YAULjxr2dqY5y0XRWRq3tPnZoJnvlFz6HZZB65sCyCco6q3TSRtYtnFplQBIZ_GFY-lA-lYJTxxa7lYszWiq=w1200|https://lh3.googleusercontent.com/pw/AP1GczPfnInPaMqM7Q2W9xsS8SHad69QrLatLLMHnBk0cj6kPfIrEDNgyPAW2iQV1BvV-mjmsZmWRIcI4A_nL2gqgHeDMvClql4SyZJahRs8U1ner2MZ9hLe=w1200|https://lh3.googleusercontent.com/pw/AP1GczOpx0p-fVAM1Zfl-RzV3KizFduYR6k-rw92KLzw26UgaENimJGrK7kyo8ZR-2g6MgRRMDEHghREuBhxVqySARZMVmSZKOiDH28qt5OlRX7B9Ib1fKZe=w1200|https://lh3.googleusercontent.com/pw/AP1GczN2roi3ayjlI8Q5RJqADKh6j_bIhhAuZ-GaAzGRuop-hiWzMN22_ENU9NXktpz8-OxZhzOJ4mcj46WCRIciy08BR8dT4bKGw67moUjY9U_1HVzBUfX6=w1200|https://lh3.googleusercontent.com/pw/AP1GczN932YuD5Ct3Umuhg6HNPTh1RTHB3nziR3A7va_yRBSZ7n40IvVE7Ak1jn08LtH_JQ8jCn3M1eQU62k2bl6HN4OikrJJrAFUKRCUO-8McseauN9sLNU=w1200|https://lh3.googleusercontent.com/pw/AP1GczNYsrlkDSOvEyg-5rJPZWGIBb4QKY-VuszmiiCPKBhASqQzwyDrxwBJuCZWsmauk0dBLLg_IdtGG2hptpxTMrUVzP1Fztzo_sfVt8TOtp7z-IoVBP09=w1200|https://lh3.googleusercontent.com/pw/AP1GczOIfqGxiLZ8ezDtWJRpdrGICz71SbciApQeD6_Li1em-8SHf49OMvXqwUUY5ApS_mvgv6oo_BVLWa2d7rehZC-SknZ27mIUpvRb6Te5jkP2kNd3_UAo=w1200|https://lh3.googleusercontent.com/pw/AP1GczM3z3mh9UX4FPTvmgOYEDpM2NJmHWw5DOqbZFewY4h4j56z4o3oPcWFIMR6fN-zeG8-Tl82keiZ7NxemuDxcO-LD2IC-NE-ndae8Rzly_4W-ooJcfl1=w1200|https://lh3.googleusercontent.com/pw/AP1GczPeT3ulZbu0XPjx0gAYoyCJTKmGL7cn05Qd9Ny9NvV_SICPWU8Y_YdjgwypBw6fPTynFyQaibsNhEBhLQsxCLCaxXOIBi7RoitapVjhTP_xTGpPvNVX=w1200|https://lh3.googleusercontent.com/pw/AP1GczP9qzPYCLPaAJZSreaeFixc4x6XtGQL61uINTGf1ItUitDqQUkJH6KyCaSk83u43MmrUC1pOSvmCdBbQ51I3V_NpVEe7yjOl_8Yt4NrJI2RO0bNEeqY=w1200|https://lh3.googleusercontent.com/pw/AP1GczPRNy5mXWPhsYXFP8bRJWJhyyFEbUf7k9ngVSo-KdN10vCiJxUyywJzHFXr2mAdJYEsJOf4Pl2_9CKpcGhB4JfkJ0McZSwZfsuRqsrpJK0hgV-PwHLw=w1200|https://lh3.googleusercontent.com/pw/AP1GczP3IhkNggxdow4fGAqtscZzszAUq6Ls547UM7fNXMY3gDFK8Pz-A_EsmsLytmBeJkESo8RTAKCgfenWXDMlL0OOpTADDyOrl3fC0qnDorNcjYze5uCH=w1200|https://lh3.googleusercontent.com/pw/AP1GczMpYP8R8EymXbBtVnRW7OHfvQIrZc9jkvSsOVdDyy_KhAQu5M-W4uJzLN4RfqN9_9QW7KW5j9oY1sC9rqmYpMyIQZIlHkNo1Uvl8FExK648VdWTfH2y=w1200|https://lh3.googleusercontent.com/pw/AP1GczMJELN_XwH4Bdo5Be5gFJ8aeORCBEI3HxOz1XFyWtFdPXsv9JfgjBb-vLZ0BZ_q5AQ44wWhn4fSe5543BUGIzolYuxxAoGYpnEaCrSofOAwHS09ANmu=w1200|https://lh3.googleusercontent.com/pw/AP1GczNLeWPySKX--Iga6CoMsuX5kwpccxZab5Z-wGfhsp8j909EGjo950o1iYLNrZ3NWxdwdFjWqRh8YXJtmnC5A-UUlHjO6sP97iPIFWwKo-QDirwxCwm_=w1200|https://lh3.googleusercontent.com/pw/AP1GczPS_IxkcuPWUFOg8ws2bq-0dipRHPrILt6NQYhTJKuUDsUJljPVdd_2zf1dbIBFP378JyMjVcBvJNT_z6Jk_LVgFjk-qaw4RN_3ymKUNurVsffhfr-y=w1200|https://lh3.googleusercontent.com/pw/AP1GczNpa0-Ee6lVE1o0uBpjqrMZvd7sC_kAiFJm5_K7_LfNvxAqsKTbmXsEfSBKP8A8wkWZGg7QvIwgoNoDthqH-QaTJ1Zp0YPMYpCp3hy6PAYtCsJi_fsy=w1200|https://lh3.googleusercontent.com/pw/AP1GczMIZEfDr62Wi2R85bMj70vnr7flOHUBwEMWCJBBh3mo8cCOK4p69vXFvyeamOLsC8Yl7BK1IIaKlYYCyrxDRDK0KYymX0sWO4eielOHJtcNacWatV2e=w1200|https://lh3.googleusercontent.com/pw/AP1GczNXzLOdPdinUaULPfLJnag5ezxdx1lQn1JCDYV7_FSYJ_8ZRL3OXbYCofNWDzDb7BQSk0d9BtH5nqx_Eih17PFw_xgiKA7dAtTJkd0_WEzFg9z4tXNJ=w1200|https://lh3.googleusercontent.com/pw/AP1GczPhQsktDNbOMqgaehzO5NzLLe1FhWhJpbboWUsSMZQRFznwmgEWC8wO7p4N55JjFCpKlPFjCjaO9BwQVYftmiFRAraEIoFjj_W1_5axp-v1CU9LnpDN=w1200</t>
  </si>
  <si>
    <t>1189</t>
  </si>
  <si>
    <t>Casa más aparta estudio en barrio norte</t>
  </si>
  <si>
    <t>https://photos.app.goo.gl/A3SQb3ATB3Ad5EKJ6</t>
  </si>
  <si>
    <t>Casa  amplia, ventilada y funcional. Con buenos acabados. Piso en porcelanato, tablón rojo cielo raso en Dri Wall, fachaleta, carpintería en madera.</t>
  </si>
  <si>
    <t>Casa ubicada sobre vía vehicular amplia, cuenta con reja antejardín y patio. Escritura al día.</t>
  </si>
  <si>
    <t>https://lh3.googleusercontent.com/pw/AP1GczPKsHPAcGbjornlFLkTUdvLuY44vm3KpJmmqshQPfqbOPfaFjFgpCtnbk0_mcvptWzOY2oH2O3wDxDnvtbe8_jHb1NCRdGVg0t2QA1GP45b3ZmoQmes=w1200|https://lh3.googleusercontent.com/pw/AP1GczN1z4u8CL-YJdA8W59Yq0O-rnufdWZce4sfIsSL4FaiNKnoFKZAElRu-BuQjjZ26bIGsM2L1S9j9nkkfe46xKwuKxsLzmZOHF20CHT_ineQLWYb8kao=w1200|https://lh3.googleusercontent.com/pw/AP1GczPoMt34ssLjMQNPAqU06bcJny6SefTSgkiPLn1973955IP1qIri5oNQI3-0frLJHGIDS407mK9iCYU7cIoGTPTwNuhMfkOno0Zwtash2yfUQNfBplrS=w1200|https://lh3.googleusercontent.com/pw/AP1GczNh9aWovdLOBX-IjJuq6xXPb_imQgbAz89ecs038p3mYnfCvHtu4QkP9sJESDoIkip-1aJfflFe4FJuDila5km-0n4sGNe6ZgWcB0l66hBpkbEmuFua=w1200|https://lh3.googleusercontent.com/pw/AP1GczNMSGJy85PWwmWoGQhzELEkAvCyVUZkzL-Q4-hZ7NW6Zmj43fPoLS4nKKpMjkq0mha5FFXFUGZEW0rPI48_V5zSliZmP4UBFcGwEoqcPIXacHc-d__c=w1200|https://lh3.googleusercontent.com/pw/AP1GczO0kTfAElse2sZrzsyHP2j8z7dBSaOBLdpk-UvYceWgwFIw0jbo3FFT3K6ChXK_fxOAdSVcFsPDoM9dQm-sGR31-04KIxm1jVKsWQRKqs6NAdN_IfI9=w1200|https://lh3.googleusercontent.com/pw/AP1GczOtu7vdoUHM5jDkAv34cIuOMNJxH2izwdufS6j6cfTw39VrkekzK1u8lChvdobyQk_fehWrlQMV7JaL3y_dFjT2mzLA4v6OdmaIn2qGIjMrp2eLFdKn=w1200|https://lh3.googleusercontent.com/pw/AP1GczOVCcTVwvichgJvJ18olrLxDGQnLjA7ykwMqDZOZXoLKCjuy1uarVrhj25zoHwxrCaGHtZ7pYksRmqu_FuECrmPhmW2UJ83f2gOjB7pkJhQpnD4htR_=w1200|https://lh3.googleusercontent.com/pw/AP1GczMMw4buaiqbKKhG011m9KgTHgyQ4gz0O5Hhd26j_ThFryKlDEUdpwjD5yExNkXA1y3vqUeV3biodnVjPQVu60OknzvafxVK_KkFDCVhaGTrRCyZ1SdV=w1200|https://lh3.googleusercontent.com/pw/AP1GczMkn7jUNFg8mOhYrBCZ9hdmgPUYmH8a9IQqxbGLY_DeVkUfFCjFlcrEQCLeogGLi2hhrvGKeHleItP0NUukUOERGwy9ZchpmdROySESJSiCsVHQMl4x=w1200|https://lh3.googleusercontent.com/pw/AP1GczPzvlq4_lCnhZB-EkE9o1nTKeVE-1Sk5iwZ_SVEJYHpOL7qqnquc3I6z1_tNEHE6r5BvkhBzkxfPYgtPIISArqspL6XNtD1oRt-QJudy4ZZagtfAUU6=w1200|https://lh3.googleusercontent.com/pw/AP1GczPGIYjrsQQdv1z4KCgQsG-C4nLLPQfbUl-kDzVnR0_uc553E8RNFVia-A2wZoGctDSjI45wiDuWhBj0RcDuOwwyGG-lmpFwGuDtbq_SBCtPz60lWsAV=w1200|https://lh3.googleusercontent.com/pw/AP1GczO2QZc11Te8t87N8_S1Ca-n4WpT557cWqHSiWj_uzC_oKKa9ZAxl0_y_RsTQtyCPHDyQY_iLu3P-BuL4VC9c-vJPWVh_qsXnvJUOh5N4Z9k5yQK9IjY=w1200|https://lh3.googleusercontent.com/pw/AP1GczNW1XFlGSnocPj7lZU0Rtc7A9DBRElJxhXJz2kqFkXqBrC7wah7QN7xBlax89496AR6dwIRJ57w8seivSnyP3HzA_JqMA5gBYMIa_qsKdyWrGGb1B_M=w1200</t>
  </si>
  <si>
    <t>1150</t>
  </si>
  <si>
    <t>Casa en barrio Santa Bárbara</t>
  </si>
  <si>
    <t>https://photos.app.goo.gl/9biqo69BcA9Mky9s8</t>
  </si>
  <si>
    <t>Casa con buenos acabados, piso en cerámica, cielo raso en Dri Wall y PVC con lámparas led de empotrar,  fachaleta, carpintería marcos, puertas closet en madera. Cuenta con patio.</t>
  </si>
  <si>
    <t>Casa ubicada sobre vía vehicular, cuenta con reja antejardín. Escritura al día.</t>
  </si>
  <si>
    <t>https://lh3.googleusercontent.com/pw/AP1GczPlfIHCTfhl56kDyiprp8DyEBZjc6hw-354drYeAdNmU8_vXMlmQvzMsJ6QzxOfI0p997G1cNOq9F-zyiikSc3KGrtEkYGmWUTTkSQchcKchQMIche_=w1200|https://lh3.googleusercontent.com/pw/AP1GczM4y9W_ciDStCnYy4SUnOfXO-ZPSvpQD14IEr3fKLo5HD9mVjoxTbMSIsppY8eIMp9XBd-YvZ92s-f_Ilu1Z9D9A387hL6U0VRbgBJn-k8PmRbAXbcS=w1200|https://lh3.googleusercontent.com/pw/AP1GczNsZIpTsrFWGjvrVJuenyRteKqwoP53IGK-TzCReRqo9Go53EmyknzxHWPxzglLvGkNa0XV8k79pv4P3EzzzSeCdJZ4IKbZcAGexDOgzyITyY2ryJRI=w1200|https://lh3.googleusercontent.com/pw/AP1GczOl9UuKsiI0TYhcnHaYkqHDum2UUIxLZ3KsiowVPmGKMHhBc3xU_FCDnu5ItNv3jzZR5fWvLrxfLHBzU6vPmR37ByDXr8Kcj1069sB-nepww3yUojdy=w1200|https://lh3.googleusercontent.com/pw/AP1GczPpPVsjXbA8LCbls-2BdnrOFHT4gB767RfWYmeyVVWaSXcpST3lySsaF4TOK5daifuVV8SPnrgURf0yXXUw4vHlLeO8By-ebieR8yGDge8YCRsyHlP_=w1200|https://lh3.googleusercontent.com/pw/AP1GczO-2DiPWJMycfg_UaSmhSSBoSkD4m4QCSSd5eB0ogDrYysIY9FqnSiQzZ_cMOkEoPM1iod8lnNxwHaQ9-6C7zBVRu5fzepXvgRV5XOQMRF_68klBE-B=w1200|https://lh3.googleusercontent.com/pw/AP1GczNk5Aa_1ll-CzS1pk_klZZJi1z8b5KpINNhxsBDSuz9YsEpZNnB_6ib2MnbChlxX-L3m1C17LOWx9s_9xy_AH4EhvDEuGNIkDCBcbNyNZkxhfOrIs3M=w1200|https://lh3.googleusercontent.com/pw/AP1GczP8n8Voi02KAGscQ0bZ6HPBPg9JIShzSzF73RSZDdMWizKO8TVrCnsCHWMG8xpSKazjuxEaWeS1PxQjD-x79kpymv5pKK2qum0Xuh4FjDGYEIY5oBU4=w1200|https://lh3.googleusercontent.com/pw/AP1GczPJl4J3Bmx1UE-dkCRUk9epNluXQEgE-uWBH3-lXWa4pJJBSU1MFBaiGHEaY_5dWRO1JApWFUnH2kJGLa7DesXFwEsv4eynxNjCjh545S9QcGm3KuMX=w1200|https://lh3.googleusercontent.com/pw/AP1GczPOL9qE5IlI8KfMgroPz7t2NxpjWZ52uSv8QSP3GC_eBRKKf4wg6M_ezZ3vD61vVITI94H2oejVojppvmQFHVK3GJIentjjHdmhNSZesMKKcgY3nLJ8=w1200|https://lh3.googleusercontent.com/pw/AP1GczNLQIKm3B272ZuSUBF4MUwoRjzD9elPIkl5Fcds4Ncrltk1NAmWoQ2fjR0zMWG-j8JFmWxri_0BKd2ozqjkwhINhUPltoGYGz0qSQTpi5dUFd-A5A-5=w1200|https://lh3.googleusercontent.com/pw/AP1GczPGlxq5sDDSi8bWuVc8CKcjO59cg2hSSSwsQf3NoRXC0jGagVDgiHu0bGEPcLfTLO552pjHJSacs8366wqOmaj2yKlHtRGvvL9X3bZs8FBp_GKzg4ec=w1200|https://lh3.googleusercontent.com/pw/AP1GczPhWSEvQBxqa8hpzkAf4Pq-Hk9lysQ2lUqxOSy7ZKEWjaHI4SsJQfj5Hvq7AugiasIhBpXhyA2PxoDcQ0ITArjzLo3aos3Nnel64W9sTt-Ae0vsgIpn=w1200</t>
  </si>
  <si>
    <t>1363</t>
  </si>
  <si>
    <t>Apartamento en edificio 8-34 - Oriente</t>
  </si>
  <si>
    <t>https://photos.app.goo.gl/PFsZXgV9Q4m72GdCA</t>
  </si>
  <si>
    <t>El inmueble ofrece el equilibrio perfecto entre comodidad y estilo, con 3 habitaciones, 2 baños, espacios de sala y comedor acogedores, y acabados que marcan la diferencia como su moderno papel tapiz que aporta un toque sofisticado. Se entrega completamente equipado con cortinas, mueble de TV, 3 ventiladores y aire acondicionado en la habitación principal, listo para habitar.</t>
  </si>
  <si>
    <t>Descubre este amplio y elegante apartamento de 97 m² ubicado en el sector oriente, una zona de alta valorización y gran proyección. Además, cuenta con el gran beneficio de 2 parqueaderos y depósito contiguo con estantería, ideal para organización y almacenamiento. Una excelente oportunidad para vivir o invertir.</t>
  </si>
  <si>
    <t>https://lh3.googleusercontent.com/pw/AP1GczPzYDBAwuxChVOel5Me2Y__4dB6nrOPGFvresSnw5bxGoNZ5pi2b6LdhVKPgKkfiD2pALDikkjeN33asdZPpma2xWYM7Yyd5_uuApGVWsAC7d7bx-Yy=w1200|https://lh3.googleusercontent.com/pw/AP1GczPTpQlwRMmjYy5wnsG7HIV8gUHmW8Gz9FtXd2xTmhWrDO6V7zvZAIzN2dqRva-j5ws4bY_QmiYQt8LtAOdQH-QRvZpG6kcWMmPvwDDe3oUl8FsJ8tJc=w1200|https://lh3.googleusercontent.com/pw/AP1GczNhWO_DOb9aj8kvxcf2g0EYxNCf5UVBru_lyAmjSEsNAYZal4VKydq0BJ_ABVgIVE4qinIWsd2c2eu3D2sqZx_7LDySzeRatMDG1gUL-gtqD0ll7hwQ=w1200|https://lh3.googleusercontent.com/pw/AP1GczMIUvaPHjuRQophkJNAieIEGPpWNF0_1fiEbRM4Ro3puXDBAdDvaRxVTemIxbwmOIPzGFojaVePM-IQLEqU-2DRg6aAwB7GFCxmctnC1P-Tu_RilmVb=w1200|https://lh3.googleusercontent.com/pw/AP1GczPfqkTn4--R_v4p_HIZ7GAm4_S_tWQJ8R7KKDppwoFOdvIwT1mT5aCB5H37MGfE5lqUNVZlyUIAsXtCTDou-WyFW8BxriB62-gW4Wa2g-6nb917UfyH=w1200</t>
  </si>
  <si>
    <t>1318</t>
  </si>
  <si>
    <t>Casa en conjunto Residencial - Norte</t>
  </si>
  <si>
    <t>Conjunto Norte</t>
  </si>
  <si>
    <t>https://photos.app.goo.gl/fxMk4EJWemSXEDo17</t>
  </si>
  <si>
    <t>Casa de dos plantas ubicada en conjunto residencial al norte de la ciudad, que ofrece en el primer nivel sala–comedor, baño social, balcón con vista a zona verde, patio interno techado, cocina integral y patio de ropas con zona de lavandería; el segundo piso cuenta con hall de alcobas, balcón, estudio, habitación principal con baño privado y clóset, baño auxiliar y dos habitaciones adicionales con clóset. La propiedad dispone de parqueadero privado, es de estrato 4 y tiene un valor de administración de $360.000.</t>
  </si>
  <si>
    <t>El conjunto residencial ofrece completas zonas comunes como canchas deportivas, piscina para adultos y niños, jacuzzi, zona BBQ, salón social, gimnasio, parque infantil, parqueadero para visitantes, supermercado, amplias zonas verdes y vigilancia 24 horas, brindando confort, seguridad y una excelente calidad de vida.</t>
  </si>
  <si>
    <t>https://lh3.googleusercontent.com/pw/AP1GczMUoyLHmeSUsZti3NfUoylwg_qZi39WKxFVsog2QfQXWi5Y4d5zqetXgw-NRqInUc9FsOsam1L7r7GGuaKznRk3MtLzCkr-P9WxctxCyotH-Fbs0xgN=w1200|https://lh3.googleusercontent.com/pw/AP1GczOV3yM_ptgp6D20RIAFB0LcMKfehwhkeJ3jxOTWHKAKSLU_lOApUchqcw1urpuNTLsmfj334XGJ2ZyTNQu_2THZwFF812VuMpJUV-MyV61Dt2i195Et=w1200|https://lh3.googleusercontent.com/pw/AP1GczODeBZVbAZbttzW1u9qv-MtcL3K4gl5S-reDZTo0-GjGkPNh8n9sHzhyGWrM4odg4S4deAjYWqxW1LlWbKkUekDhlm-Y0mARw91OqiJtV5vybP-jhyR=w1200|https://lh3.googleusercontent.com/pw/AP1GczOV8AHns5ubRTaZu9TjrOsmgyWty6K5JpsJOod9z8or-sLBmCMlptDemFDRVfS3klINZaICOmN4g3pIaSX27HAMuhiFvvyh1kMm9BzM7xaMc9m1-T4G=w1200|https://lh3.googleusercontent.com/pw/AP1GczPqqRDugBWIhCbFq29glpXYvA7Ybywf9nHABCHf5OfwHFbuvkhn6D-DwQVpE5ndOKKc0ON96Mf5Tap7A43LBLNIXXKsw1_U0ZhTz8_RX18Hmr4iZrPe=w1200|https://lh3.googleusercontent.com/pw/AP1GczOVXRL6EvXl5dS_N_5K8IaqFuPYegklMfc_06T3bgbg_o3foOo-p5UiY-GToUttKb4t61mHZ_l8yQRguyvlm7ja0bwWdX_0KJR-VLUC9dSOZHmeYccF=w1200|https://lh3.googleusercontent.com/pw/AP1GczN2auFb2fbcO6zBzXOv1VGWllIoXoGh7pzX4Xh42LBD0j-xDz6C1WnN7At9JtDzlA0ha8kpQqgnnevnOTbFaUx23t4zN98lHUkoIvgdqgwbkj_6DaJJ=w1200|https://lh3.googleusercontent.com/pw/AP1GczNkMUePRe3vJvYyV49dN41-VNP06dXedVdzj9xz6pA6r4nvPdXd-DueSZ4ffNhoN35KGtLoaGIwccIST8jVOuITwpBpCRJCpfn_fTczWu2ZfMoeNYwR=w1200|https://lh3.googleusercontent.com/pw/AP1GczO-5pC4M47hIbZvfKMpXI-COP1wGejuYbkUZ0wW79nGVS9qzEKg2POWtExwZmywA4jZ-JLWx_SLqteG2pIc3Kks4-ade2-mHeZPWyj-69oLRmqIkAvM=w1200|https://lh3.googleusercontent.com/pw/AP1GczOMB3Jk_7jHLmSFV9C4jchHpIkDzrjLAlbAqjUPtI18NTPjZsztksCgvYwVwuLDUDCsrhMRB0apTGgDFUOLNhc5Q7uwA3sk4VY28lvzpa-XjxctHnfr=w1200|https://lh3.googleusercontent.com/pw/AP1GczMGtT-HHIpv_uB4rs67DPQYwuYZF8cM_GKhTvwFBzlPA3ucljDRI9ZnJtCXOvnb6MaTyikqpoJU6i6ES5W6qX5jXhk4jK3X3HrGfreBJanTprMog8ot=w1200|https://lh3.googleusercontent.com/pw/AP1GczOOPdQJQNPpxNkCWzxBJZB4kUkZr0IUVKjhsQESy0sjFWRiN_9488Q-t-WeEusEWP6bMFK9ze-6jj0EApyh3FSFoEmdHjD2m7uATSyVrIZ0hCbKvHse=w1200|https://lh3.googleusercontent.com/pw/AP1GczMX8diF0PbaY27KLgYHmqG5CAdO73IO6lBmlzhtqJ8tWTRG77AS_IiTm805Fu8DAGVT5d6bJ7zSuIVV3tXtJrE9I4Rgf5RwotuEEq6HLClaTnoNb_mi=w1200|https://lh3.googleusercontent.com/pw/AP1GczODzsSLrgPNaYdYyrTBFfPwiGEuaJ7EN67tkc011rw7vhOFHsuQn4U5RPNdLNpu9cumbpBbusZKh--Mgevw7v4BuSV0wIb07dQ3QSE5Oyi2MQNFt7pK=w1200</t>
  </si>
  <si>
    <t>1365</t>
  </si>
  <si>
    <t>Apartamento en conjunto Mediterraneo</t>
  </si>
  <si>
    <t>6to</t>
  </si>
  <si>
    <t>https://photos.app.goo.gl/EzBkdkrkPKaESDAZ8</t>
  </si>
  <si>
    <t>Descubre este amplio y acogedor apartamento de 113 m², ubicado en un sexto piso que ofrece excelente iluminación natural y un agradable balcón panorámico ideal para disfrutar la vista; cuenta con 3 cómodas habitaciones, 2 baños, sala y comedor con espacios bien distribuidos, además de una cocina integral funcional, bodega para almacenamiento adicional y 1 parqueadero. Ubicado en el sector norte, una zona de alta valorización y gran proyección, este inmueble es perfecto para vivir con confort o invertir inteligentemente. Precio: $375,000,000.</t>
  </si>
  <si>
    <t>Apartamento en conjunto Mediterraneo en 6to piso.</t>
  </si>
  <si>
    <t>Cl. 6c #24-92, Neiva</t>
  </si>
  <si>
    <t>https://lh3.googleusercontent.com/pw/AP1GczMBlZXcLi3iS5qJ-DKutHbGweeUvam7VdiyD1id-yO-2164t7OnYmZizz3kPpqipKZ2enLzb0zkzZL22KSpQtEbJBk3kR5CXEgXpfzAmBCJOATdZLh5=w1200|https://lh3.googleusercontent.com/pw/AP1GczNw_7rM5bbJvlj1EHsdAPK4ZOLByn-B4nQb-SfZ0RjS-AVyTwEYsPACE4nb1kkmSTm90U4BlXHTbLNhKPy4kFPwcFU7oMesE9mc98MVMJU11fMtjnUQ=w1200|https://lh3.googleusercontent.com/pw/AP1GczNNS5yooKAynpayWy5Li3F0AVooN6Bn4Fql1oHjOxru1zR65fo7X-Arth_GTjA7A4bhNBtQKVEccos_BBFl09V5uJsjSGOpnD6uKHSABNXYMTYXmxcS=w1200|https://lh3.googleusercontent.com/pw/AP1GczOTMjpLk8AR8wWEYuh7KdsD169SwxDA25rT5vq05oILG29nf_Vki0Fyev6BKi8oLybojQMapMTXIX4Eb55qaWLyXggXLxxED24EoOBlD5PXTk7tspSZ=w1200|https://lh3.googleusercontent.com/pw/AP1GczM_JOsVBLE5B-0qRAbUPTnjZFznDJ9ys9mCveLJ5FPGWp1b2tTvx5ZIwqCzC95peicRrmCcMhibzv9P98cZOWDiwgwYrEbozBDkJmSmaScAAJvSV5j3=w1200|https://lh3.googleusercontent.com/pw/AP1GczP3KsCEKtfOkrdjOWlUOOrX53b7k_euB-X1eYICozll0I2Tp2MlAnfOkawsSQk25xLJ_TjALoIMYRFiXuh0AH_Q5e__poWsQTBf9sf87bMScwP3-hWD=w1200|https://lh3.googleusercontent.com/pw/AP1GczOYxfdIkT3d-JKc1cHLFSXKxhbOPMxvwYj_g88BNE6c31UAc0fSbiScKDWteCGpsDRkXrlRCaIiklnlGUKi1ciqpJL44c0LLKJz5JFoPh5MW0oXldD6=w1200|https://lh3.googleusercontent.com/pw/AP1GczOwa1HTvPUIaJannton9rjT-pvHbqc7jsG_QCq1n1ogzApdfFgIbk6XUk9LVNkStnWP7jVaTGWQ_ExSXuM4oKnx2ai93Zo7UOy7ye883iAHXT3lsB6u=w1200|https://lh3.googleusercontent.com/pw/AP1GczNmzV6m8TGTqJtrPjaYK5ZfLBOAVpIm_vaUoUsy1EOteyxfZG_8OQ0-HekpGarC0BuciUcKixn_6v6FaapDYL_vO4oX2iZq2Tzfuv78n2Jp8rf9VyWr=w1200|https://lh3.googleusercontent.com/pw/AP1GczMjKcKyumsHw4x55e7akf0uDepbhyPNkkIsL-x-5Jn480SzhOaJvrK5SZHf0r6_U57eLtMgyNnKR3TeCq0x8v11agAfl3pjy5SK9CfQ0_DEMF-qJzTG=w1200|https://lh3.googleusercontent.com/pw/AP1GczPIw2gPNB1F5FnasdeJ-w_zR28IY6RIGoEyMtSh14tf0Gtq-q3wYFCtiGGq6lyZG3DTna6rI2HooclIplsIJua_NNzDdbHHwmmyo9pSGOz_sunoavKt=w1200|https://lh3.googleusercontent.com/pw/AP1GczMQC49ld-ikS6Jbam-MHQFQWjhFehJGvtty2DPy-ukI86W269lqBTZGmT3gCK7dQ1ImuitYdOd_WeCIp4vPYFbMHb8sUXA1lf2YtM2M1RpgDnziVtZT=w1200|https://lh3.googleusercontent.com/pw/AP1GczNCbAHx2jmXQb8cdudVVIYWn69eb52uAvEGsthksUIchEmGTR9VnMHBQPKnJtF-ZErrKgTEODBXZNSZ4nQ11xoTCqn2Zj9Znr2ZpXWVLwaDr-dorPeq=w1200|https://lh3.googleusercontent.com/pw/AP1GczNtjxXnA-wKUhLDEAhGo8bXgze3RKdsUKLy3UnXusCUB_El_i5L6b3qhY2Qwg3PBj0FHe-7oypr9FPf4utarm71Jd87O2KlpP9_aSDMeUhks6UIkS7g=w1200|https://lh3.googleusercontent.com/pw/AP1GczNgMXjBrIMilC2BBwdSDNIjH5bB6wG68WhtRF7oiwC8EEhyz-7JXKE7Xw50DKGW-w61mMB6wWTIBKG8fB9W42EuZm78AzJeLRCj6sWw2MoCb4QPD6LE=w1200|https://lh3.googleusercontent.com/pw/AP1GczNllC06yFykHjhP8lpalVGJIyk0lBcwLRUfQWkrPmQay3sGjp2UJh6VVUUhedZ-sq-zb0s-LYKBQF2FM8OWU4FMQ2-IXSXYEZsTVmOIkflpP7ZIhEJj=w1200|https://lh3.googleusercontent.com/pw/AP1GczPWJdoJwJHH3Xjo1Jb_pqQiDpLwiS8YFtpwX1ZZkufk0M9zb2GAXusEICbpWZ2ZfJef2kntCFKY7GgbQ6WTs-H4uEYOZsfNKPavhtwyxdo2cGhtABeD=w1200|https://lh3.googleusercontent.com/pw/AP1GczN3MNEcKwQ6TyHTq_vPmr7w-w8hG_uigCSTEK5b8Iv6kXX7-CJF1jK_nOuNPWwm1v5ZkDKYnfiAte_dD_V01NJHALK26IiaUdK2229YE7xWzfvdy7a2=w1200|https://lh3.googleusercontent.com/pw/AP1GczOc4i_FWA6C9osC60rhQw9mYy36vY_cGIT2KeOQHXWTqlrNc7ynfT9jEsBgQVXcDvZz-Z78bm1nIDuYLn-OaX9Iie5SywNhOxc6NzpQnQRDfmIJ22Lx=w1200|https://lh3.googleusercontent.com/pw/AP1GczPM8aN-7ILMGzJHPjJxERo6Jj-rkU-E_aoMgsIHQ_IiFGyn9wgVErGQJUPTFMur_-hzdQvBCVBNZP47oNbdtCpgBzjkeByAEdfgPy2EoU0Fq_0miNtQ=w1200</t>
  </si>
  <si>
    <t>1362</t>
  </si>
  <si>
    <t>Finca Ganadera - Cafetera - Algeciras</t>
  </si>
  <si>
    <t>Algeciras</t>
  </si>
  <si>
    <t>https://photos.app.goo.gl/KKXk8evmVShuX6PEA</t>
  </si>
  <si>
    <t>La propiedad cuenta con una cómoda casa principal que ofrece cocina de 4 metros, sala, comedor, terraza y 4 alcobas (dos privadas y dos para mayordomo), además de 3 baños totalmente enchapados. Su potencial productivo es uno de sus mayores atractivos: dispone de aproximadamente 12.000 palos de café, cultivo de cacao en plena producción y completas instalaciones como cochera, corral y galpón</t>
  </si>
  <si>
    <t>Se vende espectacular finca en Algeciras, con una amplia extensión de 10,5 hectáreas ideales para producción agrícola y ganadera. Servicios: cuenta con agua veredal y por gravedad, así como energía eléctrica, lo que garantiza funcionalidad y autosuficiencia.</t>
  </si>
  <si>
    <t>https://lh3.googleusercontent.com/pw/AP1GczPiict2x08YFqOSUWvd42SMrBVMKQjAFihCl2U-QNc1yzVOUCEDn805kICYK1EMx5euC9xQihHnt7dWrzPzj3BGO2FB-vJLp5C_iRMKf3py1HJRG_wX=w1200|https://lh3.googleusercontent.com/pw/AP1GczM7okBzP9XS9LcNsGP-l3hEdb__6HL92wiWAoocLcX5K_AuOZ6xoNybXcwjnacX3x2LA-e1YrgzWN9bW8SKJBtP9cYXrF8wLF0K8R1ej4p17AMkbOm6=w1200|https://lh3.googleusercontent.com/pw/AP1GczOmHtI-RS4gT9HsWZRFXr_TYHv-edvWi4CfwyUwfyawWQBSVA312ItpJyFkzZJo3W-bNhukyAIoqh1SbimCeHzFhPFrK2LflnvUBOAEjLCI83iBkHDh=w1200|https://lh3.googleusercontent.com/pw/AP1GczMju_01qtlfwk1syh8YD_7ZICkp3Z7XwiQbvUhz9wKNVCk9ceKH3_DV3fGguDospx85JdhpBmuChsUNGG5oEuc74JixmwSln57OpkOz1dwgoNEZkX_6=w1200|https://lh3.googleusercontent.com/pw/AP1GczPld_6Ojw9VFPNto9vSCyCEkQhUQbfHgiXORQD3CSlBHwf0nkkZiiKgJRVU2VB_rBf30K3-ieNouExTJGOINSAdBZ90z7VwI5f2cVZTv5Oo2jjKkUXq=w1200|https://lh3.googleusercontent.com/pw/AP1GczPjwIPXojXSAI7f19AxlzxY-l8kjJPqxKOX55ZhQh2sbXqydnKxVatEaDOSdG1_Mr-3nF3DuHj_KcAUMCo6VmC1Iuk5qTzo_W-gSLYrACbW03YkYRW7=w1200|https://lh3.googleusercontent.com/pw/AP1GczP-QRhhcEvIxCb-1XqbpD30sptmvDWMsJLA-WUExt7HHr8zMxk_c4gN6YnYVdGhJ3U8xWlq9mbzRSQ2-P6oGeoSV1t-SzrIhYYCWmwBq_p2SbJYvC4b=w1200|https://lh3.googleusercontent.com/pw/AP1GczO9JGwGEcK4OQV84ZnmnZ40TT40HeOIceRzWFqHWP7gvCyC4HM7RRoHisDSKU_xoLzibrN1kHvuKcW9v8OuYALxCfS00FzfMOOu3AXPzyZVKj1HCZsN=w1200|https://lh3.googleusercontent.com/pw/AP1GczPd1G3UjsTysKaujHOfemowf5bAT_lThr2okWAOZDP9wQ-mGJu4kz2X55jKqq92YDShrKjlVJ-04ons5BT7lCpzRejW0x2ADve0zUgOL73FNgSQrRmd=w1200|https://lh3.googleusercontent.com/pw/AP1GczMU4PAhIHMWA9cd2sdwRgayIbbQKm8WcJ3wvB97ytwkKJAskTEKM9KzPNrbbLe-kp24hfRa5lANRYfQfRblRe_cY7qrXCCkIkLXTUsXMTTWN2AIdLsf=w1200|https://lh3.googleusercontent.com/pw/AP1GczNoqXmrGCLPE0CdZGn0F66rLQUmQWH5YqD8njKhJvY4cEiJixSlNJWy7XEQmFgmakRlCK91JbYiUxRytD_hJWyzIv5muO4xrB0niqjIWCMQ6Rd9DYH3=w1200|https://lh3.googleusercontent.com/pw/AP1GczM8jO9S1y6jy0RMpUQHBQKNmUH07QR_0XSzqefFLGSqQ_eDKn8N-W1oJ7V6z6Oo7kNseeGdRXlwLxDjiIhvMOagGQNlhAEQ72WVl-tNyOCPJUtBCsxn=w1200|https://lh3.googleusercontent.com/pw/AP1GczP4yAGpInoo-ZOMwfJ7MWuoiNYdPksuqvYdNeNQNknIP2W-ybg-lM5fCfDSTR0tJubHV8EZqx38JGQIvToH-20FEx_k3l0SF-dprd_fYcQuQLG7uXU-=w1200|https://lh3.googleusercontent.com/pw/AP1GczN_lMv91nFuCpK5bc0dSA0m1pCP3EIQsXb_qcVR6gSxTlSKlgCjRuTJMG32grAFHw2kFkm09gDJ7jk1PRm-eyz3q1VOaA1Wcg7wk4vYKJfH2AJVpvuX=w1200|https://lh3.googleusercontent.com/pw/AP1GczPQsME-1r1otylsbVttnhO1J90HWd5C2rFAXk42GZGP-b9BWHpu9c09sdN9DXt1tG11oCZ708iFkKn43JYVv_WQ0QscssEZ592gj2kZsabx5H8qbZWg=w1200</t>
  </si>
  <si>
    <t>1342</t>
  </si>
  <si>
    <t>Apartamento en conjunto Residencial San Pablo - Norte</t>
  </si>
  <si>
    <t>Los pinos</t>
  </si>
  <si>
    <t>https://photos.app.goo.gl/QDhyZnkG2BXFHTZx5</t>
  </si>
  <si>
    <t>Apartamento en venta – Conjunto Residencial San Pablo. Ubicado en la zona norte de la ciudad de Neiva, cerca de centros comerciales y con excelentes vías de acceso, este apartamento cuenta con un área de 72 m² distribuidos en sala-comedor, balcón, cocina integral, zona de estudio, tres alcobas, dos baños y parqueadero cubierto.</t>
  </si>
  <si>
    <t>El conjunto ofrece completas zonas comunes como ascensor, piscina, gimnasio, cancha de squash y vigilancia privada 24 horas, brindando comodidad y seguridad. Actualmente arrendado en $1.320.000, ideal para inversión.</t>
  </si>
  <si>
    <t>https://lh3.googleusercontent.com/pw/AP1GczPsqQw93NImjfyTkrhcFmjzTNH_ashnSM2oMmxguovpGpXq26yC9C1DPMANwPeuP1EoM5DInZ9wMJjXNnBrn1u94ijxqKAJbfNe7SBMe-DMLk7vr1Yb=w1200|https://lh3.googleusercontent.com/pw/AP1GczOysjekS-iycSNtfnTOk-BaCU0_zhZNQH56F5q4KKSgq0CzXbBBhAF99Gi25sZSMn9BSi-QOCje3IK6j73cTayfvmpeQvc4wC7ZOW_DOgPQVQclEO91=w1200|https://lh3.googleusercontent.com/pw/AP1GczPwwiqv9qxkwevVYq3NMFUP5UmiXaHhZiWEuRr9gg7nt-0W9fZwYX4EJBDnyADI5R7Ioq7iyTMc-Cf-j-MEFarmRR_QxZFNmA0QDD1mJqY3EYDazyVV=w1200|https://lh3.googleusercontent.com/pw/AP1GczOWJdZ4nJa15vwscENmTJB9LGEgkHqiaasQzB-Zp1e0W3kVZ8IrfsoNgXbaxLtIPuFMzCl4_RSIUW6SMPLb5yX-Qfq_xEMG52n3lxaqPbyivuYkCf1O=w1200|https://lh3.googleusercontent.com/pw/AP1GczPaREs9nbPjoEk4Zj1GJshPw4tAwW35hb31vv3wI4GxXO3Nn6s62KQLlxFPAZPH7XvCWNwPetyf3qj8pkHnGQ-OsXYdjcVNxcp_Nq7z2mkrYrJiIT6i=w1200|https://lh3.googleusercontent.com/pw/AP1GczMe79n95BL6MTDPbRXFqddCrpw6cl49rXawU1h-MjK0-1BajJFTLwQ5loVNafGPeJxgbRvgIzQ8r18p59FZyoxJRPmUiAF4PBO-t4R0Wc4KpuHfc2KL=w1200|https://lh3.googleusercontent.com/pw/AP1GczMCjahnBIJ1bKZ3HQ7EzoP3P2-MjNW08yq-MMm2V8OdBZraYl-5YNr0Fmy486tNxZe-ToEP7GCtq40Iqjba7rSvlqYaTYQqddyNj0Srh0B4NZKWWA2b=w1200|https://lh3.googleusercontent.com/pw/AP1GczO-hf89r7bN5ruKSR25pSlO1xJ0w4LFOFfbeIJCo-cXbTTK4bVln7MGmD5eB4CVCgFpWJbAooqOtkx_8yfwekk8V8Y-mlw5i3zNg6n8heVn0MeMToyj=w1200|https://lh3.googleusercontent.com/pw/AP1GczN2PAuIKc9uQL7LdcRbZe-IXsV-uRU3EjBTHAMFVnofpFulqKLWL0a2kDRXFyo9OEexlBw13zpkLK6uW6nQJfCYWVwZd1dKkdK8ug0Gr_NbtM74E8fH=w1200|https://lh3.googleusercontent.com/pw/AP1GczMNpUzPl3HToEn73qQeNXbOzFNrIgtBt3ql_lcc4NC26jTtpP6qlivQMnY3B65rCRdpOc9yYPthw9XD6jJUOVuRGZyY9cDvuJ5iPRtoC5RfntKXk7Zv=w1200|https://lh3.googleusercontent.com/pw/AP1GczPO-Yd1rq3APb7A-br9sT-NggEo1Cg2OfTYvJz4vpFvmV74-wTC2FPTBl8J-EWfzgT3j5oOR07J_iLgXl1nC5pYb7J_N4YDnqvjJXGCibXCT7iHoBu1=w1200|https://lh3.googleusercontent.com/pw/AP1GczMLjUTWwxyD5pnoWI4Pb6E1HRlP-lithCLgv12GRTXUxfAydGDsG3x-nESjQbBJvOvt6vkxL2A-Dy8BoJW0L6-X8mcndLfBz9bPrHi_KrlW1AQUtk1b=w1200</t>
  </si>
  <si>
    <t>1332</t>
  </si>
  <si>
    <t>Casa con Aparta estudio en barrio Candido Leguízamo - Norte</t>
  </si>
  <si>
    <t>https://photos.app.goo.gl/UtWq6d5B44pAn9dA9</t>
  </si>
  <si>
    <t>La vivienda dispone de garaje para dos vehículos con reja techada, depósito, sala, espacio para estudio, cocina integral, corredor y patio de ropas. Tiene tres habitaciones, todas con clóset, y dos baños, uno de ellos en la habitación principal. Además, cuenta con un aparta-estudio independiente que incluye cocina semi-integral, baño y habitación, ideal para generar renta adicional o para uso familiar.</t>
  </si>
  <si>
    <t>Casa en venta en el barrio Cándido, en la ciudad de Neiva. Cuenta con un área de 170.0 m². Una excelente oportunidad de inversión y vivienda en un mismo lugar.</t>
  </si>
  <si>
    <t>https://lh3.googleusercontent.com/pw/AP1GczPrB6V2ZovQfqt12w9nlxB5UMptUa5L7ZedHFYH-tiwflbAmKXhqgBzsBpnz3Tk0EYLnlrywutnuDfFUqKZZgizOaukpPOhgV1DVsDyyvf9mNpupMxL=w1200|https://lh3.googleusercontent.com/pw/AP1GczMU2BHV0zxuPTU3VY7-QecD6z8aq_pPpl9SxET7KhTXhnDEKnkKxgO13KEZ51ZU9BW6uNkHFoTWrSJe88b4r49N-mGqX_0f3NhyzRsxVD6r2o-1z85v=w1200|https://lh3.googleusercontent.com/pw/AP1GczOZS5PMyyPQLdK6UFbGK7wOE4EuSKntL7STIe6QkKM9_NJEzVPoVs6LBXDnGCsyYGpSiBhj9Ojeig-MWCS4NTAIm8u_v5-2zRrSmgMWsqusqKsbTtvJ=w1200|https://lh3.googleusercontent.com/pw/AP1GczO0B45zgrz9Y2PWvpr1Y9EPvSoYwZAD9LOGX6MVKcXDey3JsHNlGmALjQi2MO_Ke2i3EAaB3gzp86vHoEW7_Cn06PxuFI5-JPcv4pGPxRyZNf0W_JFL=w1200|https://lh3.googleusercontent.com/pw/AP1GczOu9wkg7fCD8gElFN9DdFzOCLyRmQgjavm3mEEZWtrER4_kSOQoxhk5tFmAdtY0TbSTD02tB95cygGK4XLB5RudvOVW4tOaeDTN-Gg-eNrkMEE-1A7Q=w1200|https://lh3.googleusercontent.com/pw/AP1GczMm39n7YlzK0OTE9D_jPgWucQhY9mNNGc1ytCkO1hrogDMEtzYpt8pIh5U1pZt_QL2I7EDVYJc5NsWHZUOnYSdIRAu7p8_Rhz7P1u_-Z2sTRse8qiSX=w1200|https://lh3.googleusercontent.com/pw/AP1GczNwisNttQWxfiw40YAkOyhRH02ukuyFVVA_7TNvxySw1X-D0vxa4mX1Z3bHEHxsci6jXi-6dgP1QeX9d0odFnYnaYbkXhldLXxRdFkN5NQVoTBi8NWL=w1200|https://lh3.googleusercontent.com/pw/AP1GczOdCW1LbqVp9DaYKDuUzogxOeZtwctNJZlKHc6L3eeLxnGAWTTBvBcIS-G2SmXuBJwOPw0joOWFLscNDv-MZ_418JUK9FuGmB2fAq-T_pGISnIgxnTa=w1200|https://lh3.googleusercontent.com/pw/AP1GczMgtxa9iB0tTqXVMLmq1516DWg2Zq_ev7otMVIU7M6v7ufxhV5PCyD0w3yBMJSetXHXLhSMYHWVNNgGgkt1m5GiAYeCQzwweD0tML7rk-Nju6w7c-F2=w1200|https://lh3.googleusercontent.com/pw/AP1GczMLsiY1kO0e6jj4vqx5pTg_OYLqZWuiPNP8XH-NsNu08CwoEm6Ba05Q8QT837X4Pz7WEPgH0K0fLUZIx36WGG9WKGfNY3-UrIMB93zKdMdIsrY95Jpg=w1200|https://lh3.googleusercontent.com/pw/AP1GczPNl8lV_ocgPRcJidC56OeL3zI9M6EiedrFS-unF74bpNRK4JRF0amxxdT9OUj7U4CL4iUhqTARE77oM21j2BpcY9s7AwSKGvdKoH8GLwq3g5oMQXE3=w1200|https://lh3.googleusercontent.com/pw/AP1GczOwFW3bLrwk0ETpiVQhnlX_Py48XOrjXngiEU_KJbHTtAnvYWu7AZKY7turVv49mu2mUynhOa8SCrMy0xW_sBtPTlC5s9iutR6vRKaSRzF3SXwkLE_Y=w1200|https://lh3.googleusercontent.com/pw/AP1GczMDwRvtaqSTu7lfXtOt4LAgDXcnM9FdnGKKnGG_g5XLVGuQ27MPh9M8EUGKFh3PAKowNtx-0NuhIrNoKmwWlVz5P5rfEu_SgaoKHGuPq3P5ZBOYgi8C=w1200|https://lh3.googleusercontent.com/pw/AP1GczOK8Pp_TifcksUyRv8LnhRfVl0p7H_KG0l3U6Duofc8ROuk56E1kunnahhZW7GB_ILrejAH8s4xl8484klv39l2YprymMhRuSQ8Pe5qsN6iRyKkYqyB=w1200|https://lh3.googleusercontent.com/pw/AP1GczN0CBk8dnnsrjueed7aKBPZf4S_IwjOGaGD2H5EMGHoPmjzgXw8aZZ-zR5TIdxEltSzkx-glmcsem1b3qPcvNrvl_u8ez_1wQ15lT6s7R_L6gBOj3CE=w1200|https://lh3.googleusercontent.com/pw/AP1GczNFtwLG_Znzy3kUUAujrHTckYsqXzC05fkCEc21qqI-sesbO7xZkFDfNU5BbkjygW6U9zDngd9XkDaVdLkZMrJAK8dVg32r9LCn0DuE6aAnw0mQJLZT=w1200|https://lh3.googleusercontent.com/pw/AP1GczNcfn4-RLuWTosvJms_z11l9UrSSVCGqYFfNqOxTNIZmJ3OTzh-exi1nh8ffMI7MdcPO4rZtkRhGRkpj7fR3AAVG0ul8R8pJ_W5lkfisd3cgUSiCNIM=w1200|https://lh3.googleusercontent.com/pw/AP1GczOosgqoyV2jUIz_DNm-X_EqlpEpOwfRrSZdvFf-E4gjsZxBvK8IoOBdeR9Ch59WmTfNmFytI-q1vOTICOkV4gQ16ZQ7K1fQxKLhAKlmqZNl_u8TgzHv=w1200</t>
  </si>
  <si>
    <t>1167</t>
  </si>
  <si>
    <t>Casa más 3 apartamentos y un aparta estudio en barrio La Orquídea</t>
  </si>
  <si>
    <t>https://photos.app.goo.gl/SSE5HCfD1AVpZ2Xu8</t>
  </si>
  <si>
    <t>Casa con buenos acabados.</t>
  </si>
  <si>
    <t>Casa ubicada sobre vía vehicular amplia y peatonal. Con reja antejardín y patio. Escritura al día.</t>
  </si>
  <si>
    <t>https://lh3.googleusercontent.com/pw/AP1GczMJXXaDoyev9nEpyDaJeyDt_SwnnmTEMIUU1FxeM3ux8Rdj_KyC6m6dPfRPLHCCfqdRBfjhbwBBN1oJOCDY9zd8EUbJkwpEXMAjj67M1ddw93l-ydxB=w1200|https://lh3.googleusercontent.com/pw/AP1GczPlDLuhhrpjUmufLGeu_oT5MsoPR-y2pow192_retqMvJeWxuDZowS3ySadEXN6_J_1nFV5SalG6AwfphqIaCyXMamAGTAfA4kvlvWCvQ7XkkCrc69q=w1200|https://lh3.googleusercontent.com/pw/AP1GczND4-pzdKYbXw-tXcH0MQQArcQlAZ8FHaf2oN3wuM4Q06aMixeRNndmAVEFyBrdHIh12wtocpu1ciW-6EhwgHxoXM28gdTOY1WrgkSaTJrWTRh7by2m=w1200|https://lh3.googleusercontent.com/pw/AP1GczNYiLtgDa94tECokmO0btydfaoGeDYSFFciQzSYymXAL8rucf5u47mt0KROyxjchfA1jLz1aWcJZsGBaRp4b9WedT_LrHVqMhUbaFpQmWrbv1fzMMj5=w1200|https://lh3.googleusercontent.com/pw/AP1GczNQQ0PYAelsBa6t5XnLnin2ugeOJGhsYp_SwFWcD8cZ_Ni1gZI-nNtlSAJt_Hfl2tfzW4UDgV9mnRgt5TMZS-syMnHWbDcZIKozi2SvFTrIqn65qGzG=w1200|https://lh3.googleusercontent.com/pw/AP1GczMUHUGdWc39u7LtA7Of4lj1kddgroZ0O2K7ONbNuWJ0GOrMsGo4kj0LLpfvfrlXt9TUVqHxaoVT99jP7aiQiHrB_RdDE3XbR8NkVf1kNxndLdu0XdmL=w1200|https://lh3.googleusercontent.com/pw/AP1GczNvMX_3zqctRV-APl7LYiO2S33NGtKPC7ZJIe-ABSoYESjK5lnsvjA8HwhVdfzqpk6SMG6maZ48p_iErwB8rC6kRyZoahIcMG8qSFjPk3jcLzNOLsxb=w1200|https://lh3.googleusercontent.com/pw/AP1GczPRpkPq25YSm6LbovxQnt6QTkdzv-g0P5hTveR2QfBO_q2q1AvtPH1ZwGVKsU2ftTZxGN7CURBy--x408SOX4k8B4_B8l-zCmHymEIG5NSH0Z5MD7D6=w1200|https://lh3.googleusercontent.com/pw/AP1GczMlzw_o3S-x5aXyF0TB8PmjHoNIJnO3Duy20imesOheXCvlsyxrcaPvHlzotceLCQJn486Y_NgI6GwcaTnz8HvLDJAXVJIIT33R9bO-azyqfq28yuqw=w1200|https://lh3.googleusercontent.com/pw/AP1GczNMqYRkg6hjhRsGT9x1FPe6SUY76isKo9iho1Go_yzpaLNOMHT5XjU4NR05J7CDM4JiTzfu2YuhqoIIcyKWWrsRSswO2422jNR24Nu_xKt9xI7B4I_-=w1200|https://lh3.googleusercontent.com/pw/AP1GczOTvJXYAdM51yMm__324nP9pxS2XZL7p1WnYP-DW8bGiCbTtH97KQfh8Cm-95tkg9mND_6rjtqArcoeMIUO6d4ZxGOYoHmEYRvd2DG3uT0XPhQb1KUh=w1200|https://lh3.googleusercontent.com/pw/AP1GczNcuizkaMMsozIhWsEKFFwRzLjsi2yulenmHdheu5BXbsq1ZG4PvcIWuEiLZWWT6MtpXlsR9fiFibTofU-P-Il5SV9Jv7zTJGRT0-QtizLNy2EnfOaj=w1200|https://lh3.googleusercontent.com/pw/AP1GczMoXre1tTYhoIWuX3vh6Ks-aG-fX2ZCQmHq7Mqv8p4EmMv5t-V986njfab1s6IzANYvRIMFxiiyBcRIYxHFLPbGPTewaqqQB7HqX_ba4gfW5cx5ZfwU=w1200|https://lh3.googleusercontent.com/pw/AP1GczPC-ZeblJECVaxmacPRn2vzh656sjWYr6jDdy3ZXEJbGHSXQvWJJLpf5ojAhGG3yEtDZb_yTqshUvjuhTFTukdDQP5ivs6UhEzeYEWDzN05b5swTwCV=w1200</t>
  </si>
  <si>
    <t>1081</t>
  </si>
  <si>
    <t>Casa en barrio Oriental</t>
  </si>
  <si>
    <t>https://photos.app.goo.gl/C2EjB2CEJB7hjFTR8</t>
  </si>
  <si>
    <t>Casa con buenos acabados, piso en porcelanato, Cieloraso en DriWall, molduras en yeso, carpintería marcos, puertas, closet, muebles empotrados y estudio en madera.  Fachaleta. Hierro forjado en pasamanos de la escalera. Divisiones en vídrio templado.</t>
  </si>
  <si>
    <t>Casa bien ubicada sobre vía  vehicular amplia y pavimentada, con reja antejardín, en fachada viga canal. Piso del antejardín en cerámica antideslizante. 17 años de construida. Sector de alta valorización. Escritura al día.</t>
  </si>
  <si>
    <t>https://lh3.googleusercontent.com/pw/AP1GczO7FOl2oc817zHCWWUtI3mXa2lEglgcmtleJgedojT_udld33ggXkywYndYvE3xq4l3JpHPT3ZNKVXSOF-bbQCALpVbZuuATocUUWzU7kAOuLmZ0a6n=w1200|https://lh3.googleusercontent.com/pw/AP1GczPwOKyw3Ojr4opOLR31aJl4UMi4gWrkMTtig_fAZHDdedsSpyPch0nO6bPQ2sq7BvB-k54XLaK21_CqiEpPwZXN4O9-6hsScp1qTq3Sa2dw7WYPCDO7=w1200|https://lh3.googleusercontent.com/pw/AP1GczNUuEz7WZ3ZULF37b37LMAlbFclyOHBtIVo05HtcIKmEfm6EPUsBJGW7I8Kjr3Sdt_HyGeIwQXLqInM0UxvRxH4-jD6FdJDdrQ6qflBR-xERYw5EtAZ=w1200|https://lh3.googleusercontent.com/pw/AP1GczNTdFZ2ij79hkBPdMZB0Ja56k2S0tEjMgStDfwk0fqsOWsyYNHqlL_5n_oaqFI9E1dv13PCXacQGOWdk40dHLx7VuZkw_FmJFTcyeICwpxb-pAGrR1V=w1200|https://lh3.googleusercontent.com/pw/AP1GczMWb7x1r9issXujTLTlEwrrLIDjORKqCT50IVIAxYpZ3NDOwAOks1PzGCb207nTb0QBL92Alg3yIW6Ua4OZuSMGYfpWq0JrZU0B1c3yEg9r3zXHRBDj=w1200|https://lh3.googleusercontent.com/pw/AP1GczMb4D1oM_42tYjbZZQSOF0UTgKsVUyBGuHDfxBuIYNfOKb9kJ7LTEmtWkgScIgBfu9pCB7C-g5-ylgIlktUVeYqexAlsBHD8kkFU-14ys7NbIP9DYZ_=w1200|https://lh3.googleusercontent.com/pw/AP1GczP8tkxeKiTGWbgH4TsWz_LRkgyzqzHbWU3-kjhHEEmKUio3BusweTEX4A4B8dsZgo5l2S8J7ERQ4F8LZJkav8gtCcw3c6nw4oJlAhkEse81D3bM0D9N=w1200|https://lh3.googleusercontent.com/pw/AP1GczOslJ8jspSsWHhsSPrZNa9_IIxIrT8wZPHrFFUM0llzhEgtt5TK5q8wNDzXW6SAQ4m16kzzSyY72m4YMS670LVQKN6mA_olodl1oQgyV9rdUaqSEYSf=w1200|https://lh3.googleusercontent.com/pw/AP1GczNzc5ZdWxqPqDNWBn-jnRKG8nsdAHu-LTs8DXKFtgt4eEQFMa51vcFzyZOA84iRTgAVkGGP6m6L_MrOgE-hhunNK5LDQk7dDoF2_P6ZKBhVUZ1RxtSA=w1200|https://lh3.googleusercontent.com/pw/AP1GczOgSbPQPPHfXB1aLSPSC85Dc0AfbJNuAyp3zvdPqR-ZlUhLPP5t8GrIseahu2Z3MM4vNucwiR__kRWq7EsW4MAGdduXRiYYTkaYLb2OQ2clLgP_9kVd=w1200|https://lh3.googleusercontent.com/pw/AP1GczM48whLnxqajhsSwc11rThJ2ooJW9bh__Bg6sAv_F1D2V9UN55TPyvrfnDwNE4BP22psZ4u3zvgtze86WKPwaevFemyr6S3ceKR5OnzvYkyX4-yEwzy=w1200|https://lh3.googleusercontent.com/pw/AP1GczOZ6clnwBlLe2OCpWquCph3xtmJGO625rXAVSJjJ99iWCQDmabnNYYZnZ3yIYJde04AyJ9-X5BiSnCFgf1fkysPWsDRqlfmolJOHTro92JJTLa7dsoH=w1200|https://lh3.googleusercontent.com/pw/AP1GczNEq6O2NwcSXHTAOhlXKYOV93N6TXnhXp50BcvXQzK_TqV2P6eLVDnlfy9_E0tHdY2qkjDE6v1AazuP3WSbSKpbc7S2_kGV0eaSzdmlPc3ZkZM4LY0t=w1200|https://lh3.googleusercontent.com/pw/AP1GczP4oAybvkwwB87O6IkdvxBt20EuaD5eKgxaxNJo9UglzYs_D4HEpGreM-9wDh1cda3GHDX9ScHFZWq3LNxYRI-FS3xQ1-1BXq4NIOTz02KHGZ_Wvxbg=w1200|https://lh3.googleusercontent.com/pw/AP1GczPJtG4rFEKnAI4-mG8a3Eucl0S2rc4lXecxYq5Bp5-wOJiypUyrWRz3KnsKnIMZPUitSCwBNEfkp42hh16Bv_-4ZkQl8i8eLqPNuO-wpTzk8bgUfTsA=w1200|https://lh3.googleusercontent.com/pw/AP1GczP_rQOsIK48GNwz6rkhOqI1AfS2TgGbSb5qcUcNKLhoHeXouokGwWHS45Eo0r8Yyf9O8wfnFRxKjJTaGlKOBV8-8RaphED9Dr4gnTw-G9C0j57lireR=w1200|https://lh3.googleusercontent.com/pw/AP1GczPWKrG0quY3zWhA1DFzbVgeCJveKT05VaVXkwg5ihhRxvI7dwdiGrDBmywPQ3dXViOJkrUDJO2eQ-n9LAk8tvPRsFlfnMLktkwJG2pJv4RIs0-lnM0q=w1200|https://lh3.googleusercontent.com/pw/AP1GczONIDe9k9gl1aDH2jVECJ2ZSS2HOpkgtnvORCcNKq6fpYVeiptaY0LtcPdf-zfrbh0iBeU_HpUhDtBSf9PKHZaf9SaWKV3QtaZLDNIv2uSS1YZcFaci=w1200|https://lh3.googleusercontent.com/pw/AP1GczPa0lz1cqhxq5QjyfZ2Nxfm5SFfyn4VUMgQhI_g0qpJiHTj6smQFjeMHfvFdtrxBefuvwQRgVJ2EPQ61GMkQxw9o5k43xOLJ5T7eS-P6PDqvlInMR5l=w1200|https://lh3.googleusercontent.com/pw/AP1GczOWIY2jtWA7J5BXKAweCwRBii4OvQeSW8gJAlHjsTBlUoBUqIyYrE53iGBDyCafFZ-g47MAyTYYTxTScDtpQ3RkphCB0Mqg0jHtQpGKycWwMQDtpp83=w1200</t>
  </si>
  <si>
    <t>862</t>
  </si>
  <si>
    <t>Casa en barrio Los Guaduales</t>
  </si>
  <si>
    <t>https://photos.app.goo.gl/JfNfhbKqF1ssBcwq8</t>
  </si>
  <si>
    <t>Casa de dos pisos en venta en el barrio Guaduales, Neiva, ubicada en el sector oriente (estrato 2), con un área construida de 150 m² y un precio de $360.000.000. Este inmueble ofrece 4 habitaciones, incluyendo una en el primer piso con baño privado, ideal para adultos mayores o visitas, mientras que en el segundo nivel se encuentran 3 habitaciones, entre ellas la principal con baño privado y un baño auxiliar para las demás. Cuenta con una amplia sala con baño social, zona de lavado independiente completamente cerrada, patio funcional y espacios bien distribuidos. Se destaca por su seguridad, gracias a su cerramiento tanto en la entrada como en la parte posterior, lo que brinda mayor tranquilidad y privacidad.</t>
  </si>
  <si>
    <t>Casa en barrio Los Guaduales, Neiva.</t>
  </si>
  <si>
    <t>https://lh3.googleusercontent.com/pw/AP1GczNSKamQ8QXAY6Pbd2TsprUUXS49HWYbnIahQfVEg3xRge7CLTq8yH2a6fAWsJHsz1iRBDpuQA0Lerzp0L7TAsC017imQuEG4-iPOoIeY7XEcoUvQ3E3=w1200|https://lh3.googleusercontent.com/pw/AP1GczOtqcfu4ObU6GMFYt2FcZSeOOqcIlaijahSR9LDh-uYpL-6Gw7fgw2jpWly3h6Jm-djbjVmPJEfKYpflPn8ITiVYH7JMjCtJY78EDVKg3GJEYPTEvFf=w1200|https://lh3.googleusercontent.com/pw/AP1GczOnoKMONGWqnnj1mv0ExRH7LoCLOXKMOxf63euFE2sy-TMCCREPjEhGW7tL-a4yh-W-2ZWn4LRPEI5XPC-hVOpC0GzEHdayxOHNq7Gg19MXEyvICiL3=w1200|https://lh3.googleusercontent.com/pw/AP1GczNdo_r9B_JN8GgEJG0bjGU9WL0Czb5C84ydC3qJor1ua6gRupxzCACTWOVckkSxfy6DjgWFY--D3-LazGriACJJwWlyAlueyJrMUdkRLiUB3w31vh2D=w1200|https://lh3.googleusercontent.com/pw/AP1GczN2ItTZ1OA5_yAahpPXlbXl41tae-sH5Rarmxq47QbQglIy5hBVo2Gn_oXZAASP-0x2lxm-cqPDfmaXvGfBLz6s7BgQZ0355p61SqG6sAmeAthXXbIu=w1200|https://lh3.googleusercontent.com/pw/AP1GczMwCP-HTOTNmcwR1tmOSc6-aKYHXPRsjkVE7DlSLh7KALAy0rC3N4w4GikQADxa_KppDvS6pSNR3Gf-DwGTNA7kPgn12yLTFq8pEQswxb2DcTEYfUm0=w1200|https://lh3.googleusercontent.com/pw/AP1GczPMQCYN1N1RGXiePUOOnN4YiStAfEJmW_7zvoS4plB7RYbGDBColfMiXJv2iNNqX-aS3AkZ_Lo1EYXHEf2K73LLf-pQOzv8Sq27gR9fs24GTpMbraGQ=w1200|https://lh3.googleusercontent.com/pw/AP1GczMV_ViTkTG4STRpqI7qqdYBJgtP7yulEtb3aJ8LE8VpDCmNz2QjlC_aAcFwYRMMZFAH-yp867U0II1SMtgQeha8e5NSlZmfTeNQSdZgLUiHB_IJlhHK=w1200|https://lh3.googleusercontent.com/pw/AP1GczMtTyvykwu_dx4S9Py6K_IXgBtcDH1z-CbXQlTByHig2w7soltUqrIwNT8MbCVYJw-6UyWcOiXYedwKwFcAkOjyGlzBG1mhxr3sez6mlsqIqWGZcQge=w1200|https://lh3.googleusercontent.com/pw/AP1GczPWWmxIoYdXYCC7vXzqWoSX_GRYRs3Qfwx_esYMgPr16z3Vf7HK2CgwMFOwxSAG9FZiSzZGhpFH3ubF0XRHHN6-qD9JSHYc6n2aBtoJZ8HtYpi4kpgd=w1200|https://lh3.googleusercontent.com/pw/AP1GczNMMz2jAW5jnknXLEXehLh28r32RHEDXiVWYxS3AwowDkeAHcz4BTjqnnUyFUzP-2CO7BMtpemTBlVgiW36sjeEU2BPxk9D6bkQqq3WdxexigVKSBkS=w1200|https://lh3.googleusercontent.com/pw/AP1GczMT_JI7Go1tdAAK5MMkWpOFoVfQZbeQrSCFvjuG3fdky8pyhis1r1URzuo3vUtezfjaVlk49CCu0liU5vH5XgWKoQjt4d15HHF9ZHeHIk40FHUBrO1t=w1200|https://lh3.googleusercontent.com/pw/AP1GczM95Ow_2kSFmK_Uktp3tl6yroyFgkgA_mlrIZ8jspVygE4lKrIDhad6VLiFJAbWdudoheVUIfacCV-4oRkSL0HHi54RiLd2FqXs57hOwsaIyDETvghh=w1200|https://lh3.googleusercontent.com/pw/AP1GczObF7o8Hr7hWbn8L1H-weUISd6ZXQiM60Q80QkKiPqWu2T87h72gH-_QsL_z0rmOFvNtnqR50Z622o0UQZfCvWdXsqXm9Gp11ua0Z8Gi9M_YhbgCiEB=w1200|https://lh3.googleusercontent.com/pw/AP1GczNCmGozeuJVIdT69yKZyLbQh1gAYiKhIvIRxQHkVzZzyga2k6vQWuKu5H67lCL-7C7Y6GawfenAOSr77CUs8hG-UKL0ZQELSV4SwpdDigYbRxRVBPeC=w1200|https://lh3.googleusercontent.com/pw/AP1GczMTyE4Hie33wuaOhoJwTdL_UC9ReAFVSM1mYihpHsKIOxIWK1gGA2pTajszGMjA3XUFu93EuMZpbUPmwkK6W28SlVnPyXY8xWOsggfbxlt3s5Zi_lBl=w1200|https://lh3.googleusercontent.com/pw/AP1GczMye5_kWqY4G4G24_xNEAeccbByl-QTCH15_yZvWxZuW770ylsav_fQQ7qUbWiHohQBxeVJgrHERmc7W0VOvETNyK99ydAyhiJh74J6512d2ETHCtba=w1200|https://lh3.googleusercontent.com/pw/AP1GczO9B65cs-mNNIc9Y0-ltvBRo1E7_UGS8L865Vn486PdSiLxTGQ1gAQorDVxLl7o3wrNfnV1LZIJxX1wdBWpEJDfMvCRBTLC37jFmkSUWqqFu6z3KXyH=w1200|https://lh3.googleusercontent.com/pw/AP1GczMyC_cQVf717np7w_0fS26YindQkusaOq3gQjbe0StWWbxJlqijHSkT0yM-SUA_aPhoFFkzvW215ihdXI3OxI135zpOpfync1CYfdst3L7Kljn-FqIj=w1200|https://lh3.googleusercontent.com/pw/AP1GczPMaxpU_tjo1jjvq6gCoLdCO51ySCMITgG9DCFsfQLvEChes58_nfjLS2pZIN7bpvKa02XNYUdK-XeLuZh1qQXAJPuzz3xUpYF5mYhjJCryy2dBjMBw=w1200</t>
  </si>
  <si>
    <t>1287</t>
  </si>
  <si>
    <t>Casa en barrio Alameda Monterey - Tesoro</t>
  </si>
  <si>
    <t>https://photos.app.goo.gl/wnVtkfiy7QPGppfo9</t>
  </si>
  <si>
    <t>Casa de 2 plantas enrejada, Piso en cerámica, ventanas con reja de seguridad, sala de televisión, zona para comedor amplia, cocina integral con estufa, baño social con sus respectivos muebles, patio, zona de lavandería con alberca enchapada y lavadero, escalera en espiral con barandal 3 alcobas todas con closet, baño, estudio, garaje techado y enrejado. Área construida 134 Mts2 Área del lote 105 Mts2. Excelentes vías de acceso.</t>
  </si>
  <si>
    <t>https://lh3.googleusercontent.com/pw/AP1GczPlHZfFenCNn9jAotxqWDkBeXM0dEqYMkq3gjuAmrjNGKSV3UbD0R8aJRFpxZqxmezh7xTuwLXC-iQYuoXJSZ2SfcxN8btrOwPgTiGBesi0mwUDE34x=w1200|https://lh3.googleusercontent.com/pw/AP1GczNOXbCRSs-p8S2PUYSrxPIOAJFkvFsVbNdDGBJdhG74eb0_FZ-AvFYu_hA2oqR2npXgY1CYauqbGeiP5DQl61_htoc79EHqazwwS-W9fBp-sRQX7dth=w1200|https://lh3.googleusercontent.com/pw/AP1GczP3-WV2wI_MXTOccWPY-MWzTiUvnKcj3ImV1j8soracuD3SyC024B4w2VelNhFD6SlfeVFinuxeRo22KrA09H3lo6uiGz2SCJ07TDPTSEsJ97oNVm9s=w1200|https://lh3.googleusercontent.com/pw/AP1GczNgBd3u7KClIo7Gf6NOHWRsHsxeCwI0vEE2ysX91ZRvonNXtVxw8szPNH82Kz7Jgpv-my4vYumlc4GPF2e1x_TS6CIIE5--GY0pZYJ8YIINqAHyliUh=w1200|https://lh3.googleusercontent.com/pw/AP1GczONrDrDQEl4_NFoWd_3nCnZqFZQIjh274bDKiDJOGrla6dA6Ti3LZvxLQl57kmj6nG1UR1iomYT9tmploOaMD-_ptcCdQoO2NVELMLveKODcjXihr_w=w1200|https://lh3.googleusercontent.com/pw/AP1GczM0tWyMVu6QBLGCnDP-Fqvo5Ti_cLadU99AU3UlWyaQbwY7yHF8zT4Y_FN5BllYW5Z6XDNvuon6DXeqRzXmMWLrgJ4v6G0GGJmv3ulQXvQB7JtWipbT=w1200|https://lh3.googleusercontent.com/pw/AP1GczMqzO1NONjmFShf3mAAS1_pmDzLUrKHR1jsBLDp2I0jtCkQd3t-simxqHY1E2m0XEEJZodwe_V3nq_X4QvKtR4a_-oHcpOwZvWqU7qG7Yjqq7bcDB4Y=w1200|https://lh3.googleusercontent.com/pw/AP1GczM3mfPx7ubW79uYbPXletIUkYIcSLSUy0EWI7IW1nFVbgStm1glW38fo7VECfLYwyMvep2BQyDVUHtQjnRsrznFSZCWLhYukUcUZNzlvfo8eckUOG3A=w1200|https://lh3.googleusercontent.com/pw/AP1GczO1r_yW9f73xmVrt9D5UOdqALuLhYchvjCow81BVoLwGnKo8kal0_K8nbXFGGWetwb4xP0sCqtl8UC-mR3-MToxI3B9_Nv5XYfCrYkIqBHJEkeBVHKN=w1200|https://lh3.googleusercontent.com/pw/AP1GczNPr5FKsJZ3iwKKQrEoF9CHPLWKyhhj-_Itv-ZnLQQVS_08O1HdpXjc5ffUyn6HOiKxqZyGHHMnPFHv-8W5qjgVT08zGSbdzPK_0S7aXT5WoLDTJZUp=w1200|https://lh3.googleusercontent.com/pw/AP1GczNqMGHgSK_skn9HuRvPifdPUsQrOg-4winlnDvAlgI4hxNGRj0-SnOc7xfse5VEKIfZUunBeVg_ERBC3f_fjt06lC-Tm9g1wmdhqopXkxQBpBOZROoz=w1200|https://lh3.googleusercontent.com/pw/AP1GczNyLPebOCrsyX9kG6ZyEHzxZmpSVcSc78fKuHQ-yaIsYLPZ_C56PmwToAbPBbPowf-rHOt2SZO5RIaFoqzqCSoJBsu4nnd1Zxxoi7gKBBZT5M-NEROM=w1200|https://lh3.googleusercontent.com/pw/AP1GczPj1tDDzru1GUNW5Do8dzcjGUQLEOPCgVLJr5bURnLBiqmlA5GIRpfh6-5n6L67lQ2e8l_QWgG0D91hUa55eEB1fKBDXjZZOabPymDaBwE5pdPYPHuk=w1200|https://lh3.googleusercontent.com/pw/AP1GczMDxZTDXbreLR4yI-slDvAXJoR47lnTxqU7coeUey_muL8Kcv0rgwzavx8JSNFg31o3BzSyCULzEelzKEHmWUTv3Jhpy3qibk6Qfa548XvUhLxcdZOU=w1200|https://lh3.googleusercontent.com/pw/AP1GczMmFs8NGIu_iZ1Ud5_RfTRBgnfhGRLkVAu1pC9KG4rmKnfTaIbMFgNd_Mt-QdFiIJbsNBTzraRkZPGOoJYfZ61LqlJCw1IXHrcx1A3AI_rUhZEThDIR=w1200|https://lh3.googleusercontent.com/pw/AP1GczOjEWi-Ei0Hzjmx1Tx8MRficLlp_H9nhU_uozIBXktHandiuBs64qUzXyuqRgj7qpPArL5-ImUNHzD6ZIWWB5dpKMPMlQVy20QgKQDyvQZcQpKC9cdi=w1200|https://lh3.googleusercontent.com/pw/AP1GczO2up_ot_LZDk7xrDOylPVCXLSyKlrZi0GYRvshZFuHqBfBqMO75lxTqy6VPP_IMl_tgyWsB-mKcwA2ZpKIVhSVwcdTy785zGDo6_uWZ5HMDOWdQ200=w1200|https://lh3.googleusercontent.com/pw/AP1GczOywoid9l-DEkUIB9troXm-ZJ4cDSmwS4KIOCiFNkT1enFe0l3ZlzaCMUSJjiDcFUZccZsHdIF0FALFQMpPuQty2-lVsLe_5oqzZVar2vc4SAcgKClg=w1200|https://lh3.googleusercontent.com/pw/AP1GczPrt2h7n1wGFjHV6-mLiYEPIBqs26MDiM_JHT9QRWaiKcVztjyWqAYAcNPNCRdvvTciBcjoYNSw8BlbiCpbRXfdSAOOJ5gnpaVgmvPdoYSH164mTglm=w1200|https://lh3.googleusercontent.com/pw/AP1GczPFB3mjjKzX8fGE0sBFZbaWoKzK218JQ9gr8tZjKLg7-OxEdH61_-haCxK3X_88WbOeHzjJEQ5mBbvGvt3BSa6NqvD-0ejGTRKggAuxky083vLtaC7L=w1200|https://lh3.googleusercontent.com/pw/AP1GczOzapat2Jh7zoiF5m9une--52cFCP8vEON2na9h-1d62RP1StBTe9ExIjH3FmeYvc_MhWmx2Nv4TvFW9Aj_I_TJHXuN8-L2zLh7qXyQWf_u2q1eu8Ft=w1200|https://lh3.googleusercontent.com/pw/AP1GczPJUAnRUnGx_wZxAgJNDWnqirSXvRcZJ1wRLl6mqGhH3JcxSFm3cclu1BKNFulNT0IXYz4VFcoEUYVIo5UEevLyVEYTeVBydvPdcE-eJilgGQ_xoNOp=w1200</t>
  </si>
  <si>
    <t>1378</t>
  </si>
  <si>
    <t>Casa con apartaestudio en barrio Gualanday</t>
  </si>
  <si>
    <t>https://photos.app.goo.gl/bzZd1yfUDYYmZrn7A</t>
  </si>
  <si>
    <t>Se vende casa de 3 pisos, servicios públicos independientes, perfectos para generar renta desde el primer momento; el primer piso ofrece 3 cómodas habitaciones, 1 baño, sala–comedor, cocina y garaje, mientras que el tercer piso cuenta con 1 habitación, 1 baño, sala, patio y zona de lavandería, para un total de 4 habitaciones y 2 baños, ubicados en un sector de alta demanda, fácil acceso y excelente proyección de valorización, ideal para quienes buscan rentabilidad y seguridad en su inversión.</t>
  </si>
  <si>
    <t>Casa con apartaestudio en 3er piso con servicios independientes, cerca al San Pedro plaza comercial.</t>
  </si>
  <si>
    <t>https://lh3.googleusercontent.com/pw/AP1GczOLMQNyglT_oZ0xn8JCZeP-SxUuAf1g3tXzDpzkP_-nU1wkTKrsNCbEo3U6QF-6ILc0CX9aEi9dY6LtZhRcthutcD4Xl19CPCpJpNLR4rW6R1cuewE4=w1200|https://lh3.googleusercontent.com/pw/AP1GczOWfZrc-Bgunc_rMk74el8dwMgBk0X4BI6SlMiP_eZ34zzR38G4ZL-rebRyqyUmAtdDiWVIrwEtMlShx-pN7DczYN5vnKA-06DsgT-3zAVCqMqfmrcZ=w1200|https://lh3.googleusercontent.com/pw/AP1GczOQFb3lu_bbz2ZTiy3iqXZKo35iiO8NT0WhPDxxd_SauRH96hf8l7MFN-d6peC1oDHvdvm_i-3-NqKjCrdC06nfZWYkBW0YOgKuy0NXN9GVLVyIlwR0=w1200|https://lh3.googleusercontent.com/pw/AP1GczOswAF9cvwSmjahLBJg6lvEwioALHRaFKDfeHMZ3gaopeOQYtawsV8dEazQ8UY5z-zHZsqYO57dyQvqC7mYX3HNhv5qi3ZUV7_rVWSNCf_wWSPuqaD_=w1200|https://lh3.googleusercontent.com/pw/AP1GczPooMJV_n9vwGOsVfWqA1xUbrWzKVQUa8ezMUk4SjNOHszU1AAwoxPQJc_ao_Eqb1nQwC1cpA-Pj8rzTV6Z79nX5VhfC9272n44gcXgtnP4HcqjUpbk=w1200|https://lh3.googleusercontent.com/pw/AP1GczNH0rqnIe5uakOkYTJQ5v6bxHBmpkDAVaZPLRobEL1UHwLgdy25nE4q_RZIuxpZZQh66aI0bkTi9Nz6YEoa8LeSeobzO_lkW69QbLl_HlaSbeuoi_CA=w1200|https://lh3.googleusercontent.com/pw/AP1GczNkYMM6du7wpLFJy_e0PQeRyKXSJLCsMYO3rMGp_IzpO5ipJUmuos175tDysMsMNJhDmEGrFlGU0q-PA-21hlYQ5K1YJFstbeO9ATOi6RMj12Po8R8W=w1200|https://lh3.googleusercontent.com/pw/AP1GczPxQFuvl4Baq2P6iOeEOOO_OUDaltj2jkbFZlnnv_wabfmxeDoSuq5nPYpAn3VPgOnDsujV5aeG_TFWRhBWlJZX7hplDXYMTatvFlzR5jy3l0E5yUcF=w1200|https://lh3.googleusercontent.com/pw/AP1GczOxzILFJFp62o5lZiAlxLwW9jg7wovn9H-9c8hlYVvIzi-P6ZvF0F2n8lMfHg-WgKAkkrrkk3AFW0icZAEVRcodm9AQbrONilEkaUvJ9tlBVxUvbYRw=w1200|https://lh3.googleusercontent.com/pw/AP1GczPUmtzNWxAu3uwarAwQx67qzPy-h9xaBVx_2OarOZ9effNtDM__6RNtJMk57HOsZXPtjkUaoykVJkAgkhLQFmZjWuyNdq4gs1mspGexNhk1msJxq0k3=w1200|https://lh3.googleusercontent.com/pw/AP1GczPAkRpGQnW1sV2DrFimucfJaCw_MMhilqsUL-Aotxl1zpu9tUQSRq7tEgLAfgngOftfToGOPIbc0NR57fOnRZBYY_Nte3Lh9TG_YXAoHIMSngNi2IS5=w1200|https://lh3.googleusercontent.com/pw/AP1GczMh46l-WNIxTg-3aAw0uYZtoJftKTYJC1pRv_kccG9J1pCvW4UVc7D_MhVYxEe2jN2eeuIHY7Lm5ce6_7CWqzG533TXJW1RW6aAey3EmuTHzEZLX2q5=w1200|https://lh3.googleusercontent.com/pw/AP1GczPIoP-ZY9DINQxowrGFDYzkT3LHOMK3Uo2669dR-MJQB60-mCoDEuc96MWqmhSUPnn7Z0Vc_mT9N-Xfl3lUtaNYSWSX_vIJE3TTdCggLS0vy4gLy7C-=w1200|https://lh3.googleusercontent.com/pw/AP1GczPtCc3z0daUqTRg-2gtpeqryzqn5pG68rTBCUfvaQVAjWgBbQth4RDoP9MU6VDJuIVRsnEewZ-2fOHJM_wm2ck2LTeD5K_UUq0TveqAdHEEaEU6u6kR=w1200|https://lh3.googleusercontent.com/pw/AP1GczOu3fiDiESDcY8CE4YKdma9Up6Yo8LJSaNzo9QBhe7O-ua9th-BidwQFUvaJGyHKZkcert1eKZHFvN_zbk3ku_j-9E80Cv7rf2gpgdYyqKrbvM6iXUe=w1200|https://lh3.googleusercontent.com/pw/AP1GczMnA-SCq373HqSC-O4Ms4TmYm6V3mUxulFZ2-MKa3nuL66SojANUnaDMgV42xAwbBxxDw8ILo0b_vm-CtL3aU9-CbcmRDfgfp_wFRmY_Qc7weaWiqx8=w1200|https://lh3.googleusercontent.com/pw/AP1GczPG8pjcw_njQmZJ0p5i6CBKSYH6H6XetaORjXLIbSnyJv7ZSV_lyn_mviKt-RQiV-l_Tgh2FtifQTN0dgAujey0o_zMNEoPYrfKHeIxPNRSsCr2kjyk=w1200|https://lh3.googleusercontent.com/pw/AP1GczPGxGDgCh-fT1reXhXgCh-skUWjH8y4xuuZzExSgNJd6c36R1P5R-aVmj1kcysU8anWx39ZnEjT9poj7ylmQqIJZbwTnv-LmgY5ZvCgMjxeyih_lkCt=w1200|https://lh3.googleusercontent.com/pw/AP1GczNHmLMrJnH6mANZTf-0gwpnjPQcVwvoMbb2fhoAwu2pFFmNDPx24Ckicz_9lHxvp83r6lhsK_5raXUvtguUIdSoLAWnSO6-2NJL_eBsFLdHpDmq2hZL=w1200|https://lh3.googleusercontent.com/pw/AP1GczMmlGE7nLHUU2ahpEXi7PJ0Y1nrXYnT7qyES8pqrnk8t3KDJDijl46WHv773stGs4VxEFGxLSrIZcmm9RhWSGnPTKaRW2q4cv9rqMS1Bq6aqt2wEG0G=w1200|https://lh3.googleusercontent.com/pw/AP1GczPAUKiwyA_uU1kjN_PmpZ7vXgRVlMyjYdaCwOXZ-LrEsOhT6J77z7VWrr_47brh-Y9O2cZ0OMnyD9Rl0KLwsWV3n-PUnSQM2jugqNo9NI-JieOJ6mXN=w1200|https://lh3.googleusercontent.com/pw/AP1GczNSIoormHz4XvJ6kWRUqdacfASMHXUtGJ2wahA497HAl0V00GZ57E08myVbVgtnDgMiZCaaGHvtfsGtJnFtGst4JIxcIlgDVyPpbn-gQqe9kTmy5O7a=w1200|https://lh3.googleusercontent.com/pw/AP1GczOTKRwgXF6uJT7LCmunpFam8oGZlSvXMEDBleW9ixRx7SVV9DBzFC7MZWVIrY9n28DlRq9o-8Tjb-rdqBTAc8Nw3cxaV9VGg7Cjc8sveNcL_jC1mXrY=w1200|https://lh3.googleusercontent.com/pw/AP1GczM2J-CN-_PYusMFMCllWHJMU36m8m58SFpabzke2ZEZNGw2NO8VeQRPToPD87NQ4byAt66rmMws0qlT9KrKdtoqDkEcDUtRyIzTKODs2-l37WbBCm-d=w1200</t>
  </si>
  <si>
    <t>1331</t>
  </si>
  <si>
    <t>Apartamento en edificio Montanar - Oriente - La Gaitana</t>
  </si>
  <si>
    <t>https://photos.app.goo.gl/CpZZ7LXTmhuCNZE6A</t>
  </si>
  <si>
    <t>Apartamento cuenta con buenos acabados. Distribuidos en tres habitaciones, todas con aire acondicionado, dos baños, amplia sala comedor, cocina, y dos balcones que brindan excelente iluminación y ventilación natural. Se encuentra en cuarto piso.</t>
  </si>
  <si>
    <t>Apartamento en venta en el barrio La Gaitana, ubicado en el Edificio Montanar, en la ciudad de Neiva. Cuenta con un área de 107 m². El edificio dispone de ascensor y área social. Estrato 4. Una excelente oportunidad en una zona residencial tranquila y de alta valorización</t>
  </si>
  <si>
    <t>https://lh3.googleusercontent.com/pw/AP1GczN3h7B5eH_QR0KeS58lQOWJG69yQVvC9onNlU5Qa775lM6P9hCji7HWjJd0xQammEJG1R5cRsSjOFIOw73fcp6ayU2nOOsdQaNbyYbBG4nH0n_tTslj=w1200|https://lh3.googleusercontent.com/pw/AP1GczOgYdNIGc9Uk0WtrSq2X0_r5lXRGkCTQmiFMUxeAtMC03w59N05zyWlphjGEl0PYmRvNNdid55kFoDcQjLpwA6rRLWAsYtXMav91PCBfPvXphtjnn38=w1200|https://lh3.googleusercontent.com/pw/AP1GczNKHzhGcbG4NbWeUTviAxFx28VSB10xM-EguyiAHZa0EJlZMAeyAUPOTNk_KaaousxMkNka_YcA11j0GnspqzRt2_fYxXTp7z1syeEcLv9DkL_M-QRX=w1200|https://lh3.googleusercontent.com/pw/AP1GczO0-g_0mkwV3BCu0onmWxMcAC-lcoTnrV9jO98fp-cLsB16FCyr5Mj7_-Av17g-17MEME18ItfClyYBXdiGnk7B0pTd7gE-h5sqfB2kV68S9kp4d4YR=w1200|https://lh3.googleusercontent.com/pw/AP1GczNdyBVJcWzr8hZCxjLIKICg2Xxs5qZj623FYxo9XBWPXAHseZL4xfhyTsMu6db5lhew5M0mDmM_NreRoIIfVVu-3hM3PScN6UN-QRf9571TpS-HFTyY=w1200|https://lh3.googleusercontent.com/pw/AP1GczNPDHNPDFg5aaiqjAPphg18RwAxuKr71hfrAV0SRyk2tvbuOhVgqPb0Ydwem68gMArxtsJGMZRds97RicwaeJNKLIpVVNGlifvwtlHZX4Grh0bs-tpa=w1200|https://lh3.googleusercontent.com/pw/AP1GczOxgbs-7sXXSFCMAxYnEETaro-LoTGBa-jLNPQeAsrVVE77zQv-bk5csZQB7-4-Y2ECPWDbp6P7KrABJTNlAl36tXNXXomrabXkfvH51lkpoGdtfOW1=w1200|https://lh3.googleusercontent.com/pw/AP1GczO9UaRlwVZa7xZPkXwS6gt9KR3Pq_qEQjO3RARsAQAg9oPaKvC1msaOcnnm1rjqfIQYwSZWU27aCBzYntO-cnXtnDUmkVAMf6BpQpBOrrpHk4EGhYIK=w1200|https://lh3.googleusercontent.com/pw/AP1GczPu_RSSzGo1yyBCxUTPMTZ9OI8sT6BGlJIvlA_Gq8c89-RwZFPM7zMSMjID6-cn2edCe_4OAxlI1iY1w8f8utZo9lfYmm0e98NuzRgXiZ6tsMD1zk83=w1200|https://lh3.googleusercontent.com/pw/AP1GczMezag2X21kDc-b6GMu0WikI1SZlvKGnqiWCqtdBWeurqSe4UAqC78clkw-Rma5s7ivZpp_m6nahC5cT95xNQADaodfknNwBSMi3lLBpKymSbl65Rc3=w1200|https://lh3.googleusercontent.com/pw/AP1GczMw--YJVc9eOngPs1RXGc5xJUBckSNlFHHyX2rGU5zDBBp0KRJjGIWloq9JRXbTyBTRzdagcno7XWrXZQ9ZKN0FgZFV1BytZHgp8YE2QzMfWHlu7Fuh=w1200|https://lh3.googleusercontent.com/pw/AP1GczNqquJweK8pS0iWeNieKOEbephwW_jR9ix4lXixGgHY3TryEUIY_42OEIyB2lxLFOFJfE2evwmHN5iYrroINwDKm4lbhoB-J45NaTtVGOTRBQICJnFP=w1200|https://lh3.googleusercontent.com/pw/AP1GczPIKFtt5Dsy3OV4aKhG9YEKvHqoIylaivWzClvpaA1FTmW03m-4d25NrOP4Ajg9GLHtwr7O2-_eK8g7t6wcxk0wrs6YAOY8bD6J_najrC_PFcveA2Od=w1200</t>
  </si>
  <si>
    <t>1245</t>
  </si>
  <si>
    <t>https://photos.app.goo.gl/LkXspBzMFj6yQf46A</t>
  </si>
  <si>
    <t>https://lh3.googleusercontent.com/pw/AP1GczPBq1xGT8sOjLpCbBc0Ptj1UFU7C3jue6I9ziiaBbkLhLhExL9A7MkAcXOgdkvCGosxS_tJXR7G3ml96ZSDmfbapvygNfe2AV3_rvrrW_D_60H9L_Rk=w1200|https://lh3.googleusercontent.com/pw/AP1GczPJn3KXypCi7MGzd0WUS9_rjJEXo3cMtKuoKcYFc_FzigEpdwxPlzZORrdBf4iZ-RBuDAN6erB6gtMircGsSFfkjr-CpzSIWxIEGpKX-Gy9417XfMcK=w1200|https://lh3.googleusercontent.com/pw/AP1GczNOla9IUzjHHeFEHs20k2PV2m04Xql0ro2VbqdwNNhsLuQZ7HELhyFIdPztFibn5nYrZf0Yq1vwxijFX73taNMRxvYxhTvJJMBmmXCcPmARC0hHZ1oM=w1200|https://lh3.googleusercontent.com/pw/AP1GczNyt3ArkCfIo9ARdSQ6PnbEMvlwKaJFzwNmiKE711o772apViKhKqJBv1-WwgXVS58BNKt2-d2Kioru3dvcKXL2CrIhcIFTu_CaMi1M_Rjmqih_7a8R=w1200|https://lh3.googleusercontent.com/pw/AP1GczMrmiioE-X4InjlF4sr8xphG6JtIn_BppQ_cJtV3_-FDWbsbCwYlPw8zfuY3E8a_SBCu-kLDAtzqpxvZqkzo5NMIQN6xd6AsRzj1y17Z7wWhhvEZYkH=w1200|https://lh3.googleusercontent.com/pw/AP1GczP_znFzkICSZeCW6gITudCd6e2u7_QUnf41Npzsivm3Ng1pedtdh7Ow9-kHVJzrXvhzgHf5clIei48QbxY4EqLy9Y1WDkmbLhNLXnlmZy8AULHHfDtN=w1200|https://lh3.googleusercontent.com/pw/AP1GczNOUFCi-0O41kHG4imLLfCntpud2PqSqCzqER4zOejywyFit9xA90qYt-DI7TIYWt5trveAaEimcbdNrCuqjR0k15sxtAiZL0QVZPokXSBXz-dOtSw1=w1200|https://lh3.googleusercontent.com/pw/AP1GczO296ckpJx44CLyTtA09AvgtpB15fVsPDJJ5PYlWzakYO_EnMUS5sldAiCyweQmeNZLumxlzImogNzBABhKzqMvjRNQxbrvLsvuS8GEXQKeR0F9qKsv=w1200|https://lh3.googleusercontent.com/pw/AP1GczMGX_9tMSvVSPhZVadTTaWvWoEt5S_DNlFPIS1IGb8C3SUh9o4PY56HcySwtdjd_Q9u9kEhVmCicft9NUcRayBK8ivCO69_UoZFL-hlpHscHFM9ypcb=w1200|https://lh3.googleusercontent.com/pw/AP1GczMrCvS3WIej8tPxL-vJzoTQzrNzA5CQhgDJwscUeZASkTkvQAeF1iLrxCeD0tk7snIUBeRYpUuI902i7_QTeWlcbCxO1IEZHcT1C_yNF_QKY_eEKoJW=w1200|https://lh3.googleusercontent.com/pw/AP1GczP26IDy-geMplYSxTsk8UY6_6A68-MhNfyDvGCZLIv8a3K5CVxx63FcrLdpn5fAbknt-MO3yKzqoiaDi5JdE5hirNx-DHOS1Ipl5u0sd9_a5-KpLZNR=w1200|https://lh3.googleusercontent.com/pw/AP1GczMpBfG6KX6K0mKRX5q6bDEXrap18YJH29MUo-QtbT1xt-AWnkIXVALRfbCM0gAs6UT4y3aQrdFrQWm3UIDBEqOVp1OEGtFstFgZWSFLvP4CvJnaUFlI=w1200|https://lh3.googleusercontent.com/pw/AP1GczPghD_3Nnqp2QLa-8Z1TBboCMwMmpoz99Bfz16glBlMke5AQqo9S2cE38pQ_Dqr-BryexhOnRnBdz99Jb4T9D6AXq3UP2mQDJRVPds5R7oX9Wj12hHJ=w1200|https://lh3.googleusercontent.com/pw/AP1GczMLrkEwQeKDdOMjBrM9xrOZFbwmmRE3PP-CfTUxBXhkAgDktB2Uo6AukqhdSdX7--fLik_YilSAzD7NyaDTNOtzciTVOYWMEi-1x1DCVP0G5AOn0MMO=w1200</t>
  </si>
  <si>
    <t>1062</t>
  </si>
  <si>
    <t>Casa en Conjunto Condominio Llanos De Vimianzo - Juncal</t>
  </si>
  <si>
    <t>Llanos de Vimianzo</t>
  </si>
  <si>
    <t>https://photos.app.goo.gl/CVnCQGxM7o8Ngdkf7</t>
  </si>
  <si>
    <t>Casa bien ubicada, encerrada con limoncillo, con Bbq, jardines. Escritura al día.</t>
  </si>
  <si>
    <t>24 - FERNEY PIÑEROS Y LEIDY, 38 - MARIO MUNAR, MARTHA CECILIA SANDOVAL</t>
  </si>
  <si>
    <t>https://lh3.googleusercontent.com/pw/AP1GczPwMynLpohPShzqegTBAOw2qXS5BkKZkgxIRUKyAspoVm12rH3rUvLuXZ1JvEyNmWnaVV6AfS9C8BdOZHLkOoXXXwFKNkUQ62RRLvyoX_AYMlHi3iIM=w1200|https://lh3.googleusercontent.com/pw/AP1GczO4Ql-HK9IaqasOwvkTGZUKdKWBbp5vPjbY83_itC0MV_gL1OhDC2fp73BEjNOE9GXzB1JgQdox4An6Sp8AQjibf29rV5q0gRr33ZOVOJhTSblXDbjX=w1200|https://lh3.googleusercontent.com/pw/AP1GczO_1jAPLQwk473PdYV-3mIDowDbXjXkzG7mUSS6MsXTIg9XMgHpFictvxat55_Wr26HD0X_XPRm4-GU4sbT8aG3CsrJT-yvyNuG6HyaeoK7by0R72cN=w1200|https://lh3.googleusercontent.com/pw/AP1GczNqqNMjJ6JNeZPydOW4zyFq7IzDTlB-Bf8B9NFkpf4_-PnW8sWCuokBdkAK5-fnKSlCcB4e773BBYI8GNW70TAE3UC9vSjE8c5ZxIPiI88nL5foYNXk=w1200|https://lh3.googleusercontent.com/pw/AP1GczNjT89nhQvxSEAczquYBlH0qO617tZgQ3kridIIPZh-PU06upEPaJt-AmXLnBnzxUyXzAg0DK-lWwy0Yds9LhnApTYIwpwCW5v9k-S96lIp0w84z86A=w1200|https://lh3.googleusercontent.com/pw/AP1GczMRwia3baAg64geuMqrwGVlCW7Ni8Xo9T4o00s_h7YBPYK6iTVRQffLTodaBru_oZtHpfBqXx-tW_gXT7bnm9SmtlYg8ueGuBMTAJLbQ0wLuZubEDIA=w1200|https://lh3.googleusercontent.com/pw/AP1GczPgi24BqTIsnZAMRO4hg-rCm32v1ZGfNP5b1mJ3gVLLCJF58Id7Khu_B5RMXaA4viRxiRewysRYOXFrQohRt1iXT6fNp9JVDgoBrEUQO6AZDYMmhzH6=w1200|https://lh3.googleusercontent.com/pw/AP1GczOE37FHG1xZKgK55_Hn3ufPQZ8kjrvl-K9P0KCtvIMpq3Fm4EAZDxKiBhPXWh5G-o7WNAwTCgzbBHZnZ-u5doqSuWr6fP42mEQ6yT9CEsTpCg4IZm2Z=w1200|https://lh3.googleusercontent.com/pw/AP1GczOaP6qMlM1RnLZe7NxSIfE_KdL873GIHa0ET-R0xaImojXlN18q9e5YzSl4rN0MmSA-oALwGhKbBCKHJ2FMwuWI0l8OQCLTS1EoMQEY13ZGpXAhZ74E=w1200|https://lh3.googleusercontent.com/pw/AP1GczOIFu_KgATIv_ucSgNpXVBySYFhP273AgRFISgfM0mlQKfRR-X7IA3MvVSfAc_khLy_HheZAAP07D_4OPGXe9Os4_6bn4bBgEGfCUaYnyrmADaXHrpl=w1200|https://lh3.googleusercontent.com/pw/AP1GczOUq2xTsxuTuviWir5b67UWalRXhA4267vcTErrpsKGoKweSNvUECMHZZVlOmAMDtKY8brwS-IefiVyL6pBpYeZsTqdvo6TV_KqRG_8P05TnW3NjHop=w1200|https://lh3.googleusercontent.com/pw/AP1GczO7SFkVSbp9Nz5l0qghm0bU4HF4AbzDHqnDyehEQdGGXulkGCBxhqxKasKaHHNAT4RrqxWHdlj0Kp5h4LlhJwJB_Ht0cEhvgpjMsIuGrxGb4OdER7-X=w1200|https://lh3.googleusercontent.com/pw/AP1GczM30Y0UsTqUCDD5lFj0aEgMhNpl8NmaEk1NovEc2lNKK2yfoks8e2XF4_ZgtjZXPFkml90xE3JYZfasQDEkY7PmpcqsYFA3HgttWOcwqYdELInimq_w=w1200</t>
  </si>
  <si>
    <t>1271</t>
  </si>
  <si>
    <t>Apartamento en  edificio  Altos de Yerbabuena - Prado Alto - Oriente</t>
  </si>
  <si>
    <t>https://photos.app.goo.gl/Ln8NCQRo26R2mzUd9</t>
  </si>
  <si>
    <t>Apartamento de dos habitaciones amplias, cada una con clóset amplios, las dos con aire acondicionado inverter, dos baños, con blackout, las ventanas con reja y polarizadas, cocina remodelada integral, calentador, sala comedor, balcón con vista a la universidad corhuila, 5 piso con ascensor, estrato 4, parqueadero propio y el más grande del conjunto, en el 7 piso piscina, bbqe, sauna, ubicado a una cuadra de la corhuila o frupys</t>
  </si>
  <si>
    <t>Buena ubicación, Cerca a la Universidad Corhuila.</t>
  </si>
  <si>
    <t>https://lh3.googleusercontent.com/pw/AP1GczPqs6ZSElIvEtcCwbob8AZznwYw6AWMVn0Pj2-UmTjaBj9k8OX-PwHpIYf8M9RfFUwxAJlZqLGrL3YZiNg_ygSBi-5YBi_m2BysnoUVFhYRWO0R1xm3=w1200|https://lh3.googleusercontent.com/pw/AP1GczMNuV6ylMwKfPWyZ-on5k-PSy4FPkDRKqgDb4aXqvRKYizkgU-sLNiQk15cbif48EgvbIQAbbyz3qumqLSmxjtfM0gt_holUwPzoo8JB-e-c9v_-olX=w1200|https://lh3.googleusercontent.com/pw/AP1GczOa3LpU_ZCF7Cm370M1noUc_zQUNErxSA7qGckzxS21xapCMJouXOwgr6eipAyz6aLywK26U2IQ1PpYtLxXcsmKH5RZTo9hRbEq4janbg6-DIKR-F18=w1200|https://lh3.googleusercontent.com/pw/AP1GczOjx8LlZHICLbyCQJmS9KhLs-BRdz41mJWBgVB74Qf-Kqf5Sd2uVYPDU7S4dErNnSkxxaGTDUoCjI5_iiISS1tBTRHZW9DFlCXjsKeAq53XpDuCoYQL=w1200|https://lh3.googleusercontent.com/pw/AP1GczMGd3PphF67ffLMR4Hhgnc60DDtAzAmcyMpC4iHj2wDEgzkKGKeQ_5LavI9UjeMG9jTW5YE2SP8gbmHMYHAIRqOH87DiIaUD7az9tKnYd8A9IOZb5gy=w1200|https://lh3.googleusercontent.com/pw/AP1GczMGss8NLHocjFn3k3EiW4HrHBsFelrR8JBB1skRqcPKi8k_F0c-TcUND1zMZ6cz88KOwr4E5luXYm57hbIUjgtCSHkh68IxXg9ilLrGw5qn_lEK0g7S=w1200|https://lh3.googleusercontent.com/pw/AP1GczPa6HE-H3rseOuRy1hgj-tEWlB_pbdaF42G10Lk_5naQYEdRa9hSca3Hv6qW6z8Y6osIV0LQ2MocsNfCF1OAhEgT2oNpX-lAYPeekxIju-H2sRvEGfN=w1200|https://lh3.googleusercontent.com/pw/AP1GczNn1GMLW0k7OGjuuVICuQy9PosrsshDrt0PUGr24Yaq04eMA-J58hQ4CZl_mTO4wJiNgyYZVYyUgRloRsWu4MgJqeCP8U971PXUHZFgdcEp64X-S7Sk=w1200|https://lh3.googleusercontent.com/pw/AP1GczPmuorXaVKaJNC55bTOQvHYP1JscOSlHqAZ0KUN1aECA0XsuGJN5EgzZimS2xOE0DEPazmpnHq1ZLu4GA_T4vmi-E6GZYhbtwfskeKzZTRmE-HFwwXU=w1200|https://lh3.googleusercontent.com/pw/AP1GczPmeFuCk3pGTWs2wOHicBIzs0PYqnJSeNBs5h1jYdw0oY-hEyk58Y9T2k-S2T1Lp8M0wWbrkGws5pR2ER0wZb8bHRxi2q3ppCTBEoCfK3z2cQsLinbM=w1200|https://lh3.googleusercontent.com/pw/AP1GczMWVREHm6jWoxzd9IVj4RgFjCe1zaY0UcHC9s4ikJoKLjKd_BQZ9XC3OFj5oetpVBSX8r4jBwTm4aXquzjbcLmpLiuttN1eSrrmm1uyup845KLmTHbM=w1200|https://lh3.googleusercontent.com/pw/AP1GczPpz-TODBjtfDhn5m4grWZewfgNGzByq990CD9YRtOQ7k5nVb62a19sjFYZ5ds5hAUFTv-rWHBQ7yBgAPmH-swCdD7L2ZWYHMYZx2vyYeZXACDCIN5C=w1200|https://lh3.googleusercontent.com/pw/AP1GczOtaP12JiPEAwVMCDulJbUh4ekG8lub-QwDlum0woDxyBP8OQkQInf_oEzKmtI3M9jXru7FMXW__qM83-upTdfm6Z7il6kLMqHUphKOaCkX_6K-wOUY=w1200|https://lh3.googleusercontent.com/pw/AP1GczMdYHVYt_T79XyidTGVehfKpDauE18G8TBrxzH8ilk9cKEfx1EXNd4kMmFPNibnpQM_H3WS_MqUxl_kF2js-hGR_atwoM256KYuyl7mXIBe7o0B60r9=w1200</t>
  </si>
  <si>
    <t>1330</t>
  </si>
  <si>
    <t>Casa en barrio  Terrazas de Algarrobos - Norte</t>
  </si>
  <si>
    <t>Algarrobos</t>
  </si>
  <si>
    <t>https://photos.app.goo.gl/TrPudcCCmC94Rpuk7</t>
  </si>
  <si>
    <t>La vivienda con buenos acabados. Dispone de sala, comedor, estudio, cocina integral, patio de ropas, tres habitaciones con clóset y tres baños. Ubicada en estrato 2.</t>
  </si>
  <si>
    <t>Casa en venta en la zona norte de Neiva, ubicada en el sector Terrazas de Algarrobo. Cuenta con un área de 162 m². es una excelente opción para quienes buscan comodidad, buena distribución y una ubicación estratégica en el norte de la ciudad.</t>
  </si>
  <si>
    <t>https://lh3.googleusercontent.com/pw/AP1GczPS83BeWWNfSvslyl44lxXKSRUEpbsIE2JRN9e9KVu0uQyFALoNfxHPIwdXgMn9ylzPgtlK31zaX4RFe3-7bML8t1FU4SBykF3ol1SHnIqFf96FjI9u=w1200|https://lh3.googleusercontent.com/pw/AP1GczNWRsenVjhaKsqXf_w__cKwe2_nVnpnbue0-ayUBtG_IwQ6rx01XL9K55VE6gaYXZKDffW9f1522Uo8Pz-Odf6G-9jVb8RNYNbmF7z-M8UvD6D5dEJQ=w1200|https://lh3.googleusercontent.com/pw/AP1GczNVwBAVqgHPeuMOYl8j8x8N9KB5pd8b2Yq-reshyVerOopIM4P09sxPyP6o32sfUgC6Wg3QqQIhQEoI7jwvp4E3I8Kjwrh7NWJkHTaZPXTu8mL39lHE=w1200|https://lh3.googleusercontent.com/pw/AP1GczOBYbnaGB4XcBbuUZLOQyT8ynoWn586NEqqmFr40lv3e-JbkEYVkAzkyDjxsW95GwL3FXl_KGJJDRy_sqjl_mRWRCIynxUZjpWmvPuslrSiLVtriAU3=w1200|https://lh3.googleusercontent.com/pw/AP1GczM3sApIEiCtz50AiqiROUmn6loe97mYFyfoCi4zAx951nM-8J-FX7gb_jZfDdq-i2mmwOYjooAsSMZNJDCsazlv0PbsGybU9zhPg60WLieZNRxvuJaR=w1200|https://lh3.googleusercontent.com/pw/AP1GczMQDUfZrVUJalAzbD85X10SL-uVYrKfUkrZYeJp-wHkmNj2pIzeMqXzj5O8hoIODoPejhQrV9IxRcg0jF3roKqFyshq-Tjj9iD6UGWZlOd7cPehb0GG=w1200|https://lh3.googleusercontent.com/pw/AP1GczPKEwNiCEzKOu5rx2YLIOek0UJEpMZ97SCzImutydbF-Tp7zW9Ut3_7e1m-hQwZVD7A_td1ZlJVrrQ74KmlSXNJjYiebts37VJBWf9gXDfYfmGCgjC6=w1200|https://lh3.googleusercontent.com/pw/AP1GczPAGSbuwmvcJV09aVq0EnaqiNfFVWzN0Rub0ggzQBCgcWLK3hhbtsM3sF_-HWP0c7z-RUV71JqpMvSnmcZ-CKlva74z9SXxjrvTcma5l9ryN9blnx1_=w1200|https://lh3.googleusercontent.com/pw/AP1GczNqD8CJndr9pHxG-evEWFsjOl6B5tBF7SRQoTQDfzxBv22CIvDlfZuqL8xtm2_tuK8aBrttTOwYwbmnslhMoTiPTFVRZDBAEmTa-muM2iO5L2A9ecrV=w1200|https://lh3.googleusercontent.com/pw/AP1GczPHUxnyRBCIg8H2XXPd46FH3JYRPe-6PEhpKge2z-FxbJwQqT52RsrBBFxczxajIxDI1Yb9nD81TG6a0etaF6TmWRLQ8vOMjSgWVKimtA38yCKsC0Jl=w1200|https://lh3.googleusercontent.com/pw/AP1GczMUIwcFNrac6JTP-KvykNe9zP1vinkFZkPEODFYGSEiN63AmG44fwSdFeeBjrBIQCelE7uKyyHx0YG8y6uBK_0cUBggWLEYdCb3ZcFnjsA_oKm3VKED=w1200|https://lh3.googleusercontent.com/pw/AP1GczNAt_NFBAhWpjqtMV6DJC_QY5dBdQkcQbeUxJlOhRONYL0bf2qp7ckiI_fMq0HhSXC4KJpmgsPyVSWXx7Q4M-IMX2_Oiv2pf6cn7vBldRtqTkplxLhM=w1200</t>
  </si>
  <si>
    <t>660</t>
  </si>
  <si>
    <t>Casa en barrio San José</t>
  </si>
  <si>
    <t>San José</t>
  </si>
  <si>
    <t>https://photos.app.goo.gl/pCj3q4GggyvhtjLh7</t>
  </si>
  <si>
    <t>Casa amplia en niveles, con piso en baldosa, cielo raso e icopor, área de servicio con reja de seguridad.</t>
  </si>
  <si>
    <t>Casa con antejardín  en cerámica y con reja cubierta. Escritura al día.</t>
  </si>
  <si>
    <t>https://lh3.googleusercontent.com/pw/AP1GczPTzLPIUxrdRxlrWp7eyVJK8ADr1hFWYiFy9EeF18NGWa5Lu7E4agUVH0unWG3qQiF-_Ec2ZpST1VGnYDmFgEAeNJnPaKCXl2A0FIMZu1xBT2Bvb5O6=w1200|https://lh3.googleusercontent.com/pw/AP1GczNmbk-ecnBMS0xbjUyL0GmW6awYhPFnZKAaN1uujcK3719zrvXDkbYPTWvUwPk8X2cqogGLeS5TY9JTp6MnVc6hjTqKkPEHcmoaqS8ZqtKD4liNmTPj=w1200|https://lh3.googleusercontent.com/pw/AP1GczO-Kg-mjkjUxQFzaBsCzudgJzEEcZU6Ru7BcOQ0RnmBJ3NnhdY5xRVSHYi9k6WLUrp31ISjHrz76hxEHMU5QW6NO2bfI37ZMH1fTdp4IdVmq4GgHZOC=w1200|https://lh3.googleusercontent.com/pw/AP1GczMAFHJRhpauUkZUQ5tI4F_mhk1WAa_n7p5ZayFdL_65LVzHOLgycAvfeV4rd37JDaASAhTQ_TpBjBJp1gRzyzRydvukB-P10LP-IQafJqrXDaEN0BWl=w1200|https://lh3.googleusercontent.com/pw/AP1GczNmtSp03Vh4rqTIEHtHCZoSgIsysxaA7KfPrG318UScM4-KnDUa7i_6sajlfC8UCVyP5AxdEQq-vNDeVCWlfVJWdVU4AO9DL8elIRxzlj_v7WK4EerZ=w1200|https://lh3.googleusercontent.com/pw/AP1GczMGUcK5Ta5QUGbzbSka3PDaka7H1jLXJ_HKsToEPhV1BuKlZziZEnqH5OCqhGqj92YL0WmyNSKbdsI6KDrZKRqk6NVUPhAgCJRiM1aPPTYyeVvu7KDU=w1200|https://lh3.googleusercontent.com/pw/AP1GczMT0wvY_wMI-XaqnROkmSLBreJNwcwka8s7QLfR5jz-nz0S5rJZfGZqabjhvwS5oh0c6zzQpIAV64O_LdABedlPKp-EewQy3aF1PxWoHrI7UyQ--3-L=w1200|https://lh3.googleusercontent.com/pw/AP1GczPMW5oJT2XO4wLcny1B7sBkQR2L9w-J6wolCrbhR6MDYXF9fRgb738S7aXJ0L1fITJygWFqvEAVh4aNnERFR96dad2DjleIoD_2p0JEI52fuYsZwaLD=w1200|https://lh3.googleusercontent.com/pw/AP1GczMtjLgIfC_IianDoI1_Ub0kyZfks2A1JhMuBXxyIafkkyGJUcG53L8v8mV7jFIWAZ2t80l5u4woj39BIynDeSNw0N2zrfmaiqBPQGgpCAH3CFVkdoXu=w1200|https://lh3.googleusercontent.com/pw/AP1GczPVlWhye0CtrJl8io4mlllt-0wTvrZssDQiTLL5bjNqRPkBkEp3AUTq9BOJaJcr8lIxK2bGlcoN6HV5qXw3Kb2iPsSx_RxB_NLIyrW49j-uPGpdtcGs=w1200|https://lh3.googleusercontent.com/pw/AP1GczODCmAbZvamLjc2BF6dG54A2DHoLM2i1LkoKHK54fBYJo-St-yHkljrtI-OIuou89S87-9dOPeiNVqr6cz05KZ3DmFU1jVBK2n9UKC6QOegi39YcuJO=w1200|https://lh3.googleusercontent.com/pw/AP1GczP4y4FO4Ue35D0OTKZahCwtAipUiW2E03xusrCQj2lGWyk9chLhJbsBpMtYWMFsiGuEYDGhYnvKwMiemZYTcrBSIRqutoFHsvlF8O-URdt4q2O68XK7=w1200|https://lh3.googleusercontent.com/pw/AP1GczPBCv6oWTxZDYPe1Y4PkEh2-dBJFlhLosq6_q0COwycWB4FnOsGkecBONobROZvvf1riJ7g_shDqnasZ5hSD-bag5ZoUz8Yz7omQGt2awqZ-Q_wfxzf=w1200</t>
  </si>
  <si>
    <t>883</t>
  </si>
  <si>
    <t>Casa de dos apartamentos independientes en barrio Los Girasoles</t>
  </si>
  <si>
    <t>Girasoles</t>
  </si>
  <si>
    <t>https://photos.app.goo.gl/4R3WvqD4DTGRozNs7</t>
  </si>
  <si>
    <t>Casa bien ubicada, con buenos acabados porcelanato, madera, cieloraso en icopor. Los  servicios públicos independientes. Entrepiso en placa fácil. Escritura al día.</t>
  </si>
  <si>
    <t>https://lh3.googleusercontent.com/pw/AP1GczM7z_HKRzp6OkZlJOr-wXten59ThJDNDyea7O2QnR6WGmELYug5PE2xrGJTF-t-4Dc5pnz3do5Rk-skouXSUnWcnoLeHjSZuvdtMTrzYck9zahGaVwU=w1200|https://lh3.googleusercontent.com/pw/AP1GczPwJSVZkl1GaPPAplm377k5LwP_7QTnrfc3jCaJlinhZ4cNl15CSu33HNVGXkYNFWkTEB_US57ONtAYieNgk4f5Qo1GMRGF9X9GfSFFi3gx8E_YJkjk=w1200|https://lh3.googleusercontent.com/pw/AP1GczN5VOoP9iGWlQCPyXUQuhdsyjtSHHs5MLgMFFNKg38waKZb0ma5crarLhcztQPYChArTq5JfSx2ywbIxq9ap1c-wDG0ShzvD2fJ7ETnLe0dtmU_BF1B=w1200|https://lh3.googleusercontent.com/pw/AP1GczOmlHK7Lm0lAUst99-WFcYCsP_qKRmiiYQA0AEsj45G10XjknKVQJRvffRDs2_KLR2kwUGTXwOQlFsEdOf1BbNzbf-NmH_bY1pk8XSOh0ZlL3YW6Mrp=w1200|https://lh3.googleusercontent.com/pw/AP1GczP6kYOKdjkuPhO9H8jZuAuXBW-JoaDHkfLvDJPJOgDl0wecGVtux1ZEpApsPEvANZQ-6mWApR7aUBEErR2CNpQ8i3gA6Rb5PFIj8anuWliwa1JoZsVJ=w1200|https://lh3.googleusercontent.com/pw/AP1GczPQ_bJ0-9oIUolRE7Pg-19jnLEBit1rRQX_WLjaLWc-YeuMB0y-qDtZyEN_wG513ZvJy3p0LLVEcqwc0kzFMRQAMkPR0FkELkyb6K2B3Onu-r7Zt_B4=w1200|https://lh3.googleusercontent.com/pw/AP1GczPesF0XsugbHd0f5Cit_efw0zQZgmz26MJeTPDZ5NbtZI-ekydS72ai2pYAdBk_FLeAeHzhA-HSCgQPZWvcro-qYAyc-tqYQ-Wu1xuB9nWTiQi0QS2W=w1200|https://lh3.googleusercontent.com/pw/AP1GczOv18HEWGD3GqP22RyRuTmFWIjmRTBOQK_CNgBO_O6dnOuBU_ccM6SFF9aWC9bs5T1UjFeoyHqpcOUPjGXSXDf20a92of_Jl65fUUEZVEZTDjS3c9Eb=w1200|https://lh3.googleusercontent.com/pw/AP1GczPLYbTB8pgF96Z0SvvcPjVDBJ8Dlch5VKxvoSXaOtHqOTinZo2edSOnDmfLVMCcqI8geiRPcmgDOuKa9TwIJ0SjzNKxVOmbrJR0yVDlKMZiuXT15ofu=w1200|https://lh3.googleusercontent.com/pw/AP1GczO_URc7kwup2aWIycTNMfvHnU4npI8CzgwHkOHZ_7ACu2oXAw5zZKL3bNYm-OkLdCu1XawNF4cw0kbyIKjd6BYGhMzPBpL5Jmv6FHJD4fLjkdPQSRH9=w1200|https://lh3.googleusercontent.com/pw/AP1GczO0_h_roPddgy_HN8Tk9JaBGw46jmEMw3bSmeFqGUbfCA8QDLkV6hafa0fkfOsU0cPkLEwdeckzI2JATRVAPaAChOtZh94nP22kjFSJ_MZxti_cqgTQ=w1200|https://lh3.googleusercontent.com/pw/AP1GczNqj-nDU81cR7VigHbojH2PIpQRQz1eLBzWxCxqcyEMMYGZT_qQpJEvLqFpWndqGeXi2Kcv6Q5SkD3LIjGEWhQkIK8vctUgWJc7y-B0oETkn0IBa5jG=w1200|https://lh3.googleusercontent.com/pw/AP1GczMMOIvuADQTUWNLgzRIobM7MkUNqi1gtsO3zwzpTrjSp8el0ekmMFpEE9By1KIVbLvcoW9DyEx4TXxatkNnUxUi8AWoaeEBptoZDFX4AjP7YTy5mc21=w1200|https://lh3.googleusercontent.com/pw/AP1GczP-T0SbUJdB9sY9s8bsL-TEeDNcpRWdcSU5yl4Re9VCrhBQr0TOKA_QcxDKWz_pYLKcd9V5En9vugwWuRZir4K2YZ0HJxa6_W5Xc7yl6rGIBLjbPcd4=w1200</t>
  </si>
  <si>
    <t>1281</t>
  </si>
  <si>
    <t>Lote en conjunto Condominio Campestre La Voragine - Rivera</t>
  </si>
  <si>
    <t>Condominio Campestre La Voragine</t>
  </si>
  <si>
    <t>https://photos.app.goo.gl/m2uS6rpanjLGzX9W8</t>
  </si>
  <si>
    <t>Espectacular lote Sector de alta valorización 1.306 M2 con acometidas para servicios públicos. Excelente ubicación parte alta y cerca de las zonas sociales, piscinas, lagos, cancha múltiple y salón social. Valor venta metro cuadrado $285.000 Valor administración: 808.000.</t>
  </si>
  <si>
    <t>El conjunto se encuentra ubicado en la parte alta de Rivera Huila. A 870 metros sobre el nivel del mar, con ubicación estratégica, vista hermosa, excelente clima, a tan solo 500 metros de las termales de Rivera, te mereces vivir en uno de los lugares más exclusivos, agradables y bien ubicados del municipio de Rivera.</t>
  </si>
  <si>
    <t>https://lh3.googleusercontent.com/pw/AP1GczPmbwOsiTlu5OcaWPvfR_YMqEE_tBHoMn6mwc0neHv4qL7yeNVyntVQNoKJKvTF7wCLbha2m8kQYj9HJ_sh8QP0VuNL0i2PwnDXvrCkICZeGOul6eyb=w1200|https://lh3.googleusercontent.com/pw/AP1GczPxWfxjLHlxzIx8DEeUPS9vZaxgQx5IIJ4bCtnvfE4hPh7B5G8JLQf8g3CD77h8TCtPY-tLnRXx_ORnSn0zr1vx_VPIMHhp0aruEKJa2iCcbTlwa4TY=w1200|https://lh3.googleusercontent.com/pw/AP1GczOIlUQwJdxx8_fUmCw_G5lWe3cGX_yA-BwcE_enQ4m78ts8W0aMvrIaY754f11o-M2_k4ffesgCrtbCQTWsAhELo6isY3pymij64XylE4dJsfqke7q-=w1200|https://lh3.googleusercontent.com/pw/AP1GczOJOp8DZ8u_Eup1PyfNS-dRlz4vQ6j3CIrBEMLu5PCgrYUcdF-n2CsuapaPhT6vx10fdm1-II7u3tIgUMN4vIT_JW3g2Gv1zAjI2cgJ0ouZ5CdRzP5R=w1200|https://lh3.googleusercontent.com/pw/AP1GczNhR3FDTGeUfCn6RBFdz-aZhhKfSArUZ45nfUVoxCXmG6UhaYltPt5GOK-GqxgxnTEsWamRqqtaiX2Cu0faH6r3MuXqYEfIvb07CZkZIHqBpFNkuIa0=w1200|https://lh3.googleusercontent.com/pw/AP1GczPsh6SSZ7UV9VYtt_fpgs4tglZ8yu9XG0JOtjUr7MrqkYRYLF0DRcH0IjWjOnpRpdHxgq6qu2xhpd3P8yIsLAFIURFBC_d2K2rn_tmuD2Gf6w069E7A=w1200|https://lh3.googleusercontent.com/pw/AP1GczOjLJf_cjoW7YE7n5TR4e83ZaaN95laO6ooSqpVfpUwt-EwIwUmZuhLMVJ_z07yU3KYFYzbMzsE1kzfhS_reun0dbBp-rsIBWadFs230OIb8g4vP1YC=w1200|https://lh3.googleusercontent.com/pw/AP1GczP4rzQp0DOR8SCx5JUMRgDEDUC5cYlAFFZ2HJu_qp3L5GskOvOBWjQ1PzJErqvKL3ptZ2SHXSzSwrDgE_vthmCO2UoOphkijAJ5HWuzzLJrCMBcn-Rn=w1200|https://lh3.googleusercontent.com/pw/AP1GczPjmWkPe6cgxEk71LKv1W3YDsrKvSrWAxEarv3NyeerSo5u5JVvgCJ5Afu4rfIJunBBKWYmtLMtgpp4r4Jx9q9iWp1eSIufkrW0YgWCpTmOMIUwRIto=w1200|https://lh3.googleusercontent.com/pw/AP1GczM3mhxtAgAle-mtv5-B_9ZR7md9tUF2ifPlQ3ai_QLuO6YGbti7_SgfRFZnPpGID3ckVzgnN6vbvTcGhFhudVPaKyuuXdpzsty7ShPZYVDLwwuLwIxH=w1200|https://lh3.googleusercontent.com/pw/AP1GczOHQT40JN-r6kgsG-cTqNo2rRuAO6hwWZ6p0ccRVa0ov__0KwuOp9DeGFp0GopuUrjWKuFXIvLesC_paL0Sf_eZ54G36ZAgMApx2rZH5gKAqmvuxsrT=w1200|https://lh3.googleusercontent.com/pw/AP1GczP9IcTzbuce4cXpkRZ8VwAuEBcNXx2Ki1iTlZ5vc1mIMmfY1rSww8pzueOvUK-jcp_0a1kiFUNBSu4f66X--nsYQc8sI1P72H9WAWHsuZH6p_8MPimV=w1200</t>
  </si>
  <si>
    <t>1324</t>
  </si>
  <si>
    <t>Apartamento en Conjunto Reservas de los Tulipanes - Sur</t>
  </si>
  <si>
    <t>Conjunto Reservas de los Tulipanes</t>
  </si>
  <si>
    <t>10mo.</t>
  </si>
  <si>
    <t>https://photos.app.goo.gl/UZ96JkH82z5knv1B7</t>
  </si>
  <si>
    <t>El Apartamento cuenta con buenos acabados. Distribución:  tres habitaciones, todas con clóset en madera; la habitación principal dispone de baño privado, además de baño auxiliar. Dispone de sala comedor, espacio para estudio, cocina integral y zona de lavandería independiente.</t>
  </si>
  <si>
    <t>Apartamento en el conjunto Reservas de los Tulipanes, ubicado en décimo piso, con parqueadero privado cubierto. El conjunto ofrece vigilancia privada 24 horas y completas zonas comunes como piscina, parques infantiles, polideportivo, gimnasio y salón social. Estrato 4.</t>
  </si>
  <si>
    <t>https://lh3.googleusercontent.com/pw/AP1GczNWEv_pplB2jJSWZzdR24Oelgza39uBiFFtsQuzmExbF0f1ZXrT_fmby4GvSzudB9lX_2UX_QyoymgY3yyJmRmC7V7Ew8ovcLKPsyk_HTu-oxrDtNaw=w1200|https://lh3.googleusercontent.com/pw/AP1GczOQBEfueLQJTJS-EHNWF8-AVvo-n-NP989CqfgTzSh5Ha2BNutm41jFSubqJRP-lK9S7VU3by6WOv9jrmfVG--2KSgE9jAgkOwUCWfMRf987BQHdKQe=w1200|https://lh3.googleusercontent.com/pw/AP1GczOpycUNUpJFbuO-MmlRvRVRFO_R_1rpHJkdQ4yGdcpOW22tqqvsRuepVAWAgUpk1G7DIzUcXkdwNNw_seL_x16GjOwEZMUpqYynhxXbhVw5kOJ5j1j9=w1200|https://lh3.googleusercontent.com/pw/AP1GczM6b8VZNNrjtXahIi0m-MYSkyggkLdUxFbgf2XfhSxILMCJAoQWWKBGvQt-Z_nJp65yIJPMw3EQRXfmCnpZ01w_8yVwdj0qMIW1w9Z-AC5RaH_2b4tP=w1200|https://lh3.googleusercontent.com/pw/AP1GczM169zOKyZLkVux0IcDYv2U-i7GtdzvRRb3s-YR78fzPoMFb5aBkyxDd_YBJWimkVsl6WEOj-q0kdP_nMAK4ZZSnrnbU6obNTuZy4EbHz-H1Ao6EAEA=w1200|https://lh3.googleusercontent.com/pw/AP1GczPxenQ-tdEwP6psJwWyN9GjcEACup4Fi9PsdvoSHpBtnJoGvoVZWwdui33UltWg_eNtIPFurekUUJoRmCIb4kOxzpkbsgzV0-_f0mMqcEufMuRuRSHU=w1200|https://lh3.googleusercontent.com/pw/AP1GczOTNHdypCBeoS1Kycp03pg2J7Npl5MGue5OFp3V_ceyAVzQFs_-Xtx2Oj2HJD3sLVwxjGPZlM_EAGDoRg-MVlmZHJSBcG0lWv3129GvSzLrZqtgs9ax=w1200|https://lh3.googleusercontent.com/pw/AP1GczMA_rt1FjtlEls_A7UOGgeHdnHvhT-pVQyupObzrEz4VaDnyuR6GJjn8HXawEwrwZcnWK7gT54GtwoxlGqAlMpEQ00lZb-Lpi9vPbPbG6dXPmKdJ7xL=w1200|https://lh3.googleusercontent.com/pw/AP1GczO1qwLHF8GEzWrVKML9cIgxOPgsA7eZYQLPv-uRmCNhM99JH0YRZwVJnH-iXpPsmIygIMHg8Wzu0qk6Nv0KF8vICJ9dUM0_qKQT7s2B_0tYOMomAsCQ=w1200|https://lh3.googleusercontent.com/pw/AP1GczN702w6HaZrCc01_qOOSsl9dZJYpve1hg9IMPVy44YiP52IOmjMSMDlu-mxnDpHe9vYF8kknyDtGVHRlzxCGkVpgIc645yPec1VozOpeTXsNuIpAIdE=w1200|https://lh3.googleusercontent.com/pw/AP1GczPGbzRss2M-luq1h2_XrnyQpCb5tGlyX5_yJbfZsfO_tTUbr6nL0dUtGZVxoX_et7D2p9XIEUiybhFCw5gJfSBE8MaCRvjBNFqdeKvGEHLBR0vvwMYU=w1200|https://lh3.googleusercontent.com/pw/AP1GczMxiCJr1_Ah8W-9ppkJk78_2HRODvyHuV2SGSzEgDe7_pWcA-dFIaZHzpFCBKbet6ZM_yXDbeebCM3aGalGPwZ16g-2mgd25atNCftf4hMjfAcS07-G=w1200|https://lh3.googleusercontent.com/pw/AP1GczMN2GuBzg8r0l5fBXC-FC6q7p83isL21BRyJ6BoA_Afgx336JwtAkqBTu24v6B9G81WwTKAVpokKoXugh5mZiA_-CGcNsWulmmK06t5Y9cc8QUrRRA9=w1200|https://lh3.googleusercontent.com/pw/AP1GczPAuhoU_NPRsOwUXBMwedXgtHOj5QO_5wamJpobnwJpQNVjVuL6fpz2GST8Hz3Wy5cXsd2zvEuKfD6_DgSX1YBezzoAJ0MdGPP_Jq47N6DOyck53XrL=w1200|https://lh3.googleusercontent.com/pw/AP1GczNCteMxUQuwyqDF6fk2kAt7R1byDxrZUgJviYaPqfA0jy5PPdzGGBGO9CtQYkji4lskUfOqaNl3hZ3l_EKYbuheWWVApcAP4kadNUnksSnAjPv3PJnK=w1200|https://lh3.googleusercontent.com/pw/AP1GczNoaUet6HxUCISUX12FqANMANwOEBLZy1qm3XjvUYReuH2-BA970-yn66evtrvXiMoswfw0BLjALFWbWkzpwArplqb_OXGVp3dykPrGajsQfHjkMGyK=w1200|https://lh3.googleusercontent.com/pw/AP1GczOu7yQpCkQd5VXp3gjvdZGAa5npJspba6IvK-ZazbAe3ik0KqY6FHMl7NCADAzs4uAFChN14DJML7Mva1VS80PLwnq7MnyQKk7zxpWQkJBMofup42ar=w1200|https://lh3.googleusercontent.com/pw/AP1GczNs3s---j0pNczKShg4Rwashb3sA3kZjYmN57KGWMdgdlQYZNFNfToLKmoihbhjTjM7xWrha5IWWeS_FSAetrooyv9fKkf7U7Sg_Ui6LKg4-2z8zwhK=w1200|https://lh3.googleusercontent.com/pw/AP1GczPiA55J1mBEG1VbDdd6Cta_C5G-sFBUYJUQiHTMPVtsNpXt2fw2wWWD7nW_2NAMr6vbNfnmUmkxNfUrL9q4t6MCEt8IKlwWCQpd8DH4XN0kdbL9ATyd=w1200|https://lh3.googleusercontent.com/pw/AP1GczO9_8-SEjhfdJVndqvJJqUCKuXdjvcOYqkU296T3wdt_keR3mMNm59mrukKJI_g6jCfIkEnhNShEBOGwtTgsQFrZk7G80AC-WSmeX92FlvDdTMO7ZHu=w1200|https://lh3.googleusercontent.com/pw/AP1GczM60wiVdVMq9AyHu_qnLTJ4Q3WzDGfZRdn3TMqT7Nb7qcfTk2p8_YAtaYdDpG4HNKQHkZ4AjlaCIvzg9uDior5sBUsICXpl04k64mnNgnHsYewa768F=w1200|https://lh3.googleusercontent.com/pw/AP1GczOuXfIZ1uNSiOBYuiriXQFa2Vk1mavhRG4SeMoepc-DG8avGBnFR6V6yruZSqKNDLtm0GhCHEPcYvJqD1TgrQ4yHy09aAA0XASYryAjsIVXVjh3FcSR=w1200|https://lh3.googleusercontent.com/pw/AP1GczP1E0f9NuJ4xaKIlHVF1YO7RLxHM5dBo3vO4pqsMCuK7tMriPC8VwhMjoYHJMSiNiUsRj9__o9Ua9Mq_JgGLHiAkr9kjmyHQJA2KiwwFMijJNM0M2hS=w1200|https://lh3.googleusercontent.com/pw/AP1GczNT4WXqFnpfrtQvV7vrGWQxw1mVq93h0U66DgZml951zGtW6Uq49vJ-AeEKcU08PiMKLyJOaYZJHRklI2MchfzQ1odW6TB9E-oPsbACIHoBjszNEeF9=w1200|https://lh3.googleusercontent.com/pw/AP1GczMJX0BJbwo5-Fat22VPuiTcUTUvSoL-Ps5c7DjGYGl59HdAZQdZ_UQT-P4lCTvhaC2nfK3ZRGh8b3BcUPfhIkmOl_TTt8PDM9-jKffpx3zwKlufpu7X=w1200|https://lh3.googleusercontent.com/pw/AP1GczNOEXVhCGSc-pmxWg4stnVLuFBRwOkbshVa_nOPJAQFjmM-UceeTmgHUgWt68xAC7WPI9TExuAhPdCkr4Bwk1c0lRSjmNdi4TdkiOGqK4TL17tZ82wI=w1200|https://lh3.googleusercontent.com/pw/AP1GczP3cL7X6T9bueRM3TCCMYopm72iIOyegFgLuUf2QNCrln7yl-oqLqeKwyvbvBbsvFdVwsWBQRmPKPfw2AMs5VRlePhbCojLdJhJBT7mXSIOr7nkKEdU=w1200|https://lh3.googleusercontent.com/pw/AP1GczPCv6r9TcPxeEkeC4L-U8Xzgr4jyACerx1HxbNJjH7yj7D-qe-cuo2UyKmX5Jx1jSaHNc_0NgPaFodGoeF8_xnhjiSfQKdwOI_Nc0BWJKxc2HQNjko-=w1200|https://lh3.googleusercontent.com/pw/AP1GczOaRiR-361Akc-mHxoYK1e-RKpKkZ6xXxv4520hHGr--TbaLA2fs0qPRUgxHqP-CKiYXLg5Ndvp4vwLI0bD_KD2fe-OwsJk7Oxsz0MVCvEb_kO5k4km=w1200|https://lh3.googleusercontent.com/pw/AP1GczPKOPLDYILWhO2WDBeFLlrnQ-7y8-23rASV6QmUWYBd4xpdfYZ6jkF_Os52ATlaqADiT8qIy8X1mrpBWIkHYHJKwjxcCN-d8ZdqBIh1Xn2tcwyRc4sn=w1200|https://lh3.googleusercontent.com/pw/AP1GczNS5fknmnXkzHPv6cJ99f624aT-csS_MpXUXrPDTSonF59HGIPYALTsn3qR1w3bvbarKS5G8jy7OxgBfKVycOLOdIJf2hHSFGZI7k0rZOQc5z1lESg7=w1200|https://lh3.googleusercontent.com/pw/AP1GczOicsSwDAfPs7UAT4pEgHNh4rc_epVzSYxg2WLcmrrVCbO7W1hkUrtrvk6idWyubj-nwHEs6cp6Pt5-8RfkUMTntbOeIFcxH9UfbSgsJJWuHcZBoR-O=w1200|https://lh3.googleusercontent.com/pw/AP1GczMQxsPfhh398j0zaGnzegZbW3B6tyD3h5hp93sWmuFXKSlDKxAxzlRLKqJEqq47ZBXt21wGOR_80Fz0Uu98Xzlk0ZRYcMcIm_2NqXABT2QlGVvNhW55=w1200</t>
  </si>
  <si>
    <t>1110</t>
  </si>
  <si>
    <t>Casa más apartamento independiente en barrio Villa del río</t>
  </si>
  <si>
    <t>Villa del río</t>
  </si>
  <si>
    <t>https://photos.app.goo.gl/NjLHTuXuMHnnmTeW8</t>
  </si>
  <si>
    <t>Casa rentable con buenos acabados, cada apartamento con 2 habitaciones y closet, piso en cerámica, cerámica antideslizante, divisiones en acrílico, carpintería marcos, puertas y closet en madera.</t>
  </si>
  <si>
    <t>Casa ubicada sobre vía vehicular amplia, cuenta con reja antejardín independiente y cubierta. Con servicios públicos independientes. Escritura al día.</t>
  </si>
  <si>
    <t>https://lh3.googleusercontent.com/pw/AP1GczOu7LPIInE7fc_waoMpS7zF12d20u8s7T9IDtBU-hgW1z_82W8GcF9trzDOAau9lWV1VGslT34COTSiXDbsnmbcLDsR9VwFMTfXo4rkXEBEagsx9jsC=w1200|https://lh3.googleusercontent.com/pw/AP1GczMonw-cX09A3g3gAl_-EXjeHLWZTXfdsKFa16FQp6GboQp4NeOKjVhgfPFXXklOm0Mdb058feqFxmx68CiDa1OH5o_5d3cT_aSe0SBK0wWFJABeyTIg=w1200|https://lh3.googleusercontent.com/pw/AP1GczOe-w72av2k7kRlSNa3_cDcAznWdckIRRZIvSjzS_hk-C8QIUnFUyDuDg9SzpmBNPaHMPpJ3op13pI2BeUDT000Vm7vQTiJ7KHMlUuhBil1O7pbcb00=w1200|https://lh3.googleusercontent.com/pw/AP1GczNWR4lS8GS8nhi8t08gLJipGw6CkROpC6iQoWaVTEgwgKUf5ZY8WU1FPqO39p0coTsLLsnV_SoXwrbSNKsS07NlIucslrTMbXmNhYPj8_hWlvG-PUC2=w1200|https://lh3.googleusercontent.com/pw/AP1GczPywCiLfWkGVFbLh2BFnlsRgz-pS_6t7lT1i4f6JDbbK9wv8K2_5wqh_i8guLVXzOFW8hWHNxz-THATrixHKTqpmv3OstS9kZHn3fmBU19xkxW1Alpk=w1200|https://lh3.googleusercontent.com/pw/AP1GczP0dzD65ZAvknw1HqF8oW2YcrCY2tjCE8w1u_Ww_p8aebXH23zmGX3DxQRAVLxbSDMuP88hrjnGGrH6hNRDjq4sL2mawdPLQtBnveRDCdE0zIyos2CM=w1200</t>
  </si>
  <si>
    <t>873</t>
  </si>
  <si>
    <t>https://photos.app.goo.gl/gEAwBsoBfrtef6bF9</t>
  </si>
  <si>
    <t>Casa con buenos acabados, piso en mármol gris, cielo raso en Dri wall y machehembre, carpintería marcos, puertas, closet y cocina en madera. Cocina abierta tipo americano.</t>
  </si>
  <si>
    <t>Casa bien ubicada sobre vía vehicular amplia, con patio, sin reja antejardín. Escritura al día.</t>
  </si>
  <si>
    <t>https://lh3.googleusercontent.com/pw/AP1GczOH_mvdXTCk2c-WHMEyhyzuRW9Qm-4ZGJfnM8tInz3BHM-YEBKu3kBRUX7yZkFRyD1BZ7Y1F2hkQoNPrgIb-3IflFPEct26_kztKu9PI_HacgvHl8O2=w1200|https://lh3.googleusercontent.com/pw/AP1GczOd9OLsCOukrAuIOk2qZ9jXJZTX8KtDHdMhoke1x_xOG7-BecCQErnqKZz61zgF4nJhk3Wpr0A8m1U08PXHfXZ1omkHypneoKFM2ojFaw2hs3lxxvfD=w1200|https://lh3.googleusercontent.com/pw/AP1GczOBdqsFlkbziEXA6EMeirQXBrVVy_Z1UZ2n2_vI-BaxurmTlIqNJ1NcQAyFiv3X3fwu4ECBqeyt5o5gSWwKYvPWpDLxy_fThKg8ba3qKrrYqBjRqnmp=w1200|https://lh3.googleusercontent.com/pw/AP1GczMRdQJEuWFuT3Md9KJ1W1SfY5c2elEsaqM3riknGFozUUyMXH8QyXh-7vkve7vaprBR291ezW_7J3oVVDH11flZ_ZyEmfISagzKGiXdG3TU0WRFjsvh=w1200|https://lh3.googleusercontent.com/pw/AP1GczOITLGstVohAu1KW6KLvDgrexfLad-Nl6ajEd0la62yT2KgOuFSThgB1g5hOB-zREomplJSxm5B5YVg4kwJ4UPpCd5-n_8Fs2xDPfTe7aWBL0_6WqYC=w1200|https://lh3.googleusercontent.com/pw/AP1GczOKcsVmITjTslLl7kzwyyZOGZYzFjDO7AtdvO1V8vKSom_2_-Dca-JY8Fo_yL7EOc1QGpW3MyEHrbLgNBSP-q3IKBmxcvwc7FloTUwt0RwICIIfW0tY=w1200|https://lh3.googleusercontent.com/pw/AP1GczNuTWs-ZQyfqFiCriVzJ45xuy_yfxELY9lmy6gktgNRJ3yReZ2S9NuUQKFm5k9IrzBAwXqCNOaXXyCn88RloBne1kNXugwGsRd8wEsutf8ac7ywuDm2=w1200|https://lh3.googleusercontent.com/pw/AP1GczNsFZWlCMepacssUzbw0ZRIJQ7ari8pLbZ5llyvJAVRyOb8saUV1Gg1unytRDgq8KUW7CAUI3WSwyvU1vgKliLAaxD0oBI21flOnJLEeISNz_Tl8_KZ=w1200|https://lh3.googleusercontent.com/pw/AP1GczMa_s93I953mxp8xYzjfQ96AI9-dnjTlPKXZ-ZAQ2nCumvJeng420aGiFcaLlfNgSM018fDjYsiMdcbBNKFVTFRJg9OCZ1UH_2lnTmawSr3F1YU2EW8=w1200|https://lh3.googleusercontent.com/pw/AP1GczNk_i_pPkYLfzDkjlM8FGxL_hOm5Co5-7QUvGlM9cu9dUXLPB4mcfbdGN3HElbnQTlWbEq9RKsrDN7gwxGt-B6KokJIy7Ei-YgEGHB3ZTjU9X2ypZAt=w1200|https://lh3.googleusercontent.com/pw/AP1GczMJeggFCU0pqGo253R-prKCuvJFQ7_hu2N_r_W_xGAaLMlraiuyx--_LdSYoQsW_dQtX6wAAxoJlNtK_1YaV8QR3yILINbPv60rwKR_ElToqNsEfJIo=w1200|https://lh3.googleusercontent.com/pw/AP1GczOXPHJLpI7SiFqW5FlfA_DujBIIR_4Vqqroe9b4uzr6hZyXwSaPBFxpz7VqRQORjnx272TMgRbOR42nKRS0FhPZSmDtikUNCm14Lf2JR57VkHA44V7h=w1200|https://lh3.googleusercontent.com/pw/AP1GczMG0Af4NBAugOYXm4mbXj_oqI-cKGWKGB9ZaknxFk3iMbhdZttK6zBYEREjjMNFFmsaq8w-lvWDs9Ja4t0el0FwabGDiI9vpgnGz2jFzpbAWBnAl0dJ=w1200|https://lh3.googleusercontent.com/pw/AP1GczOXLK_BGfQM7Ei6VJverCzrbGj-dpfGtmfXaG7onxFQrJpV67Fel_N2u8LpX4XIP7hMk4sRUM2uKCJiLfhhm-tpIQkYnWuEi33n-s_Mw1zew4Kwxcr8=w1200|https://lh3.googleusercontent.com/pw/AP1GczOKyDRm22b3BpDObNxa2VJkpcPRI241fPQokJakknQztJyKKcEt3CtrmWjgeeIcW97b2uioUld2iKUoEfYeP9DLBKbH0I4F4G3GUhtRFp--7H_KuDnh=w1200|https://lh3.googleusercontent.com/pw/AP1GczMXz8hEkqkHOXSvE8l0SZmUfXuOdBo92NNLNUZE1FyNs1BJaV87JoeWBwokXGYrdXkXK2yAtbg9lCCWK8ouwLBSYSfyltBjER4oxaJnSDPDxJ-uFnwQ=w1200</t>
  </si>
  <si>
    <t>1224</t>
  </si>
  <si>
    <t>Casa campestre - Vda. Altos de Sardinata - Palermo</t>
  </si>
  <si>
    <t>https://photos.app.goo.gl/U7fjQkgwDPrLE3Yy7</t>
  </si>
  <si>
    <t>La casa consta de 3 alcobas, la principal con baño privado, sala, comedor, cocina integral, baño social. Cuenta con árboles frutales, plátano, gallinero, bbq, y jardines que delimitan los espacios.</t>
  </si>
  <si>
    <t>Se vende casa campestre con un área total 1.448 Mts2, Cuenta con energía eléctrica y servicio de agua y alcantarillado.</t>
  </si>
  <si>
    <t>https://lh3.googleusercontent.com/pw/AP1GczN5ZfDghHLeHZw6T2YaHDtAM23suyNB7vrUV1uflfMcYipiT4vuV64_Me_Bg6Fy1zVAvspMQhuJoURapDqzdHLgGHlv1s1EGKnCYfv-vGwZdYad0SPw=w1200|https://lh3.googleusercontent.com/pw/AP1GczMvKaaPakyoyfQSh4sNearygfP5h4ZCzcYWDvmFyfg5E70quyraF5QvSRFwjuz6P6HeRiZBr4XX4EX9PluVgUbpw99WuAgRYHPfsu7H0mdsrifSEVW7=w1200|https://lh3.googleusercontent.com/pw/AP1GczNBpQEzL3g3d0auXkw8ybZ05Ho-T4sA2qYuc2OnRMhggm_QdXGk-rwcfkxG69Dqedn_VXB5Jhl3yzcUsl6qLpnKLc2uJzw9mPzQZyKDB4CnCtIjiXP7=w1200|https://lh3.googleusercontent.com/pw/AP1GczNCsMb0-hm2b6t1rVDDB1TP_-y_qn9LKO9LoWNN0n_11kCztCwf0D6Y8yyCL5OB0shmHmQRhj1IL9yZVH4FUvx1bnV4sedVeNJaUDJGoWzm9gNsJZdP=w1200|https://lh3.googleusercontent.com/pw/AP1GczO-gruVqpLC1fyI29jr5IlsZ46E6PIxIEjmk5LVyIzI0Q9ildOT9CLKQXZ0VDjtCCaqJk8BKlGBw77ppITXzjLJNgptCAeBdZxoKn3WyqZ8M2qMrS0F=w1200|https://lh3.googleusercontent.com/pw/AP1GczNCUn2aee91cyv03CdOv3I9AJEc23kPff9gDfjAaDZn66FWDISOtROHjZAeLvM1143cdvRIc-EoTA5XjcHifTggG4-noxSQcwD5H7_sR9EUE_oTMk0o=w1200|https://lh3.googleusercontent.com/pw/AP1GczMIPyl6EMeatunbtDfmaratfbNIMQrq3wNI4d68fW27kbWhjBxP4JM1baOGZXV0UzGt3sE0N3bqz0JXA8DmDE2ROY5WPPE8gTMxVDy7gWKFqYvBr3BT=w1200|https://lh3.googleusercontent.com/pw/AP1GczOXx9HOQhD4Nc4debdFhZYXr7B8ooWk1VJd1U_PYhn-TTzuov9dSoq-RRckMX1R8epgtZN9iD2PWfgq9zYabs4hOdtCIU-MXuZbrgQcq4oDPepW2PwX=w1200|https://lh3.googleusercontent.com/pw/AP1GczMckcHrPV3v_Gmc5per629c8u0gevQcc4X9fbLqDgXtDCmfGEGQYuNnBhrtm2-Eg-44_Exe2gMJtkTws16LkhgZ_VkDHHrFs8mdT3rkqcNadrud6sK_=w1200|https://lh3.googleusercontent.com/pw/AP1GczNi2R4rtpfJXOtlhY1NMun-Tf8mEL-Q1NMbVn4Kgz2HbVOsW5yOEUVF2yCrdPpakRcdqxoeAYSAlZGSTn5_o6n8JMLlica6zl6UU1mjnpLkBbqk144r=w1200|https://lh3.googleusercontent.com/pw/AP1GczNDPUOMhUTtvULDUqPoRNqblufYKkiklkKuw0xLqQWb5SCqaxwfGwab_dIkYonqYJ1xT_9iYnl7t--wLDmeGcZFpXc0smr3Rz5_0aoZ_fai3px5DpCu=w1200|https://lh3.googleusercontent.com/pw/AP1GczO1g3zPD4nYAE5cZ-LFrU8kVzwLqO6Dna5NollciH83Ck2nJGY3cjYOkpPlU5oNj28W877NJkrjjU9Iz-mvfPxQoUjRa2yHcVk0f7jRKWaJPIKSgGsy=w1200|https://lh3.googleusercontent.com/pw/AP1GczNqkY89MNkFCBhLh0ELtldtNtyH1HMtQSZ0_AQPoBll_jn3-ztlcQdlvUPOLMWkXrV7_Tv_1G704N6JD2kXFpguHE2dcivwo1LhMcFTDa46d_n8yPlg=w1200|https://lh3.googleusercontent.com/pw/AP1GczOzTheZwB79vQYjw34QyHGvaupX24O-mXyZfcYpuaUop5FjvZrAWhPOMMY9KIpAXVEAsKlouMmKNIrGT_xbTxkGtWBqqx-aIp2_VtMPOoAWbwPfG8-1=w1200|https://lh3.googleusercontent.com/pw/AP1GczP1bsHItyIMx46XbLzm_5-U2lYcSX3W-4WEGbpf29LR7bruonhije8s8Up2NlnX8Ex6nInm0ifQT81pEdFgn0U1VC57P4i7-IjnuKjdyZk3XDBKE5vF=w1200|https://lh3.googleusercontent.com/pw/AP1GczNJYCUd6O6YN5p49HQJMl8I0Bh_n9il5YzxprsdC21eTuH3BrNLuttOOoj_jOFW83waHJ8CVJrmqwmAVOsd_tmBbU-RmyXCyKuESbphjdol8wytdNEH=w1200|https://lh3.googleusercontent.com/pw/AP1GczPR0cPtDt-afIKvIhwqGrc7QpwLKf5R-FhvqO4LNSqrMH3DX3qMeQJQIiChFNkKEWSpaD-WLUj3BV6J0mo8-mzTI19AM3E90CbLVQ3DYeI_jhSoGm0O=w1200|https://lh3.googleusercontent.com/pw/AP1GczPKpM6yUNMguUhlDYh7LDHsIAGhSlV5JpZgLy4OBbm-Q9_sGrbWcE674EKYhq1DqHG6mFf9LlKITm5hkopbuCKIFA8apTQglbZrTD4kke7Q3NtT1Fei=w1200|https://lh3.googleusercontent.com/pw/AP1GczN9xA_HLZAUdIjwAq4RnCyYTTgD7fYFvVr-3fBZdKkbK9l4-uRM9wctOJrrHXsCCSceCVqCGImtSex8C8n6ZmePMKcy_fDEhJvlFM1qGXwfNaI2rtfI=w1200|https://lh3.googleusercontent.com/pw/AP1GczNdyvDG7O237qu6P3MOzwYN4aWKL_8xZQWQdlNCVlKdR8_OKGmtswnB8UhsQ9-qQurabTUwd39P7EgP-votnfK4tJR67YAPkVYb-cIZlSEZIzz5z20w=w1200|https://lh3.googleusercontent.com/pw/AP1GczNzOJ4Nf61ENAlH9yv6WDogpI0xyYwxKJmAh381GmDyzjaYWU20FMzV8Wy4vNMN8u-XirUFcWmjOUVCBWAlgUlVkvpzewatP8UNTizyGQhNQoSFXizQ=w1200|https://lh3.googleusercontent.com/pw/AP1GczMNuIuT42CMqlMZAHORfTXGRouLr_OF9c_62o2jVV7yNJC5UY0vyDcuOH3NxIrEIOOxvpKVgurJEcoFtWAGqZOo_p7KjEOEWJQf8H5ou-X3ZXnk6DnO=w1200|https://lh3.googleusercontent.com/pw/AP1GczMudpdXCXClrqqRHfXYADGgQPgh2CQLbNWwmVfaxwOBxyhM_XsB0Zs18v9EQzctqSSzmrsxUy_wFZYTxK6D5AWgq81sq2VaTd1ngR_-K-2QKlUWumft=w1200|https://lh3.googleusercontent.com/pw/AP1GczNHJKb2oOHaw8ZDaZuNfHhMftUl3Q0LKVimFRguSpb4BG14OcCxuVlqkJ1F8FQCxGJQ1WFUAfL6Y3xfITLS6NwgXvVU7zLnWgkPselWfuUoo1U-k2nJ=w1200</t>
  </si>
  <si>
    <t>1360</t>
  </si>
  <si>
    <t>Apartamento en edificio El Cafetal - Centro</t>
  </si>
  <si>
    <t>https://photos.app.goo.gl/xu5bBDj2gJyBoQLy8</t>
  </si>
  <si>
    <t>Cuenta con 3 habitaciones principales más habitación de servicio, 3 baños, sala y comedor de excelente tamaño, además de parqueadero. Este inmueble es ideal para quienes buscan confort, ubicación estratégica y valorización. La propiedad se encuentra libre de deudas, lista para una negociación ágil y segura.</t>
  </si>
  <si>
    <t>Oportunidad única de inversión y vivienda. Se vende amplio y acogedor apartamento en el Edificio El Cafetal, ubicado en un tercer piso, con un área de 119.91 m² que ofrece espacios cómodos y bien distribuidos.</t>
  </si>
  <si>
    <t>https://lh3.googleusercontent.com/pw/AP1GczNkPKaOOus0Ps8QePq0tPoc2B4WH_XQWI_ZSAnGIZQ2Hl2KiXsv_V5wGyKSLP3Gc0fCr-jRhB6GTZhNIqfAzj7vtu8H2Fx_NqFYjii_H9bRhK0uBc8R=w1200|https://lh3.googleusercontent.com/pw/AP1GczPeFw8qzOIgpwW7mQ9Q6sMYYtyA0eypfwW0gi1l46K_cDt7yTOTV4KD-joeBt5YeMDIOIsy_W8ACjMqRuDAEB0mR5sEurcZpik9nwfVakjUnwlhOTSS=w1200|https://lh3.googleusercontent.com/pw/AP1GczMSmHw_K6IyZ094eywYPPjNh_2hfr6mnYLKHfF7SU3S6ovkvVRLbDiQApVeDts-bXzFrQ4BagnUjxZoSQVmfXSND1TwHkmzaVrnyAmircH2E1u1ePLk=w1200|https://lh3.googleusercontent.com/pw/AP1GczNfcCOlftKcwcjBwKkB8M1kQPeO9WYx9B4g7eFEs3tU_7j7VEhKS-QxrKTOOn6MrErbKmJYk_IcUp1WjFuO5DAKoJTecQxVGvo4spBP3kEY-TaEXxQr=w1200|https://lh3.googleusercontent.com/pw/AP1GczOT6Hg7atCUKfL6gX2oY46Bq-cMIy-yoAyRltfBABL4cduHezpMlCWiUd1uTcSLeNzmBotCb-loJd3SFiIsFcJT8vNumqP8vrm9y-Di-iPh1qhW58lY=w1200|https://lh3.googleusercontent.com/pw/AP1GczPaPAPMTU6ZbN2nbwkakKlJHS04KqCHnpWfFqNRPhfEQtmGB37W30AvF9DQV57isl5-YZ-jElwYUGFP2TZbSQ3PB8K4dE1u_7_Ioxwoy8JfSkiAr_yO=w1200|https://lh3.googleusercontent.com/pw/AP1GczMyIHFqE9WJjuvkx87hq0nBKfrOCbWLAafcUok-5nTGghb4H1MYrOKX6ZCv8NGXohqFfVOp6X_zT-p8bcwweT7Gg64yzw_nZjS2ZbEu6m3HNJ5QRv2E=w1200|https://lh3.googleusercontent.com/pw/AP1GczNEaf7ZTLUJByAgae1OHL0Yd5zk4Jgnozm3tZI1oRtPkwADbueKcHHgZ2fHr3w3T5ZiJChFzwccBL2HPoEnE5wix-xqYYsXbXp_qYs9fUxBZmhL_hyu=w1200|https://lh3.googleusercontent.com/pw/AP1GczNAnvHcF_TMO6MUI0C6SFAY8QckRBNRaxWC8nH2vdZsvG0Vf__bbswefk-a294wpSYh_jb-VogcJzyRA1nPSjyN_eabDZR4k-HtC7DWgsUAbu_lOQR2=w1200</t>
  </si>
  <si>
    <t>713</t>
  </si>
  <si>
    <t>Casa en barrio Santa Ines</t>
  </si>
  <si>
    <t>https://photos.app.goo.gl/WAGTuuc72N7MSkEt8</t>
  </si>
  <si>
    <t>Casa bien ubicada y con buenos acabados.  Escritura al día.</t>
  </si>
  <si>
    <t>https://lh3.googleusercontent.com/pw/AP1GczMyVd-6KGPLUeErQLTBXtd8DbFblkt5Kx_nW1h9Qsr9SAHDhwbAL2gFOheaUg2VX94rfjz4Xm-HY8p3VR5JGyn1LkT1xQrUMbN1AzR-uYQHLGdTOt94=w1200|https://lh3.googleusercontent.com/pw/AP1GczNlQ5k1fys3tvY_SvfEk1YfTPwYjcvhbL1Z_ekhI54IfliNwvkbse_hwZru6UktlQydBR0hRUcKN01u6Y1uRgUiBVT56qwvkmjWBsFCMNYxQdQ2WshX=w1200|https://lh3.googleusercontent.com/pw/AP1GczNRZT4D_l3jRhXZqxsYrxTXiUk54pQ9F4cB3wUIUbTh-VrnzJO2zVIBuJkwmWGENkDKg_HI9qJkCXy8qVMCujNulKF92Y10TvdJap7RRMCaXgcIlQG4=w1200|https://lh3.googleusercontent.com/pw/AP1GczO9Q38IQb9mu07mHh5t8x-Idnue3WeXKEw2b5PE7T3M5sTe52jn6URFHQ-A3QRZAmg6zmCfagtH0L0YdVlLbAqdK9cPsDmY3KrD_MIKMMiA8ymA67UP=w1200|https://lh3.googleusercontent.com/pw/AP1GczOWIsf7SG1PtRdX0sE-m94RIKLq2zyigOGiyyA6Mslm4WkKgNQpYY1-ezNjgb31sPa5S68N7CRGCM6DCAeAi0Lt45069tRNH-mjKF7-t-zpVqzuPXLu=w1200|https://lh3.googleusercontent.com/pw/AP1GczNSngDZs7Gm3oM_m0Xwejq7PZYXNaHlrCTh4Y02vwe2SKgn5Q7EKzqTqGEwxjnY4aA19kSjEyvkPAy1CsU8e9dX2HlKOELww9ktuYx4ZF4IdDj0XwIT=w1200|https://lh3.googleusercontent.com/pw/AP1GczNEkW3fBoWYphjV8aX_LDZK9F0n9StNBgg7NZV2fHg7ECAI9ziea7wJnDcvoKnXwrhpjkPYh8nDziE4tftvcl0-njytaXKh_sq8P0pxKXtnh7jnGLvt=w1200|https://lh3.googleusercontent.com/pw/AP1GczOudndQUZwb8xNG9NVAS_DGXoKpXbDapsAXD4aE8r7W6WXwKRh93eKK5Vs1wsFr5pGtDE2wUA5Jt5WIGFkgEtmSCbWq-FqxOKKnXFZQi_xBjGzDt9wg=w1200|https://lh3.googleusercontent.com/pw/AP1GczPIdIBY8IdfFvEYsATdE_aCVF2dKBZlDeMvta-tWq4HcA8AJKdH8whdTb4mp4fP3tYfRqW9_QxaOlZXIRqdG-KOQSLmjg572XM_PKRhzcxYh6B0L2ki=w1200|https://lh3.googleusercontent.com/pw/AP1GczPunyOePk7S4TSoHJotzfV7Q8SJP2jg0MbTN270wSHYBwRB9RwNi4802dz-bqj1CPcFeKkYkaiyQEA6DQroHWvhaIYGkvviuksOVMOmZX9nTG1ICAmT=w1200|https://lh3.googleusercontent.com/pw/AP1GczNKBg2Q25UdalPGNXhvCH95_8tPoqMy09hlVITrbXtxtNpi0Qa3Y9o26zq0MbGWSAldCioLcKVK9nCoYPpo0pI-Az1ArEh-uIS098jJVwncjrGbz95f=w1200|https://lh3.googleusercontent.com/pw/AP1GczMhmmyfvJo257klUPo52jZMBUSvh8ctQWbYbOrWMqhlImFFYfxGE7UoP4ueE_zq_soZ4aBmeVRbqlL2kFPKqRw_FykOPfbyGOl2krp0jk_9JwTIqm_A=w1200|https://lh3.googleusercontent.com/pw/AP1GczM4sLMbSH9FK0e9glFk_oLg4xsqKUj0VoATPI0ZVNb4akELTIQT7ub9eZDzEaralS14Xa31rvE0iU6Or1pyd_HbtCM0TUA7Dd5vw7bRnw_aZ0bB5l_E=w1200|https://lh3.googleusercontent.com/pw/AP1GczPDJzuOjneaBHgdNOOBpnDew1IN_amg9v6WOKimk4ivHQNtD5aBbmEEyD6bui6EIlgkMILt2qHkhCYL3b72Bf431jq0Qrb_OlTzXYo-a5k32BLAjvTU=w1200</t>
  </si>
  <si>
    <t>1005</t>
  </si>
  <si>
    <t>Local en Centro comerial San Juan Plaza - Norte</t>
  </si>
  <si>
    <t>https://photos.app.goo.gl/doFcVdcMp63Cc6hy7</t>
  </si>
  <si>
    <t>Local comercial en primer piso en sector exclusivo de la ciudad en el centro comercial San Juan Plaza, con excelente ubicación y exhibición doble vitrina.</t>
  </si>
  <si>
    <t>Local bien ubicado, con buenos acabados y doble vitrina</t>
  </si>
  <si>
    <t>https://lh3.googleusercontent.com/pw/AP1GczMuR2sJZOJnqvg-cktJfgpSPDBhaCzLZdQ7lh9e2X99oGFTQHp8QhW3dg3KTnFl7gQs6ofXYpMMMmquIG5tOAkkcFqmPnm4ao_PrUHMc7CTSC6PfY5X=w1200|https://lh3.googleusercontent.com/pw/AP1GczMc6VzWMYZMiWYZAOJ3g0Erw4d0I0EzxyXQFwCXCkFntI9gLMp8uEu5qq3Syc3JQNOwNUua3v5oKdTuzFLB-WYGDc-WOx4143V7ms4x3ciGa0Zw3NND=w1200|https://lh3.googleusercontent.com/pw/AP1GczPRzhWViKl9x6bsyy1CBwpeD1pyrp43zewsrV7_i80agsaQWtGDC7rMDTW48HDv5WXc1wWcMEO01e33R4GQSPOlhH0ybR32Wl4NchSJL7UId1GZ8lMk=w1200</t>
  </si>
  <si>
    <t>Casa lote en Vda. el Triunfo - Rivera</t>
  </si>
  <si>
    <t>https://photos.app.goo.gl/zVs32Z9bD61yNxnFA</t>
  </si>
  <si>
    <t>Lote en vereda el Triunfo cuenta con un área de 3.070 mts2, un área de construcción de 48.0 mts2, ubicado en el municipio de Rivera - Huila.</t>
  </si>
  <si>
    <t>Sector turistico y producción agricola pan cojer.</t>
  </si>
  <si>
    <t>https://lh3.googleusercontent.com/pw/AP1GczNgBBJ9tdFZxWZZmBtkpXiFkBToNJil-L6GXkjAkohC1gVl8dstWDdJLWUkZvBbOtxdPBBFIM052ymwX24RBVkOM7rq1LIajj1BtHIBgjLiZ_o0iYUy=w1200|https://lh3.googleusercontent.com/pw/AP1GczPQsgDYSQcE9eJzhzsrLjeimtEW9DmP5qnARa-CWMPSavL7kLO_vjeQxfFXfTn4sK3AysQO6xVIYrQST3IZ_ePGaHn2-w1ZV-TKdB9Nc7vAGRLBlhVM=w1200|https://lh3.googleusercontent.com/pw/AP1GczMcdDZGnZmyL4m2s_X9muQZnLL8a7Ar--YCfP8e2WGDaxfhV3Jzh_y4AdjRPWESMaRevYHSxpB2Sb7k4BhD2NrwqjQljqZJDv3W0X_OAsEtylmE6wht=w1200|https://lh3.googleusercontent.com/pw/AP1GczNTCRi9XC4gaUfFWZUUYM1X7rjI8HC6eILCQmEXesdHhHJ9v-dpN48TOeK9CL5UivK5R0BD5L6RWN92yU7odo961Wi9m2XCmqRPm0KP759kQSbDh5Na=w1200|https://lh3.googleusercontent.com/pw/AP1GczPGnkiL2KSQYBnytQ-6QCWdg7R4Jr0mv7OO2uFIYJRrjIz1Fj1IiuKIFtjAp7rgP5sWOqwsOucXpyX3fj9po9evrwPghw31l0bvpPYeBE-nqnm4TxZu=w1200|https://lh3.googleusercontent.com/pw/AP1GczNI9e-TuAuRFq_o20A4XP9ispUykHx6aCFq_M9hWajABfTw-uBy8BdO8Z4VMh3IqgEFKnPi_NIoYcGh5L_quH8RY7h8FTQ9LOJ8aSLrVA-5HxmlkiPo=w1200|https://lh3.googleusercontent.com/pw/AP1GczNiOzSbFlcE4L0-kzO2LAYm9WRm-nbKugJ2y67686EEdlP6jc2R-XH8zuOxS7OKp0M1cN3ao1jX9LM42x0pTMfFUIcvnPjT5oiF5tWwxdw-vN802eiX=w1200|https://lh3.googleusercontent.com/pw/AP1GczMw-Kha3RxxqIKT4i_h6jutUZvVhnT9ppzexlRCYpkiJLmda9yEwIF5FRvehSR28Yb0Q_sq4reyCSRX6H9YTDthy0YNwt_WKczu0IaqS6p6IIlaK369=w1200|https://lh3.googleusercontent.com/pw/AP1GczN-G0kHHUlXP9x6U3Q8ESrubAZK6UCpO27GPdclRrDmkiwtmZPDki9_8_ogCrBdixPj1O1KPFQ6I3Xnjcdz38JmIdk_clx4icWGMGeagkSvrm19hCCe=w1200|https://lh3.googleusercontent.com/pw/AP1GczMtq0nFY_KDBX7SxLSQ6HbozXNut2c2dbqk8RTKvak9YEj58LjUvgEH_wfn83AEs9ED-ett4L9CUYse02YcJghPv_vAzSJ9iVbllV5Nt3pOnj_rIxoD=w1200|https://lh3.googleusercontent.com/pw/AP1GczM1n0sfEZ7bn0cfw_SXwXph6BIgd0h3Z9HWHdqO_9xQ1yg1UmQqVLQ3a04MNS4aX5Oodo2_uY0BgBao5-984QVxQq4qfDQ_QGtHoeV4f7rhfJLdFoeu=w1200|https://lh3.googleusercontent.com/pw/AP1GczOeLf8YtgHMJw3n15vDTiIK9uhn_qAV9lyj2o7eIA-OPAi7GkgPcAGS4h5-1LUO8g58ES6SdqUdoee0fsaL5fwSxKqZBNCHvdWRIDHziJGTVUoMoS6w=w1200|https://lh3.googleusercontent.com/pw/AP1GczNM2qcXLNq_UeSPLklgdybkgV89-CxDMWwxOIOedL_l2lDZMwaUn7tU-Mlud8xpoWGF-IICAgbkVILQRNVqIJ0n2symellJ_yfGdzAPJwO6OpaU3urE=w1200|https://lh3.googleusercontent.com/pw/AP1GczNKsNqTk7J8QdhGiYwEVfVXWK1KrN_UkjgIkugr5jJY1O8zxJBIKIt1OAYV0Xi1vRejTv2B5G4sCH0kfdgK8fwpoEuCtW4OB2veGJz70S9-HAOShZ_1=w1200|https://lh3.googleusercontent.com/pw/AP1GczMWk6IzbwOCOsD92n9Oaixh1HMXB4bKoDQh5XL0fbW5q0zSjwxQ0l9xDBfn6d-GwvyXuvqmU6Bo0b5oItWzHLreLNLgA_TH_FnK7etLYHtNQ85InhIw=w1200|https://lh3.googleusercontent.com/pw/AP1GczMySnPgGEUYLD2z_XvWSZwh95g-Nj43v9ML9MnYxzx096tKhYpzIacCTSEhmyVNH0z420eu8SPYYwfseIZL6YmZgISYtxtcgCXltqYiIrodMAvyc5pA=w1200|https://lh3.googleusercontent.com/pw/AP1GczMhvQL027Y4ql-Vnxl2dylvCpde3qQ218vdD7WABVGxXTVdbG3w8_Eb6yAN_9TPNmkWwrLh_11xEeAGdiNZ7jgV5n0uPCWNZvQfXOaxnDHdcn4XvdHy=w1200|https://lh3.googleusercontent.com/pw/AP1GczNprBCQQz7U2hUohpS3SS_tFmYwDP1XOPnJ8C7pRKX9DcEJESDArLchuyxw51wLz_A4X0x0cebME2Tuh2xho6_llZqSfuA64UJPPIN0ynVufWqSVV0T=w1200|https://lh3.googleusercontent.com/pw/AP1GczMZ3N2zjFBQgw_1F14y066YdRNJni_68RG6-HTx10hxM2L8hENSpWRfhHcQT63yfl-HuHhGzXP9HjOPCSAX8qatd_h9n4fzrd4STtXK1BlN0HZLSXx6=w1200|https://lh3.googleusercontent.com/pw/AP1GczOXnVqNvcjwEJ4R65-qxKDIfplFf-8P3RPPJzi3Kg_8Z4t6ITub8iFT0GfnMGPXmdOqfwi4aO0NBrxnbwUZgvi0Cu7Z5XCAyw0j9oODEKZFn4W2CphM=w1200|https://lh3.googleusercontent.com/pw/AP1GczObIyNr-SzqGhXaG46yJKuRZtB6y9OdyrgvibJxWO8yxAlS8Ccru0igHjm9cYqeg2EWw0Lxo7RlkOBcV3YifmZAPVEOGk54VIIrFt03r_zKF8bSATp0=w1200|https://lh3.googleusercontent.com/pw/AP1GczOqXiM-XpJ2fcrC9GyZ57t--xroECv0e6vxyixMK-XyKhJ0YMGYOHnHLPge57QeN4s9iuOpsvWCfmSIsFIMe-q3n97AKCgJSkWh5ZZ-5OIeulKVMf8S=w1200|https://lh3.googleusercontent.com/pw/AP1GczOkmsHxQdICg9R20Aed-cRIlOLCDO5NKIfVvcEji_pf5pg5MgtqarNoajFULGldYy3BFDMtwAzRHsmHkqpSw2Pjo1lkE-2ZYDO32yVzMHNwVa8TvqPi=w1200|https://lh3.googleusercontent.com/pw/AP1GczNMVDFqXYoiRY2J08SSR77z_NyxfqHsNa1m5bCPXEkYRn5Cz8JXyv25pR7PVBe2JT69oE3N11Pv-zI-hbButpd2tZj8whnMVU3bSczM2B9-FcxI34HW=w1200|https://lh3.googleusercontent.com/pw/AP1GczORX8h1FySeNBRL8jt6agfI4Qn1oHHW3olGvcSAB1BwdGODjnug_W0L-zAETb3ZCgA0jpHZBKX0IO7ZBF2ZSy8RsET_15v907zoTkPciYb6GmnzbD5v=w1200|https://lh3.googleusercontent.com/pw/AP1GczOSmPrPba1kmVOfbNpzGjDOtH8Qjo_xvVQk65dHqUp_bI6nZAUQOXcTkhHUjF6aSi99PqPCRP6wq7Tcfs_zG_358s1ZZjX-iJbnkheELEoTHK5KzkUO=w1200|https://lh3.googleusercontent.com/pw/AP1GczP4VQaZzOw3vIoeklgGAEP9PXQJUvrka7A5SR_SNpzUxUweCZ9v5mhafKwh7d5urZqd3Pi2JUarIZ0QFxakaSCpJSPiAO0SsOf4pDsgAfJFDRTZXuKi=w1200|https://lh3.googleusercontent.com/pw/AP1GczOWadzU65eXashRjIOKac0b5NnfwdGm0UOylFq6DwMeXMvkysE0rqu7eock0Ur7dX0hHqfPtvswBW0bTJXUmumiw38bSJTFMjSfB_SziRlULvG7hpCL=w1200</t>
  </si>
  <si>
    <t>1382</t>
  </si>
  <si>
    <t>Apartamento en edificio - Centro</t>
  </si>
  <si>
    <t>https://photos.app.goo.gl/bzQiL2Bevj12VyPf8</t>
  </si>
  <si>
    <t>Ofrece una excelente distribución con salón comedor, cocina funcional, hall de alcobas, tres habitaciones con closet, dos baños, más alcoba de servicio con baño, balcón y zona de ropas, además de contar con garaje en sótano.</t>
  </si>
  <si>
    <t>Este cómodo apartamento de 101.66 m² de área privada, con garaje de 12.00 m², Ubicado en un sector de estrato 2, y con una antigüedad de 34 años, se presenta como una propiedad sólida y bien conservada, ideal para vivir o invertir.</t>
  </si>
  <si>
    <t>https://lh3.googleusercontent.com/pw/AP1GczP1VXCMNqVBkH6xSvqK7QEaB110fg3NhBcOCjRBmaEtJFPjn1srZuso1Mu7_UIYYFJiQwik3xJDoBRblmBlWOW7FWPNJKCsnfoxEd1re_SBcTr5l6_y=w1200|https://lh3.googleusercontent.com/pw/AP1GczORMrRuAldLcKqkHloRU8Xia4vZL0K-RqE2YFU0dbIQhmTKdLI7xp4FjP41s7itiHAITLMV6LpiF7FCIzmFk5qpk0yPvubxMuXQnN7_fLWDPXqwQOQv=w1200|https://lh3.googleusercontent.com/pw/AP1GczPThi5rc6lm_m9Sg9DyP1iAoTzXS6VH4mU1mp-_BvyxtR5cjX6bucRvnVyApeeUYqRyq1K-oilkH5OHI9OLmncglGOSaQdTddhsKYDmQ9O5Ob9PNfDp=w1200|https://lh3.googleusercontent.com/pw/AP1GczOPm90_jGeGQQ8Whd7otFBz-XxovFCMJwPeQQQyTktfgNFIrmJzyrKaJkU3xk3-6ca8dsWTnu7MhQQ2xjwOdBzsSdWhGvL6j-BoX12tH2ShkKgZvAhQ=w1200|https://lh3.googleusercontent.com/pw/AP1GczN06MOuI6MvjOfSl_AJChtxqFZrPp87uMkqtrCPow6aDi3HbzCNp1jg5KcRbEspjTS4khsT_LvanvofnIgW8zbCcl6JzqrrKVCMttNfYRlZLT3Fg_Xm=w1200|https://lh3.googleusercontent.com/pw/AP1GczNF7F-OTTn2c8IAobzNyhWwYyuMx4zFyJWm6W6S0-u62aDF5673G7hG4Of_cZkKE6hCnQ-ycvp4v2I0fACdnvccPsmYFxWprYPpRaxIl3FmgO8BjEQW=w1200|https://lh3.googleusercontent.com/pw/AP1GczN442w2aAlHlKGUuvD7PhQNRJiNf0xf_vj2NxMv6yHFeBGNY2eNinMa5CcurtOILvtuoHIuemQDyH8TRPw-gqMRZymGWy8nBlzCbQNnUHSt31-Gfu35=w1200|https://lh3.googleusercontent.com/pw/AP1GczPR5cEguzoAbOrLTxqhgDHJuYIHpul2h9BOSyQ02t6eVrYRhDFj2XlqL-IeMDye3N09JPWpO_11XkQv4Wk4tkPkhAIh7G0eKba4zk7ZJt2PVGCAoRdx=w1200|https://lh3.googleusercontent.com/pw/AP1GczOhFvNGB7NbMb2_Oi_RInJMfmVcBZn1eAWb2XKqV_-XaSnU-f9IKElM8zUHS1F23-JXqz6APwJNbtECVtMjpKjdFleckgeGziG3W38kDVWTZMUVafg6=w1200|https://lh3.googleusercontent.com/pw/AP1GczNVLBm-xp62FkgygIj5-eY2BaRcSGuRIm_7HfjiuiHsrjNhVlztW8wegbWKv2gmfva1_3t6NkC8MJ_iVnrzhjdVAERpHYCjlOBu0CRcR8gDQ03K2C6d=w1200|https://lh3.googleusercontent.com/pw/AP1GczOAje9ca4NnnfGU-kcGbV3wltO8UW8Lt-QM-Ydc4fjrFCuOx-Qg1qNeJ81Vwq4jOcfyofzVUr4vWBdjkN7Qn3asOFickuiK6HosW9rfb33JWh7rrfPB=w1200|https://lh3.googleusercontent.com/pw/AP1GczO9RdJCkDID7ZhxXJwqdw9p3ktn6AB94QukTaOTEkQLT3AymQFPl3NqLTbr8l5F2Q9wnoIli5BmYsVMPGDwTjqrhG9RvheEpFHe_xAGTwkqjbsPfeXj=w1200|https://lh3.googleusercontent.com/pw/AP1GczNXYiglGYlUD3H0kFEydozY6ZrLodeLW2yrEUzgUlwk6_XtPCWBGVCxl30A38TprjtcWY69U5BfP9lDAJzu4rCYxUCV1wtgK-GmT-ERTFlMJtp4oGXR=w1200|https://lh3.googleusercontent.com/pw/AP1GczOGU42WoI2buqMIqWqavedo10kQ5cyZkXgtGsYZNR1E9g5PwylHFb6h9iFQ1LNbEUBq361xcvq-Vsx-5VL2YZ2gl18pPJdKK4AbtViYHb8X3dwC04mv=w1200|https://lh3.googleusercontent.com/pw/AP1GczMP5BJ9xqXpQU_uxoPdeTv_oyOm41NA7kJNIZdysC4Er1C3EsUDIRd61ja4YJWekb9ZCHuqO4oVqRDXPTNRNmD-gDWfIKlSegfj8EFIyzcvVgsVZdwI=w1200|https://lh3.googleusercontent.com/pw/AP1GczMQWdGbtGlLcvI94826CjVnYyq2Z4dM1yoYOXB7-G25KufWXd6qkJ9Nxn4A0aQEfb4nD6sXVhx3pvFzUSSBS1YL2bR4_m-BT7RGjg_UYPKRqxO7lVba=w1200</t>
  </si>
  <si>
    <t>853</t>
  </si>
  <si>
    <t>https://photos.app.goo.gl/5m2ZTQnWqdKGY4dm6</t>
  </si>
  <si>
    <t>Invierte en tranquilidad y proyección en este amplio lote de 1.040 m², ubicado en el exclusivo Condominio San Sebastián en Palermo (Huila), un entorno ideal para construir la casa de tus sueños rodeado de naturaleza, seguridad y excelente valorización.</t>
  </si>
  <si>
    <t>Disfruta de un espacio generoso que te brinda libertad de diseño y privacidad, dentro de un conjunto organizado con una administración de $285.000. Una oportunidad única para vivir o invertir.</t>
  </si>
  <si>
    <t>https://lh3.googleusercontent.com/pw/AP1GczOIbBUEoSzoBVKKJ1BNWUrHYbreIvFzYmdXPhM_4Eh86wDo9XGy9rTwE32fvBuirju9-zR7cO6wwTauqzt0PjOJljJnM5WqdmyrrjCQAAUbEqRhJ1e8=w1200|https://lh3.googleusercontent.com/pw/AP1GczNDEUzVSKhEv7pvsCwAS6HiON1kFPJ260TO95lrgSRLfEG5S0wAfQBAyrpUaeP_SWHpi02tPUCXGk7cpV5jGLFxpat-wLekiKn2ezD6IU2N11gXpykf=w1200|https://lh3.googleusercontent.com/pw/AP1GczPBs5ervXscBIWWBRvql-hMCl6x5FKtslQ5EAP4IDh2vWaa5JFSbVXRQ6D7MhdpyddspQiYMEzK5Tk-t8OCP2Y3tBoDIM6Pph4ylQylZHVNH8qYC5ke=w1200|https://lh3.googleusercontent.com/pw/AP1GczOJNVu7-C-Mp6TDkW5LO8rej82cnQQbC2di7qkbF2pZarvo-oI1ld-6bBpXkSmTCijj8Yrm50SDJK19GftXLwl5mME9HpDcxkhxUZZKgqSDlSQXRLNc=w1200|https://lh3.googleusercontent.com/pw/AP1GczMmaNjbUv16dXEWoYNTyVy-IYudCAm0MYRRDPLxHZuj9AKepfIKoFMFwJ-dq-Nf6uMPX8maEvjINICJxIPt6iWNwlBSdSm9O6I_4Cu5u98YVHfM1OHF=w1200|https://lh3.googleusercontent.com/pw/AP1GczNwporcrILGV2ENL069OTUO3zCjVOLpissMjpqVXWbsbxwNLq8tQWRF6tO9T_hBiInb7delhRa5zauskWmEXzE4uxGAVbnRCXy0EjpilsJYukoDPqUY=w1200|https://lh3.googleusercontent.com/pw/AP1GczOodlCbPiqBvQjHGzFNdh6M3IGKy4spEolGpYshY-NbaI9F4TZs4DqupG40baxzSefEF1Xs7AAmQFCwqy1qMeMacUtgVDVb9-m3T3aQaxXX9ffAIJSs=w1200|https://lh3.googleusercontent.com/pw/AP1GczPHKEu6EwfWGpJxp2E8vQOkPyGEZm9J9LwCSRCdySeBCDHZGa5qrQefVGmfK9ywQcQii_aFhGfTdMPyojGj681VT4ueErqZcGfbEfwjyrAe60W-ykYr=w1200|https://lh3.googleusercontent.com/pw/AP1GczP3TP7okHdazfQed4wbeXunwkwPIjgSglmFPuwXEobzH7gZ0gOZ1MyD7R0hO1hhwtWmC5zw6y6SAItGcaBNDAYi7uBITDPigaELBLp4oLplyOlpgb75=w1200|https://lh3.googleusercontent.com/pw/AP1GczO2QAq_DlVszQ2if-ZAXRd2CQqU7ss1A4TQ8rHv_VzL5KMufkklZKXBCVk7KyA6YUAGM_q0RL7yUwKY9omqu5FRvWyJytaIsPvMUVTyFTO6Yi3hVD89=w1200|https://lh3.googleusercontent.com/pw/AP1GczO6w9-kFP_UzF5CWuz5iANdbiz3uy60LsLlkN8KcztXf_seOcl_7uGbuWQ3JbTPKBsIdc60dDWl_zFv1jqVjInAzaLoEUgVOmizH0FWXFv9Wrk_E4yX=w1200</t>
  </si>
  <si>
    <t>1242</t>
  </si>
  <si>
    <t>Casa en barrio La Acacias</t>
  </si>
  <si>
    <t>Las Acacias</t>
  </si>
  <si>
    <t>https://photos.app.goo.gl/hUNY7SXZKEKs37cg7</t>
  </si>
  <si>
    <t>https://lh3.googleusercontent.com/pw/AP1GczPnrwhWzj-a6FjYCjv7Q_D3NWJ0jd7UwJ79QT2P0iAnWFcwRWwwT535zJuq5J-LBEV4dlOgzTvKU9CM3NfSJYdTNw0Dqi8zbfv9uV_e11IZBi442v0Y=w1200|https://lh3.googleusercontent.com/pw/AP1GczO_1uaQEDPWDYw9Ywu7aNY2wv8UvJEL2m-OhNZJ5qtDk6RYulWjCxhBAUOqwsppxrKBKz5RwPXElZ4h9n7U9Z69X0wtq96Ltym2y0I1FRYMxfeelxkg=w1200|https://lh3.googleusercontent.com/pw/AP1GczP2Z1fXlRxMx4lGefGHAI2gDiBJ4rZECXojcoBlBG8-3wcAGrsmzq2igPGblFb5w4iUC3knGj4K69eJCG-5Ru-oEB1DQ_q0mUf5H1NvKTc2LIkoRco_=w1200|https://lh3.googleusercontent.com/pw/AP1GczNP67YYbbAIvwRB1BA8QK7DwhpZo3rpn7sChDGk3FBBsslNic1SnxhwqZwXi9gfsPHFuQAWc_MduxqU5rJez-QVp9sZT_yNWo74ttM4ozCaLuglmYh_=w1200|https://lh3.googleusercontent.com/pw/AP1GczOgnx6qkNLrxstOvhMSGDA9qIgwnqg8UIS79XXkyhIuOaXvFG4N6UFFqSCwmP_7GCQ3W2yfpysJ3M9K4G4BfzXIbq7maFVVAFQh6I0kKoCzJ0Fg6DT9=w1200|https://lh3.googleusercontent.com/pw/AP1GczMXEy0sDirCu47O7FpLmzopm1_jFmxCcerEx_jVujkeB3p3iQhnRnm-myPLi_ina-M6HzUNtTIGlPZoUsiN8hVcSNfZKsBYw9P4ozWXM8fATtNRg3AK=w1200|https://lh3.googleusercontent.com/pw/AP1GczOGj7PX8e6Bf8QIUUS7bZQG291x0DDHAIpGa8ESq3cOohW-5o4pqa0QR_7xOHFnK__tEanz9RVVkTuj0ojdS6kePqArhmP6TppeK86nplhaxIEaBV-b=w1200|https://lh3.googleusercontent.com/pw/AP1GczPx7Xi4aGKtTD_05Nh3dqs0HeIA4Z1Zb6rlEmDQOiSc385qPuXwtjg9FT-xk0lzht9lkwb8xtgAKZyQXJghx7YbUlmmK3TJPOzLaJF1lHEHTxOyLUXI=w1200|https://lh3.googleusercontent.com/pw/AP1GczNlvHpW4z6IzH-O9J-zKieCiGRwvLasreeJGWfCPjx4YZwn0InvVIIFAvJBypFz1x89BB4apHrVSuVvHeY0MzXrXoT_JnTNlM67j8Z3OcCCn0989XPl=w1200|https://lh3.googleusercontent.com/pw/AP1GczMPGoFV3WCTbYVnXtAIFPjopeh-SiBz1TADEMV2LpJuW0H0ujRrkQfk5odHTSvzA8F7LK545Qx-qhWXg0jXYeYvtZDQBI6ouE81rvgPKv7cEB78FXQz=w1200|https://lh3.googleusercontent.com/pw/AP1GczOdsgncArFu-rmefIGVFl5n_yYbYHFkePJYl9Dayk1rEWZzaB83TDNEs2VipHS8L8Fof_e3JN-O5pv-YbBXdv-9IDSqGlBsoH5UelAfxM5_ndFUrf76=w1200|https://lh3.googleusercontent.com/pw/AP1GczOtlVcmS3KO8bH3B3YuB-aamSSDQjWjL3yAj1Jxujzdd04jFB9Zvl445Twx8B0tZddxZMX-Bj4UsmkAdD3Ctgqyx3noXZgmutH33ONIPvHIaswW7iFa=w1200|https://lh3.googleusercontent.com/pw/AP1GczM2qpiA7OBRWyjvZsZj8j8hQj9S_GQwU_7mrRW3nXaBA3G0rIXgdHMskqNXAcBkG5ckdE6U9WCG-RgvokB0dBoszpBWLdvf-BKbS8pPME3UZrtTXEV3=w1200|https://lh3.googleusercontent.com/pw/AP1GczPmXhrCc4QLT6yZTO760QSotGNgCpmEP1aXIY88jdKHtj8SHPsLO6Q43Akldsg8ytimEhLVOKSv9UvzPInYlL32PBHRjj8C_vln8ph5Zm9MKg22LvgD=w1200|https://lh3.googleusercontent.com/pw/AP1GczPgBESeFUgH9T0Aexbc8qbmlqxbiGco615t42sQqNkERGAjge-8aPLm7bsD_SPZg0ftjQoVLqMBox9nvj2HLQS9YVqrLTdJcfGTOFB6xZQTCx59XMKd=w1200|https://lh3.googleusercontent.com/pw/AP1GczPeimym41z68VT-XY68-xNr9KJYlOpuYNAsGfi-NNDN3d9YgvHWo7pu_6YMSxSuv6y1e30H8y6N-YM2Yrbwn_xwoEdPTmKG0_y_ow1vV46XOU-IUMSI=w1200|https://lh3.googleusercontent.com/pw/AP1GczPkcsgTOnEkPH9N9N6MhUlD3uiYQ-Ln7QNvWiwVKZYbZ0j0pZ5UQ8OgaejIddI4Qs4EY9lECZDIangfdBYFdGZeoqkuGQMTqq_oGVO0cyi60J-KrMvm=w1200|https://lh3.googleusercontent.com/pw/AP1GczPk-rEVuk_uqPBaXVpU-EgIqJyDExlQhBWCtStsg96vDLuPr8sTkFtKNibQe7zE4eidvME2I-bXGIZsvUMGvfCfFzwIoqF3vCCaryAHfQY65JkTQ4Ze=w1200|https://lh3.googleusercontent.com/pw/AP1GczNcOULSFiZt_ddvBLwmEzF-eYXTiLRcU5VulYbVLJijLNHlulbOiO4-YyPOFfI0z3D2-cjsBn-6_rbTR-mpqysvejGKGNI2b2_lZjigyayKBixeqrvK=w1200</t>
  </si>
  <si>
    <t>1142</t>
  </si>
  <si>
    <t>https://photos.app.goo.gl/LzF2kWKR7SjJxRSz5</t>
  </si>
  <si>
    <t>Casa ubicada sobre vía peatonal, para remodelar. Escritura al día.</t>
  </si>
  <si>
    <t>15 - JOSE LOZANO, 35 - LUIS ANGEL VARGAS</t>
  </si>
  <si>
    <t>https://lh3.googleusercontent.com/pw/AP1GczMOOXWg3vc8yOJXPXBY7JDENwXFPRqv3fv4-YqCcRlvx_QoB9tcBmYvEnVI24bIYhhUjCowNKD4jL5ApJO6EBE5Zey1pWHs8_fWGScpF8VNPRXyLKyG=w1200|https://lh3.googleusercontent.com/pw/AP1GczPsabgfLGYivGMwk6UDIJNT9Fqe-Q34Ogejl8gm1pg3wpZ6OTL3NQuV_ed27_UI_CDhVM0Fij7knMURt5L_8wTAsPq0wjC6Y6-tA8SbUI_et83xdG9q=w1200|https://lh3.googleusercontent.com/pw/AP1GczPUtQgcyHoTuNAahlmMdI0jMKidL4hglrRrVD901QeokssbLy0yRTgW1VgwTf4KwrUEtmKzmSSA9w5Dxp4HjcHtqAvXwDXH0RpUpcSsk4Qi2kRJNgZC=w1200|https://lh3.googleusercontent.com/pw/AP1GczMfJ5BndAzNHbb7LORqiDYTNYVJki1-kcJpFnc9_whT2qRbdTbXv6Fji516iijz9wA_FjAhqVfPYMWr7fqVadvma8k4I13CPiLm1fcmBCCIk1eAOvQz=w1200|https://lh3.googleusercontent.com/pw/AP1GczPhB0w5iFljLGXOszD7aOYPTJDYmhrkwLkEfY2aEDrs6uXV6mGXyUOliSA2fQtg2jsjCgjUyAus6iLBVuqg2Pktf9PLsV14I1Dsj2LK57WC7X3jbAsw=w1200|https://lh3.googleusercontent.com/pw/AP1GczOZ8Vwe0RgY70G0owktHc-dagGn-MJEjVjSUHOiHDC05x8i8xmo9ogLfs5OGhFyJD1DY9tipDlEfsBUfgo6YlKdrxwW1zFRCSHZDVIuo0H3Nlbre3d_=w1200|https://lh3.googleusercontent.com/pw/AP1GczNDlskJiw-BOSmrhDmjEmLuRH5g-8uowhv_B7O_KkhG1IgyW_85r3yjtrxaire6I__jDzZecmCrl-R9nZGzfaFHYkAobt6uUVnGkR8dgOga0RHeSOee=w1200|https://lh3.googleusercontent.com/pw/AP1GczOb6KEhIW76_5kocMWa1iuTJt-LgN8hvsYsw_Y-Sga7bf8j3QV2UXdXRpeMQqT7-wspo0WSz2V3QQZtc4y5NqcvazltB0sQUSe5LLNBe7I4_oYmSab7=w1200|https://lh3.googleusercontent.com/pw/AP1GczNWYA9xe8dG_jA7KdflGH7CcZ9eVRB1xvfwwfoU6GSBQ8PRNFjOuJHsZGizu2F4Vj14dL3Kx-Z9wy2EVw2JsRY_DML0hYhUvxrq89TJlRZPIHTVt_-B=w1200|https://lh3.googleusercontent.com/pw/AP1GczPCgUVURzUIna__S8URkYAFH83H7u1vlGJhKTeWPROaD0_zPGmff_e-UkDrewXQI3EUjqMLEigUqT795ybeg52Rb9dKjqGrp-d4xxawfCWowRY79P0K=w1200|https://lh3.googleusercontent.com/pw/AP1GczP10hyjdBmtSyQy0HK2BvhmQ1CkDMEY_ACI0mgXF_wZ7jOvNGxj-xnOdGP06gFTheqS_gznclciUS1P4nP5UNfZ_VQPetXD8DeIcwzml9igWEZM8G1_=w1200</t>
  </si>
  <si>
    <t>1112</t>
  </si>
  <si>
    <t xml:space="preserve">Lote campestre en vereda Los Ocobos </t>
  </si>
  <si>
    <t>https://photos.app.goo.gl/oXxMfoKQYfhr8Qzx8</t>
  </si>
  <si>
    <t>Lote los ocobos, área de 2,209 mts2, con pozo séptico.</t>
  </si>
  <si>
    <t>https://lh3.googleusercontent.com/pw/AP1GczNic0bUD935s6Ta-NmQFd8LGautvxRSxYct9acl4nFvUnZRrJwu3O_EfNVJ4Y91o5idgsZOOZX6KRGXrfbKCmkMeIz19DDz_4SFMryjMB3i9BwaMPpG=w1200|https://lh3.googleusercontent.com/pw/AP1GczNAwDudj_I4_2aa9okKgpk4LLv7nfeEjF0zsxH87oltGS8zGNIv0cjgLjQfHLMl2tiPnPuCjd1z2cPaqMdux0XSJDs9Jy4YkIvrvxTDBfWohYgIrqQ2=w1200|https://lh3.googleusercontent.com/pw/AP1GczPSZDqTATb1YstKoUGTG7WbaafdWP8fpTlOcT4EYgdGnltA2hBJw8xe75iBKDO7p-V82mqck-XFKMOfROdS8pfDpiyUyJF-gdsXDRHDBBFP-tdNc9B3=w1200</t>
  </si>
  <si>
    <t>1003</t>
  </si>
  <si>
    <t>Casa en barrio Cuarto Centenario</t>
  </si>
  <si>
    <t>Cuarto Centenario</t>
  </si>
  <si>
    <t>https://photos.app.goo.gl/izNh1y6zf6yQogRe7</t>
  </si>
  <si>
    <t>Cuenta con algunos acabados, piso en cerámica, cielo raso en Icopor. Algunos muros  terminados, otros en obra negra. Cubierta con teja en zinc y perfileria metálica.</t>
  </si>
  <si>
    <t>Casa ubicada sobre vía amplia. Cuenta con reja. Acreditada para negocio. Escritura al día.</t>
  </si>
  <si>
    <t>20 - SAMADHI RODRIGUEZ, 35 - LUIS ANGEL VARGAS</t>
  </si>
  <si>
    <t>https://lh3.googleusercontent.com/pw/AP1GczPvdEny__Mx3CxCIjLhpfjupH5NVE5_mYTXq9FwGGfluzbFqlO5IlxCyEWu5eeGh0jUi_6wvgNf2vyR_2AnUSKpo1-C9KEeXn_iLqrMjLzuE9-fi4C0=w1200|https://lh3.googleusercontent.com/pw/AP1GczOUCq1f6q8swHYLpPp9U3QD6Y41D5FCni7G-i5HapiYmOxbdPOZ8RbxUYQ9BGpnhhcDWM1royk9KpM3V2W_AdJeuUVdzm33ipVvZ6fOmm4UgiONUS6Y=w1200|https://lh3.googleusercontent.com/pw/AP1GczMfh48xDQNf2O-xOXI4_zRNzbemSLyMl0d3bcSJAt3azzi0QmksSkPSLFAVBmDBCFzWHnpmpIRNKlOGWzWAs8nkNHQwDdqONyK-aF0Tl_3uJg7tOOPl=w1200|https://lh3.googleusercontent.com/pw/AP1GczM6YjSsS-HQl14phRNyteqW7jKagOI75Cj49afqhT18l9pG0DKZUbHVi1Et4px999fEkLbQX0Hk38Jz2wYLNntXx2zKanQbRFAuJMt67YJhLGANI72o=w1200|https://lh3.googleusercontent.com/pw/AP1GczMhmUse9An4ZV9xj8_ErT4itz27aoGWThG4iKqEe0cVbcFkD1SWDYlMOBHZwvV6Q-ydxNf1we_684bDQyH9GTfIvT5pI7Dm5QqZi99PESp87f23SLd4=w1200</t>
  </si>
  <si>
    <t>706</t>
  </si>
  <si>
    <t>Casa en barrio Oasis</t>
  </si>
  <si>
    <t>https://photos.app.goo.gl/Nh9zS1YrEDv1dTzW6</t>
  </si>
  <si>
    <t>Casa bien ubicada, con buenos acabados. Con reja antejardín.  Escritura al día.</t>
  </si>
  <si>
    <t>https://lh3.googleusercontent.com/pw/AP1GczPUREpdyVj5rIM-xho2OBUcgzswONDHgBBGQTCo7FO-7XXju703whfaPelZzHF8Cvr-i0BPsLnSIkB75e57jxCp9xlCcpfysRBXXHbwWiYTU3lYf_Sv=w1200|https://lh3.googleusercontent.com/pw/AP1GczOKxZjj_64NgD5KvMCX1K8g3als--9CFd7UrksYxv545uk3vHvO8BUSsqlOCdXMxguRfbGXh7WzOcKvdo2lYF-uvKrjn6TG1gwzk6RJFwogR7gXj42c=w1200|https://lh3.googleusercontent.com/pw/AP1GczOk6maS3p7HzV5Azi7eZ6Vvw9EMbgLHm2MN1fKCqraJGkkn8KAMBAS9fQXJU-m5eJW1YIAgVM66EuN1LEAQg7QAJrVDoQbKvskEdwl1WyqGwfQHJ3iO=w1200|https://lh3.googleusercontent.com/pw/AP1GczMXoa9M5W4kGm4ieymJJTkLEZaY4sI_XCKF03_Xr4FFnwhL3yxFo33Y0CyIOjtaxS87eR6TfxFtsbHWpnPV8t5v4apGOGbyxa30Q501G-REjWXvxAGp=w1200|https://lh3.googleusercontent.com/pw/AP1GczOC2hex1nKe_cbKw48HHzuSEgff3vzztqIuoYD54kdRJUDZvulteVRzWODG6m0b4arcGR88HX57-QUcoBYYXePWsktkWyOgpBS9Z5gmgUjRpeRqt4VL=w1200</t>
  </si>
  <si>
    <t>1383</t>
  </si>
  <si>
    <t>Apartamento en conjunto Residencial Bloques de Santa Inés - Norte</t>
  </si>
  <si>
    <t>Conjunto Residencial de Santa Inés</t>
  </si>
  <si>
    <t>https://photos.app.goo.gl/kz62gSK6JCwAnsZu7</t>
  </si>
  <si>
    <t>Cuenta con sala comedor, cocina, tres alcobas con clóset, un baño y un pequeño patio de ropas, ideal para quienes buscan comodidad y fácil acceso a diferentes zonas de la ciudad.</t>
  </si>
  <si>
    <t>Apartamento en el conjunto residencial Bloques de Santa Inés, zona norte, ubicado en quinto piso, con excelente ubicación central. costo de administración $180.000, estrato dos.</t>
  </si>
  <si>
    <t>https://lh3.googleusercontent.com/pw/AP1GczP_zXgtQmc9zleqr5aJv2mjThTajzDdX8PXMdsG3Jgdc64xir7VFWlLANyFu4MTFrA-JseUccRuzF7qNpcGZQFFnOFERdNFM-UkxLzz1frn0YY44uv9=w1200|https://lh3.googleusercontent.com/pw/AP1GczPOvY-01KurUh4PSLYUw7wBAAQUBEOi6JaI5G7MOrDPmdpMlWZBguHKGtbCrMAAfDE5xhrs75EdIiOWB63KFjCgAOSU1uMHMBJspBX4nB1V1BXwd0CT=w1200|https://lh3.googleusercontent.com/pw/AP1GczOK_XMMAr-OO2PYaZ1Hdejmg2Tr8hG3kf7uomQHWRhZEupHmhp9r48V2rk8Ra37P-BOMI1loOXmD3qHliyuzIMmdq6UUZnFuE03Tlfae0cdzmdMRliY=w1200|https://lh3.googleusercontent.com/pw/AP1GczMH9-VdBLSgmdMRNCLeN5hOLQE0Mw1m4Cb3I_wgcpf0f434GC5mBVi3OwrdzVldRxyzQNyoqQwV4bljG4zhM_4hU4YDtDtL4S5XvfTg1VJUK8fKhLeY=w1200|https://lh3.googleusercontent.com/pw/AP1GczMu_5errDWyLmJEehYMhab70nYSXc46PuEJwAYrFgYLaXzpVhutL0WEARuc4kW0UXRMos1od-q0LuTKB7NmIuPTHvW_eOhLcJGdYN3rd63qzgq81HCY=w1200|https://lh3.googleusercontent.com/pw/AP1GczPBhovMiRyaqUw-IQcM4RtlLn7A2r9Q6yu9UusuR6QR3QDZqAhBnVGAMdbxrmVW3q-MkRCLRHpdhWdzhsjT80kVy3dItNzld64cEjfK0RBr7NcsyQMj=w1200|https://lh3.googleusercontent.com/pw/AP1GczMJfFLAgpteeV8oHpRwr-jDMnfzXSAGkO7SalPZqTmEV62KfyL3Ej0oOofettXntQ50hTMy7QZx5owNltDw3h18pOjqJr2D4dH0PCuMQDMiRKqW-tzh=w1200|https://lh3.googleusercontent.com/pw/AP1GczP6BR5mWz1VvV_5nxzq5GuCkA1m3AcYizfWYsvxPNKSfOW5yZgEu2YJI9hLoWsm4NMpyv_2ZYjVvQ2rkswlJVO4kDI0dKpvSTn0VTa41fiuQo2icmHf=w1200|https://lh3.googleusercontent.com/pw/AP1GczOjgchXyGr1SrBide5-eydfFNrlvJIY8--pqDcv3yH-UJ-1LsJeeyfDKeO03DzgeJnw0PDSsKaTcmvAWi60Af1ebet-NkCakMqwc6SanhjsyjHS_knN=w1200|https://lh3.googleusercontent.com/pw/AP1GczNmWS04XnrESb0zp0vhfIQsbDYl9diCZZDSnNommmtWI_ruO_VcBKgmdeAOh8zZG4QpucOwxd80nsp7jvVU2ES1zi0oEpevGnKkCGEESx-npj8VJC-9=w1200|https://lh3.googleusercontent.com/pw/AP1GczPca_lEXBqR3gcdCgdk-vuRPDECQRHPbfYIpV0TGxw3MSD8G6RTAOKFcwJVtuHu2uouYJriz5Jdnldgc3YYFRti9fS23k_rYGTKc1yVG6jKNqwMg9oW=w1200|https://lh3.googleusercontent.com/pw/AP1GczPPiB6BYrK1RR8cuAFL6B51IusbXpQ79y51CMeB9eF2kN15QffkQnPV0FlMdEbNxoslbaeDdnGNpm0D1QGyyR2Z29fh2xBkxgrto1DN14qenDu-dT4b=w1200|https://lh3.googleusercontent.com/pw/AP1GczMt04wHeU3lXJKoGJ2dUDsQxBiZiwoE1lWw9sYioLghuJaBEFM4Pw5jhvzC3SSQslBES6TIPR6XAIBI5qBwX3pLfKYSHvmuhM7VBugpmxRSjFb5DNhL=w1200|https://lh3.googleusercontent.com/pw/AP1GczO8R0S8fL75QLWpj-3EBMw8jZUWrmZLN2yMSJB0bFFSm5jzaserYMeYXzhm2cbSK6CzQuyNf3BQ6X93P9DsTGQHNDvdfqqlmjo6SNgqMa1Bm8q9LRXD=w1200|https://lh3.googleusercontent.com/pw/AP1GczNTiuMoXdOo0TTVisCZ7OE2m6WovpdeC4OqTof1gV3UXi4TbTRLDgEbw7d1Vn7aBd_NtK6h_qdsrC1mGvu-5Rq4RUs0IyrpCUqN2ZmiplTgS0ZZj0tD=w1200</t>
  </si>
  <si>
    <t>1285</t>
  </si>
  <si>
    <t>Casa en barrio Puertas del Sol -  Sur</t>
  </si>
  <si>
    <t>Puertas del sol</t>
  </si>
  <si>
    <t>https://photos.app.goo.gl/itsFzTEXdnpTxRcF8</t>
  </si>
  <si>
    <t>Casa de una planta enrejada en barrio puertas del sol, parqueadero amplio con espacio hasta para 4 motos, sala comedor, 3 habitaciones, cocina, baño con ducha, zona de lavandería con lavadero, alberca y espacio para lavadero y cuarto de depósito amplio. Estrato 2. Piso en cerámica y baldosa, puertas en madera, Cielo raso en Driwall.</t>
  </si>
  <si>
    <t>Casa Medianera, cuenta con reja antejardín,</t>
  </si>
  <si>
    <t>https://lh3.googleusercontent.com/pw/AP1GczOgRX_D97jw8YeFxPOmFphs34KdWsLKfFTt8tyO-8E-o7o5AXrFEtISEJA0BGkGdOfGmO5AtSc9dWJpdAMxnWQmehMkBjhFJL6v_a3T88P-w2nin4f5=w1200|https://lh3.googleusercontent.com/pw/AP1GczOh1Wg9hYcuiQaJrrShtbfOXbkQVEDkBsM4YZbl0ujCBqhuuE7nFq3DQjtPn09X4j5hRBshkItqUE8WHD6l4YqhCpr8yfULaOlhDt6wkm8gZnwYluyX=w1200|https://lh3.googleusercontent.com/pw/AP1GczPPMfnEXwGHr1bzEqjwGpFF-1JXgSoInkWcFKTStHbPyAveFXhNFttSp14qkczYZRxsDZaML3-2OIqNIGgkjvKy4HeC_nFEQHGwOctPIoWKnrM4ZMR5=w1200|https://lh3.googleusercontent.com/pw/AP1GczNuFihWyKC79yLZpccvj9xsQHpU6iVT-HdUhQ0LAoVv_7vzhA3_Om2dS9bL5CNJyDCvmhgVpeM_y6nUtrbmU5gJC5rPVrabLPmMDPGj7q5exq4dRVjM=w1200|https://lh3.googleusercontent.com/pw/AP1GczOKaePFp_dObAqqGMjoZ1bDI2ajH7zvcRMUQ4ZYI6tU-xN9zDLKkCQ38erHLN2N5_QDQD-cyXHMTNyNnKoqATzjmwCiPhSuHBLYu0TbCROGa5q7dmOs=w1200|https://lh3.googleusercontent.com/pw/AP1GczNvNi04FA2iTXDdvU2hbAgr3JiJNLZQ2dEfVNTByp3Hs8x35hCTnUn5gF3bgu62D0Z1wHClFz9KTKxAZeqwDwl3NK0CLX-2JSHCTC9kXT-Wc3QkuLZ6=w1200|https://lh3.googleusercontent.com/pw/AP1GczMteu_5f0qtSxegq-wfMr1Zfr4eQgyLzdnSi1KRtxQirtTMOruEqjkEkhBYEsqJ1l6JDXh7k3kQ4CHwswZR4qZDo3Q8cfB8x10sKKHPzx5m2cYIiaaw=w1200|https://lh3.googleusercontent.com/pw/AP1GczMvX8o5zfMGZoxfNJe0CQqguEahO_OqSKdIq3srfXpFPz0hVF2pUX35dyvpa2Fevb4roa0U9akSYnKsW92xE3jnxf4ATRcVPB-lDfoDlpQHAkFPWI7O=w1200|https://lh3.googleusercontent.com/pw/AP1GczOb1u4lcGMbt3xOXUSmufHUvqf9zXodAIdV2wHwNoUwhaZWJiBFt7yVJgWmSpdNP7d6YKw_PvtxSWS8Zis1MIUpPZAyvsajIg1DKzyT1mGGnaEv-MJr=w1200</t>
  </si>
  <si>
    <t>792</t>
  </si>
  <si>
    <t>Lote en conjunto Condominio Campestre Miralagos - Neiva - Vía Santa Clara</t>
  </si>
  <si>
    <t>Conjunto Condominio Campestre Miralagos</t>
  </si>
  <si>
    <t>https://photos.app.goo.gl/KfMfPWituhJAec1a7</t>
  </si>
  <si>
    <t>Lote en condominio campestre Miralagos. Área: 531 metros cuadrados.</t>
  </si>
  <si>
    <t>El conjunto está ubicado a Km 1 Vía Santa Clara, a 10 minutos del centro de Neiva. Cuenta con 4 lagos, Miralagos, Flor de loto, Mirador y Lago azul.</t>
  </si>
  <si>
    <t>https://lh3.googleusercontent.com/pw/AP1GczOmiaQRnUhUX2FVdB5rm7ia4xN1dk-4H_Wp14tx4dzaXR73ctZZFOgLbhEjpqfLXZ_2QIYKKK7NOOhmXC-wKPXpzkyp6WBaze8Ns_YCRbOrwnCAxqK3=w1200|https://lh3.googleusercontent.com/pw/AP1GczN7xdRvUrd4sf-TrMCBgAhN0HZ1P8uBPZfkoEUY3_B2jkpPsY5y9HID1NoXIwwjmH6LF1ZtPj6OhCdHqYSOK_QIG-3X-jVLKdJJmu8Phm8ng0X-2EMW=w1200|https://lh3.googleusercontent.com/pw/AP1GczPXy43yCKAgEowfo1eCXLajJNc0bBr3-qkxwBdnbgNcTaxpISwbm280Mm1BN05dm7RVliZ6v95_8fH6m1gPmvuAjviErBGsuyUPaiUCxAK63LKuVSiC=w1200|https://lh3.googleusercontent.com/pw/AP1GczMkBa8-4kaTPItXsN_X1t88UIY0dnfhp_XBYYg9fU5gdmy2t2G9azhr3Rm5gTpQb7NLGiJkx7GU24ZhsQK_0N-_twNEL4bPeKguebY6B405n-dGSQRm=w1200|https://lh3.googleusercontent.com/pw/AP1GczOoCkVyqTsk-VsWaN1P0IgLaFj1u0Lc6xkZ3qAUBl_2YBa2S0gPZqFGnFG8RO6ufYkrd1YUI5flBaXkxyfTuTSYHToGDuiGYd7kV9dO65xd3rolyZah=w1200|https://lh3.googleusercontent.com/pw/AP1GczP35kuYRGkxkjipbz3DW2Bt3PjcQVztuaI-RtFcH1uxTR1vA33i2rKX2_dhdrKRpR8V43XQSm2TwbAm6DNzOOBIhYBUk6AHi-UeKzsZ-XZTJwN0TMBS=w1200|https://lh3.googleusercontent.com/pw/AP1GczPBPVvXlUoRDsb4XpCNrqLKYA8wIA1POMRwZ3L7G57UhKJB4M0Gw5k2YOafV0pq65zKBEkPLEZrKPifFtEsgpkOuHqHC48O-AUD_boWqY1uxyoWv2yN=w1200</t>
  </si>
  <si>
    <t>1359</t>
  </si>
  <si>
    <t>Lote campestre en conjunto Condominio Altos de la Sabana - Pelermo - Z. Industrial</t>
  </si>
  <si>
    <t>https://photos.app.goo.gl/9XVkzKFgx1DV5Ezz9</t>
  </si>
  <si>
    <t>Áreas comunes: salón social, piscinas, oratorio, parque infantil, gimnasio biosaludable, cancha sintética, cancha Vóley playa, cancha múltiple. Acueducto propio. Todos los servicios públicos.</t>
  </si>
  <si>
    <t>Se Vende Hermoso Lote en Condominio Campestre Altos de la sábana a 10 min de Neiva. Zona parque industrial de Palermo. Area 528m2.</t>
  </si>
  <si>
    <t>https://lh3.googleusercontent.com/pw/AP1GczOk1IltE-R8jEZBIrKi5AhreXnhi_tmeV-VkNj6Ywnyr93SFmNE6zcCvyFqWoVj-45I1kDGyFPfW3X0sHG9sHzgvIfavwZG--KcqEgetl595ykxp9pP=w1200|https://lh3.googleusercontent.com/pw/AP1GczOhN3zXbZAX2YKFAt1lwwsZ13ooh7JaAn6wWieLz3RXILbmzOPse_lQV8KMIuGvLcYb_eLEEnvoYjm2iktxrCO6HdJChdp0FrjSbCv7ItBNmopEo0cz=w1200|https://lh3.googleusercontent.com/pw/AP1GczNiWzaxRXk4ooAovEqh-NPQjT8Bgkh6ZHCakKCB4l0gnXv0qZoj85wzngWj7U9aJOhkP4N0hXIJLgLK-jpbCDRTXkERsqd7JaXoVzYm2JLKyCGYEmL7=w1200|https://lh3.googleusercontent.com/pw/AP1GczN1ZMIuhb2onzYEtsmJbYvCOzYrWRFxCk95CuWLkwMab8sIIddtNpzYtPNGPtB1t-hdfaBKhx-HH9y1kYxus7RmHqozmaVlVffj-WRbNbRkWKjhkUbW=w1200|https://lh3.googleusercontent.com/pw/AP1GczN-UBqx2K1PlDeKrFUPk19KP4dFEj82hXKORlKaQFRHqjbwZEMsy7ZtR6_qNSwK3GHc6Ic_A1PIh18p3Nh2ZAeCNCBd2FjkQ3pU8G7tJ7WhMYXtTy4H=w1200|https://lh3.googleusercontent.com/pw/AP1GczO3fjOr20ozUPV3ZaofY6w0PDf8y4Hxa1o0gDpgk5O9zcdhjlRLe8Q50InNtJTvH3wWd-mKBBOM1dJxLWEPW4UhhTlE9Z05Ff4mgd4miag3-9Ftc92J=w1200|https://lh3.googleusercontent.com/pw/AP1GczOJh1OLnumCY2lOTMwKFCJKbFbRnc6SyRUH6XX1qtGlqHEOzJcFuyuWPGF1JuPQtLfwg9SUULtmBzlun6FAFo-cWUjvomNrmT8Q187zVOV0s1J34D8G=w1200</t>
  </si>
  <si>
    <t>1340</t>
  </si>
  <si>
    <t>Conjunto Campestre Altos de la Sabana</t>
  </si>
  <si>
    <t>https://photos.app.goo.gl/xhrh6ZB1MFLfPC6p6</t>
  </si>
  <si>
    <t>Lote para venta en conjunto campestre Altos de la sabana vía Palermo, excelentes vías de acceso, de alta valorización.</t>
  </si>
  <si>
    <t>El condominio cuenta con vigilancia privada, zonas verdes, zonas sociales, piscina, cancha de microfutbol, parqueaderos visitantes.</t>
  </si>
  <si>
    <t>https://lh3.googleusercontent.com/pw/AP1GczPGJGG_Q3_4OPsqg3bcc8cwLH1N-r-MjbSqnBpzqFdVls_ydAY4DozBtE_GQEnNL7ojn4zopiUcMZ99JarnEFed-KfnL4VntmT4mjreenRmrffE2Rph=w1200|https://lh3.googleusercontent.com/pw/AP1GczOtX5q-DZlEIRlgLz_-etXPjEl1cIYtvKjPcUjtcj1LODHGJZXivTUQK3y654xAmCtRxJjzAEc__UuoNr6QAj7jnjO9spwXWoq9M8oy7GlwaaqItnHX=w1200|https://lh3.googleusercontent.com/pw/AP1GczMH2XrAVobtmEqohFrLlHRzMULn8Uph6tj3NL67okzh3YrBfpTiWzyNw6AGSREfVp92VRH4cHZUdfekYgRpQM8qrwSQIVtapdW7N7Cxmd93Py_nGxru=w1200|https://lh3.googleusercontent.com/pw/AP1GczOlErVJS9bIcDSh2AAeyJd9Q_etXliaEHl5Y0K6yobgbIfa7OvuXp7zuyfM8CsnulWAgrW7cgnHUnau3iGeVpsuoMJycAA1lFMZuX46Wf5kPtmCdnyH=w1200|https://lh3.googleusercontent.com/pw/AP1GczOxm_ODGWCdFSFt1qjLbLWRPW0y1kZ4U8uLIpxGjyOjxf6nG3gOfS7Nz8dnYRTxmoAbByWCzHrgVgtDRQJP30l6QBWJWWxLfYWw2L7xQILrgcwqJizC=w1200|https://lh3.googleusercontent.com/pw/AP1GczOZveeSYXKJhV1EPNX9JbN_ZlL7nifP04BxrECLkYkWjvK7q0X7xCwl7JHGEBNSXSG84MGTJxrJAfavJqegLYD7x3uoIxBvSbML9IvPzZGf2Nk0GWvv=w1200|https://lh3.googleusercontent.com/pw/AP1GczOn14_PpceQ9NfCqO93_4HOlR-fP6W3NVlMD_Ex072kfP_QsP0JUbkiJVlfB01bkBz_96LPHs5TJ-7CVkAr81jem6JMJ200OP7uVk6CpdIKNIYKT5vH=w1200|https://lh3.googleusercontent.com/pw/AP1GczNy9psKnoRMIWY7dcmui-e_DtUJ942xSsHn8opWfJgQ6EjzyTrxZ7MGkHuj8njA9qVrC2w9U1RA5o7tXdIwm_B7XVjXyopluMFgC69OlRuloPk_gYIE=w1200|https://lh3.googleusercontent.com/pw/AP1GczNWUq6lt4X0pOc-k8kRxOdpyUgzdDQ0ocU6Bo2QwaIbWtIiBYo0lmcw_PZ2odKFT2o5z5gtCzkuwJMRU70D8VxyATN6XbMLMCukvdUPeHlo-K0tUY3B=w1200|https://lh3.googleusercontent.com/pw/AP1GczORWJzikXQuweOKlkyGpdbjhSzC4r-FH7P5AnnaxYLtcMnK1arMTXzSifJnxuLB0Fb1L9IV8_NEKfWKa2O8639Zs9wXxt_1Rl_bbwL8dD6hfqeAXpjf=w1200|https://lh3.googleusercontent.com/pw/AP1GczNZyHARD1XobfonJHCPv6MpKMiVy6HIkP7cZN0TYsg1jdVAsEiKsbFvIfwDp8ifxpma_fl4ll3jLvlVm9I0YAKeavFQrfoSdc_LyH7tjRcWxq_2IZvH=w1200|https://lh3.googleusercontent.com/pw/AP1GczMDXGkpKD5Eqg3So-DLtEtRs-3o3pT3PWl1pR9_nhmzs5mnBbTLRZ76gHpj0c5xC7FC-VEWC5Ag0fQvROIsr_SISWLJFy4l4X_e01hvJPaHKnSf2ZvR=w1200|https://lh3.googleusercontent.com/pw/AP1GczOHRWnMgOpCPe7kHZH7SZv_SRsTC2B83JgAQJkQ2a8iYbZoa4FkHoRMGkIsc7AmaAy9yF1GO0rX3vPQMdQ46J_mnVJG7xqlftke2oR85pefOkPTPpNT=w1200|https://lh3.googleusercontent.com/pw/AP1GczNqZZgghLv-SWQ5CdyTRUsL4BhPgVN8hMB3f4_k4oo0Aj59Xy-1i0iYkdf_pS-48kUr5EslCvBJMm12wQ_I63R0sUWkPXiTXZ7KcET_U4ph7oI52GZq=w1200|https://lh3.googleusercontent.com/pw/AP1GczN2Za9_8wG1EeljJvx2hsa1ZoYc6pluaobmncWatRQNmaTHkbLmB9NrLMGT6Ftna98FJdHmM-kMKGKxLmgrA7uJ8nnvYeuw1iDX_eZxo2jGb8HYyxiP=w1200|https://lh3.googleusercontent.com/pw/AP1GczPR_X7RGct2q-qr-5OLuvNNHlDK7cIYHpSpB2UmFxJoJsewELR9MF6_b18tBoC7LW-u514yiybTzklSsgvOvEu3GT-t136RYMzAlYg5LWkRbJSoURQU=w1200|https://lh3.googleusercontent.com/pw/AP1GczMf1ftJH8mOHhJHDTojTtPFNr9SBMIodTEQKv2R1Gptp0LvVhodLjaqGkfMR78nxQFcx44qbdUNIBGAP4Evgy82rVKwVjaK8qq5iSefgqtXvAJRX4IL=w1200|https://lh3.googleusercontent.com/pw/AP1GczPy0LIMeRCUCmy9ONW8S3eBWcZBJVP7U01HApUT9h48r-WpL7ZnprsZLFOvcpLU_ImKVHRpxvIChz_P9Z1XBD0FJpfkn0UuvaGdxY2X_CTCm66h5CuD=w1200|https://lh3.googleusercontent.com/pw/AP1GczM3Dr2kL8agJkFikoa-JtRuwzL9qRbyMcVZXJaiCEXokE0YedFvAAD03qReBpJyJUuRph-luQvfiyPlDpiB1RfP5vZh8KswofL7VCvESiG7vatN9AdR=w1200|https://lh3.googleusercontent.com/pw/AP1GczP_R1xFfcxmlSRT9IriZUOe7RFRIMr1QjmOXPTQF8FaOg4OFqREVKmqKgKMdTh-B-cQU2eUIWPOhzNkaeggGSe6HwPbq7tMFLrV9k1yQMjh55ZA3Kx6=w1200|https://lh3.googleusercontent.com/pw/AP1GczOK_RG3Yr-xdVhosb19wDCMBPp45yfQcFt75eDBMLGBxggr_6cwICBv9kyIFLdbGRFMfYKOJvZKx4Cx8kDve8mAa96DMt0KnNQV6RiZG3IlpBpgeiRM=w1200</t>
  </si>
  <si>
    <t>939</t>
  </si>
  <si>
    <t>https://photos.app.goo.gl/jjQoH533EFN3Le8F8</t>
  </si>
  <si>
    <t>https://lh3.googleusercontent.com/pw/AP1GczPddHSjV8-WK6Mf4qnVQmILxHoas7HmIKg-H2zrjkNYbpPQdyE6b4IFBw_h373azeRNYtSKSKn31177nKOOejr7b2DPTtVIf73xpCl62q5DA8RMOKFK=w1200|https://lh3.googleusercontent.com/pw/AP1GczM4StyrOiD--yR9bXxTdBPSrfXbEu5ZxylKddUB1Mj7IXLT5KiPKgiw0DcU-mQKQGb8389nku7I_pRmUIFLnFo9NhcW-5sTcxmDS_MhsYSIkUazPluL=w1200|https://lh3.googleusercontent.com/pw/AP1GczPdDdHpgeT9RXZmBZkUSy74Lixw9JM6XXcJWEbPoVh6Tf0Yu1s28kaIZlyjnJ9s0qXINZK3-7AZiImRFE_sPNkFNaF1cW6mbUDuUY1oNmAhd6xNuOyE=w1200|https://lh3.googleusercontent.com/pw/AP1GczN38xEjU5mZOQIbnm3R064IPHu8Ec3WxPfc10AyM36R__2TbkB8iYbBn-VVSLRQqSxc60XSTPrZR0zaRSPeMfyTRghxe-p6pVOQ0qYE1Apqv0n0xTF2=w1200|https://lh3.googleusercontent.com/pw/AP1GczNh0jSKGcllrcHVVpC9CMuKKMhejKNzdg2rO1wpQeo2yirHmFzbYvbv3rFYF7kTer2KzM9JmYAvR1Pp_ZXrhsSrHTVllJLkRdgs5-mqEA6zuCv6VKzM=w1200|https://lh3.googleusercontent.com/pw/AP1GczM2O66-NEnRmpIeeYA48YV5wNyAIijmQ8oRe80diI6qACSD13_3koeQh5RM1TNJbsNiE8sauOQOo3prmCU3HMn7VYTGWhxQG44013-COAVmD3kGWsi8=w1200|https://lh3.googleusercontent.com/pw/AP1GczM1cKH_xOB3Qer8rDhkn4NNCwuHm5bi9iZr7ngC1trXkuUZD1rt_xxIJUHNA3RSvGxNeJbUHjthdz1AaRKrOIJsBy2ts9ZqSNG5j8gx9rhaJdx7sUvB=w1200|https://lh3.googleusercontent.com/pw/AP1GczNTzJn-abalQN6y6T9j8NyMW7Mg0d7LIQR2EHwCBP9lNuBIejMJZ_FDz6y4L4mhEh-3D45auOppF9yoTKueiPDb-dAbF5wIZT13eJcUp-Jm4S-MXjj-=w1200|https://lh3.googleusercontent.com/pw/AP1GczN086UvT70lk8HRDU5w1bLvtwTvXKE3E4EYbobCPAFttwKW5e1qUWYH7q7j61F6oXQhp_q8YHARNTOpD0z_QAiJzsGjXgTwGn7vtEZu7ZYa5Fy6JQEk=w1200|https://lh3.googleusercontent.com/pw/AP1GczN1bsihc9YzYqsg2cphDoKnScY525SDqBBzG3iMtRABrEnJcfk1aZkP7NQptAHkqT-5Fq-cqxZefCw05lO4uryxxSMTFabTVGOdOdm7QbqanLQe_NN2=w1200|https://lh3.googleusercontent.com/pw/AP1GczMS9PQbKLfbo1IvqFXEcV8zVqMFuf02ULhJJneDLzf4VUDtOZLKKIIbtD7c-qOpudhBdrbBMvQooczRcQis0q6L93C4NGECBjRC93rJoVdHeCm06MNB=w1200|https://lh3.googleusercontent.com/pw/AP1GczMrTwmoiykKi-Mh4VfHewS5c1DckeydyTaisaFJpiljA5OgxE-75sGWDUd0am2EOn3BH-D8YI-2A8qgS6orI9_OyjUVMXUBSe_-CB5czVyuEhAGGGUB=w1200|https://lh3.googleusercontent.com/pw/AP1GczPzWBAex8q1XYWA01lAPiSYJb6BE7ZP_7_y8cG2qnCZx-l9qkfJuHiyV6ZyY52mHzSrtjEg09Zfn9b7W7cHyS9joTNi8u-eX4HCXz-iG6YXhtDajzn1=w1200|https://lh3.googleusercontent.com/pw/AP1GczPfsZt3UyT5oeELZp5EFe8hpxuAeFI6lfwSzlqjH8f6DMlgM3bdCh4Sz_f5-n73QOc-ciDpzZzJwF8XhpruFPcathmqWGA4I3Ah_PK050MIz1hYBFIl=w1200</t>
  </si>
  <si>
    <t>1268</t>
  </si>
  <si>
    <t>Casa lote en Granjas Comunitarias La Unión - Sena Industrial</t>
  </si>
  <si>
    <t>Granjas Comunitarias</t>
  </si>
  <si>
    <t>https://photos.app.goo.gl/t1AgQAmmpK36UNUd8</t>
  </si>
  <si>
    <t>Casa lote de 1 piso enrejada con; 3 Alcobas, 1 baño principal, 1 baño auxiliar, sala comedor, cocina, patio de ropas, garaje. Area lote 1.245 mts2, Area construida 96.0 mts2.</t>
  </si>
  <si>
    <t>Casa lote bien ubicada.</t>
  </si>
  <si>
    <t>https://lh3.googleusercontent.com/pw/AP1GczPXDyhaCTkykAqPFAXzLG2y2Oc9lt3GMrKkFwrRHwOWP9cB0b6ZFmLTFUFENnkBv7Qi6JhdiEgOw9kI1A5LdYnOWJzTDOsC5GXJK9pS8aqFA2yNZQsC=w1200|https://lh3.googleusercontent.com/pw/AP1GczPRTsmhsrTXx_Di4mTQCQE5tn3jkbZ4x0ATDH1NN8B1vEXB6DYbfJneX67mPGZjt9k-j8xYYQyMbNSDX-RQsgd6TCmcVvpPSkX2ZUqBcK9hGejAp8Wf=w1200|https://lh3.googleusercontent.com/pw/AP1GczO3mEagwjaQT4g1KD48k_Dw9reMWQbysgwGJmkjAW6hVw19r95FJwFmNmRYz4k3oFQMkShFaK0jsNq4lad0gcy17P0EJCvFBTNF10i08l7llWTPtVcb=w1200|https://lh3.googleusercontent.com/pw/AP1GczP_jKmHPPc83lwkIFVAA5PF9ypOWRPkRVkbu-f0FIjZQXyOFMonyUvf59EbYp80VGh3vZ-jhU4m7sltkUPxml5CBnnrjfg9z9EZkNXe6Sqmz7PeuxQW=w1200|https://lh3.googleusercontent.com/pw/AP1GczObcPQH4eVs5isA8V1ODo05vnLf_gO2vXNgTxSwxG_ESiEfQfYC7hXZSJiofkXka-fG3XUnb-A3wcrEZlyhXoEjpEnu_YNvIKnhER22cbMQHk9SFjAP=w1200|https://lh3.googleusercontent.com/pw/AP1GczP2hMavdoYaRjn_FUA3WwaBzesF-2hjyT9RaiAEbuN3eGzmU696LwRknkg-gjhUcu2ZnFqFBq5_jOKynWoknfC-MJlOSbz3Kr2ELEiPwa9MwFx6_AQX=w1200|https://lh3.googleusercontent.com/pw/AP1GczO8ROWRZb16laumY5JGJnFGdI1TFO89ipc7QG68ixB_IzHFa0JPU2G_lSTuQsKm6ZMv2L3HKNkQ0SOwgISIHVt8d8dbRah7M1lwKxjAz4s6y1qWSGEN=w1200|https://lh3.googleusercontent.com/pw/AP1GczM-d7n8c-d_22mTBxgRFEhyjW_ogLTc_G0W9TTpkaiqHpzXj3RB8PKCcjQn8ZdZXgZLepPZzev5zSKx0yOuSpq9BJDYIl_sTwsCix8TO3iah5goPROK=w1200|https://lh3.googleusercontent.com/pw/AP1GczNI1n4gNsm4ilrbK-0OTTt5CNauBfOkoUAsbRAN3fIxVGERsOzHxNWMdQ9LnGpRmG-LBLnAyFSJXkUljT1jf3ikl7yF5v027hirooXzVa5mGMOqZmNq=w1200|https://lh3.googleusercontent.com/pw/AP1GczOcJG9_zgfKUPI4GhyCvZwgrQ-jA6wchNlnrlyviHWXPQczlInLPtopOtPM2wTdQQ_ykpiDH8c3OW4J2cxfaqKEcExbyOR9prJEtGB7ZyhQSgeYA4UF=w1200|https://lh3.googleusercontent.com/pw/AP1GczM2QfphQBkr-4bxdyD_DKpVN2N6YEd0XQq7MPdpcJt1ruDWvGeUx0P7IN9RG2qocx0lPxvwbNCKaJzv4puwfq-PT009YXaZa-m1JTJFHTg61gFrluSm=w1200|https://lh3.googleusercontent.com/pw/AP1GczOapTLylFi2hphjmMzaUNzKap3_TzBn3iII06fUIOB0OxA0SQF3HkpfCNJaK6Yw6lbAZzwqE0xQw1C885TPw_QB6YMPV5nxgy6Bf5c-XgbSfypXk8XL=w1200|https://lh3.googleusercontent.com/pw/AP1GczN0A_8BwmIvDv6Fzl6Q40Bdw_bbf_oydlg7O0k-0Ds-jBypCDE7nIbhnvnfA0oqc33i1fZUGFVd1m-IrLolBymq27FxfkgrciPc8R92Lh5V3AkKIuis=w1200|https://lh3.googleusercontent.com/pw/AP1GczMI2xRDIAfSrOpIbGADMIzY_IX8kMNeRSZ5dXdownp9xYYuAutpe8sxedec-lU97S69scl0rfJclLU9TnFHvy_UuHrXU8lcMkqdCMjn02fn9TiD2KLn=w1200</t>
  </si>
  <si>
    <t>671</t>
  </si>
  <si>
    <t>Lote en conjunto Residencial Colinas del Iguá - Palermo</t>
  </si>
  <si>
    <t xml:space="preserve">Conjunto Residencial Colinas del Iguá </t>
  </si>
  <si>
    <t>https://photos.app.goo.gl/APjocfzCiV2ew62n8</t>
  </si>
  <si>
    <t>El hogar de tus sueños te espera en la Etapa 2 del Conjunto Residencial Colinas del Iguá. Ubicado en la vía Neiva-Bogotá, a solo 5 minutos del centro de Neiva, este conjunto ofrece lotes con vistas panorámicas desde un mirador en la cima de la colina. La Etapa 2 cuenta con 14 lotes exclusivos, con opciones de vista hacia el oriente u occidente, ideales para construir tu casa de dos pisos, con un área de hasta 320 m² en terrenos de aproximadamente 250 m².</t>
  </si>
  <si>
    <t>El conjunto cuenta con excelentes amenidades como piscina, zona de BBQ, cancha múltiple, senderos verdes y parque infantil. Un espacio pensado para el bienestar y calidad de vida de tu familia.</t>
  </si>
  <si>
    <t>https://lh3.googleusercontent.com/pw/AP1GczOPjOhlKcLWNTFj0CjEV_8vRD50FTW2FVdraV-sFx2ej583YtQmxRTuF07djogT5u8pdyAulAX5MoMu8O1bHrHpPNMvh8gyeGA6At2qnIP7uxwnAWCS=w1200|https://lh3.googleusercontent.com/pw/AP1GczMwAy9zPVw2uC4gEbtQACix7RwrJm3lz4KhNXcw54-94L5u9uo-I6ASNd93cP2knCSKXGVUykBbcyEemj88GaGK_E6-BPzzzCvNawVVWzIuwcDDfZiL=w1200|https://lh3.googleusercontent.com/pw/AP1GczPoeigt6WcPbYcVUDUfPYW4E0lPuifmuGBJuvBAZj8Pk7wBLZsHkE1OkTZhXKKGmL2Gg8J9CzQdSEbPiBZ91198kBWxzP-Fz1SarhVic7Gp9njLeXwY=w1200|https://lh3.googleusercontent.com/pw/AP1GczMEAcxr1Ot7-UJJgryi0VLZ_bZ0emnPZ48M-2a2-bAn6-VFuC4WIjrQDLLuhKdPFTBIv_c2Z7c6oIL1dEvVl6jG6o35TyX1dUfJ0TvJBJKATimEt_s_=w1200|https://lh3.googleusercontent.com/pw/AP1GczO5g4LbQvcZ65GZB1rm01T4VyhpB6eE9zQL0ZjMCbx5qTLTdc5U2ix-fM2-nnO77arZZqZ55JKBmEcRX_RhfA9gr1PU2deeegfPlndUw5OIyI-t5G-L=w1200|https://lh3.googleusercontent.com/pw/AP1GczN9gP0rXUf7lvtrLc2YQhdi-3AW93Wdx1DrI9KkyROBYRrMvrpBQT2_L3g31YN8Nyz84oRVPrmVpU7MuE4nto6b25dE1G10QFST01cH3pJGh2EhF-KE=w1200|https://lh3.googleusercontent.com/pw/AP1GczMxp-bLs3c3TUzgfQ1-y6ychOHSl_bmLKRnPCEJjyzaXm0yHptJsTulQNQ8w9kG8wj-j__FqKS5JZt4cS3fs1iFSWvW9jnUM0fCX1RMpLsHHDybRAr4=w1200</t>
  </si>
  <si>
    <t>1368</t>
  </si>
  <si>
    <t>Lote en conjunto - Ulloa - Caguán</t>
  </si>
  <si>
    <t>Conjunto Ulloa</t>
  </si>
  <si>
    <t>https://photos.app.goo.gl/RnWeUb8aMHGa5icy9</t>
  </si>
  <si>
    <t>Lote en venta en el sector Ulloa – Caguán, una excelente oportunidad de inversión a tan solo 15 minutos de Neiva. Ubicado en conjunto cerrado y estratégicamente a orilla de carretera entre Caguán y la Ulloa, este terreno de 1.500 m² ofrece fácil acceso y alto potencial de valorización.</t>
  </si>
  <si>
    <t>Se encuentra a aproximadamente 7,2 km del Centro Comercial Unicentro Neiva, lo que garantiza cercanía a servicios, comercio y zonas urbanas, sin perder la tranquilidad del entorno campestre. Ideal para construir vivienda, casa de descanso o desarrollar un proyecto a futuro.</t>
  </si>
  <si>
    <t>https://lh3.googleusercontent.com/pw/AP1GczPAz8JQYU9ixUwjfyUyIwx9CIXwJt8Wv-gn8lQJ0gG3RznzAbA-2YlfEUmaRhPWg6qn_UW2_XjOwDNlHez11P55UNJFU7rgy6M0_gU14zkwZ2NK5dn6=w1200|https://lh3.googleusercontent.com/pw/AP1GczMpbB52r4E6XbcrRRtzdLsehWfNOJu85cq4Jr3OHtMyrwlR6QKffdMC2grK6S24CdnltjTyRg-OpQbT1zzdlpLZaTl-_Na75Nep04nCPIJMuzTm9GmR=w1200|https://lh3.googleusercontent.com/pw/AP1GczN9iepOkCPEO4QB8LBUifnlzx0rMcuRb2ww1OEdO1f-yHO8KXjkPeuFVNOyVm6QT1Tv3tYMTuFHcM1X086gMzpwcm8GOEdO0fgkGMBvauggQobl54T6=w1200</t>
  </si>
  <si>
    <t>1187</t>
  </si>
  <si>
    <t>Lote en conjunto Villa Grande Club House - Palermo</t>
  </si>
  <si>
    <t>Conjunto Villa Grande</t>
  </si>
  <si>
    <t>https://photos.app.goo.gl/ARpvx3VEBahn8W9o9</t>
  </si>
  <si>
    <t>Se vende espectacular lote esquinero de 482 m², ubicado en la vereda El Juncal, municipio de Palermo, a solo 15 minutos de Neiva, Huila. El lote está completamente al día en pagos de administración e impuestos, listo para construir la casa de tus sueños. Ubicado en un exclusivo condominio con Club House, ofrece una amplia variedad de servicios.</t>
  </si>
  <si>
    <t>Zonas comunes: portería de lujo 24 horas, piscinas para adultos y niños, gimnasio dotado, canchas deportivas, zonas BBQ, senderos peatonales, parque infantil, capilla, gimnasio biosaludable, y mucho más.Vive con comodidad, seguridad y naturaleza en un solo lugar.</t>
  </si>
  <si>
    <t>https://lh3.googleusercontent.com/pw/AP1GczOoPBE_ljcd9T2O7aQ9MhhbQym-Bugh2peUTgYKLqchoGU2HjbdhPbyFgkXWk5K4C8FDHHCi0yb3l2zIog0AlcvJL8OTa_BgMl27XcUzAglLSCCR49R=w1200|https://lh3.googleusercontent.com/pw/AP1GczOJ5MsjPF_Tr_MhuFddqikW-2y7KmLAQyM9In1A5oR9kEhc5HxE-qv4TNpmmQFxTRdr_MM0nC9Y8Us6rd1bdu0BVcHqIMBHDFEcdSJDA52DDZptzeh4=w1200|https://lh3.googleusercontent.com/pw/AP1GczOcPVAxu4GiUommG1v5UqIiAk4meANgfrzU9MAEjVHc41LJz7dMGWoAMISPgrPOpBKq2DBgDcZ8ICc5DwpvEdf9bDvP00AUh2OWfJ51VN07kf32gFiw=w1200|https://lh3.googleusercontent.com/pw/AP1GczPko5-iE4WypsBGNrNRk6KWTPMi0GRnNNmN5wJQD2Ny1ux-LECDhlKpCJqwKSHnVG6gyCiUBvpKK5s2WTRH6UoYZHC1aEVp3m7gz9_UWr0z-dy4cZVa=w1200|https://lh3.googleusercontent.com/pw/AP1GczNAkuxUH-DBQjrhI_Da7LfS7IQjYE4SXRqG7I-6OaVPkRqaOBYmONu-m8ralTt33UTdcfiGjA_Bq7qEOBBAGWtTYdmgm9KQuJwUfrd7XraAgzlZYdHX=w1200|https://lh3.googleusercontent.com/pw/AP1GczM9eC9fGtOzmhDNfWnw4b3vcMM5cxKSuPBkrqLAhdR35QvQF4WDUd4NJllC7WR8SvuQIUsw3oVgVa2efVTVMOI2aTFaxztu-CqbQHbJjZGpqdEL3l64=w1200|https://lh3.googleusercontent.com/pw/AP1GczOStzIZ17s8PCih5zHrzYF7AGO3zC-tF8L7-oPLJ8T5m0Y0GrHQAMJ0n3zHm3P4qJcR0Yqd_E9AhpdbiiB6gXwuA6pH0vIp-sK2_eSbYIwbvD_CazKd=w1200|https://lh3.googleusercontent.com/pw/AP1GczNNKP32aaWF2ooqAKT2HP1xkck_mdr7fe7zvVg3dqks_xvYtAi7ii2Hh3TB9wGNl0lfI1jAmtJ28K7lZuo_0pybxEgSAfsg8qDPca7DLrI4q5sThl92=w1200|https://lh3.googleusercontent.com/pw/AP1GczOYb1GvJagytKzcfEk9wPx757XKx0E0f2kReqzVo9z4akqKpjRo7MzwlgOi5klPxMq8kYFUu71v9sp4xtlt2nRPDlcS0GmtqMJMWmen7wyjKvSG_4tW=w1200</t>
  </si>
  <si>
    <t>588</t>
  </si>
  <si>
    <t>Apartamento en Conjunto Cuarto Centenario - sector María Paula</t>
  </si>
  <si>
    <t>Cuarto Centenario - sector María Paula</t>
  </si>
  <si>
    <t>https://photos.app.goo.gl/eBaLFPXDVzRtiyxE7</t>
  </si>
  <si>
    <t xml:space="preserve"> Prqueadero Comunal.</t>
  </si>
  <si>
    <t>https://lh3.googleusercontent.com/pw/AP1GczPwaCc_-hm2KOY9ifq6p7WECpOjbfPRGaayHWHZdmCp1qCIHIgn9FSViNjNuNYsG-h_8V12QxpZi0fBJX7w1HLVhSVmLO-7ndZQntLkZBLtmpIxwN1h=w1200|https://lh3.googleusercontent.com/pw/AP1GczP8kRfVYHyaJoBmtzdyapm8DqjfZzXPWfQJqMmwo7b5G8hOQo52YVlC5mZ0VfnntO7Seg1R3u0Y8RLGoUgVn2DdYK5IHrD5wbOH9WLO_qR2EfJiJYRj=w1200|https://lh3.googleusercontent.com/pw/AP1GczP6LcX6b1anU98RhG03fzZLeAWSfmokv8mrZ8W4RK0SxEPwlRKmVAX0OU3_jr4XPrL54rCw_dkDb3hh_SjYeMxdxRF05bzF0uXtn1HX_9zLoivBMeHj=w1200|https://lh3.googleusercontent.com/pw/AP1GczOlwcGmbikk5sUywMePDGOCpQrfD315AbD559Ffj4NPYYPhfCLVzSUBAeTygC2mOX-eCfjjmbO3vxEbdndHPAkPqCuGz62bJr2JY_X6bpS51eHcdWYF=w1200|https://lh3.googleusercontent.com/pw/AP1GczNN-eSTSa_CxVki5OVCzo0pxzfAB54h_rShGyicmfErVvg3M8dRSefcFB9a3mTe-1xqpsVy4RNW190g7Mp0hid3H44pTh5FjsNYmnD8FPyPuC-97gsJ=w1200|https://lh3.googleusercontent.com/pw/AP1GczNums20T4MY2lsqoOhZ42lzFkKIl7ZfsWHEm4T_YKXD_ba9SWNdiuhxVuey2yH7Oc-9OQfk4A5aXUlTneyTnT_uwfpHjHhNVlAMQ5mlgfj654Yx0WGM=w1200|https://lh3.googleusercontent.com/pw/AP1GczPBXkp7yTgAdAOYg9-eBDmjUgaAvD9fGDTt7hT9ff1fbCTeTqtq3Qoe4-SjEmkKA_gHH8SdVCNsJRinySQrmoRlgGwuLf3helRC2zAQ5Uhz8IjtmuIM=w1200|https://lh3.googleusercontent.com/pw/AP1GczOK5TKIP3hNIZixt4zYGIczj2wgizfAhFH2ic9oJW3sKUMXi0V1mHI4Votca5UygNLijx1uHPmeUGODXclYH5OENbkaobFHSkb88-5RmA6JmBagV5Ve=w1200|https://lh3.googleusercontent.com/pw/AP1GczNP1sqHcJaB9kZf8sTMiIRgu-KeVAiorvqisMXTEAXNPZtlVvNSqDfptVrkJtJOBCrTHxphZPE2ymdkn54vyuVIB6qQ_XO_VZf0QQChlws7y5Z6TzXn=w1200|https://lh3.googleusercontent.com/pw/AP1GczMAb1NqNON9DrStdeZrVl_opDcTKXrr7K5A4UGxGLmqhlySwi46CHGNbBqtGW2zn0qf-FNYj--6XNVUmO9Oa6S_Q_ATn6gn9OeTYGMgcDzNIy492_f2=w1200|https://lh3.googleusercontent.com/pw/AP1GczPQysqQBnVX4HvKIo6Raa5EudDNl57g98gWvGx_QS_sEaJZKHiakdbYcIsAyS0n3fIaQaNWTvQp2X-xAuayAGreTlOhB3JivLdItavbVfBUf-qTGQMf=w1200</t>
  </si>
  <si>
    <t>1036</t>
  </si>
  <si>
    <t>https://photos.app.goo.gl/nik972QMrmXmE8MXA</t>
  </si>
  <si>
    <t>Lote dentro de un conjunto cerrado, con seguridad y club House. La urbanización queda sobre la avenida principal. Totalmente accesible.</t>
  </si>
  <si>
    <t>Lote de 400 Mts2 (20X20). Totalmente plano.</t>
  </si>
  <si>
    <t>https://lh3.googleusercontent.com/pw/AP1GczNLM52ZmH69jHUWJqs01dAGtO3fHCq9ALTlqZLnD0MY1mvKnaSR3YYkjmhJJzXFLhyTw4sf0BqmsmgYKXNm4k6tddFzlAutLR9YjRVtO8ujZfsaMNod=w1200|https://lh3.googleusercontent.com/pw/AP1GczPU7gWsdiz020vrKeSDoLXhB1T_dtxgxs5t5n0w7iBWIf1ananTixBEjspEPksLAGw9ZhvRDvToWdnrzgngAI359wx_i60-VlgSU0Tdaxsr4FJiexew=w1200|https://lh3.googleusercontent.com/pw/AP1GczPbSpfVukSGza65JxzkC31n_rnrUrGU2lj-j30smuuvx0F6GKBFKVanGck5MhkEKP0n8-XJEiJfdKhsvVwDu98OpB-O45MuMe0Zm0oMmPszmhBHAU-9=w1200</t>
  </si>
  <si>
    <t>1090</t>
  </si>
  <si>
    <t>Lote en conjunto Condominio Kanaan - Campoalegre</t>
  </si>
  <si>
    <t>Condominio Kanaan</t>
  </si>
  <si>
    <t>https://photos.app.goo.gl/CzJLePgPxZDjnzri9</t>
  </si>
  <si>
    <t>Oferta de inversión: Espectacular Lote de 1800 metros cuadrados, ubicado en la vereda piravante del municipio de campo alegre. Colinda con hotel casa bohemia vía panamericana Neiva-Campoalegre.</t>
  </si>
  <si>
    <t>Acceso desde la panamericana por 1.5 km en placa huella. Condominio KANAAN. Cuenta con punto de agua y dos niveles para construcción.</t>
  </si>
  <si>
    <t>https://lh3.googleusercontent.com/pw/AP1GczM04m5ORL9fuOLKWIcdixt1SIz6gfYoVCFE7divN0C_xH1HPZygnp2MItugtG62Zf6rUktGScOxU1k0o-G8kSE-lDlsWCq6mU41rq-Y-joT8JtyeYMo=w1200|https://lh3.googleusercontent.com/pw/AP1GczP9_v8m67raJ_jjbBnCbFR3X7Swr7xhBmYD5Y3zbPK54iyRlZ_8qlS62ZAAQWT-77pnMsnxbAFFcuKf3gD8UlknIzeLfcR8TPY6JLZg8l3dIpqKWr5X=w1200|https://lh3.googleusercontent.com/pw/AP1GczMXjE6v7m0KUzZAlrwq_KfI7dQm8hf4jt_9myTXAdvo_LIOCTZ_6J0O-Vt9blJpmCHt0COWUeB1cE2TCFKmqyeJrn5ky-k5OU_GxywGTMV8vAgyH9Ot=w1200|https://lh3.googleusercontent.com/pw/AP1GczPGMdtzzF4QYE05oihjbSvsGuG5NALE161B9YbCkk046BvgVXas4AAq5dJe_diLNUPizJqi5UoZ3sjia4IDp2-l-WQk3wPlKnzArpBFzuaU_pzWr9DA=w1200|https://lh3.googleusercontent.com/pw/AP1GczN-cpyFxJWJSk0hb41wByzGi814hhGlFkJUqqZ8hMWc188pZFnc_NT8hq5Ur048HdRPl_DJI48-1JwClR9NuxLVIunY24zPAuAFjprg2aa-3WZAQJ0Z=w1200|https://lh3.googleusercontent.com/pw/AP1GczMJ7uBB3JfSgBCbhkN-FmuU7Mx4MgzE7B3l4IHddkYDC6khTafi09ZP0mhiQ44Z7KFzUXEi5cirMeWVvFHDehwIXxY62e_AbsU4_0Xk2FdmVX-reuvr=w1200|https://lh3.googleusercontent.com/pw/AP1GczOwSptSk8UAgyGSTrNzp35ATVgcuuGK-z91_7gYOd3orgCR8e_0l9SFeIUrRGC9lZEoNTXJFXWQtDRxNjH3sSHwNwmeDW5kYszTwFU7A9433q6liuh5=w1200|https://lh3.googleusercontent.com/pw/AP1GczM_xPt_4uMxC5aCmId80VkgKgx2ixrI2-63pceZSCp3p0VsupNKejFRL2MEcy8S043dA9C3h3ZwS-BrY1tF7vJbPjrg53XYRq-EL99v2S8iysn5Ad6y=w1200|https://lh3.googleusercontent.com/pw/AP1GczPa_AMKrRCNuWd1XImFmRvp-_IiIFUxtSa_TTwLaUNHp4IZgsxP8R74ezUIii7zS3Vq96WGfCAgIasCX0hn7pqgkUZnFxRmoGsX5PgI9BDjfF7mYWVw=w1200|https://lh3.googleusercontent.com/pw/AP1GczNT5AjoX_dSwIS-NerkT-z099xEObSWz4gFpLhxegjM6mUvST8Cx-REnnFn0YXZ_7LxgiT00CSmCa_pUTvknu4NeoBOva8Y2OLI3Nlgy9auinkGT-sA=w1200|https://lh3.googleusercontent.com/pw/AP1GczMCQuibBVXySJldNj_QC-3nlcHjURuaiXjtLx86aJtjSCOTOjI3M_8s31-4NQKyVh9zFL8JJW9hRzGcLQ--UTrdDIomR1bsaGDQIe3K5GyaVAjDtu6m=w1200|https://lh3.googleusercontent.com/pw/AP1GczNpYWpS0bZFNm0OBeTsE34e93etOJU4kXj9ibVS3FC_9PwJqZhfS7UWEkNyLqpzl7p_CnLise_LCkIPAL0G97SIkYBa-79ivBuYqm8sl6Jih4F65iqJ=w1200</t>
  </si>
  <si>
    <t>1198</t>
  </si>
  <si>
    <t>Lote campestre Villas del Lago -  Sur - Rivera</t>
  </si>
  <si>
    <t>https://photos.app.goo.gl/vMbm7Vtpg9hwsvFy7</t>
  </si>
  <si>
    <t>Villas del Lago Condición: Venta Precio: $ 100.000.000 Área: 2.000 Mts2 Descripción: Lotes de 2.000 M2 ubicado frente a parque recreacional proyecto Villa España.</t>
  </si>
  <si>
    <t>Colinda con un hermoso lago nacedero, también pasa un brazo de fuente hídrica. Proyecto Villas del Lago. Con doble nivel lugar fresco rodeado de la naturaleza.</t>
  </si>
  <si>
    <t>https://lh3.googleusercontent.com/pw/AP1GczMNryEXLL7SFMBK532XhF3ZND7bjG4aXU2CKftKjxk1HPJQokw3lQYClZS6T9ZxtmDca85jU7oq0ttDNIexGOukoLeW7KRHU5igy7WEKQcefXeTjNGV=w1200|https://lh3.googleusercontent.com/pw/AP1GczOl-WakvA7t9xWGY6mm9WV_zpxa9sQx2YF20FxEXzn5wEghCpUH4NhNtq2K6qIRV6g49hRGBucBaXq7nvocQM3TuAxqAFG8vOyBblyTv1Ui0DF-mP5a=w1200|https://lh3.googleusercontent.com/pw/AP1GczPBlS9lTGo5YlY3oypY7Cj6wy-54smWNLEf2sNrU4d6rF-w-h2p4jftbcA0s1ZeGHQME16N6Uxg258yaoCYVgVPi-yaZpvbe0oPh8gN8xPi8Po_2I3N=w1200|https://lh3.googleusercontent.com/pw/AP1GczPM90A2oPQfdmF--lga59BTlZS5AhNAAFKgRTrHErRcwU5FL5-j6_d6lErbkvi7Gd8_whovtkIV05r9xJBahls7QjMYDTemeZfkRb9aYdQdyWix9erR=w1200|https://lh3.googleusercontent.com/pw/AP1GczO1pyBrs-CC5mOMuj1rQ9KS6gL51FVByQbneAifCm-bWIHxyhiJ7UFRGOFeTMzz1LuM-sT0uDHo5pwTYiO7JpViHwn87ual2mdTzcUtMiO3NR8hXrpO=w1200|https://lh3.googleusercontent.com/pw/AP1GczNFAdH8PUI9E_w-8VoXXkTf8ty1TiUBNxodmtCGbQ0zyF3CVw2lvfspKsRZr106XZhuWyYRGul4lXn8eLoboS79zbq8yBReiLjA2AUWI0P-lUDFdc4v=w1200|https://lh3.googleusercontent.com/pw/AP1GczO_gnP5_3BfqScSwRcWR0-t28Tn1iLlAspSGsHLysaVBaWZMDELPegv1nNLhb-Xduw4x98VCwQG4tqMHTs5wkZyQldG99e7qqATbxaIk45PQ3t_d9oW=w1200|https://lh3.googleusercontent.com/pw/AP1GczPTayuazdalMjWG9o5ALkWQ0WfMnwtZp6xSB6Hd4mpPipLF0A35oHKlN_DInTOvWNdXw4-Pd23E-CkjKm5cQiUsnGpN2Ks_jaQVgdrQEBT5oQ0f6P7_=w1200|https://lh3.googleusercontent.com/pw/AP1GczP5Nerow8ntIXH1Dptyf8ldl3wsYc264IKmoFAJXkwsS5zbVH8DLXpwowRbOTpwOOktQzsr7ppTRkmxSno_seyKxhn6uJ_wuP3mRdWYoSAwSqNHUKy_=w1200|https://lh3.googleusercontent.com/pw/AP1GczNVKcjP9nkSb1sw83F9NgJpAi-q0SuNN0NqcuVFuAzobCL5PmYfLVZuXEoQUjz-Qoi6bzp22-8eFPO_1Pybd4X3MH4NkwxxmFFBcTV11Bib57YNC09I=w1200|https://lh3.googleusercontent.com/pw/AP1GczMggPp9sJe10Bb_uBI32whfjsuncObvepGs5mQybF6X20Dx4qjBGEQgvIEENDTqVBQUxUjEMpS-kzgHHDQG4uM5HyD1I1itQUav0MYcDKheHjbWvsz_=w1200</t>
  </si>
  <si>
    <t>595</t>
  </si>
  <si>
    <t>Casa con un aparta estudio en barrio Altico</t>
  </si>
  <si>
    <t>https://photos.app.goo.gl/C677pfwrSc9vyt8H6</t>
  </si>
  <si>
    <t>Casa con acabados en conservación antigua.</t>
  </si>
  <si>
    <t>Jovel  $550 - Sol P. $700</t>
  </si>
  <si>
    <t>https://lh3.googleusercontent.com/pw/AP1GczNl92nkGzub2DX-aXdsAzw9T2RvD-7awqxH2ajpXzJq5RHlS2FINRP0wwUZvWTB8nuqZ3uFSCKnu5Lo9cB0ICX8GEtXlw1wRU4dRFp1OAStrd6ikR7s=w1200|https://lh3.googleusercontent.com/pw/AP1GczP10PfeAQ-kq2vtcfdktk0PP6g3s4rjMDbRy7hTwC4ui_UobGBr-0HZDto1DVCp4ja4Jrx-daZVapPXzMKELUIgU3A7faXAivb1WfdbA3K77tddk1o8=w1200|https://lh3.googleusercontent.com/pw/AP1GczPtpNkCJk2k5HST5_31nUzXZRSrFznkG7HNoi46lOPsF0-0iQEvffrPbqOrfB0jyNVN0msTmf53T3l2dQ2VKiWpN1ilxpZfoLbUUzvuX5qe_fxPIAmI=w1200|https://lh3.googleusercontent.com/pw/AP1GczNm9F4-8SpOAZ5S_04DLM_cvvg5U12sy5iAxBPBjLJebAx8y_CAHyNlCKxH8wnbkhslW318XBiJn-Y9Ms4UjwYO9n7ehesBb752ARa75rtFVdIiJkjs=w1200|https://lh3.googleusercontent.com/pw/AP1GczN54Ztro7Pydx3vgOWprhvrsztQ5sIAPwTvUGLLbR0PKoZZ4VTn6cOJC2jJWSUpERvWo4-IeosNHM3Lb0iSRGY28IR0ilfaRhkrMkpCGuhb3BaGVHtO=w1200|https://lh3.googleusercontent.com/pw/AP1GczOoiQTngZ8zVN6GUbKJdPPTI6fsMwj6b4zxTqp91OcIHCIYZ4TeyxcSThA7Y2Lwc3vtbrgwXQFtyfDKF1wUMLS-mykVcAsBQK21aRQy5x3K45_pRl0o=w1200|https://lh3.googleusercontent.com/pw/AP1GczMvWXUHE5eDUeoQcrdOs4Qqi-KZrjVwczcfovhOkkxANo2-jOJaLtFeuEz8kJqI-1IuN2NdbUFpEWG7mgunVc0dH9ebydX-b1nf9zqa3RMcAIesFZhf=w1200|https://lh3.googleusercontent.com/pw/AP1GczNDrSKbLqrn0opvyTWdHclVoc06xzYukBrXt88UPpTvoikfjZFQqdNKZjmYJcZZyn1y-1doh8J72BHWmPvqKDr05jpcsX0JGhE42_7DX2TeXEPNBTmn=w1200|https://lh3.googleusercontent.com/pw/AP1GczPEalQt0HqAdNN3896IScQbzSjzoIaAwOHusx12K1pbdBRcGvYZSAVgYO4C9UmDxg5vqclx9483myCBxjV7tzAlrJSvqW2-pXXPH-oZJ2a5Oqo_jAZe=w1200</t>
  </si>
  <si>
    <t>650</t>
  </si>
  <si>
    <t>Apartamento en edificio Ateneo</t>
  </si>
  <si>
    <t>https://photos.app.goo.gl/sqAqc52tEwqT2aiq7</t>
  </si>
  <si>
    <t>Jovel Codg. 1004 cambio 650 - Rustika 1004</t>
  </si>
  <si>
    <t>https://lh3.googleusercontent.com/pw/AP1GczOXiAJkfM7RvjDeJds88Nw9Uv6g-q5UsMvIxX45uYfe_J2CioNj2xWAxIa3BAGPJISjPlUf9HE6TDJmImvKVO_l2RTLTHGP_bxwsn0JmAiZkZQ5U2L7=w1200|https://lh3.googleusercontent.com/pw/AP1GczNgEDhyHZT1wo2MSwOM48B3xyMwtuTJJh3AEjv_cOWfMv9-WRkc67Og-1FF9CrYQPZix-G8ctcz6Ws0AdiPRKMSMVjaaOkPw_CSdkwccgG_r5JZwJG1=w1200|https://lh3.googleusercontent.com/pw/AP1GczP1WNN1isZz51MXqVgzUZF2EQb4SBWEA85mJbktissqx-NdTPkTdyM2f2-42-RkydZZa5j7VL90GcTwEo5TphLgayRBTaJNe3JmO6Jced5EOpKlbsWA=w1200|https://lh3.googleusercontent.com/pw/AP1GczMOnVLITe1iYwEgZL2z0T2_wEQQ8lE63h9fFq5VPPnoeu6mUHPwpkw0akfkzxMEZFrd3l55IVXgWFvqRoZz0f9PEgd0nZJwrrh9sFLo5Fhlz5plvzeg=w1200|https://lh3.googleusercontent.com/pw/AP1GczPaW79adudlPoXChBN6nVs4gEzyGfWnY2-gfjFg62LVa1s9WHvjrR8NxXR88SsbajdL03AMUjE5RF_LGSOArAeRpYA4lJnMUqYSeFUDSMZhisTnOEVo=w1200|https://lh3.googleusercontent.com/pw/AP1GczM4PU7wlVcHfg_My0eeQEWvfGGfZH85LNkZ9Mms-6ySIVf0DebgKcJRj_AyauVzvwGFs1rmxYAm7Gp7km1KXh4aJKhfFsa5pRwC375toeHNPVM3S1ux=w1200|https://lh3.googleusercontent.com/pw/AP1GczNZaZ4MwnsDBha-Qf95Z-tO73jMwzr89l0zmG7zGUTfzBPgK7gRwYniMVBGkYBsaHYjw2-_M8vqXJnxjWp62oFY_FZkq72i7pJBYQKrfeFQsdlsbeP_=w1200|https://lh3.googleusercontent.com/pw/AP1GczO8gEZe3Ruq162tsH36uaXcMjNVUHHvkNfsWj5NNzsZ4osPmSrIdn6LGB86JgwtworfKzXtB_eNwU8zkjy0ybcOH3H4e26UWjYODCiPaMfZ6wrv7Yzt=w1200|https://lh3.googleusercontent.com/pw/AP1GczP9VG7DsAVkVYGm4cb5VIvCBRKBjmRs4LozNRNywt5ruAPhQJ4ObBMv3KQqluyq8uJxMtF6BpALSI9mYaATFIepL14zo-ztQnFVtzhk6g8_z-8t45zk=w1200|https://lh3.googleusercontent.com/pw/AP1GczNYJLIsVqQ88CLJjUw1WjTg1LV0H-V7RjfsZxx8AYRJ_QKbqpJbGh_5tjPmD3GQp5XG2EJ6SkcQTvnhTZYb3reU4Jvd8gpcFfOUIXGWwplnh9hXcLZ7=w1200|https://lh3.googleusercontent.com/pw/AP1GczOi9XmgHxrnXOwC2dxONmD6OdfpXJ8ei6WzK0Zmnf5LgvOFKOMGdqt9AWwHCIskLVp8_A8iflcOWYZMwJFZdWJFZWIMTFuQu0MoPCV6O88em3L_x2su=w1200|https://lh3.googleusercontent.com/pw/AP1GczM_CfX0k0IG71yw0yG3btPm8FEsgN1gb-NCevWeibnyzS10Y5jMcWJKT1FD5i0h5K3N_E4WIv_BBO5jn4ZQNpzf6wuiQrddTsF_GKDd6yRvQEuk0eY-=w1200|https://lh3.googleusercontent.com/pw/AP1GczNvw-G7vXIcy76ZbV3Lps3TiolyLHVjNDW7dEEJJUNLz2J1tpNzS54Q6FOqXRovU6m_DHyPop3fZ16Yu9-Ga-lHe35JPsMcYDMOf1c4pB-4nmYXnrdH=w1200|https://lh3.googleusercontent.com/pw/AP1GczNsQJyWcfO3oNNyZqFIrJf6B5sQtzuM4qmIfGK70ODqPPmCUijMctE8oHGYoU77e89drx5hKxLXOY_PwODZMLpOodU7wK7OZD2nzSfLmp9l1K8GKYO-=w1200|https://lh3.googleusercontent.com/pw/AP1GczPsfq5v_hU7zhHZF2imgNWiAldHENwT78bSH7Xf5mYtRwXQAdLdmsXOcY7pM4IgOo7RaEBX2r4tGykMZgvyG9qYp1WOMwiVt1lZl7oFSvMVYPjBb3aH=w1200|https://lh3.googleusercontent.com/pw/AP1GczN7pZ-o6Mq-Q4JW2yNQDgrAyv3xGv8FAZcs9OP6P2843KkqvG0KW7wZtlOfs8sQxX7WI3V3LyWXeA-yltUxbXy0rvO3fr31EyyqJTinvsXNzhWKLpPY=w1200|https://lh3.googleusercontent.com/pw/AP1GczNCQwN85Tl6URnsRSyd5AIAEGncH_ZV8fj-MIlGVokISIhTzboHEPhxdrz66gEToITqoGZCRzJv9F3QZmWEmD9Cz_kVkA4T-3XANKgv0GSijGng3y4Q=w1200|https://lh3.googleusercontent.com/pw/AP1GczNjew_Ez3NUJMD2UlVo-e3p45keKRr1WyCV0xAAnD1zPnOTiiR2-zUnFt2yNwG5IhPDrP93XmHXA5Lb60seGAk61KoFcP1GIQzlcqph4Wwc2Cf6uGwo=w1200</t>
  </si>
  <si>
    <t>4750</t>
  </si>
  <si>
    <t>Casa campestre Indep. en la  Ulloa</t>
  </si>
  <si>
    <t>https://photos.app.goo.gl/upL9KbdeM1GpG72v8</t>
  </si>
  <si>
    <t>Espectacular casa campestre con o sin mobiliario ubicada a cinco minutos del parque la Ulloa vía rivera. Consta de: *portón y puerta auxiliar automática *2 salas *sala de televisión *comedor *5 habitaciones cada una con baño privado, closet y aire acondicionado *cocina integral *2 baños sociales *estudio *zona de lavandería *zona bbq *terraza con zona bbq y baño social *piscina con pequeña zona de playa *zona de jardinería de aproximadamente 800 m2 *perrera de 250 m2 *garaje para carros *bodega *rodeada de mucha naturaleza y tranquilidad.</t>
  </si>
  <si>
    <t>Cuenta con buena ubicación y acabados.</t>
  </si>
  <si>
    <t>JP Escobar</t>
  </si>
  <si>
    <t>https://lh3.googleusercontent.com/pw/AP1GczPN_A3gXO6a9al91o2C0SNh8Fjf0fXiZdFUmliDBd5sAzEYnYm5ofUBiC_RXltCiyL6TboDtIMrZ0jP7N85gqb6jEbb9SfE6pEqNNY_G_-Q6OG7M5jG=w1200|https://lh3.googleusercontent.com/pw/AP1GczNtpYJl1xeegJvlgZi8yZ6dIJodyCqKsiIljxWI7855ZpE8oe6--LFtg6boDBjnLc1iKL3dQ_SY2HpjexQJSUaH3oGpmaFA5v0rLCxiK1Fwqbehnvzq=w1200|https://lh3.googleusercontent.com/pw/AP1GczNBbyiPVw1PvqJTNiUKred6C3AFk6nMP6YcYxT5xcrJ6pHIATPbbqo3yDVdenRXq9TQiYbRrTINqIAJcHd2b3516axWn-rVE7nASGwd1x8Z3mGN9SAE=w1200|https://lh3.googleusercontent.com/pw/AP1GczOX-S6pyN8bDywUmxvJ_XRFA7hfBSIxpgqHUZlfHqBr_rRN9wLFg0wqb5-irdIenYlQIH39NM1T1MOblQdbEdwel9vdvC2H6UuIRdIB9kTRwkvT_Mj0=w1200|https://lh3.googleusercontent.com/pw/AP1GczOmvKtgR0DNLW0ttqNFSqMYCKJcDJW8mslCbXH07xw8ThPxuCc4J92g-r464YIrirW7sJ147NP5NA5h15lWq7Z0UZL6mssR5w_ec2CYovfAdjsIGh4o=w1200|https://lh3.googleusercontent.com/pw/AP1GczP6XCYVorOKMNFgKjJKZ2sYMeGwn2rj7dIjk8h-56HadwjBmttkFHHtAJhyU5FmfnvWYePEw8ln_2m_KTuL1xx4YCDWc0ZZBLXQuvz-CImkbTHdxHrg=w1200|https://lh3.googleusercontent.com/pw/AP1GczOJHh3um052iQt0SFj4ugfS_kMS7nkKO0eePcf0hhYhxc9X66ziLKVSJWEBNxQF2Y7zeFX6PXwlhlQFG1GZsleWkGTdjRgRPOHL0NvoUopFeanlrGnX=w1200|https://lh3.googleusercontent.com/pw/AP1GczOzImgMePu63O8MXMmysDElUmDmUU5T9wLL2yPjPGrAAUXzbNlOPxxOXu678G_0ZNR8hzfBFskKlSS0Vk_kQ702njlwjDw1ARB_hVZWCs214f78v3x8=w1200|https://lh3.googleusercontent.com/pw/AP1GczNnZewmV0xi0pO9Rio3kfecRZyAO5KjJmQu9I9SKVwLGfKdux5wWaT8uBrEc7o4Vui1y2HtMIiN1Y6Bme0oTULT6IbphgCKl9FZFFReH22ZL1ctQRue=w1200|https://lh3.googleusercontent.com/pw/AP1GczM4qllNO_4JohDhB-xzXPY8yssVtAyV0jJ-cVfj-yaH7r7pfbgMm5DMBKn75VXN9or_LroV4GmHWv_ioC95idB30k4WFmvD_Ge4gTkPbQx0aovEvXjs=w1200|https://lh3.googleusercontent.com/pw/AP1GczPW7wVWdphUaxoTOnnqkStJYm_smRLaYDeqJk4lv-Vj_VOE23_NRzWNB9ugdPTK8MFIajH-AxzDkrsJKRP5J1RfKIeLZ_2QWhzrZzw-x17w_O6f9RNa=w1200|https://lh3.googleusercontent.com/pw/AP1GczMtJwn8AOO49QVQtbx6cymXKmT6k7BLOpIjynHlSlto_d-kEQXnVs2Z4LCITdRgrtVj78wkKQPHZto5maTXWQk9rmTSe2BKGROLBhdFW-VkN1aAJ5cc=w1200|https://lh3.googleusercontent.com/pw/AP1GczO-LGPcH-TDPUS6OIyGXngvGICJN998Z9c-D73QYRGLKvOWyM1COsoS-IACDclwryADHeLBER31xAF__JwU-6DiSAe8wq3x3NBNBdgffzaHBMeQnjmz=w1200|https://lh3.googleusercontent.com/pw/AP1GczPJGheF9vLcIKaaVhF5-h3ndCYi9rmt0ORDxkIzCkXtY6QJrM6MH15cKurw2mcaMmZ1mbcOtK6pPsNufgZcxq5Riq6SFh8ByeJzMXUBJV_zwymN6L5V=w1200|https://lh3.googleusercontent.com/pw/AP1GczP_35m8lPi5-_H0xsPwzBVYugUci94sk-zgQNg2eMWS5jz5pSOIyI0-qxpgCmaymSe5y4KhwOQPKznEWeoTdV-kpZgOIYoM1FMfQhmGyu41BGG6WAQA=w1200|https://lh3.googleusercontent.com/pw/AP1GczPJXVVpZnlTGzS2JKkIe4D2tFc2Nvi0BquA9wgX_sAoeWtpv8uIisK-3GgOISCwJwOX_mjRi464H8xwvkxht0Rx6ewwdl8RlhZw3pSYRd7GubJW2MMu=w1200|https://lh3.googleusercontent.com/pw/AP1GczPqcVAZXMI1RJC1DdfIhhx4sGfpbhvsprLrxd3bEh6tv50yLkKG6XUlSaxQAdSdQFOc0gEdBdIw4JhLnz1azhXy0os-T1xCNf05O-_qfO_YvB8vVbIv=w1200|https://lh3.googleusercontent.com/pw/AP1GczPn5_b3Y-Kg40k3SRWUaIbc3x-UzUyX2W75cV72LOB7ci78nrq-AISXy5uOSVN_kMSrBYJtziM4wKjIhJzJu9ecUNFpam6pggJp0vjALSbXLWHdJscj=w1200|https://lh3.googleusercontent.com/pw/AP1GczOXf9fMEw3p_34c99chSrb0H5Tc4LcqpjMyLo_YmoPbXN5MVavBxewWprlwAzVhGsBMzuzyb9Du3j_-RKXJfJMFthNcBTPFlfQR49QaMKzguTi1jKzg=w1200|https://lh3.googleusercontent.com/pw/AP1GczNR9YpdSsiL5EdVSxuejZRyNN0ubXpIINGNcyOMoAMOfzWFQZqNaP8SMLU3eWXv4V0qlW8AEn_HRVHMAKpSNq-wVGQdnHyQ6AvBbwlg17Dutaoswr6N=w1200|https://lh3.googleusercontent.com/pw/AP1GczN5y-FbUEO_Ab1PfBIAD1AOe-eCFNFWNW2s2QbYhazr3y5VWDBN9c-NtlPjgvB4G1d_vERv8kGr7P0_j8AIqF-iTxSjqCrTVqC7VtTir79RRmlE2D-T=w1200|https://lh3.googleusercontent.com/pw/AP1GczON7QNwFW-curu8aNG1btEYNShexgYq6UkdHaHO_GqgiAFzQDrZejmhh8QbIZEGKoB6CSe8YRipnmJv5k1sM6DyrtSWwf_f-W1h41gQDQsj2RCZK577=w1200|https://lh3.googleusercontent.com/pw/AP1GczOzAjGvCvHiStI_0qtCF5gnYnr0n8qzdXBTidBDx-BKvPS284L4XTXuo38OF8gg4Tmr3oheG-zymw55d49mKEVis0JTgsNQe24m2RW0OzNCn6hMldgd=w1200|https://lh3.googleusercontent.com/pw/AP1GczNErTPYKYkSr5voLmMkrI9Hs91-p3dDzoEjD8ckyeLikxFO4Pi7vsuc8xxKyxkdVcPDgoIXHWcCuXaWeN9WtOjYAZ_rmQbOPCF9fzoL_vy44pz8cULM=w1200|https://lh3.googleusercontent.com/pw/AP1GczNoae_aePxKP91QYyTETRJKs00CEIG8kSk0MUFWcb_BYgpoLWZ2gT_DmttI0E9QySas5qprxOs1QrtRUNe3wyMPtRW-okQqiVlyoJAm92wwLCP3CwOq=w1200|https://lh3.googleusercontent.com/pw/AP1GczO1Ga2ohzmo6xrmtx_5wx3ImZx2NwuCezVqJ_8dwxwF-KJ24VHO52RCNK9uMiK3J1mQGmHWcRmownZUCcCONyJ35t6UrecmRBGQRwsS_-BhhWGDz_2m=w1200|https://lh3.googleusercontent.com/pw/AP1GczM_BZGw1GH9kwU4TEoITVXzgq5L2C5A9mR_KGB9PZf3SD8wvSlyhSaNI8W96HkqZZ-0fXJGMyfyx4hln2yum13UyfCgplyKJm22kkDme_TCdSyUYhs1=w1200|https://lh3.googleusercontent.com/pw/AP1GczMHBj6TuP8fuvtZ3h5xjf46IWvfCfXDOaPcN2d72RSDt_RCi9hQ9yvLlwe5KxfEJvHwrO38rT9FHye0FoREZfZQ5FEoiNoLu6SafHykpmDXnksoH0c9=w1200|https://lh3.googleusercontent.com/pw/AP1GczP8OkefJp9eeQuC5TCYnKqh_JjkPjDiiNvM_1aEXhPeakjd_MzSsM9_Q4iGgyJBU-qM2uwX5V4uvGT_1l_hg4qs2cQDa4FTY9RWXF9qdVT4ZYLtJUgY=w1200|https://lh3.googleusercontent.com/pw/AP1GczOBCznlPLn5tpwSMyINfM0-BSyX5Jgf4RZUJDU5nm8YAGR0-z-QFVLgBjjz7N6viKFUJPXGLOIUK5klfUKalpo_ZFabWyMDFjMZMZwN8UNemq-bw-ym=w1200|https://lh3.googleusercontent.com/pw/AP1GczOUE4EZeIJmdzQ8zl2auxOoVfWECUTc2tHFsmLAmK3svV8WotFfvXq-36pWZy7nZoBD0pgPmQp2t07kOIkLRXI3_BVeVCYxn8hFHj9Yf5zHpguLTHcu=w1200|https://lh3.googleusercontent.com/pw/AP1GczMpgKxuXZG2KPqqeQa_rrTmjx-mxbMjm5FBgy4ssG4YG1pXLN47R4M3_d72OUmYB2_ipFOeIDGtVV08qzeaNRYVluCiKzg490Y2q1OauYoY6gIeJDuM=w1200</t>
  </si>
  <si>
    <t>4864</t>
  </si>
  <si>
    <t>https://photos.app.goo.gl/fvusjk1XVdi67Cen9</t>
  </si>
  <si>
    <t>La casa cuenta con una distribución ideal para vivienda familiar o explotación comercial, conformada por sala principal, sala adicional, comedor, altillo y cinco habitaciones, cada una con baño privado, ducha con agua caliente y aire acondicionado, garantizando comodidad total para huéspedes o residentes. En su zona exterior, la propiedad ofrece piscina, amplias zonas verdes, y un entorno amigable con el medio ambiente, rodeado de naturaleza y tranquilidad, características altamente valoradas en el mercado turístico de Rivera. La capacidad de alojamiento es de hasta 25 personas, lo que la convierte en una excelente opción para alquiler de planes familiares, eventos empresariales y turismo vacacional.</t>
  </si>
  <si>
    <t>Hermosa casa colonial en el municipio de Rivera, Huila, ubicada estratégicamente a solo tres cuadras del parque principal, en una zona turística de alta demanda y excelente valorización. Esta propiedad combina el encanto arquitectónico colonial con amplios espacios, confort moderno y una fuerte proyección de rentabilidad turística y empresarial. La venta incluye todo el mobiliario, permitiendo iniciar operación inmediata sin inversiones adicionales. Adicionalmente, el propietario recibe permuta por inmuebles o vehículos, lo que amplía las alternativas de negociación.</t>
  </si>
  <si>
    <t>https://lh3.googleusercontent.com/pw/AP1GczMThUiplyAck4RKNdF1H5jyz4fQZw-aar3l5Dx6miStsZF2375xohkaneXNi-fQkwgkdmpVz_RoEkaV93FLAsV7za2AJmT79dbjJlBVFYGt55olDwQv=w1200|https://lh3.googleusercontent.com/pw/AP1GczMSlvQmusyy6yxjvVBg9rOoh0Mo0ni4xklA7s4zAWolSL55ozFOkXIvjSsIauhWxyCX2CDCDnFfEeyYezETAX3LZWlqLNBF2VUZ6FoRVXZiPIZgao9r=w1200|https://lh3.googleusercontent.com/pw/AP1GczOSmVsX8RUcrJVt36Sih3v1l3zpn6UvZxnxwOLSadXBd1pDRwMyqB4UqHsKwgpql1Rz2zf1YzzHLvB8nIXNgxVI-shURl7a1Jm42j9n1FtI3indmfwa=w1200|https://lh3.googleusercontent.com/pw/AP1GczMWyeAd5vM2C9cbeHOsTn_8gE_X10BxGN7ZhFEfKPgWFxy0ei-uXXNyjzNFVQ5DW3qzVaiH3_LwEt7dKdnE-iLjYUaBno1vb7gtYWdoUPQZHd_rl91z=w1200|https://lh3.googleusercontent.com/pw/AP1GczNBNRwMjl01zuSCPie5HHoDFHDLhmg0GInt-F66y1DdymNFCfyPWU78goQzRsvTIKtHx2nbMcHxQoCtOOfKSWw7crxqy6-pH8VBTo2GD_17cB5SGr32=w1200|https://lh3.googleusercontent.com/pw/AP1GczPL3AeXBc1sGlQk8duRkztQwyr5DQ_hfKlblWZ_6EhV7XlCXghkaJD8yvV90vt0-9N5FNQP1bwnUuGEsAhmUGtfbtG8MtX6hkIabpnlIJTkXDwk0Wot=w1200|https://lh3.googleusercontent.com/pw/AP1GczPz9VNWOSNtDOIyRGRtxOuJLlqeN0YxOnMNN3hOyWF0xc4rDW1sJLoasbNRxTDBUHARX6fix50RLyedjhpRvl_rCGDHAXhMr-MTiPywSscvXg9PaImR=w1200|https://lh3.googleusercontent.com/pw/AP1GczN1t_X0-2AMbtf3oNzKjpjWgRmrAow_IutZ1kOMiKr4UKzFS6jfl49JkxTmQ4E9YufDJM8fyXHjlUZXqaeo3bhM_FqfXJkWb3dLGoeWsHyN38ubAM6x=w1200|https://lh3.googleusercontent.com/pw/AP1GczMrYxsaPIRQ4KyXR5BATGxXLRZ9ovtkBhX0tzTnuOzFqZmasybjYW-buw2Oyue3lRXFieL7YzWMkS7d-hwCoH5Sd6jyx6PEfOBVOQz9SDhzotpKFAOL=w1200|https://lh3.googleusercontent.com/pw/AP1GczNR-ygDvbQO3fqzx-IqG4Qtw2a6EUKF4XZf1UL6PSw9dUFjEQdwe-Xv01bkPxCOhIJKQQmSovfgAgCYQP9_gBnB9xVFWEeVzsVVsMymj1L89V_zo6DN=w1200|https://lh3.googleusercontent.com/pw/AP1GczNUmHVEnR2h8hfQzqkFHWT3lWuFMn0V3MepyLbhilupz9Swd7tMssXgcTW4h1uG7z91EqW3q6ZR8tubMQo4bxhHX-3MHZ_52q_MrMltQVu1Nh1YihOF=w1200|https://lh3.googleusercontent.com/pw/AP1GczPNd83kMuSgzuq8TTwSxJC-OYMzUHDOtmz6G5oU_bMeXhdWHsP-EGZKaYcaN0lOefF7BMB6i_n1j-R6CYK99fXVeYatqG_XEO6rKa39eqH5eCyHKm4X=w1200|https://lh3.googleusercontent.com/pw/AP1GczNWRmz0_qUyz8-5QzXj77r2RV89vkkZdX7Kg-anit7WqIPNMuhlwKMT6UuHdQBFsBa5mJPZVTHbqe4bRkZqnktWsFMEoBrKxSTwvNNceERyVHNE1hDT=w1200|https://lh3.googleusercontent.com/pw/AP1GczOPhUMvcmZncl8ItyYaH-Xc902A5Pn7-yqjjl0D8zn1BJ2eIQ7LOmfs0lsxjHnmQuWmYuBaYGeSwLiR3noU5La0RftibOnjDZlpU-LsTj4RofXjZoII=w1200|https://lh3.googleusercontent.com/pw/AP1GczPeigl8fNkSv3vMW9yYawvTqxTU8XEx8QRkyIhTtEMdgXzHSMyTGSwgRi8p6A4xqj54sYbiuBs087SLsmFqfko_KhBSYUGWdnGxnSaNQh7PN6m5O8qQ=w1200|https://lh3.googleusercontent.com/pw/AP1GczOz_SiUpXQIDeuRpzVe5NlPGHUysAXMvL_FRUrLLh1_5wXXc48OovHFqJmSnRkw2qjPcl_V4NnjDa-rKgfiUWKrDT6iU2Q0dmRjKFNhx_8-Vgib5HCz=w1200|https://lh3.googleusercontent.com/pw/AP1GczOVin2I19R3stKyQwjBzTLf5DD_KTa7hjB98wvAo6pxqc3GjYJwGZvw0cWnWOa_SkmGna3QAFrK1sETpfZwDRQzCeyS0t9TJubziNwnLhaft6v9bMwA=w1200|https://lh3.googleusercontent.com/pw/AP1GczPJUH-hqo7-cI58J_6X6kJYjGMaioIMVZRvVfA6exVLswc05ZbOJabLG-nw4bvlabj9v141zv7UVgDsOLE4dn2g180D_J778g5y4DfTMCUKas881ppQ=w1200|https://lh3.googleusercontent.com/pw/AP1GczPKPs3DV_tHhw6lujmhrPpgVE9PD6SIJnooon9pwljZqoHgf0IQGF3aqiIcJkMy5Ls7KvPyVLjiLj3qvoC7QvFYVh_Hp50ppgkZj065lNlW8H3_6MhI=w1200|https://lh3.googleusercontent.com/pw/AP1GczMpIinPdW6LSgQyyVpJ-6Wx913SvpwEHddOT8WuOSKVvUKZFf24W_cPZKK_shx_TLWeSxLKaZIjQvtXCBjmUINLtWugMS9NajHSBAYnOykzY7fww0bs=w1200|https://lh3.googleusercontent.com/pw/AP1GczOGS410ZG-zylD26-8px--ZrsUPTHQ4KKpgDSEv3pYfP8YLzP5VSYoJ92xrlX5FPseVwrs05O-jFsR5JB3ofXL3JVeiyRUeVX6-x0s4Cof5d5CKA3C6=w1200|https://lh3.googleusercontent.com/pw/AP1GczOkCllWUvb9ylbwg9G9kvaQ-M86dE5rZzsbovC_eQnW4bRAbeliMxNtdwkoO9H7PuXBXElpDGYiUgmxtVfRuqMZ5_Ihp9ZJZRftkaoor4bTCII1s8Re=w1200|https://lh3.googleusercontent.com/pw/AP1GczPYStdl3dOuWcPClvFgvt4EHBQlqZAUZoeeFNur6JJ-Elo1rG7o1SGqEKRROqZVcKeYJAMLnMfvE5U60fHqT5plcTlNEfPMUhR-KnnarePZn8tLCbme=w1200|https://lh3.googleusercontent.com/pw/AP1GczPSFYbmsUmSrQGqG394nbp37e8xMAEnTjXzLktY-qSkJe1a5CDXi_HOO5D1zarhtGW_PyTEVOX5fZQx2b00aWiLvnluPNOGwnJw76slVOJldaPCIMPy=w1200|https://lh3.googleusercontent.com/pw/AP1GczNdFTzQV_cRfD0b7qHQgJdiL7oBpYasKuJfJg8NxMPxBDNf4k_WvdXflWsGHwM6gsa9vPGcj0kL9dCT9SjZnwgF3rQBifr94rgHmJTURR35RCK0n4HG=w1200|https://lh3.googleusercontent.com/pw/AP1GczMcBAyL36Bhijm2XZd8TK4riFwFf-n9M65OiX6q5OU-MIsW81WWEdZ5an5B-IkM_VmuwgQDpXB3cYwr6Vk_sE6AqdSfsYlxh-larGoXP3O77e-A4QXb=w1200|https://lh3.googleusercontent.com/pw/AP1GczPMKil6F6LqEPuOwJF1IFx7Twcv32iBqR0OwwWStgkzQ1J5BenVHkXt59cFTYXIAPOrYIF8vDWMFu3lNTtsuQvWNQBVshRhPGH6UMpj-2hb3vlGuNv_=w1200|https://lh3.googleusercontent.com/pw/AP1GczOp2g5RAjTgjleidKjvLY1pRvhRYTjSnhKQg1du_eDSMcDkITD1CnCtvTN7plELYth6cWvfXXfX61XJSqniAe5KKg2x51fPTtW3tdxTw9Rx9fuYVV_E=w1200|https://lh3.googleusercontent.com/pw/AP1GczM4YpDXqN5FJ05tjOt5tRUug-VtanY8rQr_NV8N1PUSMeHyaOU39XvtRsfiBjF-w7tO6tieH_zBBHksUEHVO8p1_QVs554QFIMp3JfxauJq5ybyLp_C=w1200</t>
  </si>
  <si>
    <t>4817</t>
  </si>
  <si>
    <t>Casa campestre en Conjunto Condominio Campestre San Sebastian -  Zona Franca - Palermo</t>
  </si>
  <si>
    <t>Condominio Campestre San Sebastian</t>
  </si>
  <si>
    <t>https://photos.app.goo.gl/EDPt3CqUUVJWKKfG6</t>
  </si>
  <si>
    <t>La propiedad se encuentra sobre un lote de 2.100 m², con un área construida aproximada de 430 m², ideal para quienes buscan amplitud, confort y privacidad en un entorno campestre exclusivo. El condominio se caracteriza por ser amigable con el medio ambiente, ofreciendo un ambiente seguro, natural y armonioso. La casa cuenta con una distribución moderna y funcional, conformada por cinco habitaciones, cada una con clóset y baño privado, brindando comodidad total para familias numerosas o proyectos de descanso. Dispone de sala principal, sala adicional, comedor, cocina integral estilo americana, zona de estudio, dos baños sociales y zona de lavado independiente.</t>
  </si>
  <si>
    <t>Hermosa casa campestre en el Condominio Campestre San Sebastián, ubicada estratégicamente en la Zona Franca del municipio de Palermo, Huila, un sector de alta valorización, rodeado de naturaleza, tranquilidad y fácil acceso desde Neiva. En el área exterior se destaca su amplia zona verde, perfecta para el esparcimiento y el contacto con la naturaleza, además de una completa zona social con piscina y zona BBQ, ideal para reuniones familiares, eventos sociales o descanso de fin de semana.</t>
  </si>
  <si>
    <t>https://lh3.googleusercontent.com/pw/AP1GczMCOnmG_HrX1_2UbVZAKRQA4I9sWnKUUvtN_I7pV3PhaKs_Wfu6kBqNhrCs0hLxa9rZOh-McXv06NUnuFHEGPF3-suqVEe9rB9PYI8wEYKp7v4Oxees=w1200|https://lh3.googleusercontent.com/pw/AP1GczPISwLYnBpc2LvyREFUe2JjezobW6i7su0A8Xaf7HE0eYm5M7QYk9J0Q3iayMO26Fs90pkQx4QgBl0gV-PnFDbe6G0hkGrdwCCsIyTBfQLYbWikpSO_=w1200|https://lh3.googleusercontent.com/pw/AP1GczN1ituywPHZ69LbsbN6OC0zOsBP_Sz3trZ3X0PKcx8rnLOZFbXEFkQzDjKVvgFyiW3ydqwRQfhucf-6H0KyfqBqGrBrNKtJiEVPowI6nQ8ASxztZNlN=w1200|https://lh3.googleusercontent.com/pw/AP1GczNal6hNVpgz1NxEC4SzVvynAi-1mw2D5KyLya3Lghy4wPcKNFzMQQxVYLElfu-uBmg4kJgCz5pgGMTJjDw69zySLCnpAerKVGLo1Og8NKd2Okvl8RQH=w1200|https://lh3.googleusercontent.com/pw/AP1GczOh5FOXlOJZDvBn4RdRYsCofBPfyvSMXTGc60UiQ_lWlIeR6E4qu-GzZdLXxPDVPyCkWP3CYeW1DW3jN_M8ZyyKTqkAbpekee1vpnwVnckzZJ7MVrpv=w1200|https://lh3.googleusercontent.com/pw/AP1GczOkMYxOkW3d6Agt-Bw20bETEuFkKxz6YmM3KI7FTDPWytDAEe24_ZKGfY8GGpM-hP2LoIEgaS5U6m5Ov8QeYnpx5pty07TM7wHfk6SzKV2audoVX3SF=w1200|https://lh3.googleusercontent.com/pw/AP1GczPDtMhQDQw1RswGquM2QGkbZIyv0OV_DhGdSDiW3FhJ1WjFlAoGPZ0DDM4c9mL9aNV5RgTAwWLlpNyGNNiwNb21ebA_euA1PaGXkwo8nfGzXMQZKxwR=w1200|https://lh3.googleusercontent.com/pw/AP1GczP4JjdWNC0Qh4ozsOy_1Ee_Nd8QbXpGdNtYBXASsCvayzpI7EGdEWp0_BaWvt7rgf02-wqHAOBb2-exD-Z2uJIUHCbcNBiJ2fok8IAGRdaZADr5kY1v=w1200|https://lh3.googleusercontent.com/pw/AP1GczOjpetx-DvYsXYa0tOCWzbqtBorSz70O2GBcs-JoPFJx_DHIACe7AAo7RVNoX6PgYGIwvPVMlSVeqknNPsUE-qYGZItKenapMIqm-PUPYvIkD7AYkXR=w1200|https://lh3.googleusercontent.com/pw/AP1GczNqqa1PQvB4DBjz5j5BcQ32gq5cHrG6aiAPZp9NVG6ipW9OA7NBxeld02Z3Irs8WPalnBHv7ZC5NjsOgeR4FinB_DIGasw5EsI47RKxHSb_279Ge_Lf=w1200|https://lh3.googleusercontent.com/pw/AP1GczN5Td_pplET52B_ty784lzTHQ2z86Q3VhG-y2WGYSH0yiire_YW4-fElO24LX77lTvF6ijlAwZGNV8d0bGyytyHFNt5LUJ_qkZKAu0dbQg8ulSFnqNe=w1200|https://lh3.googleusercontent.com/pw/AP1GczN9KbmB__Gf00uK8AQ0F8yNN3PFgT4RQ6SYC3_mNFU1SrQlLNPO59rqDjxFTBInp4TimKFwLsPCGXIT4M66dD-LpnWA_0MFNdYgwspBhGJOLLAd9Zbu=w1200|https://lh3.googleusercontent.com/pw/AP1GczPAlX20yT1aRVGzD9IRw_WNvNZPiTJg4XAwSISZ3GJPucYzKCOc8VMubDef4zoEdqjPk6Mzz7OFpt2RV35SeoX95DsIgQpkP4jMj2Ka4BTx6EVCcj2-=w1200|https://lh3.googleusercontent.com/pw/AP1GczPcrjQmqTtCRWvzzgVreu2xvg4kGze2WFFZu-xdv7GfjmN9KhKI8cy5usbfCE3TbofgMGD5rZGbqISjF-BilnkN-LYgNJRlVb7CHTlpdunqhKwKHHed=w1200|https://lh3.googleusercontent.com/pw/AP1GczPK0lD7Ht61zQgb-bEVqzsRRyqdOaFGFt1jXeHGLzvo0x-t1zbmCEP1-bVecF5sFyXEXvZzCi9yRvUimd9aIUPrU29sQmNxsCYaYJvyIVlvOKv-wa4y=w1200|https://lh3.googleusercontent.com/pw/AP1GczMgYuEgjN9b5nJuIOD0uM4p38WoO8qpP3FP-4XWYZTLa1baJEBNlEbDZxYcVmdv_RWXMtqUSvbDAOygPD9d9ijLwfjIfUldEupfMHK3r5GTqOxxy4xH=w1200|https://lh3.googleusercontent.com/pw/AP1GczNviae9pLfXnq1VqKKoOh79gUn7aV6oBqOW1sQqbhdFJojyHgBi2qzBY5ou_vCVD_U42nOwaaJxD9gx6Sz2GgY7qqq1HQIBLZL9EiUmgw0Cmi31dOn4=w1200|https://lh3.googleusercontent.com/pw/AP1GczM9V6NGlbz7GxoIlwFCnXBi5tl7GajaTjnxaPJe9rgcZRi0gXeDWk38sQ5MB5Ba8hT34PQoFLQqkwZqGO52iDbElh8AD8pkArFPPLDodTbWXZvVS5Y_=w1200|https://lh3.googleusercontent.com/pw/AP1GczNliDQB6knEdj9raC2enCVmoooHG999qbkZc0i8fXAPiG5MDOAob9Ia59z1Kthn4wcwhTGJ7RXY_1DNFKTJszaJSsK4lRIClyPBYESzr_ea-6N24qNp=w1200|https://lh3.googleusercontent.com/pw/AP1GczPN5OlrlJ-QRBuv0PAX668o0uTpUAwX0x_eaDXdYRU0ghCjuhUDv4RwfjELGyIeSvnzz-E3-h5dwL8B2O3SWM46XK-N7e4sIf6i__C3Iw79ieFsArR7=w1200|https://lh3.googleusercontent.com/pw/AP1GczMKPGBiwSUZzJfwtC2NqKgXp1CELFutwkA4SeviU_nYxYHmS_wdlqzCdfGBMJDncmTnY4DfnVr0RtwgZL9-yZyERuRQQSWI3iMCXutSvctoW6sIh9a3=w1200|https://lh3.googleusercontent.com/pw/AP1GczPKieIitYxnzOtSEJ6pCQOHeJ4xxlCBZe9MIGDQm0pnoatZ--pBL5jM9H9TLf_zhjvGmmhpNrA1sasMJvv3FKdfyGcaVie4FJt3EX7AP3uFUjMDq1Bs=w1200|https://lh3.googleusercontent.com/pw/AP1GczNDxGkZRYgxmcGMXUXxmE4T4eIJq_xaqerhbhTb0H1AlE2hKMpId4LRoLaKf-OxlaQ69mepSzXy5J959nT9JXqjrs57XtbKAZP3dlHXHsgJewQK6YRf=w1200|https://lh3.googleusercontent.com/pw/AP1GczMSPCPeOVsck2lwEU3diaOeeMqv25usZ9_ypDImAymcwyzc19iN6xa_nh2wLxsHAQrYOvqK95JOL24cvWLsA45-jDKFT4TAHVXdQ7GnEIHJAFLl7T1D=w1200|https://lh3.googleusercontent.com/pw/AP1GczN2T7SOo1uI1LL_SXz0sJ_EIM_HrPg4oWFxynvh6iqjNjIg6mmOzuUx3-DE_H0V0TTlI9bZGeK-zPK-c-2KTmaQIv0rFirL6KSO40bKfU5-ylNw9h-y=w1200|https://lh3.googleusercontent.com/pw/AP1GczNvoLFvG-teoG2aM-LzB4eFpDGsKKoLTuY-rbOXzQ1EsHwnzFfcy5a472GlCXHyAwP98Sj15958LHDFRM5roJDRcHb37Mm_y9x0CWJ6HmasfzQe6bY6=w1200|https://lh3.googleusercontent.com/pw/AP1GczOTsTbabpCdQn5Yw9KZEmm_N8Rtam2DxmOP9KQ6GLY5Xqog6SV711tLHrtqS6oE9SQBY33yQkSOp2aWCyfVKzXBaAfIEPBDRhM3BclzVANbnqx-Goth=w1200|https://lh3.googleusercontent.com/pw/AP1GczMFMCZ7GS3kI6AlUmbaBDDlTr_ecljCU5732I7qQ7KJb4HTEdQ_TcNVnZW3vPmP0fxg_2V9TaWCVSCumUzJ4r2nks6cIkcA0zEz9VVWpDYBiasQGZlc=w1200|https://lh3.googleusercontent.com/pw/AP1GczMXavJaqGAINugjulLlhwA-fBPsV8kE9Rxgti3tuIt-sLoC-5GTlwGcAV3D-pYT59j6NjiSV0x1L2-R8V4uVLyTiO3pkg6vH2cHDAU9Hffs7DqbuFI_=w1200|https://lh3.googleusercontent.com/pw/AP1GczPGi17EuJqeLXcaLJOm7lwVgljOcBzq8me-MqbCkVpMWW4p3dREltZJhlMIaDjiHhXedeVf3QlPer7lW0bVzGeq2o2m_5OtxaB1lwKdBm7p1Mex9bJ6=w1200|https://lh3.googleusercontent.com/pw/AP1GczP1Df6cxuUb_T_fPxGjsKKWInBL3ulPhmdxHaqUy72okkmE__S7Z01g9v921vCxmQA1jERuCFuuVYba9dFauWAgVo6kg3sbEx7-AOy6tL9bn1FnIeQ8=w1200|https://lh3.googleusercontent.com/pw/AP1GczMGkrlD4W4ZU-6LCIx3iyb6bxxXPO6ecq-QvFuLAOKuswedDg3rI6gAMTOWz5cM36wvsJgu6n0vtdLjiKHWezd7npiru8Loe-Kj4E54tliNwkcPBLBv=w1200|https://lh3.googleusercontent.com/pw/AP1GczMBK2NiaZjwRocgujnDKa_Qn-1rHR1eLxaN2RbRTT6Dx2jHXwNoeEFvkoWZJsv1OW9F3hKwCn9OFBuCGKDZ1XCrrydERebOXuBxUfZ7BJjuSyMTiBjh=w1200|https://lh3.googleusercontent.com/pw/AP1GczPHv2uRzrTWYiKYSvP6aEo4SIDqgBavQJayCVaWujokhh5Srnhp4e5F5e_QnVKRlCOhoDIFsqOJf4TTQvht-BRC1mmW3vNwYT2ci5J6HaR7Rk4n7iep=w1200|https://lh3.googleusercontent.com/pw/AP1GczOPCKyu61eIbztNiLBG8tPxUPpVSXihv54eiHwgDIP1wkP9wYPrRZE2FmtnfoGD4lLlvTg0R4akW447pDvKgRnrVMq1layO6C-P-cPUgKv6NtRvab11=w1200|https://lh3.googleusercontent.com/pw/AP1GczMVZMOd19gCxbi1ND0SXqwC3mneOFOu8FC9InT1D6H-IgoN3jLKI9-OLUmaGz_Kr-21JzMGY4MuV7VXXBo9OMqXAMv68f6x_sVcfpJqeKdgvnViwm2M=w1200|https://lh3.googleusercontent.com/pw/AP1GczOY9AnR1XqrdAsKGGvqfI0iMM-PNZj_P0uLtfzxXjr53bYnrW3fFTR3S9FwADxUVBRMi3BvJDI-qTxfm-ZiNt9Ai1jxXxi4vE9EflrA_LN7lScVRUUV=w1200|https://lh3.googleusercontent.com/pw/AP1GczN6ZVBijKqLmHdZ12tTv2sMjKDDCdLyrOExPwAkCVUUJ030KP48LBbXNMaDIC8sLPBEZG6L87yaHCDfkBQ_-9Vv1tuWNYWsMeKUIInkhiic4mjwL2tT=w1200|https://lh3.googleusercontent.com/pw/AP1GczMmun_biEFQ2Px_pt9pqAgaTqANuEVz0L8We7pN5LgW7Bh3WrgM4Mz0KSI5-qjnzQ6yZ3URr-o057Z_V8LdmseX2F5SLb_2V5UteDHJjEgseQ38VHu6=w1200|https://lh3.googleusercontent.com/pw/AP1GczPwlK0ROOzIDnLOA8DcU3cZ7mzRZn_iG8XTvASRHbnR1cP8dxidr0TN91xwi6nvB7cSRL2OBkjHi7tD0GLUdzhkusC9zvllixh_gHDt-HrlSvjelSPE=w1200|https://lh3.googleusercontent.com/pw/AP1GczPTQFY2bRw5Wd6Joyi5qYpzrWzIoc-wTy5kvvE2-BkyrXLonV3zYrHCu3pk1Zj5Izn1ZSyI6lbMQv0fxloLOmg-iBBmWWHVRXUQ226082xxVpOm2o7D=w1200|https://lh3.googleusercontent.com/pw/AP1GczN9ihTMaxOOtPtf6lguEYd6HDnQ3yrlBPgBFEPPei5BYYwOER-nsvZqhQD6jiRntHqXD83A5QGLyxvMNhgIOQ_u3x-wvzJwknAzh_o0bRc75NEF_ghe=w1200|https://lh3.googleusercontent.com/pw/AP1GczMwTMe6ur8lnSHxcTe0NlVjHTEsLpVIffJWTLnu7xMpEw119l3GbbW0TFp9fM7t_HPi7WOyYzji9JmjoIw_-aq72WA4ll8KrbIJ_XDuJOjTyVYRaaw_=w1200|https://lh3.googleusercontent.com/pw/AP1GczMDXzEprwEn2jodu3xNg3NfpcbzW-AZjUsoLBHoJXLGxGJK39EN_ni0sZPBONEPSmvmh78xB_rSdF9ox5l9DVHfZfySOMiVL9NO6w88nzkV9WTYtjyk=w1200</t>
  </si>
  <si>
    <t>5864</t>
  </si>
  <si>
    <t>Casa campestre - Rivera</t>
  </si>
  <si>
    <t>https://photos.app.goo.gl/Gvq8MmZARb9gwYjv7</t>
  </si>
  <si>
    <t>Casa campestre ubicada en Rivera, Huila, específicamente a una cuadra de Los Gabrieles. La propiedad cuenta con un área de lote de $347.0m2 y ofrece diversas características ideales para el descanso y la recreación, tales como amplias zonas, una piscina con maquinaria totalmente nueva, salón social y una zona BBQ.</t>
  </si>
  <si>
    <t>En cuanto a su distribución interna, el inmueble dispone de sala y comedor, cocina, 5 habitaciones y 3 baños y se especifica que cuenta con la documentación al día.</t>
  </si>
  <si>
    <t>https://lh3.googleusercontent.com/pw/AP1GczNZGZREA9voLm-V_UC0q-v5sALU6MbQfvh31wRWrPx_YrLJPSzoMZxiQJjpw9OOikOhd5vmre9aoLkm193RbuUpXaHliN4lzUddY-BBs6Kkp02t6uWo=w1200|https://lh3.googleusercontent.com/pw/AP1GczOuvdGlJRcoK0aVw8adQ4uuOMZOwvGQqwMR3nc2D17r-HdBOrHL6Qutu6fyYRrcL75U0MiXRsOs9wD1fiZLxJY17nVFyOsk5Dw2Thi5ImyzBcvvAGk-=w1200|https://lh3.googleusercontent.com/pw/AP1GczMNgtM_7QdQ0cbakMcHb9s0g7h_MuzmWIW74DxujGj7w_KKMncvONgvgfdYTPpPTN3O276mvYVEyglzwBhqlrWHSNUPQx3Q4Q5kkd0Xbo9PJKeZVjmf=w1200|https://lh3.googleusercontent.com/pw/AP1GczNpI_-AjTr2ed7NbQRCCfn3BZgrLHWT-sMewNlIlqKOYJVtt1Wn22A57-k1Kfh7D1REB0L5x8AeZLCrvyZMB65HmMo9WuiutKtG-FEQXEhagECLeDwM=w1200|https://lh3.googleusercontent.com/pw/AP1GczO79EmeRWj7N5wlJpThJ9lXvXb8aZCcCcXJC-5pHUDEwDWMyzACzOvj0OOpBfr9_uuHJP8kFqJmUNS5GPzjgjmWAD9ZLJB0D4MVVeQFVHKOdVWqua85=w1200|https://lh3.googleusercontent.com/pw/AP1GczPemtKfkB9FC0uU8LWR4lQeueQtK5phiqk11zek32IEyntT3noHJ2RIlts6dtm_eLxdtF-g5gHwLBxEz1G5XglwwEpjCRfIzgYhV950hnJB59jvdTRt=w1200|https://lh3.googleusercontent.com/pw/AP1GczO2nh6OpgRHrrUJM1p2ntKUNqf5lB3Ck7J1TRVBDCmose33_egSVEFOD_xzlwVEPo5d-bNssslHuy5SFEzWXdeHro929FGVEvnbaXGc4XgfMraNmAdC=w1200|https://lh3.googleusercontent.com/pw/AP1GczNy8EdGVEqSJaQ0a52NpjEKZxTw3vo0vfNAKsjuM7DaA4iYKyyQwH2esUAo_ZXORRiKMlDMzPEfJV-GNogQzWG_BWUMg_nyyBjHT9fRTAJjrBZdKp6f=w1200|https://lh3.googleusercontent.com/pw/AP1GczN8BB_hsvnju6IovshhXwr72cjwDb6Tals3jn1hec8HScfY-i-Rj-mH0eI8dHn8tB_3FzhRQngUgGvj2eZix6sJtbs0rCQAqRiGc6EE1-e8hoeFmwcN=w1200|https://lh3.googleusercontent.com/pw/AP1GczNQzFsLjakLfjKqMBJVDtK7lovafgsDjCwkxNbxbeffi2_HndMOZEossToBhIhnqHXtKtMUxDih5vIQ-2r3Hk7oUQ3CQEcqz0YHRKIIojrcXkR3eLG4=w1200|https://lh3.googleusercontent.com/pw/AP1GczPPsKzCWGIQ9nzOwfkBJQysJs1Tj0NKZ88ry4-4zy04bXTtPliZ6RHsXG6yLNZxTpw5Vaj0vV2mMT5JA70YJJuU9fLyDE6BtMzAaX1Iuu5MdQYwNfWR=w1200|https://lh3.googleusercontent.com/pw/AP1GczMySih41oGx93L14kHqFoBy0mDlZyHlIJY3AR4WyD2gshpWgGlbxKtrO6SsXCu_rMH4uceSW3hzGEuylh9UWzP4lGUdLp2vrVL0tghZiV4yWXD1Qt2-=w1200|https://lh3.googleusercontent.com/pw/AP1GczNVa1RxsRn2MMy--RWFlx23eOaoHL9ATU_RXvM1mnquL3WswaxU7_n2NWtYUsxjWcMNMrPK1cmvs-hIjUdSqydUOpN96rDXMPY3lf4ZhNnKfAk4D69b=w1200|https://lh3.googleusercontent.com/pw/AP1GczOr9uokd7ul1kytrlXTE2xly4uSHjZXfnYUeIUkKgc4ZXXaCEE5vdTMsx0bJmSMl1NzmZDO-tcxLREurUmvDB9C53IROaB8YGiVHUW7kJ7zwJadBZAE=w1200|https://lh3.googleusercontent.com/pw/AP1GczPDA8BEZ62LRLuXkMjdtK0mKHO24cCoc8OPv9JxQ6VyVgSLKr_7-NiyJqr0m7bj_cUhVxRv3uMwJ5rTMHGazUmXztVD7XFGbVGOcAtJen4liuJB9uYU=w1200</t>
  </si>
  <si>
    <t>6386</t>
  </si>
  <si>
    <t>Apartamento en conjunto Reservas de la Sierra - Oriente</t>
  </si>
  <si>
    <t xml:space="preserve"> Conjunto Reservas de la Sierra</t>
  </si>
  <si>
    <t>https://photos.app.goo.gl/1dopEgTf3Sn61hmc8</t>
  </si>
  <si>
    <t>Este exclusivo y espacioso apartamento, ubicado en el séptimo piso de Reservas de la Sierra, cuenta con un área total de 152 m² que se caracteriza por sus acabados de lujo y ambientes perfectamente iluminados. Al ingresar, se aprecia una amplísima sala-comedor revestida con pisos en porcelanato de alto brillo y muros estucados en blanco, la cual conecta de manera fluida con un gran balcón privado a través de ventanales de piso a techo. La distribución interior ofrece un estudio independiente completamente amoblado con escritorios y estanterías modernas, además de tres cómodas habitaciones con clósets empotrados —destacando la principal con su propio baño privado—. Dispone también de dos baños sociales, una zona de lavandería independiente y un práctico cuarto de servicio con baño privado. Por su parte, la imponente cocina integral en forma de U resalta por sus generosas encimeras de granito oscuro, salpicadero negro, estufa empotrada, horno y un sofisticado mobiliario modular en tonos madera clara y moca. Como complemento ideal, la propiedad incluye dos parqueaderos privados y un depósito para almacenamiento extra.</t>
  </si>
  <si>
    <t>Esta propiedad representa una oportunidad de compra inmediata inigualable para quienes buscan un estilo de vida sofisticado, cómodo y exclusivo en la ciudad. Al estar situado en un séptimo piso, el apartamento regala una espectacular vista exterior panorámica y garantiza una ventilación natural constante en cada uno de sus rincones. Sin duda, el mayor factor de atracción son sus zonas sociales tipo club, diseñadas para el entretenimiento de toda la familia sin salir de casa; el complejo residencial cuenta con un lago, golfito, gimnasio dotado, canchas de tenis, squash, cancha sintética de fútbol 5, un parque infantil de tres niveles, un oratorio y un espectacular complejo de seis piscinas. Con espacios listos para mudarse, acabados estéticos impecables y la comodidad de contar con doble estacionamiento propio, este inmueble es la inversión inteligente definitiva en el mercado de alta gama.</t>
  </si>
  <si>
    <t>https://lh3.googleusercontent.com/pw/AP1GczO7YMReWhHFU4rXeeaX9CgcCkcl0ku3Tca2t4YfFVOHlfQrBk9ofmUixQB0uq-za9gXZH8Sp9wy3Gm8G3V2haIhfxcc69MWcTSLLJLGXHMpQM78O5Xk=w1200|https://lh3.googleusercontent.com/pw/AP1GczPho3sfYpY-ywVy4XW5W5uYjzZXg0YkWTfHLdjdaNhi9w4nWFBSjNbF1R4M8D98zJTICVTF0zgjranXc60SNR0D961ZbO-M96JGIqo8T-MCJaxEhN7r=w1200|https://lh3.googleusercontent.com/pw/AP1GczMXFfn5RvH1Ez1yNqEOi923Odl1uBUDrrHLJ49rtdwqi35iLCTG8DYnN0DavbWc_bYbAlLvpCC_sEZaNjELG21Vi-aigQemH13UDvV0IBlUe2ALAHNU=w1200|https://lh3.googleusercontent.com/pw/AP1GczO-Cj-AqddILgLoZUfjiCH7FetoWLWh7Ju2F4BkFfRHu4PdeQxJlmZ4eboJs5f18aFzY26bBlkg8VYkTc_V8vtFE3_d_PpaQR-QABj1AMh2-Mb-sSXV=w1200|https://lh3.googleusercontent.com/pw/AP1GczP2qTBebOJb5V-TqTeuYWLa3wjhvlnUilGuFVS7-eG0WTSPPCkj1wqtrpRdBS5HpnCIrY8zr5dxbCOEopyPfQ9ezN1R2uz2y_OH4XsaMhEr2iZckcAs=w1200|https://lh3.googleusercontent.com/pw/AP1GczP1RmORHLYu_SZdAQmHQMtq7DQwlOV2miGof5bvLCeEg8b4gLfkrbw6-v09AV6LeV7OwAidbnZezgTn8DM8-Hn5UI1-aIJiSBKMioIbVJZdLOy-bmWP=w1200|https://lh3.googleusercontent.com/pw/AP1GczPkRZQChtCbVTLFMIkKNmrgWMPbyK4phktz7kqjYqPfY7lTrfB2Bq-R55ShTOTDcs0wFI_hKxbyz5kn38J5KwNe4oF0YQOdJ3zrvynf7BMCqJcqUQBb=w1200|https://lh3.googleusercontent.com/pw/AP1GczMcjTProGxFCPsMu4CgVz0pVpGqcaMvtitghdIZO4IIVt5AE8HDfrt36XTLmqNsKBJngy51a3STbCTUXdS6AkE2lccfUFMemIGGey07wcSgP2XA15p9=w1200|https://lh3.googleusercontent.com/pw/AP1GczMOzAuv1NR71FFLd9TvV3ANSr5MO8Vo6hQ8NtLIq0JcEn2fhmrnZLvasyt_yd-UBRy-bw6qk8PWICOSiid49LzPp3SjmWJ3UC7TG2rwz0mfFKvzJTbl=w1200|https://lh3.googleusercontent.com/pw/AP1GczPulplw34NCm9Xbe8P1NgNBW04UcqSz_UJAsJpF-9fuMQQ_DUAC1M2r5_O26y5to1rNhf2U8Xp5YygbR5EuZJs8rnCjnGKiGQ0EmR7FYnuw2wgm1iQC=w1200|https://lh3.googleusercontent.com/pw/AP1GczMC5dwpHc-V9OCEzv8PwY1fwGXsXD24oFcz7awmIbyRiVSKZj0JsKJGyaY64HHXa36_4hOBuEBoXAgPkzs8nb8oVtm7S4bnDWY31p3UhPe_0JXMm7uj=w1200|https://lh3.googleusercontent.com/pw/AP1GczPe-JlC0P47m6wcAKj67PosmvbITvkZJLvCpVMspLKRRdfqZQK3KBAMlmqYPgFJCzKoWVe4l1CzbW2RccEhjqXWBB882AVGIYJbqn4v7Oatsq8Ktl7v=w1200|https://lh3.googleusercontent.com/pw/AP1GczOtpWrB8aU-vhXc2CDBdUv1sJ7AR5XRER34MFaNFzpm6z0_UmhWymV5WfYzygObFSxFrqmlHjtuE4m7ulRLEpRB8CMl6y0Hgpv_mHk6rLvI2-AnC4e7=w1200|https://lh3.googleusercontent.com/pw/AP1GczP2wnUgPAfwZftlrMlQtgaOudcntEVLNpxyUA7atKiY3NFkojZ-Kpv5K-diE4qge7y3dtzFkdN-vrJFgywjRykvlU6kPH8PFb9ZbCbzjzg7jAIDODaT=w1200|https://lh3.googleusercontent.com/pw/AP1GczPYHpb41s5DaNhB3vEl8VKklsYEd9u4h8G4D7Pzc-2KbqhKPmJTHem2YG1ceXdbhitHQDNKPNTjA8WxzBP5g7CpLBbpBtIAMUPP4BImIPNTa8vOwtSQ=w1200|https://lh3.googleusercontent.com/pw/AP1GczPdcAlC2_g7VJU7EEkTWK6pbcefsEPduF7YxHR-Q_MJeT1S05BJ-TKWbTIMwkSZq8LR2iKOjnv-H-EHA-LwRAX7X25Ljhgwif0WWZeL6UxGzQaLgEqA=w1200|https://lh3.googleusercontent.com/pw/AP1GczMW49kP42BEv8kOBgiZ0sqnbLHnWq2TCzQBEcXwLVufcj0nnaeUNKsRBGH8dLqyLrZJx4at25mdeKXDAtu1PEzIYkWFpm4NeWZYWWgJzpFCXjjIgn1x=w1200|https://lh3.googleusercontent.com/pw/AP1GczMkOps8slU4jPYHcs9GiXv_cfRtHaVQK7Jd8lhz0atObEUta0GCCC1oSWMN9xgtaGx9nGzWzoj9bPQgi1G6z8CX7-MjkAqSZlR2rq6en3MLSobundjD=w1200|https://lh3.googleusercontent.com/pw/AP1GczMLyjhv_03MLbXedXmi_56D5T7wycyOGk90ujLrhf851LDQHI3-LR6PZ6EWeLZx2pocC5RTfzajnYFvBJBaFHYhXKf_i3xQIeUYmDaoNnkgTc-G-LXz=w1200|https://lh3.googleusercontent.com/pw/AP1GczO0AgGIrzHaks_W9Pp3133E8wK247mpTTgO6D0LE_Diz0A4fMr1WCVSVIZ_aC-1GNRiC2A-dKGhl1_a0MwMGlj_16BwCcSCNerZXfXVJdNEDXA33xjA=w1200|https://lh3.googleusercontent.com/pw/AP1GczN_-OtrEE8u4Zgkh4805OfOc3LVu6a-K7IvPueSLfCA4YqTp6KeyuXSnkO-maYu4Bcim9F0EteSf6GhPjPmnfui2BUAxt7Cf0tWOHvZkmg_Q2s1x_SK=w1200|https://lh3.googleusercontent.com/pw/AP1GczOpYui5S1GpybVYA_EaFSHq8IrD-PSazK4c3atcWuOamhG24Xm3M-SqaVP86i8rU2PDkOm2UmW000DH5O68Hw3ifakEmvHiP_84s7u54TMJyU3_TAxd=w1200|https://lh3.googleusercontent.com/pw/AP1GczOwhwDWzLiHB3un1MSlep3WbN_yDm-Ii35tOK5fNi9eI4rvfnFmYUs7Beaa02TRdG0M-pL5yVNAkNuMX-dGV3E3W-U7Q57kLLB2DYRmWNO1vw4x9G6E=w1200</t>
  </si>
  <si>
    <t>5283</t>
  </si>
  <si>
    <t>Casa en barrio Santa Isabel</t>
  </si>
  <si>
    <t>Santa Isabel</t>
  </si>
  <si>
    <t>https://photos.google.com/share/AF1QipN0ejfu8zSL41ljb6urTIjhQhNIEaNjXQkU_Jy9gRnjoQzndOQ6K2fe0ItpmvKzDQ?key=U0RTeWY1UGtvZnIzMWRKb2VvY2VzMmtMc2d3Rzln</t>
  </si>
  <si>
    <t>Cuenta con tres locales comerciales y uno en adecuación. En el segundo piso cuenta con dos habitaciones, zona de lavandería</t>
  </si>
  <si>
    <t>https://lh3.googleusercontent.com/pw/AP1GczPo8kk1OOc8U-TalyUTE30jQcRmXwYALbPUAl3eJjWkNvEIYHvhgoSt1x3DVq174MPxBZbREy-E7vgcFm-flmKmwFwHLWu5h0eTWhoaYuyDYn4kj5es=w1200|https://lh3.googleusercontent.com/pw/AP1GczPe0YC064_KznvPDTaUAfM8f2uMwVOOHCi16y4HtFSfDO4Y0HBztDjxwrzTv-1-EC1nuLYCPvhdp2So9V77O5U6jgobOnGIRvDkSpuTp9fK7ehk7OY7=w1200</t>
  </si>
  <si>
    <t>5110</t>
  </si>
  <si>
    <t>Casa rentable con apartaestudio y local comercial en barrio Los Mártires</t>
  </si>
  <si>
    <t>https://photos.google.com/share/AF1QipPGkZKWkSGObmevnDBYoaV7pLZTwPU9KupE5O7rcAOw8hOgtCXPguBF51hw5oxDuA?key=bXRNZ09jdnpZVW96bWJDQ1AtdmNPOVkxWUI4U0ln</t>
  </si>
  <si>
    <t xml:space="preserve">Cuenta con terraza, bodega. Además cuenta con un local comercial y un apartaestudio rentando. </t>
  </si>
  <si>
    <t>https://lh3.googleusercontent.com/pw/AP1GczNd3UP-EMSlezGp_unN3CSVxFQtWF2TCtng0O8cV6rJ3fgtiUxAlFgatqGsiFYdz7kFLigoRrVPdH1ZSUwk9hamXmLkoRSjfDxzF-Xf_0Qn5hQWm62G=w1200|https://lh3.googleusercontent.com/pw/AP1GczOHE4Q6t1fX79B2Q_Q1dY_c8lpDo6vcyLWhqGk4X4DYeEFeT_sQEQ0lm4Imi1uefnqZ36Cc4aFgAI7aihgxQOsMu1UoJFImY8USH1Dt6EiYq9UZ58m_=w1200|https://lh3.googleusercontent.com/pw/AP1GczOc1DRF7Xsx9tRtRT6ftUosiVRUNIybcg7r4vOky0RMTTGAEtP7JSe-Xp5Ze-YO6yaYHcSFDQuUpqq4Uoz5lwftGa94NzYc2KGhW6fOs3wGdh4IGtBF=w1200|https://lh3.googleusercontent.com/pw/AP1GczP8vXlrp4UbHV3Bb3m6Rz93BYflsd5ylgLJG81jmE-ESxeMz1BHOMY8el9AUW0F8w5upLLnOYnCi9G4yB6_iOa2F8fBdlaBGosie9MFtG2GhV6NHAWn=w1200|https://lh3.googleusercontent.com/pw/AP1GczPZ_dkHcYTzE-ONW3YQhd3kyTWzU9EnYOLpCLjWEq1MBs38lmpG2FVleBSrXA3SEBNmQIVCPOxW0S-gxSvjBzxP9wtXC9xq0FYtvlYlWrGI4LladJEm=w1200|https://lh3.googleusercontent.com/pw/AP1GczOQdDYfxY7AUeTxP5MX4gJvJJLWVNUxQFz83OxqxXuySsXO1vi026xf-Sm0I8FNGI-PA0U-W4_hiIdg4R_BpiuouaerS0-ZdXZ9Jv53ls0RsvtRRReM=w1200|https://lh3.googleusercontent.com/pw/AP1GczNhNM1Rmjky3kNjMXNmS6idq8yzsH4uH761wdQiIpadNiHAPz9lCswRWr_5ie6HrmsxG_SinjBUlol_hi_y-a42QgWDUS-eGNUuhX3fXu6YjRFTWX-K=w1200|https://lh3.googleusercontent.com/pw/AP1GczNXNwx4tKH_oMvlcYVzWRED2MvzvkEvXm_lWz7wsS1nACOVJUry6JMP7ip5PO5V68X04Q0NfXLm8vHcBdPCdAsdTMsdzEGOQFTMV8HfKl222jqd3lPr=w1200|https://lh3.googleusercontent.com/pw/AP1GczNPD_ekjojgyKm-UvB3o9bhjIFfzBYrcE54uorin-zsi68GwCfXqrKebZnCDR1-dfkdB4xL3cxXuqlMjODA-JdyItQ_69ffRNsCNJ8DQmURGC-mCYiF=w1200|https://lh3.googleusercontent.com/pw/AP1GczP801KMAVQeDdfLUXPLT3pjYFnikvcSlnC1tofUKdHCaFJY1l1B4vQ0IEKKBUL1o7XkDmJSErfRCFzAGkxigRKxfJ2ZcUKimXu6_lRA2UEHc8hmXEik=w1200|https://lh3.googleusercontent.com/pw/AP1GczOmtk6eeB9jlToF421aLpIgwTQiBtqC0qbn5SOq5Y38-ZqttOjyrpn-MHYF7Mxfu9hrHP65eQ8vs7688_y05XgjHj0Y4vNk6W33xrvCZk-uxBiwhv8C=w1200</t>
  </si>
  <si>
    <t>4658</t>
  </si>
  <si>
    <t>Casa con Aparta estudio en barrio Alameda de Monterrey</t>
  </si>
  <si>
    <t>https://photos.app.goo.gl/oQHfUM752EZxS1Sz8</t>
  </si>
  <si>
    <t>La casa consta de: Garaje, sala comedor, 3 habitaciones, cocina integral, baño social y baño privado, zona de lavandería, amplio patio de ropas. Cuenta con zona verde para cultivar variedad de plantas y parqueadero para carro y moto. El aparta estudio consta de: salón amplio con closet, cocina semi integral y baño. Tiene parqueadero para carro y moto.</t>
  </si>
  <si>
    <t>https://lh3.googleusercontent.com/pw/AP1GczOG8UZeMdLI8ziW0iCtjTsTCqMMLgcNAawR9oqs8GLFna60XA9WPWODWjjIzduE3Y2exNNiLfbITQiNDQahnYMhqj4JyT-xxB46ZmHTPzz4CrRWeTV_=w1200|https://lh3.googleusercontent.com/pw/AP1GczPuhkM8b1K9SnmuS3asuthiANe6Bd-FzU8muXh20LtQtQNznICk-7cDvPAKYJV-6Y6hERCRqhf5ocGFtiVE4jG939cD3iGJ9R6zS4vCKVtKHjwVVk3R=w1200|https://lh3.googleusercontent.com/pw/AP1GczMiWvA_RULR0Ovdlwkdws9ufh6um_SUuO5WLpGs5TpPwZGHhZj9iqc_PYtN_xHPGWcaeOxerqHkCDpkzi3YyVkLFo_IWnn_RbpNB9cBGwyWy8DHyd4p=w1200|https://lh3.googleusercontent.com/pw/AP1GczPbQqWIjccyW7oTGs6LHAkPI2JMVzewYHcBnLvrzMVmg28E_PFWd-Z9lP_fuM7wgJATz7D3hRI9hAKO2w97ATfaVqT6XmajwMVtsn7pEA3-IjFKkDWk=w1200|https://lh3.googleusercontent.com/pw/AP1GczMvr7UqRL5ILHLrhkmMVNgK9nvFIzxlRWbesQuVo3HzLSFobj1f0YppY0lRiymInBa0Hthy1k8fbV11CpXSRXsXfdZ8o-IdO8Z6X1rLWVlEe_jCFfDj=w1200|https://lh3.googleusercontent.com/pw/AP1GczMH6A45_7ndw4sL4p8sfk7DcEgyyMMa3QqzH496A_FHFymo9jnNbuKuqMPCjTV1iX3KsD3wYVjZ2N6_6DE8mK3XGVY7rxwXztV2l2xMuBSEKXAbifS5=w1200|https://lh3.googleusercontent.com/pw/AP1GczPxrYf4knPORnbsLtmEgDBaf3rmHATwqMxDR1LPUYOpTQl_Jh4pVKRt589aZdqCTjYuKVoKbmOQzEoA4eSHcHBra128_VFGtipVoV6vU9CuDYXMKu6e=w1200|https://lh3.googleusercontent.com/pw/AP1GczPrZeX1XketFLURI23h0kpIHKuUeMW6bv9C4KT-3xHvuN3GjvvCupMgFpY0ImhvDXsnsNm7qvVv7hX8LTC_PtCiHmg3NzxlLG6f7E5HPhFEd4_l05JV=w1200|https://lh3.googleusercontent.com/pw/AP1GczPF7rB6ZMBUwk87xaxSDlGVWo4vzNjl9lGqAOYfWSqrrstZHxltDFhoMMUcTTzMhFxMNzc5KYZXHNuzsCP3UGwRxQwQKnoWrHq1vPSnSjfDo_9NgOiu=w1200</t>
  </si>
  <si>
    <t>5353</t>
  </si>
  <si>
    <t>Lote urbano en barrio Buganviles - Oriente</t>
  </si>
  <si>
    <t>https://photos.app.goo.gl/mnuQgn6hP4QVvEgJ9</t>
  </si>
  <si>
    <t>lotes urbanizados ubicados en el barrio Buganviles, uno de los mejores sectores del oriente de Neiva, reconocido por su alta valorización y excelente entorno residencial. Esta es una excelente oportunidad de inversión tanto para constructores como para personas que desean edificar su vivienda en una zona exclusiva y consolidada de la ciudad.   Los lotes cuentan con un área de 225 m², ideales para la construcción de casas amplias, viviendas de dos o más pisos, o para el desarrollo de proyectos inmobiliarios. Su ubicación estratégica garantiza fácil acceso, tranquilidad y gran proyección de crecimiento.</t>
  </si>
  <si>
    <t>https://lh3.googleusercontent.com/pw/AP1GczP6LoYAqCbx33bXjoEGvleMMzHf8DnuZLnjb1tAuOztWJanIOwBP5t_FzFCTXNpsj0iMu00x4M-57zWbn-xP0vMC1g4Duhscnh8GgIzGucjHCLyn-qz=w1200|https://lh3.googleusercontent.com/pw/AP1GczNlXO6GCfFY-mNO0BCngnf9CgIuitXAvW5QZ78z-o3BHeSXunJjatfCOhJbMBDs7uhc2GjrwQnKt06p3eSIh8cvw224Wrw0gRaHfPWxxMHUi8jNWgSq=w1200|https://lh3.googleusercontent.com/pw/AP1GczOnfLfL9hP_C2k2RBNwR6NDWGIti162ONLGNrXmnQ-3YDST5awOG-bTssxOgNdDf7bAiQgXFtx_2JnbgyM1U-04jdvyw35GGzzrm9psLijmVbP2Xpny=w1200|https://lh3.googleusercontent.com/pw/AP1GczNoorpBKpzXyQ8J3xLIdqSdor9AgBQacKIfYAbMmtqElXN3db5su2-VrX-TlBXrdeairiboZouw4GSuem5KqW2N_8zZmG47ZAYxAemNekoseKGGBbX8=w1200</t>
  </si>
  <si>
    <t>4927</t>
  </si>
  <si>
    <t>Casa en Conjunto residencial La Morada</t>
  </si>
  <si>
    <t>La Morada</t>
  </si>
  <si>
    <t>https://photos.google.com/share/AF1QipMxRbLn18ARCuKLHzsTNYH20pWqQ-JZ5ZSRfGmc68JP3QNRSEWBl_5TARakThrRpQ?key=aUVGRnlVdUNLNHB4ZVVGaTZYM084MmdTcEhjWXZB</t>
  </si>
  <si>
    <t>La propiedad cuenta con un área de 111,92 m² y una distribución funcional y contemporánea. En el acceso dispone de pasos en concreto, jardín con grama natural y parqueadero con grama natural y huellas en concreto. En el primer nivel se encuentra área para estudio, baño social, escalera metálica flotada con pasos en madera, cocina abierta hacia el comedor con barra auxiliar, zona de ropas independiente y sala comedor con salida directa al patio, el cual cuenta con grama natural. En el segundo nivel se ubica la alcoba principal con vestier y baño privado, dos alcobas auxiliares con clóset y balcón, baño auxiliar de alcobas y espacio para mueble en el hall de alcobas, brindando comodidad y privacidad para toda la familia.</t>
  </si>
  <si>
    <t>Hermosa casa de dos pisos para estrenar en el Conjunto Residencial La Morada, ubicado en el oriente de Neiva, una zona residencial moderna, segura y de alta valorización, ideal para familias que buscan comodidad, diseño y calidad de vida. La casa se entrega con cortinas blackout con velo, un valor agregado que complementa los acabados y la funcionalidad del inmueble. El conjunto residencial ofrece completas zonas comunes, entre las que se destacan portería, oficina de administración, cuarto de basuras, parqueaderos para visitantes, terraza BBQ, salón social, planta eléctrica de emergencia para zonas comunes, piscina, cancha polideportiva, parque infantil y máquinas biosaludables, garantizando bienestar y entretenimiento.</t>
  </si>
  <si>
    <t>https://lh3.googleusercontent.com/pw/AP1GczP80b4EdOAldTZkBu4D4oUaMQYcdlnRP0encoWbMqt9SB-azMp0B5uov0gbuzSxSDv94cQrNsta_d7qgKEql5tzrK4OJY4Pj0bEtAMIm1fgDP90uzf8=w1200|https://lh3.googleusercontent.com/pw/AP1GczPoD-hGFQO_55f6t_nN9bF4czH3-buCZlEE21HPsbQj4WkM-fx8hrIHOaeFH1ekMWvjK5dR80jy7ZfV0F3--oJEi4LofJ928TvknaWHrHeBV9LbGL6c=w1200|https://lh3.googleusercontent.com/pw/AP1GczMCTC7s0I4yzbt5g1OAHl_sE6sRcJIGTOH_BNk4hEoBQbJUMduhWt_LmzOWFV0ueXqt2ZY_HlMaM3lee9OcUwt-F82QrL5ihn6gbpsO-HqTakmnsN19=w1200|https://lh3.googleusercontent.com/pw/AP1GczNDz1J57t6bqnXfs5Ba-Yw023WLAe1KOKhjSN8BPexm3feFpORPz2baJ2dOFOF8Daw5QIdbGs7FF8XihBSoMVKmWr2rGw_1g4zMX1yikFZGYT8lJC89=w1200|https://lh3.googleusercontent.com/pw/AP1GczO6VXeyv_Tn42V2Vijk42C2-vjWJHuKpbnEK1fIZnZDUYgNDQ94M_f6TNDUMDKqev4Nnsv9-YT1L3VDAnPTG5sfbYhb8JwtinkQMLR4fH9GRYbNmw-7=w1200|https://lh3.googleusercontent.com/pw/AP1GczMpzhkTGm8Bfqhyn0bhXN94371vcBYAQ2HEnc2-I7vrgkLT-E7LMSOi6Vf_am47AHhqO2Wr9UpKb_5-x-DZzEUcNKbRUuM6jH0sGfpgAf3N8BbFBsT6=w1200|https://lh3.googleusercontent.com/pw/AP1GczMwsaOvZBCnx7qX8tFaNUqVFR5oYR7lC2z63mtP0iTqbPz2hA9dzk30TO0cBaDV5uZP9cfmGneWztjniN2Po0PaR9xanEAFXU2qg8WY9Aw5GCocyD5f=w1200|https://lh3.googleusercontent.com/pw/AP1GczN_YBhPcqkIjRz1RE2a5HkTYO8uZjpn5jUJmYJ77dYag68rBZCL3ZIT0GqggVytQRyQOSe2SZmlXM1jACV7wJ1exiKhCQ6a3N5NkzIY-oYhoOZRLoVA=w1200|https://lh3.googleusercontent.com/pw/AP1GczM_m87EQxkbWTc2MLXikZJq1HYQjip-H9hHJaFSnwMXGz-uNzq6ZUZ1dH71xrZbE-EZeQcQQUHMk_1X5pTtDN84BqueLBGAZHZ87G6Dn9jqfQ2hOHD_=w1200|https://lh3.googleusercontent.com/pw/AP1GczOND7LVV-5CwQqqQ4AMDmYSbW6iGjoHTEWo2_SJp69_rLjC0aDomlhOdCkR627ZBHLZP78U2JG805zJGVKXCcLrR8DKTCF4ubRhCrrtW8EMwBIbv8ck=w1200|https://lh3.googleusercontent.com/pw/AP1GczOgC8u6LCrutI0pVYYm14n8NFAAg9YwwowCqxlSvBIEX_Rbv97bHociAelh549ccbu1ej11mNNjBtKuUPpjv74P-mPlzFsvkUUUudBFhyE0HxGw8Kep=w1200|https://lh3.googleusercontent.com/pw/AP1GczNirGPkfoZQBEkwTbtA50uWrcl8d2TUld7cZwXVPQTAMAXXYZIDNhELP4XAy-kZNicuNzM6mO2bwcng1SQPk097EfTokqPWeZcVoIFPNmfbIR4qCI3x=w1200|https://lh3.googleusercontent.com/pw/AP1GczPJW7LBnhqi_Unr4KqRKVPL6flCsbhlle6Z4H8Yiic0ciFMIsVcDPMmypW-RzpNAx0_TS6M7zIah52FMk7eJrO-cC2xNYWSgDc65zq4doejFN_xJjiq=w1200|https://lh3.googleusercontent.com/pw/AP1GczNaWoa-CkoKu_d6_OlR5HIBn3GA32aSYuEWoXrBF9b_oA0HfygRrDesH2EXGbM5GwTcJAObKHBhgyB322HM-KA7aCPhc8FCsgEp0IIlx9YIy1hTKSyV=w1200|https://lh3.googleusercontent.com/pw/AP1GczOr0ocd3FhqVv5OQYNMn1EOHT7jTn8DBEohDExmsboL04wLJ5Xjkwlmwtfa_PBIg9O8f-vOKPQQaXbjLsuxM2UwYGAg25WBwpTYGo-LKWcztv-zxqEJ=w1200|https://lh3.googleusercontent.com/pw/AP1GczN66G-73c2-c3b8UWfmchYzcw02fB_Ud2Zsod5JcIux0QhPYLO8JrACXtvki2G53voOoWWWDFBgV14S7aLu0hqTcHwLT5zhDBb6NLki5C8RBqHCg5GQ=w1200</t>
  </si>
  <si>
    <t>5123</t>
  </si>
  <si>
    <t>Casa en urbanización Los Dujos - Norte</t>
  </si>
  <si>
    <t>Los Dujos</t>
  </si>
  <si>
    <t>https://photos.app.goo.gl/4yHeBhknKmxi1qJL9</t>
  </si>
  <si>
    <t>El diseño interior de la propiedad destaca de inmediato por sus pisos en retal de mármol pulido con juntas vaciadas, una técnica tradicional altamente valorada por su gran resistencia, frescura térmica y facilidad de mantenimiento, la cual se extiende de manera uniforme por toda la primera planta. En este primer nivel, la vivienda cuenta con un garaje privado para un vehículo, una amplia sala-comedor ideal para compartir en familia iluminada por modernas lámparas colgantes de diseño cúbico, y una cocina semiintegral funcional de concepto abierto con barra tipo americana en un vibrante tono verde manzana que aporta dinamismo al espacio. Hacia la parte posterior se abre paso un patio techado excepcionalmente amplio, enchapado con paredes de ladrillo a la vista y equipado con una zona de lavandería independiente con lavadero tradicional, ideal para las tareas del hogar con total privacidad.</t>
  </si>
  <si>
    <t>Esta hermosa casa de dos pisos, con un área de lote de $84\text{ m}^2$ y unos generosos $152\text{ m}^2$ construidos, se encuentra estratégicamente ubicada en un sector residencial, seguro y muy tranquilo de la zona Norte de Neiva. Su ubicación es privilegiada para quienes buscan conectividad y comodidad, situándose a solo dos cuadras de la avenida principal, a escasos 5 minutos del centro de la ciudad y con múltiples alternativas de acceso vehicular.</t>
  </si>
  <si>
    <t>https://lh3.googleusercontent.com/pw/AP1GczNIa2GjfbwglLclPsoQxl7HuSWXGbzGn3ryoJFSAogmKLFksExZBkXc-AHwi1ZuZ2v44IKiGi3U_BZJHlJ9ejjB8GaAGL3g9mvdOpUtoj7gS4ygAxia=w1200|https://lh3.googleusercontent.com/pw/AP1GczOoEogxDIbWZsxNgUjValhL5URh7KSCcDny7WxCijGJI8QbRDfKBYmxueQbot2r_5lkIJo8MPssBEm89gSlM_eHuFjBsDNz_umGtyejD4zsSnvIgIn0=w1200|https://lh3.googleusercontent.com/pw/AP1GczNAdxjwUEZTioggneRjzJ0L7udlMeTBU2fC0EWDHcPt6uDkdY0t35e7dXlERTbay62HWb9lVX5tcX_F0y5GQzlc0yueh_Kr0RBQP7sK2LqqESjzoD3y=w1200|https://lh3.googleusercontent.com/pw/AP1GczMSgzWIk6a847AuXyWUl8ugYbFxG5rft1SgJPPuO1mBveeN4F22rOOQZTUPSAoOcBq4esVkYqRCn_a0jHUrIMx_FYrUsRCUsDZp44NwroE6Qi4Pd2ss=w1200|https://lh3.googleusercontent.com/pw/AP1GczNyGemp0QTCo_X3sf-bjt4EUzxhJjoi4eLZrezvIub7q46rJcEBIzoF8MXXnoF02_NB7fz2OVtE6omWqKN56CHPFjv_74xFC35trpSbfz3gXrQdwsOr=w1200|https://lh3.googleusercontent.com/pw/AP1GczMzrkWW4Lonjg10ze9llOK5pdg_qDtjhbJSEDhprAnhQT0Ik5xwdKe4h-2p6G6HzY9ZveOoU81dFTVbSKG57OV2z_SaUpYfFYWV7ieRG1hkoZyCKzuw=w1200|https://lh3.googleusercontent.com/pw/AP1GczNsN7NE5N3Mr86enDzNNMN37F7pyDycM0usUEQSiWoxGnNJNpLY3-8LO7oQyDqCnBTMqfialFi2BW3RFvxFrQ4RRs1UAsA25Y7KxUfiwKj86DN0gvrF=w1200|https://lh3.googleusercontent.com/pw/AP1GczNAXbupbgih0Cr_V9OnjYZWZ1_Cjfrba9qmXZfDoZroathD40M3mR2du9vKf6N0IvUlu1fR0piJtOSje1a1L8AdMgGeu1cJucSukc1XLt0_e2Ms6B0S=w1200|https://lh3.googleusercontent.com/pw/AP1GczN2FFd8VLplydaHptvzQUrWRlbiV_pYVbWR5q4RswjMXcDl79MAB3U6md5uxtzbl4GYcmb7vZGwTNZe2ElBMhjcTAdTRN3_IjAP0HErLEo9AAF_HJ9a=w1200|https://lh3.googleusercontent.com/pw/AP1GczNyCpUXPQAZBPBxuvswMR2SAGN3SaJl_d6exkDUNlTy65z_Y1NYuHReZbp3BG3Q2jGLaNN1wQICY-kSGwxIcDyOUKFNa7ZOth52UiL3o4rEq4ULzUCU=w1200|https://lh3.googleusercontent.com/pw/AP1GczME4FxrT8Rrwls-yI60gHaHjzJHWcxXZWzFl08MTwG1rYVMHUA-oMfuPYJQt4qb853P1vIgVv-5nxbDQ6PllNYWe1zmxYwYC6a6_6rHPvZVZGuxuBSU=w1200|https://lh3.googleusercontent.com/pw/AP1GczPe0ELdXYHu7Q6qifvq88rztzz_jbIg0Gd4FjtLit9pe4yDHq0g4aqINnt7d1jLbdLN56kl_BiTjFszIwPmEaIlDiWoNuaCFoDjD9KOFdlT-IH8Qe4q=w1200|https://lh3.googleusercontent.com/pw/AP1GczO-_hto1ClsYfL7XeLakJeA4G_CwXsMgLdJ1KsbZCGgJxPJXV5Kzc-vm02GE6ptF5dIGpprLhyLaZRe6XmVG0UHoTDJL9EQmVxaHlILil9og_6XvjKP=w1200</t>
  </si>
  <si>
    <t>5058</t>
  </si>
  <si>
    <t>Casa en barrio La Arboleda</t>
  </si>
  <si>
    <t>La Arboleda</t>
  </si>
  <si>
    <t>https://photos.app.goo.gl/F3guTcvx6pwEsaAt8</t>
  </si>
  <si>
    <t>Casa de tres pisos en el barrio la arboleda oriente de Neiva. Consta de: en el primer piso: garaje carro, sala, comedor, zona tv, cocina integral, baño social. Segundo piso: sala, baño social, habitación principal con baño privado, aire acondicionado y balcón, 2 habitaciones auxiliares con closet. Tercer piso: terraza con balcón amplio, zona bbq, área de lavandería, baño social y habitación auxiliar.</t>
  </si>
  <si>
    <t>27 - Valentina Renza, 15 - SINDY MARCELA, 41 - NORMA MEDINA</t>
  </si>
  <si>
    <t>https://lh3.googleusercontent.com/pw/AP1GczPagTndixkhiUB5l4HNitF2EpwT57ew4nFOczp5bDY3JLxrnRK6Gv3ve6oCuYyKe8mPUDzfXS6n-lGm4hsOlvymmyuk83ld8wiYq5RYBp6RC0hXcu4B=w1200|https://lh3.googleusercontent.com/pw/AP1GczOswhtz9UxFcKgIQfSKdtvCsJzPFU2Jcco6tcKdilkiDD1FE_18JjJ3UD5RZjnVFryJvlbikhdfbGN0xfPMcHjcvRz6sgP4UeLSddQyO9bXRLTELgdx=w1200|https://lh3.googleusercontent.com/pw/AP1GczNCNVcg4j9VUSeSGYDKWlzQfZBI67fZxHm5vIjY03EuJJEj3iIGEaSgkySUSeQzFiQpSlsCVtcxviwfXJOfZ6sdmpGqgkAeurCQl6QbUsUsODdW2Mwu=w1200|https://lh3.googleusercontent.com/pw/AP1GczM_G8107loPAD5BHtjCvciG5kNcw6k_D4ChGe1CaWXu49u8tPYnXV4veeWNk-JGnUK8FCs5Ghnxk1-qA3gTOCQnWUcKaldE35WkmqOGRkiKTtMO8m_1=w1200|https://lh3.googleusercontent.com/pw/AP1GczOEf-6f31j03D-DofeTyKn-8_qi7OLF0bdcecqUfaJehrYZyW3OsIdmJwas3BMRTi357f1lhStGvdy4-NtUu-7vyDRGSVy634cBv1tM3tJl8lro-wu2=w1200|https://lh3.googleusercontent.com/pw/AP1GczMs5wfqK4TIafrObaj46nh3YN5Q27xEr1lvWbVzWx7c8EMczM8drhZk8AuiCJZD7Oeg1RyQ5GiY0FLs1pkaR-yArWqZWZ6c7T6XYcv4ConbtjKFiu1h=w1200|https://lh3.googleusercontent.com/pw/AP1GczMnjDXlxyMMu5Ou4BliijWtUvtlNqPxXJwj3kaiVlJhA-DiaPU44X_KDht0365lfxL1U2dOKj9a6AkgK7p1ep052_Ib24YRrfvAtPGqlXhh0MxaG8xj=w1200|https://lh3.googleusercontent.com/pw/AP1GczO4055MRpb8wGlwkbLCCwMMXVudUQM6JD0Ypk3Js27AGhpwehZujQeWEXVdC-BwVorMx-eyXGmjWpRCBWdI_HBdHwoftmaHzMJhNKz-g0KGqzHa-B7k=w1200|https://lh3.googleusercontent.com/pw/AP1GczN3zEz7R4SANov69R2Wny-C_2wrQQi-MXCuhoIqU776u-tP06Oq1C3ISNvEzdy0VTCWHiHhfc41C0SsgYJ1ZvO_26GuSTay1TMLrdAgEHBjvIiHjDOp=w1200|https://lh3.googleusercontent.com/pw/AP1GczNc6zdhPQb6k1kjLNKv4YTiG3x3bcozbAs2e4oZkPHFc_MmDt6QPRq73D0dCaWW0p7A5uZpGbNi7YWuZxenjZXiE5y7rSFZwZwDcbsMxIE5uPNQXPAc=w1200|https://lh3.googleusercontent.com/pw/AP1GczNN5LmsycqecwoHZDDwexMfIHY9iucO7ATab5D6TXUiH2Jct7zJO5VWbh0DHPcWzWGnPDyZ-tnXnmrEGqgiKFUYIwu9rtKma7yWJO0GZMcG976oP1J8=w1200|https://lh3.googleusercontent.com/pw/AP1GczOK99Us_QyhUBWayQo6gtOBH-Dwfxm-ccXxA0SNgcvm_WfaHXgIt8SydzA09muI43rwYqgWFCrhwSBzPdMJ6N24J5MkzNuQBdYrOEkBFMS_bK4Sdwrn=w1200|https://lh3.googleusercontent.com/pw/AP1GczNxFRfhWTUtevs4tUQdZiQWjw0L7H_ud5-8PVa9BO-9-IYSpZxtJNffKdwi9WsZuSaT-jmT0J_-eu8CpilZL7MjZtSOsRXAYEArIhS9Y4g6iC8ylDY9=w1200|https://lh3.googleusercontent.com/pw/AP1GczPQreE5xepYe-EFgQMdo7mLoNRZ6gz7SSdafGVbqT_ZHkldzhim8JODXqz7j8CGTjksBhDcS_pEdnkiyjvhiGrXn1SnwF1Lqex2X5ag3a_2W4aKKmvZ=w1200|https://lh3.googleusercontent.com/pw/AP1GczOZrjjV2HV4udKA46M3Y73_wv5f9N2T2KR2AtDnhfPNcBukW0ykSZLPU1ZWQ341ufpjzzzGmqCDyHINGymFQgCoC_PDcZgNPEkPUxDGfUVSIS3PKp6D=w1200</t>
  </si>
  <si>
    <t>4613</t>
  </si>
  <si>
    <t>Casa con Local en barrio Timanco - Sur</t>
  </si>
  <si>
    <t>https://photos.app.goo.gl/j1UXrnCDoK6W4u4aA</t>
  </si>
  <si>
    <t>Distribución. Primer piso, el inmueble cuenta con un amplio antejardín, local comercial independiente con cocina, baño, zona de lavandería y cuarto de san alejo, además de garaje con su propia zona de lavandería, lo que la convierte en una propiedad ideal para vivienda y negocio. El segundo piso dispone de balcón amplio, sala comedor, habitación principal con clóset y baño privado, dos habitaciones auxiliares con clóset, cocina semi integral, baño social y zona de lavandería. Cuenta con buenos acabados.</t>
  </si>
  <si>
    <t>Casa esquinera de dos pisos ubicada en el barrio Timanco, al sur de Neiva, en una excelente ubicación, a solo tres cuadras de Olímpica, Ara y Dolarcity, en un sector de alto flujo y valorización.  Gracias a su ubicación esquinera, distribución y local comercial, esta propiedad ofrece una excelente oportunidad de inversión y generación de ingresos.</t>
  </si>
  <si>
    <t>https://lh3.googleusercontent.com/pw/AP1GczMmTO5qhu32tlEzQRED2HmhGmCnYcXr3D69B5_eWS-mSnFHmNoxXVic_30mABFSswcHmKX6yDFKqnxxeI2NKkwJ0IMZMQ1zm49ttCYrBvYTZSW-91Bv=w1200|https://lh3.googleusercontent.com/pw/AP1GczPet1ixejPF_XBl4JxJ7Iu9Qz5VaLNUTUtUt6sYHxW7TzA3DLh-6RkyM7Cjf1SvPLJmY5z6j8fjZD6C25jqWmS18DrztvAiZn8eZyiHyu5bNFe-oBey=w1200|https://lh3.googleusercontent.com/pw/AP1GczMuQNRsj2oBd-8zFyFmugInjeLAqSCQCcR36gkh16zrXSym8ETcuJY169MNN126HzVWa6-mdbpoL2A26hTzM03rya6KwdGjqztkIlbiBsTMlcXacx7n=w1200|https://lh3.googleusercontent.com/pw/AP1GczOu73Gv159sgVL3fLG4DysT0lqJYLdxw4k_iJRAGzqxR1muOe3qYq6LTqyJTqc2Al7jxF2U289ZK3EPM1SvJRreYiQtxeHJQOpJJRQEz_LLM7urd2oz=w1200|https://lh3.googleusercontent.com/pw/AP1GczNaHVTQxAdkoO3s1UQwBQ1xG9rDgQnDxJ7FabBulVi2Q4Olp1kAbr4ly6qBL6ZklUY8Xo_MB5MVTlyGRMxiok9MedLuh_eYRfHGzRVZ4cOdiDC8bVZg=w1200|https://lh3.googleusercontent.com/pw/AP1GczOU_sNVeZ3ahTJNtwcFw9osUZf3LUFKsxCdJavJL93CViXm3IiDa4islerPf_0MfFWVar8Iff_BvjnPIfghzdSCYRLTv6QNUMwuGr6jYPy5uCWR9xL4=w1200|https://lh3.googleusercontent.com/pw/AP1GczMasPB9y07nVD9gATkoT3k9Urhs4b2ogHiFHo0uYJSdON4ctrXKccXozx7IeN0ngGttHu-HdFk2pqqtgfAFnc-K4U9pxfTrE8yAjVXioavu3EnKLHTM=w1200|https://lh3.googleusercontent.com/pw/AP1GczO_i6ygaED1-Kj50Su6EvO9dj5L11mLpPVEFmIpg1y9p21lqJXJhltljDWGCaT8imedcyBhO5XACa7RH6kfTakF-8fqXRR03CEQpx88wyRFMOflrPGA=w1200|https://lh3.googleusercontent.com/pw/AP1GczNO-UUPvLexh2cl50mlWMZ1i7q5s1_NObZva3YJKnZ95L1CQzz8nD8tOKeJWu29hSwvWdvg_YR-j1SJRPHEECo3eWss5BiTGQ40gWzrWXjtynx4nNDJ=w1200|https://lh3.googleusercontent.com/pw/AP1GczPtFkMU6kWRWu0zVuewFBQaPwmw1DhYkfQzu4isZZ7c69ni7hWvF5WRnVB90soDhxjnniAKzHZUE9lEGfJ2BJNY7m953FE3AdmQFvoI7NXbT7GgNCgV=w1200|https://lh3.googleusercontent.com/pw/AP1GczMJX9lt8EVcE9iNrXwP0rZuvHgcUmo1wSvvhs4IIUDS6hNyq0eajEdTetHz_RnPMxo9rDoKbqFRH8MhaQkP85nOdOfgPbZ3r9ZgEVlybxObeJKC7Tmc=w1200|https://lh3.googleusercontent.com/pw/AP1GczPyfEGDURAkW4Fs9nkbVXRzi3aKD1vhZv590QPCnfBMbroNqUHCXCVud4OZrCJiw1AN67KIWVWzXivZ5Z39a2g6QKs5cRZv_cvXfZ1uPfTomp3Ax0ST=w1200|https://lh3.googleusercontent.com/pw/AP1GczMWt3IVZrmO3wmx_S93d6G1iK2WZ7a-7RT0yKTBCMU6R_nQxg60cAOGFaMGAxhgYGo90dFmSdaN6pr-nPa92PBhKj_cV6RJM58KpRA9dYjDW8r6SNiq=w1200|https://lh3.googleusercontent.com/pw/AP1GczPjlsUsO6zQaDLmKU6Y2i3VnwKfQRdlJ8_8Ii-bzX5lZjJS_jRYReAtgBtuA88FUWcTl6klNxRX1x48fz_kJV_eAg8Cgn0cuRdfMp7eCQeOBSylcNS8=w1200|https://lh3.googleusercontent.com/pw/AP1GczMnYvfVBxELFX1fzk4TOHVaET1uXsJRptRRcZcUJbArXCp-EiZW27Ud22N9ECjNmS5Czb3ZU-MaxI5QBONuBmoEnqRe4S6wzvUnKcAGqirmn9a7O-I7=w1200|https://lh3.googleusercontent.com/pw/AP1GczP7EriR4A0DDr-EKfXHvYU6aT30fkq25dRVvo3rZ_nOF5OLo97ZArJpr2XMLoz8M27vBLyaETA6NX86wTJVBy3pMsnli6O-_Wf4ZSv9326XeYxhIxhA=w1200|https://lh3.googleusercontent.com/pw/AP1GczNgCFzdBEBk0r7fsYg_iv_L5C4_CFGQAAmhcm-C8aui16Faquyb7C7UXIhjTE-GcygtIOf8vIOuj8BvqpukSTWBa_IQLLGvSmbvt-EZ6CeQ_yA-SB4z=w1200|https://lh3.googleusercontent.com/pw/AP1GczMbd94OWsfk-g1FVFoZG0AeTvQ0QrOdfME5EYtTtXaOTsHkSq_27rI86IQBSguB9xCf7VlXn7IQqs2qhCyj9J6_EYbsYVFVm06C21qlcxSDJsrMmTRH=w1200</t>
  </si>
  <si>
    <t>5933</t>
  </si>
  <si>
    <t>Apartamento en conjunto Residencial Terravento - Sur</t>
  </si>
  <si>
    <t>Conjunto Residencial Terravento</t>
  </si>
  <si>
    <t>https://photos.app.goo.gl/8HWZomEcScsEKEnn6</t>
  </si>
  <si>
    <t>Este cómodo apartamento de estrato 3, ubicado en el tercer piso en el sur de Neiva, cuenta con un área privada de 88.39 m² y modernos acabados.  Ofrece una amplia sala-comedor con pisos de porcelanato brillante, ventilador de techo y una llamativa pared decorativa en tono naranja, conectada a un agradable balcón. Dispone de cocina integral equipada con encimeras de granito oscuro y gabinetes en contraste blanco y gris (zona de lavandería independiente, estudio, baño social y un área privada con 3 habitaciones —la principal con baño privado y aire acondicionado— y dos habitaciones auxiliares, además de incluir dos parqueaderos privados.</t>
  </si>
  <si>
    <t>Ubicado en un entorno muy tranquilo, seguro y de fácil acceso, este inmueble destaca como una oportunidad de compra inmediata gracias a su excelente iluminación y ventilación natural. El confort térmico en la alcoba principal, la total independencia en el área de ropas y la enorme ventaja de contar con dos estacionamientos propios garantizan una comodidad superior. Con acabados estéticos impecables y espacios listos para habitar, este apartamento es la elección definitiva para familias modernas que buscan bienestar, exclusividad y una inversión totalmente inteligente.</t>
  </si>
  <si>
    <t>https://lh3.googleusercontent.com/pw/AP1GczOKDnjhNLSD-7JukCWTqC72RSqktmkP1Ju5eMc0qVvbXzGKa2ftJNdptvO5m_IOK8JSFBdguoNzeYyJmu0nlXUmQ_iVkS20i369QWjFnnqwTKjBRzqI=w1200|https://lh3.googleusercontent.com/pw/AP1GczM9DjIgZ04pS3-Yx_1v17fdA4FouYT1-yiGbMlgtsukJGZwxSjPpXzddVBPHXp6M2b9v_0GQaRlhDEx-xuu2bwWopTwcS7YPlac4jVLHnJj2Gklj8kx=w1200|https://lh3.googleusercontent.com/pw/AP1GczNQWxK5yy3bzxh2u_lUXyXVDRqDZ1k7ruN0nUK1Zz88-pNRZnYP4929-KLWU7uQob3iau9aap2Jb5AlE4zgB-V34jY98CBEqE8GQjyz7uWbAK0j8Pbx=w1200|https://lh3.googleusercontent.com/pw/AP1GczMqbaaSq-VD0-dNwEMFqJhmTPSihsLnocD6CT37DdHNhl8vLtL5inUtUlSV1YhjhgmVjInayfdTmgUHYxH6-mkpHYTxfNf6IXg4fQ0R5c-eUpDLDVl_=w1200|https://lh3.googleusercontent.com/pw/AP1GczORgANCH16yTrr95N9gG9zAqD74OTzNAAKTLIKxyU8ElALwA_KGEgA_n2tbnywX8InQ0LGCzNy72MRIgLIZxUkDx5Vh4KpGmdN754s5IJBOIRlB_trn=w1200|https://lh3.googleusercontent.com/pw/AP1GczOD2_DjOfQzIWp1Cj6rpCOdrJJMxKOIn4l-LL2dC7CBHveVIgY9lr7acLYnDBDDfDK25RVK5uMQpgeFKwlfHg3ogY1JBMI4p6PuSY4N06OnGaUh1jF3=w1200|https://lh3.googleusercontent.com/pw/AP1GczMbywi0M8nErRZ_ZCmN8wIwfCVItP_cIynC2v_oX9ohvCBOnOV7PFEv2q1wZqi0ahAJ4BGpHQDC4luk52MV85GqXwFxYqqeE-applw4AvS4t4M6XbAe=w1200|https://lh3.googleusercontent.com/pw/AP1GczPmZFMhu0J57H4My9bGni-xPi9oVgySTlOXc5jRokMjqxKUVQxuh_-aWt1rviw2nV6AuPw2lRyD8g3M-cn7vGAtrsDr-y7oA8oAnv0yJ7ely7Tss8Cn=w1200|https://lh3.googleusercontent.com/pw/AP1GczOEkoJyLq4GR4KaroY-CcjRPHgoyKyn70-hTuHk_NfXIWZoMsz61oGiscyQ_EqqsN-MENeYGO6j0bcpzehhRQ33iE3cN_OJ5Xlc1rcBEWh_0nYTFd5G=w1200|https://lh3.googleusercontent.com/pw/AP1GczOeC76-EBDWAF_CFire2LNDGxekcbDGEwhgm5zu2C-JMBKHEHK8xyzTDEjo13pPwhPIH8sgK-fzIS93RT5M87Hw3PtXC0xXsm-SpW1QNgtvsf-xmokf=w1200|https://lh3.googleusercontent.com/pw/AP1GczNO7oLkJXuQ4HE8SvOC_sSQJ17DH2quE7OMg4_5DMjfd987mpurKC3mfMYtv73SG1DV4pYURxkmf1vro6tzw6tiZce9nkenlgCup8N45VT1oXinEg8p=w1200|https://lh3.googleusercontent.com/pw/AP1GczMZo-lv4wSTYANU9WUzmAoAc3sgGkuczlIpvrx0Sm8Qu8-KDkRE0IbUPDPX6796ofJbbt09ph5Z1c5SqWkoKzrcabki9K69to0dexnipSBuxGUXeC0C=w1200|https://lh3.googleusercontent.com/pw/AP1GczPClaKGwq7P2lWiR8bOkiaHlVz8HC_oHEFCbh3nEIxgZAPcpU2i8ojDbW8EjMFJG39QW_Co4CqH5tx_ghqqHfAhNrtJhEELGkKjAyuYBGuI2Zdlfu7H=w1200|https://lh3.googleusercontent.com/pw/AP1GczP8yNCCv19Z9aJFZXdDNVPB5gc4WE3AtNaGK2atXjm50msgub3rRzlobUDL3uHoAyJCD-v88Vxb3tf1h6_t7nd9nmUug0l5fKeYDHnYW_4WcttSBYLN=w1200|https://lh3.googleusercontent.com/pw/AP1GczPWx8IhT6TA2yjfAJ2e4iKhMcXMBfCDKwBntDIpgYuog0zfGchU0ZphQbKym7XSfvt87tghwtGrRdl6smr9v2xF3ZQ2CXbdZvyvpCcuCepmvu8m8V_t=w1200|https://lh3.googleusercontent.com/pw/AP1GczMwN-BrjsaYojDqC9d7aL9mhL7Yl1ToqB1YSSQasSsYepvh-u7IiSvTDLelrSTWGdagxUY9lf_G_g1PQ_eeYP9rgiDeEjGV8kY7DoS0W-whF-IK7YXM=w1200|https://lh3.googleusercontent.com/pw/AP1GczN6Eas7ff5j92fdu7JahIoZynBiIqZ5_3F1uI83dp8v78sFsNBLlXURZLLibCIce4FcYwzA06xJbpwo1nDPml_uIgylMORX-2yCt8Ym53I7-X4wYGpL=w1200</t>
  </si>
  <si>
    <t>4948</t>
  </si>
  <si>
    <t>Casa en Conjunto Residencial Payande</t>
  </si>
  <si>
    <t>Payande</t>
  </si>
  <si>
    <t>https://photos.app.goo.gl/7L8bNbq7scFyE3rS8</t>
  </si>
  <si>
    <t>Hermosa casa de dos pisos en el conjunto residencial payande sur de Neiva, excelente sector, cerca de Unicentro, ara, dollarcity, olímpica. Consta de: amplio antejardín para parqueadero carro y moto, sala comedor, tres habitaciones con closet, tres baños, cocina integral, zona de lavandería, patio de ropas.</t>
  </si>
  <si>
    <t>Casa bien ubicada</t>
  </si>
  <si>
    <t>https://lh3.googleusercontent.com/pw/AP1GczNUrShaBl2Ao6KLBv5tep34BfJ7CrHe-0ySIiMK97jlzTggxlLOiYqwCWeMxiuQ-dZIw06TYiFasCL2ZnGi_IxatKkP9pIni3XS8_4rEJJhzPFg5ga1=w1200|https://lh3.googleusercontent.com/pw/AP1GczNtOzdGhXw-LLgR82t4edtih9r7xxxp-k_kIzUS-BS4Go9xi3uzMKOWyy70TQ864RD7fPDfNj44oYzlJu5WZ3GUn-MSZb8PMpbg8sK1CTgC1yr-VN1y=w1200|https://lh3.googleusercontent.com/pw/AP1GczPurnaLJwUyaRvUPDDropLqedTLeWbWzMXAxfULlgX2gfeyHdMv-7NAw39is1b-UwdkGeR3THsBeTEwQQizsOhMZ-QdE_A_L8-QJvrtoIlOgA-sUeIE=w1200|https://lh3.googleusercontent.com/pw/AP1GczP-593E5KkMU6Bw6uv2vSOVOhlPV7fXl-s_DrwmD3YuK7aOmgjgamAcxl0KrhtXzJM7hdRGhK-uWd1hztRCL7qTUjMydA3M-hQ9ffBT8ReJejNxZr_2=w1200|https://lh3.googleusercontent.com/pw/AP1GczOU2i_DYRTn6wgzMxkEW8DNVGUEuOX99BvyaVn5HaRL9AE5ZkdvGa8pCZ0ASi22wJ-6LH31HcQG-UbbTZfdMCx1XVOkk_XF90rCQLAgmodLoulqqE6g=w1200|https://lh3.googleusercontent.com/pw/AP1GczOMQ9wgTXF4OLGPA7uQaZpNOdYSvsrOSKnz3AW4j3gsyG0ELS5IWOeXHknkNo3RrISbiFbq3dLvRIfF-0PH3BmOS-YY92HRKs8MMJnVuN9hrjaQK0Aa=w1200|https://lh3.googleusercontent.com/pw/AP1GczNdBEzBrlN9vbUx-XkFTTqopb5FtBnSKf_lLVxL5tz-aX0ED9PkP_E68O4AoQRUccJyZuD3XjMn5guAVCNf3ycSx4TRew_Kh9f8J52cMsIot3WzuRe3=w1200|https://lh3.googleusercontent.com/pw/AP1GczMyRI3ArDLWCy4sdrDnPLsKhgwVP_ScGYCSkTyK1yu4y0ARBZwHLQbjNR2hCLC5_U3Tw-uyjFPx6gxUP9w2L1g6_VxgQXY9YTuInqlc9yb3th0fDr7I=w1200|https://lh3.googleusercontent.com/pw/AP1GczP5LltCBIaW5qFx56oiP2D7kuNScKkniDnZiF-faS7ZE_Sc4ZR2DRfWpEeHCtSYCmdD5N7io7IwvweUZj1wilfWLamhiemmaHWAJqJNoE35cJfgIfM4=w1200|https://lh3.googleusercontent.com/pw/AP1GczOp7qxXgGw1BVY4g35uKWEiuVzHrb9qC-LRH0PIXTZE_MePK_WgoYmprETwyzCzGYm-8FGqrlaoN7yaySIdyIHwZJHKiN0HgA4T-rEIbWUHsWRDFEDH=w1200|https://lh3.googleusercontent.com/pw/AP1GczNw3MBI-ndBDyP1HtWMSu0NxzjQYdRY0iGJ_h92_uhoAZdLmfHsHeR9FYcTEMeNu9gmL7H4loq0rn_F490COy1oFEth9Rpna4hE84wRuoPqOqrSYZSp=w1200|https://lh3.googleusercontent.com/pw/AP1GczOWwlXW33UjKKRjUfO8zgYRNFRlFpOlT5d5iepRKy3QhwhRvu-PLHzv0AksqRPQMky7XUjxOkk9BbKtVtebkaPRPxk0ovxi4xVBgk3GTPbgcJvdmtuu=w1200|https://lh3.googleusercontent.com/pw/AP1GczMgU_7sSP6doA--RyPQwmvjmilCDDsBCBzQXsBpjgYQjbArYu8_fAKWtDFeaRydb-3R5RUyC4Gs1MiuXXJQ5rvKlGdseNdC9OtMR1F4TahY2PoDlf5P=w1200|https://lh3.googleusercontent.com/pw/AP1GczNGxxRVQvrt_C1s5M_-8DftH0wdQBKSWCgh_sf9eBbqpltHX4ZTBBCroaJZvxXapVv56IY148Ibkqwmo9sZYcEewkGXCapdh_dPW30P6dRuDAEZbH1J=w1200|https://lh3.googleusercontent.com/pw/AP1GczPoyXEMYPRWwOtJe-YRAQcVgQNTmyapxLoAO3S-OBD1UkSNlgDVu8k6C3WaGYQAdlO6FoCIT9h8DJllA3-h1YLVrfXTZqYC6GhW5rY0L6IcqTEw-q9q=w1200|https://lh3.googleusercontent.com/pw/AP1GczNLt-or9Z-r-dlI8ImIfY-fj8S0NK_dkuIAnGx9XODMjBKeQdWFgv7JzP7To4TYV4FzITQa6PEft5G1iAMEz9WYqeeCsbtYMzsHWSku2mScD_cPBsk4=w1200|https://lh3.googleusercontent.com/pw/AP1GczMTGLfi8VjPO4uVxheh6XgJUN2VrvZ7Q4diH7APxYfOtuTS4M5_9cnGSpfbdBCfu3b5-_d37d0-zAjjXgRXSaSKGqvdYFX6UNdDNxFX-B53oQ9onNOh=w1200|https://lh3.googleusercontent.com/pw/AP1GczPWlFL39VIr1L-3XuGGJQKqIh1YTxAjZbLK_iVjR6M3_sqTppkmnfkiofxMrvrVTbWXtNFzMfp6vmLx81uQ76S89w1Z42Cr-7Wx-ERvO8rV5kr5dDB7=w1200|https://lh3.googleusercontent.com/pw/AP1GczPoLixGcVHGJ4BcnsCsdKGLleb0UkRLeiJOkSUnOMxO8V1yLQTl50JhrfAtNQkGZmtdBoTEBOlfxqOUCl4cVOhbM31A5l4_J71c_aLvnjfl114SdNRY=w1200|https://lh3.googleusercontent.com/pw/AP1GczM8vhouxVVjzisRwwlLRI6PDZShWu7NR_eKtzfpY4jHR-LCAsnKkF71IjHEQWzDqomas51BEVibrnsSSpCWxF4tx6e9NqpYZqItjL-qVFpiO-Gfh5BT=w1200</t>
  </si>
  <si>
    <t>6008</t>
  </si>
  <si>
    <t>Apartamento en conjunto Condominio Residencial Bosques de Baviera - Sur</t>
  </si>
  <si>
    <t>Conjunto Condominio Residencial Bosques de Baviera</t>
  </si>
  <si>
    <t>https://photos.app.goo.gl/cbZJCZnFXtSCUa3B9</t>
  </si>
  <si>
    <t>Este moderno apartamento destaca por sus excelentes acabados y una distribución funcional pensada para la comodidad familiar. Al ingresar, se aprecia una iluminada área de sala-comedor revestida con pisos en porcelanato de alto brillo, muros estucados en blanco y una elegante pared decorativa con acabado texturizado tipo estuco veneciano, además de nichos empotrados en la pared. El inmueble cuenta con 3 habitaciones equipadas con armarios empotrados en madera clara, incluyendo la alcoba principal que dispone de baño privado y balcón propio, además de un baño social y una zona de lavandería independiente. La cocina integral está completamente equipada con un diseño contemporáneo en tonos blancos y gabinetes superiores en un vibrante color naranja, complementada con encimeras y salpicaderos en granito oscuro, estufa empotrada, horno, campana extractora y un filtro de agua integrado. Adicionalmente, la propiedad incluye un parqueadero privado cubierto y un depósito para almacenamiento extra.</t>
  </si>
  <si>
    <t>Esta propiedad representa una oportunidad de inversión excepcional gracias a sus atributos únicos que garantizan una alta calidad de vida y el deseo de compra inmediata. La presencia de dos balcones independientes —uno en el área social y otro exclusivo en la habitación principal— asegura una ventilación cruzada perfecta y una luminosidad natural inigualable durante todo el día. El diseño moderno de la cocina con toques de color vivos y el práctico filtro de agua añaden un valor funcional y estético superior, mientras que el parqueadero cubierto resguarda el vehículo del sol y la lluvia. Con espacios listos para habitar, acabados impecables y un depósito privado que soluciona cualquier necesidad de organización, este apartamento es la elección definitiva para quienes buscan exclusividad, confort y seguridad en un solo lugar.</t>
  </si>
  <si>
    <t>https://lh3.googleusercontent.com/pw/AP1GczMDegm3tsbHIObEvOYnOYDuwB__IOnybg9aKwXUL6OUwFgmFaqOtSp9z0pcf7D8CWxQL1RHltRTm1oSIEv0ii_lpf6aKwJ39yz_t3FqLkjWH0Ain_FU=w1200|https://lh3.googleusercontent.com/pw/AP1GczPKGaiuzmsDYWplLZqJiO4jD79s0Ez8wckaac-6A-K12o-6rH75gz8jPhP061syrBSuHCyRvMeaPwm9cuW1UZ8PSrQnf1ImmXntogv5OdBMixgZUe73=w1200|https://lh3.googleusercontent.com/pw/AP1GczPhVsM2A6iaExZrD2CNzggyKI8nfahu-Dq_dmoZJozzP_RsS_zeYW0guuSxgk-yR16yb4TfRhwamcV6oCB61bsD90GSLQPdHtk3LtgbPS3-udK8qQZl=w1200|https://lh3.googleusercontent.com/pw/AP1GczO1RM9CYIE8UFHbeBeNpCctXB4uoQeZKEYmMe6z30jx9tLV1xUbl0XSPv57K-MUegid9CVQRE0P1r1rWNTtmBRi-uNyaMxtcRTSAp9PFkXtrBiuvajp=w1200|https://lh3.googleusercontent.com/pw/AP1GczM6KHvFeHr7seF3GTlw6Bnp2wACRAiH04fZcw05fG6SYVhTsNc9748TjT2e2VI1AOxJPd_BaQlaJNnQsSsLZY9MWXJWyrzqETD-Rudo9HjdfPyIqI_f=w1200|https://lh3.googleusercontent.com/pw/AP1GczNP5yfgRj5YILEhGLn-mqDijTZ2JUKvwFrZDI2i3-VbSe57WLQNSmwd-V3-hQi_DAXfnt0NkXJ8vKiRgWpIchN_D68GaqtRROwwuY1sbCc5Dvnz61HT=w1200|https://lh3.googleusercontent.com/pw/AP1GczNJQKz0xWndaqK8SQ6J4xvmyEMhiZU9PWKm0FbOB_Fi_Uf3tBZ-RqBld3gU9K4KvL1uFQ1m5-3xpP7C6erq_nv52CizbZifBAhgLBatFbiUtCj3ZYtp=w1200|https://lh3.googleusercontent.com/pw/AP1GczPdg0UAbYVn_r-F1S2mD2NcXg4KoH1dFrDzK8HNY39VaLILb-dSkI5mklICjSk_JjkMUKI74BHOyapB1mF4VLxCLghzF-D_2TA80OALKaz2Ri2Jf4ro=w1200|https://lh3.googleusercontent.com/pw/AP1GczNXU7D-DAWgq_d0jfdFlkZEZjXq51_S6NjT1PdveFiqAoJKdvrrh70AehEnHyK-Chw8qtdRk-pibg0DWHeQzTbW2rKMxLVp-J95SBLBGPCniabN-N1n=w1200|https://lh3.googleusercontent.com/pw/AP1GczPrP1hbDtsRVpdjSfaWwVbbb3Bozig0kEnElwX2tXIzSf1gtXR10hHsurIg-wXNd5CX1FJnxbE2-PpLRdeQ0_JYGH1lI3hujLGVUhAmKATei0B6VE_8=w1200|https://lh3.googleusercontent.com/pw/AP1GczNUbNd1CgS2QZLwSgTAG2JI1_cAcgSNE6yx1zgub0Acx9JFm7pvLPLEfvuawFOyUCy3EK_YYGqAR_aEeWqE0AaUUQfAri6edXxdR0jVzsH8ilmY54AC=w1200|https://lh3.googleusercontent.com/pw/AP1GczMp9mhaAuSEerCfaucUsvIEa4MsG0GuQiawkTjsLzxRQyncR0FNA8nMgfyYiw0vHQ5xc1W5K6B5KCvLcWV-t_FS9UegsiJPloJW35Q3jMt1FTy0HpvW=w1200|https://lh3.googleusercontent.com/pw/AP1GczMGgxJKkp7ffX7k516nm7Z4dmcQ4NAAfWOC5SgrNWDQ5sYsvapuAjmBO4GYG4D-SzaWwPOyUWD5yp24fAWYRRPC4rNhaAENoVw7KjNN8N5jl0SR_j7s=w1200|https://lh3.googleusercontent.com/pw/AP1GczNNncrP9YRDJEW2YcAq5mqqDLujVV-Xy9tO3GkYFGWzxD3qzAVk90Cdypy_WcBvoggiqHba0VYxzPYVwdhjBMUDvEeASCW2ibIv6-NIOyvfRX6tmV3a=w1200|https://lh3.googleusercontent.com/pw/AP1GczNY8Do0rPqS8DHNDLNpqcXs9rnhK_u3jToAgKXz50BBGxJJ78MWGyL2_8kLuWIRBUd03njVqT-tQrQ0HedgdyAH7U9Js8egsfMFb6uT4wI6iiJ8_tmm=w1200|https://lh3.googleusercontent.com/pw/AP1GczPDJ4kCnLBkG-Me8IHEhY-_j6PRQWciF3AZd7VN_ITf_Z8URZQTKZd1nwYjdkpo6ks2gAGNXsstyl48Z7HtEnEH8i2wDbPKFsrpHX-FtBVbn3f_cwkb=w1200|https://lh3.googleusercontent.com/pw/AP1GczPFPBTi21hJu-7BLipSJU2bm2jkWWdZkrwq7ybEIm4WgTa2cegVlRTjLD0IoKHumft_IIizwkab4CbSwxSPma-KKA7ZbZbPN0T-DzlK5qJ_l02s7ghn=w1200</t>
  </si>
  <si>
    <t>4682</t>
  </si>
  <si>
    <t>Casa en barrio Alamos Norte - Norte</t>
  </si>
  <si>
    <t>https://photos.app.goo.gl/axDgxi9tthBSne2y9</t>
  </si>
  <si>
    <t>La propiedad cuenta con una distribución funcional que incluye parqueadero para carro, sala comedor, cocina semi integral, dos baños sociales, una habitación en el primer piso, tres habitaciones en el segundo piso y patio de ropas, ofreciendo espacios prácticos y bien aprovechados.</t>
  </si>
  <si>
    <t>Casa de dos pisos ubicada en el sector Álamos Norte, al norte de Neiva, más arriba de Homecenter, en una zona residencial de fácil acceso y excelente conectividad, ideal para familias que buscan comodidad y buena ubicación.</t>
  </si>
  <si>
    <t>https://lh3.googleusercontent.com/pw/AP1GczNVd5pXSLoKDC6jfZ5xVKE6lZH3BA9Ev3_xM7iTgUjZeynYkU5eESLtWKxArFBXDWpo0vbPxr9wSxl-oQPglPjKLqPbx2O_u-Tt31BbBrO-cORFesDx=w1200|https://lh3.googleusercontent.com/pw/AP1GczOEK9J5uwSfRprjXdeiOcBr7SGDlXorppLyJxYBNf3t4pVbzAJ3KLV25UzWn3-NMPwRFOls0CBj2sNK328BQwyXKCK0y2Ok-t4h_wp1gDYk9D2sv2rS=w1200|https://lh3.googleusercontent.com/pw/AP1GczMaVYBmfdtgDv4VvAWV77eXpECvNdrCdB1HG0YClflB1-IcGXjkuE6KTOcGyxKShAw3yk82IkfwdV2yVOnJ5xXoSV8D1bcNhLk0qKA3czFjzM5z9fdU=w1200|https://lh3.googleusercontent.com/pw/AP1GczM04ViGRT3sbzqb-acK7BGwlYHXvR4lsPs7TkqxulXwRVwsYfxBjD_T3Ig1E8OcsX00PHcE0y-454g19goguTL2POxQHcCbCy-td6X8UAWfpDUkwASh=w1200|https://lh3.googleusercontent.com/pw/AP1GczNzrSp1QXaDt0Iu22VPijXMkT5NnZabTd3DZ8CL2lLaZPGltT9TiRN1b4iCRAihxIyy3MDo8iSbv4BBI3HMXcvXFRRNjnFH-_k9gYftdNsFOZP44uLo=w1200|https://lh3.googleusercontent.com/pw/AP1GczMzLTEVBnRLyc-zEBBvJsZJWQW_hItK9Fqha18KhM4m1wZHzjw6XKs4NKGNA2vPLzayTyDUJIl6uyF2XthcJtcglGAGoceva3UpxdTUZn4wi_Cw0jkK=w1200|https://lh3.googleusercontent.com/pw/AP1GczPsp5TfoCYAQ3yhwQ6nvzqRvdPEmMDlxdke0ewHLeIZW_Wo4s-cuCp1LXUEKPHEST5P4WqEpk2WhYdskyU7595NeEr0LmpFcWM9ei17zMYL0HQJFOXU=w1200|https://lh3.googleusercontent.com/pw/AP1GczPAI0mrXvK_Uep1FtZbJPd1W_KyP38JhAY9CkB_vLQxxudcdlFCvLF75rAHEFFHaTiDFrBpOBQa5tZCNdQ03gAAOsHUZIgaEiBtHP1mVghh_aj3l22G=w1200|https://lh3.googleusercontent.com/pw/AP1GczMe6YztGCT4Fj4ScZqLja3ew6PHA4cBQCPMuHfVFubBwztX5xa2FeWzbjHx0xQLAJ4sTq8Wf8HJwWJLpyPO18mc7NEWFqxCVtpY0RWEZco6i54C8HHs=w1200</t>
  </si>
  <si>
    <t>6472</t>
  </si>
  <si>
    <t>Casa en barrio Solo Verde - Oriente</t>
  </si>
  <si>
    <t>https://photos.app.goo.gl/FPXwmQ4UszZDH8sp8</t>
  </si>
  <si>
    <t>Esta hermosa casa de estrato 2, ubicada en el barrio Solo Verde de Neiva, cuenta con un área privada de 90 m² e interiores caracterizados por acabados modernos. Al ingresar, se despliega una cómoda sala-comedor revestida con pisos en cerámica clara de alto brillo y muros estucados en blanco, complementada por una elegante pared decorativa con enchape tipo piedra y techos con molduras de yeso. La distribución interna comprende una cocina integral equipada con encimeras de granito oscuro, estufa empotrada, horno, extractor y gabinetes en tono madera natural; una zona de descanso con tres habitaciones provistas de clósets empotrados —incluyendo la alcoba principal con baño privado—, además de un baño social con divisiones en vidrio templado y un patio de ropas independiente con recubrimiento cerámico en paredes. Adicionalmente, el inmueble ofrece comodidad y seguridad con un garaje para carro totalmente techado, protegido con rejas metálicas y piso en piedra pulida.</t>
  </si>
  <si>
    <t>La propiedad se perfila como una inigualable oportunidad de compra gracias a su ubicación estratégica en una zona residencial tranquila, a tan solo dos cuadras del Conjunto Residencial Avichente. Uno de sus mayores atractivos y factores de valorización a futuro es que cuenta con plancha lista para la construcción de un segundo piso, permitiendo ampliar la vivienda según las necesidades de la familia. La total independencia de su zona de lavandería, el excelente estado de sus clósets de madera y el diseño contemporáneo de la cocina integral garantizan un estilo de vida cómodo y funcional desde el primer momento. Con espacios amplios, techados y completamente protegidos, esta casa es la elección definitiva para quienes buscan seguridad, bienestar y una inversión inteligente en la ciudad</t>
  </si>
  <si>
    <t>https://lh3.googleusercontent.com/pw/AP1GczO__uA2kXPfptyyUPTrmRl1Tl6-Qypfs1f2bRicaoQS7ibbE1j9GCiHV8DQ1vt5Ti_8EymnKapLCmuJqQgTP902kPUwfmQ3w2eg-glzPHLXP6GHRwKG=w1200|https://lh3.googleusercontent.com/pw/AP1GczN2VdcB9IcYXOkSiGBmB5Cy8eLwqdU7nZnd2t9fbcTumr98bT0mLVjW4jFh0fmX9A9mTLU9ibwAAXyqOW7yV2MEzlTWwxqCELTQDIQRhH7eSa3pmNcB=w1200|https://lh3.googleusercontent.com/pw/AP1GczPeRH4CoD8OdwS5rQ9VNV669pi9FQS20mHp2rmkOhYEhuXRheFMtcoz5VyGvkxKEISShh0ikySMFsy17HkeahQNAqr0s0mjxPMHVC8P81mUb5f6bkbu=w1200|https://lh3.googleusercontent.com/pw/AP1GczOubkwhn604H3M44n4-cbcSD-J_xVrseLABtK8Sek6ayUnjwRXEfi8tBnYNd8a0M2qi0zVWZrXsu2sgI_wJ1gkAZY6glZ0Pjr4ch4gw7ArswvvHMr2C=w1200|https://lh3.googleusercontent.com/pw/AP1GczOGFXq12D6hXMnhIvPo-hUDot18PSjdYa--CPK_gsa_epTQuVFzQn9O0K7in0Kj-KkFH25vYZliJ6ENsma1QUGbV-7siK3IRAP3gVsNYeEW5LDatVzB=w1200|https://lh3.googleusercontent.com/pw/AP1GczNqaX_mwieYYy7Tt7arDQeKjpqO7I5IQRIOfLP0rypyync4fdFAz3QMy0pN_w55h_-2N0GH2f51SGZPlKSx9ULLYAK8JVsAynoQxYIE0YakW9rP0980=w1200|https://lh3.googleusercontent.com/pw/AP1GczOEbRo0jz9tsBsWpSYrPnctO3vin6ZO51TOYNtFwD6ca7eeCCBzvlfV64sgdlvOJV5taD9DiA0a3EFeJRMEpBRJPBKKNGq92CNWjyQfN4_hetm-k-G6=w1200|https://lh3.googleusercontent.com/pw/AP1GczNGkwKcsnGDgcIMH9FvliVdE-Vi73PNAOP9e8eptIDWl89_LjX915GGOdnYqUgw_PvIX8J3LJsp239w9h-XjBXH9_h_o--PtLqCS_6qzRZG0ZIvoHt2=w1200|https://lh3.googleusercontent.com/pw/AP1GczOLpK8h7kL3UMqGMUglzmsVN_pX_bssciuhQ9bS698PBXK9kFTqPJYtEULEkPMj9Sf9eklgDKD6-GuUI1076tGT8rM87xzCeGWjNQp_hMAD10g_3vIc=w1200|https://lh3.googleusercontent.com/pw/AP1GczOi63zYFL_Q7TF9tOe-INJ_5tEcsJK42YrPrxKOxQUqHNAnnfgD4N8_DYzTkbd5es9uD4fK9YvAXboDOwoETSvRaFRbvxei0teiIl50kx7tOlJnTkov=w1200|https://lh3.googleusercontent.com/pw/AP1GczO3cmBTnaNNTCae2nOqRT1tHMEBGAItNxIZE1HX9qAjNp1EEhyjBCDC7IRZNy_hdvUUK79tp-z_jRjnkAYslSuZHzZlNy4y4HDyuBvzxFbElG6QdyFx=w1200</t>
  </si>
  <si>
    <t>6314</t>
  </si>
  <si>
    <t>Primavera de Buganviles</t>
  </si>
  <si>
    <t>https://photos.app.goo.gl/HE5KKb8q6sLYm8FH9</t>
  </si>
  <si>
    <t>Esta espectacular casa para estrenar, con un área construida de 101.25 m², ofrece un diseño moderno y acabados de lujo cuidadosamente seleccionados. Al ingresar, se encuentra una amplia sala-comedor revestida con pisos en porcelanato gris claro de alto brillo y muros estucados en blanco, realzada por una imponente pared con diseño de listones de madera verticales, luces empotradas y repisas flotantes a juego. La distribución interna comprende tres habitaciones equipadas con sus respectivos closets —destacando la principal con baño privado—, una cocina integral totalmente dotada, un baño social con modernos acabados enchapados, lavamanos tipo vasija sobre mueble flotante de madera y división de ducha en vidrio templado. Adicionalmente, cuenta con una espectacular y ventilada zona de lavandería independiente enchapada con azulejos rústicos tipo piedra, gabinetes flotantes y un imponente muro decorativo de acento oscuro con iluminación bidireccional, además de un parqueadero privado para carro.</t>
  </si>
  <si>
    <t>Ubicada en el codiciado sector de Primavera de Buganviles, en el oriente de Neiva, esta propiedad se consolida como una excelente oportunidad de compra inmediata gracias a sus características de alta valorización y exclusividad. El hecho de ser una vivienda completamente nueva y lista para estrenar elimina cualquier preocupación por remodelaciones, garantizando que el comprador pueda mudarse de inmediato a disfrutar de sus lujosos detalles de iluminación LED indirecta y acabados arquitectónicos de vanguardia. Su diseño funcional equilibra a la perfección el confort de los espacios privados con zonas de entretenimiento integradas, convirtiéndola en la opción ideal para familias modernas que buscan un hogar seguro, estético y con una iluminación natural envidiable en una de las mejores zonas residenciales de la ciudad.</t>
  </si>
  <si>
    <t>https://lh3.googleusercontent.com/pw/AP1GczPyDrjKiMGQCqr3C3e8SY4p0nP83-Yg3RaiWIEwVK_rM_4myBhMqJHObectfl-0sB6z7hNMvj8oKtPCwtVAhBk4lHjn49QvD9XKoRa9bWDW1N-3gloG=w1200|https://lh3.googleusercontent.com/pw/AP1GczNh7KBYc36GuS7qXK6hGU04BIVm7r_QlDCgfxtOXoBeYeCXwFLOqimWsMivxQa0Hb532Mep7VCTlG31RWZ8bOnKVaCGSiNBX8bm1i3qRFQvURb46n2o=w1200|https://lh3.googleusercontent.com/pw/AP1GczM__nLltb6KFPE50YMNa8ef1Qc-UpW_1Ps5B_fdhqd-wioY4fTz5jcfkDoqqtTdHKegqo8-cUGyZ-_SKrVu9yB34z2XB8MALPYShbYF2py4J-I2i5dj=w1200|https://lh3.googleusercontent.com/pw/AP1GczP2CGkCVJzGgN-TH_yN29Ax8g7fDWL5tZZT5l2F1Ne5JuJbraa7steNc0zuwi3RD434P2iT0O8bqUTDxQzes1IZWd8lKBObkKdidT-4vDitnaubkggl=w1200|https://lh3.googleusercontent.com/pw/AP1GczMMAPjnRnxulgXoG80EmLyo4dG63GfX8U3_pl8Zv6WzB46omA85aoe7No2bQYWri_AmwUE9mdg02btVK3xkd66235s2T_zoVX3RmhXj6OTKbExNDceF=w1200</t>
  </si>
  <si>
    <t>6484</t>
  </si>
  <si>
    <t>Casa en barrio El Tesoro - Oriente</t>
  </si>
  <si>
    <t>https://photos.app.goo.gl/QH9vpDHkR8Lm5qUn7</t>
  </si>
  <si>
    <t>Esta amplia y cómoda casa de un piso ubicada en el barrio El Tesoro de Neiva destaca por sus excelentes acabados y una distribución funcional bien planificada. El área social ofrece una espaciosa sala-comedor revestida con pisos de cerámica brillante con elegantes motivos decorativos y muros perfectamente estucados en blanco, integrada de manera armónica a una moderna cocina integral con barra americana, mesón oscuro, estufa empotrada con extractor y muebles organizadores en una sofisticada combinación de madera natural y blanco. La zona íntima está compuesta por tres cómodas habitaciones equipadas con clósets empotrados de piso a techo y dos baños con acabados modernos. Adicionalmente, la vivienda dispone de un patio interior que maximiza la claridad, un garaje privado cubierto para un carro protegido con reja de seguridad y un práctico patio exterior enchapado con cerámica rústica, dotado de alberca tradicional e instalación lista para lavadora.</t>
  </si>
  <si>
    <t>Esta propiedad representa una oportunidad de inversión excepcional para familias que buscan confort inmediato, seguridad y una ubicación verdaderamente estratégica en la ciudad. Al tratarse de una vivienda de un solo piso, garantiza una accesibilidad inigualable y una comodidad absoluta para el día a día, eliminando el esfuerzo de las escaleras. El gran atractivo de contar con doble patio —uno interior que asegura una ventilación cruzada perfecta y luminosidad natural constante, junto a un patio de ropas independiente y funcional— aporta una frescura única al hogar. Con sus sistemas de protección ya instalados para su total tranquilidad y un garaje techado que resguarda su vehículo de la intemperie, esta casa lista para habitar es la elección definitiva para quienes desean consolidar su patrimonio en un entorno residencial seguro y de alta calidad.</t>
  </si>
  <si>
    <t>https://lh3.googleusercontent.com/pw/AP1GczMXIzPnnCcliAWog24C2Vh-0L0f3Mckliu-4DF4IfTvvFMYpTFa1GdTdVlfqf6QKraiUEl4EcG1V5Cy7Ceks3UiOkiYtZFW6Gc3hnREEe_5Asq872XR=w1200|https://lh3.googleusercontent.com/pw/AP1GczMH24cDv8GPU5W8nQCvm9bOwPJaeX5BMioUu3E7P8aDnh32Whzs6T4iz5y-62WfXoQ52zA-fSKtI7d3rbLaqAwhLCSgQ_qoEZwfoNNiDUIN_THT3LRO=w1200|https://lh3.googleusercontent.com/pw/AP1GczNlcsp78-ciB1VEMvxn8QlQ5WnnM5JskIbv6WnozFeKp-_3bHdXdzspLvlGJkpjCkP2-XVbM7KVwq4KJoM1J6R26oaZIxfCgx0Al9KXZa_Q8aWusLSQ=w1200|https://lh3.googleusercontent.com/pw/AP1GczPEMlJg-LK5RF_Yn5iiufazj3s22gF9-nvzKEjTpnN6_f2elK_X34yhriBEXnSDKPl5QC25eSYplX8UKj4asLpBhkmPUpdAXntTBR7gfNBEYJysDniL=w1200|https://lh3.googleusercontent.com/pw/AP1GczPJz4Z_GLn3gWDA7XCf0rUkO9L1WW1gRfhcmeXMyuX_lS0aeQv3RzNZ5jFt9RGGhxnN7a-gXp73mNdYlBCqP5wcMpd2QrmJwf8czgjX2QgIcVHTdl6r=w1200|https://lh3.googleusercontent.com/pw/AP1GczPOB8UwfAmqVvBf0I0F800kPHjc39sEtwTEqdB_9XV12r4yrXwQwAMDSlvZaIrqwAUxs_XDmcpjXSis_AA1Dg7NRRP8sC3QUu_94PFQSfGzoi-_BYTG=w1200</t>
  </si>
  <si>
    <t>6331</t>
  </si>
  <si>
    <t>Casa en conjunto San Valentin - Sur</t>
  </si>
  <si>
    <t>Conjunto San Valentín</t>
  </si>
  <si>
    <t>https://photos.app.goo.gl/DiiN9hCkNm56KKLz6</t>
  </si>
  <si>
    <t>Esta excelente casa de dos pisos ofrece una distribución cómoda y funcional, ideal para el bienestar de toda la familia. Al ingresar al primer nivel, se encuentra una amplia sala-comedor revestida con pisos en cerámica clara de alto brillo y muros estucados en tonos claros, complementada por un baño social. La cocina integral destaca por su diseño con barra americana enchapada en porcelanato tipo mármol oscuro, gabinetes superiores en tono madera rojiza e inferiores combinados, estufa empotrada y un salpicadero decorativo en mosaico texturizado. En el segundo piso se ubican tres confortables habitaciones equipadas con amplios clósets empotrados en madera oscura de piso a techo y puertas de paso a juego, junto con un baño social completo para esta zona íntima. Adicionalmente, la vivienda dispone de una práctica zona de lavandería y un parqueadero privado para carro.</t>
  </si>
  <si>
    <t>La propiedad se perfila como una magnífica oportunidad de compra gracias a su ubicación estratégica en un entorno residencial cerrado que garantiza total tranquilidad, privacidad y seguridad. Situada de manera privilegiada en el sur de Neiva, sobre la Avenida Max Duque y de forma diagonal al supermercado Popular, ofrece un acceso inmediato a transporte, comercio y servicios esenciales, facilitando el día a día. Los acabados modernos y listos para habitar, sumados a la excelente distribución que independiza el área social de los dormitorios, hacen de esta casa la opción definitiva para quienes buscan comodidad, orden y una inversión segura en un sector con alta calidad de vida.</t>
  </si>
  <si>
    <t>https://lh3.googleusercontent.com/pw/AP1GczM5jRPp5QG97ZMT1W676T-IeHRm3KBeUChkmYhhA9fYSTsm-cYNp75xWYA4JWFDvSDV1F7-yycWMQWyyuUGIXHoWGwEx3vEvR6efQQzTe_XDzAlGbXy=w1200|https://lh3.googleusercontent.com/pw/AP1GczNKoISvM1RUuO_ymKCbZbJrz7mu-W731P4XtcW4Ve_y5WzHueDcyyWrBjai77a5N6BpkdkjW5sln1XIYFmQdddbEJFMLccm0-k1dJRVOkNK1NLr2Mgd=w1200|https://lh3.googleusercontent.com/pw/AP1GczOkL6IUKaJR3IkA4WwEg42QdqAurT0jbRdU63go2bzu-mB3Bkwdwa_aBZJtcSh4nWTpp7EH7wbXa65s5KksOElSt8dPuYlyyNnPd8qVLv5D5n6rpB5E=w1200|https://lh3.googleusercontent.com/pw/AP1GczOWqmgzk8rpr6hsq1ytHT66ho_dar8GAXnSbzT94kTfHl5xjyaSOzEo4Q9qpg5rhwoEHqCDck1Lz5IdH9eS9TkdOG95_PUe1sYRa523hoFgg3aZDNkt=w1200|https://lh3.googleusercontent.com/pw/AP1GczPUkFnAx1UJw-ORIS6kfsDwPm2NmOm_26g5z2tcnFly3Rb9KOpPNk1qcuAPL2Bg_j3Q_Fs6pZn0WlxqLH0DeVIKon8Fwy4kxGonzmRGDDYhRPURz0Xk=w1200|https://lh3.googleusercontent.com/pw/AP1GczOFPv5Gj-t_if4N-4aG6sDhD3Fy-khOL1WK5j0hveclUiAfkya2jHI0Ci1pFWu8F6TcyRbAI3PDFYKK2QvmLhTylOUC6-IkcnuzanaZJBJVVma7FB6S=w1200|https://lh3.googleusercontent.com/pw/AP1GczOW2xleYO2Fv-HfESEduM6SNvCZ3GxaLCTohP3w9foyw4gFlbV1R-fe4-als3STyGNpLvwzOG-viogV-lVF0IT0yA92dPTd-lYMQplH3xG39TYUcNAd=w1200|https://lh3.googleusercontent.com/pw/AP1GczMsseZsKPMatbExpJfF9jDx6xF4N5GOr0p-Ampyn5Lishww8uoUqdHBqSAre6W1R7VDpIG6M0ol_WKQIQEhVnwaSEI_EpLhBndvl6JqkVdC8vnTdp82=w1200|https://lh3.googleusercontent.com/pw/AP1GczMwPQEUJrsX4tUYsjwec7gn5bRyOPzYIc1bVt1RI5-GLPEMMXn7Z_yJQ1ac_ZY0Jsx5LJf9X2mqQvtlfbQk4ce7XwnUS0k_tlEitVwZF5XCh8dkJ9ET=w1200|https://lh3.googleusercontent.com/pw/AP1GczNzgVJncNq5gITBY3AHZpdlshWdg-tkeqgYu5EgFTwj4WlqtkHg59dmLcrnA90D91Qj7_ZInHFBtWJo7XIIYfiK-ePYkvweVgXb-GKfDz26bOvFEKic=w1200|https://lh3.googleusercontent.com/pw/AP1GczNBGDYXg5h9y7hlIOzegCKxVjw8PO5FN1CAOiKQfGihV28XAzQ9uZzSzi6qapqxcfAJiEhvH0E5Yl4e9WCEEzYU4avj2p2f_dQD_yGIsemWi80zoMxe=w1200|https://lh3.googleusercontent.com/pw/AP1GczObrsc9eTzzehL0ca3wyVQRkmnMYPg81sNhK-hYLFKuZJAyrg5zdTzP-9PCbPoFBu1RpGjZKutGnNiZJZxr-qxjbDK1FswNBvOM7thY3K_IfOkKPGW_=w1200|https://lh3.googleusercontent.com/pw/AP1GczPdDrh8rxtar5SoLmw8BtE1b3mKBgVPpX805Qa3IH9SPtFnKL5pEdqOUGGg4sGLA-MPnDn5kkpk7rrELw3pmZqU8dUQUl2T1oWv2-abqY8KhBbbsBph=w1200|https://lh3.googleusercontent.com/pw/AP1GczMcO2Cit7QDXt4JxoXcLoBwKP64xJyxmtUKSJXTCtXGexdHRvhbRbTcT2_KZOLtZtcDzz099xvReUe9X8zkpoRAHRxIFYCjKU2cR4Z8nv1G9qQkl7Ei=w1200</t>
  </si>
  <si>
    <t>4972</t>
  </si>
  <si>
    <t>Casa en conjunto La Coruña de Berdez - Norte</t>
  </si>
  <si>
    <t>Conjunto La Coruña de Berdez</t>
  </si>
  <si>
    <t>https://photos.app.goo.gl/qkZ5yPYAgAAXLRoNA</t>
  </si>
  <si>
    <t>Casa en conjunto la coruña de Berdez norte de Neiva. consta de: habitación principal con baño privado y clóset, 2 habitaciones auxiliares con clóset y balcón, sala comedor, cocina integral, 2 baños sociales, zona de lavandería y parqueadero para carro.</t>
  </si>
  <si>
    <t>El conjunto cuenta con piscina, canchas de microfútbol, zona social, capilla y vigilancia/seguridad.</t>
  </si>
  <si>
    <t>29 - FELIPE PERDOMO, 35 - LUIS ANGEL VARGAS, VITOR EDUARDO ANDRADE, 42 - VITOR EDUARDO ANDRADE, YANITH PARAMO QUINTERO, 42 - VICTOR EDUARDO ANDRADE, 46 - YANITH PARAMO QUINTERO</t>
  </si>
  <si>
    <t>https://lh3.googleusercontent.com/pw/AP1GczPeKejLIgqnEcp65_ipjCCeV_AfiKRd27vttqxbmoM0q2EzrDx4cZYNBrrhSGrpAFlPldmouVC53dWQPy2lWbv_GW4UF5P4_Ly9kMYfWY8km8_XE0Ry=w1200|https://lh3.googleusercontent.com/pw/AP1GczPqFgz4-qWH4IYXZWW0nS8NYxXSfSjg1lYFEzzVqEbGfox3CHLjhq0d9fCdNHiwIxJrB_zn5XL2VdIH7eoKFqKkj012ZQyR2UXHuB27Br6gFtyl0wMl=w1200|https://lh3.googleusercontent.com/pw/AP1GczO0YqMk68l3RtUUQRFhEhw3p509F9cTyAnUduXFlSHxlqVAk96VzJKkkSqYGH_q-GeGsR3NIzH9LI4XfqGHye6QoZBNHY1ZGIUbMc_7TEdq86-7er5N=w1200|https://lh3.googleusercontent.com/pw/AP1GczPH6LQECJ0UBiyZr-_O-xnJZkGlfDrfElxzBY0jksIqopOxhxFzjbGyockAysnaqUW0Q6pN8tn3_meDqzxZh4jTcz2EZfedWBWD-Qa1jC_7LS4c5PAr=w1200|https://lh3.googleusercontent.com/pw/AP1GczO8EXAVBPZisI4X1Q7ZuEdj6BdG8bMhLl2W2IlkY0PPm5qcq2porUBOzRCNLQ6iyGKvElFgpbU4JqHYpaVIKbayvqVZ1XwG2HlF43cn4iL6c65GnAvc=w1200|https://lh3.googleusercontent.com/pw/AP1GczPKTPlttj58a-6V1paYntXYq2bit9XOiTczRgyLCUEZ_G2Z4MjQLc58GWMS9fKPvLrgv80nCyM-5lp2cthQrj-6-_H3AollOnifDsymo1qcFlcheXPU=w1200|https://lh3.googleusercontent.com/pw/AP1GczMxVdEWOJZWL_CZ9tPQmMHoiEkYPfrmY_wSCgtjY8Z96EfOLhUmQshK1j46BVeZrNu-rBFtll-uruoN-hfXAf-msImwv-Rm_clJo7c1XYdoC9zySGvL=w1200|https://lh3.googleusercontent.com/pw/AP1GczOlSGZsQOY9mGvkevZ1vCj_AHVT7KLvdqs3SdJORTqvkK98X929fs73AJ7U4O3ib-9IZ5E9iUcdCub8WW2rgLKyPidxkZr6RrP8sSUYQ-GfcCyL6df3=w1200|https://lh3.googleusercontent.com/pw/AP1GczPpTt6Z_cKyc62BKofu1G5jTQX9qRjK5oJa4-vqA6Yn6WAxmEr3tAEj40G99LYXJeSWj6qW41eAkR4oOohTLPSIUgTkKx_V4TXYZ1z_4uwsd2nlCLP6=w1200|https://lh3.googleusercontent.com/pw/AP1GczMuGmr6giyl3uSonXKO3OPkHsDdXXlXzTc3yZpMjAt68E62v2ibHXRcYmNV_p_sKgj6dcWSTyghzf8eHK4s6_I6c560emP_eyDQ4teb7cl0CLJFw3YY=w1200|https://lh3.googleusercontent.com/pw/AP1GczNU0APJMuQCjXH8CKnAxoYrBsloJnCOlIbGgP4vli5_E4mZBZ6LKYxzCtPqzHAQbuvNyf9b5XiED3CrIe1PSJrQyYlGb0huJPtEXxOnTYsWZHkS8AKX=w1200|https://lh3.googleusercontent.com/pw/AP1GczNx-Jnf75EyLM8XIYvWe11-cRm75a9e0LrJwcuilvzH3lBhXE4CUJ7HzP6F_L4qGZbcBdUocgUL2cDub77Bq7LAdV8BUnDw-qWyeYhFXmgwaMYBlf4n=w1200|https://lh3.googleusercontent.com/pw/AP1GczPJgfDahWDHqHE8eVP0DJl2asotMIEpfvIjMimCBWw_njINUqNUnDRRQAwhWbOs4NkQ2WS-wIHMYTjlW-2ZoJPKNqlbKMNMW2gp_V6bcwI_EZc5Zgdt=w1200|https://lh3.googleusercontent.com/pw/AP1GczNaZWz4GfakhhRvD34sBHaZIEtvin2xODzbKKLf3gwADsheYQhKbDYtPWiL4PVxQL8mTiI_Er-dk7M7LH49yV5hmniwue02tDQ65Xts9oyRVfKNtTvC=w1200</t>
  </si>
  <si>
    <t>6420</t>
  </si>
  <si>
    <t>Casa en barrio Manzanares - Sur</t>
  </si>
  <si>
    <t>https://photos.app.goo.gl/HQXtXtWDUfzL5dfU9</t>
  </si>
  <si>
    <t>Esta hermosa casa de dos pisos, ubicada en el barrio Manzanares, destaca por su funcional distribución y espacios interiores revestidos con pisos de cerámica clara y muros estucados en tono blanco. El primer nivel acoge una cómoda sala-comedor, un baño social y una cocina integral equipada con llamativos muebles modulares en color rojo, estufa empotrada y horno. En la parte posterior se despliega un generoso patio abierto con zona de lavandería, lavadero tradicional enchapado y una pared de acento en ladrillo a la vista. El área de descanso ofrece un segundo baño social y tres habitaciones con clósets empotrados en madera, destacando la alcoba principal por disponer de aire acondicionado y baño privado, además de contar con un parqueadero propio bastante amplio.</t>
  </si>
  <si>
    <t>La propiedad se consolida como una oportunidad única de inversión gracias a sus extraordinarios atributos de confort y protección, diseñados para el bienestar familiar inmediato. Su principal factor de atracción es el sistema de seguridad integrado que incluye cuatro cámaras instaladas, lo que aporta una enorme tranquilidad y privacidad a los residentes. El confort térmico que brinda el aire acondicionado en la habitación principal y la amplitud de su patio interior —ideal para reuniones, mascotas o esparcimiento— marcan una notable diferencia frente a otras opciones del mercado. Todo esto, sumado a su excelente ubicación en un sector residencial seguro y de fácil acceso, la convierte en la elección definitiva para familias que buscan un hogar listo para habitar.</t>
  </si>
  <si>
    <t>https://lh3.googleusercontent.com/pw/AP1GczP7yvlihYsUpAfjVEh6_cQUA_vYSmxZYdZF5icJ-hHP-LXUW1afjaLl_F-k0ziCgkBFbBmRNorVV-C0vzheWEOyhmgcGd5jXfLec9gE8PAwzZ5VqGxs=w1200|https://lh3.googleusercontent.com/pw/AP1GczPBHbp4l6ynN9c1eDjGz_Ynx7Vg37rUpftkyLhLapsmSWMLOJ0das-2_ycU_BN5O7PPAbp8xB51jQcVZuUOVqBv23vkSuPrWvHsN-HSITk4iYU6_kD7=w1200|https://lh3.googleusercontent.com/pw/AP1GczNejjtXVDh32DwWbACVrGphic6cxXjt8bk0TRIamBaM0jzA8wzCgeuLoyFtz4SdmZhOtsdgkqXbB02oEXAJigcQmvesq71_a28tqOD0ffz5cHFFVRTQ=w1200|https://lh3.googleusercontent.com/pw/AP1GczMqsRQplF1qGqid3BO93hx_O4TWZRLAYnNPgXvdpgOaZ_cNnkX1jok7dfJ9OeTfgrjfChYVY4jx-6RwfsaEEUlIjcm-tQnnQvAdycGwtC9zwGiwGvTF=w1200|https://lh3.googleusercontent.com/pw/AP1GczNdGXPWel4tH--TG4XBp1gNIvc0fCNhify_1SCJkDb1PwwJCK7RlFtoNpS6HqmGI-v2-5t79ylTbHc6Db_TihD7FFjsdt1T2wdSduMvhqmM57ugQyxK=w1200|https://lh3.googleusercontent.com/pw/AP1GczNsiaDvP7dt1hf-ydSVdaV_kcvnKAp9znkEj90pWgdqoh0XwcVqDxPJdE1UXO6Wh-nl3dd0YFotcPsYmXR6vojcyFJPFO15Zqd1yvdx1xI93bKKXBG1=w1200|https://lh3.googleusercontent.com/pw/AP1GczPs9PAWB7LO4SCXW-MnDxgXYzMrxBmEf7VNu_MojN4ZGzP3xDq4lIPSm_GY_MqWRcFlISdMcLYcSFQUS3LKt2Ls54nUjFxP3cbS9Vmvz_X3gZXQEQFO=w1200|https://lh3.googleusercontent.com/pw/AP1GczMTxEGmwCeW5N8RBot6h_6EoHtB40lu9QRKI1bNIWJSJeNr2SvEsdy_ocbSnz0uygt-CYCu0OixRUyQcf6xxHo-JLryNUypudvORGbA242JpQ-D1PwF=w1200|https://lh3.googleusercontent.com/pw/AP1GczM_MhGg_oPr_hTDEh6GPb6-o30rN7eH9yuLHR2vKz5xljDq8bfE2sXTE6JUXTw7e2CTe4LpZGJePceME48Ohs-4tvpqg5Qtu0NNdBXiaTLHfEPHEPy3=w1200|https://lh3.googleusercontent.com/pw/AP1GczO5-hiBnfr--bBarDVOC8XUYR53P54-4wzVY0xJDhlslPFwDAnPrQYwlWFcTFmg-ulE6BK2UEn7eWbA_EOAbqTeIzFc-Or6vFnvR8JH5qzSJUfM9tpu=w1200|https://lh3.googleusercontent.com/pw/AP1GczN9ohNaSHVY9iiXh4Pmv3Zy-6neDe6NKDryx6CUrvMqFrAUtm6vKrn-azAUam3-3gWW_bTCMZOARZepRO_kcRY_qPex79zlpIb0nGdjaSklVlH_xAq0=w1200|https://lh3.googleusercontent.com/pw/AP1GczPeJITGEgJKlmSu2H9QdhUk4OC_FfG5O9FsdW2ur4PhXiJarzZ5DYIFNluSq5zAKwHLQUpKlsz5KZSTgTGktH1i_O7AXdg_TiYufbSs7FM5geqmMyxe=w1200</t>
  </si>
  <si>
    <t>6293</t>
  </si>
  <si>
    <t>Casa en barrio Los Andaquíes - Rivera</t>
  </si>
  <si>
    <t>https://photos.app.goo.gl/DiAs87km1yarPKgB8</t>
  </si>
  <si>
    <t>Esta hermosa casa nueva de estrato 2, ubicada en el Barrio Los Andaquies en Rivera, Huila, cuenta con 130 metros cuadrados construidos sobre un terreno de 7.5 metros de frente por 17 metros de fondo. Al ingresar, se destaca una amplia sala-comedor equipada con un mueble para TV de madera y techos con un espectacular diseño de paneles de yeso con iluminación LED indirecta integrada. La distribución interior se compone de tres habitaciones con amplios closets empotrados, dos baños modernos con divisiones de vidrio templado, lavamanos tipo vasija y muebles inferiores, además de un patio de ropas independiente con alberca, terraza y tanque de reserva de agua. La cocina integral presenta un diseño abierto contemporáneo con encimeras y una imponente isla con acabados tipo mármol blanco, equipada con estufa empotrada, horno y campana extractora de acero inoxidable. Adicionalmente, la vivienda ofrece comodidad vehicular con sus dos amplios parqueaderos protegidos por una reja corrediza.</t>
  </si>
  <si>
    <t>La propiedad representa una oportunidad de inversión inigualable al tratarse de un inmueble completamente a estrenar, diseñado con acabados de lujo que garantizan el máximo confort y elegancia. Una de sus mayores ventajas competitivas es su estratégica funcionalidad de entrada por dos calles diferentes, brindando una versatilidad y accesibilidad únicas en la zona. Además, su ubicación privilegiada cerca de una zona comercial de alta valorización asegura un crecimiento constante del patrimonio en un entorno tranquilo y residencial. Con escrituras y licencia de construcción totalmente al día, esta casa es la opción perfecta para familias que buscan seguridad jurídica, modernidad y una vida cómoda lista para disfrutar desde el primer momento.</t>
  </si>
  <si>
    <t>https://lh3.googleusercontent.com/pw/AP1GczN02Wg6XMX4fzVDc4FZGKwrOylLY0yJ85lOswk6ySqjyn0LYrUS_RxBHCv25T_eVUkj-rNwvmmu_zOfqYyU-4QsembIc7UH7nd2eYlTZvn4qqSpXj_T=w1200|https://lh3.googleusercontent.com/pw/AP1GczO9frfeeWY1krWS8dcxrA1KPAD8CBgW59kHn1gHyB2szfPXPv5KLvA2nGfvoemAi2X04-2PQWopmfGoty82RcO-6eziiB8zbOoVHCvFLVRxWWLWj4IK=w1200|https://lh3.googleusercontent.com/pw/AP1GczNTOcvPiFnA16JGlaMjcBL6ZyYmNJv7H20vFF0nYsmGEHSHp1HPFSrGB2tDF8I20jPFjaiNvK4K3v-8cYy_BYSwCeSG3q8gXS9oPRZrXu3uQLgcrWao=w1200|https://lh3.googleusercontent.com/pw/AP1GczPIRgkVpl0RxnAzGrP_ObX-Su4cRlf13P1qKK_6uwXVwv5VibXaWqllu75zzfPTCo68B5SlPC4O2pH9ZO_xPBCyM8Kma9JkOnCoALyL9Zzwd5HK6VMJ=w1200|https://lh3.googleusercontent.com/pw/AP1GczMHj9neu4aj2AYgzNGUBkAqSBI6J-b0Yx8S2CWWUKP9m0kWcjgFWYkg-o8MFi4ak2aZE6zWn8ELaV1_CGm4NLRNqB569SKOyugivSiSLbiopCBjKSGj=w1200|https://lh3.googleusercontent.com/pw/AP1GczPfGyx8cZya7yfeeunjO6KjxahqDYFyGcODO1NfuSwpKHVE1A7nGPV7YabSVzO1rsXPUiNI4LEUe2M_JN-2inAgkbgF2IHkX7WCi_uDfqkahPLwKpdy=w1200</t>
  </si>
  <si>
    <t>6466</t>
  </si>
  <si>
    <t>Lote en conjunto Condominio Campestre Miralagos - Vía Santa Clara - Palermo</t>
  </si>
  <si>
    <t xml:space="preserve">Condominio Campestre Miralagos </t>
  </si>
  <si>
    <t>https://photos.app.goo.gl/zWRM34wPStAnKZKL8</t>
  </si>
  <si>
    <t>Este amplio lote campestre, ubicado a las afueras de la ciudad de Neiva dentro del exclusivo Condominio Campestre Miralago, cuenta con una generosa área total de 702 m². El terreno está identificado técnicamente como un lote medianero bajo la nomenclatura B17 y goza de una ubicación privilegiada y estratégica dentro del diseño urbanístico del complejo. Adicionalmente, cuenta con la enorme ventaja de disponer de la infraestructura lista con todos los servicios públicos esenciales, lo que facilita y agiliza el inicio inmediato de cualquier proyecto de construcción residencial.</t>
  </si>
  <si>
    <t>La propiedad representa la oportunidad perfecta para materializar una vivienda vacacional o de descanso en un entorno natural exclusivo y con un altísimo potencial de valorización. El condominio ofrece un estilo de vida superior gracias a sus inigualables zonas comunes tipo club, que incluyen cuatro lagos naturales, un imponente malecón con 100 metros de playa y deck, piscina infinita semiolímpica con fondo tipo playa, tres jacuzzis y una cafetería frente a la playa. Además, la oferta recreativa se complementa con senderos ecológicos en bosque nativo, deportes acuáticos sin motor, zonas BBQ, canchas de fútbol y de tenis, todo protegido bajo un estricto esquema de vigilancia privada 24/7 para garantizar la máxima tranquilidad familiar.</t>
  </si>
  <si>
    <t>https://lh3.googleusercontent.com/pw/AP1GczMvF25Q1W8rRaKqm_e3c7y4YuuNGpQJCEiajeVndrg0bbV3jmyPEKADJJd_PnXSDqmqoM6kZXMR6MPrPDYIsJaYP8IThVzPnTolkTPBugKgmaevEn6N=w1200|https://lh3.googleusercontent.com/pw/AP1GczMhkPpmToLRwvXrXkGwtBlpPFbiygFVAe2tDMo-Llyj5hBR-VIA9SYoqMBh44q9C6DWM7YI6ld_pQvzz3EWq8eD5aLoa8wzYk-AFPwycLUP4opEXcUJ=w1200|https://lh3.googleusercontent.com/pw/AP1GczOd3ioRWGwWVJLy-KOF2exUzeUclwFWV22ALVPedlvhmSxBvLpbRvQm5wV1xUDAK7G_KCyNbUxUCGEFc0ZudE4-JVmhK5bdclVzjnm_h63vmnJgxpHQ=w1200|https://lh3.googleusercontent.com/pw/AP1GczO0U_0eR_RjwdlHjowTNOWgN9ghqFbM6JAt-D8Sfk-OoMS1IVxjbk62NsWcGmzPLr_bjxad88wNgBXz3E9bVe2d4c54Ex4khuFrzyeLMPawkbNtSf4l=w1200</t>
  </si>
  <si>
    <t>6888</t>
  </si>
  <si>
    <t>Apartamento en conjunto Reserva Botánica Montemadero - Sur</t>
  </si>
  <si>
    <t>8o.</t>
  </si>
  <si>
    <t>https://photos.app.goo.gl/epKaWddRaULSt7W46</t>
  </si>
  <si>
    <t>Este moderno apartamento, ubicado en el octavo piso con acceso por ascensor en el Conjunto Reserva Botánica Montemadero al sur de Neiva, ofrece una distribución funcional con excelentes acabados contemporáneos. Al ingresar, se aprecia una iluminada sala-comedor revestida con pisos en cerámica gris de formato grande, paredes estucadas en blanco y una elegante pared de acento decorada con papel tapiz de diseño urbano. El inmueble cuenta con una cocina integral de concepto abierto equipada con barra americana, mesón de granito oscuro, estufa empotrada, horno y modernos muebles modulares en tono wengué o negro; además, dispone de una zona de lavandería independiente y un balcón social con ventanales de piso a techo. El área privada se compone de dos habitaciones con clóset —destacando la alcoba principal por incluir su propio baño privado y un segundo balcón independiente—, un estudio independiente amoblado con un amplio escritorio en L con cajoneras y aire acondicionado instalado, un baño social completo y un parqueadero privado para carro.</t>
  </si>
  <si>
    <t>La propiedad se destaca como una excelente oportunidad de compra inmediata debido a sus puntos clave que garantizan una alta calidad de vida y confort. Al estar situado en un piso octavo, el apartamento goza de una espectacular vista exterior panorámica hacia la naturaleza y los paisajes de la región, asegurando además una envidiable iluminación y ventilación natural en todos sus ambientes. La inclusión de un aire acondicionado en su estudio independiente optimiza el espacio para el teletrabajo o el descanso bajo un clima ideal. Asimismo, el conjunto residencial ofrece un entorno seguro con vigilancia privada y completas zonas de esparcimiento tipo club, que incluyen piscina, parque infantil, zona social, cancha de baloncesto y cancha sintética de fútbol, consolidándose como la opción perfecta para familias modernas que buscan bienestar, exclusividad y tranquilidad.</t>
  </si>
  <si>
    <t>https://lh3.googleusercontent.com/pw/AP1GczN9f89dxEcY4Fi_mUKGlIAiq_riB6wQcFwDo13eewX5PxTFwDetcoN7GUiA8d4X-SkxRxamwcENNM7GlWaZqk0F8Iq1tlRnNXnQ_5FtYJ5unBziu9WV=w1200|https://lh3.googleusercontent.com/pw/AP1GczPQTToGJHGyF8fsiSk7U4VK2fwnbu2cGTJN19HSL5lmSKUKFl07Ey2P2dkeu9B--MDK08pcW-afLiRw46P2j3XJsd-__yG_z4Hm5iHPZ3i78Cusox14=w1200|https://lh3.googleusercontent.com/pw/AP1GczOFyHOzbSTE2PhJNEJSm6xu0YmV9P6U9XyDg0dreieGz5fByuT9PvQr8PrnTr-jXTIQNILysHT36PHAVZmrHANlk1hQqw1VyXJSCJppTV4ShGgnpBty=w1200|https://lh3.googleusercontent.com/pw/AP1GczPY9ahxlq1652ibJHR3ju0g7OEZA-Yq4ihsKp8KKvj05AtcCfoHS7LxRFCtAZivk3dAfe419Vs3yMxjMkqM6NweV2Cxg4WyzFB04S6WvpfsFzzRf-rr=w1200|https://lh3.googleusercontent.com/pw/AP1GczOcAcrtwhb8uuvlaLlNKbiWxjuD3z9xYnnMDf7CbfCn_T4Hu24RjXRP1oot3wFiJ9ON7wriZHKfvbuxWIIviL-X5p9Ui5qaZ9cXYNk8QJNBoMbH2RGM=w1200|https://lh3.googleusercontent.com/pw/AP1GczPUdkar-QZtzCu_9FdQORpkUsEa4336n-_zwssvanskoeNAHToDTM6Ztq9U4YSaOLSnTsNKm4uHz_NISYFcvkJtsM5N3Fdu1RcWgZjwa4tbFe3bZT-e=w1200|https://lh3.googleusercontent.com/pw/AP1GczM02oOMLK470Flw9TrGx9sZSteg2uYo0hlzaD964AHW2mrSBKN0FiFz5jKtYWmbMBK9m1KWSBnqw20SGpBb-FbKMgD0UkRd4eKt7c9zBBjN9LPX3i03=w1200|https://lh3.googleusercontent.com/pw/AP1GczO3BcJGyRpo41a6bOB5RocIT8shEDYj-qCQ9AgnhHctCgGmba4sUy68-n-R-GIJ5yIkKni0_8wmFMtAAbj_FqsnzK0GYuirGQkq2B5x4_IQGbz1D04O=w1200|https://lh3.googleusercontent.com/pw/AP1GczPfFWjOlyM_Az1peoBtxSW7_uxO40RBjn3xTBN6qqiCGemr7XcDbo_nANbyEGPbYFVw0aFo9_96GVqbMEkmU84cVS5Da1gaDqNUpsb2h5RtPLvs6SEx=w1200|https://lh3.googleusercontent.com/pw/AP1GczM2t9yzNGtg2N00_eZcbj8PoyVVBUW3BW101fPpECk142vHjfX-DYf3nKcTIF2-LeH0HZ8tD-uQFEiQ6v7wQHazZvKh2J4sh_5t1DWZxXY3Z15bzaKz=w1200|https://lh3.googleusercontent.com/pw/AP1GczOz8-LlnO6QqxqRPNPaAJQ6Du2DAmkSy_e2sWND3ZByne_NUIbgAwQxu5kAlBlMYPOzBrgM1Ysi0Y5tdPRm3TX3or4OM2BNWdHkkDymp2e29a1wI22Y=w1200|https://lh3.googleusercontent.com/pw/AP1GczOM7FimlaKLFmkOI1JQhj15Tjo7Mug-6MHagRXNk6uRfWiMVpwi89CbkAh4NQ-lG7uzF7lK1HMKSSdfb5Iiw_jECpYmRG-_isxtO70xc2HOP9ZgXt_B=w1200|https://lh3.googleusercontent.com/pw/AP1GczMIgjQ219UO__76TTymvtzeF84xz1ZrDMwmbi7Sda16ednAMkvQJKs3TZ_3AgKjqIeNjELKgzkrLEECyU7Y_mLfvLMPUxhl4OVgCCs907Z4d8WQsgG-=w1200|https://lh3.googleusercontent.com/pw/AP1GczPZaNJGY01uboVFxoJo6X8vVe7NkW6LxFXbznmjs5UHgehERCqsfJScFichX8Vsd96JPf7Wtl5CNnsXkbVF4cEwWjhSEmYv3b_r4qFb15VebWD1Ikjm=w1200|https://lh3.googleusercontent.com/pw/AP1GczOVn_7WgdoD_7z4-Kbk0nw3iAKFPgTeMrWEVLxEP89mggIdQkO6uTCWdZvKIUYo3--S51Kt4pl21vhYzSCS1MN2W8p9DBTTAk7IV3ipZnVncDZU_sab=w1200|https://lh3.googleusercontent.com/pw/AP1GczMfiojMQWGsvVw8BovV4BKYLu3fVO7eR7rf4PCsA-qx7VHZ6RN8CFur0UyL1zSnoRkNMmdPPdwjcmhA4OZKc1kSaE0QaiEJwNjZH6LK_HNx4iqvMjtL=w1200|https://lh3.googleusercontent.com/pw/AP1GczNQrJaMNn4fkVJj7WYhl7PY93ApLhWVUjK8ov0FT5jIvvxlCOJbz4KU-LigkCoUw0XfdSZlsYqzhjVJw5wyecHA_wyZR_3LfhJuUHq-w61-_7_CIiNh=w1200|https://lh3.googleusercontent.com/pw/AP1GczMoeY4Po4K0FrsEzyaMH_3E-JJWNyLEX-2Yx2DOF_IEEnXNlkvOLfaHKGYBilYiuXQ7kT93UDoKez4LopLm-pqmtCXy8LML8mDPN4cMk8NqwtPCPTKX=w1200|https://lh3.googleusercontent.com/pw/AP1GczMVYDwiiOXkIyKOqiOtN5kVLHJJkLk65sWsuthIbTjUMsEsKpXF6P3XX7hrlPSYXNJwQMJ0fRcdYKcI0YoreuT-Wq4VKKZHkOFnnxDDY-81iBnAb1JN=w1200|https://lh3.googleusercontent.com/pw/AP1GczMKY-ChnaIppLyuazx0OD_s_kouaXuu2FPQkQ32T_Q9hT3NyXIuLSvKxwH5JXwDgbCcZx2LhaFSOgOM9aeGEcHDEGo42NJNrecUVHa6Yla4Z8mVkGQe=w1200|https://lh3.googleusercontent.com/pw/AP1GczMUUDjODb1Ca5Dgs8JUteF6Pse4FKhSzN9fDYsTdwA3NkN7xDnZCA1V-yV7gFWGFiPnBfOI2qHw8g5ra2koyQ6eQeMvxtvk_p2JBoKRtPpSqDOyVj4X=w1200|https://lh3.googleusercontent.com/pw/AP1GczOgZ7d1-ouW0RfL1R9eUGQ9k99UYb3x4RGbg8U1O2KBHAEmaOVP1gO8DE67IPhhEl9ks2Udle2GCCWUxpLh5G6kJCjmPfe8mxwyZ4WKRr92JwWvGpRY=w1200</t>
  </si>
  <si>
    <t>6439</t>
  </si>
  <si>
    <t>Casa en Rivera - Sur</t>
  </si>
  <si>
    <t>https://photos.app.goo.gl/Khyb8MMU89mFKBiY8</t>
  </si>
  <si>
    <t>Esta espectacular casa para estrenar en Rivera, Huila, cuenta con un área de 97.5 m² y acabados de vanguardia de alta calidad. Su distribución interior ofrece una amplia sala-comedor revestida con pisos de porcelanato gris brillante, paredes estucadas en color blanco y un moderno techo de PVC con iluminación LED indirecta y paneles empotrados. Dispone de una cocina integral de concepto abierto con una elegante barra americana en granito jaspeado oscuro, muebles modulares en tono gris plomo y salpicadero tipo mármol. El área privada alberga tres habitaciones equipadas con clóset, un baño privado en la alcoba principal y un baño social, ambos con modernos sanitarios y lavamanos sobre muebles flotantes de madera. Adicionalmente, la vivienda cuenta con garaje interno y un patio de ropas independiente con cubierta traslúcida que garantiza una óptima ventilación.</t>
  </si>
  <si>
    <t>La propiedad se destaca como una oportunidad de compra inmediata gracias al atractivo único de ser un inmueble totalmente nuevo y listo para habitar, lo que evita gastos adicionales en remodelaciones. Los lujosos detalles de diseño arquitectónico, como los nichos decorativos iluminados en los muros y los sofisticados acabados en techos y pisos, brindan un ambiente elegante y de estatus superior. La amplitud e independencia de sus espacios, sumada a la comodidad del garaje interno y una cocina moderna altamente funcional, hacen de esta casa la elección definitiva para familias que buscan confort, exclusividad y una alta valorización en un entorno residencial privilegiado.</t>
  </si>
  <si>
    <t>https://lh3.googleusercontent.com/pw/AP1GczMmAdWcddV4BUxHNwHu9RISZvjzNymDmRQylmlYk-NmUkeU3luOHvec0cRtU_YY8RG57-0R8U7cKLKNXMOfepVMumvixfZrQUdEBHa3SsJCkOSCYpV-=w1200|https://lh3.googleusercontent.com/pw/AP1GczPTn9TDA8WK052T2gDlUXhw_xUVnm4sKoAM-fF_hFUQtk5zHcQIa8_ttw8ndoTobKaisbE7Rr6WSiqJme0p3RRQ2Fj0LsQ_igCRWUaQD60HxiOK1plC=w1200|https://lh3.googleusercontent.com/pw/AP1GczM8YNYAJ-6OL3yyOXwIOszA2h4U009p_mED5Gh3IzDrX9igD_Mgidrmb2FOHyIrpgYmzIzKeTmrSd7WkrmrhWXI3-IX4WWYyPnruLJOhD4YQJ9WbKlQ=w1200|https://lh3.googleusercontent.com/pw/AP1GczNENkJeVpCMOAxw9rduqJXo-h1oTIk0wA2ls5Z2jlvX_Vm9H0CBBGRDcsNKgAx6PlgsItP8knG31IlCcABM5aaiKOiT5AUJhJ0RYJaGNARViewPxSxO=w1200|https://lh3.googleusercontent.com/pw/AP1GczOujuLSsyzloJ6K3fwjvYU61Qe_8UPscaAoOS4BJ4yvB4sEym8USEPDYuzagjUIVeV_Qkxy2M_ygQHmODerunbzOavYqKk-qmboMZd_W8UExeZh9XiH=w1200|https://lh3.googleusercontent.com/pw/AP1GczMCJE18-WL_SIYKDVW0DDXabtZe4T9hrrnyL5m9EJNfsNJmtOS81UMAjEyE-iCB3MItCwzmn-HO7a3wI6fy8L96bZaq1uPm9LO3Izf4-afoG1bn5t9o=w1200|https://lh3.googleusercontent.com/pw/AP1GczOltwVx8TS_fsK1bc9Uq25ehRZS36EUXoIikrDSYQW8wTRrQ2gnnNE34sucBN_gInq1-5GzVGL5e5Pfu3HowAmshG_cazfWo_Y6nHMrcv3fXo96kV6V=w1200|https://lh3.googleusercontent.com/pw/AP1GczPBRsgk0Drku4XhyG-qZJ4bjhtXC73zUcMTHmAA2eed_j14hC8qD2G-AGan4MLKZCiboYouk3HEbtimRN4cz5y6LhuftrXH9LGksz7G864GiMjvLezU=w1200|https://lh3.googleusercontent.com/pw/AP1GczMLdqx11hDOYugEPA8Gt5bSvFZotWMmaGmYgo20Sk2PFqDb_MKb5HATVe6jj4eKN0-jlZsv6NhPAZ4PyZy8kC7h61JB5r1mTjnqd7zv26ETy_39u09S=w1200|https://lh3.googleusercontent.com/pw/AP1GczM5d6hYmrD7K2B13OC5lO4gwL7e18hm-gVMVwf7MzFCM2ZLKA56reCpgXqjN8gwTTFtx0UDqXO4BeHy0D4K0mYlpiU12JGGcZIE-HIzDnruH9QqMSI8=w1200|https://lh3.googleusercontent.com/pw/AP1GczNaQh9-pY3bGMcdB--A6M-KGP25LBfbpLfr1XB4E2cB8NlTIROUhzoKakFE1Yl1h9GoRd7TSVvM3FvqlihTGyXBe9VKBxe5rGWeUA379jjS217t6QgY=w1200|https://lh3.googleusercontent.com/pw/AP1GczMIstB-wUu4nKb7dEwiTM1bWCh5vhMCySB7Blm0GQsnX6o2qxe1lBsTYxxTiNJf04ClB7CK9EkTP9Z65UgPybHIU-L70D0lhHQJA0wWbK_KSXvjQ14W=w1200|https://lh3.googleusercontent.com/pw/AP1GczPpRJaXvExFi-FY9dXZ2Oc00ToqsgJUhKsVQzajpjQhNELRJUZWqCDY9PZAMRKH0FBZ9dyOKNiiktZRLovdemtqOvf5GOHXZq0RdbbXsyNIcqvTuwrQ=w1200|https://lh3.googleusercontent.com/pw/AP1GczNBLFFIlOpoUORN_N04CGfzdRafHsJBXRfREztrqBS5okgSlHhqfw2dkALma8gUSrh1KhG13bTCZypzYt2ZA_VQbBbX1lj2AjU81CfRFt2j2VSNiVY8=w1200|https://lh3.googleusercontent.com/pw/AP1GczOqftNevd-lTIoPm4k0UNveG1Jjbg8KxLq83ArgE88_doHuTmarcTC3Camr9iHquX1ZjXWo1iI8AX615Cr0ZKK5k-HXPCt-wKK0z015ipCzSoTUs4ih=w1200|https://lh3.googleusercontent.com/pw/AP1GczPQxjwUqFRTttj5WLVlk5bIz6Dtx_v3GuIFeZPwaUWlJezdWCkqbeK99kXHeXwaNK6uONUf5IOet3R_eMNkaeFItWVnW7Kv_zoBgOJuSpG-FzwNzH6d=w1200|https://lh3.googleusercontent.com/pw/AP1GczOBpwO8Fs63HGSI1tN8ewmDxRlYZgf38GMzExgrbhOaXLfPFM15aXnZTFKAfBzMcR0G2VUDlg4B9HYfhG5ZicRy0DE7O_WwxnWr8wstQtpFnL5emPa2=w1200</t>
  </si>
  <si>
    <t>4552</t>
  </si>
  <si>
    <t>Apartamento en edificio Terrazas del Norte</t>
  </si>
  <si>
    <t>Terrazas del Norte</t>
  </si>
  <si>
    <t>https://photos.app.goo.gl/ToJQa25Ce93oFiMy6</t>
  </si>
  <si>
    <t>Apartamento ubicado en el condominio terrazas del norte, sector Alamos norte, piso 3. Area 73.2 m2, estrato 2. Consta de: balcón, sala-comedor, cocina integral, 3 habitaciones con closet, 1 baño social y 1 baño privado, zona de lavandería. Parqueadero subterraneo, tanque subterraneo de agua, ascensor, recepción, zona de jacuzzi, terraza con baños para dama y caballero, bbq, depósito.</t>
  </si>
  <si>
    <t>33 - MARIA ALEJANDRA MONTES R., 19 - JOHAN MENDEZ LEONELA LEAL</t>
  </si>
  <si>
    <t>https://lh3.googleusercontent.com/pw/AP1GczPBBIoguMc2yfCFhK-7eHmukFDnTPY0rPFu0ZgsmuyWRPF-1G7x_NXdU6aWjb1lydLVaLPpOkewXcGOEDdAiuUx006gJFCw1VQQjwrlQsJX1QKKi-Mc=w1200|https://lh3.googleusercontent.com/pw/AP1GczNP7E4WXC5Ozyam3WUxRTOh1W__eAsfcfYve-918bf7UbdkVZVGCTeTngGz6wkLmbWcweVHnR8Ahg9z4JbKhwtgRKgJn6xOATDpKcQBCte9LO6t3Bd9=w1200|https://lh3.googleusercontent.com/pw/AP1GczNmcDmrB4PVJdAXll-nsX1b8ENm2wTsKZwTA9Eg3LN_hCDW_U09ukq2n_CnHU5Ez3DVE5pEJ6YUDBPuRlaHqu9-us_Uv62CjmmYGzPIQAPV-rgAEJPA=w1200|https://lh3.googleusercontent.com/pw/AP1GczNxu5MAzUvwsDphOf3axmwTviXva5UAcNhII9BYTZ1Jx-QcLcrwZ1138XXnO6h04qS3nMZpfrYI0ZJxxLcXCSCCxePKGB3x0siC6c8cCFPnycGEs_9Z=w1200|https://lh3.googleusercontent.com/pw/AP1GczNiOhimtsnjwni4Vm2bVfQDS_lqgcqn8qr4tAwZOV0t9xu3Ina2u3gIhRhlDtOue0Gvwn49GMmcMJt-z2WdAxOeaqM-cxlQWq5IMDjF3PGGIblQ28hj=w1200|https://lh3.googleusercontent.com/pw/AP1GczP839rBJ9svBqUm5NeM2I5hRbbUs4cnx4OMeMqKOYucWU0akVF7fSRmK3n3X6TkSLYeXYW9E38dPVWtt7fcLGHTLuwWmnZacUzIjmqRUUUOEuXfh2Ce=w1200|https://lh3.googleusercontent.com/pw/AP1GczMUAr4WwMllaqWGXY9s1tIwBCSCdcgLFmt5esOzI8c_2TTApONmn4N0mywCLuHLqxeEDFV42fmIX59-FYtYHIXINWCdQlNDHSuIKSTK1QiWCnIGjX1q=w1200|https://lh3.googleusercontent.com/pw/AP1GczPOFQrK98CUd3PCJEp5oiCdV6vjwRDB-Q0aLPGTxEk-9sQ-CcIr1HS55EmZxWud5NMNRc8wsFDRaTTxcSf5xGJX8EGq9Jy2Lhi7dPz8eeqUT_wtIu4C=w1200|https://lh3.googleusercontent.com/pw/AP1GczMTPCtYXe5qOLg_m34_fpCA3c4SuroLJNOzJtnStJG7-SWmdBu_AQMu5xVa583hjm3HDE2SMCaRa41NzMD7dSmRQMd6UzNRKDFVt0vfrWpB12DxQUkX=w1200</t>
  </si>
  <si>
    <t>6042</t>
  </si>
  <si>
    <t>Apartamento en conjunto Residencial Mirador Los Algarrobos - Norte</t>
  </si>
  <si>
    <t>Conjunto Residencial Mirador Los Algarrobos</t>
  </si>
  <si>
    <t>Comunal</t>
  </si>
  <si>
    <t>https://photos.app.goo.gl/mkyskaTZKxBGUb9W6</t>
  </si>
  <si>
    <t>Este espectacular apartamento para estrenar de estrato 3, ubicado en el segundo piso de un edificio con ascensor en el norte de Neiva, ofrece un área privada de 60.66 m² con impecables acabados listos para habitar. Su distribución interior, cuenta con una luminosa sala-comedor revestida con pisos en cerámica brillante de color claro y muros estucados en blanco, la cual conecta directamente a un balcón privado a través de un ventanal corredizo de aluminio. El inmueble dispone de tres cómodas habitaciones independientes distribuidas a lo largo de un pasillo central, un baño privado en la alcoba principal, un baño social completo y una zona de lavandería. Por su parte, la cocina semi-integral cuenta con un mueble inferior en madera texturizada de tono oscuro, encimera de acero inoxidable con estufa empotrada de cuatro hornillas y un salpicadero enchapado en baldosa blanca para facilitar su limpieza. Adicionalmente, el apartamento incluye el derecho al uso de un parqueadero comunal.</t>
  </si>
  <si>
    <t>Esta propiedad representa la oportunidad perfecta de inversión en el norte de la ciudad, destacándose principalmente por ser un inmueble totalmente nuevo y listo para que usted y su familia lo estrenen. Su ubicación estratégica en el segundo piso, complementada con la comodidad de un ascensor y un agradable balcón, garantiza una excelente iluminación natural, frescura y una vista privilegiada hacia las zonas exteriores. La distribución inteligente optimiza cada metro cuadrado, separando a la perfección el área social de las habitaciones para brindar la máxima privacidad y confort diario. Con toda la documentación al día y acabados modernos que no requieren de costosas remodelaciones adicionales, este apartamento es una opción atractiva y segura para quienes buscan un hogar funcional con la tranquilidad y el respaldo de vivir en un conjunto residencial cerrado.</t>
  </si>
  <si>
    <t>https://lh3.googleusercontent.com/pw/AP1GczMAyhVxDnM6l8yRlHFoO93c9zLSL6I0vmQh5o9K5EscwDC9VAOp5k9sC5Hqq39j0pP_Sa4sEDn2qULP2GBsugoqilH6he6wkydGXoJDRcyzXTVzgAOw=w1200|https://lh3.googleusercontent.com/pw/AP1GczNcLhRjTKaLPfcUXkVunfNpYoi073YgfZRSD376F8c1CYSsuz3ZclWE-dv9waxaHaP83kJ1v2bXFrbPI93TX2gGo1O0lPZp2-XvaRgjDK_fSJoyJzQK=w1200|https://lh3.googleusercontent.com/pw/AP1GczNAs7_8CX2yyceGobkJDeqqhEltX87snQD74ezpi30TGzIYssfKDEggPe1coGKCFIS5bD33eQGdfJ8OqnuSuVmjPYY5jOqB3l9WhFT0TQIXkRrb3heN=w1200|https://lh3.googleusercontent.com/pw/AP1GczOPX3wXyfVAWNO2JgGfGHCUHXv6vSBeuHcsito5gPhFlR8sGbCwvy6-LXegsbqoT6Tw86G9dkmwrdadUn1dF9a0HTUVj4o3-fZ6bg6gtuYxaUPkTeNh=w1200|https://lh3.googleusercontent.com/pw/AP1GczPz8gc_mJlERSHKS4b1jOphZ4PPaHxBTosobwk3N1fF4HcdFuas2HJW45LZz1-pJS-U4YTXI9NjIX9I4e0sh7baJeYk91yuHMiRikJSoZtnq6HK22xF=w1200|https://lh3.googleusercontent.com/pw/AP1GczNu5U6zN9uZLQOVDaMHV2-JnxYIaASfJwe6KPnzNMZrKSaF8hvJaCteOFksfitZLdro1bOCemqJ8yAZhL4RS-Y6Y7M5eJ_OE3OUkdwGI63LKrhbBuBD=w1200|https://lh3.googleusercontent.com/pw/AP1GczPcfIioh4EsbbxIOyZQDP_8buD0id1qyA5cWY4jfAd_ygRuJj51YgQtqM4vRDWl2fcWU6clAZGVWLnUeBrFsqHOK5fCiO-WhbQGwbF7I_1iDT8c1wK_=w1200|https://lh3.googleusercontent.com/pw/AP1GczPzXoFcHfqphboB3kqKHx9_xm_s6nTf958eoE5Y5FoT7M-_fIu0nzLqbptrjTo7GWut7CUcorOsQPZr7f-2ayKj_qeiKIS7XfKR4XrkKuKTQYLbQ7jf=w1200|https://lh3.googleusercontent.com/pw/AP1GczM9Xkq8ZpPPMnsIru7JmqxQ2EwRnYJl1inixvMlq9Yza96NrYiGN3Y5W9jMydAmvYARvIPAMFbOKZxhJuBvR2lEJv_JkFolnK_mMx8v2qqbQwYS4Dpo=w1200|https://lh3.googleusercontent.com/pw/AP1GczNkGvzextpNh8TO3IG6jblxo6XSzyNl5PgJDLNr907u9V6u6DYKvSuDs-vR5uS4WICgf74pu9_1kAnJJE_D1049WUuzn67AcH4Wnj-DUPd6SwG43ZPB=w1200|https://lh3.googleusercontent.com/pw/AP1GczMHvZiReliN_PjuKhrBKyEF4MuuviOtmnsDdyW2uBJBqUZ9GA_rNb93TQszUEqgh0ysKWrfpLES1UIeUvPN6sQtTJUGGotqtHx-QahhMddwvoO-MjO9=w1200|https://lh3.googleusercontent.com/pw/AP1GczOvTk-rM-iSZmg3IEgqpUiwpBgWuYxyOAZjTTNz3MFXqkwHq1XibzssLXW1XPqeD0DUfl0kf9YyIw4GbLBDc9MGOIMmGBk_iIg0LZNPShMeDIZlg0yw=w1200|https://lh3.googleusercontent.com/pw/AP1GczNK22r0XcUpNjfFCsvuB7j_1LvsHrMHtFPuZzuD_XaoTebDTEIovlQJtLG-AvSOZGKi0Eu4At7JKlasIXD2iYavf0qGBOj5lh6OS0l5jyobMT7D2EBb=w1200|https://lh3.googleusercontent.com/pw/AP1GczOM8Cn2R0o9xrkDKTGkbIvTLgujjVN2y7wdhNjyvDguIo7uJELd0QYYwjBC0sdyt78f3SO8GLUZ0jIgVbEw7Lax-i4bypgr9ghMgG6GZ6sFBNUKo2hC=w1200</t>
  </si>
  <si>
    <t>6411</t>
  </si>
  <si>
    <t>Apartamento en conjunto Caminos de la Primavera - Norte</t>
  </si>
  <si>
    <t xml:space="preserve">Conjunto Caminos de la Primavera </t>
  </si>
  <si>
    <t>11o.</t>
  </si>
  <si>
    <t>https://photos.app.goo.gl/axWfdjCJk2gSxK17A</t>
  </si>
  <si>
    <t>Este acogedor apartamento cuenta con un área privada de 54 m² optimizada con una distribución funcional y acabados listos para habitar. Al ingresar, se observa una cómoda sala-comedor revestida con pisos en cerámica clara de tono beige y muros perfectamente estucados en blanco, que comunican directamente con un agradable balcón exterior mediante un ventanal corredizo. La zona íntima está conformada por tres habitaciones independientes distribuidas a lo largo de un pasillo central, donde la alcoba principal dispone de su propio baño privado, complementándose con un baño social adicional para el resto del hogar. Por su parte, la cocina de estilo semi-integral viene equipada con muebles superiores e inferiores en un moderno tono oscuro, encimera de acero inoxidable con estufa empotrada y campana extractora, conectando discretamente con el área de ropas. Adicionalmente, el apartamento se encuentra en el piso 11 y cuenta con derecho a un parqueadero comunitario.</t>
  </si>
  <si>
    <t>La propiedad representa una oportunidad de inversión ideal por su inigualable frescura y una vista panorámica privilegiada desde las alturas de su undécimo piso. Su ubicación dentro del conjunto residencial Caminos de la Primavera asegura un estilo de vida tipo club lleno de entretenimiento y bienestar, ya que los residentes disfrutan de acceso exclusivo a una piscina, gimnasio completamente dotado, cancha sintética de fútbol, zona BBQ para reuniones familiares y parques infantiles. Con todos sus espacios perfectamente iluminados de forma natural, una excelente distribución que separa el área social de los dormitorios y áreas recreativas completas, este apartamento se consolida como la opción definitiva para quienes buscan tranquilidad, confort y alta valorización en un solo lugar.</t>
  </si>
  <si>
    <t>https://lh3.googleusercontent.com/pw/AP1GczO0KxVwn3VOOAEr-WnOSQYD2rblTgPTS6S6XZKGEnH4x-tv6BphzESvvhipA-iA9RNrfM1lLECo_lgUTl6HBY4Ls86GdsbEIZghKeYyVrY-M6dwiOcZ=w1200|https://lh3.googleusercontent.com/pw/AP1GczN7px6iLrRMDO9629LOCLWJRP_gT_OPbEjrJqw2Z5Z-e1f2ulKuDu1740XXAAu1GbH0I9iaCNbvsNsRzoieTEHUbWGOPXzAA9_3T7mcOcsW163x0sFE=w1200|https://lh3.googleusercontent.com/pw/AP1GczPzjs7QXbw31UFO-HcY37zNS7adSf1wLl3mpeIKkAukEYT7fkHw8cUdntdRTw8CFEkdGgRtZaaSkdV03tYf0aTkGw4QAOeoHy3EDgUnqTuIga-jd7w4=w1200|https://lh3.googleusercontent.com/pw/AP1GczMWOpWf8HModFD4lJOQl7zaRc9G91K_SP0meWFbF9JBc_hx5Na11vGelFX7qDeME-4CF2syW3Ijwan1-thy2jO0QifvdDn18xOGPnzAuGZ8I504hICa=w1200|https://lh3.googleusercontent.com/pw/AP1GczOHqDwsGemnvSB4ouv1WO9y9uNzW8d0sad_RZie2sdCYu7KTWUpkztsmOBc5Y71WDVlU02I2EwR8P7PT_hYDY_J2uUUwiJ9KxEvp88fYAsHeQaX0nOa=w1200|https://lh3.googleusercontent.com/pw/AP1GczPsLdrm8Qc2Kp_pcoiHdXZfqCkv1d80cbk7AyiXaukjymNOZb0fuCw-xT_vN8kMLp-ND7Tn0vJlm5U_eVN6H6vXgocP_6mQAzZ9xqUpt-oNZf2ExEQ2=w1200|https://lh3.googleusercontent.com/pw/AP1GczOcxTbu-28JTYizEoqKz4YoYQgy3BLouGfNpesQ5UU5M4OsEsUS3MF76agqsvwVFUAW6GDmk-90Jpnu9_cyOcz5rb3-j0rop3PlezORN95f77Wt80Wz=w1200</t>
  </si>
  <si>
    <t>4597</t>
  </si>
  <si>
    <t>San Telmo</t>
  </si>
  <si>
    <t>https://photos.app.goo.gl/BTnK4JJmK8CPEyfX6</t>
  </si>
  <si>
    <t>Apartamento en el conjunto residencial san Telmo, sur de Neiva. Tercer piso, tiene ascensor. consta de: sala comedor, 3 habitaciones con closet, cocina integral, 2 baños, zona de lavandería, parqueadero comunal.</t>
  </si>
  <si>
    <t>https://lh3.googleusercontent.com/pw/AP1GczNwQbPhZGWKzVOMtjLNNevjMvVnoW4J8ZF2sCTuV3yOq_VLXkQAVzM9gGcniKjKttdRWRxCYpimr8lfnsYyO2zIC9tXa4zer796AQU3sQzQgor8Zc-T=w1200|https://lh3.googleusercontent.com/pw/AP1GczNm7sSD22iBy5qdmQh-i5_8lGdMaKwB7K059DyqsjldkpEnDrxN4G0eczyQ-gSZwhoQA4i398eNyCpsJHB11kUJdPTjjQl_9mRQc6lHAQDNg18xwCQS=w1200|https://lh3.googleusercontent.com/pw/AP1GczOVWS_WgerMW993tDlx6YDJwhppCy3KYch-scQ68-xYQKiyBXfr8V2bDh90txAm79ZY8cUAuSdzMAinGEazUGwoAMS4LGCqbKYBOs3n6Xl2ur08OgZp=w1200|https://lh3.googleusercontent.com/pw/AP1GczMBMaf-ir28pNy5mNS_DY-Rm-ke50p3r7Ji4IfgBF66KnEJI_RxeEk8WzbDHo0LZzk0XfCbTR4y9SmClw9rxP85TiikDeg6-HbxUssJtOD45acjNIoA=w1200|https://lh3.googleusercontent.com/pw/AP1GczMFBL9WFiq_-i5naCwIcWEArj8lsFILUNMO1InpPVzVpGx3q0CuomgRL86cd6cgGM_-y6JgVxoUYiiMw6oeoGMobBB-toVx8XZHEbMJdy5NtjNYrzTG=w1200|https://lh3.googleusercontent.com/pw/AP1GczO-74EYBj_oDYeAeMa6idWXGRo5tEsc4hNpaQ3Iw_Pm8TZGxW1Y1qTYpCRkWdGSXVpfUk0fwv0yR1oRQSnzS_AArk_DtQ_969yXN8iCc2UaLX2Ya8ZC=w1200|https://lh3.googleusercontent.com/pw/AP1GczP8FObdAw7HpnUz1IrAJUTQZ_HQDWf8wuBzUOin7oOK63zuOdMYXmxf7t0zBHWvKsb1LtiBR31BvgJMdbKngQFiQ_6oBLr891tpLMy4v_Bv53LclU6b=w1200|https://lh3.googleusercontent.com/pw/AP1GczOhlisgPDRlgqEEwlsxSQg1irqfycEdXg4Ygp8H9AOwwJXC1wBE9hhNy73noBEDfzrp8PzS6xKkhqsaO36lJjjw2Ny-ot_jdCP_kWJI3GXGl5YiPNy8=w1200|https://lh3.googleusercontent.com/pw/AP1GczP-wVousn3DNUbTrQIEgsBeMLOQxDFOXyeRWBPzHNaBya1PSDOevnxjvwPao5Eh0muIXd5Pe-8Erl5rtB36j4dZOHIGjnr3ZCkLbwK4WDT2Ap3Ym-hJ=w1200|https://lh3.googleusercontent.com/pw/AP1GczNVaeRbS_X22_z4zlAVbc_Nm8DCSN6CgL4e_hj3yXTKU6q8Ymgv71IgVjGr83AFYf9wqmxhslKKhMpa2rTrwrUjcGyXS0PXfHOsTe54gAUk_xTOOYMw=w1200|https://lh3.googleusercontent.com/pw/AP1GczMnA71CcTBPmvwFELb2o-1EG5B6_if-uXTucpYIbe82LqrP4-mLTZQOabV6TgyOiXI9tpluoqZ8UUhTpEY0SsZ70oKNH2GBlcuEJ01RC49GNJi1sEtj=w1200|https://lh3.googleusercontent.com/pw/AP1GczPorkaP_YbIwNdqEhVO-9_LKPhLQKa7Mu-RbFPDItGWnr3uLizoOzQV8v7NZODT6uV7kQZXoQuURds0uF6v6FXw2iP6UwwNgcBwpHff8L4o4jWnZMG6=w1200|https://lh3.googleusercontent.com/pw/AP1GczND82ad_eIkMV8ueEs_BJAbapiLOoTyKVGVzAP0vYdMLPjvkDHvOwQTOcEGAsPNGYT9Fi2pS3uAZ6jlWZiijtMzNu8xhkU9ZPPWrDSVJnP1rGrWxRs_=w1200|https://lh3.googleusercontent.com/pw/AP1GczML4bNlqb34DZ2gefOvHEWjzkpZT6c-FHroJaZm2kJhXM0hLRfodMDuT6ivwYwHbOcieyCSU6f5vsG9toFTNLEysGHz1zix0PNDK-8Inq2iDeXgQ6XU=w1200|https://lh3.googleusercontent.com/pw/AP1GczPC8m3HI3DsbkE4TrVzYYwgeVUw_NBqhlzohTqD-aBKgse94EKPRH2Tg9cYq92VodR_izlU5Vv1IgWW10ScWXPV4wH6pZUIZtExsie_KfMUAMVhVZxI=w1200</t>
  </si>
  <si>
    <t>4733</t>
  </si>
  <si>
    <t>Casa en barrio Alto del Limonar</t>
  </si>
  <si>
    <t>https://photos.app.goo.gl/zuTdKA9eTzQqJSVcA</t>
  </si>
  <si>
    <t>Casa en el barrio altos del limonar sur de Neiva, cerca de la iglesia divino niño. Consta de: sala comedor, 1 habitación con baño privado, 3 habitaciones, cocina, baño social, zona de lavandería, enrejada el antejardin, patio de ropas.</t>
  </si>
  <si>
    <t>5 - Inmobiliaria ROCHA - Andrés, 27 - Valentina Renza, 37 - KELY GUILOMBO</t>
  </si>
  <si>
    <t>https://lh3.googleusercontent.com/pw/AP1GczNWWLe5FpfjCz6w-sjTPauC5c3HXzhjRxNk1cbH9ob_zcfOz2oMeeiZDdaKveZre7MGViWJt0RkPPvXWvKyYs_nlr_P-w82lSVos9oTER_agL3FNhSi=w1200|https://lh3.googleusercontent.com/pw/AP1GczNq6a_yN2ll_gQbSjqr3KkuphDVQI75KH1_KdTUOjpOlNugHrLwfQJPWlZ6i8SQyzGiYA6vlUg9mEWz21u-MgmM05Bx5hNwYhQvz77A3lxLX23vQVEK=w1200|https://lh3.googleusercontent.com/pw/AP1GczPAAk8oBzHU6JD03wdCeqg1jKpaVukCLgFKoa8dV4z743YNfIzPZIcWMG-zNh-qlF4Py4ZXTLoN7LHAQ-0nWTiNIri5XMo43ekzkx9s0yIgasASegSa=w1200|https://lh3.googleusercontent.com/pw/AP1GczOFDqeB54mFp6rnBynFA62xaKWVeO9XRArPh4biLfQg36eiAw3Rh8rjh7plXOQCLyCCekyWG_EeAxUTMYjw_qqpxEEuZppIQoJ4p8ixFAU8NfRtwPz_=w1200|https://lh3.googleusercontent.com/pw/AP1GczOGHN-8YkQMD9kn66nCl28Pi3B1NYyr-01PQIh1gtNpq1EIGSmD2pJcq4hr3KmzgA0fKVwUmkqqk2pSGe7q2qXuyN7f-M7zHPkDLzfJHmu1JPJG2kWZ=w1200|https://lh3.googleusercontent.com/pw/AP1GczPbTLB-ewKNl3aNJNJRyziiUFaQlzWHSj1Xk_IId3xMa3aIvzFqXPIvG4mOgV5svU9cGvBFAjCGT-tBWWcr0pn4yFSL03oWjouvQ2ZS8l_Om9DVp6-D=w1200|https://lh3.googleusercontent.com/pw/AP1GczPGqv6OH6HoHj_S6P88p0Q5SuXKxUuhxGl1DwtZBTCoto2GWO0ogZldYzSXHw8vUhm1IHttg7K-zimSxfmKRgQv3Y4OSX_EHkqoEZWE0JkuwqeYlqq1=w1200|https://lh3.googleusercontent.com/pw/AP1GczOrpJdu4ieU80A0CwO7XtSD7NGkfJ92qB7NLCHMMaLCnHVDBflk8E1H2CQtGjKLk_qc4Xi6I_E2KVHVXSPHQkQofpjKLt2M_jZ4zeLysvqrr9z_8ZQv=w1200|https://lh3.googleusercontent.com/pw/AP1GczPWbvOgSfdslEGJ77xwcx85giNvyDBfoUwcOl8j5nbFqMNhYuM24eFsn3ZwsnqqPY1PAjDRJpNQXRM7zADyczpQpmV_jnBidQ2K-Z7k7Xj0KdHLUETo=w1200|https://lh3.googleusercontent.com/pw/AP1GczMAETL-Ik1KAtnO7lTTBx1m2-sJM-4CEy-cCl6dDuFnI7VmDE7KWgoXCWQzxP0IzlP33jTtbF2nYo8Q1W6jpVodSxMRv2oWoyjrTGke7evIgQD857Ba=w1200|https://lh3.googleusercontent.com/pw/AP1GczMK2mNxDJgWvOZMFOC3GN47zDk364XOqdLjyoRwWtFHWtPO4xnBEv604AN7ZMjJHl3SIv1dpixffMxlArpAXaQNPZI77JrFshNaDqZyUQeaKD2T_aYQ=w1200</t>
  </si>
  <si>
    <t>5342</t>
  </si>
  <si>
    <t>Condominio Altos de la Sabana</t>
  </si>
  <si>
    <t>https://photos.app.goo.gl/PNki4Yrxnk1ptCVC7</t>
  </si>
  <si>
    <t>El lote cuenta con un área de 501.0 m², con infraestructura completa: redes eléctricas subterráneas, servicio de agua y alcantarillado con planta de tratamiento propia (PTAR y PTAP), garantizando sostenibilidad y comodidad.</t>
  </si>
  <si>
    <t>https://lh3.googleusercontent.com/pw/AP1GczNENiFURP8Ujit5QsH9GpfK70Zvi0ftQ39CeRR_EhAHcPIKmf5pInA9T1WMa7XNX8xPQ7h4rTl0Tz9JNGGXIJmQUeR_pnx_00CIOnp3iTzwp8SiBAby=w1200|https://lh3.googleusercontent.com/pw/AP1GczNrVFj7h54_EzmLSnPOO2-BrrL8Oql5qreMI2Cz3gbm9I0EDi26IyQ6k7M3tkhI8mJnkdXbi0aTQ2Te7JJdbqInYloW6W1krL2VUESuiiRQ7UDmDTjE=w1200|https://lh3.googleusercontent.com/pw/AP1GczOgLslnJin00d9-UOcB5NHLf7av9UuyiKRz_94ZzOlPCvDpA26M1K8Pj5zhyNquZmW6hPFLTCw9-9C-lStftmrn7A2ZtnFjUtJfwbxL4Lr2bCXnS45I=w1200|https://lh3.googleusercontent.com/pw/AP1GczOU4zqX30b2vuEpTAiIqfOHVxtcLU_pyl1q42_QPRR7dAo0n_rCaqkFrRNTSTuMnEQ4r8-cuPfijczftAXVaECJboTOkz6uwEg83jwKdZ19AcqxzCm1=w1200|https://lh3.googleusercontent.com/pw/AP1GczNoCymDdi67f6XbwGVxiPHkpSPOQoCzs1N_7VoewuJoYTEIkkRFXH4rYXk1zDKdIVC2Z0yueAhT_ypBPZz1Y6tTez05gvVdfNe-oRcaPbj4oXNAF5H5=w1200|https://lh3.googleusercontent.com/pw/AP1GczMFRGlGq_H1AAyHie1itDVgUbYk9YAseu2LbzlFZ0-AminkcqmiO2mQDm3uF5W67EJijLZVJZkfMbUbu7o7KMvi-gvGnHSZhC3BQHKMwwFDZy97Gaw1=w1200|https://lh3.googleusercontent.com/pw/AP1GczOyWdaJhCCqTzBA1z3Pa07M0-36-jJY8zPOjcwOE06J_YT3cW9I6XnFvPLuI_p0P9rGuvJNNLbZ4XaLGOXG4-XlcDhhhkwYOP3dgZ1ptW-djNYoJ-Iw=w1200|https://lh3.googleusercontent.com/pw/AP1GczNp7SPjb8GU46Xa2d4GFI9QZk-whs1EFcwGTryfhkFtaspOzWFNeKytL26IEgkHQv40I-VrKPXxDh5im_W_GdyRk6OgCm1CFs3bXC9YFBuOIXi5nWD2=w1200</t>
  </si>
  <si>
    <t>5145</t>
  </si>
  <si>
    <t>Casa en barrio Los Manzanos Sur</t>
  </si>
  <si>
    <t>https://photos.app.goo.gl/HHJ2VAt6v6kDqcgd6</t>
  </si>
  <si>
    <t>Casa de 3 pisos en la urbanización los manzanos sur de Neiva, cerca de supermercados y centros comerciales. Consta de: primer piso: parqueadero para carro, sala comedor amplia, zona independiente de estudio con baño privado, 2 baños sociales, cocina integral, zona de lavandería. Segundo piso: habitación principal con walking closet, baño privado y balcón amplio, 2 habitaciones auxiliares con closet y baños privados. Tercer piso: terraza amplia de 75m2.</t>
  </si>
  <si>
    <t>JP Escobar cod.186 $300 / C&amp;C cod.1287 $320</t>
  </si>
  <si>
    <t xml:space="preserve">JP 3213605848 </t>
  </si>
  <si>
    <t>CLL 20 SUR # 29-40.</t>
  </si>
  <si>
    <t>https://lh3.googleusercontent.com/pw/AP1GczME3QnGhFematsg6_3VAJmIpL3AxTWExNyLnanqidj1GVvOCI6KpisXLtls_aFwGbnJHrsi64ds9SBYNPq5EJpk_CjsC0Sdu7fmUg8yfjqwq4IB3x9P=w1200|https://lh3.googleusercontent.com/pw/AP1GczMZXmqHhxaXvX3wApzOTPyQ9USNNwwfKi-nhAN_z-B-XxkdEiUO5zCZQxTNIYaDYUb9dz88giQNgJSVZ8GmSVwziaiWUZ_oFK6jZLVAOYFvkzFyXy3D=w1200|https://lh3.googleusercontent.com/pw/AP1GczN57vUwXqkpGkaDOH9vyDVXCzF8EoRDCO7pquf6EDUIA3XdzjtR7rCLlLeuDAhliSGk0wDQk24j-HewtvUg_zBgqFj1lcoBjM1SV9ywcUmW290hOHbR=w1200|https://lh3.googleusercontent.com/pw/AP1GczPNBkvV0_wMvg2XsXkzFkbXVbndMYtz-WqQe7zt0r3vepltbsgaGOJlBLY7PwsPhD_LyebIsrC-TeVjFvvbiqUQjUn-tubnSHWXqFZYbdRoxEzjzKpX=w1200|https://lh3.googleusercontent.com/pw/AP1GczMCgEJ6Y8Zsm8qmFM19jBlLWl-vqr-lfFEShR8HGkAg_7D290CtgL8NUhphMyvfrnu_G4DR6SMIz5Hxn2zH55YOXdWH612bIbCe_lbM5myjY5LKn-YK=w1200|https://lh3.googleusercontent.com/pw/AP1GczO05aB2-kTcV6C4kNZ4sTBE20PJUxak9yxjwZM2iQcdHKp3RYnagxbDk24rO_vNkmK4SVj2xs6p4uKi19ZSy8nJUby8lu0dQopLmhgOlbf_AKnHift0=w1200|https://lh3.googleusercontent.com/pw/AP1GczPvtqp6oznXZDKyuivrEte7OvtYP4WRfwZbqKrFWM79kqJgkV5RwQSPwI1dTIL4ovwtgpZwmQxkxzkw_xj1s2MWIXJtmp1ltI6tsxVusANj63rXPqUF=w1200|https://lh3.googleusercontent.com/pw/AP1GczMuJUG0PKDvvWoaxCLnmfJv7TdFReYFLoZGLdSNxOmqNGM-sNjO-KPNBz8uFpHvUDs4w7zxKLQqwtYc8enzH2yoXiAspnZotZ-_fPBXUn0VsmNDHGk4=w1200|https://lh3.googleusercontent.com/pw/AP1GczOQ6TeEFRk3jRS5AY5engZVjPW5aVoUzcOpyj-hoUb5TX7uzbuVytHYZ5xHpCHGWSMl42j9hjBgLI1BzQTa19qVx8C2WTq2-e5lWWw7ZS2QkQRAb3lV=w1200|https://lh3.googleusercontent.com/pw/AP1GczMU8PUyIkIFze6O2-RuJvhCjZUuS35YwMVRIHzCq-aFmiEtNhMa5S477ms6g0_rRXb1-GZ7EeDhSfxWtvE1rpxpCnehKuwbNuJ9HRVEiYe14T9-xBGa=w1200|https://lh3.googleusercontent.com/pw/AP1GczMUc4mBsfVKGvQNFBoUe-I1Oz-qgKeW4P6tig14TiIWpXh3yRrQwxqZri9oyr26vEq5pM0kemI1LDgn-IxonnEAhjF7Y19BTPi0kZqlqHLt7nJb1AiX=w1200|https://lh3.googleusercontent.com/pw/AP1GczO2L9MovVt_YdEt4OJHn9BdN_TNJMsQXti_eRVn3kt9Mw3siKI_ES1G1-Y8i3_ZtjiG0RxqwgYk6CzYsfCZX6-NIQzx05vi55-oqGnTvJJQVbJ4rCyt=w1200|https://lh3.googleusercontent.com/pw/AP1GczMJRVwELonYTdFMKNj2LEr0joCSdDKgnQ_Vv2U9hfknkEfVD1hmYioDpmJO7-FpjlWRy3OoNGYfm-qe1i19JyGVVRUfamNcGpsSBeYv5VqajvObGecB=w1200|https://lh3.googleusercontent.com/pw/AP1GczMUMubNtAZSdtipgki9MkFq_guJUOjKZPKz-sTxKHVRatZBRc69MKw_pxJRxWaPsMtHW-9Kf7bE--ks2sDfawX9ygKD4oQd2kV3Y_W8Y6Wo71ap8BcZ=w1200|https://lh3.googleusercontent.com/pw/AP1GczPgy9vO00VV_qBk5XZ3KQK9q8i7GHbYNmDbCX5Fp-CebNzfLywZFlRfKl3pyQ4ZFL8eIzxw-F-RrOs3_8btKEG0uQa6BvNTVcbHFsFdQOf05PKZbjzV=w1200|https://lh3.googleusercontent.com/pw/AP1GczOdtmdWbSK-v2sl9BrfWXUQrXVBiZTWnQ7As-LuJtDRTX54erjspmLrpy2Bb20f2UeoTO2LubeZdBosZHxPcUP9TTSh3Ho7kgCcdTRFYwaDoWa9Ot60=w1200|https://lh3.googleusercontent.com/pw/AP1GczMLkTWE_L6BoIKcoM-dXZYZtkHkUTtkB-ypoihgKmSfekE3blW4yvJd6UA-OchHSITDEmvw8-4CmZioHBSPZvU9ltiLLgYS-gjthfJAsC_1d6MiOwrq=w1200|https://lh3.googleusercontent.com/pw/AP1GczNcW0rZg7Td4I8qSQDoeRUE5zNCdcUjUchDwdqXmG8V6o2y-MS3J2-UZuwWfQpZcM4DLLEAUICMW2XYbQagVBNKZKtPzncqjDGqNkJK8k8k4El9BSCp=w1200|https://lh3.googleusercontent.com/pw/AP1GczMHJcL1oNplxFq8QadfYk1dK24F5tYBdgYveZvZ-XnkbvkBSUdIDdi8U6pF-dcCvnh4ctzsWTDvOlZmbz8n97ZBPUF29P2vmCHjpu5hWjrzn5Wq8JyU=w1200|https://lh3.googleusercontent.com/pw/AP1GczMBw_AEsIjymQXqMUR_6TnR7WL1gnaGFvQYfoye6cOC9eSUdiG8nVqyDaCDy-0iUJ9jmwBm8O0DpfuPvIc_cBOhKc_uKbjnraH1ExXbJ75TT2Yzqrbk=w1200|https://lh3.googleusercontent.com/pw/AP1GczO2p63PTjqJWFIepW_Bx-QxX5PmJuwR0hazzd62L0AfUJjiARcZ8GDw7fD6KeUqz9s1hlntM2_6uBvif-Dg4H1XkgBrRGlQBAL_t50cbFidZk4vrFbg=w1200|https://lh3.googleusercontent.com/pw/AP1GczNb6CSimXAS5ndRdrsApm2dMMUtbj3LLRl66ZKxrTPhPNKpeLLCErh9Xlg0pzPSBMOvmzxDwNrmpXAlUKjAmt8at65ws7-116crH7pTltoHhDAGuRzU=w1200|https://lh3.googleusercontent.com/pw/AP1GczP6bGDPcrYp6jGrcA8_Pc2hVCsgLWAzwNcTrAOOyHj13Z9jTcuCXUDuUbFjLNXK0JulZae4yrVWdlhFlukU-qsBKn3-aym2B7YkaB7o1yNB8B95ulPh=w1200|https://lh3.googleusercontent.com/pw/AP1GczPtxCEwyqQ-9MTXH8CjeyVsMmInpFXg6cl3Jvmu7QrCmZr1jqW2E8TEAL49mCRYl5qM9ru14ktFy4NWXFhOPOEUUyAu7ezXpfsLR-No-uYIwi2sSXYl=w1200|https://lh3.googleusercontent.com/pw/AP1GczO1dyXey0qd6qx9prR3bx4BXrDNiTJaU91uGgDyjjdw3kN5u9iaIx2KwsZKpVEV_0C_c-LWTh3sxnwUaGhX8If8bu33wyOSYWKjsKbTLAnXwqZMcYUH=w1200|https://lh3.googleusercontent.com/pw/AP1GczP-Nt7pHApUa_Ab_PK42LYTEO5cNOLC2lnrpXlrfeOU0yOsUzho5pRrCyAYIRmLZCqml7hPNUh4jiv73LZfCRl0kTJ-kI4e_SixwQ4F-W-_cY7afEpE=w1200|https://lh3.googleusercontent.com/pw/AP1GczP5GEGVNb5OEO8190c7_Ky4izjIwxA2XF4gg8Uc9UISq0JbayrJ3lEHHfR5gwLNRARMZQcCKzXvCgKVB0SNiTaVC7nF2kkH6HKQERUEyzK1LfwJOyiD=w1200|https://lh3.googleusercontent.com/pw/AP1GczP_2719NmjKsunfU2C2rjsFOXz67j1y1mrqdHvprmZWbUKlPBngp_HKRlTIak-WuC9M7FkEdq7Ay3FC2RDEYNyIyIYgePAOEnXyCXlyd5tEiVoRemlg=w1200|https://lh3.googleusercontent.com/pw/AP1GczN3DqxO_Bh5mPa5OSeOch5wftxnjf_Qr4_xL6x_v7QBYjoDn3FIKLe8bvbY_vTMODmqzl3KFLZX6JQkOuaN5DAZYwOlk8EYjUSq3ugATk2M3OhkdFMR=w1200|https://lh3.googleusercontent.com/pw/AP1GczPWSwj_VqNntrsxTlhmQoFCcRlniJQ0gWrYtmhCKuhD3P0hBx9HJbj7j0OWQYaRrynUN4Xvzn6gfL2NPTzUcDBpYVAY34N9OGAjt6H2apSfcX1ISA8h=w1200|https://lh3.googleusercontent.com/pw/AP1GczMK2nqOt1Uczyk3iuWed8ZU--nKtJfmYufFhmg4s_pN48wHZE0IhRumOPgTSPZ7nqmPyLJxq6vul6i3yJQ-9T6vvSwwVi_ZiPexJse8YbOabkOZs6aD=w1200|https://lh3.googleusercontent.com/pw/AP1GczP-4FfORBC3BEk_OzY8Uiz7L4DfwGe51TrRDXYe9XODEc_5k6w6jTaFFZxiIbKIuu7ayZ3HadQpTX7lJc4kEinYuR6oiwcTq62J5KB-RqyW2LP4FGTR=w1200|https://lh3.googleusercontent.com/pw/AP1GczNi8JzElXuCttSbdMFC3xr5gaXOEZ1l72UaDBJUiv3Mimsm05u3bXkESnU7hj5md1ggHP9t8FwZwu3IkltgS5gmTuNnWAOaFtn5bpz-x7lHHP9p5mEw=w1200|https://lh3.googleusercontent.com/pw/AP1GczNLNZbz_eS7SCiA2NT9qJqDn7c_zF8vngT2r2SChNxtaYIFhDlRDP1AyGEaIjXTKnjysUs6omwCWxztPdm6c3jL9wEPSS_aKfT7Lw2pwh9k0UPEqy3g=w1200|https://lh3.googleusercontent.com/pw/AP1GczOLm5eFzxhlmgTYbmy47bbCKn0cRt74pCRYtaretBPnECXgBYYFRjaTw7O223uOO-1rIqv5dkfhQ_q6ib4jGA9qbOarVNB4K1en0H8w5BA_qt_Rt4zV=w1200|https://lh3.googleusercontent.com/pw/AP1GczNk0A8nxfo8-ChFm-Tv6n6i8V5xuZtWFdn4JyeywTrlywNb2KkluW4YrCvLMa0UxwL0c8R87m6Pig46i8wJ_w5ikOUfbye8ghaFDkqJF9Z-BlGd_XVK=w1200|https://lh3.googleusercontent.com/pw/AP1GczM6_fkWjlJzes20or55DF06dgxQ_-p6WF1fTSkglqanMpf-qcPJS1ZGmNB-dZnHsAXlHv_maytdG4ToJhAIme0hONEbzwMbxzLAb0cg8BwCW8SJlJ3j=w1200|https://lh3.googleusercontent.com/pw/AP1GczMha1Qr_uXX8cfMvjcgfwvQwMnxMwvOktZoAOj83orMkfvDtVkmF5z9FnyiWUjWEpebnsGLS1_uH0D__Z4rlfoWjQ2ZCGhGOFYL65Y45HAUrr9wjgLs=w1200|https://lh3.googleusercontent.com/pw/AP1GczOuceMYpuBh_ZxHYXRcTmFBX9C7jiQ6pnIJNN6PJfXS61FIN2Wd3PSCfbAsfOAH_Nd9GOVpIE_mN4YwDFm8hevTCSnJo6qw6r_d8unOl-zT46kKHzvb=w1200|https://lh3.googleusercontent.com/pw/AP1GczOSGHY1ABsauFurCNDJTfjkx2ej1RfIR7SiPb46Z0OEuDu4ZWyoN1bMu7KugP6CT0gUuXsnq48HNqkDqra0Z11LbSrZ-KErRfYcQuBkl90m9mT96HDg=w1200|https://lh3.googleusercontent.com/pw/AP1GczNrLtea1tAZPmv1Dfz5MzRWbY4ajY8iiNLhqSYn0fcOKINQolsuTBlLhBZTSpbNsKlQiLlvFmJGJKmvtL_6t8QwTUm0r3Nl8xFz8dxKdorf9zx3IJGo=w1200|https://lh3.googleusercontent.com/pw/AP1GczMUN3Z8UfuR2s6-PfZhDnaRGCjZMWNyGIOzBcJ7zkxY_R_xf1PwEHYPgemvaJ1IFyZGqO2aIFaPmMuEe6Nz8ZNaGN9R-4XM902pxpsLxKZPHapTJ4eJ=w1200|https://lh3.googleusercontent.com/pw/AP1GczMutmg5wWhPMSgwVElWEUYnlfcHFXzadX4bbjJugd2oEP_rR7j8vUhzlpkPN3TBl6YlrArxM4o5zdR0uSUZCRcY7X8FvW7w9pQAKuSPtu5QTbCDjfDG=w1200</t>
  </si>
  <si>
    <t>165</t>
  </si>
  <si>
    <t>LAS GRANJAS NIÑO ESPECIAL-PROFESORES- VENDE SANTA MONICA.</t>
  </si>
  <si>
    <t>DAIRO CORTES</t>
  </si>
  <si>
    <t>409</t>
  </si>
  <si>
    <t>Casa campestre  - Rivera</t>
  </si>
  <si>
    <t>https://photos.app.goo.gl/hZmj175wYShJufoy7</t>
  </si>
  <si>
    <t>Esta espectacular e imponente propiedad campestre en Rivera se distribuye sobre un extraordinario lote de 3.400 m² con 2.400 m² construidos, diseñada con una infraestructura ideal para la alta hotelería o el alquiler recreacional de primer nivel. Su distribución arquitectónica consta de una casa principal con 4 habitaciones (cada una con baño privado) y una cabaña independiente de habitación amplia también con baño privado, sumando un total de 6 habitaciones con capacidad para hospedar cómodamente entre 20 y 25 personas. Los interiores destacan por sus pisos en cerámica clara de alto tráfico, pasillos con zócalos decorativos enchapados en ladrillo a la vista, puertas en madera maciza y áreas comunes sumamente frescas que conectan de forma fluida con los jardines externos.</t>
  </si>
  <si>
    <t>La verdadera joya de esta inversión de ICDE radica en sus incomparables zonas de entretenimiento y su altísimo potencial de retorno financiero inmediato. El complejo cuenta con una piscina privada protegida por seguridad perimetral, un jacuzzi perfecto para el descanso, zona de BBQ y 2 amplios salones sociales rodeados de senderos empedrados, palmeras y exuberantes zonas verdes. Adicionalmente, dispone de una generosa zona de parqueo y terrazas cubiertas con techos termoacústicos ideales para la instalación de hamacas. Todo esto la convierte en el modelo de negocio perfecto para un hotel campestre exclusivo o eventos corporativos en la zona de mayor valorización de la región.</t>
  </si>
  <si>
    <t>Menber</t>
  </si>
  <si>
    <t>https://lh3.googleusercontent.com/pw/AP1GczOIISw-uFyH-FsYUIn_IoVOlW3jUUi-yMBQ9_rwycDWheTMTmLW_qQP-GjSZiOIyizOve3SRdmjMmvlgM3Kzw4U2_va7pTk-7QxYCykl2hL-16n14Fx=w1200|https://lh3.googleusercontent.com/pw/AP1GczP1PNqO8fHavMxoQ83Bj6pACIRQXU5pkcI3FITCNihESLjCiqoFmHMI0n0DAIwNe7FozSG_PkUbbOIue_NuSVpY1Ul4VZFm4g6Arj_D9C1W6OiXagUT=w1200|https://lh3.googleusercontent.com/pw/AP1GczONHgGzGiHB7zPYrJUXJfrzwBapbm71nA52TLvEWfzsIPO6f28GR3nBLe7YDBuSkcoMqE6dEGlGT9o5vwUzTUbRZfqb0pEZ8gV-TDvwq67Y326-KFVE=w1200|https://lh3.googleusercontent.com/pw/AP1GczN4bFeiRZ9y22V6GbiAJX9H5beHfVU6ORT3n6mbYtu_gx3wtjPFjojuKi7k0X6qpddMseYcCWmOkKqqGuzKHdWpFUARKF6T-oR4oAiNc3YKvClaWpQK=w1200|https://lh3.googleusercontent.com/pw/AP1GczMDdm4locpNZiKMAZaCX3J7YWaSdhrPcVWDPBKOp3cC0Jt1yNKgBOUUSqHwtzuv8mPzr8Wa8vMO9mhJFbCeZChmbPld7aaP4LcCwJ1HT270BtnuJTXd=w1200|https://lh3.googleusercontent.com/pw/AP1GczML5Hctbc6ye3C0CsMOQY0dPiNMIkAsYuHENtkEutExpNi_dcjSmgjiEOWsHNDvJPr6rzoKnSVT2TgkkenmUoeSnBQMS8gslCJ2-9yY5FNls5o7CDV1=w1200|https://lh3.googleusercontent.com/pw/AP1GczOeTOt3lG0j--NJW3FquQ9ciFWY5GfUYyVk7kwqt-n0VDxB4b_jwM2024xlgX3jXMVFOH_28sh-O8741go81xH6tbk8NDUfESg5-84C8QQs5kTTrKtm=w1200|https://lh3.googleusercontent.com/pw/AP1GczPPIEzF1pF8USuW0okiF3KrsUTbRW2rAk6psEeZVih0HmGRpNJ0aCCQHqb5lDUHYk2Lzb9lvtzefXE3-xYLCFKLM6sFPK3k53qBMT3CIwLMwqjkpQGV=w1200|https://lh3.googleusercontent.com/pw/AP1GczM5PlMky_NgXEwvPrr0taL5esYR-PpiiCZDO8YfJhmIir6F3fFQMM45AX9PB6RgVRXNAHxnSXJ9rAfuxD3bFkXmxBpwfUMDjQEvHmeY-X5LxDzWX42P=w1200|https://lh3.googleusercontent.com/pw/AP1GczMUOD96rEPNCejYTJgqQMkBRxxMCI0GSCC7TUryBGhcOskBwTOx0HygQopkSjT7DqbyR-r_9sJocoEhR6eY9CGcmTChQOeC0dSAPy7pfZ4RsSUfPSpq=w1200</t>
  </si>
  <si>
    <t>859</t>
  </si>
  <si>
    <t>Apartamento duplex  en edificio - La Toma</t>
  </si>
  <si>
    <t>https://photos.app.goo.gl/HisFuKoFCNxSUf9j7</t>
  </si>
  <si>
    <t>Exclusivo y lujoso apartamento de $321 \text{ m}^2$ ubicado en un piso 12 de la zona Centro (Estrato 5). Cuenta con 5 amplias habitaciones con aire acondicionado y baño privado cada una, más un cuarto de servicio con baño independiente, completando un total de 5 alcobas y 7 baños diseñados para brindar el máximo confort familiar.</t>
  </si>
  <si>
    <t>¡Una propiedad de alto nivel que lo tiene todo! Destaca por su ascensor privado directo al apartamento, garaje para 2 vehículos y una espectacular sala de cine y eventos privada. Además, el edificio ofrece amenidades de lujo como piscina, sauna, zona BBQ y salón de fiestas, garantizando total seguridad, privacidad y entretenimiento sin salir de casa.</t>
  </si>
  <si>
    <t>https://lh3.googleusercontent.com/pw/AP1GczN2khsER9pIb_ru7xvRkxG-1Iad_TXw9bLDAqZNzr_5-cFkWEopMuTwQROndIpo2IKkgnzW_OYcTlNxL0UyPxIg42kRACgJlaxJfqdIM8Xi_qFyDGxb=w1200|https://lh3.googleusercontent.com/pw/AP1GczMh1W62Mmvj9PlXDACTs1xvURKYWPhehPtcB4P6EwLaocpbE80hBsDkVsFL5gij-VGuklxYj_bhkvXYUPiMrSNtCg5T285J4PYt0ssSh0990CkAigH3=w1200|https://lh3.googleusercontent.com/pw/AP1GczNLLEVsQYDgNc5qEo_z5x4LI_-OLhpANtKSOoHqHvBozM1Klr5iabkNLIbViTJAjbQ9XYFe-9OX3_TT-el5zikKdhBJgMZsx9zTbMFFCCU16xFEKDMO=w1200|https://lh3.googleusercontent.com/pw/AP1GczOmSNu-LT6LmNxxCJMEzkMsW-GgKuYgeo1Y8yzWu3enqjV2fqS-K95Dll3t16BZpVWKlzaANhMAlf97m4MURwqp8oiBgNZiZRVZOdmmS8jpFRvflbmj=w1200|https://lh3.googleusercontent.com/pw/AP1GczNnzhamGT8oNIfH1LEF9ZjCnipvgXIY64OAzaYSW76lHUtC7i9JQSz3hHgEC-DTY3s-6TEu4tGoSk-NNL3pbieDlTZIZRTRtxIMpUWz9YRBz7avjDWZ=w1200|https://lh3.googleusercontent.com/pw/AP1GczN_OMIoq1peifKPeLKhTJiuISaoP3tNi8rA93tOAZzesvSCZM_nU4Te9RMQrRDA1bsU8pZDWLEb29osXXJQOwULoTKffr9ZOuLT8seIlnRkxYjr0Ku6=w1200|https://lh3.googleusercontent.com/pw/AP1GczNC1SIyVpZkKSENf9rxVTw_5pONr7pQsDCBjhfOUF9IfLyr4moS50p9dtOdVUd4txSj-ESp32tiUG3pbXgD-3efxotvVmidoFExvEeVmHOvxwh92xB9=w1200|https://lh3.googleusercontent.com/pw/AP1GczMi_8l7x2d7Fmd0Pkej0vCWSvYog0cyzU_-BdNSbh7A6i4dsZWP0uifoaak7U-JbPxcY4Jm030-uoQkqklMH1mwXwzbxCqhAsvzAczC7LFSrJQhmXfD=w1200|https://lh3.googleusercontent.com/pw/AP1GczM77Jtv63tegRi8T0r29HFUlvK_5DkE1Z0hi5MjJOZzjP3eAWjBmglnMy3rzgkxELUYV_ffVl7YjEOz0qGhizzACYW-CCBYhBJjUKL3NTOLG-vJOO2l=w1200|https://lh3.googleusercontent.com/pw/AP1GczPQUdZ-zdblgPGOYaoV4GYjw63tA83pgWaLNOHzMPPU35Emdaj-iusS-hwF6Zy3LsfK_Y_mDH_S7sbRqoFjGjUeAE7AgLVAUG-AoCmpQBqMbjJbaCQq=w1200</t>
  </si>
  <si>
    <t>036</t>
  </si>
  <si>
    <t>Casa campestre en conjunto Condominio Altos de la Sabana - Palermo - Z. Industrial</t>
  </si>
  <si>
    <t>https://photos.app.goo.gl/iNDB7oPPEH4k9SzXA</t>
  </si>
  <si>
    <t>Esta lujosa casa campestre de diseño moderno se distribuye en 360 m² construidos sobre un lote de 528 m², ubicada en el exclusivo Condominio Altos de la Sabana en la zona norte de la periferia de Neiva (Palermo). La zona social impacta con una sala comedor de doble altura inundada de excelente iluminación natural gracias a sus imponentes ventanales de piso a techo, pisos en porcelanato blanco de alto brillo y una elegante escalera flotante. Su cocina integral vanguardista destaca por una espectacular isla central en mármol negro absoluto con estufa empotrada y campana de extracción de alta gama, conectando de forma fluida con el comedor principal. En su distribución privada, el inmueble ofrece 5 habitaciones confortables más 1 alcoba de servicio y 4 baños con acabados premium, garantizando una ventilación funcional y un confort absoluto en un entorno tranquilo de estrato 2.</t>
  </si>
  <si>
    <t>La verdadera exclusividad de esta propiedad de ICDE radica en sus amenidades tipo resort y el sofisticado estilo de vida que ofrece para entrega inmediata. Las zonas de entretenimiento privado incluyen una espectacular piscina propia ($7\text{ m} \times 3\text{ m}$) con playas integradas y un moderno módulo de BBQ exterior de acero inoxidable empotrado en mesones cerámicos, ideal para reuniones sociales con total privacidad. Además, el condominio brinda un club house sin precedentes: piscina infinita, canchas de tenis y múltiples sintéticas (fútbol, vóley, básquet), salón social, oratorio, vías en cemento y total autonomía con plantas de tratamiento PTAP y PTAR. Es la inversión perfecta para compradores exigentes que buscan el balance ideal entre el lujo contemporáneo, la naturaleza y una altísima valorización en el norte de la ciudad.</t>
  </si>
  <si>
    <t>https://lh3.googleusercontent.com/pw/AP1GczNavVEqtyLE4pDcwgWkmTNseGDRdjwEI4yZhjH2ERjN-_e4QC2GPgIKIJTtWqnYV-3oL-8YDMTYT7nuy7b7w4fa8d56Bhsm_ucP1vp0MhpzNqKD5Jv-=w1200|https://lh3.googleusercontent.com/pw/AP1GczNNdgNUziQ8Py2RaGbFt1fdITJZMoV5Uu6gulCkJaHa_vsHGVjjM_McGv_S18_v5Q_oXMySuSKbqAadindOSjy8_U2nzQ4E4noN8eUqsE_fUsS56Lje=w1200|https://lh3.googleusercontent.com/pw/AP1GczP_ncYqtY9acgh6X1evMD6eVt0LauqNHIxszk-TMu4xwFVQCHwZ2t_8a-9qoz_wgI7QmbFBHW9Am4SL0CA6rcFR6_6fe31sEfNPD5ZhaPlTwmgG87QZ=w1200|https://lh3.googleusercontent.com/pw/AP1GczM8rrXetQTJe3kDk9cnfPE5f4DwLQsmHTrulm_Sl0a8MgCcnc1YjFr1QXBzw5j3R0i0xGTEACKGY7qywRpzvZOGH_4v5lcvAiLE4jDl8KLKtZ2go3vo=w1200|https://lh3.googleusercontent.com/pw/AP1GczOkKDCegTU8Mn4QgiHQJLk1S98MlPuIAwsMcXFjaOebFWK7lITxQ-UNMHg4grGa-mJTK1HMLSLyRsRqXzKAnxAmCeSMVsSZwFhQ_dTk8zvH0AnxhOyQ=w1200|https://lh3.googleusercontent.com/pw/AP1GczN8b-7Ok-AUhk-C0kIwCZEfVq4BajnSNulWvsEDYFxHSdEuUnQ4BvYEEVze4OuB5y3Ogp2848CqZKFZgXqXx6zVhAiA7b0eSfK3ecCEzld38BR-6Pus=w1200|https://lh3.googleusercontent.com/pw/AP1GczPzcCulR4JSZsWFiL99YlSvrx4Pf613ZBnLUhb_2gzFpo1u9NxxKUFrjCzJtGo_rI-F33DTNO3VgsQkTv5PNIg8N2GrmWCjcsadf289Ovq5iG3LbU1_=w1200|https://lh3.googleusercontent.com/pw/AP1GczOftc2ZVDL9pzZ4DRSAgUOUq31PuHk639mQwdxOL28dzXYn1NZeWxTVhEZ3xAsLaddQoK3SK9KXwr2UbwjSTdh1HL6EB216SwEFx5o6uVwNcrEQ1lQc=w1200</t>
  </si>
  <si>
    <t>529</t>
  </si>
  <si>
    <t>Casa campestre en conjunto Valle de la Rivera - Rivera</t>
  </si>
  <si>
    <t>Conjunto Valle de la Rivera</t>
  </si>
  <si>
    <t>https://photos.app.goo.gl/DXahLWJjjFh9RAMEA</t>
  </si>
  <si>
    <t>Esta espectacular casa campestre moderna de tan solo 5 años de construida, ubicada en un exclusivo conjunto cerrado en Rivereña/Rivera, Huila, ofrece un estilo de vida inigualable que combina lujo, confort y un entorno natural privilegiado. Con un imponente lote de $2.500\text{ m}^2$ y $750\text{ m}^2$ de impecable construcción, la propiedad destaca por sus amplios y luminosos espacios interiores de concepto abierto. Cuenta con 6 cómodas alcobas, 6 baños, una moderna cocina integral con isla central, un elegante comedor con ventanales de piso a techo y habitaciones climatizadas con aire acondicionado y acabados de primera calidad.</t>
  </si>
  <si>
    <t>El área exterior es un verdadero oasis privado diseñado para el entretenimiento y el descanso familiar al aire libre. Dispone de una fantástica piscina privada con fuentes integradas e iluminación nocturna, una espaciosa zona de bar y quiosco techado ideal para eventos sociales, hermosos jardines ornamentales con buganvilias y un amplio parqueadero cubierto. Protegida por un cerramiento perimetral completo y un imponente portón privado dentro de la seguridad del conjunto cerrado, esta residencia representa la oportunidad perfecta de inversión en una de las zonas campestres de mayor valorización de la región.</t>
  </si>
  <si>
    <t>https://lh3.googleusercontent.com/pw/AP1GczO0yEMAmIVC4Cso1ZNQXoPueX7d4CaLoaxYEHg7z79KbxNNs03JlfqI_Fm9GIFjOLacDcDpFAdhn5wGRtaoWZkgvTTnAe_-7dbDE33x88tDF6AqKCl-=w1200|https://lh3.googleusercontent.com/pw/AP1GczMLyff6whbJlf75_-4EmfVA_O5KeoGP86KjvkFtmYAAT00N_uoS_sLyXWkwGwjhU0WW-5sJtmKWVBLKs5taV5iZUIK_Dc0FH-GTfswgewGCw5vVLGS8=w1200|https://lh3.googleusercontent.com/pw/AP1GczPgCyJJxoNnlCeiFPKQId3P9iYPCtPROXkLyFrAlWPdrJ6KZ0ocMEE79-bdYdtIakPKRP7N4L8PvL5XffiEE3I60ixYDTlylYBdYEapoHZQj4JvkG0c=w1200|https://lh3.googleusercontent.com/pw/AP1GczNMBbZL4Q5aUvKMKOD_gcYtKZFKHPR7XXBsuIoABpaP_8Z7vn1lWUib5dpM_JybNWpYOhfdKAuSCJigrHbpphiQ_E0JMz2dAIm0sJbi8-KIL0NeTab2=w1200|https://lh3.googleusercontent.com/pw/AP1GczMLlQx3fIelu_J5dLkZWvGGsFY8n0rSEj0xrTfbcsJKKm-xe4wJKPuOdTlWib0ZuypUPnox2bw9q5liYLnrsAusZbnLljr-vkPQ-SXDi-wOnaNflCgI=w1200|https://lh3.googleusercontent.com/pw/AP1GczNC8sHPyjhXjGrdd8IUGvgqnCxclI82abbESdKLBCLJKydd6jZL7gNCoGUbx631E0HpfKn9akGKNdauRTrAfp_3gechpcsPlVE4ALov9kBeL4hloTOa=w1200|https://lh3.googleusercontent.com/pw/AP1GczNlm8nbYw42yqIhgGhUuKKgtW00XsJeXbRaM_wuHyiDHQ4zH69kTKSuVvuEbMqbrDbbiJ3_3k4P8tHXa3nlDpBwoHvEqa8xbEbHoKBkfIeR2ySQOsy4=w1200|https://lh3.googleusercontent.com/pw/AP1GczPa0IGaiT5n2xyJtDb73nUxXfYhQu-7Btz24Sasgz0J_QRVpsVe95YZs88xj1oBNL8EhFc-UHEBCPrniEwNh9d_GPlJ2zRJRWrcaWKyY6S_cAXf2q1e=w1200|https://lh3.googleusercontent.com/pw/AP1GczNYSIBPRLussDUjB_yu3ABPOH25v0OhBQfHNwqkKkY-wXpUlElpL6PS_f53s7JpHhfmhR7ID9kDc_rh11WjdhstJ0OO81UTZOJsVPkVhasC8lhf4BLv=w1200|https://lh3.googleusercontent.com/pw/AP1GczN6nT5umS4l_KGGglRlMofg3k89zfh3zazp0zuv12s5cYpQ8h3CgMdAOw1g1h6bjThadxWxcbK8EaLtQuK150iI7HSZBJQ_gif2z00z69EYjImu9AX9=w1200</t>
  </si>
  <si>
    <t>078</t>
  </si>
  <si>
    <t>Casa en conjunto  Condominio Quintas de Oriente</t>
  </si>
  <si>
    <t xml:space="preserve"> Condominio Quintas de Oriente</t>
  </si>
  <si>
    <t>https://photos.app.goo.gl/FvFBiH8kQWb99SmK8</t>
  </si>
  <si>
    <t>Esta imponente casa de un solo nivel en estrato 5 cuenta con un área total de 300 m² (261 m² construidos), caracterizada por elegantes pisos de porcelanato brillante y muros blancos con sofisticados techos escalonados. La distribución incluye 2 amplias salas, comedor independiente, cocina integral, 2 estudios ideales para oficina, zona de lavandería con lavadero grande y 2 parqueaderos. En su zona privada dispone de 3 alcobas con ventiladores y aire acondicionado (la principal con vestier y baño privado), 3 baños en total con divisiones de vidrio y 2 patios interiores que inundan la propiedad de luz y frescura natural.</t>
  </si>
  <si>
    <t>Ubicada en el exclusivo Condominio «Quintas de Oriente» en la zona oriente de Neiva, esta residencia ofrece el máximo estatus, privacidad y confort sin la molestia de las escaleras. Vivir aquí le garantiza seguridad privada 24/7 y acceso a zonas comunes completas con piscinas, parque infantil, cancha múltiple, salón social y zona BBQ. Además, su ubicación estratégica a pocos minutos del Centro Comercial Santa Lucía Plaza, universidades y restaurantes asegura una alta valorización y comodidad absoluta, convirtiéndola en una oportunidad única para compradores exigentes</t>
  </si>
  <si>
    <t>https://lh3.googleusercontent.com/pw/AP1GczOwe4ASsLRc9S3LCRRwoPj0Uske8H2KRFdPV8moiJdZYB4yRgBzzDsgiRKjem9aeloYxfmEB5SjFI1ST84HmuQUPKqKKqhHDdPQLLkfkPmEa4YbNSCQ=w1200|https://lh3.googleusercontent.com/pw/AP1GczO4lRApzU_-TbL9oNpuXue49dw11CGRyZdC14GdG8seavkKqwxfEicS9SPM5Vhv_17I6JNrCoeF05HW0UX97J-kTpCiGp1oScmwsnqtHVUHtVH9tMS_=w1200|https://lh3.googleusercontent.com/pw/AP1GczMJMGxQmtmITMtmL-wUMvOlgPQ0tVZmEWmvju8Q9mpeVHMcgCvIDv9l6cdEvJy2Cq9ZRh6zNTTI9nh-t_aaAMSmQ14WkapmRno-HlTpAMc0We43t5px=w1200|https://lh3.googleusercontent.com/pw/AP1GczMiFP6x-aJl_6jSvdYAPXohsf_Ucz_A0iui4wxS_lD05dGL23GlQXbzT9Pi3k7nElcXomRgMSXx4hELpGunD5QniBsh8Ks9JRdv6dsxnTMVqSKjL6Q5=w1200|https://lh3.googleusercontent.com/pw/AP1GczM88aV8VaNmD9P0xXH-RcBjy2LVR9s_7NyYVtpxINcpe7Pgvj3siWYrfg4gPuca-S1CzLGsu1js8ZrmbQ3sJJIUwu5Zlk6UNHCcy0QyLRHPyl75Rgu0=w1200|https://lh3.googleusercontent.com/pw/AP1GczPK1lFtukScGrvgPRqU3VaIP3m7DIGSdjdZqxz7xDqQr2fnmRtJ3x93VVg7qvq39VnRlsmJWsYXldtFqDDra6xbKNTUtdT7cXM0MQQ448qJvHl1deoL=w1200|https://lh3.googleusercontent.com/pw/AP1GczPufUrSYNmjc83XXp_MDYychDJ6cX-wyL-lpCQlqvImhn4bCk9gNqOGWJPPxVf2d9eDqVn-Gls5bRvEaq4ef9pF_Ew-vAuCXSL-0XBNBclah5_tA5Tw=w1200|https://lh3.googleusercontent.com/pw/AP1GczNSeUK9ReZffY29ij4zcOSav5pE0dTplFdw3KiGPWwasOkS5b84EW5TY92dEGIuQHy0KdvUbAhMH0SHW7mHzXmpQXcp8VYjqNA-3_6GbmMjuf6ymV6p=w1200|https://lh3.googleusercontent.com/pw/AP1GczMrlRSUCtc0RKbhyDyDmtImIMvOmwmWkZPtPwp6-I0cAO5kUMUfrncGvx_3fE1cmbzQuvvpqIldJjAqHKIYVT9wM8xxXAc84TAwhFWOi_WaXjp_M8bh=w1200</t>
  </si>
  <si>
    <t>168</t>
  </si>
  <si>
    <t>Casa en conjunto - Ipanema - Oriente</t>
  </si>
  <si>
    <t>https://photos.app.goo.gl/cYE8YcdXwVsfKhY56</t>
  </si>
  <si>
    <t>Esta exclusiva casa de 1 piso, ubicada en un condominio residencial de estrato 5 en el privilegiado sector de Ipanema, al oriente de Neiva, destaca por su diseño de lujo y acabados de alta calidad. La zona privada está perfectamente distribuida en 4 alcobas, incluyendo una espectacular habitación principal equipada con doble vestier y baño privado, además de 3 habitaciones auxiliares conectadas por un patio interno y un hall de alcobas. En total, la propiedad dispone de 3 baños completos, un medio baño social y una espectacular cocina integral de concepto abierto con isla central, mesones de granito, campana extractora y alacena independiente. El área social ofrece una sala de TV, un elegante comedor con muebles empotrados y balcón, complementándose con un patio de ropas independiente, un zarzo o guardilla amplio de 12 $\text{m}^2$ para almacenamiento y espacio de parqueadero para 2 vehículos con área adicional al frente.</t>
  </si>
  <si>
    <t>La oportunidad de invertir de inmediato en este inmueble radica en sus exclusivas comodidades de bienestar, entre las que sobresale un sauna privado completamente enchapado en madera fina dentro de la propiedad, un verdadero lujo diseñado para la relajación total. Adicionalmente, el condominio ofrece un estilo de vida inigualable y máxima seguridad con portería, piscina, sede social, cancha múltiple, parqueadero de visitantes y una tienda interna para su comodidad. Su ubicación estratégica en el oriente de la ciudad garantiza una alta valorización y tranquilidad, convirtiendo a esta casa lista para habitar en la opción ideal para familias exigentes que buscan confort, privacidad y un entorno de estatus superior.</t>
  </si>
  <si>
    <t>https://lh3.googleusercontent.com/pw/AP1GczO032plPD0V6WVdD8Eljp7iACw9526WZQ2_505uHhmo6zSfWAYYQJzG5C_M1DRZu1ylOsU7WjDTD0VBXrcPiPmxfAnPTJupAB3X_fvj3uQVzZYstCPp=w1200|https://lh3.googleusercontent.com/pw/AP1GczNfvffmBgXZCfXjZuMeq5CyIlGONfzUsYrai8304yoDv051F4ugA_ZfuD7vQAZI_9lgMB2rEKkzVrHXx1WRbrxTRBhlGtJBVpKsZpqGbD_HytOOqshC=w1200|https://lh3.googleusercontent.com/pw/AP1GczPZ7K_k-wm12CAACEMSTxjJcmDw8d2HmyjDFH9E-DSaj2jmp-ErGT14JjZq8Mgp1JtBWCz9o0UlayozeR9llEd6jGmbyVf58r8bwcRXflbWyOOqkg1h=w1200|https://lh3.googleusercontent.com/pw/AP1GczPj9iUri_aRatvdXSLsXgyA8NTM-7459r3RECxL_fiep_a3Jtc0OGBLIqjCYZdIMcfxrB7mF2l5vPTMuLeH4Yb03XhsROIslx75vJNycZJtK-MTIehu=w1200|https://lh3.googleusercontent.com/pw/AP1GczP-FwC84fFTdattdVQ6Xp5Zr8-lYxP9K9mdxPMAm96B5aCUxdCXfcOSUNA1AlBaSf2QLnRCLkx7ir_eEiDFlv4zvU2jvLteiCajXhhbJWd3A5t3f1ze=w1200|https://lh3.googleusercontent.com/pw/AP1GczNt9zNNUzqtuaduk9e5ZXA0qThwWTShCeFWe_4hLc52C6OhyFHf4D7K-7iM9448L794GHcMgta9MvfUXO9qtG03MuOa8dvq40sG4j3dpsNGJU9PxqQq=w1200|https://lh3.googleusercontent.com/pw/AP1GczM-3ef5wdmMNwiMmXRUmM6THp3FW85TtYA2KDruggYQRuq_8jDw9jbZoVXr5d40_g7J6zIfRCR7piSaXasEJKn2zx7UG3dg4QMwjL-VHiZqgAG-o2B3=w1200|https://lh3.googleusercontent.com/pw/AP1GczPKzRfQWDWAU_g8K0ilO0Pm_icFFc6vdfieU4fowdjE2sPUlHmoEcqMq69nft7Qo2uSwv00W4bUc78aUUT9tJFEpnZxPe-0EKofwU5GCi1KWcoO7qR7=w1200|https://lh3.googleusercontent.com/pw/AP1GczONmCqTybnogMu7HhqTjF1XREETnzHrlJM0nyYTDvjMq4bDF9jw2mONAXEUVlC1vkENYOFmT4iVDorJlkSO7wwfC-gls-5LQQTWzYaC0lZ2Ufts6j4K=w1200|https://lh3.googleusercontent.com/pw/AP1GczPRnarsyBeWa5ZlSBOgiCw5-7BxXXvAl77XbXklRs9PL8AFzozKaT0uwCskWSWbk9tJvDqtSsm1X5xg2C48N2phYyoYx4t-YJOeHbWoseNNn9VI2g1d=w1200</t>
  </si>
  <si>
    <t>325</t>
  </si>
  <si>
    <t>Condominio Portal del Campo</t>
  </si>
  <si>
    <t>https://photos.app.goo.gl/jHjiVbdun4VCW4KM8</t>
  </si>
  <si>
    <t>Esta imponente y fresca residencia de un solo nivel destaca por su sofisticada arquitectura y sus generosos 243 $M^2$ de área privada en estrato 5. La propiedad cuenta con pisos cerámicos de alta resistencia en tonos neutros y muros con acabados impecables en blanco que maximizan la luminosidad de cada espacio. Su distribución perfectamente planificada incluye una amplia sala-comedor excelentemente ventilada, una moderna cocina funcional de concepto abierto con una elegante barra americana en tono oscuro, estudio ideal para el teletrabajo, cuarto de ropas independiente y un espectacular patio interior social con una hermosa fuente decorativa de piedra. En la zona de descanso se disponen 4 cómodas habitaciones y 3 baños en total, resaltando la alcoba principal por poseer baño privado, doble clóset y acceso directo al jardín interno. Adicionalmente, cuenta con un parqueadero privado con capacidad para 2 vehículos.</t>
  </si>
  <si>
    <t>Ubicada en el exclusivo e idílico Condominio Portal del Campo, en la cotizada Zona Oriente, esta propiedad ofrece un estilo de vida privilegiado que combina la máxima privacidad con el contacto directo con la naturaleza. Vivir en este entorno seguro y tranquilo le da acceso inmediato a un club privado sin salir de casa, gracias a sus completas zonas comunes equipadas con piscina para adultos y niños, parque infantil, canchas deportivas, salón social, zona BBQ para reuniones familiares y parqueadero para visitantes. La ventaja competitiva de ser una casa de un solo nivel garantiza una comodidad y accesibilidad inigualable a largo plazo para todos los miembros de la familia, convirtiéndola en una oportunidad única de inversión con alta valorización y el confort que siempre ha soñado.</t>
  </si>
  <si>
    <t>https://lh3.googleusercontent.com/pw/AP1GczP3Eeog6zVE8KRrKR6eP8UTMIQdYqVtBNnxreH8I4nZCJFVYEA5zPGTHDMNbuHZAYEQBy0I35hHKGoUfjDyMlIUgRLOZDNgYVQJgZYxZZyt5mK-cKSp=w1200|https://lh3.googleusercontent.com/pw/AP1GczPkqpg5EwPG38u7g8wks2Qfy9ZRJxCBg9qAexozHThy4kSAYO7NzUit2nkChZi6q-7fvpovZj5R_pIWZ20qv_OAHGxaJ9odPcKRlh7SPm-SUv4OAp3y=w1200|https://lh3.googleusercontent.com/pw/AP1GczMu6qUPdteQIiCUAKmDLB39nntz1zvLAmQq9aXqAap8zi6MNktIbhaXf-cT5CIB316U4q3kQgQm_ObgKBhUySRPbMH_4aN9OY5VKoRKTr_nPy2etTGi=w1200|https://lh3.googleusercontent.com/pw/AP1GczMW9MCRINkeY6em221jhzd9OAmzGlA8VNTwqW2JLOUH-L5KECiQoVpZ-qbvPtommLYtli48n0vRI-QWdfI9fH5D9rcAZQHWo_HNqkzpVqAlJYYtLYRa=w1200|https://lh3.googleusercontent.com/pw/AP1GczN69hC1dvZVJIyewshDnSjl28lRF9zekaz8KmJZ1xz92J_B2aYfCrqVK72-RReTz-GcbiaGehUoBKGAJVGt2lM86XpoVpSc0F_4dK8aMXCq1NrMof0K=w1200|https://lh3.googleusercontent.com/pw/AP1GczOGZYxSpcXrhxRKDwEin5VWcAliGs5PZ_jdIA80eGUwoQH8QSzom73BSCMcmQQ7wftxC0B0zrfl7H0K78qfQHoNbpB7NCe7W0shD3qoYGZy9R7E_MRx=w1200|https://lh3.googleusercontent.com/pw/AP1GczNEtZo9LYsXLXHnj0yfsbZvNXED3Tt0x1iYU4w9knNF9gHwj4-yhLLeLdvnqG_htTzBVC6TTkWdTK9kbBSG_19yS9oLi_Sbd-OR64mV1zBIVRB7QE2n=w1200|https://lh3.googleusercontent.com/pw/AP1GczObW29WCZortcKgTluFPO4livwVpLCIwaOL3mRCFrzMN0VyaGwnvmTwEn-4TTy9JVxEVa2K_3sFYpEG6CNOwI1tJmCHTJGPF9wrWYAoVkD2VXfg9XID=w1200|https://lh3.googleusercontent.com/pw/AP1GczO7bPkozGJTMJ07aByj5F6jqw5MdqqSx7blVc56z-7d4eX00-HGvTu-r2kmLgVoMZUYxnYFowWR5nnoAyYwMnrt_PY5YbVuWwGls5FJueRODbwQ2W34=w1200|https://lh3.googleusercontent.com/pw/AP1GczPTcSWAtCtTQRC23cGvSSEZ5h6uJUzDK_si3CBxI2wpTRktSivoGKG_Wqg083341YUyQuJ1uyulXMdk9Nth225URvn8zVTUAJmK_kp13YhbGne9Z98X=w1200</t>
  </si>
  <si>
    <t>887</t>
  </si>
  <si>
    <t>Apartamento en conjunto Condominio Reserva de la Sierra - Oriente</t>
  </si>
  <si>
    <t>Conjunto Condominio Reserva de la Sierra</t>
  </si>
  <si>
    <t>https://photos.app.goo.gl/ajb14WJLuippEKqn7</t>
  </si>
  <si>
    <t>Este exclusivo apartamento destaca por su impecable distribución y acabados de primera calidad en un área construida de 138,7 m². El espacio social integra una sala comedor con acceso directo a una amplia terraza con vista panorámica hacia el sur-oriente de la ciudad, complementada por una cocina integral de concepto abierto, baño social, estudio o sala de TV y zona de lavandería. La zona privada está compuesta por una habitación principal con baño privado, dos habitaciones auxiliares con baño compartido y una práctica habitación de servicio con su propio baño; todo el inmueble cuenta con acabados modernos que incluyen puerta principal blindada con chapa digital, cuatro aires acondicionados, cortinas y mobiliario.</t>
  </si>
  <si>
    <t>Ubicado en el piso 9 del prestigioso Conjunto Residencial Reservas de la Sierra, este inmueble representa una oportunidad inigualable de inversión en la zona de mayor valorización del oriente de Neiva. Sus principales atractivos radican en la espectacular terraza con vista panorámica que conecta el área social con la habitación principal, ofreciendo un estilo de vida exclusivo, seguro y confortable. Además, la propiedad brinda total comodidad al incluir dos parqueaderos privados, depósito escriturado, estrato 5 y un leasing activo con Davivienda que facilita el proceso de adquisición, convirtiéndolo en la opción ideal para quienes exigen amplitud y distinción de forma inmediata.</t>
  </si>
  <si>
    <t>https://lh3.googleusercontent.com/pw/AP1GczOU1-0o-kFQIv-fy1GysjS8xCxc481wgSdjp6QkBFxK1kAFZmqKls3qhGnD8d8TqRoJv9qZSyNhgzzJNKtcWgYqYomwNJCXzs-ZPypGMhkBkZOcedCO=w1200|https://lh3.googleusercontent.com/pw/AP1GczM-AQnqr0ADHpf5s9aIfTqJ4e975TLrfzp_K4aO5112dHAuLYyhAoxyTZISl9OklmnsmfQ4pbpvA07KAML1NLXLaLbd5uj7NW2uyeqoD1lgpR1dO4jW=w1200|https://lh3.googleusercontent.com/pw/AP1GczMmfANyCHPZk3_kXTN4wDP5buFU2qviV-JeYquzPMPXkOpxGAY0Eq5C63xNUrq2vDYRxHKlpwCl-hGb5DKYX_ABqo0ix71E2gx6xYjZFWjrW5wP8Npq=w1200|https://lh3.googleusercontent.com/pw/AP1GczP1Om2lPDtVNqfG31D-BvQsR1XQHys0Dwprcv4ECEq20cE3GCvRaev-q44aIFgPi1AKEQhP0-I98asA61EUypiM7v-zy-2VUnBeoHPLfjcESDSv-5CN=w1200|https://lh3.googleusercontent.com/pw/AP1GczOfQjqgYxewP__oPbfmuzveLkFGCfaMsa3mdokCfcq9o41SNEzNxWbumX2TIT6kIpOReRmBRwdFCzbbRCDAj7LDDUCT81WVADEOBrGFZok7zOj8-iok=w1200|https://lh3.googleusercontent.com/pw/AP1GczP2_0Kz4hgiZDVYIQBqD3WzjyKW61Poxv4EpxWJFeMDtub8Lomfdsf4VmCY8Nb1yLtQ_RtjL481K8INlCHJzu-Q3SwxJkQg7_NjgQKzuc4jIU0S6_da=w1200|https://lh3.googleusercontent.com/pw/AP1GczMC_YH4y51JSamOIBZMc79diLZJsw-NglkwZoDSe_fPBSe_zACm7NBjj9M4_bEgkkM_q_nEnn8WZkLnjJqLbZftKXbjaXauUzOLRH-T_Sivbpw0rH3_=w1200|https://lh3.googleusercontent.com/pw/AP1GczMCcQJR5mg8m4_mwjcfPQlTuth6GskpmnoZnxjTHaFCGH1obsvYwFU1bUgvYUm6jLqugYy5iMw6Q6V3HUrO9Y-10Tvetu0i4_fgzA6w2xvjnVZgHo45=w1200|https://lh3.googleusercontent.com/pw/AP1GczPKRWYtXBq0w_jPOqHv9EPYNd8iVzAuJpgDPYlZTkn-Wk7zpF6PPNJWdlzp5xM9O7sDLIR-L3a05pS0dUTyHx3A-BNLP9yHtutweJg330qiIC3SI3qr=w1200|https://lh3.googleusercontent.com/pw/AP1GczPIP9xOx3JirSAgOx4XuvO8taOiWkthZdj1yKFphXVtC4nivq32Bscb4hwehORXtFsR9tyWgA-qJ2hYK8nk-uVq1mUg0a816f9zfe-RcFpIniHBPuDd=w1200|https://lh3.googleusercontent.com/pw/AP1GczOOObhWG4iewY59FzRVqwYIy44aLBA3tpzVP9NJxqWTclEVlcO5APO66ExXreHlz6lbpC7tzuF2GGlg9RGD70T81ZSN4AXDz0TL7PRQyvyjHhU_bp6o=w1200|https://lh3.googleusercontent.com/pw/AP1GczNeB_jxZI2KOYVAVRyROVzTF5kof4DDwHlmIMlFuVaV47BPEdkhZTrRzZl7o_AftaW0DSGg__ZQW0O8CWaHaTXCQc0gf6A2CZvsk0LORQ3xrPnQ3rn1=w1200|https://lh3.googleusercontent.com/pw/AP1GczPOpgvZP88EZaVQIlYwmRvU0NNKqydJelCIj9UtizNV-vIaULsmNQfBTDmaVxcSKgzkwZKWShdvSS7vCaBwrFrQxRULCoETz14P6NeqKZufJenkBmNy=w1200|https://lh3.googleusercontent.com/pw/AP1GczO-3O8oaRpeRAmUGLrMSlergoGyZDRUZvQxZMPs4YQbn7WDo_zcGkSHFaGiiIYSX8p_DBfzzYHtjygc11KFjXocYOKa_bAnwBbcteaW4ybcgSKDojHm=w1200</t>
  </si>
  <si>
    <t>499</t>
  </si>
  <si>
    <t>Casa comercial en barrio Centro</t>
  </si>
  <si>
    <t>https://photos.app.goo.gl/Fxg3PPhvJxxX3MiN6</t>
  </si>
  <si>
    <t>La distribución estratégica de esta casa comercial en el centro de Neiva optimiza cada espacio con 2 amplias salas-comedor, 1 garaje, 4 baños, cocina semi-integral y 2 patios internos que garantizan excelente iluminación natural y ventilación. Sus 5 alcobas, perfectamente adaptables como oficinas corporativas o consultorios privados, sumadas a su ubicación de estrato 4 en una zona de altísimo flujo peatonal, la convierten en la solución definitiva e inmediata para empresas de vigilancia, cooperativas, institutos, oficinas administrativas, EPS o IPS que buscan posicionamiento y visibilidad de marca.</t>
  </si>
  <si>
    <t>Esta imponente propiedad de $150\text{ m}^2$ gestionada por ICDE destaca por sus acabados de estilo clásico y alta durabilidad, ideales para el uso empresarial intenso. En sus áreas principales, cocinas y pasillos resalta un robusto piso en retal de mármol pulido con vetas multicolores que aporta frescura térmica y facilidad de limpieza, mientras que el salón principal exhibe un elegante cielo raso en tablilla de madera natural barnizada con ventiladores de techo y lámparas clásicas integradas. La conexión al segundo nivel se realiza mediante una sólida escalera de granito pulido con perfiles antideslizantes dorados y baranda blanca, complementando una infraestructura de muros estucados en blanco y una cocina funcional con mesón de acero inoxidable, gabinetes modulares y paredes totalmente enchapadas en cerámica.</t>
  </si>
  <si>
    <t>https://lh3.googleusercontent.com/pw/AP1GczPnBHDL2YBgE5tdO8ZmXj3p9yN0hE6Rj_hqsDBPzKVZYuW9WDZR5bfxKupE0jl8XArFWw8CBXTs3oqzApvSN-b5whZaryqVWvHb4zjT2y2OuUwPt-Pb=w1200|https://lh3.googleusercontent.com/pw/AP1GczOlGiiz4zrl84ZpsdO-JUriZbV8trU69Jv7LXewrX0ZsnnoUkUkVeV7QL-nYfMIY-Uqnv-QPTQxNCVVxcoTyFNXJQLPN6XNJX7USRTWXBnZmTdgc1Po=w1200|https://lh3.googleusercontent.com/pw/AP1GczMb99Dr-_pEpzsqwThtjrA2huvXgrGu2ejGKM1hhjlGkvJYIH4XcEhKCI5iABJYD3JuhBjYM2fIDupXFZ81rtA-KQjtTI51AT3CUOjeafo1vBKAdKSt=w1200|https://lh3.googleusercontent.com/pw/AP1GczO20yZ9jKHz_jOKUSWPtTYkCcM8Zvy1HV_LQGYXtilnFYVLarcLzDfxe6iK__hk6XYkKosUtFe3DGJsiEI3C6er_RYl2uCDtx21JcgcaxQBPPJeheYN=w1200|https://lh3.googleusercontent.com/pw/AP1GczOxc1p9XieSzf-sK4qqIHi-BulOOLx7TWGMv7IT3yHDnwKo4cmiO-8k6XJ6FgnFzOnCZtr3cJHegSaHIkKdqS6-o5zGYmQRaSXbn2u3bSuWvsW5Yjsz=w1200|https://lh3.googleusercontent.com/pw/AP1GczN4gIwq01pXMBcca-DyjxWOEj_S6G8VNBBzlDaYkz-8ZJC-7XgmiELjj4tQ912VY4YqPMarXVz5JgIgseaaMUYDyAPvlOVh4HooEEdws8BK0JczwOy7=w1200|https://lh3.googleusercontent.com/pw/AP1GczONRZ5T229lMe9ZLHbURIqcoRkV27AtmwS1-CFLx-u4lM900wh2KC5N7tE4JqnQQFj6Tl7m3xiHK_ek0bztw5aKZv-dQUvUgRFqPdFodh0kwKC4cdD4=w1200|https://lh3.googleusercontent.com/pw/AP1GczPideL1e2sAkt-cRhcFsV_yaQNxuEV5SRd3Qsa74aKlVNkUnMKDB8bMnLV7c4CguQiPe0iIiQq8GQStic6zR6Pm4JPC18JgU6zoq9QhOAtrtFGzUQuA=w1200|https://lh3.googleusercontent.com/pw/AP1GczOWQxin5fGC6y27DsMz8UB4UOspEnsjETmxIhK8uSgHusc4e0qOJA6faKfdmy0YuUbDrNDdLDHFgHNsPt9ZDZbGwn4R6j2PcP102LUusVbkttNyT0PH=w1200</t>
  </si>
  <si>
    <t>683</t>
  </si>
  <si>
    <t>Casa en conjunto Caminos de Oriente - Ipanema</t>
  </si>
  <si>
    <t>Conjunto Caminos de Oriente</t>
  </si>
  <si>
    <t>https://photos.app.goo.gl/DztRgWe6qoxF4waQA</t>
  </si>
  <si>
    <t>Esta exclusiva casa esquinera de un solo nivel ofrece una distribución fluida en sus amplios 155 $M^2$ de área privada en estrato 4. Destaca por sus espectaculares pisos en retal de mármol que aportan frescura natural, muros impecables en tonos claros y una cocina integral clásica equipada con gabinetes superiores e inferiores, estufa y horno empotrados. El área social incluye una amplia sala-comedor excelentemente iluminada, un estudio independiente y acceso directo a un encantador jardín interior con terraza ideal para el descanso familiar. La zona de descanso cuenta con 3 cómodas alcobas, resaltando la principal con su propio baño privado, además de un baño auxiliar y un cómodo parqueadero para 2 vehículos.</t>
  </si>
  <si>
    <t>Ubicada en una zona de alta valorización y absoluta tranquilidad en el Oriente de Neiva, esta propiedad esquinera destaca por estar completamente libre de todo gravamen, garantizando una transacción rápida y segura. Al encontrarse dentro de un exclusivo conjunto cerrado con vigilancia privada 24/7, brinda a su familia un entorno protegido y un estilo de vida superior con acceso directo a piscinas, salón social, zona BBQ, cancha múltiple y senderos para caminatas. La gran ventaja competitiva de ser una vivienda de un solo nivel, sumada a su excelente iluminación natural y privacidad, la convierten en la oportunidad perfecta de inversión inmediata en el mercado local</t>
  </si>
  <si>
    <t>https://lh3.googleusercontent.com/pw/AP1GczMcMSbkOhofOpztsrmlLW90V44fwWI-RPY7CB0lFIeRc8Adp_CaiNH9iOfDlXC0hsWiSzGK3Tin4BwBZoSPOkRw72fVEDlyMGmpSD01n8cF2bBaWepR=w1200|https://lh3.googleusercontent.com/pw/AP1GczPZYYNwpVGudj4_Waco92Udq3EzO5D6T1Z6mb8AcEM4j2DTBzEh_Tc0q1iKTleMLKHMh5ivlDQzVjOwnICg2NrgHy1BJuaQ5u5sYTeuYshHmKbCC5R9=w1200|https://lh3.googleusercontent.com/pw/AP1GczNddqIVbxY8t6CT_1G9XjLI8hfhWqQKLSnx08DeMDiilnXaK5wG2yv_0ndqlYtYRPBErCVKDLgOjAMH4elJD4kVDZNvagc6_-k8dhj4B6Ibj1B5iC9D=w1200|https://lh3.googleusercontent.com/pw/AP1GczPkDElXKkx4ZirG2p0hSHwzMh17NBLb4egk6-u41BCFiUC1t9QjELg9rpJr6ltHjvc85pJxEjsco0rw_1iXOYDf7Ml5wp3kil3dnfjP_oLcMRh4TfD8=w1200|https://lh3.googleusercontent.com/pw/AP1GczNQnhYd7gS6nfWgNUUtJMnHXUccRf0GRq1DWBRZBgBZX68qSvJojThNt2yokN8ATd8owsJTwH5GdB6s-h-PR_ZXlgTZ4OTyUOkyJ8CKESb1vgvqrgLd=w1200|https://lh3.googleusercontent.com/pw/AP1GczP1FN9aROh9eCZxXaQAN3bds7DHRZch1OQhPx2TfWVxp8mORrIUfsCEL-IjjNJ-BSWqxz02n8ZyjxsmI5vAz15fcoD6aA5KFAqr1dw0oBeWlE8KIuxy=w1200|https://lh3.googleusercontent.com/pw/AP1GczNSsV6uOiWw8WkRSnWrK_x-yWnTB33pziHSMhDiScDF2MYazkSOEsAiEly86JcbSi4CiHbOG4FaIEWKzVOfEUXh5Z7iMHRNNmg9fka0E8ZvwssZhCM9=w1200|https://lh3.googleusercontent.com/pw/AP1GczMY-OcrTN1s8j_9YlDTC7MMvkLqExgL_F0m_DXf7vdJ9GJ6b62anPsGfnTg964-fXRvL6DAavY9eWW04cfBxcUFJY5Cz6PpD-WqTVhWEfU1pNDls1KZ=w1200|https://lh3.googleusercontent.com/pw/AP1GczPH78kxph094UUdBIuPhN4R_OvVll6lXADm9vts0TK3Esy7VT6YTZLWMmMlkseZ5HrIuncJD06AtaYa6Q-sai6OEkmAtM19fDPtyX10bYM-FQPyQ1XV=w1200</t>
  </si>
  <si>
    <t>902</t>
  </si>
  <si>
    <t>https://photos.app.goo.gl/36B2s4ujcJqaYJ5a8</t>
  </si>
  <si>
    <t>Este exclusivo apartamento de $162 m2, ubicado en el piso 12, destaca por una distribución inteligente y espacios diseñados para el máximo confort familiar. El área social ofrece una sala-comedor sumamente amplia, inundada de iluminación natural y conectada a una hermosa vista panorámica hacia el centro de la ciudad, ideal para disfrutar de los mejores atardeceres. La propiedad cuenta con una cocina integral totalmente equipada, un estudio ideal para oficina o sala de televisión, cuarto de servicio y tres amplias habitaciones con clóset. El gran atractivo de la zona privada es su majestuosa habitación principal, un verdadero santuario de descanso que incluye vestier y un baño privado equipado con tina</t>
  </si>
  <si>
    <t>Ubicado estratégicamente sobre la cotizada Avenida La Toma en estrato 5, este inmueble representa una oportunidad definitiva de compra gracias a su alta valorización y conectividad total con clínicas, colegios y el comercio de Neiva. Vivir aquí le garantiza el estatus y la comodidad de tener todo a la mano, eliminando por completo los largos desplazamientos diarios. Además, el apartamento resuelve de forma premium las necesidades de espacio, privacidad y seguridad al incluir un depósito propio y dos parqueaderos privados, convirtiéndose en la opción perfecta para familias exigentes que buscan mudarse de inmediato a un entorno seguro, exclusivo y con una ubicación insuperable.</t>
  </si>
  <si>
    <t>https://lh3.googleusercontent.com/pw/AP1GczPOzs3VUJOs8RG2JywHcRyixTQMt_NN4PWEQpFGL-6aBB-qjou1DRK5fXplw31puNUDYBTVSimE5qOEmnz6HeTcT6ojo4qyGvQE-nnvED1MvtyhWZE1=w1200|https://lh3.googleusercontent.com/pw/AP1GczMelTJ-17ronFImOeKtendGMk0rLFOSBAa32a544QsF-2wDYIbvTFAd1haiDJYP5KnrFyJICdmoOCX2zq8Lx1kr55XgBFD1cKZWYnu9RB0E8ZqrdmGs=w1200|https://lh3.googleusercontent.com/pw/AP1GczOc8bmObP_aR07yRMwCf54UuyVhV7GK7N9ntIA2yFyRY6YW73dusOmVo2quWKsvVV-Ux_82O3Rk9q1oWAz-VdLcl_OPX70rZrEgavR4bzfTn4RlhESK=w1200|https://lh3.googleusercontent.com/pw/AP1GczNkZ_XzyQVxLhEoJpCQ5OCLCKui7K92yTORCgGutaiyzlNL04jMD6FeipiSxBeD1KreQH7eZ7q5SS9XFSq85J3zFM3qn_OOofOoJy8QC4UIn1XrJlr8=w1200|https://lh3.googleusercontent.com/pw/AP1GczPoYhbXiYkqmVSOVSEgReF1sy-_ovLwKKc8PKSB8anyyXH39WH7mCYgsfzei4YG2yH7AJCHv2djHWPGM71Ad2iMRH_hHBEevYt_oREJNpVEYSVrd1_U=w1200|https://lh3.googleusercontent.com/pw/AP1GczM6gZiyw6BJNoopwl_4L4XMnNL3MHdSmq2IBPlUPsiQ81HERXlsdv_eqDBsTCMgo1DgOjb1cpzpXP_JNtk71MjattTSsiHccNJ0G26UtcuO5gDCVxVd=w1200|https://lh3.googleusercontent.com/pw/AP1GczMwh34WhtRbAL-w59GW_CTr5QY9LVcpmGEdpqQgf9_DtTvKCbP7uLP9tqyE6Qvn4c6Wy5bqL3oa9xkTnvSAlqtyZVPBA0hBTS7TszBxuIAYyL8n3zi8=w1200|https://lh3.googleusercontent.com/pw/AP1GczMDcYRGtC_1F9rG97vTZ_Be3ZQUXxkWm3MI4DUUUn4TrcslNlgZq_JOcEdQ4hvttEQQcHs_S17NASWc3ZJi3t320a8hWVfRLD2ELookQttNT4_EDSjV=w1200</t>
  </si>
  <si>
    <t>861</t>
  </si>
  <si>
    <t>Apartamento en conjunto Residencial Altos de la Colina - Oriente</t>
  </si>
  <si>
    <t>Conjunto Residencial Altos de la Colina</t>
  </si>
  <si>
    <t>https://photos.app.goo.gl/BCBAhci9AiitbcEi6</t>
  </si>
  <si>
    <t>Este exclusivo apartamento de 104 m² está ubicado en el piso 6 del codiciado condominio Altos de la Colina (Zona Oriente, Estrato 5). Cuenta con una distribución moderna que incluye 3 habitaciones con clóset (la principal con baño privado y balcón), un baño auxiliar, sala y comedor independientes con excelente iluminación, cocina integral, estudio para home office, zona de lavado independiente, depósito y parqueadero propio.</t>
  </si>
  <si>
    <t>¡Listo para mudarse y sin gastos adicionales! El inmueble destaca por su espectacular vista abierta al sur y un paquete de mejoras de alta gama ya instaladas: sistema de cámaras de seguridad 360°, chapa de seguridad, 2 aires acondicionados, cortinas, muebles de madera a medida y pintura totalmente nueva. Todo esto en un sector de alta valorización con una administración de bajo precio.</t>
  </si>
  <si>
    <t>https://lh3.googleusercontent.com/pw/AP1GczMhENpb8Ie-VickB_uvhDojc53Nk1_pFSKyiuFAfN5BoaiU4MHV06yBR0d2TtB0f4WTWBSyM0czNX2ha-WIV_v9nl3aJufY69ig7O1icugXZoscHYLw=w1200|https://lh3.googleusercontent.com/pw/AP1GczP8ab7Y6ImoCwpn3Kavvingl0UDauVwLMcU_QLt27ofdp8tfZNUvjK9c2jogwJ6qBk7eKe1NG3beiIUhgo6avw9hA1PbDGgcaBVGJqqaxeFxRqQdsn4=w1200|https://lh3.googleusercontent.com/pw/AP1GczMeMyJm6ZRCto6i1FYczkjGemD_bTFIAT6T59mwBLfhR71Jn_R3p_cCYVt5yAIKVfUdiMoyaavUfn8cwXnmYb1O1M-xeHcGYrkp24qAD5pc6ShMFUgu=w1200|https://lh3.googleusercontent.com/pw/AP1GczPjr6tkLAhPMAyFUCUxAGdoZdsEu2l8HWEs5jrPeJQq2RjHUWV4mp5CBU1hzskoauhj2EziAYZlQKQMIhd6Ls7drqavQLP28Gq_-THsNmk8Rm8f82eA=w1200|https://lh3.googleusercontent.com/pw/AP1GczMoU3P7e0ubQG2H41s6gnxFy6qKGyGM_f_YgXzBrP-bWo-gbiQ0ErUsk_delRAXpURA32HYVU3SAM__TudBR_wxJhmWnjDP4bLHtxKlGAcVZCV2JiBP=w1200|https://lh3.googleusercontent.com/pw/AP1GczPTUFNiGYfaqNgQjydyaOfDE6JLhDp4uq7f0FWoaUIWc2RVUZvevCcVjBjvCz-aPL-Mvg5TisnWcgO2IBU1_EGujY5vOZ-lwa9tGyRLB-CZGYdOTc0V=w1200|https://lh3.googleusercontent.com/pw/AP1GczO4fjMn7hDP_n4SxtEF3YC_wW1aUFAm7Lghk3OcNboJXDPSRs5Ez39IVIkvM1Kds6H3qqhrzDFfZ3Yd4ePhnNfE9E6kMW5AoEOqfO2rlKMI_LfzB9NW=w1200|https://lh3.googleusercontent.com/pw/AP1GczP__TCTm5sjMhcL8zl775FfG2W3J1wzm7I8eVqNvjplNcONhnBZgOkf3iQqTeZcWnhaISt5eef71jSdGlqbysO2JWGzMRAKt3DA5ciljZfUDcI8C3LL=w1200|https://lh3.googleusercontent.com/pw/AP1GczM8reALD0UfQ6GhCZUIU_UK5On7ZgJVAil4ciKbMb-vDb649NAhOria9SJarAOptrw1TPS9syca0d37bGx1gfb-lwBBc5O44p8a6vYZbL3syIZFVLMW=w1200|https://lh3.googleusercontent.com/pw/AP1GczNWyzsB7tjBos21H_B3tFdQRzsNPrPZJi87lvQdAzlzUBXboan4Voc6L75FBFxCSQZ34kitW0tlqxbVeceQJtPAGqO2PVYd40aQFWp_fWkKjye5GLeO=w1200</t>
  </si>
  <si>
    <t>590</t>
  </si>
  <si>
    <t>Apartamento en conjunto Condominio Altos de  Marbella - Oriente</t>
  </si>
  <si>
    <t>Conjunto Condominio Altos de  Marbella</t>
  </si>
  <si>
    <t>https://photos.app.goo.gl/KXt98zinGCgBbjNs9</t>
  </si>
  <si>
    <t>Este espectacular apartamento de 95 m², ubicado en un exclusivo noveno piso de la zona oriente, destaca por su diseño inteligente y acabados de alta calidad. La distribución incluye una amplia sala con excelente iluminación natural, un comedor elegante ideal para reuniones, y una cocina integral moderna, totalmente equipada y funcional; en su zona privada, cuenta con tres confortables habitaciones con clóset, destacando la alcoba principal con baño privado, además de un baño social para un total de dos baños.</t>
  </si>
  <si>
    <t>El verdadero valor que hace de esta propiedad una oportunidad irresistible radica en sus características premium y amenidades exclusivas, diseñadas para un estilo de vida superior. A diferencia de la oferta común, dispone de dos parqueaderos privados y dos depósitos independientes, garantizando máxima comodidad y espacio de almacenamiento; todo esto dentro de un conjunto residencial con vigilancia 24/7, piscina para adultos y niños, parque infantil y salón social, lo que asegura una alta valorización y la calidad de vida que su familia merece en la zona más cotizada de la ciudad.</t>
  </si>
  <si>
    <t>Integral</t>
  </si>
  <si>
    <t>https://lh3.googleusercontent.com/pw/AP1GczNLhRX0SeCjz5fCvuhPbhERKz-nRsGWJoAmQLl9QqLiHaaUq9FeRbIt9WLHHW8ARd-m-dlQbkSTbRgKRHaQR28kbfonx0nzItfd86dZbpU1s88QOGwB=w1200|https://lh3.googleusercontent.com/pw/AP1GczPyVU8CpfW2fw-DkkvkdM_ONToFx59ZEmLyB8kohpRR-JpJ_pwa6fO5R4FYK_WWKtQp-FrYcS4P5QGa4E4kfxyn2i7n40tFyWKzcsjwsV30L36zknsR=w1200|https://lh3.googleusercontent.com/pw/AP1GczNPsnyxehyw-h5AVg6jJswMM2P6BoJQkxnHGSPfSrrgEJZWtp5Ar4WIHxKALsEwKSzolvfm1TnHEHi90OJz81ZNXjlqykX06c7uqS-dPcXZb0ezoFZx=w1200|https://lh3.googleusercontent.com/pw/AP1GczM50QGe0R_GsjvkYj_8XVq359vYRhBzz7GrWlioWi0YC3RdnE_mcaAksyWVfSNishbZbwAaWw3S0f5NdbukAIc6Dqz--h-O08EI_Nx-IbOYBXISj55k=w1200|https://lh3.googleusercontent.com/pw/AP1GczPjdOaX6rKdWmr7OaxnZAWX2pRb4QMJvpoi0M4xCCKQwi6YvdurZIWYoj_RgVDQxtMw86C6AWj2CtKnbpsH04C_8YhJesaXGzm4abNZ1CqfdIGMkOwd=w1200|https://lh3.googleusercontent.com/pw/AP1GczOlRmDMAd0QTiE1kuG59QtHTg5XgR7rTNdVxyT9P_7qYLb6vnhhHTHHeZAy6xrm3dR6b9aYYfzyMvbv1-AUtIxULnDi5R2aSd670ULhBt5sxe-8lWtP=w1200|https://lh3.googleusercontent.com/pw/AP1GczNKNc8zjqJ_SCck1TpPZFi2d8ORkqRgCzWeHm0MZYszlgLPLmBDVLeQjCSdU5MeISpOlVw3HnojvSe4JmRKIkPWcxjJUo6pZ7f225XOKtOo4_xZDFpJ=w1200|https://lh3.googleusercontent.com/pw/AP1GczPWUVUUbEeURUgbUuVp5RVxMqWWZAfUkU9UFzumU4Ng0b0DtyPiGh5BX7K8HzPJXEtufAT0WyocTgDWLZjAJ4YP-gKWT1yNGfyd6Psiw3K0aKffj5WA=w1200|https://lh3.googleusercontent.com/pw/AP1GczOjEBmxFgvAirEbnHbpEy_JQ4_khLQF1sFEYGT11BTZ5Gys7m3Jgdi-jOVHWPXnzcKIm-hl6je23mOfv_V9FSJ9RDVNXKae2wm64BVQwiQ9kceqN41q=w1200|https://lh3.googleusercontent.com/pw/AP1GczNSXNl_KIb9F7_twA_Rfi_AUOHo5qKH0ZTQeI6NC_G9QnSNf4TXUHS_rlyqxP_xfdsqmcn5TK2O-qTqR4sML7k7DyfDIEQRZvERRKPOM8SLJTMia-Je=w1200</t>
  </si>
  <si>
    <t>017</t>
  </si>
  <si>
    <t>Conjunto Reservas de la Sierra</t>
  </si>
  <si>
    <t>https://photos.app.goo.gl/VfqetJvVQF4wQk5b9</t>
  </si>
  <si>
    <t>Este hermoso apartamento de $93\text{ Mt}^2$ en el Conjunto Reservas de la Sierra destaca por su diseño funcional y acabados de alta calidad. La distribución aprovecha al máximo la iluminación y ventilación cruzada, ofreciendo una generosa zona social que integra sala, comedor y un estudio o biblioteca ideal para el teletrabajo. Cuenta con una amplia cocina independiente, un baño social completo con ducha y dos habitaciones espaciosas; la principal incluye un gran vestier y baño privado, mientras que ambas alcobas disfrutan del privilegio de un balcón independiente que expande el área habitable hacia el entorno.</t>
  </si>
  <si>
    <t>El verdadero factor diferenciador de esta propiedad es su exclusividad y ubicación en el estrato 5 de la zona oriente, complementado por una doble vista panorámica inigualable: una panorámica interior hacia el golfito y la iglesia, y una espectacular vista exterior que domina el lago, la piscina, las montañas y la ciudad. Vivir en el cuarto piso de este complejo garantiza tranquilidad, privacidad y un estilo de vida superior, respaldado por la comodidad de contar con un parqueadero cubierto propio y un depósito independiente.</t>
  </si>
  <si>
    <t>https://lh3.googleusercontent.com/pw/AP1GczN68dSqy4tR6X8l2k5CD6h1_pqBNeM4-ZC3sLgNWQFbrjOcD7aRWAxNxgJ9fS3VYJgqONdsJSg2zWF3WMG-R8d9L6R-akkmzH02-2xFU_P6036Jcyh2=w1200|https://lh3.googleusercontent.com/pw/AP1GczMO9ns3zYDW7VdPk94J_eOkmiQBzRSOrgGrBzxpzdixfPTcyazRc-J-6BtJgFMsb9tY669QuepxtUVxzmRLiPrTp7JVmjzgB3spfunwfZKl0M1YhCSR=w1200|https://lh3.googleusercontent.com/pw/AP1GczNP0Rmv5qVf6h4aXn0-iIYtzKL-fOL3NMcs3yUhv4OvRfJV-t73kEPctiOsHPI3s9hLNyMD6I_DGQN2z7BHyks-OleeEobeIX72H6zUOKLqj5IMQxW5=w1200|https://lh3.googleusercontent.com/pw/AP1GczNttMKjzDRzh03zhodYmr7oRteXC2X0kEsTo_XsXLSRtkgQVuEleYttminxzix9loWNcgZmr1mOT-Zk4t3TJ2v-mwuC5Tc-yOiMeUj-Ik5QG6NTodyB=w1200|https://lh3.googleusercontent.com/pw/AP1GczPovHIBY6y1n5_B_bq3QRPWHY7JW49LMAQd9OHfgMKsrD2aMBBsZcuMwFZGAzuVQXJgPm9TWg4qLC_YYwDNd65kg0MOQSsJf72rHUJhvuPq_RZTvdYO=w1200|https://lh3.googleusercontent.com/pw/AP1GczO7hHE8dWSn_oo8EKdS4YrCk7qiIH6JcWYnMajwxuAmcNBng5eJulfwCX_Y0v9iBL-P-r-9TLJAijLgnj2544l2-fLfzRCOXHQE8z6DpqwuNZW25zGG=w1200|https://lh3.googleusercontent.com/pw/AP1GczOk1FViV_1pCMWvTQ12ZahQ96QUQK6_Z0eMuIJIe9k8LGvHc4rqV1EoTigItCm9PsQKkWQgTKYRgTEFOyRSvVWtzGd9Altirlu_MnE9L5KlZ2VKlaKY=w1200</t>
  </si>
  <si>
    <t>125</t>
  </si>
  <si>
    <t>Casa campestre en conjunto - Rivera</t>
  </si>
  <si>
    <t>https://photos.app.goo.gl/D9pupPaSpZULnSti7</t>
  </si>
  <si>
    <t>El área social exterior está perfectamente diseñada para el entretenimiento y la desconexión total. Cuenta con un majestuoso árbol ornamental decorado con luces y elementos colgantes, el cual incorpora en su base una barra social circular con acabados de piedra y cómodas sillas tipo bar, creando un ambiente mágico para reuniones diurnas o nocturnas. Junto a esta zona, la propiedad ofrece un sofisticado jacuzzi privado estructurado sobre niveles elevados con iluminación LED empotrada en sus escalones, ideal para relajarse bajo las estrellas en las noches de Rivera. En su sección interna, la casa dispone de una amplia sala-comedor con excelente iluminación natural, una cocina integral funcional, 3 habitaciones cómodas y 2 baños completos con acabados tradicionales.</t>
  </si>
  <si>
    <t>Esta espectacular casa campestre de $1.000\text{ m}^2$ de lote y $240\text{ m}^2$ construidos, ubicada en un exclusivo conjunto cerrado en el municipio de Rivera, Huila, ofrece el equilibrio perfecto entre la naturaleza, el descanso y el confort moderno. El ingreso a la propiedad destaca por un imponente portón metálico artesanal con detalles decorativos de hojas y texturas naturales, integrado de manera fluida con un frondoso cerco vivo. La vivienda principal cautiva a primera vista con su hermosa arquitectura rústica y ecológica, construida con estructuras de guadua pulida a la vista, un amplio corredor perimetral con barandas de madera —ideal para la disposición de hamacas— y un techo de estilo colonial que aporta una gran frescura térmica y encanto tradicional. El diseño exterior incluye senderos peatonales en piedra clara texturizada que guían a través de amplias zonas verdes y jardines meticulosamente cuidados.</t>
  </si>
  <si>
    <t>https://lh3.googleusercontent.com/pw/AP1GczO39ArcAroXOsIXUTsncQ7CHqgO1-tg2CzJAChIEhITCLyF3dx9faiX5NBGI59R5JfUZPId-vx83GxQTO0fJLxijJZc9nollkqrL7L86NqJ2xqmTa4x=w1200|https://lh3.googleusercontent.com/pw/AP1GczM28Kn7AgOiCNbS0gT7s3BGyti93tXhwz6q0ab7HBlu9l9N1O66ChvCRVAJThXULb3bE0XIyKv8U7E27Zqw4h0j19uSkZTx9s1AfD9w9I3bHzMLavT8=w1200|https://lh3.googleusercontent.com/pw/AP1GczMTl-KES9vAaKI6_l4kmHIkT5gkAgauejqJ1748QKwwYDmg82VwEPX9h8bA_m7L4KCawIgSVVyZ4N71Gq8DOnbTFla1mjDLd19KnsJMAwY9h7rxLUyM=w1200|https://lh3.googleusercontent.com/pw/AP1GczOmfUzJh3LpJAZjtWXUY2VjzgOP4Rfv5KRjCxb7wVUAVxnT3F1NZALmJqA4dVFBVTofkufIB9_xtsydu6iDZho9K7mIsmHKxtnXrmMfTqEKqmIixg7x=w1200|https://lh3.googleusercontent.com/pw/AP1GczPRS7_LiUWv1r3JFnGbun6cWq4oekpY5K7YerBeJbTBjVy7Eo_9HUsUFMBeChhATCdqesukjVHUGyAvC0iuPp9TuEfGQVhYZ1LZnVPM-qipJN4t6Da2=w1200|https://lh3.googleusercontent.com/pw/AP1GczObbiGY9369hbEE58xQP2IAZJtUcQdrgf3gHIofWveojb3SQ_I1Wfzfu8CNljm4O8ZMBuCd9LE2FdKuX-g1l-YlKfHC1XVQ_oJ7mZoPdsl5IGrClKnq=w1200|https://lh3.googleusercontent.com/pw/AP1GczNBHhXuysIb7hvrsSIonoTmQD9FF7TSiexYja_jzERQ2vfwq5yCctrEYF45_fllV7KdEXN4zDXCSTEgJxf2G_aq8q-87Njbg74bogcNQHJyFJc_AKlY=w1200|https://lh3.googleusercontent.com/pw/AP1GczPAAiDnCIb_V164eqtpdoCWvG7kzD9iMqkA4U0uMtt2gXsE97SZDkQcqasRW_4P8qoMpny2CL9f3UiVBkMwmHOF8em_nCnNRm5CkUGrCvVY6P1xVCy0=w1200|https://lh3.googleusercontent.com/pw/AP1GczNSqkFDjYJmq4OhxgX78vviCoSjnGiUQ7QyZrCPmhuGvaUvxIGX4kwxYm9Ju9RM_pm6tZAoKuzXVRIlAePd53rpH7jNritp_Je8l6Po3kylZrL-LxQA=w1200|https://lh3.googleusercontent.com/pw/AP1GczPnENW2HqtOdZFtcCFjg4wUYVDPexMAgjKIe-_T8d7YsP23_6Xti9X2T1s6lCcaQ9DUtHc2B_CGIbDTuAUvTUpWvMo3FQ-qtnjLWdfOgTF8W1hCTV26=w1200</t>
  </si>
  <si>
    <t>863</t>
  </si>
  <si>
    <t>Apartamento en conjunto Amaranto Club House - Norte</t>
  </si>
  <si>
    <t xml:space="preserve">Conjunto Amaranto Club House </t>
  </si>
  <si>
    <t>https://photos.app.goo.gl/YLP6sZdKuYn23Xnr5</t>
  </si>
  <si>
    <t>Exclusivo apartamento de $105\text{ m}^2$ ubicado en un segundo piso al norte de Neiva, en el reconocido conjunto Amaranto Club House. Cuenta con una excelente distribución de 3 habitaciones (la principal con baño privado y balcón), baño auxiliar, sala-comedor amplia con balcón, cocina integral moderna, zona de lavandería independiente, estudio ideal para home office, parqueadero privado y depósito. Su estrato es 4.</t>
  </si>
  <si>
    <t xml:space="preserve">Vivir aquí es disfrutar de un verdadero Club House sin salir de casa: cuenta con piscinas, canchas de tenis, squash y múltiple, zona BBQ, senderos verdes y hasta minimarket, pizzería y panadería internos con seguridad privada 24/7. Es la combinación perfecta de confort familiar, ubicación privilegiada con vista externa y una alta valorización que garantiza que su inversión comience a ganar rentabilidad desde el primer día. </t>
  </si>
  <si>
    <t>https://lh3.googleusercontent.com/pw/AP1GczOv2HACQfiKE7WQEmU_raWWroiQm-4MTAU4yStZpqhIEYNexRdJxb6lqRTIooWfdmXEF9XvAKcNiiWWuth5J7Yisl2AszvaVDyyc78hdGzaoQDIOGp-=w1200|https://lh3.googleusercontent.com/pw/AP1GczMnLDZcesvL-5vbWgLnKfvYNG29vpzTO3PrUx2BrNwR1ke0e12RB8FNe490PdK6MBFOpaqrvO2asz00od5exVGG7IiND3vIZFdtTDzf36r69JL4dMCx=w1200|https://lh3.googleusercontent.com/pw/AP1GczMFHmfjGWgs9dfWEmPPDFnh6XsJZWlnp6tKMfXIWEn11qYi_55fDykTcQJLcSdwrzb0TVO7IqezYqN9tuRTkRjR54m3KM1VSkLI6DmaBfDXJNpdvdYF=w1200|https://lh3.googleusercontent.com/pw/AP1GczPe0MSpD2QpJ6N5fKU6QwcqAk1-IOF8xK_9uoi3mMgV3euPeTxcMwn4caa8hwtkJSqELMPm2vk9k_ad3eQAqRPHX9qq3ErHIwsqLIJhqlIOkAIMy-aG=w1200|https://lh3.googleusercontent.com/pw/AP1GczNtdkkqq-ukvSr_-umSEFJKXHhpxNuZ0LIgoHwtf8zRvvS-RE7I9zgXVm9brUxI7jMRUvQa85xC5CsQAHBHCKje31esiazAIIFFRwFnwM0vjPJQSt-d=w1200|https://lh3.googleusercontent.com/pw/AP1GczNNxN51JtkmJm1FTy5gcA4MyJ5_brqCS9PLY6tBh9kibTVEL4ISz7LghRtfgiAo1WxTtgmgK-mA2BbnRNMfOWpiM-xbAcrz2m9QjozmsGG0xtPWAsJC=w1200|https://lh3.googleusercontent.com/pw/AP1GczOTA3MdUheU70KV4haYjG-a9wnjjINFHoNxI4WKcDUWl7vXVlEZyKBlXA4R4y5Pi9OASyRaHhB5vN0i5wizBH1_T0BuwJa91tPiyUP5OoD5U3ovG0uG=w1200|https://lh3.googleusercontent.com/pw/AP1GczMUJ21MIGS5dU_UiwUpyn9r8LLCkQH1TfHl2MoKjuXa1ljMIh3nfSJfjYw_wDdIxE_goAk5MYrA0z-ab3tegINmPW_NkT4I1XJxjU0Av53g-Wvy5hZO=w1200|https://lh3.googleusercontent.com/pw/AP1GczM6BJ7Weg1JN_iwEc_4kzhabywdE_Nx1gygTPPzP3ORuhrLaGj47H3uGDEZCgNKm5vadUGSxg3o8F99YtI77Vk8vBfMXjE4Kdkqa1VazDmpdPLyf71S=w1200|https://lh3.googleusercontent.com/pw/AP1GczMRNxvjkF0v4V-XPfL9Wnp3TYT0fNH3KBJ-btIjzQG30N6jJwa9LGvfpBm4ppXm7z7sB4thTNVUc6nMiX5j__w2qyaBS2hog3qU-yqNfRXYXlXDPowB=w1200</t>
  </si>
  <si>
    <t>113</t>
  </si>
  <si>
    <t>https://photos.app.goo.gl/rSC7CmwTGgbbD8Rf7</t>
  </si>
  <si>
    <t>Esta excelente alternativa de vivienda e inversión se encuentra estratégicamente ubicada sobre una calle amplia en el tradicional Barrio El Tesoro, en el dinámico sector oriente de Neiva. La propiedad sobresale por su inteligente distribución en un área de 105 m², ofreciendo un parqueadero adaptado para carro y motos, 3 baños completos y una cómoda sala de TV en el segundo piso que se convierte en el lugar ideal para el descanso familiar. Además, al encontrarse en estrato 2, garantiza un notable ahorro en el costo de los servicios públicos sin sacrificar la comodidad de un entorno residencial tranquilo.</t>
  </si>
  <si>
    <t>Con un total de 4 alcobas bien distribuidas, la casa asegura el espacio y la privacidad que cada miembro de la familia necesita. Su ubicación privilegia una conectividad envidiable, situándose a muy poca distancia de comercios locales, transporte público y servicios esenciales que facilitan el día a día. Es una oportunidad única tanto para quienes buscan establecer su hogar en una zona de alta valorización como para inversionistas interesados en un inmueble versátil, central y con gran potencial.</t>
  </si>
  <si>
    <t>https://lh3.googleusercontent.com/pw/AP1GczMcSLNPP1opnBYYdyYXhCzkw_89lDCq4PDM8J48uCzEu4aMLcFL4wzWNxuwkQhjEsx4jZK6ogWLPG_ockr_torCwA9GLe3nwFPlUv7Lbdv09odPPrms=w1200|https://lh3.googleusercontent.com/pw/AP1GczOfo6-NkADw0La13KMOdYfsROW2PIMYQ6lLQUcKZbJzoz3mVSHubX3V8e15nwNL3f1lZzj7qU1ik8NkfO9nTX-EXksqCbfaZj93vN0gc2I5yGxGOzPR=w1200|https://lh3.googleusercontent.com/pw/AP1GczPo5FBfaZSg9riQEyZnlw7aiK5csetYFwC7IbrYxtXG4pFBk5bqFMt1KhEuB7Dik0LOqOhm0II1JBubyZ3sUEDRchUai43K4c3maWQTftmhhf1Gr5vW=w1200|https://lh3.googleusercontent.com/pw/AP1GczMoiBYyt73spjcULDf8w0bGYPnd6LrkpKCLWBN7d4yuiHYTiksvWtDYomh5LlV9bLUXtBQlQgQbQqt9gxHbU9c8hgEOCX98eUku6kzDsQiK9lMrQYV1=w1200|https://lh3.googleusercontent.com/pw/AP1GczM1ya1QvdGCLQ1mffCM2OjEXZrwjCrJAas9ISqp_YVbexsYx3RaUBQR1tYCr_N-VV9s3fBdoOtqRdZfuysHz_Dw6wlxujh9EYlotT-tea3zbwqJQXmz=w1200|https://lh3.googleusercontent.com/pw/AP1GczPJrqTthd4Km2aGdgkjkp1ycAHHfMv7Fts3k2Jz-WvN33XITmN5z7XUdxCL4wa1BHG7NnxJ2eEN0OyVaiJ2X5fBDnyAhuWYxGOvLO8IBf2OPcWO43fD=w1200|https://lh3.googleusercontent.com/pw/AP1GczMO4bFN9_4CeNqwFoU-EQSWRJVYKA2GIPvwF9HVbALNIDEbf3Weyx5nMb3JLLxxJ9Tr1YjiILU5IyTeypYM5Pd7bDbFR1Iz1Ih5E-9k1ALi7AecT92m=w1200|https://lh3.googleusercontent.com/pw/AP1GczPpGCGOgKqiBeA2u91p05KDsKmJvC40ToabEl7dK-q6mga01vGiwSCxfjj4l6Aa-G-wLKaB27x07QUpB2ga1_16bxF5nmeFhuAxEtP0BazU3QsVrx1Q=w1200</t>
  </si>
  <si>
    <t>940</t>
  </si>
  <si>
    <t>Casa en conjunto Reservas de Alcalá - Norte</t>
  </si>
  <si>
    <t xml:space="preserve">Conjunto Reservas de Alcalá </t>
  </si>
  <si>
    <t>https://photos.app.goo.gl/vSPxGUArAYAc45gn8</t>
  </si>
  <si>
    <t>sta espectacular casa de 2 pisos y $125\text{ m}^2$ ubicada en el exclusivo Conjunto Residencial Reserva de Alcalá, en la zona Norte de Neiva, destaca por una distribución impecable y acabados modernos de alta calidad. En el piso 1, la propiedad cuenta con 1 garaje privado, una amplia sala, un comedor independiente y un estudio ideal para teletrabajo, acompañados de 1 baño social, una moderna cocina integral equipada con barra tipo americana en granito oscuro, y un patio con zona de lavandería delimitado por amplios ventanales corredizos. El piso 2 alberga el área privada con 3 habitaciones equipadas con clóset, destacando la alcoba principal que incorpora vestier, 1 baño privado y un generoso balcón, además de 1 baño auxiliar para las habitaciones secundarias. Todo el inmueble cuenta con acabados pulidos que incluyen pisos en porcelanato de formato grande, carpintería de madera clara texturizada en clósets y baños, divisiones de ducha en vidrio templado con grifería tipo ducha de techo y persianas modernas que regulan perfectamente la luz natural.</t>
  </si>
  <si>
    <t>Catalogada en estrato 4, esta propiedad representa una oportunidad de inversión y vivienda insuperable gracias a su ubicación estratégica en un sector seguro, tranquilo y de altísima valorización en el norte de la ciudad, situándose a solo 5 minutos del centro de Neiva y a pasos de importantes iglesias, colegios, universidades y centros comerciales. Vivir en Reserva de Alcalá le otorgará el privilegio de disfrutar de un verdadero club residencial privado sin salir de casa, con acceso inmediato a amenidades premium de bienestar para toda la familia como piscina para adultos y niños, salón social, cancha múltiple, parque infantil y zonas comunes iluminadas de forma sostenible con paneles solares.  Esta casa combina amplitud, confort y cercanía a todo lo que necesita, convirtiéndola en la opción perfecta para quienes desean comprar de inmediato el hogar de sus sueños.</t>
  </si>
  <si>
    <t>https://lh3.googleusercontent.com/pw/AP1GczPCQIkVZ7w5FHeXeqYSKOGS2F8IuBmX0z8lODKp8OWpdeQ_2IbQs_RCmdF3kKh467mXAzoMcVWR8Ilx3oJmN0HKisdsKpdKc4NASvX7h-1tjajAiGOI=w1200|https://lh3.googleusercontent.com/pw/AP1GczMI3QhrwNIhFOWtC3-DglJG7yVE9TgPcM3XfCaeSJtV6oyVspazMcfuKNaijsrmN5x3EhDtPgCTNQ3FihlEEuRL4zwUXI1WtwyAJHqQExdRzpHERNpu=w1200|https://lh3.googleusercontent.com/pw/AP1GczPgtI-BtgwXd0yxmlTsqj8o-8ieMimdMaGxjPfP3qOYfpohmMqvY41D9D-A2guAtkUSjOr6yKhLGzSzwaV80vV437rinuooK_XxCvOggZJag9sMgOX-=w1200|https://lh3.googleusercontent.com/pw/AP1GczNEsU0urXG0kFehsyZ4qVHVhJyWps9jj1eAlCFUg-mP3qzBpS8od-h6-XJU2fB6WIj_mqacoLvk85M3Ya4zft8OBpNwrDq7YtEK4n7018YFcdWzEcs-=w1200|https://lh3.googleusercontent.com/pw/AP1GczOntKN-bx_u4Y9fYE5nK7KwaE0eXCiikW39D2ExqXp8iOB3UedWzppBuHh1-89oiwCX-ZEMJq_cAH5BvQVrsR4iWq9UuR8EaombSq74XXC83Nk2QlWq=w1200|https://lh3.googleusercontent.com/pw/AP1GczPHzjFAQi0ooWSyYhDVQogyKPmmY__gu8WMkcWG3lczHP9SLP9bKlvrY82d0QuDPyxlQ4nOu2r_Nr0sORU4HnJBwok5YVLaba9fqErpQ5ru8Xm7B8cl=w1200|https://lh3.googleusercontent.com/pw/AP1GczNjYJKXTOnep2F2bUimDC3kQ9iJqu-J4k93V39ayhnZO52ovt4nixKPDQZq56m6GPQevibwQezIP_Vrik5CLT8J0jVsghOsO6zWzv27FaX3OpTfRETA=w1200|https://lh3.googleusercontent.com/pw/AP1GczPm3Hdu_V3A0YNlNEq-as4S1SQlmdjcRTPbEkQ0gSKxjH0cq_7OLPESeeFZexhrhPuKTE90dLR_MciWhPzAXLdDzZHnvJmvVmjS6Ep0Zwjutcx7GTF4=w1200|https://lh3.googleusercontent.com/pw/AP1GczPz96dxZb0Wzd_5tTW1cFUS_s9Xzf1juqZax5eQaBjFotNjuufTI7aCBwrdDbG20u-sSjTnTzEHoetIJzwUJWEtQ4ujDm5LSqdZZqYlMyS3QTeGL_P2=w1200|https://lh3.googleusercontent.com/pw/AP1GczOrvL3C28sHxmqV90WOiRsX5hP4XAbtj1ZXPmhLTiKApFF44d0TslpM5B-GoKFSZdvf6zsTCA8vsYWLQR41dXDPCELsZPeESVuJZ9z2sJOOoO-pgw6p=w1200</t>
  </si>
  <si>
    <t>865</t>
  </si>
  <si>
    <t>Apartamento en conjunto Villas del Prado - Norte</t>
  </si>
  <si>
    <t xml:space="preserve"> Conjunto Villas del Prado</t>
  </si>
  <si>
    <t>https://photos.app.goo.gl/jrxXiNpG3pxujeqf9</t>
  </si>
  <si>
    <t>Hermoso y luminoso apartamento de $96\text{ m}^2$ en el exclusivo Conjunto Villas del Prado (zona norte de Neiva). Ubicado en una zona estratégica de alta valorización, cuenta con 3 habitaciones con clóset, 2 baños (el principal privado), una amplia sala-comedor, cocina integral con barra americana, zona de estudio ideal para teletrabajo, 2 balcones con excelente ventilación natural, depósito y parqueadero privado escriturado.</t>
  </si>
  <si>
    <t>Inversión inteligente y segura: Ubicación premium en estrato 4 con una espectacular vista al norte y la más alta proyección de valorización de la ciudad. Comodidad y estatus listos para disfrutar: Espacios perfectamente distribuidos que incluyen lujos clave como parqueadero privado con escritura independiente, depósito y doble balcón. El hogar ideal para tu familia: Un ambiente tranquilo, fresco y diseñado con todo lo necesario para vivir con el confort y la calidad de vida que mereces hoy mismo.</t>
  </si>
  <si>
    <t>https://lh3.googleusercontent.com/pw/AP1GczPZPkS4CCdwfbnboR9wnoldN3Se9BdeF_BAE7NOuhHRh9A_-aDMkpM7Di1Lkyu85O_VlF8wPAfI31CuOK4YU4S6tjSoTXy8zw37fTXHkzQJ4k7PlmwD=w1200|https://lh3.googleusercontent.com/pw/AP1GczM5Ve1gO4DY3lz8dqFIEAyMH4Ua7MdFZWF4VAS_wReBc-emiMris6vgDQwdtf4ZJYU_tPnxGWrjMYixYXzZUim4SMK8qsJnkLpJPag2VqQ49qc_fLAv=w1200|https://lh3.googleusercontent.com/pw/AP1GczPodCZMa6JEY-T76ZzBVUxcrfHekcsG8T-YPvFBpML8IS1dYB0nR-5ckiAu66f3oNMUpT6L0cC3Lc-FNePEHNPK8uqQNEjNfuk0U__cu_aPk_2yYJ4q=w1200|https://lh3.googleusercontent.com/pw/AP1GczN1R3NgPpfnBHn03ASish2XHA5me4L7EmveKJJK_ffJCQ1W98qM_0YeBFP95eSmaRk-82SfMkXluCwOKQnbZd9hfFu0UQSg991zuPqWiTXfOmcs8G4L=w1200|https://lh3.googleusercontent.com/pw/AP1GczMQDraZpL2wNr83fp1MEmwBQwGyQhd0CLlxAd4PbV2z3t5_FoVhixw_vKAtPRQDmPMj7MgjAsc7OAd8Jq7DwGH6vIaXnwb10eYseFu5sDZ0kPiGCWXU=w1200|https://lh3.googleusercontent.com/pw/AP1GczMfOYQfCBLRLqgZeRlAuQw-lCD9CKM9XLoUXSxrcCy6cdHY8RqLuG7NO22-3Tx5Vn_Kvsv1z5725PgfHZVJ4fTItgbQBMylzwl2lNPruW_7g6jv0r4r=w1200|https://lh3.googleusercontent.com/pw/AP1GczPYGzuARAa-dKXGhM1BpaPOTjPAl5ia505U17LNIZMOxQCN4v9gscDilAhXAfQMA3GupkkxT308KWJ0FK5I_kmY-oXO1e1trWonRvUGDq56qiIq9b-1=w1200|https://lh3.googleusercontent.com/pw/AP1GczMZUbb82FCGcDGvINQDsz4G8Bj1HU7um457AHKuy1LorYI5o928K_KyrS4z22OluFZINmBt2NKXy1Xiqbx7Nz898p-9UxgSoXyv00JVcgzMXY0lJt66=w1200|https://lh3.googleusercontent.com/pw/AP1GczNJ6guXbLF7j8k5GU-Ep-7jZ8v0t_NlDBR3xNBeadY65X-ceeTRCUFw_hMoWqe9Rc7UHe9hAVl8sJq_ReTWmAQy45tXpF6np0QShLDvNH3KzjK1qNnQ=w1200|https://lh3.googleusercontent.com/pw/AP1GczOeDFozmwdQZQi1Bwf7DFNnUaTjfapRHDECdE_pqkPviCIX1bEvtv7T9gVklc76GcnDCZg-qNEe1HdxJfckXsV0BW7AdAMSje27AsicaF-jgxpBhe_G=w1200|https://lh3.googleusercontent.com/pw/AP1GczPacu4TlMqgLYO3f6ti5nm6RZWXFABiD260RYfzdSzODs8_Tv_6CRrYeYttpC0-OTGb6uq3kaTv1L42i5sXUtZAGP6oztFyNGR6suCbnGmL9M7t7Cf-=w1200</t>
  </si>
  <si>
    <t>744</t>
  </si>
  <si>
    <t>https://photos.app.goo.gl/Uf3iVeSVFhUS4wtg7</t>
  </si>
  <si>
    <t>Esta encantadora casa colonial de $160\text{ m}^2$ se encuentra en el apetecido barrio La Gaitana, en el Oriente de Neiva, una ubicación estratégica con fácil acceso por la Avenida Séptima. La propiedad, de estrato 3, cuenta con 3 alcobas, 3 baños y un parqueadero en el antejardín. Su diseño elevado favorece una excelente ventilación cruzada e iluminación natural, destacando en su primer piso una amplia sala-comedor con hermosos pisos de retal de mármol que se conecta de forma armoniosa con un fresco patio trasero adornado con palmeras y zonas verdes. Asimismo, dispone de una cocina recién remodelada con estilo moderno en tonos blancos, equipada con estufa y extractor completamente nuevos.</t>
  </si>
  <si>
    <t>La distribución del inmueble está pensada para brindar el máximo confort y funcionalidad a la familia. En la primera planta se ubica una habitación con baño ideal para visitas, mientras que el segundo nivel alberga dos habitaciones amplias, un baño social y un generoso balcón perfecto para instalar hamacas y disfrutar de tardes tranquilas. Es una propiedad impecablemente cuidada, fresca y luminosa, que representa una oportunidad magnífica para quienes buscan calidad de vida y comodidad en la ciudad.</t>
  </si>
  <si>
    <t>https://lh3.googleusercontent.com/pw/AP1GczPQn-qupGAgWp_U56t2kqhzYNWkf5CH7iWxoCf9bWJHI0spkQLGq2rS2shuRU3XK1jpT00yrVsWwf_KWnbz7A0M01oK9KIfp55ri83DNOQl6rmSu56e=w1200|https://lh3.googleusercontent.com/pw/AP1GczPCyXHGFe337LaKluG2mLijsw7nz4MrWfV9jRqdV2Rl5YrHR3Ta71ITTAkqhKWLWAz2u-9cBS7WY5m6sX3M4YAYthjrCdfwvID7PoQkecLykx3jvfDI=w1200|https://lh3.googleusercontent.com/pw/AP1GczNivN1R63jqMyqFlpI8cz1DHOZ47zlFw4XHnmpPL0Fj9XGtbzyWTJ2CqnZiaA3_n5TSsr-0Rkw_LhdMiGNntjcVNVoSHxqoXs3_yaExtfNthY_KbIco=w1200|https://lh3.googleusercontent.com/pw/AP1GczOXfrQLHlV31hH12G3MYxXfYIPnbu0E4fS8eCCA8IkexJ1JNenRYBPiyFHG_b4H9AWTOHT20VYhTxfAsvClLzIvDKiydtLYJo50R2wZwqjXHAl_DYYV=w1200|https://lh3.googleusercontent.com/pw/AP1GczNCApY0dmaF5kJhnYYyY_IQGZ3BbQUBli3roHm9mzMY5NVwvGBVTmUe6rJ9eUQviQsxlDFk4iNGVn-Zy-_SnRgJ-FJuni7j69Y3Hv1V8AdKDS0p0DfM=w1200|https://lh3.googleusercontent.com/pw/AP1GczNCN7q2ksiXx0IIGRAh8y0G6Yi6JcCOCpn1jFa5gwA1bxNUYot70uZFVkrJSG7PbQfl9Sz3olf_lPsZXgY4GBNBI7NWLKd7Thmv4ftuSXSTxojObdMU=w1200|https://lh3.googleusercontent.com/pw/AP1GczNS2DQRd23fPnMiM7Ym-BWVxOOjChb09UTIGMUesanwj6I-tOFYSVZ6gsAuIrrr1VLBQw7Qy9ng_0U0RhFkaPYNXYePVCNg1NrNE57WlDBj8PFBrxDQ=w1200|https://lh3.googleusercontent.com/pw/AP1GczPYmVeQqDNCo3b64YgYjwXWQJmPHnKZOZyyN3mIeh9GuWVr06v44nz2d_E4pJn-srxkjNIE5Nmbr_niQorpDm3VzM0kajIYjyyVv8T0YaEp-Q6JhQ0D=w1200|https://lh3.googleusercontent.com/pw/AP1GczNiWG04n2XX0uzMC3qwHyc4GBUvROoS5ajHFvwFhJ_Hk7LcMTgqcXcNLqH5RlfQETijLtetO2jgmEUQhKna1YS9sbSaLnp8mm8lOs7cmjsS8TIWJYrQ=w1200</t>
  </si>
  <si>
    <t>877</t>
  </si>
  <si>
    <t>Apartamento en edificio La Fontana - Centro - La Toma</t>
  </si>
  <si>
    <t>https://photos.app.goo.gl/XUZRoXr72gQH86sv6</t>
  </si>
  <si>
    <t>Este espectacular apartamento en segundo piso destaca por su amplitud y una distribución inteligente que maximiza el confort en sus 110 m². La zona social ofrece una generosa sala-comedor conectada a un patio interno que inunda el espacio de luz natural y frescura, complementada por una cocina moderna completamente remodelada, funcional y elegante, junto a una zona de lavandería independiente. El área privada cuenta con tres cómodas habitaciones, destacando la alcoba principal por su gran tamaño, closets de alta capacidad y baño privado, además de un baño adicional completo para el resto del hogar.</t>
  </si>
  <si>
    <t>Ubicado estratégicamente sobre la Avenida La Toma en una zona de alta valorización (Estrato 5), este inmueble ofrece el equilibrio perfecto entre conectividad urbana y absoluta privacidad, al formar parte de un edificio exclusivo de solo 12 unidades que garantiza un ambiente residencial de primer nivel. Su ubicación en el primer piso asegura un acceso ágil y sin complicaciones, una ventaja única que se complementa con la comodidad de un parqueadero subterráneo escriturado y un depósito privado. Es la oportunidad perfecta para familias o inversionistas que exigen estatus, comodidad inmediata y una terraza social ideal para momentos inolvidables en el corazón de Neiva.</t>
  </si>
  <si>
    <t>https://lh3.googleusercontent.com/pw/AP1GczMWYuuwXh7UJu3JZ7CtsHOIJlVFW6nUMP1FsYv8Mw-SXfkQ7O7OsSe2XOa4nqSdjZdt8K6mX53NIrt1i2zvJOPiFqaEUk3Jv48VUapZLpTlwYqLNNR2=w1200|https://lh3.googleusercontent.com/pw/AP1GczNbqHyS0CbvtqN2bPTE-01M48lrGrudVS4AHUteX90xjY3Mg5bki5eDB5KUfYF4TOuPcJdNZ6oywzwKxxZkxJXY74WSr6VGctl9d3oIW-N4e4W7Jfgj=w1200|https://lh3.googleusercontent.com/pw/AP1GczPzRRsKAg8jLfBre-_RGvRin_gu9p0GYrAjZfqBAVGWOp-xrsAti7o2PYHz9V1wBqT2oBExGmqtERoV4f2akcj17fbcDtW_PQ8rCldNw-24jTrH8q2m=w1200|https://lh3.googleusercontent.com/pw/AP1GczMUvmUWr9dQcu9FiW1kyc9tawf6Kz6nKfqyrPlTOqTwC92K9C93p0LEe-S7gnL__1aXR57VFHP6YMMEg7ZZq87qtS5dPME1wuNMLxRJbb1Va4bckoMn=w1200|https://lh3.googleusercontent.com/pw/AP1GczN5_Xt_U3pf1eYtPcO0mggZkWHXQm7fEIjG23i126rQKdZcm-myP5teNrkSbRQNP3ER85XAj6xU4FpCYrNpAkx-31Ugjtf8Zcfpb3GpzWSHE1Ign_CP=w1200|https://lh3.googleusercontent.com/pw/AP1GczOCKTvJVP7s1nJBw8EJ5_INMt9n9cfjOf9cU1f9wpGsDCwxm5lk3qYz1am8BBufHYeRgLy90qNTH0cPu5sTEhnqhocvoIbBPERhUoB7Kmohm02AW6x4=w1200|https://lh3.googleusercontent.com/pw/AP1GczPRFx3u1M_5hzSKZSrNJN6AENLizmvAvOTVkTdxlp7BLfdd0UrnGJfOapP0SmGstZePYrzaQuhMq1Amd2otbXsqkdWf2ReiN-AnKlpmFojwHLToERCN=w1200|https://lh3.googleusercontent.com/pw/AP1GczM13ys7XXWYve0oVCaGX2EfMR4uVg12m-oob83_1W1gWSbU-XZU8nlSf0bXgCpkhn6--z8tgeQ2jP4fUkPtrxU3qyQs8t-eVzx2AWD9d4dECgbdeUNW=w1200|https://lh3.googleusercontent.com/pw/AP1GczP3UF77EjGlLVQm6-vWzFtUNenA7IuuTIxn5FFXpMQxyFPwl7OTAmuiEjVuVCUyncxNzrLvs_r32uhRYraCZwMvutnIxGbJrOqS3gXlK1xWQOyQHRl2=w1200|https://lh3.googleusercontent.com/pw/AP1GczNu697EJzNUkWkh-yLLyKQ3BxURYe8OV4zlv_HnI0i5uc3vFDyzb53OwQ8K0x92d8faqBUpXPrPOZruWgb94fH2pAy0ppjXNbFhic8YzuT-DmauBq-l=w1200</t>
  </si>
  <si>
    <t>443</t>
  </si>
  <si>
    <t>Apartamento en conjunto Residencial Bambú - Sur</t>
  </si>
  <si>
    <t xml:space="preserve">Conjunto Residencial Bambú </t>
  </si>
  <si>
    <t>neiva</t>
  </si>
  <si>
    <t>https://photos.app.goo.gl/pnyj4GbU9BxE1H1fA</t>
  </si>
  <si>
    <t>Este moderno apartamento de 89 m² en un noveno piso destaca por su excelente iluminación natural, ventilación cruzada y una espectacular vista panorámica. Su diseño funcional y confortable distribuye perfectamente 3 amplias alcobas, 2 baños y un parqueadero subterráneo privado, garantizando un ambiente familiar lleno de tranquilidad y comodidad.</t>
  </si>
  <si>
    <t>Ubicado estratégicamente en la zona sur de Neiva y muy cerca de Unicentro, el inmueble se encuentra en un sector de altísima valorización y demanda. El conjunto residencial ofrece un estilo de vida exclusivo con amenidades premium que incluyen piscinas, gimnasio, canchas deportivas, parque infantil y zona BBQ, convirtiéndolo en la oportunidad perfecta e inmediata para vivir o invertir de forma segura.</t>
  </si>
  <si>
    <t>https://lh3.googleusercontent.com/pw/AP1GczMsxt3uUWHwE5esm3VfJv7IJ7JlvNT_qI9qJhs6AmsbNBJZLab-NSwTa9ViGb-U3cLMe5UcUe6NlEy9PHx9M07Tt_yIxnBXbZZDKeKR6xZphLvcZ9CT=w1200|https://lh3.googleusercontent.com/pw/AP1GczO3z_aPnU5_vP4HOmy0lNQbDnMXt5S48ji7NNvyFwh8fPTfIpHCjbrkBlS0b2G9gkPh6Ut5ntmahZAzdqVOwdzdfw-HWJL_8HMGjp-TulH3AmbVs_Vc=w1200|https://lh3.googleusercontent.com/pw/AP1GczN0CwVri9lG9vOkLhiW2vosaFLM0Q3Of14qUPuDFYOp6pJopyOwSN9EuKFNoTjsH2P2Tx9D_CLk6MUBPYgvPvj3YIMaUVdmejlAuxOUWKm28unqo1x9=w1200|https://lh3.googleusercontent.com/pw/AP1GczO4EjnU9oAN8MExWuMsW8M4TKQeuT5hysG82RTduwkFJ_Qu-2hHq5lUOb5yVOBTeC1HPW9TVvyhEo93LoYtNbtPxkwLvKR6oPOh0SzL7UIxgqC8DyF4=w1200|https://lh3.googleusercontent.com/pw/AP1GczNJXOp64LpEyuOscYOFwbdrh3FYaNvXgEFnfSFtDDJZFmI8aSuoyCkpg-6COZdxScT23b1qtImOLdmZLGN9DNzwA4Z1ttPKPe4hQcXVSmEPLiL6MOvo=w1200|https://lh3.googleusercontent.com/pw/AP1GczOfPles7PJU6fgks_JL7XmnQQa81V3FepKWcFBdikwF5OuDxEvns6Vkc5PSYnwGnf5gG_771yGInkzidCeey9iEaTEZbPcbsPRSctirocDvfgTjvULU=w1200|https://lh3.googleusercontent.com/pw/AP1GczMfwZe8gGMMW24oIUs-haTxF5X-y32MgTsvaqUjrdquHTdPx1empmrdK3n7GrWiVVbB_qFmstXT3K8FA8bTM2y-GSEobZuVb2HFgn08xDSbgYcMAaGJ=w1200|https://lh3.googleusercontent.com/pw/AP1GczO1w0b6F-zfQ6vE4PtjpQOIck8v5YeXi3TFPPQC8zXuN7tcQXiL1OAXd0LfbCgHuo-J-X6JaqXE7wNGbjgU9v7h2164IDA0iJVCxeca5d__PfwABBDx=w1200|https://lh3.googleusercontent.com/pw/AP1GczPUUnrUyfOpm5cr07Q-iIpiChwvSR3-7nwujzk5eyB1KyuyCxrVBpUMsbZjgOBUtuh9kfgcU6FOK6odqaOvip6frdvzDNfa-avhddYLxAdEW4fJ5Zrj=w1200|https://lh3.googleusercontent.com/pw/AP1GczNGNBg7k4r2c7nbH7oHX7MOe521QS1gt04GfGK2gXMhHgG9NKlY4ZHg3qjFVEHmJs1Kzwo7r3LhtJy1qww9C-1CBpo6fCUfxuRdGBx3cduSqQHTD7l0=w1200|https://lh3.googleusercontent.com/pw/AP1GczOwxL2AfowAFZvmHzaeRtDxh5hJOzHQWcx9Y6-Wb28Ypec7iZwWHiRxVZfa0G49xYEEv2HjJEZVT-2TpngQCHEvIDOLL0__Jaj8-6r7IkphTswzAbvt=w1200|https://lh3.googleusercontent.com/pw/AP1GczOIZdi9zUcAtBxF52WvfYjGIOejSmUV8xWh6F4lUu1Pb3JwAdjundtG2GI51NwlD0dOqLHtrezBccqeB2SYnZZPVIiv7hf5KrIPKADBPeeMobRHrJJL=w1200|https://lh3.googleusercontent.com/pw/AP1GczMWXUFvDJTHs0TslkPIUbvEAAuDu8pfgNSWB4r0sQnVX5_nbT7QpvLpOKn5uSFmtL8G7vJPwUJYCWzTDB-Qpr2CrEhBucP3cjgnJwv0o5PgWc0-iMa8=w1200|https://lh3.googleusercontent.com/pw/AP1GczOHFUvU5jvySFQ9oEZQ0GzaiZhIlkS5eyMo1rHM5bTZsKQSZihWHEkaY810cK6UsgsAUtuNfVcFyxnvCX8bwfKxTWnYwe_6WrxOP06-4E3NWGcLsYD3=w1200|https://lh3.googleusercontent.com/pw/AP1GczP0MV4_1HiGNZ1B1t3Op01SuxnIbKNr4llYqZV7cMnSt6EPtP9HkxN_0z6F8YoaFU7ilcWCKyz00f4uAd2UyHbaWUW-JTdOK2WBNINunqMLj7neYa-f=w1200|https://lh3.googleusercontent.com/pw/AP1GczMVYmj0GdoFakBCK375-2TW1gAs_MzHL4vVyGChi55rvZv6Ulx0-qhsp32Zt6XkgGEr1gcHAuKhqqX8KnNC7_l8n31sYpwRd74lssfZiTAH0A-DVtl8=w1200|https://lh3.googleusercontent.com/pw/AP1GczOE2d4xRoP0nMJ9i1QOIgfMI2vHAKDEXnMkS1-tOEcirkVOncUSZ87loH47LEwdLjJtG1nxx9GarK8butTamcmW8G5BPZ9UJ2zX6w3S6VT6Hbw3B3Nm=w1200|https://lh3.googleusercontent.com/pw/AP1GczMra3VSunXVEWSezkdg9dye8ptELicPdXELDtu6DV2a_MlIvAcz57W7QSiyelzLfAwinK8tFRE0XZKtau2SQ8sot5r_5bOMcTxBd4KQEp-3UTmQegcn=w1200</t>
  </si>
  <si>
    <t>540</t>
  </si>
  <si>
    <t>Casa campestre en conjunto Condominio Costa Brava - Yaguará</t>
  </si>
  <si>
    <t>Conjunto Condominio Costa Brava</t>
  </si>
  <si>
    <t>Yaguará</t>
  </si>
  <si>
    <t>https://photos.app.goo.gl/biYSz7id2n835AgL9</t>
  </si>
  <si>
    <t>Esta espectacular casa campestre, ubicada en el exclusivo Conjunto Costa Brava sobre la vía a Yaguará, ofrece un refugio perfecto de $280\text{ m}^2$ que combina naturaleza, confort y una excelente oportunidad de inversión a pocos minutos de la ciudad. El diseño de la propiedad destaca por sus ambientes frescos y techos altos con detalles en bambú, distribuidos en una amplia sala-comedor con iluminación natural, cocina integral totalmente enchapada, 6 cómodas habitaciones y 3 sistemas de aire acondicionado. Al formar parte de un conjunto cerrado de solo 37 casas con calles en placa huella, la privacidad y la seguridad están completamente garantizadas para ti y tu familia.</t>
  </si>
  <si>
    <t>El verdadero atractivo de esta propiedad se encuentra en sus zonas exteriores, ideales tanto para el descanso de fin de semana como para vivir de forma permanente en un entorno campestre. Cuenta con una maravillosa piscina privada y amplios corredores sociales techados que se conectan directamente con una generosa zona verde privada, adornada con árboles frutales productivos de guanábana, plátano y palma de coco. Además, representa una opción altamente rentable y cómoda gracias a su gran potencial de valorización y a una económica administración de $160.000 mensuales que ya incluye el servicio de agua.</t>
  </si>
  <si>
    <t>https://lh3.googleusercontent.com/pw/AP1GczMDEDl5nMNXzqVCSYGGhIgoksRKLzAGLE5hwCgawRbb7wHPfRmqg08DwtgJyHcavXKm4I-XR3TbE0G-c1zdgOMIbrBKpSqw8-lD9_FlasJrd5a6ld8e=w1200|https://lh3.googleusercontent.com/pw/AP1GczMqGMRNz7Xj58qs7vmkHvFdxJfC2vKiaaLYCyBdQBaIwuhvbRl8H7X3h9MXg5wSqYQbNGpwUnat6__rbEueHOLUFGk9wJ2SlU8p4mfOzsYkyzSOSiy3=w1200|https://lh3.googleusercontent.com/pw/AP1GczPEf4RuGtJbCpnrrg0eolnVWbjoElg-OmBvlgwRwJJe8ZfxTRkPEaN9wUfP7VQGimWsMjUG4H6E0dwC-V2yzvEuZoZgSmhV8qRoTEt3z-Smr5Dr5cw5=w1200|https://lh3.googleusercontent.com/pw/AP1GczPqnu_NCclJx6PaoNWUy1hvgZDzUuZzGMTl5WJJfEcSSXnjT5AHkRo7y50MRcSgSBKp-v-ncQY-xb162wOjtuvOeTShtPLVQT8b5cyM2eq6AHJRd2nJ=w1200|https://lh3.googleusercontent.com/pw/AP1GczPC7cEloDQDHcD-a3VJ909WqY7KZgq9euAEJhne-Des9fzKzZ9f7-7y9VToIlghiKVUkdx8ORWklXlwaCM8ByS3t8TR2-byOdTogIeHifJ8gzH3NxNr=w1200|https://lh3.googleusercontent.com/pw/AP1GczMofP0GRZT40htWnRv4GLFWp2gunedT8Ro83v_GAkgEBSNp6P0LtXRR6EB25M7RWraokJScPfi7Hnf_cYKXr3zcBQxNnE8VsZNsaNrqpWrWp82xLx1J=w1200|https://lh3.googleusercontent.com/pw/AP1GczNplnnGSW8vjQLPBlVDpeeLlgT6A4kipw0ye5FmfInQXvr8oCxY4XZyeqHFKreWwaGldrfkZS1bnqn4XnYRtXJFXFkNk7s7bT4L8Wf11mlpkskb7leu=w1200|https://lh3.googleusercontent.com/pw/AP1GczMEFLTDGB-jHHsINypIVL_dzYy0bueA8Uzv6AqkdKimHG0g53yVUhJQa4KXBP02FiBhT1afjHTd5SySHrRLgRVUMaosx9Dhlul65CL6u-Xivh8UGMNl=w1200|https://lh3.googleusercontent.com/pw/AP1GczMpBx6f98MFBeT3hjX9BIKRjtUmwV2Mq5lgKiLMpDKj146hrk9XzSlYVRjEZlildhN8nY4e1d5mMkBOrUS0WW_-rGdkjmKz7oftzzXb3U1zkAJz_hch=w1200|https://lh3.googleusercontent.com/pw/AP1GczPlvhZaCHC-6MdUaC87VDAx0VN917YT3G-UP0dl31CPsyOdN4z3avgGS2Eqy_VlxJboYLCarTSXT7WrHTOb2siRgaubUaR5EqhKxC1acol0yKVPiosW=w1200</t>
  </si>
  <si>
    <t>882</t>
  </si>
  <si>
    <t>Apartamento en conjunto Condominio Villas del Prado - Norte</t>
  </si>
  <si>
    <t>Conjunto Condominio Villas del Prado</t>
  </si>
  <si>
    <t>https://photos.app.goo.gl/SzEpXK1jg1PhM3j77</t>
  </si>
  <si>
    <t>Este exclusivo apartamento de 115 m², ubicado en el quinto piso del Conjunto Villas del Prado, se destaca por sus espacios generosos y una excelente ventilación natural. Su diseño incluye una amplia sala-comedor con acceso a dos balcones independientes que ofrecen una agradable vista panorámica, cocina integral equipada con barra tipo americana, una zona dedicada para estudio o biblioteca ideal para el teletrabajo, tres confortables habitaciones con clóset integrado (la principal con baño privado), un baño social completo y un parqueadero privado asignado.</t>
  </si>
  <si>
    <t>Situado en la cotizada zona norte de Neiva, dentro de un sector residencial de estrato 4, este inmueble combina confort y una excelente proyección de valorización. Su ubicación estratégica en un entorno tranquilo y seguro lo convierte en una opción de alta demanda y rentabilidad garantizada, ideal tanto para familias que buscan un hogar exclusivo con amplias comodidades como para inversionistas enfocados en propiedades de primer nivel con una conectividad inigualable.</t>
  </si>
  <si>
    <t>https://lh3.googleusercontent.com/pw/AP1GczN_aFV7Qdv3dSwAonQxxqLK7Ru7IPw0x6bMa5fRKWqlSykHt1uPyoAJGA9zwdAwcKbKcuaJ6Nb6laGTjoyD_vBV_wDgcn0g6vpoaW0yPGuppS3a2YgQ=w1200|https://lh3.googleusercontent.com/pw/AP1GczN7OsBF86owO6rlHBXXAPE71sJKq6JJB_RAM945qgVpL0kKmNSQynKelwuQa2wnURZ0NMn3ZlRZwD06w4d101CuLvjOzIEHb3AlHI_RiEYG0upWCeGG=w1200|https://lh3.googleusercontent.com/pw/AP1GczNR8StzEHw8ix7Y9zA9Tysc2ndh5UQfBK8RpyUrVHMuyrcrKsd9MwwJi7aIjCYU2SH8pnQXw2Ax5gYMvk8VTKysd6VMPPC7FEIUbyoTx8173dnRgGnk=w1200|https://lh3.googleusercontent.com/pw/AP1GczMRJOuO_J35IBLfwVB36ChdUx9UkT5k9jEk6t_DvosDBdGUjlPDUgdnOe1bI3FQo-rUJEEnRAKLG53t3dXTAcpcUycdiXh0Bial6XBPRV-l1tUTWfPa=w1200|https://lh3.googleusercontent.com/pw/AP1GczMjW0Vy1wYs5PD5VItpPP8nzxCgkurfw-MXPbtwzvRWpu6a-qBpbewsOc3KohKbPv8LEH-l43nK95lJYJ8dYhZPUmbHEDmTFSPg7_82RQF0oVhgoxuV=w1200|https://lh3.googleusercontent.com/pw/AP1GczMCwEanPyYpqFjTEs5-dA2Quy3fPpNAvL9-SE3W6g82RN6BKAwPsQXOFjGS09MCTgNSwZEllP1THWZ45FAVsMaYdi2G-d0IBHBsj27RcNuRlUufxLDh=w1200|https://lh3.googleusercontent.com/pw/AP1GczMV5R5TegUIa4Tdx0ULwEW7zX9Swv3RpapJta3orKUWHON_iHQfVDjU7M9P61Eok_D7MeyGsmTkjP0_WbSFcGaL_cBc3Dz7VWjwQL4wQgu0ztRCtCVl=w1200</t>
  </si>
  <si>
    <t>855</t>
  </si>
  <si>
    <t>Apartamento en conjunto Residencial Reservas de Avichente - Oriente</t>
  </si>
  <si>
    <t>Conjunto Residencial Reservas de Avichente</t>
  </si>
  <si>
    <t>https://photos.app.goo.gl/uDJsjAwMg4rfawhX6</t>
  </si>
  <si>
    <t xml:space="preserve"> Distribución: Amplia sala y comedor, cocina integral moderna y funcional, estar de televisión, 3 cómodas habitaciones, habitación principal con closet y baño privado, zona de ropas independientes, dos balcones que brindan excelente iluminación natural, ventilación y una agradable vista al INTERIOR. Cuenta con excelentes acabados.</t>
  </si>
  <si>
    <t>Conjunto ubicado en una zona estratégica y residencial del oriente de Neiva. Estrato 3. Cuenta con un parqueadero más depósito.</t>
  </si>
  <si>
    <t>https://lh3.googleusercontent.com/pw/AP1GczNeeVnbGEEAzhLCKazXAOdtEaSLdNBDqKeiWgu2B-g-DNFfxWZ5bd7Wookj59GoGS3MFnIbmOtGKLeQO1uUtO0QQXWM7nq5wz7hAh5n_D9cASGLfWAX=w1200|https://lh3.googleusercontent.com/pw/AP1GczPPTCi-OToSq5OB3z7FQTQa00Fbp-fL_dRfxbJ6OyAsbYNctse3kDfijfepQcUAd46GMNO3W9CHXxrkv0xkcol4WztlVRhGwuqxipE6zzgCFIypMxmK=w1200|https://lh3.googleusercontent.com/pw/AP1GczNzk7fxTJ10xpq0rh6OhY1Y5WFounPxr4RG9gar9zKZ5v7tIwqWib1CGUDBGI9L2H72ywkZePc9kfzUAqiCK6kkp9sEsTl8CniG1wb0NZw8rx7f2ra3=w1200|https://lh3.googleusercontent.com/pw/AP1GczNe-FAhN3lB6FFGALH64lRgQIlzFpW0SUqdb-KYaDFRzB7GCAvUmUFWTihN23DWXR0VDU3PJUPb9l-rp7G2zle7KeVWbbwjyg7NB4Dja54vd7QWqI6e=w1200|https://lh3.googleusercontent.com/pw/AP1GczNo8LnIityEKAlZnsmELzItKRNqPSnp66bes5pAzO7iLhI-M7PAiK975OikTPJw7QrtHnVwhlnSVQfmo6-dPaBYFnijoQ-7Zb2qXSiQ8GukDHSG0Bu9=w1200|https://lh3.googleusercontent.com/pw/AP1GczMh6s1zdLn73jFBZLfasiCJYhoTbOKSpMUElWl0pUPzQsWmE2A5EwK-8gJ_cEUwO4kye52DUf7_bQIjUkrSRGCqaZt88l8gHSkHTShyyDDVPP6jUXlD=w1200|https://lh3.googleusercontent.com/pw/AP1GczMQokhXyIpyS_ZShKUPgn33_x-KY4ETNgxZ1Xqh6rkHdng7_2vUvNSYDdtALIKf1dLzRqte0Tcxvvj6WXebqlO-KLL4GWjrW3LCymMiUtIdhAq2HZbF=w1200|https://lh3.googleusercontent.com/pw/AP1GczNPdaZ-fxQIGot9BARsn16rpTZxqwvUmvEdCtbL5Uwbx3kSXv3yLrshfxoV4i27a6f0regZ2gli_MOfC6b4LUgTLvxDnCvhGJGJKQ88l1zK-48JWpS7=w1200|https://lh3.googleusercontent.com/pw/AP1GczOy6vqYAjmoWNELIw9yYXvxzVqQ2rary__Y7TL98qVs6Ae4DjyZZ_x_umDZBckfFAzP1nzKuxza64n4xLNCJVozIag5c0TuEULhVbjIlbSaExS_BgT7=w1200|https://lh3.googleusercontent.com/pw/AP1GczNN6WaUcvzbkaawtIu0l3XXvSbEVJEouOKq8rxCuoEJMNYvEMXnCarrEnrOrB6cu90hBRJclt3cmSIhzz7m1YQi6E6g02d6gWFhWaJ8vkWIDALLS2pM=w1200|https://lh3.googleusercontent.com/pw/AP1GczMnBnbAS9RwHpdNAaBiBDUNoEH0QWwNUPCXW_WSwOHhFz8wl166M3_uzkFVYEfm2GN4MwwzNQhaE6qE9HKqZ-iM4K0I_VjnhY6r0-N77xU5adKmznXq=w1200|https://lh3.googleusercontent.com/pw/AP1GczOaaRi7zA6Gf4aR36l2e-HPoTtyqz-iTZ7xzzWcl_KKjKz1IBvtEXJa1HpsAgppRrWmIpdtMkQLynyCylRrmc0qn56Nw5-Ss-iBKL61pS6lpRmzBRk0=w1200|https://lh3.googleusercontent.com/pw/AP1GczPYxLCTIy_iQF9ZluGGCMiHbMUhOCyup5_MYY8oJhK2CqUQ9RBugt8PxKnbWrsPRAsDpPMPubqzxQcJnJZ8vCab-Z2dc1yao9MrZkvKLnIn96h7rrGn=w1200|https://lh3.googleusercontent.com/pw/AP1GczOYe-6nENa_cGF1PvbF10xNR7Xmx3lSsENTngvATwtThfSwLRYAL0a9bl6MTFMnfbju09GNqVEo7nysHRFs-jhM4rInD394ZxaxQgvNeo-VUwkj9k6B=w1200|https://lh3.googleusercontent.com/pw/AP1GczP-cU7Vt_4VdN95KkfxkVhb-3-LBOLDl_Dl-gTUx0AxzIAlq4a6e-9UuHuE9S-Q6PvayRktzvRibMwSWdT-a3WN1q_2ymnyVo4vN5mc0Aaw0Q_flXS6=w1200</t>
  </si>
  <si>
    <t>581</t>
  </si>
  <si>
    <t>Casa campestre en conjunto - Ulloa - Rivera</t>
  </si>
  <si>
    <t>https://photos.app.goo.gl/mpBGsqnwuFcExAtv6</t>
  </si>
  <si>
    <t>Esta exclusiva casa campestre de 1 solo piso se despliega sobre un imponente terreno de 1.600 m² con 550 m² construidos en el corregimiento de La Ulloa, destacando por sus acabados tradicionales de alta durabilidad y frescura. Su distribución interior integra una cocina semi-integral con mesones enchapados en cerámica, una espaciosa sala comedor con pisos en baldosa terracota, 2 habitaciones confortables y 1 baño bien ubicado. El diseño combina la solidez de una estructura de vigas metálicas con la calidez de un cielo raso en tablilla de madera clara, complementado por una hermosa chimenea decorativa enchapada en piedra rústica y una amplia zona verde que rodea toda la propiedad.</t>
  </si>
  <si>
    <t>La verdadera magia de este inmueble radica en su potencial ilimitado y su ubicación estratégica, convirtiéndola en una joya de inversión con disponibilidad de todos los servicios públicos y conectividad inmediata. Con una impresionante proyección de piscina ya contemplada en el lote, este espacio se transforma en el escenario perfecto para diseñar un oasis privado de descanso familiar o un proyecto de alta rentabilidad vacacional. Su generosa extensión de terreno libre y la alta demanda en la zona garantizan una valorización acelerada, capturando la atención de compradores exigentes que buscan exclusividad, privacidad y el privilegio de un escape campestre único.</t>
  </si>
  <si>
    <t>https://lh3.googleusercontent.com/pw/AP1GczN8l3MfVqta2GZRSkKgFgCr-wq6kKscXV1Hdm-dKsYP2eydFVj9eOCiwtuOB0qELqHDA5G6OyzgJFx4enTtVMJUoH46CwZyeLFhRxR9pHcsUAjpYDVU=w1200|https://lh3.googleusercontent.com/pw/AP1GczPiPfWPV3-ecAE-gdja1K41a2bL3goXy3EG_VkBTxllx6E_kyYx3yaXHnic7SM_t28BMZiGZutz-KVbY8WgDHkbHTjbNYwo9_GD2tlfj0SkzyJhNpiT=w1200|https://lh3.googleusercontent.com/pw/AP1GczPIgNPINNiZE98aCi2a45pss5-vceCyEB7dP0YvAqI_iskQ51mi1UbxnAjv6xeuFcZXc1ER3W2mfIXYqBOd7giw-kY3upVVPhCCriN00TJ4xSOadWvd=w1200|https://lh3.googleusercontent.com/pw/AP1GczMEQT2M2u6gqGzy51lllKknO3tqEZvOUM9NCqjOewoUsAa5znPrlkeZM9G7fK3Z_tzp4tclhCqdUynxCSABclw0kP7akf_YWc4vjuVN8IH-K2ea9DRN=w1200|https://lh3.googleusercontent.com/pw/AP1GczMQacXUlOnJYL9ufFTI9p6f_smvAO4XZUo5BEnUJZMcIq7j_0cbsUQX9HJZx93jsf_GP3XroIp2UL6uaDzIYHTJYHvWFiK0nKLPcHah5nGHcOWC3NWX=w1200|https://lh3.googleusercontent.com/pw/AP1GczPLucBsMxeqJpkeHRucTQhJoBqOhGRU46IkMEgFk2a2RUsBd03Oj-t2_0kUo7yC4zrqBAQXPz0SYwmP6v0B4MSnxus8_rTH1JYWKpJ6rbcf0CkxVMqb=w1200|https://lh3.googleusercontent.com/pw/AP1GczNbfK4mFma2NrTpwc78ltBhIAnnaeVEwWNfAssV6HSukbW-qR_kmO46Jovi1qGsLbZnkyOSEte1ZdmZxMKB-p9tziUvI0zu7xwebypRi8iofwT4N1sZ=w1200|https://lh3.googleusercontent.com/pw/AP1GczM5U4y6QIpF3LKm9CNN_9_xf3l4-1ZH25m7in3pJIWe1VJFRdkA9WpZBRmIxHVnqMDxVbgk68k7Slv7ZKUO4DNUNFWEHxLFQx3pSckqN_g4jA0hr0HX=w1200|https://lh3.googleusercontent.com/pw/AP1GczO_8fROE6xjsXemE1USdX8x7gA_LRcd7qv7JDl7mER_fP1K5XF_e7slleb34xS1N19aGYGdFIMX-4eD-aQZ5IM_OFNbXMQK4Z1cuPt0hnOsOayVKhFe=w1200</t>
  </si>
  <si>
    <t>468</t>
  </si>
  <si>
    <t>https://photos.app.goo.gl/6Yo64MFgdfZ2zmvX8</t>
  </si>
  <si>
    <t>Esta hermosa casa campestre de 1 solo piso se distribuye sobre un amplio terreno con un área de 800 m², ofreciendo un diseño funcional y tradicional en el exclusivo Condominio Costa Brava del municipio de Yaguará. La distribución interior destaca por una amplia sala comedor iluminada de forma natural, una cocina funcional con mesones de concreto enchapados en cerámica y un piso en cerámica tipo mármol, 6 habitaciones confortables ideales para familias grandes y 3 baños bien distribuidos. La propiedad combina la solidez de sus paredes de ladrillo a la vista con la calidez de un cielo raso de madera machihembrada en su zona social, mientras que en la parte exterior se extiende una generosa terraza techada con estructuras de guadua y pisos de gres terracota, conectando directamente con un antejardín con espacio de parqueo para varios vehículos.</t>
  </si>
  <si>
    <t>La verdadera oportunidad de esta propiedad de ICDE radica en su ubicación estratégica a pocos minutos de la reconocida represa de Betania, consolidándose como una inversión perfecta y de alta valorización tanto para el descanso vacacional como para el turismo rural mediante plataformas tipo Airbnb. El inmueble destaca por sus espectaculares zonas verdes privadas, enriquecidas con árboles frutales de mandarina, limón, guanábana y plátano que configuran un entorno natural, tranquilo y seguro con disponibilidad de energía eléctrica. Es el refugio campestre ideal en una de las zonas con mayor atractivo turístico del sur de Colombia, garantizando exclusividad, confort y un retorno de inversión asegurado gracias al constante flujo de visitantes en la región.</t>
  </si>
  <si>
    <t>042</t>
  </si>
  <si>
    <t>Apartamento en conjunto Condominio Reservas de Avichente - Oriente</t>
  </si>
  <si>
    <t>Conjunto Condominio Reservas de Avichente</t>
  </si>
  <si>
    <t>https://photos.app.goo.gl/tQpTcgxtVHfqDVeT9</t>
  </si>
  <si>
    <t>Este espectacular apartamento de 95 m² destaca por su diseño funcional y acabados de excelente calidad, pensados para maximizar el confort de su familia. Ubicado en un octavo piso con una vista privilegiada y excelente ventilación, la propiedad ofrece un área social generosa que integra una sala-comedor conectada a un acogedor balcón privado, ideal para disfrutar de momentos de descanso. Cuenta con una cocina moderna, amplia y totalmente equipada, un estudio o sala de TV independiente, tres baños completos y tres habitaciones con clóset, garantizando el espacio y la privacidad que cada miembro del hogar merece.</t>
  </si>
  <si>
    <t>Ubicado en el exclusivo sector oriente de Neiva, dentro del Condominio Reservas de Avichente, este inmueble representa la oportunidad perfecta de inversión en una zona de alta valorización y estrato 3, lo que asegura un equilibrio ideal entre comodidad y costo de vida. Vivir aquí es tener un club privado en casa: el condominio ofrece un estilo de vida inigualable con piscinas para adultos y niños, parque infantil, cancha sintética y de baloncesto, además de la comodidad única de contar con supermercado interno y droguería. Todo lo que necesita para su bienestar y seguridad, en una ubicación estratégica y de fácil acceso.</t>
  </si>
  <si>
    <t>https://lh3.googleusercontent.com/pw/AP1GczPO4nBnjj5oig8jgnyTCeS5Gm8nV7mfncrov7VU9poMPXOZW3oaOshrkh1bnU80F33s0ar425QE4ThPi3fxDBjpXEmxyLtYRbla1XJQ0c1cRrOYyTvY=w1200|https://lh3.googleusercontent.com/pw/AP1GczPRp5XyMA0_lV2ToVwnS3EMozs1vWK6AVcX7PHty2tv13Lm4YUHbwCk8EndBxYmjy-yDoD57O4TR612UJAUcL2-J9kvMp6ZiJpIkX9Pim4icfz76UW5=w1200|https://lh3.googleusercontent.com/pw/AP1GczMITK2mNSZeXpAcuTwHUSUy1BMbXDD9TAjw5zCpJICrks-VZOBNdGx5IZPun9WClelvk5xCtv5NMJUeYk2FJyDXno59eZJIt0gEwHhNGAeKrBtE14F9=w1200|https://lh3.googleusercontent.com/pw/AP1GczM7yjjga1KkrygDLnM9ge84VguPJ9-eYV8aP_TlwY-tHq8LCJc-r5vPe3UBjGaCu4VBQZM7IGJngxPg_r4DRxSrjnnEdL6cD4xZZbwuzQgq-f5NchSk=w1200|https://lh3.googleusercontent.com/pw/AP1GczPVbpua1V3ocEhXkfKAT2qz-LUatEfy-K-enTUpmbOcGie6R7FRBAsvPkwyGWcT8v7hfq3m4Gx0ueH3GQWQyzhSvgL2fjYEjXbQXMTCK2m37h5g8hr0=w1200|https://lh3.googleusercontent.com/pw/AP1GczNUGVp88RJH7zQzym5MpPiA6M9QPjA9-7hStgIX28zxC57g0PxTyfh2G4FNXdOYPfn6wmEF5pSFy-Y8vClCGT-djF0qHex_WmSyjHHPsHoHvEHO8AW9=w1200|https://lh3.googleusercontent.com/pw/AP1GczO9M2lKYjaHPK427wJPMLwJDENaVYJAPm5oSqbvcVlggDg6xI07lgiXOafgxT5ABuGzxv94t_p9nM_K-uNWOSa5v6vBuIp4KSu9ytNbo2uWBXs8AaM2=w1200|https://lh3.googleusercontent.com/pw/AP1GczOAevx0dZmDpj1jRBdzu-GBfZH0Fg45SCKqS5_xK3Ty6p3v6y5kcOMi1dCzGKgZJzrhU5XIry4fgDtkxaYz_X1s2OZqka5RYr3nLfnOiyegJ1W4RguI=w1200|https://lh3.googleusercontent.com/pw/AP1GczPRVqNrD-sODNsbM9KSDF8KSB3eQn9JyPnhCPDN9-7xtTm-RCmbdDZ68mZm9BzPN-WKO1Lxo4Z7G6z5lBWCBTOG7hheeZSSodWk4kvV8e1vDrFYtBM0=w1200|https://lh3.googleusercontent.com/pw/AP1GczOH_osqBaiUZfNZResUfX8IuxcGskgpO0CyT-7Y5I3JnqmW9EwNHaezXP0HIhjFzAhJ_GYny5WhIRwPnWdLOXedZ5YB3b39kRGOOk0sbyAdQmk3cQPF=w1200|https://lh3.googleusercontent.com/pw/AP1GczPG65gsIcWzHGDYGjrNVzHE_CE9TTRNNAqedN2ve3Uh-dVtOMMf_boqbs2e89_mjhqTVQgIqqhGLA5VfntZqluJmhft9cUeH7zzOz-8oH2rj-aHi6JZ=w1200|https://lh3.googleusercontent.com/pw/AP1GczPyqsViv6RfcaUgdagIDDFpMhkMmPKhqblnwrkB9yjS6ZiN4wtm8Q1v1i2INuBj78_48PvD5ZMd-fwKWZLwXNjZ9_aeWhTWVuYZfdRA_wzvUUI8Dcqm=w1200|https://lh3.googleusercontent.com/pw/AP1GczNyIFMIBLBd8HjEWjQROBPKYbBQz-O-6WAWV8YC-qDtWb1xZIF-yeN4u0Zy22k2ilbwobKQW64OAqN7OyYkhzmh_qjsoiQRBs2kU7yTO0bXJZ85Wdld=w1200|https://lh3.googleusercontent.com/pw/AP1GczM9Y8LMdluxjYK6etF6c8YsCIFBQ_zgO20ApKgiHo0qz1p5aNPWtyDJ70gwxEUBLw9BQIlMXX4isAJTGvBQNb8epErYBF0RLxgAfwgVJgGK6ogAJqXY=w1200</t>
  </si>
  <si>
    <t>966</t>
  </si>
  <si>
    <t>Casa en conjunto Condominio Aposentos - Norte</t>
  </si>
  <si>
    <t>Condominio Aposentos</t>
  </si>
  <si>
    <t>https://photos.app.goo.gl/ZpQJgsz3LWEtW3yD9</t>
  </si>
  <si>
    <t>Esta hermosa casa de 3 niveles y 98 Mt², ubicada en el prestigioso Condominio Aposentos en la zona Norte de Neiva, cuenta con una distribución funcional y acabados modernos diseñados para la comodidad familiar. La propiedad dispone de una sala y comedor acogedores, una cocina integral moderna, un patio de ropas independiente y 1 parqueadero privado. El área de descanso está compuesta por 3 habitaciones amplias y 3 baños en total, destacando la habitación principal que incluye baño privado, un sofisticado mueble de entretenimiento empotrado con texturas amaderadas y grandes ventanales que inundan el espacio de luz natural. Sus acabados de alta calidad sobresalen por pisos en cerámica clara, carpintería de madera texturizada en clósets empotrados a medida y puertas, escaleras internas con pasamanos metálicos estructurados, y baños equipados con muebles inferiores flotantes, mesón de granito, espejos decorativos y divisiones de ducha en vidrio templado.</t>
  </si>
  <si>
    <t>Ubicada en una de las zonas más seguras, tranquilas y con mayor valorización del norte de la ciudad, esta propiedad de estrato 4 representa una oportunidad de compra inmediata al entregarse completamente equipada con cortinas instaladas y un sistema de aire acondicionado. Los residentes disfrutarán de un exclusivo estilo de vida tipo club gracias a las completas amenidades del condominio, que incluyen piscina para adultos y niños, cancha múltiple, parque infantil, zona BBQ para reuniones, salón social con aire acondicionado y portería con vigilancia 24/7. Con el respaldo profesional de ICDE, esta vivienda garantiza la combinación perfecta entre la paz que su familia merece y la cercanía a todo lo que necesita en el norte de Neiva.</t>
  </si>
  <si>
    <t>https://lh3.googleusercontent.com/pw/AP1GczOZ6bJdkDuj3viZtSp2JJKLSbAuWgJILBjQwrKftTIVH6gLzejdbW5ye7bSC_-FWWJHNVkwU--oIHpnEXauzi3KO9-I5cyKX5CrOzzurxD9aIZp8POk=w1200|https://lh3.googleusercontent.com/pw/AP1GczMsvNG3e8gtAdgHadzfd_NifIRSvS6wWLpQvglIUJU8WGGaBU1eC7vlXERhJe3ybkneo-eicXOeRL_OmTO9-hUcALHPYLEKJeuAeyPmGTIXP-Lo1Z_8=w1200|https://lh3.googleusercontent.com/pw/AP1GczPtzak1hl5ANu6nRirKe6_Ct7j0kOWZp64_ve8znVyC6uNtRdaQzOT9H3WADiB7FdxzCFiqaFdGHtvrPYpQaKpXCe6uCDgA9Dpw58x0svZS7zA6PUYh=w1200|https://lh3.googleusercontent.com/pw/AP1GczNqkcVFBGBffIx5PeFPk0EJ6lhYTSu96KzrqW_GHZtbHmUTQ2QHItcp_UJ5moMW_iqA70KDc9BSUSCbajUYFH7k6LKwyuDRr1b8HE96oJVArGtOc0Ei=w1200|https://lh3.googleusercontent.com/pw/AP1GczPghbxcPVqdwx-aYPbY2uDzIdqwZfwaZo3X9jcw00AOxLg6kt1SKZLm98Nf4bESYAd-2S5Z3vh20h25aXNYKi8890SIE1n6Owx9GJLuy_pzXDqteV6l=w1200|https://lh3.googleusercontent.com/pw/AP1GczNyUfalGXWPuwwuGPOTQc1IlXrVp29asL_EDV6iM9tVhyv7xfUrH5chy4M9UOzCdSDnnsbPKIVqDMB0DRpHVWjI6zCzzoRxP2LBmsQ0Es4WeVUDzkNE=w1200|https://lh3.googleusercontent.com/pw/AP1GczPZ0hylReAx8-IgDUeuwycZusAJv6I_bT4ggatNsa3pywH9BaHo092Ih_KoY2t7Tq2dtOcV4ZJxuOjil7kdo-SwGqa2DCG1YF4LtOJhmUNcG--zTl1H=w1200|https://lh3.googleusercontent.com/pw/AP1GczOGMipQW0BZsMdCwOP5xFVegiw9Sso7me9PlNYrsnTJKrwr2h_uJizqonpKSfYMoiO9-Ls-hG-t3cvKObeZNOQBwtM3WHFJjq0h8Iv5cyce5PkTxbhX=w1200|https://lh3.googleusercontent.com/pw/AP1GczOrquI3LEt5FZgmWtQc0Pqt_bUoUX-_kMyJUlbGdmyqtuie1kL6MfhlcJlGqkdehM4RaJ4YcepN2w1LxkR2SB4ZXFseUqHptjxNDBiTuAcFKxzQKSq-=w1200|https://lh3.googleusercontent.com/pw/AP1GczMC0OeJvWeP7ZpoPxPOMQnS4zmjwr1coV1eeZ5x6TD_9qJvMt7RbsMSAariYxhSJoYrcRAz5aSeoqzqC_MxezxueHSOKF5Ev9o5accdo3BYRKIYWpsR=w1200</t>
  </si>
  <si>
    <t>867</t>
  </si>
  <si>
    <t>Apartamento en edificio Carrizal en barrio Altico</t>
  </si>
  <si>
    <t>https://photos.app.goo.gl/s8i6ZffZnzUjo6No7</t>
  </si>
  <si>
    <t>Este exclusivo apartamento de 87 m² ubicado en el Edificio Carrizal (Barrio Altico) cuenta con una distribución funcional en tercer piso con ascensor. Ofrece una amplia sala-comedor con balcón e iluminación natural, cocina integral totalmente equipada, zona de lavandería independiente y 3 habitaciones con clóset, destacando la principal con balcón privado y aire acondicionado; todo complementado con 2 baños, depósito, parqueadero propio y estrato 4.</t>
  </si>
  <si>
    <t>Su ubicación estratégica en el corazón de Neiva y a minutos de la Universidad Corhuila garantiza una altísima valorización y conectividad total. El edificio eleva la experiencia con terraza de vista panorámica, máxima seguridad electrónica y documentación 100% al día lista para escriturar mediante crédito hipotecario o leasing, consolidándose como una oportunidad de inversión líquida, segura y de entrega inmediata.</t>
  </si>
  <si>
    <t>https://lh3.googleusercontent.com/pw/AP1GczOk7GqL9HG9-IH_0ONmwEcryeHiZvFDc5qfZ3Nv3boRex0IvoqKygBkhdw32iCTcBCkQqu9bKRhJRv-lSOcpf1OumEhgb9zDs16G7bicsjLyfE70DdH=w1200|https://lh3.googleusercontent.com/pw/AP1GczOCndOwMJeSno9Dw5uHM9GXFUr-DH6lsu0hjfk0sARniBdIvUlmhzlAKSB0EA3U46Df1bVynYs3k2k_CPnf6nbtkkDBzSanLBXDYMBBOPUCk4VYo1rF=w1200|https://lh3.googleusercontent.com/pw/AP1GczPc-pdMD6Hu5Qlb7wZabGIr5PpzSgtEcn2IDy4m2xwdyj8W1-dPwTIVeJnzxtggZIOJJjXugwgR0xEuzr7qUhXan0-sYb34h4te5Tt4tr0uOyygXm2X=w1200|https://lh3.googleusercontent.com/pw/AP1GczOukavI5L8kT8jWV_33fhsNW4PwCLF6Xe9imd1dOz_5YiciIlTk48rny2QXh3wJjXm92QL44xNVt59TQkUd_65mLpz2QYpb3meSou_AceDh0eZxXbE3=w1200|https://lh3.googleusercontent.com/pw/AP1GczN4rTNhsCyBVNexQF8TYEn4jdse9jXFY6SepfI9S5E3F03zYr67TKXj-CiQdEvleEgTOsqxNhrE2cKQ7MudFJbrbHeVsCbpUHq-2nWkWpPab1-IXTm-=w1200|https://lh3.googleusercontent.com/pw/AP1GczPqy2eO5Btwp6PEKoVlsNzkNgO6_WoJtUL2fy5bJOItGFGurnSELlgbE2c-Si3BqZ5qfcBLG_rl4H9QjryKDdR37i9YczV65WpG9NRhRJQe-o3riPXN=w1200|https://lh3.googleusercontent.com/pw/AP1GczOwmq3pxCbV46kfJFusbJAG7D27z92m0ObV-zJ20Pd5ywbar0Cag0eXey7Gqw6frkHENfUVpnbPc-q8LnBywBrJEllqoc4QDBfvb6YTbc7Gt2RCT4G_=w1200|https://lh3.googleusercontent.com/pw/AP1GczO7KAfRrzCx-Q9qcKxUanyBeDlnuQJsSqgpcgDZZ_-cycGu0UNjoiLNJaImrmJ-dsmA2Gw8pb_gsUKUuX4Y3A8Ktmj5EwxVVZvNxilK5Pjn9OUyBtuL=w1200|https://lh3.googleusercontent.com/pw/AP1GczPvtVt_fR0t8WjYHsYTJfwLzFrt0HrfxK-oHz-Cqy9EX84HNNy1rY5bL11aNqNUej9n92JQuxi5bOvHY1oREDkmdHGvbeUWMLUcXeqgTk0tydZc4eTH=w1200|https://lh3.googleusercontent.com/pw/AP1GczNmV8z4OGp2bnUeoVW4bPck6XOEX4vWK9UMC6WkPIh8dXSl0ULckkbER0HPaX3VJx-8ks4ZFzL3zijYymHjVuP5gL8hbPVCSh50SWy8ASD555rCnNGa=w1200|https://lh3.googleusercontent.com/pw/AP1GczNlkIz4wGj9H2_D0UdQxDW8BpN2zEjcy0CravAKimj5vmz9EvMH4bDVd34VqlTEtVB4a-ZVj2wdSHxv5qs9BucbXqzOn64PNpDtlv7_guwAijai61vk=w1200</t>
  </si>
  <si>
    <t>876</t>
  </si>
  <si>
    <t>Apartamento en conjunto  - Sector Unicentro - Sur</t>
  </si>
  <si>
    <t>15o.</t>
  </si>
  <si>
    <t>https://photos.app.goo.gl/r3Y6C8P15gTpzdxu6</t>
  </si>
  <si>
    <t>Este moderno apartamento esquinero destaca por sus elegantes acabados en porcelanato y mármol, distribuidos en una luminosa sala-comedor que conecta a un balcón con espectacular vista panorámica. Cuenta con cocina integral equipada, zona de lavandería independiente y un hall que distribuye hacia dos habitaciones auxiliares con clóset, un baño social completo y una amplia habitación principal con baño privado y walk-in closet.</t>
  </si>
  <si>
    <t>Ubicado en el piso 15 de un exclusivo conjunto tipo club junto a Unicentro Neiva, este inmueble garantiza alta valorización, ventilación fresca y luz natural garantizada. Incluye parqueadero cubierto privado, depósito, doble ascensor y acceso a piscinas, jacuzzi y gimnasio, todo listo para traspaso inmediato con documentos al día. ¡Una oportunidad única de confort y estatus que no durará mucho en el mercado!</t>
  </si>
  <si>
    <t>https://lh3.googleusercontent.com/pw/AP1GczMc9UQhjkw0kU3TvB7gi15Y0dln12u--fa-E_OO_SWThdigV55Jtc7qcRagB2tgY4NZ2eE0W2p4fT1J7AmduP00_Pj_LM_QwZ0B7CtdR_yxtODShdbu=w1200|https://lh3.googleusercontent.com/pw/AP1GczMJIz6MU5ogxZ2Ap2U5t3oKzeMZccq-0dx5ig6JQresQ5Wverdmzk3IdNgvDAwYAh4F3NVqAe2peq7j6zgqh5YM2hDVhMWKQVq5Dfoz42C2cWc6GYCo=w1200|https://lh3.googleusercontent.com/pw/AP1GczNtJY7VkDSsN3PMz_y6Du6lGbkRZpFxxT1rjJ-J4Wq2y6UgJp6-SdYrS2uvXziflo_q3b-vPaDSjznuuRQLc1pQ6qYDF1EJJQftnSjuSQDefk89Eh4i=w1200|https://lh3.googleusercontent.com/pw/AP1GczOn62VbSd5f5xczq2KZJ7VLGCmYMNxPbZ8H3mnULiBzqd183XNQvV7EbKTh02gUv7J8ymvOae93F9WZjpO2u7NxDdxoSeP5qhgJ4s-n_Ed44FvMGVLu=w1200|https://lh3.googleusercontent.com/pw/AP1GczOABDLbKuV5G2I6qVlj8thu3bU1AOTiP4U4fcDf8ravVCJ8kl6yHD6QqLLUxcJhHKD0TdYti4UQgvl6nYjtHcjd6tonypbOD0V6FUO3pNI3KSdkFY-q=w1200|https://lh3.googleusercontent.com/pw/AP1GczPX5SaF7KoJWzzYAEtT0Sv3e3NGT9iAiUlReZo932CzRw6tAcBum9pUc9AxxXsdNOYRKwAAAfsZdMLcsPMSmg1w2j1vRryO6qchUdV1OA5TvA9BjRxf=w1200|https://lh3.googleusercontent.com/pw/AP1GczOky_H9hHrqvjKnugs1b5fbfr946k_apS-9VAnC_Dj2XGU_3wAnZZfMaKdsqn3-FOMCUE6coWJXsFm0vtReCj75rwPBJSRta9-Kfl0PnvlcsKEqBndU=w1200|https://lh3.googleusercontent.com/pw/AP1GczP7vo3V9oj41NnbqvgPRanANVxmQPb-knGLW7iagrep0gLDsucnOyBu9jbyW5Wek54vT0T6aa_TJFnmJ0iEyREG0FtnEyn_DY3fjP7jKzUGwMX76Fmp=w1200</t>
  </si>
  <si>
    <t>854</t>
  </si>
  <si>
    <t>Apartamento en conjunto Residencial Entre Pinos - Oriente</t>
  </si>
  <si>
    <t>Conjunto Residencial Entre Pinos</t>
  </si>
  <si>
    <t>https://photos.app.goo.gl/AbJuTKj3fW2Xg6eJA</t>
  </si>
  <si>
    <t>Distribución:  Sala, comedor, cocina integra, 3 habitaciones con closet una con baño privado, baño social, area de servicios. Cuenta con excelentes acabados.</t>
  </si>
  <si>
    <t>Apartamento nuevo. Septiemo piso.  Parqueadero Comunal.</t>
  </si>
  <si>
    <t>https://lh3.googleusercontent.com/pw/AP1GczM9qGedTSAyRr2aV7TJVMk9bSKYix4HyHVDvs43P5RKQQzBUD43LA4UQDnLOoA8Ers-fAx4W_rn0KuqxLxq5s4xukSinQTJhDZowXf1k0vt6ziQUZnQ=w1200|https://lh3.googleusercontent.com/pw/AP1GczP5gYIcSm-EdqW8ICr1228gUW9HNGhbe5_lihxku-4SQMc-pZlntoBDTwAyv6g2-KKihyeIMKj34igW-paNYWmQYaG6tetXVyeE_uj22SDqQqziYruO=w1200|https://lh3.googleusercontent.com/pw/AP1GczPyQWCUAfM-KfZCLZ9oARfo4-Kx3wNl5qTEYx9h1ABtBfBNUmMASkndFpfVC76sCrq-zlKffvmFefS6yL67hvbdLv7UabaZMnn3_67xXdTbEV3xNcP3=w1200|https://lh3.googleusercontent.com/pw/AP1GczOoTpkLag63h_juwQC3eP5uVLN29jM6G9gbCH5raxfLYtD10t4NZxwxKJsg-wNlKWBEQYoPFSHFqM3Uic63i5zatG07B4UPZOSjCLdlvuESXqmf504s=w1200|https://lh3.googleusercontent.com/pw/AP1GczNzFQFTvLXOmfs1xz7dU4bG6AVyk_VLyfTL1nu7zWeWJuSQEJkRZzVvVmsuXsCT56DwrAE0gMPE8KaAgGxQegaDqZgn0P5i01u0HzDPhDVpQgSSjHcZ=w1200|https://lh3.googleusercontent.com/pw/AP1GczPsNUYgaf8XIZFFT4mEiPRVNhId8W4rqWcc1hJknMhdCVxpox7xH2YwbVJ5HDUNrVuSU3SOih7fyTtNnbwlv8__UPy-PaNOmj-AzF0RKtFXR4dJRKp3=w1200|https://lh3.googleusercontent.com/pw/AP1GczNvdrUHt-aOykYMFUslRnQN0EDhLTcyNGyX7EsyWnPkd2Uu_wwJhz1_umBsi2aghp37xE-FRo7WHoovcFIkSM2JlrAg8SJQVAqhuXcHlRzRIBZ08Swh=w1200|https://lh3.googleusercontent.com/pw/AP1GczNgSYH5KICzBHJOnJMVTx0fy6BvDVU2K9l_0K0BSCIaq9V_TVdFwwuXzNUnOmtuan6qDOjN6-cbmA77olKekt-dR3-qZnKOTguE1_7ObgA4oehEFtUS=w1200</t>
  </si>
  <si>
    <t>050</t>
  </si>
  <si>
    <t>Apartamento en conjunto Residencial Dos Maderos - Oriente</t>
  </si>
  <si>
    <t>Conjunto Residencial Dos Maderos</t>
  </si>
  <si>
    <t>5to</t>
  </si>
  <si>
    <t>https://photos.app.goo.gl/TeEkWp5fcKGSTtG56</t>
  </si>
  <si>
    <t>Este espectacular apartamento a estrenar de 73 m², ubicado en un tercer piso en la cotizada zona oriente, destaca por una distribución inteligente y acabados modernos que maximizan el confort familiar. El área privada cuenta con tres amplias alcobas, donde resalta la habitación principal equipada con un exclusivo vestier y baño privado, complementada por un segundo baño completo para las demás estancias. El diseño aprovecha de forma armónica cada metro cuadrado, ofreciendo un ambiente iluminado, cómodo y la enorme ventaja de contar con su propio parqueadero privado.</t>
  </si>
  <si>
    <t>La propiedad representa una oportunidad de inversión única por su ubicación en el Conjunto Residencial Dos Maderos, un sector tranquilo y de gran valorización. Vivir aquí eleva el estilo de vida familiar al dar acceso a excelentes zonas sociales que incluyen piscina, cancha deportiva y salón de eventos, todo con los beneficios de un estrato 3. Es el espacio moderno, seguro y con proyección que los clientes buscan para mudarse de inmediato.</t>
  </si>
  <si>
    <t>https://lh3.googleusercontent.com/pw/AP1GczOi21jw05c-PeZ2wJ3EBQrHcKfBQEG7OcJaxXvwYmzau2h4prJyGzSkLcM8S4_djrEwN_FCUU8uBVzSu3LRhDE2DqJEHjPianYosB7ESjZL7nqL-gZm=w1200|https://lh3.googleusercontent.com/pw/AP1GczOmX3_JPya2zOm7Icf3-CJuJN1ey1cz-o6Che8j7QOjtEThBz8ippwvByDrlbKnb3FxpQ7XbTm2QqHrtA_yVy5w-ZUVTvJkwLT4DI65cgf_Psf9tK6G=w1200|https://lh3.googleusercontent.com/pw/AP1GczOGtMkLqpdIl3ad53lh3hl4JS06nRt6C2Bb_fqjyU2ezyIXAEdbWXcj_eU49fsikKF6d1d7vvHsmCgLBCbOGvInDpDLE4qu4G1ePNqAnpi4PMb-zau2=w1200|https://lh3.googleusercontent.com/pw/AP1GczOTEaX40H4iDrlgFJtyMMHe2nK0zHm2CevdzkZOrEYTqPdFhUnCIGc1HcyDVmzfLhxXd-xV3yww9ot4B-DHipJAUlIqKSEuAGFtLxJ-1GZ-PUmRS_7Q=w1200|https://lh3.googleusercontent.com/pw/AP1GczNeMIi-Va6PsuKidJaDYbxr4WGo6xm9ijHMDkGG9wDNdwzfxpr82r8NaJLkevNBdEf4vt-x212Hlh7vkTPq-DDrnf0L7NgTO1ytwx2m-ezQQfhy2068=w1200|https://lh3.googleusercontent.com/pw/AP1GczNRjaXZ0ogxfXrK8RL33ZPB-q-nGGINoK9dAgDqJy_hUYw20KzXoKXVzI6PyA6qUKAafpaVAuKAkVeRiGq1JTVseHN9l9zIfUk4H2xKTQAADH5YENRz=w1200</t>
  </si>
  <si>
    <t>888</t>
  </si>
  <si>
    <t>https://photos.app.goo.gl/NVQAenVXbQK4nrom7</t>
  </si>
  <si>
    <t>Este exclusivo apartamento para estrenar, ubicado en el quinto piso del Conjunto Residencial Dos Maderos en el oriente de Neiva, destaca por sus acabados modernos y una distribución óptima de 73 m². El diseño funcional integra una luminosa sala-comedor que conecta a un balcón con vista abierta, cocina integral abierta con barra americana (equipada con horno, estufa y extractor), zona de lavado independiente, tres amplias habitaciones (la principal con vestier y baño privado, y dos auxiliares con clóset) y un baño social completo, complementado con parqueadero privado cubierto y depósito</t>
  </si>
  <si>
    <t>Ubicado en un sector de alta valorización con excelente conectividad, este inmueble representa la oportunidad perfecta de inversión o vivienda inmediata con documentación totalmente al día y apto para crédito hipotecario. El conjunto cerrado eleva la calidad de vida gracias a su seguridad 24/7, ascensor, piscina, cancha polideportiva, salón social, zona de mascotas y parqueadero de visitantes, asegurando el máximo confort, tranquilidad y estatus para su familia en una de las zonas con mayor proyección de la ciudad.</t>
  </si>
  <si>
    <t>https://lh3.googleusercontent.com/pw/AP1GczMpx6Pi0-wUcq9L1tW5ABhNEbnwycGxG8avW2rJ_6VyYFinmXadz5jjPy5UO7310BL5VgxwKNmgP6KBiRPvhp7R7iyKecD4nzovgUc2lhKzKgRvFc8x=w1200|https://lh3.googleusercontent.com/pw/AP1GczPqgy9Mcsp4Q5PfEzSmPkux-bxRzIAtAKJ_bxDhXTOmEXDUhHsqpWXH_Qzqi318B8mc55K1n7rzy6ld9UtIOMeGB1rIu31MSeXuTEY-4GRVvSn_1CR6=w1200|https://lh3.googleusercontent.com/pw/AP1GczOrmeqRh_keS2DlRbCzAkS11QA6ZzLCP4kBY4i29ZFQcOupzLZz48oQGWSERMom-KXdXj9DcXVkJOvKSrev5pJfFfXJQ6sR620aVvoawcVK_vozRTbK=w1200|https://lh3.googleusercontent.com/pw/AP1GczNDq-i-Dq612MmQD0An-mIEauFRik0xI5OIDy96pApim8ebrvzYgPVZ3vZ2COfe7c2AY9V4Empa4IKlifZq279B0V7YEWw4IsRgwmiNa5vpQRlj3Ryj=w1200|https://lh3.googleusercontent.com/pw/AP1GczPT1IsdxFRSUfcmKYShKTVj_q2mbF1mHUmwzwz4-fA8dEqqcXPBO_4jT9py8ubp3tPyqmFK9vhtOqFPOtXuyyeD1lElj-9GdfIIwrm_LUiCbjsLWUWF=w1200|https://lh3.googleusercontent.com/pw/AP1GczOiVBmeSx4Jp6NHFfoYI3wHBi1O0nvzUqftNqBFPnKLwgmhxW1q4cRNBvmzk7NdnMj6Ck91AuVAYpS32P1pM5dJmLJruq_w8Rc3p7vVPS2BJPVFxXLQ=w1200|https://lh3.googleusercontent.com/pw/AP1GczOxe3WGzTPsCgLxOeeurWifzb4HuvE-TdYdVF7oUh6-445P5f3GormzpCjpm_elzWl5pWd8nUXidCjDHsz3Nis648A7lGlyO4OHmUUbmc9Iv9EQA4Vj=w1200|https://lh3.googleusercontent.com/pw/AP1GczO9SCnUA4u9oEby7HqvzHKvPqPoGPE56Y3IEoub7GeEmKQTIo1I85LXul8iO19vjvuxMDhI4thsab-d4r6cNVsxkq1Vq3NHEiB1JmL_TQ5GGGaS-j9j=w1200|https://lh3.googleusercontent.com/pw/AP1GczNNyJo2zcICR6KfqlakQmxwTChRdqlXOZPJQSY_BRspwEUU__Mggoik9CVySIgv9MJp2-HXG8-a7J8XY44_FahlWgK5moUwVIOpFq-sS4X7ZntRlrGP=w1200|https://lh3.googleusercontent.com/pw/AP1GczPqWoOkcsJMA_tq0lqdlDMYxEgT0LecZAi2PioQwvRYok5j7MCHN8uuggNmmezPryXogc74V290VyZi1OYAe7b9j7P0UgxxU1f4fWB8v5hjP-dhKJ4R=w1200|https://lh3.googleusercontent.com/pw/AP1GczP_RwbBEYcQmmWVgWLZ3DvTGk3tJ1WVusPlprBJuVc5CCV1h4jN5Dkz61hu_j0Xsfdw1iKSkLzsHtSLBx2KxhrJojy-kqm67Sb1tnB-s3ORkavRvRiX=w1200</t>
  </si>
  <si>
    <t>857</t>
  </si>
  <si>
    <t>Apartamento en conjunto Condominio Camino Real - Norte</t>
  </si>
  <si>
    <t>https://photos.app.goo.gl/dLnCJLRYG6ye8hP67</t>
  </si>
  <si>
    <t>Este impecable apartamento dúplex de 87 m² está ubicado en el cuarto piso del Condominio Camino Real, en una zona privilegiada del nororiente de Neiva, a pocos pasos de los centros comerciales San Juan Plaza y San Pedro Plaza. El diseño de estrato 3 destaca por su abundante iluminación natural, ofreciendo una sala-comedor con balcón, cocina funcional con zona de lavandería y un estudio independiente con aire acondicionado y balcón. La distribución incluye tres alcobas y dos baños; la habitación principal disfruta de baño privado y un balcón exclusivo, mientras que los dos dormitorios auxiliares disponen de cómodos clósets.</t>
  </si>
  <si>
    <t>¡Comodidad y entretenimiento en un solo lugar! Este hogar es ideal para familias que buscan amplitud y excelente conectividad en la Zona Norte, garantizando total tranquilidad con vigilancia permanente y un parqueadero cubierto escriturado. Además, ofrece un estilo de vida inmejorable gracias a sus completas zonas comunes que incluyen piscina, salón social y parque infantil, convirtiéndolo en una oportunidad lista para habitar por su estado de conservación impecable.</t>
  </si>
  <si>
    <t>https://lh3.googleusercontent.com/pw/AP1GczNk69E_t58STlwMM2i2A0fhZZj5tZq722cq41KI5iLia-ZXksc8Ad2tQEARW_TSCCPNoJDAC3XL4Yqi-VC_TEfNYg4qhCNCKJcxhb_yo6OpwMm6HCRl=w1200|https://lh3.googleusercontent.com/pw/AP1GczOUIFWTsUDP3V-uKEx04gMhyYH4T-rHtBzoIwgbt0FUVwxHFwgQioshVATVx4ycVWmQ_69nfTnbnkTqSG1izebPuYzdHIlBr8xm2LvZ6TOyny_uWhYO=w1200|https://lh3.googleusercontent.com/pw/AP1GczOhFjIE9nShAAciQOUQ9zgcsrzL_-Y6f_WUiCyD4fjTP7R4NzoLyTAsGKhCaq2XyJ76SRdT-6j6BVvokrhMkLLgKzCI-AY6Z6TwCGMq7ZxOHTuhF_gS=w1200|https://lh3.googleusercontent.com/pw/AP1GczMFNucJ0557kjC4noXpTn9OMUQeCSoeautcbJV6aBparTHdrXhITcozpmd9Vp15OwcnHEYE0XeeKU9gW0yJYSK48AkVVyPzugoxBbXExiOg3x-umbT2=w1200|https://lh3.googleusercontent.com/pw/AP1GczPxX9O30pArZEy-olad9YygiLArJZIE6mKnx0ozEooLUHJoqK-UMYjxv6nNB6BJcFlGA8flgskYRsxIQkx7x50XjBQwycBxhIyVC7GhvF0DX4VduHvi=w1200|https://lh3.googleusercontent.com/pw/AP1GczOHGErrtLavISd9Mig3UOA5PDwi-X43P54Gs3zbwx_3BmE2CROytqJm4Ya5tDD_d7L8t5QQHBdUZav4-in_6dhtf9xLE8E0rYUGIWZrHwDaFob0XwOL=w1200|https://lh3.googleusercontent.com/pw/AP1GczOdhf_X8wLLcK019mWHFqo4oyJ4PoN-2CniAizn3A8hA-0MIb6ic8jBiTwpc2lfxoVnSNX63ON8SHV46emuYswKiAwTsmBD962bYzFoq1ZW3OF8PnRp=w1200|https://lh3.googleusercontent.com/pw/AP1GczNrzTyL0zoSU7Y_L2oASn0ErNVE0_hH5HJPuYgNskSGS8jmS8Mekz2N0KtB9iEjUBekQm3SPVdtrnJ42s1iKpsAdv3NIbs7yKdf-JbboLvqgOBybXkA=w1200|https://lh3.googleusercontent.com/pw/AP1GczOSzd856yEE5zoyk7D3lGHIeldTTLq0mNWAxT96I6eF3OvpPHvc1p69xbMolDsFujaS5VBOi73ud_5iG4X2vKMs7c8LPAKCOe-ldl1ApgRuQ0fKlJ6K=w1200</t>
  </si>
  <si>
    <t>970</t>
  </si>
  <si>
    <t>Apartamento en  conjunto Reserva de los Tulipanes - Sur</t>
  </si>
  <si>
    <t xml:space="preserve"> Conjunto Reserva de los Tulipanes</t>
  </si>
  <si>
    <t>10o.</t>
  </si>
  <si>
    <t>https://photos.app.goo.gl/a1eeEv2bixPSA7V86</t>
  </si>
  <si>
    <t>Este amplio apartamento de 96 m² cuenta con tres habitaciones con clóset de madera (la principal con baño privado), baño auxiliar completo y una espaciosa sala-comedor. Su diseño inteligente integra una cocina integral funcional, zona de lavadero independiente y un espacio ideal para estudio o home office, optimizando cada metro cuadrado para el confort diario.</t>
  </si>
  <si>
    <t>Ubicado en un exclusivo décimo piso en la Zona Sur, este inmueble ofrece una ventilación natural envidiable y una vista panorámica privilegiada. Disfrute de un estilo de vida tipo resort con parqueadero cubierto, depósito y seguridad 24/7, además de completas zonas comunes con piscina, gimnasio, canchas y parques. Por su ubicación en estrato 4 y su alta demanda, es la oportunidad perfecta para mudarse de inmediato o asegurar una inversión de alta valorización y fácil arrendamiento.</t>
  </si>
  <si>
    <t>https://lh3.googleusercontent.com/pw/AP1GczMOgYasHnfNeAwfyu5Ll4qu6llQ2Zh0WJvg9fzp5tlONaAiW1OaO4e7-xTc1Sh_OGzr4lnZg7wEwTM_iPw1HTzHQygI5pwCQN1PqhwlYCZ8TrD5Wn4y=w1200|https://lh3.googleusercontent.com/pw/AP1GczOJOi69v1I8gtvkhgavMZXSHvf0cTIgOlmMt_Jwru3lYDG8lvina0zz7_SoKe7RZIwF1JXbVzQ7jCvQxOBq9wG4fYOcCQNAUQw4C0NMtlBBaXQqrvnQ=w1200|https://lh3.googleusercontent.com/pw/AP1GczO3D1nSISph53t02yug13XR6u83KvjwvdSbhDKARGJWUXCxpl5J8y1BT7f1vzcFUjofyvq7Ro94WbFUok9VL9FEcL1_DQ0gZF_lxa921u6Mkto0U8wa=w1200|https://lh3.googleusercontent.com/pw/AP1GczOP3VUjs811KY8zFBljxC4HAVtD__j7PwGUhu8LDuvUxH0iPZIpkQRgmNEIDVLBvyxKk8jGluN8MtzkQf12qVu1L3V52Wo3X7eecxhbiEL1rTzjY7fy=w1200|https://lh3.googleusercontent.com/pw/AP1GczNtlUkh1Cdz0OVFC0_CR8nqxsoXJFxZ9tbFyJz6_pr61rPOqhsYLyA7sIgqFhAfhGycX5miStOf0lD0jIOEjQIlcPzGrInU_-uiEDzr7YTo5ST_Z12L=w1200|https://lh3.googleusercontent.com/pw/AP1GczMuYrLiXOug1r3hkYZCageWw8VoCYQqKE8mtFzGOX3UCucD21Qy-VAlMfbbKUG3m1RGL9PKnifjYDtpaJtl32LWuBwd0j1MmRGABkwVGHTVUbGjE-xi=w1200|https://lh3.googleusercontent.com/pw/AP1GczOZaiYhmFHf2qpgum9_hnIAPO0n_t4I5ybryYubhKMAIZJa56OwJhRYROtqCGWivi7A1GMFjVaru-tS9RmC0tfJsKSYl_SWC_uS-nHJrEPq_Go6YKpy=w1200|https://lh3.googleusercontent.com/pw/AP1GczOieRp9CEd4iZLWhH6SMwKySOyGcncX412sKhcccTtJXH18kfTQsHBacCctbYlkQjdWCy4E4p8F6_IezviUcFCQoG-J0cYL_Djc3JNs96CbBq8kjZuV=w1200|https://lh3.googleusercontent.com/pw/AP1GczPLyp83ql6DibglX-PCHKvO5wvNuxixECV6vui65BrH0cd6SbGDtqrE-FhaFtXbfBv4yZ61XGZ3Ar-wuaeyWc4Bq_tXsuxrQkpISNg7kHa0Htnb7vrL=w1200</t>
  </si>
  <si>
    <t>884</t>
  </si>
  <si>
    <t>Apartamento en conjunto Villa Lucía - Norte</t>
  </si>
  <si>
    <t>Conjunto Villa Lucía</t>
  </si>
  <si>
    <t>https://photos.app.goo.gl/LY5D1w3GnL9P88pMA</t>
  </si>
  <si>
    <t>Este iluminado apartamento de 68 m², ubicado en el séptimo piso del Conjunto Villa Lucía, destaca por sus acabados modernos y una excelente distribución del espacio. Su diseño interior ofrece una sala-comedor con amplios ventanales y vista panorámica a la ciudad, cocina integral totalmente equipada con gabinetes en madera, zona de ropas independiente y un espacio versátil ideal para biblioteca o estudio. Cuenta con tres habitaciones funcionales (la principal con balcón privado y baño interno) y un baño social completo; además, incluye la gran comodidad de un parqueadero privado cubierto y depósito privado en el mismo piso.</t>
  </si>
  <si>
    <t>Ubicado en la zona norte de Neiva, un sector de estrato 3 con el mayor desarrollo y valorización de la ciudad, este inmueble ofrece un estilo de vida inigualable gracias a su cercanía estratégica a los principales centros comerciales como San Pedro Plaza, San Juan Plaza y Único. El conjunto residencial está diseñado para el disfrute de toda la familia, ofreciendo completas zonas comunes que incluyen piscina para adultos y niños, gimnasio equipado, cancha deportiva, zona BBQ, parque infantil, amplias zonas verdes y un espacio exclusivo para mascotas.</t>
  </si>
  <si>
    <t>https://lh3.googleusercontent.com/pw/AP1GczNMbqt5bfni0G6ae2k-VZws6Nqm5Vq9NwogaA7dQQr7TBHflOHRpLm5HQG9VoCZrkyZjiUgJnbbT4rJlXLTdjgOBADvjRmMIIc2Qg6LQRfzNK9jnIXx=w1200|https://lh3.googleusercontent.com/pw/AP1GczPXJGXg5muRJIBJDX1b3VtkWHVkB8UWuRyumu9kJclDDKT6XP9G0DQVBbsu-0PXKrkVqveWmvVspeCh7xyVu472EXYYv7S9WrK9mgtkhNlxy093j5PU=w1200|https://lh3.googleusercontent.com/pw/AP1GczOwdZtrVPv6ytFvaFkKl_UyWVgKLDcYbKFcqzdhMGsOL1LD1lyIj77sjCReNfR-q7fpxu4Fu4nvWPiG0T0RuYSuYgbl0J9uXGW8b_GESpvx6MuWKgON=w1200|https://lh3.googleusercontent.com/pw/AP1GczP2_PKKq20DvUf0Ah1fNQkL-oyfuR-6mWy3aioGw8x0peb7hLdsxM0I0PBbirf3SAxM9T5SrdSDaPIzzEDqreFwlSicEeQxIXlLoRSQh82vNRznYo-C=w1200|https://lh3.googleusercontent.com/pw/AP1GczM7FFnyjVbjhFnh1ffMuAN3w7oyi2CEp8lod5JIXxW2Mh-lxyHVbbZodvH78-Y_StYXsVWCtaNjMY1ziBnTidyJgyPxkWZpyaX4TdAzBMdl-J0GyZ60=w1200|https://lh3.googleusercontent.com/pw/AP1GczPuqwQtCXcgZzJcnC6vPJ6C2cjOlVIg0Ggj8JLMOsCgriG9ekf118SJrqKk9DqIzEFFa71EX1ZGAmzECEUsiX5SDe7m-jbFwcWvlzO7WrksVYhbGuUZ=w1200|https://lh3.googleusercontent.com/pw/AP1GczNz1k0qiQME5a-hlaPFYnERjwAZ6PAcaRmCQlZWz0Owyh4nFW7Ls-K-4-xz3tkVyKhzWBHtYxVQWEZmqp3H0ZKG6rLSGTczIW13MMtyD7dFJRfAPKdL=w1200|https://lh3.googleusercontent.com/pw/AP1GczM8EKd9fjY2fjLqtruizMVfSbZ8eO5PXwGepsdDWttXFs5t1wH-RXI478ZY25WS3q5OV8v3nFC0OcH2kI5vAtc0mmrc4CDqCG5yzzc7MWALJ6aOZRJY=w1200|https://lh3.googleusercontent.com/pw/AP1GczPdRPtS51bkwka4mPK9dxyKRoEdOxBF-5Y_cwilDmvPhGUmJDfYugxnQkvMyEOfr5Re7o16DHeskjeBSXWBp5YstKqWwsjdX-lpaedlXBJ2B0zFrm_C=w1200|https://lh3.googleusercontent.com/pw/AP1GczMJtSPhgpTTJREWotJHifuT0wOVr_zfsY3G6QtgsrPDf9k2WV8TwSRSs1jJlasiPGAb9lNoa6nP_2-9nbi-GNvxbxF9V-3ypWA0oBGd8cDAi8VBUgtc=w1200</t>
  </si>
  <si>
    <t>874</t>
  </si>
  <si>
    <t>Apartamento en conjunto Condominio Multicentro - Sur</t>
  </si>
  <si>
    <t>Conjunto Condominio Multicentro</t>
  </si>
  <si>
    <t>https://photos.app.goo.gl/2BGJJ57apZdM5MSh9</t>
  </si>
  <si>
    <t>Este moderno apartamento ofrece una distribución funcional con una amplia sala-comedor conectada a un balcón con vista abierta, un cómodo espacio de estudio con mobiliario y cocina integral totalmente equipada. La zona privada cuenta con dos habitaciones con aire acondicionado y clóset (la principal con baño privado), baño social completo y una práctica zona de lavandería independiente.</t>
  </si>
  <si>
    <t>Ubicado en el piso 13 de la zona con mayor valorización del sur de Neiva, a pasos de Unicentro, este inmueble destaca por sus acabados de lujo, pisos en porcelanato, cortinas blackout y parqueadero cubierto escriturado. Listo para habitar y con documentación al día, ofrece un estilo de vida tipo club con piscina, jacuzzi, gimnasio y zona BBQ, asegurando una inversión de alta rentabilidad y confort inmediato.</t>
  </si>
  <si>
    <t>https://lh3.googleusercontent.com/pw/AP1GczOwKVQpdWgZzMoFfrJ6Hb3cJREagpkB3BazHLkuh3fMN5WY0hvK85TbhQ2fbc55f0QBeTuYc3KO76-TcrNeIsOLkrtewF-KIVXOO59vg0uyWz6e4i_n=w1200|https://lh3.googleusercontent.com/pw/AP1GczPy4zVEetgFjy-QFKixumSBBqdW9KB6hkjiaXre8rEULA4plyF1Q2btEfU7b3Hy4iI58CnkEpCYuDrg3hMt19au-jDcQjPObt4Nqa87-nptjPBJ-jw-=w1200|https://lh3.googleusercontent.com/pw/AP1GczMjdOMzCZKiPzpFNctxMIv4xvzvh7Q6Ug_dwBvqkABPY6wsHp580xw-MmTTlJcA1fj8UBgH1XP5RAAlKl4VbSNTTACiVX9yP2ZdYvtGMaF5Yx7TtXEZ=w1200|https://lh3.googleusercontent.com/pw/AP1GczOLNQyjqBND-3qex8Wi0TYTShDe-EL6R-4RyEmqtMbzd2lPZbzeNRZXW8SvRnFeywWpN6sO0PFW5stbdmGUp1jC42TRPUa5NylclpvL1BkP7b34A8HI=w1200|https://lh3.googleusercontent.com/pw/AP1GczM8OfS54xVJ3ZVlF9R5Q0b3q0TVNdzyaztVTrmcQCkgehlGVd0oEGokcYwmJiiKB6dT6v0Wkh8TDhqTnxUhARhQ5gGwg9cRcubOboQrhE4C-XCrTx10=w1200|https://lh3.googleusercontent.com/pw/AP1GczNXhVagQlGopfPsYOzuhb1_V0DPm1-Z48JQJxiPNAVzX5wVWMA6EP7EV_ZiMbY_niHgvqWlWynaarC0Savgu93rg3pHfRT7rGA6Ht60PEyNC8m0sdNv=w1200|https://lh3.googleusercontent.com/pw/AP1GczO56Wu7ENGHgXSdX5Erf7eoEMnqt_OcFnq5cXdL9pKXAq-Dn8mCVbL-qDQ1ddr_0H6o9kWTwSzuCccnQ1r-T3O1PeFF0F5jDfzbUDYdQB19hx5O1f_1=w1200|https://lh3.googleusercontent.com/pw/AP1GczPtP7sWsD-Zb8l4b02IVJ4hOHWF9bVjhuBBfs2yoLRvijK78XmZmhq94CnFdN8-XyUoQDT8bhoOZtg-n3EuZcH94yjCFDmI4a8noGMWde4IOSA-rEBI=w1200|https://lh3.googleusercontent.com/pw/AP1GczNZ87h_T3wafiG1q0wzCY9IkO5acS3EcG_pnS2xUe0e3dBTqnb0DXUMXPlJGga5_atlIuJNC-chdbXZIfHJL5zFrkw405G9gOoPTRTlrmICpMhPwgla=w1200|https://lh3.googleusercontent.com/pw/AP1GczPZ_LhRlQ84udmA22Wd2HL0shhPE5pnxdp9FmcSmO7CGmO9jue98iEhJQMJvJ_DDr-iVKdFn6FurVk1P1e7thgimVjCEhBDwnLgjApmRRyztLCe3Cmv=w1200</t>
  </si>
  <si>
    <t>444</t>
  </si>
  <si>
    <t>Apartamento en conjunto Eucalipto - Sur</t>
  </si>
  <si>
    <t>Conjunto Eucalipto</t>
  </si>
  <si>
    <t>https://photos.app.goo.gl/4qt895zHFFmmPvyH8</t>
  </si>
  <si>
    <t>Este magnífico apartamento para estrenar de $64\text{ m}^2$, ubicado en un fresco quinto piso, destaca por un diseño moderno y acabados de lujo impecables que marcan la diferencia en su segmento. Su zona social se compone de una sala-comedor amplia, iluminada y muy fresca, conectada directamente a un balcón con vista panorámica ideal para el descanso. La cocina integral está completamente equipada con horno, estufa y extractor, complementada de forma exclusiva por una barra auxiliar con mueble para bebidas y una elegante vitrina para vinos. Dispone además de lámparas de lujo que realzan cada ambiente, zona de lavandería independiente, baño social con división en vidrio templado, dos confortables habitaciones auxiliares y una alcoba principal con su propio baño privado de lujo.</t>
  </si>
  <si>
    <t>Situado estratégicamente en el conjunto cerrado Eucaliptus dentro del sector Neiva La Nueva, esta propiedad es la oportunidad ideal de compra gracias a su ubicación en la zona de mayor proyección y valorización del sur de la ciudad, rodeado de naturaleza, colegios y centros comerciales. El conjunto ofrece un estilo de vida superior con piscina para adultos y niños, zona BBQ, salón de eventos y ciclorutas internas, garantizando un ambiente familiar seguro y exclusivo. Adicionalmente, el inmueble representa una inversión sin riesgos y lista para habitar ya que incluye parqueadero privado, depósito, y cuenta con documentos totalmente al día listos para escriturar.</t>
  </si>
  <si>
    <t>https://lh3.googleusercontent.com/pw/AP1GczPsMhoALq9BMvlDQA0x1m_0Snp-EDSPy8IYi556zZzCVaZvWetkTa2EagivpP_DS1Og1T7lCzeqAd7ZRU_lmLeTxH2wZr6tgtpRSiBIJ0dygA4JmHsI=w1200|https://lh3.googleusercontent.com/pw/AP1GczMptHPmnzYfgbK1f5SE8lHAZCI0OZ1OZt1FL4BQsIkw9s6RxF1S1gPzUeheVDSO1JeCDI8BUo7P_nRSIyz0e5Umou95u6ewv_JDBaFQ0cq6klLIIMfm=w1200|https://lh3.googleusercontent.com/pw/AP1GczOGTeDrAXaAKnMKWBV2fd-WrZrpG0S8Pe_PWtKp2VCrQg8Y5eeM_hlUaEqBu6hChEKHT45oElLpT-Au8QhLe9HhAES45DjRHK4udwHojeFuki-J_-At=w1200|https://lh3.googleusercontent.com/pw/AP1GczN2UFa_TUXxKZym_Dvo7d1Px3Zpo5Jb31V40qopJLpreX8AHJABT2bBY1WGA1lbI68GR64vrGNSe1fAH3z6PHBAlDju04MFxshFlqnxntmmE1ToYpzM=w1200|https://lh3.googleusercontent.com/pw/AP1GczMtMs1nC3S5UVmE5Wwwu4ZQSPWq0V44OMtHOomBGFY6IXYDzMUGlsgHtmg-VYIo1qL7YyxjABXBV2HPuokIUk3q4Nt4KC9ujY0gB6VE7oai8rkaAcSl=w1200|https://lh3.googleusercontent.com/pw/AP1GczNh-SftFUShs3NJXQ7BXB63leEw0NzTj_uWaaUBd2wtigNJ7QR_Wvzh8MAee69fMAsACY6ens-8-dZ76AXTvIcU9qSCbo7VdDXH9h352DAsH-rE1nrk=w1200|https://lh3.googleusercontent.com/pw/AP1GczPrfC1Wp58h7-g87RbKqwNGm9rberfSVe2gZfiYBVB3OS6VkaU2x3ulBnHrKXW9ANgNNsYN1SmC3B2TlcXFlUJ6-Tp30A6cY51oVk7Tyl6ROtphlbPe=w1200|https://lh3.googleusercontent.com/pw/AP1GczPwmyIPA3wNTVnt3mO7f7gVXrhOS9_-74tzHlLawfTVRfQIcd_Sq1ktldwxHX6aFM8FIUmMn8SfQUx9lPF-gVDcWrj4stAj-Z2wi21Wrivo7zvKtjMV=w1200|https://lh3.googleusercontent.com/pw/AP1GczPYJABmX_6677w1kJjzSXupjR64Lkopo3Ig2f5Hl4cy-vvjiAda9G4ei_6eqgXuODwzmqBuCyD_sJ2ewIvgokA0oXucRtGQOQBceny9g8a8QvbxWeD2=w1200|https://lh3.googleusercontent.com/pw/AP1GczPghgtiORQ8HY9Dld6m-0oEEVtUErgLpFe3qPivHFCFCoED0qyHPwfrkUVlbrSvhVVL4Ov__BbMbW9dzwg8qj7akne5erIeP1wFYmItbeu4a1HMyd8b=w1200</t>
  </si>
  <si>
    <t>576</t>
  </si>
  <si>
    <t>Casa en barrio Los colores - Oriente</t>
  </si>
  <si>
    <t>Los Colore</t>
  </si>
  <si>
    <t>https://photos.app.goo.gl/afBWUhTLbzp77CzV8</t>
  </si>
  <si>
    <t>Esta acogedora casa de 1 solo piso con un área total de 135.0m2 lote de 9 metros de frente por 15 metros de fondo) destaca por una distribución funcional ideal para la vida familiar. Su diseño interior presenta muros completamente estucados en un impecable color blanco y un piso en cerámica brillante con sutiles vetas grises que unifica todos los espacios. La zona social se compone de una sala amplia e iluminada con un elegante techo decorativo en drywall, un comedor independiente y una cocina integral de concepto abierto equipada con muebles empotrados de madera en tono castaño y barra auxiliar. El área privada cuenta con 3 habitaciones provistas de clósets de madera de excelente capacidad y 2 baños en total (un baño social y un baño privado en la alcoba principal, la cual incluye aire acondicionado). Complementando la vivienda, se encuentra un patio de ropas independiente y 1 parqueadero privado con espacio para carro y moto.</t>
  </si>
  <si>
    <t>La gran ventaja comercial que convence a cualquier comprador de invertir inmediatamente es la comodidad absoluta y accesibilidad que ofrece una propiedad de un solo nivel, una tipología altamente demandada y escasa en el mercado actual. Ubicada en el cotizado barrio Los Colores en la zona Oriente de Neiva, una zona de altísima valorización, esta propiedad de estrato 3 garantiza una excelente calidad de vida gracias a su cercanía estratégica al sector de La Rioja. Vivir aquí significa tener fácil acceso a supermercados, restaurantes, comercio local, colegios de primer nivel y transporte público, todo en un entorno residencial sumamente tranquilo. Es la oportunidad perfecta tanto para familias que buscan confort diario como para inversores inteligentes que desean asegurar una renta estable en un sector con alta demanda habitacional.</t>
  </si>
  <si>
    <t>https://lh3.googleusercontent.com/pw/AP1GczOKcUqRAGKD7KHDIOJK7GSWq7UVzb1781O3t_He-GrlDcQu1BeUU9uNlzk5zhl7rKPqL0IeHwWoH80D06ToidaY1btdZIEQsqaY4PQR1m81dc79DI9f=w1200|https://lh3.googleusercontent.com/pw/AP1GczPU0Du7EW_O2xmqgWAKxFlqDN7gBuSjE6iGjqi_EfG1T02c0Vvztzt1j7ZHWfUm47YmT6BSHj4KjgIhNzEOfr7XZJ1yQh2HUhfQijigaht58S-4jyzp=w1200|https://lh3.googleusercontent.com/pw/AP1GczOSz8NXnxXEoJh3D_Majk7gEMGnKm8Jr9644z8pByv-ThQNCbe8uzPil9yTCWT20bFuM78d33j1iAC9wpGCo1DhWeF8ib5akzCI2BvAvEEwpP-mz45_=w1200|https://lh3.googleusercontent.com/pw/AP1GczNHp-novlAMQcKe8J3VRrPBr_BFMAlW5_zFhjEHE7fd34IhZlAcTnv4HgSejs66jmjYmZq0_yJLC4QAQ9RZ8t5Pg0AoQJEbzkBjNzhPN3Maiw07Nj3L=w1200|https://lh3.googleusercontent.com/pw/AP1GczO-uO14vYU3bZSSsfNNLikRjf5_hRhCxLqugsAj2rP29-eI8zn69E2KVwtSs1E08RRWZKqtkMpSGpQ-lZBIc-wxAKnz1Dqj1d6zcUB9piRKbpmR-vS_=w1200|https://lh3.googleusercontent.com/pw/AP1GczMT22OQ2N2nnE3PO1FucS088rvMZRfx7av2pEqXDz7PTzbspFb5NKYy-HxMYkxAJKpdw76v6kJoKs1sVGQk0TFRlL9a5vycgP_oojC9VPIJ64jMjDkI=w1200|https://lh3.googleusercontent.com/pw/AP1GczMQf5kDQT3qT4J2plE_pmXtgpxhSbt6QMjbjHbSJI2Af7vDLum7ax5ttJSRc044ivXanWTfPaRyDbVhrUfI_0QljQ7e38Z5jX6NDZnOJdPVjwOMdadc=w1200|https://lh3.googleusercontent.com/pw/AP1GczNs_WD9sbW2mzNBaCypRlVbb8Qczgd6HShtPXZeP92mPtQx0gr2cE4HwYI5FkWXOndzkVU36Ht4m0MlXzreK4Ga9fo_TvyC-oUgnkErVOYv6Cj-nu2u=w1200</t>
  </si>
  <si>
    <t>864</t>
  </si>
  <si>
    <t>Apartamento en conjunto Bosques de Tamarindo - Norte</t>
  </si>
  <si>
    <t>Conjunto Bosques de Tamarindo</t>
  </si>
  <si>
    <t>https://photos.app.goo.gl/oAjsUBP74T4MBJqc8</t>
  </si>
  <si>
    <t>Este exclusivo apartamento de 97 m², ubicado en el cuarto piso del Conjunto Bosques de Tamarindo (norte de Neiva), destaca por su diseño fresco y funcional. Cuenta con 3 amplias habitaciones con clóset de madera, 2 baños cabinados, cuarto de servicio y una zona de estudio ideal para el teletrabajo. Su zona social integra a la perfección una sala-comedor amplia e iluminada, cocina integral con barra, balcón-terraza y zona de lavandería independiente, garantizando máxima comodidad familiar.</t>
  </si>
  <si>
    <t>¡Una oportunidad única de inversión en la zona de mayor valorización de Neiva! Disfrutarás de un hogar estratégico con parqueadero propio y exclusivas zonas comunes (portería, sala de espera y salón social). Su ubicación privilegia un estilo de vida sin complicaciones, ofreciendo acceso inmediato a las principales vías, colegios de primer nivel, supermercados y el mejor comercio de la ciudad. ¡Perfecto para vivir con el estatus y el confort que tu familia merece hoy mismo!</t>
  </si>
  <si>
    <t>https://lh3.googleusercontent.com/pw/AP1GczPFsj3dS-3gJ7hOqKYyeJkkDu9xT8Q3T0gtXfqoDrgqJTyMjuy4TTAa_pneq07ISuKiApWLyez6rEEIV0tGBVYHwdzV_gXutgoutYKCwuhOh6lI9rOj=w1200|https://lh3.googleusercontent.com/pw/AP1GczNitPDDVvN7cushyCDETGSNs4Xf2htkE3otlwwAJmc1WrkyRRC1_AfL5dohnMOi0OirKQnjRt0WW14GcJ-7Sz5s8Cz-s8J9JJgao1nCMYVhiLL1w7KH=w1200|https://lh3.googleusercontent.com/pw/AP1GczPcu299xw2Hoq8fj-ptrEYvaYTw37rPJ_4xq3753ZrAdcp1MNajHob91LPWciUJS6Dmz39gzZgxSgk_KoMC18T6filLRpzg6a6rYNIr45CXzGtRRzrB=w1200|https://lh3.googleusercontent.com/pw/AP1GczMUf0uBcTQlk2XytS3ySwCdS-d0SZ8wPdO16tnGY-fzYzNoEunuW9LaIzXTBn6YyhhhqoBwUYyQrrVuMIUyXZrCS0Dtb8rxoi3BXp0qbyP228Vhv1S0=w1200|https://lh3.googleusercontent.com/pw/AP1GczO25ExN2Gtw06kabYVG8abjstT69y6INy3WUtuwaivdBApqoZRJjzRMDdNsqiiu4ZqSx4X2yv4AcFNWsJDHZ_-JjU7ew3SYH7CuQVu696MqYhKA7dH6=w1200|https://lh3.googleusercontent.com/pw/AP1GczMrovjNrqR-_HXUbZ-XGkYRRq_nbdyIi7LZfDkXLnppuswznt7GLPeJJc1TWEv7HtKkZqbO4gIBPPx9YOpnXxm_1qjOhWYDJXT9fEc60lY1hXb25g4q=w1200|https://lh3.googleusercontent.com/pw/AP1GczNlX9s6JPw1V8BRsWB01P26Dr4Byq5snH9-XeA-5PSIt-H8ChLEbVEl-wtotXRykC7_KmEOfabDPpogCtrF3MFSQLHMRnJ_y8FI5HlVs0Lo0UyyLXyR=w1200|https://lh3.googleusercontent.com/pw/AP1GczMXILworgrcN5tReUfwt6q9TKu0VXeVHd0k8NmhoVBRXJH9rMUWKKMv9jSy6kxWX9xdzmspksSPDSmmaChlpbK78SS6CL5zeAUGZVzujyHlNyMp_NnA=w1200|https://lh3.googleusercontent.com/pw/AP1GczNGv560Tw6E_x96mkEQG7iQHVsUJdQFNjGMhy9Bm8tASKcskWwO4AGndWuR-QTk-byoM4TS1actUYuSqs6WdPEGhlZkSAvuWYZaFWU9Rj_aEK8C6BZE=w1200|https://lh3.googleusercontent.com/pw/AP1GczMi-VmHqatwL4Hn1K9zTx7v7IoDXt9qJePdQf6SKHEC97rKhi2HTKyRLJG1NsBlmSzA-UAufwHSAXdGNTCiQ44j-D8MqfLPmcvRGMQC58TH4YvDOTgC=w1200|https://lh3.googleusercontent.com/pw/AP1GczM64taOVoJdZqedPve3zdAp0tNggNhBJO08tLZoV8gJ5-l1vYtopthnx_F-bMCA3YqEZayv5-7ViNO9hEj2Mpdf-abz63lOpwDd33YG7uCbojhY13uU=w1200|https://lh3.googleusercontent.com/pw/AP1GczOxY7wVrcHPyMqGJkVGzb9mDargvfumOcgpZMXfibM5ntlpjq_dceS1JEppbWXT1m0IwcMLPbBXtUmjubEcMIDGslOLbGfozZ1SbYunTky9LSoeLwuy=w1200|https://lh3.googleusercontent.com/pw/AP1GczPNZs0vdPLRunaQQf-pr_1WJvsw8-J34pLD9S5VtX04tYteK4r8pf6zt26zDMpFW9gVmlbdW1l7sRsUfXiFfGODEf-fhCx05ZAFZ6zsKbf4aYzkX3xh=w1200|https://lh3.googleusercontent.com/pw/AP1GczPxBHHS7j-DyjGPFbjO-YOxkrrBxq_UOlaQyHv_y9ImshXQpP7md00pkonByWvFURxMNobkAx6qmEyqp2YnMyEH6dN1sA7mHTWta0mNFdx_CC--g0tN=w1200|https://lh3.googleusercontent.com/pw/AP1GczM06SH-DNsabC4sJ6B1STb9oP6Y6wLmXhvE5s4Cq_MQaMxEGFHvWCJ6_fhOC_n1glyuIOZ4fhEg78THqQ3WACowmbnf_mISDyGKopqG0h6IOgdZtWOM=w1200|https://lh3.googleusercontent.com/pw/AP1GczO8IQ3GSl5uK6Jza5qyN1h1-f6PKm1V3Kdkls2h5UyXL7vJmyXPOGENg3anBYwm_ug-tQS_58nQ1hhv87xQSmd0l5ODQRag-9jhUUxjVsYpUurXLrty=w1200|https://lh3.googleusercontent.com/pw/AP1GczMNfWbwI4HodLlJjE0prSwaYAaZcY-665BxDwpegnAzq_Sw0PTqMkcfaXB-nuWNIG9xiVn1XNeuzx9qOk6N1H0SZhvfzYysJVRF7MiYzuXs-RInTv78=w1200</t>
  </si>
  <si>
    <t>871</t>
  </si>
  <si>
    <t>Apartamento en conjunto Residencial Palmeiras - Sur</t>
  </si>
  <si>
    <t>Conjunto Residencial Palmeiras</t>
  </si>
  <si>
    <t>https://photos.app.goo.gl/N4WkvTbnvAgNh1B19</t>
  </si>
  <si>
    <t>Este apartamento en primer piso ($75\text{ m}^2$) ofrece una distribución funcional y abierta, destacando una amplia sala-comedor y una moderna cocina integral. Cuenta con tres habitaciones con excelente ventilación natural, incluyendo la principal con baño privado y balcón independiente, además de un segundo baño completo y parqueadero propio.</t>
  </si>
  <si>
    <t>Ubicado estratégicamente en la zona sur, a pocas cuadras de la Fiscalía, este inmueble destaca por su frescura, gran iluminación y su entorno seguro. El conjunto ofrece un estilo de vida premium con piscina, gimnasio, salón social y parque infantil, convirtiéndolo en la opción ideal de alta valorización.</t>
  </si>
  <si>
    <t>https://lh3.googleusercontent.com/pw/AP1GczMYVAUCEF7u9UZ7nblasBcY3KHxaLgJbsrAUKmA39eqMey5kIH2CtM4fWx3igpwn7RRhTe1JwcehEPDYucm0UoIXQRnXcRpWdJb9xk10A4rHBPaCadJ=w1200|https://lh3.googleusercontent.com/pw/AP1GczNFviFWAnDkS_Yy8NLCKy7c2PKkrD3E7yy8Gig5Zz106cEVV1FGNYrQ6hNExuCFznDz32h6vh_toM3ioijRnYOsJ-R8hMLQ6mJpkJxa2CRvKh_IcfNk=w1200|https://lh3.googleusercontent.com/pw/AP1GczPcqdcIscMIoDOu3rVJnXgYibb-T-G6yl_tFVASh4--e4A_3lLr7AANRfLMs_nDsY_lNQYtC4cB4Pr7QtE5Z-LNmaw-S9BEQoXupQUCp8ihAQOK_Ln1=w1200|https://lh3.googleusercontent.com/pw/AP1GczPb_EJBuoJBbNvUGRxgWztMuil0cs6m1MLI6ElA5NjrdpVEGuxJs4-7j09wtV6_fR2ZrTPol0uephExKdEqovbgeXtyuwiHKzTCls_opSxddnEl82ax=w1200|https://lh3.googleusercontent.com/pw/AP1GczMWkoIYZlE7hoc6DUzuBylXEoRmleqK99F5UtXtNCkYwcdrpd4VUUg__2-jBC3ihrvty36acnSeWTEtHe39m3yN9u3c2ljrrCrYphZCQ0DvY82kwpbH=w1200|https://lh3.googleusercontent.com/pw/AP1GczOFiavfFXbYvNQLjMUrrtBwLtbEZLMN3gfhBgde7vB_qBz3_PdSahhzPc3wEs9tmvmi7NE1a3hYLC8-RHa5pnrRFjxmWVq400m7jkUm5cZ-ujyPfjhQ=w1200|https://lh3.googleusercontent.com/pw/AP1GczNLC-hAY8eXFWM8YZTn8FXlU51U0ztwSnn0CLLmI7BMRcDx_oRiCz8GOd2a1ATcCD5ZgxFL-tkaKWJCXlfFvn8D2VtPUJoIfywuhwCAg8EVz2Xk1NBS=w1200|https://lh3.googleusercontent.com/pw/AP1GczPsdO3s_aCtfY2B__YbjWBXbO9d2LlTwKUaGddHQjLZeJ02qrvEF-1EszjVhI9mFagTDBSx_L7ZW3bm2i52k7pOz7wO0NMwNp272Qej7HIpfhQOX8Sy=w1200|https://lh3.googleusercontent.com/pw/AP1GczNVbp1hug112xE34RgkHxmoqqHcCMUgM-2Pa9X3ppNqmhcWpw0yQDrgbxJWf7debDGZwUGffwowmhaZuZafhw0CjvOOjSPqOUTJ6uY66Fnways5da9r=w1200|https://lh3.googleusercontent.com/pw/AP1GczP3ePZDWHYuBTHpi54TtUl-MeS0nZtg7_V2mh9l3UgU5iFgJy3SogWHmbzo__nVC9AXf6acxMNsEPVwPNc280hmcru5CR1ouQvVEyL7dSYRVA9HoVQB=w1200</t>
  </si>
  <si>
    <t>866</t>
  </si>
  <si>
    <t xml:space="preserve">Conjunto Condominio Camino Real </t>
  </si>
  <si>
    <t>https://photos.app.goo.gl/jFxLN5xei72tD3Za7</t>
  </si>
  <si>
    <t>Este acogedor apartamento de 85 m² ubicado en el cuarto piso cuenta con una excelente iluminación natural en su sala-comedor, cocina integral y zona de lavandería independiente. Dispone de tres cómodas alcobas (la principal con baño privado), un baño auxiliar y un parqueadero privado, todo dentro de una propiedad libre de todo gravamen.</t>
  </si>
  <si>
    <t>¡Inversión estratégica con alta valorización! Disfrute de una ubicación privilegiada en el norte de Neiva, a solo minutos de los centros comerciales San Juan Plaza y San Pedro Plaza. Además, el conjunto residencial ofrece la máxima tranquilidad y confort para su familia con vigilancia privada 24/7, piscinas, zona BBQ y salón social, en estrato 3.</t>
  </si>
  <si>
    <t>https://lh3.googleusercontent.com/pw/AP1GczP0qu6pDzdeVZFhVwUk-0GzeJXXPOhZWbCb4J-8pALUhehNCsiqSa45MK7OU2qT88XXD-5zCpe9bWi-7269RDrS5HKKXkhckXQ6hPS3juaunlBTiP2t=w1200|https://lh3.googleusercontent.com/pw/AP1GczNkE8tr3EKSSLb4KWb3VbdkU6BBXNb-7fUlgjAtXg9RHxzEEVeoGsNom2c3CKcEuey8Ia8WClgC7iJMBDYXfsbjkAy-6XvOp5mCStRfVRz9faaC3Uie=w1200|https://lh3.googleusercontent.com/pw/AP1GczNNZ48Vbb55GM6ZswpLlG-Q6XNqCyRenSFdUieZCAi-lPZAgDc1m2_UwGdSTPlxIQr-bVTjwOG3-p7oQT-nPKC8KT96DwXVF2a1mU2lyYoVBuYVbY_K=w1200|https://lh3.googleusercontent.com/pw/AP1GczPL5ZmSS84E86v3mQkOLw13k0S-8kdxi3v4t_NOr4hG9wuxSe_TK7lW7eThT2LQnkn2gizRWVATs2mqzHLcbSHgalLzwABcAZRQb9kVmroOia6_lv5p=w1200|https://lh3.googleusercontent.com/pw/AP1GczM_AoLMlGsosARWwBJrqagTREnZ5TxXguHCcsnBuKCOY2LfakAZky5IS0oW9Y3JjhwJZo8Y4TVml13HRixcf6sX5oiUn4ew58rl4h9iz9MhSXbwSt-x=w1200|https://lh3.googleusercontent.com/pw/AP1GczORMtsEmLsR5bgH7kuF7SDW17De0VSR4_KpLCrVRgagmtepliKHB-sKldPJknu-edm8-vFSJpUzZ7YDYCs_C6lnh7lcpZo2dtlNoHNtx24hGvmRAsuP=w1200|https://lh3.googleusercontent.com/pw/AP1GczOA5WjDEqeIjc7mGgxzCebuX0AAyV3uLqFILryiGsFf3LudXgP6Ojt3jJr3CULKwj3mNf2-d-JjnAiHOt-tnAJT64woDHcNWaR5VcuqNmrEl5Q-r4yM=w1200|https://lh3.googleusercontent.com/pw/AP1GczMfbxS3R9NEZA_YeTosVlWvmu8XnLDznUIMiVGZC50mXMY2fQWPIeerHB42Lj0E56hJyZ92EdmDHTk9RLrtFAqw1wg4G4JjMNsMzh7UnX2lKlbVOVyG=w1200|https://lh3.googleusercontent.com/pw/AP1GczPrOWThNg40OD-sdb3WLDx8atkr56m_3boft7vr1S0WGWN6HBtKC6t2tVoUq78fAYA0IpGfDUlXa9TXtD1X-00JvdJwXCD9y8Bm2ijf2_IS_n8cU5Jv=w1200|https://lh3.googleusercontent.com/pw/AP1GczObCw5B5bDVYTmSbuT6j6ZEFg9fNl_ThBNfatHHe76dYeKNsu4R8az0569BMWRKtubo4Run6IaeVbiOCBrtXTZWWqsXqlMHvpSlMRFcExwQK3CbrnQN=w1200|https://lh3.googleusercontent.com/pw/AP1GczMqj_mImxPCsPYMNruXUy2pQWljZ1MRFx323Kj5bRCeK4X3icolDwLLZOkttibS6aTGULVkBvkdBlyIVYBlGa1DZOUQHNNfScPT6BB4__TdtUK_Bf7G=w1200|https://lh3.googleusercontent.com/pw/AP1GczOWQU9Vwz0LxTXC8OG0kjZbeaNyVXdqobFxgHchblCxJnr70G6oCwmnKNfogOicPWE6PisxzPNosgd4eyr3y3NyVBrOHoAwLjfLExalpf2bd4OAWnk_=w1200</t>
  </si>
  <si>
    <t>878</t>
  </si>
  <si>
    <t xml:space="preserve">Apartamento en barrio Centro </t>
  </si>
  <si>
    <t>https://photos.app.goo.gl/DYegagJCueAhdTzQ7</t>
  </si>
  <si>
    <t>Este amplio apartamento de 197 m² destaca por una excelente distribución funcional que maximiza cada uno de sus espacios. Ubicado en el segundo piso, cuenta con una iluminada sala-comedor, tres cómodas habitaciones (la principal con baño privado), un estudio independiente ideal para el trabajo desde casa, cocina integral, zona de lavandería independiente y un práctico cuarto de servicio con baño.</t>
  </si>
  <si>
    <t>Su ubicación estratégica en pleno centro de Neiva, dentro de un sector residencial de estrato 3, lo convierte en una oportunidad única de inversión ideal para proyectos de alta rentabilidad como co-living o alquiler por habitaciones. Al encontrarse a solo minutos de las principales universidades, entidades bancarias y el Parque Principal, garantiza una conectividad inigualable y un flujo constante de clientes potenciales listos para habitarlo.</t>
  </si>
  <si>
    <t>https://lh3.googleusercontent.com/pw/AP1GczPkXS64RjexnDOUo2dVX422fdW_7TTJ3rH4RMPiSNJeVco6XND2eIXr5VwzeW3nUCbhTg41H8o0Q7bZxcWXnnQ8GmYQsvMcuxJHzShEQ8EFWR_GjauS=w1200|https://lh3.googleusercontent.com/pw/AP1GczMGLLCGYav4nS7Wnm0q_lLBOFQXh6jQTFvDHEl5SomgeFhCKDMbdF0GtHTlJyWucXXLl7FcfRhUUE0cLqcht-68ntUiHG0tusdWqRQtSFfkFolrH0GF=w1200|https://lh3.googleusercontent.com/pw/AP1GczNqxY4Svic-xxi6umcdmg-BR1CNurWYnicrqpsiR0rD7Mras7zCbJ4RQzLVsye_Yn-i3LPOfbV6EERNUQbjarRywXskgEMn8jVTQZ-Lldt1c8PwKgUB=w1200|https://lh3.googleusercontent.com/pw/AP1GczO3_yxZyA5xnRL6QSB6aPqUQtCPjmGl115WzjXoVMcHXxW2sueA0XR0ADaGy27znbCfZF9QGlE7IhxPZmD0hn0LtnQ0fEZGmAtoHFzrnol3UMsHZgq8=w1200|https://lh3.googleusercontent.com/pw/AP1GczPV16CsxH-JLZM1dJxitq-5SdgSKFEPFR1Jc_jWDXwMWEQE2bMttfE6rgxnp8Ww5QVeCyF5FoWucpaEqlVe8mK-UT1li0obq7V-ca-_McelpZWFuuXU=w1200|https://lh3.googleusercontent.com/pw/AP1GczPFM2BlJcjufbHfNcwBiTzmQvWxvPiFdRmt9leCXFWr4GTQwpKCGrLyR49cvibnlWJSeoPaoO5Eo7jlonyrlxlUufKQ5LqEQsFRvMQZEtX99SL6Vara=w1200|https://lh3.googleusercontent.com/pw/AP1GczODcZInmFbIfz4zDE_2xQLlUfQv_1AjYgWD3ZPsUZZiQhukTHR8QkP9gIYJ67rbO4EjmnfejoO7W7yv-vI8h3O3yeIT_4aYv-J7-WxfjKCmg-BykjDV=w1200|https://lh3.googleusercontent.com/pw/AP1GczNPoeCE98CXyS9p8pW8noRPd_nyiBflup6DEh3xWqpdPe0g6ovdhZCM3-2lW8aEzhdrcwDrvs8R3zJ5gu5fRoWV4hxy9mAC3ED766j3nOpRD4tb902Z=w1200|https://lh3.googleusercontent.com/pw/AP1GczP2cnHaMDmYH7Roekqy4vWmLaqqFhWEaGJE-Miu0DbPKLQqkiiLDaA6HCMcEMKOUn8KtzjWfwdYN7v-HYY7sOOJmFztuSQeMX9QqZ1IWXo7HHDKQWsq=w1200</t>
  </si>
  <si>
    <t>869</t>
  </si>
  <si>
    <t>Apartamento en conjunto Hacienda Santa María - Norte</t>
  </si>
  <si>
    <t>Madrigal</t>
  </si>
  <si>
    <t>Conjunto Hacienda Santa María</t>
  </si>
  <si>
    <t>https://photos.app.goo.gl/6h4pEnn4oM4JF2AV9</t>
  </si>
  <si>
    <t>Moderno apartamento de 75 m² en sexto piso, optimizado para ofrecer el máximo confort familiar. Cuenta con 3 amplias alcobas, 2 baños completos, un depósito privado y la gran ventaja de un parqueadero subterráneo independiente.</t>
  </si>
  <si>
    <t>Ubicado en el norte de Neiva (Barrio Madrigal), Hacienda Santa María garantiza alta valorización y conectividad total a minutos del Centro Comercial ÚNICO. Este condominio club-house ofrece piscinas, canchas múltiples y seguridad total, siendo la oportunidad perfecta para asegurar un hogar exclusivo o una inversión de rentabilidad inmediata.</t>
  </si>
  <si>
    <t>https://lh3.googleusercontent.com/pw/AP1GczOvyS5d6JwnByBLG1-iGkM3obv3Z8bvP8rNXyBVwCSB7wYcDUcAYiT9mkjidcGKp37VUNClt0eQm-fHVYSLhvo-3f4jLDECUyhboLfkrtolMcnEpksp=w1200|https://lh3.googleusercontent.com/pw/AP1GczP8qkUonnfolXFsRoZ-YMv4AFEFWYWbmDT2Y9GPcLAqqhOZrYVdXUNu-WpyoYs0mrLRjsrrRCJ3NdUB-azAphZBBKFmx0uFTtVtY5E0PlZouAp211sJ=w1200|https://lh3.googleusercontent.com/pw/AP1GczNZTt58R8eR098MDkM6hhHQxTXqxdErllsmt0m_1ErMZRyMguZyhseNCRJCAZRVfD46Cu99UjmpENiou-SDzDquwB5BJ7-ZZACQ0AMctaxy7mZHL-zW=w1200|https://lh3.googleusercontent.com/pw/AP1GczP9Z_T9a8HBqb4JlmsRFYr_u5Fid2I2rTMXj_r44iu73u3M9nXNlBdzzz4UujxcziKdiHwUcvFiXth6lrd7t73BHUU391508ofRco1Kl4XHYEudr2ft=w1200|https://lh3.googleusercontent.com/pw/AP1GczPTSI4JYkXUPRN2txQPH9baJDV1y9skVyERKfD0UIQTSDgQnTNyqgFeuv-DciANGH4ubKEk3P2y_d7S5YrHttSY-WjwhfgkNfC2Y8LeizRVa5gXMbYT=w1200|https://lh3.googleusercontent.com/pw/AP1GczMoEKQ4e6UAaKw_USa0BNKrjmxFsGMndvLBcpxtGU5zK0lkVrj4VtJRAg5vslPXrKgTkW_pICrL7UteOd6I8HFQKyf7QsIMJowGyWVlc70hSpxBbiAP=w1200|https://lh3.googleusercontent.com/pw/AP1GczOOu6Htu6rjKpsBErrkFDl_0ILnqAMxFLvXU0Ru_mTanHQbBi5RecQNKLk7ylAaZ2OPswCBID-0mXIn0KIb_uZV0FmHpDwMVafloEm2_N13PU9JZCJg=w1200|https://lh3.googleusercontent.com/pw/AP1GczMt5kXo113lkyqMtORiu-EHd7rwk3q3MVagHamk_ROGZ5sNMco_9SBW3M_3lPT8oEp8yk03U1EMNel6KmlUbRJLqSKhna1XbfQWoFm9lqoPIdhqrIGH=w1200|https://lh3.googleusercontent.com/pw/AP1GczPJfmixx18qCxuhPoIWkIMXVzKXHuDFDTCjfDzmrlmeY7E47E6-z9t3FTkHhkZjzc9U3SA1yQSn9F1kYNBzxblcojf7LLmt6jnV81Yos7jNgNbReHiL=w1200|https://lh3.googleusercontent.com/pw/AP1GczNuv1EDMou68nSVvTD1z5iA9aKIcOG49l0f82LFQEfi3gij9FlsgC4gkUGb2RKECKJjSIM3Mn7WOwjfG5abc0xuuWQJpPMdE-p0uP1uU4LU-e0uBWyM=w1200</t>
  </si>
  <si>
    <t>879</t>
  </si>
  <si>
    <t>https://photos.app.goo.gl/y7eWucWq7mDrFcvh6</t>
  </si>
  <si>
    <t>Este moderno apartamento de 63 m², ubicado en el noveno piso del Conjunto Residencial Entre Pinos, ofrece un diseño altamente funcional y completamente equipado para mudanza inmediata. Su distribución cuenta con una sala-comedor con balcón, cocina integral con barra tipo americana, zona de lavandería independiente y tres acogedoras habitaciones con clóset de excelente espacio; la principal dispone de aire acondicionado y baño privado, mientras que las dos auxiliares tienen preinstalación para aire, complementándose a la perfección con un baño social completo, acabados de iluminación moderna, puerta de seguridad y cortinas blackout.  Parqueadero Comunal.</t>
  </si>
  <si>
    <t>Situado en la exclusiva y tranquila zona oriente de Neiva, este inmueble de estrato 3 representa una magnífica oportunidad para vivienda familiar o inversión de alta demanda. El conjunto residencial brinda un estilo de vida premium con espectaculares zonas comunes que incluyen piscinas para adultos y niños, cancha múltiple, parque infantil, salón social y estricta seguridad 24/7 con circuito cerrado; además, cuenta con documentación totalmente al día, facilitando una compra ágil y la opción de aplicar a crédito hipotecario de inmediato.</t>
  </si>
  <si>
    <t>https://lh3.googleusercontent.com/pw/AP1GczMhEP02Jt-NXuzD0sttXCc_4EpAukH1Db5e4np05GcTtLyoqvvWrWxYVZ71MujI1wRCorpaBlDUlcQzUV_MHOnDdR-ER_6y-kCJPQcGGzd5jBTjB8tr=w1200|https://lh3.googleusercontent.com/pw/AP1GczPQ7plFopCl6qx-lxuK4QnLj9SgWBA737MTqcFy5Jma83Qjl3eTmAoiCkXl8fVG2anQtsPEQRyKUkFNWpwNUX0gOKaD_pWfn3etT_IikwVnCo7SQf4s=w1200|https://lh3.googleusercontent.com/pw/AP1GczMC-kiDi_Y4WaJVolFOtWhBaLENP7acLwxQ6N5LTfRRQitc233IHs1dFJDW0KBHIShvqImv25eDr4ZdJxkdgEodOVsJqxalPwyn2IjZsDW2RbDC6lOG=w1200|https://lh3.googleusercontent.com/pw/AP1GczO_iA2w33hmCiXuHlx3NcWxel7fuqAmftITKJ7gMT8dpXjrgK26PXhcLNGDoyG8hy0mvNCz5rzaAltrRTY7ZK_LnROoUk7Q4Os_0psBVL5nAJdxUzNT=w1200|https://lh3.googleusercontent.com/pw/AP1GczPrpelMs_Ua7MwKZGi4yqG8RMn9-POqjzujrO_T5XhsEBoZWHDeRMCtv7_GxO3sQWSRVpsQ5YMyN_PyuE1HX-MVT-BLKTZ2SA8xPCKKlyUkjPITUheC=w1200|https://lh3.googleusercontent.com/pw/AP1GczOkOnz3D_gjsdnrfkL_rPv4BzciCNX5LP8D46tGnxbQnfrJQBmn5cvhdv-CX7gczt_Zuz1Fhe0a9IW5pWpbgng6y-wkfHcFo7YDv4mY1uBvx_gmB7qg=w1200|https://lh3.googleusercontent.com/pw/AP1GczMjH5dae1OL7I5-7_a176TKJDh6gJJdPOVK0ai03MYpveRs-LO0gS4GDV-_O3bbc5Nycms5X6dnzdxSMYHJhPmfDIDLHmwf8itY6fp6gc-6AMjdxMuy=w1200|https://lh3.googleusercontent.com/pw/AP1GczODYlFa3QTuCECyBdi96jtEDXtpFQATCBpk8RpFc0rKFKVwwubZ5GtOC939Q38HpEMsNgwNG9eepFYac8a873qNyGfZmsqDmnTmFmwvUjzYJgZ5KBGo=w1200|https://lh3.googleusercontent.com/pw/AP1GczMKY9_jxNg29ZGz4r-_W1qrgGCL5sZEqWWPO2nA59vgZFM-wV_5aBg4rss1cu1YzhmO-rVkylHkCBK_-jiMPrAqiJntF_R7qdYsmI1Usc4PF8JwEJBT=w1200|https://lh3.googleusercontent.com/pw/AP1GczP4cw3UB0yF5WYdiWRaktz3wRUMpwMC3rY9JgtqLZiVYJB55VFrClNJcgaDPcyjo0tPyEbtY0q4qMHZg7codYv0CPnq5CWOv-bz7kL2BZwQ3jSM-Z2-=w1200|https://lh3.googleusercontent.com/pw/AP1GczPI_rDBqOngvR213UN6eorxhoqbSvMQA6w-_457GXlbkYqLdQCaLK-u0clPv7HY0HpKwHjeLMpNgGdDN8Ajx24UdaAY2CH4oTJZUPGfHbqtx-T0XpHe=w1200</t>
  </si>
  <si>
    <t>872</t>
  </si>
  <si>
    <t>Apartamento en edificio Jardín de Andaki - Oriente</t>
  </si>
  <si>
    <t>Jardín</t>
  </si>
  <si>
    <t>https://photos.app.goo.gl/kP6JF4c3K3mj8ZV88</t>
  </si>
  <si>
    <t>Este acogedor apartamento en tercer piso, con acceso por ascensor, destaca por su excelente iluminación natural en el área de sala-comedor y una cocina integral perfectamente optimizada. Su distribución inteligente aprovecha al máximo sus 55 m², ofreciendo dos cómodas habitaciones, dos baños completos y un versátil espacio de estudio, ideal para adecuar una oficina en casa o una tercera habitación según las necesidades de tu familia.</t>
  </si>
  <si>
    <t>Ubicado en la cotizada zona oriente de Neiva, este inmueble representa una oportunidad de inversión inigualable gracias a su alta valorización y fácil acceso a transporte, comercio y servicios. Vivir aquí te garantiza tranquilidad absoluta con vigilancia privada 24/7 en un ambiente residencial seguro, con el beneficio adicional de parqueadero comunal y documentos completamente al día, listos para un traspaso rápido y sin complicaciones.</t>
  </si>
  <si>
    <t>https://lh3.googleusercontent.com/pw/AP1GczMeh74M9B6Yz4OxvAXxoPuY86tUgLFtbx4OEtYAv9z1Sd3jFxBvLhAeYEb6yYPAT8TKmjQ4locjKY85XygXxyBVg5nQQh_52BfRt_XEFjZ0lTKSu7u6=w1200|https://lh3.googleusercontent.com/pw/AP1GczMEraJG0JqD2kcHSKs_294ra6VIrvmSadZQdRqUKT46487-TnmtNYnLL_Uc7V1ilO1cNBZfNMweL_H9s3eAao8kbjidS6pYfXZhlpNkK8W4T39z4Xzw=w1200|https://lh3.googleusercontent.com/pw/AP1GczPfS6yuC-rkhxaI9UYObIS3RJ5gP5B1mKx9zyQtudV6Q6G_fQ7NXgv7_xEUXiomP5gMjMQDeRrayWZjh7JmQPtfqKBSRAnIJW-VvqAcCFENdPBOLz3f=w1200|https://lh3.googleusercontent.com/pw/AP1GczNyrx4TcFpaXikaW0IK7U4CGpTzZWj8ZbkHqIwdgfSmFM5PjtWylwp6nFpQWToNmYhHtLVEDeVbfwGEwa2bKGUmVw-gAzEMBv6SBqKjP0__9DXQHGQJ=w1200|https://lh3.googleusercontent.com/pw/AP1GczPrxTnXU9B7DhNpBOZT8f4Kt0_0Pa8eaThCEl7gDa-gZyga9J-wq3ReXxRrhpdUEKtQC18UHY3c8j6eGeIY20nigAFcEKawvBzh-qqXp-hdXfDb3Bbw=w1200|https://lh3.googleusercontent.com/pw/AP1GczOA5zTvZmKRtc4WzDw1UuOj6oTkR_oZzxlFJEIyDfPue8fcfBoscxOgM-mEKKIw6dHEiGoUjN9lIxicyenhMQmdknNf2bMTbPp8BRaiU-WgCWDrYbOe=w1200|https://lh3.googleusercontent.com/pw/AP1GczP4amYNrN7XERG2AawJuYMA7pt7zyE1TZaM-l544PHtV7V4AJFNR6ruABxEamJYnqHXtFF3SSbu_JyHFePt4NeSwui-TunCNqkdtoxPSj-AD_2QsUwh=w1200|https://lh3.googleusercontent.com/pw/AP1GczOL57B1mw2DHlU3RDgaC76So4IMBEHwtbHFyFKR_jhQCl48yyafvpvbFdCLuAHZKOFvJfVPhKs9DUyIAPUT75MphKJepcud2RaevD0qgBcjFhKbaHet=w1200|https://lh3.googleusercontent.com/pw/AP1GczPDCu8FQkI9RLWXR3tCgCf0k96zYvIRXwwXHQHc4a0G4lrnilJvrzLID4qkqYcda8kiForafM0YuYY9uRZ8sUkEucV4GBFFf664ATipaSjhKPRauFK_=w1200</t>
  </si>
  <si>
    <t>868</t>
  </si>
  <si>
    <t>Apartamento en conjunto El Tesoro II - Oriente</t>
  </si>
  <si>
    <t xml:space="preserve">Conjunto El Tesoro II </t>
  </si>
  <si>
    <t>https://photos.app.goo.gl/Qir9sbyuCAH7ZMJq5</t>
  </si>
  <si>
    <t>Distribución Inteligente Ubicado en el segundo piso en la zona oriente de Neiva, este apartamento de 57 m² optimiza cada espacio. Cuenta con tres habitaciones con clóset, un baño moderno con ducha a estrenar, cocina integral y acabados en porcelanato. Su diseño destaca por dos balcones privados que inundan de luz y frescura la zona social.</t>
  </si>
  <si>
    <t>Por qué Comprar Hoy Mismo La gran joya de esta propiedad es su parqueadero propio con escrituras independientes, un beneficio exclusivo que asegura tu inversión y eleva su valorización. Situado en un condominio impecable de estrato 2 en la cotizada zona oriente, te ofrece la combinación perfecta de bajos costos fijos, seguridad y confort inmediato. ¡Listo para mudar o rentar!</t>
  </si>
  <si>
    <t>https://lh3.googleusercontent.com/pw/AP1GczPucNReAs_10dpF3rYPUVGMWfIguCc1rrXGmvo1B4bZxBihlUBbo-cKxC4tWnOL9oaXUmb4_ivOCeq25Ubb3Eh_ZdfiQ1YCdt9KX04X4w28yavY21ZS=w1200|https://lh3.googleusercontent.com/pw/AP1GczN0Jvx1Ny-EJDvV9FxkbvANEyXeKDrrKBRUTjNbELNfgAXsf6G-yPIM7avq9ac5uJzICIdotzk1vTASvKLE6yUIN7ApH5081UOyvZWRInHzO6yuzPY6=w1200|https://lh3.googleusercontent.com/pw/AP1GczNmG9zz90Z82wiKX_bMNC27VIAfSb7eKa01iiuChZSHzfD430Shs5E3FRPgAeW_mCq_FSb3HPhbovokVLtck02UeLWY56W5Ou36VA05L7XExpkOU6xy=w1200|https://lh3.googleusercontent.com/pw/AP1GczPvhIyhVWj1cUEp5w2cKkHR91AqyGSDkienXzhUW_4bxM5WlM7X6Da0TO7aCMybynxdgCZinCaoMDnCCZhfRLWGHLgekhSbraphLS0f3BJXBjXOrtra=w1200|https://lh3.googleusercontent.com/pw/AP1GczM2IGKfyWh00tgjIpfxcbP-bVYYdWwJHFPreuUVMdDT4riAocHhim6SUIIcZLJ_KkloTbsvEDFj13xpoPJn78kyPHk-O1GrptHZi_ox1lOR7kdUp_jk=w1200|https://lh3.googleusercontent.com/pw/AP1GczPrINuYtvxT26QVGSulZwg_PrPI1K2RqXspu7upKgiksCtb05_U_ujI-TU1o9RNGCvbUHPHRrL5ywve5oFV-hCitikGFgEu8rUueoR1sAII3-68g3bb=w1200|https://lh3.googleusercontent.com/pw/AP1GczMZYP1yWdBDp1_4cyfvasQ582mLKhQYpJ6xs1KOVwbjeKjl6XSwBy-u0YdE6kOUyn4gZrxrzSdP6lkGFgBoPtVNUN_0rRlLx4SXDC2mpGxJ15va21Ff=w1200|https://lh3.googleusercontent.com/pw/AP1GczOuPezRHmnlzvzsSiLomlJD2_h6-hpSx2cwRuFZ79OEFGPloBOv8rdnOz90WdyNRv7WxUIMaml9q7f0_Z3EiXRlYydTekxauTnFxl0LtENsiRKK5Tug=w1200|https://lh3.googleusercontent.com/pw/AP1GczMYHnlz1loi9CV3Gki0OxQyw_S0J-_EdfSQWL5YPnDgMVoL_OUVS_CSzH0tQNE_WSpxl4Gbp8utpesGaC4Et6mw6XcilmO3XV-7M5hFJYrRiT_RHmaH=w1200|https://lh3.googleusercontent.com/pw/AP1GczNPtUjObUC2Wz3qa5D07N7F-39DYmuX_karGIjs7gGkuBVCSs70X54nXUgAtr8TDNXOBvG0mFGI1aKGpfJRNnBKnkEN1MWQqmxIEJKicjdBZBq_GEF8=w1200</t>
  </si>
  <si>
    <t>720</t>
  </si>
  <si>
    <t>Apartamento en conjunto Residencial El Tesoro II - Oriente</t>
  </si>
  <si>
    <t>Conjunto Residencial El Tesoro II</t>
  </si>
  <si>
    <t>https://photos.app.goo.gl/etjJvx624ESFS9GH8</t>
  </si>
  <si>
    <t>Este acogedor apartamento de $57\text{ Mt}^2$ en el segundo piso destaca por una distribución inteligente y acabados modernos diseñados para el máximo confort. Cuenta con tres habitaciones equipadas con clóset y cortinas blackout, resaltando la alcoba principal y una auxiliar por sus sistemas de aire acondicionado inverter que garantizan frescura con un óptimo ahorro de energía. El espacio se complementa con una cocina integral moderna, elegantes pisos en porcelanato, un baño funcional, excelente iluminación y ventilación natural, además de la comodidad de un parqueadero privado.</t>
  </si>
  <si>
    <t>Ubicado en el estratégico sector oriente de Neiva, dentro del Conjunto Residencial El Tesoro 2, esta propiedad representa una oportunidad de inversión inigualable en una zona de alta valorización y ambiente tranquilo. Vivir aquí significa disfrutar de la seguridad y el respaldo de un conjunto cerrado, con la ventaja de estar en un entorno fresco y residencial perfecto para familias. Su conectividad, sumada a detalles exclusivos como los aires acondicionados ya instalados y el parqueadero propio, lo convierten en una opción lista para habitar que despierta el deseo de compra inmediata.</t>
  </si>
  <si>
    <t>https://lh3.googleusercontent.com/pw/AP1GczMUBqO0MAQ1KMZoXKBW4GwiPgayxS25Ypjhs-umz4Fq9hbxwHfP-wbXhkuz7Hp5WQQMCggYI0DUogJP_gv1G0SHy2S5xtt1wVS04WeF3KuA_Y1fQQKe=w1200|https://lh3.googleusercontent.com/pw/AP1GczO1ldM0k-2sHX4flx2H8YxCxYZoqiM8imbgfWShcgA_I6o4shP58gmkee2-PYwuubCKZiFmEt-qnk2cNKwz5TFDfOWEH5nLFjfihIfJVyIE-5OgDftf=w1200|https://lh3.googleusercontent.com/pw/AP1GczMAFgwK_6vPellgmYsKGh5JSXJfBFisxkHCStscDMe2dHCW1pWQnr4ymTQYI6AfZzqCgqkT0seZnZxsQwdgJ4DO7TGbSucvd98AoOb12SWlThvkvk8P=w1200|https://lh3.googleusercontent.com/pw/AP1GczPZ8ABDUHeb2abst5SIEInqKVMwaPIWn0tvJ032zr7loRWjjYoqY1PTTBC6XkSTS-ZJCh_Y2cYktX5oobaAksjvwtuM8wRNAcQshogaVcaZo5-Hd2lj=w1200|https://lh3.googleusercontent.com/pw/AP1GczOA7MB-DmnWPlKLYVcJzeuixmM83hxNTQ9D91rzAhAHNO4emjaRqtUJZ_EzwL-h-2nrP8X7t2ZdT8IOmi5IqHeJ7VLoBCniVZRZBKnNCW7Wl0FrJI9V=w1200|https://lh3.googleusercontent.com/pw/AP1GczO3cwOy7NG3PDuAQsSQcfG1J3ZUmeBcSDh5Mjeze7r-T7NCfMjD3TEx0JIamdabipQr8yDdJ30fouHM-gXE7akoKSMRMGIzG_zhKkj1qynYHAeJcfTh=w1200|https://lh3.googleusercontent.com/pw/AP1GczMEOYbAqudd_zMAFuTf8d4Wt5gmUSIuWU6IVEDkvRnhF8egchXGDs1A2tNDvE44BI9u8E1PdjBS4KMSXNzrRmrhVGiLj1u37fpe08F_0qM5-C3kL8yx=w1200|https://lh3.googleusercontent.com/pw/AP1GczMXaU76low0mne3rW6aTpT6qXx1-_6Ux64FgGYAYuJuC2l7P-hza-23mF2TrXiDmMFEj845tvU-fzkkWUo8hfHibTPqvQ6PbJKM6rF4nhbYJTqcFwAg=w1200</t>
  </si>
  <si>
    <t>015</t>
  </si>
  <si>
    <t>170,40</t>
  </si>
  <si>
    <t>106,5</t>
  </si>
  <si>
    <t>https://photos.app.goo.gl/NKBr8zHEwYcxQegC9</t>
  </si>
  <si>
    <t>Casa en venta en el barrio Ipanema, uno de los sectores más valorados del oriente de Neiva. Inmueble de dos pisos con 4 habitaciones, 3 baños, garaje, cocina integral y acabados de alta calidad incluyendo piso en mármol. Dimensión del lote 6.0 x 17.75 ml, bien ubicada en vía accesible. Ideal para familia numerosa que busca casa en venta en Neiva en zona residencial tranquila, con buena valorización y fácil acceso al centro y universidades del sector oriente.</t>
  </si>
  <si>
    <t>Casa en venta en barrio Ipanema Neiva, sector oriente. 4 habitaciones, 3 baños, garaje, cocina integral, 2 pisos. Lote de 106,5 m², área construida 170,40 m². Piso en mármol. Remodelada con buenos acabados. Incluye cortinas. Escritura al día. Dimensión lote 6.0 x 17.75 ml.</t>
  </si>
  <si>
    <t>Menber / Jennifer Garcia / Jackeline</t>
  </si>
  <si>
    <t>17,75</t>
  </si>
  <si>
    <t>https://lh3.googleusercontent.com/pw/AP1GczMizkDExnWgWiMrbRW2c9SjG4U91PdCMIay1vtjSAGuCcYB1S9mijZEP9q1eidWKsAQ2u3y7N1wmOaNfY0-0DX0N6hsRbkbY-rdFlvKrTx6yXksFIZ1=w1200|https://lh3.googleusercontent.com/pw/AP1GczPu9lmn8INRp9h2aLYGfTw4YWWmuPna5xLcOVChmHHa2Rb6mkJrS9MFPZAjS_PBbk_wzvAVOZ86shj_qQD3uuugdXeJmQj9loQNjjOa36uZoEEN8bDA=w1200|https://lh3.googleusercontent.com/pw/AP1GczMEt1XIXf2Ouk_0L8cvE5oVbc1s6waKoFr_lnZpMjtH8lihJBAkmdT-2y3tXTxbdhZVXk8zsQNQN9gIlthAG37umOrn3DK3tl6dihfE3ORb1aply5P7=w1200|https://lh3.googleusercontent.com/pw/AP1GczNbCSoQ9FZjftQp6rbGND7eWPILzLlUlDUEjG028VZ-18Q5rn2tJx7coNa2Cm-Xu3TctPM4Xs4G1fjIjkP5peukThotHGYd4Qe5tcDt8g3Ig4axlaTy=w1200|https://lh3.googleusercontent.com/pw/AP1GczNVB0ZMegN5cPyBB1TGS5Yub7btsS4hMmkFbdOCPhxdCQ-rKTZFIfKhA6ra3fsttQyKshAmPqCqyIiDWlOOBNFkyXc20KYDK1orWbg1nmg2IScgmg2w=w1200|https://lh3.googleusercontent.com/pw/AP1GczNygxSUKuaEu3Q8BN3_RuRbpLs9S7En9S87Ops7X1AuO2zU_FabOt4ENIlXn-rt6L2269jjTAjhMDFhPWRyQwKdPNOSbAlJ_cw1XSqXQBpVWyR1XAqz=w1200|https://lh3.googleusercontent.com/pw/AP1GczPkk1Ko8aazKYqbXYdjiW41okliSyT1pyremFXyDG0BT7cbNg0sqxSp8q4kraphkHLAj5aLpoXWGaXxTDjiL-mUDe0ZF-af_2-5cLufq0zrAVJiFcuw=w1200|https://lh3.googleusercontent.com/pw/AP1GczPzd0w8b1F-xGrQZZkN9nWXOVfb3FQcjWUV6e4kGs0rQOTStNsj5Y_uoCbYQB7PXAR1tK_n6alUiLuKBBZC-Rjy3O2tSBLoImACxhNuiQXJbGDNfNfY=w1200|https://lh3.googleusercontent.com/pw/AP1GczPzki_8NnUijM9zCU0gEH438t2KoLoUCdDJVb7iRhp-JEuhyW36ybQ_0dgenrnRr-VPq2IJpd4xT4ud7eq7TAp-YrBuajIr5qAumwy9ZYkWGcGx-6GW=w1200|https://lh3.googleusercontent.com/pw/AP1GczMLI15JWitLedj7Y3-vJQL2OunZ8XrGC5Bp6QYoJ-nXQ8OXVGj5q42xP5QDD3Ps-QVw2t0UIJv2sHxjaprs_pGvIDnLtJZgK-zIzD0ctn3fZ4Yp39tx=w1200|https://lh3.googleusercontent.com/pw/AP1GczPuxMfRYp-XXk_ZtBKcnsDB5l_hvW9Tb6SrtEtC1l9-nPd328OvmXcy3mXJLxqyMGGwLEEjo1i_Y4AjTKdReCZZXv2GRW8JoTAgzgCoBtzFNxqHpupo=w1200|https://lh3.googleusercontent.com/pw/AP1GczMMLOyjT8-uH3xHJJbXHQOO5lptDVnV5Qx5d7dsNVBtue-BYzy55JvmkrVJKtNYMk2VuKANZ6EzRawKXZaLl4QjFuzrxTn9IKyvvrSzlIlYb9EhP_iD=w1200|https://lh3.googleusercontent.com/pw/AP1GczMOFkJXogsSGZmYSOZHXdgdb4AO4liVQj6CulpSFibPB5IS3_OLud_ozdzNDtQcPtLv7BbaDSRmHv2b2hVoiApcGt2L4NdvvpSbFfM70se5ehPp0W3v=w1200|https://lh3.googleusercontent.com/pw/AP1GczOGnv1wdexvnL9-Rohwo9ruRwa3wCryTXuGpnvVIWTLKFSvMWcPQfreJiBys3kcFKLhTKNpRWuzyQ8rjNrPbkyLRNmsVR--oPH-0CMbueJbNQPEx5PL=w1200|https://lh3.googleusercontent.com/pw/AP1GczN0jrfDW_yyJgJrhZo7QnLTqb3MCVd9z43ArHMxwWkPAdaSPE7M_SrRgF_KkoEjDRzroiVatgfDp78J6hcWNH0TpK9gGDWZkFbWa8ls-2LcxcD3Yvhy=w1200|https://lh3.googleusercontent.com/pw/AP1GczMdRxxquivVhkLjin7VPHtlBThhepM0zCqT6hOJtEdbSthoxdXf9SXznNKjDTohOW96sUGBBkkWjigfz7gAnKIOZfoZghfAGqDkKJ20dh9iebsWq94Z=w1200|https://lh3.googleusercontent.com/pw/AP1GczPnc2kVWsq1wg7I4WcyIoqAgzvF5c0WnqFQ7wAILw4ZT4ATdpCP9cEpjo3DAp5gJNCHU0hwswkCdu5QvcyJ8oYgvnmAFbDvjYJoFDOa4HcmlBZzZhSe=w1200|https://lh3.googleusercontent.com/pw/AP1GczNsWhU7eS0H9l43yT2HON22HIoPdxtXE_aD3-ItY6J2h53BEQompTynLzL10-sXdTwt9kVwUCBI5rqEPBJmtV3gtWI5hIppNE6IZ4S5atXvN7Otj7VY=w1200</t>
  </si>
  <si>
    <t>1254</t>
  </si>
  <si>
    <t>Apartamento en Conjunto Condominio Amaranto Club House - Norte</t>
  </si>
  <si>
    <t>Amaranto Club House</t>
  </si>
  <si>
    <t>https://photos.app.goo.gl/wHVAsib9XRV7S3sY7</t>
  </si>
  <si>
    <t>Exclusivo apartamento de 102 m² ubicado en el piso 10 de la zona norte de Neiva (Estrato 4). Cuenta con una excelente distribución de 3 amplias alcobas (la principal con espacio optimizado), 3 baños, un depósito funcional y un parqueadero privado. Un inmueble diseñado a la perfección para brindar comodidad y privacidad a toda la familia.</t>
  </si>
  <si>
    <t>Ubicado en una zona de alta valorización y demanda, a solo minutos de los principales centros comerciales y de entretenimiento de la ciudad (San Pedro Plaza, Único, San Juan Plaza). Vivir en Amaranto Club House ofrece un estilo de vida de primer nivel con amenidades de lujo: piscinas, canchas deportivas, gimnasio dotado, baño turco, capilla y mini market privado. ¡La inversión perfecta que combina confort, seguridad y rentabilidad garantizada!</t>
  </si>
  <si>
    <t>Menber $400 / Jovel cod. 1254 - $400</t>
  </si>
  <si>
    <t>https://lh3.googleusercontent.com/pw/AP1GczOtf_Bejnu33MwVaREiwFtycC29B3EFkd7t2znZkPtyLVNWj-vyWmpgm6VxbIj6mWdzSdBj6K8qjjz3WD1uzutc_CJQDFa930K-ZmbNYwLJ9FNnjdSx=w1200|https://lh3.googleusercontent.com/pw/AP1GczOo1VcdK64FJiNTOsK1LdNC-L8hTVeiJCFwDf_xisxwjZ0MbzO0GcpxIMR5oFgr2OFiSL7V_T9acEicrrHJghWPraTLvgcOOtrcV_kjBHv-Ll_0zsQD=w1200|https://lh3.googleusercontent.com/pw/AP1GczMEh_A386vBhzYoZOJ5saG62SLllFvRCdifK8g6drYk7_W4xDQCz5EiHEKv7e4y9V4Mg94JCT1jns5xn9J9zUlQGH2vo3Q4TwjPB5uULA2yV0OAgVQ7=w1200|https://lh3.googleusercontent.com/pw/AP1GczPRgqsNX0khMXbtSACDfOFguGkuCmknltoZ-V7QuhM8AOGa81ZQQ6FR5tH5AxrXgz2RBBcewSiezdZz9kQkdwaU_Q8KM1HxI3C0Gq6ukgY0eDSz7Fqt=w1200|https://lh3.googleusercontent.com/pw/AP1GczMEZCCn9XZrAVbpw9EShscjSnOziQM5acJTf2HyOXY1XzmT8X4ezcqQ5WzbZh_nPcvO0Amzvi96b865k4zZrVWDNdKcKDW_wwThQRlnMldpxas2KnF9=w1200|https://lh3.googleusercontent.com/pw/AP1GczPLkFylwJp2MiCxsoX1Ugx74P78j_pzmq16Oms7MyCvTl0bMBbPbcSYUdxd6ReuCMuy1_FQqpv6QVCWix6PKr7QCQqLRU-CtZ1J2QaFpmsOU1OdHNQ2=w1200|https://lh3.googleusercontent.com/pw/AP1GczOlwdQS0mlvKC0wLsSvOmJVWDM47focDWC3D7hmkVXG61pI8RWa96y1GkC3_6nFxX9FVc4EvTaTxCMpGAvG0weNcekSoxs9ba6BucPbnCFzDi71-5ii=w1200|https://lh3.googleusercontent.com/pw/AP1GczPNNi9r6qUzF0v3z4bRynkE1DWUF-F5Z6z1voD-K7LqVPQkjA2wmIIbkCU5ow0hzjeswTVVR_xufP3oA-kk7jxIvptWfP0ILSgZ9doXgT4kW3K8rtiL=w1200|https://lh3.googleusercontent.com/pw/AP1GczN4Ut7bJ9MIqs8US8fCkvMwsvPqoy31kZIrAcxuGsyPzzZKeT57nokfudNNvjMOUKRU43mssegHFYqB7bMfgZllMC1nBaF5jHSHKXYNKusmDt_7ID2j=w1200|https://lh3.googleusercontent.com/pw/AP1GczO7wcbY_WP10zn6o8gA8TTQCYHprg9IK-Pu9F9Lh-oRgQdVF_KI67g5NbWPOW3jCow-CyZuHS8OOqtgOwmx2qx5-THZtOvbkgQt0iJF2tLT8geZZoF5=w1200|https://lh3.googleusercontent.com/pw/AP1GczPUY0zV7bvK9PjzzJMyQR06gFXJRBK8qoQnz5hDcoA7SBWa-6oDmJcOuteBQZFOjUCw9flaRWW1pc6JwPzVN8D0z1GaObvDdfApwwgnuYP6AIxu9cq9=w1200|https://lh3.googleusercontent.com/pw/AP1GczM922v6oXj_JhXQq2XAUFhgvEDs5xlibazCPWqOu4yXKPYg1rk5WdCast6SEwsVA6Z4TZ5z2CNg-vzMlK1PG628vJv64T5gvyqhJY92KlAGcfy003PC=w1200|https://lh3.googleusercontent.com/pw/AP1GczNVBYFM2jvvF1bAQPb0Xjujim0jQ-i6RuYMEFmvYetT_4RX3XQqjT54apvcSU3FbM1SPGNMpC_4V24XWve9VBiwDjLxBW0wYKWW3PU_fK_r7YsmYJ9A=w1200|https://lh3.googleusercontent.com/pw/AP1GczO-lsLXQXloYHGbXTeKe2uzGqRrwRYTK-MjpHbMZ8At5f3HvrgSQhN2IDFr5ZNgR1Vw0jBtOB6RawOK6B9PCZdgyXH54Gj888Qfbb0m-ThJB-UBheXI=w1200|https://lh3.googleusercontent.com/pw/AP1GczNx_mknv7Lo5qIIuHp7hbmxNFlu8qL39-vIBaPygOzqCm_t6CjrIWTEDwmv7pScg1qlok98vB67o9lLw6LAmcu4XB-1JR_GiKs5CGs4sHBJMrGJ5nuZ=w1200|https://lh3.googleusercontent.com/pw/AP1GczMno0fYFIcDeUNFC_GCaotVBpTeH9xBZ83LFKzdwgkTmOnPSuyxts-xz5JLHNSB1VQn9efRYVrE6I-xwNb0z3-_SkPmdPrl-riZTZrTUPJPVewX_CII=w1200|https://lh3.googleusercontent.com/pw/AP1GczOj9zovZLOP7lJluK0sFMg3Dl2aDFDSbpcBnglKurSMiJjZJ0zqifX9bLF77DeHCdLGqXEVE95JeASofeJZ6OT6tJ5KIBgcbGgDJTsrA_IJ6-K0mnTR=w1200|https://lh3.googleusercontent.com/pw/AP1GczNHOq9_Cre3dAiucIOLLLYAU46Ob0eYqr9pKZH4vIDvonrJjm6-FCbtAXmiLpo063-bmGPxxrnFjn0FlGyec9p7w1kvW7AIWXeZ3hxX53bvMPEoCrcb=w1200|https://lh3.googleusercontent.com/pw/AP1GczMR-kwty7zmoCdn1fjt-oRTdEasSkPCGjPeAWmi_yqYFLaHCUW0-hwBd2DWWSgbSb5nek4RiqHtYPCHRGaKhWhMnSsKRz-KYakM_GydW6ffyU280UOW=w1200|https://lh3.googleusercontent.com/pw/AP1GczOvFt1yYmc3DcySoYHb3rF7mdB5KGCyT0M8c5jTxZiXQwy7uDRTSZRurL4e_3CA_KWDAe51Lr3ic78efFeR0dIHU-lF5BZBlxgFsAZeUu-nBhlWv8N8=w1200|https://lh3.googleusercontent.com/pw/AP1GczMNXiqMfSYb4l05M6_Y7VaLGrHdVy08SlcpEi3p-QNX6NujozDxsQoF3zx2gyzYol9tdYu5V-g6rGoj27ryelc1hdpUo-5XP9ybOXQB15IqWG227BhT=w1200|https://lh3.googleusercontent.com/pw/AP1GczPFPhE-oAA6QefPK8bWh1NSm_YcHEC5K0v3ZtbRRsFdd2eA_0Jpom8VcTHWo8mhtEc_-9AGnGk8rbmnP2mC7qAQBcQMc1vL-3Zg523QJu8kQVfSyxDU=w1200|https://lh3.googleusercontent.com/pw/AP1GczMoNZlh2S4pspbs5eWL8qHwCsB453wDH576PTvNQqrhkweSg8LA6X0hutih36gUTyazCbfxeI0z9jzfJTw4LBj9cw8ECVYew4T06x8H7QGn7pSiBRt1=w1200|https://lh3.googleusercontent.com/pw/AP1GczMCd7vHtUgA2X4ENJ6DgRI0MW_udPeEeveQyXFe87VPRXZzumgFxhvN1mOU9L9OMjpJUs6W0ub4bh1DxSUw_9oq0xeRO9ClUU8K3G445m_9-9ByfN1M=w1200|https://lh3.googleusercontent.com/pw/AP1GczOui-oRLWgS_imZLz5LIcZqYCTbARuSriFTnmZTkVc2kr1_R1PZYjcYXuBWqRKJCqUNeo-v2Y7KGpPgoKyw6pV7SqXaqNQos55loarKKeZUSRnDWa9D=w1200</t>
  </si>
  <si>
    <t>018</t>
  </si>
  <si>
    <t>Apartamento en Conjunto Reserva de la Sierra Club House</t>
  </si>
  <si>
    <t>Reserva de La Sierra</t>
  </si>
  <si>
    <t>https://photos.app.goo.gl/6SH7wp57moHx8fAK9</t>
  </si>
  <si>
    <t>Este exclusivo apartamento de 175 m² destaca por su diseño sofisticado, acabados de alto nivel y una distribución impecable que prioriza la amplitud. El área privada cuenta con un estudio ideal para el teletrabajo y tres espaciosas alcobas, resaltando la principal con su lujoso walk-in closet; además, cada habitación disfruta de aire acondicionado y el confort de su propio baño privado. La zona social integra perfectamente una amplia sala y comedor junto a una moderna cocina integral, complementándose con un baño social y una zona de lavandería totalmente independiente para mayor comodidad.</t>
  </si>
  <si>
    <t>Ubicado en el prestigioso sector oriente de Neiva, este inmueble ofrece un estilo de vida inigualable dentro de un conjunto cerrado de alta seguridad con exclusivas zonas sociales tipo clubhouse. Vivir aquí significa disfrutar de la máxima comodidad diaria gracias a sus dos parqueaderos independientes y un depósito privado, sumado a la gran ventaja financiera de contar con un leasing habitacional vigente con Davivienda, lo que reduce significativamente los costos de escrituración. ¡Una oportunidad única de inversión lista para asegurar el estatus y bienestar que su familia merece!</t>
  </si>
  <si>
    <t>Menber $860 / S. Primavera cod. 513 $870</t>
  </si>
  <si>
    <t>https://lh3.googleusercontent.com/pw/AP1GczNe-YdJN5_83BSw8Y1oemyQtLPgoetMKIHMzhHBy370LkWCkjQzk6URf0gZ2kyVM1JTTxzDPl6evnct50AqZuJQ4dExAyKGfsp49vbZY8mGONMsBkoZ=w1200|https://lh3.googleusercontent.com/pw/AP1GczNx2DETJX8fSRKvEAReyA3BiSeuVD6us2Pq_f_c2fZhZkxLPJksNoJkRpqtaXVikvL4SJzOizCK_3y1i57hw9N9RSAfE7EB-mnzNgM3QIN5eOwvDupt=w1200|https://lh3.googleusercontent.com/pw/AP1GczM1kNvi6VZMjC1JXpefxofE6ZfGQDkpevicQkD8yUq0B9m5WPCNa2qyMFzU2CXbW28MXd9iNF9GIDHXQgWhTCBvKlw2X4oNx5GSktXMsHdJLN-eKDcY=w1200|https://lh3.googleusercontent.com/pw/AP1GczNZ2idN-BHgg6SOq2EA7Qpyc4_zGLKaYhoS7NlMCSlEbkjz4tSVufToAAM5pQTpU8IFxNnzOu4k8uKk31qy7IfShxOqjVLBr-wnPvo-bvGt5ql51ReH=w1200|https://lh3.googleusercontent.com/pw/AP1GczOyWPUgSg4i8KOo6wH2Tnn_TRKLp7AojoKJy5K6FnsGmSLI5AUBHrNYrRE5xPRjyLIuGFANJZ_62PBOJ_ZRYfHH579t_PgBOpUmP6NcXHXzgpLblI1d=w1200|https://lh3.googleusercontent.com/pw/AP1GczO_bhZ3fLAn0tdDju1TNlJhMyOo7U65k03aAwaa9BYH7KeSInyJoiJWpoKEKXre46BrQyHCH2a8ImrS2s3MDXBc-YB_oNNUMj2RdGy9WxRfLGZAV1Ja=w1200|https://lh3.googleusercontent.com/pw/AP1GczMtcqishJmUdTlP9DUdfHru00ixD6EchdzXSQSio16o_WiITZ6Akzj_DolwMpomzw1QlHOW3xxZPGS7T6H0EJk1EZY3hGJi-4eohp2D0R2i_m3UTQYX=w1200|https://lh3.googleusercontent.com/pw/AP1GczPWlJq3mtizVhqa9aWTAofm-BG41YTHJzDrsa_qBxYYDVW2f-V4m9S8OjW0lt66BeW9DC77c0sim62DbYMVIMxV3dAEjlS1R4EuSOqlUNwzLDF2plwc=w1200|https://lh3.googleusercontent.com/pw/AP1GczNImcais6GYSl2fu66tJL5sGxpQJYMPqWISOXiQfiQNbNdB-rCrSc5DPzYuzFl9LMkwsfD-kCTVK__VCPoWLR2BkW-wUI7qD_W-lL5gGP_NWfu0vcvx=w1200|https://lh3.googleusercontent.com/pw/AP1GczN5tOBbeE40Pzk0LsLukXByC_OklwzMRWsvbRzFqBsOQVeyS4ZepmHT4lTMAgRQ4wifiohN0IHv0inKS7qL1rBCt3CcR58YSQUYDnRHgIjw8G-uXd42=w1200|https://lh3.googleusercontent.com/pw/AP1GczOKQLH6lsiao_iaNkbkWWHXOULGdOVxoG8IcigP4GbXCF5LEFNF8IHP0xXQkMCPkKtn46LVkzt7bYoYuZNnRBTDj99Rmra8Mt2PwLf9rrFVh-E-nHYq=w1200|https://lh3.googleusercontent.com/pw/AP1GczPi62SPzopUro2rRgi5UdmWRMna4J8_RtrOMHv0pQPm3TgdEXTsK0it6U4fAlBYoafNN1Hs9lc7_-79UiWZN38vjDD3KD1hw0j4fWPSpvBKP0Ly0k6U=w1200|https://lh3.googleusercontent.com/pw/AP1GczMG9KUrsx7BAtR9eS4IThk1GSjKImTzazeXeyECUcreEDFS7AcBw-Uxl6_x7VCN4RAt0dr3iBdr5KfDT2yHkCL8345S625KQJMD8Bxk4_3JEDhbW3B0=w1200|https://lh3.googleusercontent.com/pw/AP1GczM6FfXCZgib7k6jB3Y6Cf9CgZ5j7JZ2kYIV2ViX6Mabna3Do265ra3mAw6wGFrg7gYs3ultlp-VMWHhGASSzqMy2sOMfTGy3OGgeuV0ibfsDo-ZsO6r=w1200|https://lh3.googleusercontent.com/pw/AP1GczOP1a-zPaQ2xDjXULeKe822n0-MPdu8BO1MBNy0UBow5tqvZPX1g7b7etkoGRTuFihl-Skzjz2yDpaRHN0Lsv2wA2nxQNSWWENTvZCCONEdR6B7WSa8=w1200|https://lh3.googleusercontent.com/pw/AP1GczPhYhif4olH4mo7LIT0orhExauXOWJhupGRJKa4cPNiN8jGk0ga6pv0b0YW_j12m588LkVgVbwLm9i4msXiMDX51-rknarYjnxGvf1Z4H2dJI9ABhQe=w1200|https://lh3.googleusercontent.com/pw/AP1GczMLZSokW1M5WG5sosQX1irs7CfoES--1ObFX9OnA6f7-q_0ppn9X0JUuEq2wV_KTvhTPxCrXJUS19Qtkt5JkSgA_zAGwYVlmTjelaNtvprYvcta7Fs5=w1200|https://lh3.googleusercontent.com/pw/AP1GczMW4BW2TaoPL8_Vc1r2hqD0u_FNRxXi9HJY38Xlb8KeYtpIXlULN8btlLg__-I_FVBSt7P9kgkChwQ2FT3wOnJWij3wPHulTI8tDkFvavki96a384YI=w1200|https://lh3.googleusercontent.com/pw/AP1GczMctEKwzS128eR2QyP40OeMeQ7YzHqXOkcvGF5RqqLtPIyqdh93cbaWmqNYYdgODTxZR4dJmYWBMbeOCfDmLOPKwuL8hogDBaqZi2brQKouJRfl7CKv=w1200|https://lh3.googleusercontent.com/pw/AP1GczPyalpxdypXopq0GM0DQTOVRSG6BAhEbaqyBCF3M3bZeNLNEZX3MCVR5Vk2nqdEaboJ8knNZzXLzdm3Srh8-KbBkYexkY3IjHOODQweYGCsLzCUyags=w1200|https://lh3.googleusercontent.com/pw/AP1GczOoHe2mkuwzGAV1tvOPQPzgyifzOFWbL1UrB-lSJgl8fzMuCRyIX66i-A_luNUxzpJU4R45OJNXspgDvIba3jarpSkOm6QyN37eD8rzVApB9YzQcpwe=w1200|https://lh3.googleusercontent.com/pw/AP1GczOlMNbLX9-2z4kXoxycajwCrSo2lComRISvjHt2N19NtzS7mATxlpcOAkSqZddw9G2gR0vLySNRNwgbbr4C8PoLA44kE3tqTuqsHYagKFxfJ_WwguLg=w1200|https://lh3.googleusercontent.com/pw/AP1GczOwLl5yEKV7wxoQvuQIn5wW98EgJs_O5cgPXVajuujCTrg1WVmIVgimkXFTF-u45Vj_GxOfGfYb44ABImk6ibEqyU8WA9hWTnaKSKUM2FSytMbG9ZHS=w1200|https://lh3.googleusercontent.com/pw/AP1GczNBwyVkbkGwG8QW4ODX3fPpq3BQ86XnJY0qacJWbB-6NDu0Ii53opUzLjodhnVA8BncgPmgiGMsOc_PKShMsGA_VT91QfhV-BRwHviQa6a8ZydMIMZ7=w1200|https://lh3.googleusercontent.com/pw/AP1GczPqwp--ZM3AJmIxG6rBLFq6_ZlIUeG14dn-9B_vxIOzdVh3hso9MAtm1SdqEyUUIJEM7atc7z6B_gptj20YC8xq2q8oSbul6slUENVcSmsy9aBfSbz7=w1200|https://lh3.googleusercontent.com/pw/AP1GczOV4E5vDJpccwB5Ll6aojyYlmi9Np8XSr0BpGonRJRu2PXpu9oM0cgM_VtX8fH3Jo8T156Kv9ytS34yL0ujAZ15T7JjABIGmXj2eTA24zXFP2aE2ibT=w1200</t>
  </si>
  <si>
    <t>755</t>
  </si>
  <si>
    <t>Red Inmobiliaria</t>
  </si>
  <si>
    <t>3174381754-3174236223</t>
  </si>
  <si>
    <t>Calle 34 # 9 - 6</t>
  </si>
  <si>
    <t>040</t>
  </si>
  <si>
    <t>Ave. 26 lado Ara</t>
  </si>
  <si>
    <t>26 - NINI CASTAÑO, 33 - MARIA ALEJANDRA MONTES R.</t>
  </si>
  <si>
    <t>035</t>
  </si>
  <si>
    <t>CRA 8B #27-38</t>
  </si>
  <si>
    <t>12 - LEIDY YULIETH, 19 - PRUEBA, 19 - PRUEBA v, 15 - SINDY MARCELA</t>
  </si>
  <si>
    <t>188</t>
  </si>
  <si>
    <t>https://photos.app.goo.gl/2SWpNoJhW1jM7e8cA</t>
  </si>
  <si>
    <t>Prop-3165674103 - 3176365700</t>
  </si>
  <si>
    <t>PROPIETARIO - INMOBILIARIA RED - REDIIS</t>
  </si>
  <si>
    <t>CARRERA 18 No. 50 - 26</t>
  </si>
  <si>
    <t>https://lh3.googleusercontent.com/pw/AP1GczP1OLxGSnU5-ck83fTWEZCCqYGHBlrwZIe0BBN0cu4fVM1ILKPNdLc-PbDAfXFavTqCkj6cBArkhhopinOIfj3FbJ0vCvqJLMQHTYLQrxN0BdwjKaRO=w1200|https://lh3.googleusercontent.com/pw/AP1GczNGSbWxlUyspJ7HLTim9DvuKGjYHAw_SFdxuLDlA1w_-mn3BP0F5iwoy9XIqvxoL5jTljHI0qXEgpSQjBCiKqYCwEy0eIvV96A0zL0AE-ZHF9aoI5Ef=w1200|https://lh3.googleusercontent.com/pw/AP1GczPn8fpejeERQqTLAj004rGadjkAHqDJw5c-XjUnZ8lz53T4jzJDEqF0NVRlb1kalhlxRDOH6PY-OJacPUpY1gP9_H7sg_KyV3D1ROrtq13ExY5kqRjV=w1200|https://lh3.googleusercontent.com/pw/AP1GczNw4nsjuqdLL4W1VX-AYrfNkXbsrb-1y9f9FXASwY3RF5aJaVCixJZPmCYHI9IOe7kRW4LyCHUh9MwaAZkdSVVNlwNxcZ0be18U-72XOpQ88l_jpm9D=w1200|https://lh3.googleusercontent.com/pw/AP1GczO1wpotuA9Kol6pU6ptS-b--nIUpZpYZPh91x3OhDaEqGtnr6fFAcLA1ho5GzQMAvo7ZcR4mDO0Igg4FjqWfykyoIZo1cHpJQ_W4v2T5DsYQ7M_K0bn=w1200|https://lh3.googleusercontent.com/pw/AP1GczMlFpIGCsI4I6RcCMuD39J-hj8rywGwSp7ORUyA-b1R5pbdRs9SNUViARQGe_61bu4clUh8BebvecXsExjlO-EZEwHof-eS8eZOBN-hrbuSI0k4CvLH=w1200|https://lh3.googleusercontent.com/pw/AP1GczNiXzJ5A5Ah8JZNZ5znPc4omruxh7kTlj2dh0e5-rYwJiOwb0HFWoQfvLGqZAxXsk3vAV8JiZTyUJeGpEcBLbVpV3vbHj69HznBhMV1bWuL4VeR75cL=w1200|https://lh3.googleusercontent.com/pw/AP1GczMWFGfzsKizO7zgzs2le9N3zl8xHLNu9Vre380KPmS4M5dppC5RqVAWYSOUf-EsnZ7u2Er_zVNm-e5l9QvFOEDjkUJkz5U5I3M_KyJrJFO-Dr337WSx=w1200|https://lh3.googleusercontent.com/pw/AP1GczO0PrGbJqVHEngDROJyzcF7sZcEFmzsGTZEEp3C0OGSAU7S6wWh28swQkMAMVWT4Z0eg0_Ya2MXYE6QpLEAjk5eSiVERj1JUEopCfiWup48vs90Akxo=w1200|https://lh3.googleusercontent.com/pw/AP1GczPtD0mE0BoPakMpzZZg1Ak0LCXKFuXLns_L62SqAlenzQOHwryP5Y8i6cHbeizE81xwx8b3JxWGgmhlpb1yxJNNrsigSNoz7WW_B76einKCGkXUX7t0=w1200|https://lh3.googleusercontent.com/pw/AP1GczPG7gEg2ug6U0cKzr9K2Rb7X33UknKxMO7ly06DSW6rB5ROSK2RjLR7OgjL8ADUbDyLZEUZgEi3IAQJ2nH4OyerQ43sHlxMmCEmXZtFWz2puyDNxVHw=w1200|https://lh3.googleusercontent.com/pw/AP1GczOeCKAm2I7tiTgkxkio5GIDt_nsL6opfid2y-AsuxwhFsIzFeN8fzU-WomiB1aPZq0UBXy6dqb__plW31PezEDYma9W1oHUOpSzMDBL0axDySwPh9it=w1200|https://lh3.googleusercontent.com/pw/AP1GczM6MPHE2uKrN1GRvgBn8yx2K118gzfZSyHW7aUH0wgXQbvEhCjGgRLrAQBUkewWekWBX6tT9DvzqdUWcnSqbvkj8aBUIkrNw74zdZ9UKfRFUdlZeGHe=w1200|https://lh3.googleusercontent.com/pw/AP1GczPZRbCVd6rcXhblPHlRtWjNdxGm47yzaxIfMT2c83QYBlYebwpj77EvkeHTCbXulMR6HeenSmMzK76GHTHh661wok9MXI78lKSKHpmlUPW8N5l_q5Kl=w1200|https://lh3.googleusercontent.com/pw/AP1GczOOA_YpczTe7fEB21ISTsum41xH1PvWXibHtgtH2vR0l0Yf60KRovbWXPqRWutCXI9vMkpyq2ZtTIecUWUZTjiQ-95opxvR-r9KZp24lVIz_PGRaais=w1200|https://lh3.googleusercontent.com/pw/AP1GczPRrhYzRjmSaYSgwggmhpvFdlmHdT1edpRoAciE2OUwoHtmiPMRjVhL2FXPy5M0iRm32gb6GuQEuLqgE7urCgO1dp8G4hT8tuFho_qa0ottXsT_BPSY=w1200</t>
  </si>
  <si>
    <t>707</t>
  </si>
  <si>
    <t>Rediis</t>
  </si>
  <si>
    <t>Calle 15 # 8 - 29</t>
  </si>
  <si>
    <t>473</t>
  </si>
  <si>
    <t>Local en zona industrial</t>
  </si>
  <si>
    <t>Zona Industrial</t>
  </si>
  <si>
    <t>https://photos.app.goo.gl/sPMkBr93iVdn6s6y8</t>
  </si>
  <si>
    <t>Bodega, recepción, cuatro oficinas abierta, oficina de gerencia con baño, baño para empleados, área para cocina con muros enchapados, parqueadero en bahía propia, 2 bodegas con altura a 4 metros. Local exterior para cafetería. El canon de Arrendamiento 15.000.000 es mas IVA</t>
  </si>
  <si>
    <t>Rocha</t>
  </si>
  <si>
    <t>https://lh3.googleusercontent.com/pw/AP1GczNoYXFyyqirulLJmgifBIB0OTIiwxlEe8ZlthUVJ78_E9wKqDf9u92LuVEHXCqLQ9oCvtL3X-VPkdrv7E94KNgJT99L8ypWlPwjJql_wO1mkj9JFhZt=w1200|https://lh3.googleusercontent.com/pw/AP1GczOyLk-hyYDLB3BS71TeYq4GXcbVOzYdf7RPY5Ye_cBo3v0NLgE-o4nIKVAUwqgPP95HNnl9b_CbCDi4nkNH7yM58ZjD7ZAC6uaczDXrmz26LCVQ9GIT=w1200|https://lh3.googleusercontent.com/pw/AP1GczN7oH2rorVyoY72ydhp7BFqgIgGI48fPBWQAa0LZllNBF1ttn8dk7khVFWME66dD3UtAfWFQ4nC6SAKPquyGbqx5DKOA4krNL57WTEjWKN-Xrl6qcYv=w1200|https://lh3.googleusercontent.com/pw/AP1GczO035TDsqtTBZDu8hsf3SSe9ijSxXj-hlCazl3nhe9kCFCDgnCvd2r1BQOveOLexMdZ8uHiqjKlgZTwRapGoFG-DTTZxB0oxRaZ-QkKtxcfF3AtK4Gt=w1200|https://lh3.googleusercontent.com/pw/AP1GczN0ZfGI6bEFRqaV6NxuP69WHxU7Rx7kWp6CRdJMFzVmWSwL2_EZJFPL3HSXJ-2CYNT2u0skzGDuGnfIGlbZw5hUSilS-3WEZqUOmn99nZloZ76oYJ5H=w1200</t>
  </si>
  <si>
    <t>767</t>
  </si>
  <si>
    <t>Casa campestre en conjunto Bosques de Cantabria - Oriente - Ipanema</t>
  </si>
  <si>
    <t>El Faro</t>
  </si>
  <si>
    <t>Conjunto campestre Bosques de Cantabria</t>
  </si>
  <si>
    <t>https://photos.app.goo.gl/myepAuqjokcAAcmW6</t>
  </si>
  <si>
    <t>Exclusiva casa campestre de un solo piso en el oriente de la ciudad, Viva la experiencia de confort y bienestar en esta elegante propiedad diseñada para el disfrute familiar. Cuenta con parqueadero cubierto para dos vehículos, amplios y luminosos espacios de sala y comedor, piscina privada y una sofisticada zona BBQ, perfectas para crear momentos inolvidables en familia.Dispone de cuatro alcobas, cada una con clóset y baño privado, garantizando privacidad, comodidad y descanso para todos los miembros del hogar.</t>
  </si>
  <si>
    <t>Ubicada en exclusivo conjunto residencial con vigilancia 24 horas, senderos naturales, salón social, canchas múltiples y piscina, en un entorno seguro, tranquilo y rodeado de naturaleza, ideal para una vida familiar con estilo y calidad</t>
  </si>
  <si>
    <t>12 - LEIDY YULIETH, 19 - PRUEBA, 27 - Valentina Renza</t>
  </si>
  <si>
    <t>https://lh3.googleusercontent.com/pw/AP1GczM0CLthr259tqNxdiKv1VftrDeIMujilnsCI9AsjMXJWN2K8qD2skHXxx2uGYqIwYkWMbU8uEURnqqDvLbC_P_aAz1RlEF3lc3TR2aP7bk3aFfDmto1=w1200|https://lh3.googleusercontent.com/pw/AP1GczNPEeAE6A2loM4TTErezkkVG0iIE8xMTs9U8BVJ7THL8Afx6mNY5zrCyiB7FDUbjEsLCcP0nWH3AGfOkyC1UXGzzZMRnWq5Z26RpUFINAukR-VhqXC4=w1200|https://lh3.googleusercontent.com/pw/AP1GczOIVRNnaFZfi9q5atp-9hs3pjuF_3h-QyW_5JkCkUVp1vq2d3tGK-4FdubFbVlo6NBI218NCsGVny930wI7hVN1ax_HatH7DndW-xirbkjXEFSj6gwt=w1200|https://lh3.googleusercontent.com/pw/AP1GczPl8Ex_KQBnkOTdWZ2T0NiOLpViBU8RkL7nfgRfKy1UfXvh-uLw4NDf92OsHKAhP2g08mUksDmChcQ5mY-BXvuU1CU2qdp6j2r1jHLwpVFmdFHRZqQ4=w1200|https://lh3.googleusercontent.com/pw/AP1GczNniZQ7lzFepWfAMqCqk3KTYrhHPTX4syeSVRpUQXWSQPxrUHVXjwN2hnqoqvgk5aICIQsnsh5_JmZz2_oN2ZK7B7D-1do-9d66xUFFTJYZ91UlHPBT=w1200|https://lh3.googleusercontent.com/pw/AP1GczPeJ39XjgIg4VgNNKDEFYQgJovu3fkWPKyq08zPmbuZ01cup19FAPTOrqGBM0Z4jG_9nFYC3-4RN-ds2wL0zbBPrHnOnBg90MgYQ6yu5_Udib4P-KfH=w1200|https://lh3.googleusercontent.com/pw/AP1GczOTHhtQpeDKOVkkXVpOo4ZYDYj1mVG6Ug-_2hku4ilmulj8aNNMU_VxAenB2BA-y05UzjsjNDJzApKfWYil0W5ceLC4PadVq_mUzS22C5JnGwOt5zPz=w1200|https://lh3.googleusercontent.com/pw/AP1GczNTZjNoRGGahCntCSgA328upMOq7fIUmlGzH9TqW7b8vDffe3NYTvBO3uuOxhPZ5rnMSu9u4suzhz1BfNP12-DwrlS6nxBSRiK0Lhrmq3n8dtvpybr6=w1200|https://lh3.googleusercontent.com/pw/AP1GczOLGiRXO3q3E6I2NgJEFk_6TOQk9JjwJoOedJDQTDKFgw92QwWLIAP4YmMGxHwsiQWsVeN_dfZ6fAMoQtxn7-2rLI9kF22tIItHSO-h878kQ5FvaTMe=w1200|https://lh3.googleusercontent.com/pw/AP1GczPjd1wri91PXV9qs4FVXgekhWOsLxrS2-t7riGCD1kIfRLBD2DK6KkgaLi4cRdNusSeGge23EBfsqiuxsemWiQYQbY3BuBW_sQG7Yywq5fewAGwnaln=w1200|https://lh3.googleusercontent.com/pw/AP1GczPcoaAb4-8QJ421yfVJAlE2R20t51XIYLB7EkI65B3YuJt_OY6dh4S_BtkBkJPUZc-2lq6JiW1UVuFxnVuPxOA8yrFmzohn3bRaOG291kmTWeITjxsn=w1200|https://lh3.googleusercontent.com/pw/AP1GczP341qE5Bijn5bbwduldc0__fHKNghuFQadYh7O9q5JMNLWKkEvIj09VQrkPOrbRpG1za83qLnMZo87yke7xTP-AzqWQ-cirN5MHt-rdAcN0hFV4mhI=w1200|https://lh3.googleusercontent.com/pw/AP1GczOiJwSA3eLtRg6P2y6j2sfwpL5p4L8JCvuhAsir484a9duqB4GgwTLLga4biy-AvMK-n-RCeN4jRtnGCHlIqSx74VGeCxFbylip5MhR3ptPs6q-ylw9=w1200|https://lh3.googleusercontent.com/pw/AP1GczOAU-riPiyetVs9GmbRv9N41kLvpBQpY1yeYiMGk0UwfSwfvLfUWKx6z_Wz13CuDWUsHDhu4oHRgl0pbJ0qziJWd_AFBq4Y07JjKkeNMCSYz5uhS-2i=w1200|https://lh3.googleusercontent.com/pw/AP1GczPjh-teHDZpkLAJys39Hkk9AKhq9oHSheZyTfKtcieKf6jm2hfeuBJUC-Ea3GTjhEskxKce9xoDl6pa_29hbj-Gtkz_fgoc5aknT7XnZC7glJaLcSeN=w1200|https://lh3.googleusercontent.com/pw/AP1GczP3pIWNQzYs6D3-yKyvVnZ60KafcOTPIoJq6i48Av0-g56UW4jYWIgebPf_3rvz9xV95KtqUuDho9WMMcujw4PyC3j0ktsogp_ZXqpFOHMDeJu1PFBn=w1200|https://lh3.googleusercontent.com/pw/AP1GczPjG45zTAh0UzAnoUA1m7VMdg9NhxWd5nuxcM4MRMA7I8lT5l-lLdU_byWvU5tzH7WUKI6CcaxOhZZWhCzG5YUSBSKa2zkwOhLGbJxP-Nna_KZVdsxt=w1200|https://lh3.googleusercontent.com/pw/AP1GczPskcgceTfJeY1F3-8zEKPpX9SfxHQCXFyATAXwsEQQ5bBbX3TJsV_9MMfW8C8BSDfRLh22ARXZiw4e2wmXSh703vn1taQAKhtU9S9_yNtoL0sM0zCw=w1200|https://lh3.googleusercontent.com/pw/AP1GczNhAWg0VvltCDt_ZpnLrJv82egrjg8D2a6tLl4HQj9adkaNVHTwedsIWbv0hLKep9Tp_KaH1XchjWf3prPQw6srtppjGOjFIlURolDKS3pL1Kb7Yub7=w1200|https://lh3.googleusercontent.com/pw/AP1GczNSbNOXsoq02AXIlVViFSlGo-3yT1S9GgkhwB-iWhNKpmlzziMMvbJBfo8TE3WD246IwSh9a1OjEPzy6rSNzOHemnPorV4Itdu0VgEW_kNHmqTbDa5f=w1200|https://lh3.googleusercontent.com/pw/AP1GczP1Gv3Lle8mh-L6YR7LKuzoTw8Em9yH-1PprdGab5v5BCJZdMFAH5tBDxeFHPtVF0wgsiv8aAqpBvPjDkJOhqLmVN1hPomu5LVBwCdK9HpALujllr6_=w1200</t>
  </si>
  <si>
    <t>469</t>
  </si>
  <si>
    <t>Lote en barrio Chicalá - Norte</t>
  </si>
  <si>
    <t>https://photos.app.goo.gl/ueZzPr7mgKREj9te9</t>
  </si>
  <si>
    <t>Lote Urbano en venta en el Barrio Chicala Ideal para uso institucional, perfecto para la construcción de colegios de primaria, bachillerato o sedes universitarias. Este lote goza de una excelente ubicación, con vías de acceso amplias y en óptimas condiciones, facilitando la movilidad y el transporte. Ubicado en el Barrio Chicala, se encuentra a pocos minutos del Centro Comercial Único, lo que lo convierte en una opción estratégica y conveniente para instituciones educativas que buscan establecerse en una zona de alta conectividad y fácil acceso para estudiantes y personal.</t>
  </si>
  <si>
    <t>https://lh3.googleusercontent.com/pw/AP1GczNWVTsryDuAE3Vyk3U12w6EvACcrwmli2ec_u7MZ1hXjxxSZyxb6RHecyqK8eJ3uoGqpwVoO60vgnlGJIruFNwBftzVey1e8GcIQj1lJcYj7_G-U9oX=w1200|https://lh3.googleusercontent.com/pw/AP1GczNhVuQ7fgKpPNUOTFBqVyJWzraBh3UA7PN7agBS-Riy-q1IBl4zKcDlyuEHrP8Ev7gO4j55zFO6KkTgTW4UvCIMTXYuPcLWFsslGnS9dSkM3FA7iZ7m=w1200|https://lh3.googleusercontent.com/pw/AP1GczP-V96No3ZNalPanp7FdXgQ9TtXZp0aYclLSAjyH7IQQJn6UU6V9GbW7YU_o1zC5zXQHIpm7KoqaP2k5NJB8qYRo6a2Lz5ckgETmjWDo520-PQasHBX=w1200|https://lh3.googleusercontent.com/pw/AP1GczOJ-LlMepLbc-Cx0u9KbQEupoudyDYPScssw6v9rrxWr-yPuQF25b4-LEraqgKI_c2wSN2OvWPSdZ5QnJCrlYcYLpS-3eK2pSJGwwuDfU5TCXfH9rQc=w1200|https://lh3.googleusercontent.com/pw/AP1GczO6yDc3h3nrvRtvkRDEjPRckeMhZ3yJDoHjIiy_GLkL5SMneSSrA3T4Az-sQUX-rD69XnH0Bb3uZWd7DK-vmwK0US7FiSMiYMKuZaBWOp-uwPMbKc1g=w1200</t>
  </si>
  <si>
    <t>775</t>
  </si>
  <si>
    <t>Casa campestre para eventos en Prado Alto - Oriente</t>
  </si>
  <si>
    <t>https://photos.app.goo.gl/wFnGftfaEQwDyy87A</t>
  </si>
  <si>
    <t>Casa campestre para eventos, sobre la vía que de Neiva conduce a Vegalarga, cuenta con casa con un gran salón para eventos, área de cocinas, baños para dama y caballeros, casa para mayordomo. Tiene cerramiento en cerca viva, árboles frutales.</t>
  </si>
  <si>
    <t>Casa sobre la vía es ideal para sede campestre para colegio de preescolar o primaria, sedes para restaurantes campestres Cuenta con servicios de agua, veredal y aljibe, Energía eléctrica.</t>
  </si>
  <si>
    <t>https://lh3.googleusercontent.com/pw/AP1GczM0L98EiH-jo13i0nApoWU3jCM9XSYJ4Zxl0fk2DaSyyvOQm34LOztSSuS-lpQcQ6ULeEeHQU1NdBC8kgEn91u-F24Ut5l_cKkwEt_ItSVkbc7U3ZeA=w1200|https://lh3.googleusercontent.com/pw/AP1GczMvnupTdR1ryeE70keayrSM2V975PrpEnRLkGLD6Z7g74YPUBwgbUh-MJ3hRGZEw9xMpzUqgBZelPKvVuIfUGhb6JvTWkVcl8Mwp8Ywa3g57t3KiG-b=w1200</t>
  </si>
  <si>
    <t>478</t>
  </si>
  <si>
    <t>Local tipo bodega en barrio Cándido</t>
  </si>
  <si>
    <t>https://photos.app.goo.gl/HvawkibQRNuHpf14A</t>
  </si>
  <si>
    <t>Local tipo bodega, gran salón, área de baños para empleados, cocineta, área de aseo, cuarto de equipos. Inmueble ubicado sobre avenida principal, cercano a iglesia, universidades.</t>
  </si>
  <si>
    <t>https://lh3.googleusercontent.com/pw/AP1GczMuDFmw8-GgVIsy65t7WuJnXXWoS6tVORSpiiD5ChopTKOSDHHIHiYczcP8aYBvsjYdmu4LBl7HJghDItV_0GjZssknum32NaEusMDmF6MXlx0lK0J1=w1200|https://lh3.googleusercontent.com/pw/AP1GczN7uD9IvVVkeAL7Gf71odmeaDb-CpanzaHLXgwUsJYce-qDG1I4oM2ePDAktHIOd4VDgZqASARgNuXoDrVtUsyQdyFvdCXWI6wjzMdDWlhEzH9ZATQD=w1200|https://lh3.googleusercontent.com/pw/AP1GczNGUslQCrKgurWHBN5bn0md6R6FKQJr7bq8NzFlSdUf1x7eOyXS7VndT8WGLkYKzcDnj9f6CnoABvfP3mNhr-8n8jA3YnRFKos27RWJI5SY5eYKY3ma=w1200|https://lh3.googleusercontent.com/pw/AP1GczNUQjN0gh58YYG7DbT_Yw6kX38xAs2ETNwx14dpql_UdvZSxTCzzE4SVOWL4BoLgzrvLaZ6MPpYv9dlapScG-2xotwtYKST986bN1bHMnScNLpjiwLj=w1200|https://lh3.googleusercontent.com/pw/AP1GczMSfIkkWKd477mGRzsS0mWsHfJC_dH8C4BmbUU1Aur8xDHojsmKf6hJ66OeuzoHTjvHejYTRdlEVXkmuNFsjJ1DerRTFFGwXievJCmBRpIJxM2R0faF=w1200|https://lh3.googleusercontent.com/pw/AP1GczO-8WGDG0mAfSG-u-mb_eH2DQQOyAjW4yCekRvse4LHgG2MYOywUKJGU_t9i1QLs8ISEnkXx9n78cttM7ILzjweT7IIiQzEKtaD5QnggHn_h56Gqo5n=w1200</t>
  </si>
  <si>
    <t>678</t>
  </si>
  <si>
    <t>Casa en conjunto Santorini - Ipanema - Oriente</t>
  </si>
  <si>
    <t>Conjunto Santorini</t>
  </si>
  <si>
    <t>https://photos.app.goo.gl/FHdWFRTHHxT7Xbey7</t>
  </si>
  <si>
    <t xml:space="preserve">Conjunto Santorini, al oriente de Neiva, distribuida en sala, comedor, cocina integral abierta, patio jardín con BBq Cuenta con 3 alcobas con closet, una con baño privado.                   </t>
  </si>
  <si>
    <t>Conjunto bien ubicado. Sector oriental.</t>
  </si>
  <si>
    <t>https://lh3.googleusercontent.com/pw/AP1GczPeNcF_DAAqyF2beSL0dhhpznK7LdzL6woDj_HJYDb7oVlkuPPMEymyunQZmUWHwTQeAF7kpFS2o8zO3hmuxeCseRtzWiBHeRuswLfMYgMdY-LIRF8T=w1200|https://lh3.googleusercontent.com/pw/AP1GczMNkcTKG3qS-LD7MFGaHVpiP_BHc8JVqIeBnfzYHTtuj1Jp9irhni3-sbxL0THj_NySvmudt277wvYck3Xr4YlnbF1ivWbOsrfZTWlgZsvG4z0lVLZE=w1200|https://lh3.googleusercontent.com/pw/AP1GczOil8hS0TmJhNVsVAy2qrbtrICzY2C2k3GpMKgZf-d1eHIn_ZyNM7yP11c5FSfN_ztK1xgPQcUQrSFDZcddVfsH-ATkPTzubBj_GY5ngslXOIWbOC2p=w1200|https://lh3.googleusercontent.com/pw/AP1GczOcLD2UnPCEaKI4tqwktJGbG6cWpUeVjntherUJYkcGw59wiRGw-6HhO4jEAVEed4lZMjfakgnVv8ZPoK2DJHrYMJtj8TV4qgQ_86JQUcx7rsChNMH6=w1200|https://lh3.googleusercontent.com/pw/AP1GczMvfUOEa7UrJ4AiegQP5rCsuiiDpNb78-j9A6Sf81kIS2Cw56dcP3NGUDRyD-ghc9N5xqu41auL5yKpYOgz6heMRhp8sJceZr4bTJGPcU-fOrv60olZ=w1200|https://lh3.googleusercontent.com/pw/AP1GczM11zQiTQddpF9DgdiB_zWKvSFFjaIXkX9uGEWQHSFmT1HiLe8xv4m3LqogzpZ_g5OThbMRQblmTtoQcnnUSaUF40dGIySMNy9tV6gvmpAou2Sm0Y24=w1200|https://lh3.googleusercontent.com/pw/AP1GczOnSxs7oWYfOAbPxs0GpapV8Op0xfyAqm37JaQkKgZVSl3y9ec5uKzzenluh0AdV898ceGEkaPKLt5lEwYf9JJs8jlvGlnGN0KqMW39XXuvYyzYyRpI=w1200|https://lh3.googleusercontent.com/pw/AP1GczOopSpC9sIDr5jdrKbfyizvwmyleHPsEqV0JS0iJ_489lppciN1aAiHpnLWpy3rdtmfvrt0SIprI4U-eIzDev2ti-b18blumFTtm-tDiCMFwyDcpIbT=w1200|https://lh3.googleusercontent.com/pw/AP1GczNF2BJhFs4KclAZ9L9kwnSMf2XUpSRqBIeSywATlh3riNxr3lYN65iG7SNeypv4orj8V8Uf9NP1OqJMJLSdKmO-9NMBxgxCDwFOSDJKpgudN1pubqpy=w1200|https://lh3.googleusercontent.com/pw/AP1GczMQzbeMWXYuQv8iXswHuKqo6WJdQMQNLdBW74S8yaCC3C06rtZ-0OkNOoEdAvxAmywdBDcnFj3iFIxGfaXWzRgO950cxgR8-VCG1mJLyh-mlBepJG6_=w1200|https://lh3.googleusercontent.com/pw/AP1GczOX3tiyk_Lot_eQJvPuwh9AIgTFD1JmK9WoVT-OEBsIXp3tArA_0t-SnnO7uXxojsFhblIe_hR3zO91cCP0CRnO1fM8bFks552EnGFr3xAN7WVUrf-l=w1200|https://lh3.googleusercontent.com/pw/AP1GczNUUxHMr7VFdO6JtaCjmfm--8Q14mTPdu5aA_stlhLy3XV8rQ1SZjkx8pRPPcLWeF30L302oXE4coRojtzHItFW-LrkBlbKcjy9Nw2YM0i5DhzCg7H4=w1200|https://lh3.googleusercontent.com/pw/AP1GczMJrNtZzq7kmfMLAX4DcATzy4Jsd86Gqj4Mpgo-byo8IEALJW4Hn_aLIO2WVqMuOOdRIXTXLim7Xt01R7_CoW1N1RW4rgkMya2g31NvDoSYEYnUvRcX=w1200|https://lh3.googleusercontent.com/pw/AP1GczMRJOGBXyCLS9BKd6LDh_2r5AC_DmI0RlzeM5V0Kl3gOY3-C6CnePkslFJnBfWA4_I3eTtdpR8i1t4OTMKKbVQrOBenfamg10RNIQLXB6dcilv73jES=w1200|https://lh3.googleusercontent.com/pw/AP1GczNsQ4eDUGpJGQwJ8e6haht9uzjwWJFc7ooc-AgWpcDFEauV3GC6hJtNmuNjGBhKeTDwFF7mioi7NC0ptUW8H1TuZn79IUFx-OiyIs5RQViCLRZlpoLy=w1200</t>
  </si>
  <si>
    <t>764</t>
  </si>
  <si>
    <t>Bodega (2 locales + Apartamento) en barrio San Pedro - Centro</t>
  </si>
  <si>
    <t>San Pedro</t>
  </si>
  <si>
    <t>https://photos.app.goo.gl/4Hq4XARDkBBL4V927</t>
  </si>
  <si>
    <t>Ubicado en el barrio San Pedro, una zona de alto flujo comercial. La propiedad se encuentra dividida en dos unidades con total independencia de servicios un amplio local comercial con excelente frente y profundidad, actualmente apto para actividades como mecánica, repuestos o comercio especializado, el cual genera una renta aproximada de $1.300.000 mensuales, y una vivienda que en primer piso cuenta con un espacio apto para actividad comercial en segundo nivel que cuenta con espacios funcionales, sala, habitaciones, cocina, baño y balcón, ideal para habitar o arrendar de manera independiente.</t>
  </si>
  <si>
    <t>Una opción versátil que combina rentabilidad inmediata y uso residencial en un solo inmueble, cerca de Ferreteria Depósito Trujillo, Estadio Urdaneta Arbelaéz, Supermercado San Pedro Plaza, Papelería Medellín, Estacion De Servicio Primax Cra 51G, Parque Principal Santander de Neiva, Gobernación del Huila, Metropolitano Centro Comercial.</t>
  </si>
  <si>
    <t>12 - LEIDY YULIETH, Sergio Dussan, 41 - Sergio Dussan</t>
  </si>
  <si>
    <t>https://lh3.googleusercontent.com/pw/AP1GczMHNAXUVCULg2y8dPPBz21F6g7wT5MywJZxU2DHf1rj__gyzG-8meGHVTjcLzl3iFKRxztYjq8pOoZUDwE-2ym_n2tpZ-_FFH7v7Iq-CPf-kdFsYs8b=w1200|https://lh3.googleusercontent.com/pw/AP1GczOUIVn2S5VzaGuifYu_4sveVw3D7dFSFInTR6kOcotqhOISU6FqFOSYMUuHSTQBKMKviwuQ4FKbrPQPeCvKyo5QrmoV_djRG5JQivda6-59YvumPXEf=w1200|https://lh3.googleusercontent.com/pw/AP1GczMzvOMrqT6xRA9Bt6SCnvMCz8g2in0Vf5omTARUpFGVQC9Hl5VXNhNbX3Xm8JNQHcGuK1_Qywb5OG0tsPZVltlYfWws_oL4VTkwjifj-fcMTlMOLtQD=w1200|https://lh3.googleusercontent.com/pw/AP1GczPTyD0ED4gxPadQMraJFL1C3j8dpFMDnToI_Zlp3IleyR-BBYHvuXTcJNYf4iTa-3PsbrBuAuKYCVgEEWi_cotvWCkWzZAI54QYdJcnLHfqsOtgQ5W-=w1200|https://lh3.googleusercontent.com/pw/AP1GczPMv0Qz4zydN80bxDZapyKdf6bjq0_bO-5niAbeH3UdDwrLjGoGTJiabnjkg9Qo4Uk6qzWZ2_O0iUZFfFVfgDbyrqHXVTyQRUyLLATo-_5PABynVe95=w1200|https://lh3.googleusercontent.com/pw/AP1GczP57_tu-Nc3bspYSf358BANwZJ2mXlZctrFmR2cL2Fe5QhieI6bkgj48mBnvQjFv9MFd-nQphkeMoxjhjhSw6f3inY-bHwKME303V7tOw0gQ1iAEDn2=w1200|https://lh3.googleusercontent.com/pw/AP1GczPDWMBgQtEh4ge7Q5ia88ao53brMwiCGmnr430aig4LBc6Ji8s9HKVBZbLq_OV5PQa13SZ0TCE-0dYFTZYQi8cyFhxrealx8rIEzy5_80UA_yhGG3zt=w1200|https://lh3.googleusercontent.com/pw/AP1GczPs4BAwlShQxLesauPTCPSQCBbG-JjQVd3DjXtTSV8vfX3w7xA1YggLm4KdYMFlZLQiFXz4y5RzTQRzDBF5FI_qn8XjlXytUbd0la-hMqpq0eQgnmtW=w1200|https://lh3.googleusercontent.com/pw/AP1GczOUypahmnXLfh_lqP9B4BRwZcNaXmmL_eikOJ3jZSVld4H6d4rEfV8imXOmBpiXWlQ1-8fVQrLjMs4sq7Oih-q3HKi-37-KRTmImijj6e4Sbn4AqpMN=w1200|https://lh3.googleusercontent.com/pw/AP1GczNkAEVjaDhI_4mImhIsnm7lZHCc02fsqkd5dhqMoOPTLckOwpBh6RzB4mnb1DRaeFkStJoXUn1NJNdrVeDHzxGSr387j5tscunCndU-988-nWRrDXrI=w1200|https://lh3.googleusercontent.com/pw/AP1GczOS7H0tgp2P9dpexcrJFdxQyAqDzUgc83CRRC1yFk7kzLFxe1ldGTiV0tDpsYeUIBbetMvL3-sOKO_9a1KMvCb89m7BvaUARiWVFOyM023buyJiwoF2=w1200|https://lh3.googleusercontent.com/pw/AP1GczOnXjk6xq_oXuwmMnrwGHqkoj4PbNmWrL2I-ZNVx0JFUTFCEfi5Sts6Fr-h9ip7_cI3GpLfQWaMoWl5dlOCHqTV4rQgfbkK9gfEImccviVje6fBu8pT=w1200|https://lh3.googleusercontent.com/pw/AP1GczMyYxhzAqpWT3O3IQRxfEmGJkulqef52TQI76EZTiOFsxcgsCY45QdkHnfdLJg-A80mG9QiidfkfOxHPF5R__G4AInr_lhHnUjHcesA4glxIOjYrmcL=w1200|https://lh3.googleusercontent.com/pw/AP1GczNZfYWTmzNxNuFBAo-HGf5GT_FEUchf7d1lf-sJjZtRz_vdmAsezBpM3Z83SesQnVVSTjVhz7fKUey8cI5zpMaeMMEQsvBGB_-O1c_GkLcnp7leMrlo=w1200</t>
  </si>
  <si>
    <t>773</t>
  </si>
  <si>
    <t>Lote urbano esquinero en barrio Prado Alto - Oriente</t>
  </si>
  <si>
    <t>https://photos.app.goo.gl/6fY18Zo7XeSMMa659</t>
  </si>
  <si>
    <t>Lote esquinero en el barrio Prado Alto. Excelente oportunidad de inversión. Lote esquinero ubicado sobre vía principal, con excelente visibilidad y alto flujo vehicular y peatonal. Ideal para desarrollar proyecto mixto con local comercial y vivienda.</t>
  </si>
  <si>
    <t>Su ubicación estratégica, en el barrio Prado Alto, lo hace muy atractivo por su cercanía a universidades, hospitales, transporte público y zonas residenciales consolidadas. Una opción perfecta para constructores o inversionistas que buscan rentabilidad y valorización garantizada.</t>
  </si>
  <si>
    <t>11 - AMARA GUTIERREZ</t>
  </si>
  <si>
    <t>https://lh3.googleusercontent.com/pw/AP1GczMkiOXSGB3xSmGuHowfGGm_bDBq_0D4jO44pnPXLtgrWjsBXEiJ_uh9J-dlwjqV4OCdMfEJnbZR84StNFQaOGfHNp_45aTg4Tw-3rV69iGQCdcv5HTy=w1200|https://lh3.googleusercontent.com/pw/AP1GczMdj7htjFNxbXBVUgeFLmhLfUUL5vkrSRnC8pOfgcpoQ568ernnCImKHSSUu4jEm8VNjHblCr0rC6s4T3U-ks6kURPRMrveC9FCAowG9IDxyEiHLKTV=w1200|https://lh3.googleusercontent.com/pw/AP1GczMZJOj2bVNtnVLQwSZwL56LAJRq4Yne2W7xhuEM7paf-e37ibG6k_RG-xa9z1vgSRVBv1xytJXEKaWsh9MfOQPT8S534h9GswAo1StmYIOKA7mYVEmR=w1200</t>
  </si>
  <si>
    <t>466</t>
  </si>
  <si>
    <t>https://photos.app.goo.gl/qakqYnaLQUYHN7Co9</t>
  </si>
  <si>
    <t>Casa de dos pisos en el el Barrio Villa Carolina consta de antejardín enrejado, sala y comedor, cocina integral patio de ropas, estudio con salida independiente. En el segundo piso tres habitaciones con closet principal con baño y baño para alcobas auxiliares, sala de televisión con salida a balón. Este inmueble se encuentra a pocos minutos de centros comerciales de la ciudad, cercano a Iglesias colegios Privados y centros de salud .</t>
  </si>
  <si>
    <t>https://lh3.googleusercontent.com/pw/AP1GczOhL03B542QClrh0IdlAslFcqVWdOFeqWH8kAdLo9wTY-5k2wej80wfrLF2yt3PuCJE6F6nW86f1qkyvRPllF_ldc6P-NagWaatsKiDbLHYmDYWE7Qt=w1200|https://lh3.googleusercontent.com/pw/AP1GczMzu9dAT_cO1Ee0LgHw_4QepLPjguxn5VyYHmHtjU0nfTqTUbfEoG62yjrjCxba2lgRR8fbLzzQLU0q9aLXxXefLpC-LYWiqKcZ3LtExve_CuGEzsn0=w1200|https://lh3.googleusercontent.com/pw/AP1GczOxVs99NEVOmEtBfKX8Xgbpf4fhur9qGAZJRWktyKTn40NvyS7eBq-nipJJYUUL_Rt5tyJwrUtmNYCix01Vr1hoDVagkCMkbPiuRgHNRaaU56q5QLry=w1200|https://lh3.googleusercontent.com/pw/AP1GczN2EEEKqKrZFr4UNIoRwl6kEWqOTxm8fdNtMmWabk0UfvZguO3WoBGJ9w615dw9XLQe90Oxg0LHCut1nVmZI-YpYaXBzGGsTL57UTPcgbf7bxhftrHh=w1200|https://lh3.googleusercontent.com/pw/AP1GczNX17-D7K8bW5cWINOhG68Tt-8GUhy0DErjkQVnT9WHPaCXoR3m7wJBcr9f0RA1FLjcWodMTir006J9St8r9-XSrNqvZsHC6WpZ0NpQQCyJpcEv2X-C=w1200|https://lh3.googleusercontent.com/pw/AP1GczMwFY83Dg2ns2EeEpqN0ai6deSyXpAfHnoDNzdi6f4WyZl1a-TKJjMA7LbRT-xAg8jPOhGyVpfhVUEWUtsN3mHaqWKd5C_c7rpKKelGvmYi0HjToUSj=w1200|https://lh3.googleusercontent.com/pw/AP1GczOtFYqBbf5tO79fs0Sl5kazLabg48t_2EhXllv4M3bnhdmjKtACr_M-7OKCJHH4g5UK0M_RsDKW2G7jHxWwoOjlQbM7Veb1IAbMcyQOBsVp0L8GetIc=w1200|https://lh3.googleusercontent.com/pw/AP1GczM7lTw1cWR1tAGLyo-L3mEaK_8GbbvyZCyDbH394G0ioKjc0vVcZtxnIwvFZB9YCtw16wvypZdDkKDyyUYJiXBYyjWOXJBkWj1VBF_j5MYVYJc-4V1t=w1200|https://lh3.googleusercontent.com/pw/AP1GczP4jSYkzXEC4nJnqY9kkPuWWfxChHzSryWcEVisCajvQineE-qxO3xmxTRoPsCKaJSwP_lGPgsBMPxUFSVx2bMLSi0irHxhlI2iL0IVdc69VfdTanxy=w1200|https://lh3.googleusercontent.com/pw/AP1GczMb1dwtTY5AOA2hktKFbvt2leTBLT40bVE4o6Q9hjCLgFi0HQp6jgIeBvAbEZRHzvDEGqKIBj73CuNsyYJYH357tKa15HzlZZ-rJCBuPZzWLb4HoL10=w1200|https://lh3.googleusercontent.com/pw/AP1GczMUDj-2qaIf6b1rXrOz3iQHaZObL-1N3qDGKh7bTs41hShztV3f0-0xALzhm4AFKppCJwH0Lo0MIGLJ63_zSwIOwvfXyTVrLqGcg9IR7Rh_WjeT5A8D=w1200|https://lh3.googleusercontent.com/pw/AP1GczMM_HgzMbgHIeE8lrbYDNmUuKN7ehJm6bJhe3nTZf24NLogJZ2XGipv1u7OK-gFlhNDKwTWeWYQaoLTublWMcgNA3ZmziLp4Y4eoRDv2GA8g-BT06eg=w1200</t>
  </si>
  <si>
    <t>836</t>
  </si>
  <si>
    <t>https://photos.app.goo.gl/tqngk5eCuvLxzNaJ8</t>
  </si>
  <si>
    <t>Apartamento de tres alcobas con closet, principal con baño privado, baño social, cocina tipo americano semiintegral, área de lavandería, balcón, deposito y parqueadero.</t>
  </si>
  <si>
    <t>Áreas sociales, piscina, parque para niños, salón social, gym, vigilancia. Cercano a Colegios privados, centro comercial, Clínica Belo Horizonte.</t>
  </si>
  <si>
    <t>https://lh3.googleusercontent.com/pw/AP1GczMdlcQIn5abnOn6VtrX802yg4TWYkhHcamqUhkxvWd4eQwD04niLub0izcjySNbTH15fvJqlyTYbC8Q8GBNwoBJ6DOofR1qgTC1gmo80PSVoPZpO55M=w1200|https://lh3.googleusercontent.com/pw/AP1GczNzFjudyEyb1IaHdjkxFEO2fC8c5KW4230e28BSqK9jAIYqHLM-r3Kodab4g5Xmc9dN0SUTXxP-veNqqePqwck6JHq9lAHPaoW4FEyqWZcJXeLIbGIk=w1200|https://lh3.googleusercontent.com/pw/AP1GczMELbcQC1pl6LN4h2nudJ7MXEgzB5dekEn1gGgh0WkUQYJterWtBsU5WdLjCvt_PRvrut9eOfHWqHN94Dgv8ieYAM6BK27VgV0NbmK1iKP65vt3x7dc=w1200|https://lh3.googleusercontent.com/pw/AP1GczPBhX4yo1ptILVb98Eg894Nz1p8hXpNqdexb3JuqQgZbsoXJTCTSuz9tnfgfvSYX85sFMziPmy0tV_TbKxbndgE2BMg953447lZ2sOJ7oq6RXETJ7Bw=w1200|https://lh3.googleusercontent.com/pw/AP1GczO8aWfcavKcXe_8RKIwpdKy5cjOH_iQF5wZu1apuIrW01I5KX2sNqDGu7Q09Rh0BbtczSfbdVgeB3iZo3IU5UmqBRWmvdMk_nsyV1TUt37TPB9HROwO=w1200|https://lh3.googleusercontent.com/pw/AP1GczNwzrlN5hr0EgMiggFlHSKQSUvtS0dDl-DFRJRU7kLxZtydHGAlLuY_y0U-e3IwI7Relnuxl4AI78O5QvDFA7EpsyIhZXcslD4nxsBlNlSEyW4pa9M2=w1200|https://lh3.googleusercontent.com/pw/AP1GczNf1NQ-sg1a-_lXjVDAddKjcMEgJAxr9dn9MtOlz1kmhSiQ8zpUWWW9mE5RDRVxU7K-Gj9CmY56u02YJYlHoPdG6EdTGAk7xh4MrD48uJA30bVZM2_Y=w1200|https://lh3.googleusercontent.com/pw/AP1GczOF5bd5xpbbPX5iVnj_Br-9AuveFoRwk_fktdhStG-pzWCn_icPI2auWgFUbeZ0v8IBvBrGavfLMz-FjmuZmwiFa7CfLY-DJ3lx1wiOLRdYXxZ6MUt7=w1200|https://lh3.googleusercontent.com/pw/AP1GczOnrn5J6LkIgtjM6CieK08Z7uK3TRrKxSY3bH4YgC8iDxRUTFwdbsNRYuyhA9aoj7oTcCyzG1ro3CS_GLFwaHCJWkE_WsOK0uwKOFWE_QENS-9fP3_8=w1200|https://lh3.googleusercontent.com/pw/AP1GczM46rP_G84ukB3URq6eWj4r68lil6KOyCydIKM1SgozuyCNXZfcw_jr3isw-QcGBUyrL4v2WCd9wIo_1PrfZDiX4s8JgP0g9yfWjObxLao75oMSUVG2=w1200</t>
  </si>
  <si>
    <t>Casa con local y 2 apartaestudios en barrio Las Brisas</t>
  </si>
  <si>
    <t>https://photos.app.goo.gl/uuKPYwknuxkH182j9</t>
  </si>
  <si>
    <t>Casa comercial en el oriente de Neiva, barrio las Brisas ideal para inversionistas que buscan rentabilidad y ubicación estratégica. La vivienda principal ofrece sala, cocina y en el segundo nivel cuatro habitaciones, la principal con clóset y baño privado con tina, además de baño social en el tercer piso disfruta de amplia terraza, baño, bodega y zona de lavado. En el primer nivel cuenta con local comercial independiente, garaje para dos vehículos y dos apartaestudios, uno terminado y otro en obra gris. Cerca de la Universidad Corhuila, colegios y a solo 10 minutos del centro, cerca a Condominio Punta Del Este, institución Educativa Escuela Normal Superior de Neiva, Corporación Universitaria del Huila - Sede Prado Alto, Frupys Express, Agencia Nacional de Tierras - UGT Huila, TORRE 8-34, Centro Comercial Zaragoza, CAI de Ipanema comuna 7.</t>
  </si>
  <si>
    <t>Casa con terraza, local y 2 apartaestudios en barrio Las Brisas, diseñada para inversionistas que deseen poner a producir el dinero.</t>
  </si>
  <si>
    <t>CL 9A 30A 145</t>
  </si>
  <si>
    <t>https://lh3.googleusercontent.com/pw/AP1GczOrBcuIDvVnMoONI0iAfg4S-3h7mumiVEZJxBqKMQ6V6tu8_jnBPJO2k7yLHIGFKajl_JJTrjsAnWtcUugU-ekCGnftklOKy7tfLTU7jr4tLQOT2u_2=w1200|https://lh3.googleusercontent.com/pw/AP1GczOmi1e-SKnITT-iJi6D-XLpGzB_VnXbDh7ufaKfdD3psUVHRyROdv-eFSjd_rqxs7Asq22jkeAomIdU_CwujL8HThJQmv6L_j2AXfq4GwZOR4PPr6uV=w1200|https://lh3.googleusercontent.com/pw/AP1GczMXsaZAA4OhGhZ58U4V0D5d-6Z9XJF4znuxKLqQKCC4IV4TjVGJEZ2FWkX5IIJmRWKwtrhcZBy0MxanwSVQeDXq5svNz4KI7zqZC_h81v-l1KgCbu6B=w1200|https://lh3.googleusercontent.com/pw/AP1GczN1V6B6ClVL3T8YbK1_mEW8TpktmyA93xk8UZlNtcgngpIKDo9DlMZT_SMcfo6ihSP1rf5zRyHIpSxOTN3OdA0whQoGcJhs4gqKawKnBThSY2k-BYjd=w1200|https://lh3.googleusercontent.com/pw/AP1GczN27OW8DVqDR3i-JYw1OiRLzX67unU09VaXU_36dXftIyJdIspzl7-pXq_O3rwrKgBc-73RwDctfZ6zt_isJlab9XoFnAy_MUuQItuC2gqGROpEdMYq=w1200|https://lh3.googleusercontent.com/pw/AP1GczPbuyeYOfghHZHLXQ0LHcCgr-i-QJcxHO4cl36Js6ufRG-mqnC7mN2ooCPtXUT6b33eTM9TtJHxTS_s_2vSnTjFIj2esWrfk503zlmtB0S6mbOhU8QM=w1200|https://lh3.googleusercontent.com/pw/AP1GczOGT0f94eiZQu48C01iYPc9vPjgiS5PGogueregi61xHMFPJgXZ9L_mu7D8_Zu0y1hTb9rn6VpGbS7dra-gEM7KF9-y6F7PGJyxdh2dedIIRCiwco1_=w1200|https://lh3.googleusercontent.com/pw/AP1GczNsosDl9_mPcOxCdS1MilUUB5mwwgzEnx4WHfZxY94bQJO3kzaBMVnt8aQfxluYnGuc32dU9AOurG4dW0uJrxCUvhyzMwg8ksFi_nsQoIWYGm5XOcXF=w1200|https://lh3.googleusercontent.com/pw/AP1GczMtsSP7aehEwSdzZq4x7l8qszaPiql6QWNryN7VKR8eTZ3imvKoISbpam2xvUTSz71-__4P7VTVT_aPuxX_HRzLsLYTp41PacwsmCF6POqQA4hO9bua=w1200|https://lh3.googleusercontent.com/pw/AP1GczM_sApSoN4iP7siybw5VVgOTIfqBAcgKShmAMyHmp31rMSL6kw31EtrQ5Z4F33PBTpJZq1wKudlbMrlq45CwCYxhUD7nt5VqrpfsOxfa9tItBD8SHG0=w1200|https://lh3.googleusercontent.com/pw/AP1GczMqSE08fqn4_El-ekxDFD1M_RZBY4c6htKWmu7R5PwdS8Mla9cgGGSCBOJ3oDWwrarkgn85aH5f-C8Cegwy1rk4RteZ5lfsvxkia8jo52G7E2R0J-tM=w1200|https://lh3.googleusercontent.com/pw/AP1GczMaPANXpj56um_yzta8Kx6YfDNXkNGTH2NGNlWNUgyIA77Bb0orE1x8Uu7oD7d5JPd16avriFqkKSkBBY2j59pL54xNQkhWXouUZd-OVbyM4rlmJTFU=w1200|https://lh3.googleusercontent.com/pw/AP1GczOcEW4UWZ3WSRM0JOexjXXROoGhTPDjUsLxHLsnU65jJ5Nkbl-xjhfbuL4m-RteYCTdX8GxMDX5o48CH965Bo9jfeG-TcF4w8i6mRb6nJNhBUg8r213=w1200|https://lh3.googleusercontent.com/pw/AP1GczNQrtWPFrU3oNxRr5dkBXvuDsXIPWOskMJ5cdvyg0UDUxTYd31Kr38X34zaZ6GSIW_qRDYuqUoBwemJTMrjZI7l_Y1vX6RT5JJrNewV8yze4DbZAa4s=w1200|https://lh3.googleusercontent.com/pw/AP1GczNM3I9bi04qC4P98gZGigKaMky9MYQEdZyE1sAeBAd3reqG5MCj80PEWe4iReAPpMuGvda09-goNA4rO7b5RY5nXyDx1269v2i5BUj6Xh3ciJc0vBcE=w1200|https://lh3.googleusercontent.com/pw/AP1GczNvB2Y_fNLZ5GsrxcM3ZT5zN9vqWO37Z6D44K9WCwzMlaHn6NlUPsyZkpcy6M1D6ZdvKdYcxUnMZoHnILB9h_NzB9yYjCKEIitSSVafQJSI4G0KP4Jh=w1200|https://lh3.googleusercontent.com/pw/AP1GczM-ywi90YBdJO1deqocTVB1vD3FXXIWk4LvX9MpXa1-88-hpP6DhQ2LYJ0atUFMm7n9aS6aGxEn2RtF0zpS64ogWuDrCDVcbCNrnTDzHiYNCsG_QtuX=w1200|https://lh3.googleusercontent.com/pw/AP1GczMPk33Z-Fqm125TrG5JHM2m60hd53ZESSnfPrF9DuOo6u-5qjitlS_alxbRSccEThycKJTRUxDl90358_FWUdVcGX2CKGQB2qUsICmjm4aPIRIZ7Ie0=w1200|https://lh3.googleusercontent.com/pw/AP1GczMpNjcWp5oFA5CZrJTXVjBaYDMuam6otPE-L7suRIzM53Qku5xPXvjeFcI0tsuHcgCfljRLEQi9UKEI-8vGaya9VubyYyBpka1yP-DJTQi18rL6FDd3=w1200</t>
  </si>
  <si>
    <t>Apartamento en conjunto Condominio Residencial Mediterraneo - Norte</t>
  </si>
  <si>
    <t xml:space="preserve"> Condominio Residencial Mediterraneo</t>
  </si>
  <si>
    <t>https://photos.app.goo.gl/MaM2SsmLnftzNu8EA</t>
  </si>
  <si>
    <t>Sus amplios espacios incluyen tres alcobas con clóset, la principal con walk-in closet, cocina integral, zona de lavandería y balcón con vista panorámica, además de parqueadero cubierto y depósito.</t>
  </si>
  <si>
    <t>Este exclusivo apartamento en el Condominio Residencial Mediterráneo, ubicado en el estratégico sector norte de Neiva junto al Malecón del río Las Ceibas, ofrece un diseño moderno con acabados de alta calidad y pisos en porcelanato.  El conjunto brinda una experiencia tipo club house con piscina, gimnasio, jacuzzi y vigilancia privada.</t>
  </si>
  <si>
    <t>https://lh3.googleusercontent.com/pw/AP1GczOaeKglIPI6Mn6bKz58dH0rpO0wa6fpt5Ix75VmmWa2ZM7WS-EEgqSZBGqiu_h8Xuzt2yx0b0rj1Gvmtux8ZEY3vn4hl3lLAYtgutR33Nfs_A-m2zzH=w1200|https://lh3.googleusercontent.com/pw/AP1GczMAi2lWrKs1TLU2GVTRHIijGkH4Rg3RKfq9HXdJiUt58i-xiLEPRS4chsRg6mJQDxZqCYZ-fBJmO8WMMbvNfrEW3hbcTzTtFzCfLbBIz_x7s_utpXDp=w1200|https://lh3.googleusercontent.com/pw/AP1GczM6zVTtmzKDkG_8JEKhWt9NNsMVzB6beI8rkN0OkU5yRHp6_nc_XzCm8dSDcrhUU_TfGi2huWm4ec4Sv0p8gBnCECuOvC5NrJL51wiTxH54EXqS2vTS=w1200|https://lh3.googleusercontent.com/pw/AP1GczOe2jWSeQars2qn86YBxMncpgL02ga5xCQdaCJLnTRpn31HEfLZjeGM-N7pZbr4jmnRvd4HZykh35uUIBGAIP_1zqpi-RbyjSstHNkk5vF00C3MyLqY=w1200|https://lh3.googleusercontent.com/pw/AP1GczOR9twwB3H0i6UHBH_0wLrzbS9VsBPSsBiF95ZgJHV1cLYFKGuVpfwGsTEKtJGtnQ0O8cLwdjqVza4hGKj-1p-6edTWZAzn_--rfAvh_fERZWMzHW53=w1200|https://lh3.googleusercontent.com/pw/AP1GczPB9PzTXTFU00034ymOoD7T1c8fkIuYEbDPRS0xa1tGoePJF3bb2vf13atd5-nkmPg_ttUg5Q2sfsST49ixrBUHGfYYrwVn51NOGeiKC3GNO-imiaD7=w1200|https://lh3.googleusercontent.com/pw/AP1GczPHJPZ9bT7cVGHRCBMzWDMsubjrDV9XKYOvgEgW1jNpaJp0JtuyZfHshsO52ucpw32-ggDnWz_IFZUzFTprvdfcD-kdYPaI8m7C0CptLF0r4XowN5F8=w1200|https://lh3.googleusercontent.com/pw/AP1GczMTOjMXYyYOSSDsR-2Zo6Ntm7dR4D4joVZDqhiTHPDB1cGtj_xk2G_D6Jb8bWutPgIYDakExG_1U6TQmNQ8BGMccEkj0Ih3i_0wkkfJpQ4t-6OTVUE_=w1200|https://lh3.googleusercontent.com/pw/AP1GczMFFN5ZbVb_UrSsQToHnZd6S416Maa71yIstzAURQU-bL-AhYT1kG_dS7eDXnkYQB3f4blFh2BsUzsXhQUbE76H7ekCm9PvFADz9d6vIqOi1vM6OUuK=w1200|https://lh3.googleusercontent.com/pw/AP1GczPHZ5x1armbava0U7-V51dUdBkh3NekBao6unTFkimTxU7xQ6Lm7ZB1sthlIO1f2vglIlbf4zZdP1mfe2fQ8RX5N-FW1v0EiLiRl2cOv7BI0o8bQ8lw=w1200|https://lh3.googleusercontent.com/pw/AP1GczOwS_F3jB8c_7qawJbFP8BgTZ5I1oXeyTFTstbfCJ0rKio1vMtP95ExzxeWh_gubUjPYY_XbxaoowttT64XIjP47vE9kwuTTxyk2I9OTubYgtcC5HXw=w1200|https://lh3.googleusercontent.com/pw/AP1GczPh0mhI_qS-plLxipOk6jPFmu8Bn6ieVBVdks6-Vpw7gjJ5xBoipHqbLMaqyMyilmft9x1LFXeq8noIB7szzxRMoYRlhQUDzWf5DcRcIuqhukAfOGcY=w1200|https://lh3.googleusercontent.com/pw/AP1GczNckxZkoaSeMD8ymiqMdIbhBy_Ik0rnUkQObExE_PRoOPfws2XFx8P23IBfUvvWEZbBJbkzp6urygYRaoIgMaXv51HwazXdqQ095-4HCKOySqDy_-lm=w1200|https://lh3.googleusercontent.com/pw/AP1GczOFTaKe-yv1PEMnXIBpuRaWbY7jmNcEGH8pv4gqae0f7VqwTCmPR9Jvjbg14mD35Lu3qVryTiPql4c6otBSQqbOG0i7MN3VvtU7qCFpqTzIYagsa6wj=w1200|https://lh3.googleusercontent.com/pw/AP1GczMfFjRWOld4or8qHWpcb4YXqvhnmufsuqfcu_Awu8ytJNLm_ML4-zFFXjq7imjvTuUWo1kxa5eu0dBvJDyOSoAN0Qp0NVRVSrGzg2TEKMiBCwrDNUUa=w1200|https://lh3.googleusercontent.com/pw/AP1GczNWChXEDl5iHLCNyawsLlFhbVNYAa8Va-tci6oLs_YxJhl2fGshJt1klv7ZFhF4MW67lKzdiiDAwsh8Vg_cUWqflu_ccVn49KsWNaNL7xKermlwXXga=w1200|https://lh3.googleusercontent.com/pw/AP1GczP3-kFfKtZxxsTgiTLihlcwPSGIbzMNYu4DpoTljDr1efrQ0U9sv_vL26UrpBPgewu4aKzWy4buOLzMv24nVYtpD8xjHu44iWS2W14GQmylVO5L9i5m=w1200|https://lh3.googleusercontent.com/pw/AP1GczMGSf5GTSmv8rIRAxhA3l1QTS7l9_eMJZh150sj4n9Y6Qyrxy8-VNaVjgFm_9RtNkA4Mos7Bq1sH8NlMdJVdIsoVzufR5GQaNJFf-BJkrH4qDxnuTl6=w1200</t>
  </si>
  <si>
    <t>491</t>
  </si>
  <si>
    <t>Casa en barrio El Jardín</t>
  </si>
  <si>
    <t>https://photos.app.goo.gl/DpreRXDmubp79Hob7</t>
  </si>
  <si>
    <t>Casa de dos pisos con terraza cubierta, Primer nivel sala, comedor, cocina integral, baño social, parqueadero, patio, alcoba de servicio con baño, segundo piso con cuatro alcobas y baños, baño social , balcón . Terraza con cubierta, BBQ, alcoba con baño. Cercano a colegios, Universidad Antonio Nariño, Supermercado Popular, ARA</t>
  </si>
  <si>
    <t>https://lh3.googleusercontent.com/pw/AP1GczMCLavUi5D40rrekaCY484y4Kd7B-0EU8XcrNh9OrdDca3J3CMd-65MPxf4lQc_O0EKeggK73IXSxkUQaDCYSFikM6TAw8VXVVz5YmNqF2OXKnAac_e=w1200|https://lh3.googleusercontent.com/pw/AP1GczMtxWdcQ8WusVtL-LBTrCukVugZwClcWE7Rvu4HP8uMvGOj90-oVw6EKl8MlGZ8cUt-MTQXlphCSnbrordVoyp3MIxbWZH0YZalq5oRciVbcsEGNxlM=w1200|https://lh3.googleusercontent.com/pw/AP1GczNIyJt_qqjBzRZY2zq7iXXRm7wcJGDIY9fA4ftXQmK1D8e-uUCxHykDhLEz5aLCwfylcjzhBJpwZmrY7Qe4t0u9IiYHIfK-YSyVUNydFQHwupd4IXau=w1200|https://lh3.googleusercontent.com/pw/AP1GczODyN4u6BKdBg1cxcy__qsUyfLYHe_ipKrin-opNp8kk8kYOFcQNnVvcZ8DB1RADyln6behvRDL9U-GwD-O1TlMugrtY5kyaqN25HD8o54aD1zKfXWV=w1200|https://lh3.googleusercontent.com/pw/AP1GczNGiVKZn7L5yf1O0Mxg0Sd371PwtAr6DQhQiw0f956mn9tYACVoLNVk18uYIItbeEffRV_pTarwvz67XYGmE1irPGwBUvgmaKCllG04U-C49-8GXl99=w1200|https://lh3.googleusercontent.com/pw/AP1GczPLojMW45OiGsk7S9HmEu8xyOMwPzsinkcUDkmrDmMMca-8DVutYO1SVvqGmhOC0Rey37jAsrfCIEhKLcrlUDVRwWs-mVDAaTgNlYDLN357j78jPBm8=w1200|https://lh3.googleusercontent.com/pw/AP1GczPlUDiflgc_nXhrkLB3xIanimFwHgFMvGvC6ngr2DUTeo7u18o7Pa5P3vL0VT_7WdGZo1TVBEKUNZv8r1N2pDPwnmASa1ugubchJNHoI7AlsgIYSTrG=w1200|https://lh3.googleusercontent.com/pw/AP1GczOvPVQH_cSi21UoYEgL9R9g9eB_X3BIL39naxBSdrSbxqQEGzJBug6G-mKIyhqMoxeB-RJPmRtMBXsel8t2Y5kyEotgUCK-P7crmbDmqRw0X8HePSPl=w1200|https://lh3.googleusercontent.com/pw/AP1GczP4XJCaGduCPvORoyha7hfpq0MjYVol3WdDwQduWP9N9EYdbejzRQtcNuQ089Rh2JQ1yL05ObOMede7vXinCke7iTlpn1dA48ioB3KRq1loc0CsdLnn=w1200|https://lh3.googleusercontent.com/pw/AP1GczOMK8PqNBP8dYrvZxMQBydDdIaxdCM9ZI1LKCHng3XqJJ3U7869b_0PXbGAm3AHBEUYw9WKCo22yYoPHqY4uZzNwE2j_s4yrlQKc20ebY7aMAh-1A12=w1200|https://lh3.googleusercontent.com/pw/AP1GczPXlZBjGd-INCXNAZf2TWuofrFAQ_nICjkLpJSD8L8G1VBNopfhDa2DRv7rwiLTB_DNWuFds-AUIR6yA_sprrO4_ilm_mjZIBYQ-CJUqoxz_3iGbiMN=w1200|https://lh3.googleusercontent.com/pw/AP1GczP7FjwXfNDdREitJw05cmkjGC7VzZMyOuKq-c2yjrD0wHPXiUuJxnMRZyip4WSGF-bms1SFP2gPKSg4TbSPBLPUjawga9RiPF8MKiSQBqpw-wMm3Rlp=w1200|https://lh3.googleusercontent.com/pw/AP1GczMdCvQHEibWLzjWO_3AnE2FfkSmTexvIXthLJf47KDv8pAWQohWCW2sxCmxEo0dMtXd8AuJF8sxRjoJOU__CPG9JUIl1fDYYveJJPGkFxWHE4NTxIOY=w1200|https://lh3.googleusercontent.com/pw/AP1GczMx9qYfXxY1Nk_jOZxGIDR7mfLlevHcquuyhBTAc8sxYinb7J4th99hdyBmbTeZ1csKrK2ISYmStOlNyzyBixc7oK_yrG9BC-MzcdSzfhJoQ5b5gp77=w1200</t>
  </si>
  <si>
    <t>634</t>
  </si>
  <si>
    <t>Preado alto</t>
  </si>
  <si>
    <t>https://photos.app.goo.gl/U6iyfzUdHCM4rLBC8</t>
  </si>
  <si>
    <t>Casa de dos pisos ubicada en el barrio Prado alto. antejardin con reja sala comedor, cocina semi-integral, patio de ropas, baño social, cuatro alcobas todas con closet, una en primer nivel alcoba principal con baño privado.</t>
  </si>
  <si>
    <t>Inmueble con muy buena ubicación con excelentes vías de ingreso, cercano a la universidad Coahuila, supermercados, hospitales etc.</t>
  </si>
  <si>
    <t>https://lh3.googleusercontent.com/pw/AP1GczPGnhmylV8HLhDZf4XWiiW329hSuOLNg6dTAmaAKqHnzVi3jgXfTn5_AEHoZUKEAFM27h1DhuORgdJdRsBrndpQv9W8ggQF_6NP4gS5sMIe2hdjZqeI=w1200|https://lh3.googleusercontent.com/pw/AP1GczMoS2bF9kf_85PdxWgwN5YE-i8l8jiqEH_zInzGjrhn5JDuN3BzD4_oNlW1hZxp5qqE-aa5DS94ZYfjGY2buWVWg7l3He8KZoFHbBdHwMSa-9IGJnHj=w1200|https://lh3.googleusercontent.com/pw/AP1GczOBzv-As-d-pozUFK173bVGPvJGyuk6EIaiSAYjSantuceTblXzZgNEsvuvtqzJme9nWySNBg_Uzhhi21cb0FFisYBiBICkNzuNderjQikdw0v8S2SV=w1200|https://lh3.googleusercontent.com/pw/AP1GczOqF7RHGwwvQr4-jgjj6yMJATwLljSltsNQrv7fLAoddf1GmwV1V3M1c-7hhA02QUso2WvtsJSdXzdMOI7h4FBgQCWNoAba95kB3dH9aNPWeY1Lchzc=w1200|https://lh3.googleusercontent.com/pw/AP1GczOwtzxh8vUoaXK5b17kNO8vqjPLgivlbWLqL8PfvVasW_Cmp7ZWgKTWejrAMgCrA5CvLQqSnEaami39Fdr_8pFig8Utz5_9ScRVPwcjyLO0cQDVOg2w=w1200|https://lh3.googleusercontent.com/pw/AP1GczM4U0ldqAg3gas3keyvTJ2wlYqdNbylescpLBMA4tPYqcBsbhYVpto3ABmyMMS7x36ErWtiaVyTXkneS-kIW2aeCp_0pccp6bCNqg7c_h113s4aUJoi=w1200|https://lh3.googleusercontent.com/pw/AP1GczO9QtojhA-RFVvzulF8U3-y9fepn6EPhAeESE7_w1p-CQjlKYQWI6BNfnJ3O5r2ZoDzozpk-IrbyiBctfP1BZ4IgIRN7wWZ1NShk3Da2i78iNhnX-EM=w1200|https://lh3.googleusercontent.com/pw/AP1GczO2wnY4N0SUkD6iMZqDjO7LSj3hOdMSi9SDTuFv-PwaKgxxMWh9-ziR5z4yqd_9YBWXxhg0prod6spuoyvhSPMKve_iSwfWV8tNDWSpdiNhMNdIOycs=w1200|https://lh3.googleusercontent.com/pw/AP1GczP7q_iO21wU-oHgxYTz26pp2hHIHE95P6JgLNVCic6Y0jPD-BSKuLGXLHe-QOKxFka68XiVAbm1LcG4KxJCLKX6JyYOBjnYUem0D6RoK4qlTvicH4Rd=w1200|https://lh3.googleusercontent.com/pw/AP1GczMw-iObmOZuDxiqScu033X1jhOOJyZuRuWjICJtX3cGoWMtwtHRkTq-KTIAnW6heQJnWqU2U5klG6sqMTTBz9KMQJ4tFRGe8dNPKR6GVp7EioLOX7XQ=w1200|https://lh3.googleusercontent.com/pw/AP1GczMUcA5-36cHzAw9MsLWs4bS-ZTr_xPm7dimgMtiJ_kd5fjffrd2Nn6BiA_oNPZt0CtewYgyf5XVL_uelkwSMyKgmuemL6EAnE4zruE4-gV0tkuMo62u=w1200</t>
  </si>
  <si>
    <t>830</t>
  </si>
  <si>
    <t>Casa en conjunto Carrado Los Rosales - Norte</t>
  </si>
  <si>
    <t>Conjunto cerrado Los Rosales</t>
  </si>
  <si>
    <t>https://photos.app.goo.gl/M36yyHfWwJKpWiGZ7</t>
  </si>
  <si>
    <t>Distribución: El primer piso cuenta con sala con vista a jardín privado, comedor, cocina integral tipo americano, baño social y habitación principal con baño privado. En el segundo nivel se encuentran dos habitaciones auxiliares con clósets y baño completo</t>
  </si>
  <si>
    <t>Esta atractiva casa de dos niveles en el Conjunto Cerrado Los Rosales, al norte de Neiva, destaca por su ubicación estratégica cerca del centro comercial Único. estrato 4. La propiedad incluye parqueadero y acceso a excelentes zonas comunes con piscina, salón social, juegos infantiles y vigilancia 247</t>
  </si>
  <si>
    <t>https://lh3.googleusercontent.com/pw/AP1GczOwrkO3ZJLP8VR5ctWvm4621JPQsVg6LALgQO36SkJz-atg4iVr7F6RXYG25pLiA_tQrBBp6sUYPaWu_tmrcpckZ2rg1L3h_Gcc3bznNBnBrJE43raq=w1200|https://lh3.googleusercontent.com/pw/AP1GczPRJmgG0Kutv0x_-sTB5iwjkKBMF_fE8uIvJOKDi16l5xgpKlqvT9mrc6iyRK7jC0J5sLOktUcz1cqCQDK4hm0jlAfxTCONzKnB28KqrMcJRBVg9nv9=w1200|https://lh3.googleusercontent.com/pw/AP1GczOBr-cLYmZoKiNMVTJoGbWmClCs67S-SLkGxD8gTu0ztYJtGsBBCXFDi1Sogu5x-zxJ-iDsWjvJOcmA2zEOsdkUQwrOAnCmMc7_Vukmb4bVDaffopsb=w1200|https://lh3.googleusercontent.com/pw/AP1GczMVI0lOYRPMkW8AqTCMYPXn2E6VmrmS6TLfq20d7yCWqCQ8Fsb6HCDLnocg3R3t0dmipw-YJylRbUNL1UKLsV535e4FxrQyz9nZNTRxWrOkm2KKDBLs=w1200|https://lh3.googleusercontent.com/pw/AP1GczO_Kxdt2S8hf0haafwWuWm49o7OSZGE2H36xo-n9ydLbGK9xVJPs0VF9AICRzencb4iR7E32Vob_3oKWp-9Z_qixNsU6M6V2JZL6OP6O76mIZ9y36gp=w1200|https://lh3.googleusercontent.com/pw/AP1GczPw1faEQnbliAewXBOtIvVnHjN5phQOU_u1VxZ5H5pwp79uMmE0aP1V172tGvDO2XT9g_XJLssKa7FwxT_hiBSlpNFass2WMfx7EiFkCM-EKiKbww0z=w1200|https://lh3.googleusercontent.com/pw/AP1GczPgsR85rJtC0HJVRAVsCpuhP2MNoQhaXtd7PhzHY5AeQOaXvWAhl-iKmGRskP8GQcpdDE6Fl-6fKucICEOmFhee6aVXRMmd9AoAkASsVxpzkmC9xw2W=w1200|https://lh3.googleusercontent.com/pw/AP1GczNbVex9yj-bKdNfMpW8A9uK7g6Z-Ps4MxQkP0r2ZcJI8f6U-6bDV4SbYT8TiwsUVW09B0xQDHxCdmBwei0JtdFdXE2pvPvZke1TOVK7P1xip8jjjldD=w1200|https://lh3.googleusercontent.com/pw/AP1GczPrUtXYpnJk59pF6oCc-SsfW5rv4pSt5WlW_RaCgmAu22Te79daiehxXLfIw2K0w55bsND3FEyUinkZNSAELj2MVXps6xXR5iGoC-AcW-VT9OtCu_Ch=w1200|https://lh3.googleusercontent.com/pw/AP1GczMPD1yZ0WgZmOD-LCBcHnEda5V38ZEl0eWo88BQ0RXy3Fq4FeUXsS88FsdAkRn0CJgdbdTE2BszJaSqwQiwin0pXON4H2lQ9HE3lFP5NAIhMfmkvktc=w1200|https://lh3.googleusercontent.com/pw/AP1GczPUCZM7k7PEe3Fvwz_-p8rHFlp5Rwe-s7Eueu4e30lKSPRx-3uRoAgOqn329BZc9gKJJAYabfaCCIAdLg1gYtSFkbcjbW4XHusp_MvrmdGwxsH5a0lC=w1200|https://lh3.googleusercontent.com/pw/AP1GczP39C5oxW_RnfmheDQXkcLTS_J72bAWgkPuzDwchiDexGM4CgUiR4t9Egy8dr9BSrs-zFTkx9yq9lXh5Z9OzsEqssSHE2vN_Mzc8k19nWNI194J_paN=w1200|https://lh3.googleusercontent.com/pw/AP1GczO2akCyFt30tens7KXNH-xbz3y8Cwd6aXOQ7DAyXBLZxjYcjKj4ush0niQ-nmo404qWqdfow2JrSB6nl2hBPgdbVb58dRkMq49HTi6R9hrUVl5Kmf65=w1200|https://lh3.googleusercontent.com/pw/AP1GczP5cALB6kwXa5p9BJIeDbW0Hy0wlXWDyJjBE8cJzDHK2ENHdf80JNR_NBaJAWBqMoLEeSgeiQdGJ236zgHF_bzGoaHSVNnsZncJaibnYhLWuvqxskND=w1200|https://lh3.googleusercontent.com/pw/AP1GczPIXZK_r-GDCDLj3rtpiy0xQHVLLT74qTETdFuQ1pi1XBpCB6hr7VLjOT1hc8SLYfoqKBtOSHVNUC8tvViyPtm_sw1mIuznu_90YJFgJsjEst2oYCYQ=w1200|https://lh3.googleusercontent.com/pw/AP1GczPJV_DVquKO4oB1d-Iw0BlvcOVCZnXNKZ36Ci8QaZKgceqSBmS-2y4sYifRntm1YGFY9VId9E_7kSFXBbl7aAew5OFfp0GsCP2_s4eVmHiO0B0_8Rgw=w1200|https://lh3.googleusercontent.com/pw/AP1GczM6yqxVk1-NztL4ydmv44McfTxHfQ2iU1RhcNuiT7kCioy3n5cYGgcbVcTKhyQFCpXw0G_SF31jhlw_Nf0NWT1mkV-zJ1R1jL73gg9OVkzliCKxvQ9E=w1200|https://lh3.googleusercontent.com/pw/AP1GczNq0YN6JmYjSLM5hFHsT137RHWUzZzE7kRR_9jeeYaNFUL9ji81j9KM1PepbxCg8XntYYYEocBf6bSC2OLWl7QcOIzmWppRtVewMyI7rb3AfjelHLrU=w1200|https://lh3.googleusercontent.com/pw/AP1GczMSGjlkgnnIToALSswOd_U4lDAZInDlEtncjURH2u90bdCrMUHKWRB2Rr_dbe9b3c4ozJZpV8dePMgm_UI2w1lufBv0SNs0oefWR_rt_XGjV88lFNHQ=w1200|https://lh3.googleusercontent.com/pw/AP1GczMUi-rnIzwhApFFYnmcb8ltAyd6gw_sPY9WjFLmYMQ6pfs57BfKysGxhDpnfOtHjgd_dqFnzfFNCQJFS2CoU3az85brcC2g9uu_WuuKB0ayzrPN6W1p=w1200|https://lh3.googleusercontent.com/pw/AP1GczOkbfmf_1HBKvGGCGqIbhtRoeDGLMbOZLVL9KKceNoLQAcpUKh1oPeVIhs1Q7wTYe55y4kAptdrcpU03kBOcj2KmKLT3vvIbWXxQHZJryEbx-XV8kM0=w1200|https://lh3.googleusercontent.com/pw/AP1GczNWa7f4oBJ544C0hv0HODh0B9QkkmJ3sPB18gR6dRLC-GpFEb5v-aeBspzV4tKIzhewFCxIV93omimoydIgs8ZnL7UZmhDCxM4L3_5Dfg34vRu-sVQ4=w1200|https://lh3.googleusercontent.com/pw/AP1GczOinEY2KiUZK6WvE3scRvqr7TUD1FQ8n_MIfVwOj2HH7CDoBxwpp-B6BnYheZMgvKGyXnsqOLjbBT_Ss2cJvsl6qCPlLyYOr_8SbJspYZHs0wfERXYC=w1200</t>
  </si>
  <si>
    <t>357</t>
  </si>
  <si>
    <t>Casa lote en barrio Chapinero - Centro</t>
  </si>
  <si>
    <t>https://photos.app.goo.gl/i9jzihSSdyDgcVwj9</t>
  </si>
  <si>
    <t>Cerca de la Tienda Ara Tenerife Chapinero, diagonal al Supermercado Popular Chapinero, en su entorno cercano está el Comando De Policía Metropolitana de Neiva, la I.E. CEINAR - sede renaciendo, Batallón De Servicios ASPC No. 9, la Institución Educativa Nacional Santa Librada, el Parque Campo Nuñez, la Iglesia de Campo Núñez Altísimo, la Parroquia Nuestra Señora del Perpetuo Socorro, la Fundación Universitaria María Cano Neiva. Lo que la convierte en una oportunidad con gran proyección.</t>
  </si>
  <si>
    <t>Casa lote en venta sobre vía principal de Neiva, ideal para remodelar o desarrollar un proyecto comercial y de servicios gracias a su estratégica ubicación en zona urbana de alto flujo. Cuenta con 105 metros cuadrados, 2 habitaciones, 2 baños, cocina abierta, gas natural, todos los servicios públicos.</t>
  </si>
  <si>
    <t>https://lh3.googleusercontent.com/pw/AP1GczM2NNOpDiw3cOQeLlMkJaPmb5XbX2JX4VYOXPfsvE4mt3kkwCavdW-iuSxFpfNF9tagiHV5m5-7MjsZI-VVqF28orG2V4_57zgmg89RFyNHub_cSl6H=w1200|https://lh3.googleusercontent.com/pw/AP1GczPAaiC5SPvd452rcuEra25gL02CQpn6YJKD5fMgRKFGmdMfhynCHtuobjRbK9gbgbmif_ItGowB3X721Vw-eHwiZsrxolejhD9b3TIt2Uf7yqrER1Am=w1200|https://lh3.googleusercontent.com/pw/AP1GczO8fbA_ZTaSv1L1xbHVUgUfDdF9mkR3hSJnt712jiV_C0LrXfRD7YaVUbVWi4UVIFjcQDvH5jKBWVwbKpEOWxKpDiFe8t9Rm4ajToqw2xTunAuSyRfi=w1200|https://lh3.googleusercontent.com/pw/AP1GczM_960oO4qNEWCdWc_5ARuKKNaDFwxRkY4jN6FigNa8YyMuDhAgv17syCmeeHXARyxhCySGyQSGzvsAYsm4bZnStCaTtVotn3WfpqvAsrRsK3oFvFA-=w1200|https://lh3.googleusercontent.com/pw/AP1GczPTlSCRj8bUIj8yGoWYrKej_HB4fi-q8jD4Jp5A143I_5rLO64BwgC0-sowOrmNzBf0x1h3wpCkXNGjhLtWSqEJiJz_8HSIEhk9Ti2hs4usrdu6GJa5=w1200|https://lh3.googleusercontent.com/pw/AP1GczPEOie14n41_zrILeesDl3dhMtNa_zuH2b3TFisn3Tng0b3oeXdimD9iGe5My59_Lj_2IPOUv0nkoAkS8pbHpxy9rD2ki80BIWu2cFCLC6_-vNEqLQx=w1200|https://lh3.googleusercontent.com/pw/AP1GczO3tEUJA5Mk_0Pt236UPpPSwEXEcwqIhzNftqIk-IipVfORueLZSTwBx4N4dap2o_a7Dpk6TeJFXtcL8Lg28wJABjxN7qjO5j_d7SqvYAtC5GlBAlRf=w1200</t>
  </si>
  <si>
    <t>Casa en barrio Candido Leguizamo</t>
  </si>
  <si>
    <t>Cándido</t>
  </si>
  <si>
    <t>https://photos.app.goo.gl/DtEiqKxciueMycZQ8</t>
  </si>
  <si>
    <t>Casa completamente remodelada, lista para habitar. Toda la propiedad fue remodelada, incluyendo techo y sistema de alcantarillado totalmente nuevos, brindando mayor seguridad, tranquilidad y valorización a largo plazo. Cuenta con 3 habitaciones, la principal con baño privado y clóset, amplios y acogedores espacios de sala y comedor, sala de televisión independiente, moderna cocina semi-integral nueva, patio de ropas, baño social y garaje con capacidad para dos vehículos. Ubicada en un sector estratégico del barrio Cándido, cerca de universidades, colegios, centros comerciales, restaurantes y el aeropuerto. Además, goza de fácil acceso a transporte público y principales vías.</t>
  </si>
  <si>
    <t>CR 1A 50 54</t>
  </si>
  <si>
    <t>https://lh3.googleusercontent.com/pw/AP1GczONDEF6DvM86JfvCgqiljTypl0u8TtNzF9xWUaWj0Vp2BdWERdPC5UsGX-ONvWXmmzTlicx_YLGrotBOrJsFgfvomnA_limeoYPJcVeNdqnHB1Sd-vF=w1200|https://lh3.googleusercontent.com/pw/AP1GczOkc0RIn2waFoww08ZlhYbEHklSlLRXGoRSar5t6r9QoB3FI75RB3Ro3fIQFNqdFCzrwJxqcjdHXIQywUY3mWJXPCGi4poE7EcpXKRjEX4MqGGhNIxm=w1200|https://lh3.googleusercontent.com/pw/AP1GczMwtGE4m57b9uOeV2cyQJieMjrM6hClDppwn5GLgTMDA-pLOoXeqxem0xhjrhE_xuKsah2u3HRVg2jr8ZEKkVl3htTBL5VogaRpm4GYwA9pnfk1WsQ0=w1200|https://lh3.googleusercontent.com/pw/AP1GczM7j0J01rLoBWO4Qv8SovEd4a0w7qcmZpV3KXckwOeK4JlHP1rTZFqgcsw-LgC_kulAfqITquKJJsbnWwEiyyHj-eFf1XRjzXic5fT610RoN-3nGhTv=w1200|https://lh3.googleusercontent.com/pw/AP1GczM6-9PZtD8JvdjrA5MyaYPrWUNGLPgUp1aGcHJNMPRB_DJDKoL1J3UAjCv_5Gu7koBJxtnKysFCYF_PEteyzY69vvOnRl-mUvsKrC_iGYhVCv6Gh3uf=w1200|https://lh3.googleusercontent.com/pw/AP1GczNzfufD8D8y2gwegNrx3WhSsaLYGdgKcUNYg1NNs0U3njsiGkNYCWXRDWzrVjJLMs6ec2WGNuazeZZOYginFTaaTyiGF6nZimWYhUXsTxzKr7-SQ54b=w1200|https://lh3.googleusercontent.com/pw/AP1GczPOo8MtGyzcKOLzgml6ixNzhvWO5btS2Q_6-t9QxSBcAEEvT50iFinOxg-cQyz-Tqb-sqSpQsRfjXJYGkyY_K6c6E93npEsLjrOLmSc0AUbEAbbcDx-=w1200|https://lh3.googleusercontent.com/pw/AP1GczMVawOKxN1w-k_HHyeCnQOxqXMiu-G-nNjpXzjRXL2ngGRsVnoe1eIx0m8_8yf9X_Ehgx7nZvFXlph8Ty57Q8lHJxgenTakizjSTyurd7Rwu_iEB92h=w1200|https://lh3.googleusercontent.com/pw/AP1GczN1iDSwqMbBb8FOOuaqB1svhgDjfyT4aOYj0mltD17I3MY7j7a-3pqyL9DEipNUgU7a4DNYij9yA2GWm7R_LbcSvo8Is6j3gkwGLj1216x-eBL-fFmu=w1200|https://lh3.googleusercontent.com/pw/AP1GczOYShY-IxSr8-prhGPEmgyQOS8qiq6-lJ2Hj9_XPmlA6gZ26u0watBmwEsKBDoS4WIWwVyK3vnmwh1oLSDPWon29laDzaa7ZHulSG07K1Iw_EzrEQ2H=w1200|https://lh3.googleusercontent.com/pw/AP1GczOX-ATl7IL1PhJfU6IJbQ0V8UZha7w4ReSLZesUH0VWZg5N3DMmk_UBpqUQwp3zNF7a__g7kzgqAQrOpZTd_jmg0XGQe7M-72ZsUdoFsWafGmLOAxCA=w1200|https://lh3.googleusercontent.com/pw/AP1GczNx8Pc9RcOFlhnDbQV1CzKGjqe0YSjkCb7RHNDeDsuF9wu1QTWVB8XOAnYV0pCa3wIkQLLtd7i0AUqJXIiH1O5IbZP-lNaPJr9VkMS1vRVCxEMGJhLK=w1200|https://lh3.googleusercontent.com/pw/AP1GczOVcZDisj_zpBcTVLO38bzFjKju04oo1uDHjW0lko0XZH5MmumM2iYylbPG0kjk2iq6vvi4uYSB8MqyxvMvelK7k6aE1Qqj8lSReOQuhVQkBdevQcNY=w1200</t>
  </si>
  <si>
    <t>475</t>
  </si>
  <si>
    <t>Casa en Conjunto Montemadero</t>
  </si>
  <si>
    <t>https://photos.app.goo.gl/BJrnN9NVnkPwwxuT6</t>
  </si>
  <si>
    <t>Casa de de dos pisos, área de parqueo, deposito, sala comedor, cocina semi integral, patio, baño social. Segundo piso : tres (3) alcobas con closet principal con baño y balcón, baño social El conjunto cuenta con vigilancia 24 H, cancha múltiple, piscina, área BBQ. Cercano a Fiscalía, Policlínica, Edificio Prohuila,</t>
  </si>
  <si>
    <t>https://lh3.googleusercontent.com/pw/AP1GczOwsBTsu1U1RHJLqYcejdzN_Afd69-Ibvec52ZMRXuUXcxnogHRq3UbqMkCzwFX_0uXPufW-7k6X76o17tVF3YRT4CZLbO7NxCl6zd_DVC_R4SXx62d=w1200|https://lh3.googleusercontent.com/pw/AP1GczP2RC8b3lD7wG4eHL6E1iKYRuCXZBIBdwIiCj5v_8LsVJ8ZO6RQd9hNjbPWkES0s1mXy5C8xYm46xRV6Ce1kLbvZdNFclPTRjKsV1QVeSsdLKBzLKia=w1200|https://lh3.googleusercontent.com/pw/AP1GczOdNsUEyvwgutGrnQC-vxt0kIaWXwSzW0GUWAv8vyw4QZqGsqe2G32COHgzSNlGWVzQbniOpgHBH0ljeUWf_oEKd2dk9UK87ypXPLUkp7fzR3TEAHnN=w1200|https://lh3.googleusercontent.com/pw/AP1GczMn6-aCr4YXYW4p4fXrSmkKlq_fxpicVh_AC1kvTP07d31v0ncw4bZSfsI7WlBZ-ZCY5uh1rfBYmKMHwTQfFMOW9FWzY_NeAL6QVn4FGypCuxDgqjqn=w1200|https://lh3.googleusercontent.com/pw/AP1GczM15pSLdBHf8VlBud46QF74ePnZXqHCc-CxA2bdAXsIk0pwT4ecPXgk82lNGXhlZBuzQijyxT-OSqyd2Sb88GcnCLPk8SjSFMpVWvC0M5iGpjkvOHkd=w1200|https://lh3.googleusercontent.com/pw/AP1GczM3oaioI97JBEIR7VfHjh8DxO46lS1GULqKzB7viENc1enh0PBeZeqkZ3q1a4eOXeksv1qQq-drpEMz7cPXA2zObUOgVxT8gkZavfK4eVrBvhpVPRkg=w1200|https://lh3.googleusercontent.com/pw/AP1GczNw3WuNEB9wiPZ4XdbrVUM-EYggn6m8nrjQEY5gwsB3GSHezG0_gAR_neGegwcZIBfLHKhOhBYY1z-7lm94OHFzPDzpL4ERQzGursjHcZsHSOxd684l=w1200|https://lh3.googleusercontent.com/pw/AP1GczNETZ3wDiK6wrVVoG42ZjungGzkaCM_Tdb5fYXO7-4HiOQyUY4XYeNyytPEIcwjD8zbEfw9mr9mJ0vorNHVdlEc_8HWgEB2I-1LBepWZ4JQK2aa3nIA=w1200|https://lh3.googleusercontent.com/pw/AP1GczNm1iH3wFmC5s5Dp4CD2In1ACdZSF_muoSLx8KT-wKlviGrhyD4-_XkeVfBPdcKACL1OCg2k6iAAgSYW1J1bn_flC8gMbSj7x1Qkw-JT40UPoacB5Dr=w1200|https://lh3.googleusercontent.com/pw/AP1GczPLUgtXsaH2qcH_BcHg3sABTxRzxSos_xgNGjUM3lVEw_cU7Nb5HVezXNCHa6pKrlXnC8RyMOq7sd6XngoKeidJ0oPd5dI9A7qar-SYb6vKtMjiT0Je=w1200</t>
  </si>
  <si>
    <t>463</t>
  </si>
  <si>
    <t>Apartamento en Conjunto Los Nogales</t>
  </si>
  <si>
    <t>Los Nogales</t>
  </si>
  <si>
    <t>https://photos.app.goo.gl/ZCMmSrQSfyeDXnPt9</t>
  </si>
  <si>
    <t>Apartamento en Conjunto Los Nogales - Neiva, estrato 3, en primer piso, área de 95 m. Cuenta con 3 alcobas con clóset, 2 baños, sala comedor, hall y biblioteca. Cocina semi-integral con muebles superiores e inferiores, lavandería independiente y patio. Incluye parqueadero cubierto propio. El conjunto ofrece vigilancia 24 h, citófono, circuito cerrado, salón comunal, piscina, cancha múltiple, asador y zonas verdes. Excelente ubicación sobre vía principal, cerca a supermercados, centros comerciales, colegios, hospitales y rutas de transporte público.</t>
  </si>
  <si>
    <t>https://lh3.googleusercontent.com/pw/AP1GczML3DxPcAG6xs_V6qEnH5kxnymbK6Zw3LOn2Z0SYWEaNgu6W6LuMwZ5S_GoBP62L6NnyfM9KVIIkK9MMiRqo73OYAzxrLKs2D9hZYmsQujvABDRgrws=w1200|https://lh3.googleusercontent.com/pw/AP1GczNYQYdB6fAXCZh6ZwKA_0wcpV6DQ57q0Zg3IXi3sd6_25T8HD8Meql-1XylydBe1sxYnnsTUCmTaiTnXLi7e6mII9AEefjUQvNAxNPnUFZ8l3cePMHQ=w1200|https://lh3.googleusercontent.com/pw/AP1GczMrmHD4EkKGotnM_zgDE38NcOfLK02_huZGJwUGDOUujC0Glz4dsUAGuH1Sb8o9VT0qsxkkGTm4BDVddT_uUIrAlvcyMuxsspdlYZ7oiJOGDOEviKXs=w1200|https://lh3.googleusercontent.com/pw/AP1GczMJk2j17OQIu5J1LI08dcRUHeQ_mVuYm4g8I82WcEMDTjjRsz4H-Hegx3MP66Xiz9ntnd2SSB77iQmQX3knbyl-dCC4uKHHo0M6LxvHCWPNNUvIWrXy=w1200|https://lh3.googleusercontent.com/pw/AP1GczNCKVLO4JjvysUwndMCMtyLlYSfxAxBtargJYB_4vsVFnuzAbzehTg9wwDQv0G8T4EaUiNjOdeOiVchEu6Kw8-270oSoerdf-kIQM3-e-Em2EWWO6kN=w1200|https://lh3.googleusercontent.com/pw/AP1GczMPH33lLdL1fpMZW1qI1wtGi7r5T7R05E2ayfd-Cbau8d1iV5i6xkcywRQWfHIJhXdsxv8HJ916S-ur4Bo2-VGNYJQYA8S2cUC-b3XSF1IEyqTtrT9h=w1200|https://lh3.googleusercontent.com/pw/AP1GczPZrdfwti1cxJK8eJm76VO1fZ5E7Y3G5N6aznNiLS0TZyoQh7dU1K9cgxLB1r7-bm2bkRZEXjxZsgM1yVZbE5xhM7b-JLgnkwDBD7JLBtZpouN-BiKY=w1200</t>
  </si>
  <si>
    <t>760</t>
  </si>
  <si>
    <t>Casa en barrio Colmenar - Norte</t>
  </si>
  <si>
    <t>Colmenar</t>
  </si>
  <si>
    <t>https://photos.app.goo.gl/utPiVoAvLEYsgmjVA</t>
  </si>
  <si>
    <t xml:space="preserve">Casa ubicada en el barrio Colmenar, con amplios espacios iluminados y pisos en porcelanato. Cuenta con sala-comedor acogedora, cocina integral moderna con barra tipo americana, habitaciones con clóset y ventilación natural, baños remodelados con división en vidrio templado. Disfruta de un gran área de antejardín cubierta, ideal para reuniones, patio amplio con zona de ropas y área de lavado independiente. </t>
  </si>
  <si>
    <t>Casa con equipamientos cerca, como: Supermercado Cinco Menos Calamarí, Polideportivo Virgilio Barco, EDS Terpel Chicala, Parroquia del Espíritu Santo, Centro Comercial UNICO Outlet Neiva</t>
  </si>
  <si>
    <t>https://lh3.googleusercontent.com/pw/AP1GczNoQTQmcR3Yq53kUAdCUQf-dLIUGKbPpZv434FnQFML5uAF2pYA9lj3qTI6h1iqmmHchtW0y9bwrsbz-JzrO6l5-XYEp1vx17Icg9TU-ng5nghq7a-b=w1200|https://lh3.googleusercontent.com/pw/AP1GczO1DuUb4EN0VY0YCF6jx01nJ7KUhJh6bOPlCeOHojvEIW7LvLU8CvirwpTQzVeGA4PBbL9qiu6mAc78wea8PwmmGbHpW0g6ijWJLz3ZcvhePMUCrEP7=w1200|https://lh3.googleusercontent.com/pw/AP1GczP0ahAjx17KZnLumyO43J7_b1EsKn-9aXHjMLBpfyAlmGnvXMpNG6zz1-c8ahiEAYxeAbZXzCyxKG44nfSsUpef3do-WIyrSZ1bkiORrOw30dVDvkYY=w1200|https://lh3.googleusercontent.com/pw/AP1GczOD4YEe9xgQ6ZF1oQn_kfr7y2GL590v7gy9N_JHbEtlUvUTyfwgeaEvxR5uoy6j_Qh4Ll8Cn6yGoC14ihlG5Qwiod8z35LvwBMHplkqQToMQqdu4CEs=w1200|https://lh3.googleusercontent.com/pw/AP1GczNOVNJPovOfd7mNAh0IK_zFREbpLljE5eAauDA66WC02tYQEs0y-i_xfCtxUekpOW20zSSwkzqCS1XRKAnXkSMQug2ggj3pZtub1WvQgxb4SIazywBh=w1200|https://lh3.googleusercontent.com/pw/AP1GczM2Uz7PaKQ5tBilVsDUjn2_tN9MUzdDi4AXcqPs0CxdNc9PcwlXA7iosNj1GhC2qoF7HzS0dNqP2DApnfnmxsS4YnXJnvDnDeOxpoJzf1zOs05tE6SL=w1200|https://lh3.googleusercontent.com/pw/AP1GczNsd2naWMAY5wNgGGpDuuwcmyzEbL-LW4EVizl545QvJmstc-ooO7iFFZKe6Mr-uudMdTkQfizMVjKkQW8m1j6q03dJrokkKXW8ZhE9XoDvbyjuf2cw=w1200|https://lh3.googleusercontent.com/pw/AP1GczOzCHHUYhFHEwWU4qpJuqJcXBD1HY145kxuqDVlIuvmE5SSkclCSrvPZV7WWbdclZLmOAAbdjVPimSs6S8yb91vwl2H4cr0FfJHUj7YynVaOYL1gDZY=w1200|https://lh3.googleusercontent.com/pw/AP1GczOzEVxm_GznSsrpJcfEr9NjVUufm5rabSzJikyNLwrugCgEgmRdS6XYw9ldqPrZmEjJzSvmncoUW4YcxRAc87NNbIkdDQ8LaaM_0fi0Ed28MPcguxR0=w1200|https://lh3.googleusercontent.com/pw/AP1GczPeCy_i0UbI55FjDrHGk1Y4WyITP_jnTe_wlK-Bsuzjm_UqSr4_oXRWwvis7gP9Y14v0Mo4uCiPn8yYgv5sIe8hsD0nns0-5MntdihocII5-qkpkwSR=w1200|https://lh3.googleusercontent.com/pw/AP1GczMw5gmRMPrx6gkuhCDoTr-7I-qVjS4ug-I3W0X0hbyrxvrQ2YYdtPJe77PQyDXwB03scwLonn7xeLZ802rpRA2fjLwa4XxxIFNYogwdIjmQWmApNyFp=w1200|https://lh3.googleusercontent.com/pw/AP1GczNMA5kl394wgaSfnbJjRAKRwcRfPacOE5-GlFWqhi2U-LXnX7l7sXyEoFRu_0AdqCmnRKnhfQmwEk4_QrTh1wfEFnyx_LvibcC7h1TjgjIk0wD5ROoj=w1200</t>
  </si>
  <si>
    <t>111</t>
  </si>
  <si>
    <t>Casa en Conjunto La Manguita</t>
  </si>
  <si>
    <t>Calamari</t>
  </si>
  <si>
    <t>La Manguita</t>
  </si>
  <si>
    <t>https://photos.app.goo.gl/jXEi15WknpqBBsYS8</t>
  </si>
  <si>
    <t>Inmueble ubicado en el Conjunto Residencial La Manguita, al norte de la ciudad de Neiva. La casa está distribuida de la siguiente manera: Primer piso: sala-comedor, cocina semiintegral, una alcoba con clóset, baño social y patio de ropas. Segundo piso: tres alcobas con clóset, la principal con baño privado y balcón. El conjunto residencial dispone de piscina, cancha múltiple, salón social y zona de juegos infantiles. Cada unidad habitacional cuenta con parqueadero cubierto de uso exclusivo.</t>
  </si>
  <si>
    <t>11 - AMARA GUTIERREZ, 8 - ERNESTO POLANCO</t>
  </si>
  <si>
    <t>https://lh3.googleusercontent.com/pw/AP1GczO6B4dXBOAkQEqmvQ52_60jW4NSI8JJIxdouUdiko81h81uddPbOMCsLJxP6e_wvU0pobGpEv1-zsxbrPQ8v9MarbKc_b39OtTjfpef_RlPd06rtiIp=w1200|https://lh3.googleusercontent.com/pw/AP1GczM0vJuaX2rCe0oeLDg4Rx50OzLd1zZ8MsBgmD_42Av4C8XQvBdjHAKDhP-JwnPriylwAxpbs0rKj2LXnFHb7yLezz4HMwoYY-0XnjmD7vnjTjFD3Y_8=w1200|https://lh3.googleusercontent.com/pw/AP1GczNXsBpcwJwPsEV3BFgRD9z3BMKezl58ZzKux4iBly6UbIWCUjgPubEQPvNa9VhPitNhOJeTPfXJ6zHGs5lv0pIkZDT3EcVt-dWjv3ztJ677PITWysu3=w1200|https://lh3.googleusercontent.com/pw/AP1GczNzvBtFgx9gW_v-DhIk702XkaxDmnFG0j4jirSgoakJeVohvLwg9EvBB1oJMPQKVbpHU6Xi0sRQYmZd8Ztp7fB2GjNlbeKdGxUJh-A-mftKhiqXxbEN=w1200|https://lh3.googleusercontent.com/pw/AP1GczO6Zd8W3DIjG-GxIwSECv1MhCBPPBesua2uH8pKUGn77wssLuCJwDWEcSGYjv_2kZsSeaKu_hUjTF_Pn56n6JDv_lYvrTMiwGU5dbXZhzYJkchgnqkp=w1200|https://lh3.googleusercontent.com/pw/AP1GczM-Pflb5HNX9AxjA_V9_dCOGobBijoGwGqUROp_VlVFdTDgIZkeWoQ4nSDEX-FqiU5IprOP34jGk-IBQRqGOB2bBUudNgt_BIDCPseT7wH2Ml3MKlQ8=w1200|https://lh3.googleusercontent.com/pw/AP1GczMAaxwWor0ISo9wXzj0eTHL8TpC5ddNkZu8b9W6HkyCF8eg8DJGg0SCcC13KjLu96pnytos_DlavCqLKS8MZXv6cgpSRqOff9FgB7SOepVL2zqTPp87=w1200|https://lh3.googleusercontent.com/pw/AP1GczN83DPYeksD4J9S_LR4qy9_CiVIsPMEmAe1AGJ0P2pOdYLysxUVYaQPw0Y5ukE_a1E_PN1JOQGdKJcny2Qk4Yc9P0OB8gY0OGXpqssr6TQAAWhm_E87=w1200|https://lh3.googleusercontent.com/pw/AP1GczNCUHPv-d6076-EcZZjyBIbFUMN6mLhxmf2iUUXVBHRfeZaqBJs7ufvcmTTIP9ckSNGHKygOfbF-wLz5Jlr-O875RxKTMMA3ub4QUphdAtrGffYhKy-=w1200|https://lh3.googleusercontent.com/pw/AP1GczMcr4RW3ZCAFdMd84koptwF8cxSRG7f7K96siu7y21PcaAo3x3oxh8R01Dauv9UDNVC7U4Slq_xRr7tKzvH01Zavxk8iyq3t3mS_BeaQhqwm294qv63=w1200</t>
  </si>
  <si>
    <t>761</t>
  </si>
  <si>
    <t>Apartamento en edificio esquinero en barrio  Prado Alto - Las Brisas - Oriente</t>
  </si>
  <si>
    <t>https://photos.app.goo.gl/DoQBHoXVYjhrz4We6</t>
  </si>
  <si>
    <t>En Prado Alto, Edificio moderno, apartamento esquinero en segundo piso con ascensor y parqueadero privado. Sala-comedor iluminada, con balcón y malla de seguridad, cocina integral abierta con mesón en granito, zona de ropas, 3 alcobas con clósets y 2 baños con división en vidrio uno en la habitación principal.</t>
  </si>
  <si>
    <t>Sector residencial tranquilo, cerca de de CORHUILA Sede Prado Alto, Heladería y restaurante Frupys, Tostana Prado Alto, Agencia Nacional de Tierras - UGT Huila, institución Educativa Escuela Normal Superior de Neiva, Centro Comercial Zaragoza, Supertienda Olímpica ipanema Neiva, Zona Comercial del Oriente, Centro Comercial Santa Lucia Plaza.</t>
  </si>
  <si>
    <t>https://lh3.googleusercontent.com/pw/AP1GczOo9r2kYkuAn0ia5r2B0fZnZf0Ymlp5Rn0EwAGCZ9BcTIYqYKyVZmGCV_gf-rgDh8yr1aA6AgQBEk6qKgjmDhPxJAikgVDVwgMdIb-kgZuADRgo1AMn=w1200|https://lh3.googleusercontent.com/pw/AP1GczPHRmEED1C5_JO-jpwt0O6AAdlYofPokCeuRSWSZ9YaEz0PjF9LHc-FSRgJccQQN6crWuc47k_crRQH8n88R46RObFVRfgeGO7FujTnm6tQsTctp4B4=w1200|https://lh3.googleusercontent.com/pw/AP1GczP44Bvxg9TjzKwjUWTcYhMtfG-yK4GAbM2bKyAQ-iN9zl2mVdNwdswNainwpKnjiUwUWudzhBgciu1Qjio9bckK-7_TBQ8g6sp-c3c0sdccytcUcbvO=w1200|https://lh3.googleusercontent.com/pw/AP1GczOdNPs6d_87IOk5CA-2lwdX4gi-ozADWZG5EV9bmZ-iYpg2FdOB8LasxN-gBYrQrpZ893VVQf08lDIPNiqJ5xILuskpJToewjsSjSAPRV19-TGyenUL=w1200|https://lh3.googleusercontent.com/pw/AP1GczN9vjI8xJsuPANr6rQk0941Zrb8yLb2uYOf2s1eWZPDQTX7ie_54SwSL-1BMAhVw5BGgu6mUXQLEndx6p25jzwxTLwlsAWsq9gc9IGYYx0NaDq6XQqi=w1200|https://lh3.googleusercontent.com/pw/AP1GczMHzUA5KRlvo0P-pMrSRLx_7XdhWWGoT6rruMrnDvxWalMqcjnRsPQcZ5NLmtBgktqykx8kLxfJoE3tTj89TR0Gnni-FbD3xVolzORaD3OBrUhwqoT4=w1200|https://lh3.googleusercontent.com/pw/AP1GczNEEmnv_aZ9-lnYsBQKxoLJYab1vYM0a3F281g7arA5HIF3oX8bKAxZvyAd7T04Ff2Bp0ohz7j_cDUaI91X8W8Tu3sl-MFv-CVBwQ7hWJl73lyr6_G7=w1200|https://lh3.googleusercontent.com/pw/AP1GczPVUUHKSGnYdA13Q40QRY5VBKiXG9_hokfuepIEIZjdJCuuPM-yURCI_9OHA3dCj13j-Ec3ghFgoMQc4SMO1eoBpEXr5KT-B2bXcUS5yjHzrONuUdr9=w1200|https://lh3.googleusercontent.com/pw/AP1GczPm7YZvH9TtzL3a76bbZvTqraMKGWfFgYazXSXnbsurbT2DMaWdZrHJw_82cOt7EVVwxuz5SHnPTOi13LDKCssXS9st9XiSRNpe8LUNdzO5ocwkA01E=w1200|https://lh3.googleusercontent.com/pw/AP1GczPqbNSnVXtcdZlwHck7Cj83VRshwtfVgK3yxly-zsNFkdmHr4NTgTBatfKWMq7Wj-BW-IJkUdbBD104rnohSVuTvkhbIoV9UTfrKF7kDZGLMnKxFDKU=w1200|https://lh3.googleusercontent.com/pw/AP1GczOpAtciPucEbq8lO3Klv9WF4A2-XkuQtuUWIB4dhew7DaKLfdiVOm3lQ2XYDPZ0EgIYydKMNaJmXqmEIaqoMCsBEKhXpK0KDKi6h0JNDl97-ewMf4Kp=w1200|https://lh3.googleusercontent.com/pw/AP1GczM2Ghp4fBSFVSe4JScYYKSUk-fojplEvCYRqUBJC4zdHuCKbkkRDZYr5UcWwA_UnkOo__lWArGsJbdTF_gx3ainbTWhvCaBZpd6ivTOQIl_AQk1gg_h=w1200|https://lh3.googleusercontent.com/pw/AP1GczOaWB1darFg0I4d1noF996D49IrBZ27VH05ysrD2ANTqUlk6dRcC5KJ7Gg17z6Of04W3cAguhybOZW0ZjnnV9AMJeZ1A6AkbUBsE9DGFH_SYebu1k5k=w1200</t>
  </si>
  <si>
    <t>467</t>
  </si>
  <si>
    <t>Casa en barrio Villa Café</t>
  </si>
  <si>
    <t>https://photos.app.goo.gl/YU6k8NdPK3X3immz8</t>
  </si>
  <si>
    <t>Casa ubicada en el Oriente de Neiva , cuenta en primer piso con antejardin, dos salas, comedor, cocina semiintegral, baño social patio, tres habitaciones con closet una con baño pincipal con baño.</t>
  </si>
  <si>
    <t>https://lh3.googleusercontent.com/pw/AP1GczPcvDo-UOhnjluKD3qI1XYgrjPAa1-fZG3dV3GxhGzjThLM3xSWpKtcgiwouoV0qECLY2FUpASoYUiiosw-GMzdms6bNoP4MVmekUVKjAIzeQXsKODg=w1200|https://lh3.googleusercontent.com/pw/AP1GczNrmBYlsG1x_42kpmeNpC9dS9_4dL66Q-DyB4PrIZ2wi7EQb1C2ODg6l0aI4Mw4ImN6ZmvmFoEjwx0eD1eTNyjqLJwum3LktDdoBf2Z8_Pa1mIVfzTl=w1200|https://lh3.googleusercontent.com/pw/AP1GczPkoZ1S_3q_j0aKuHcwYiQpJlVUKN4XjZu6sU_9qUifekzl4c5_ovjEWrGGz4DgjV2qU5i69sK5h_L79tF5ShU3bJRUAU5V_-DzSxSq2gReFyUvimhz=w1200|https://lh3.googleusercontent.com/pw/AP1GczO4fvOI2vc8Of9ymbVGqN7s9mr_yBOJSRs28j8crglxJ2JPZmgovUAHE2gi5w_cHbXAC1IWGvO1T_s1x_pmcGwqdh0bEbUeBhqipHIe_lfBi_8Sg3xq=w1200|https://lh3.googleusercontent.com/pw/AP1GczOutfbOzMDpdO8Z5EXs9-ztv6197ynNNM9VPCHxibziYSZ4r-aOFu7FwuC03kI9ii7QuDHTKuxzEZPcVOEFPBNkMB3qhFqqxciQMrZiFG5ExopVQccH=w1200|https://lh3.googleusercontent.com/pw/AP1GczM8gtFqx7YZHVa4IIm4xZn4bZ2V9ZFXGxryqmkssdejJuurymP5na6dZE8N6vltnfMz3o6kbsaNzMQYxCZxm4v4W9dRZkT6M9nPlkRwbxqSy0zu4IXo=w1200|https://lh3.googleusercontent.com/pw/AP1GczNSYQhDRtuAugH6FSKLuLYRNyXST-YIkqzb0d9TdInPkPmyDt1BSLBnsA5Cq_oYKbMlTXChYuHE9N470iSNp5zUifTX5gOdfb81kmXVxKQauMJlRkOi=w1200|https://lh3.googleusercontent.com/pw/AP1GczPZ7t8ufSjMI-_ftOGPwgN8Ct_Kd861ALns0uF1hteTUKIshjwBxJFrWqsmpYB_vHNICh_qBTXtL1d3CnDCJf-J3nAkHl1_gXchAPtyjtPmYK9hKflT=w1200|https://lh3.googleusercontent.com/pw/AP1GczPY4CgObxcaGILkpXeFOGyKaz9U5khHUTcs31qnYPLQibNdKHDaTWndrC3OVntw3LEC14wsM5_SDNv1droLI-mZqJBF-h8fsvhKUsx4NBtMX1XfiId0=w1200|https://lh3.googleusercontent.com/pw/AP1GczMGOirqCwbslx_bLbjY0sHCaJMry9eQCqYsDWZbLKdzTaYVHWtjhn2q58Q010Fg-M2Q0jrFGxlXQP54BrQ7Zr1RihhA0ciiTQG_12mJMTRsy9a_i8H1=w1200|https://lh3.googleusercontent.com/pw/AP1GczP1hQxoS1XtPDuxTXq06RvOxaCuzic9N4843lrb5G-Iv1IqwSptH0MvXm6bPtsJvXnKji5YMvLaInscxwg8nr81s06WYfY5iaspBo8fcf99-JByfNGZ=w1200</t>
  </si>
  <si>
    <t>772</t>
  </si>
  <si>
    <t>Casa en conjunto Coruña de Berdez - Palermo</t>
  </si>
  <si>
    <t>Praderas de Amborco</t>
  </si>
  <si>
    <t>Conjunto Coruña de Berdez</t>
  </si>
  <si>
    <t>https://photos.app.goo.gl/gdxcshDTRR95qRzC6</t>
  </si>
  <si>
    <t>Vive a solo cinco minutos de Neiva en un entorno tranquilo, seguro y lleno de comodidad! Esta acogedora casa ubicada en el Conjunto Cerrado Coruña de Berdez es la oportunidad perfecta para disfrutar de la mejor calidad de vida. Cuenta con amplia sala-comedor, cocina con mueble inferior, tres alcobas bien distribuidas, incluida una alcoba principal con baño privado, además de baño social y baño auxiliar para las habitaciones adicionales.</t>
  </si>
  <si>
    <t xml:space="preserve">El conjunto ofrece excelentes espacios para el disfrute familiar: piscina, cancha múltiple, áreas verdes y vigilancia 24 horas para tu tranquilidad. Su ubicación es inmejorable: cerca de la Universidad Surcolombiana, Clínica Mediláser sede norte y con acceso rápido a la salida hacia Bogotá. Un lugar ideal para vivir o invertir. </t>
  </si>
  <si>
    <t>15 - SINDY MARCELA, 29 - FELIPE PERDOMO</t>
  </si>
  <si>
    <t>https://lh3.googleusercontent.com/pw/AP1GczMeVmtOuERpdnEb2bfXJJkKaNXfi5WnYZBZ6q-pdilqM4gJO7kxmhGg12TSm7zf9C9cI9f1WvSoRHDFMhBSqIkwTZ77GmF15dmUXY2M-jYTlDWbNKc7=w1200|https://lh3.googleusercontent.com/pw/AP1GczM_LzOSdyOPQElCyEN_qZJL4ZbHCI7ylnNjEJQk2vrdIOJKaX9ySlr6zGfkxb_E2Z3SzaJtdMZSd1bce0I7qZko2_1anj0fV8jOjNFjLskLfF7mHZB-=w1200|https://lh3.googleusercontent.com/pw/AP1GczMlr7Tprnv3Br_7MVwJntwlXlTc6oeINO_0_Kn0RtGk1-ohdPm3P-b1qZxeTfOFmnNpV9d6wxyw5SmePIHlHYRkG550gBmrycRSoEXMXMzQNiezg5PA=w1200|https://lh3.googleusercontent.com/pw/AP1GczOsk3ZioL0wdzbOA5B2vpY9pOtp6IjD7wOv4InRiIQ0Sv-nOEK-8V2h-Rk1ZNTajCN64jncNVuZSnAVQJdfasgFkaPLa3xOm8rB-Nk16epshppUBvbc=w1200|https://lh3.googleusercontent.com/pw/AP1GczO-b8fTRF2CJ-sdotsEyEr9w0BEO-yq9RtoZjTRyagNwlr3k24dUFkyPf6lHTrBreR5TBBsuJnrNRTEgwE6da2L2_npeHMJOP-CxT9edwVI_SlgIrZE=w1200</t>
  </si>
  <si>
    <t>486</t>
  </si>
  <si>
    <t>Casa en centro de Rivera</t>
  </si>
  <si>
    <t>https://photos.app.goo.gl/DogAw3njzrrKf5hM6</t>
  </si>
  <si>
    <t>Casa de un piso, antejardín con reja, sala comedor, cocina sencilla, patio con cubierta, habitaciones cuatro, una con baño privado . Se recibe permuta en población cercana a Bogotá</t>
  </si>
  <si>
    <t>12 - LEIDY YULIETH, 15 - SINDY MARCELA, 38 - MARIO MUNAR</t>
  </si>
  <si>
    <t>https://lh3.googleusercontent.com/pw/AP1GczObbvucNzkafQcg8Q2h9yx_DwgpZv0klv-ghFIzdiK_kjjHKS_8xz8a-RV36R19kg5quQOiip-eb92OcXNCCUYPkMiNTvJkByXVI7125_9Os98OpIth=w1200|https://lh3.googleusercontent.com/pw/AP1GczPRDktYhu_MfW73tbrBuQJZNPXhdF31LMy_NuO2ui0fIOpMtZR3jjW9ShQc3h16fWtMC5W1Ec4iQ_EEBj2qHGkihKAKYeWYCVBLZPzRTLgVLdx6MVEA=w1200|https://lh3.googleusercontent.com/pw/AP1GczNDodAA90ya7wkGx9UVEzcDS3F7ib0JQiyQBIku-PCrsiEA6SMokRAkTM0k7PcK-2ysbqmOStob3cDD3km2LHNvCHkkxE0YNOb4H5ADMyfCzwQksiBb=w1200|https://lh3.googleusercontent.com/pw/AP1GczMMaMTKx8FL9PmjK5NMKcV-nJ0cLqc3i76Sf_E4ObWFqaMah6UIOI1xh5bS50q8nRPEcGRV1mCQ9NFzrwp0IqDjveuJ4X4L83JHDkp-9kFb4hthgI-f=w1200|https://lh3.googleusercontent.com/pw/AP1GczPiaSZLGi8FmGoe_6ZvFVZIl9XIsCA_HFmj1SgAbtSr5JrznRexIfnhzqcvsvUVGokcnfEkCtkDfCcuakdD20-oR5bX9YsUFgmeg9QW-tP8t5bQ_8U6=w1200|https://lh3.googleusercontent.com/pw/AP1GczMvygVTL3AuNIjF2rIS3htb-IsurRdAlEkmcbYocHfx60Dzz4v6XwIFBTwBymHIDlF4WqbUREbp1y5z5uahC08i11NT-NzsfK41CYEP-niPAVptA6vX=w1200|https://lh3.googleusercontent.com/pw/AP1GczO9qnDe_jllyjeGFbjb1VJdJxVWZnSIMOrsh-y-d0L0pNv87pzzhRfD1aqOApuiBXSX4pl5TWqSHEBCeLbfMpfeUBARv79IenPWULO3ye3p2KxszZWC=w1200</t>
  </si>
  <si>
    <t>100</t>
  </si>
  <si>
    <t>https://photos.app.goo.gl/MKm76my6taGycyQj9</t>
  </si>
  <si>
    <t>Casa de esquinera de una planta, con reja externa, cuatro habitaciones con closet dos con baño privado, patio de ropas. Cercano a Colegios, Centro de la ciudad, Hospital General.</t>
  </si>
  <si>
    <t>15 - JOSE LOZANO, 40 - ALEJANDRO ROJAS MARIN, 19 - PRUEBA v</t>
  </si>
  <si>
    <t>https://lh3.googleusercontent.com/pw/AP1GczNkHffk1tzfHWo9cRTHlySz1wCueGFEMckM6xz8tlM-sH5g2Vdk6qj4Y-Xe8cQPiGNwJUVTnmRKbVRL2Qxj2tgwQbPU_mLpGoPqfspLLg3exiGdp5Yk=w1200|https://lh3.googleusercontent.com/pw/AP1GczN-LLQ4SqCxgzgcjFXW35EwOAwrJNX7JPIJEoljEuUUv5FRh8MpqRFoNOwFPfDMUcJhL5CEKxL78vYbI4pKyMe7Iq-oXcGT9jp5XVzpt7Q_JrAqZbUF=w1200|https://lh3.googleusercontent.com/pw/AP1GczMmXtEk9Sz7v3kIhuo0PpIbKWqAptA_bw1TPnaNwjWdEO8TR4tXmDmfaBX9_fzmbF_iGu7cikcrAPcRDauRkRvK82xGCgdQgyu9chQhh_Ai10EWCaxl=w1200|https://lh3.googleusercontent.com/pw/AP1GczOx1slFPpcyMEFFIxx-7O3DQbcKxkI8AMuUatqWTpk6ksdr4JOmh7PnK60tvw6uq6JEhLe9R7y8X6pnUeZgIMoJ66I3jieHrbgJeHtgJe7gSm0zqjXt=w1200|https://lh3.googleusercontent.com/pw/AP1GczNveAB1Q8ybfmbPmq66u8sQgHxCemEfGJtTJRk12-4UDbtGBhJHOQKMtNxpdL7yhguAMJ8RRozCD0SYBOTkiZQMCsLHvkPc_4TaJgCj1mcyZ1EBmDp3=w1200|https://lh3.googleusercontent.com/pw/AP1GczNGSPAZ-nqEVkrxeGf4Ayy4o4qbXZkF3SufpoWEUGEc3HYDuFVuMK2h_-ttVJP6AH2r1OrA9SjFNIDIvveYFSyR1I4-IE1SLC2rfiYcpjtRthkWaPgL=w1200|https://lh3.googleusercontent.com/pw/AP1GczOvPtt0et2s0OrUBNQ0V9e-TLWw3ssEnymzlLUSVr8dt83b1i9Yac5ls3EG22-bk09oYy2-CPDjO-4fneHIEOVXpCFpWpMcVsW5kBHKPoxoXTAZX3Hx=w1200|https://lh3.googleusercontent.com/pw/AP1GczNKKwBPnFZapC3VI1DLdqXJ0Rv2KG_CPJL2ALUTAc4q06oFPjTSNimguFcYurB0UnOGQXqyG1lgkDJpsOQ8y8EFoMXvY0ah5wceGsCOMQ2azn1oMgT3=w1200|https://lh3.googleusercontent.com/pw/AP1GczPHlicmXU7HsnPh5Am-eOIFyD_E1Ygo07b_Rkza1gXl-Ou_UOQmSGDBdhfS4nfkLpu2xiRX-e_Kpznd4b-iWue2v2KUIIMGa91auq2PHOLv6EUzT0i3=w1200|https://lh3.googleusercontent.com/pw/AP1GczPEnwHlkKLc5mgdlh2cpSk5TnDgYDCL__1Qfh7XqSVewKStjoNkJm_U2NIpteur1T_rDq1ogNjTtJApt6SXqMjfiIp158vMnj9ELEaWfB8zGQFWVv8E=w1200|https://lh3.googleusercontent.com/pw/AP1GczNn00Q11AxfG7es1ZekA0znFtU3Jr_Aq3PhlNDPVerNpQxYeXdat4x3qBR3sEaj5sNmfEruXorwd3wLgJ824U7td9kKVQ8DlYPH0906EWZG2Rf9RfSA=w1200</t>
  </si>
  <si>
    <t>495</t>
  </si>
  <si>
    <t>Apartamento en Conjunto Encenillo</t>
  </si>
  <si>
    <t>Encenillo</t>
  </si>
  <si>
    <t>https://photos.app.goo.gl/2tCf5tqV6HyPUqAU8</t>
  </si>
  <si>
    <t>Apto en primer piso, sala comedor, cocina semiintegral, patio de ropas, tres alcobas con closet, principal con baño privado, el conjunto cuenta con piscina para adultos y niños, parque infantil, salón social, vigilancia 24 H .</t>
  </si>
  <si>
    <t>https://lh3.googleusercontent.com/pw/AP1GczPAdLMCMR74K05jtvLvSLT1n3sOOe6CPRU4Ybzj4ZrgqYIOhdDiwntI33KB9X_o-5dEZSLsKFBwqX-g9Hdc9Yk-ZkxRG2Q-4OcL4QmCCdZqfcxEvxeX=w1200|https://lh3.googleusercontent.com/pw/AP1GczPZY8IqGmKlZL9NsRbwVKN629b9Ku9z59YmHbre64YQ2PnR2S_Tf_UXhUra1Qs0HMxqLdTOtR8R2o2vyHE52hsTXk3DQQ-BAqvEN2P32RbaDC0b2gTt=w1200|https://lh3.googleusercontent.com/pw/AP1GczPSsn2pV0PhQ38UGXhXxbaHtfpOfOaQJTKQjOCjwE3YiPzX3RxyhliaqbiMVQSi2oHO7XMmssMMPAIan4JxfGzrPg7Dafc28L_D-LmEv2di0ao7qpEO=w1200|https://lh3.googleusercontent.com/pw/AP1GczMLzkxL2q-DVtLbx7XA6OV88Q6--5r-SwEMXdjMLNUTCxQ6M6t6k9-HSp1lwZNntdr3WFuSKzXQPixG_AHEsBmpZI0qbU6PCMxv0Sfx3v2nZt6wvluy=w1200|https://lh3.googleusercontent.com/pw/AP1GczPSucCSNIqz-0oXQhjd0ia2Z_AkBbq5IeCAxWX8OmN8Pt3oTagbQr-AjTxuSIuWI4flb0zKWE-lSyqBigbd1MFsrJL8UgcEq2o-iosTo4uhd8v3Qi81=w1200|https://lh3.googleusercontent.com/pw/AP1GczMC88NyZ10od5TluOFucMBs34hKj0A6zgA_yU1ahPaV5x1z9bIEfWctbxmVnaepXehbjSRutdcmAK13pimDS4oQwvWzlw_h8GtwyrIbWN9PoFP_kVCF=w1200|https://lh3.googleusercontent.com/pw/AP1GczOP34zCGs-gVok1y56134cPHO9ceISxGr0IAHpQLo8AS06P7JZbhF9VzbNBNLNFUT-6zlPFU_Dgf1cX8TA78HTyrybIycfqswPWEVYH6DuYSCKEfA6g=w1200|https://lh3.googleusercontent.com/pw/AP1GczOin7doUTeFu8QXaKYYEpwD4h7q0_K59BXzEuxXUcex7Kdds2MtxuLuJWiPDsW5CAFIwvqOVOBYVaSsAo7-UY-sN9J4Dxmktrrpgx_OGfTxmljy63r_=w1200|https://lh3.googleusercontent.com/pw/AP1GczOwzFYyjrkxpLtWPfs8BYE-9lsSy5kblE63RezgJP3VkkVOdhx2bxlrJ1clFalsTez-YZbTdniUK4zYpCC661Rrs-zfvS2VTgdsQynedM8GPvpW-CpH=w1200|https://lh3.googleusercontent.com/pw/AP1GczPqawckAD--f2529Zux9uRX_1XFoFyCB46My38IyFCCnbr2f3ZCC6Y5DywJsROn0b1Mq1xT4lTo2ynbgtTPihug_0BAeC-BA257S_1aPPJGgg_hNn7A=w1200|https://lh3.googleusercontent.com/pw/AP1GczM3iQWocxdXgGAIwiBPuLtKDb-E7Godl6LXAi-AWbcr7tgABgWmIpQhs6v4zw1pkl9RSVQI9ltRfBxOVtMd35hLvW1XQWl8gjfemULWSIQxCKbGGTvt=w1200|https://lh3.googleusercontent.com/pw/AP1GczMRyUfOK351LswCJNswi4RhPazV2c-bVQf1qxIcGwsuU0DvsrL18MtpTMcP_vt0WHS7mjvb4edI9YICBrVTofTwPh5cVBPMRXYwLJt9UzaXlylSvXEZ=w1200|https://lh3.googleusercontent.com/pw/AP1GczOZQ4aAVhnTSgVRQ94-p7DMYwIB6e3735Fxm58f2E8zZKDhxIV0ZVEUOcFgrYMQO0jcvmXDi21M7fzKfp58MUK5vO6e0e2jprUqvo6gmcw1HK-DeLvG=w1200|https://lh3.googleusercontent.com/pw/AP1GczP4nbqoqkNw3elFJ_Ad_35hXMxK2E0FIzeP4lQXt0NKIrzcucRjGSO8s9M9G3ce-u_-rKbzhVmxsstqOLrmrpDrFVHGPV0J0phbPLGQoTcLMXMH64rx=w1200|https://lh3.googleusercontent.com/pw/AP1GczMpIHlwoP690qQelnCScwcp7qx6NlOXZmYBr8AJNkDSye1rbtVO4D7IaEEknVJSRFiopN2wNw-rr1WoU_mGlj-_1Vj-q6hEYof74NrFQNsgDPNzV6PN=w1200|https://lh3.googleusercontent.com/pw/AP1GczOQMwOrMB3o_u9W5RDoisfSUcq-IqFL0na4MrxzXMWYlm896UvwxH8m2nCoHLzPliNQAUJ9U-AO0EJfMKwnnzfSsvRbNHzhJ_KWGWO9chU8fGrtXOPi=w1200|https://lh3.googleusercontent.com/pw/AP1GczMpsqwwJ8VHpeZWek9vCB5PvlONRfrrNWHUB_2jEy56Hwwaw3xdGIm42RbvNxZ7xtOZRICP3UE5G6cWe-dzfJNw2_pekLB4g8uuZZ3bMuyTlxwRijwN=w1200|https://lh3.googleusercontent.com/pw/AP1GczMJxvk7K2nMfHAaNeywX_IBjkD1bLwOab_aDcf5xGChl8RtHBFCmHwzbTt6dJ4ziOgvuJB4PM7KmGLItaXzTcd0CQM6txuQX2S6XSCggGY4PvtD51pg=w1200</t>
  </si>
  <si>
    <t>136</t>
  </si>
  <si>
    <t>Casa en barrio Las Acacias - Sur</t>
  </si>
  <si>
    <t>https://photos.app.goo.gl/h4fpCUagexBVamzA6</t>
  </si>
  <si>
    <t>Cuenta con cuatro amplias alcobas, sala comedor integrada y cocina con mueble. El inmueble dispone de baño, área de lavandería independiente, patio que aporta frescura y garaje privado.</t>
  </si>
  <si>
    <t>Esta acogedora casa de un piso en el barrio Las Acacias, al sur de Neiva, destaca por su excelente distribución y ubicación estratégica. Su cercanía a la Escuela de Carabineros, colegios y supermercados. Excelente conectividad en el sector sur de la ciudad.</t>
  </si>
  <si>
    <t>https://lh3.googleusercontent.com/pw/AP1GczPZiBVJlUrq4D-7RmmkIRhi50XxHDsdxn03LMOgAnfd_smjN0OjZow0cEHGsxUkRn931z5tSzOSYDUYryaKmANzh_ZOEqEg0KhguHVkL6pH0WKnTyGC=w1200|https://lh3.googleusercontent.com/pw/AP1GczMb3ZmGPUGpxnmm-J3zNVDRAr3ewziDx3Ip5N046fZT6u55weAEDe8CP6zGtpUQcBtiCPKMGD2enQ5NOcorcIEww2Wjxv2OWsoU7J2uLrraGnFL2Ocv=w1200|https://lh3.googleusercontent.com/pw/AP1GczOexxIerg9PJBUhVXuuMZ4V1y-rONmqKmuWy_D_6yNuOhPi0FsBqI_Ci3T4fzPALcu2Qj1eLItxqVdV53dKG3jqylnRxOjlojajxmTN_7OXE2d6O1Ea=w1200|https://lh3.googleusercontent.com/pw/AP1GczN9ZRyEyH9bpOLB1S0Ij6QyOArmOn0WqeJJSJlOh8XXyR4b-6e5fKFK5jg9jEDqCmM16IYJkTo0aaxwf_ad-5Q8Eh_bKIHdZMlLcealbhBL4hLfxwep=w1200|https://lh3.googleusercontent.com/pw/AP1GczNzJ7ilCHXsklRRulgn6z62gn4RgIwqK2Fb8AdqMGDx8TziUQy6poQhOMRBICVEfFyok4f98w_1iEr81FsVx0iIE5ozjy7eO5p4mFz_-m_o_YGNhf6x=w1200|https://lh3.googleusercontent.com/pw/AP1GczMhi3u8_yQY9dyopeTMJqXhCOVnw1gZLNfXyMPc6eFfF_9RhnBOnD56IojQI-Y6d9CzjLkVpo8kF7CC2yIAdcVZUl9OamPmskTXEYxg--7EH3LYSPnm=w1200|https://lh3.googleusercontent.com/pw/AP1GczNyoMGxKh36s6_4gslld4pqfoxCYMdVmrWNIbpcjwSBfxqeMvoOLJZzc9W4CpfxoRNnccqnwWIsbTBTNpuW0Uz0-PAF_vcwe55US-4CoxHqEWO1uP8j=w1200|https://lh3.googleusercontent.com/pw/AP1GczOgANraQImZ51LsTMcw2TJfr7ACzVitbGjVti2z1zJyuL40cZdfaxq-bHvoYOqGk4kpSa70c7m1ZyQjQhW7x5ux6lRMW2XvmmvnSHUF3Gphrhue9Rre=w1200|https://lh3.googleusercontent.com/pw/AP1GczN25Gdho1KNEywHEurUhVlBtp4ncezS-QfaK73bFbXuMzMeJ-XdikGsTO6iqofDtmsEgIPeTmjqV2pjJ7_zwiS0rGLNc2FGlktFdRZEnk43E2t0JRDD=w1200</t>
  </si>
  <si>
    <t>262</t>
  </si>
  <si>
    <t>https://photos.app.goo.gl/nysNqnNqxr4Q1FMNA</t>
  </si>
  <si>
    <t>Casa de un piso, en el Barrio Santa Ines antejardín con reja, tres habitaciones un closet, salacomedor, patio, area de lavanderia y baño, cocina sencilla .Casa medianera, con piso en cerámica, cielo raso en machembre,</t>
  </si>
  <si>
    <t>Cercano a la Universidad Surcolombiana, Clínica Medilaser sede Norte, Colegios Departamental y Liceo, excelentes vías de ingreso</t>
  </si>
  <si>
    <t>8 - ERNESTO POLANCO, 9 - ALBEIRO TOVAR, 33 - MARIA ALEJANDRA MONTES R., 20 - SAMADHI RODRIGUEZ</t>
  </si>
  <si>
    <t>https://lh3.googleusercontent.com/pw/AP1GczPF8AXHltDDXaE3H_mnWVV3goHm36-nrzfEfoAfmyS34G9kwz8S3VA59e98rqhmH2nmwZNunJYGvZ86zH7yXiSP0dZawWHdbw0-JkcC8DNKyt9hyEmn=w1200|https://lh3.googleusercontent.com/pw/AP1GczOBGg13WbS_jNKJ8fX2snoXwFjrs8Iu5jBV2EbnmZeN0qeg2hS_CJ7LDKeD5IcCsUtsXLge2ntkmtN_TojBmJ63oP1Dn6XfGScxusl33hN3RVMvbZuX=w1200|https://lh3.googleusercontent.com/pw/AP1GczM7c_ru5zUqovHIwMCuekX-mbLzTBsEq7v2gVNiGmx4D7BU-Le_vmyBMWAstmKH4od_1koB5pbR1yVkhYtumthxfWXMnRe5tRr_fhJsJAIc7aqW_ufx=w1200|https://lh3.googleusercontent.com/pw/AP1GczMZqf9vbfBojOkmBdUwrGb8cZFSeRpCQzBF4GUtgVlbi_-EQpxnkOX3sZbFVuGvRpqNLpWAc_z28RkaTJRusbzo4NZxzNJAfex8hXf019nFK0hEyDn8=w1200|https://lh3.googleusercontent.com/pw/AP1GczNnUWaR4rdC5TQ_NFBnieZHmwB7OMMQ5DO4gej2AaKHoWG3A05Kx3K2BVS19HKDdFPjhdf-ZuPVIWMZxtrCrUBXG4n2R1Ck-SusNjLMp2NQGRDbirYW=w1200|https://lh3.googleusercontent.com/pw/AP1GczPRmeixOXRUfgJuakw_H8ebcG5naSX25S5scSxY6kuBodTfJm6ZenX-edY2qSadbWr5tHo6NcsAUL3aSKhCfxA3nA59JLq8dbJA8fM8P5PE_mqYTkrf=w1200|https://lh3.googleusercontent.com/pw/AP1GczPb7-UgrZkQeSPVQkxvmjXUACHPxM9wbEmqNu5aQHtqz4xyorwsexLM3TGvuRQrck0cXlz0HvOZD8d2rAOYJMiWn9XBMgMsqVMTofDQOUennsKW1kRp=w1200|https://lh3.googleusercontent.com/pw/AP1GczMgY_EoR2-9T_I_66p9eOn-Ywe14jfZUz3Wz99en8wLRwM4p_uIcCbDWp4fy1mX5_oBZmhu_XvInK576bAiq19D_6C8yDOUWdHrfjPfNQ1SGPmV3vYi=w1200</t>
  </si>
  <si>
    <t>105</t>
  </si>
  <si>
    <t>Apartamento en Conjunto Caminos de la Primavera</t>
  </si>
  <si>
    <t>Virgilio Barco</t>
  </si>
  <si>
    <t>https://photos.app.goo.gl/Q1vJXT2VSsEycUp1A</t>
  </si>
  <si>
    <t>Sala comedor, cocina semi integral, cuenta con dos alcobas con closet, estudio, baño privado, baño social, área de lavandería. En ares comunes piscina, vigilancia 24h,salón social, BBQ, parqueadero comunal, cercano a Centro Comercial, Hospital.</t>
  </si>
  <si>
    <t>https://lh3.googleusercontent.com/pw/AP1GczOsJXucavxgzs0FBmoBzXu8SEruo87-JEzo5R19Z4LYqqdX6AmgaS-ia1uNoMCdrdVKg2MYpNcw0vWVBa9ZUFmO2XeXwhP3U-NJFtNkr6zIjE0dYwtZ=w1200|https://lh3.googleusercontent.com/pw/AP1GczNIV95HMbHiBdLNIXV2JMR9rfJioIkhkoJWKCUhmQ7LfBynTzCPpE_KDaP-TilxzepDkIxrV6dyz-Kgq2iJregSt3yiD90-x-owOQHjT_jpsR5XLyHr=w1200|https://lh3.googleusercontent.com/pw/AP1GczMJTOGC2NUwrFHoG4GqtM015Io0xXCTRqxJ8-9ykWSO7fL8lkFvhivoK4dyijEFAJRHWieQAfW4pzmnVXEWSdNMK2uTGbF3IpxHk0cgALh3tF-HR48D=w1200|https://lh3.googleusercontent.com/pw/AP1GczPtatCZQ3J9IX30GRHZXaMKBQ3V9nBMA7FZnhCSPUv7RHA8RwYIE2tHp46T07W3LTxzkW3UDfg2A1C7rjZAHuSuFhbyAhDCk5K57QcxqgT6NUp62SBM=w1200|https://lh3.googleusercontent.com/pw/AP1GczPZUXKoYvnRYhdALQ_e9yzU5DU2tB1ekVs3gyemyRwfu0pvgqPDGXfIpxNKUejtEu7Qm-NDvyubQSXI6PDpIt4HZ5EiT493VS1uoknDOve3ftt7VfML=w1200|https://lh3.googleusercontent.com/pw/AP1GczOCv7uyT1yOr6i-ROzqtdL_AWvN4auAD6B0Owq55L4ROpbg_nBGEhXDbJLrn7QULxQu0Ro-VIIzCpsH9JDFseGcsssySCjiC_TMi74f3wEk9CylSc13=w1200|https://lh3.googleusercontent.com/pw/AP1GczNbZZHQyuS4i8qdgu2gu1tRj_dfQ1Cqwj7PgRO4RnPTBSRM4pRSV_rmJZpL2PIHupka_QbHow9x1guYN7j3RMSb8o4X1O9TIitbUAV8YDrGPajKNDoG=w1200|https://lh3.googleusercontent.com/pw/AP1GczM3uCvC4bKWHPh8d3ltY6X-PAC9Hvum6_pYTCTSR86-BNG7vpObfcPjV_-fTadZ4YsEJfrSEDlJ91isBFaMWqWasHHeF2EM-X2UC0GVw8YGk7p9iseq=w1200|https://lh3.googleusercontent.com/pw/AP1GczPbeWvwRZ0hjTbg4TVsCPztGZrAfD2akbojcjuE7SAzKFAI4ghKkf4SP-bu_a2U8VNp5LBd7vKDxM-8nHXGKO1-oYti3goaQn_yxMRBPEvzYPnBxs26=w1200|https://lh3.googleusercontent.com/pw/AP1GczMsRln-SUN5PniMj5wrmtvPBPmd6SUb8-XsoRvFKgoisJYSSD7EDTJZ0rcWey_MWtx4scXfZpn8zyMp8ilctGtzGN7w5xVCHdylSbsinDMln_gy0pLs=w1200|https://lh3.googleusercontent.com/pw/AP1GczNcJKzawQSFQSe9yzoX9nRQrB5_Y77AN6YZtDinVsU32PX_bQ_4EmjcOzCzTSi6jBgYVx0l8tilM_PM1GBW3UublcVnEPYAtS0Psvdh07A9s5y9cJcx=w1200</t>
  </si>
  <si>
    <t>489</t>
  </si>
  <si>
    <t>Apartamento en conjunto Residencial El Tesoro - Oriente</t>
  </si>
  <si>
    <t>Tesoro</t>
  </si>
  <si>
    <t>https://photos.app.goo.gl/eUPN9wVY9MHVnJWr6</t>
  </si>
  <si>
    <t>El Apartamento, consta de 3 habitaciones con closet, baño privado y balcón en habitación principal, baño social, sala comedor, cocina integral, parqueadero privado.</t>
  </si>
  <si>
    <t>Apartamento en conjunto residencial el tesoro ubicado en el oriente de la ciudad. El conjunto cuenta con salón comunal, parque infantil, piscina y vigilancia 24/7.</t>
  </si>
  <si>
    <t>https://lh3.googleusercontent.com/pw/AP1GczM13g91tekGrjA497b8Gmg_FBDl-BjsY-tEHveBn4xgy6zzXbgKnCZ1l4lHh77ffJckhs5OTbSgOX8maats83M-hYoCBS2pC_1B6VjdLH0UVB4tAb4G=w1200|https://lh3.googleusercontent.com/pw/AP1GczNAwD5hoSEeeSKRPryc887EzU8FsBYaGCLMdFuBJZQexg5U1c7b74Zy20BDjPE7Axub3mpNVfEmATYyk-lwM38LJ7AjaprEquXjTG0FClRpxLxOKqwS=w1200|https://lh3.googleusercontent.com/pw/AP1GczNHjkXOW4q4kwGhEYPcd-7_aVqdxlYjA6Y9uFWzySZAu9lJCb5lCXOVe4aAQQwtZCeYdYBr4w6ZkJGpqUIs_vnk2ATDnfLv61-ShFw9hfGSrICWOSV9=w1200|https://lh3.googleusercontent.com/pw/AP1GczOB2_za3RDiLUwURfq1VmVrDvx-cisJyJYR_KHL-ZmmF8sbFa8oMhKnlDbEu58Bo5KKu3CDi1zIr5bnWyC4UvpUj95u6Lki6Kzo9xe1p2s33XHlbBKS=w1200|https://lh3.googleusercontent.com/pw/AP1GczP3Fmrl7KZm3EBE8HyhTwksLIZN1-8d-p9Davewok9TtgvDuXrSNPlGSH46KTBpq6cgBf99ivV-vrGqqpBHAuJT8lc_v3V79sD9Wt4IkSjWeAHUnhkc=w1200</t>
  </si>
  <si>
    <t>661</t>
  </si>
  <si>
    <t>Casa en conjunto San Sebastian</t>
  </si>
  <si>
    <t>San Sebastian</t>
  </si>
  <si>
    <t>https://photos.app.goo.gl/D51FAtTcqjMxCmM37</t>
  </si>
  <si>
    <t>Condominio Campestre San Sebastian. ingreso por el Parque Industrial Palermo. área lote 2.033 M2, casa campestre con piscina y acabados modernos. Portería 24 horas, polideportivo, gimnasio dotado, salón social, capilla, lago de pesca deportiva, pista de motocross, parque infantil, zonas verdes, iluminación de las zonas sociales es paneles solares, acueducto propio para zonas verdes, senderos peatonales, para los lotes con acueducto de Palermo</t>
  </si>
  <si>
    <t>Rustik House</t>
  </si>
  <si>
    <t>parque industrial Palermo</t>
  </si>
  <si>
    <t>https://lh3.googleusercontent.com/pw/AP1GczNuMM_kiPjVwXfn-di_rUiRQDf171WU2nh0Ly0-L343C5ouW_pm08R1jt2UbgAx8stILHf1wlYlRXrlMP-w2OTsIIBZ_2FiPiABQ-ho3M-SiGIdBHY8=w1200|https://lh3.googleusercontent.com/pw/AP1GczNai0LWGfv-nqJH4jDfWskRMQ0XXfKaJuuY8iSh0dnF_cLm6dgXdarGyHyZ0lF6WmxZ4Lp4fgX5Xcu1jHdSyPdn3rwpd44-876tzbpTKmWetH5GC0kc=w1200|https://lh3.googleusercontent.com/pw/AP1GczPFscrYDS04K8pOZ_G2GQRaRoWMHn70JXhsj51hQyIcwM-5E7cv99NFKVvmgUtniFwTlmvmpsjOu2j3tlHcVMbo4RMmZmnfRmSG6dfOjW55FOwhgJyB=w1200|https://lh3.googleusercontent.com/pw/AP1GczOBK3xOScBX9TTJOAQumVi_DxWXkvr7q54kQYwxZc5XkUXpc7xkQg2UL5QSUQFFHVJkBcEs7vTtVA-ZyDvNKVHrj370KOf3T9shYjBuvPiEngXGOCzf=w1200|https://lh3.googleusercontent.com/pw/AP1GczPDAHpKvr59e7bYNPafxZ8T6N9SX8iAfJrWxbfFOOsY1vcplzrxkEVq6YATqjLwcmo1LCr9A7NGA2uJ0LVy8h0jLUW1BENJMKpgA1_pCMgbd1G2Uz2r=w1200|https://lh3.googleusercontent.com/pw/AP1GczN5MfzizwCBgSW5oQIDGy7mT8JJF82IB3OsuZRsSuT31VcMNNYY6jOYW67hpEhlg8AHhpntLISZQkpebs4sirk5y7OcOw0n2IvhIzykoLIGTMp8FyXy=w1200|https://lh3.googleusercontent.com/pw/AP1GczOiEpBiAyUXZylODgTXvLCHO02oT-4FlfS95Cf9AZYjwL7cCbDHoDF7X10ENSCj1Y5yg-qdayKjTvqhiYeYshNqtleu66VvLTy7JbwrPpn9sONM9l8e=w1200|https://lh3.googleusercontent.com/pw/AP1GczPzYdynKvFPOD2FNgwt1Q3RN8XZ-Nofd__pD-qBMj8e2eEG4R-F77tTLiZvHLl_PCjPPG_Pl7EFU7IcFMuDXXTLvHTithU8qnycRJWcKTvAr_rIrGEd=w1200|https://lh3.googleusercontent.com/pw/AP1GczPnclIdRPK-S81TsQitCqmq43vmFxujkxvLZCLlj5jsSH5a1hGYz6FgsVoGuaSH0W5SS7gVHF3Zzdvuy1g9oSQihw7SQQjRRLb-UNf6tqeRPCU4b8iD=w1200|https://lh3.googleusercontent.com/pw/AP1GczOlrBil7F3UwBJLJvbEASjzFldctlXE-KUBKwh5RRt0NbE31Dqzg0HozdJozkhsNp1agzO_iKXK5x7mnWOLfS5pnJ6dxWTmMaQrBomR45GnUt2AOOLy=w1200|https://lh3.googleusercontent.com/pw/AP1GczO6s3QOe1JzbyAHbsTSY_sb-c8lbado1CgMkqbHDdMDt-p5MuLTL68K2bYYOxFqFcvmZRkTki9Uq5VYIwLQnfgs1r6Pcqk2iAQzOATszY_P1CS1LJHo=w1200|https://lh3.googleusercontent.com/pw/AP1GczPLVuXQWsOpm8dHAnGxgy9NUJcZiNwbX27eR9_xYCA0RuyayARCwyftL0Y_HDyHwfsV60Gq3D8MihG7AWB7OfBnj3IcfiPSP1Wo8-BjGEPH09uIoNRO=w1200|https://lh3.googleusercontent.com/pw/AP1GczNaeQqtqjg6jO8xzQCHJRIP_k2zpfwk2kZPs5gWTjgez5q9ZbpsjNrvSptkezWmuKxkoJk-Pn35kVzTZ6mteILVhZgY4tKRhQGHPt8s7kgTIHoPFstK=w1200|https://lh3.googleusercontent.com/pw/AP1GczP5cX_WFt2XSbHzKoF_uUIeZ2KQWs9Ed35_2rXLZJw0M7Lcqm8KCKj7v4oIXOJmSHBwPrm-ixP9w1J0IEg2lS6qR6AO7OgeKTkEHVRwkgg5v05Vh1BS=w1200|https://lh3.googleusercontent.com/pw/AP1GczPJ1cGF10F5emnD9uis0XDRhUlq_BtPJnq_mCXXwU34g_8joOyPszl6J260MSf-ifm_k3UDGpyCRCI_Dpeu_XKQuzAsZuyipwvj2XshEbx0m_5-IQWN=w1200|https://lh3.googleusercontent.com/pw/AP1GczMOgcMBdB34DDmP_6iABsQ8zVZuFwxrOu7W4ojQ6GvF5w3sF6vpoPqZDg0JGKoFPXFyOBaHTuH6toH6r0_Okz5c-cNpT7QWbfD46biGRe2vS3IbSaKd=w1200|https://lh3.googleusercontent.com/pw/AP1GczPIEq3uAVpxDpfucpPfo6k-VtpaOYKzR1qCwr3TzbMzKMWcZ3aQAXWr__LtHCL0TtHeJH82mwaRdylxhbtX0sz0Gw2egNIkszyEKai6nO5u6Z1MjxFJ=w1200|https://lh3.googleusercontent.com/pw/AP1GczPf6iPnlOkbW-wGW_LJPmdqeSlYSGH6ZaS4PUhthnbG4-X8PrdmNzP9AMihtzfRnxvNS_VsHYkCoxJedsRGp__g_kwLnhZl72X1q5uGk0psLMcctsih=w1200|https://lh3.googleusercontent.com/pw/AP1GczN_6AR1TC7D7aeWejXywsZVBMQK0IMPHqHX4nYzImeWGtGmzjjs-gjkzT-0zuwhNK6KZsx6f6zHvgDctWi2IsKRm674IUEEM5pJpyy1bC4Rk3kJ76i7=w1200|https://lh3.googleusercontent.com/pw/AP1GczOd3UuSdrV7RnEiDubJe57k5lv8jTdDWtOfn-exxS-IDY6S2fJsXOR0qwBViNwOM5IYnWWA3TT7VE57SLikDx9RmOxirUgoRzWoAHmV57mvPA6oDwWC=w1200|https://lh3.googleusercontent.com/pw/AP1GczNjPuWvzU4CPiGly6cIY4DBOz9LdH1ovKBiKCU9DxS80faP92qA-DaNVv0p9WJ9Eg_XLd1C9_Z_fZzGO0MK977074NEftKkuz-dtOMCaGhdH7lqqOWc=w1200|https://lh3.googleusercontent.com/pw/AP1GczOQTFKqMNvA-i3hRrO_8cbYO5I06mit5upq4wA4WtzrHeAHfBoXuVofiSdO6CVPbjhJ80Ck7MLVFAQRBs6uJiLDsIFNS2H4UXI8_41tWNnbkaaMRKj5=w1200</t>
  </si>
  <si>
    <t>567</t>
  </si>
  <si>
    <t>Casa en Condominio Altos de la Pradera</t>
  </si>
  <si>
    <t>https://photos.app.goo.gl/UBVv7bHxP4w5esw4A</t>
  </si>
  <si>
    <t>CASA UBICADA CONDOMINIO ALTOS DE LA PRADERA. Área 1,077 M2, construidas 400 M2, Portería 24 horas, zona verdes, tres piscinas, cancha de tenis, cancha de volleyplaya, cancha de baloncesto, cancha de microfutbol, tres salones comunales, horno de barro, tres BBQ. La casa consta de: cerca viva, amplio jardín exterior, garaje para dos vehiculos, estudio con mueble en madera, baño auxiliar, sala, comedor, tres alcobas con closet y baño cada una, y aire acondicionado, cocina integral tipo isla, calentador en toda la casa, patio interior con árboles frutales, alcoba del servicio con baño, zona de lavandería. Motobomba para el agua. Estrato 3 rural administraciòn $325.000 incluido el agua, recolecciòn de basuras</t>
  </si>
  <si>
    <t>Calle 8 # 100 - 102</t>
  </si>
  <si>
    <t>https://lh3.googleusercontent.com/pw/AP1GczMT6e218bRtHqRDDYbkL7X6zc2oyvSmmHSXvXr433-Wp6uTYPsZbxha1ttlmbD3Pm7EaI0oR1fq1yq0mYNnPX2QtyGQmZqPiJp3-fQo4yVMEwvVF3Im=w1200|https://lh3.googleusercontent.com/pw/AP1GczMyKHdjZYANtoXcvAZh7k-FamOkyx0-7lx-r6dKneK8E8D7WJgMZN-qGw-XX8XykOHSbI75bod8yDxVn2XznZyFKIcFbNlsylwNFXBuHW2w5ZndWZta=w1200|https://lh3.googleusercontent.com/pw/AP1GczNpRqLb0v95Wu_zHLJQrytH8k3hG9ZCof9etOoQrTL1hRoNRA6raHhrpBZPf6H2NhEzOZekdazMmm9qm7a0VFjVV9SQOekXd9BiHf-Mgzw_yMApLmkJ=w1200|https://lh3.googleusercontent.com/pw/AP1GczPkOVoySmR0Bt_bcnXtlfvCGHPgCwt9m2lx8LJYZnmooFlAFhdEuFJaqXZu2zsXeWrhWZwiIEEI7PuEQYzsFmEMBPd_sKpI7zx8EYMyyIBRjlOrZzGK=w1200|https://lh3.googleusercontent.com/pw/AP1GczMTPwh5bv3DziWCfChR3PkqZqoMzx9L3syG_-6uLM7bfGWUf4b48GC1MPbAlMAutAm1YCuuY98UYye8_eXVozLYbZcmDKwHRsSZkqp8gDksldV_HVoZ=w1200|https://lh3.googleusercontent.com/pw/AP1GczOQOhHBoK5FM02NerXgwYQHYphcy1A35Zu2XNi27v2h8TcBoc4cJuoV7bn7GL0Ihawi6Cs9-o2HfxcxSxeC5jsMSb2YF7p3o6F_GLl67nl7GScLuklP=w1200|https://lh3.googleusercontent.com/pw/AP1GczPqj5G0KUIgufaCTrtGIa_OvjKjaDsc36ZFHVncmXh2PG0DpMu2khMjTrK4BlRKogEkZ-V2PPth_9h4RoRMFydUTs_yZRzJ-RNomx1wk7GZ-OA5QCM6=w1200|https://lh3.googleusercontent.com/pw/AP1GczPt_cdne4GJGRV0GRmLl0M_oyEVXgLqwKsLPQbZxEumvmecZwxsLlkGNfgZGlhmbMswvrbPBIK90Smf8Zj7LthJzrKiFG-DWp0v2C7kOg3UKIIoSLhE=w1200|https://lh3.googleusercontent.com/pw/AP1GczMwrSnRC-hjq5gxfUSHXjUY_QWUd-RdpjuscOW0OwBdate288aSHZjArXn_o5BufgRezpNeOFj70j8ib0FVLrp30SdFEDE5QSeQqTfzXla7LmBjdtlF=w1200|https://lh3.googleusercontent.com/pw/AP1GczOFCuU2HH_u7-t8WKho8Nhj1YtPshYwZfarh3P6SKYWQozk7gI3mU2oHnpbsCTu8TDyLd4gmu-6sMzS-caLX9hQYbM6mA1Pad7umc6x0ufgJ4sl1FYa=w1200|https://lh3.googleusercontent.com/pw/AP1GczPbw93U247LXJ_EZMnD4DHi1WZu62hWsKaSbsX0ae1n67CN-ChoKz8bK0kcP5CUqrMQHvwanPF34qJQrOceDOFlVS08lCaKpv-YpkVI1ySRhiNuYciS=w1200|https://lh3.googleusercontent.com/pw/AP1GczNiOHnbuzAoMZb9kRFVisC8ioo-K2nn7YjrF4MW365mc9ghccU-AlkGfAw84fWtm11GY_TRi1OgjaLN5jh3Ux2u52B6k3XLfX7eNpegnfMPYyqbfC-l=w1200|https://lh3.googleusercontent.com/pw/AP1GczOcjvwhD-3ExgoGyPcSgkc6TJPmcI82zPfWQzvMXRKclKZQfoYTXpzQGMW133BE19lN5Ggcy7ZmuBVZxRCahK_Z9zQuZ9vJSlxV9BL0mNoFj3FLS0mp=w1200|https://lh3.googleusercontent.com/pw/AP1GczNXS4utoJlx4_7GoKqC7CO9Wbq37DVZQifVAp-n6NxRPk_ZCb89yQ-lA9xUWLxkLpI0wO24S2Ghdm-d5O8AGwHL5Td8LjbNo4LjOwc5fRNN6ic47HAg=w1200|https://lh3.googleusercontent.com/pw/AP1GczMa4DR2XVPvWzOWysHKfnzDi8BqpaOBTYtga1TplRv7tHSC82ylT4rP_vTI62-RJbKpko4kGxuQ2thdZNIqwaHgYaIaJ5SN6l4Pc1EhfLVUn5ZlOihd=w1200|https://lh3.googleusercontent.com/pw/AP1GczM3mY6blYS8jTGrtfIbBLjyDhtp3S-IovanEpvytdZA20lLiH4wJKGbAUVuCGsfoj04697BTI3ZHIucmlOZZXswF8ocAZZ3jJG2X384f5REtpsB2Vva=w1200|https://lh3.googleusercontent.com/pw/AP1GczNY7SrFW_wMm8etD6Uu_-iXzcnDtyuQqioe8TH4U_iKjI20nGDRr8KdFDRRewt3hGFayK1ul7BMbS486WTcEWfoxVHvPfkbWoGrcBTj4D4YPvNjNSJu=w1200|https://lh3.googleusercontent.com/pw/AP1GczNa4aNTvPjlKNG6N6_Nfs4OB-KD19DcLeTbjs0w6EfS0gx61yTK1nvlVRtFqoLVbUiz7_NGp40q7xk88AMMVIgbE5aYiXaBucVD8KriqMhv_XmtGRHw=w1200|https://lh3.googleusercontent.com/pw/AP1GczPTpYoUX3tsg9idhyD4d5fB6_c5mcFkS5mjc7RieyG8PbfEh0d_NuHgE-1z_nsUDKkoBGKLJ1_XPuhbN_JQioWLJY1ubem02BjCGM-s1LbvRsZcpmUQ=w1200|https://lh3.googleusercontent.com/pw/AP1GczM6lmuoa0gLaxZOiGEFLyON-Z_z0kzUETA7RsigIOVQzBQFZIh0l64dJwj7u4ClXFBBKOYCQGsmHnh3MBzDxuXx3qbFJSfjCWgRnEuDzO5JUQkcAveQ=w1200|https://lh3.googleusercontent.com/pw/AP1GczMhQpoOv0SRd61zUoOE0ux09z9kuEt09qjhgfYIAsUclJeSBSCzE37Q0CxR4gnE_Q02P_vrDMAP4m2PVzdIiyKQUfVGyESuE4dqm55v8Yy3y9cmQObu=w1200|https://lh3.googleusercontent.com/pw/AP1GczOsWR9Y6oT4NctiLrzfXtOTXU8qKVlXAymwAE5Sy083wmTNjjY_R4Gu4apkyiHKuF1hP3L79NDR0rnH0Dza_CR4JOyueQ3O9Rx8-NE4Y6-OxGw99xde=w1200|https://lh3.googleusercontent.com/pw/AP1GczMyBv9OxYPUMu6rIHWa41j8cFqyZ3bVceSNfhvrTSzFmjswyZR-g1s6h-ZNRFj3NAmJNQXJdOJlqoK8rM-bZammYtJIDSLUKN-INh6gyHb9Z84FejWk=w1200|https://lh3.googleusercontent.com/pw/AP1GczO6npkOYgP579RnhpK7WZN_ccgH6ko0CSgOnYx7Niukq6CV4AZE2w0j9yDAeMUAjr7bvMgfudvoqxOfMXdcz1xRDzG2TzN24hlHgnAFGqbbOHyeufgr=w1200|https://lh3.googleusercontent.com/pw/AP1GczM7lhs4cMXRC2feLAOqVIUMJpNgWV7H7wotITW7pFgxW93-anEhE5zaT3C7BeH7EjQUN0p4vzP7-5NTSOFurVmEkLqURR4yZHWEPzBjjWvKgtxKYbKA=w1200|https://lh3.googleusercontent.com/pw/AP1GczOfCuinx3zFk8zktHBYR0GNiZRlomp84R-sGjOcJFDNAp7YaR4CSYRRvjUe-Bz0wjR7f5Agu9Mu_vCGs3EJCgeiyV-Fd2cOaEqiqQs3J2ALBbCTq705=w1200|https://lh3.googleusercontent.com/pw/AP1GczNIvBm_7qXu23jNh6EXTeL5ZolLPuYcEIzHnETL5zOBIMNU1Tywud_5NWuqiIANxTLreHd_DlGIk8pOBoHK25TPn0rvvfzG8cNAb5kWhSyAo31EAkzx=w1200|https://lh3.googleusercontent.com/pw/AP1GczNLoOHAsdEOK8Jg57n_e4d90rueZAfUIwg3alEw9n8OBRRyNkNpZkfmu3-X9q-KRaHVEwbhFCE5NaRhw7cATAY6gyL_MjRWYt3mc8qZzn7ZalUcYQFn=w1200|https://lh3.googleusercontent.com/pw/AP1GczMn9mlDJS6W39Qv8iBSnjui6XiDjEQe_D1F2CuosMybDJS96E5Ajw5XGW6k5-UtWZ-b8zUbEEqiULvJQr5tTKUa7nTnWwB9A5M89qJf0p9omjpuZg9u=w1200|https://lh3.googleusercontent.com/pw/AP1GczOQ1mJaQFAnd12NOSHMxPwQcxolSNN4NEywvyKJw145BQfsFS2bLCFTy1pLBb_mvMriG-TQCh3OwXrJ2ohW3aDcTIebcx83pJfJX8ucLzIFKJ7nBZjU=w1200|https://lh3.googleusercontent.com/pw/AP1GczN4AQY5WhLoES2c7FGUoXLPkhu0OSqTrvPZjEAkSHJw5pv_MuBXOZOSSK5F2dDYOyF-mZbo3pr2VWCoRst64_6zvDa_bW8Y9Xmw1Tp7QKZNIJQc9if7=w1200|https://lh3.googleusercontent.com/pw/AP1GczPnApRnn-e4GIXamJK8Yynzvnp9pR8aquvM-ipnwrzA4bB1BwF71d_lYPK1MxuhqK5e88kO_eN3FsJ3NjDIPxKZn47gpjnN41ejeTWvJ86m8nZ5npy8=w1200|https://lh3.googleusercontent.com/pw/AP1GczMggIxSG2_Y2c-vmi4VPU25Rkwj-rvL2pJhC7SgiL5JcWPRcjP9sf9cvFqjLqChLB1STUYqI8Ew_r1oghHo3YRGYMYO4DoSJP9B57ka42OrF2thdwf_=w1200|https://lh3.googleusercontent.com/pw/AP1GczO_UG_oqbrhS0yUCmqEwmCsJeQowTn-1GNLnK_V15ZDH23IZu2oP4KtHeMOVRO_f09goN2xmzFtKckCqjU7K_6thUyc5vdOLhiP2-9OohsCjWHm0jSE=w1200|https://lh3.googleusercontent.com/pw/AP1GczNGdPW2Wpke8nX6DX2Gq-sFTZ1Z63ixmcgQvtKNM1CSK3AH0MK2XltSep1kIi2S6kx7Y4ccJT6VZq8kVX2Y3wYPsRp1HuV72b7qzCucoIKMmt_w18_L=w1200|https://lh3.googleusercontent.com/pw/AP1GczNHgaHv_LqhfGuTsK2AeucwKAzHWWoQfGw4yi3rph-UBC0soDzhJEHUxIz6-hobQLVK6TLT7ZF5CsROor_EnkQg_Dh4cs-im0QS71c4SxRgcFzsHx04=w1200|https://lh3.googleusercontent.com/pw/AP1GczNduvyt0LycZyvc1_bcjF53QrvacYlWiIlgZyRlmdvUfYGRRUG_h8Ew_TE9a_SWt0OqCuMfNq71tFdTLUjR_7AB0PDx_CmSUx9S8JqrBGgNPP81Ow7G=w1200|https://lh3.googleusercontent.com/pw/AP1GczPtFbhCbkElILz2W72wSTa208c_Px1-4SmnAvYzXWPFJghw7aX2YoqH3iaigo3i9uPcsZKHy_KXPcSTIwGrAs9btyy51jbVrCTAGZk9nsZfOJDwwqaa=w1200|https://lh3.googleusercontent.com/pw/AP1GczOTLLwiBq1Mn5VGbBiWFjz4vralYwEmZKWwPI2Wu74mYiJop6dvHXwfa3VvpyQWrnRoMmgWQl3gEG7xUwg_Im32LHnOg6WzCtIGPHojolOKKLpfQchb=w1200|https://lh3.googleusercontent.com/pw/AP1GczOF4TlXVueQMxRo0y0WE76tkizOnjysf5k7QIL2tl4KmXtwk3bcITge7PePWZ74m_AV7PDPzPMJnZMSFv5XKuHaWJeIJdXRFZtIO0T53sZBtM3UmH5h=w1200|https://lh3.googleusercontent.com/pw/AP1GczNsCK9uyA42PzdoyJjwDH6jTLQ5fEKl4bq8cBiZebK3gK_Ho3Ss1yA64pEjnfI5orEGJY2aXG171yc0xHOeIM6qA6v4EfMPZS56HgiXTN0TE7iR0emF=w1200|https://lh3.googleusercontent.com/pw/AP1GczNZti0o-fP50GKpi--LALAuXEThvMcfK5ZzjhQaiHY28F_1E7zLlB17CELehVBIkjcal2DxgRmbCl9I60tRZqtKM-5K7Glx8sUUYAbWMmD37SalZzzs=w1200|https://lh3.googleusercontent.com/pw/AP1GczNbt9bPVrjUpYtrA6bVXj-x3RMN1P37Q5corc6k5gr7ThtJiVDI5dBV3f-S9AmNXA6k7VnV6Cw-3ewAlcLUjihexcKu62Ensmo05gJ591C8MQx3wY8s=w1200|https://lh3.googleusercontent.com/pw/AP1GczNdZGdX32PLv5j5_ZFUQTzUZiDcWrN8rxILEf2Bnv9pdHDtSanrLeQbclnXNdNtvU1omDAqtrGr46dN4Q1nClQEIEuFSrtPXwiUhpzmGpEEaVSwCMtU=w1200|https://lh3.googleusercontent.com/pw/AP1GczMk5EnkDIvcKKqdUKcNCUgoFDqfZcKVnHVgw7KpKErIbBytngiiqs0Nx7X1ZXQmSquKnY6SmaiqTQIbRNzWLgDISDzZdmIAO-ZEez41KDrKex-6BARY=w1200|https://lh3.googleusercontent.com/pw/AP1GczPRpgZzuqJP_FLBfDbe9YVHQmeruNlvgyfTSl4OY2rhlVZmBnK8HkV5y1yJDFSHfP0tHWHmj4Vdzbn83Gc7_-XjYIw4BR1Wn1eBCc4GGoQxjJiqx30B=w1200|https://lh3.googleusercontent.com/pw/AP1GczO66raXmzOfVhqQRrpSjRsai_5wnrC8migr1fZUtfQuwxtnbcTmyJAV2J4Z6whM-RDOtlroiGoYMUWmGX1VRCyHSo48CozrWmJFHMFuP_70rGdyQptj=w1200|https://lh3.googleusercontent.com/pw/AP1GczNLvSuytzUjawKPXE4JsnShA97iLhDI6VYqNzRqOWmT2nFpNjWGoON_bKofY4S8dx4Y3qE51G44nwGd1H5uxqefb_ij3osNvA-M2yZdAB_UadnBFDki=w1200|https://lh3.googleusercontent.com/pw/AP1GczOl2oQcfb-ePRiviQtM4n5jHvrxyVQTbqfjr8ZDeBdf1OvvcSmoHaZBYH3YprX_I2HDCTiJBeCRbL2TD9yxjSe4qoFsYDQPeUQojc1BCNJjE5CdpVYx=w1200</t>
  </si>
  <si>
    <t>679</t>
  </si>
  <si>
    <t>https://photos.app.goo.gl/mgnjoNSbpQmhwobf8</t>
  </si>
  <si>
    <t>Área 152,10 M2, Construida 154,29 m2, Portería 24 horas, sala de espera, cuatro piscinas (2 para adultos, 2 para niños), dos parques infantiles, polideportivo, tres salones comunales, zonas verdes. La casa consta de: esquinera. Primer piso: garaje para 2 vahiculos cubierto amplio y techado, hall de entrada, Sala amplia con ventilador de techo, comedor independiente, baño social con mueble, cocina integral abierta, depósito, sala adicional techada por el lado del patio, cuarto de estudio con mueble biblioteca. Segundo piso: Tres alcobas amplias con aire acondicionado, una alcoba con acceso a terraza, alcoba principal con baño y vestier, baño auxiliar, balcón que comunica con alcoba auxiliar, pisos en porcelanato. cortinas en toda la casa. Estrato 5</t>
  </si>
  <si>
    <t>Casa 93 - Alex</t>
  </si>
  <si>
    <t>https://lh3.googleusercontent.com/pw/AP1GczO7BzdIR2zBgzcSkaMg5QidmbPoIYa9V9KEvCRQTtG6G1aCKvehL6zqAobpu3mV_tP5WCSvbDo7oj_CnXWv3hJwCz2IdYfs9kVR0crR3nhnpBPnjtDo=w1200|https://lh3.googleusercontent.com/pw/AP1GczPE4WNIAxy-joP_KnQ0xHCy0adkdXy6tjfvvmOe1IMyfitit_VNLmc32VGLdf6DrttxYIs1BPrOlBqFVdCz8dBCYsaxqtxx0d5YnvTOdzbGRoDpy7hD=w1200|https://lh3.googleusercontent.com/pw/AP1GczN_oEu42mzNCdum8DdE1SwOcUlQ0xYxVnLQVkagOoPYoBkKOaltG611aTjvNZmMUtMQIE1y6Gghq6dX-4miBVd90-Yfrc_VE8yUTgH1VvnHxjIc2LhK=w1200|https://lh3.googleusercontent.com/pw/AP1GczPlIQY9gv7E_ys1AxWBC2iCMUYA6yg6Sfx7okHx1OVdPbSmqq3OzBDo_AMU1WfU3D-grzavqAhkrTzGWIaoOnq5z4OGoxcxLl4-W3GsU46WEZhzQC8h=w1200|https://lh3.googleusercontent.com/pw/AP1GczPZBSjBq3kUNPabVXQOLD9gY1fvL80BFkSTbrThn9i7OXExDE_l_PK0G_kcqxC820CElu9Ip3t6ob6OKbLu_jqPsvYCHibwaV9aerrW5V8bDDOuEFeJ=w1200|https://lh3.googleusercontent.com/pw/AP1GczPgI696n1PAddu-dYUVVufReaq03i84g8evI_eZfWjm8ZEm-ZEo6OsmHMIrbUn1CmglZcGdQ8XIlXRv-nf8IstcujrF1XyazKsJGdJdhoRXY5SZER6i=w1200|https://lh3.googleusercontent.com/pw/AP1GczP_wPaZdvuTg1djQeVed317UY-0QroBFE0vp8dl539_1t0CYNgrTs9oxhcej2ZdryOKCx1jpdfFb0FdstJf4Z1H8ZBjVDFXx78lII0tB8OcCNuuhJPV=w1200|https://lh3.googleusercontent.com/pw/AP1GczO5dzDVSan8Sr7LB_8X-1-PQL_a8TuFh7B4ImyhWLoSJiYDhSlMYHUYddhJbvITlb2Lcz5Xg68zCkqn8NxviG4B1hg2bAwm0GEAmNmBCPW54UnyRLfS=w1200|https://lh3.googleusercontent.com/pw/AP1GczOqndS6ysgqUOAtCN8yH_nGmFHv17JQAva4FmRLZI6yzNovaHTxn0aq8Hviex5YbCkrRDtXReYToKok8d1Cp9ouExnUMqj0LqHwbQZiDAgMOUX3wJ1T=w1200|https://lh3.googleusercontent.com/pw/AP1GczNezHV41q8lCRZuUls0SypTAM0Y8vKriVAaVNLjPAXDPsgCvaYrh5IkZKCdMAdBbGTs9XWoxMx4hy1TTQovrJ9AkzOCuEOLf3d_DVLWxzc-0SAeKXaK=w1200|https://lh3.googleusercontent.com/pw/AP1GczMIeh5hJzaG7DJ7IZH_fq0neV2SUUkuwMehxzIzWgYDjdQ9SXwvvGe_hfVfbpHorIYPotlOt8T7uVisaIKMCkYWUevJQY2to7Q7IhzTgsEeB42dzOaK=w1200|https://lh3.googleusercontent.com/pw/AP1GczP9KgN3vkrhPFV004ixYtjgu5nDt3jSkqlUn0V1xlmQkci8bef4xRsX8tgtu9oFKFf83ygS2G4fZcKvo7lRYRpVMCio4cgX3SmexgeTr7B7V-Q00hFn=w1200|https://lh3.googleusercontent.com/pw/AP1GczNygK9IwWeRpO4QqfyGV7e-OTGGAL_y2haloqtX66321lp1KFYdkODtp531cAQJNIm85F66A_OPgfkzcv1q0CLZv3RjLkp00zvVyHkVL8IFybGq6geJ=w1200|https://lh3.googleusercontent.com/pw/AP1GczNLaBkFopgYb0C4PO9YgTJSoYmmnHOCQRzNodgR4UOAhdwGnoEnvcgr05ED_oFmc0EV5Sdbpax2XArGn4_Z1Hjw-_PVvfU9L0UcHh4FQJ3mBUWIS9er=w1200|https://lh3.googleusercontent.com/pw/AP1GczM-3rSvgWh7z__XMDvp8IaYymB-oqy8NMWg-Gz6RHcRE9igOdEWZuR_Q2dn99t12tiHf9wqFvHiyveIWGeBk0osqTr0a5CjKtzYbeexK6oOKuGpzkW1=w1200|https://lh3.googleusercontent.com/pw/AP1GczNMIlMcSUPJC-750O7M272WKZedZINLzn46skWWrl_nCzVrM34BlrFPVN9hp8s0xSFGI7Fl6SRVk7SCXeN_qUhq97fP_-rXDI9eSMy1jWXonsVaMR66=w1200|https://lh3.googleusercontent.com/pw/AP1GczMusjtwq9jKFMRYxh1VeURT3lEvRdHg7c52ah4tXoCkWuTwpPaL2P3T8-xAHyp3HnTqVcHJjHZ2BnwLMOVydFlY0iOkjqf2a01XgzihfmUxfbS3PutV=w1200|https://lh3.googleusercontent.com/pw/AP1GczMN_p3d8riN9iCpd5IzY8yzq78_zPJo364aDnnUeHlSeJbi5F-jDho6sibZmFHbI8jzFG5y4ATkQZs-xpuff-bK8YLGdL_pgNVOVJiG7gCE0fzaqpeA=w1200|https://lh3.googleusercontent.com/pw/AP1GczN0awQwWZpWkNUmyE6cK3td8bmIgEsvqn8WK_9wea5AWX5QfOzeNyOBwG_9U70Isc_r8GHG1B-UN7yRxwLbgkd1xTXaoDGH54GGxcxVqvdjWZxjrkV6=w1200|https://lh3.googleusercontent.com/pw/AP1GczNHi1kqkjOR7Wji5qUpzgHfVgVPSg6TxY2A7qX3BHIYJKUNSdI0izUQje6WV5RvI3qfbY2qgQZe1RK0G-GRK_VIs8s4cVX8cDIhi1aD1L2bMutX7BRN=w1200|https://lh3.googleusercontent.com/pw/AP1GczNUsADXC9tsdPUyrlY8DeNHWCHGsy477MT68MF83_y7rutSRbalLGMttVivDLmRhvVzQANus8OMiTTvzzphp2YJvihA6xX_3Td9O1VbsrlKp4-Id0IQ=w1200|https://lh3.googleusercontent.com/pw/AP1GczOElocMeyByHIvfOowyuc1dpAi97NeUHcfkaxYC34gjhE9PXgohe4Fv54tnHGJOW9Y7ZfGkTRXghwhNIDwtIPLwhCRFfqN073Xk8MPKVUBrkjfLH_kB=w1200|https://lh3.googleusercontent.com/pw/AP1GczN5O3-8oPl1GQe8zIOnZdvVeySnZZuuDuI5C16DITRb8DFHr9tv0coiQJwBE-G3Whr65pXKOAXGLDJApw_JvZ0UILUSF3O885AG7pNYWmiKKgkosOY6=w1200|https://lh3.googleusercontent.com/pw/AP1GczM7ThWcYYErVBP_NgOn29jx7TzsKUOf4B2lPs3nDRoIyCPrtKGAukzPvKMj5c-j9VzH2hSaWkdHiiSd-DRYvp4BZDjJOqhwOVWGO607bR_uUty06svv=w1200|https://lh3.googleusercontent.com/pw/AP1GczOWId9eO7hYNmC2zj9nAcBRThZuFfqgc3nv7XnZIX82HPuUglRVailFjnH24A3GEnQ6p8jBxJN3-26HcHUQ3BUdjiJZuXyPw7pgEx19XJQoCGTo25nB=w1200|https://lh3.googleusercontent.com/pw/AP1GczO19ZZMdkrm_JbdArdeLkx5wBHPXji__knZ8BMRUEYjRTqGTyoagmcJE42ENKhRDEPn9Khjl-hjqt35ATBuuSjUy9N8HbWsJrTmbKnCstkBO3xxxMoq=w1200|https://lh3.googleusercontent.com/pw/AP1GczNshT6QvwtkTq-5Bv3jaL0JXHpw0JmUdVgKfJ_eJ04Bpq6dCLFMwgT6f2zeHe-eFOOJ9Mtyt9RLsXvHwKx7LfT5mkN_0sM5XUmzbLKisKrcE6dWq571=w1200|https://lh3.googleusercontent.com/pw/AP1GczPRs05yrnvIdonGUc-DPBnoaxLqFjFUf_ep3V2M1vuoNJ59YfBbEw4JdCFGgFUPrv5-XnpwgjzrvXwkZ4l8enbjxxIYN1oraUdSDt93tEaDNSBcljx8=w1200|https://lh3.googleusercontent.com/pw/AP1GczMFjAqDMVXhzRygD2K24WA4KemqVkD9ERs4vulImnXm9KGiwwVePQR6D3Mk3kBgXuQOMZ5uzijjcJ-Zq8OcmrmEMQ3uHx_ZYjQM6YY7v01SaQnUEssh=w1200|https://lh3.googleusercontent.com/pw/AP1GczPS6ru5qZi61z-XKB0p10NdeoR_tZyQkGpXyrI23i8R6MDwAjUsrr7FbBPvPu3BlREXGUxMhXnpgvhUIKNLYaREmeUAC4ZO1FO_-f5nQALw64iEAnkE=w1200|https://lh3.googleusercontent.com/pw/AP1GczPpvG5W6wPtsjNjrA3SKrjMhyq3_vFzteK15XjolZIO1hRZ8lddAN1Z_wkg6uieIYcyD2KlknI2CbFkYA33n4-XtHzREirvPyyZ9r3kIhA1E1sT93oF=w1200|https://lh3.googleusercontent.com/pw/AP1GczOmHMlsEuX6hSGGlKGURW7xazcuRFPj4HW-p6uTHVVmAJIDc0zUBc3OV4CvtwrpBMQoFnpfCxJfLevMlq7ingNlqywGXeAuQWgyRjOrleV1KkUKEMUI=w1200|https://lh3.googleusercontent.com/pw/AP1GczOfjcHVKVfiP-v6J2Ju_ToJznDmO2NlbqJZaHfxw2NaLL5dY9SyDBrmnHOoNoX07-xrVVsFNMR3FxSnAfb8ZPTFZKzhy5lFwntu8ie-o4MX3eLZdSDQ=w1200|https://lh3.googleusercontent.com/pw/AP1GczPFoE1xf3LpVSYNn0P5270e7gdVEqBdnMBTLbsJHIvGzdv_lMH3djDmtGiesVfWejo7dKUCpbs_ihCYt0zvC247FcHe0DSoDQO9NNLoLeKcCb9-FUz-=w1200|https://lh3.googleusercontent.com/pw/AP1GczMoRr0u_v5vkPJsZEdiXWS4Cenvnxk7_CkDeozgN4GHYQ7_H9COYm2WRyhyAECxdRINXAmx2wP1XbTX4MrdxLcSVHqreNoO256AItupI7l8Fb0cxotF=w1200|https://lh3.googleusercontent.com/pw/AP1GczNUbpSKz6RExTKLDjTTjbKdNY_JxA-M_PmgqLDQdr8IdvjG5dKLWcsQIHyRKvb0IiXc0A8YnC_JqItu9IDpPzXUPRB6t2P2YGiy-sORAEKK7O_3MijT=w1200|https://lh3.googleusercontent.com/pw/AP1GczO3zvYiC7AKAxE4fOCBUcI3YC1jLd0zS76mTzpyLBX9VhZ34hTdvoDFZ_7Cc4uZAxO1cYNOk3gzJtFFFXHIeTab28_SGPph0I5CDdKZD1u5Fu7gHQxO=w1200|https://lh3.googleusercontent.com/pw/AP1GczPQMjZ6c_a6xhLYYQqC29c1_AQJJ0-0bTRwSoPF8O8-h4MZbaNO9AjBsYzIsgu1Ts8Y7tz6tNg_aMo5LTRB1Y78gmWtVza30ND4u8AHiObNPt2lHxA2=w1200|https://lh3.googleusercontent.com/pw/AP1GczPIANy8ZDfm1TQOEfO1_aT9yDo72QYkzHNPFqFEcJFIV2YWeWjAcueuNsnpDWBFK6Ud02ySxYg7zjj1ukWyzlrppTRk7IWU_82MtOnBM3XO-UQHFEVO=w1200|https://lh3.googleusercontent.com/pw/AP1GczM-hmp0QumLNF_l8tXFjFcuoSggEfLStmKUKlqzl152yllOFf7R3aWNS-NhER4lu8xrGO79gU3b02wK6dltZYGSzxlQlkampa5sW5vNhovPpwi6eSVV=w1200|https://lh3.googleusercontent.com/pw/AP1GczPWCExRygHBrdKaKPuWIcPT-xMFR28QOW-T5A-VfG-g-3swMOuPivzEclhfIGEWYNtdL1iVnCHSuLc8xTscqCUjW_MGjLNYI6qHCD928HVxG05ilN0j=w1200|https://lh3.googleusercontent.com/pw/AP1GczOZTFXNTPK_7iukUtc5yZ_UgeMHpS3HVr303JhNksLUs2yiR0KN6HGBfn22cBXH7jd_bOorGCfuBETY_9-yAmg3RC4FRfVOy5lELAzzhZQpyrZqf_4Q=w1200|https://lh3.googleusercontent.com/pw/AP1GczN9p3J2SjVfH2al1XDz7roF0YM17RcqdwO6gW832eGzCegneXOrddxBcOboTtWySTcpxjdrnhoHhAD9T1jpk3THq2pXWbPHhx1fBdB5Rg1DMoaatxms=w1200|https://lh3.googleusercontent.com/pw/AP1GczOq3mQWL9uVEPHc1vk_2wEZjHOlaMEmDHFMO_mjcjdfiOfRZMHof_P7lM0G4MIEtNZnkFQN3rxRBfB4hJSgXTFkgJ69FP-qdBgUrc14kcVQYmEWNMX-=w1200|https://lh3.googleusercontent.com/pw/AP1GczMfXESXwCQ-Iubj-EpaqMOZW5yzV7CtotlfGvbB_WwDHzu1cwfloLnWwfinQJZwpjlAZYthyemqh8ay4iJHOl1YCvIfbfmXVAXCLUP2tpObXtu-mfQF=w1200|https://lh3.googleusercontent.com/pw/AP1GczM1Jzu9cOyVkwSKHNHrRN38v-ajqWVHd0yVrG3gVWWSacZYNYZYDkeOlytuRHbg0BMXHreMOYtUf4caQtj8rZwYyGPBIc5iDsHhdgV4EkcPSj6Q9_AB=w1200|https://lh3.googleusercontent.com/pw/AP1GczPx5Rd__wHLbMNk6ZPwhIeaLmXZFUVXO6a27-F2--K5Y5rwyradZl35UkHxFEpwKHJtsX1YNd8XNPe6vgeb6_YfXlKOVe86RN2SfACKfJZqw0Be9CgT=w1200|https://lh3.googleusercontent.com/pw/AP1GczM1hbdcxxwptoCL8MRGT7IX-_5E8ux9CWv-xKsqT8_nkC7MH1lsttz6k3mqFKqtb1LekhkFOrxbXBZIo-B_nCJtMVP_gT7XerTWeTd8nhoe84wcK8Ys=w1200|https://lh3.googleusercontent.com/pw/AP1GczOSqix_gJK-M3EbsPaLoSzd1Mp5Rhf7nXMhpAWpLq5STI19WFrDEh4HYr29CtbOCCRP7jGHhbilCHe42vHlgvelHUtr6vXr8nFllTcw_XxGGVyZciXj=w1200|https://lh3.googleusercontent.com/pw/AP1GczPTqWwKFTBNumjVeV4W5G9YSdlGkU5XqTzUKDWpEh5uxQV_J-DrsXkTonrYRwLkIgLrdt-XkAeNoeeRn07mY74dwONmQDlY9coX1c1HXfzL7TOLoLgT=w1200|https://lh3.googleusercontent.com/pw/AP1GczN7vpGGx8KSg3oR6vPdsqzl4Pjyc81y4jo5qnnI2T67CIiGvN7dY0K6c3tbi4KqHkkHMBq0NdcDmcYs29LtAWAwdQz8xAY8AWeWZ9uhXlFGx7ImkMg6=w1200|https://lh3.googleusercontent.com/pw/AP1GczP3fWS_A3r8LSFokwg9etBi-Xmivg5daxyOGi-OKv87INLcNJibKEeD--Dggewu7JcpjFtPyvVv-iJUuEQVLw-2-mHF3VS-XYcAMUO_8eAQUwoX3wU3=w1200|https://lh3.googleusercontent.com/pw/AP1GczNXuVumV5_DvP21Ac2KjxpvkYr8uwQ7fsCQKOAhnXBUbBLuL-y3rSPXn8SEk4-4sm9WfncVTM_Hk23eb_Sv2yrD5uWzBMUdOteOs5uk-DrvTYQR2fXm=w1200|https://lh3.googleusercontent.com/pw/AP1GczPFwsCPE3HkC4qHh6byvZM18KCIdP_7K03rj3Lome3F0Zt_WC9HfvkEYrRx9Kpz6tzGYl6qJNmMXgMvD9gtesdRK_1Nv4c80orPbvy9zKQho84rOnkW=w1200</t>
  </si>
  <si>
    <t>698</t>
  </si>
  <si>
    <t>Casa en conjunto Santorini I - Ipanema - Oriental</t>
  </si>
  <si>
    <t>Santorini I</t>
  </si>
  <si>
    <t>https://photos.app.goo.gl/JjoGmPa4S5W1AjTZ7</t>
  </si>
  <si>
    <t>Área 333 M2, construidos 157.82 M2, portería 24 horas, salón social, piscinas, parque para niños, parqueadero para visitantes, senderos, casa de 2 pisos esquinera, Primer piso: garaje para 2 vehiculos, antejardin amplio, garaje al lado de la casa, patio amplio, arboles frutales, entrada con puerta amplia, sala comedor, ventanal amplio que va hacia el patio, cocina integral tipo isla, sala adicional, baño social. Segundo piso: alcoba amplia con closet, alcoba adicional con acceso a terraza.</t>
  </si>
  <si>
    <t>Casa 46 MZ - E</t>
  </si>
  <si>
    <t>https://lh3.googleusercontent.com/pw/AP1GczMDeZEGQQpq6ZERXbbcZ9EPKVjgy-3EZxxG0qzuy0DNJte4IAkYqXSzOjChWpl39pdkQGxKCUqt8i_yQTsXrI8GbjuQvUk_Ir3ysGB-IFznjKG61foo=w1200|https://lh3.googleusercontent.com/pw/AP1GczOAtC6WxvXUaxcyV4sfToHiwwbpg-BAOgrJM6is5RNWEWRy3CszHGXlAzDxGCGGVZ3Hto0jWEEgTYcE0AEia45uOY9C6xq1szkL-8LiV2grpUIw3TjJ=w1200|https://lh3.googleusercontent.com/pw/AP1GczPkV1ZhT_dhJSNl_8snc22J9dzhdKFX4Q95qhy5_X3aOP1Ilju5jYpD0RfCNzGrHIEqjOfUbuSkZa1t5uWeJVWUufV9TQLjiMAhfKrikN61_MglxqqG=w1200|https://lh3.googleusercontent.com/pw/AP1GczOn2Hiri3JX9fGOFDjek1vdX0LQQuhJWMW9_bvbLfLI7s8Zy5Gq0GBcfRDRl_rmgUboIjgjAdZaiO-j2RStRbJcjRecyxqrtUXNyUc1BfxtmMwnEA1O=w1200|https://lh3.googleusercontent.com/pw/AP1GczPp_nzz0bkQpUb1uPi3dMlFEAhcfqfNgf1rsMUm_xD0yXVKvNKdNaywsLmRpx9u_YiNqBUOkHXsb0iEcd2FlFGWPWCsZqi3wEMZAe4W0xzgZMmWYG2m=w1200|https://lh3.googleusercontent.com/pw/AP1GczPMl5BYAUig8DY-rPmOXKl_ioZBQAsX4kny60SF9T1VwGEzq76cSzlisEGthsMUAky3xzrdkNRCQCfO6MgADUZK1Asd7W3ecqjRWjPURfsSgk6X2Kb-=w1200|https://lh3.googleusercontent.com/pw/AP1GczMVYN-IhSNPHfdz0a-s0QYzqQ9xxzNizSP7WGCudjmYML6nKMsoRlV3kOJUoFkliJpbhNL1FhZSKMvr1UmBI6hCb2Lp9n5fh_erd4rbRZN-79wqSYpw=w1200|https://lh3.googleusercontent.com/pw/AP1GczPu7krQbZXeyWtWllnMMrLOSNMKiVeg9H8T2WBtbipTf6q6fg6VfS2vkCHnbqzcACgUa11xRtT6r4IgGVAk-_YqKtIRmMyMJPiQwdbnvmUBt4V2uYLn=w1200|https://lh3.googleusercontent.com/pw/AP1GczPRqA6Zp4VSx2tq7w3J7czwNKxP3d5n3sYfAimT2WTe8OwURS3nUBHnYas68jdXGTPUu_gSBjXmG49jwCx6GkqTYYlMRGoKgS_LT-zUsdN6aTSmHhPz=w1200|https://lh3.googleusercontent.com/pw/AP1GczNFJpEH0pvz9_ji5fF0CGDt5y25mTsGYf-vrsgUqTEQdTlKg_ctOWVWC3jnUHzwxZR-MaQhuja3r6haC8HHS4y-_xQV10p6AtsTwD85t3DNidu1lmNb=w1200|https://lh3.googleusercontent.com/pw/AP1GczPjZb0zDrFyWeOlyedsYZ-QV1PcDGAsstonVaGPgWSQsDOAwXS0hbHpgx7myl9JEChkssOXrZkb1Y9q66mvYXXk3enZ5ysc5T8JagE3EPKif1FO-ySu=w1200|https://lh3.googleusercontent.com/pw/AP1GczOOEzP2nKRL8p6aCoz9d43C3jbWEB4bg82IpZ7wIdb5RuPnVpdrfBp1TCXYui_UISiFgbrELjVRMd1zqT5Z7UnruVdJd7HAmeCUV5qjl0ZezikIqgej=w1200|https://lh3.googleusercontent.com/pw/AP1GczOLOiAfP-ZM0YSlcyp220Ip1N9vqDnHOeO-VqyjMtSHHCQfCu9Uxj4rKv_zS4TBScTntU4LmU1Sgb3cEFF9T76e5hC2TMQ08-n-BoSzJ77hm5r-A_mf=w1200|https://lh3.googleusercontent.com/pw/AP1GczNaW8620cO7ZoAQJQlb4NN3FTapUAf6CuctJ9qADQqeoi27jIzOuaGNQLqIeTCyhLe2QsxUzij10M2xppd0Rmcx7zX3vBdBGRtOOOK-fGZdBuNwJ7gx=w1200|https://lh3.googleusercontent.com/pw/AP1GczMjviHasEEqKoh9mAT2Arxyrwzdyv1DxiTu102DLKYA01XvNASbpmpIsLCsvze7CtjkiJ8922UO60Txl0QKxkiodBIt1n7Erd42W8KV0XHr6twXhHSG=w1200|https://lh3.googleusercontent.com/pw/AP1GczNS3_7nF4Wq8MjQsbMW6xixSnx-qgkFYgGROAvPg5Ey8mc_Gp0D-i9fbHLMl2j4zwAlzAFCEx1M_mdYJ2SnLZbvlsLjR-QqX67PMM80dOgCrPLhFZLw=w1200|https://lh3.googleusercontent.com/pw/AP1GczMnWflNdjxVAngVtlNh7xERY_dBZYJR9tjpUFuKZevAeWgHM3_ivBzHx8tTBZPu_KV9H_zgqzzSrulWR6GoUIgKws7CJj8EHKR6w_7A8B-B0wGv_EQj=w1200|https://lh3.googleusercontent.com/pw/AP1GczNkQqzSe9MsyVV356XByyQAJHAeEAngEq1xT8qF22_c_58m0M0An2IuMJCciveuglBcyyOKp9ei-C1RY_ouxpdF4FNJ2ijYpCOUG_rVGqNLGWMOG45h=w1200</t>
  </si>
  <si>
    <t>714</t>
  </si>
  <si>
    <t>https://photos.app.goo.gl/9Rp7f5LJ5p7UsUfPA</t>
  </si>
  <si>
    <t>Área 172 M2 Portería 24 horas, sala de espera, cuatro piscinas (2 para adultos, 2 para niños), dos parques infantiles, polideportivo, tres salones comunales, zonas verdes. garaje techado para dos vehículos, antejardín, Primer piso: comedor amplio con ventilador de techo, y acceso al patio que tiene dos puertas en vidrio y corredizas que da mas amplitud, depósito, sala amplia con baño, cocina integral abierta, alcoba de servicio con baño, zona de lavandería, instalación para lavadora. Segundo piso: tres alcobas con closet y aire acondicionado, alcoba principal con baño privado y balcón que comunica a la alcoba auxiliar, una de las alcobas con terraza, baño de alcobas. pisos en porcelanato. cortinas en toda la casa. Estrato 5. Administración $490.000. Llaves (2) en porteria</t>
  </si>
  <si>
    <t>Casa 84</t>
  </si>
  <si>
    <t>https://lh3.googleusercontent.com/pw/AP1GczMD2-QWkBVltRrgMRgB-CCaQmw6J8VntkbAp7l6DInhYOd_vqbOHPn8pqA35FTts50jemi8YIIFiLj6gebjk8nEQpYP9cGuCm5uED8NyWhTinKyH2TA=w1200|https://lh3.googleusercontent.com/pw/AP1GczP8PdwEB-1SkEOBeBVLpDnzIWn_Ud1i236w_rgb4BQktAq2q3ewNOy8JZJMQhdI_hY56OJXNRkPWAW2unC6B1nC7ClTWQKWWfSRvj4NuHQxqok7oM0P=w1200|https://lh3.googleusercontent.com/pw/AP1GczPbL6kZdGSsp0Weea7wD7XxFYmApNj-g7bRomZgmVNAX5M8Z9rZfy65-n638TWQn8eBX0bfOwJfe5Y1irlNlcrEPqMVZlnPzCd13n_tX2UpGdD5UEEV=w1200|https://lh3.googleusercontent.com/pw/AP1GczME5aE1JVEg4PbJLobSYtlloTTixooyXOi9OYSdv46F0MmZIGa7CWUphlvux6zwzQ2XhuwY97xYN9M-1u9w6jbhKbo471n_pw6i_6RPvZTq2sI2UVcf=w1200|https://lh3.googleusercontent.com/pw/AP1GczMHy-EIW21wWXVoqBUIuBgbhx3L9bV2BAEatZozsKjr6DfnXZiDr5SsTBlf4lz4YARM1bG1Rfyt5IVgROwpb1vCPrFoZlT2WV6hepsbxJwsl0KeUB39=w1200|https://lh3.googleusercontent.com/pw/AP1GczPEnIrjIdsReDHML9ZQpI_Vl_hz9_Apni3BlM2R3HIU5_4vZFtEU5p5EP_SE0e84nAIVFjI1F74sBj_oH8lVxHokIa6DQq7EM6gb5b0csCoWrTxIMV7=w1200|https://lh3.googleusercontent.com/pw/AP1GczM2ZpydvQPpgcN2HOyKm9VOOtQERVDK0fOv3GanxFVWHwr6MLtpMzPN0qzGeYM4ioDYo0Xf9qHrv-X49iNXPUCyaWmkxZX_SMasPxpyAorQGk3jlv5v=w1200|https://lh3.googleusercontent.com/pw/AP1GczP2m8Q3HfuSnOSmTGhHst7ZVobjq_VDOympJre87uiBIO2NNnH5vubVz88y1Tr9CiStkKF54V3WqtF5oDPvVE1ABRhXbl1SI-qjmncrqDAYeLy9YSRg=w1200|https://lh3.googleusercontent.com/pw/AP1GczM0DHFnpc_nLQHQwJzyOyr9LjC8Z1jsG3V7Z4y8NAAusuF4xozEuziKPJtoHFxpSm0hCs95NDcA8m2jf7Z4wAcF2ChpMxH4DW2t61_ntooLyX8iGCoP=w1200|https://lh3.googleusercontent.com/pw/AP1GczMkFrU7R-BqGMvadrV9Ca29M9poIrNArrHp579bRDWBOlc295z_zZ8FY7t2cdlxUQ5Vyp_6arNzD2cOvs_CSTM28uj7lP1FcqY2cjVu37OUobXlL2lV=w1200|https://lh3.googleusercontent.com/pw/AP1GczPQQHbH1IgRNjavvqbaida9r_Q1EimvEQVjHWpecfaHOpxcgyKAjCXHDJMc4B9ozaDdfHULIY1E90EjNlyL6UUvmZ_zZVSYy9ClZkMF3cmoE1cxzJa8=w1200|https://lh3.googleusercontent.com/pw/AP1GczMOME253i3UDlZSoAevmhYV9kX9lImvVatZSegBcZ_N_f6_Xr7urXNl1kTY1IgY0WO7reQnb5iFnvSdHsKCEhZukpiJnVGD7ukbdfJEcOW6Ng4Awy5P=w1200|https://lh3.googleusercontent.com/pw/AP1GczMr-H0zf06qWwTo770DpPedcvuRpZB92EI4BM-kakmxWsWzTgciP5hB9_oKNGIQMNZEgK1kqH5q2P9VGK7amvN0Mx8EXJhgTjboJab0UdpLO0i-6rVc=w1200|https://lh3.googleusercontent.com/pw/AP1GczOFnzhh_8fCyhWq9SoWx9tFNO4tFDY-fZyHyu0Nn_WzYMZi0Eu-sl5cFMzmmc7FWrTNgEhrt9je2AyGh5fzw_Ln2nW1X4ijNkLsYkI3MjEn7LQ19dbj=w1200|https://lh3.googleusercontent.com/pw/AP1GczNWh-ViDbaO2dFDMeQsX8zGeZ7oop8krJ6CamHIJl4MgwGWm2l_DGRG3IfCgtp-hrR6lsCAHhiQNntS4rcWTARVYwUQy2kbHv0ScIuh8iPbRw8uEMOA=w1200|https://lh3.googleusercontent.com/pw/AP1GczPsLzm_F4ag09e_hFIcX8i4JcXVIa6WJmazWkcXdOalvThHVdn3szp3bPheBrT4c1g20xwYhvVEeMpdvsgpwRtlNqBWdIjOp4LJbujSHWiclW0FVweG=w1200|https://lh3.googleusercontent.com/pw/AP1GczN-qa2X5t7WPPkTPfp-q0RLtvaMjJAA2udHHikueBQcRJw92VxStIiLFmmXDrrPGdjAbAaAcKha9Na7eM4qocxdZJpc7IaeC5FFv_gAjEBnObH0LKE7=w1200|https://lh3.googleusercontent.com/pw/AP1GczNzxROVRoG49d05Tbneh4J7cOz3LStBwla7WbqBQfCnFo6JN1TfiUO97E9wYIi5m3qFvHnKxlfBbAg38wQiiQZ-5wCbNMbpVQDQM-mp4kUWBhLQ4CH8=w1200|https://lh3.googleusercontent.com/pw/AP1GczPcZyQkvFcWg5KgBmBesy-JcA1xrhKzGlOsfjEGaUKQ0oLBWu5bAzo23aATEpab9tIEqDzOY3UdwoZICMRYi1UeGiJHoCo5xJb_IoRqCFX2oPnFH2hI=w1200|https://lh3.googleusercontent.com/pw/AP1GczM_PSruZCJnRVY43YO3D4TXhbOMAUxiPpQuItagMY2JSZjAFvW868TP_LCl0tNlitN3Rv51IerjMcTU0TQAnGDm6Paow7CxiYT0Ce6-uOyTwkX7wqOP=w1200|https://lh3.googleusercontent.com/pw/AP1GczPt8B9lKy1l0dkhB4_JGXuoAB5AgVP3LF6lWI4SRr-wdGG06_7SbCH7JPR-F45kxrJbsCsN6lA1GLNt4Auez5_QfKLeTTNck0NjrvO8Ll0pbeXlpgtH=w1200|https://lh3.googleusercontent.com/pw/AP1GczMhSagUbH4njCPjFnHvlA2hcJo838KShX-yjBdtR8u0DGjxGQUxKhboVwvkKbfi9fXQ6KjFuj5Q6XeKJRLlhskITBsJ1ovDJgEGCU2KriZ4S0WF4Y1z=w1200|https://lh3.googleusercontent.com/pw/AP1GczOkg-OYOAz1HBbGLA-aNYqPi5UcmKQ32w8y0smxJsxtTJSG835cFsk_6uItxfc1Meiqfdol_HFR6SXXX9t4q90UBTEF3fM_c_ujU3V9edGmHe2aOFSL=w1200|https://lh3.googleusercontent.com/pw/AP1GczMEV2b5dggeHPaSYp2WNIWvOWP_nvJ2eS3s7f7W-WtcIAy_s7xzsQTxgtU5BcsIKEkOZZ-pYH41Ho89I6ZXW6dADN5aa31s9R9oiaZYuyrCc5A_OU_Q=w1200|https://lh3.googleusercontent.com/pw/AP1GczOiXr1-2UTd-g4ZyW0voXcd8cHVsC5zG8Nnc2hC60WbSDVTJm4gc3i0nxxL9NKk_VbUfp9Z7xV-YAXYHXWW4YkX0ow1elVpdRxs8mPnCZlQC6PtzUS9=w1200|https://lh3.googleusercontent.com/pw/AP1GczMBhei8RsWoug7Lt-qNW_qt-s4RHXMLfqxoFDvV_PpAMg3s6quBdBItBKBqz4kbkqgb94RNFo57dK4_9iIAbPVwRVdoeqFMf_TFGRYR0YkVTUF6uDrr=w1200|https://lh3.googleusercontent.com/pw/AP1GczOWeZOBMoXvKw2swUd5O8A0-9y7-WP2J31_0JovHBcXS8zwsAR084fN1wUlTgFwZbZYefRp7ken7Bo7vnm9NbYc469esCF9DC7QgHbv2uArIkqHwxgQ=w1200|https://lh3.googleusercontent.com/pw/AP1GczP7WuyQbnM8eMV-pmfgLVKw2pmEFARuFubCj6zgqQmcaN41hets9KGOdTS_ZZ6rRRqNk6m-X9RUv3wcummIRn7Gzzd9ZGWJShCC87Uki6zNpCC-TJKU=w1200|https://lh3.googleusercontent.com/pw/AP1GczMNSDeN_bvf3FSrscaHVfPVE4Ino4akyyJ1dgNJSqb10qotqm2gT0MtXtaTJoDTlKsG-IAhJNgN5HqvmUpcgxM13VgjzJY8hVCXp7AQ-RZtXGvWhdqH=w1200|https://lh3.googleusercontent.com/pw/AP1GczMRFtNwON32KtfBisCAPpVp4CMOI6JqI_9FjEk8UgQim5mtsJNWE3hOmvOOfQ3JZVEYntmCSruZP1FQ2TKTH7dujkgopZa-HEHVXaL0_33FFiTrLlgi=w1200|https://lh3.googleusercontent.com/pw/AP1GczNHzzsB68_erqr4x7r3zf1EsaP4ifAmtnNkX7w4mklhMPxXBFx-CIdIEiS88q3CpZnvw1xifwzmY70_12ewd4szQH9fGAYrcoQIcCOICbMKWCO5S5_m=w1200|https://lh3.googleusercontent.com/pw/AP1GczOr_4Dq1p-9keYkpTEKsRtpcIwmgVsFYQEuxhDDFPom2ock7gYgM8E3xA3aXCCzygLQYXBtwaHTwavtaSAQG3SdTGax97_ztzAUp_-lOiBMiIU7RnDy=w1200|https://lh3.googleusercontent.com/pw/AP1GczPu9kbBfmTgfeLDMKnx_2DVyMzy4fzq-4OG-X_ZYuZWr7Fdk0DCHbSG_lTfa2ViUNeJltsXiBG4MZsy15mLwi_R_Zq-CgdzfTpZsyT_rpvjD3aJca8Y=w1200|https://lh3.googleusercontent.com/pw/AP1GczMOI4NK3LKQ5WF0o5U_NSKEMfsRtZ90oqLkqIR5il_edPTZAtIFWAx2h0iXb9MJFxbEgZqCI-X4ndJnze_1ZAqvDNdqn3v1y3qjQHTJXI2m4Kjo-dSB=w1200|https://lh3.googleusercontent.com/pw/AP1GczMJ9jL6QfVjeYXhWL1aP2_0vDzV_1937sLFMeHHqsJuRDSQQpZaksz8dUcN5k6oYUibGOcEgjrbY-gkePiA0AoDTq2CkuQBAjcRG7zYX4yTxhcqxGIV=w1200|https://lh3.googleusercontent.com/pw/AP1GczPc_mXembWg8z2HFUiytsFJGZ8ZB8omB9UqnH8SsbRtWdzhUs7DBOR0XKhGFCbwvcdNOy0O0AHczRZDCTQFUmmICJe8QrORf-il8urJ3uwb_P4Mx4eO=w1200|https://lh3.googleusercontent.com/pw/AP1GczOf1i6WmAkTTemX-d7QXr82bIkQlP114T_HghJxvFuNKsA5tprPI3JzhT-dYi4vtWQDDnKEHNKHUGi8-bEeALzNkIo8_sTgSHbDQOeUG88HSW6Vdfjs=w1200</t>
  </si>
  <si>
    <t>667</t>
  </si>
  <si>
    <t>Casa tipo IPS en barrio Quirinal</t>
  </si>
  <si>
    <t>https://photos.app.goo.gl/wnAKnpL8RqvjYTzi7</t>
  </si>
  <si>
    <t xml:space="preserve">Área 143 M2, construidos 221 M2, casa de dos pisos con antejardín amplio, con acceso de rampla, puerta metálica, puerta corrediza en aluminio, sala amplia, comedor, jardín zona húmeda, zona de cafetería, baño cocina integral cerrada, pisos en porcelanato, sótano debajo de la escalera. Segundo piso con escalera en forma de caracol con pasa manos en madera y decorado en piedra, pisos en mármol, sala, estudio con puerta en madera y vidrio, ventanal amplio con división metálica, pisos en baldosa, licorera en madera, tres alcobas con closet amplio, un alcoba con baño privado, pisos en baldosa, dos alcobas con vista hacia el primer piso de la zona húmeda, baño de alcobas con mueble en madera, closet, iluminación natura que da hacia la escalera.
</t>
  </si>
  <si>
    <t>Calle 18a # 7 - 21</t>
  </si>
  <si>
    <t>https://lh3.googleusercontent.com/pw/AP1GczOP7kTIcdcFaQxX6K84eL0qI2zx4lA2O2Grdr-3sjzrxHRGax7nlwujHi1KX6RpK97fIgOpNgg9tvsneaomLokgkRZthMAzpnwuuXtt5TiED7qhK03S=w1200|https://lh3.googleusercontent.com/pw/AP1GczPPKJLYJAV7DzvuluJuEnlsDkzwvvjn2JRi8nS9kCYxLWbYFDCWKSeGwIzuf5mZoACQzQQOd5WuLPJCoka0KmaiJKfTrBvj2B4ymFoRnNIUcKuQvAE1=w1200|https://lh3.googleusercontent.com/pw/AP1GczOorgtJyiSzZB1PoyDl-Dd_TPuVntSg-A-SQorF2lrZBey75xYJ8ws91hgyIlTyp-cWG0UewMxYpBuEEIGxqAjfLBnsMrLbI71XczvsnjczgSwHrLaM=w1200|https://lh3.googleusercontent.com/pw/AP1GczNkR1Irx2yaf2TITrlYPAEBQpbLwOdBCMPcsqAZ_78wFJhA3gfpCo-wFaYIJjMZeO2MinbJzx6wqLd3-s-c7Dngaa_NAxLCXmHfRn6Qx6yFrdi7BeQ7=w1200|https://lh3.googleusercontent.com/pw/AP1GczMcvP8L1Nx5tKB9z7GYrZ7Alu37LkClLCTMZBTJdwGH0uF3Bjg4sizhF3ygvbCcPwTU3rD_QSB5xCC1Ec2TDEsmqdDtli8RnhHLAcgJjiEFUMaTiusX=w1200|https://lh3.googleusercontent.com/pw/AP1GczNSXMLd8UZ2k2cwU3Li_gGt6wiCUS4ToL3CIINDbdHzxpijd0a3rt-YGHuxGwbMjR9qGdBiCWZHhRPBBoszIvXf_XD_aTWirixH0Hwm5MX1aXTIFbxP=w1200|https://lh3.googleusercontent.com/pw/AP1GczNlPxd70fo2J7pFPlv8SBcSjB_35bWvssSvV_VKfkOOqIjN6JVWwBigBSmWS4fbbQmUbhex22jBuvKTQw1NgO9fQr539na5tZYXA4lc-d9tAboOSNKJ=w1200|https://lh3.googleusercontent.com/pw/AP1GczMBzDonRbpS6JU3byBU2uh1FdtbxyBUE3OGjICsfiGhlaZI7GQibc18uXr_lxeULhaxjGdsTXKKQ9Z0QArVW8ZiijCu654iju5viWut6FVPLGSelvNt=w1200|https://lh3.googleusercontent.com/pw/AP1GczM6Vr5MdzgyFr-eXEX60BP61iGDFS30WsiH6tm-CyIe1Ijb6vePjeq0eszYHxF50bisjqkJjGsWBKWNYoM7lBhFGNopiQKSwqY1Wokl1Ubsy32AnuJB=w1200|https://lh3.googleusercontent.com/pw/AP1GczPyPucm40YC6mbqpjH51Fo8kN0NSchiCSsZ9O468AvEDotbvPDxxlBhYpSd7aRT5F2BX0-p8shpP6FrmwbPoakAmsvT4ujcTFIsL515CsoGhHeiDUTi=w1200|https://lh3.googleusercontent.com/pw/AP1GczPJ7TGYyTlcMo5ZXCayIlbgRij7iptYVlGn547kubEGEDTudYCxiQH1CuTKMenXCQb8T4nQh2MaCRaA-jYp1GV6Ff-VeISdy1-6YYiaq2OMX9Fw3Z6w=w1200|https://lh3.googleusercontent.com/pw/AP1GczPANsDfjaG44iCnfaSSAuMaPRPlMWgEoniMr-3Gtz7eGfxwz9VzCby7-oQGQCHyd2Bv595OVOoOEjXUJV5xqx8l8_Nk6Z0edrW73yEj6KTICg6xXdTu=w1200|https://lh3.googleusercontent.com/pw/AP1GczOjmamjRq35sn7y4JTy0c3UESDuKPXeUcU0WUcK8r8P8B1Y3UFLNVDFNezxMeZf2kuF0XgHNKKnprSZCIiSv0UVQosO5jHVGOTi3zZn88Pyci3WK_uv=w1200|https://lh3.googleusercontent.com/pw/AP1GczM3OYUOKuq3GaS0hynWWztN_MpJHIxtwZSEH6sBX2wJjnb8PJ6uAEN2FZmMAYLgmsO3QcSxRDNmKD1q_5Z82t68Iumt6pChZr1Of9GtlF6JbhIkQb-Q=w1200|https://lh3.googleusercontent.com/pw/AP1GczMG8ESV9llBx_adN0v-xQS3dnIomtQ_d-OIRrSMZa8lkg3CEsSB4mJzzj05cgdMJ-nUfeiugYChgpGXNElzrVlGWj4NVOMVwdcKJHkMtHtUUyjw0g_e=w1200|https://lh3.googleusercontent.com/pw/AP1GczNuSYsUUAE_RMSKs6040I0tpQ9NOq1zP3pEo6hewIwc_XwAtw6NL38P22UlcfBHhoYrHc0ckv3Fvz9aq-Zp_zJSW60c9A5zAvZBBISf5WoBxPgOJs0K=w1200|https://lh3.googleusercontent.com/pw/AP1GczMz9OwbgBf9ocesXO5RWRUAnAXku_US6qQxXCc8jxGYteRmIlxYSI5fMUs4OKLhNvGqHUuv4bCdnSMALB33gIhRpuPoaP5fpXjTmTSIv607izRc5S1U=w1200|https://lh3.googleusercontent.com/pw/AP1GczNe_2odF9vwHfeN88hP-ylvHfkDiD2WYrfHpyxyMb50igYYJ-CJgXJDOTo0BZeAXvmWhHHfmit3rYioW0h67urcFf7SXbhJb7PVx0Zk1N-OBbd_b09o=w1200|https://lh3.googleusercontent.com/pw/AP1GczNvQ9W_2iIYieCzg6R_msHuUiEK5xdvR6qbsOhdD9CjY1Q_jN0GHEtAXZOGF_sDv6-FI_imJMfNajWRWI0lJf4GnYaAd5b6yg74wVh0TODAvUuhMvou=w1200|https://lh3.googleusercontent.com/pw/AP1GczPXZquWAZf7f4SX2is6CTedzAHFaj1FMTZSOfGAh4T0PdzaiA_UrlfnUCnyNCIpyh548JU-1ZmznGKbM--Hts9ecS-veUZ0mCyUJBvdOpJN8k36TIRE=w1200|https://lh3.googleusercontent.com/pw/AP1GczPmPL0mqPKcLyqsshgVyzoWLyASV7ySI1sH_N-A0u6wuvIYI3Yzr_XUmEvq3OoqIv3m3qthdJHsRe_eOvwijtSiOxZ8ifZ5ZLsFHuQ91wX3gJF0iLHE=w1200|https://lh3.googleusercontent.com/pw/AP1GczPwwkza3__tbUYHLYrzhmrFZWq-5UsZ2Cs7kqs6nCFxD-w3vSQkLRZo_O0QArmr34W2o9K4jlRcsUFFxpwWHuZHWAoW_Gu4gTsjHx8gZ6sviwxxN9tW=w1200|https://lh3.googleusercontent.com/pw/AP1GczNJlg52UqB5Qnb-7Asv3odB2MGOIeGhBcnN9nBJhefV0KjWh6MZMzazT1lRWI_CAFEcLYHKi9mf3nuZ_UIkc6dceX66_eZleSnRXt2Q2orBzWES-AZy=w1200|https://lh3.googleusercontent.com/pw/AP1GczM6MGUJgEmfnT9DIp0Ro9dSPVkXJodk-bcmjpn786lN7iKl6eDCPxJQWvqy3YyOmqCQ7g7_sqpgNTInh3fVnt29BVXr4ERa5DlOMmwro6b3ijdxg5w0=w1200|https://lh3.googleusercontent.com/pw/AP1GczMwuVIIktIERiz_D11CW76gopnbRaD-KSUtsabYk5859o2UyJfm8yLhRcGbg15eQ0E2lvm1lGYyx4fCC8a1En2nVnDGaYx9YgzZEFYaZfdBBPHx0KbW=w1200|https://lh3.googleusercontent.com/pw/AP1GczOQ42bdCnKiGDFMQBHsg5FdJo8_vIBOfOn6D9zeCUd86nGEkSyDhxvg6DVmtMJiYulzE-xcanZGlWXNfOgDTmRD1iGjPzXlOIOJy8UAordas2ikF8iX=w1200|https://lh3.googleusercontent.com/pw/AP1GczPQOsozASWuXT1id6BahPmI-OR8IU2pHc58irb2ala1JxkgM-diotn74OJVEG3ZkwAwSdkR7jcjytwWO6brolgRiVtSqy6LESOpOrsa2U4JfLIQdMz7=w1200|https://lh3.googleusercontent.com/pw/AP1GczOVIlvJ02vHI6067WKfZEAjEOFT7MGp9lc8gqvWKHDIAkzIg1nsAJ2hpIG43Sy8GVcVQjy_FKDSspl1N7krn5LrSMh1wNxvIQreOF_WQBXeJLlxjA3F=w1200|https://lh3.googleusercontent.com/pw/AP1GczPurJ_E_qNGJC7eQ6CeZn7xpKahw12n_wVxsxJcE25txp4lOIuQJEJG3lCjAyQG_kGR5ubHPUp9TFCu-DVnQz5aLVXU49xJq46P7IWEzfNkTqZO4rO8=w1200|https://lh3.googleusercontent.com/pw/AP1GczMBrDEOhAavjlckAaEQexf2wNxZ1-P4pDPl5F5-js9RblyUIK69gLGt3k35rpTaPLBu4ud9J0SXtgJh8TuawwzlciyQxP1KE0Mx7H4-8RyTTeSEJb3v=w1200|https://lh3.googleusercontent.com/pw/AP1GczNW9WBa7hweo6Wfc3RO7spKW7mZC2JS_2D15kkfSAIGEoNr9RPxv9fIHnvmkzK12QM00ZTczuCgXdB3jLEhkptmZGLjSSFtmKltKG0CmtOVFDaC3ZI3=w1200|https://lh3.googleusercontent.com/pw/AP1GczOrGi7JKuwhxaF8Sprjj44ZaYH9_XDteFK4-SVqPCXBQe-k-BW0Lto3RMLmJPddKgewVOsTjgi181LI0bzFS8zXeyf8f2v2xjW6GmJ-sv_5-RVpQakX=w1200|https://lh3.googleusercontent.com/pw/AP1GczOqezXuJVze4EbKyFwCEuGNxG7aFMEO0qp2-Jm6NBDd8jbHg9SPT_RU5mSNKcXgRvPzho8XhaP-l7dfMHG74tUtdJDE_Wi-CDt1oeRFgchbXnSzh-19=w1200|https://lh3.googleusercontent.com/pw/AP1GczNKeilvB985jwZwHwy9vyfoULYcpGWEuKhQVBzN2boE5ZtXvIADiu1VyoXKJq-eB12UeMd64GkhnPUmdWJKRceybJLy4Z5740yiEgJvMhM2Ix-hmJ0G=w1200|https://lh3.googleusercontent.com/pw/AP1GczP4OcaTz8ow56HyFTkYg1nZ60DEuaUJ66upIv1v_FVZKyO6vCB8GqgIKwEGsnVLnh9EjBb1fg-6qy3L1nTBWGx055ZT6cOVIyz2bnknqNcW74yff6DZ=w1200|https://lh3.googleusercontent.com/pw/AP1GczMAcnQz9ArOsyfOK2xqI-HIDZ6R9ZUhBYP2A_E53TAG0RltP6qHxYJvr51WXm4shSH5JSQTixslxLjNvAH8Fgzrt0bHPqpxx60ga79ogQ6zo71U0iX2=w1200|https://lh3.googleusercontent.com/pw/AP1GczN27kYOIm2Wk_yDkRlkAma2ZjoJ2H4dZEYHPMa52P5VabPivn-3_GZlnK9CHEG9GEuZqgrW-W5yFdQVt5pOEgOZzyZ4Jw9NpMKtUObOd_xxG3vGApVu=w1200|https://lh3.googleusercontent.com/pw/AP1GczPNC1Z3NXoo3yHfKEtav6fff4rkY9_Wbwr53pe8CZQ9iXG-0rR4MI5ehPoHFylgfFtdwLCp_fXeG6CYSS3lTZ38E0GKnHjtvIlQ-RqWTiy5DXpZs-dF=w1200|https://lh3.googleusercontent.com/pw/AP1GczPp81qNIZwqzxnRdW8MK5liOJ768giHAp71hm-5f7YJXDS5GKtay1YwKGu4VTYijOTKPf5aj4SQvGHFfw-HWVNCOQ6WT00TOQ0zS3xf1GTDPp8lj4T3=w1200|https://lh3.googleusercontent.com/pw/AP1GczOGQSh_ioIiZH-P0R5aNjyFRvTlN2G_XxoBS_9oWucn053FbWDzqALi6RgoAuRQCyiHTvyD41iH116aVYy2HFwF1iJXQrqJ3QHzUFfIrfmBkdgdhLAj=w1200|https://lh3.googleusercontent.com/pw/AP1GczPdW5bTnz4WcRbu2NGyRWtjN77xLqYZMLGvY5Qu-DkR7hCGXKoGVmlpviquXLhFUuGBlln5e1SRq_UJNjb6vhhLOeCFHjMntu0C9f1UEnSJGDfDTATY=w1200|https://lh3.googleusercontent.com/pw/AP1GczNs1LyluWpyIYYwvqW-AEEnksdXCtL4fz0b0R544blMGfeXBc30Tb5t1FqkuaVePsuTfOMTUXp4_tbx-K8APeIN9hWXUrQSG0wd4hoEXMhKoDF3IB4w=w1200|https://lh3.googleusercontent.com/pw/AP1GczPmeY4e9l0l3Ia0_MIY_OeqIGkdzbc-OFwR-J8OrY9XrcgpYD93jS-oDL3WX5fMxALYhBJcvB2UDGHhWrVavgjmUIVhCqj9qfRNuC-qJoMTlp5RKLlO=w1200</t>
  </si>
  <si>
    <t>682</t>
  </si>
  <si>
    <t>https://photos.app.goo.gl/hAvzwwsg7oHc6C58A</t>
  </si>
  <si>
    <t>Ciudadela Tangara Nio, ubicada en el sector norte al lado del san pedro plaza comercial, calle principal con acceso al comercio, iglesia, aeropuerto, a 10 minutos al centro de Neiva. Apartamento ubicado en piso 17 con vista exterior hacia la avenida, Área 113.82 m2, Construidos 103.18 M2, sala, comedor, balcon amplio, con cortinas electricas en black out, estudio con mueble, corredor, estar de alcobas, tres alcobas con closet, cortinas en black out, alcoba principal con vestier y baño, baño social. pisos en porcelanato, Estrato 4. dos parqueaderos subterráneos, un depósito. cada inmueble con clt independiente. Cuota de administración $359.000</t>
  </si>
  <si>
    <t>Apto 17-17 T2</t>
  </si>
  <si>
    <t>https://lh3.googleusercontent.com/pw/AP1GczPsU_aSyVbC6EU7B1eojeNh-heAhwjxvutJvPaNLWB0EBl5XNrvG-FMcU_ee2ZmIDLXMPuZ6_VUqShBjhdVQZUCpyTTFVGJ6gRn82Bnpz06gtNZZBg3=w1200|https://lh3.googleusercontent.com/pw/AP1GczMrPn_PURws7fvXP9Yu8ABFJA7FypksCEXGjtPbdpp1Hzmur7yWV73-hQSUy1wLn8B5m_qJJVkqIZhvd-zlsw5Mt1b39HsV2DW8t7I_qT4axDQODpjQ=w1200|https://lh3.googleusercontent.com/pw/AP1GczMaf_MCs1tTnw6nGFUlhB5hLNOCNO8k41vv1YQeyN-d-MK2po9D5vJbSgtyc-nGBKx06Dmd3k2-74f8VsrfscXtxsHSiranOG9PgylIlkjeRGJasjnY=w1200|https://lh3.googleusercontent.com/pw/AP1GczOX3ejpnjkWgMUm89fMt2VGxgPGjO2gmmZ_MPD16H0jp9QZ_rz5ZFjEYhY11FsbNHWUGsHywQu0QNfoN_i18RuZKgBuXwzqo_AQrfAVRKPqZsPFmsxL=w1200|https://lh3.googleusercontent.com/pw/AP1GczM9tGLDIMAlvQVJpY47unPqAcbiBJxIToE6XgUxXyQFYszcMckBKsaPK74B8neqdhND7VjgydjhcnIuAMAH4jebY4A3zsRgX40vh1DCSEs-J81XyHuv=w1200|https://lh3.googleusercontent.com/pw/AP1GczO81rQAWV4CU-kLL_gdjsgY0ie3lw5hE3uwNtHOIeCFR_0E_NWnbNpR45AJ1ofIkJxzHjL7qsTJa7fpKIP7NI_1OGfOnxh8mGsv9W2xk5fCJyHy-IyW=w1200|https://lh3.googleusercontent.com/pw/AP1GczOxjbQ-6yY3A6E6gk0SFw7er5QwENBv-Suya96gHhVqfe99vmU6NAp065n95kXwoP2nCEGM5zHkS4EZLJnS6xZpjTwJS8aldIHeto0SW7CG2oLNpQI3=w1200|https://lh3.googleusercontent.com/pw/AP1GczPjikB430gC4XS-laZJtSEvMrv2xoLxkzAceSPjgxPBwYzHonrB_e5hJHtmuZeuaePDBNv20n0s36K2p96LeTME6q_94vXtmqxPjvLZk5aUXnon_f4Q=w1200|https://lh3.googleusercontent.com/pw/AP1GczOP5w_uepmdS8hfWGBJECFVDfAlFQMxfP8jz6nnzf-CnLORZgZ71JRmqoGpfVjmqcJtQ6r1vtJxmyfrbgAqW3m-rVy8cHq1mFkMhUNQfR2TPO7Wd1dL=w1200|https://lh3.googleusercontent.com/pw/AP1GczOuYrn67d4eUvWEIRunESG4rkqJJguZQy4N4JdCb5kN6xYQF-ThFpdo30--QinNK2uDB4pPN4MOkagwMSYk5l_zWwLcb_lmZCFZKpItYvs3tlznalqx=w1200|https://lh3.googleusercontent.com/pw/AP1GczN5n-u3S1XLg4Lx4C4Y3K6RFcOoo36AZ4MdftJgCdQJwYjNltOYShrG6QYriippiEOnv0qsUuxjzqNnIkH6S5OhvIpf-wlCc0k38wRG9QlPyrr9qhZX=w1200|https://lh3.googleusercontent.com/pw/AP1GczOL614yHp1imm0JQsuq2Hs3DQY_tBhrXpwPLXtEIwlyxVH5-Jn2jyD53LmjWqn4sMY9eTVt9pArb8MO4yjHUZpCMFFJzEnAXDDzdcZ-hSLGGCT9_CqA=w1200|https://lh3.googleusercontent.com/pw/AP1GczN_vsDFWKnJjiYNkGKP-u3nOmhTrwHiSdx_4jF-FT16B55WMXsUsapeARK0PkE3nW70W38V9HuSOTlKikt-bClAUtQCYsxdMvDF7RcNTOHGFSvKpZuf=w1200|https://lh3.googleusercontent.com/pw/AP1GczMA9no06hgm9QIU_u460hWelyXGjERqnRe_99DeiMJIHgKEigT8z4kql0OjYYmdhAdmht4eJ9c_LR1Z6iYdP3107gxNv9OFEOvMrrUF2ygoiAoCdSxQ=w1200|https://lh3.googleusercontent.com/pw/AP1GczNaMkUVWHEJQoEZcSeIKfq5OPLOZGadqqdRLGdO1Kr9bj7RkN1p5kWFWgOvFzgywSOjvHXhYikEB2nGTHzsaVdOAMNsYFnV81vMqyWfjGrpjlbTyLgp=w1200|https://lh3.googleusercontent.com/pw/AP1GczMu_yGNVahCBXfTlQf3Ar4kkhQGJgGaNxNxOEpbiwMbZPrR3r-cbuoPFeRzW7jFZVCFnNj7nwuO-gvFL_MxQepiWHiLzRHi1DM41ktUQPepwlFW8HJM=w1200|https://lh3.googleusercontent.com/pw/AP1GczPf8sclI0P6u0DgkHurptbs41oDrGesLbJ282i_iy4AQZZ49zvmkBsV1d3Zk1uEpCe3L8cqi0kJykuffXo89BepeZAsYMTIlNnxnosCU0b2DCEktnkB=w1200|https://lh3.googleusercontent.com/pw/AP1GczPrJKHVqUNkvzMpY82TtdQFgpr6aqX7Y3LDGs_g9LGCdJnKyH1_VBMAZ0x4iqYen7w1uFdY1mQolj6GiiL8flhdZc_pyV4VVlPiPBTaQjyAvxRL36AS=w1200|https://lh3.googleusercontent.com/pw/AP1GczMW9zozJtavbisyeSTXBgSkP-CZgdTg4SnigfZogv3ZNx25uNEH51Ys1odRAlZDiVy0duJUiz1H5LhppuKTRig1veG2Ipc6027h4Z5aqfrGcOvQkI93=w1200|https://lh3.googleusercontent.com/pw/AP1GczN_gPjmsX0rscXBv0XHEsvtPJSSJnBfd-tvhz0mupC8bleF5q3i8nrNHtIedEmZykrzYof-Po_jMsDhWCiBCwDwkom_uWksmM3MHaV8OuVb_HWoH4ZD=w1200|https://lh3.googleusercontent.com/pw/AP1GczOL-vF-n1Z6h35K0JGZ19klbJMNnhE8ErbZc1K7yXK-wyANzrNgpyzUOgZivHPl2vkEVNPi0T9p086yQbvQoZBPZgzyOt0CIQSf0adSbj4HnnfZixwt=w1200|https://lh3.googleusercontent.com/pw/AP1GczOMhzIFbP0OarK3iv4SGEAd7fdy4jT31j_ziFFbUGB9r9pKHjcFEOuYYAQmHOGZgFWUECaKPqWQe6M777N3Diq6dBwlVLi_x6VbHcKBPd-IFcXduZCX=w1200|https://lh3.googleusercontent.com/pw/AP1GczN-LkTdWTexwArluycTgYBBOCJAfZU3Cfz48QVBjE4EVfx11iLofQBZv4mna6Nf91axZEBq2zpZwoxGKru7gAIF2eJ0jBJhYQZmUIgMUq7lu8NkQ1ZE=w1200|https://lh3.googleusercontent.com/pw/AP1GczPgJ95Xt4ZJ3c8PWL2QG4NvrNvW_yr30WB7e-MfNLMq9m4SQ7Q6xBp4Dz6YPABCnoOuW6sFUzD_Rd0h_J2Ri-dQX6OIUlowhncJrVOAUcIiroyIONtB=w1200|https://lh3.googleusercontent.com/pw/AP1GczOq1mWfsSPLm74N8X4P1Sm9UjKOgS_dxNXCPpJUOoWeSV9WivITKit7qsYgsBhMFip1Sax_GSCW0QL5RtnGfMi7oRlWjx445Z-eAc05ntI0LGIRbAA0=w1200|https://lh3.googleusercontent.com/pw/AP1GczP1u-mi61NTqoSgp_DrNkDbqGo_BUJkCO50QrpNMNFUGAOF1PKFZrjn15u-ibNnH3W6AQdmKGVza12uZ5irLpsSG8jhGuaAUa64a2nbW-nFfrv37qAK=w1200|https://lh3.googleusercontent.com/pw/AP1GczOg8P0sox6eT8JuiYybQDbEOmh4gDl-5L5ik6TgjqD-YB8z0nuq21Twpwu7EUbA1LIKA9uHVa6gK4MgpR6yBfTLG7s3HKohcX5s2iFQz9ESrvWPludT=w1200|https://lh3.googleusercontent.com/pw/AP1GczPDQWF3uDy3F8rh5WfaKIM4788rgZzqBDzF4oNjs1_oQHbGxhamdkIMrVotHKrTzo_Z6aSfoOBqsIdWt2WvczNzvwa1m1efsA9iNoRhtJPmBkJa_zxa=w1200|https://lh3.googleusercontent.com/pw/AP1GczO4M1fFRCFh8as4cCorasgR_llMo7Bu1YjRV6ldzE95tBGF7SxxnkxH7s0iH7IMvVw4jWwQd8YNLNVuZZHV3Mj3nQFgugHUCV6vOzBZt5gXhhaZB0Po=w1200|https://lh3.googleusercontent.com/pw/AP1GczOgLWaQygYCZDtQelrL1XTuke922epKPQiSOlFywzMk07l2rjw05VbgeweKkFoQWyEz2kJBh8VulsE5ulkte5xjBQj0lLuyUPrLpsB1eRjG4T8SxXvY=w1200|https://lh3.googleusercontent.com/pw/AP1GczMho7GDo2B1N6oDvrnjFjPzl1-ouW67t9JpcFEjMtaZGAHzXPWbUYyY0olVOmDdmMw4KhnQaQy1JHOIE0H3R0yKTyp08FZ-8yw_IMzEkrCIoCutsnk9=w1200|https://lh3.googleusercontent.com/pw/AP1GczMndnwBR7LvsArFPgmz1lU7HXE1-Gu67vPeRYh0ab9zh4dOtCDalVYAnb2duN7PRmfYcfYYtoxFvfqJh3bPTILid6Jb-a1hzTZDDql2SQE9BXzw3HDC=w1200|https://lh3.googleusercontent.com/pw/AP1GczN-jEOLr5Ao3WY7WlC0VKcyuMqfwsMfJWOukYsEcfCbUlpukq4m8Dv6Pxg-A7ogEXX3LGQB2DAIR4lWjJ2RWE32hnoR3QZSaTpaBxKRzIBWaN1G6MWS=w1200|https://lh3.googleusercontent.com/pw/AP1GczPoxAdx4OAcpTCqEqcYzJZsMUKiU107-UMNYTJeHZSVX-NcEse_jq8iDaMmMtnASlXkrUxKF6VZ19hssBMosuHPKB5-0dog69p-qrzgcuHjY8AGetQb=w1200|https://lh3.googleusercontent.com/pw/AP1GczNRrKWoOQPzHIuPVU5wnyT3391PPf7s9A7_9In9NQyiG24hZvs-S8lY6_jtbRWnNfpyxx5FO2_P2K7XRa65YdyH7gxQtesVWWoK8L6iVGFvfyad_BjT=w1200|https://lh3.googleusercontent.com/pw/AP1GczOkVOG-jr61WI5uKTIW_sRDRRlVK_zoEYtFPSGq7dOL8HOS7EToBO6_9Zawyo3oSzxgqJjTsz9-BPmjczqimnW4epQUxIxPB_fyF413V2BRMGSEpbv4=w1200|https://lh3.googleusercontent.com/pw/AP1GczMifoael4nLKnHX0Yq7Bt5hbRjdKOemsCpHDfW2Sl3F6IJWLzE56E1anu5ERxYw1ZoLiGYLPOLatjLHxww6wGfIg-kfgsPTkUjVPjoD6j3sD0vB0e_a=w1200|https://lh3.googleusercontent.com/pw/AP1GczNAuw-cT9To5pyb6NdhwCGwFOfhJiFQ9f3G5hmPLlpWHJFrtC-HMH2lmyhDo9hjfrrRxKC9BXR2wPj9pkz9QUGHyFftiZDQzVhrerPq8ab-AnLJQOBY=w1200|https://lh3.googleusercontent.com/pw/AP1GczONqJXvSigWQaDsGzW5Ab5Wdjj1nmatV4j-eRGjghgRrFGEBlFJH6zqfc6VdAq9uJhOSFq0Y4bBiDOPveMKHeyWyyx0C1qJlmloIvLl2zesS1DVgtCX=w1200|https://lh3.googleusercontent.com/pw/AP1GczMq3k6XuxRQCvFrp_Qui2L6J7nmr2YKBGp77RV8F8oym4tML4rinAUHwB_IpmWoH49xvoFrdbosp5TPD5zj6H6M-jArIxCJeiSPSEboi9ONgOFgltEF=w1200|https://lh3.googleusercontent.com/pw/AP1GczPKF20eNAOcBvz3jFasTtQIeicNfS-EXB_aNv6F18lKipYqA1vBPvTQHBEaVOT6H1nkboSk1VZ1XKDwd_U94ULSsJZM8kMzT6pE5BdYkdMgSl97C00y=w1200|https://lh3.googleusercontent.com/pw/AP1GczNy6LYvXRTbLhAqvfuT3PGPrdyp8Rm8Zt-A8_vp0FYbh_u4aAVDWKnc2UimWnf9EuQDmi2FK138swDOzgwG4oI4dvVV-I7M4-E2Rx9Pze4PblYxaB3_=w1200|https://lh3.googleusercontent.com/pw/AP1GczMebZGbO8ATZmanEQpYDJvjYjqYlLGeuLKtZN6Z-7Y5ez1jKEI9PETmFYSZd_nweHtTFSeGBO5qceCCMTM9nQ1KKz0iccVhMzUn2dbVyVQgD-BiM_RQ=w1200|https://lh3.googleusercontent.com/pw/AP1GczOH_KCFJ3DveBGViF5yH2fevLXvoaF9s21lBKtTo6a76vehpqEpzLF8Zzvlv1pkTyElzAxEiDsJcLeHwQo6gsPwW7hOPDMsePpAFBiGGrtVs-INZWcH=w1200|https://lh3.googleusercontent.com/pw/AP1GczNbLaPTDBiJhQ7DgZc1RLtMJLTidN9gWLHT-0MWd9Gdufwte5V9LuAqvZMQ4TLWhtezjayw3mHJO9n6iMK0nWXHgMAvonPTlatBUa1PV3VGXDpC9FUt=w1200|https://lh3.googleusercontent.com/pw/AP1GczMf4B_3hoZ0bhZK6k1pxRn4ob05z5aYBMpzEx9HXb7iPiOus3l02FNoIUmb-gIsexj_fkCSDslpMZOp0Ru-G33Lznld_W0XWdRFC4cg6y-37_ESji6w=w1200|https://lh3.googleusercontent.com/pw/AP1GczPtrHKOTJNTSoXy25Zq_ZBuk6jh8cOe9IqkKjOodTKWaBUhgT7Vo9qw35q341hy4qX_xDQfiZxdUCMvyjo3vV7lCCheOjUCOPBgrKYXp76yQP3ixazW=w1200|https://lh3.googleusercontent.com/pw/AP1GczMov5_oIHPRs-X4k1zuOQtJlm1z1DKGw3hDbLHHhPhrlA3os9izlPWcDS3cqD1AbjG46HysP-vQByMU7mwoiJBFPOdjjBXkD7wdmzn-s5rCttgY-6A1=w1200|https://lh3.googleusercontent.com/pw/AP1GczOrgy3LRxqrKVLiD0UN5Qmzs2RKm_tk6Ph91raSf7-vu77BpQotIGUsvum-g1h7BfOwmF2adc2Qoqes3FCtks9jgzp0qd4DQIozXmKYr21IW-B0urGf=w1200|https://lh3.googleusercontent.com/pw/AP1GczNeS_2283_0jpuEgyIOFu7_M4jlWxaRa6o4-JoIXQU3rtYkfCY9qgWlgL-qiI9mu1k-c0FQ0sjcJC93OWZtkoLFjD9GgOeo_u2GYJB9AhwjCT6KXNR6=w1200|https://lh3.googleusercontent.com/pw/AP1GczMPmyOJW2vpXYLxE7X-a_PLXbHzF7UvltZAugQLk7xuDcrQT_LJHASZedAvDLA9nyfEI9bILGR-OmRRmotBarkRH_sEpt4V0Du2f5R3-Sb4vwA1-tof=w1200|https://lh3.googleusercontent.com/pw/AP1GczNFzWaENJexKag4ILYmyQ30VxvsDF2oCe0iApfooKxHmtrw1RjyOBmmy6G5Cu_iQz5d91ViR5_dC3IWR00MGJVD4Fl_U8PEwRsXUpYKMDEHnBcsRFTF=w1200|https://lh3.googleusercontent.com/pw/AP1GczPFh4oacq_zxLlYtFfnfjo9gJLi7wBfB8BVZgWt73Qz3p6kKerv_PlZbXPcEvSDmaU9DbYcCfet_BU-usMsaKhkPM7bBdFlOVO3xEVxM7XbwCcy4eQt=w1200|https://lh3.googleusercontent.com/pw/AP1GczOOEbaPXCIMl7QtnBNK0kjGnMy6ZNw9d3AN3sNULAglJEKuPKCnFoHi5Ayq49XBV6wFmq-OPRnKi8lvcOv9SvOrjUeAqW2guNBadQzMQEnT4JR2EBq3=w1200|https://lh3.googleusercontent.com/pw/AP1GczOcXSYjt7echzC3VIgrEdjOjg_Uj10Tn5rzagXUBvofhwCxHw3-pFBIch6pjsbmHaBmgT5xE0bt7Ii5VjrRfgX1x-dyaSt_-w7xMd91HJWQJ-oQ69pq=w1200|https://lh3.googleusercontent.com/pw/AP1GczN-QKwAo3dcubX6RM36xeXZCtNArGC61LunoTWdetf-oV5fskPa18t6f8qxJPWl9iSn-XM-8mOGVK4-eRDpVyA29U_QM5YTC9QeIca9ArYzvg4nb4xv=w1200|https://lh3.googleusercontent.com/pw/AP1GczPuuvRD_RShFaReV-oKj28hi5S0wk-jtzjefW-_sY6EgchLBqa1GkSGUNYAhuEzh15MysXXo0nvKw5XWQAulJOPJ9g8swnzaK50efFMIEho48cSmM-M=w1200|https://lh3.googleusercontent.com/pw/AP1GczOAy4j3OTIZRAuFixvwOdq9iySjiS9p16nAbdsobU4Rs3rMAUVKiWqNxaa1Fu8a7K6G2qpcrZAFTYh3xj1CpyfrO8h5M4y90v_QXy50byOoTXCwbwL7=w1200|https://lh3.googleusercontent.com/pw/AP1GczNvpsem7xYlVAzZJ9N9KBPVeRbAdpD1YX03mO6Gbi_yXlpQP9mpv7-raw6E90NS_ipwa51Vx3i9LsRWI3GAnUHZsockja5j-XE8ERqGM5f67_ecvLMm=w1200|https://lh3.googleusercontent.com/pw/AP1GczNSK7gppQao9qD3rFvSHXfvW5eL1K5PB7moHnvvW4em6bhPb286qKO_qwOFt39z4tUzHL98612adhaLcp7iCqCr4R_gvA8v6rqp7ZZiHzpmRdbCWmk8=w1200|https://lh3.googleusercontent.com/pw/AP1GczP1f0aRinKSjLK_K2zM99G_8UkV1-rv2K4GR8c1QK7Q_0R0bLs4xYHUwRkgjJ8tCOnTm5B4p_9OrKwfv4FDsJSPWjvmpMa5jfn1FPgL-7365XI0N9NO=w1200|https://lh3.googleusercontent.com/pw/AP1GczPXaZ5HO-YGRRq3CyIshQddTJUDVxpA2-HDiaD7yZdtcCPl3VrfSIeiqtLLLv3ONXZHH62Ofui8m-coxjHZozkULywwqDZRW_ztWzCFQoSXJgUAQ1Tb=w1200|https://lh3.googleusercontent.com/pw/AP1GczMaYyUNHUSg9u5k_LRMIZIeT2MhcWXneQh0rnRuvXFN0BIpkN0i4a2cbWGrmmI1BFu1fYQH4lyvBB8noY-Jq1LKXwBjBpSMgm_sszYw-4QQ7bhHasfa=w1200</t>
  </si>
  <si>
    <t>638</t>
  </si>
  <si>
    <t>Casa en conjunto La Alameda</t>
  </si>
  <si>
    <t xml:space="preserve">El Vergel </t>
  </si>
  <si>
    <t>La Alameda</t>
  </si>
  <si>
    <t>101,80</t>
  </si>
  <si>
    <t>112,58</t>
  </si>
  <si>
    <t>https://photos.app.goo.gl/EZqs531DNDK9xoEp9</t>
  </si>
  <si>
    <t>Área 112,58 M2, Construida 101,80 M2, Portería 24 horas, salón social, parque para niños, piscina adultos y niños, senderos peatonales, cancha de futbol, zona de BBQ, parqueadero para visitantes, garaje techado para dos vehiculos. Primer piso: Sala comedor, con persianas y panel japones, baño social, cocina integral, patio de ropas, zona de lavandería, instalación para lavadora, calentador a gas. Segundo piso: tres alcobas con closet, persiana y black out, alcoba principal con baño y tina , baño auxiliar, dos alcobas con ventilador de techo en alcoba principal y auxiliar, instalación para aire acondicionado, pisos en porcelanato, cielo raso en drywall.</t>
  </si>
  <si>
    <t>Calle 17 # 46 - 80 Oriente</t>
  </si>
  <si>
    <t>https://lh3.googleusercontent.com/pw/AP1GczOYJLrW3zNLVRY2RknQDpe2uZ1tGWyr6dyE7PJlzf_CyLshbxVKTDdPs0RvT_sEy-kmlSN-eY-PFVONZXM6rMSF4teU_HcwUJ0A3RSVH-PGXm7auLAM=w1200|https://lh3.googleusercontent.com/pw/AP1GczNcGcO00ZDCbAiyq8_C1rMUq5wxqeYsJqJZANBdb6IWG-qZXuyyNQNlVfKyL_rOTbq_iCK7wHSx6FKreZtp-f2FjyoXtMK3Pff6_aTwJ3HbBTPfAQAj=w1200|https://lh3.googleusercontent.com/pw/AP1GczMeArqf_aG1YZ4b03ahiNHZHuyCjXOe80cLUJ3i_576M5SzxmS_nj57NgaYHJdkgtmHCPfAQX-do-8kgct3lXHGiQHpviLrcNmwtTAeFS1mBYN-gwPt=w1200|https://lh3.googleusercontent.com/pw/AP1GczMFe0W8dbeT034WFGVRHWTX_yGa6Xfmpn0KQMk0IL6Z4TrrF3JtmT4QcqY6Bim5BOj2kaC0Yorjg8u4-sFbTgBemxlWGSei9Zmmo2SL-uItlnlbMYlw=w1200|https://lh3.googleusercontent.com/pw/AP1GczPHhQm1yv2HIlHdMyIBtIr_tUoQK1-2_doIHFWuAGAkxzrK5QgffHrbllhqV5yoKBaPnsELI49Dl8fbUq9mPsdC5KXi9dJZO_f6Wo89z6vxiHKnISRH=w1200|https://lh3.googleusercontent.com/pw/AP1GczO9LuRvqItxZN6QmHjGPtEbJViW_jx0OtgTok3AqZaYDPdZA1kIALLxMe5OFul5qBnJGWWYYq5RfjHExkmdYtuKdwNwt3pATx455ZTRxOtzpqu0ROnA=w1200|https://lh3.googleusercontent.com/pw/AP1GczPYWUJejOiApYtTrPh-T61t5Se3FBoCR28ztkLEN0yI1oYgaGwZargNf9725L0wh83PfY9gxjoWuYp5pUgIRbcNwCCL-t37mITlfwkBhU0PEb3BLTlg=w1200|https://lh3.googleusercontent.com/pw/AP1GczO34gveeMFLkZHB3lyQH8nHBUOZpewj92De_lvWjONCGobgI-Y9W2eavUDwNBu3RMfyleXGh4pH8zmzOHKJH5i3SwtoUuxFTT6ZwGq39aBOcipjPGAk=w1200|https://lh3.googleusercontent.com/pw/AP1GczPZZ1k6SCEed_TinSYPIdIS7EiWzAHg8Q44cTEJqthLdlIGJVhcBbLWNFIwbzGmf3aNYsecu60BFyRImRbQL4VCR8vpZ3FycxctP7NtLciAPRt2MS9U=w1200|https://lh3.googleusercontent.com/pw/AP1GczN8MJx6ZvdsuIepg6V-ngj9x4jGRaLF2JNfxwmYfxdnnGMHjlUgoBjXNz9KhePVrJjQ_ETlqy2tf07_jCK_3Pl2p4nzRFAdIq6jGxIddfQDALgRZM2o=w1200|https://lh3.googleusercontent.com/pw/AP1GczOFQzPgZO71IISoeRDUi4jLngN6P1Qo_Kfsx6YoSvN4o5hx9DHDm-jINK3WirQuY_ldKWBtfElZ3t0lNsXPpDYC9N46tVs9Hq35yGoofESLRV1wMPeS=w1200</t>
  </si>
  <si>
    <t>058</t>
  </si>
  <si>
    <t>https://photos.app.goo.gl/bkRdLgVC9jhnzMtaA</t>
  </si>
  <si>
    <t>Área 199 M2, construida 159 M2, Casa de un piso, reja a media altura, garaje interno, halla de entrada, baño social con ducha, estudio, sala amplia, comedor, cocina integral con comedor adicional, patio interno con reja en la parte superior, alcoba, patio de ropas, zona de lavandería, tres alcobas, una alcoba doble, alcoba con closet y baño. pisos en retal de marmol. Estrato 3.</t>
  </si>
  <si>
    <t>Calle 56b con carrera 17</t>
  </si>
  <si>
    <t>https://lh3.googleusercontent.com/pw/AP1GczM0PfD7NlekTOJcNerKYUurGO9ClvA6vYaiitfsZbXwmEpnxUIldfQAumVp8vJ2FrQ4xHY2M-_IP4GzPEC7CM13z9EcQNLaMv4PR6oU8oqhKT4wceGS=w1200|https://lh3.googleusercontent.com/pw/AP1GczOVHWEV3osTyUrSJ4ZaiS97YXVo_DVJTWAgHtqTvsllTaxsvqvPK9K3gJe3OUi7T-5KjBh4vHnkL37ifUQ6bW9vK-wod9SKSLSplGkBNQpLCGBQQN1w=w1200|https://lh3.googleusercontent.com/pw/AP1GczOvc_nnDdw00uUqLF6O0RhQneMHj-cCLh_RpK36K_VEePsVJcsuafpp6x_-qFXgqoUW7l2hiDwQfgZKNI7WYAjUUpgLriSlPbNpp0IfvcjBHRDh6tfe=w1200|https://lh3.googleusercontent.com/pw/AP1GczPnoiVvQHqk4qWLHBKTDgiCExQ1o1EPG8iyeAAKprCPY7wsVv54gLW-F1SMChM2yeRQIWUaheQ_mk4l0KSoSapf_6346rlDiXB9Ju4nLbmc__GABqxk=w1200|https://lh3.googleusercontent.com/pw/AP1GczOSz6oDbb3I1nWYcquqj61ndaRXzALPaGCCX6zWKaJxrlpS8KlX7oF1erlYevFYN3Wyi_P0bU0AtfrzGb9ggwvssQiXHwWsVPkXZQU_5WpTdB6-yspk=w1200|https://lh3.googleusercontent.com/pw/AP1GczOy2bIKSQRA9wYQRvwMz0Hw2qApVO1bIUoocg2QQ52_m27KZh11YIGplWc-i1-kSh1lGKQKQg5FhuQvd2oG5tUF9D26vUFxgtCJCZIPjGEtWAmnBoCz=w1200|https://lh3.googleusercontent.com/pw/AP1GczMmPZTrr7xms5zeR3_6GrXgBWCeeRtEYsmrexGxJCRnrq1J2sxyN-Q1nh77sJnfwcn-IAEZtrmiT9225T7QDd8HYWqRWQWMt4IczVSDH1l7_chk-onw=w1200|https://lh3.googleusercontent.com/pw/AP1GczN3BXXRZsaM0XKA44gA99XBL6zUOF-V06fG5dQuCDV9DN2fZ5WkLqTnbEjf00cBanzBkPUz68JL3DPRIXM7SBj1L2fBQBKSnNsC5xVNaJurvzVx70MM=w1200|https://lh3.googleusercontent.com/pw/AP1GczN0dBR5LnExbNcshCtzjt9rbkE6ohzq3haXhAlomEWT4QHNZqiZh9pd-t_JX7kAWe-moENtzKU6PMP1s1fFrH_e62tQEhnHaDS5TXZEOD2thA9rKqi-=w1200|https://lh3.googleusercontent.com/pw/AP1GczPaAlkXh31bb4X0CPvA3o0WnFe5PaAb2r0ql2KeJmtFlfYXFSH-jI6HBH9a-qaJyhfIJWhDA6294zc3ewPxztl52vC3alQYbHkg3ZlzywDWM4Vugr7q=w1200|https://lh3.googleusercontent.com/pw/AP1GczOOUsaARV6L2jXhErYLnPiGhjh-wD4CHe4lqf0TPu4z9BI64fOQG-Kn80fQE9kpMGKaeE77tYJ8ETzn743KX_84s7tOGkPtYaStFTY7Y9IfI1dQL21i=w1200|https://lh3.googleusercontent.com/pw/AP1GczMUgguk_DiqKnPidZtSQATByzTHfOuE9PNbBkaVsX1Ev5kT3UPDV12lPoZ7oW0uToudSC3OADKpT57QuWXzgq599FV0emliKqF-gonuhpOVVDiHDlAO=w1200|https://lh3.googleusercontent.com/pw/AP1GczMuq89aPO6i1LKqKQb1ufcwSt9wvhBaYCddVRVu76saMKOqqpl_FuvZx_yRctYAvzR_CQ3kwFH8_5BWuESIWEcomdZzeKiK-tN240Ruuvvo9uMrqlDN=w1200|https://lh3.googleusercontent.com/pw/AP1GczPsYF_zedXU0LhNYxDb2XhLYOKfwoi-7qVoVjQEBEv506IEoCwQpcBVWcgeUD6KX1TOweMyRC76009zmA35gymts-eCNNroMw2VytjUq6b7Y9OAsxEM=w1200|https://lh3.googleusercontent.com/pw/AP1GczPnalI0nDn7JJf3puiCvWZMCi3En4_DxCTRmGBgL2G3iTxDakLVBEp-wyehFMK2_dZXMOnIMdP43X9bfvAv7sfyxJo-8oTsgLDIRkXNpUA8jqqDsDAu=w1200|https://lh3.googleusercontent.com/pw/AP1GczODbmm5e3CCY8Z1lbCnWvCG7ppXlve8ZEaslRxoH5gSaZR8opMKrDSyjiCrC80C3aKbf6BC655POYaEVFnTtMgs0xjoxntBGH4qQfFhPznhor2EmkY8=w1200|https://lh3.googleusercontent.com/pw/AP1GczNWnafH6mBpT66KCg-aihdBzAIZUnvMf7oZqE-7n-as7BKLHke1TsZAfZj76CxQx4vocALXCdqOo7KOOywP9eTYypAGhDUrkDo7Widse4nbGLFQpPYE=w1200|https://lh3.googleusercontent.com/pw/AP1GczN_m-pNkYbnYDq4o4qjPjGqGJf6NuYmDgeUk5ISOw8z40IU4t6mNnACjkaTSwEMPGDzus2Gj998679ecTX9a5Jn1-hftvSveMjFmCPbfukNjJEr5Flg=w1200|https://lh3.googleusercontent.com/pw/AP1GczOsYilOy-WWM7jk2CGXFMTA_8aKP4WifXd8ae5GETjrKlqwrpf9-ZpCHRfssKMyK3H-0A5Whof9ZH1dyu7nn9kySyWMNP3_6tOT-Ad8h16228TJ3TcM=w1200</t>
  </si>
  <si>
    <t>711</t>
  </si>
  <si>
    <t>Casa más apartaestudio y apartamento en barrio La Floresta</t>
  </si>
  <si>
    <t>https://photos.app.goo.gl/f9GmpRHz5kMUvsHLA</t>
  </si>
  <si>
    <t>Área 11*18 de fondo, casa de 2 pisos esquina, primer piso, reja exterior a media altura, parqueadero, casa consta de sala, comedor, tres habitaciones, cocina, patio de ropas, zona de lavandería, 1 apartaestudio consta de alcoba, baño, cocina, zona de ropas. segundo piso: garaje cubierto y enrejado, esacaleras de acceso, sala comedor, cocina integral zona de ropas, baño. cielo raso en machimbre. Estrato 2 renta mensual $2´500.000</t>
  </si>
  <si>
    <t>Casa rentable, con balcón</t>
  </si>
  <si>
    <t>Calle 8a # 35 - 97</t>
  </si>
  <si>
    <t>https://lh3.googleusercontent.com/pw/AP1GczPd2fengSw0aLIf7lcuqyebgO_OVNz92_a04im2WYlAp_WecXIYFGHEMZ9Cw7tt_-R7Eu2xZ7VSWNaSCP7Ew4leblUtEw7qfxT8ZhoCDFPdFjVSDszR=w1200|https://lh3.googleusercontent.com/pw/AP1GczPLateKFXYALUIDfSH5s4M1lTiy1YG_QlpFdWNgoWQnDf_x-aHeG1VmcQQJbdLNQ6QaTWM3yWgGj2V14yg1GYwndECc628tsI47Nwflxcg1f_ZCNOOp=w1200|https://lh3.googleusercontent.com/pw/AP1GczNC8yHKtxzdar8I61wMsnvLu_h1JlZqkVNUDx43QY34Gb4I7Xoh1_GBv1IP1FmYCQ0J6csxS5q9ppuzhbDiByJJq4tc6Gc75qYLuj11BPsWw7FJi4ax=w1200|https://lh3.googleusercontent.com/pw/AP1GczMG_dtiRcmJe8nsaMQUtfJGrfuUgOhAoyGmNT73VClj0TOcrNdZBywBJ9oFWMZpiucS_8BhQAQz_qJe8wujOVbjMLhD1ymDVqBonae5KbwkpOSfeDqW=w1200|https://lh3.googleusercontent.com/pw/AP1GczM7K6mY5t0giMc50xQOWZ_GoZRyReDEvYoUP3r_z0XsW_UOqPXbl1UL-HsY8MIxXiNjcfJmB7arUoHBbC8OhKOeNnoZ-eYOEJRX7wbDYyZ0Aza-db1i=w1200|https://lh3.googleusercontent.com/pw/AP1GczM-ycPAvTxdAGMlq1yxqr7q_OWlcOehgG-746O2d15t3XeTpEOPdxE8Tf7qA7tfyk6qH4E2amb3cQP4mzt147sqOraqmuRR5B5EhXY4LNxJnQsOtSIL=w1200|https://lh3.googleusercontent.com/pw/AP1GczMLBfWR8Y9S9n3ITrdNuA-GfTGuSYfZZWIgpXn3RQMl5MXn_4Zh2rFcWtIZRpGPTTcm9ny1D-qEZVKsB9x3Tdfwh7_EFlcexW6Gac8OeK78pLO1Mlv8=w1200|https://lh3.googleusercontent.com/pw/AP1GczM4g7lYG_vjX_G1SR3PhssqwliVmSxiPkjaiNnrJPi4JXvYJl9Yl6OXjkHXEy2FDomxSHTcBgFPxC8LP0ZUKWWzn-Osz0WXNnCUe_M46gt5wOOkQyqn=w1200|https://lh3.googleusercontent.com/pw/AP1GczN9BETRE5SoF4ANr9L8tT6yAV0QWWGgoUfpvwLhd2HG0zkZVM8QlEw7RTfGle4xf4vtSIAxlPSlqIiXTY_-brRwDnepeevsZgbGejTV6W2mvGMcnd-4=w1200|https://lh3.googleusercontent.com/pw/AP1GczPrVPuc2N0Hb4PCU1TJhE6lXPvNm-P1vjHgQtRrpm0j3wqx8tGsQR4m3gSwI6TVK6SU1_0QI6rr-kTsWs_zchYDOYYpS0Y5qCloybKKKDs5DKf_hKWa=w1200|https://lh3.googleusercontent.com/pw/AP1GczOuIYNBx21oki6RTQAeogWTSotdb9EQviyiDwJXr7aMg2mhrGXUAi2AM5KZyH1qOWEaPr8uBqgplhSEwIraVg6eOrm8aNBcRpSeMl7oTIhxmKA9j5It=w1200|https://lh3.googleusercontent.com/pw/AP1GczPDKaY_oCLbUMpHrDiRoL9KdH5nLZHdWVeGLD3dFhew-Xt9BE__2heijPiCzPVANAFAu0F0Au2CCohB9AIDO6cIciB_Wj-fULyMmC3MgDYcjBUUyui7=w1200|https://lh3.googleusercontent.com/pw/AP1GczP9ePrXDLLM08JUqvIsnKZQehPzLopl8dsWMihfZqI0B8DPWGA7dXPPr9n9uSj77-Ijy4mc8q5fhYX6I8FkiVxahRK-jEQiaIQXSbqifN59fcGb2SJp=w1200|https://lh3.googleusercontent.com/pw/AP1GczNaq7gPg5CsssWYm4_WSLg0tKaPrsOg5k-A_gib2kzpXVT3IoqZuSLwf2NvHpaNE66AeRO8cazjkTw7iyF_3NDIF2DFSi-H40q_fGE8V2B0CF-xISdp=w1200|https://lh3.googleusercontent.com/pw/AP1GczPBqOPEG2xUUH5FI8NJ6soluEz18hzsZcAZySgi5IqrQ2ydHlDGYZbaT58gl6kzD-F_Um2poccAT8GG-hUq3LSRYTEFVHN90JiyvKTafkgdbecx4aih=w1200|https://lh3.googleusercontent.com/pw/AP1GczPn736OjAztfOsJ5BeUUyIlMKkYZBO57rnL3eOZO3abrOKwCZZ4cC67Zbmz_tb5PGN-dmhYB8piRRyEXK62agApxgiq57q0HFgTJ90rQUaBfl-vCXMJ=w1200|https://lh3.googleusercontent.com/pw/AP1GczPPGU_aletmc72Ox-3OejLNUTXLtmpqBwVbcD5pD3etozoCXLcdMCubQfNeKQubD_60ZBLV7qx8WEqf5uf9b5OJIS-VABFzFHucliL_j0p9DK4VGYz7=w1200|https://lh3.googleusercontent.com/pw/AP1GczMJR3SGxTXzy-AT6s8viaQp67qu2u9rjBUyClTAh912o_9VTGlLSIJrYQxnHs3SHNadz2Evy0wenrUniH9RXYmy7W53s5PedD-7fzkrP0xeKiJcz5To=w1200|https://lh3.googleusercontent.com/pw/AP1GczNJ9yT4-b-IWR3F8Lwqp-TCzFxTrXu6RUGc5MKmTg1RUwBpRXlb00KEclDcqOrYE7nFn7grsrQNVd4HYH0_oqcYa5IcI-m2xYO7MS3B6yZNXYahrn9g=w1200|https://lh3.googleusercontent.com/pw/AP1GczOQgCpejnOZcWTitsh4enBChIblRVdTkESXpiG9tBXLY_bW6R-0RXf7tbReYXF_yxIPbQi6bGzNYTXR2P49BPpk1UOWAa9KtzHHSydzYUVOPY9RsvA8=w1200|https://lh3.googleusercontent.com/pw/AP1GczNMM0GCkM9q1zsyBA-AcVHf5HFTV6rpVnFb6j4M4kArAqMcfMwvwFQ2g6Jek7bB-2fLcgvQbGotqFxBLVFs4Vg_Q-_8ye5k4-uiHS0tqe6XBCDrBJsh=w1200|https://lh3.googleusercontent.com/pw/AP1GczMOJkUTUIqHyQMa91uOS0btM7KJ9C6aH8UJY9rNzfCM2xSM4fGeuECXHetABJKegeQwuQBONVuRJWts5oSrSJgkyYaWhcoKubIuy9FyWYJO5ow9cjuf=w1200</t>
  </si>
  <si>
    <t>369</t>
  </si>
  <si>
    <t>Casa de 2 pisos independientes en barrio Chapinero</t>
  </si>
  <si>
    <t>https://photos.app.goo.gl/72H2wdBCTawGYt146</t>
  </si>
  <si>
    <t>Área 113 M2, construida 221 M2, Casa de dos pisos enrejada con techo, con apto independiente, Primer piso: Apartamento: sala comedor, cocina integral cerrada, tres alcobas, alcoba principal con baño y closet, baño de alcobas, patio de ropas, zona de lavandería, instalación para lavadora, pisos en retal de mármol. segundo piso: independiente con garaje portón, baño auxiliar, escaleras, sala con acceso al balcón, tres alcobas con closet, alcoba principal con baño, baño auxiliar, estudio, comedor, cocina integral cerrada, zona de lavandería, y patio al descubierto con puerta. estrato 2. pisos en retal de marmol. y piso en cerámica.</t>
  </si>
  <si>
    <t>2 pisos independientes</t>
  </si>
  <si>
    <t>CRA 9 # 14 - 72</t>
  </si>
  <si>
    <t>https://lh3.googleusercontent.com/pw/AP1GczPq0kC62DbOp2au-M4x7WiTr-nPRR0gVey0M2lcLSsxpU5lgXAmt8_1r1ZLmU8JwhRuo1lcEoKJqBgqz7_ywdgH9TPPBi1vOaT0WsFpfS2DxR31Bp-D=w1200|https://lh3.googleusercontent.com/pw/AP1GczM1Y9iA2LHGF7OBM87a6xZqaWBAXEWXz6w0hs8M-KOyxI15-clnq_WqSBgzSVdHMTikHO4gE08lvnZbQc_TFlsv6c04-fe1SjfpbNGQQIZ13yZsGJKh=w1200|https://lh3.googleusercontent.com/pw/AP1GczNjMOt-6ONPavKwdY1umLMp9LZzCQjzYoIyTa9JT9zclIg75xXZfgBjtKpCCwAFCJXFNbByQ3t1gmt636qJHowqmJFHq_TyMqYI63_bGAAy8atpg1bg=w1200|https://lh3.googleusercontent.com/pw/AP1GczPxqQjOkHEhnD8GypSR56rW0dESnWdsxQUx4W0W6U-393IKctyuT97yUGX0CxVY2xZAuLaXOF2eUsxT1jZ7AKItk9xuiNBNQOcQQyWo8A-EzzBShrak=w1200|https://lh3.googleusercontent.com/pw/AP1GczMCmSv9PjtxGeh_esRKpg1bsHvnGbQM-Vecz2q5wixmBbu59mjkKeXAHt_RyxVNER3x5TKXglEhffJcfPC7O-_OSvA3H-Wkcdo4kE2g88ZQT7lps_OR=w1200|https://lh3.googleusercontent.com/pw/AP1GczNVponoG2S-vhlJr3I5NsmHmgfvr0hdJVoGWOdTRvp2PQwB-b0XNxdQZXjK-hoxZ9q6ZoRjDFidsRtTPtRlhS9S6qMwEvuOoJdgyWhlT3-awFWpNi2U=w1200|https://lh3.googleusercontent.com/pw/AP1GczOW0QuaK_wKQSyE99bmJ-d3Vs6xI90YtYGu4SBTJFZiDerzPbiuEiHVHa0wSLwhkmo9FLvnKnzfCwFHv9qj2UEo_JTg8eeAVEwqPZLeHtJpKkRWHVjK=w1200|https://lh3.googleusercontent.com/pw/AP1GczPxeHMT4QIeLQu_GlDGxLnv3Uq9ZTR_PH5ofCYKjgAfWx5tkNjDf1beLd7Q55cUgZi2Mve_0KTLH77ICZZ2EGiK5mNlcjUEiZ6UftF2mJXpYqDsOe-L=w1200|https://lh3.googleusercontent.com/pw/AP1GczMqv9bECjEL7hO8LBPCdIos_XGS1vlsIo5ZmWrviSIIeuzPS6GWaEAyS9F8HsJ6vc4xfMlLWhegp3ptud5iv4z_s0-uVSqJvBVXh7QAGn6FCM2FMYlA=w1200|https://lh3.googleusercontent.com/pw/AP1GczMKaef96rzWIr6p5lZhfsnTQruTBNTXqjFkjuJzOsPNyfvzUQEyikYejutxnaRqtwImNZ2vcxWsWoOq84Irh8G0KhT9UrkH0V-tUj96F2ju9QjxANhR=w1200|https://lh3.googleusercontent.com/pw/AP1GczNH2OQpYft61AuxgkxkNm-DkBo343edJVx9fa-m9SLs24ZVgWqiAHwuMKPY_HOEgaA14o9Y7Hdfx3BrhlabCCe6d4kxizk3Vm3hKnT6Y6VrJDHFOGnF=w1200|https://lh3.googleusercontent.com/pw/AP1GczMsCy6THk_bQV9LmYuKuAjfj8CA5ryrLqiQYwDm1qK5fYq-iy-_3WY9szsR6QYjjJJYbNDchqbX-pRuyLgfSA6z1XPOKZMKXVbnEAKFQsJFRZeGqzRL=w1200|https://lh3.googleusercontent.com/pw/AP1GczOzZm0I8gkpR3KiZ8hWkOaIUU96GuduP0mgYVOFnJlB3sJQ39vlhMIU8LYPRcIdDRqZEO8Nz50T0xglYhShgPkALQxCuFh4u69Qd8ue0YoD2FZ8kR-Z=w1200|https://lh3.googleusercontent.com/pw/AP1GczNlB10mTa4pKe89O41dDS96noCmhY1qEtCDV1ga_g9Ocu4buUkThBMmbfMG2bEfD7OvkGVNRxQZMg0PJD1FKGR-OgC3ELx5Cm5BG0pogZjTTStKAirm=w1200|https://lh3.googleusercontent.com/pw/AP1GczNwDTUcncrEnSOd_fxy89sCy3Z8vX1WJvvqEL2gGg_aTNSbZiM_xSeAEiLc51akyyMXWIwXtad54n2N-MjtmQaMGNdFYyYqQL3XSjkpHk1dVcAu5wYa=w1200|https://lh3.googleusercontent.com/pw/AP1GczPga5cIA8TDfNMVKb3Ge8e3dwlX4AiN3mUWXhU3-EzT2ngTFVJL4_nK6MtrDdTnDybd9-ELtO9Ib4HpzXSL9Sy4rfjeTH6KmHxOliH6So914CC2xxvi=w1200|https://lh3.googleusercontent.com/pw/AP1GczOOdlj6eoUBRC6z4laKtgw6QbXLMfD48Eg97s-F1jTUHnt2mzh3sIwtjhP53xvkAuzN1_5zrIE77V9l8RRfdwsyVAL18tBUywQfSEqfM9oXO7qNVUZg=w1200|https://lh3.googleusercontent.com/pw/AP1GczNhNM_C838MyDaES2XnFf_LWBdgUPNDA29JxWzJrq0F-PHFP8nQyQG_ZeYrQI6XBhury_huBtzgIXYRcWZIWdDwH3Mi0OizaW0tx_QFxnIQy9fnNVma=w1200|https://lh3.googleusercontent.com/pw/AP1GczOZQV5T2DVWul9nXolauCJ2Xiy8RvukCRqX3wggfTVzWtIBCfc6XZgXY73RFsULLiQniiYFzhs3AyJ6Kz30dUrOjaWr0EnLPMiMHOstB695KLomkegy=w1200|https://lh3.googleusercontent.com/pw/AP1GczMsNBYm3S0MOb3o4o91CWAk3sVXBHstlv8MLY5KlFdSU4imcYYE6qqekO3c0EzCJE7l359LDN9ODMI5BDnn4L1gOUvMFEMnaP_R12ZjO1mISDjvWUPP=w1200|https://lh3.googleusercontent.com/pw/AP1GczPrM06ghNvXM-DXiST_jbUmGDRYYsQD8ymOthOELr1VlfU_kycuDXfK-6j2KeUjHk6BIl1ofcOGECqgk2xZnXhw-W2r5GXHOQ6WdDcaX6Km7_qfAC9y=w1200|https://lh3.googleusercontent.com/pw/AP1GczMLCaJpygnhWrYkIU4a1Jg4yBoxhPiKiUPz6NoE943S1w_jGHJdwhgS9_H4X_MOTONk3fridKiPAGJgNWork0ElGcW88CWgdIJX5yxZxQ6c2fXnJMp0=w1200|https://lh3.googleusercontent.com/pw/AP1GczPvi5p_QMoLu4zQb2o9AM-OYWtX05wbgGYk-gbdtOMKLrGKB0m4P4nSBBh3Qu0w2ZF1ommu8mjqMwuDL2YoMSv6W2QNfVHuNGQJ30cY9XEXXY2zzCPh=w1200</t>
  </si>
  <si>
    <t>067</t>
  </si>
  <si>
    <t>Apartamento en edificio Juan Muñoz</t>
  </si>
  <si>
    <t>https://photos.app.goo.gl/mVSizfb2eoTurWL98</t>
  </si>
  <si>
    <t>Área 88.39 M2, garaje cubierto para dos vehiculos, depósito, baño en el parqueadero, sala comedor amplia con la iluminación indendiente, cortinas en black out, pared decorada en piedra y espejo con iluminación en el comedor, baño social con ducha, pasillo que va hacia las alcobas, tres alcobas con closet y aire acondicionado, ventanales amplios, alcoba principal con dos closet, con baño privado y lavamanos en vidrio, pisos en retal de marmol, cocina cerrada integral, con alacena, luz led, totalemten enchapada, pisos en porcelanato negro, zona de lavandería, lavadero con gabinetes, zona de estudio, patio enrejado y cubierto. Estrato 3 no se paga administración.</t>
  </si>
  <si>
    <t>Carrera 3a # 12 - 14</t>
  </si>
  <si>
    <t>https://lh3.googleusercontent.com/pw/AP1GczMXHE3KDTQloEkpzY4t4CTIEaSyfR4kwPS-C1-PhjsJEfv6l_tJaAK8-ERv5svnQ5bpfvV2AmrAcjPtoP_RHea6W9bxPsGndRLMODvhyZEyrJnhrd4r=w1200|https://lh3.googleusercontent.com/pw/AP1GczME8d4Nwa2i3QhHBKpwsVh2O80RdJA4tHXGLwd-P2YH9BsljbT8oQCM6EqBRp_Fa904Z47M0wKYWs3vcPaV9UN5ohZoKGROSgw29o1z535mB3BLFMzm=w1200|https://lh3.googleusercontent.com/pw/AP1GczOg8NoF50Xjn9zbgWVAN6AZg0DOrDRwv2i-JADCSumTImRe1bnHpBrJj-7XWy-Ds3IR-7difsxJXBjOGnhx6I7BIUgH8s9iDwKkFUHH6nEyfthvN740=w1200|https://lh3.googleusercontent.com/pw/AP1GczMs2N2zEYlzA0A2C1D5Z6Z4DxRPZcdeQrCSyn4EjeSAUyGUplXyDV8kBVprpl5HWmIkBRqnskM7ME6V-88pAJiUJWtZQ28oZDlZ0cfhXJ3tNGZLijx-=w1200|https://lh3.googleusercontent.com/pw/AP1GczMEq5hxHmHL0DIuXYwLeLfay3ezPy92Mi993S8FEcJCr-rMPMMouS3T0syk6fNuFTUfRSjcMylsX8Q0EX3hQVokEdtETxajFWoj2JtNB0X3bdwsEiN-=w1200|https://lh3.googleusercontent.com/pw/AP1GczMCGgZgAc38HDSmotBPrlksRDJOtXaH1KTZXHoKOaCAWQBUzsIIMWiy48KiW72riMe4HDsfZcJDS6uiETUaJbGBsjw_YW8jC8jS9txT4hanq7kq0pH-=w1200|https://lh3.googleusercontent.com/pw/AP1GczN8wAI8VS1PDltQBcDleJ8Awd-QQ0X9vWrZ1i6QfybGC1vO4AAOAHU2HA-TlhTXSuCDCpsbNWtp4AkpwZK6nplUx0kGf8MJvbQ_VVp4NmibVe0MmsDw=w1200|https://lh3.googleusercontent.com/pw/AP1GczO7ysMwy4G9eRPXEwikBh97NgzbllXLVc_fVfCuFs9ToYv1PT7PWb7MOrTldY6QHrX39q_kW7wN8Qeauvtm_KRY6CWcn4kZzAvEgOzIUiJQU2QgAvlI=w1200|https://lh3.googleusercontent.com/pw/AP1GczNi-86IeBsSHKxn4D06HGuL6gwL3734YnYWrDASwDjDqhPSbTuGly0eEdmOOFCY7zDGT2v2Whb9eDVVJmeZ9nGDuulxLdQuapaf8jHYmJ0OOXBtSbDY=w1200|https://lh3.googleusercontent.com/pw/AP1GczNy34AKqMfmyOo9x7J6E5V4ovDVDqxg3Q050pSoxReZ9yuWR7HwVMGBu3LhKozjnNRCYFg1A3gvsIx8m7IRQb8XXXKdFNs-1w_8t2LqDlQNg8F13dW6=w1200|https://lh3.googleusercontent.com/pw/AP1GczPJg24rElbXrRzaG76VcXcIu9cztddNPSjvvuBJ1cJ9ss4RboaItTrBpeNc-f2rFEHmnbPf056GJ5DcHpB3pTtY05A2USbgT3g33ua1_EcFrRMcQyKy=w1200|https://lh3.googleusercontent.com/pw/AP1GczNpoEE5plsJd3oDUizRucY7kXXavBTJc1KUoRETqfz2tPvIYnJ6kJ8_avQDdcxc--KsZ21jpJ1Dw8a-vLDZL25o3jj4ZwHIGaSMdiwlDPomQTPFdDRX=w1200|https://lh3.googleusercontent.com/pw/AP1GczMCldjMR1vGqnwnC7hGlH_z5Cji4vUsg6cADeROwW9bSIBkbdGe2sjIrga55Z_iUGsBTFPMjtsClft1jiGcN2Ksx_Irq_x0KU4F4574T1o4iSppAccR=w1200|https://lh3.googleusercontent.com/pw/AP1GczM9SiO9Yszt6bBwenU5ehVXq46GtWwnLN1a3lG9OMWW94BrpucZwEyK1NPHsQp_DmbHmuY8MgiIfZ0Z6FlcWJ51U7IOn8q8BlJPl_CI4zq3EH-NobKx=w1200|https://lh3.googleusercontent.com/pw/AP1GczNq0DG8BnefYi7BVZ3mHzrKK43YL9CbYMmMJyh4EwXT9luBL13bUKpqA8eRbGMYmcB-qIi5tfdtuKOtLkov1CWe3oG8FA_mnxuCMdfkuLQr625kDmEL=w1200|https://lh3.googleusercontent.com/pw/AP1GczM3o7_dPAQbT-T7DHSSJYtOIRQuM0FnfquZarpNz4hJPn-Cu-Um4vWyoLX_k3a-mqtl1QG07gpKo34GgYxF4IrUp3c8IB820DZ1WQrHHSC429jzr2VO=w1200|https://lh3.googleusercontent.com/pw/AP1GczMw3a1aP-rIgwWpiHnK3yRT4uOMxNfpKMz8pQtjZ6olENOQeRg_hP9BmvDrYWmuIbZkxTKjMQZAIJclxCPSU9OdH7PV1tpdzuClWL2TRBPJUqAviqr7=w1200|https://lh3.googleusercontent.com/pw/AP1GczN204rXp4cWXEhoCp-H7My0YUXvgK_77DVOsGXDo1wvJssCSvJLebf5c0Gh320dyagluJmmK0fHM4QagTFaSxTrClekExR4T_CMdgUKMEePwlpw78D3=w1200|https://lh3.googleusercontent.com/pw/AP1GczNuH9fpRVi9jAD7d3mPFI5b7EEw5x6wkVKDb-_9eLsRsrMS-gizijxD3fL8u1cteVpyDGPhKA6B8p7XfuuJOpR1mSj06k6JqD9S_7BqUWnOk9x3zB_3=w1200|https://lh3.googleusercontent.com/pw/AP1GczPvA4QOK9VItjpZjV14QWus97MAgCVCozMZG5MM0snyYaDKMYmF6bUh1SeJmts7TXOTmMO_8lj0Rt7_JgLHUjaDIyS4HYTEwYeX2fswGtVmCtSgoUS5=w1200|https://lh3.googleusercontent.com/pw/AP1GczP7am0sLIFKL1BiXXe49HLshHSwa4XrKrJXIlf9PLapz4ZIiTMx_AclyMGI1J9f9GWPcFFBAw-OuZIkeV-CcLeCxXUJyvmd3rSuwX3Je71EExRMwAQj=w1200|https://lh3.googleusercontent.com/pw/AP1GczN1R6IdPuDIO9qjxA0bCHXDqTRyfOM7mxgM0tLLeeYHSCe7ubaD-wi15KWy1XUqoiQ0BPNP5UI1rtkPLLxUogJJb-UwPYqKP1S82Az4Z5greaQjDHfl=w1200|https://lh3.googleusercontent.com/pw/AP1GczMUpRbn7miUGcsoykF1lxwmvWgfXW7MtvZ2sZ0qd7VtN2e34RRCgj-UullDau2eGtMgkaLtHIjUZIiCl-ys0HbmmZdlLmP8OT8M8VsXDgbmvd2xoS0v=w1200|https://lh3.googleusercontent.com/pw/AP1GczMfeyvQo_CJQ7FjWjgDFwS2AHyJc2SnL8KpHxVmA4tC0vtTLzEkcxBWKqWq-V5saOMmoFr3FpAbGln6gTZgr29u5MZRNq5G1d6aFs7JDSgGQCkI0P1c=w1200|https://lh3.googleusercontent.com/pw/AP1GczNo75K4DZ7jn3HcnmfGuEvbqqd253FEfn_JfkKSMDpQ_OmtXnWLh0gAI0rkaqvk5YcD_RqCQlTK1t42FNzmJqqNSqWxPKgGjHoNCq0OqFI_doNBM-w-=w1200|https://lh3.googleusercontent.com/pw/AP1GczMJpXlIx5Mk3hdJrp9ohrdS3Vlol_JXd0S9woGpnfO5dIX7inRf4mtPipWFqy9u2E_e6mKPDmi3xYi1rbx5XSOOGZn1-hHJhpFqPaR_IbR4mDUPhkLF=w1200|https://lh3.googleusercontent.com/pw/AP1GczMtDzU1sjD273gmcF37Gp9_dNJShkgtfgGyOx6n7b9EBVndcWdRTW2fNzHjN1OHikCgSKlqp1wHVoZ-A3iwxWOXfdGLWdUbRgT_MCc-M9wLLZLAtoHK=w1200|https://lh3.googleusercontent.com/pw/AP1GczP-XVTgqOomS262hDeH9xCngAwoZReBq2-_87tQAaduBPKV_-LmljRNTByhldDoEjHBXj8QxwwPEaJpjE5lMKPbQCO-Xp4DZNdCGGKmSpvWslSRbesa=w1200|https://lh3.googleusercontent.com/pw/AP1GczOeoWZiVUubjgFZHHkGQEdjrXSeM8kirfxT7yd1x4nzyz9jhkqAzFph3w0ZVOxTBcmlp2rkybpO5Cvm8arc248x8R6k8UKOCWXiwKS5BQmLIgbMbZGA=w1200|https://lh3.googleusercontent.com/pw/AP1GczOSFuu5i0rxAwh-RiremV_vCrlAGAp-hmwK2Tj6dSo8jtKk0SBAr3zU_RnOfEVUVbc8qhlZGreMKgQrwpwZwTMNg18ShUt8jtP_MIW7-unOX8Vh-tXd=w1200</t>
  </si>
  <si>
    <t>696</t>
  </si>
  <si>
    <t>https://photos.app.goo.gl/UUj2kB1qf16Ntnq29</t>
  </si>
  <si>
    <t>ÁREA 180 M2, casa de un piso con apartamento independiente, casa enrejada con sala amplia, cocina, pasillo, tres alcobas, dos alcobas con closet, una alcoba con baño, patio enrejado, zona de lavandería, baño con ducha. Pisos en porcelanato y cielo raso en machimbre. estrato 2. apartamento independiente con servios públicos y acceso, reja, sala am plia, cocina , pasillo, dos alcobas con chifonier, una alcoba con baño, baño social, patio enrejado, zona de lavandería, instalación para lavadora. Estrato 2</t>
  </si>
  <si>
    <t>Casa con apartamento.</t>
  </si>
  <si>
    <t>Calle 32 # 7a-53</t>
  </si>
  <si>
    <t>https://lh3.googleusercontent.com/pw/AP1GczPTm8mY_iwPgBlqavIwbbIuOfy2mRw46YQeeJDyjXaVOjkFtudY-4ABfpJvMjgOCQBZQHL70uVfcISNyyUGKm7ZI-_uvy9nLUYcBAAw9jfll_EZCAc3=w1200|https://lh3.googleusercontent.com/pw/AP1GczOuDGjIiYgbG_ayE_U37zgSrIRy_jpp2gTe6j1dNmjJ-r4juNeFJWc6uull7YCT2zAl02g9sMkRDlCWkn3g-zDfkVlxgCmvPRxFPKauldTRrwsTogW8=w1200|https://lh3.googleusercontent.com/pw/AP1GczMcuitbuSQPGzzTXEnsxFudSdbnq4zzxe_UiFUGou3Y6NkSKFjddbDXJgUMh_wfG-8Un2VINz8-Sf0aqOHf251xjDuGDOhBSyQSVJBxTXoy-uLqw5o0=w1200|https://lh3.googleusercontent.com/pw/AP1GczNx74Rf_mtjYTLj_4Owg-UZZwHJgVd74FW1UG_fz7udivQnuSGX8k4QhZsPMCtgw3eEKHs8fIoSIdcixkdM39sSxEnXi-5l26zrzM4xdR30O7g4sKzX=w1200|https://lh3.googleusercontent.com/pw/AP1GczPzQxt725j8nv3-FYITtSO6ZujrIIKCswmpxz3kodh2MUv8oI_oJ1dMzLCwlQKAy3mZrx3LyzGyQK8wvB1Jih8W8FQN2NG_sVqhvixsqwGH39JNC8Q5=w1200|https://lh3.googleusercontent.com/pw/AP1GczPBZNOnx56IWbJJn7NiuIq4J-jNMbqQAtT5SDutoY3WUKActymeFRHf0E9ksUf0iBFBKbtkM-qkyixnDQvFgTv4tSWu3jafP2OkZkCWwsK1wfmkt-Av=w1200|https://lh3.googleusercontent.com/pw/AP1GczOfVDk0kibKix2jJxbMAcGjRBxoQl8PjhYKww8Py8bK6VhdplpKMMrH8_fafwJK2p7wnnAvkxD4xlPYH7OE6YpYwji1kfzoPvJbBbFIhYx-TobtDZqn=w1200|https://lh3.googleusercontent.com/pw/AP1GczM0R8K6cYBfT-MOhBMPBdaSHLDDxhKwmbI5bqw0LEy0UyRZv7Alv9BA0_MLfCSo-yN9qPjmPZx4Pu1gC2cJaW1iW2z4_ESHPboaZpZ_10JBUEslFQHs=w1200|https://lh3.googleusercontent.com/pw/AP1GczMrVSCXioNc-aeoEb5kWjg-Ra_d-9uEH1wTcbivJ5xePuymWa4w_mrzpUkUkUIcjgOGvH_tlMiqXawTpVyqetUFgFu-VxgXznyIJpDVCIoyex4mV3mc=w1200|https://lh3.googleusercontent.com/pw/AP1GczOZZT0O7llN7oPOJ7mQFLiO4xTBdIuKhQJCCJZwtOsKCHm-EBnlgZbttvduhjDA03GiY7Q64E7sTaqEcAKjyN_QzLelgiZNwsZzYBNjDCCpl0AD_vrL=w1200|https://lh3.googleusercontent.com/pw/AP1GczOi1JPlacyjG_5ebJVaqdNBdaqPz6MPcFPfU7s4FeL2DnkgnQsyTwws9jeBjM11Czs7zvGKf-xvYuFIfG6Lhg351kN_xDES95OLFa8R-zcrZNHkX4L3=w1200|https://lh3.googleusercontent.com/pw/AP1GczPn4CB_Cl6IvCcQSOiNCipiqAqHNoooncbLQabIgHmLXZWCYqvQtvLNioV6px4wd6hbs9WCOuF0hFkj9KZ4IYvdhPkHd2Vqkd1QimUsb0JaMHqe14o-=w1200|https://lh3.googleusercontent.com/pw/AP1GczPIil6IU7_2c_7LacLg9DiyVCvTUTkZtlcqLVJsoXmROPyHbN_g6Rg2sqhmqzjs2Zrnbpod6kFd4AeN02_IaBoO2QKfhx9HQjo5AyUkyZGBOd7Qs-4z=w1200|https://lh3.googleusercontent.com/pw/AP1GczO0mQyjtd7MWXlCyqNwAA7S3RW_nJZhVSk38Xhq8-oeyejSEXTz2XNMSgwAxlpKjzv4ksI09qaF85bqaDdkM8kZ0jPpKdEwFd9GskExyKQqiKHHr0ap=w1200|https://lh3.googleusercontent.com/pw/AP1GczMbQROd9mAbSBO1WWxsZ8yxt2zPRbxoRhbxkKCMwif7_CHRQ_gx6ZwL25LWMKS7V2Qigc-pMAMah-OSvALECLwkIuNTY_qs2Fonyz_X2f3G-PJ9tFZL=w1200|https://lh3.googleusercontent.com/pw/AP1GczMj7hElf5rdryb6cVIxDZkdG1r9TRgDZikLyX8Rq_6Lr5iu51KMpLMBdSBLrx-iiH3ANf3unMNx9pvbzMbQopCzTMFsFlin-LDQzHoTTJQmoZ1nP2nb=w1200|https://lh3.googleusercontent.com/pw/AP1GczPCi2gkVftCr_JLAjwYWAnvi5DVsgnlMN-GPrWpSf-vazjaWz_qdO0bDjKiYNljiwk6YT9sIyasSg5yHSl5qhCr0ueKtCiBJT0GaqB0f1KJiJNZkI_t=w1200|https://lh3.googleusercontent.com/pw/AP1GczOAIUaaJKfLRBNhcOotaFLoE7Gabx8GG11xjCJKXnS_9tl8ip_K1TQ6vb-WEIcT8IoRp80iMDYjo33BRRwHmdQsLoSkuLOAnHH--ntbmdevTuK9AcuT=w1200|https://lh3.googleusercontent.com/pw/AP1GczMsvta_VtWKTl5FVtespXuimy6Todhe9MSTKbK-sTmJ6H-n6kBJBUNBoOto_sfg-lfaWa_Ay6oSAvZE8JlILF0IBQak1ziWP2dp6IdZufwml_o34jBv=w1200|https://lh3.googleusercontent.com/pw/AP1GczOrtf8NOTYU7x-n_fgNGM5t5A-9C69Unu-igzB0OTQZpjhdzPyrqmsOqMUQDYga8mgeoU4FtU4QgkPpNWFWujI-QMlxiiuCeA4nNMuAit2ezwXlvl6K=w1200|https://lh3.googleusercontent.com/pw/AP1GczO0b5eZ0VeODgjfQyhmWK6rkpM9_XY1mOfpfFGAIVrIXqXM6Xc-orTxPmWc4GSe0kpzaQQe2e2u4APQGGKCEJxjydrpnPMTfiNNvroh8VvsN_wjkq3q=w1200|https://lh3.googleusercontent.com/pw/AP1GczPRWhIZQnJ2pi2bq1jEKOAhXu5IENsWCLSxsDqDwuuEPrhBwRdbqaILDndg2DHLr-IheoluewutG7q8GaOb0YYvmTgo9s-Wa8ExGcvtpCtvahOIWpbH=w1200|https://lh3.googleusercontent.com/pw/AP1GczNV_dJgh5OTB6SLWTWCX4vxEJQaIsF3S87Gya8BRF27YdHMb9QC36zx1UF1kBSnQ3KHwsBbOgCZ1UNKyR2eGAlMG6j-8y9tSfB7Uw3atTMx1kHjCMUd=w1200|https://lh3.googleusercontent.com/pw/AP1GczMY93156XYVa1zKvcTRDr0QFvWBLbzCOIAGseDkcWHKaaOhfBjujIl51GaeHeUOJbNKR3iA_FGkTPCDxW_a2nMtm2iE7mAGg0-hnvqrybaRvIO6UBCr=w1200|https://lh3.googleusercontent.com/pw/AP1GczMMwKXCMbF9-zox8KRbB3u_i4Ddo4Fvw5Ydc6sQrTKB5Bk_vWuq2-BaGYv6S7ZXyStmx-QZtCy4-EUaSR5Q0Omr-SC3H-sTQ6chbWYl4ppfjGuQ3T4-=w1200|https://lh3.googleusercontent.com/pw/AP1GczNePKOD6o6M_Eq3jd7pjsKaiTTzxRgQdB6a7CpPMrfKEpGQCX7jcjeHc7cM7r1DM6PAMq47ZXRXKjgIpeq34D6udFmbuy-j1jaHxKtStVQKk9we-RnD=w1200</t>
  </si>
  <si>
    <t>587</t>
  </si>
  <si>
    <t>Casa con apartaestudio en barrio Cándido</t>
  </si>
  <si>
    <t>https://photos.app.goo.gl/8AbXDMUxSj6aFAM46</t>
  </si>
  <si>
    <t>Área 176 M2, casa remodelada, enrejada, garaje para un vehìculo, sala-comedor, cocina integral, patio interior decorado con piedra, patio de ropas, zona de lavanderìa, instalaciòn para lavadora, tres alcobas con closet y con baño cada una. Estrato 2 Apartaestudio: 50 M2, sala-comedor, alcoba con closet, baño, cocina integral, patio de ropas, zona de lavanderìa, instalaciòn para lavadora. pisos en porcelanato. Estrato 2</t>
  </si>
  <si>
    <t>Casa con un apartaestudio</t>
  </si>
  <si>
    <t>Calle 39 con carrera 1a - 65</t>
  </si>
  <si>
    <t>https://lh3.googleusercontent.com/pw/AP1GczNWN4wvvAThVWbvFnZ-Cu1RpPU4fWYyC4D7yaHpX0Hdqz-4KshhWHEItIDCx1AwRNLKLtmwwiN0dXOEzBrvfLqn-IxMa-zHtadcq82squLz3AE_5y1G=w1200|https://lh3.googleusercontent.com/pw/AP1GczONeO2t0RSR-E6hjRWVkVbVKRf4Gmc59e4CWRBtaBzkrv3sZE49zTdzOUQj0px2XrajM7FlM1pX1QzjeO61bpIcuaV4PzwzY5wXivuwK80MhFJEin6v=w1200|https://lh3.googleusercontent.com/pw/AP1GczMcfdwAvERMr59bL7i30dAZXYFUTIU4DQXez5HqvhEMXOLLy1fteYirSgt2E8ZN4-J9F2jGJEoJ3A7CpAfVFyBW_Wzn6KEj3pSFFyQLrCgrNqXr7IHS=w1200|https://lh3.googleusercontent.com/pw/AP1GczPmB-R3-JCyt0UZqhqddjsNjaxfPiy68V8rUNkmcR3d3mTpSW3hcfpJWE7aeT2uxq4MU41MZRGwNu2-mrZznEiijHlzJeTGdZJWqI6jOreSDkZGoqqe=w1200|https://lh3.googleusercontent.com/pw/AP1GczOJZ0BLEttFC13sKGeLDE6QWWafRaYO-dX8PaR_xp_u2neqgMplFKIYWyQ2rESqgbSrd7d65g8UV66ZcjF0dFqVGK7I_zHVvPdjVnIr6BHv_nGGSbpq=w1200|https://lh3.googleusercontent.com/pw/AP1GczPlKIbBODMThGX0kUPOoiHAggsG8V5cRo3iY88dl5aXQVTsr-xn4eXrocYvX1GafM-bh6lH1uXWO8HMGyhDqBFNQRG3JOXj48sptTbkzCs8_qCFf_yH=w1200|https://lh3.googleusercontent.com/pw/AP1GczOpq23qtsAydtO1V92E2wqHgBfE21hLNMLEXIuQosUZuadCS2qpKeW12i_CfivlONptK3OVqKTjU0JDqolzJAXCzUkn97WXHie7QWMxnrs0WEoMIjio=w1200|https://lh3.googleusercontent.com/pw/AP1GczNJqzPhEG_bFyz_GzkwWOypULSNohJVLNfoRgJNlXA9fm5w8pigAFMExyY38W42oLQekpAoADi41IRnYMMH6l5pN6CrDWFDRhnuPCOZ_QDccPb2f2iJ=w1200|https://lh3.googleusercontent.com/pw/AP1GczPr_aiiVVfQ4CjqJIin7hEXg952jVvwSQym0yD6aq7P4Kwp_Eu4ZazBK56qJWX3Z4apPi5nJ6JZrxq-UfoI9UN5KoOiGg1-OQ0OTLEYt9Hz__2dw7wi=w1200|https://lh3.googleusercontent.com/pw/AP1GczPP4_LcswSnbpWuiTsOp2irKhXFjb_LjF-nQk6MdFR9vuZ91t6RNnP5neXVIWbEZOonmjwwgexWqrmHik-IBVb_JpG4UIqF2jyhOumGwZqu0ni_TGRn=w1200|https://lh3.googleusercontent.com/pw/AP1GczO3B1uF8KTywsdlp3sqRUfBEwRfaW0CLG0p-dwlnUqv_RkUG50BqS6jB-4GWNdajHvMvsGzWZ1-9XhzsVbFGiJ_8rtrBMQOZGkvx3nVOi8Kb-qOyDVK=w1200|https://lh3.googleusercontent.com/pw/AP1GczPLa79nZPIwNKrWnmQ63ce7woFNYt8CkcRZbJulhkd_YS9FIK8VZ3NJApqmGHsWzJVGL84owEDgf2LMarI_xGDV0uoB--3SLB6SWnVjE8SdYUrscT8L=w1200|https://lh3.googleusercontent.com/pw/AP1GczM3Wq24d5oNPKpbJORW-sxFHesZOghlfCiIDFOaEoEiSZHKY66o_MF2WvE47ZR2BLaSJTCm_xeQIcHmX2rSWLJYW6vaTczGKEDHsbOgHn6dvETr11X_=w1200|https://lh3.googleusercontent.com/pw/AP1GczNSC-pYsK_Z9FyGwuHSma6TI_hUVggOFgpTkhWokLbg2CHT5MWvmNJ7e_ykvsi5UURzxF7vZE72jv1bea5uj2kHk4NSbMpy0p7cHH0sDYOLDwshBLqk=w1200|https://lh3.googleusercontent.com/pw/AP1GczOmuo4C5QgFuppWJn-kBUXjkVEtLj2_cDxEp5ReVF6TJuXlhEZ4QVyrooiq1s5IOkDgLDw8hOYyLkRb3Cm3COlfNyjvqvF0__wBokkQ9Ljg26UXmG_R=w1200|https://lh3.googleusercontent.com/pw/AP1GczN3N9z_QUP937iWbw5nFXXvooxa6BcsQt8us2c8rHBLqdwK-5z5AN8btk7sotaY-Cfeul7x7Mni8FvsMrAPHEAs9fdO7PtF7-8ZQoOcfVADRouJmpJa=w1200|https://lh3.googleusercontent.com/pw/AP1GczOJZtSINn7mqStZppYEIgQd-oUuPUfZB5SJMSmX8GAuZUe5otKCvDcHo2wVVj6vE79FjqX3XUAi_Z7doxB2e_MiMwMSq0IQutlSL4NttOz2oTgaLhYN=w1200|https://lh3.googleusercontent.com/pw/AP1GczOj8lwf2ZNqRF5T0fyQVx2hF79heFxO0nXvXSz97Ind7nRJwD4hyiq8OjPxm1_xgSXeX-H9taPb2R_zWQ6FXfbSFE9SGOYD6-QcwSNOXLHprBaPpR0_=w1200|https://lh3.googleusercontent.com/pw/AP1GczM7dyex41mhap0bLIy4Q6ifrFlcOfA8eS_beO2OLqDLBXxkS2HgaokcPexkikKtWD3FnFLzZp6HhzIM4XHQb1I6WMl27p42-WWFkscXxIpyNhatTkNZ=w1200|https://lh3.googleusercontent.com/pw/AP1GczNozaRUF2TTtwDuqXl4qhxz8CqXVVd6DmOlbOlqlJRjppC9X08UGrvE96dH16AqPB8Dw267APjmksFR9kv8sGvQaxIBKlqOVZgA-phe-FQmjNA-p9hm=w1200|https://lh3.googleusercontent.com/pw/AP1GczN-S600IMIdRM2QBlksKxpW6JaWrovea7j8j-2SLC6ocfz16j5-xDGFIxW9MIKDhzgFkfu0fd-n1eDypKfwuCDf9r_Sz3qT1pw_xf8mbcn4_NzdwVmn=w1200|https://lh3.googleusercontent.com/pw/AP1GczPNFo5JxXrowBoGxjZoEYrtUhmYnID4pmX9fNnq-m_xAN9loaGvyGI0JPJMDmfBqEQnlGoWrmcCAy3MVW9D-Zu-uMQAEX1r0bBlfI9s979iLUg008xt=w1200|https://lh3.googleusercontent.com/pw/AP1GczPZ5Pb7s1uKyV57snjNo5tpPBXo6c4P3CMXmUmtG0PsUmwiCrCC81ZK6wP3TTbZQgr_88ULwYOYcarytpUEDgdn27VMBUnueiwqlDXJJlASCdjiUcVR=w1200|https://lh3.googleusercontent.com/pw/AP1GczMvrVuhkc45QF6QY4nPjfL3ZqqeWK0Jyrjr7eW5vRsl4frw8hEMfSagdS4PU30nXupHHDG3UAgBzuFRZntK-FradBbMRPlpklIL8L3OGSL3y5O7tk7E=w1200|https://lh3.googleusercontent.com/pw/AP1GczP6h_hsKweGvTsPTZc4u2btu-ZKr7lRysl1UmwfUokHSdQlJWVj8ogJ1Ee-zFfWNXARDHj_maCOXXzb0xi0xugfBpsDVykpuv3Vhx57Iv5kVSCFpzEr=w1200|https://lh3.googleusercontent.com/pw/AP1GczMpz3GunN_jhSvCRJdx3rXTuDZu9LVbyF6D6lockPzfPpXH2cf8-5G6NvsHBAAnkOb1-TgZaUY7FXESYs91wkRLGTL1BSifDZOT2T-48KdNtwx4sssK=w1200|https://lh3.googleusercontent.com/pw/AP1GczOeurqEFnPdSak-qKVjhr_z-rB5mAdtFDYsnDt0Fu3KTTWHCyaZGEc0v6s8jg0I6x7sR-npXUxVvAcJFRyxoHj6Rl3RpRgsQrhEysyPugWzlX1hRTzM=w1200|https://lh3.googleusercontent.com/pw/AP1GczPBp93jmynINiul466P5Li5v6UDC-FmgFN339gLIF1O74Ob0ORAvrEgn6K5bxIsm_C_3LzEQO6JJAUbT4B3APl7PRc5S6JzaJzvvJvtHcG96Tgzwobs=w1200|https://lh3.googleusercontent.com/pw/AP1GczOCaxrKnv4IGa2yOjonRUrG8XMFszRWJYs5oWeFbZ6cp64fcmXTQBjliNuBh4ZifDhC7If6yNc6JGklLhQ0NyyKP-7sKs9ZCLkMLm7_9ha8iRATg1-w=w1200|https://lh3.googleusercontent.com/pw/AP1GczOh4taigya77OM52t4g7YwALyxvRanYN2TJA1l4hjKt9HXMHKDQw4WSgpFPvtiT5MOE2fC8TLYOHV9fdnVMBeP5qNpERnTNSyW23YQ_plH0RHJXN4ZS=w1200|https://lh3.googleusercontent.com/pw/AP1GczOlnAO6GsOnQPd8EfXMyjnsRHt6pN4d8bjLSi1gmvEqiPmdXFcUN7IPF8zgXqzZt_U_7fXDOsuM47KtES_F7i6eL2f95633H_bmezjitql2unn1yiu0=w1200|https://lh3.googleusercontent.com/pw/AP1GczNRWvjlQTCcmBF9SmwTTKYyhGkJx9DPJQK5VodDszCqlLOKyWWGAdF9QpW_LkVK1jwQGlYOe_4YvX7_PM7hC7cWAhlsKjXoKF312AmZMW-dTam0JFv5=w1200|https://lh3.googleusercontent.com/pw/AP1GczMWBlGCWSlBlWzGFJl7ui5K-vx9B7_1mI459RpgjmLkigrpaQ5VQSYUMFePUPyM-gKW1C6bfNR846-vBMELCw2VV8AuffWVxLw09yzRJwNTuqf5UMOW=w1200|https://lh3.googleusercontent.com/pw/AP1GczMdwTd3D_PB16JlQs4CaM0ayedCZRa83kwUesAH4GUXvbC-xx5GEmZg7pY44fNtZQOWRS1_iVsCpOTxT3TAMfhXhkvQnWvZBpn8s1IBXTtZZQHsdx1_=w1200|https://lh3.googleusercontent.com/pw/AP1GczP8ZA-LfP5ExMPLB-0s--txQbe_HfhLAMWVmDqGZt6BWusQeHuPj6JPXGXDYB0tyPKRBGydEYankGBSrOcD1vYULAx1PdKaoh7Mhaf5vb0tycOwfBsk=w1200</t>
  </si>
  <si>
    <t>134</t>
  </si>
  <si>
    <t>Casa en barrio La Gaitana</t>
  </si>
  <si>
    <t>https://photos.app.goo.gl/JZHneDJaLzbiLSCp6</t>
  </si>
  <si>
    <t>Área 105 M2, casa de 2 pisos, garaje cubierto para un vehiculo, sala comedor amplia, cocina integral abieta, patio de ropas, zona de lavandería, una alcoba, nivel abajo para una alcoba, baño. Segundo piso: alcoba con closet, segundo nivel alcoba amplia con closet, tercer nivel: alcoba principal con baño y closet, pisos en adoquin, Estrato 4</t>
  </si>
  <si>
    <t>Olga Lucia Celis</t>
  </si>
  <si>
    <t>CL 5 CRA 23</t>
  </si>
  <si>
    <t>https://lh3.googleusercontent.com/pw/AP1GczNP0w4_B0gcS4VOJkky85P1Fjro4q6S7YOEGbeP7lDrtO3izn_EoW4W0QM7hbaI6ZSat2zXNH6_Cgj6A8kacQRXiKJtgCFte0PHdYafwmyyI_5hvIoi=w1200|https://lh3.googleusercontent.com/pw/AP1GczOvp5XC48x-dfxEN-OmhAFvNHbR4zLpL9trpokmZDTmVi9Q2SmsFNZvCRRYcrLymuQn6bkCgTtaIdKCKux1UcXImpAK2qHdqWmrxYZDEEncFnkFigLO=w1200|https://lh3.googleusercontent.com/pw/AP1GczNKHt8rzGhk1yFnUlP9UOaE7M5RJ16dWfflDy5qaNkZD9xW0At8K0Ed8W7TgSv54aeBAGHuTU4M2X5MmjCsAEnG8ZeHmLTd4Q-si0b12CXtw5-5Msh-=w1200|https://lh3.googleusercontent.com/pw/AP1GczMeAMabi2xiR3aYED3VgrCT78UHzDXNHHrSVCVJbuhuDWlUR9uMGnUcdYQf4KkYYIrA5FGkSKx8DoafVtQ745i9S33zD-UL9PTIVeh17kQvg0mHKZJJ=w1200|https://lh3.googleusercontent.com/pw/AP1GczPgAz9rsLTOQEAPM9vLH5LlnEXABYvBOS0cRL93l80ciB0KeHgWkxerZ0kPmeyEn17FsY33DU3D3327TfDQx_RTM3B0A3rWjTo2sCAybeUe6iuvk_up=w1200|https://lh3.googleusercontent.com/pw/AP1GczPlaVY_50uLEfQ68bo5H9IPfvyeHq13Bb4BcXkX7_4vDeWcHFe9R4jzjif4zGXSFnyh13yvyZKyhOkYtq27LGV2Qz-K0otrCwKPfk9-Q39NPXpWDb_R=w1200|https://lh3.googleusercontent.com/pw/AP1GczNlBQYXjxAsKcnfM_hpGUtUoM_p1-skvnGqxPzLE0IlwAgZrV2_3kxT2TQn8oaCx3o3_oOCdZgcg5HbjSVsmB4mHTBaapuM6I9fW54WD2QqTYPoe4-i=w1200|https://lh3.googleusercontent.com/pw/AP1GczPJ5rQDEk-y-_KFnTsuf6cdg0Shw9n4RAh4VJJwX6lBrSlnxXu4BT-S2qugKHHu0Z_hMoW0OU4q2Sokz6e6T5WBsiVczJWqZJsldl7fM05VBrIVQhyI=w1200|https://lh3.googleusercontent.com/pw/AP1GczMyIT36TF6BRAj2fRt6d8k--gzv-_U7WfFQnalboPlA1-V456bvwkmNy_Wx76kW0lftpYaFl-qY8bgmYwmbITfTRAbbcCc1HVmD5ACAy41h2KzuVSz8=w1200|https://lh3.googleusercontent.com/pw/AP1GczNARd1CvWw3nXz--NjQ7wIBgrUUIIunSvLA8DDLPjtR1bB_wmBKURJdhHQW59-5fh_lk0aibGzNOSo68jig8jEFQ5QIfWZ3lz15EzAO908eiZDySaqE=w1200|https://lh3.googleusercontent.com/pw/AP1GczPfbagcayoS_HmbtTToshQNiBbI2zfrzTRmwXQUhswAPoDc7w9Y-yZybNJdCCCCqwkzlXgnKupKmdy4wYMx8XwPOelr_ssIwcOokE_FP1lF40yx8roC=w1200|https://lh3.googleusercontent.com/pw/AP1GczMvDepGbbRD5DtTd0QpZfEkiO35Y4MxDT5RImxgJhw-kW5sEOttLH6S9IJZXTbas5pSQqAhjfO2FDsMFwmtMBRGtJRv6jmmv8Zw4xlfq0jQ0zxsywkS=w1200|https://lh3.googleusercontent.com/pw/AP1GczO1ZfIh07soIU2EYQLwc4ZLStpTpjsKNhWtCyMr4eF2I1MXZRopzy1wcAMPhfo56osRjf4HNX8_VpfPlxzlH0DFTWWdTg84uOkrQ1w3KUwvQwW3Cv0e=w1200|https://lh3.googleusercontent.com/pw/AP1GczPli-pKVzEQgCkUi2AyJ-1wDB0HpR7VCXoc7wdQtMQSFCGEUQurYVMCw6QbhGQccGtoDB48Lg9VR1IIWaTZRSWOHnPG4-1o_nGDtG9ErggmV0jIEQRG=w1200|https://lh3.googleusercontent.com/pw/AP1GczPOVjxkV2Hvbzy2evLCitYzmkN6KvqP5nmEL8iihH7QFoh5aBRBVbtM9RzmYoQ4kERW0b4MOMOUgCUh_IhvVLCXwwFBi05V8ujxX4-s0mJqbZ7d5ppT=w1200|https://lh3.googleusercontent.com/pw/AP1GczOwY32lhOeUBg5M3ZOWWRIxSmbN9GfXCsOO2KRUVyzg1hR2jBg8LndyVMqSLOHhvJ1y7RNbzHFZNk_5Q3tnoTIkiryQ7CrBntjy0lTEam5S6wbh-0sn=w1200|https://lh3.googleusercontent.com/pw/AP1GczOufHt-kyuTdmncVu322GJB87gmV9PJ8NqvCgqmSZ78jygfx40Gk5ztYT8Rw9NRSZAAd50S4st527ujlA5COLw6aqdlbFOMvkYeZaAcuRMZ0oSe7jhN=w1200|https://lh3.googleusercontent.com/pw/AP1GczMxD-sI-u5JlZ4MqeBe6L3SkdORYTBO0VjMrCZH-IlY6k3hGf9GgPDSUrT9UFnXfdTFD3qYBdUSKFHUlvGYZ01UBAaj5mr-axKe1eJX1HEu13oPMRga=w1200|https://lh3.googleusercontent.com/pw/AP1GczNpx7weVMr7nyraMzgOoMq5Z70QC6riSd2Uq9mPrjjgBx_wb9jb9rfT2Mu9_xqZD9PJ35A9WkazFV2n5vaDczMgNDGvjnrBXPhXdU6GVyupweE8aaUm=w1200|https://lh3.googleusercontent.com/pw/AP1GczPHTuqud0A_byGCE6myWgjQG4APXWUy0SeV2tLzU7C5jlfQscQn5Xb2Zc_ZZFraax-lBwrcbn2lTeaz3kl3hVZhAQQ0WHEVjrbaY_iCBVssB9gTEvOl=w1200|https://lh3.googleusercontent.com/pw/AP1GczNTtWHmr2j_nK2GPn7-pNe_STh1n-vxREDt4-nQ5cYprOifUlacIBLtXKrpwFiK-6wENfxc56mU61Kld-pGfGr4HRwFLqK3Hf9PHroJrGMQIrXEB2Jn=w1200|https://lh3.googleusercontent.com/pw/AP1GczPDcKhksPkeEbu_K-0PPvBfZlhzRGUgzJMU61GC3Tk65lihxYIZoNwh02_wj4SHO38oCH00kXVhvSGfsWeEbUUwXK7c00qdiu7Dkvy4Ggn76FpB8VBO=w1200</t>
  </si>
  <si>
    <t>691</t>
  </si>
  <si>
    <t>https://photos.app.goo.gl/ZfH886ex7mpYhbkD6</t>
  </si>
  <si>
    <t>Área 112 M2, construidos 200 M2, casa esquinera dos pisos, garaje interno con portón para un vehículo, puertas y ventanas con reja, sala, comedor, estudio con mueble en madera, baño social, cocina integral abierta, cuarto de ropas o alcoba de servicio con baño, zona de lavandería cubierta, instalación para lavadora, alcoba con closet, ventanal amplio con vista a la calle, segundo piso: hall de alcobas, tres alcobas con closet, dos alcobas comunican al balcón, alcoba principal con baño, dos alcobas con aire acondicionado, una alcoba adicional, cuarto de san alejo, baño de alcobas. pisos en retal de mármol y baldosa cerámica.</t>
  </si>
  <si>
    <t>Calle 28 # 3aw - 57</t>
  </si>
  <si>
    <t>https://lh3.googleusercontent.com/pw/AP1GczM0IIigzngsTHN4Hy1Szr3UQ_ABmDmVYzXca86MaLc_SZAxdc_zjOothfIptOCf4ANwH16s1sRuxGoXgIKVfGIkxzDMQew0t7MjKIDoMvnrILoCpU8C=w1200|https://lh3.googleusercontent.com/pw/AP1GczPEJwkrq0bOimOjIVW4FaT6N_D3DTIqxofvNQyRohzGR7Y6mYa5V-3WxpZdhmmAG3Ia6RZGXPDTGsuehT1n4AO638jyhWVtV1OQq_mQ_9O8QfZSkADc=w1200|https://lh3.googleusercontent.com/pw/AP1GczMHEBmzjLcuXXLl1aCEQufEVYOdyZxv-JSKhscw0FTCZwOhm2wcjKsEVAUAVWxPzaYku9eN0i-R_mMPggw-IeQmpGXomdaBau79FA75cGU0FIELBi4Q=w1200|https://lh3.googleusercontent.com/pw/AP1GczPf92m8WUpFOKsgkM4L_Qm7zkjrj2jg0y9i0F_9BK-aIdhYSRmN6_tjYiy2dkx8wNFGfKiqCrOtElEu_5NE3UNUQrjVQfcB7-oIyKmKB_kK7YNKWTVA=w1200|https://lh3.googleusercontent.com/pw/AP1GczM79mrlHCj1J10E71ZTXZxzK3fTDNQSJR9Na5P-PTMyM4_NSP5XxDXKk45ai2MI4jCGsptlBrHbyJV8-HTu-o2eCGFBlLPqksd8fo0qUoe3_dphz5FT=w1200|https://lh3.googleusercontent.com/pw/AP1GczMc2WURM4GjuEGzGcYu9CiJf_vEsQZhCuSUNatdJVy0zhxZW3OFR9giq49VqnbHJsnKu4F5CyHcLrMePZfzzRgQ2NkwdOMRb9tknLuCm5K1x_v5WKR0=w1200|https://lh3.googleusercontent.com/pw/AP1GczPEjLUfKnC-Ecx0CzIJ-JaSp_RN3R7QEJXelNys17R1G8rPkAKjKty-MRzlfCyheR0Se2_nZvkxEYUBaHIOUYFktBcpxg8mg3q6NgSTEC0POth3k5si=w1200|https://lh3.googleusercontent.com/pw/AP1GczP85DwZiQZBRJDV-2WPgWM1_aUrQqOC8v12Z_Yc8JyDV6xh_oOKgMqAdyXEYxWCsE-lYtlMxu72kdCYXIsooZ3hEGvVh0m2ibfG7G1MVuR_9iOr1hJO=w1200|https://lh3.googleusercontent.com/pw/AP1GczOT725D6nXYjcTge2jMtVXwjJnt0vmRtjFLinIJmrWxN9lX-AguVIa_iwBbhAp2JI0IN8hoCEFXsO6U9xaPWfs_A86VoOMt3_pgqnMlgeBOhVN01lGr=w1200|https://lh3.googleusercontent.com/pw/AP1GczNsHL6KZEAHx6HwCnUKMhVzwR76JBXjSzrewwHBluoXHnfXNG5qnKxsNJ1tVPmNTZ2W7GcyN20iP3UWk3dVAGn__I3_x8y6WNn_iPJSjhAMVQwy-v0v=w1200|https://lh3.googleusercontent.com/pw/AP1GczMa61ucwyzfNsJyYB53UgQrwlJSX_OMflztf5WW5cl8if-mO-LyGDsLxV3K2o9lkTptjuglCH7kVCe_ygcqyhs4DoqyYudMchFTOeir2CdlRhV-myRb=w1200|https://lh3.googleusercontent.com/pw/AP1GczPa9D9FtsF3rzYYdisMRgM6aSGWdAkRFTzk02yV-cCLn0Rxxthnl0c4XptCDtHFm36YxoMPtcX92kc2CutzZ3flH3NwIoyweSLE4NiqS3idR9cPlTPs=w1200|https://lh3.googleusercontent.com/pw/AP1GczODY9cl3-adaFK9P6WJxfUupPMI2Dzqvdq66itWs4qj94VvzT2pTL8IHP9ZVyJxS0ZWZIXGsATU6QQYLWBxHB0OcVVPtpSmXUIe7K3Fv31PRDVyQ0Hn=w1200|https://lh3.googleusercontent.com/pw/AP1GczP1tOPXjs0fTi_c8Yx5jETOrMnHPqWzcZzhxq7tDApBouTYYmtpsWcJXtMjvOv8LBPdEXrgzjnpZOeZffUYoT0_yRzGK3MzzbhgBa4F1ljpBlOg27Ci=w1200|https://lh3.googleusercontent.com/pw/AP1GczM96ZYv-4nkbjtbT1KbT5DceFi10nBnoNeJUa0U6LM05hwWky3aPl2GRnIs5HkKzkORkcf-eKwiJOSzomhyAzar007ZNDHrVkHEqV8w1BZgbbD4yjZe=w1200|https://lh3.googleusercontent.com/pw/AP1GczNr2e_aDtEzNJgmSrJEbBhAH2AGgU-nRB2kaRep-h-IdFh5qYjGMOhTC8GwJaA_VgkHF1-S926qWUe6Iv1G2L6zmNYvIlURlrS0dvWSrZcKf3MUrPGX=w1200|https://lh3.googleusercontent.com/pw/AP1GczNij8CzD1NCnEQ_0kz7TJv5EHBjY4ZjMH1dBYoZB7md7DAvTDGtm1u1y5x8K0ZtIpJBBX1lrzrVkZW6dN-wR6yxbVo9UcUNAMjPzHs59Se31slLbknD=w1200|https://lh3.googleusercontent.com/pw/AP1GczMjlyMBHidavUe31S2MIAKxkowfZRMkvP42Bh6bkzj5lsHYUGxFe1w7sIrIk3KA9O7DTco950W2aFQAdHc6S23N_wR2l_5kBbiIy4uJ-1ZY0BD9gm5_=w1200|https://lh3.googleusercontent.com/pw/AP1GczOnmEl4cTNuCuxgeC0gol0s5519h4-cvdrUbF_pbEA-ZZxCOfftVRG5LSSadMr229juUzdjv9e-VbFrcILlYucCe6jaZdMXBqOAFYEBMVkfSBDKt8bX=w1200|https://lh3.googleusercontent.com/pw/AP1GczMNWtPPmQhDXk4Snbg6qFvpfhiOQWHCK8xXqNdsf9tg5GjBUbs3DzKj8lZnL87t29-EiqJRv7YpMWU-oTimpbEOwhYC2QSrtRYKk4eu6pYonnKdU8Jt=w1200|https://lh3.googleusercontent.com/pw/AP1GczOy1AcqyjV9rJ4T2OULC7KCX_SITn_6wnBgIGyPAktwvcHCxR86ZQQaP4ozmUfCaLUk9Z8RfZKwITFfhAW-7kJaL8DjSosdBXGP7B5ESZFt8mDodbRJ=w1200|https://lh3.googleusercontent.com/pw/AP1GczNnN_Tn2z-Wz_9y7_syLgu01xqvmqdCc-5UFG-U4cJyjD9ffTCJ65VZvXmb7PmmCAl_gaNo1WdGD6RprkzIAlyzYKm5EVHngh0_Ts7DEqACTnenp-gW=w1200|https://lh3.googleusercontent.com/pw/AP1GczPiYf0R3Pv_a-tPCjRTz9SCY6zdNGn_JqkparU6MOR-ks2DZMuqaLs6Bi37zXGjHrgQukXYxWyQ-SpuZCdItCcA-jgvAN6fxhquzcofuoUn8w6uX4-L=w1200|https://lh3.googleusercontent.com/pw/AP1GczMi4UfZgxqUhjuRKyh2PUba-MqLF32u2KAZptFRtPOW-aIUx2PwhsWq4ug7wKKnzEJRc5hkGkyXEmRBfRXuav2aBwGQIxT5zg_TZKMMRomFZAg6ZHjp=w1200|https://lh3.googleusercontent.com/pw/AP1GczPVSjMPCi_auXxI-nQbxKMBdE3O2Fh9-myTs5mVaJ8mwUOT7ea8Le50LTPKpR4N43d5DKjp-1gacYyv9UWji86bLuV2xQWy9mLfe-WoFdL499RqDdkU=w1200|https://lh3.googleusercontent.com/pw/AP1GczNT0ddifVjY4gO7PnGLUchFpPGf9NNApJwxQn_lktNS9MnQ1EGbqyPUdJCf7bwEX7FzEBBRHKv6UStH-RefqWXKzgegxJ529u_3N8lc1xGMIVOnBeVY=w1200|https://lh3.googleusercontent.com/pw/AP1GczNkhZiHi9u8MXPk0Ggjzda-IHoWt9KFcFJDtxBsx0q8eM3KuKyZyIubpYGMPNdEKO20fsKVawGWW2fzORK-iGvcDfR7latJqLa_vDjmw5hUz29mMytT=w1200|https://lh3.googleusercontent.com/pw/AP1GczN4h5gB3m-4SXzioEJQe1gIPXjH3JNMzUvIdLLKVy2ujdwAe_Wp2BNAuqch1OJa3GtHgiFa6aRk9CFcUoSHlW3PLZqdDhFuFy0PslA2ljLKeCEcyWMT=w1200|https://lh3.googleusercontent.com/pw/AP1GczN_JmHMNvjWRvBUXZCxAIKtBlxakOfGqxKR5HDxhBVOvo38WHJRKg6OWgSCPf_YAx-RgR5XSLSEqEYEAawIdk_9ZAj-aFoAbifftvEtLLQq46DJEcGB=w1200|https://lh3.googleusercontent.com/pw/AP1GczO2t1xjVjk8KP-VAP_sUJBzuNNwcgmarzXglMrita4T19iiMHHLiaNLZpMITZWVHzKRMaMl2NE7DoMyCrygnXnoW4tcMhnq7tzMp4kfClG7xKGbOjoc=w1200|https://lh3.googleusercontent.com/pw/AP1GczOgRa-ZldWNwrtbWPS1A0TU-PXSW32vx630M2dofQ7gUiWMNPzp4qElFiT2oPmFtbgnxSSCIC4HINwbhzQyqjt9VIE5PINb2dkapPFv96r4dSeWfpVy=w1200|https://lh3.googleusercontent.com/pw/AP1GczN3EF219H_5e88IRcIB63Me5sYexz3Ef2hEGxbqVqoCTUpNKmG_NRp3lQ84DXw2zKD9sDXk5c_Y8kG8kJaL5bI1RCwlDCfXSa5CJcrgVJBYGi2HnuWz=w1200|https://lh3.googleusercontent.com/pw/AP1GczOZEVMYZjtNExqASOmQ4OkKs0kwjb5TOtUZ_aYsApfBy92yecMD-qP_OjN51IhsbO0XIWnlV9LqEVE_rnxD7IT2o9g4I-PQ0Z8a0WRUN6TvMuYXHv_u=w1200|https://lh3.googleusercontent.com/pw/AP1GczM3maHpjf81wD4QeDjfb9JVGkaS1VgDxR01fRQazMnuLTSmP5An-P3PVHCLNLpgyq_pZlA67bq33CLfU5swYso2dB443vS407q5kCU4Lpv0DBlHd3g1=w1200</t>
  </si>
  <si>
    <t>490</t>
  </si>
  <si>
    <t>Casa en barrio Alcala Berdez</t>
  </si>
  <si>
    <t>https://photos.app.goo.gl/5KEJeyCXb3ZD2FZLA</t>
  </si>
  <si>
    <t>Casa esquinera con area de 10*17 M2, incluye lote de 3+17, enrejada, sala, comedor amplia, cocina, patio de ropas, zona de lavandería, depósito que va debajo de las escaleras. Segundo piso, baño de alcobas, tres alcobas sin closet, alcoba principal con baño en obra gris, balcón interno. pisos en cerámica. Estrato 3 pertenece a palermo.</t>
  </si>
  <si>
    <t>Esquinera, lote de 3*17 como zona verde al lado de la casa</t>
  </si>
  <si>
    <t xml:space="preserve">Carrera 11 # 45b </t>
  </si>
  <si>
    <t>https://lh3.googleusercontent.com/pw/AP1GczPlQvu93GpheBfOYsMBGQff3Ccwoa4zcVyV476xlSkHmP44JI6nhvwg8_8Z9Ab-XSVSKh6r4B7V-rsB0MCCCrqZ1iWZNipt0gJ6RIpFsuJnpgremYX_=w1200|https://lh3.googleusercontent.com/pw/AP1GczMK7q0xIU-wSBL0xKsRK2kz9cXldwY3K-RU0y0pmbIkOpYQX0oV4GORlPWhR8Zqvofj6S05klS7fyoXGAq9XqYXnnBkXlNt14yKC92s3PQh9cJpmVPZ=w1200|https://lh3.googleusercontent.com/pw/AP1GczPjO7thBiNoI88YgVjbxymvmMtDxW7tlmhK8BvGBY4HYevu6eICxs5k666Dzs4gfcsG9ynrMa3ABuUba0OhFEtUwS_GhFuZWpyviOglabgGah0pOwtP=w1200|https://lh3.googleusercontent.com/pw/AP1GczMxr-X_dWf1k2qcENN6Fs8OBd1MlRadd3LPFxmoCaxh_lUdRIbJnzc-A5PrhQUOMaa4qz3Bjhul9ejqjQJFruTI7Z0rzSUEwZDEeajXgviT-NpJMIdi=w1200|https://lh3.googleusercontent.com/pw/AP1GczMoJqp1E9ILTtOk-2YF5-RboJsl-77tzQm1qKfdodqSDFrAm0nBbljZJR2XRt4O4FCHl-1AedkCz_7FHoIW1crU_3ju7htJ_eac8jCLxDTkv1IX-wvW=w1200|https://lh3.googleusercontent.com/pw/AP1GczNdQOORj318DT91yKmAXe-7jViYbdd5Bw2NGDt7cYBvMxfmoFjci9h2k2IF5erhL2iafjoI-RDTOKNpI2XdU3S1SRLFYWbXRVePvQsOw8jSXb6mQRzX=w1200|https://lh3.googleusercontent.com/pw/AP1GczOlGcClLwZ-WUTmz6Y3Bw_16Nszg4SLKQH69K95Hx5UnK14sNsLPAliYSL11inp6VKiWuUI89Xx8oVSDDPP2c_248q30C8gU6ydLvQ-7xKnhD9PHjQ4=w1200|https://lh3.googleusercontent.com/pw/AP1GczOC212kDQt-PNmIvOZ9PU_AR3qwKTFfbEZN7WSMKMce25af_w_O32Cs0wzECeZN5N0cLmp6n3_VuJYYqPxjVGqZLz0ycJ1dvu42vGYaW1o0xgX-A5wq=w1200|https://lh3.googleusercontent.com/pw/AP1GczNyv-BSrR4urIuasxiK29YwOAr_vnT3JdRcvNUCURY-LN_QKnjE91wN_ZHrcfbVoNUibeQ6B_iu2DFLwE2-zucrdbk1LeoY0kSLgD41LG--QZskfPUE=w1200|https://lh3.googleusercontent.com/pw/AP1GczPK_ETi8U38v-0Qt5xkIpKW_ShpnhRoIEhATWFDN7LBy2suBEww4HD3rWJJe_NvqrgBzQj02k5nkkIQmAepvTbiwfxixRUzy8Q0TBZS9rLwX8tZXl_w=w1200|https://lh3.googleusercontent.com/pw/AP1GczPerWPfGkxigjEMgYNYUUq5unk9Z9owpSncHniNEoZslX7ofPJBovK55Z2Vg_37iJAhngI_2wcltckZvh4Ux_V8y7RAgcANbYGM9GiVWlZD_uxzB7Ba=w1200|https://lh3.googleusercontent.com/pw/AP1GczN343Rlc9Dp_BADXYUANqECpbLspwTf7knB5G2P1hMn3gDN8aha0C_2p8J7NdXgMbdjJii4ggp2VZEUjZLohTLzwZB89jCanINu-zp3l1uiAIwzhcj1=w1200|https://lh3.googleusercontent.com/pw/AP1GczO9I0qajzxd98mF8cbSsylkGkJC_cA7MlReGXKd_z_VWKWjXIEZUwGCNH-zP6kgnZXCwaXJB4zNTeEKKDLAQMcxWTExjTWyf44ldVvnAZrLdJakeoth=w1200|https://lh3.googleusercontent.com/pw/AP1GczO5lgcgmaZboADFsH_ZckJSOB3-JQlfBAV4A7EOE-ryMoaghD26ZEsK71Ech7TxoLjwTU-Nxa0vNAayXntYkXv8uNPSpQDF6O7jQEiPuOjJqNPxLWfm=w1200|https://lh3.googleusercontent.com/pw/AP1GczN13c32vpp-tgreByMGS6pttyfhAkF1fB4lulsOAfel8gmkcA-NHRZRJq6YO82kGnNak-B_daoDgvp5MYoePUwPr0uWq28KKyQU9YSbZbn9FinuqdBF=w1200|https://lh3.googleusercontent.com/pw/AP1GczM9DY68oID2pjYkx_q26SXm0wbdcadfDrajTeYc-VaXoXX9zjoTUsHV4p4e8MqTp3RSvqAWyG-kbOJd66YTyw_gNCAZwaV1hILv0YEZjlvOU9JWZUMQ=w1200</t>
  </si>
  <si>
    <t>703</t>
  </si>
  <si>
    <t>https://photos.app.goo.gl/zREVwSjnKfzV6V2R6</t>
  </si>
  <si>
    <t>Área105 M2, Primer piso: Cocina integral, Zona de lavandería, sala, Comedor, 2 alcobas con closet, 2 baños, Terraza techada. Estrato 2</t>
  </si>
  <si>
    <t>Carrera 18 # 37 - 17</t>
  </si>
  <si>
    <t>15 - SINDY MARCELA, 12 - LEIDY YULIETH</t>
  </si>
  <si>
    <t>https://lh3.googleusercontent.com/pw/AP1GczMOpsIn-9oqrAvRsNnIMUYU0ED2RTCETZboHYmRR9ZD915A9IheCMkTyn4Ni4zhhcHUNz0bSJaroXs7Si8oixEyh_5WJ5KI4W9jG0TqWvTDRt8rCzia=w1200|https://lh3.googleusercontent.com/pw/AP1GczMF8lv05vFY92x2CjPuZnfjilPhj5RjMpyQtmeEm8tIjnHQpk86_GEjWNTv-w--xY1hkOCKMrgz_z5y2RtlJal_9U1JWD5UdpTjIp_tgCY9pA2vqSBk=w1200|https://lh3.googleusercontent.com/pw/AP1GczNJFes6svFiNQAnIM_-8a3o6P3Qo3rqRZ_MTkHSIv7a9sbSPrRpRXgyI09J1yQCPlFxn9p_4msUkaASmKcjzN24JrSA0M3Df0Hy4LOQiLBXfNEN0y89=w1200|https://lh3.googleusercontent.com/pw/AP1GczMaooSZhI-YOQLgDEokWxs4yHNcOs0VIlIhHSyES_GOyUTuXz96LeoaCvJubmsR69E0gHP2--GK-ShEHk-q1bufdoQJ21COgFiBeC4hQoOw4DVxJUxd=w1200|https://lh3.googleusercontent.com/pw/AP1GczNuWTpoWl5_2-eWQmmxjZtbnEbF6daQ1Uh00_8bfmFVnZlNNsgq8XTc4VuYix5x_nJns1XHGkULmbnuKZS72ZY9ZoaCJEsm_cwJp8weO43D2qywhJ6_=w1200|https://lh3.googleusercontent.com/pw/AP1GczPyz7pBADlSxhJT01OS5dMGSYdWug7nc_0Ssbbo3JdBfxtJ0G-ht9SGq-XaB88feL6Kn2Ez26HGFBlgJt1sHRf5cG5lblyZs5J2PcVk5-5PRCp2KeoR=w1200|https://lh3.googleusercontent.com/pw/AP1GczMJE72Y1gRpSNXngbc_EyCANiWbkR7hy2K4UE8I8ONKp7oVv1D0YaAQKIcgXHZn9bllF3K5Pm8HesbuJ2EZ4nnAjDcp1ffLAqeWhU6bZJ8wgQyUUyg2=w1200|https://lh3.googleusercontent.com/pw/AP1GczNhNt4x_OlsQ8STN2YnhEZMeB3BFHvo20D6U9aF0gigNTL6sx8YsjHmD-25_ntSn1OCSw9D5rK1MP-_Knph8iKLY57C0SuFTAyrmz5w6DoOqkYhLSPe=w1200|https://lh3.googleusercontent.com/pw/AP1GczMsKXr1Y7OpOCLwjXIIfvd_uFaHDMpKHO4YzS9XEPCIVYsUfQxVilpfbn9S_fie5tZu0W3iswyIQUqpeEQGxMqRvgDEt_m92C6lcWeyBZlkfZD26-K0=w1200|https://lh3.googleusercontent.com/pw/AP1GczNPlUgSiLKeVts6N_L2VwSeGgrbcr4QQVmyVWdpBltQHNP2141vQgr67HetTfjTjg1R6yiPDiskXW4QtgSqJfAPuDf_wGnHQZr5ncxX3UlEwT6Mm6ez=w1200|https://lh3.googleusercontent.com/pw/AP1GczOVJ4wg118wXeIJrologlikuUMBE8LIbvq3HW4P2ALILgQVjWtE5tpjErd4_YVV-BQ64p_NiVHihSL-nhlcOtjuJT3y_bDZwLPREFHO--UmdT0y_3kV=w1200|https://lh3.googleusercontent.com/pw/AP1GczPtsFQwrnDtScIF3VOTZeu3sby0jFE2dH93smZYlmdJNsrNZK6t8KRyUJrGmhiVKRWen82_vQZUAkcg7naQ0TlovgROIYh6p6Pek6_reKK8Ts3zugSH=w1200|https://lh3.googleusercontent.com/pw/AP1GczPIlcTLhPDNdBCl5Z348n1gv_aTQL-Uh5wsVubM0A9AR34ztDLIRvwrM_b9Lh2NDCRcBikUkHULH7mU9SaALIapn7-2nbyyTfESHxB2p8-YyoW8_36r=w1200|https://lh3.googleusercontent.com/pw/AP1GczMqfhhM5HiHGpuyYLsYQKQyIJlXRdpcnT6sOEJivhuC95U6lx4VfHTiVHfs_ZNYggw36xxb9q3fd__UK9j0pZrqwt-Cyl9irsAgvm_iIqfDEcivWX9a=w1200|https://lh3.googleusercontent.com/pw/AP1GczPZ4p3BEhBP4XPe4V5-n7TJf-b5T3cX94ahnAn2JT0pD6koTZ_N28F-yiQrlPI0lSVxCBnz2hj3OsCxZG3YQdPJAPAk-j5m4aZeyDxZ52wWibvl8A9R=w1200|https://lh3.googleusercontent.com/pw/AP1GczMNPZ8eSemTZlSKHefTB2om43f50PXroe3Bk9poRHRtleTtdhVNYmb_dL63POHfZjDJJHwu3x0_xYAbPt7sKuTK4DGA2RmBaYYkJN9SC2CsPipV66Lk=w1200|https://lh3.googleusercontent.com/pw/AP1GczPRF-MHAhP1z7pvyhVQy4vjOKTnN1LuLPh9SR_DRdfJQSEdq9IitBsaZMrnkC1iXcSf5JobzOtw76LwQhIhyZdJqpSTs5oCbV0bMIwY0-yfWMS2MuB2=w1200|https://lh3.googleusercontent.com/pw/AP1GczP7SNhm0o5a7Xph2fmKh76j1mIvntVxSBLwnBfaJ47nVl61p2r18HfhNS9Mn3ubeDwjAue_YwPk2navXaphTNK9KC5_-2yyQzsUPT6atWnPe1Lme3MK=w1200</t>
  </si>
  <si>
    <t>030</t>
  </si>
  <si>
    <t>Casa prefabricada en conjunto Colinas de Compostela</t>
  </si>
  <si>
    <t>Colinas de Compostela</t>
  </si>
  <si>
    <t>https://photos.app.goo.gl/ZQyhgLu5vLbovvgw5</t>
  </si>
  <si>
    <t>AREA 1,000 M2, Construida 162 M2, Conjunto cerrado de 70 lotes, lote ubicado en el conjunto vía la Ulloa, sitio tranquilo enseguida del conjunto Yacuman a solo 2.5 kms de la vía principal a entrada de la Ulloa- Caguan vía secundaria pavimentada, vías de acceso internas en adoquin y pavimento, redes electricas e iluminación en área perimetral en las vías internas, cuenta con acueducto y planta de tratamiento propia, área social, piscina, cancha de voleyplaya ya construida y en funcionamiento, portería y administración. Casa construida total con corredores de 179 M2, construida casa 79 m2, corredores, sala-comedor con aire acondicionado, cocina enchapada con gabinetes superiores, tres alcobas sin closet, alcoba principal con baño, baño social, patio de ropas, zona de lavandería, instalación para lavadora, pisos en cerámica. Cielo raso en drywall, y techo en teja española. Tanque de almacenamiento de agua de 500 litros, pozo séptico, árboles frutales. Estrato rural.</t>
  </si>
  <si>
    <t>Casa prefabricada.</t>
  </si>
  <si>
    <t>https://lh3.googleusercontent.com/pw/AP1GczP-tisih1HCbFgMSMJF1trfztIhwm0sTmoQll5t8jP-REkXtnGcALKWjlIk95zZXGsiuwhiWoyn-ZT5gyY0UwbuH8hNnzD0uNELhTdxCy5CeKJr3TEB=w1200|https://lh3.googleusercontent.com/pw/AP1GczO_saf3jP2gulzpj39QvnAVsdBmpzDP4VOgGLlgrcM3wUwttEuUL9gRxRHR9YhEX5GnfD1LkgYr9Cf_UP4zkSHpj1POSEXTF4vM20WBGtq-aex1z24U=w1200|https://lh3.googleusercontent.com/pw/AP1GczO4LRTLIzEwafV8MKiyki1VAJDxTMzt6F75T-aJYVwaIQCs2UDInu_2UZs0uUxBlDUEEEB__uQmt-fYMS3fW-YsocNkFGXb5CGjAYJUmC7r_P5mhssG=w1200|https://lh3.googleusercontent.com/pw/AP1GczNcnxfz8Zv0oF26IKZB9QbTmhYNOEeEtrI8WH3wZ5JYTikCBO8-gG2SvvwEwaboCkpxIPotI0Pf9ffMr9x2EHLZy6-6tis7xTWWz_P79DMK3K4URct8=w1200|https://lh3.googleusercontent.com/pw/AP1GczMpa7Iws-tvmmGAQ4ID82Tgmc2lroCKPbDKGYm9iKiZggnYFAN9uOYcR-wDEb-BQ5auBcZbjG7V6cWBdbdrEopI1V6xYPqZX5J1bkMBe6rkvzpxRdCU=w1200|https://lh3.googleusercontent.com/pw/AP1GczO6t8qW6ArEmP5qaOGB5abfeMLVax1eD8KOJn8cbLM-9ribhzqK6Bzs7YPr7s4E0qY-kgsWmphtRBaoxzt2vHjPRrpTMf7IzuMLtCUvRbfCFTZeY4BF=w1200|https://lh3.googleusercontent.com/pw/AP1GczMuo5R4fHRGUjqW7E1oW8E8NqKvUQfTGm2yLcFAKd-kpuf-pbJ2gG3xok5PW9a3VNE3ozxo1_qZRf7ldFkutBauiC_CWWvx-7ICiI5h8RSTnnm5hxxi=w1200|https://lh3.googleusercontent.com/pw/AP1GczPnCfNpj0OrlDI9hS_AdtKlUpATUxjDVdt41GmEoC8CsSNfucBgmyVzqsVTktU69fG9NihevXX2gN0-4Sz-fiwOn2-QbnZjmui7XhRXAZdFls7sgVSy=w1200|https://lh3.googleusercontent.com/pw/AP1GczMrobjnqeXJz69zo2_7rAD_C_UOlPUgdlP9mzf8hRSFqWRh19Aiil3mAQUx8DOs2C1Nk4nUV6e-J8xgVLShH3-900cxJPJQIksd2nCd5QNDAP4LyHPK=w1200|https://lh3.googleusercontent.com/pw/AP1GczMbVj6CHtCJWtJ7kfe7fKpXOm6RDSJGU2BRLX9dN-wXS_GNsrxNaLJ_0Fft-ijoTesW0yXIlLGVKxA672cTMFUWmjSB5UNDyCgeV7FyXf-QKOIAvWUI=w1200|https://lh3.googleusercontent.com/pw/AP1GczP4EMoxWmy8BnDS65eh_8Et8MXTxd586IEt2k2tubnzLgJfHcDnIMDrt7LWnTuETBCN57sz1Xty8afPGpxULw1y0FeFFw07HQ-Bas8pFzDQ4Gkqks9E=w1200|https://lh3.googleusercontent.com/pw/AP1GczMfhHHodXNIFYfeNDONVNqZ11pRD-o29fRUq5Q4WOC-DbpJiQQcY3MrnmvEC1sYp39jblZIQgCFDcJjZqD5Jp9QJvno05bG5npvCuLYjXYBKPyLS-qs=w1200|https://lh3.googleusercontent.com/pw/AP1GczO4hImneSaK7w_bOWyzCCnqaxJ5-jekXobHnZ_eH2mO1uBG_ScIOLOE6qw-2Pd_2b5ha_kA796NvDhcxI6BcPviCFqoaY7SyDVZ_nv93MdmKEUiHCP3=w1200|https://lh3.googleusercontent.com/pw/AP1GczMXpAViSFpDjNXW1FewFxn_yssycBgKWcbK-wQ5CmLWL_7HnPY-CriGpk4-rRpfYY3d68OfNW8zIP63oJ-ToEqQuI0iFcTphjavPzaPc45xs535O_BG=w1200|https://lh3.googleusercontent.com/pw/AP1GczPla4CitPGYQKX0F7xBNehygQON0onMNAgXBJrYK1LNwB6us4ZVgBAq_cUlw0TVuZT_6zwylOWTYZJSIsP75-ZgSfEhu3XAvEeDWsIWs6RHom-xkbVG=w1200|https://lh3.googleusercontent.com/pw/AP1GczNM30nMJWmGzVGoeWgJfFfz8-ZGIUKPF0c-JDbGsrE2YcpsDTrOjZyNsI8MrLZf2O5bFPsepx098H0LdQiZXeFvmFQ9IrUZ-EViapAILF0XhEBXt365=w1200|https://lh3.googleusercontent.com/pw/AP1GczMEhmZ0p4qxkB1yDtlUuYuFkWuVHD6zYwVNZB1gqAcy0zj_VMG8ScUgaZtgVJa2Juy5ZwiHNi2EfnfoZb-ISThfdYJ463TN3mwX-6B0IIdwGyLyAsT2=w1200|https://lh3.googleusercontent.com/pw/AP1GczP2xM6vCL952eI5oYpkxGLH5Ln9XyXeY8fMdAgDMdTY6ac57dX-RqeyxjcTmxKeFvbkhA3EKuFnGdC62kOboXW0solQxu9kmmwd1dZ14rVbiQFqDFiR=w1200|https://lh3.googleusercontent.com/pw/AP1GczOBGXlSapLYg6wN37CnrajmMUjEkjQ4d7Gs5csbd3v7kcha_sjtZVEthvh37_3M0sXuL4-pAODuYiQf1v27waf3pTWwE2ObVOriCAScpjq_xZY-C-Jp=w1200|https://lh3.googleusercontent.com/pw/AP1GczNVrBGlDdyrYbx0Al2rNrO5GhdDV1FBo4YaIC8UR1JAndaLV4boMiCVJYle12NdOxFHzzl9yMatjpYcty3aLZis5_lj-KWDCg1OrdnD1NvVx6DO2VQi=w1200|https://lh3.googleusercontent.com/pw/AP1GczPhvZ2aLT8SL2RsAsr1sr4jNmWAI4W9JdcP48HD-SVPwKnKeqcREGkZrOXKHRKuL06SFBfw0M-L3HLP8GOYBe43K4_ImCws936uZZlQ1eVFK5PDwZtk=w1200|https://lh3.googleusercontent.com/pw/AP1GczP1f1-1bPdGJXMbSHjzHdaTJUhVIHVqrDvfoBDFHKlP9M1uNoRDxAn7FV1iDW0lP-Ap1oIWmmUEIjp5YFEN0JAvAnld-8K5vhAaJV7C1hexlmSmTw4c=w1200|https://lh3.googleusercontent.com/pw/AP1GczOGG4s33tdXuNc_wlRK2DqaCFRUkyDijVT6e-1DQ5lNeL82uGCX7Tuw7DHv8J-HZI5vZOMaLSezuzxFcPdF9n3UZGlzR1D5Vxudi0CSmURAtCFC2pGG=w1200|https://lh3.googleusercontent.com/pw/AP1GczMuf7pt3hc8-Uotdc9tkZaFECiy4928q7pZhZKOYzZ-t-XADtAgAras-T8iYZ_X9OcazDp_YM67qA31dmLVtMl56AY9_YTSyp1WGDBw8rh7ZmCWiVkl=w1200|https://lh3.googleusercontent.com/pw/AP1GczOeSAdPjVsk8u9VYGYC_1uVOVCjWh28Q_dE9HNMNdrkszla7XCy-5wck3ieiPKbMGrC8xQfvNxBD2ugRMWnj0K_Q_owArYO5pZacJtYpPp7xGRy98Wx=w1200|https://lh3.googleusercontent.com/pw/AP1GczOTMiHazhQpKZzOvMTMUBlPx-fTxQ00mAcLkRZK73mdr6jNkmk4RBigFUbrXhDUdT1noD6MnxGlqNrPbb1Vjra50y_85VV7KLCSw67uKBESIgPmHSUI=w1200|https://lh3.googleusercontent.com/pw/AP1GczMNeS_KnmVTTqtdEKCXxsAQQU6B8_n9hr4gmZwsEynOuPZmW-WN684hNJO-VrQgB2GMM2V4kplcl0LhulfklYB4RQZNfp1fV4NasSDMH1qEYZIIph34=w1200|https://lh3.googleusercontent.com/pw/AP1GczOmHUZmGDZfzyj-lKxXNd7_i73e6ePTxha6fA4BhdTjS3qpF0IaLaUc1YgOd-VOru1uu7sDlcTkpwcgDMrlTKG3uezocR5G1NkxZ5PkhsI6AsZE3YW2=w1200|https://lh3.googleusercontent.com/pw/AP1GczMkZOZk7VzHsj3ldhWQQSI8yEB0etQVyzxx1Fj8MsA3LGZlcps1_5-g9e1C5-eEfIwLX1q1RVZQo-0i9ljjqXZsQFCHZtMzsPna1j60e9CljVmlIMHa=w1200|https://lh3.googleusercontent.com/pw/AP1GczMS-qbovAg4jvdFLKL9H8EpRABqjtgY5Ar8MFMitdbLrfII_YcXfqtxHBO8r9YW-J-8DvrArfjx99SsO-qdnmP52zvGrvSPhCTjBYrafpoRF-vqMqT8=w1200|https://lh3.googleusercontent.com/pw/AP1GczMyqKIrq4lyBHq_KtIR3twHOvUFdHM7khqTZnDI6URlAOwotirqk3jMYg0R2gjYEXpp6uGJop7SdLVXBpI1KBXOdLEOJu9Crw4R1gLk9gKbSDrbMSqh=w1200|https://lh3.googleusercontent.com/pw/AP1GczN2hVAz4O6HqfWgLUh-qItlkVBTRYnKvfxpZnfZkEowODltjnTfW6jFIPz_ItGygeEiBBMtyVHYInE4g5BvFI4hTyR3dgMI7HrfkHNTdtAf9xB51wkQ=w1200</t>
  </si>
  <si>
    <t>674</t>
  </si>
  <si>
    <t>Oficina en C.C. Metropolitano</t>
  </si>
  <si>
    <t>https://photos.app.goo.gl/BD5yvaVo4RWica2j6</t>
  </si>
  <si>
    <t>ÁREA 37 M2, salón amplio, ventanal, terraza con vista a la cra 6, baño con lamanos y mueble de madera, barra de cafetería, pisos en cerámica. Estrato comercial, administración $250.000</t>
  </si>
  <si>
    <t>703 Torre b</t>
  </si>
  <si>
    <t>https://lh3.googleusercontent.com/pw/AP1GczMbnT9XGkADoQd5kfY7hb27vaVeyUsOqKWMX8GyN-kw52jzkIsIDFzFckdcSPNLA_OcKFVxD0GaGdk5Dne7hQSAFkkOtMdc1VUanWu-sPdDBy8lFR_z=w1200|https://lh3.googleusercontent.com/pw/AP1GczPeDF0eTWdUu9wjVknsJOyWmzF8NsosoGD8WaO1vy40PUTsUFcdz_aK4d7VKQPQWBM9RyrigjLWg0sZ5p2NlScmgMxUtCUUiF2fLreOmEZDeFYWu7Gb=w1200|https://lh3.googleusercontent.com/pw/AP1GczMdhVIfl9YYMwd1XFDfQzQqnRmnaGCtgBArTqo6IzlE-ng3gkqnv0DRKaU6pIElvwE_FkX_f_-wF-Q6295F1a55St8jy-B6hiiwsW_Ptlw868twviTB=w1200|https://lh3.googleusercontent.com/pw/AP1GczMr_8FT0OBd6SpkrcXCuqbYB9rpkNuk8ws-v_6SuZIuHOeGQnJfHWzcDO9gmSDqy3uuHjabGAVZc3FtRR0mTJ1wfSaEb7dtlIKr6akL49r1yQO4_wRt=w1200|https://lh3.googleusercontent.com/pw/AP1GczMD34ED3TiHrQpvissj6EHHsdToTbKOBPYetI34RT4lrxnT5kyVdk0Q3Gda3x81koaNEE25AbPxcJS8ZYp_5IKhqB-Cxu0DCPE_QOUy1L-5QGiyvorH=w1200</t>
  </si>
  <si>
    <t>016</t>
  </si>
  <si>
    <t>Lote en conjunto Santa Marta - Rivera</t>
  </si>
  <si>
    <t>Santa Marta</t>
  </si>
  <si>
    <t>https://photos.app.goo.gl/uzevigAd6A69vD6W7</t>
  </si>
  <si>
    <t>Lote de 1000 m2 sobre la vía nacional Rivera, a 200 metros cruce de Riverita, lote a la entrada del conjunto a mano izquierda, cuenta con zona de portería, área social, vías de acceso amplia. Estrato rural. Matricula de agua en Riverita. No se paga administración. poste de energía.</t>
  </si>
  <si>
    <t>310 8626570</t>
  </si>
  <si>
    <t>OLGA CELIZ</t>
  </si>
  <si>
    <t>https://lh3.googleusercontent.com/pw/AP1GczP3oJLwJPha0goTevcP3Xap5Oyq67tJbBfv5o5Gc9vwp3AlfYEEXa-MaFQXxd83MZTdbt9YyXdkSFc3OWucHTTmVt7nAn7DWLrqSPX600mFzrRW88C9=w1200|https://lh3.googleusercontent.com/pw/AP1GczOjx02otzI1AkKq3tZc51ykaefbQG9X0Kd9ehxS4NpVVisPZ1AAQYZaN-3NLBK9wQsU4KRxx75fGLYm0Yh_XLtXKlkc0kyYJO5yBcGqADytTzuEhhjv=w1200|https://lh3.googleusercontent.com/pw/AP1GczO-iIP7qUqZ0zkCafLI17YFBFTXijlcwmKuUVE4zpEvMkyB5Nca_WH8DblOI4XGgFBnUqMzhcY_-IZNKmgmBOVvpbpl2GTKVVevJZj2-Bk58YBegMX-=w1200|https://lh3.googleusercontent.com/pw/AP1GczP7H9sGYRFxVU7jUSvJxot2P6kLqTviHEcnIwDJ9PneEodvGjwvnKOZ1MTJecpx2g5fx-rQDrhpV3ToccaJ_I8rItIWzlIZgXO_bFyyt3H9q3NUzyc2=w1200|https://lh3.googleusercontent.com/pw/AP1GczP6xk9JGpgo22IENHDwigr84Wf1PaXCbw5mp5_a0XT1x6-2ZMtdwvgrgP57s-8MnbTzcKkDWc7ymsWLhZ26RP8JHRzonUI3XFrFURT7ELO0DMfJn0gj=w1200|https://lh3.googleusercontent.com/pw/AP1GczOINqn9vjIbuUIUzK4ZvX7JLImEezGUFBCs_PssfW3DYw-zTO1n4QyD8_Qmc2n5utrOGri8e7P-7d_q7xlsHFtZqoY8bQRbviV22xGEP9Y1EmGMEne0=w1200|https://lh3.googleusercontent.com/pw/AP1GczMEsxoXHSWVpTHCCdMRrZgF_fB3TkaB3u_53qocjiUamPZ43iM-d53piOHDokrmRDgj1bei9-3RoEb7nWJnMnVpp4I6PdVdi6LJXt5fnpBjrF6aZOxl=w1200|https://lh3.googleusercontent.com/pw/AP1GczNk7fQW5_l4roiO9vFWW8cIk1TkO9Sh2idi8sXCrZevPLeFmx4BNOqh4b0eVsiuc2olxDJdIi2WX1Vk9BFYAkOfKImHtF4Bc5Mvl5K3iIRU-qf6-Y4H=w1200|https://lh3.googleusercontent.com/pw/AP1GczOe1AtrLi082Dk2hml4nrDpWDsi_bEEAbbsEPMbE3XZFm-l3tKqD5lPUXuk6I4r8uczHw_TTPt6S0ikjuggmDm_kExXa-8HZErvyd3A_AJk9xpEiXWq=w1200|https://lh3.googleusercontent.com/pw/AP1GczNXEB9GPQj_6YOv41WP5LaOXzi2kKc3zA3dEjwCOnBkNa_n4_lt3LRsNSvZX5sg7p8WsBE_9tMn5yfjCLbkWYry-wgb5LuKwOrA3TBxXLk36dDOmZkz=w1200|https://lh3.googleusercontent.com/pw/AP1GczMO9ZfxKJM2o7Omaw3XoFjVCktlbucV-XConY-2ygTU5YpYFvnjVXcXgXDq6nBoVi6OCxonvBJzZgDJjCt3dSv6HHx7aUIoYab_GSv7VQMJ6kZGyoSF=w1200|https://lh3.googleusercontent.com/pw/AP1GczPc0UixJbWXLCMC1tflgTSWbWn6UeB_ju-gsY3roUizaE6fVXew2lnEYpbuS0phdXNOReVPJlBYBXqcEUXxp9dihxO9rRZ01zjCXwpD0Y2GhMukhqOD=w1200|https://lh3.googleusercontent.com/pw/AP1GczPQ2hBuXAHu58AMKvLvi3nw2KnRP1JqHGpor9PcWvx23c7z1lKbo4iGrMlOBtB0MgSpfTyUpTZ-mDSnWktKRNP3wT8qw6o8khVMd8Vdbbhq-HHqe5FH=w1200|https://lh3.googleusercontent.com/pw/AP1GczMn9civkAsOvihE5E3TB1d1NvPtr3f1Jgcqpz-yP-CFENULZC4ZYtSu0x_Ev25p4T2xT8WLjCNHa4ULg0R8mXG6fBn5b4QMk0Fm3fte92ea4KEG55p5=w1200|https://lh3.googleusercontent.com/pw/AP1GczP_mxkxALrkbah9QCR_mu9WdcA8JfoExeqSruqGtf0Q5ohSjPtkUNVVCJ68VMlWFkLqtzZwdZvbXrhNFJCmPGLh-y7EyyCPb9xSn1C34fQv7en93WOf=w1200|https://lh3.googleusercontent.com/pw/AP1GczNzfIqOZCkRGtpp8TTz_pDOvzLPkWN1xt4CR7t86bSE8iijhT3uA1nnsdaeCj0oMn1rfaEcZC0MHTSa1yva5YiylyPWj9WQW0SOTq-A5OOV4WHIPCEP=w1200|https://lh3.googleusercontent.com/pw/AP1GczOWq3yQqjbKtAvww9ZmNJ-HMiqKYSGLEh-og1Nbvm5F-loMzANy256ma-RH0fiVBThwZtYvHFrc2BhEntp88HEk3IA8XQg1zbk1Mv9ihOS399LXW-y4=w1200|https://lh3.googleusercontent.com/pw/AP1GczMw5kUG0H1VtJ8GFMScft9LkqMKcKJzrqduS9lXl4AbGjNWSNJOegmNYO8zerPGTIKfslqbPxFXng_5v16qxjOmgTh5gUxCD56EZSqjNq8zdLHBQIcf=w1200|https://lh3.googleusercontent.com/pw/AP1GczO0a_C7AwwysDWtor7fW8kR_wnt6ztw_s_1PE-PN8CBf85mFRYqw1Tb8k3p7pdeENE-4VMJW-pROYtFr_Oya-Ka2GZWMRnmpuTeMhtWErH28woON79W=w1200|https://lh3.googleusercontent.com/pw/AP1GczNzm4s4rWY59TQoact2-MHXkeoERUYodoCx2oTLSgijn4id43Bv5vO4bEGu6tuKolTTxqungh6ieuOtYyplfb26hFJytKAT2vjFEiMYH76r-GV4zI7A=w1200|https://lh3.googleusercontent.com/pw/AP1GczM0bB4RcJWGsbl3wgjTiRQ_cDFMOwWaL5ZeXAbNoC53MzVcOcQcPU68E05ig6tD3Zb6stL30I0xyOVHR9sA3WTloaHqxSHbfsV9MZYE2sar8t8QRqAV=w1200|https://lh3.googleusercontent.com/pw/AP1GczPzslSGac7kKnIEMvhUtdUUgFy6XFOqjP8fk9mcDNSOxt79ZDHIjKz4HMyqPWPxfY21lajNk9HvA-R887kpOY05qH2wR8zzDsthgmVTa1oPSgQQJIlc=w1200|https://lh3.googleusercontent.com/pw/AP1GczO8zwnZfxpsgYQEd0oRbkkG2B_6Am6-sFDsaGuHXmBzG4rxG8mxE9q2tR6nUEXZJ-ximOhDyL6oqNjdLOfBMeIfq-BK-0W2Gwq-fs_axRFRK7r01pz8=w1200|https://lh3.googleusercontent.com/pw/AP1GczNoe0I3bxExid4FqSF24nNsxywV3wQTkTJD0IiUgXX9i36ExTeHEDDCdIYOfEZqRo-CsXuWx4CAdKc-0OjXUk_S3kzXN0QMD-C7nXG8wiVy2uMcQtqf=w1200</t>
  </si>
  <si>
    <t>654</t>
  </si>
  <si>
    <t>Casa con apartamento en barrio Tercer Milenio</t>
  </si>
  <si>
    <t>https://photos.app.goo.gl/4LQpwnya9d5STWK87</t>
  </si>
  <si>
    <t>Santa María Vera</t>
  </si>
  <si>
    <t>https://lh3.googleusercontent.com/pw/AP1GczNINCULGolIwAbwoJohwzTZ-C3ew6rp0d1fqDF0QEPl9h77Zn5d81d0xAlUFVlHXW3YGgTU98zWuAWfX18YbbCEWo1Q08TG3FoXozB_RBVeHBlQ2IF7=w1200|https://lh3.googleusercontent.com/pw/AP1GczO7onybZoODBvVnY1NBy0O0lvvmYQd_BzdqeKpSkWRSk3yU-EQ9haeSwm4vukLd8XkTnU2qT3t2rhICfhCMb08YaSJTLbRLTqihvJp2LOU35tqNFo3e=w1200|https://lh3.googleusercontent.com/pw/AP1GczPMaJxi8yxkayFMu8SuXDBtHHGv5GhG-GOQZ1cB39DLOrCRL2c6LqQ8KlJBP7buJt2ZxLIp4C8_Txjmd9u1bZ3Urm7q5RUa1F0e5vCXogyR8xa79MmO=w1200|https://lh3.googleusercontent.com/pw/AP1GczPXHeEDEpvc3rXXshFgOj8drnvv9OnPJ5b5dpTgkWouUqPA8tqSxtUeOKJM1XpuQuA0G33_PvyuN_sPvRKdOrzlgeQSvnSkEc5SC8SPdj2AOBbjXj9c=w1200|https://lh3.googleusercontent.com/pw/AP1GczNrgh13kMb1nN5MZX49uM874I1-TuHGSrCpqz-g0QJNdenT5i0H81x7oo87fs_uyExMsxep7yHoXAelg8fTk2aIqNXgB_xTZQ_KhrhODlnDUjvqNXrX=w1200|https://lh3.googleusercontent.com/pw/AP1GczNNmkzTJFJ5qcX0b1ooEYhFe7te6tSUTPjUubbJe2HAgEBGaiWfY8kUexaaWmLN5snCrLPPWccnB7Mn4tcHFJaIvQhV_B4I8F5f_Mn8Fuw6M1EZanVb=w1200|https://lh3.googleusercontent.com/pw/AP1GczMzy-Ni0A5zB3piITZ6TnEWVK2lZMS5WSRWJ2Sh5NjEXyOUIwRaU2BE_3iaIo2ohgSf5hzFgvHNUa6lbpNLr1j4jtJHQOKCwSaBzgotzdFvVpxqZ-iN=w1200|https://lh3.googleusercontent.com/pw/AP1GczOdmP87sHWOayFLBqZ8S1L19K0ZBh4qSQPrDXLG4Hv8GieXgt_pNf7wgwVvVYS8ezSEjMO0pa0rJOk4UXuTpEvM1eDP9OfTQYOq7NQsA6cln9_YOqQ1=w1200|https://lh3.googleusercontent.com/pw/AP1GczM_aEjY9qFAlZYXoHnN_jC7AqAN0iYhf82Oy6GYc_AYR5WqXsoJ5IHM9vNnQNhVr0sQ9TbAAAKXEfEfXYSh0UVAmkenn3fmmI6WD6Ny9icuDN4g-gUi=w1200|https://lh3.googleusercontent.com/pw/AP1GczOJXu_lzPg2C0pUVOQmljM7LvMw-nljVblIkJrXx-06YZnbYtvzvTtNtoau_L3LyrimECL_OoXZAhWyo1cyzUjF6wm3yI4begjtpxD1yKlPfQMkVHXp=w1200|https://lh3.googleusercontent.com/pw/AP1GczPqMGnp3eRYkURvdkIVeGCuGXoeM9JpNF_G8ZXNOv8DBZIEdAolshHb9FY4qlXmUX_nPEkK67aCAJKept_Wbh6IeJFZ2M8nw6Ud--zRiQhWVSHyfxzs=w1200|https://lh3.googleusercontent.com/pw/AP1GczP7LIrcL-U1nRxSgUEoFY2nhFQ_l-9XWfVbNCZyUSShGuHGoz_LmAGwRDygRLhqOBiMqs_Km4QuCNV2AK_UwyYfxJE18mXRgVxsloRHyNIvmB9p6nDq=w1200|https://lh3.googleusercontent.com/pw/AP1GczOV3HWGZmATn7RsJ6pToyaPbcyToxhHCOqW6BRzvEbmqj0hf64golkHHXUAFjhWTt8X3h2xX9B8GtEGoVqQ_iVCyrLgTwucjukR0xBuuLdwDnLfGKx1=w1200|https://lh3.googleusercontent.com/pw/AP1GczO1fo1LG0bEpqSFG6KfpOo_WMR0afHKBFDlNlBw4elgMEhG7jnF94_ZydAAfEf6ZniVlj68TVqQJ1KALHPiQxKpCqAwZQLDnRaB9NX7E4iz3mZoaF05=w1200|https://lh3.googleusercontent.com/pw/AP1GczNGKciWoA7p-jIoXmGxsN1W2L4xXenzmJ3angPJEulu7s0h5zWLP8MdYNeYiYSKf_l0JK3D0kqYg3tMqlE8FN-rSlwc8LPtlmGGbLDJkknr3NqM0zIw=w1200|https://lh3.googleusercontent.com/pw/AP1GczO3GWu8IN6PV7nijU4qT0bqZ9i6S8mF5ptTZKYQnzZd7FaFUgENNgiFHJyPK06zWdbm56EmWeKwcILY3AE_RPtV6qyUWEcPTLDA9x7ZLHyCH8NEWnIC=w1200|https://lh3.googleusercontent.com/pw/AP1GczNy0MmBvAzkHqyaCtd641K4EBXsflzQtpiG3-ovD7HZgBUX4ESUuMi0bh6IK_UKycdgidcqI9RWanxkqMhSA4gjmoC8IRy_PozQL3T9hIh-l_u4qqJQ=w1200|https://lh3.googleusercontent.com/pw/AP1GczNzCsy0M0cL5WnES23Dnpndoi7Byo4wFXJWEOYFIXkHeQjm5Vy3Es9_ZKyd6dROgRxDhEQAa0T82pp1fjkkHLxzt8VZq3BRjU9PeM3qym2g3lPCewpv=w1200</t>
  </si>
  <si>
    <t>662</t>
  </si>
  <si>
    <t>Apartamento en Conjunto Reservas de Caña Brava</t>
  </si>
  <si>
    <t>Reservas de Caña Brava</t>
  </si>
  <si>
    <t>https://photos.app.goo.gl/TEH31bjm2js2SXaPA</t>
  </si>
  <si>
    <t>Apartamento ubicado en el conjunto Reservas de caña Brava. Parqueadero Comunitario.</t>
  </si>
  <si>
    <t>https://lh3.googleusercontent.com/pw/AP1GczPJV-ZqLPmOKenCg-QVXQXMGz0297QArnwDFwvUjUA3aEI3m2NxgC5jmALAZxCSDBHk0opIFwuoTTHogFl7MMgI6oPPR_ngp1fN-aijRS1HsyAcxtLu=w1200|https://lh3.googleusercontent.com/pw/AP1GczMeSnBoZG45PeVybi3wj_XnVZYo8UCnHeOXpehmtZOFdmM2JrIMWd0V0Bv6kFHfW9Hw5PqxT03rgIPYNKomAxjK9s0oAr1oSIxopg8gOR2A3PYWpeJ1=w1200|https://lh3.googleusercontent.com/pw/AP1GczMCGrEtOjPDOFbEDLIslwz6zS7RuJPEOfgRGv0SVVrUS5zI57cfJ2Q6REYtSRVGeRqRhvltuJ7yYY0M0Q6D08dBULAL-sxH4NKJNsWmrcFdMKQ17K37=w1200|https://lh3.googleusercontent.com/pw/AP1GczM-wAIUVd3TWI8pl66QEYUEJrllmw7MyeK7vXjT4bZyUVDjBALhfgYo1nzkQe-1-c5MKHH9OxXev0pVZOw4q4uzGA53xmDzPTz-j3iITYcJzBWF7qcH=w1200|https://lh3.googleusercontent.com/pw/AP1GczOaCbrwylekQ5MT1DKEz9rww-Imf3Zf2EeuESS7GaiiSTMMWabGlIGjk5Vsj9yeuT0Tnr58wYZyAKcLqpUMGK8LLFRdKOpHXhksSF8Fd_fcL7lXNnm3=w1200|https://lh3.googleusercontent.com/pw/AP1GczOZVR7ESnXMp59JI01QH-W1kfC9l6p5jDk2t1IyfKU_cQJLojE97PmChS5Tuhvn2y8rXfa8W2Z98wUoWijCti7-6HS5R1RkuYkZCUQtFgsyicGZKfyI=w1200|https://lh3.googleusercontent.com/pw/AP1GczPVqlhr4Ffqt9Y6ZwIIIoxhyDMpmE0CFS2Wu4vzIQ5KegnNlJvbxtMmUQCGUaXVSEtSeCrFg9tQdaB8jMuAqjIBqoWmmxQARZCAALm-1DpVpFAGUTNc=w1200|https://lh3.googleusercontent.com/pw/AP1GczPmmKPCowJhGZQb_AtV1KF0gamjL5ddW6nJ2-YRFJgXeDfezdjEjklQniYrpGGT7NyYHNDcl6toynpJkjP5zwn3_jtgXPM1mm9CCJfdtYtS1vVNZc5j=w1200|https://lh3.googleusercontent.com/pw/AP1GczMBCiVcnlL0wQTTd4l1F03H6Fr_oOQt4yvBj3qIlNbOg3zinDahBLHco-aGhS-_i3TrgTohmDz24qPTG5DKX2bE_0czpBo1109CTv6CX6g5y2x-nbKF=w1200|https://lh3.googleusercontent.com/pw/AP1GczO5XDteCDNIVWP6Kja_874Q1VyGs5pcQkFCG-ywh7dGq0RPaFSfkSVkEl9CUmXetWyXi_VdOUJmz8hmAIjeWDeXMCtpAXj-l4YZ4GP3z0yaYpn8Fkdc=w1200</t>
  </si>
  <si>
    <t>554</t>
  </si>
  <si>
    <t>https://photos.app.goo.gl/6AjwWEzgvCYGMMCH8</t>
  </si>
  <si>
    <t>No cuenta con ascensor.</t>
  </si>
  <si>
    <t>HECTOR ARVEY - CRISTINA</t>
  </si>
  <si>
    <t>5 - Inmobiliaria ROCHA - Andrés, 12 - LEIDY YULIETH</t>
  </si>
  <si>
    <t>https://lh3.googleusercontent.com/pw/AP1GczPcFh5kwn7fpr4xzq-AePFwZzVKM-BRTV_NjMYNgL4dYAFEBPV7BlcVNSG1os2aLS1tTbXWlj-PAFXxg9s5kmwoye5TY8c6OIPv3ubxgqQ_fs3MatUy=w1200|https://lh3.googleusercontent.com/pw/AP1GczNRkbndnaBd6wY4l8e8QWp6OE5kygtjVYTe2TFievs_-asGAKvhAteSynACYeODUY1mdPEsOdf1x3yrh44HQprYRwsSCoDHwMJYi6fzhPiMnSEgPwsx=w1200|https://lh3.googleusercontent.com/pw/AP1GczOpDi6nBPg3r9VbCQmZ3ceOjDsp1Tp7byz1yWERQlFMJeVRzvf7Ol0ChG8FNqUKza1-4w6fGnvSz5WsM4JUVpn-jNWeb7K1NRGkX-QsTZk7YlMZ8Uyg=w1200|https://lh3.googleusercontent.com/pw/AP1GczP77wKilRD6gx8U1xK-5Bn4LAp56EAK7IjUJwQO06u7zSczuXeIFd3NeXqobrELgb-nGlLnbjdfrhq7vRpZUI6-Ua1KzZBjxDw5kM3mD1sDQ8sicMAy=w1200|https://lh3.googleusercontent.com/pw/AP1GczOYdOHuGXQkxBDN_I3Vchekus9uR_MVhsoEGhamCwK_J8Y4Z8B8xTR221kbHk1y2WJnvEXr5Xu4FHp_PcgQRt4wt6WNerLLWyCsBVhN4WSnG7zB1z6U=w1200|https://lh3.googleusercontent.com/pw/AP1GczOXq3eDojgxVkY6SXCbG8D0WceGjSilIiaHrODph-4nHNMH9wO6uvI44pjkUHl9N2CqDUMEIc47QRVNbH8nROVeZfpB7i-uJdrx4VfVOHTK3ODN3WlT=w1200|https://lh3.googleusercontent.com/pw/AP1GczPOY5AJUwtkb91P7Ec-CgKrtkvlyl77oMoXYEoBQVn57H9RVKN4SUKpMrBQ8_r76KasbwPBTKZQyWooH1eurp5oGzBJJgvOteek7gq2ZnQbuWH9EaRL=w1200</t>
  </si>
  <si>
    <t>228</t>
  </si>
  <si>
    <t>Apartamento en conjunto Residencial  Balcones de los Hayuelos</t>
  </si>
  <si>
    <t>Balcones de los Hayuelos</t>
  </si>
  <si>
    <t>https://photos.app.goo.gl/rGBKCnmGaXp2ujDBA</t>
  </si>
  <si>
    <t>Apartamento para estrenar.</t>
  </si>
  <si>
    <t>https://lh3.googleusercontent.com/pw/AP1GczNgPEuiwKkxd0657Oevhwn7CSehxj9caOCjGrZ0fmELEyzXyQf07RtMglGo4q82j3LCxxrTuWsqICL3IwQH1q-ItcHl-HCv2tw02m92U8H5NE_R-K7z=w1200|https://lh3.googleusercontent.com/pw/AP1GczMxRRC6W-KBbFK3BXvk_wR3Cg1kCZf__ve6dmAZ1UuIKKyLmGlZjJACfYSAXiQQsMQAYIfKgtaaRW4Et19bpoWOlKmYW5R5KvG7vl0-hoqD1sr43YnH=w1200|https://lh3.googleusercontent.com/pw/AP1GczM8fU6VilHPPDPzFVT8uej53f7iXYIGl7OaJksF3wUX2x_rnnjQHDvJVRi31UfClB5n5exWGVZGhgSgn6qDDPBgrzT7Ujy8bihRrFoeIZUZV56SAvrZ=w1200|https://lh3.googleusercontent.com/pw/AP1GczNfb2bvynsFVCMLlybbiC7tObVS1-0hRGDDsuEO8wBMnGYj0-jISPpMaJmDb0y8iRCSXiwp66KH5g3Q_iCIYFHWEBQdmqgWJGbnPIJj9uLM0vniQBFv=w1200|https://lh3.googleusercontent.com/pw/AP1GczP6C95JSSgc99KjGd-EdC5dyvK7eTVSP2WjKnRZS0eE3Uwd23TkkkErIo6lKXHJNxe6LQS9wAxr1cq-U2BO1hzMtYH7B03v-StyKufL24G1Sp1GtXNb=w1200|https://lh3.googleusercontent.com/pw/AP1GczPsmEpiNqQK4PM61wX3zOp1nFk49Vn-wjcFoSb5PKGALs2ANwplreAUWdGvbvw-6N5SgI69GMi8_Zw5M-Sx6b5s6Dmh3wzHBVdHOf5droVoMXkuu3oV=w1200|https://lh3.googleusercontent.com/pw/AP1GczM36iyaYaDKjn70QczW7owv3c6deEr9UMTiO6STKuoVRPKyKsVGpkpx0rI7DScnI3gLkq1QWbrWk0CSU8efmhFG-gRLaNSb2Wcr2NE-d4sE0Vdx0d8R=w1200|https://lh3.googleusercontent.com/pw/AP1GczP9W7ml2HQlULx8Np5KZJAf2bFkY0UKOH8ulcZlnL42r4QY2oeO1tg3CbMrxfWFb-7ylBg_H4TBaxsG8OONIswdvifaZ2X9avtQc0RCVqhtNrLzf6T5=w1200|https://lh3.googleusercontent.com/pw/AP1GczOw9ClE-wTind8U2n-0tDB5PG0AY9UIyEWdWQjphfaSONTfGBioXRDkTkZcqS0ZH6foNyJnwXV09ItuH2QwcV4l7nb7f9k7ms91JgXv1tYh3KTdfnbD=w1200|https://lh3.googleusercontent.com/pw/AP1GczON6rqxvgf9FbTnZnFPOMs4FyFXEyZ-olNDfpEL8uwRqQPMfJd3alQiy1kXv43nRKazHiW2j0iRn_sKYxwKZpPhnpVd9fDUvvMutz7WIBLR1GdAwwI3=w1200|https://lh3.googleusercontent.com/pw/AP1GczNSPzAwIU6adZDp1YP6Ck1DDC9QYv_9ipBZQte4NsnCItAQBn2HVP-lKQbmRKQ1bERf5BclzgdL4D4JR9L3g0YVq2JbBayTd3d82xmOuqLGRb0SLpc2=w1200</t>
  </si>
  <si>
    <t>215</t>
  </si>
  <si>
    <t>Apartamento en Conjunto  Residencial Balcones de los Hayuelos</t>
  </si>
  <si>
    <t>https://photos.app.goo.gl/jBGDxx9SMdQEBNyw6</t>
  </si>
  <si>
    <t xml:space="preserve"> Parqueadero Comunal.</t>
  </si>
  <si>
    <t>https://lh3.googleusercontent.com/pw/AP1GczOynI5b_lyCAeQQbhEaWi2Y-N5304g0q7sXErCWLdYDNQT4OEdsk5Fj4R4pqTxa3TatrG6xGy31r-vwBi7D_tJVe-ewdISqL63RtNYA95HTndP4_71S=w1200|https://lh3.googleusercontent.com/pw/AP1GczN5b5XyPwZhhHXPhJYYxfAlYKZQx8SGz7pAc5nv-6S-0UrOtkiDS4GrCNlSx_q-e4nA4zC4I7hEiPDAur5q7zPyLH5AfU1VTnKEGdblaJfBbqM-Ewap=w1200|https://lh3.googleusercontent.com/pw/AP1GczOBt7IadOuUGQIUsY_q_HKv1vPmSulx4Ba5rk1CBD5iXjoJwtVAJ2QadvluNGHyEipDQrwMjDms9UGMKVWWnFhpRJOGqNCTX4f_BcAN6j_PUcbduwgb=w1200|https://lh3.googleusercontent.com/pw/AP1GczNPwNHPvXrCWVFvIj_PjPSVG6Q1uPgTDsFKhgvXAmc9yvFI-P_MW4xxm7SrKPzbMU3PBBM9Zu1qtx4SL0Lm1dvMxcapEf0nk-6RnDR5JkgFAqG1T2dW=w1200|https://lh3.googleusercontent.com/pw/AP1GczPfxdvdfLRSYURn-4PF0KFoV0t--_nJb0kut-PAlM830GozePf1if09Usof1x3CM00LXQkLxmWl1C0hWsAfkGvSMELJaP4s40wE2TSWSI1sjLpgMbgr=w1200|https://lh3.googleusercontent.com/pw/AP1GczNZ4JI9TtR6U_2aDe0IfhGXlpKxM0woUafvwguSVs8Qy4ah-RMbtdJYSw4bg5d20z0myI1mz2e-cYLmdelTR75mooZTpOvyvLh-xFGvBAo-0NAFL8ZR=w1200|https://lh3.googleusercontent.com/pw/AP1GczMr_xvhv8x3ChOmL2Jk6dPwCTB-FKAHb7-eRTofSiDJ38X-YA2otqbEykvzM1T1E8ZP9mwhf2RfahVEE5MS0cV3WMJxbG-zSFn7R3apYeC5tmDrys26=w1200|https://lh3.googleusercontent.com/pw/AP1GczOURSZtU1hsbpZYb_Ta32QeaFU0nruHjHhZxnqchVH7BNoJve7I2dpPQocMAZCFHqV4S8mlyqVdb7S7x2AXoF_lAUSUQaEIFbZk-RAJUlqUtXsVCPWk=w1200|https://lh3.googleusercontent.com/pw/AP1GczMo_z09SbkHSJKN8Sto05MzP_Mbhr4cVCWv1Tn9wK3GhYDVCyBEBxkSQSalJAkxcZXJwWmB1RyRPpleelooI4lKBqH3LCY0W5ip0P1T8P0bjuxVtcSg=w1200|https://lh3.googleusercontent.com/pw/AP1GczO7DQsT3w6a5gKooKhB6VUigB0BxiKXjXQ8lJ0UDoS1MskmVwqRu5dECUEwuBeFJbXqVpD_xpJ_ZkSJt4QFTzMV__H6w_67IDCK2xKVDtnQQ-r7RyIU=w1200|https://lh3.googleusercontent.com/pw/AP1GczMvhrdUrTlcPztyjNL01WpwyCj3P7fsVqowzTWRIv8rWmTvfL34aTBhltGVytzNFK31aKGYtFc-6GaUYqRbDtOAoruxajnpSwYAFO2p13y4EE37a8kO=w1200|https://lh3.googleusercontent.com/pw/AP1GczNxHKWdQd4u_CVjiQe-VtyAhGLcxadl2A6Wndm-dtnQuNVJvKtt3irtjKCMIvDoIPqrHhnB5ctsQYVaQA3ZQtG5JjqD4v8_nEyoLddjpht9cqRwWMM6=w1200|https://lh3.googleusercontent.com/pw/AP1GczPllGO09F9p0mPUhjhBguoGkq9IQuW-pu80h1kNrVrl3o3qI57oCdXEaCcjOyawHdu33T23VsH2S0IfyUg3KtyKgXrs8TtEilq669TS-9EHQLKooqJ1=w1200|https://lh3.googleusercontent.com/pw/AP1GczObdH9Z_uLsgDvr5TwQHogyl-eysAW0Ni2pYnHyL8cncLFlQsU6_muMXogp1Bw__j1CYP_UbTxMoS3-QhoIqp5DkJFYTOm2b4w-215Lsqxkvgl0S9L_=w1200|https://lh3.googleusercontent.com/pw/AP1GczNhZhGJw0pavVQ1Gxh8HCx3CX9sZu0DiA5B9alShSmOdg6vm0qfie9H90NpVYYt8kVojcIKuzWZXbKdFaQzUK5qlAwmVjXR8ok5lgd-pktbUAvMJmLY=w1200|https://lh3.googleusercontent.com/pw/AP1GczMAkDCjnd2h5rOpFdqhJA0KBKrLVz4VzhAEvQUpdCkbTqougmpbjxeWxePuzlmfL9zRUhBnyAID-2AgoxWm8V4ti1BGms0xD0EKCtD5fDdsf5yTfSJ4=w1200|https://lh3.googleusercontent.com/pw/AP1GczOOyDzSJcMT4oa3i6cd-H--zqqoa-8O5hAm6cE4EeQRfp6JtWc597ZXFqCtzg2Yi-iuLt6NKqbG_RR5QK5KRn7dbYM7UtqADpU8zfurPWsonRlkUeha=w1200|https://lh3.googleusercontent.com/pw/AP1GczMnTGydGX7c-VqclKxtouRn54IqUV8ouLhYkv3d3Np4df2oj1k4GaBTvfnpfbe0bqsYsr5vdEd4YONHq7Ofx7ZKinwFq4iN3c8geC3ekgNNEsBkJ43P=w1200|https://lh3.googleusercontent.com/pw/AP1GczO3YDfbLh8ii6jcaOvhpasWz2sqTMRKNo_lm7Wd2y-QUjV3fKqVPCF_diAfTxtSPMUTI7fn9uXXTr4OGGLjinOCxDyoAoi1v14b4x2Ti0QYRFp20YUK=w1200|https://lh3.googleusercontent.com/pw/AP1GczPovQty9SnjmRlhpyO9ySo2ks9xgL0WwZrCQMWQRThtRt8T61-0o4xXRC5gap3xYObHgUVc2XuNXdlBrIFXEEeXsByFGLNZGqrQV_nYrmu6nmLTQZeO=w1200|https://lh3.googleusercontent.com/pw/AP1GczPzsCcP5KYtgjcKVVYzY4lsUAaTJ17L2Zl4PQ-t9z1GcKiSN4V9FZflvt8_eW2VRnbAIYEzuLhxsJaW_gLCkV45t_Ang27Iv9fGWStYkUQcCV7UMYpO=w1200</t>
  </si>
  <si>
    <t>647</t>
  </si>
  <si>
    <t>https://photos.app.goo.gl/rszTRTzwuVtyFsAo6</t>
  </si>
  <si>
    <t>Buena ubicación.  Parqueadero Comunal.</t>
  </si>
  <si>
    <t>https://lh3.googleusercontent.com/pw/AP1GczO-XXMxyvOHtqMEejQ5z1wY4cQO4i7hINJ-C6bF25ZsVc7MtRFhpcS-bpSyEJbIHy35g9zjdppR3E_XRI9MsJzaS0d80kIOvuf4RY8lmiyuT4-fHmsa=w1200|https://lh3.googleusercontent.com/pw/AP1GczOrTrP6HN483Iu-Ec_fPkZW3Ac6bE8VFZfCuvqo9JXtUZtUZURRe_geq4_Rz-ROBQ9MD77IWHyu6s3wFWAq_8bcu1kffs5SOeis-rodKoOdATgsKb0p=w1200|https://lh3.googleusercontent.com/pw/AP1GczNS0m6Ueq1V7xAQ6_xTwJXKETeiLBOt1MWoZj1tJJWyNexuRhJ3uDGVDgujGVyXFkr4mbujTBvO_tr1ZfiGXNfAhgoWLiYN9EfhE2yT0a1OFM-rXEYb=w1200|https://lh3.googleusercontent.com/pw/AP1GczPtyZzzEyfct470WHIkvqwNxogOi7tofMf5f2EmJ_dnTyHAs_LV5SRRkuvD6Zc4Sez7FE-AQHja3PCOLCkJR6j_XC3rPmIYorEwYN-xNNvLzTmnBTRa=w1200|https://lh3.googleusercontent.com/pw/AP1GczN0y_1vIh-Fu88Fs9zC7V0vNPpXbfoYT1eisDgxYUyEyUnqxdkqStdZTuPDQbGdfYqvPswgq1d-s3M-KM5rAEjIDSL-oPezRtJoKtChOYfjowv16VTs=w1200|https://lh3.googleusercontent.com/pw/AP1GczOmVhY_C-SwVWuqHFfBITqULbZQjFTrnrC2gYI8pn895Y971fDgQ71PDusOJ_ytLW2psCMDuGSCKs6QfNAwCx80NiwWrzIugGlKYTBE8dYsz16bHZh7=w1200|https://lh3.googleusercontent.com/pw/AP1GczP1qweUXGAeROZZiF-CcfZzYOkQJ38XdLjU_0TxTIzlaKGf9B07wdT-NwygBSWxveJK-9Y7r3AsTZcshcV300IEzx-ck3NTHpv3yb0-0tJVTYBMbFOr=w1200|https://lh3.googleusercontent.com/pw/AP1GczOT4ezfBZm20elH1gM4mUefbJMQLabFtZHJJk311P9B2I23wf5VCfxVfKRwjfXx62fLxVvJEbU2ebo6fqBFjNfzr83tg4BSOWhln1tTFcuShQi9lPwg=w1200|https://lh3.googleusercontent.com/pw/AP1GczNMo14AbD_KKcf34S2dLZ0yEZD2vArgTULVGf472SBkbBKx7cLqOu1b-BkSYd7bOm9hOZxMd3jwqzfLJ1zWCgKkk349e6K6bBnq5_8uBdAP118HjKxb=w1200|https://lh3.googleusercontent.com/pw/AP1GczO2GuFdVkH1dQATZDgkhXux9HhDVRWVCdwNMozKuUvZIrAIz2rID1YvDCNtVkziFrdH6mUjzgAeFYBTFj2hxTY7l1AVNw1EPDiqZPGFtu2XpnM0oEf0=w1200</t>
  </si>
  <si>
    <t>360</t>
  </si>
  <si>
    <t>Apartamento en Conjunto Residencial Goya</t>
  </si>
  <si>
    <t>Goya</t>
  </si>
  <si>
    <t>https://photos.app.goo.gl/HjEmqZ8fKohKdfX48</t>
  </si>
  <si>
    <t>https://lh3.googleusercontent.com/pw/AP1GczOWHmyBoTDvTsKkOZ_fu3yMJ-QhJi3ZRFYBp1gHFqHE73pKKR-N6n96deKnMfn1ag_t5aBeaVpNLbxBv5oulQGQumOFRRB_GRJcYSBWcTXHj2F-60x0=w1200|https://lh3.googleusercontent.com/pw/AP1GczMicEfydWrqjmZ6V6snSCnuNHtIchq_asEMYdYVO3MgXcuiwJnIPRtnilpZ_tXIj812x3S_FvrZKkGRTniYcAjAPwu8q045cgHINqmwRC_CR5vZ6OWX=w1200|https://lh3.googleusercontent.com/pw/AP1GczNLt31vKSlgzQFJLLvjNwYAZk4_X1Vhj-grwKMqmd3MF6d16_D-Hi11fKPXZsxAr-QRTPM5SYtoIqqJ63j30iWDvsTAqDUSgvDU8Lo0Z2NbgyGXg1GM=w1200|https://lh3.googleusercontent.com/pw/AP1GczODcQ-akzt1cTUvpJKb0-I_vCCBDY0eOH_V3ybuQ2jKfgq41F4JFVsNk8wgR9nvdQ0k3wTRC2Fgwqd3Tib9WynQBbDnTSffaz6BlDbPWTMZ7SobSbNV=w1200|https://lh3.googleusercontent.com/pw/AP1GczOid-m2NI1JdntltbA9CGjskl3n2fIhkgwG8rN55mgOIyo8nhS-snj110bb6kkaDssAr3UB-ApcuXOvm2iRxWxvySm8oxShw2Q3FelPJfcFRqSwVgce=w1200|https://lh3.googleusercontent.com/pw/AP1GczOTZwGBTmwqFKRJFxYSQUIoo2VWtSj63igimPCefO6BN8xbU-J5vFcQlDpjJYBBPzLDhkhgwzQ0nUgj0eb4Qf54yhuCWTFNAKqgaKbi8dbhw-MZpOtv=w1200|https://lh3.googleusercontent.com/pw/AP1GczMK-FgItJaZoElKLY8axoDVK6YazGsjDoXp3ynseShfIg6DijO1FY7S2-VlB6wOf7UjutzngmjZkRkUUVI4RpLdnY6ekD5ARwTI2DMNej9PLGSpK1Xa=w1200|https://lh3.googleusercontent.com/pw/AP1GczPFRfypkCeLlmxV-NWg4zIRH_IlTzhoxQszUW-G2h-mPSuzseAFBR_rAVGxCqf-BqAPyqxyzh_-cliGWq4AavKx0lOr8zDKo8Alpuv-aTPwB3jSopY3=w1200|https://lh3.googleusercontent.com/pw/AP1GczPAeRH3bup3YQUxB-5JvfdJ832NWR5XQ50aB-i0z9Dwmw0BbwQmQTAciectFcX88UEssnCJ5LTPHKAR5qbKnBz88mohqbbYTEy0uQV9Bn_4dkLEUDgJ=w1200|https://lh3.googleusercontent.com/pw/AP1GczPtz-nsqbYjJ5Enut-lqXJ35w0ykZFW-nCbfKOArHq0ERdLZ_-LeO-13pfd2dAF71LsrmpgFUif5ar9VT0wzLPKOBdq6FPXi1cKRsMuIJsLMEqNXhz3=w1200|https://lh3.googleusercontent.com/pw/AP1GczOPMtxwfIgW1G2svOlIYDoyrLkVzAC9qCuCAGSJGPo46Jsp67XEQtEDgEuAFqpAWmlXH3zSCnLA_7RfLiOmL8MYtGzUlMfThFuMDGM8F-k4mLZ06bJO=w1200|https://lh3.googleusercontent.com/pw/AP1GczM0GBlpGC_gwLzd2-ESUxArgtYuU4w8bzjR54p9g1Hy7F_Xvrn5L1NMY-z4L5w4kuDnRAWqiHXrDAGo0lTtzgg-iB1_HA36mMz4Pu_ncb4_vowOJKeF=w1200</t>
  </si>
  <si>
    <t>464</t>
  </si>
  <si>
    <t>Apartamento en Cuarto Centenario - Agrupación E</t>
  </si>
  <si>
    <t>https://photos.app.goo.gl/NzyccJx5jNa9GivNA</t>
  </si>
  <si>
    <t>https://lh3.googleusercontent.com/pw/AP1GczO2KVtlUcn3UK6OFcizCZdnXcDNeQKN-VilXb1Ic0bJhuHkJ8A-GrKP_-x_SdgNwMtSplHJE-fLVQoRsFJ0DMwBM5nhrWQPb_eUDJm5pitAKSYeevaP=w1200|https://lh3.googleusercontent.com/pw/AP1GczM_6fBlQ7Lf8fK50y8WLKC8eOUYw5JyS2MWePwVnVnrRd9wulF767UngLPu1vztIaQfqedKxr-DxtKfl-RFZINtRJGjmUtLWPnqqNXDlZ36LmS_Pyd_=w1200|https://lh3.googleusercontent.com/pw/AP1GczPF2I3kLGC-uox4tJeHHCBoSSMPG0kYaFxbokOfw7M-Y-X5w_fIVrSk64kyuRyNTW7KCTSvmx542v2pNRXRl7YB3J61fi273ioteJcBtzXbVtsT9MgH=w1200|https://lh3.googleusercontent.com/pw/AP1GczN6yn7b_lEfwCKs4Ryv0RbQ7PEMnNvr5SoooZqqZf6n7qb-5aCj5nBKGlBof03LI9h-IWWMdMzpVvpPDZjegicxJvRh8Dx4e63gnH_vf8jTCtQGinQK=w1200|https://lh3.googleusercontent.com/pw/AP1GczNgnxoEjsOoUCt9eUvwZvOQO1J4sHvEfFGL6nzHoaoJDqDq9cVdYC1Jod-keY97mFvb9qD94E0frQl106VjlJnwYhxYLuUEJAYVayZXnaqaOMfuqZWE=w1200|https://lh3.googleusercontent.com/pw/AP1GczPANtZgy36zsZZIucPRQiYJh0JaO4z0gFHApDuG7OrrzPeamSApVFjquFtP8YCRY-6ltF-iTqFsmPzs7Lv5atW7GcI3uKXOAGFVfkErA0Rvd2PvVAQw=w1200|https://lh3.googleusercontent.com/pw/AP1GczMOexWSaafh4t-mhmOoipeRbeIkBHqlupPI-UIuzTchCSx2Bq_0NvQpGT2ZLGlJn7ZmInAg-xfs0KDu23wjvADmY5yg9Gie_HuEethDd1SnjdsiWtL3=w1200|https://lh3.googleusercontent.com/pw/AP1GczMXZ9jtG77FA0E6432yV06FON6Kiu2ghrJMORF8tE3YZQMAr2gNHWaXse_MCA3egnbU1HM1CDJvUHu3PIkqaBc0NAwM4BMcB8TXvpL8h11Jdw2sURyi=w1200|https://lh3.googleusercontent.com/pw/AP1GczMtvrUUUK07nw9T-ww7ERIUU-0qVxY_h_3Nbp_lXDH1NL-ngWkjXvTt2pY5vhGYk8JucPjzfE-iKijSgH2isIFe5ThZvlP7aLzXjahW_G3TpNNLJScA=w1200</t>
  </si>
  <si>
    <t>429</t>
  </si>
  <si>
    <t>Sergio - TU JURIDICA</t>
  </si>
  <si>
    <t>tu juridica</t>
  </si>
  <si>
    <t>765</t>
  </si>
  <si>
    <t>Apartamento en Conjunto Bosques de Santa Ana - Oriente</t>
  </si>
  <si>
    <t>Conjunto Bosques de Santa Ana</t>
  </si>
  <si>
    <t>135.0 m2</t>
  </si>
  <si>
    <t>https://photos.app.goo.gl/4frYnrGmqX19e3iJ8</t>
  </si>
  <si>
    <t>Apartamento bien ubicado y espacios amplios. Cuenta con buenos acabados, piso en porcelanato, cielo raso en Driwall con lámparas Led de empotrar. Carpintería metálica y madera, divisiones en vidrio templado. Cuenta con 3 habitaciones con closet, una con baño privado, más habitación adicional para auxiliar con baño.</t>
  </si>
  <si>
    <t>Conjunto ubicado en el sector orienta, cerca de la Universidad Antonio Nariño, colegio Colombo ingles y barrio Villa café, El Vergel etc.</t>
  </si>
  <si>
    <t>Sheyla - ICDE</t>
  </si>
  <si>
    <t>Comis. Sheyla - esposa Oscar</t>
  </si>
  <si>
    <t>Carrera 42 No. 18a - 08</t>
  </si>
  <si>
    <t>19 - PRUEBA, 19 - PRUEBA v, 29 - FELIPE PERDOMO, 35 - LUIS ANGEL VARGAS</t>
  </si>
  <si>
    <t>https://lh3.googleusercontent.com/pw/AP1GczPwCmwo293TqjdqiyMcqI4Q8gP4yDmBAvcRMDqfw87PG7hFgx3hBp9e30MyE3IieGpZOuL0V_2S37dJWcdxvW6wbIulA_545d9QT1EHE-qfmFdWrwju=w1200|https://lh3.googleusercontent.com/pw/AP1GczMHTYecESDU-cl1uqhdLb-gyWICPoNfRiItAl0_FWidRot4M-9D_uKCNDgWjQl3XJ07XZqrBKWsBh5ckKHVIoI8c5rJhKth9x9IhhgzppHcXwC0g1aB=w1200|https://lh3.googleusercontent.com/pw/AP1GczM2Zcu236H7IWdB67DNCxRK0rBPAFdy9l7y7oMZALgA43lkBrLb6I0E0Y-GRO2dq2mkyi4R4UUs7I1hC4ukCfoEfYnBzRbQe6mtMbvoMRKQVCYn7Hsv=w1200|https://lh3.googleusercontent.com/pw/AP1GczP-urKAyf9YT2XYWZ_vEB5JoV4OwTP_2Qfe-n9FA2viugRHl3o4JT_6a9NQ8TmjgoOSMMgNwysh5UJ3FTKcGkBnJcheh11hdIsDxmamjISkdaIhrA8o=w1200|https://lh3.googleusercontent.com/pw/AP1GczOhVO8EpbjID5XnrcfV9DoevKS5lMr6i9iD1XpuDkqNDzjplN5TzhuaFIZsU7d_UQOfJ_c7Tbzo_kYR4ofZuHUXu6q0ipHAmKUcPp7bXKyxtYWEBbrL=w1200|https://lh3.googleusercontent.com/pw/AP1GczP7D4coioxulcDLbBLL3go5P8LIsOGi8CWRTheMvZleKovZZcThzwl9DZ1ouUFVstBy-jim6TFKWLIsARrTQf-d_knePoxB6Ah1NqwWl31hsD2pdMuA=w1200|https://lh3.googleusercontent.com/pw/AP1GczMeGnn8u82ehSU64fxB-FpSjJDaSXUSywozGc2rYT0xSKEUrZJe3bfzmcCOMOO-85mZKnUcS1WAVnOGNCDFWLEipf_iiZLag8x2wXo0_JdsIt1FYQgh=w1200|https://lh3.googleusercontent.com/pw/AP1GczNreNFeFvalGQmLWk3xCN-NRxQADCIvYD5trVcNN8TnMZ1k4V8z6Vtu06pESyi8Out2aP4UBeHqZYcwUL3iigGNL0Ut3ZbL3lx-C9TWb94Gajh6Rp8q=w1200|https://lh3.googleusercontent.com/pw/AP1GczNF2JUJwFVzOpH7BIPUn3PQr3zIvD2mUqjTcV_eEDb5BNHGUosccV07U3jYBUXBybCbLbHq34AknkI6rX23Op4-y27S0rujxpquVQZb2TDi2sIu-CVf=w1200|https://lh3.googleusercontent.com/pw/AP1GczNtrM3MZXqMcD11qPhwXm2_VAwN9FA9w9b6p0xdK0jmLckznCtzoempXmloYP3TkNF6WSiYtsdN35CL79dBB89q7yIZx5l8Q7wJSgqVqjlwxVFX3KSO=w1200|https://lh3.googleusercontent.com/pw/AP1GczNj53XiUJG9QMzJGxju286JhAnv27llRJLbDYTPxMrtg3AHWQ5t32iwtRyPv0-Dz26PzRS0Emk8RffkYQtcUKjXMKPvsPCfs9JSMr9CSRGcB93SaWeC=w1200|https://lh3.googleusercontent.com/pw/AP1GczOw9KMIyD_vQ8EL-0hv4GA_WhmxkkOfXKstTq75Jyr0GeizhNlK44Bn1wBEqQAIZj6xZXFMNsM5VIFy8raleNXAnS_jbqBenFqZtwVdkCjE3cVtTPyA=w1200|https://lh3.googleusercontent.com/pw/AP1GczO0jYKHe3nZbGiCgljYVwTSFJHXWyeSbOw2qgNskVooLpll_MEudEkPNj4IdBz-dpK3e2GXfcR3KUdBX4W_fKfsyY6aZWDySK5JwNSBT0gnPvSV8c4C=w1200|https://lh3.googleusercontent.com/pw/AP1GczOkI0pIjxgZ938OjP8Y5mmsOERZV0xS7ujoMg_y4wjcW_StmuqbtYVGV2GviwAMM80Mo0VcK_c0wn24nT6HFt-3-cPVeWg81Q8PZ3K8bZCNjCT1Lnz_=w1200|https://lh3.googleusercontent.com/pw/AP1GczNeC78pmwNzPwDXjFUK-cM2kL7HPWNzMEtKnUVR8vjkvQo7mWnrZlJK4GBkEas_zKR9Sp8MavI6g-_C86GzD4fmwf-AhJJH_YGnW4Wc7enXuKX_ewgu=w1200|https://lh3.googleusercontent.com/pw/AP1GczMKWiN4i-GFYvjsRTXekY5LgNzFtDRdfW_UllecN92GqLAFEayZr_e8X3J3LuXrmvQk5FNviX3XNYfVk2hHi7M0xFGN8UT2z3naXZ2T_rKe0Mfj04sF=w1200|https://lh3.googleusercontent.com/pw/AP1GczP04wYL3sfFKMi5Xa4-ESibCtQgqNXNwwAMBhOt3WjJ9J2sCGt8Jt1VrsvngRVH9MYHu38hY9oBLUtICb9SUbKthxt8dHpnHSzoxj85KQBBZjM0BN0m=w1200|https://lh3.googleusercontent.com/pw/AP1GczP0p8mV4Fpo5nSgg4eNzV1_2a7ZA2gTQI6vdC9WjLykHmnAfJSU3NzWnO7RGo9NR94QeWH2yQtvx3bJOkN6ztINJq8Nrkb5Yr7AIt_pEZrvoGjS9izB=w1200|https://lh3.googleusercontent.com/pw/AP1GczOpo2ixpeRzFj64pDumL0Cf77AYhlIr5QMR-N6XSErWHK6qi7qri3H5o9Y7k5ZI7T6thkjz1upGNJFV492R548aftZVgEeGEk32WCFXeXNTl3UuaUDy=w1200|https://lh3.googleusercontent.com/pw/AP1GczOd7jaABd_4hlWhoT6-5S2wL3V-LHBma3tP_kr1kvnT7hD5uXuCPZ1y5N6_D_RDp69WqFbjuZqRvckyDI_MUjU2CUxR-cLYa-Ph0hKQdX4QzFGixdxI=w1200|https://lh3.googleusercontent.com/pw/AP1GczM4eWJMOCX-HKLoMsSwWdTptMWoR_lGc5HmillETAm4Wmwzs9rMiBZ3VQdFGq3mwYA32QeeFuY9GxmEJ7pSo77juGnBqRITH9j136PdYN8XluE3g9Z_=w1200|https://lh3.googleusercontent.com/pw/AP1GczPNIRk8aWyaU_if6Vek4rz6WBXSw5NMr14MOS-WHi03Np24pLLcgE_RmyQrpMFOqZsITr6U6bPk6TQ79PtWThuR-WjD5r65tnwEylbVOARQKIKR9uZf=w1200|https://lh3.googleusercontent.com/pw/AP1GczP_NekCpVjJNTxB3kPzuoCLX4qHd7sB0HK4XFd3s4yj-qK4J5mjk_gE6kMGbf5IaHqNxcas-K_PA8BDcfFF_TVv_gfo80paT5oJB4aRZjogc-LciwdT=w1200|https://lh3.googleusercontent.com/pw/AP1GczOa5XlsS5X57V8a-dCMD1S6MXwXK3Qbd6ofuwq89nuiBXawy9rc_cJYegp-iYzSFZImH28-C2iaQlHEvvl5x-Tm7NkVLbf4uS_L1anldWYPU4GKNgly=w1200|https://lh3.googleusercontent.com/pw/AP1GczO5-9-HRe4by227D88bQmjWBjdOOeiOJGI3Zcf5klN4CeKlaZTNSr-qyyR3W9p8qQSAOi9cMtCkc7h4dQI188c6Ln-nsWiPs3WoMWkPUhN4v4aUfDlz=w1200|https://lh3.googleusercontent.com/pw/AP1GczPfx8KM-HC7RPGps6_lt10zc6aGULE5tC7gjUvkcvzBIPZwq6r7ZHLc2r3SRHFmJsPvlU8nHBwM9eegsatfrlcZUFVWTkDPk1RrZPtACLQPfTYTze68=w1200|https://lh3.googleusercontent.com/pw/AP1GczMzZRn5AtLL4O9nc4Dmg8MMyIu4aJfw9td0GZUahtCO6fmN8Edcj0NwzakqLCLRk5UffS9qkNi8CcS-zh58UMRUIxaIKKUfSWQ9YXM5AA9SGHNlrv1h=w1200|https://lh3.googleusercontent.com/pw/AP1GczOrOaWzhWCNT4A3tMSe2Yl3HsbrRaNYSv3-cm0uGhC3nY0C0ECbv7MZNmyV0-B0i9lGyEkLtYXC_ZGxueKH8NhNg2lyHpGWckaJ47iRGePTzo-Am2I_=w1200|https://lh3.googleusercontent.com/pw/AP1GczPa6VNRVnL5mq5c01h7rt5l2mBal5YSPgIpD8d3tvRbnVukYOO9IDN3102NeoqW8yziN5yMMxfocpNb_IJkcZZPTj2UrgGs5wjzTMCg5FOMcXd2fpoe=w1200|https://lh3.googleusercontent.com/pw/AP1GczM6RJ1DeKpT8fbQMEszPMnGbCB484cVGIWEkolT_oJHXMEobfJtzBlWqhz63wcMKEaGh2X2NFrcfM7LW0zvZ7CGJI7eJBzUziDROK5NrlqZvN2A3wTn=w1200|https://lh3.googleusercontent.com/pw/AP1GczPpV5iKt1WqRato_4e65-zBbLEu-6laYdaPh83tjhM1tCevhNcV0Ti8dMQ6jGe2JudTF-lcpWl54RRuCcb6hLnoguIx0tBWC_ZIeOn31gVqxfNdTkG0=w1200|https://lh3.googleusercontent.com/pw/AP1GczOgratogf8h6WOlNsQaygW903zhYvTIRmZR8xBiqNIFRoMebXvlaKC75wBtumZQhihtgpBPzQI8D89hLKQHg61kosx5F8Ijd60FDRIXH9Nz9c5c4TDk=w1200|https://lh3.googleusercontent.com/pw/AP1GczM8jLCoKNBS6Hsikl_B9JB-nX43QCHSsbbDnc1UgeiM9UDOxdJVUOP1wYigJkakIfD_Usu83gqaTfgxiRiD0l6zz8b9aF3lYHVwIMZt4DRs9b20SakN=w1200|https://lh3.googleusercontent.com/pw/AP1GczNdJhK48bEXzBxz_mFAya-Vt1UHkpVey-dy0VKBDsS3okZNg5FXoPl085E9bvVmcZG3IKksSYrL2SzYZ8E20UcK1U92_4FYHfL6mXPQ8rNm8x46RGuN=w1200|https://lh3.googleusercontent.com/pw/AP1GczMy9ubJF4FpVDsl9gIRKiaRC97ONYTpcrHzalslMzjtV0r066POCcC38qZmB_U_fvAXFqB2fm10M6srHhV7qWvjIZ196v84I8F6NhRYsfCFmKXLhxAb=w1200|https://lh3.googleusercontent.com/pw/AP1GczP1oegNiFvVoZqx6XReYys0zhCfwg9U8rkhHwwT-ik69xKvQr08mXW8ukEzfqM-PALHScOgwRJJrOqm2eDQurRVrsRi0kjl5PbFegBbkW9B1y0TQOOH=w1200|https://lh3.googleusercontent.com/pw/AP1GczMfiza23Tq5rsFtGsjLEOtiHql2xuWKTxeOeZ5zfLsXcSJCQ-TrXTIQEZJhKkE2LbW3RSVAD-0weawk_cF20ceG9Jg12bYyUF4RmzGAajB8pHVX-60i=w1200|https://lh3.googleusercontent.com/pw/AP1GczOwE59Krdw3MqNHpSB2wW9JKSLicwFy2J8rvZO9tOnBEo-WenmukjbVZ-PzD0wcXMFcz5NIRgvJuJ3OLT1_kVfIBHSVGXosT_LdKqkl0XkOhROD_G5h=w1200|https://lh3.googleusercontent.com/pw/AP1GczOeLGP-57eM8tynkcNLZgp6tgtxVTNUY1vn-Qn3PO1CuwaOG0I3TV1nYTXwlUFdd6eokveJgRiWn7-eXtAxsLCIWWgMaR3xaqAW9Bwz63GOoEFgYorK=w1200|https://lh3.googleusercontent.com/pw/AP1GczNrOZ-gND8pF7MM69CFtEvvBtIS9R3PBaYQGhkyqRupRX1K8g12R5lVUyO8-FVU2yoqoKHW6EnH23zwIffI7ACJkukaf7O1-1Zl_eHPNcpYCaj1L6t7=w1200|https://lh3.googleusercontent.com/pw/AP1GczMjflS1v5N1hKqILLogfdt7lj5IQcPe1mtv9zk9IoLzQVKVkXQm5HlL-PgZPZ8jvne9UGzYI-NfeoGefPB6n9GaM234uAiH4bJOS8Eh6HbgUsrrGiGD=w1200|https://lh3.googleusercontent.com/pw/AP1GczOQZhMaVkrju9rm34EBqIOherL9kexPtSnyFEvyULy3hjuzzxSSOI7qpH0u_cpq-mxyOsW_wurgtNrRby966jvqEoWt24ZscgtnHpRxe0N19QZVnFKy=w1200|https://lh3.googleusercontent.com/pw/AP1GczP070p-us4u5kJKDHFq8FwYh4aLzdZ4M2Mj9oECtsZyTOQDZPr_0WQ63vi3xGGc_TWjKEdDz8o5eYwXEL5Ci1bNNbj3UFzGwogOVODzENZFDl7Fy8Ho=w1200|https://lh3.googleusercontent.com/pw/AP1GczNVQ3e-7gCp-4s_OhSntoui6WciGdDvfLVDHdLltONnzIdl1u77vvWyivPuB8pz9WDzoM2AW6TzJ5zZTIi81U6b_mxL-iaAUkzmuPJqqty3RcvPvBy7=w1200|https://lh3.googleusercontent.com/pw/AP1GczMHvgrV2kjCHQ6drVz3_FmKtSr58yzD3JCZQufTJeT7NzOrqGdjhP3qxMHrD4AmZubzJM4iG3QhmQbXRT4VpS7QoBPlY_5Vo_2Oo92BLtAECfdHMod0=w1200|https://lh3.googleusercontent.com/pw/AP1GczOMuCdniU8WfEMw4_lUNRbZ4gK6sgiexJiWekO0rd-teGZMiT3xcaDXmui5KWytiu0AMuQ8x-9rpsMTlL7XtctJaF8c6Mm0rN-ISN78iuFx0C4LRDzZ=w1200|https://lh3.googleusercontent.com/pw/AP1GczNFJEVmhl9N3tPYNPPfG9nt5a8BqRBfHkevbYWPitkqEhYx8NnUbHC64WY_BaAJiSP_BROfPlf7pQsATae9UhHHJFbGo6K8VyJq-0-LOA9eaG1OenGW=w1200|https://lh3.googleusercontent.com/pw/AP1GczPxOFJtgBMucG3H2ds3Gaa2VxMwzmqljsd-vSwD6UF5PKiilJxnzPuL7ztSZ7NBxq14SrDA5CwNKBorhRTerpWomGjIg6DYX-kYox0_XNnjQurcN_ix=w1200|https://lh3.googleusercontent.com/pw/AP1GczPJmi8wtYQRK5Wk_z1e-sh0Zkzmb8yECEPrZfJducjrEB0-UzM6jlmT3TvYDbbpz8uPQdcdidtKchpz67UgCFbx2LkVCYEZ8IMX_fL0Xa-njysNki7d=w1200|https://lh3.googleusercontent.com/pw/AP1GczOF3913UWJlFYCYevZQ1vad2LgZrsHvC67dVMBTINrNNWkGmjZHDPhxxYABgR-BjizWn4LgXcR-Y9ZI1sA_usQ2biS1PvYOQ7Oh-ntnN26hFq5NOw5E=w1200|https://lh3.googleusercontent.com/pw/AP1GczNBIJvWBhum_Kdz4NmxMsbv4-c5497pkUMkQg3mTgPK_ZUFLVeqIw3cuGJpItWj0ZTqutC1NEosRtaEmGEVhcVcQm9jGu_tha-OK3r6ZibI41ySvpMG=w1200|https://lh3.googleusercontent.com/pw/AP1GczNyLdjmIsrvXt8klUbeSMEZEd63lcKvKz4iIDTw5WoGz6IlmtmLMshiWJOfnaxE63sSjlu-jDmAvHiyUAyB9zmP6-W7kWdBLQXfOpCrxjszSTECAMj9=w1200|https://lh3.googleusercontent.com/pw/AP1GczMsEULFQCLnxnz9MNuZRmYhzEdjS2G1-9sv-RX_CGU2IQiAF2hWq01kEjw7n2TY8liWPvuWbK2LL6PI2pmYYOh-Z5erSRM9pqSvncfDPOU-vSQXSs0V=w1200|https://lh3.googleusercontent.com/pw/AP1GczMPDzq0s9jYGg7OSw66cIhlHkGMI5XqSnAKP5zDPdbhegQ-S6hg-pMjS0kkIzRCkU-SLY4VduHivrrA_0eyOvIOdWu9RiolLlIfEyn73JxGM_DN6CMI=w1200|https://lh3.googleusercontent.com/pw/AP1GczNq7tCZdrSj7m722eedwcJnGfX5R0fpHPpnUv6LR6oBG0-MBfFjwOTNoie9n3IqWFnK-B5YC6sdGFYA3Idp_177Oz3XUz6jE7lSIrpQAn2wEqEyb6QM=w1200|https://lh3.googleusercontent.com/pw/AP1GczPKauLiPNLRB48JzEU-MqsswAoc4VqPtW3OCpTrU7RAULj5Dk-WNkyDrpS1ytTDbZRPXSIsotHgwCnV6MQhjTj8O_mRIWwHHweT7N0BtDxba52bz-Q6=w1200|https://lh3.googleusercontent.com/pw/AP1GczNiYe_O8bsB02I2ZIGAml0n-7OBZiPqp5ab2mSrM0nMDjfhC17rRYxhb3_IdA1R29QRoKmx-iezEMMvCHI2hjSgqvm-x25pN-mCEsVJwDc127kzOVmE=w1200|https://lh3.googleusercontent.com/pw/AP1GczO4rcbSlb_R3tqk7UesMEmEuz27WxaWyVwgA-YN8XPsRf-uQOXXdyoDKhxWOxZxiA6GhsOhrGX0LEC9oaT8grb9zga-d-uK8hld0iAbJ1N6CpU7feZ7=w1200|https://lh3.googleusercontent.com/pw/AP1GczP8EmpReEPDSNEXp2vg47HPq3S6sWKVQr1DNNw-v9fCZpIANtopt6C0wCxieNP0BEUhthlGp3r67Ft9sk7CB_iDhQggkCfU6LqjH4_D_0OMqRgYgNCR=w1200|https://lh3.googleusercontent.com/pw/AP1GczPKrS2uufJti2eNlqBW8snvK9MqLVxWHfb_tmkb9MT8hN271gEMkPYv-hisXQTL-gVbLIBg9jV9bZaMxxX5hFyfjYDqFgdSZaaiuRo8cCDN_EN81bMr=w1200|https://lh3.googleusercontent.com/pw/AP1GczME8Nrk5ErYhXCi0U0ZQeJu036bPB1jZCpd9FYJ6Vnf3XoOQwF0-BFvBL_tiYzwUyklCYlToFdROeTKPr6Gg15oYkhEGRVc9q7iuT2UzkMQH4AfLkMa=w1200|https://lh3.googleusercontent.com/pw/AP1GczPW_yznWHiwY73dJXUMSBBKTG1VaLSC0XMcfzyIKmmIGka0p5f_DsxeCcuCJFSO0M2o51ibacJ-uP7OW7xWqhAv0WQEfmbGKm1evcd7K-pRFsv1ii3Q=w1200|https://lh3.googleusercontent.com/pw/AP1GczMtx9l6K5rWd8iQz1H7ULwSPP79iOmqTU0MLiCmSDtYoEbVKu5loAJs4axE94SJvO_Qkuhy_WmPZXsueB9LXsly1GxiX4BHcTbC7c64-7CdL1qfYxZ1=w1200|https://lh3.googleusercontent.com/pw/AP1GczMF2Yyc8ZludqhsY4v_f5Hm6mQsfJzHGlfawBpUtTrSVoqoah-iUVoKAgtMkMVlE8-uL-ecx8nsVHg0Qgl7gdf54sDNlcY81SNj6oFkRM10xamoXqN8=w1200|https://lh3.googleusercontent.com/pw/AP1GczO68PjFxGPwJXmi40X19s5hShw323-xozIMlHJ86fNqHkgFNMQH31gpETJloeDovHUuR_LGPk8CPb4sOuDuOAA5q4e0QdzaX0Yk5qvLjI5KWQcRaZY7=w1200|https://lh3.googleusercontent.com/pw/AP1GczMisxEAu-7WIjX4zXEFhp5Zyy8C5uhfelrgIDS6Gdm-9mVacjufHLmbiclJzgDfg6ZyVsKdCs3ASlgoi8Hwb__j_ugSbORSEoyj-_G4CQJ1rNltqg_a=w1200|https://lh3.googleusercontent.com/pw/AP1GczMRrLsNDJLhp-rAgZUXKDs6vzTurqF6luZxULHpz0ue5AW8CbvasRskfcw5Kz4kLuxi7srJSD1-vKPLJPXEjDofj_NG9YslpXZCY7VzwvyJN_gA9BXf=w1200|https://lh3.googleusercontent.com/pw/AP1GczMw6P0r2j69a8jB5SMeC6_eouZoLVXZ07AkNO9ywyP40lugfeHpSKx-bO3ZLUZJqzVqeRvpv8BnZ4-X_l5qA51byO-nIemZrHxeKBxhvq3pmuR3Rctw=w1200|https://lh3.googleusercontent.com/pw/AP1GczOse2YNEJpqI18MjASpPxiKdBCfNtYZ5LtiFn2-hXFLe6YxCqybFvdVVs73sTNYeNd3crL_pyk-UIJVEuaGd_t35Bp8_YPXm5zdPJz7opOZxIiGn-jn=w1200|https://lh3.googleusercontent.com/pw/AP1GczMEv0-K8Bsb8mouWty8xrM9BeVkhiMuArUMLIRhLAkwmYwsSm4CuOXf1QS8xV8d90DCzy67TJ9FL4xx47NYohfI3j9EMcg8eiLfMq-F8INt-wi_Zyev=w1200|https://lh3.googleusercontent.com/pw/AP1GczNv9GyfSIdfFKJ34ov1Z2zqk50eWUuEwuP1zKTVP2j2RODbwYA8mEuzdEIkJJq7M9UqYQkEDQUCYvlPmrEVBh3itpEuZnoG376LT1uchJWZS8s6cVuF=w1200|https://lh3.googleusercontent.com/pw/AP1GczOPT8DaryExIXAF-e9rIZIcHj8_MrmPZR-RAmdJ7eFho9Ko89XrgGQKkQdOgF05uT1_cy4Rx7E8H1BJik3qEydaskFrn5QmU_vQyDBxRi3WsU9egPMp=w1200</t>
  </si>
  <si>
    <t>507</t>
  </si>
  <si>
    <t xml:space="preserve">Casa campestre en Vda. El Guadual - Rivera </t>
  </si>
  <si>
    <t>Vda. Guadual - Rivera</t>
  </si>
  <si>
    <t>https://photos.app.goo.gl/Get7ktL2HqP4Fm8r5</t>
  </si>
  <si>
    <t>Con buenos acabados.</t>
  </si>
  <si>
    <t>Bien ubicada.</t>
  </si>
  <si>
    <t>Sol de Primavera</t>
  </si>
  <si>
    <t>JHON JAIRO VERA - ESPOSA</t>
  </si>
  <si>
    <t>https://lh3.googleusercontent.com/pw/AP1GczP4DXt4-dJSBmsxqQ0-58FPs1kKtnDownGGUlHbXSqWn2SaRVUuP6cShNyFz9YDiwcaJlcHbOHxd5GbJGt80CAyvP3hI3afTB_nCJ3HifztIK3HVSUp=w1200|https://lh3.googleusercontent.com/pw/AP1GczPv06n6ahvHVQ2DtZF-ApWlP9l2TM1Jqpab8F0rpv8H2EtBcqzf_aRFAJSrQiYTci_1N7m6mfEbomifhLaZal73ysVnF-P2yMtfWY6lqmrvMNc9BVx-=w1200|https://lh3.googleusercontent.com/pw/AP1GczPuOwjcah50pA3X7fP6rRBra7Kcea3XiDJyZJo-T2dbq5Dj2zkUrBOK22p8prm4oxhkN42ot2YuWZRMmViHavvlqZ3LLam_AuoKJp4JI47i_qIpsEpK=w1200|https://lh3.googleusercontent.com/pw/AP1GczO7vXebG7RBbh60EaekzgufQS_Uo85HRDUUNJlcXjiw926j5pJB45NGa0gkggreixfz4x8F3uwUGeKWAFO2rIDlcsbt-EZtImX7YhlJAlSG37XdBait=w1200|https://lh3.googleusercontent.com/pw/AP1GczOycyDtaZx2Y88sZUSFplasijQUJxjy9Qnx2qVolEimaDTtirZcYgP1D4hM4D_oMob6xb4khHwuecBvZ9xHbNGZkqIn6qz29XMdQNy3WmjqkXtl5vTZ=w1200|https://lh3.googleusercontent.com/pw/AP1GczMdP56v6c8PATxm9zPS1pCZmkeKLUupXHhQd4YyYjAznsR6u5QsFM0wunkL38jrW9MEAEcobZoz-FUN8t0fSOAz-E0yzp1NujJKHtuuRHq0oLhhRhgz=w1200|https://lh3.googleusercontent.com/pw/AP1GczPi8cNpPSr5NqgHksg8nE1W2p2Zq_OFEaUXmHMdFliLFEDGqRyZ_EJ7i3vOzTvx8Iw2DSsd2QrZOrB4BSb099CrlzgkxhpPKkd3nbvHpwEqE3wud45r=w1200|https://lh3.googleusercontent.com/pw/AP1GczNnIg2HEb5rSgcEdD-f9GITSfTsOvmM8oQd1V6hsDqeW6CSqx3pH2RTpI805vZ-RrxTANHpu1-iXew05v_2wiKFWqWSz_jzfskp6Jh2eUBEgykZuM4D=w1200|https://lh3.googleusercontent.com/pw/AP1GczNivtUttcVaiDN332dMIJNtMyPBQjE-0Eut41U3nVjRdNLNNDRPL_KZsaMwuw0RkKE0oiG6NRVPNT-WReTg8ZDzytNPI3WRCWPOVpTCGPhpozLSsawP=w1200|https://lh3.googleusercontent.com/pw/AP1GczOQueEN1nI6EfvETWtr_gPA9dzg1BoeGeXOvfnkCYj7O2wSL9rnyClS64fWIMWfk9uK5V2czXBolaykW7jUhlyv-YSDXT7YP5xbNdRXNX6bUpS-YrQJ=w1200|https://lh3.googleusercontent.com/pw/AP1GczPsrVz6VJC9DVLaukhW6SmHP3HDV4E5Kzaf1Zd7oEYYRX5Gl4gdOf1vJmFDDwC2ylZEX_1F0WPkS9qMK2G3g1m_BXWUDXQUG4oRooS4UqjDQZihxgsZ=w1200|https://lh3.googleusercontent.com/pw/AP1GczNl1CS-nCTo9voH8b4lzlnN1w4kXGW3c2tF-k1vDK4HSWK3IoVpbjtWNBYG6LgISI1UJtrkV40EO72kBRk0s6TudYUWfkVThutLFkUDXrNdndmZ_vZr=w1200|https://lh3.googleusercontent.com/pw/AP1GczP0KSNfEXEFJOSp_5fE_FaBy-tU0eEzrGHGydYwb9UIlQJ0qzZvCw-Fb5ozwCztoHxWfSWQXxyHHQ9tmfNKIftjGtZVHkbML6Mrt7NmUQr45a0UGMBy=w1200|https://lh3.googleusercontent.com/pw/AP1GczMvQZ12PGEW8_T7LHTwiwFlAPPV8Rdfhn9AbvBJw_ZbzAcjj80iPI6KISj5QpfRJFjLUE3oXP_JTeKC2LQC2eJLfYa33XvM2c1oCkkd2vl5fds53o6H=w1200</t>
  </si>
  <si>
    <t>404</t>
  </si>
  <si>
    <t>Casa en barrio José Eustacio Rivera</t>
  </si>
  <si>
    <t>José Eustacio Rivera</t>
  </si>
  <si>
    <t>https://photos.app.goo.gl/oMnwLdC2z7WcB9ccA</t>
  </si>
  <si>
    <t>Casa para remodelar.</t>
  </si>
  <si>
    <t>Esquinera. Vía amplia.</t>
  </si>
  <si>
    <t>CALLE 25 No. 6-97</t>
  </si>
  <si>
    <t>https://lh3.googleusercontent.com/pw/AP1GczNP8lwb59q1vVrJI4lafuR365cLVSJxNwao7Ny8k5yq8nwcXbshg7V8Du68n3g9xCIUhDUK_vxf6irigJGyHvXhKHKT9FIVS0ynNI3boQxokduvJugG=w1200|https://lh3.googleusercontent.com/pw/AP1GczM04hYbTWumCMLGJcdpNntutbkzr09fGweKLKqKqKmoPvDfT8nRioAsThr_khdjpzafOm67fXxZMnA3_dV5GTdVwwUrefcdj9So44szKo-iAdkPSyAQ=w1200|https://lh3.googleusercontent.com/pw/AP1GczMIMF-oM0PjShvJij-qDcOOsiGlK_6Wy4yD0u2J517PqfF3TENLU6KmWFm-iVKSsk8d-4rdh7o7_FgPewU9dtOTUcyztfLe7tmWAZGnYqzl8UuFReah=w1200|https://lh3.googleusercontent.com/pw/AP1GczNxCm8WYniArWsNQ858tiPcAVBYrpvlAKoi5Ewwzdr8rGI5l9BZB_PVeOX8xtz9yuwurlYZrQVU4EZHbiuhqrJgx2qmRDn6Zku0Daghv-Ig2nS8ZN4S=w1200|https://lh3.googleusercontent.com/pw/AP1GczN9QxZyC7BsTZndgYOF0-hSU1qRpu73diOgO9B9W06qaPVWl32FcbhG2HioxykrhqZRlypyjlmCSVoXagjaT9MUDSxh3aJ7Byr9AJA53tjl4MkiiOAw=w1200|https://lh3.googleusercontent.com/pw/AP1GczNlXysB_QQwHleiCyvkNoaWuXyNokSnitfF-uNQUr2LG1tcFSXS2l7XOTblFxFa9t1h-KofYRa_EI-fUAxMdu0uyJi64blMFCUIdtv0l3nPG8Q_KJ35=w1200|https://lh3.googleusercontent.com/pw/AP1GczP6qmyVqPpJo0EXm7NflXOY_O2jAu3yXSZvM5kJSsBp2v7G60OW1J11J_F3x7bsO3owClBd2sqm37zW7S8LcWZry5RzhAX8U1esSbwl_VXw4YIQ9EU2=w1200|https://lh3.googleusercontent.com/pw/AP1GczNG_sSu0g-Wea9fr1zSo2GY5XEihQXXfItd8O9v638ww-OWTvpvYUfDIsEJWjatcSwTovHtnGy6Nj2_zaewMcl7yFY-mEpAQwThd5du8HQRWOYmdYIo=w1200</t>
  </si>
  <si>
    <t>505</t>
  </si>
  <si>
    <t>https://photos.app.goo.gl/k59q58MapnTHJnEf7</t>
  </si>
  <si>
    <t>Casa campestre con buenos acabados, zonas verdes, mini cancha de basquetbol, área de Bbq.</t>
  </si>
  <si>
    <t>https://lh3.googleusercontent.com/pw/AP1GczPnLGDrqUo_8HTNBAiEyNa4Hj2OMkx60-qOKP6qdnjWoBP0ZEGvjXVRgxwaScebqtOsZHbe9dSu7xHdx3cxyMTNNSl1TbQtxrNuJZ1nSt5pbD6815Hl=w1200|https://lh3.googleusercontent.com/pw/AP1GczPAGwTStfBegBf6qlZyvfyOD4ICp-FmUaQKf6gq5NKaDFFDF_JUfaUs5Pisu0Y3yO3WBe7fpf3TupnWNcKuB0mWFr2E3rwCifJUbL_RSWqS5ftq8SEb=w1200|https://lh3.googleusercontent.com/pw/AP1GczOz19t646JLnfip9phWX7t1lA2HQTEwxjKsOUaLgBKdfHs7rkPG6tRfnHEq3u-SBVtQdSDB2aBAnszwPDnRFBi6OXKQLYpqgZifKwjYvM_3WO9I5ASJ=w1200|https://lh3.googleusercontent.com/pw/AP1GczMujan_8vP5iCs0trkr_v5LOhsIAg6PEmMBmZG5-IYMOzxmp703ARKekVS99Dnz9rYgL-51i4NhnZstape_g17TpRAlT6IsdXDmm2FQdtJgWByZjUGP=w1200|https://lh3.googleusercontent.com/pw/AP1GczMTDfOZvXTruqCXXXD36z2JSiG_Mk0kVpQ0d7PDj3WA6QWtARMG83fCAadOCffDc82Y-Gxy4RskA2KDM9cwQUB-ef9OtnYQkNlwtF0k1h2ZuLOzrEEU=w1200|https://lh3.googleusercontent.com/pw/AP1GczOAcrGHjlzy4tsbeBGWvt2z6czUaGPrMU0_5Rpq-JThEF_Gh5e8d-H86ps805zC4lijvBIP-G9xhhZu75UOyYRKY2JwBMLIyeQAgifiMg3I7PsX3499=w1200|https://lh3.googleusercontent.com/pw/AP1GczOiE_-JfazJFXKBRYNc5iJUv4RSEfX21KQfI-MWftVgTjxcJDFLxs-bvzemMSwlAWtXohQleCyNU0wDxzXmavBUCis7UpVZY8ch9cW7e1dSibyKh3m1=w1200|https://lh3.googleusercontent.com/pw/AP1GczMIZ7GH0y_zdpkk1mHuOxdZt1JTOsxDTRphXV5lhCqavhUN-i6qtPK5wmcDjkWg61q2Ckep6ycAEszykJcpJ6bt27AnBuSZNpTNu5O278N8yF6RAPEC=w1200|https://lh3.googleusercontent.com/pw/AP1GczNfvumMzIyOxFieWYFO0CJ77Iir6mtvwtEY05qn9C4nWuVWxd_9-3l7dK0mUwxStnOxSjwgR5M0_hZ15TJTxPe74lBT9f-CdDRoxDFO4aMinQdL8i6I=w1200|https://lh3.googleusercontent.com/pw/AP1GczP1i38ejiVchObPXIgZP2KRm2Hjdf-ct03_XgJrsPibXjdVIF-Ph5oqOtcOGcsbYasI4EqVF3F-CyKRsSSHH6e5nuhe55uBDfvGy65uyexamLYid32J=w1200|https://lh3.googleusercontent.com/pw/AP1GczMe1Xns-hG3xtUEsBgHRbJqdyCSMaSNKJXktxFdIJFv1sdfn-clAS7alJBRxiESztisZSiVl1AyDnrzpMR5I7iJ9JSp4jdyv0FEseWAP20hWCe_1xaz=w1200</t>
  </si>
  <si>
    <t>680</t>
  </si>
  <si>
    <t>Guaduales</t>
  </si>
  <si>
    <t>https://photos.app.goo.gl/oGdX7khFJpPXHaXz7</t>
  </si>
  <si>
    <t xml:space="preserve">Cuenta con buenos acabados, </t>
  </si>
  <si>
    <t>Vía amplia, con reja antejardín,.</t>
  </si>
  <si>
    <t>CALLE 20 No. 39 - 42</t>
  </si>
  <si>
    <t>https://lh3.googleusercontent.com/pw/AP1GczNz_vcRtf9OW7zq6MeN0_TPJt0FexxNlMPX7u1MV_Jg4OZjZaTqi2yprJswcXdSyjp44h_A0lZ0hwLHtVb9t4ALN90iDIVv8MfEqRvYKIATy1l8gOHz=w1200|https://lh3.googleusercontent.com/pw/AP1GczNQ_QK_IGJXjOkVpAqFv0Un3PyFrOEfMyDQ3vy2tY2CP7zg2n-F58yOaag_6OXIqe4blnBV1NhTkVUhRI6y_DHSAB5LbbirmRjzn0tA96l4Nl0intV0=w1200|https://lh3.googleusercontent.com/pw/AP1GczMhrMtvZWw1ccUM6uRcCPeW7Ul8dnlTih-0VWN5Iz2oozQHNxYufoM7nwuaZlUZSRoK5mZlns6HV61UMiaRO0zt9i_MRTuE-F89Bko8UisdOBCW_JWK=w1200|https://lh3.googleusercontent.com/pw/AP1GczNHdmn4ArVO7c2YbEs7PsMNZLBJvHR0qw8j3yBYouzMw20OPVlvQ4yBeIUBChMzkVmogp41PJqk_FLYD9XkkPH_q7nJgbsK14F-LC4Qn0vhjpMyyyRE=w1200|https://lh3.googleusercontent.com/pw/AP1GczMvvbuLB1XrxYK50hV7budkO8VdkoumsYDAF3sDEVs41ix9cEkzI-9tpcWCtHEULkWDVsO7kcJAi0Fh5LhTERT304VUGYHPjIlb4A5mic1KmGGXXrjF=w1200|https://lh3.googleusercontent.com/pw/AP1GczOCtj3qCdbVGkpNBV3utEkz2B4nc0r1wHO1utX8EILq04TO4Kk8Qbp-KhCX3zBi14eO3R_K4nR7nked7HiNFj-jB79_ebanJ0iLKpcNrCZyNUicYS7e=w1200|https://lh3.googleusercontent.com/pw/AP1GczOqgbj6VzrD5mswR4CvTIo3AYhF-NRxG9iHXF3thGfpTUX6shIBfmkxk6HPfqHHsLfVFUkb4ESiV80U2yvg1NwYBoHT1I-DgiCj1Zy4wpkAKr0oA_uJ=w1200</t>
  </si>
  <si>
    <t>289</t>
  </si>
  <si>
    <t>Casa en Conjunto Condominio Llanos de Vimianzo - Juncal</t>
  </si>
  <si>
    <t>https://photos.app.goo.gl/Lhf57pPdrWeQ1XFQ8</t>
  </si>
  <si>
    <t>Buenos acabados. Cada habitación con baño privado. Cuenta con area salón social, cancha de futbol, capilla y jardín infantil.</t>
  </si>
  <si>
    <t>Con estructura para segunda planta.</t>
  </si>
  <si>
    <t>https://lh3.googleusercontent.com/pw/AP1GczNC75JFbC5YMApKMAIW767RYKUPVB5bwM8YPy3klaS3kqekunCTb0onIAXbig8eLXmMMODjyDxi2GvEvlTYp7p3s-xgwGO6Bk-Fs6ts64pOsaTAsdNQ=w1200|https://lh3.googleusercontent.com/pw/AP1GczP3n7-IaiHsekUtnqwXaYQ2o2VDlhp-Zqx248vr3x_cJpAUEUsiUNgV_w27hUeh6kzjpe1FOY5azuTX7rFu1PxR6oBsdZbiDn7ni9kxB5mCTBE0vFIf=w1200|https://lh3.googleusercontent.com/pw/AP1GczM8-cSMcLNHAKa5vojFURMYpCSSNZKWuVPt4d_shdpr3BV43q4rQspHwzaanHTT9IWT3gL3SZ9io8xQTcuVEVz6OeFpVfoETrjCWUbgBmOSYyB9me7V=w1200|https://lh3.googleusercontent.com/pw/AP1GczP5eZymJz8gB7j4M3saCIPERsh_Ztf8MyPzJc_Je6InQeBOaX7XNDWij2NhLrRVS-SPdKRNhjjjYEQ5Mt7ORBqTycTtweD15l3OGFhjOmKfZx6voYGq=w1200|https://lh3.googleusercontent.com/pw/AP1GczOJEYY7Ly8Fm-RkE_strloTuFe0BhJvTaUslz5RbcrwKYOK8il28AWV-1f6l8ZlkGWBJxrZ_TH-n0aN48T9HroWZ3R002-6G9eXcvFcW4UrKipROc3j=w1200</t>
  </si>
  <si>
    <t>070</t>
  </si>
  <si>
    <t>Casa de 2 pisos independientes en barrio Timanco</t>
  </si>
  <si>
    <t>https://photos.app.goo.gl/FYXa5AF8q5wZhKuU7</t>
  </si>
  <si>
    <t>Cuentas con buenos acabados, carpintería metalica y madera. Garaje para 2 motos.</t>
  </si>
  <si>
    <t>Ubicada sobre vía amplia. Apartamentos independientes.</t>
  </si>
  <si>
    <t>CALLE 20 No. 20 A - 22</t>
  </si>
  <si>
    <t>19 - PRUEBA v, 12 - LEIDY YULIETH, 29 - FELIPE PERDOMO</t>
  </si>
  <si>
    <t>https://lh3.googleusercontent.com/pw/AP1GczMZskVKzSg52mXNFoH7eH6kgjpFstAOoKEoxhWAgj7EL5h7pi7v9vl08dFEcQfRwdS4oOCeptIS8tjLZjnVMBfH6whHBl2IfDzuDcfBWd8fJxiMniAS=w1200|https://lh3.googleusercontent.com/pw/AP1GczO89GRxbUd8vQdGcTeX5fdg3p6AbJdUnmRGC_djl82jrk2hHUzaqmYtCtKzf7G1euGPrXl2blDNnf8PeH7AudUHcQQ3S-VQiEkO3ufCKAd07YfWXm4q=w1200|https://lh3.googleusercontent.com/pw/AP1GczPaiwqGOqXTn1CA0sVWDAM2jZvMUN1SOb390gNtB_cwimS5L2TOgd0K7DjPLwH5S-8eyXJCyCMMR5-KBfg2oeDAsPAWN2NiOinA3vRt3-1WIaS0aerD=w1200|https://lh3.googleusercontent.com/pw/AP1GczP1-LJS53N7VQ7V_bscyVP4I7ClopAQ2M5zkbC9u-ya02e3RBrvNFTaVjWTX4G9hsBhTQv44LNNc8606swsWucs9QKTfrSxrAMOUIMfwiV-Znmd_ruN=w1200|https://lh3.googleusercontent.com/pw/AP1GczOOcmPFHlmUPLd29SXHMk0E7QCYbkaeDZvwiqfWqGT4XNypcdxHpguTKvYwrgxjIJzGQymj7vg0AF8STjhTI9Rl3-Fa7-Ro5_QCx26WX85k6dqt-ksq=w1200|https://lh3.googleusercontent.com/pw/AP1GczMVldN9tVlo0Ot-OOY5-K59CMhLEiH5sLDKtwhF5oYtNDbGlydhln0r4UOSRi-Mg4TcjsAuRujlPakCzyZOPB2Pb7eUd6L8HKDpXYQILDS2WTet4GVQ=w1200|https://lh3.googleusercontent.com/pw/AP1GczOZKxse00UxCayGVES6sxJoqTpxtVts4-WrvC_USAbO8d0T9qULltjrM3CeEQqLIw6RNg9R96IU6yT7Sg1mkXLtv9rzdpLep1O99ET0UTD-dpW0V6UX=w1200|https://lh3.googleusercontent.com/pw/AP1GczPDeGRp08PG2oFjFXp2ePD5pHiugTpE1crnTlCYUidwYhY9n2SvLKhCIyOi0wzONbu48CrDzVEUZc-v7aY9qeYtG6EIuhVXKivusj4OGP9Q73YKHzFE=w1200|https://lh3.googleusercontent.com/pw/AP1GczOYufAwm7TbluwXweVeRvYiO_vbR95kwniNpadQIJhEfyMTZs8zNNOg3Rbb_80umOBbPOJfmttAqmOaZiYhJJeueTR_GY_25rKPDcxNHmZjZLzkwGBC=w1200|https://lh3.googleusercontent.com/pw/AP1GczNtOESuwifHAdwS3-09Z6d-ElFbKkYeH0577X7OGeY_hJK8yE6EbnMKWfmWobuyTxLjKxbZ8CKny55TpgN49mKHO4ObP4nVYpzS3OBHOIvqNcpp_-jO=w1200|https://lh3.googleusercontent.com/pw/AP1GczN5dnWFgXzl-ShTG91fUxXKEe5-Ew7c65q_IOk_C9K1OxAKJsX7kf9iK7AhIJ1lnNtsIwR27M2QhukPMiUtrLL-rGpzypIynIm9GBCI5NEOzDoKe0o8=w1200|https://lh3.googleusercontent.com/pw/AP1GczOD-mkxbwRGMWHuwfz_jE5nvRpuOZEtQa1GgFvQZ6jvnxZ4fcFYztiDaFQq0J3EwjR8MiOHVeTwDMNwZrgMBEKfEdLtWxk95lwfChHxIv0TWeQ728zg=w1200|https://lh3.googleusercontent.com/pw/AP1GczOkMOnnQWTGu_Ry8xmsUOzK_vaUm2qjcFpt7beZtbJlSC0jQU18DLltvVP4mhAt8Cawb3fHVrUhG5cMS4PNzGGmlhev82b--nBYawKwN1A__IcGWDaM=w1200|https://lh3.googleusercontent.com/pw/AP1GczNWjKQ2Ck55y54gZqaw0oKjC_ChktxPvfowgSaizZuK3YJLKykOznkIWuJw90bRKhwS6O5t2weic66F23fvYP4wAnjqXosEQZVy3ee_x7PporQn70wM=w1200|https://lh3.googleusercontent.com/pw/AP1GczODpC2ou1OM9YWlmy_oE9-wwJ3T5xmNwPPvBLsQJn_VSFsIfCttUZFgeDHEfbpyePpMD16ZRRMvSrGM96YxOWG7fEMfhMoy9RiORo5J0_T2-KElihlD=w1200|https://lh3.googleusercontent.com/pw/AP1GczNqI_o6Wz950Yukyl4205JI4SGBo3OL-z5KR_j3dOf_2PvXqaoFHq9oXgBdrLKh02N8ldvcR0JLJMIBfuKblHIMs3iR4ezWaaEGrtiNjc7UzH_Vs14S=w1200</t>
  </si>
  <si>
    <t>694</t>
  </si>
  <si>
    <t xml:space="preserve">Oficinas en barrio Altico </t>
  </si>
  <si>
    <t>https://photos.app.goo.gl/jPNKhE5hUjMX2cdV8</t>
  </si>
  <si>
    <t>8 consultorios u oficinas - 4 baños – Hall - Ideal para el sector de la salud, IPS, EPS. – Área aprox. 270m2.</t>
  </si>
  <si>
    <t>Inmueble ideal para una IPS, EPS - Gremio de la salud.</t>
  </si>
  <si>
    <t>Soluciones La Primavera</t>
  </si>
  <si>
    <t>Calle 8 No. 10-58</t>
  </si>
  <si>
    <t>https://lh3.googleusercontent.com/pw/AP1GczOqImswYBIXP3UbUY-405fYhywKlrPvfKyoCNJub6Ohjt0csdA0HzMvm6o4rQKoSfHqgPuauPMDFeTVDC2l_fGa3PKDAW9TvlaKWPF8ArC0pc2Jq8HC=w1200|https://lh3.googleusercontent.com/pw/AP1GczN7BqqqVYYgx4vQaplc_aF-qiY6YOkeLJibh726xbWwrcsSJTo600b39NJCTyNHYUDhnR3h11EKGxP4HQdWNU0IH3A00GvgU9c2OiXF6Z0nQ0pIANhj=w1200|https://lh3.googleusercontent.com/pw/AP1GczPBRdpl54mP-KHYBnh1xI4KScvOrw25L-YQXyzfKNLG9uINARDzwMlEi48QdXB0EvQTCsjFa3e0A6uHkTGLCvAgKMUQSIa3wawIeYggU34BdmBIwfCZ=w1200|https://lh3.googleusercontent.com/pw/AP1GczNh6GXm8_15J9MO3IknePsZjmZG7jOjLIPLVmOAhk0Y5gNOopFpgR-sH2CQWLewlEWNbENBMteqwP21lW1MNADWnJlRduHpcvNiSUz3sAA3UV_sCw6S=w1200|https://lh3.googleusercontent.com/pw/AP1GczNjNMNUcO8LKrQfUbX3IK3WQakisVsyTm1YfbzYp5VPRilAhuGFWmTvCSh1NIwrDnqvrLQ830rs7sU0FpwGHwNez9mTzg9W2NyN14hM0TNFrjIw3fjB=w1200|https://lh3.googleusercontent.com/pw/AP1GczOiJ2euOQBbgua3wh96Sc3958lbtR7lz_97orLYhQs8am_Mt0putCnF5F43KcGEdhf8il1wZ7MjfQ52m3AhWGImWjK0vIHhTjxwhTKBwhpbBqpSj1h9=w1200|https://lh3.googleusercontent.com/pw/AP1GczPRCk9iYGJfjrMgKelOPCsJBfrMY6dtWydQmD0ibESSNWLq76oDmiDmUsiS-IXyDNpiNyFf847A0q7V6bHzOi517EQ01pCbrVyHTaBAfl0RSnUnebii=w1200</t>
  </si>
  <si>
    <t>328</t>
  </si>
  <si>
    <t>https://photos.google.com/share/AF1QipORIwe-P8Sm7jF2Uf8J7Rq1Sso17zR3wYwgQBJb-ypJWH85wX5VGNlNHy9tjCPMpw?key=c25rc2EtU2ljcUVNYXB0Y3FUdkM3a2FMNFctYnFn</t>
  </si>
  <si>
    <t>Pisos en mármol</t>
  </si>
  <si>
    <t>https://lh3.googleusercontent.com/pw/AP1GczPGtGGpiwfNz0grKkDKMewYfbGHozUhZv_mgNnOWQlmG6N7Q7pzg7pFnMPiEa1cXXVDBguHWHERbwjZHMuLQIMAPe-d7FAKthPtVZ6d6d5EWowRQ6Wd=w1200|https://lh3.googleusercontent.com/pw/AP1GczPGjtmc64f0f7MeMBYFPsMtdci8sscJMSIEriVVFnaTTIOATg3Azm-5_-0Q-iZv6lHsa2T0TYIhNI_xc43_RreiE2ZiCUslWtE_kZy82u42DKkECckk=w1200|https://lh3.googleusercontent.com/pw/AP1GczM5Hyqk2MAsvKO1ynQD1hvqpnduFf8NGBn_j5LDos27YHyCtdl6PbweE4OQ8VpI3IJsjgWRIIuIKNpB42_e26ECOLIntNvZFf3Myeubl9rfyqXdWNy4=w1200|https://lh3.googleusercontent.com/pw/AP1GczPrhntMS7Ppfy_lejahUDRuRpJh-b4JS9zv0OiJ4G2dxYA7RFtR_mp4mN3yqkdC8M6igkYv_ml_GrDYxxPssx_8jn7FO-mwhbyL542uMYfeI8FWl-oi=w1200|https://lh3.googleusercontent.com/pw/AP1GczNj82YfTkRJZTyoZ6WQCH18z1ieQITucKxiEno-eZXJ-4Z-TkIpg67jh1iz2WhMoeEgIGyhhCLb6_jDoY_6Il1H4wibtBbfmY9-Auur9pw7NoQrn1X4=w1200|https://lh3.googleusercontent.com/pw/AP1GczO1qvhH52CHOPaeLxavaKUZ0X-gDvo2RZ7DvjY1uMvklZ5a5BHp4uVEeBfa_zGv7fFmn5_GHGtzq7Bhlxs-WHR9fnkSYZltcIePcWuZFy_NFbpdcSWh=w1200|https://lh3.googleusercontent.com/pw/AP1GczMvwvC-PeDna0BQ6dZE_LOqdoBXEl6sX8BTPZ7Xt8t8g-Wp8bfOkc7S8G8VEntbpgS8bMlSoc02S76t5EfiJrEKHJ-lBRHS3-VZqyyf729bNooxXOcR=w1200|https://lh3.googleusercontent.com/pw/AP1GczOOSBtnxAYaXj7LFgWwYhfNPlBWnrKIPJUpClocn-TYxlE7G0dH2vKPXf7ryz8rc3QTsocDGf2JW8bTkdCEzIndFEe0ZSbAtnZluTUk5EAs1DXt8Sdj=w1200|https://lh3.googleusercontent.com/pw/AP1GczOgFI1IqhtPoxfEiY5mA9o-901Tsj2FyTZzI5-Xl-obep6IxfovILVxQ3n52rwuCfB3ECSTOSTFf6qo_oFDUpPBTD03wnyLQ9pi5lj5d0UHay4iLTOA=w1200|https://lh3.googleusercontent.com/pw/AP1GczMyu1fKhRxGl173kwoc0ehG8xDBWqWiib-Rc5WjLhtPAElCMuXGojR2T4EILHU0hT3GchInxPnI5-zbTbQRi-_hfwJrSuxdoC39lafOxKkqxZ3UYKKX=w1200|https://lh3.googleusercontent.com/pw/AP1GczPDpecdoIK1kIc2C7NeQ2LXfyzr0UtgBj0J8z6O6O3nkKCdAhUynUypjKbmyQBDYfeAmD4kJFAwT4V8ZWiAnB3mCsvPaGQ0T2PQTqO1rNBiE6PkbJwr=w1200</t>
  </si>
  <si>
    <t>829</t>
  </si>
  <si>
    <t xml:space="preserve">Finca ganadera - Baraya </t>
  </si>
  <si>
    <t>Baraya</t>
  </si>
  <si>
    <t>https://photos.app.goo.gl/pK6Aq8vtG9S6ecwY8</t>
  </si>
  <si>
    <t>Concesión de agua del río Cabrera. Nacederos de agua para el consumo humano Leguminosas para el levante de ganado. Corral en piedra para aproximadamente 150 cabezas de ganado.</t>
  </si>
  <si>
    <t>Carretera de acceso en buen estado. Servicio de energía casa en bareque. Area: 1300 hectáreas</t>
  </si>
  <si>
    <t>https://lh3.googleusercontent.com/pw/AP1GczPkCtJ4yHMwvSgainTaN5c-bmmv3h7-GcTHKYbZ8rEpThFSgR0r6Tw2dg7L_AfYrUu8RcRruYqgm1MV4bbKhhomkXDtcgjN_uhZNCPKyWj-Vv5Hm7h2=w1200|https://lh3.googleusercontent.com/pw/AP1GczOPlxr3DNiLL8UVQp3WnqqlPNLaNuWv95_kuupGSVLf0VR95Xf-L2altdxZXZHMO3li0_U6YefQgL8eBVonm4rVptOrynweE1JbI4sxnYK6S5OqwT7b=w1200|https://lh3.googleusercontent.com/pw/AP1GczO3I25aesfuM4FQKpMcrTLUKMyoCPudry01ARxvaOAgQ_nN-jWciwimuA4M8i9IilGQ0STJ550czYwPFHq9DX7aOeLde1Nh6N6EPkosR24RJ3EF4YoQ=w1200|https://lh3.googleusercontent.com/pw/AP1GczNur6_waDcFaZfnwnMs4x0ulBsqDc1QQT84d7EUORbYBV34ukzZTT5xzKT_X-cJ9mt8WjZWnQYH-TUtCgvp_LjOd7O25fx16ZEIAQOOtFiHZiVRSyQs=w1200|https://lh3.googleusercontent.com/pw/AP1GczOGeZTzGZ8ebkUqIIV_oFVlGwfU5mqQ-SSmw1XbqCH-e4BjU8wZKDkwqCtWjDLGrcZD4506Ey0SANk7dUe362Zs2DVQYEYcyDUPoi51_SF5we_45TRz=w1200|https://lh3.googleusercontent.com/pw/AP1GczOZ9eFPd1OCtfV7cziNRYl03FO6MW_GO6v_0HTHdtuutP_UF8MfFTNcDhKam25xg778FBJLiXFsRWMPGFyD41IRN_tVq5-UUmM8s6a2pZFs9McrGRhn=w1200|https://lh3.googleusercontent.com/pw/AP1GczNSkoe3KTh6DiHZHXKnLdqqdxfLvmYz88ZN68okQW7MZnNHzmHkOgswwvoXehYgc7aFvqhMkvZMcRd1RwugNAZkL97qpeE6ZII4sl3VRvOJXYpC7yo_=w1200|https://lh3.googleusercontent.com/pw/AP1GczNWrM5w9NixY_unSGFTdOmorm4r7PCabl3S9xbk2pXyCZNXbkaod5sUnGmQgzW9Q3QGT1kQdbe9Bfjj-tOWxwgjIMp8I1RzdzNFEL_riuyhvYx5Fidp=w1200|https://lh3.googleusercontent.com/pw/AP1GczMQmK0qBYM7-6OtTsDKOWwntCy6MowAvYQIATT_qUOtPisXV0WOwzk968n98vVaSgqMuCuf9upq9b1Re9zY6hD0bEMyuy5OxBwwkzxN--l7YpkQFAa3=w1200|https://lh3.googleusercontent.com/pw/AP1GczP1s1er3AWYOdKKOL1vYRj0PVvIhvSps0OMqMc2g9f4qtsuWVNoNTe1MNCQ8uIeS6BdItMCfGGFRyVKt7ByjpFwT-WK50nNFiHHIv8hGubgxPB-WOK0=w1200|https://lh3.googleusercontent.com/pw/AP1GczNs_C1x_sfIlYE84xeijUrpotwvDYP_TRgCun_l3j3sqydpU2V9OgXd-VX4n9ChneIbTUvyfchQfUAYVM1ntLhRiSgrDNFOZ6a0fB8hIykUuMXMTqxg=w1200|https://lh3.googleusercontent.com/pw/AP1GczNi3LdEtVeaMHhBZqo7q_l8EXc2Tf_2o0Vh4B_DQpMLjQ0wYTtSSgGjOW3QZueqG5I917AVn1h6AfE4ggRDSImVdtba65WymhqEGt9SF17iufP63ceZ=w1200</t>
  </si>
  <si>
    <t>605</t>
  </si>
  <si>
    <t>Casa campestre en conjunto Parrots, Rivera</t>
  </si>
  <si>
    <t>Jacuzzi/Social</t>
  </si>
  <si>
    <t>https://photos.google.com/share/AF1QipNBYZl568W0BulMRyi7fIEbzszsOekhW5KhcdmOmU780fcukaiJvs-TqfwCXZ_7wg?key=aEhBLXFLVHBsbGlMaVZBQWhPTUJtQTBEeUpSdTR3</t>
  </si>
  <si>
    <t>Cuenta con BBQ, árboles frutales, amplias zonas verdes. El conjunto cuenta con salón social, piscina, polideportivo, vigilancia privada.</t>
  </si>
  <si>
    <t>https://lh3.googleusercontent.com/pw/AP1GczOKk_PDP3sBXFjpBzk3rAoaOSBEKyl4wEr_kGmIdyAaVtGcmI28WxzYzeBdNqlA0O9bHbPaHKmWwDDDpWm3aFC_cxMOR547lopN4yqOkX0pc7yAMPq7=w1200|https://lh3.googleusercontent.com/pw/AP1GczP2cJvFu57aosq-lN-0987wR5_DIEXZvVVwd4btdBDoj7-UaLGVqAh2taDabXRlZhFrISd_UFuNilD7KcWIRjlyol_W6RZfdeeiknVvFl8DtBWj5GQV=w1200|https://lh3.googleusercontent.com/pw/AP1GczMUPqVKo-TdY35Yq00QZgbZYk3qfJQRCiQYa7lTby9hFFH86nShb-JJhE4uNttxsYgP8SvcukToZLC97vkXe_6qxMgeECQ8Eumvj8KbpKlSuZc_vwZm=w1200|https://lh3.googleusercontent.com/pw/AP1GczM7BDGbMO1JLVybhF7zzEbTmAHma2usXbSwXPZCsKtYPB1fCsFY6was4D9QrlNcmKlviqioN0nCgNAFCRKa5xE9tA6KbUxZSU_6yzX2t9ijwJoBvxpu=w1200|https://lh3.googleusercontent.com/pw/AP1GczNJTFisjLQyi6BQBpl92zMoxqm7UqcoDBcNkhheXsRiNVomV08vyaQo2pY-rj-ialZp8B34ynKW5NxKZBGpOCKjUa66AKctL3ypZ5nuJc1YoZc_TEem=w1200|https://lh3.googleusercontent.com/pw/AP1GczNqqbo_ugOo45FXi3jUu6WbxmDd4xje0z6H9883aus7fd_Xcpchlzkh6-5Ch6Ubow64oxnHMpyXBrPGxpBKKemJalfbm7sPakU47VLeqacltob6yn-t=w1200|https://lh3.googleusercontent.com/pw/AP1GczNy8p4JAomImjkKi5vi8lLNdmCzzVFWK8ekIFixdtc2fBUrd6HIIs-Y90p_SleQRJ8OTa2OZYsgXGeECDX4poAsojdwplMp1z3L123tL6PZWc8Cwgi-=w1200|https://lh3.googleusercontent.com/pw/AP1GczNxuDUf0fYQDauZSkOkMJmTSGhBjnGi89_OfJdt-da6OCoXJceRlcD9lUgtvHiSozHRA8HQjPgB54XZLEPU0JQAWtVvz3CwbYqgUGscLely5N1hQhP0=w1200|https://lh3.googleusercontent.com/pw/AP1GczMBnEe0TNVpgcclTsKuK-8RFWUjS-k1gPfo_sSZD-u2d0WjsXFQTdRb_oKy6hba2EGQg4-tOlrkKnGAYuDvp7qACe_i30DnKMNkbqBnszlZ0AFgFuhD=w1200|https://lh3.googleusercontent.com/pw/AP1GczPiTN532H8OFvyp4CXMH5a5AkrDzAArA6n7J-BzTd8aTFCsMqw-keLyzZpGGj-QXMjRU6iDpGkanGvFzZLqphYPxxxBsdoQ2I-PAxQn5qehQug9wTib=w1200|https://lh3.googleusercontent.com/pw/AP1GczNAR7173bTIf-IDrlLBOnC4a4SXgNjNyNqfkf5yLyzauvgy-T_gEomuuVoYu7d5wb_tCjEApVyP1BviYWo-oQVIMs9FfMFg3Qr-QkQjXSrPIH3xZkDy=w1200|https://lh3.googleusercontent.com/pw/AP1GczNpdNFmwXLBXYrVfEPKoHpZFuhbI5W1ZzWipPzAg7LMJ5LnpBd6Iah7oxuVUvlonE2JwhCHwiLNCpG4iAORvkuBtHpT6x6YVSPfpFzJSvto6RvIzwc3=w1200|https://lh3.googleusercontent.com/pw/AP1GczPL2NOhod4HJJ7-vkpmOAhk0E_Fb_v7c2f6_zGyfjRAQXBdXPkqPzUuT4YJPsILMwep_r-_0GVE5tXgplp-d7CpBgLip-PKX9z52u0YdfOeEyyd66Gl=w1200|https://lh3.googleusercontent.com/pw/AP1GczO449eQAITLhj6ohVR60F-TkLXwV-gaM0slkXjcjk7ouDdT8u-wNn8kWhF08r4g-vcF53pdcpZyrN2ieedU5DxoBnotDLjxDSuozTUOYsnXfPT3ARsA=w1200|https://lh3.googleusercontent.com/pw/AP1GczNocwS39v0MIVlRidNzXwEx4hweS7P-lkNtIObqbhvfU8ZC8z9nRR_9zUHv1E8ybGJMb14u3DL9uSLjYWsBFKSva9SdpPMwyOPIiBJgPadmDbtqS46l=w1200|https://lh3.googleusercontent.com/pw/AP1GczMqAzm-oymTkntWknqtK4GVA7-jTkDgqHqb3WylWVYrh8n-a2MuDKVlyI8zH4GFTOJjO0nQ9cuxAVkAr0iK6kAtyL2oOT_MuZDTjusl-n4wXwf4c34H=w1200|https://lh3.googleusercontent.com/pw/AP1GczNGwgaaQvxtQoCGlAb_fpxDsvVLZ6pWJozpPqCq9lMmaEO-uWCyV_LdKDe6svKqiKi-wCTu8OvbHIun6EFQnAeIdH71-oBt3tKki-0qtlsct38sHYVD=w1200|https://lh3.googleusercontent.com/pw/AP1GczN3xZ7f3-eIf6DIPVn9tsry8EZGwWQ39M2OA8fzLV40XnseKCYsMUvBdbppW5rHJe06F8A-pHGb8KIYIYdSV1B02V3nUbd7yW6XzzuZzH4ipDKSpzGh=w1200|https://lh3.googleusercontent.com/pw/AP1GczMp75_y82fvJ1X2q2coCOPAkg2a2JwDpOqnQmQU52ZfIbvj5YiKz3B779QqEGFNBsRl56tnYCG_Y_7JLHdBNiVcSSM5cjpC-J_5TysgTCOEe6TXLQhI=w1200|https://lh3.googleusercontent.com/pw/AP1GczPOHZlbGvhadlfGQUO8bXJIFH6fkxgTD2RVDUaljon__FteYwCH1BSejRco9RFpyw-o8E6aTZ5RQr3THi5cADm4h4w3bkDRlJMwzCNWfimU6fbga4Pk=w1200|https://lh3.googleusercontent.com/pw/AP1GczMZA2L7Rq_jamHXR6booMqe6Ikf0_ITVG9BVQ6rEGfRkQSA8GWM9CGtNSMXLQiK2DAK4Kq_Dkm5LrHnfBdX-VfVicssqOYax9MG1XmPgSnC1pb4zSc-=w1200|https://lh3.googleusercontent.com/pw/AP1GczP45QdAbm914no__SdnxEBf2es06zxKTpfTlYDer-6yIE76A8I_4YdrH_6yGHddmJA6GJsj0aV-1snR1ByR0qs3872Ub4vo2ULbzm0ELYsccxzvpCDN=w1200|https://lh3.googleusercontent.com/pw/AP1GczP4XeAsybbM5Zd2a-tnEWZGR1cpncs3kot_-_TvpzaZwzErVLo8FUTomDPupV10TZDbgtg2zTQJIFX3saL5E6epF73WifpE6b1XSe1zNS1nHbdj4UpR=w1200|https://lh3.googleusercontent.com/pw/AP1GczNcz3AtmjDT1cKyKDT3sWBciL8D1FHW3XwK9OXIXk4rHawD7q8TxmZHW_sTfwEM9ZjvhwMxmQCcthXCR53k4WGXUuKEKX4nfrLVwQLqCL5ZTWQncYg1=w1200|https://lh3.googleusercontent.com/pw/AP1GczOhwxJD0sOuKj2MNgLkUZEEgsUyPrVVn4KSh0J2Eh1HXiFSxD0vRpsPBH_JZyuwb8iRqwfTwpbcFM2b5LzuoI0NU1hEv8RLgAuLmjy0u2_WmqcA17ck=w1200|https://lh3.googleusercontent.com/pw/AP1GczNgWZGyR9Y9DBA_FtzO-sxtIIE3npqJSWVXhpXf8mTCqMtj-yhALXHojKtQg3iZpAWvIpPA1Q55jh2PGR1emfkhxSlt_mCCjxbavshkR1nc1PmTtIYH=w1200|https://lh3.googleusercontent.com/pw/AP1GczPnQCPIEefcxCIuxyZVDqfrW9uerqfj5MAdlKceEHN2lmTLld4eSX3UuUYibpd89-x2jH5ls8c3UEQkSqqZjLoy_fnyGddLIwb1bCLT5aswJml-ZOOR=w1200|https://lh3.googleusercontent.com/pw/AP1GczM4POmXTJu53YZ1zKH8pNrlDM_Xl8xN8Mk73QU6JBjho02FPEexTYKziQC-a9dy-zkcMW15W2GpLG4CgMFLyNbsprojdfBnQN_DPGlRljE1ZXOV-bu9=w1200|https://lh3.googleusercontent.com/pw/AP1GczNfkSxq9t0wWMq2ulY-ak3aS5YkRqFghTf7ndjB89QviNIapOUPJVCvi1o6_wmOLPplJToZuHQuMmVSQeNc8xeIZpkBXlmnqsea-cSde8-n2Ut12QXw=w1200|https://lh3.googleusercontent.com/pw/AP1GczPhs9eA3HwWix3lUu72t9TYSiq82n0H9TCcgbyiTeZ9O9mT_NL323Bqtav2-sNDV_fQ5-HVw4RUpAfRSD3_ejqNky2fA31YbYkKM7muXLTpJcw3d3TM=w1200|https://lh3.googleusercontent.com/pw/AP1GczM4DK17TPP4oO-vEa8k6pYLdqFmEuKlSIEfYlQFw1UGNMwIWRdo66lO8gr9W7HJ8Y0yFW_t33o33rK_qFNiTwcRuZmu6Qg3LBuPHQMx1wheMcYdS5U2=w1200|https://lh3.googleusercontent.com/pw/AP1GczMnaXoxpm6uKCBKxHeIjoTMR0hpPRsJwFx5Po3Aapl7930gufJr8yxhskgKr86CYQ06L5i7b_Bgpk4iEexnFeSYzsth2GtVsXyVycR84jFMbXtvx9sO=w1200|https://lh3.googleusercontent.com/pw/AP1GczO3HQxSw7ruF8Jsm3oxwJFBqZZxyeXwoLHheKsmA6C0bLzS7OQeEviWL10tmq9MdFD71_xSP1BVzjH5RbCGFBbzLR2M2piLXePy6aH6SFQj_ffIpMQp=w1200|https://lh3.googleusercontent.com/pw/AP1GczOaMOZb72Hgx3z8LYtj5vTZghP3e5aHI9hS8qtfFDPz-VIwkyfq-4Cr3k2tQnoQdkejhCPVVu9tSqqeP3Xd5yza_MQY3DIu8rsnyn7AjuIgYuajO1ad=w1200|https://lh3.googleusercontent.com/pw/AP1GczP7R_XmWngDs9UpSQ3Sz6szy-q_xzZ-FF0abggfEUCYlUSW2aoXzQp9LKTgJPC0HUazQnIC9bylk2U7RDYDoPQQ3Zz7iIqkuiXt2IybVzDZJ0Shw_nz=w1200|https://lh3.googleusercontent.com/pw/AP1GczMVI6h3rFQERUlZentH5kGQHuogajfhXfRIBB9IKQa-5fEfy3fplwA6gn3IwO9-c9dmh43Gm0Fq3wCKeBv5SW6xkboWbU7IsuT9FwXJ5JTZ4EJrkKIG=w1200</t>
  </si>
  <si>
    <t>153</t>
  </si>
  <si>
    <t>https://photos.google.com/share/AF1QipM9WK3Vefu04P64VpfK89wpean8nsVzoaxkoHmLHbVrlKzOWyIhLGZdL7ELTVgwIg?key=ZFp5alhMZ0NpYXdiQVZQZk55b0hmaklZWG53QjhR</t>
  </si>
  <si>
    <t>Con Zona BBQ, zona de reunión, jacuzzi, zonas verdes, árboles frutales, horno de leña, pesebreras, aljibe y dos pozos de agua. Terreno listo para cultivar.  Ubicada vía principal de Rivera.</t>
  </si>
  <si>
    <t>https://lh3.googleusercontent.com/pw/AP1GczNK-aYd8_RYfV1vNmtsMMPwkO1uWI6XbIfT6vXS5PpWvlcEfDvuclFKP6uPYoOua2ZdtCchc_Z1d_wGn2omZnnbcnjmz89nwc2UCTQ08fdouwOzl_ZG=w1200|https://lh3.googleusercontent.com/pw/AP1GczNDGbhqaGIirf-ynfohNhFZacZ4dk5J1sxFdBSUDaE2VRINEMkUY8_ngqpkGm91wt5p8lkToa4uKsHwQ-3wbO0qhzz-RkJBVZS4xCNyTvRGJhUQKDJQ=w1200|https://lh3.googleusercontent.com/pw/AP1GczOoe4HZZSOi_EcsTIFa_tTv_yiUNVloCYoB5q26ZcrYvBpMmdShd1_EgZUl94zuJChRaaK_OmGGtstJsDU0VHsTc25aPcEU6-VCJ1zGBptEXJF9W_yW=w1200|https://lh3.googleusercontent.com/pw/AP1GczMYoZHmP9aI8LIBGP5v6h0GjTM2nBdJjMXmXdywdS8vMJCgMAHdeKalDPfmrav5Tqrm8Q0OiBRBkspHb5fGaUjBA2RDAji9_Ho63CTqnZ0zrIszxJCv=w1200|https://lh3.googleusercontent.com/pw/AP1GczO-A1FX0W0U6LoQ4SK65diJXx1vW5NmxMC-Ll6Px8Uu2Ew-BVeCN8cy0mTXQ0Ww4ysHOo9GRP3iffYspratTLFjWpC_cOPTMn04npjswFDT6HYCGpqc=w1200|https://lh3.googleusercontent.com/pw/AP1GczOafU1o77zgtu0j3baWS4lN5bFxHCu-rOZ5RTXfqNKT8GkRgauRLP54lD7nvzX6lhPxboJjTwtLuZwgraOiMh1qIhWUp0sPrj-YuBH-t5fcuM_hADG1=w1200|https://lh3.googleusercontent.com/pw/AP1GczMrpQDodnpe8O5LtuWx1GbPmytY7xbDQZDqHEnT6oH8p77VZCU4bIs6NT7to-JqlRWSX3wA7L_x97bKc1nMRXsLvB7_5H30iHm6HuiXEQvimv8NmoHF=w1200|https://lh3.googleusercontent.com/pw/AP1GczPWvR0aW1TsO9NYxqHU6qFE-SE82TSz85ifxVEImkUGKiVgOuRE9QaYfEHdPOiS8UPEMQyoNTPkDSOknB59s0p9ywyt3ZNIgqh7nQYQmbdmBkYJ22BY=w1200|https://lh3.googleusercontent.com/pw/AP1GczOz2Rd09MyaongKI-zj3Q9MaqEqD0Cx0O7L1cOXB1VPaURS_dSX9ll5PycQlrf7QilvcSzDMrPER4ll_YoG8wGOHYE9HCVPRNMogPx0smS_7kfW_Ohi=w1200</t>
  </si>
  <si>
    <t>839</t>
  </si>
  <si>
    <t>Lote campestre en vereda Los Medios</t>
  </si>
  <si>
    <t>https://photos.app.goo.gl/U9oiHuzLdw3BCKPH9</t>
  </si>
  <si>
    <t>https://lh3.googleusercontent.com/pw/AP1GczPI9mKLuowiZUuxbienglgLETCOd1lRJO1qOwelMg0q-rqt9tlVNQXIRzFcoaUEDiveqlmqVFeM_uIxSbAH1u6DMIlZPQgPzIzOhGRh8Lv79lMctXwp=w1200|https://lh3.googleusercontent.com/pw/AP1GczM6ME7XIaAKvEr38GXDzIegXdihN2DA8isl3Oj1BRlnfhmWadH1c6lTk1d3MgWgudFdtlSHeoSGl_mNbgcpIK1q1OxFNsuSRplnSERxzkTdEIw7d7c3=w1200|https://lh3.googleusercontent.com/pw/AP1GczNQXzc9WHEHSVTNGzaQHEAnkXTMXrYnDXF97vX3IE8Hk_OFYFgy_J-cZlowWO3jtiH9YThrE04YkchB1HSsp2cK_NdWkEfnIguyn5yjqFjbVM9rZibo=w1200|https://lh3.googleusercontent.com/pw/AP1GczNTqjlIcPqtDartPfUd72g_NOp6PrtOlQ2h9DJmrbTQYr_T2TknWCbMdtAJixMCYLyYg5ArYgB5J7X14z6eQl6ArNdD1w2NFx2oKITmSoD3t83v1781=w1200|https://lh3.googleusercontent.com/pw/AP1GczP63UmuaFfJkZD4A7a2TOcAkpkCIHOLjf1g3Xf08HjtJwprny2bgsP8JqOWBfoQZ4cOFuS_PdKmRAIgiJDrvUtbYtpg9V5EJRriZQinFvAWzosmxMut=w1200|https://lh3.googleusercontent.com/pw/AP1GczPdqf0xtTe0WIJlLRdOP6c28QYS8wfMMytVAw5F_goaq-5PKLNd__DZNsx9x9QtuMo1qttBJosrCJJluNbWHAHYP0jmOhgu2z93A25W-wcFcq16AS5e=w1200|https://lh3.googleusercontent.com/pw/AP1GczNoE--DGHOST8rnFf768BhJ5huUTD-BQnOoSzKrHN2k5ywZ1LsYXcqhqMiTlWkfD6mXjpzKvr9LKUueMvewY9M6MyNbtuLKsGPZArIdo8_qttdf_0yq=w1200|https://lh3.googleusercontent.com/pw/AP1GczP-uqbTpmMu6LKcu-YcKbdmApElXmX4S4JjsNLlLAWDptaQ69z7eH7_WWdMko52CyqVtVR5Au-nJCONDxOry_HrDYYOTv-_Jxwou7EZC9vTf3Wsdy-B=w1200|https://lh3.googleusercontent.com/pw/AP1GczMP_SLLYBTOqrAiFCMhhk9Z5XskGEmH6mHNg9pkRWZoBhSUpNcOGAzu6F8J0z9OLhvStrsgRoRVjxRvpOXJ_X4o5W_trCg8gTn6a93M7wzOad8W7Nyx=w1200|https://lh3.googleusercontent.com/pw/AP1GczMWtDTGJvWO_tBmVhVppkuA7wZzLqUhP5ME6vqHNa79GMk-7VSXSnaFFK9SRiaQ34n2y2bj4rhJVzUChCWOiq-87vpbU1ObYTn-HHtHOHFya_1a3kf7=w1200|https://lh3.googleusercontent.com/pw/AP1GczN6f2lxb7pJhXpAFRvJ7wTZSmM0FtxH41pEE_7m1nI-cGn2Szvy1uKKd0Zn-L9uqg3t8ULebL-UMYhdY9crUeAnROnXP4XCj2fPv6zv8Ruk1CasTDwS=w1200|https://lh3.googleusercontent.com/pw/AP1GczO_FHvzpvIw2VNWjbPKyPdOz8aJ0rT5E1gt_0ILFf2_V7vt97An4Ylp9sRDG-VcJjaCejYmm_eYcRKiv-04VYkX7L2PRkBquY6i1TyegzKbx-XGhh8K=w1200|https://lh3.googleusercontent.com/pw/AP1GczPF_XGN4u0HLSGSCHtcR7eEbicZ_aGG0Ldcsv1IbVlCmtiKLwwR4_rMhfZcL6zmQun70t56WRCHtoqr3IyOGBo-PXK22TD0eeEQvBgk897bSxTMgjoI=w1200|https://lh3.googleusercontent.com/pw/AP1GczOtO0gZmSSdSammDx_f5uwBRNxKRH0c2jFPxJXD5OHS7s4tcEszWNmK2WuAI4lcaUY5A1vSu-wd0C-jiX2lc9XAF2zfLx6uSoJvS1QnzGopqM71BBIY=w1200|https://lh3.googleusercontent.com/pw/AP1GczMLAzi5EpYXzre-dv45I5yBReaHrJ5TxLKwfY-nDe35JwZs1Kl0CnnIXobVnrjGFU2dfXf8BlWDXgK74bOiJb9L1jXsRm_IM6RQmtz1l8Rn3aokn04F=w1200|https://lh3.googleusercontent.com/pw/AP1GczNADRyX56X1gXAeGmXD1DjiSYqDUTEJaFo3qrU7ocdohgaOgvHCLI66lV4ziAqz6GMx9kw1f5fL5x0wMdWPXeeuvHiWaE3zG1duzi-caL1YbhNs4Ee4=w1200|https://lh3.googleusercontent.com/pw/AP1GczOwtNChQEicRgAWKyyUJjG5NXaRsGS8clEzfKw80QxyxXXMt3Smfl3n8N_tFEVfUh_kUzAmtp7Vo41gIXP0iibxTEUhy5l_-Ip0wRBF7UQezMe-GRK3=w1200|https://lh3.googleusercontent.com/pw/AP1GczObfyFdSpOyeNMEHpiv6_KI0ZvQ-Jsmc4C_slinfpoyebs3YfPJwFsqqAjyuGjrPtboeG_6XwQycLzk2aCXXrhQ955R6-qlMKUxTiItXzMftpHAgrHy=w1200|https://lh3.googleusercontent.com/pw/AP1GczMZikNzHhw_IlpkqLxt1XiyBLuJE0j7R3CJlA0fzbDQAmfREjXg0JNnt1Fl3-Oiu85s624S5QExm7dT6Ln2XYA1lffOE3LftWxY2-OHyw9SBR-946XX=w1200|https://lh3.googleusercontent.com/pw/AP1GczMQ125I52Pgh2htU6nudpPuucSAhuLGBvgkARYV9OlU1g9FF2-mCcL1WF4v21um0xgwjRetprMBisizok5oLFE5uUop-KaAM7TkPTMJfV9SFm04E8Ln=w1200|https://lh3.googleusercontent.com/pw/AP1GczONVx4lfe58av8G5vew8dwOvlE9gSqLPuoxbLmq3vG8AYWntEjx3fWXbh_Tr4OldCxToDjr46TauvOCgAr80leByiL9q4Iw3nBoD2Qv-0PY_SFNXdhn=w1200|https://lh3.googleusercontent.com/pw/AP1GczOJ7rxG8ODJ30ZD0Fc_h_xJX1ei8bZdgadMQGCLYHot9c0NuT_3ZC0e947UgLff7op6rAz5YTyYUamxhc-ft1D3fXBkq3KqhDEtXuH6djW4v3a0XeP-=w1200|https://lh3.googleusercontent.com/pw/AP1GczOsNozUtfMEfZeGfbjPVhsP4aMtpzXm7CEHbpQyC2kxX74_jjlP9z6AmGy729U9P6vv5dXUeApV0N53TV047P3UVIMUktSXaiOr8FyN6pjjDHxPqCQH=w1200|https://lh3.googleusercontent.com/pw/AP1GczN-dHZbDFgoTMpV8_DdKp1V6ICK35RUPJbKuuuCGKEGsZ5rjJt4clBh28XKZSoJTDXUDy5KnnHba8vClOwVVRcFVmoohhBxw4sA-CXiEzDf6nbsMbMI=w1200</t>
  </si>
  <si>
    <t>440</t>
  </si>
  <si>
    <t>Finca cafetera  - Acevedo - Huila</t>
  </si>
  <si>
    <t>Acevedo</t>
  </si>
  <si>
    <t>https://photos.app.goo.gl/Ytu55xhsKD1QXyvXA</t>
  </si>
  <si>
    <t>Finca cafetera con área de 6 Hectáreas. Carretera hasta la finca. Casa en Material que consta de: Sala, comedor, 3 habitaciones, cocina, baño. Servicio de Energía y Acueducto. Beneficiadero de café. Secadero. Huerta casera.</t>
  </si>
  <si>
    <t>A 20 minutos del municipio de Acevedo. Cuenta con 14 mil Árboles de café. 11 mil árboles de café primera producción. Cultivo de plátano y banano. El rio Acevedo pasa cerca</t>
  </si>
  <si>
    <t>https://lh3.googleusercontent.com/pw/AP1GczN0KK0-S7XMsnfGh5G6uOCgXjQBtfYiova-Jk1j6O-6cYlbvVjc56ao4qZ7qWxKAp2HmNk_6IpemvYOsxMKnNXy2mh4eDBqm9Du4WoPPcnJh74_Bz4O=w1200|https://lh3.googleusercontent.com/pw/AP1GczOKNqPR154_T0dz6-Hazr32dEa9Ys9xfaq1UM98TwDiiSgACtmhQmbIffO33zOSzhCfPT45YObLTbIw9-HQ42HoymdRQh8V3fAMTta9ovtSihNc2a2A=w1200|https://lh3.googleusercontent.com/pw/AP1GczNP623ceFKzCibGMYfMc08mPJb4mYBkM7a1LQgfPPbitWK4Vi9EW4gcHzcd2AyfAIzDRPcE4N-vvzcVf6cFyBrJ41j0QUJ9QjTDX45or5mzuYtepXgZ=w1200|https://lh3.googleusercontent.com/pw/AP1GczMhk5Wo_fOYwR7h2vS8BVwB6VPEcvSn1A2Pr2iwOD7A9VvR3xZwUMXIxyoHDb2i5ZCi056akoYNLLbuafOEwFqlKqFMiRFP37onjiKJgy-DkBIhBB4Z=w1200|https://lh3.googleusercontent.com/pw/AP1GczN-pVjp_wgkAnu-j8UkdRGDw4rH9lOZzySv4wFsf1te6fjHN9r9f-8EONFv4a22-CcTnjB_iPI88sFiqQKT9yFA2ChE_KfqsPtPGwvS8oKo1vl1rO9u=w1200|https://lh3.googleusercontent.com/pw/AP1GczOetUzuVXBoU-Zwa43_sTcPHIbw6EZxeOOSL5lD-WEo1-p-lTgFuOpndlSEJ3LdVP6o2AvhTEp4cnLlucRZ2neORl19zNXAm8lgAvjE7m-E2HEr6E07=w1200|https://lh3.googleusercontent.com/pw/AP1GczOr35WeB_jsnse8UMzX4D72DadpoMgB7DuFCo58hFA-KM36Fvo9A8hZK8gfGuipYoU-o19v1Oxp8LaqXmB2Y-BXDkVSTgjWrcaWRCU0R92JTbAtgc-s=w1200|https://lh3.googleusercontent.com/pw/AP1GczOvzfF66sTAvFdwbdHfTnzxirYOD76USheV90FNbilF4heqMp8XoOkZBAkl0mara-XZ6TXArQt85oJgvBm2AxbUn_8vVwIrwT74wbJQeQ-DCLDqwpd8=w1200|https://lh3.googleusercontent.com/pw/AP1GczOHEdF_NFjTwU_d0LekuHPVbuGQuuuRTp7Ad8sxRg2ZxWO1I8EANYaVib9q3lH44RAoQVRatMZ8YTj-XU-CtXmmQjF1voPB8ABl65w-vjkGhk_LfDAB=w1200</t>
  </si>
  <si>
    <t>308</t>
  </si>
  <si>
    <t>https://photos.app.goo.gl/3XfG2hwg8YG5k6Xf6</t>
  </si>
  <si>
    <t>Casa bien ubicada.. Con reja ante jardín y sobre vía amplia.</t>
  </si>
  <si>
    <t>27 - Valentina Renza, 33 - MARIA ALEJANDRA MONTES R., MARTHA CECILIA SANDOVAL</t>
  </si>
  <si>
    <t>https://lh3.googleusercontent.com/pw/AP1GczOUnyeZu708I0Zj4qaJtYPi4r2lzLsF1CVaZM9WwdeEK7LKI-tZqv1C6oHZfPLGRGlaNmtVAnhlcJYkl5ZraPeHZVx-McVeAwERk--0AtOgwkvB1nb0=w1200|https://lh3.googleusercontent.com/pw/AP1GczM3I7PI7QKjfHqc9h1_pyvCjMXGhA5TdMIsH1U8xOFuJD_OAtRge3yVz0JWK-IyO1hTZSDRPkAWXeH_95i_YYl5tbFDBIIho8JmW1uwEv0upWiJc4Sg=w1200|https://lh3.googleusercontent.com/pw/AP1GczPP9OqCHOuBF3JY3bSYQISUDl5iPFRdxrsGeIP863mgIIkywNMZuBjFOq8UbRm7dZdRHEFFdJpRBy3v-qW9xL6A4hBkSWK8a8dKur5CwhZQjxOX39dB=w1200|https://lh3.googleusercontent.com/pw/AP1GczMnkLuzeA3Jn7kdmbjnXg98MGeopAs-kz0NQQbREmR0uOAflVTk7gPQnHAcNRY30ttVAue31yHnQKHCQwWW7dENMola6boEUWudhTL9ZAoWoI-RlmwP=w1200|https://lh3.googleusercontent.com/pw/AP1GczM_Zzqfg4l0kFrvFoBouyUDDX-xgOECJAkotrzqqPuVKjDmjdKVvh7HQBDYVjvQLfYYme00JiJBg8bb9i7kf_6WLZh7Y_hHof55NyjjH6EK65IO0ZEp=w1200|https://lh3.googleusercontent.com/pw/AP1GczM6y4wWcyhl9J-yKew9zZyL1RShnO4JnQ6QjXFT3O95fqGuLq8E8JnriATkwkAvRP5ibjR2oEZBFL9M9uuHVBGIS9S3EIGNX0C8E093wCp9O4iyMs4m=w1200|https://lh3.googleusercontent.com/pw/AP1GczOQroqlphjISAgrbQ2HYYrkAVXZ-4qhKpLsbyn8FBzjDRbT0Y8kirpEjuMaM49KIglEAoxb8UOV7vIyEjifR28-8or9O-qEvCdsF6kZR6-HwQE_1B2b=w1200|https://lh3.googleusercontent.com/pw/AP1GczOMEGDrGQXVjSi6SWNi_BkPzpXHMkI4zfkecCyamw_hNRvmAKdySguOdy_o4ISfbFtLSnn75wY_MacSzeXFunuMvBLvYjtGd0EayrwbMppKzdp_xOc6=w1200|https://lh3.googleusercontent.com/pw/AP1GczO0mZ-JDVQNVZuU8dTJTFC0WrEVfFdjRGPzAYTKtOd_AUTrrXStasmt0plIyXDuGPSgy23MJTWJUZg1NSbdmVR7HZEpYI9U4qGJL9dxHJiICLeqLOiw=w1200|https://lh3.googleusercontent.com/pw/AP1GczP0T9ej06bU6Df3H7ZgfNLSal9AliqNmNz1Gfps2SVVSbOBp7wIUlP9HrV5DEc7P5y7jUJXn9LcPWiEswVgLJjLg9aK_ntchPB2tgGkmbw3CJjeT2gB=w1200|https://lh3.googleusercontent.com/pw/AP1GczPrDbIP8_zmLthvwWl2HI6ot1eonHUy7PvxKb2uSe9zMDNU6H15PgUgtGHjQ69hsg22cxKMJuiuZ6GiefNnhk3EDzyHUjDW5vB7KnfWtiGezpYW1Uvb=w1200|https://lh3.googleusercontent.com/pw/AP1GczM-rje57BZbuBOWvUKMa0k9eJzQnE7HMJPZKUqrwxdv2XVxNaWTu5J5DCyuEFfrVIDdWE8HfrO09j-8hpxN1b5J4MLt2kdutRXR7ZW1W7iMxtZQHvy-=w1200</t>
  </si>
  <si>
    <t>695</t>
  </si>
  <si>
    <t>Casa campestre - Tocaima - Cund</t>
  </si>
  <si>
    <t>https://photos.app.goo.gl/KnRzKZfAeUUk4PH5A</t>
  </si>
  <si>
    <t>Predio villa luz, área total 1300 mt2, área construida 190.0 mt2, vía pavimentada en buen estado, servicio de agua, luz, gas estructura para dos pisos, base viga de piso tiene 12 columnas 3 habitaciones halle sala - comedor cocina integral zona de ropas 3 baños tanque elevado de 1000 lts, parqueadero para 5 vehículos kiosco árboles frutales.</t>
  </si>
  <si>
    <t>Casa campestre independiente. A 10 minutos del pueblo</t>
  </si>
  <si>
    <t>https://lh3.googleusercontent.com/pw/AP1GczO_XW2c_-9ZLvIIQPn2HlPpspUD0Xp4lPDjyOMe-5OaniInX8oBY20FoCNpRV5ZlB_jlhKa54YuvLlwT0NDTfeOPneb_jPtF0gUaSvvbZ8XOI-ICXqD=w1200|https://lh3.googleusercontent.com/pw/AP1GczOz1eVUnVL8ohSysht3H5bj8wvZcoUVPLXolApxIJZazOAtPMcnZMNnKg36nADg-7CQBnS6g0X7iPXWjWmJTgyASuZiqhi99kwOLaYkBQIUsxi2nQkh=w1200|https://lh3.googleusercontent.com/pw/AP1GczPaurAGcZxq1qbyIXlQAow16KBiZsVabZ2e-mxdt9rBPGld1vy7L7V1SRcKNI2IPntQfrPLgPWlOWfomKFWSnHaGXnRRDv5nF8fyC9LlHZZqxgqN29T=w1200|https://lh3.googleusercontent.com/pw/AP1GczO-CMpqEdFJ0-4HU3RVv5du3r0jE7Ct-TSxvg7zpWHWx7IcDWhTP5hGL2iGjwBictFiIg_PGws7y_ZKTmTD0GmdcmGdjs0sBty1x6g0HvPInGBXrOPY=w1200|https://lh3.googleusercontent.com/pw/AP1GczPat6Q9WTAnqw7uAofDbHu3TZ4EzqlAgnthp78PltmIfbeybvUAVCtlWcT65cNqG2-FEfG5IhR3HSPOywB3GILYOMgpvAi5tLHsOA4s9zJGTomEechF=w1200|https://lh3.googleusercontent.com/pw/AP1GczMiC2vVB63sUAFy33rZkstODvRPcemqO4c83d5jRAmL_PMyhVn84CkMBzKmsBnMz6V_5IA_-BlOTlbfAw_kl7zIjgRJMMQWQHT8TN4T79HEN6rkJc3a=w1200|https://lh3.googleusercontent.com/pw/AP1GczO7KRWb9JIlBf-kYGf0sGAHwEhFDu8iLyzzTiaU4vZpWgO8kTPU_P7PJ1upymRJLJK0tIonWmZkhSI0RQaqPEiLYDnaS0XKV8GExpmlPv3GLbJfsDut=w1200|https://lh3.googleusercontent.com/pw/AP1GczMr4nTGVbqrdx8LVFE3SoAJQCnycV_2EoUIsSIny9N4qC7SyXYSk-hnWG9lS5fTKD41rjploIva_vJMoVQqUiUho3nHEQnJCq3wzpA955aqezO1uSsu=w1200|https://lh3.googleusercontent.com/pw/AP1GczNoXjUTX3nNU3X0EWXlH-Xu9X92pOBJSdrpm8Q1qsWaMOFqGxKGUZzfdyfSN4eOlARUD2XcLsZsakDF28enk4DFhEmcG97BgTnSHC7XBS67u-2SmsXM=w1200|https://lh3.googleusercontent.com/pw/AP1GczOgk6V5TCMqL4JOU05MEfuGZCiYpg5x0bJ7kolS5QMv4coTXk6a-2inntK1jo2JL6p0grv5PyyyirPbfT7xlZOGTdWBtHyJCddysOjPAtkwf0UPM1b1=w1200|https://lh3.googleusercontent.com/pw/AP1GczOAbV7Ws2PpTji2Dx7eJU55bcAgQb__ZF35UMVFqVX4UYcw_e8K1o35SiTHM_uD2Se4ekoDdhdjit_JJM6r-a1QWSYxRPo2b_qz_g9nRWG2C4Licxo5=w1200|https://lh3.googleusercontent.com/pw/AP1GczPEHM6hphsXDIH0FRrRXkzwyKREfusCFmShEScJ9N-ERCrJUC6dALh4Ltb4nGrVL2la-s3yf88mBjfuW722TyJwsPKbTAfzWMcGMYlfKNxUoe1Lkqyw=w1200|https://lh3.googleusercontent.com/pw/AP1GczNoegQGqdZiRyysgTd4IK9c6d3r7iYcdXGiFV1ffJf75k4Dtc4VGxzPGtI2zFvoaMYZCX2r3SCo62mK9PQt4UYSkA6m-HseKwKCYUpkgBPthZdDqTtR=w1200|https://lh3.googleusercontent.com/pw/AP1GczPP_cNqGN2zAqS2QrGccdS59bl1KZZiPrcDFhpWovXLktx1W7Hk1-ITb14CJKr8NPXzoFqGxiWkHoFPrJUlNFY0noMdjKeUgb-dwmsH9yC1GzY_gYmk=w1200|https://lh3.googleusercontent.com/pw/AP1GczOyYPYGjdMXq1RZs5QEoCjHn_zItL7zVvS10WLa9RjnPqum-Om-751opIADZw0ArFaKEVpvVsW1HATubJDMqyhpSl06nxwwpTU2PPkCqruSL_EwTZBO=w1200|https://lh3.googleusercontent.com/pw/AP1GczMzC-N3HkDvY4d0BOP9UYNBPCYqAtmMdUmFZQBjFlw-4u-Qb3bqmteHwF4KlzmgucEr0FZq7cpRnTDFoTuXNcCxHtAc4I6z7EFcM-OLEuQ_eqclZ0pQ=w1200|https://lh3.googleusercontent.com/pw/AP1GczMgp1x3Z6Y8Ekn4nsfvzjnYQJcYSHPobFUsYa8ROGVPnPeCGIGlZCc70kaAO772HJuC-cCf_jzkaH7_7MD5eq3KLKL7oXumfXoEQfjCtnPcEXQxAFHs=w1200|https://lh3.googleusercontent.com/pw/AP1GczMxwe4xy5WS6cmrIzYBsJZUMZDSuTBDRWvdcLDONgMS7ISCuclqyIbOo3mAygf-FIExwuN6Kw_P3Orc8PMjxMvaWaSI_bHDq5_HYpvWPB4hiuLo08Ph=w1200|https://lh3.googleusercontent.com/pw/AP1GczMBVVqY8FkK4iAU3AHk-JZlAULt8BcK26e-BYZGB_BjrQwl0Qz4vAx8zUp2p0BxtgfnFcvXFEyuvoF6mew1Rpj7_fVwoW6kAY5tI15CBDDWHbvKJh4i=w1200</t>
  </si>
  <si>
    <t>560</t>
  </si>
  <si>
    <t>Casa en barrio Manzanares</t>
  </si>
  <si>
    <t>https://photos.google.com/share/AF1QipNEpFEP1oRCUi8AR4dtRsQepqsNvK-5RZKzI22VnP9hOBzzogOWr2XKZcJ5lLHA0g?key=U1g1M2pySy1HZ1ZBM0ZBV0ZwY1hmbnU3TVpoY2NR</t>
  </si>
  <si>
    <t>Cuenta con estudio, sala de TV, balcón, terraza.</t>
  </si>
  <si>
    <t>https://lh3.googleusercontent.com/pw/AP1GczNQoquejrZ0qsNwl11Hb9XrH5yTlMiLeIWKEV8iVgJdbjesqv6SR542gAAb2OQ9tgCmX9B66kO60yVNlyDsF6NW9PCWyF7679YoRvq5R0BCykc63xvW=w1200|https://lh3.googleusercontent.com/pw/AP1GczNo4vORsKlvoYWUXQ4B12PJeWUn85djdBmIhddgV-PlKy1JH_6pxJ8jxEsfbYcKhKJI-LW_laXcNkBh3oflpQJVAsaUMSKzfppGREWfsR9zuKmKd4u4=w1200|https://lh3.googleusercontent.com/pw/AP1GczNq4S7QvU0mXxozn8LUHDPpaM7fjMTgmB5XPCdDQWvjX6NMR_Lb3ExMy8j5wDbP_gsztnj3NKFa4WLEZOwUm_cjcz8dTxrsvBz6QCUbwuCFFFlDLIDf=w1200|https://lh3.googleusercontent.com/pw/AP1GczOp6URPxo7hTpz_JI4I_j4lxyoAyGpR6e3H9D2O5uXi290A-wC7dwPxhbLS8BMezF-UKmsUZQh-oh_iZsGZCAHcAEzOX3JQkWR2xvQoMHYtpFORrUYX=w1200|https://lh3.googleusercontent.com/pw/AP1GczPDFYw7a0tisxFCNzEMJPCwfp_ebw1_M7ihefMMzu1R4tZq7JgUBph963dRNDwt04U4yPJHqjHoUSfHhUEIg4Gl4RE4WEq1j2x8LLX9d1yU2aj_CHZU=w1200|https://lh3.googleusercontent.com/pw/AP1GczMD6JaDMlcw8FsUk8qOyboQKVfis6Hp1oulm60YjuVbjAbZD-MGw0rd3MSmz-KT0Ad8JqFQl79DfeRCEcYdowbGJd-4i83onLUi_m6nbe97lPnAxJ7M=w1200|https://lh3.googleusercontent.com/pw/AP1GczNltMXLjdaT2S-2DD2bYb_unQF3DhIOwLudXPXArEosMC2eB0RItmzNXiqmcTOJG478ChA0khWnqmzHdQ3NXs58-yp99sXWSv_lT5MMj291j-EnENFW=w1200|https://lh3.googleusercontent.com/pw/AP1GczM6ftnJBTT003DGuigxDaGUc9LFgnEMeqk-8-uHAlxRmGaANQOxmlCJSXw8QGjnUtU6T--el07nWXzwGboK3uQvUCFaZTmLIZyymNWhO2Qy8TcjHqUG=w1200|https://lh3.googleusercontent.com/pw/AP1GczPAxI7LWDRPsOehGP7gaz3j1F0ioeaBHIxsmJpz5uTBBbBXPCUj1ZMufsPoZfWvTCmMtEKUme3c1nSO2gajxtbSBURKU0Jtq0qnq1KZ9HCxMGCz1Gr-=w1200|https://lh3.googleusercontent.com/pw/AP1GczMNACl1s53sgm56PMC-QZiZJqHTMXXO2zayou5kVbpT1TLdiCaTdE9xU6elMMXbbJ3QCD5B_6tKKsQ30H2sixYxnAC3Z6XCt61x7O6XBObBS8iz4PPZ=w1200|https://lh3.googleusercontent.com/pw/AP1GczPZzjqGq1r3geRIOFrz22Qg2k9-zrY-3hvuXp7AGvAZ6RMu1JozYAhtoJhO5URuli4C0IjKTjPYGkQhyLhwwuWZ_vlMlaGRSuzVYIrVlzqGt9hrYPk5=w1200|https://lh3.googleusercontent.com/pw/AP1GczNJ8NNAM1LwFdOjDRQXSTUh4E7RYuzpZZeiv9yDDJ0aIRYx1DoI4JQxx7M0SW_vsV40C_2yrCsflTKjhbxleFd9Pfn_w75bsBhgE4YRThBTpMrKpGz4=w1200|https://lh3.googleusercontent.com/pw/AP1GczNPl8dWzDhz4SfS1kf0WztziudFLL7nATaDaNTS83gtKA-MZ9rxHl0oAmhYfhdUDc4ZLlA3vHcbRg6TvGlWx9LsMBTpbKr-AAjozg6SuZG71LnmJGUt=w1200|https://lh3.googleusercontent.com/pw/AP1GczOZVV0l1FVd6bvOLoiGs-rwxtVoZv7ys3mLXD8uFUGH1u-MQHJbaXAZXych4DeUD_GHUw5_qTp-8_em0QqnBkT70x27h_DenLmaBWxtC3GxLhGck311=w1200|https://lh3.googleusercontent.com/pw/AP1GczNM_xLHQg8zMlulK--oRvBssVGIWOgbe9F0G2wZWyCo7riVgE-n1VqTmXZbstAFGMbR-95761kPmDCd20Y5Q083zuq8z2yjhGFM9LA9wleJaapNaqNN=w1200|https://lh3.googleusercontent.com/pw/AP1GczMUJNR9AtiAoZD0EBn3h2PBWSWeLz0W8i-PXxXpTOS1E3TfB7Si2AM6CTEi0-CCxfPKP3kccwKVJmS5G3oHaaXMT-zW7xTCF3KxtCpucMh9_K8Q4nMX=w1200</t>
  </si>
  <si>
    <t>397</t>
  </si>
  <si>
    <t>Casa campestre en La Ulloa</t>
  </si>
  <si>
    <t>https://photos.app.goo.gl/fCUjtWstEHSnQnfFA</t>
  </si>
  <si>
    <t>Material constructivo la guadua, piso en cerámica y tableta roja, carpinteria metálica y madera.</t>
  </si>
  <si>
    <t>Ubicada a 300 ml de la vía principal.</t>
  </si>
  <si>
    <t>https://lh3.googleusercontent.com/pw/AP1GczPlEkJhZAWZoglGe__Nn_CX3N2PdNlNmm7p_LFvUdOCnkxVJD04dO7S9Ur0RdfQff4PxCdUnlIawxg2_U1SiOYTg0gQQ0JJtHLuL9VB3eOmgTEqJTP_=w1200|https://lh3.googleusercontent.com/pw/AP1GczNGVKVH1-oYUeOVCXj0mOrEPYFX3owX4Pjir3kch6dubqfoeP5r18SyBPB1VcbUQ71tqOVwqupJsYjWTWsF4M0c952z6_tnuDGuswx4r8wnmBGNXIOj=w1200|https://lh3.googleusercontent.com/pw/AP1GczPcZsboXil5711APhcr851ftjvdT7TSoA0F4XMhj7WqZi3YZK52dY_CpfgqeJ9kWdcLW_xJVwzhB_KyYT20v5W4ZBSy6fb23gBecut-lC-2niJohK9v=w1200|https://lh3.googleusercontent.com/pw/AP1GczPtElNvTnm9l2Q0JLSFjIQzfFFbcWe-roejgHm75U33ctsLFec7Hl9y3aMuPgdt1mSsQSEZHIsfHJyl0OMB_8QDZxCa7oDjR-4J9vBMlbYB2EneKKby=w1200|https://lh3.googleusercontent.com/pw/AP1GczO-XfzXnZYLAvM7w5CPjq2S4QKjEUWuvOrcepokntpWWanWBguV-rcP2OoD8hZO9WRSbqWAnvYw2J57DUHCWQs_dnz7ihTj31dIY-Hjf8l6hkLNLMy7=w1200|https://lh3.googleusercontent.com/pw/AP1GczMb4_CYFQIvDsjroELgSjBGCIdARAwmRyeRxsvPtrhvt-iy3CPoaoUaIaQF5QDoHyLOH3jceVWvva-ftD44baZrwZaRigCeMaG99jnpMd81sKT__2Vb=w1200|https://lh3.googleusercontent.com/pw/AP1GczOwqHM4qKKPU0NpGikynGqmrYK43YT8FxXvYtiQ1OBt0NgLZ4klw3VqNx484p0yhPF4DSXSEvYgIgGmQnv35r6l9JyChYbEPRaCBHx_3GNwzkghPlaN=w1200|https://lh3.googleusercontent.com/pw/AP1GczNWFFSOawH6imJ8IiQLoTct4B6otJjx7RKl9pWjL2_5v_CEw7SKslRtSmpE9BqB_uemZKpzOJC6byHGsZLMrfzhwEsEBwFl56nQbvzTGP3W767CTGWm=w1200|https://lh3.googleusercontent.com/pw/AP1GczMDWeSC1OzjarmX_kuOqYXQZzIFxjIGYtP78GkQMZT0hVHWdW-I1ZRqdFJB71FWJaD9N2c5ASLAxZ0Mr8jm1AkXTBtp81rvYaIqnBf4ljw7jB1QllR3=w1200|https://lh3.googleusercontent.com/pw/AP1GczMUHgm65RmAgcBGV0f4quygGNNe8cmqqt_5XpDh9RYV2UPYtZleWoxTnHPhaSaQebmIDsKXQ7F5FmPQgeFJ60FXMYWquHXCdjiPoXXEqLPRzo_NTv3B=w1200|https://lh3.googleusercontent.com/pw/AP1GczMNBrweJFXeac-utX2wSQ9DA5Kli3ZUbDrqHSUDYs09VDRdbyhyHfkkd-J5KiqBnW_nRekWo84UJh2TxF8YnJBrOfMXwlPRoIIwRJuffXxJueWCZfHl=w1200</t>
  </si>
  <si>
    <t xml:space="preserve">Finca arrocera -  El Juncal </t>
  </si>
  <si>
    <t>El Juncal</t>
  </si>
  <si>
    <t>https://photos.app.goo.gl/9NMMQpnA1siP9d3o9</t>
  </si>
  <si>
    <t>Cuenta con: Agua. Energía. Casa Distribución: 2 habitaciones, baño, cocina, zona de lavandería. Area: 20.000m².</t>
  </si>
  <si>
    <t>El terreno es adecuado para el cultivo de arroz. Cuenta con buen agua.</t>
  </si>
  <si>
    <t>https://lh3.googleusercontent.com/pw/AP1GczMFJm_rregBBWAYg_6C-3AMp7h4Sc_dmZEgCErJwMbz7wyJoE0LG9HOlJ7KiYf271KMOlVgxIBDjNShI_o-EiHzn4ApyqNHXu4qOdng7-5yGYUbIGgF=w1200|https://lh3.googleusercontent.com/pw/AP1GczOvl2kA0MMw2YHRWKVOgzCD9qrOuLVHEZV_Zp8eFERUOKI2k2ZjoMrUZrJo0Cyi_4yDq9DLWcYFoN0CjFIiFP6nDM6vLGyJERB932-VsFkME2zTeRA4=w1200|https://lh3.googleusercontent.com/pw/AP1GczMHEuRPM-7x1FFR0e0pQVvZCNLNgX3LfFAiKIjzafYX9l-zsu7LEMiF-8Y9iFiIa3OYloWr1gq8atXBKHT936ZRN9J55SpjMZ-9FphYbPQSy0harAIC=w1200|https://lh3.googleusercontent.com/pw/AP1GczPF3tEuCKZQS-kVy9BOTAUtIGLLNe5jI84c_YvdmQ0j5roxR0KkPoC7Y7bpjhwhNhnPPE6TkgM5guxOkSHJTZp6zcWKYf02972oF2zl5rY-z8oZh2wO=w1200|https://lh3.googleusercontent.com/pw/AP1GczPvU1Tb4q2dRJEQV_If6d6-IOerP_6CcT7GH9D-XzW5aT2aOMBHZq16XDNvYTwcuP0n8ChDYykoCLyeKrQOT5tCGVJKTX4zSW_MHMoFyG83ZXFlr-Jq=w1200|https://lh3.googleusercontent.com/pw/AP1GczPCgmOycJpYJWxgLQR5iV6fZFY_mo4fmzlco0ZGt1nZKVPCCjXQIRnSeAwjC4WNZw6vTejx5S82rU-hf5HulemUCdzZQwaIM4WkEYmE-jbMQUrjVhwF=w1200|https://lh3.googleusercontent.com/pw/AP1GczNCKNugHnQjk_Ngxr0yuBbZk_FFMQo_TVR56_1mk6ewOXIH9KrHzBwEExsgkmP6oXZE68o_htUIht8Yn7W-A3GSQ25faEu7LyDMOW5E_6HsCuoaIPRY=w1200|https://lh3.googleusercontent.com/pw/AP1GczMEx3dodQqa4gNCponHMA2_BY6fEvefnksjOOAcyKI-HhJWfH-AaIniC8CEwqHwe3tOcVpVCnq7sk_-CCoYb3eYJsSM_KUEv99aq6vQ5eMt5yWatuXK=w1200</t>
  </si>
  <si>
    <t>426</t>
  </si>
  <si>
    <t>https://photos.app.goo.gl/un7tmg3uPkrvrHgF7</t>
  </si>
  <si>
    <t>Calle 6 # 17 - 22</t>
  </si>
  <si>
    <t>19 - PRUEBA v, 20 - SAMADHI RODRIGUEZ, VITOR EDUARDO ANDRADE, 42 - VITOR EDUARDO ANDRADE, YANITH PARAMO QUINTERO, 42 - VICTOR EDUARDO ANDRADE, 46 - YANITH PARAMO QUINTERO</t>
  </si>
  <si>
    <t>https://lh3.googleusercontent.com/pw/AP1GczNZ6jCZmRslNexbbGCSljz6cBmSwM_LUp7IVBF_iTf5UV9mVt75qIe_vIA10ivkBBm1JtIxDDO_Hwo89sLoEAxTifi1uiUM71rUDHsMqmZGBJ4Rk-4V=w1200|https://lh3.googleusercontent.com/pw/AP1GczMjaMTEVlqgHOd3dtRVHKVIpA8vaB46TtLu3lnWv3Eoc6TIK4Jdx6tgLcC3rpDJ9KIIV-QjaJOzWh3BY8kxJLKjIVpdgSUiYKV_yh2tyU637DYgjEYH=w1200|https://lh3.googleusercontent.com/pw/AP1GczMueo_7YtvUt9GCLE7is4IU8AXQlJIhLSLBja-QcpVi-TFgI6VYGAAqsfmfLhl-LIU2oDRZMrtdiq4P1X6VnMZ4k19dc7Z9XsH341nn09IBkbHmzJDb=w1200|https://lh3.googleusercontent.com/pw/AP1GczPhFpics1Q3-h8STuqbeheD8CRqPvczE03tMIx7E-OWz7FD1bi2eO1OiwTowdMOFViW4A6Bz8Ws8r6LDyHrJD84KCuLniKKwdXY_BEO1RpEybaids2c=w1200|https://lh3.googleusercontent.com/pw/AP1GczNKqtx3pOQMFAUiMtGixk0WAl-_1_AJwqB0qwfn26NT1pMztt0p6d9U93MzCDucQrnNf5spepiWDOneWF9sZmRj9lodl_4HdrUhRPFGRBpim96KyfIm=w1200|https://lh3.googleusercontent.com/pw/AP1GczNd2Vz0Y_gIBQb0FV7--J_R1Ko-ieKagrSIF3NLQdnu79MUNK5HC8WFtYHXJfyiarA1_ub5wRC762c8P0-QmvxP5ywklBgD7T6MNWZdH8mEYyL0Ilf5=w1200|https://lh3.googleusercontent.com/pw/AP1GczOSDYkqu7x5oRdTZ4yM8-SvgX36cNGtJVmSKh1VMLi2nuXDdlW_ayP2dhr5MnmaPmPu1O6tXI36jMXToEf5-ca5Oj5ulBO8LXin5edhAUANz7IvFr4r=w1200|https://lh3.googleusercontent.com/pw/AP1GczM5ZHiSj3KgBG0r-QSVF02ZZvbS03j-CAclcfgSLeFZO8ZQaKwqcITXrTnTWKY0nbWyeP160cntpXfo_PhU3wE-HXIFqP29CuzMX9DWM6gxnGTkRUiG=w1200|https://lh3.googleusercontent.com/pw/AP1GczP1zPglT85-dFQfmKkKqhquTnps3CEda5LJnhCZiF7al1nHoy_cKWiHe3-a9p-NgrNbtAsm8dHdpZTmvhqgCFsAtZ0wdzT9qLOjo8fmnmIotdhpyefF=w1200|https://lh3.googleusercontent.com/pw/AP1GczNhKZEv3s_KhEGwWGsXP_0jT72eEVIkTIwbp6IOMJRFKI2vu8zQUwyWn81CPMxtfoj5EhEk_0rgXWPHNeKKXAOONqRsEAKegcQoui8Oec29rIfeqgOq=w1200|https://lh3.googleusercontent.com/pw/AP1GczP09tYXSJZO02n5E0GcfywiQvoIKIkeFmBxB_ZA7q2AeZ67j2qMTaZOvX7QrWUQffGd4Q-vcIfLUpX8x8YxYLI3UnDDyq9TIF3vHx-OKzi-B8z1PjK_=w1200|https://lh3.googleusercontent.com/pw/AP1GczM8pMSR9pAE0G1jglx5CaSYEBjvA6m1kTqhZoAUEdkA1nLOQU0HwcxEqH6t6Woogtglu53uMZDmxs6kHHY-SFPGUfTmGCunoDtQLOzXtOWuJqUNCn_z=w1200|https://lh3.googleusercontent.com/pw/AP1GczMCAhaAaxMRsEmrbGS47gc24ei_cbACQ-LOoNMp9_pX5lGGXSLfpI3ltKHwiY0FMEqtqsXAFDs389lWAOB-H_OQs1ivK1Mx2ZXcKnIWfVuLXCrZ8C6g=w1200|https://lh3.googleusercontent.com/pw/AP1GczMEQrzg4PDvGjgTvfsaUwM4QT11CDpGYDj_SUzyS0SkpnjYlPbEFKiWr4wYQcSQnlIPmiP3a0n0tpueBLI6AvEtzH8fJ3qOOOJazYTOCGA1Z1Ga4noW=w1200|https://lh3.googleusercontent.com/pw/AP1GczPJ7FIZyLCrFPvlaRwJhNR9Y-de-TQIRyTJZ7aYHkNuHTlheijBWXpPZ2_N98Gp17U88FtLttD4zjI9e30jmxu6UrYpT45xW7Sz7t34s93EnLkMgMZe=w1200|https://lh3.googleusercontent.com/pw/AP1GczMdjxT-Yq-FcZ-E-IGRktgxiIQ30oAqus11HIVIg7bDdZgfzqkg8-QVsnBJOAZBMEi3nMSdce90hCeLJLTzaII7U1YDgqlbH_FAzBr_r-Mj3oOZnKDM=w1200|https://lh3.googleusercontent.com/pw/AP1GczOGbfRqjWu6_ilFzVDSmuF7vCNu7kODitnRp_m7riRA3Q9at1nLmBxAIkFdOcuc9DqvDzoEKgI4rnCR3tn4kUUV8Q91eHSdXpJzvR7zNOElLoFLK1SX=w1200|https://lh3.googleusercontent.com/pw/AP1GczPnDi8NmRotUorqmWxUAgmQ3ldHD2dVZAgNqSE_ZgQRQ0z7BEcdUIpHeYFbxaS4SpnwH5aGA32AywISohYgNiZIWIg6Rons_ao0CMkPFII3G1MJ2i1z=w1200|https://lh3.googleusercontent.com/pw/AP1GczPJeFzqJz8kXeVWL8S4ti7ZWON9lXklfJNRxny9Jg00wUtCaZWteGjiplOHsjrJQ_54Zue2kizgRTAXxiF7STR4QIwsICts5V_aytq7QeN9l_lmcMbV=w1200|https://lh3.googleusercontent.com/pw/AP1GczMdHahsjn-YVRckPDx5BEdFCKNb1WP45CLymT1vyxTL6uv8gWLaUoDAGnTuli95C3TnOVgqRqnsyva8SX9Xa2e1AQpli76asheQo8Cj3cNQ7o1XX_qb=w1200|https://lh3.googleusercontent.com/pw/AP1GczOx_ANg8a4mQM3zDaz_ovamUBsqBRRabpon4rQMfRo9eWNM5PRuFdRHUvMzKpU36A4suepac4-T4dv1-RS-7Fts8j88nynAkCHLIvVX7yE08YB9bzoT=w1200|https://lh3.googleusercontent.com/pw/AP1GczPF0AsVz6xKSvanxqLlQnAuhkC45r_kRvHqBB87_rXroRXhm4k9zqrKq0a7gscs7Jk8dpYTf6fV4jp0Mu7qOvJjO1kNDiqaL6WhUNPf7zpXD9kFEDSD=w1200|https://lh3.googleusercontent.com/pw/AP1GczOBwbdEGd9JBqYJOWZ7dUPEkksmJwvmauyCqPxvSgIOiuV-Rvw1V8klwvX5D1QuWTZmJccf62zIe4bwuSPzguCJNOFQ49Z6EtRZd_WdoxDM7MLhLiIc=w1200|https://lh3.googleusercontent.com/pw/AP1GczPc-6mF8Ekg9VIOifJhbaOizzTbP9CIzaoY6i2pGFlWRhRFbP2_2iPvzKdMKXKVUAefjz5i1qtCsy4sgdmamvKokAL560FJSupmkRT4MwNgwlKUVHsR=w1200|https://lh3.googleusercontent.com/pw/AP1GczN9sIbgt9RAGbO7aBAvkS7yjp3Aw0CY3Ei01_DBrDt6FDAgrtWb1qWpKEzwG5ccBxwitpXhvvSGwms5xiIvxF6DtlziPmEW2F-Zn_JuMS-4Vs9-0rM4=w1200|https://lh3.googleusercontent.com/pw/AP1GczMnXjvUkQr_rsHc2dHBZjPU1YW7BjNBKtZR2GrO169bMKwRouW-qfeSrPdN5UI0tQ7VUuzW7Cb5PM0o6bNQ5mA2f979rzPV82_e45drYQO1amqJNccO=w1200</t>
  </si>
  <si>
    <t>816</t>
  </si>
  <si>
    <t>Casa en conjunto Residencial Terranova - Pitalito</t>
  </si>
  <si>
    <t>Conjunto Residencial Terranova</t>
  </si>
  <si>
    <t>https://photos.app.goo.gl/4MEtp4jzgwQ22gkt9</t>
  </si>
  <si>
    <t>La casa en conjunto se distribuye así: 3 habitaciones con closet. 2 baños (Social y privado). Sala Comedor. Cocina integral. Patio de ropas. Parqueadero privado. 2 zonas para adecuar a su gusto. Estrato 4.  Area:107.52 m².</t>
  </si>
  <si>
    <t>Zonas comunes: (piscina, salón social, parque infantil, zonas de mascota, gimnasio, zona de lavandería, senderos ecológicos, parqueaderos visitantes, vigilancia y portería 24/7).</t>
  </si>
  <si>
    <t>https://lh3.googleusercontent.com/pw/AP1GczPyt9fhe2HESJdRqgj1aTuRvBMBJI2bAJMbDvpKq3DaTFG0Mqj9jfITfpmJJJ-H9ZE_IsVoTSpt2LpZFbdTjAtyt_op19U39zAGmxJWbv_1AQQsuXZs=w1200|https://lh3.googleusercontent.com/pw/AP1GczOaWMgYL9nOV-__3Z0SnYLS27nDRyWGQZJMn7QYhl824fH0Dsd5SpmFWcbLghtOLHacs5cmtO--2tXtb_-ZmjSEmoqs_qnPdYAqLJ0ocI3nJJJdQheI=w1200|https://lh3.googleusercontent.com/pw/AP1GczOU1xIEtD8BQOBiPWBuXjQSg8vLUjHY33lYhp413Sk44FpCrPrjEawN0DB5_NGbzm3yNnxq49GzajbzRWa2ARepUTq5t-Vd0KgbTLZtMzNmidBU7EPQ=w1200|https://lh3.googleusercontent.com/pw/AP1GczOGRTpIrZLnoH4EJeUBqj42tazpMIjlId5N56k-p3QNS-GalquXrruA_qPy_yGkiDpZdNDx4Ehs_ALK1sQmNaeSBjYdyBRW2Ou8G1U8WzxpaJvrkjnL=w1200|https://lh3.googleusercontent.com/pw/AP1GczOUI88qGla7RrLZL-PnXnv2-tDKXLOY9IhAG_T8dmdUVz9ithdKibaSyWX1i1mKD5owx7ldu5Eu9SViUVEC5Tb8k4T6QWtMkagJb0z8Opa0Fy2KtaIE=w1200|https://lh3.googleusercontent.com/pw/AP1GczM_T7WtPBg8-1BG3VXdy_AkuVehCeCxvBNMoeFYdrcYMwPQb-U5V2oBZAe5r93Nh5QTABmbDgtNc5QFmdfZVEfmfFOQb1ux92T7h7HX615z0JWSxd4s=w1200|https://lh3.googleusercontent.com/pw/AP1GczO-hkCzPc-eYvdDhkj6cCmztvs0K1G3TpNH8-YScw5r84C8wiJB6zuGTPxMqJbmKih2OLQ1MqBrOvy75jORRftImAM9rf68paT5cx18YCulORShX7EY=w1200|https://lh3.googleusercontent.com/pw/AP1GczOpCAaAgrq2okJWhqW-GaBy0VGGL4GiuYgiW-u615-HG2lIad2OhLkRQ2JrY-uMIy6x4coOE4gnv0L5jIcISp8b7wYgW4ZEPDEBzu5OmrOrCjpwbtFh=w1200|https://lh3.googleusercontent.com/pw/AP1GczPjICk-9KrBDzTWgeN5j7NAkBfIbe6z1IKRrNW039J5hgpN70pIpyJsvJrPH0gPsmETThHpfpda3KnjKivmcX8OMctKY7iiQksndD_MqZHo8TZ_-1Kw=w1200|https://lh3.googleusercontent.com/pw/AP1GczMwnQt3rNE_8wI8qER-CZuvuhlctMNvVqJ2yOeA0SVsKGXkFKOROP22qIBcvG_a-W2qT1Ujzn46TY1aIMDPNA2115gDxKnyApJSOX1FfDjZ-2lE11HV=w1200|https://lh3.googleusercontent.com/pw/AP1GczNWIVLISqQUasBrvVf02gujn7fWTVN_EGQboAdbcl9Vpd6OF46-6V1GTmL8CRcy2w6YIr8sRdrnS-n4HEuggUrbaC8ozUm_O89XI_u2YCN0yTbv7vUM=w1200|https://lh3.googleusercontent.com/pw/AP1GczPXr-v2mB-48XTxs5PrcjIxsiZyVInqxzk8gP4erAB9LWPH4quPeAI0M9lbRLYq01E8C5Y8H_3ti4xv1KzX3xChFnhBxrFkNgKvccrfo_GQvd5IMo_W=w1200|https://lh3.googleusercontent.com/pw/AP1GczNnexxyQXNMRcqeTYgOiQKFiLNKMGqgM1Pqu0mXKZav27nfwpTyJPs8JfPrzZ54PYa4cEW_j6dmZRvst343E6gOoEM5-aucuJI4a42uVXW2-BRcyCNP=w1200</t>
  </si>
  <si>
    <t>815</t>
  </si>
  <si>
    <t>Finca cafetera - La Plata - Huila</t>
  </si>
  <si>
    <t>https://photos.app.goo.gl/mYoAuthzWF9UmPrF7</t>
  </si>
  <si>
    <t>Finca ubicada en la Vereda Alto Retiro.  Área de 14 Hectáreas. Agua propia para el consumo. Cultivos de Café. Rastrojos para cultivos de pan coger.</t>
  </si>
  <si>
    <t>Carretera hasta la finca. servicio de energía. Casa de dos Plantas en madera. Beneficiadero de café. 10.000 plantas de café para trasplantar.</t>
  </si>
  <si>
    <t>https://lh3.googleusercontent.com/pw/AP1GczNxoUh5UdhkFSlcd3CDvAj1qBJHoglnArC1TdIVfDLm7dgOE9WFT_D50a9PC-WFOOV1LjlQsAGEK22xuLl05_Dg6rlibjAUZazaS4tidh1cMeAiCu-s=w1200|https://lh3.googleusercontent.com/pw/AP1GczMv3LLb7FCLwCl70Zl8aaHd2jYump39-xIW8ZakN7FwtcURTsUvTfbgRMc1q-3XGguHdL_Ym1Rmq7SRJor0UHCchKkO9AqH7mAPMG2dvFA3nr3YuOoM=w1200|https://lh3.googleusercontent.com/pw/AP1GczOgYDXUgCN0xJh9T6HZ5cGgWwPNGW24CQslCj9xWv57OBDOeLkMOlsceNCNbAQ5fftI336AQT1j4KTnhNpr6UU3AghuX4eIpg4UGIeEG0RxlGhTlWG2=w1200|https://lh3.googleusercontent.com/pw/AP1GczMPrCZiicm-Pyf8SCEHjFGrk-D6vBW6MWgkGHxm5z4GWw21MrsTo6uH3AEvrK-lmfad4XE-MoYFHcmvkkb7dqQAoO17W6N-wOfuwHiwD2x4bRm3YLgp=w1200|https://lh3.googleusercontent.com/pw/AP1GczOKqrxWaSaWg1vczk20g1sD_nHCdhNqb1nMghtGLfCX1NT1Jj5E3kmyfC4bK3G3AvFZoVeiVoezshL0jYJwNSUwjY6V4boBPmCxK8wZgt_OepPdVecM=w1200|https://lh3.googleusercontent.com/pw/AP1GczNHn648ir9T7-4pZE6Wjs-Eabn8fEEUiIJ3Ja1BSeru-nzX9tgtFqejhAX-Z8kTf4RdIWciVKS8ZjSMwvag_gGWDRDNP5sEC3lyqAwaWRH0Sv8pdnu4=w1200|https://lh3.googleusercontent.com/pw/AP1GczP6Nz8XNVitiel4Cfh66GzBCRsBjbovbNxNXN5yRAohx1wJlaLgEVFHHKiK2VczVgHZHgJxgrSAWDVNQUA1FxFXo8SVTZnwEZuygzy4QZj_fGoPqT6l=w1200|https://lh3.googleusercontent.com/pw/AP1GczMtq_vvvBfayIgJD8VlUoAIO1bQc2rXhKB96jEInHm1tEv2oJsZ9ENNaMdwtzfr6v6Ebc5CUhUncYyRl6FPQkesfyd0E3P1vSGYNYwZTQAGCSoaStBD=w1200|https://lh3.googleusercontent.com/pw/AP1GczNbq3JCdkyadMhRRDkomfnMNAQLh_UvW1REoriG6pDtu5PRFg_eNaLLICq5_7Wt-Dl3et8V9BMQsu67BR2txBGlpwHWzeN61ABHhPHoj7lJHWZ3S98t=w1200|https://lh3.googleusercontent.com/pw/AP1GczMsF2w3Gh6E6Np4pzxBshQyR4gm_-n81mfUHnvPGG-nI3h7BlrV-4SEnVWYYgCIvsHWCaCO2esNXeQXRhtQpdxHKpn7eAdZdRC8Eo0vU7EB9yW-tFJq=w1200</t>
  </si>
  <si>
    <t>089</t>
  </si>
  <si>
    <t>Finca agrícola - Vda. San Nicolas - Villa vieja - Huila</t>
  </si>
  <si>
    <t>Villa vieja</t>
  </si>
  <si>
    <t>https://photos.app.goo.gl/dFRpeLkKxkXqADSf8</t>
  </si>
  <si>
    <t>La finca cuenta con casa en bahareque de 4 habitaciones, cocina, sala, baños en material. Tiene energía eléctrica y también para energía solar. Cochera pequeña para 8 cerdos. Galpón para 150 pollos. Motobomba de 6 pulgadas con motor para riego de cultivos. Cuarto para herramientas y abonos.</t>
  </si>
  <si>
    <t>Área 10.5 Hectáreas. 3 de ellas tiene limón pajarito sembrado en producción. 1.5 tiene plátano, yuca y caña. 1.6 hectáreas en potrero con cercas eléctricas. Documentos al día. Agua. Cuenta con nacedero de agua y aljibe propio. Colinda con el rio Magdalena de sur a norte y con la quebrada Tatacoa de oeste a este. Finca ubicada a hora y media de Neiva. Carretera hasta la finca.</t>
  </si>
  <si>
    <t>https://lh3.googleusercontent.com/pw/AP1GczOtoTXPGkPTc83aFIFWGQbpclVe3IUI5JhXNhyOFNlrUi6Zc9XMLlFQbsyo0otPDYbYQ08h_I_s_0N27EjMLgZ8dSWr7Zj2QISJJ2zdczhbVdllMqVx=w1200|https://lh3.googleusercontent.com/pw/AP1GczNatFQVcPkbx4_PCrvlGDlPZpcplg7QUiBMJnaKZjDxk9kSdk-aiqkk14W_yE5PRuK09WaymCDVQXPnBss17XCdYJKpXOFOKdshDe_gAOAGaKt7ASxQ=w1200|https://lh3.googleusercontent.com/pw/AP1GczNgWHumIzc5Io4cx89AccrEUBCJcN3x7Ky1uireznCP7_HuvW5vTWUGX7Wq0CIGhBJMvfwRf1ZtgWmui0TpaSBvKSVPAWeCNVntajFHrnyoh8EJQCF0=w1200|https://lh3.googleusercontent.com/pw/AP1GczP2xJly20FQc3-BYqUr85XUe2NBk6smd3SLeOBYKhJ6JTzwSLbLifUlUk6_bGZwlwiapGgQm0RMR6pHQY8ib_Woq0fU35MYz2vlt1pmWFA4oVaeLz5D=w1200|https://lh3.googleusercontent.com/pw/AP1GczOcqE8lJfTETxB29pGNcgVYbTuT9wJyChI47T9mjKPOx907WT_si4sHh7k0W-_n0IYO9FZJ_aLxFRAjz4441EextwcaC0-NO-UlZLM2VHYS-1PvIIMU=w1200|https://lh3.googleusercontent.com/pw/AP1GczNWzQO5t5Ih-vH6kuB7C_V9_vQpRx7P5119Zq8cf0w3E-EzUpy9w6BhKGK9N6FjfwuNl-BKcvEL4Z1EP4kchT99Vsu3xi_C3IdBmYLUwW_OPTKjMIdp=w1200|https://lh3.googleusercontent.com/pw/AP1GczN8VCaDPyHmHhPcACkcA0o8Zc_X64q0R7pu5Jx8EYhtgqr7YFqmOj4S-u4djktLVifRzrZ5DOKigBhcEpV1ziQXeSQij2zSph8XMesMAYn013bCYDat=w1200|https://lh3.googleusercontent.com/pw/AP1GczNcDZr_pP5vic4p_W3DGm8u-4iMUVv0XadUty9MBZdh7kubCZqliAQGQae-OzHXeA567rp3sXhjtA0ymvzxhM3LoG6NRoJfBlNx7D_S4S4E5wWvqVCF=w1200|https://lh3.googleusercontent.com/pw/AP1GczPNPg9L9Mq26f1QxLXzOFLXojVy4wPbosY93Mk4LpKgxxvznMU_T8Kfd9vMIqzRWulYgzMKWoY4FmuGw9I-_9SdcNKHRLano698NNjmUa-0fSH-DKdK=w1200|https://lh3.googleusercontent.com/pw/AP1GczPQfBqiF4S54vMJM3TpBXqcnMEqPHf28NAfWCeYxdaaxBYdljaMHankt__an60C-8uEG_eJaqy-cCFa3kumpCmBAEhqJuObXPsM3LIHV49XJzV5GNUB=w1200|https://lh3.googleusercontent.com/pw/AP1GczOBt24Oul1-sK4hQrYYsBe6m7nR7PyoqWj9t0qKk58brII-onbr0Qh4NRPwA81xWK6yfhQH3di09eHsFTmKRtqv5gQv0-lwzxPUYV0vpC98lk_wKjyj=w1200|https://lh3.googleusercontent.com/pw/AP1GczPg4C7zkIo95OKY4EEqykcho493rQOUt_T_DpXcBe4bLk3tKm3Y8JicmrvM6aFAbEqSC_882E59lufrvFcfLwsH3Tn0c0O6TXlJTsPX1ZNUk_1Cv0VU=w1200|https://lh3.googleusercontent.com/pw/AP1GczNG8PYt3zfigtNj8jeFzGQULYnvbzMVtIDy4ohJ6VpoU1oSvmPKuAvjTK-xaX0mWA76qRcgx-hdGPY-6Gq8DQA6AIDwt5jzavK8DESMdv6C_zi5Eel6=w1200|https://lh3.googleusercontent.com/pw/AP1GczPq7csbbFk5nFJNQ4hR3BdcWct1Q3f5LDdk8PqYsz3e3wcLb0Lakzcr94HvxGizVlDBNH4j8eGlRJtiwWlV3RnsZK37DttG1U8n0tKYE_00blZMA8z1=w1200|https://lh3.googleusercontent.com/pw/AP1GczMtGpjH_VYTmQuw0CNL5aP6rvoYhe54lgeZjpzv7kbdpojkEKy77_lo064WJpJ51fm45-KqhSgvJZor1YoMmv2_WBPKOHAYQccXsNlyE1D5AWEhAFKv=w1200|https://lh3.googleusercontent.com/pw/AP1GczOrWmeso06x-3ZPZWv0gHpAnNkWfXYg6UgZXv4zjFoNNlpBUZreb_BKNowZSHQzpd_LizSn6LHYi2G1WjEJ3OHFy11ZXrjD0Q80ZRbwCKOSvgP98UHB=w1200|https://lh3.googleusercontent.com/pw/AP1GczPykw4hTH-yeogcHcB8EmDQvWDtRBcV-z3C9YFucA4Ouc-z6lOerdcSQiK_k_wTOSG-GqWUCvBxba0wVOoFBuxxvpkpNjr6TCugog_jmhOUbsjgcx42=w1200|https://lh3.googleusercontent.com/pw/AP1GczM6ToJfwYeuLKJiqswnY64BwsHHAq_GkuvrdLnJvRI7eU-2joWI4QaJ9DNFxi-IZG5x_HkV1UZSwG1acxsdNH22BqCO7WAnyw7-ZFj1e8kAwwxpHCez=w1200|https://lh3.googleusercontent.com/pw/AP1GczPq2m9dFCKI1MriS_7YqJDMFdXVRSgtPhld0VolM2CD-L0Da6CFFsh8GLMEsSQIM1bGkkfD48WqiUlhZ_hLv_aStVrDWeDvbfE2q9jyQenJP8Q1zcnZ=w1200</t>
  </si>
  <si>
    <t>171</t>
  </si>
  <si>
    <t>Lote en campestre en conjunto Condominio San Sebastian - Palermo</t>
  </si>
  <si>
    <t>Conjunto Condominio Campestre San Sbastian</t>
  </si>
  <si>
    <t>https://photos.app.goo.gl/1FF1hSPMdyRTQRrr9</t>
  </si>
  <si>
    <t>A 10 Minutos de Neiva. Cuenta con Energía Solar. Acueducto Propio. Alcantarillado. Gas Domiciliario.</t>
  </si>
  <si>
    <t>El conjunto cuenta con lago de Pesca Deportiva. Pista de Cross. Salón Social. Capilla. Canchas Deportivas. Parque Infantil Gimnasio. Área de 1500 m2.</t>
  </si>
  <si>
    <t>https://lh3.googleusercontent.com/pw/AP1GczPiduRZlbPeXlDrj6RHU-psCpa2YDezMUBhQtay2TPqm1K3NL3FleO0_-gQc205vcmuDPpK3cNUSLa6aVEQ-YIVUxSY6mYSQDrLcCNLPAqpg0WPmrZ9=w1200|https://lh3.googleusercontent.com/pw/AP1GczOUSgpCNucWuKKH3VBZv5q_sQPd6AAA6KXcRfuuGasGg9emxf2esc25DBQmUSrmUVQanbfpSlXiAVtyCMw15jk9zXkakjJG1215YdNuTXQuGWfgmou-=w1200|https://lh3.googleusercontent.com/pw/AP1GczN5IAYqBbluu9553V5i7VOJC-FjWAFvoI9e9F_xn0xuK8VSwaBX7TBun2oRD4jQ02mbBx0ZsHs0ImpA2Caq4ZRPr_zkx92hfbD4Z_Jwk7lQpapDKWdh=w1200|https://lh3.googleusercontent.com/pw/AP1GczM9ij8DukSlnmE8rlMDp0-a8dIAzK_SyIYnOEJ2KEVcyTWFbmCuvD4BmEP8CityZvlAPcbokd4RxNpbsyOXUZg99PKxiZkhAycOuJvsYrUmqf3B6_g2=w1200|https://lh3.googleusercontent.com/pw/AP1GczONQhI6JxqtftWjeTzro4n8q5uXCFTrdnHTHsss0f7ZLOX1sYvgyXuBdYDAvR0bS5B2qOVnXOLAtyCLVIkAAIIQ0M4wnKW1vuccr5RxhFRDxhbfK6-5=w1200|https://lh3.googleusercontent.com/pw/AP1GczNaBA-2zkJ3UoHwGRSynyezPI6FdvP-Ub2MjTYyelxS9T5o3xqTplWef-U5iMtYLK3UU9ti58bD2FGNvKrOY15Zj0ebW1cmu5MmQgXoY5wA7cMQ6dB-=w1200|https://lh3.googleusercontent.com/pw/AP1GczMbsFOB5tTiSt-ZAlI1z-q-xz3QwSkJIw9ZytI-4XxMIZVo0gannmZWnfM5mG8WGGFm3rypMuzA0Gwfj-y535_zYtQOU1DSpq5w6joP1jgKEo18euVq=w1200|https://lh3.googleusercontent.com/pw/AP1GczMglrxMCT9LVS3OWju14Ce6WfpN2EOmX7etSolvGpbb9DSWJSIk0cABQlkuJ29pA2EHVDTskba6Y5zk_yHw-fEsHlb49DPomZygcZ4zYQGPy2DNOcHU=w1200|https://lh3.googleusercontent.com/pw/AP1GczObbRgCsQcAUatcFNIyKPj1_1fmBZ_FOM57Hq9D3V2yLXbz4l25lgNV3Yl4SF0i_AN0KWTKgwb5kuei5isD1fCMo5lipF6MN6uECFK8IMejp531kU4N=w1200|https://lh3.googleusercontent.com/pw/AP1GczNVFZtZHhozTTsjVfs0PANa4IBHhi0iM9Cqba-VwrwGvIpxKhOGyotl2ShOsOkGMwmjUSMWl8Aaph0CRwI-tV8qhqUaGe2sPuUMMC1SLPNRmCj0haAG=w1200</t>
  </si>
  <si>
    <t>132</t>
  </si>
  <si>
    <t>https://photos.google.com/share/AF1QipMCki-kqHhOmS69tHMmgs1D7ZJ9qNSNHx6SeZXWE8qpo6kAaNUu--AC9PTAVRIfcw?key=cW1UeDNFSk1ldGlUMFYzd0lMOHFPb0tURG96UWRn</t>
  </si>
  <si>
    <t>Placa segundo piso techada</t>
  </si>
  <si>
    <t>https://lh3.googleusercontent.com/pw/AP1GczM-UF7JlHcCtPq3EqTgSGe9jw3nazob4Kg02c3As-J2haKNAcRy3jccbqj2j0TF488v5CXeVkVfKYcvrKvEN5GFhaoK4zheyQwsPMGb-rhBLMoQ3Ggs=w1200|https://lh3.googleusercontent.com/pw/AP1GczM9pCo_o7A05uEqTYTjG-75qRE5oWh4YFiZKieyUY-6a1nfTddjtvdUr84etKP5Xti3EH_o6cV6F9K3j7CEGtRFJAmsgcOoWjPDKkkrkzr8CNulGp51=w1200|https://lh3.googleusercontent.com/pw/AP1GczP6iaYYPLveQx6h7PWwbQGs8Zd1o4dWLdcKh4svho-eORU08xVgMK0bR21ETuRA7SWNCtKeiNR71RwizpyLS_j8lOhCXcn9CCysS5WMjQIO7HSGFw1F=w1200|https://lh3.googleusercontent.com/pw/AP1GczNU0MVDTNIgnv85XVhZz2w14Ux9gEZfPnYTcYAVlsqFysPGGGx8J5bu-DpvAdUK9KiJIk0LScO_XDEm0JZ_dh7HsU8t-CqGUKO5xGcjnt4Q3lLo9JEW=w1200|https://lh3.googleusercontent.com/pw/AP1GczPO4O48P4xy6tT69SNT4w6skshzz2Y_iAp5Ncrerhq2mOoalHQfEuewPztbP99IIbTEvfeUfejmj-ODbAW4oLnVR6LkGtEyf_k_DUQ3cgsykeSmTjKJ=w1200|https://lh3.googleusercontent.com/pw/AP1GczNNAe-1BjbsUgdM9J8_ewXUhGL1BKNpmOhV6cFCISGselps6pLaltsvc8KWRrp0f9tdViHGlJalJP4lrlI4yReVCvyskx5z29jV2suKRnBsQWxtM1RR=w1200|https://lh3.googleusercontent.com/pw/AP1GczOITgaTOwjLTvz3znn3copF5vT19y8c9zU5BaHpZS4Ah4G0dlqJXhVVcqtK0VtXneiUBxgXy57SNRiQN6OOg3OSP__5YdTQd2CQAnxT36RriekxnojC=w1200</t>
  </si>
  <si>
    <t>725</t>
  </si>
  <si>
    <t>Apartamento en Conjunto  Residencial Terravento -  Sur-Or</t>
  </si>
  <si>
    <t>https://photos.app.goo.gl/12KY9ToTsDFbGKdj9</t>
  </si>
  <si>
    <t>Apartamento con buenos acabados, piso en porcelanato, vidrio templado y cocina integral.</t>
  </si>
  <si>
    <t>Conjunto ubicado sobre  avenida principal.</t>
  </si>
  <si>
    <t>CALLE 21 SUR No. 28-71</t>
  </si>
  <si>
    <t>https://lh3.googleusercontent.com/pw/AP1GczMJKLF5eMCsgV4RED4XDdBRAFBwCiYz4fnDx4qvb4shKOCH9OI4vLLqelFTyimBr9lsqZjzBO4-kQI7A3lhbzkkqrVhPyu6c98e_lHQ5r3bffeKjJG4=w1200|https://lh3.googleusercontent.com/pw/AP1GczNgXtKesT8wT6gLhDiq5ne9SC9KgsP4F4Ot4XES6G7ZRz3RbsPlXPBcUbXFthS3K_XlmbCKt351PJSU4cz0EMH_A3mUHULNFJp-hn_sZhxE8iBN2XrM=w1200|https://lh3.googleusercontent.com/pw/AP1GczPNqTqQJRkgQyFnduV2CqAvznJaoLP0OOWjMmAnTh4Of7QoV_8xnEmXtwyN4LWgqEp8ZhgKvxuxp4O96CQn2Aews3hSr29GXYLCoMCh5Y5qNsaKE7rz=w1200|https://lh3.googleusercontent.com/pw/AP1GczPpEVteksrw9FzKH9YZhfL8tUwiP9l7MxOUdDms0YfG6F5z2eSKrBLCB9xI4tmklh8Vvt-wghznx-VRUbmO44RcHTKpC1_pYuS8WE0d3ajHq5LwQaHn=w1200|https://lh3.googleusercontent.com/pw/AP1GczMuLys-WfKSCEDYUMefrzz88I8xo-gd7zb8vynExLNUt_e-oxL9LokR0_XXy1_sxxgfS4opCf71naxymxDC9KNHr2FJ09sw1TNELZgVvezpl6wfgEls=w1200|https://lh3.googleusercontent.com/pw/AP1GczNcowAfpPVj9OcB6kwJMn6h50YjO4qFXrrXvFz8hu1LgWHfUWgyrzQg36CIuqYkqbrogHGoC4HK2dTyh7bD0V3xa6Pj3IirCBT4I-ycV_MmF9mPkiEf=w1200|https://lh3.googleusercontent.com/pw/AP1GczORiz8camo7HJbe482cJ9Eq71hV1wR_r2vXGM6y_Ikn4cqV_Oz0e48YHxce6QmkFp3nqb9VCnmRMBf8FQKMzFDJrFuxXNtNoyRzoXPie-YCcNls0nrL=w1200|https://lh3.googleusercontent.com/pw/AP1GczOcH5XheOuaf5WyIRIiKES3xPO6TEnXcDHYQAD2LE1zsWRShTSj7VkXPtQAgR_zYulXmFD9jHWW3mCzmc9_oiqRg3X7NZlumn5uH83Fu8HtqOfi4yHS=w1200|https://lh3.googleusercontent.com/pw/AP1GczM-KWzjOERmUjfqnhnbWns3GibvMOcf6bkvUdX4rDZv2JAWXhgxcg_sjA90S7D-cqpE30pt-ZuU3AAbN-MKIMhb4wpWhFfrQDnGA8YPHvBkjAZQVaEI=w1200|https://lh3.googleusercontent.com/pw/AP1GczMMnj5_x6J-cf27GphlZAIFPBf6MCP_hkB23Q97A3JXBz06JSGrgDQ_B3M7z5JgICMOOsQbZN7FiYCV8THIRcDF20RYBK95X4FYtqXUKQvXCaxhYAbs=w1200|https://lh3.googleusercontent.com/pw/AP1GczPaSmIXX-41NAHiWncIm8e0ZdhejobpPEtMaGv9xFz5CMSptvbYXLSB8Z7DnjJ7raXGP2E22Oj42IT0v8St112RwLHoRZ8fovE-OIdp2OsYcNL92mbP=w1200</t>
  </si>
  <si>
    <t>754</t>
  </si>
  <si>
    <t>Finca campestre - Vda. San Antonio bajo - Aipe - Huila</t>
  </si>
  <si>
    <t>Aipe</t>
  </si>
  <si>
    <t>https://photos.app.goo.gl/6jb9FH6SUESxsMnQ7</t>
  </si>
  <si>
    <t>Cuenta con Piscina. Casa Campestre de 4 Habitaciones. Sala Comedor2 Baños. Cocina. Semi-integral. Horno de Leña. Zona BQQ.</t>
  </si>
  <si>
    <t>La finca tiene un área de 3 Has totalmente planas. 2.5 Has para cultivar. Ubicada a orilla de la carretera principal. Vereda San Antonio Bajo. Posee Lago. Agua por acueducto y aljibe. Energía Eléctrica. Cerca al río Bache.</t>
  </si>
  <si>
    <t>https://lh3.googleusercontent.com/pw/AP1GczMHmBoJc_I6ES5SPec-oiZYVdSaefRu4paQTh3k_TvduCXxh7ZJUxxqBc9NCz5q7HV7_5_pCkbSWLrR2i2W63gRRyQ577LithrMruQPUjPzO3QwIoCu=w1200|https://lh3.googleusercontent.com/pw/AP1GczOb32x9ewVRiVCMA7VcKrOB3JwK1OFwVihgA_jIVXuE7mH4mn7qq_Ce9oxx4bhvheWva3fsLxHld6y0ALnlKSfgA04TJQZK9FboAY3qLLOVk0YkyQSn=w1200|https://lh3.googleusercontent.com/pw/AP1GczMQJHLaA7z38s3LPqQnf2xWvpzROXROAoDVIpNHIL-EIwKLCZz8ZGUZlHfF8xVloIajAX_9YddvtyuyVSmPgOhxNvaGGyXS3RTXBRGSMme8O1AAaJlM=w1200|https://lh3.googleusercontent.com/pw/AP1GczN_maCdZkNgaMcRjgbKHYsk-oj_hOwPZUbv3USK73FKhIw7SFPoxiz635XKyekTWDNXIo2daXLf6lnmuVsubXxSjWg9GLRcAiByIQhvsfAaNfE3siaT=w1200|https://lh3.googleusercontent.com/pw/AP1GczN69F3EYR3ZfNX_2heCZ4CNsvRQk67AgKKT6u8LQtAXFH87XvBvpa5H-cz13L_SoJq4ByMSr3O_WAF8aGkMUUiMaZR_oYbUlACqFeySSfRP9gwn3eP_=w1200|https://lh3.googleusercontent.com/pw/AP1GczN11uw32t4bSrBSGywmmnyZiIKiIl3N-XDsfIPq4LaqBqea29pkZyHGYcWJKPuZUkTXSNAXE82SEq-fvha7ZsPjncDFmxW33TWCXv_cqxr4mwJhLSbT=w1200|https://lh3.googleusercontent.com/pw/AP1GczM9dfn8JiTbyUuqzDridBR1GrdutdKMQSMKoJYQBifBzogaD0dbVl46YT216zR5KSIyqkbh9Az3jFNpD3ybM_mjhYz_CNpzfgvn4IMXMRSnDJBf2Eli=w1200|https://lh3.googleusercontent.com/pw/AP1GczOkBsdZSTYUZmPRHhoxBxRD5fLkEADrO-Zm4dr8-yqBerzZZWmE16dNe5rduyya3LspX6p9rpfCUMZdkqAOHR5C1yV4eiBkgRq6oCLyKH8CWvLqy51q=w1200|https://lh3.googleusercontent.com/pw/AP1GczNBAQXMg72zJdDQpX45PbrzXT8aitEUuTZSDrl_lt6v9ZaSuKxJxFZgSQMaN6rx7aQ0QbmW1RY4BSNWRvzfyalUQmPhAz7z0mKTulueNKUe_oMJNoNI=w1200|https://lh3.googleusercontent.com/pw/AP1GczOOUwUKFXHmbe9jyhJPBILN1koY2hARktbFNk2UANbpSyr8LzAVDNzN0c8745n8_Qk8ky-U8N_Zkir3FSPJTegI-T-lZo3zGz3MxJeBo-RF2kNHIjX-=w1200|https://lh3.googleusercontent.com/pw/AP1GczN_DYWYYqYK3kSW88P210oN8s4AxcTPWZvrmQ9_b9pYeAGsLmvth2ggWiCI8d0102bgKQMZMH1G6qZv-8dl765gohG3iBQ4zy_LP9PKT26qNjnYa7Ek=w1200|https://lh3.googleusercontent.com/pw/AP1GczODpS5VIP5I0-J-qn9fd_-JHBP_S-52wjzEwisEyjII6dIlZNlZJjtEXHhZPwsArv_8R5XT7Ezv2mHZEtARVafDO-tE6sdwOkd3_h28EDXCtJUq26Ie=w1200|https://lh3.googleusercontent.com/pw/AP1GczOoxrgbJvOsKS5XIQ7mHBWwbWm6QjyRW0_-4icnE6JB7vj8weVHmNV3p4MNXQ-2bxJG5YeDl2CVxp6Rt7RONS60_bXW33XMa71spE6gEnPyNY7DqiWo=w1200|https://lh3.googleusercontent.com/pw/AP1GczMpf4DByrDQFmaJDaSqy24y-EGb2Onog9djRx8gFXxw95IdZ8QMNY_Zz6_BWJvYSg0wJ_drwWsOnGYuJXxzUt0JDS09ktZq7kM1OvAAu2baKKDTq2p3=w1200|https://lh3.googleusercontent.com/pw/AP1GczMAa9dqhRpK5qJsodk0oX1lu50LxM9OaMrHoc2i0yoCpYPU8oplL00u1h4i0rVJjjg2_lmbifVH3u4Am3P-W2b6lYQ9yXwqybiW2YnKZcud-WXD6HRN=w1200</t>
  </si>
  <si>
    <t>759</t>
  </si>
  <si>
    <t>Casa con 3 Apartamentos Indep. en barrio Villa Regina - Oriente</t>
  </si>
  <si>
    <t>https://photos.app.goo.gl/njhRsdhCaWpEKh3C7</t>
  </si>
  <si>
    <t>Casa de 3 pisos con 3 Apartamentos, en 2do y 3er piso en obra gris.</t>
  </si>
  <si>
    <t>Calle 13 B No. 43 A - 17</t>
  </si>
  <si>
    <t>https://lh3.googleusercontent.com/pw/AP1GczMAmG7AeVt0Nwq9bHWPl4qMqgAOvdd6btBrKVLZtAhASyOaHMsMcgvo_coiQFMV1t9huHjly99WOtvF59lUE0EM5j1scfgJylIlqsZUktrfwULCDRmv=w1200|https://lh3.googleusercontent.com/pw/AP1GczMCPNH_a_CSPiuoZPGVp_GMSusXlPd4aXU-oa5pmPvcbvsGghQCva-lrNyTKtFhrapqdhku4LzNzUvDpfwobI1hGuflXzr77UXUDXEpBTQKU1aSuHKz=w1200</t>
  </si>
  <si>
    <t>745</t>
  </si>
  <si>
    <t>Casa con 3 Apartamentos Indep. en barrio Timanco - Sur</t>
  </si>
  <si>
    <t>https://photos.app.goo.gl/5hVHez48KrVZiWBG9</t>
  </si>
  <si>
    <t>Casa rentable ubicda sobre vía amplia.</t>
  </si>
  <si>
    <t>Cuenta con reja antejardín, servicios publicos independientes.</t>
  </si>
  <si>
    <t>Carrera 24 No. 20-16</t>
  </si>
  <si>
    <t>https://lh3.googleusercontent.com/pw/AP1GczOzLg2ly4m06PMV-wCeoEWEo3jgou_FMdcN6TbR7OyPdklxqb-1lw2PZ0Gd7zSxKTR9yHgBeaZ_JHs5e7Qildsv6mP8s6Fj5M50FoCqxMamAqVgpiOX=w1200|https://lh3.googleusercontent.com/pw/AP1GczOrCy2_clcO35TrDf3sTFRg_GnXuNh72LdQ_1jpQpd-NkilyShXkHgqK8u6rsRwj_hs4Y7rOnGn_i7goKNKB5Oa-he4_OGB-utvxEe8lcxwYpDjMRqu=w1200|https://lh3.googleusercontent.com/pw/AP1GczOW1KjW7KJ6TzItiGfkD5-IifaWEIIlgH0wM8h3k_PVjkgH7AHqGRY4gbeI6pDnTTbSPo5COu7453ENBc1LhNBl3ucpvCcxDngwHXWEJfJYuGzfiOl4=w1200|https://lh3.googleusercontent.com/pw/AP1GczPuUXY5AkVMYLQXAQRKfaFhe-BrdcKzaVPMa4hTbIUpaBVMcKpBRBMdItVEYNHzxstJhymwrguYbAsAHMLiD3Eey6yXv-CZZLfChCtEhKxPz9kzi-B8=w1200|https://lh3.googleusercontent.com/pw/AP1GczPrelehPnmddepxpxJZDV01QHnpgiwgljg4n9YXf5l-eW9v8DyRTWyOtXMXEagiP0FKCsbuPIS6oA-cXvg4Yqj3JefVFbO8bM-jx1YdLsezz1gSMbtb=w1200|https://lh3.googleusercontent.com/pw/AP1GczNq3kB5gaPFYQVEEPvRT1Gp4e8_JMFp1WV3VH-W9ntm90GMEBKgJbIeyWL_YuExHIncAj9RF03lDEJm0Dn9tBqeNjtEippBtqBa0kFxUez1q5zEaeu4=w1200|https://lh3.googleusercontent.com/pw/AP1GczMpK9GX4xn5dD2KWrtUnZYcM5bnD94mROKhOIr8YO69c3XplTtYDd68vaXaUo6wTh9_gUKlptMWFBijcvlHIPjW_EPTchmwVfky2xG3JsasEyZbSqD5=w1200|https://lh3.googleusercontent.com/pw/AP1GczOpWMxB6DKPd2_4lkL2LCwMJrqPG66ac9LqFiaFcIL0pHX0g6nOkcPj2RQjS_1TAfYKyB58Cnp8shRO22M1LH9-z3SQ_-Trs1hi_IJEAiMFBtEpd2c0=w1200|https://lh3.googleusercontent.com/pw/AP1GczO3jWmFcDxN6gDex1nmpJ8pGKZWK8FZjQtazen-cREXlEz-jjDFi_WdSvzjMo_D5ErCyzKdNv9st19gMQMsjeO61TVS9Jq4Mv5fRMeZyi6FbAdT3czp=w1200|https://lh3.googleusercontent.com/pw/AP1GczNDOXH-k1Eft_v-0fE-S1S9MFgQsCSjWQeP4_8B_J8FZaeAAB3M0o9iENcHkfBBfM7DZ1udYEqnb7AyIyVuK8NNi--qnJNVqPkf83R4KrbeH4eITPqg=w1200|https://lh3.googleusercontent.com/pw/AP1GczNKAveUJefDGKeyW2nhF5SkyvpMy4u4uGrvC2wZishbc-wFR5T4ZCcbu-Zs_IifCCu7I51Xo0ukHPnVQdAwfeWhdKkWfKPx7SDjldKiE--iO0P7HpOk=w1200|https://lh3.googleusercontent.com/pw/AP1GczN7dvr2H3pZqOHJVzRLpWhHWg_S7BomX3p7OZzinjzyuDRZxZ0ghQ6XNWYLvYrrvnv2wvQKv-2H-0_ZnPxcpgWxL8WRrBrJYsdl-_11WxX2bfgzNNLu=w1200|https://lh3.googleusercontent.com/pw/AP1GczP3q1uUL_mOmflajw6GVqPx3wpS-jXJRcp57ihO7eoSsbEOk9zW-OlebzJddt2lilBBL7M0_y7I23hbnP1KiFyyPpplu2hjSpa7NUXA6HQEwR4kXeeT=w1200|https://lh3.googleusercontent.com/pw/AP1GczN31uAvpZMXlDtoSRAcTrSy7GAZ4rzycM3z8gy4stYcEMHQ1yIUr-ZnFEJzAEMTttlhmC_wAbJTOdjai9M9_RM5gdqXoPYKXQIS98QHZvQUoHaFB4nu=w1200|https://lh3.googleusercontent.com/pw/AP1GczPU9ZwPsQRAIdwpl1XAvHCb7EVZoLnSbfJ1oFEAxIVEY9q33NvV5ikZ65TWVNY8AZQcjYpRCw-qqj0ZbhTmw1VsrQ6cngqd_R1hV4oogrCFqf4Gg_bc=w1200|https://lh3.googleusercontent.com/pw/AP1GczMnaAT1NkUd9pU0-wigWpJu-5pWsT75Kv_Ye-DWOYgzAc0rS_IhK9JkuYHO1AH16jyDgMbxXdmUkFjKbmFyH9XO-f2Yp0Nwqb65NUErAYqNhe0ELM2p=w1200|https://lh3.googleusercontent.com/pw/AP1GczPcDsJwBjh1L_8glc1DFakaxVe_bw3R3-Dm3sWJ2POMU9RPJaxAvec0u8i2Wr_cZLe1-sRW_L4CRT0RD_zxHgfXM-nav1CmlrGeoQLCqjiAcQRUIJmr=w1200|https://lh3.googleusercontent.com/pw/AP1GczN6hk0ZWizhz7zBwidwedPYgFx1pgS-zYMvNpXrC0aReu6Y2DGQTIGWqZQ8_9Ldk3C0n1mp-FigQV2CrcdGYN4BZrPHut_6HqVnReMx_iP8ZihzMfQo=w1200|https://lh3.googleusercontent.com/pw/AP1GczNQmxsjcYIsiOJ5Ulw4Y9xzg-Rha8E9oZelbc2nHi9wn1fVhsB-tHLhRNrlWrsKAWblhy_KGMpZNicO9uO4f9EmXqX0WG1bEsRYUi3FPsJ5HSerP2mv=w1200|https://lh3.googleusercontent.com/pw/AP1GczPVvNoIMBiiYsjfAhl2hCnVMWJndPCbgxOqCoq3KoOV2lt16iSPHJGNIoRiU6n7Gll5m-jiMLDC9WVWj5pIVRx_lyxYbkQs_SNPqq1boxThWaGSQFk6=w1200|https://lh3.googleusercontent.com/pw/AP1GczPbqzvSZKjrUBuF3CqBOYKM6YPaAkvLm6Y04jR5S_3dfiXJrPLlIhGfEX5rtbQy839s1GEyGPm5dN13D3kxj7PTmXBidd2iJEkrqoa07YLwmdKRdaOc=w1200</t>
  </si>
  <si>
    <t>296</t>
  </si>
  <si>
    <t>https://photos.app.goo.gl/xKNp33EXDgcMb5fg8</t>
  </si>
  <si>
    <t>Con buenos acabados, piso en marmol, molduras en yeso, carpinteria en madera y metálica. Cielo raso en Machembre.</t>
  </si>
  <si>
    <t>Casa bien ubicada con reja antejardín.</t>
  </si>
  <si>
    <t>CALLE 17 No. 41-46</t>
  </si>
  <si>
    <t>https://lh3.googleusercontent.com/pw/AP1GczN2Gi9WHdDiG7JXqBZ-K-7fHGPiOwD3vO3tFXBoG5Z-3CutfsTpVZk5C7S54AdnYHNC6biYSXI-qrXtrClsP5StIadso9_lz_anreiCPOTk_iNDUZG1=w1200|https://lh3.googleusercontent.com/pw/AP1GczOYhbcMLp8Fulcj-wW16UyXAQypjLOqLIAwEr3tZbIvbYZjo0ql_qPdvbVncSgr_jxXMP9LKdfiFi81MUyQtQHgcqHNgddsuj38V4KIlBAQRP8qucWB=w1200|https://lh3.googleusercontent.com/pw/AP1GczOgcVc9DmIq9kdkv0hrKDbUu1tABxNmFzYUy5yQOu8O1PwpInkTrg0f7Hx-dl21I0UPUiH2p2ttxkbhfoQCE6QbZ_yolT7N07CFfM3hbmCU0Lj2tl_6=w1200|https://lh3.googleusercontent.com/pw/AP1GczMJAPYh6diUrfpDUXpvIutc9Zio-gE1brISQKzBNReDDj_zB3QftXbV63JO-GF5vRF7uZgAp_31aYWJ7h_8-_P7p4t6cg2MsNaP7gh_unGEfZHkYgyA=w1200|https://lh3.googleusercontent.com/pw/AP1GczPzpTUTmRweT4L4HPIOrc11U7ZDPFqt-wpeVzaTLB3-4xqlDbNjne6-Kif3DZeld3juC99BeGtwlxc47LeoSRI-bC6JZH3Jr_TVfNv6uEiwFd9_5ss3=w1200|https://lh3.googleusercontent.com/pw/AP1GczOouW3dSQrZ6Ic6JFYFXMQtUD11EJZJ_ezrTFWBqHghrdYqDtj6kLpEZphIlsxCdZk22iE_RQyK5Mh2J-IJ8zCAunK1Dmcab5FwGzxxu0Ml9vCRgfay=w1200|https://lh3.googleusercontent.com/pw/AP1GczP6YE42YrbrMDIGxrwsL16nakkgz43dkUI-BAviniPGNDSTpjfRPvHXeLOdsidfTJHug8D5TaCYIDQDEC8iqqO09Md5yh-zaXlQwmIi39ic25UTRh1-=w1200|https://lh3.googleusercontent.com/pw/AP1GczNOw6fNI27tCwmz6WD7JiLmryF1fZfX6-sFVizq2zLp3B12nrkqLRiRxdnUQiSxsT0nO-SMfibMXZS-ByHxTyIUMAlhEz0CkzsFMdDKviL-f3i5lsw2=w1200|https://lh3.googleusercontent.com/pw/AP1GczMnoNA6yrwrYWnX1QSIWKSO14fyQPYzNcoGGGPznjqY4YBDlhs5z2VWaD-YW7YVsFsGv6nojgKhVt4iuNJgx3ahek1gvashjfUkU9os3Sqj5C0dw_4D=w1200|https://lh3.googleusercontent.com/pw/AP1GczM5EK3AnlXJd5Qn0uNanxqviPZEGJEQYqB8U09o5WnFqPV1Ir71qp_5rE5HTbZt9rVSAk8LWD6bnTWpF7oJU7AHnILMCEswUEGBpBDF67JExfnb3E6g=w1200|https://lh3.googleusercontent.com/pw/AP1GczOzO9fn5jp1QhfbjWD6BmVEWnyZ7QKIO4BBJ5ZzM_9F6SaVFkPKTyxw_q1PRxhnh-f6tDqo9D0MhiPaCYt7kXIHKxoRikJlDu6nsU0SbEyeHsqHDphy=w1200</t>
  </si>
  <si>
    <t>Casa con 2 Apartamentos independientes en barrio Manzanares</t>
  </si>
  <si>
    <t>https://photos.app.goo.gl/e4kdGUcPMGtZrknc9</t>
  </si>
  <si>
    <t>Piso en marmol, Cielo raso en driwall, molduras en yeso. Carpintería en madera.</t>
  </si>
  <si>
    <t>Ubicada sobre vía amplia. Cuenta con reja antejardín y Viga canal.</t>
  </si>
  <si>
    <t>CALLE 20 A No. 31 - 38</t>
  </si>
  <si>
    <t>https://lh3.googleusercontent.com/pw/AP1GczOcF5zXr93AUkWdxKLrs8x8KT6I9sFuupp_aALAGL4biIm2JgIETW6vzKWVqU-gVyD66guCRQVghp-AzwP0NDwhjhDFYEbXMGP4NM6nkg6mWc_mLpQ9=w1200|https://lh3.googleusercontent.com/pw/AP1GczOzp0eHg8xa6asOSI25rmwKzsZte8vZf4KvVzGIgur7jTnzBr1AUiuIz3dMgQ5Es4SUjGXwapI4PQOk41tqrl1M9QOMIXofqozSWLK2G2AgIsO-Pt6e=w1200|https://lh3.googleusercontent.com/pw/AP1GczOvTMTo2BlpcglrOCVogkb_CPc3YmUJunKhm5h9Dc7GJm2RjcF5iKqqsMtGe6cuC_G-9yST0FMytY0V1QIsd54lK2WTuauUfBwtXukxfKh6dA7Zn70F=w1200|https://lh3.googleusercontent.com/pw/AP1GczPAQqWb7JegLRXvPzi8txeno8glgQUXCshlXruQ_0bIcGyu8tM0z0_TJwgZCms8yfXf9BTjfN9OuH95D_BaP6xdLdk4sKo11UJJPQ57PdJG5RjKo32A=w1200|https://lh3.googleusercontent.com/pw/AP1GczMpXI6IvJsK9TCSxkXeCriiaNBuBTBE9TZ-c3edHO8cHxY5caa3gg_INoQ02jiezFXfZDWdPrF32J0sP5Sh24X6MxGbkD32Gq3ynQYqMvv5FtJpfG1k=w1200</t>
  </si>
  <si>
    <t>602</t>
  </si>
  <si>
    <t>Casa con local en barrio Tercer Milenio</t>
  </si>
  <si>
    <t>https://photos.app.goo.gl/ZnHwzqG9DE7wfV3A8</t>
  </si>
  <si>
    <t>Bien ubicada. Sobre vía amplia.</t>
  </si>
  <si>
    <t>CALLE 71 A No. 3-63</t>
  </si>
  <si>
    <t>https://lh3.googleusercontent.com/pw/AP1GczN1mFUvpcAcCED9ng628pJcDjgbhrGhGwMfVCmKaEHY-EXnv4VwD1-nms_iedV3z2HwAjcP2cHDY3GivwOO2lK_fajhvZpnwJBsnvHugEYqnThyrRRj=w1200|https://lh3.googleusercontent.com/pw/AP1GczMBHCUcoemQhEHdzmoJ4DBU_HUf1EEXf1ikA2Ml-1Wx0pMtjS5Yfrq0oZ-A3FwDmQQ_Yt8svwKFeRULrp_h1A7aAOVcXiz4-s54qyv9AqPO4KIv544N=w1200</t>
  </si>
  <si>
    <t>387</t>
  </si>
  <si>
    <t>Casa de dos pisos independientes en barrio La Arbolea</t>
  </si>
  <si>
    <t>La Arbolea</t>
  </si>
  <si>
    <t>https://photos.app.goo.gl/KqtSRVhNXziKMU729</t>
  </si>
  <si>
    <t>CARRERA 42 No. 18 C - 55</t>
  </si>
  <si>
    <t>https://lh3.googleusercontent.com/pw/AP1GczMOoBOSa7eVuSZGnXQ-gU33-6FONJFJGAUEAIn1LnWnLTquc30c-NUwvWG37fUSO2_vyFbQAN1A5Fbyk7Di4IXMrXrxyLIFwuYCArMI9SJpQSFtu97r=w1200|https://lh3.googleusercontent.com/pw/AP1GczO82tMwHRpVcctCUPCF8LvqVBFG2_nLFpGL1c07wQFsW-JryGdsHsyDYOJhGudkqD0IZqTBh_RGlV5orpGzEy7Z7vCUpTmPHgjz9ZsVDS_fgebtnwo1=w1200|https://lh3.googleusercontent.com/pw/AP1GczPTER5A-YBtrDdJGnrXd4lLQbT2YNo9omKnWQ4xUV6YFhutDQEbD7MnY1tgfgURAO3bN-W2F0C8r1O8oU65RvijjjFHG79n7PiHNdx-a_1IYwY5JCzZ=w1200|https://lh3.googleusercontent.com/pw/AP1GczNOV50QAENbrxEfhIkjEAUEz7f21eunqr9YnXL--5pOrpTH5FGh4Km3uN5ozQ3VTCdVaB-ZpfNjCAghFCKTGuMVF1Pb8VeShH1XJ3gHWUXY0AXrt2GZ=w1200|https://lh3.googleusercontent.com/pw/AP1GczOBRx9sSSrWWojy1eUJHx0qYNI26KaHnhZoFdZvpI81Fk36_2cVmd153Vbcifz3KdcmHdnxXyexdtO3o705MCwYmGEmlRzWaXww43vWgKR2sswNzuyd=w1200</t>
  </si>
  <si>
    <t>828</t>
  </si>
  <si>
    <t>Casa en Puerto Wilches - Depto. Santander</t>
  </si>
  <si>
    <t>Puerto Wilches</t>
  </si>
  <si>
    <t>https://photos.app.goo.gl/a8MxrCvZWDAr1c1R6</t>
  </si>
  <si>
    <t>Cuenta con 4 habitaciones (3 con aire acondicionado y principal con closet). 2 baños (social y privado). Sala comedor. Cocina integral. Zona de ropas.  Area: 180.0m².</t>
  </si>
  <si>
    <t>Casa ubicada en Puerto Wilches - Departamento de Santander.</t>
  </si>
  <si>
    <t>https://lh3.googleusercontent.com/pw/AP1GczMP3qj4hZ8KVSg4Ws-BpzxYCISd4EVpS4H9xn4NzAXjJ9YIVeqUBUZY5aIRYXJx_RWGyu373KuO5E3cZDfuDoyP7cP_SjU42NSJn8_IYK2nd8PScHTA=w1200|https://lh3.googleusercontent.com/pw/AP1GczN_SVhLdfbNbwX2jAJjVtYpmXqyxnsXDyBBh88OiX1m5U8UG0F61ApHah6MTOp-h0LBVBDmz9-q9jdyFBvhbqGMTb5iMh01yitGOQA-5Pcgdbd1LYgQ=w1200|https://lh3.googleusercontent.com/pw/AP1GczNwq0hPjjJQ3ZLH3NfKrfgZG-uTj2oNYt9rmaye1zF_Nx0xU7__37EbuBDhV2i1-7NHd7edm80vYOGqN66-HhchcHFKP04QhudHXctBqqTNiGWYwqny=w1200|https://lh3.googleusercontent.com/pw/AP1GczPkE7j1Iw-ZELNS0qwrdZQrunUSSX3BPC7ECQ4tPohufwTOGN56CXA1KkaH8iJ19vcWMcSHUhYDtRFxFdVyij3gurZfjzPmp-Hrg5U43p1xNzSCTSBG=w1200|https://lh3.googleusercontent.com/pw/AP1GczNdLmBa0gNgDOT_aSCH3IZ6EPB9HhBz6jivnSYSJj_r5iZ1DYVigWngR9nEHBQM28ausjAI9Gf3Z_iRwsC7CIbvgfYua5IKNuAdDwR3Zd_yanAxXggT=w1200|https://lh3.googleusercontent.com/pw/AP1GczNhRznK7fGiOo7tio0W4TGkP3PchKHL-OsJYU0lhxDBD9xIoIKRlLrqG5wYxicVtcow_NnoWomJBnLC9JKuz9RB5m1yjEgFDinGqXjcteITyK5X2pLl=w1200|https://lh3.googleusercontent.com/pw/AP1GczP58Icap7Lxm2LNvEakWWYvtHx7N206EfScBLYgVG1QlYneakK6DF1_mszAGgiJASq7YdiAgBQPMXkbZbortN8NFndN9Nn3kG1S_hmK9_OGO-blUqM8=w1200|https://lh3.googleusercontent.com/pw/AP1GczMxYxau-0btrz1ABGHLFMR5MPD2vo8dVDokEeC3SGPQQEU-pyxRRB1VHFVAe1GNBG0LpVuO7ZXJITFJWs7B0aEkY01Ne4DlbHDH6_kVN3ZtCiDJFBnQ=w1200</t>
  </si>
  <si>
    <t>827</t>
  </si>
  <si>
    <t>Lote campestre en Conjunto Condominio San Sebastian - Palermo</t>
  </si>
  <si>
    <t>Conjunto San Sebastian</t>
  </si>
  <si>
    <t>https://photos.app.goo.gl/dL22s1zpCPWB7fd58</t>
  </si>
  <si>
    <t>Zonas comunes:( Salón social, piscina, gimnasio, vigilancia las 24 horas).</t>
  </si>
  <si>
    <t>Conjunto con buenas áreas para desarrollar proyectos de vida. Área:1600m² - Servicio de agua y energía.</t>
  </si>
  <si>
    <t>https://lh3.googleusercontent.com/pw/AP1GczO9GgwdL5nOF-KCEetrlTG-pHEM4BE2CCWPYMJ0et5AyyFvaNZOMbbeuyk5PuExGUdwdl67Mrt14Wpno8HPXDsXasJlzzGxMN3nrmbislkYsnQKrwQo=w1200|https://lh3.googleusercontent.com/pw/AP1GczO7mURPYnKkGHuFfxNlnqvb_1SPLvHihhutJ81XkW7AOCTzLXDXxu9cAX04tB33rlN210o-xK638RltNcYCd-D3q7P_10YiRogRA7rLawQkk8jD9Fwi=w1200|https://lh3.googleusercontent.com/pw/AP1GczP9og4Rh63CenH4KgQARiKGlI-vqXK6DASzh3wPc-XC1tHCUCOifs8Sy00hrIr4CCRN3Zd3t1Sb9MT2oCoKf016Khrsxv_cuminJU8ZfgZl1uQXoEw9=w1200|https://lh3.googleusercontent.com/pw/AP1GczOPliMLNGJyr2Cv-By1UJtyIYPtWorkq7Dksylqd5IC4DmL-ikwsb2revR3mmWOP01BOLwvOyP-opQaeUXbM6QdIJmRne3DJRcVva9jEPMkS5i-5woi=w1200|https://lh3.googleusercontent.com/pw/AP1GczPXkhac5kzVCJhyA9-ap-6uO8TfiORxOLFnQDwO3jvSa5OKNidj99AQPSCp8dI1blEdZDm1sKnAtdXlbdXo_Php65xURXvMTpfazLr3F4VCZ2_StkhT=w1200|https://lh3.googleusercontent.com/pw/AP1GczPJld1cedRuMIeIO0LNPfymoUsHEyaUuEMftORo5VVsFPNOwGUV6F8s33Qa_DwTSsnpfdNVoAx-IjlihlydgOFs4MQ9PnH8nJqdKKJFBHg_kksF2kki=w1200|https://lh3.googleusercontent.com/pw/AP1GczOhUPT3v3-ppVxLlC1SnzKuYWyxpdV3OV8gIP-4VzcnIz4DGFLbjKs_mBW3A41--LCtEfNzUjx3CGrgDkROetTLtmpUPx_8Q4j4s-aa92NgGPIgLuR0=w1200|https://lh3.googleusercontent.com/pw/AP1GczOvqGb9Wn2-ihu0IqTSdxGc69DaZ435xoMl2fq0WkuIy1BUdAbEArarPsT_s2LyhBx3vPW3lrpqMPukY1J6msLFCG74fa3YB0qTplk4SMkfT_-N4iRx=w1200|https://lh3.googleusercontent.com/pw/AP1GczNlz8WgrB2bab-BMriVLkwMGhQrC4E6a12lDgync2xLWj5JzoE5CPQsghDP7td9Ps5CNxhigDs9imZec9Q7nsammCu7WW8JjYsyJB0_aFzKxC869uSo=w1200|https://lh3.googleusercontent.com/pw/AP1GczPgQqpA367cDgDG1m0vfIn9S3dWVIbP6nohjwPsxyxKhiEwoJfLGW6gcT-Y54KBnZcpnDCWQ3rtrgwb77Mg7Fzq4JZsukwH62h96cNAAWMoLqHoVald=w1200</t>
  </si>
  <si>
    <t>539</t>
  </si>
  <si>
    <t>Apartamento en agrupación de vivienda El Otún</t>
  </si>
  <si>
    <t>El Otún</t>
  </si>
  <si>
    <t>https://photos.google.com/share/AF1QipNj9gQB3R7dHrBxXeYYTc4TzRjpwNlpinw1PJzYNjhbEp_3Sq5i-dAUOWPgNnMnnQ?key=WUtKcXdFMlFZbkpzYUxNS2MtSklEekZoOV9tSVJn</t>
  </si>
  <si>
    <t>El conjunto cuenta con Salón comunal, parque infantil, piscina, cancha deportiva, seguridad privada</t>
  </si>
  <si>
    <t>https://lh3.googleusercontent.com/pw/AP1GczNC4qs0o8OwDZudbdIk2k2Mbyt-kVxDtmB7uvaX62DCSiDT6ues-9pD2pz4xqZXxQ1-8UkXki9CKOP6BfvsZGVskfjhQrn9brEghponZI0Ptf5t_N-o=w1200|https://lh3.googleusercontent.com/pw/AP1GczM_AFXSzBNr61ezZUPfgBsM6Kf_y2DfQVo-CBT5FDsygkLBg8WTOaZW_aeAiMundtjQS8TrVBAhUNY9a23WoxaCj0M3ih1SuIvVpdPQauaz3VGJFHq9=w1200|https://lh3.googleusercontent.com/pw/AP1GczMfyO3fJZuNrffSwYrZcI7d6zgO6N_uy3LDqn3UGfXx23vu7Tr1lJ1xHG_Ln1HQYs38S9YC15YejxgydhQ8usUd7gwTPDZbSAPIIiK6XDX2alVURpfn=w1200|https://lh3.googleusercontent.com/pw/AP1GczOsKSQ7Tr5WTP_p66Etj9D8P5kl4ZxtA4q4I8SuY7MrztXr1bNMZmTTXoLbNzdMtL9t7hh2ItHpDkJyscimONsWC1w_3tYfI6n4R5BFIoGkOsBi56vg=w1200|https://lh3.googleusercontent.com/pw/AP1GczPspPUxE9r-pAGJNH7bszfnRvyHyAOIiUmvIMB0VqlIKShckNoZV4RmjiyM6ojppmKx_Ycm2rIri8TR32PZfcTRYnTcTPN2thhBNI0p4tw_RlA7Rjwv=w1200|https://lh3.googleusercontent.com/pw/AP1GczN2mHC8ybYDa0xJllEs7MVEu-p42eAyD-S4AzYcFDH8ZBBb6x26yaMFbnjbyQw3cTalDzB2lY3sz5ao0D6N5ApY6e0zdeBDUjy2rMTdf2aFwvx-Jque=w1200|https://lh3.googleusercontent.com/pw/AP1GczMPBiUgOftCWr3BxSYhvauv8uSbgErsxDfiD1nUBaR4jI1PHKtxdHV7pE5wvuZckpeamSmG2ZKwa57pHigNXFuK2l_Kj2dPnNco8-s758FB-QV5q8BX=w1200|https://lh3.googleusercontent.com/pw/AP1GczP7oL7FY71Txvjnz-55hpSXzw-R8bUA_aJok0WUGAzTeL9cOPBLocA46rkOyDVgp0X-dKENeoKDQ-wCfERvjTww2iTVwWLJlewdAs91JcGIR85xdH9p=w1200|https://lh3.googleusercontent.com/pw/AP1GczOjpSlYL6VmDORZAWq576h8BmfhGv4sTSLTdGMsD6gRJZgxcC3KzCEcglRKkL_Wih-yD8PXtX8JZDLN1L5hAGz3VmVqnIbhGQXBiep0COuAN4NBQc6T=w1200|https://lh3.googleusercontent.com/pw/AP1GczMNBw4HQX1p_aisMCL5X4yDG__OnxsDQyikrdzURUJW7XSvpEEZdsNIvfzXMOaRcDo0SIMlvR9tP_rIRzjdETd0YXtH_m5Q340J2uGsnaPh13S2tYxr=w1200</t>
  </si>
  <si>
    <t>288</t>
  </si>
  <si>
    <t>Casa en barrio Caracoli</t>
  </si>
  <si>
    <t>Caracoli</t>
  </si>
  <si>
    <t>https://photos.app.goo.gl/zZKCPkV8CR3TGAYdA</t>
  </si>
  <si>
    <t>CALLE 21 No. 1-42</t>
  </si>
  <si>
    <t>https://lh3.googleusercontent.com/pw/AP1GczM73OQMaalXUbWO0e-qNrhoVz3ZX0I7RDj1MpEMqa2w3E6pV2D9LSOVpZK4Ajv5HZx4a0XhyYIlB6_reBza45hgoBmVvlanmo5B4gqwCY6wmTlXwC1Y=w1200|https://lh3.googleusercontent.com/pw/AP1GczMACvUJM-mESVcEHzgUIHU_qNAKy5aCge3xqa-jJ_ks7IYSYKL0hqVC_VWzWZfJTd37bQLIybMPRCwNwqwmKGhEDDjij95wcF_iPo82SoCmvXOj4lRd=w1200|https://lh3.googleusercontent.com/pw/AP1GczNGTiHfxGAmG6EEMb4lYCStORxN0HPg0cf3gqd_VGWDTQjwaygAGdTchZEnkety3_urZtYSVCbUEugd3q1mPmOvv66tTVOHDY70TiYTdJL0CeS2zVCI=w1200|https://lh3.googleusercontent.com/pw/AP1GczOMDsFRcLury319O3brICyUYIccZDbC0P0GASesZrlugYGtMhn7fLjZvWCqHkXKJFlaR-VGYsVOAHk8figVPdSWaYdCZ8r5KWyJxG-InjocP-6ZZC6e=w1200</t>
  </si>
  <si>
    <t>763</t>
  </si>
  <si>
    <t>Lote en conjunto - La Ulloa</t>
  </si>
  <si>
    <t>https://photos.app.goo.gl/WTMnnt5EHKpRZXqs5</t>
  </si>
  <si>
    <t>Lote 1 - Area: 1.510 m2 - Precio $151.000.000 ==Lote 3 - Area: 1.686 m2 - Precio $168.600.000  == Lote 5- Area: 1.215 m2 - Precio $121.500.000 == Lote 10 - Area: 1.210 m2 - Precio $96.800.000 == Lote 11 - Area: 651 m2 - Precio $52.080.000 == Lote 12 - Area: 1.282 m2 - Precio $128.200.000 == Lote 19 - Area: 1.509 m2 - Precio $150.900.000 == Lote 21 - Area: 1.573 m2 - Precio $173.030.000</t>
  </si>
  <si>
    <t>Lotes bien ubicados, en sector turistico.</t>
  </si>
  <si>
    <t>https://lh3.googleusercontent.com/pw/AP1GczPetDrbiQPsfi_Lc-K_6YwIe40HcmoebMZPW3_gvoaDYY2Mok5CWTa5WUIxa3AV5GCd4YjunaWZdzRTW56ROrcNd7v53v8rtUh5E3MrzDAb2GJb_rZp=w1200|https://lh3.googleusercontent.com/pw/AP1GczPEgzzifxhgczX-fbFlO6J9phJ8XwchUVhSx19A_Nyqe-sBhaD80LI5aUO_ZnWAcjsQXPMQKWfE022K6WhycLfq1rI0VIPkRuNZDTy6-gHAeI8dnEcA=w1200|https://lh3.googleusercontent.com/pw/AP1GczO2Qr2wkO8DqU1XxkDww_58GZO304YNo02aKvO3DNkZUW8PkB9tsXXawWf0WR0BKrcEHDp0jmAZ7hhabHTDOFmyXtXSYKPkpjpqeFZVM9fW_ybqvdZb=w1200|https://lh3.googleusercontent.com/pw/AP1GczPXUT6G1fBRnZ3GkIcdj9FIaLT8SA091uFawZ3RE_GPAbIybg9xG_rcedoY576tPQ6aF59fF6uxEsrppGaQ0C16Ns47pMcCrxGzclPj59JyM9a0v97s=w1200|https://lh3.googleusercontent.com/pw/AP1GczPzIWR7mvs8FueRZJtP57wcTz-sioIfWtW62TItlVmnJOSpjrjlkkPDOfINnBc2uMIzL3MB1__KIWdAeWeFxwu0GnABU7JrovTDG7Ylwr23aj2nY1Td=w1200|https://lh3.googleusercontent.com/pw/AP1GczM711UyrXcbLFZmCDGoQWq66luvWfygjm_Y3fGfgZwWRtRTBkJ8xc2C6BMprktEvQpTB4aHdX1mkBb-OXYM1Ydzb2C1q354rRlglNHlJUofKjH_y-8C=w1200|https://lh3.googleusercontent.com/pw/AP1GczP2zmRJ85yh5gHCm_Uy0pQIrBG0XcK-kCMU-rv9zPYCyNx1Xqub81ABQ9T4VpaUKYx3Foa3oDdB4FxqIE0h13xW5hev9KDA1nHtFKdKCkhDkGTd-X67=w1200|https://lh3.googleusercontent.com/pw/AP1GczNu54hc9O5nOjysf9dKacG-B2X7uoZOwJ32Twwq995A-6Xqm41tCnzAUtNnj9IP2ROmBc0AGebNI_kY0c5yTKVG584ApAZtRTYpJXPGSDQNH3S7_JAU=w1200|https://lh3.googleusercontent.com/pw/AP1GczOohs9-BFGZh3ji5tOv7ddGwGf5fqrO3q-YmaLYBq7xwCQhRNGTVyk7NzEyqmM7bNx86Jm0umCsT6YEz9TenAoGqDNXRtJBk9LJKgc0J7fNkSHJsSCi=w1200|https://lh3.googleusercontent.com/pw/AP1GczPTdL8su6cGHGXilIUv0njKeapwWdtpcV697Dlq8v3I_YMu62Nv4U4iMfGE_lAg2eTAQX7VLt0IQPz4JHxe37GEZfKeeIpAnPZyS-s6arXuz0JU7GnK=w1200</t>
  </si>
  <si>
    <t>https://photos.app.goo.gl/5FucuZSJddDN96Jk8</t>
  </si>
  <si>
    <t>Área de 2.5 Hectárea. A Cinco minutos del Pueblo. Casa nueva en Bahareque. Beneficiadero de Café Con dos Puntos de Agua para el consumo.</t>
  </si>
  <si>
    <t>Cuenta con 18 mil árboles de café. Arboles maderables de Cedro. Plantas de Yuca, Plátano, Aguacate y Frutales. Carretera pasa por la finca</t>
  </si>
  <si>
    <t>https://lh3.googleusercontent.com/pw/AP1GczMT5PxOIk_XArPm5Z4AvCzZ-vW-OqKmyAhhyIRa8fXcaln7tc5ik1pxQy_1etSbVCS7YJKKmnp_UlgSprO992Y4_8QE6CJYL7-WwyB1IWdu7wmlc_wl=w1200|https://lh3.googleusercontent.com/pw/AP1GczOkkxL1LvMJBMs_mDebVbHRNhQXZIixQbiP1fRZdPKkibd3ElzFxS_69UfcRUqIaRszpZIko76fAwRKw4KQRvMOiO2BuPAULI5RlLSHnc_CLAUjgczr=w1200|https://lh3.googleusercontent.com/pw/AP1GczNKP7rbQY_NYqIry4ANOYWgszO4n-tRpG-eUdvD8BIjM0DJFwkvT-1vBLAa1i3SbzoQLTLCAZZwXXKap2mr0MRKWWI5vBkqkRj6ZGWZDnfHlv7BMO4W=w1200|https://lh3.googleusercontent.com/pw/AP1GczMSVxPsUm6djCr40lTfCaFSwBjbfrD0lQvleQ3fy3AscMXpQCYW57mi7YaNqy2CoRNVs7SF2l2Rp2lIfgS1UvrLKn0nrgKabgK3M6SO1viSxG2q-a6k=w1200|https://lh3.googleusercontent.com/pw/AP1GczPQz6KjzZrUjMYCMCTdoq6jETLUzMTlbBE5EU37jCA1ZQN0IJVjqv6GF0uI5lhIFv5Mv-2E5c4-WCJDnK_8L7BRDdTEzJcZ0aoDgLjTsMN57pxMXgoP=w1200|https://lh3.googleusercontent.com/pw/AP1GczPIMOUuomTPlKnU9581OOIFf55RfOAbytXpEOpClDtxH6AZvx_OIMEZzXKBiQFFPy72JbQsEFHLUZS2FBUNUDz8RB0kQg-S8Agqgg2QQSDFjAy95r_G=w1200|https://lh3.googleusercontent.com/pw/AP1GczOSBwtoBCvT1t67ohHF4GFihAyfXWMt0_P2QvU2fzgT0hHmEj37FzP5NChLa0MdmjwQI-T3PaoWODemRKWukQA8CnslMnLn3Dtfa6BESByUML6z59R8=w1200|https://lh3.googleusercontent.com/pw/AP1GczPh0Qa69Ro8GpRjApxfemIw-3tyL6QpOItm1_ibs7_aFxS4SX_Pu9hv-i-lrL_6TbftOMhOpwUyk7SzJikKGGHISNtghZ0EzV7w1HGtOChaz9h2GXUz=w1200|https://lh3.googleusercontent.com/pw/AP1GczPkgNnOT4UWmcUfeSctOy7AdXvzdl2oQKra-je_7x1Sl8j6PLgmE0vqMZLJGNT-1AnEYyzc5B0Z4JPKISvlaLC640pmi5Ww9ZEavzhydD6gIqiT99cy=w1200</t>
  </si>
  <si>
    <t>672</t>
  </si>
  <si>
    <t>Lote en conjunto Colinas del Lago - Vía Neiva - Palermo</t>
  </si>
  <si>
    <t>Conjunto Colinas del lago</t>
  </si>
  <si>
    <t>https://photos.app.goo.gl/i6Kbc3G8hK7pxDdY8</t>
  </si>
  <si>
    <t>Lote esquinero, área 727 m 2 de 22 frente* 34 m de fondo. Tiene agua propia ( aljibe) luz Conjunto de casas campestres.</t>
  </si>
  <si>
    <t>Conjunto bien ubicado.</t>
  </si>
  <si>
    <t>https://lh3.googleusercontent.com/pw/AP1GczO_KSmwbInPiuOM95Vf7rRbpJqMh0OCCug3GBU1QroLiM3dup_LpssAXp4xQuOxl2KxLxwkOdvPb7XkcY1LVg9el9ivW6UwJsth6pmC5b2gsrpx8cFF=w1200|https://lh3.googleusercontent.com/pw/AP1GczPyIEMBXmQl8DD1EJdni1y9X8UrwcmF6ObsLOCi8XjCjkwQXJxS7Fmwpn20kguWGs2JxmX0mCKOf0kcYu9e_T2cwnnpyQkqtGvKTss9U3vVLsf58m5a=w1200|https://lh3.googleusercontent.com/pw/AP1GczOygrv9oodggZv2w5QfoyGVJ3on5loJhm3aTpVNQjoVdlnQ7tPjQRkEWoDCjIX9Rdyv_JPhhYyvFmcMNDS-jouxwK-3wvS-N7lOFqNqZiCqxonAMb8N=w1200|https://lh3.googleusercontent.com/pw/AP1GczPumP3qgj9RReVr54-OVjh09YlMBwEMX7n6LeiXqiSBcicJ8XNIvX_Tu2KaDJJAHzaicZYyDE90KD7SIq8Pebm0lLhuwMHZnUQEgFdrqGu_kEgvn0ou=w1200|https://lh3.googleusercontent.com/pw/AP1GczOTQiqhSvGiwFkMBxRYD34So-4vkNsBQh3MDLQYIjWMWiUBwFnQzNvug1MY3WDY6nv6QBGNN5hEFTqawTEIbgDT0vnfhiCFSYKUsXsZ-hitfj--OZlz=w1200|https://lh3.googleusercontent.com/pw/AP1GczNaREPlPo5U_GdNczX9EKifs5oUfF2VXS6coQ9T88McP29ViNVmJvIn6UI6qE9rC6kSUY5hfP_g7CiwDY6vKJYLnPzwtKRdkA2AyhAmC4LFGcqklJRD=w1200|https://lh3.googleusercontent.com/pw/AP1GczNe7Mx1GLT0PLPPxmhlxXBRhJovsPTbhSD90oZl-5HIDw0pPIlrglzET9xdY5ZFLXKqLy0vxtFRgeliuibx-uxlU0AML__oiYlyGC-E9iibtpq6P_b1=w1200</t>
  </si>
  <si>
    <t>606</t>
  </si>
  <si>
    <t>Casa de 3 apartaestudios en barrio Alfonso López</t>
  </si>
  <si>
    <t>https://photos.app.goo.gl/2gXD48edVC7ABKfB6</t>
  </si>
  <si>
    <t xml:space="preserve">Cada apartaestudio cuenta con 1 habitación y un baño.  Sala-comedor, cocina, lavadero. </t>
  </si>
  <si>
    <t>Servicios públicos independientes. Uno de los apartaestudios con patio pequeño.</t>
  </si>
  <si>
    <t>Cll 2a # 27-03</t>
  </si>
  <si>
    <t>https://lh3.googleusercontent.com/pw/AP1GczOMRbW_vdAMMDo7S5bWPObDchpeIpBYkUB1Xek-XvP1N27Ss2UX3-Mx0KYLhN1sZNib2fYgqU_O-ZtW0a1q3OzI1xXrr1pdwtiJHarFg2pbnvU75OMS=w1200|https://lh3.googleusercontent.com/pw/AP1GczMJTiU8aLeBeokR1U0uv9aK14J7Z3YMTTWbMsEFPm140ZCMJ9tCAcXQ5HuH6-nly4WkH8b741sc1_FDelA9iZ1a_sr-n2OdN50W9HEpXlfSdMnRDYlr=w1200|https://lh3.googleusercontent.com/pw/AP1GczOevt-cj1tlSSOYYbv-BOpB9tYv9uR4IwFz4fYdIudGn1LraVcbl43ycEGfT8iKwu3xZ9f6kueo7cD2TRzVPzbaNjS3j6dA-vbXgdBHgbQN-mW7WptD=w1200|https://lh3.googleusercontent.com/pw/AP1GczOJHli2RTvoaLs6G7Yw9t50cuidULyBFQs78CdfzJcdYPWyu7-c75fKj4460ldfqaMyAwSHxTzQulER7yBlQZrHnYVtjeywSQyo7552d9Jmb1IiQU_Q=w1200|https://lh3.googleusercontent.com/pw/AP1GczN9obGyeweM80evqn2-b82VD_mqK9I-bkdIaa-XSP7HiMBuXt-pUjwiaaBdGggk-qO1IBvpjqGhb3vB676mFzyMddVNsbbgff9kuFrNPJ1gmFSDJIS2=w1200|https://lh3.googleusercontent.com/pw/AP1GczMzJJ5JGkXfmGCp4X0UhCTvy3UOmSVWeITh5XKCF2gn4rRXUDFSCvagN2w6ni5YL0_CFkMn9BkdDJ8S0KMzSkGM9CE6Bq1cgEG2otvgkMQZckhx6ppf=w1200|https://lh3.googleusercontent.com/pw/AP1GczOdp84A6PIkVPvBaw1SjycGQqlmqPuHx53rg9VVsfr52cVKl6XW5hXUq6E5_KnMYHqZ9id2T87i2tYbCcTVSJfpK63vwDvB8EjMAsTRgS1MNl4eyXep=w1200</t>
  </si>
  <si>
    <t>727</t>
  </si>
  <si>
    <t>Lote en conjunto Campestre  Valle de la Rivera - Rivera</t>
  </si>
  <si>
    <t>Conjunto Valles de la Rivera</t>
  </si>
  <si>
    <t>https://photos.app.goo.gl/tq2vYLM9xDjvymGs5</t>
  </si>
  <si>
    <t>Lote con servicios públicos.</t>
  </si>
  <si>
    <t>Conjunto bien ubicado en sector turistico.</t>
  </si>
  <si>
    <t>https://lh3.googleusercontent.com/pw/AP1GczOl-itToLcPQa9p8-WYXZ-kJDrpN1Kfj_jACPMd8iYdmbEkkFsJsv-4H_ytOWH4S1RDG9-fpPP3XPF_ZmpujPye910pXPYJOVWpXTsKI7N30Ojfdafp=w1200|https://lh3.googleusercontent.com/pw/AP1GczORKXxymnmkg6ja5GcxdTiQQatb22CctXiaOoMu0gn4q_-ZtHsFLjC0_ndi3K0oZPnu3IHj3rRY4nDRherrnSj-qXw3tMOmTKsz1St0IhFtbTIwVw70=w1200|https://lh3.googleusercontent.com/pw/AP1GczOrofhhpIrPKl8IYDdIQb2YdkQyZ__tPfB76EH93WZvBQ8-Si6hIBqPKmVhUGPTI75WuKwWLXUfeWgEQ92Sbe-6nkt7pmLaw0LpUZ7mAYU4qc01-bSL=w1200|https://lh3.googleusercontent.com/pw/AP1GczMeEWxUFVBde0_dfVAhq8N9ltjpl6AfX2z5Iad7BrXBc8hc3AfHek799ehXjUAEoN5oJxXCIJEOA3DR4rcn-YG9wv0huG67TzSXhTSPmpkcJhXKaeSD=w1200|https://lh3.googleusercontent.com/pw/AP1GczMPA_S0JyiPVbvDvuxzJ8_nd2U8zjEl7Foi95UEtePHK4n2Y5v7MM_heGnerkyWK9pYPCqDvbuo9JEGf8BJlWZ0YsqTwUn897bb_oJAw8usX-frm23b=w1200|https://lh3.googleusercontent.com/pw/AP1GczMU9cLw-kYXx9r3Ps0JOHMVp5e3g6WGWgJXFKAU_Yfd0usumu-fv0CtHySo60xiZB1J4XALEftovaeVsNhu8GW27bfg2HEvYIZmMzEjZ7IwXVOQbA49=w1200|https://lh3.googleusercontent.com/pw/AP1GczNzdXK1PApK_6buqyxtQHXJ6dIl2Viy67NdqLaVZKd8tx4xr91prs6oJdQ9LIPRcPHen4ABIrBU48SCx_VYrotjr5bk6hrIpDtau11o3Gzoql6zuCQi=w1200|https://lh3.googleusercontent.com/pw/AP1GczNGJDW2rDPDddX2QDDOOeGaUS_Yi74TJZSRnFcC3Ft4HNWJqDbnxlzcqiimC39XwjcHM9byv8e9ZQZehlxMGH5qho7mG5im3jvm-ePL3dt9PFlLc_md=w1200|https://lh3.googleusercontent.com/pw/AP1GczN4D5-P4mpviombprTbJkKy9mZfdBGrcLG3hRNt0fbqJI2e7nJjbcpY7-cEYC9Egm-EGgl7PuSs1VbAHFHfDZ7n8bcCgnOfNQeLD1St8E-oeY5hYHVq=w1200</t>
  </si>
  <si>
    <t>081</t>
  </si>
  <si>
    <t>Lote rural - Vda. El Arenoso - Rivera</t>
  </si>
  <si>
    <t>https://photos.app.goo.gl/aP9DhRuiosR7ri5XA</t>
  </si>
  <si>
    <t>Área:  3000 M2. Excelente terreno para construir.</t>
  </si>
  <si>
    <t>A 15 minutos de Neiva. A 5 Minutos de la vía principal hacia Rivera – Huila.</t>
  </si>
  <si>
    <t>https://lh3.googleusercontent.com/pw/AP1GczNsFy120A-RM5FibqE4jfWpyO6OwYnDmcrWOXL_Mo6Yytqrhk3nNXKJABORUTzhu4M-fiDXKxY3-BJo1pYWkp6aBwhwW0mEz0q-nUxSMQ6c0fD2abzG=w1200|https://lh3.googleusercontent.com/pw/AP1GczNcYW66smA-ln57-9aY6tGr36vClKPOYoxgwm5SGCerJ_SxthpoZ9RquNTTUA--qqIRTBZGPIQBBeNjsXACjJgLMWnSvDgNWBOvobMg3JWqzD6i9Xni=w1200|https://lh3.googleusercontent.com/pw/AP1GczMuWrNEu91C3A86fSn4pNqUaRTsvgSbb_9DaD35ldY0Q5cLG8avnoOJPBtIBu2_s8prmZjDOUcDbnpGAfYSchM9nHgeMGMD-DFBNpcmWG9OhqW2TRU7=w1200</t>
  </si>
  <si>
    <t>514</t>
  </si>
  <si>
    <t>https://photos.app.goo.gl/TALfxmABfxfFnYte6</t>
  </si>
  <si>
    <t>Carrera 1a # 17 - 31 - 33</t>
  </si>
  <si>
    <t>12 - LEIDY YULIETH, 40 - ALEJANDRO ROJAS MARIN</t>
  </si>
  <si>
    <t>https://lh3.googleusercontent.com/pw/AP1GczPvRZgXGVvq1CLka4o2zdKtsh6ofGaSUYHmuT8QUqJxNKe7bpmClCripg5ya-iBHMm_7DvdZFFMtTfNHkS729cN1ccz-Nn36TYZqOZQIbr51JkJG5Z1=w1200|https://lh3.googleusercontent.com/pw/AP1GczPztoVGoheMynF27nqZyfIn-EsDfayQ1PoE0QYuKYWR-jEYXl5FaEE7NsUwazMYeJ4OJiinQgzIU1jmmU9N3mDbi_UPljwcCWfXKhyXAZEdPQHwfEow=w1200|https://lh3.googleusercontent.com/pw/AP1GczPvcFABnDOQB2Jza13KnYRFaS55PgNwwqEWxJp7ItCKDIP0KD8qQGDUj9ndPluf6UoxBMNSTJRGg1lAnsFzmzZeYlPvh85oaqG6PNQ62EqYN7bQJZ5A=w1200|https://lh3.googleusercontent.com/pw/AP1GczOYd3fQS_6RQuEqCUHE5g7iR-qyRld8GwZn7VxjLqR8wXhCouhOgcfS53PzJLk4ZCP0PxsiyejrlJiywzbr0MImrBXCWcpzT9X6ih9f2W9ENWlhqF_D=w1200|https://lh3.googleusercontent.com/pw/AP1GczPio5rYK2AH4U1H_o-CS5__HrfVQxbS7R5rlIuHVsSVVvNcZUnROuD-Kv3Cs3lGtY10qSytuhqIz8IOnuooebWu1q6ZHfoKLJbZRTSKRIz9aEXxF5pN=w1200|https://lh3.googleusercontent.com/pw/AP1GczO57QCRewkN36t8hcM1f39IC6oBqNRn9pnG981xFyRAfCvMeXLD52BlWuM3UQ58_VoYwToDIsrP2ePT6TWkqRA8QywdmwbAXqYzlS4FpVL1iq3VREEc=w1200|https://lh3.googleusercontent.com/pw/AP1GczNI29U_PaQzNgWRJKZrClSy963V8zY7uu43OLpoYvDhBVC45ouFpbv2wTil6MglPc5FVP82m48Cc_g9EaARygmCeW9gCb-5w-f_3Evs6LY0tFO4hIO1=w1200|https://lh3.googleusercontent.com/pw/AP1GczNXVedTs6pdXEzLTK9WbgZpD3WZKtE1BCSCefKRau1BFLNm4jvZkpsbBxF8hMPZzuQK07RrHQIJgz4X2b7fd_06p0-VXaWX8LjjOpgjnFoHr--ToXqP=w1200</t>
  </si>
  <si>
    <t>449</t>
  </si>
  <si>
    <t>Casa en el barrio Limonar</t>
  </si>
  <si>
    <t>https://photos.app.goo.gl/qMuba87kZvLGuv9P6</t>
  </si>
  <si>
    <t>Reja exterior, cielo raso en PVC, pisos en tableta</t>
  </si>
  <si>
    <t>Carrera 38 a # 20 -75 sur</t>
  </si>
  <si>
    <t>https://lh3.googleusercontent.com/pw/AP1GczPjpissvfrglQMA1MeVXsh5oj3AS9Qpr1E5WOuQvsTa73iURVQfoL_MaibMZqBBtlIAYBD-2tsoFz8C9We0sCU9QHZh0bqIOGXY7zE3a7NoLRJCxHUO=w1200|https://lh3.googleusercontent.com/pw/AP1GczM7XGuFzo_zTfF5PSpnxu8eYbNid4tHHQgmZyzQxH7i56OQK4-cxNV9-8OmcbfPwA5c5tSYSjT1IzD7Pp7outOr9Nnjv-Rfn5tOgdGCvW1Vgy-OSFoW=w1200|https://lh3.googleusercontent.com/pw/AP1GczOaQcg7DxWTc36wHFLFWPsp7fPOrRmIkvzlNqaWFowj-fZazVxZC1G-tVyJPHcH9q9lhwnGNOEXtccMqZh7rEIQ4pgVhfzkIKNYoIjMfDzDncqpXDWc=w1200|https://lh3.googleusercontent.com/pw/AP1GczOzJXzJv9UpE9-l8Ti5NCzFgwDW8cJPorKYvazqZllEgwai8qAWLaNh5R8YPSBk5Il3-HF_sViPohH60FnixP-AE4uzuCptJW8_UJXlkIpntXdD54-4=w1200|https://lh3.googleusercontent.com/pw/AP1GczOZahyD9lEgrEXjuDOOk5gZWUpwx5Mglg_D58uNX5ZXPS6lPMovgKjPJ3F-Q8USUC98fKZkV55x61BdjFSHgR8yJmrEZNy0PGzoQTPHDM-RcXf4KMLA=w1200|https://lh3.googleusercontent.com/pw/AP1GczMCVa-ZuQLgzKQP2p34AI9icKYPPmBi_GdEu50BYhgoIMJz8jc1oF5MuNhNRHPrOz2BjrZQ8L6MA60I5SKRbwFwTHMmg8SyEbCT3v46V2iG22GfsiQm=w1200</t>
  </si>
  <si>
    <t>738</t>
  </si>
  <si>
    <t>Casa lote - Norte</t>
  </si>
  <si>
    <t>https://photos.app.goo.gl/tZrDt4WKBk2vyeH99</t>
  </si>
  <si>
    <t>Casa lote ubicado con cercanía al río Magdalena.</t>
  </si>
  <si>
    <t>https://lh3.googleusercontent.com/pw/AP1GczN2a7602LoEbkTNgSMH8IaP3k6hxYNvV073gnImuC5Ip7AqJTDmz1KYi_Gj3qAaXdK5TXeISXkkIsn-3phqHUdozpNIyHJXiyMa1Lz_9KkwfHDWW-oL=w1200|https://lh3.googleusercontent.com/pw/AP1GczO4it7NHcb9qSJZQHIyjowuKAVdFdgV0y3t8lJWBW4btRx_AgMYlTcOU1L8mIC2D0HyalDlP1bRhyuUnSgBN8qf0648vJrEhnQ9buCXRks7yXLjDmLc=w1200|https://lh3.googleusercontent.com/pw/AP1GczMScpGsPKr-PDjcniWqvcHuMudLX8O_eCFLZg5rLKwTjZuSWBleVQICK6SWJ3zwY8QeOwuhDnCLVlxNfxWgCPwKuKIvLW9ygvNnlkRP6NcUd24YWSO6=w1200|https://lh3.googleusercontent.com/pw/AP1GczOs_h_keyvxZb_Axmr_UV1rsRor8Bt8PDUPcqnPjS_dVhC3-xeIYvY_fB9_0532iozFb6sm8FgtTtM3Tpdtm9xTUuUYVj9-aPeAhstyfZu87AEYRS21=w1200|https://lh3.googleusercontent.com/pw/AP1GczO1O_FU12C0Or-ino_bO-WYhgWR_EHNf8JNMj9pue_k4XG9zMCoXNvAUKBB1IS0PNolD3KJh6-RWvxnFMfL6RO5tLRrnAGn75C0noggkRHIF7E-nyPd=w1200|https://lh3.googleusercontent.com/pw/AP1GczOGUd3d-TS4MVB65wPBsDD3TFETzqjK6i25I7dfdinafPx6-WsjsGy2UBl20ZiwPTOGvRvX0eoK-onppY9zUfwJZFpEdUmyA7TwiHiWO-bU6DwumINC=w1200|https://lh3.googleusercontent.com/pw/AP1GczPd7iOnzg78BCafEbvNm4gG7rB-3vboOIGDvv84Fezh7GBZuqaAtOYxLxXvVl0Ni2lGVic9KQqhAM4zh6KQJRfyXLDvxHzVrumDzjk_W4fJPsLjiUjr=w1200|https://lh3.googleusercontent.com/pw/AP1GczPTvLxWZ5YcmnDXEjDtggm5yjzkvq3efJ9RZzoz43AqzP0YWNYwItX6ZgxQAyUvsdFXAX2B4K9lWUdqAKe_iqy7sBNysxgONiOKnSPNbnQLzuvYMTtg=w1200|https://lh3.googleusercontent.com/pw/AP1GczNUteF6d1PWQi5yuS0HBwIEdeRNoF4sAAHqFZYHFpcWBfFFlvWmGaoRLIewVqD3nAGWfaKItBeyWJ4z9JnYa9wm7GenfMxQbiEtQzlctli5z7Qe9igk=w1200|https://lh3.googleusercontent.com/pw/AP1GczOUCu-sJMJHIxAgluGDuTYqCLNuPQEJSXrLKG_qZDyAxV5v_-Xwk0m2JRF3FlwKrcPANU6r6baVkmhxnz5W_cCuX3rWckC08KN70riPaU-tvcHc3W0m=w1200|https://lh3.googleusercontent.com/pw/AP1GczPyDUsIuloRzzO-xIRV0lijqRQaECDooH2phhWoMX_uncxk4DpGpnR_qZDZRQsN6z_vj44PU9R2aPcSgtIzQmvdu6Mkq6f9TNTN_W3t2hvCh-Xq68iu=w1200</t>
  </si>
  <si>
    <t>541</t>
  </si>
  <si>
    <t>Casa en barrio Praderas del Norte</t>
  </si>
  <si>
    <t>Praderas del Norte</t>
  </si>
  <si>
    <t>https://photos.google.com/share/AF1QipOlbIhMdp6Tg-e0dW2HSdMdKDvtMDBFp8PYE_wbDqfYLJFnJ4aB49_D-eysAdzlEQ?key=T0pwTXNvbVQ3QXMzWmttaWZkbDdETU0zenRwTVNB</t>
  </si>
  <si>
    <t>Piso en cerámica, cielo razo en icopor, con lamparas led de empotrar, área de servicios y baño enchapados, división puerta en acrilico con perfileria metálica.</t>
  </si>
  <si>
    <t>Casa medianera, ubicada sobre vía vehicular.</t>
  </si>
  <si>
    <t>CRA 1G No 81A-69</t>
  </si>
  <si>
    <t>https://lh3.googleusercontent.com/pw/AP1GczOi8mdVE5Jo0WD9TV73Nrmm7h4j5-nIjfd-cs8glhWbBSlq2AvcIDBV5wWY0BGSmtbCNQJTKPF4ph9921zdht9C6ZZqgVqR9TDUonegwBPJELI48OeD=w1200|https://lh3.googleusercontent.com/pw/AP1GczNsG21m5TxUWjB363JDQVpxf0YGnQZKMmcnU19PU1aPmpQNqrrAbNNXHRatVD6KTL__MrNMCw2zgl3e1Qx8gsNzYvon6Uc1woys9OehyQvXuV4jJii-=w1200|https://lh3.googleusercontent.com/pw/AP1GczPnR9t2UoxZkJ6KBqMzSGqr_EfOxjd2bfSL8cfBkW-nP1Jas_k5KndIY_cjM1136o0i1miQwjqPo_fegmxKeFe_Z_JFuWED9EEN0rLnfmRO1DUxLAAE=w1200|https://lh3.googleusercontent.com/pw/AP1GczNfEa0RpAXaOpXDK-FjpwzXNtulqixnm6-xbxoByKHNycipXfG5wt7AVqWiTyyGmB8BLXVG9m8SlHd-4yg6-u-dO_mUpOj6S5GCEoIw5jyE03YdZCBQ=w1200|https://lh3.googleusercontent.com/pw/AP1GczOl1ZKKwbPGZF-VAGcUMfEiDuDAwh25xMEFD0qo6s5lwKjfx64nj917xqzNvan5AeK8aS9_8Mj6f6AxkNHXPm_TKP1ZPjkIWRQZt4rfbk6DusEBCWCy=w1200|https://lh3.googleusercontent.com/pw/AP1GczOJoTMeLcoa_Fu1ewFcyhHBn3pSYmLftArVfL29i4xIUibsAkgH500UkyL7VFbUSyNEnCDo2vwWM9-QETM_v4Zn7s9q6xb5OIttLHndBKh2kj2_EZom=w1200|https://lh3.googleusercontent.com/pw/AP1GczOfdZOc1p3r7fj2dhYmrhihXuDJn-HvOvye-l1BYwWVZGwWUeunv9PCWw-MJutkNdXmhC0Be4iDFjcBNTnmczjlIr5EHODUNa8mKo6zfVqcdmwC0kZv=w1200|https://lh3.googleusercontent.com/pw/AP1GczMikSeXV0hNmYFprSdTlSdngSWW53cJv3KZd36DZYF1JbIi5IXGW5QUmuFqEAJ7TqMrXTZ7ushRAw_ihOWDIfN16x-gXaXMYFbCMXN_tdwVhtFkDwr-=w1200|https://lh3.googleusercontent.com/pw/AP1GczP6h0jqqocQ1zfXnvYrRzeDYgQuNUqEkoGuFgUJAJ80JrR0BwgzU5bA7MM6uR7ioB5YgCs1D2gIzjoGSoQB7DVAnUc3gr_Vo2jF58r4hSAHgZFRYAI5=w1200|https://lh3.googleusercontent.com/pw/AP1GczMwVhzBUbe67Zn_jNBDi9rhDWF99cZ1G3MowWAvM-ri7aOPLqkwJgnHmQh1nOuyEfXyAFR0bPAeb9YZP__aln3-bwy9z1n-HhQPe3Ji-0O8JtF3UGVK=w1200</t>
  </si>
  <si>
    <t>642</t>
  </si>
  <si>
    <t>Lote en conjunto Kanan Vda. Los Medios - Rivera</t>
  </si>
  <si>
    <t>Conjunto Kanan</t>
  </si>
  <si>
    <t>https://photos.app.goo.gl/kpDLaMkzB7hdAdtb6</t>
  </si>
  <si>
    <t>Conjunto Kanan a 10 minutos de la vía principal. Terreno de alta valorización.</t>
  </si>
  <si>
    <t>Área de 2.300 M2. Dimensión 36.0 ml x 64.0 ml.</t>
  </si>
  <si>
    <t>8 - ERNESTO POLANCO, 15 - SINDY MARCELA</t>
  </si>
  <si>
    <t>https://lh3.googleusercontent.com/pw/AP1GczNJUgVc9WPudqYX9JFmT98BGikbNMiWvQBjN4xDBMJXpXnsXfUWcuPrx8IaMHKhtRtQg8MN544eDtWVNsDlVuck7awPMQLbnb-ERER7mUskOmrRfWT-=w1200|https://lh3.googleusercontent.com/pw/AP1GczOdnFrZ_QQTAF24ZFOV3SVcfpm8-Sbhae2FS8eQMxHqotpttyNrYfkGqM2X8wvguU8PUBIr7qwI3--mvvWCKwf0g6ShkyJlrxCfbc4_psAM0m57OuV7=w1200|https://lh3.googleusercontent.com/pw/AP1GczMuWXBjPohi5tfR8-Q6sush-UR26RAK5xxwIpA19VLAVAkp7khmkNRdyGdIGJJoHhUoO72Ra5AQ-r_fZYGdQTUnaFfrnXHXiHZcYKAxUJSo6M9inEPj=w1200|https://lh3.googleusercontent.com/pw/AP1GczPal-PqV7d6OYd96FCF6SIMrMrR_FLFgIUyvOu4V-YfBrf6GAetTrCiB1mLopgqE4X7EBZ_UVwhpXCAAmCMl3u4VFKI7zc3d5_oBi18gJdFBJtBnU8D=w1200|https://lh3.googleusercontent.com/pw/AP1GczM3IUOL42sSRj6gIkMO7PaAWaveuvPy1OxEZs2S4cGCt8rOp9o2dUrF6TgaQx45FSJhGZ5W74r4UAZuIhtUs3ccD6ObAzd1chx8GdzJxxs2BD_nUI8X=w1200|https://lh3.googleusercontent.com/pw/AP1GczMmR86YxaQpdXFD5iKw-uFhYDTNx2oBTHsh0UIF6M8OC__gLxKLI2vrqiJhXFvuvwv-Oa_pA-Bm8l47CVbLKdsTNcLHZpD0d_6wvae-ffShakKdiIqg=w1200|https://lh3.googleusercontent.com/pw/AP1GczMzDQTyuu7uqbpuI9yAfVXfhewVM7CfDI6BmKnKgbTfP8TIwzBie1ugHLD8UBQ88FzNsCmrA25Mfghd-dHKEgNIIP1coP-R5K4IYv2mH2l7-etJ68fl=w1200|https://lh3.googleusercontent.com/pw/AP1GczNMMUZZ7BgXZw7y5RMagaZEwVkmFzJjVeJ855cwbeSnrlgTEe_iqxTBAkk2DfJ37fDipglT4nIYm0alRolK8pvXQ_xqU-lJQOAoAkHz4Pqo9TvD9eYk=w1200</t>
  </si>
  <si>
    <t>Bosques de San Luis</t>
  </si>
  <si>
    <t>https://photos.app.goo.gl/AqvzBt2FU4rJzBZ77</t>
  </si>
  <si>
    <t>Se vende apartamento en conjunto Bosques de San Luis, al sur de Neiva, el apartamento esta en el 5to piso, cuenta con 2 habitaciones y un estudio que podria adaptarse para una 3ra habitación.</t>
  </si>
  <si>
    <t>https://lh3.googleusercontent.com/pw/AP1GczMC-esvTg6vHy_mb_QslzXWH2538_LH7tbYMec_ourYsogKECy_Vwuj1pcImXB4VJwAPXrHfj2qvncWdQNNjT3UNIDuBT59--S75qmYO2NpX-Tv9Ti5=w1200|https://lh3.googleusercontent.com/pw/AP1GczNq6ggQEP8-4__Jk4F1olv0rZeqEcd0YmLwb3l38hbuTlJ_nQV_B7k9gmd0cAt9jGMpWY8Pv1t0tyrJGbYFytU9pTfQ3RlXheQS4i8EsUYgE5Fth5_u=w1200|https://lh3.googleusercontent.com/pw/AP1GczMMCkQhsTc-8mUXib0zQw7CtiqY4RBPScdTo5CEQnWWXEWE3OO6nLJwyNB3nuDTYPx_MsA-S4djzQ0no_cPr0VMidxIm5B4BOffD_0GFLlORTZJok5J=w1200|https://lh3.googleusercontent.com/pw/AP1GczMwyhUOMfXuSjFsdYk2Z9nz2DPrAm5qS2qnALLxfVfW1vty5QGLwoHY0F4BiioEwe0HohjY6Om5QcdHIFPR2kTICM6O6efE1vqtoBn7DyLnj2lTluqj=w1200|https://lh3.googleusercontent.com/pw/AP1GczPwThU5qOknF93OZ1V-_73g721ZFUFrXhyAMYiGDgJ7QLCdeermiYgdQC9RzuS9hX8xjtMpAn-rHp0tZR6kxU7Whf4tRegwFCf3OZtBxD1pxZq-sfSB=w1200|https://lh3.googleusercontent.com/pw/AP1GczOna-qkguCwP1_ShwSldWk7LPP8HFqmUlx5uAUqv-QnkHuXwksj3Pyb9faL0TGk_5voB_KhKwpDBbB_eFtPqr4lk9kjRU6P7II1xmLgyHWSzjBElg95=w1200|https://lh3.googleusercontent.com/pw/AP1GczNWAVTWbaVNks4zqX6jqHrO9FkQLvYGYcNvhb5esnnWj2QNbqoDf3ibnjsFLYWnwle7MMZabN6xl-87bnvFheAog7fDKtxlBPZi0lgjA_F2HL816idd=w1200</t>
  </si>
  <si>
    <t>739</t>
  </si>
  <si>
    <t>Lote  campestre en conjunto</t>
  </si>
  <si>
    <t>Conjunto Condominio Valle Grande</t>
  </si>
  <si>
    <t>https://photos.app.goo.gl/DiXtovCaoiD77WHT7</t>
  </si>
  <si>
    <t>Área de 400m2. A 2 Km vía el Juncal. Ubicado frente a la vía Nacional. Con servicio de agua, energía y gas domiciliario. Conjunto cuenta con: Piscina. Capilla. Polideportivo. Cancha de Tenis. Vigilancia Privada.</t>
  </si>
  <si>
    <t>38 - MARIO MUNAR, 20 - SAMADHI RODRIGUEZ</t>
  </si>
  <si>
    <t>https://lh3.googleusercontent.com/pw/AP1GczOR5utyfUlFUCZvqcS-8-6zW3MFwwxGZaCmVFb5GotKZkzCyZvE1QHW26wq9M88JdvNA2f_XGVGcSnkFSFKoWgwjGp1jxGwKDgWqoncH_Qk_38Z74ja=w1200|https://lh3.googleusercontent.com/pw/AP1GczPiSCI1GIWlp_frAljy66TDVITfRjtSBxB0FKF6_L3WdE3C6Q0h3EEI6pIYWHa_ozhyEs5PzNmxhdd7Xu-uUvr5pTwf3Cnfd9kfVqWLNftAcmpKZbnd=w1200|https://lh3.googleusercontent.com/pw/AP1GczMDPCR480c47utnICs2QRdT8hqDfNL23ktVuGAz5FweSCsQgtEnhtl94htAPI2DM12ppzm5WDsxthGybrgfbt1FmFIbC7FLntfyAIXxC57uvjLm6KFl=w1200|https://lh3.googleusercontent.com/pw/AP1GczNq730vvWzPQOQ5zDf_aKxRVLsxT2EHSrr65lYwXxUFUHBID3Gmk-2qdmtMRq9Sku8O0IQUE6gjbcsXMPG-SOQV3C4Q2Q_kusBfYSScW5peszsxGhbv=w1200|https://lh3.googleusercontent.com/pw/AP1GczMgw4c5HHA7lAmnpdCp59nV3QcOoFaOFyGaNJRFCc3MTYuyhkEF3kd9Z_NWaQO9os0hGxVGSTZIKG_SQftqQTYXAXyRV3P4mpsFOjOljm6V33w7OrvY=w1200|https://lh3.googleusercontent.com/pw/AP1GczNrC87zEpG4CPuKzwsTWDIuKC24ka9FfAYbbWyFtoANfSRzcxswZJ7iOwMnr2bn0SoH-U6P8JwlydGrX7Zx-Fnz0aVtggkU8BmMNYUpBqoLeJ9heJcq=w1200|https://lh3.googleusercontent.com/pw/AP1GczPlwXZObaBsUTMFwPyK7agTRGCQkHAVSHPfvjnkPfR2ucVuVn87JnBRRVdMibc6NlGLqDT2qUs7YaJQRFx7RTSe0T5ckRgsUmCgMxd09cls-YA_AWVl=w1200|https://lh3.googleusercontent.com/pw/AP1GczOSmzFk84nIVj4Tv3r-PChkUms6Yk1Inb98JRSb7PH9jng3iRWHXrWBayPKWczFdNZZJP3cw2nO0TTv8EqxGkMVMug-NP2o-PokZKuBh8FphcmBE_xt=w1200|https://lh3.googleusercontent.com/pw/AP1GczOA3E_I9lMOWpd55VxXJJWudtE_SzHhOdctakhYj08Iuu9xQDDhoPu8PscxEYvjqI1WzKAzCUYOnwCH9irO5vUKHet_EjJ4cRF7Xa9C1NVKGYZR9jUI=w1200|https://lh3.googleusercontent.com/pw/AP1GczO6GT0Xi1bfcfRbwegzSNuh1l1gBY0xLh3L5-B8_PqVWZCw1BEVnsdmNluZnpiAWEkHjsEiqON5DHShaHasQqSIQJs4A8r9zz5I75qoNhkbRug_Inr9=w1200|https://lh3.googleusercontent.com/pw/AP1GczOQAGhqAX4KC1FsrbdN1fC0F3dPiWdgyKOjrlSrPREK8375frVq44SaFeyc0CB-43ARgG0nFqWSHiGe99nIwTmYlvLa7mh9h7Wp4HI9-dqX5Kx2Xmaf=w1200</t>
  </si>
  <si>
    <t>723</t>
  </si>
  <si>
    <t xml:space="preserve">Lote campestre en conjunto Condominio Campestre Valle Grande - Sur - Palermo </t>
  </si>
  <si>
    <t>Conjunto Valle Grande</t>
  </si>
  <si>
    <t>https://photos.app.goo.gl/NKKu3bzYBztQUS9LA</t>
  </si>
  <si>
    <t>Condominio Campestre Valle Grande. Ubicado a 2Km vía al Juncal. Con Red de Energía Eléctrica, Agua, Alcantarillado y gas domiciliario.</t>
  </si>
  <si>
    <t>Area social: Piscina. Capilla. BBQ Polideportivo Cancha de Tenis.</t>
  </si>
  <si>
    <t>39 - JHONATHA, 39 - JHONATHAN</t>
  </si>
  <si>
    <t>https://lh3.googleusercontent.com/pw/AP1GczM3W6fN0UpcODgFAsdZheUGIT62j2OhYdL-GcLPEhi9xIzZ24q9pU_VisMBo6ksPWLjpW5cGHIyXguA0cHGmrFUJQ-flo7GmbssywmQWIDUoxlNXgBO=w1200|https://lh3.googleusercontent.com/pw/AP1GczMeTYi-Z8OQdGbYgfJ-S32N5MpFOvoviTshoTNdfBAeR-QUJ3IwG35lQinzZPAe7maPSrUvEPFH67x4CgIK0f_CpSNbyVTRnUhpIBiJ8Q7EWhR3lhxU=w1200|https://lh3.googleusercontent.com/pw/AP1GczNHCpbpKXwdIcMlnnFNw9yGnoldObAhJWJ-Oc9dWeOLAiAfhencq65G_GrkSfP1En5ggZRxzAYlyczJO5WMt3Fh8BmC8IZ-O27yS26jVsZPhv2bSRBx=w1200|https://lh3.googleusercontent.com/pw/AP1GczNUKO2HNI3yJK30Sjl1sDyGRKaDC6RugB9Kf4UlUf-ZRyJrJBDklKqsmapecKw4tq_nzqQ6L5CxDoNl00QTNSgMg5OZHujLbTtDcvm2C84B9U5yygVA=w1200|https://lh3.googleusercontent.com/pw/AP1GczNsX4B30diYr2ukyuxGWF4qsnZc0_JMqzjlYyosh-nG1WQ56lFwL4ydNqHfUoY5AINIXZqnbwjc52hgRb454Ck98P6KsLyeflHZudLaXA8Hx1mbddQ-=w1200|https://lh3.googleusercontent.com/pw/AP1GczM41v6X8wd3XTScfAsaYpKf2UcjTVu3trtGH_y5x0PKaPyrHFmYCCZ3PY11hWFaEfGQRHEpst5rSlZdDTVDwTpKz9Ph9YgPuWsZmhwvhdAx5fcTBF97=w1200|https://lh3.googleusercontent.com/pw/AP1GczNQlJOsD4UkjM6W7EjxLyyziUISXKDzi7LckiAJBBmLDhay4E2SEVaUqzpUCaEOObqG6nDWLqpyB0RUe1LE-KRnEHEIDe3YLjEd-QPjkxIIcOu4zNJQ=w1200|https://lh3.googleusercontent.com/pw/AP1GczOHKlqHA8kT5TsYnVSOhOMh0Il3ejR27IFrSKMhhZUNdv3HtM3WLzcKZFr54CSWKhyF0J10rOliq03xWEqgKDZTugJjefAMGFDQQN4a93M_g_OICGCO=w1200|https://lh3.googleusercontent.com/pw/AP1GczNKkoJyUebIZ1Z0VRo08e8oypwgskJk02X5SP-swCrdvcPc-VQ2E-uYm_utIO9zZJi-14wLKaZ_w0eg87rHkdAP5G-RjdQtRKZE1bKBxqfLQOAz7S_i=w1200|https://lh3.googleusercontent.com/pw/AP1GczMiydit2nx6JtgKlRKE7xJlVacF9YgmUgIAk-s_SKos5-J201vRFW9fJ3Gj7j7El2uNlddkQG9yGAlTpObm2uqV8-lHWc06XB9SOQlCm8AI8ZnOME8Z=w1200|https://lh3.googleusercontent.com/pw/AP1GczOWmyqJ-_ETa4sbTdNh-s15uMNkfoYIGuu9W1iR4dtP448RgrB_XRvRMjFNeNp5rJRVKOiVPQ5UCIQ3p-5s6H0Po7EaGQv_-ztlPFi9h7Cs_xN03NKJ=w1200|https://lh3.googleusercontent.com/pw/AP1GczMhodQiihNgeJ7NgSee4DqUP-9QDxX0ra6sQosUaGbwpOhzl_nXoW6oanlZkPfOgAfl0KNawELSxVV0qpceil25Ms9XYmsKIe0fU3Wn6FeWb13l-e1j=w1200|https://lh3.googleusercontent.com/pw/AP1GczNP1N9aXzA0LAbQMIhGT-kZbXh_KlMlbs1cCwH8mTpvlx4QNqcA2RHDeMluylr4CnFvM9ERP5wh0X3ZKaqLQ2C7NsX1u6cs3xi91xfDGqorvdbjxsfg=w1200|https://lh3.googleusercontent.com/pw/AP1GczOx0ZazCCOI4FpjAzsTz6YgPPkZqrab7_3_REP_DfMOQPXuFSVn09A6nWIUgdnSRLGz2Yw5-MRani--3gccPvwlUDE1xO8lspMJuq7FYeIQgAc44UkT=w1200|https://lh3.googleusercontent.com/pw/AP1GczMEW4lf4SmGjDXMvHaXOGMkOVtqcDHR-_WYkUr3u9fqfI1d-wfeH4wW4xn0aN9VgAMXtBUWvplim0H09gWCEoFh9zUyQ5l0kyeS1A_QOOAfFy5Uesm6=w1200|https://lh3.googleusercontent.com/pw/AP1GczP5sFFmsFoRZlP-zV9__cfMXhD7P-VqjLnrnCjIGPi2Vsc7wPFOTghMZk1YQ_NNOD-LZ4dFqobOS3KLowlKIFFw-ogXa4oibtl-vhJscGikXh8MKdXE=w1200</t>
  </si>
  <si>
    <t>693</t>
  </si>
  <si>
    <t>Oficina en Centro Comercial Megacentro</t>
  </si>
  <si>
    <t>https://photos.app.goo.gl/ypJTrchMTyy9WZPw6</t>
  </si>
  <si>
    <t>Área de 15.5m2, Excelente ubicación. Valor admón. $ 116.000. Aire Acondicionado. Mueble en madera empotrado. Valor arriendo $650.000 incluido admón.</t>
  </si>
  <si>
    <t>Oficina bien ubicada.</t>
  </si>
  <si>
    <t>https://lh3.googleusercontent.com/pw/AP1GczP_he0ZRjyNft9KU8pEpWGTuxH3CryQlmNis9exly-awc22VLzUfkvoZJ-OvpoZWdYM6SkEGgQaGfcZHOhFmI_t8r50vohlv8xad9_UEfD_34IV5MU7=w1200|https://lh3.googleusercontent.com/pw/AP1GczPmUzmqElBP5ewvzCzK7YLQ3S4wocVzrxoq_gHSrff4VaVIHQlK8DKRGX5Bgnpc-6JE3pHYjhRSDZmDBk40TcupcgxtYReI9QCj5JgxAxACOOWwUkvs=w1200|https://lh3.googleusercontent.com/pw/AP1GczMz-QDHQfxe7M5j0CyUVEx_8uJG2RQ9Y9eGZIbQbyEVAyrZNWzhGGLvWeQJzCSvCJhUZG0NUHseS0KFgF9aGcE-R2qrx7RwcrMKArbWFKMCee5dBEQf=w1200|https://lh3.googleusercontent.com/pw/AP1GczNQpNtMLi54lzsMs1h1Fv5oIXDcUexE5U6j5xwrQlVn4BNtIjlIfLbPPV_fIg_nrQVzPttgOYzR3Lp9XbATsrKn3nt3Mnu7jlsgijjm2uD2NPvlD6jY=w1200|https://lh3.googleusercontent.com/pw/AP1GczPCFecQlvxmIonYk_x16hnhIs_C8ZLKoAjqFs0kli3yaXo6VlCYLo5mBxFgxb3kF5RHH2-bOA4RmlNx0o6YrURXJdbZMkPyEGQBPutDOSjwuOBYDO-H=w1200|https://lh3.googleusercontent.com/pw/AP1GczNudn2Gv44clVW6lqhWIL8LkLDM9kd5jGjxap0TqzZ2FW_qTFDYnV3EGdgizBg5tEzR97qY8BbdvzzHwmN1S0TnCAY0lBIsaCjmSWQBgHQ6U0gXBxgT=w1200</t>
  </si>
  <si>
    <t>455</t>
  </si>
  <si>
    <t>Casa con apartamento en barrio Prado Norte</t>
  </si>
  <si>
    <t>https://photos.google.com/share/AF1QipM70sLWGl_pxst2SkbALIZJmVKudYk6E3me_lqrk4G6zqvgUsJ3PGSMBd5_eVy4Mw?key=MnlneFFXS1JaZlB5V1VDU2hlSFVvQndsRi1ydS1n</t>
  </si>
  <si>
    <t>Cuenta con terraza, cocina adicional con BBQ, balcón amplio, Estudio</t>
  </si>
  <si>
    <t>Soluciones La Primavera - Rustik House $390</t>
  </si>
  <si>
    <t>Rustik 3203396742</t>
  </si>
  <si>
    <t>Calle 49 # 20-91</t>
  </si>
  <si>
    <t>27 - Valentina Renza, 12 - LEIDY YULIETH</t>
  </si>
  <si>
    <t>https://lh3.googleusercontent.com/pw/AP1GczOZAoh4ynjjc8BTRTLya-jlwGGJoZoUDqx29DWrjhlUJVjUxVbL5EnncU4RMKBPwDb_iBmtX7USJ7VDpFnzzTiE-7I-A_Ya6gquTANnyoSG9jb3VUpF=w1200|https://lh3.googleusercontent.com/pw/AP1GczOLlUXHCcpN_AD3VJeOjgrqBNSsxlsk2afdow8RlKesFd_zlwn2QK1fG-p7PYmZyO4EvFGiDCZzxlKhtEoybx0cYbFnCRJL4slbLRxmtxTphu8mQCf7=w1200|https://lh3.googleusercontent.com/pw/AP1GczNOJOXEqqYO_EGnaH048Oxi9OgKh1DH-YmItvdvpc_Mjwcca6Rgftw8PuYoU1sDj0ERwUfaC4zlCJ6uWuYGqW7b2b_vED3WeStNyLRYnG0ORmFcPAJM=w1200|https://lh3.googleusercontent.com/pw/AP1GczPmb_bXChQ-3NdcpIU9U_tgwwulhqaG7N4Fk8s6jG9hWN1VjYnDEDTc7DFqtP16606Aee-i2PDvwB5AprP2gs4qyKeONKkK7hcmTuZnDgPARxPcZ-z3=w1200|https://lh3.googleusercontent.com/pw/AP1GczO_L4LroqDs9BsXhN74jaAbAR23PW-Dr_rWD4uTO378qeZealbBTVNH975BPibTZQouHFpkZNY6PQ6lFSglpraI0yDLdX7bGulcKIFzMyC2Luys0TLy=w1200|https://lh3.googleusercontent.com/pw/AP1GczMXEHQOxVnXj5Pwpiur4aHV45Up6DmHd2m7GBzrj87hXnU0RWHKaO4BHRPKw32XqTQfaNA9orOUguqTuK6cC00GeIIXeMYHaPFXiTRxRFcOrTlsoAqe=w1200|https://lh3.googleusercontent.com/pw/AP1GczNmip0mkWUgvh5ZCbuqKDfaX2K0gCUDzM4kpryeIcoMP6ptzKkmk0m-7PgSGz8Jxr3hI26_UROgjttbXzx40p4pPmEWePCpSYBAr-MXTlE78yFpkBak=w1200|https://lh3.googleusercontent.com/pw/AP1GczOzNZSHPaUg9doZe1BJDDvEX5NAqDsUSkuVh7K3sHdpGCQwQpfnB1YeKlfkPaHfLpsiAhW4cIBC495Om_dX-sZr8oEgf5ZAXW_DRJQTh06f4lCQz_q9=w1200|https://lh3.googleusercontent.com/pw/AP1GczPfQXDBC2Oqxwwz2bDsNqzzgs1ZZIhNc6AgZnEnLA9jAODnp7kN5V3y19xmyBGrJ52CZLuYnvlKJ0auBaVk0R-TLCGfolU9GA-Z_zaGs51DKWOPnv5b=w1200|https://lh3.googleusercontent.com/pw/AP1GczN0X2Sb-ezfxfaSw10RV2xYwWRggR4L6z34YRbamDe_wkOyX-dNq3Q97-dLwgtVED3PnFTJ6AR7jG9Jsv1bJ_Jo5D8Unhuylb-RFnHywuid2miauFAc=w1200|https://lh3.googleusercontent.com/pw/AP1GczO_YGtbsvS_ZCue0xunkYC6-l9_epxFyKsnBTT5QL_myfHmR5kcsDbkG7aYCSrajU0fV4j9Ersd4btmhaq52h6byPWbR-1NVII18Ocb3pfOR45rujeA=w1200|https://lh3.googleusercontent.com/pw/AP1GczNXnBwi-vbgnCOBWUO5Bj0AjSqb3TeY2-zfOZcp_LhFXgONOGLKOrnA8Kf5VcNX8SEEBDfBnshe_Dxeqp8etyOL9v1ThhFdjagb2RI-ccluhL4r15e8=w1200|https://lh3.googleusercontent.com/pw/AP1GczPP4vz3B3RhwrKS4IWuxc6qJW7NEoFvgGA_32FVrszy9LQGMx3x2vbBvkbz3n_1NAc4eTDlzZV1FSNvjR-TwBHBYNBDusMqw-MgRigVUcufLSLpP8Kp=w1200|https://lh3.googleusercontent.com/pw/AP1GczM_jkc9XwMb-WRN3hWEgBv5tdSesMkc66bqengOcCBvkLdDILooyl6JIVpoeFg47zPquEH0fc9nIzJbbYNhTAUVqNr1sp8QBcyWfUdGkdeeAjpzBW11=w1200|https://lh3.googleusercontent.com/pw/AP1GczPRGp1DLAIMdGZlsAbQP7HdlvqG2LSPypbmolOXmfU-ibatmfQGtyPqxdw-v27LFJuumoh1Mx8rKpMhJzfCAHTS0oHl2X4APbdEsMPxzwoKvd2aSCmG=w1200|https://lh3.googleusercontent.com/pw/AP1GczM-DRnpOoweRCFVDsHt3zUYNAzomoAUxsVc5KYrLbZQa7597Z3JKo4CHYAPV5gqbwu37AmjQ7QY0qm50yTztAsUZV1vsRzsO4ciqZURYNKtzq3dH-qW=w1200|https://lh3.googleusercontent.com/pw/AP1GczPkyXxFPla6Bvyk2o1jo2blMDQDfddHQwIVLOMJR_N62ORx8IIZTqjgM5we1jxgHUswIbv1fL3y4RRbrinynOGiUXqQRdBXY0-hpbDEEaFiQYgFzYU5=w1200|https://lh3.googleusercontent.com/pw/AP1GczMxONQz7EQ9Lc00sh-1eappz7N4PGM_pHuOz0Swhira7WpFBmYRY81Pmt51zYx9FCNFwoZv-iVkxaaWr4-ORwNvpU3Oson8vX-uV50eu0kGuXDd4scn=w1200|https://lh3.googleusercontent.com/pw/AP1GczNVqTSwjKHykG-QRqbw298h5lemuY-S2FkaaiSZpUhIVInLNyze6l58LjLuA-jDJYKSnh9Fuu2vBhPJVgOhy_b07LPPnC2i9Q3Yl8go3DDCIc0Saxia=w1200|https://lh3.googleusercontent.com/pw/AP1GczOtAB26VEiYzCzcyQ8Kp6f-VlEp6Qby-w5NiYSBrrRasYaLK5pu4XqTTe-xIMHXZUMSEvMO0cI9X9lz-WKv6h8cHpqCY1moI7LGiEZtmRgkkcb0iQ54=w1200|https://lh3.googleusercontent.com/pw/AP1GczPQEqAxvlJpkTsOAqg9ZqpIa-tdZrlthUkmnDKAB1tOwX5Ghl54XI6SsVRPYo6tOob9gsJuTpVIn_1gDHSwv3Ub83WcTy124iFa0ZYxRLVwCEfTs6S4=w1200|https://lh3.googleusercontent.com/pw/AP1GczPdg4MnN8BJ1Gc2Hbcfc8WuFnztH7cqst2DlBP1r3CcCicqdGcbkxp89PH4xeP7lvEFOP_rHWynnYkUrNb-4E2NPTbbBR27Tc5Sg9SjygOkyICai242=w1200|https://lh3.googleusercontent.com/pw/AP1GczN181Sk39hQpk8h9SOOrXdfholuqQpf5tb8O_wSctC9Xcd5MyFraNtWd5B0bRJUExPtKziJYWsIyQgCy9SAO4xJKygaB-22IxrIVVC6KmintsKnBpLa=w1200|https://lh3.googleusercontent.com/pw/AP1GczMB1iyI_1GvSOXcfj8O8_ZdZaFJ48w4wNykKokC3DZ3q7l8cjtw1b-I7YncMm1rW5_VnHhUixEv15mHPjivioT9DkbmPAnOZpiOxZGNNUS-R1GKcY9C=w1200|https://lh3.googleusercontent.com/pw/AP1GczNwK3Jp_BAF1jMCrsPC-jqAWqOnhKKoXTZOcNMFjZXzhTmezR9ZmTwq5KKiFj7fIoMiz_bxG2vdkyPGYqlE1-P9i3tRdt1LOf5tky9PgfAcA2sUtyDi=w1200|https://lh3.googleusercontent.com/pw/AP1GczPPn7t8elOD0BI8PHOPnW6UXKpeUW0A0jpp4l30n8t0UXxIzFaaQIS1i2MH6lverlgzuIQGkoUErT-7fGkYbUwpBxJ2MZFwcO6a4YNpY9IhF33rZ2uG=w1200</t>
  </si>
  <si>
    <t>173</t>
  </si>
  <si>
    <t>TESORO - CONSTRUCTORES</t>
  </si>
  <si>
    <t>390</t>
  </si>
  <si>
    <t>yatrana-Felix T</t>
  </si>
  <si>
    <t>823</t>
  </si>
  <si>
    <t xml:space="preserve">Lote en conjunto Residencial La Orquídea - Rivera </t>
  </si>
  <si>
    <t>https://photos.app.goo.gl/5gPGx5fy2wLrYz8J7</t>
  </si>
  <si>
    <t>Lote ubicado en el municipio de Rivera Huila, con una extensión de 90.01 m².</t>
  </si>
  <si>
    <t>El lote cuenta con la disponibilidad para la instalación y adecuación de servicios públicos (Acueducto, Alcantarillado, Energía Eléctrica Gas).</t>
  </si>
  <si>
    <t>https://lh3.googleusercontent.com/pw/AP1GczPBFjNP2g3mTXLcAJiPr5vx9R5lFfuqMsfqlozJjm4uqer47IZEHWpmQlfIKXdVMGe6tNFX06EBEGcRlqlV29OHhIS7xHeUMmjnhLp7fjQJeaqYl-4M=w1200|https://lh3.googleusercontent.com/pw/AP1GczMUbmRcJSTX4owTZXS_DVV9WJJXfRZD2935cHf_tiWU2tcVEWyYO_B6qyHHv_AHEbVkQBY9y88ECByZmOMYWcJeIaaBIDHYlb3DjzeYs-G3GMRrZKJf=w1200</t>
  </si>
  <si>
    <t>710</t>
  </si>
  <si>
    <t>Casa en barrio Campo Nuñez - Centro</t>
  </si>
  <si>
    <t>12 - LEIDY YULIETH, 20 - SAMADHI RODRIGUEZ</t>
  </si>
  <si>
    <t>709</t>
  </si>
  <si>
    <t>708</t>
  </si>
  <si>
    <t>Apartamento en barrio La Toma</t>
  </si>
  <si>
    <t>3176480614-3174402096</t>
  </si>
  <si>
    <t>Carrera 8 # 15 - 57</t>
  </si>
  <si>
    <t>566</t>
  </si>
  <si>
    <t>Calle 22 # 5a - 18</t>
  </si>
  <si>
    <t>4911</t>
  </si>
  <si>
    <t>Casa en conjunto Bosques de Cantabria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</si>
</sst>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67">
    <font>
      <sz val="10.0"/>
      <color rgb="FF000000"/>
      <name val="Arial"/>
      <scheme val="minor"/>
    </font>
    <font>
      <color theme="1"/>
      <name val="Arial"/>
      <scheme val="minor"/>
    </font>
    <font>
      <b/>
      <color theme="1"/>
      <name val="Arial"/>
      <scheme val="minor"/>
    </font>
    <font>
      <sz val="10.0"/>
      <color rgb="FFFFFFFF"/>
      <name val="Arial"/>
      <scheme val="minor"/>
    </font>
    <font>
      <sz val="11.0"/>
      <color rgb="FFFFFFFF"/>
      <name val="Arial"/>
      <scheme val="minor"/>
    </font>
    <font>
      <sz val="10.0"/>
      <color theme="0"/>
      <name val="Calibri"/>
    </font>
    <font>
      <sz val="10.0"/>
      <color rgb="FFFFFFFF"/>
      <name val="Calibri"/>
    </font>
    <font>
      <sz val="10.0"/>
      <color theme="1"/>
      <name val="Arial"/>
      <scheme val="minor"/>
    </font>
    <font>
      <sz val="10.0"/>
      <color rgb="FFFFD965"/>
      <name val="Arial"/>
      <scheme val="minor"/>
    </font>
    <font>
      <sz val="10.0"/>
      <color rgb="FFFFD965"/>
      <name val="Calibri"/>
    </font>
    <font>
      <b/>
      <sz val="10.0"/>
      <color rgb="FFFFFFFF"/>
      <name val="Arial"/>
      <scheme val="minor"/>
    </font>
    <font>
      <sz val="10.0"/>
      <color rgb="FF000000"/>
      <name val="Calibri"/>
    </font>
    <font>
      <sz val="10.0"/>
      <color theme="1"/>
      <name val="Calibri"/>
    </font>
    <font>
      <u/>
      <color rgb="FF0000FF"/>
    </font>
    <font>
      <u/>
      <sz val="10.0"/>
      <color rgb="FF0000FF"/>
    </font>
    <font>
      <color theme="1"/>
      <name val="Arial"/>
    </font>
    <font>
      <u/>
      <color rgb="FF0000FF"/>
    </font>
    <font>
      <color rgb="FF000000"/>
      <name val="__EB_Garamond_c29382"/>
    </font>
    <font>
      <color rgb="FF000000"/>
      <name val="Arial"/>
      <scheme val="minor"/>
    </font>
    <font>
      <u/>
      <sz val="10.0"/>
      <color rgb="FF0000FF"/>
    </font>
    <font>
      <color theme="1"/>
      <name val="Calibri"/>
    </font>
    <font>
      <u/>
      <color rgb="FF0000FF"/>
    </font>
    <font>
      <color rgb="FF000000"/>
      <name val="Calibri"/>
    </font>
    <font>
      <color theme="1"/>
      <name val="&quot;Google Sans Text&quot;"/>
    </font>
    <font>
      <u/>
      <sz val="10.0"/>
      <color rgb="FF0563C1"/>
    </font>
    <font>
      <u/>
      <sz val="10.0"/>
      <color rgb="FF0563C1"/>
      <name val="Arial"/>
      <scheme val="minor"/>
    </font>
    <font>
      <sz val="11.0"/>
      <color theme="1"/>
      <name val="Calibri"/>
    </font>
    <font>
      <u/>
      <sz val="10.0"/>
      <color rgb="FF0563C1"/>
    </font>
    <font>
      <u/>
      <sz val="10.0"/>
      <color rgb="FF0563C1"/>
    </font>
    <font>
      <sz val="10.0"/>
      <color rgb="FF050505"/>
      <name val="Calibri"/>
    </font>
    <font>
      <u/>
      <sz val="10.0"/>
      <color rgb="FF0000FF"/>
    </font>
    <font>
      <u/>
      <color rgb="FF0000FF"/>
    </font>
    <font>
      <u/>
      <sz val="10.0"/>
      <color rgb="FF0000FF"/>
    </font>
    <font>
      <u/>
      <color rgb="FF0000FF"/>
    </font>
    <font>
      <sz val="10.0"/>
      <color theme="1"/>
      <name val="&quot;Aptos&quot;"/>
    </font>
    <font>
      <u/>
      <sz val="10.0"/>
      <color rgb="FF0563C1"/>
    </font>
    <font>
      <sz val="10.0"/>
      <color rgb="FFA3A3A3"/>
      <name val="Calibri"/>
    </font>
    <font>
      <sz val="10.0"/>
      <color rgb="FF0563C1"/>
      <name val="Arial"/>
      <scheme val="minor"/>
    </font>
    <font>
      <u/>
      <sz val="10.0"/>
      <color rgb="FF0000FF"/>
    </font>
    <font>
      <u/>
      <sz val="10.0"/>
      <color rgb="FF0000FF"/>
    </font>
    <font>
      <u/>
      <sz val="10.0"/>
      <color rgb="FF0563C1"/>
      <name val="Arial"/>
      <scheme val="minor"/>
    </font>
    <font>
      <u/>
      <sz val="10.0"/>
      <color rgb="FF0563C1"/>
      <name val="Arial"/>
      <scheme val="minor"/>
    </font>
    <font>
      <u/>
      <sz val="10.0"/>
      <color rgb="FF2F5496"/>
    </font>
    <font>
      <i/>
      <color theme="1"/>
      <name val="Arial"/>
      <scheme val="minor"/>
    </font>
    <font>
      <u/>
      <color rgb="FF0000FF"/>
    </font>
    <font>
      <u/>
      <sz val="10.0"/>
      <color rgb="FF0563C1"/>
      <name val="Arial"/>
      <scheme val="minor"/>
    </font>
    <font>
      <u/>
      <color rgb="FF0000FF"/>
      <name val="Arial"/>
    </font>
    <font>
      <u/>
      <color rgb="FF0563C1"/>
      <name val="Arial"/>
    </font>
    <font>
      <u/>
      <color rgb="FF0563C1"/>
      <name val="Arial"/>
    </font>
    <font>
      <u/>
      <color rgb="FF0563C1"/>
      <name val="Arial"/>
    </font>
    <font>
      <u/>
      <sz val="10.0"/>
      <color rgb="FF0563C1"/>
    </font>
    <font>
      <u/>
      <color rgb="FF0000FF"/>
    </font>
    <font>
      <sz val="11.0"/>
      <color rgb="FF000000"/>
      <name val="Roboto"/>
    </font>
    <font>
      <u/>
      <sz val="10.0"/>
      <color rgb="FF0000FF"/>
    </font>
    <font>
      <sz val="10.0"/>
      <color rgb="FFFF0000"/>
      <name val="Arial"/>
      <scheme val="minor"/>
    </font>
    <font>
      <u/>
      <sz val="10.0"/>
      <color rgb="FF0000FF"/>
    </font>
    <font>
      <u/>
      <sz val="10.0"/>
      <color rgb="FF0563C1"/>
    </font>
    <font>
      <sz val="11.0"/>
      <color rgb="FF000000"/>
      <name val="Calibri"/>
    </font>
    <font>
      <b/>
      <sz val="10.0"/>
      <color theme="1"/>
      <name val="Arial"/>
      <scheme val="minor"/>
    </font>
    <font>
      <u/>
      <sz val="10.0"/>
      <color rgb="FF0000FF"/>
    </font>
    <font>
      <sz val="11.0"/>
      <color theme="1"/>
      <name val="Arial"/>
      <scheme val="minor"/>
    </font>
    <font>
      <u/>
      <sz val="10.0"/>
      <color theme="1"/>
      <name val="Arial"/>
      <scheme val="minor"/>
    </font>
    <font>
      <sz val="11.0"/>
      <color rgb="FF333333"/>
      <name val="Calibri"/>
    </font>
    <font>
      <sz val="10.0"/>
      <color rgb="FF333333"/>
      <name val="Calibri"/>
    </font>
    <font>
      <sz val="10.0"/>
      <color theme="1"/>
      <name val="Arial"/>
    </font>
    <font>
      <sz val="10.0"/>
      <color rgb="FF222222"/>
      <name val="Calibri"/>
    </font>
    <font>
      <u/>
      <sz val="10.0"/>
      <color rgb="FF003972"/>
    </font>
  </fonts>
  <fills count="20">
    <fill>
      <patternFill patternType="none"/>
    </fill>
    <fill>
      <patternFill patternType="lightGray"/>
    </fill>
    <fill>
      <patternFill patternType="solid">
        <fgColor rgb="FF93C47D"/>
        <bgColor rgb="FF93C47D"/>
      </patternFill>
    </fill>
    <fill>
      <patternFill patternType="solid">
        <fgColor rgb="FFD9EAD3"/>
        <bgColor rgb="FFD9EAD3"/>
      </patternFill>
    </fill>
    <fill>
      <patternFill patternType="solid">
        <fgColor rgb="FF6D9EEB"/>
        <bgColor rgb="FF6D9EEB"/>
      </patternFill>
    </fill>
    <fill>
      <patternFill patternType="solid">
        <fgColor theme="7"/>
        <bgColor theme="7"/>
      </patternFill>
    </fill>
    <fill>
      <patternFill patternType="solid">
        <fgColor rgb="FFFFFFFF"/>
        <bgColor rgb="FFFFFFFF"/>
      </patternFill>
    </fill>
    <fill>
      <patternFill patternType="solid">
        <fgColor rgb="FFB6D7A8"/>
        <bgColor rgb="FFB6D7A8"/>
      </patternFill>
    </fill>
    <fill>
      <patternFill patternType="solid">
        <fgColor rgb="FFFFFFCC"/>
        <bgColor rgb="FFFFFFCC"/>
      </patternFill>
    </fill>
    <fill>
      <patternFill patternType="solid">
        <fgColor rgb="FF00FF00"/>
        <bgColor rgb="FF00FF00"/>
      </patternFill>
    </fill>
    <fill>
      <patternFill patternType="solid">
        <fgColor rgb="FFC5E0B3"/>
        <bgColor rgb="FFC5E0B3"/>
      </patternFill>
    </fill>
    <fill>
      <patternFill patternType="solid">
        <fgColor rgb="FFFCE5CD"/>
        <bgColor rgb="FFFCE5CD"/>
      </patternFill>
    </fill>
    <fill>
      <patternFill patternType="solid">
        <fgColor rgb="FF00B0F0"/>
        <bgColor rgb="FF00B0F0"/>
      </patternFill>
    </fill>
    <fill>
      <patternFill patternType="solid">
        <fgColor rgb="FFFFFF00"/>
        <bgColor rgb="FFFFFF00"/>
      </patternFill>
    </fill>
    <fill>
      <patternFill patternType="solid">
        <fgColor rgb="FFCCCCCC"/>
        <bgColor rgb="FFCCCCCC"/>
      </patternFill>
    </fill>
    <fill>
      <patternFill patternType="solid">
        <fgColor rgb="FFC9DAF8"/>
        <bgColor rgb="FFC9DAF8"/>
      </patternFill>
    </fill>
    <fill>
      <patternFill patternType="solid">
        <fgColor rgb="FFFEF2CB"/>
        <bgColor rgb="FFFEF2CB"/>
      </patternFill>
    </fill>
    <fill>
      <patternFill patternType="solid">
        <fgColor rgb="FFF1C232"/>
        <bgColor rgb="FFF1C232"/>
      </patternFill>
    </fill>
    <fill>
      <patternFill patternType="solid">
        <fgColor rgb="FFF4F4F4"/>
        <bgColor rgb="FFF4F4F4"/>
      </patternFill>
    </fill>
    <fill>
      <patternFill patternType="solid">
        <fgColor rgb="FFE6B8AF"/>
        <bgColor rgb="FFE6B8A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65">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2" fontId="1" numFmtId="164" xfId="0" applyAlignment="1" applyFill="1" applyFont="1" applyNumberFormat="1">
      <alignment readingOrder="0" shrinkToFit="0" wrapText="0"/>
    </xf>
    <xf borderId="0" fillId="3" fontId="2" numFmtId="49" xfId="0" applyFill="1" applyFont="1" applyNumberFormat="1"/>
    <xf borderId="0" fillId="2" fontId="1" numFmtId="0" xfId="0" applyAlignment="1" applyFill="1" applyFont="1">
      <alignment shrinkToFit="0" wrapText="0"/>
    </xf>
    <xf borderId="0" fillId="3" fontId="2" numFmtId="0" xfId="0" applyFill="1" applyFont="1"/>
    <xf borderId="0" fillId="4" fontId="3" numFmtId="49" xfId="0" applyAlignment="1" applyFill="1" applyFont="1" applyNumberFormat="1">
      <alignment horizontal="center" readingOrder="0" shrinkToFit="0" vertical="bottom" wrapText="0"/>
    </xf>
    <xf borderId="0" fillId="4" fontId="3" numFmtId="49" xfId="0" applyAlignment="1" applyFill="1" applyFont="1" applyNumberFormat="1">
      <alignment horizontal="center" readingOrder="0" vertical="center"/>
    </xf>
    <xf borderId="0" fillId="0" fontId="1" numFmtId="0" xfId="0" applyAlignment="1" applyFont="1">
      <alignment readingOrder="0" shrinkToFit="0" wrapText="0"/>
    </xf>
    <xf borderId="0" fillId="4" fontId="3" numFmtId="0" xfId="0" applyAlignment="1" applyFill="1" applyFont="1">
      <alignment horizontal="center" readingOrder="0" vertical="bottom"/>
    </xf>
    <xf borderId="0" fillId="4" fontId="3" numFmtId="0" xfId="0" applyAlignment="1" applyFill="1" applyFont="1">
      <alignment horizontal="center" readingOrder="0" shrinkToFit="0" vertical="bottom" wrapText="0"/>
    </xf>
    <xf borderId="0" fillId="4" fontId="4" numFmtId="0" xfId="0" applyAlignment="1" applyFill="1" applyFont="1">
      <alignment horizontal="right" readingOrder="0" shrinkToFit="0" vertical="bottom" wrapText="0"/>
    </xf>
    <xf borderId="0" fillId="4" fontId="3" numFmtId="49" xfId="0" applyAlignment="1" applyFill="1" applyFont="1" applyNumberFormat="1">
      <alignment horizontal="center" readingOrder="0" vertical="bottom"/>
    </xf>
    <xf borderId="0" fillId="4" fontId="3" numFmtId="3" xfId="0" applyAlignment="1" applyFill="1" applyFont="1" applyNumberFormat="1">
      <alignment horizontal="center" readingOrder="0" vertical="bottom"/>
    </xf>
    <xf borderId="0" fillId="3" fontId="2" numFmtId="4" xfId="0" applyFill="1" applyFont="1" applyNumberFormat="1"/>
    <xf borderId="0" fillId="4" fontId="3" numFmtId="164" xfId="0" applyAlignment="1" applyFill="1" applyFont="1" applyNumberFormat="1">
      <alignment horizontal="center" readingOrder="0" vertical="bottom"/>
    </xf>
    <xf borderId="0" fillId="4" fontId="3" numFmtId="1" xfId="0" applyAlignment="1" applyFill="1" applyFont="1" applyNumberFormat="1">
      <alignment horizontal="left" readingOrder="0" vertical="bottom"/>
    </xf>
    <xf borderId="0" fillId="4" fontId="3" numFmtId="0" xfId="0" applyAlignment="1" applyFill="1" applyFont="1">
      <alignment horizontal="left" readingOrder="0" shrinkToFit="0" wrapText="0"/>
    </xf>
    <xf borderId="0" fillId="0" fontId="1" numFmtId="164" xfId="0" applyAlignment="1" applyFont="1" applyNumberFormat="1">
      <alignment shrinkToFit="0" wrapText="0"/>
    </xf>
    <xf borderId="0" fillId="4" fontId="5" numFmtId="0" xfId="0" applyAlignment="1" applyFill="1" applyFont="1">
      <alignment horizontal="left" readingOrder="0" shrinkToFit="0" vertical="bottom" wrapText="0"/>
    </xf>
    <xf borderId="0" fillId="4" fontId="6" numFmtId="0" xfId="0" applyAlignment="1" applyFill="1" applyFont="1">
      <alignment horizontal="left" readingOrder="0" shrinkToFit="0" vertical="bottom" wrapText="0"/>
    </xf>
    <xf borderId="0" fillId="3" fontId="2" numFmtId="0" xfId="0" applyAlignment="1" applyFill="1" applyFont="1">
      <alignment shrinkToFit="0" wrapText="0"/>
    </xf>
    <xf borderId="0" fillId="4" fontId="3" numFmtId="0" xfId="0" applyAlignment="1" applyFill="1" applyFont="1">
      <alignment horizontal="center" readingOrder="0" shrinkToFit="0" wrapText="0"/>
    </xf>
    <xf borderId="0" fillId="4" fontId="3" numFmtId="0" xfId="0" applyAlignment="1" applyFill="1" applyFont="1">
      <alignment horizontal="left" readingOrder="0" vertical="bottom"/>
    </xf>
    <xf borderId="0" fillId="3" fontId="2" numFmtId="164" xfId="0" applyFill="1" applyFont="1" applyNumberFormat="1"/>
    <xf borderId="0" fillId="3" fontId="2" numFmtId="1" xfId="0" applyFill="1" applyFont="1" applyNumberFormat="1"/>
    <xf borderId="0" fillId="4" fontId="3" numFmtId="0" xfId="0" applyAlignment="1" applyFill="1" applyFont="1">
      <alignment horizontal="center" readingOrder="0" shrinkToFit="0" vertical="bottom" wrapText="1"/>
    </xf>
    <xf borderId="0" fillId="4" fontId="7" numFmtId="0" xfId="0" applyAlignment="1" applyFill="1" applyFont="1">
      <alignment horizontal="center" readingOrder="0" shrinkToFit="0" wrapText="0"/>
    </xf>
    <xf borderId="0" fillId="4" fontId="8" numFmtId="0" xfId="0" applyAlignment="1" applyFill="1" applyFont="1">
      <alignment horizontal="center" readingOrder="0" shrinkToFit="0" wrapText="1"/>
    </xf>
    <xf borderId="0" fillId="4" fontId="8" numFmtId="0" xfId="0" applyAlignment="1" applyFill="1" applyFont="1">
      <alignment horizontal="center" readingOrder="0" shrinkToFit="0" wrapText="0"/>
    </xf>
    <xf borderId="0" fillId="4" fontId="9" numFmtId="0" xfId="0" applyAlignment="1" applyFill="1" applyFont="1">
      <alignment horizontal="center" readingOrder="0" shrinkToFit="0" wrapText="0"/>
    </xf>
    <xf borderId="0" fillId="4" fontId="8" numFmtId="3" xfId="0" applyAlignment="1" applyFill="1" applyFont="1" applyNumberFormat="1">
      <alignment horizontal="center" readingOrder="0" shrinkToFit="0" wrapText="1"/>
    </xf>
    <xf borderId="0" fillId="4" fontId="8" numFmtId="0" xfId="0" applyAlignment="1" applyFill="1" applyFont="1">
      <alignment horizontal="center" readingOrder="0"/>
    </xf>
    <xf borderId="0" fillId="0" fontId="1" numFmtId="1" xfId="0" applyAlignment="1" applyFont="1" applyNumberFormat="1">
      <alignment shrinkToFit="0" wrapText="0"/>
    </xf>
    <xf borderId="0" fillId="3" fontId="2" numFmtId="3" xfId="0" applyFill="1" applyFont="1" applyNumberFormat="1"/>
    <xf borderId="0" fillId="5" fontId="10" numFmtId="3" xfId="0" applyAlignment="1" applyFill="1" applyFont="1" applyNumberFormat="1">
      <alignment horizontal="center" readingOrder="0" shrinkToFit="0" vertical="bottom" wrapText="0"/>
    </xf>
    <xf borderId="0" fillId="0" fontId="3" numFmtId="0" xfId="0" applyAlignment="1" applyFont="1">
      <alignment horizontal="center" readingOrder="0" shrinkToFit="0" vertical="bottom" wrapText="0"/>
    </xf>
    <xf borderId="0" fillId="0" fontId="0" numFmtId="0" xfId="0" applyAlignment="1" applyFont="1">
      <alignment horizontal="left" readingOrder="0" shrinkToFit="0" vertical="bottom" wrapText="0"/>
    </xf>
    <xf borderId="0" fillId="0" fontId="3" numFmtId="0" xfId="0" applyAlignment="1" applyFont="1">
      <alignment horizontal="center" readingOrder="0" vertical="bottom"/>
    </xf>
    <xf borderId="0" fillId="0" fontId="1" numFmtId="49" xfId="0" applyFont="1" applyNumberFormat="1"/>
    <xf borderId="0" fillId="0" fontId="1" numFmtId="0" xfId="0" applyFont="1"/>
    <xf borderId="0" fillId="6" fontId="7" numFmtId="49" xfId="0" applyAlignment="1" applyFill="1" applyFont="1" applyNumberFormat="1">
      <alignment horizontal="center" vertical="center"/>
    </xf>
    <xf borderId="0" fillId="0" fontId="1" numFmtId="164" xfId="0" applyFont="1" applyNumberFormat="1"/>
    <xf borderId="0" fillId="6" fontId="7" numFmtId="0" xfId="0" applyAlignment="1" applyFill="1" applyFont="1">
      <alignment horizontal="center" readingOrder="0" shrinkToFit="0" wrapText="1"/>
    </xf>
    <xf borderId="0" fillId="6" fontId="7" numFmtId="0" xfId="0" applyAlignment="1" applyFill="1" applyFont="1">
      <alignment horizontal="center"/>
    </xf>
    <xf borderId="0" fillId="6" fontId="7" numFmtId="0" xfId="0" applyAlignment="1" applyFill="1" applyFont="1">
      <alignment horizontal="center" shrinkToFit="0" wrapText="0"/>
    </xf>
    <xf borderId="0" fillId="0" fontId="1" numFmtId="0" xfId="0" applyAlignment="1" applyFont="1">
      <alignment shrinkToFit="0" wrapText="0"/>
    </xf>
    <xf borderId="0" fillId="6" fontId="7" numFmtId="164" xfId="0" applyAlignment="1" applyFill="1" applyFont="1" applyNumberFormat="1">
      <alignment horizontal="right" shrinkToFit="0" wrapText="0"/>
    </xf>
    <xf borderId="0" fillId="0" fontId="1" numFmtId="4" xfId="0" applyFont="1" applyNumberFormat="1"/>
    <xf borderId="0" fillId="0" fontId="1" numFmtId="1" xfId="0" applyFont="1" applyNumberFormat="1"/>
    <xf borderId="0" fillId="6" fontId="7" numFmtId="0" xfId="0" applyAlignment="1" applyFill="1" applyFont="1">
      <alignment horizontal="center" readingOrder="0"/>
    </xf>
    <xf borderId="0" fillId="6" fontId="7" numFmtId="49" xfId="0" applyAlignment="1" applyFill="1" applyFont="1" applyNumberFormat="1">
      <alignment horizontal="center" readingOrder="0"/>
    </xf>
    <xf borderId="0" fillId="6" fontId="7" numFmtId="0" xfId="0" applyAlignment="1" applyFill="1" applyFont="1">
      <alignment horizontal="center" shrinkToFit="0" wrapText="1"/>
    </xf>
    <xf borderId="0" fillId="0" fontId="1" numFmtId="3" xfId="0" applyFont="1" applyNumberFormat="1"/>
    <xf borderId="0" fillId="6" fontId="7" numFmtId="4" xfId="0" applyAlignment="1" applyFill="1" applyFont="1" applyNumberFormat="1">
      <alignment horizontal="center" shrinkToFit="0" wrapText="1"/>
    </xf>
    <xf borderId="0" fillId="6" fontId="7" numFmtId="4" xfId="0" applyAlignment="1" applyFill="1" applyFont="1" applyNumberFormat="1">
      <alignment horizontal="center" readingOrder="0" shrinkToFit="0" wrapText="1"/>
    </xf>
    <xf borderId="0" fillId="6" fontId="7" numFmtId="49" xfId="0" applyAlignment="1" applyFill="1" applyFont="1" applyNumberFormat="1">
      <alignment horizontal="center" readingOrder="0" shrinkToFit="0" wrapText="1"/>
    </xf>
    <xf borderId="0" fillId="6" fontId="7" numFmtId="49" xfId="0" applyAlignment="1" applyFill="1" applyFont="1" applyNumberFormat="1">
      <alignment horizontal="center"/>
    </xf>
    <xf borderId="0" fillId="6" fontId="7" numFmtId="164" xfId="0" applyAlignment="1" applyFill="1" applyFont="1" applyNumberFormat="1">
      <alignment horizontal="center" readingOrder="0"/>
    </xf>
    <xf borderId="0" fillId="0" fontId="7" numFmtId="1" xfId="0" applyAlignment="1" applyFont="1" applyNumberFormat="1">
      <alignment horizontal="center"/>
    </xf>
    <xf borderId="0" fillId="6" fontId="7" numFmtId="4" xfId="0" applyAlignment="1" applyFill="1" applyFont="1" applyNumberFormat="1">
      <alignment horizontal="left" shrinkToFit="0" wrapText="0"/>
    </xf>
    <xf borderId="0" fillId="0" fontId="11" numFmtId="0" xfId="0" applyAlignment="1" applyFont="1">
      <alignment horizontal="left" shrinkToFit="0" wrapText="0"/>
    </xf>
    <xf borderId="0" fillId="0" fontId="12" numFmtId="0" xfId="0" applyAlignment="1" applyFont="1">
      <alignment horizontal="left" shrinkToFit="0" wrapText="0"/>
    </xf>
    <xf borderId="0" fillId="0" fontId="7" numFmtId="0" xfId="0" applyAlignment="1" applyFont="1">
      <alignment horizontal="center"/>
    </xf>
    <xf borderId="0" fillId="6" fontId="7" numFmtId="0" xfId="0" applyAlignment="1" applyFill="1" applyFont="1">
      <alignment horizontal="center" readingOrder="0" shrinkToFit="0" wrapText="0"/>
    </xf>
    <xf borderId="0" fillId="0" fontId="7" numFmtId="0" xfId="0" applyAlignment="1" applyFont="1">
      <alignment horizontal="center" readingOrder="0"/>
    </xf>
    <xf borderId="0" fillId="0" fontId="13" numFmtId="0" xfId="0" applyFont="1"/>
    <xf borderId="0" fillId="6" fontId="12" numFmtId="0" xfId="0" applyAlignment="1" applyFill="1" applyFont="1">
      <alignment horizontal="center" shrinkToFit="0" wrapText="0"/>
    </xf>
    <xf borderId="0" fillId="6" fontId="7" numFmtId="3" xfId="0" applyAlignment="1" applyFill="1" applyFont="1" applyNumberFormat="1">
      <alignment horizontal="center"/>
    </xf>
    <xf borderId="0" fillId="6" fontId="7" numFmtId="3" xfId="0" applyAlignment="1" applyFill="1" applyFont="1" applyNumberFormat="1">
      <alignment horizontal="center" readingOrder="0" shrinkToFit="0" wrapText="0"/>
    </xf>
    <xf borderId="0" fillId="6" fontId="7" numFmtId="4" xfId="0" applyAlignment="1" applyFill="1" applyFont="1" applyNumberFormat="1">
      <alignment horizontal="center" shrinkToFit="0" wrapText="0"/>
    </xf>
    <xf borderId="0" fillId="0" fontId="7" numFmtId="4" xfId="0" applyAlignment="1" applyFont="1" applyNumberFormat="1">
      <alignment horizontal="center" shrinkToFit="0" wrapText="0"/>
    </xf>
    <xf borderId="0" fillId="0" fontId="7" numFmtId="4" xfId="0" applyAlignment="1" applyFont="1" applyNumberFormat="1">
      <alignment horizontal="left" readingOrder="0" shrinkToFit="0" wrapText="0"/>
    </xf>
    <xf borderId="0" fillId="0" fontId="7" numFmtId="4" xfId="0" applyAlignment="1" applyFont="1" applyNumberFormat="1">
      <alignment horizontal="center"/>
    </xf>
    <xf borderId="0" fillId="0" fontId="7" numFmtId="0" xfId="0" applyAlignment="1" applyFont="1">
      <alignment horizontal="center" vertical="bottom"/>
    </xf>
    <xf borderId="0" fillId="6" fontId="7" numFmtId="49" xfId="0" applyAlignment="1" applyFill="1" applyFont="1" applyNumberFormat="1">
      <alignment horizontal="center" readingOrder="0" vertical="center"/>
    </xf>
    <xf borderId="0" fillId="7" fontId="7" numFmtId="0" xfId="0" applyAlignment="1" applyFill="1" applyFont="1">
      <alignment horizontal="center" readingOrder="0"/>
    </xf>
    <xf borderId="0" fillId="6" fontId="7" numFmtId="164" xfId="0" applyAlignment="1" applyFill="1" applyFont="1" applyNumberFormat="1">
      <alignment horizontal="center" readingOrder="0" shrinkToFit="0" wrapText="0"/>
    </xf>
    <xf borderId="0" fillId="6" fontId="7" numFmtId="164" xfId="0" applyAlignment="1" applyFill="1" applyFont="1" applyNumberFormat="1">
      <alignment horizontal="right" readingOrder="0" shrinkToFit="0" wrapText="0"/>
    </xf>
    <xf borderId="0" fillId="6" fontId="7" numFmtId="4" xfId="0" applyAlignment="1" applyFill="1" applyFont="1" applyNumberFormat="1">
      <alignment horizontal="center" readingOrder="0"/>
    </xf>
    <xf borderId="0" fillId="0" fontId="7" numFmtId="164" xfId="0" applyAlignment="1" applyFont="1" applyNumberFormat="1">
      <alignment horizontal="center" readingOrder="0"/>
    </xf>
    <xf borderId="0" fillId="0" fontId="7" numFmtId="1" xfId="0" applyAlignment="1" applyFont="1" applyNumberFormat="1">
      <alignment horizontal="center" readingOrder="0"/>
    </xf>
    <xf borderId="0" fillId="6" fontId="14" numFmtId="0" xfId="0" applyAlignment="1" applyFill="1" applyFont="1">
      <alignment horizontal="left" readingOrder="0" shrinkToFit="0" wrapText="0"/>
    </xf>
    <xf borderId="0" fillId="0" fontId="1" numFmtId="0" xfId="0" applyAlignment="1" applyFont="1">
      <alignment readingOrder="0"/>
    </xf>
    <xf borderId="0" fillId="6" fontId="12" numFmtId="0" xfId="0" applyAlignment="1" applyFill="1" applyFont="1">
      <alignment horizontal="center" readingOrder="0" shrinkToFit="0" wrapText="0"/>
    </xf>
    <xf borderId="0" fillId="6" fontId="7" numFmtId="3" xfId="0" applyAlignment="1" applyFill="1" applyFont="1" applyNumberFormat="1">
      <alignment horizontal="center" readingOrder="0"/>
    </xf>
    <xf borderId="0" fillId="0" fontId="7" numFmtId="3" xfId="0" applyAlignment="1" applyFont="1" applyNumberFormat="1">
      <alignment horizontal="center" shrinkToFit="0" wrapText="0"/>
    </xf>
    <xf borderId="0" fillId="0" fontId="1" numFmtId="49" xfId="0" applyAlignment="1" applyFont="1" applyNumberFormat="1">
      <alignment shrinkToFit="0" wrapText="0"/>
    </xf>
    <xf borderId="0" fillId="0" fontId="15" numFmtId="4" xfId="0" applyAlignment="1" applyFont="1" applyNumberFormat="1">
      <alignment horizontal="center" readingOrder="0" shrinkToFit="0" vertical="bottom" wrapText="1"/>
    </xf>
    <xf borderId="0" fillId="0" fontId="15" numFmtId="4" xfId="0" applyAlignment="1" applyFont="1" applyNumberFormat="1">
      <alignment horizontal="center" shrinkToFit="0" vertical="bottom" wrapText="1"/>
    </xf>
    <xf borderId="0" fillId="0" fontId="1" numFmtId="164" xfId="0" applyAlignment="1" applyFont="1" applyNumberFormat="1">
      <alignment shrinkToFit="0" wrapText="0"/>
    </xf>
    <xf borderId="0" fillId="6" fontId="7" numFmtId="164" xfId="0" applyAlignment="1" applyFill="1" applyFont="1" applyNumberFormat="1">
      <alignment horizontal="center"/>
    </xf>
    <xf borderId="0" fillId="0" fontId="1" numFmtId="4" xfId="0" applyAlignment="1" applyFont="1" applyNumberFormat="1">
      <alignment shrinkToFit="0" wrapText="0"/>
    </xf>
    <xf borderId="0" fillId="6" fontId="7" numFmtId="0" xfId="0" applyAlignment="1" applyFill="1" applyFont="1">
      <alignment horizontal="center" vertical="bottom"/>
    </xf>
    <xf borderId="0" fillId="6" fontId="7" numFmtId="3" xfId="0" applyAlignment="1" applyFill="1" applyFont="1" applyNumberFormat="1">
      <alignment horizontal="center" readingOrder="0" shrinkToFit="0" wrapText="1"/>
    </xf>
    <xf borderId="0" fillId="0" fontId="7" numFmtId="3" xfId="0" applyAlignment="1" applyFont="1" applyNumberFormat="1">
      <alignment horizontal="center" readingOrder="0" shrinkToFit="0" wrapText="0"/>
    </xf>
    <xf borderId="0" fillId="0" fontId="16" numFmtId="0" xfId="0" applyAlignment="1" applyFont="1">
      <alignment shrinkToFit="0" wrapText="0"/>
    </xf>
    <xf borderId="0" fillId="0" fontId="12" numFmtId="0" xfId="0" applyAlignment="1" applyFont="1">
      <alignment readingOrder="0"/>
    </xf>
    <xf borderId="0" fillId="0" fontId="17" numFmtId="0" xfId="0" applyAlignment="1" applyFont="1">
      <alignment horizontal="left" readingOrder="0"/>
    </xf>
    <xf borderId="0" fillId="0" fontId="18" numFmtId="0" xfId="0" applyAlignment="1" applyFont="1">
      <alignment readingOrder="0" shrinkToFit="0" wrapText="0"/>
    </xf>
    <xf borderId="0" fillId="6" fontId="19" numFmtId="0" xfId="0" applyAlignment="1" applyFill="1" applyFont="1">
      <alignment horizontal="left" readingOrder="0" shrinkToFit="0" wrapText="0"/>
    </xf>
    <xf borderId="0" fillId="0" fontId="17" numFmtId="0" xfId="0" applyAlignment="1" applyFont="1">
      <alignment horizontal="center" readingOrder="0"/>
    </xf>
    <xf borderId="0" fillId="0" fontId="20" numFmtId="0" xfId="0" applyAlignment="1" applyFont="1">
      <alignment readingOrder="0" shrinkToFit="0" wrapText="0"/>
    </xf>
    <xf borderId="0" fillId="0" fontId="20" numFmtId="0" xfId="0" applyAlignment="1" applyFont="1">
      <alignment readingOrder="0"/>
    </xf>
    <xf borderId="0" fillId="0" fontId="1" numFmtId="2" xfId="0" applyAlignment="1" applyFont="1" applyNumberFormat="1">
      <alignment shrinkToFit="0" wrapText="0"/>
    </xf>
    <xf borderId="0" fillId="0" fontId="21" numFmtId="4" xfId="0" applyFont="1" applyNumberFormat="1"/>
    <xf borderId="0" fillId="0" fontId="22" numFmtId="0" xfId="0" applyAlignment="1" applyFont="1">
      <alignment readingOrder="0" shrinkToFit="0" wrapText="0"/>
    </xf>
    <xf borderId="0" fillId="0" fontId="12" numFmtId="0" xfId="0" applyAlignment="1" applyFont="1">
      <alignment horizontal="left" readingOrder="0" shrinkToFit="0" wrapText="0"/>
    </xf>
    <xf borderId="0" fillId="6" fontId="11" numFmtId="0" xfId="0" applyAlignment="1" applyFill="1" applyFont="1">
      <alignment horizontal="center" readingOrder="0"/>
    </xf>
    <xf borderId="0" fillId="6" fontId="7" numFmtId="3" xfId="0" applyAlignment="1" applyFill="1" applyFont="1" applyNumberFormat="1">
      <alignment horizontal="center" shrinkToFit="0" wrapText="0"/>
    </xf>
    <xf borderId="0" fillId="0" fontId="23" numFmtId="0" xfId="0" applyAlignment="1" applyFont="1">
      <alignment readingOrder="0"/>
    </xf>
    <xf borderId="0" fillId="0" fontId="1" numFmtId="0" xfId="0" applyAlignment="1" applyFont="1">
      <alignment horizontal="center" readingOrder="0"/>
    </xf>
    <xf borderId="0" fillId="6" fontId="7" numFmtId="0" xfId="0" applyAlignment="1" applyFill="1" applyFont="1">
      <alignment horizontal="center"/>
    </xf>
    <xf borderId="0" fillId="6" fontId="7" numFmtId="4" xfId="0" applyAlignment="1" applyFill="1" applyFont="1" applyNumberFormat="1">
      <alignment horizontal="center"/>
    </xf>
    <xf borderId="0" fillId="0" fontId="7" numFmtId="49" xfId="0" applyAlignment="1" applyFont="1" applyNumberFormat="1">
      <alignment horizontal="center"/>
    </xf>
    <xf borderId="0" fillId="6" fontId="24" numFmtId="0" xfId="0" applyAlignment="1" applyFill="1" applyFont="1">
      <alignment horizontal="left" readingOrder="0" shrinkToFit="0" wrapText="0"/>
    </xf>
    <xf borderId="0" fillId="0" fontId="7" numFmtId="0" xfId="0" applyAlignment="1" applyFont="1">
      <alignment horizontal="center" shrinkToFit="0" wrapText="1"/>
    </xf>
    <xf borderId="0" fillId="0" fontId="12" numFmtId="0" xfId="0" applyAlignment="1" applyFont="1">
      <alignment horizontal="center" shrinkToFit="0" wrapText="0"/>
    </xf>
    <xf borderId="0" fillId="0" fontId="7" numFmtId="3" xfId="0" applyAlignment="1" applyFont="1" applyNumberFormat="1">
      <alignment horizontal="center"/>
    </xf>
    <xf borderId="0" fillId="0" fontId="15" numFmtId="49" xfId="0" applyAlignment="1" applyFont="1" applyNumberFormat="1">
      <alignment horizontal="center" readingOrder="0" vertical="bottom"/>
    </xf>
    <xf borderId="0" fillId="6" fontId="7" numFmtId="49" xfId="0" applyAlignment="1" applyFill="1" applyFont="1" applyNumberFormat="1">
      <alignment horizontal="center" shrinkToFit="0" vertical="center" wrapText="1"/>
    </xf>
    <xf borderId="0" fillId="6" fontId="7" numFmtId="4" xfId="0" applyAlignment="1" applyFill="1" applyFont="1" applyNumberFormat="1">
      <alignment horizontal="center" readingOrder="0" shrinkToFit="0" wrapText="0"/>
    </xf>
    <xf borderId="0" fillId="6" fontId="7" numFmtId="0" xfId="0" applyAlignment="1" applyFill="1" applyFont="1">
      <alignment horizontal="center" shrinkToFit="0" wrapText="1"/>
    </xf>
    <xf borderId="0" fillId="6" fontId="25" numFmtId="0" xfId="0" applyAlignment="1" applyFill="1" applyFont="1">
      <alignment horizontal="left" readingOrder="0" shrinkToFit="0" wrapText="0"/>
    </xf>
    <xf borderId="0" fillId="6" fontId="11" numFmtId="0" xfId="0" applyAlignment="1" applyFill="1" applyFont="1">
      <alignment horizontal="left" readingOrder="0" shrinkToFit="0" wrapText="0"/>
    </xf>
    <xf borderId="0" fillId="0" fontId="26" numFmtId="0" xfId="0" applyAlignment="1" applyFont="1">
      <alignment horizontal="left" readingOrder="0" shrinkToFit="0" wrapText="0"/>
    </xf>
    <xf borderId="0" fillId="0" fontId="11" numFmtId="0" xfId="0" applyAlignment="1" applyFont="1">
      <alignment horizontal="center" readingOrder="0"/>
    </xf>
    <xf borderId="0" fillId="0" fontId="7" numFmtId="3" xfId="0" applyAlignment="1" applyFont="1" applyNumberFormat="1">
      <alignment horizontal="center" readingOrder="0" shrinkToFit="0" vertical="bottom" wrapText="0"/>
    </xf>
    <xf borderId="0" fillId="0" fontId="7" numFmtId="0" xfId="0" applyAlignment="1" applyFont="1">
      <alignment horizontal="center" readingOrder="0" shrinkToFit="0" vertical="bottom" wrapText="0"/>
    </xf>
    <xf borderId="0" fillId="0" fontId="7" numFmtId="4" xfId="0" applyAlignment="1" applyFont="1" applyNumberFormat="1">
      <alignment horizontal="center" readingOrder="0" shrinkToFit="0" wrapText="0"/>
    </xf>
    <xf borderId="0" fillId="0" fontId="7" numFmtId="4" xfId="0" applyAlignment="1" applyFont="1" applyNumberFormat="1">
      <alignment horizontal="left" shrinkToFit="0" wrapText="0"/>
    </xf>
    <xf borderId="0" fillId="0" fontId="11" numFmtId="0" xfId="0" applyAlignment="1" applyFont="1">
      <alignment horizontal="left" readingOrder="0" shrinkToFit="0" wrapText="0"/>
    </xf>
    <xf borderId="0" fillId="6" fontId="11" numFmtId="0" xfId="0" applyAlignment="1" applyFill="1" applyFont="1">
      <alignment readingOrder="0" shrinkToFit="0" wrapText="0"/>
    </xf>
    <xf borderId="0" fillId="6" fontId="7" numFmtId="49" xfId="0" applyAlignment="1" applyFill="1" applyFont="1" applyNumberFormat="1">
      <alignment horizontal="center" readingOrder="0" shrinkToFit="0" vertical="center" wrapText="1"/>
    </xf>
    <xf borderId="0" fillId="6" fontId="27" numFmtId="4" xfId="0" applyAlignment="1" applyFill="1" applyFont="1" applyNumberFormat="1">
      <alignment horizontal="left" readingOrder="0" shrinkToFit="0" wrapText="0"/>
    </xf>
    <xf borderId="0" fillId="6" fontId="7" numFmtId="3" xfId="0" applyAlignment="1" applyFill="1" applyFont="1" applyNumberFormat="1">
      <alignment horizontal="center" shrinkToFit="0" wrapText="1"/>
    </xf>
    <xf borderId="0" fillId="6" fontId="28" numFmtId="0" xfId="0" applyAlignment="1" applyFill="1" applyFont="1">
      <alignment horizontal="left" readingOrder="0" shrinkToFit="0" wrapText="0"/>
    </xf>
    <xf borderId="0" fillId="6" fontId="0" numFmtId="0" xfId="0" applyAlignment="1" applyFill="1" applyFont="1">
      <alignment horizontal="left" readingOrder="0" shrinkToFit="0" wrapText="0"/>
    </xf>
    <xf borderId="0" fillId="0" fontId="7" numFmtId="0" xfId="0" applyAlignment="1" applyFont="1">
      <alignment horizontal="left" readingOrder="0" shrinkToFit="0" wrapText="0"/>
    </xf>
    <xf borderId="0" fillId="6" fontId="29" numFmtId="0" xfId="0" applyAlignment="1" applyFill="1" applyFont="1">
      <alignment readingOrder="0"/>
    </xf>
    <xf borderId="0" fillId="6" fontId="30" numFmtId="4" xfId="0" applyAlignment="1" applyFill="1" applyFont="1" applyNumberFormat="1">
      <alignment horizontal="left" readingOrder="0" shrinkToFit="0" wrapText="0"/>
    </xf>
    <xf borderId="0" fillId="0" fontId="7" numFmtId="49" xfId="0" applyAlignment="1" applyFont="1" applyNumberFormat="1">
      <alignment horizontal="center" shrinkToFit="0" vertical="center" wrapText="0"/>
    </xf>
    <xf borderId="0" fillId="6" fontId="7" numFmtId="49" xfId="0" applyAlignment="1" applyFill="1" applyFont="1" applyNumberFormat="1">
      <alignment horizontal="center" shrinkToFit="0" wrapText="1"/>
    </xf>
    <xf borderId="0" fillId="6" fontId="12" numFmtId="0" xfId="0" applyAlignment="1" applyFill="1" applyFont="1">
      <alignment horizontal="center" readingOrder="0" shrinkToFit="0" wrapText="0"/>
    </xf>
    <xf borderId="0" fillId="0" fontId="31" numFmtId="4" xfId="0" applyAlignment="1" applyFont="1" applyNumberFormat="1">
      <alignment shrinkToFit="0" wrapText="0"/>
    </xf>
    <xf borderId="0" fillId="6" fontId="11" numFmtId="0" xfId="0" applyAlignment="1" applyFill="1" applyFont="1">
      <alignment horizontal="center" readingOrder="0" shrinkToFit="0" wrapText="1"/>
    </xf>
    <xf borderId="0" fillId="6" fontId="11" numFmtId="0" xfId="0" applyAlignment="1" applyFill="1" applyFont="1">
      <alignment horizontal="center" readingOrder="0" shrinkToFit="0" wrapText="0"/>
    </xf>
    <xf borderId="0" fillId="6" fontId="11" numFmtId="0" xfId="0" applyAlignment="1" applyFill="1" applyFont="1">
      <alignment readingOrder="0"/>
    </xf>
    <xf borderId="0" fillId="0" fontId="7" numFmtId="49" xfId="0" applyAlignment="1" applyFont="1" applyNumberFormat="1">
      <alignment horizontal="center" shrinkToFit="0" vertical="center" wrapText="1"/>
    </xf>
    <xf borderId="0" fillId="2" fontId="7" numFmtId="49" xfId="0" applyAlignment="1" applyFill="1" applyFont="1" applyNumberFormat="1">
      <alignment horizontal="center" vertical="center"/>
    </xf>
    <xf borderId="0" fillId="6" fontId="1" numFmtId="49" xfId="0" applyAlignment="1" applyFill="1" applyFont="1" applyNumberFormat="1">
      <alignment horizontal="center"/>
    </xf>
    <xf borderId="0" fillId="6" fontId="7" numFmtId="164" xfId="0" applyAlignment="1" applyFill="1" applyFont="1" applyNumberFormat="1">
      <alignment horizontal="center" shrinkToFit="0" wrapText="1"/>
    </xf>
    <xf borderId="0" fillId="0" fontId="7" numFmtId="49" xfId="0" applyAlignment="1" applyFont="1" applyNumberFormat="1">
      <alignment horizontal="center" readingOrder="0" vertical="center"/>
    </xf>
    <xf borderId="0" fillId="0" fontId="7" numFmtId="0" xfId="0" applyAlignment="1" applyFont="1">
      <alignment horizontal="center" readingOrder="0" shrinkToFit="0" wrapText="1"/>
    </xf>
    <xf borderId="0" fillId="6" fontId="7" numFmtId="3" xfId="0" applyAlignment="1" applyFill="1" applyFont="1" applyNumberFormat="1">
      <alignment horizontal="center" shrinkToFit="0" vertical="bottom" wrapText="0"/>
    </xf>
    <xf borderId="0" fillId="6" fontId="7" numFmtId="0" xfId="0" applyAlignment="1" applyFill="1" applyFont="1">
      <alignment horizontal="center" shrinkToFit="0" vertical="bottom" wrapText="0"/>
    </xf>
    <xf borderId="0" fillId="0" fontId="7" numFmtId="0" xfId="0" applyAlignment="1" applyFont="1">
      <alignment horizontal="center" shrinkToFit="0" vertical="bottom" wrapText="0"/>
    </xf>
    <xf borderId="0" fillId="0" fontId="7" numFmtId="0" xfId="0" applyAlignment="1" applyFont="1">
      <alignment horizontal="left" readingOrder="0" shrinkToFit="0" vertical="bottom" wrapText="0"/>
    </xf>
    <xf borderId="0" fillId="0" fontId="1" numFmtId="0" xfId="0" applyAlignment="1" applyFont="1">
      <alignment horizontal="left" readingOrder="0" shrinkToFit="0" wrapText="0"/>
    </xf>
    <xf borderId="0" fillId="0" fontId="7" numFmtId="49" xfId="0" applyAlignment="1" applyFont="1" applyNumberFormat="1">
      <alignment horizontal="center" readingOrder="0" shrinkToFit="0" vertical="center" wrapText="1"/>
    </xf>
    <xf borderId="0" fillId="0" fontId="7" numFmtId="164" xfId="0" applyAlignment="1" applyFont="1" applyNumberFormat="1">
      <alignment horizontal="center" readingOrder="0" shrinkToFit="0" wrapText="0"/>
    </xf>
    <xf borderId="0" fillId="0" fontId="7" numFmtId="164" xfId="0" applyAlignment="1" applyFont="1" applyNumberFormat="1">
      <alignment horizontal="right" readingOrder="0" shrinkToFit="0" wrapText="0"/>
    </xf>
    <xf borderId="0" fillId="0" fontId="7" numFmtId="49" xfId="0" applyAlignment="1" applyFont="1" applyNumberFormat="1">
      <alignment horizontal="center" readingOrder="0"/>
    </xf>
    <xf borderId="0" fillId="0" fontId="32" numFmtId="4" xfId="0" applyAlignment="1" applyFont="1" applyNumberFormat="1">
      <alignment horizontal="left" readingOrder="0" shrinkToFit="0" wrapText="0"/>
    </xf>
    <xf borderId="0" fillId="0" fontId="7" numFmtId="0" xfId="0" applyAlignment="1" applyFont="1">
      <alignment horizontal="center" readingOrder="0" shrinkToFit="0" wrapText="0"/>
    </xf>
    <xf borderId="0" fillId="0" fontId="33" numFmtId="0" xfId="0" applyAlignment="1" applyFont="1">
      <alignment readingOrder="0" shrinkToFit="0" wrapText="0"/>
    </xf>
    <xf borderId="0" fillId="6" fontId="11" numFmtId="0" xfId="0" applyAlignment="1" applyFill="1" applyFont="1">
      <alignment shrinkToFit="0" wrapText="0"/>
    </xf>
    <xf borderId="0" fillId="6" fontId="22" numFmtId="0" xfId="0" applyAlignment="1" applyFill="1" applyFont="1">
      <alignment readingOrder="0" shrinkToFit="0" wrapText="0"/>
    </xf>
    <xf borderId="0" fillId="0" fontId="11" numFmtId="0" xfId="0" applyAlignment="1" applyFont="1">
      <alignment horizontal="center" readingOrder="0" shrinkToFit="0" wrapText="0"/>
    </xf>
    <xf borderId="0" fillId="0" fontId="34" numFmtId="0" xfId="0" applyAlignment="1" applyFont="1">
      <alignment readingOrder="0"/>
    </xf>
    <xf borderId="0" fillId="0" fontId="7" numFmtId="3" xfId="0" applyAlignment="1" applyFont="1" applyNumberFormat="1">
      <alignment horizontal="center" shrinkToFit="0" vertical="bottom" wrapText="0"/>
    </xf>
    <xf borderId="0" fillId="8" fontId="7" numFmtId="0" xfId="0" applyAlignment="1" applyFill="1" applyFont="1">
      <alignment horizontal="center"/>
    </xf>
    <xf borderId="0" fillId="6" fontId="35" numFmtId="4" xfId="0" applyAlignment="1" applyFill="1" applyFont="1" applyNumberFormat="1">
      <alignment horizontal="left" readingOrder="0" shrinkToFit="0" wrapText="0"/>
    </xf>
    <xf borderId="0" fillId="6" fontId="36" numFmtId="0" xfId="0" applyAlignment="1" applyFill="1" applyFont="1">
      <alignment horizontal="center" readingOrder="0"/>
    </xf>
    <xf borderId="0" fillId="2" fontId="7" numFmtId="49" xfId="0" applyAlignment="1" applyFill="1" applyFont="1" applyNumberFormat="1">
      <alignment horizontal="center" shrinkToFit="0" vertical="center" wrapText="1"/>
    </xf>
    <xf borderId="0" fillId="6" fontId="37" numFmtId="0" xfId="0" applyAlignment="1" applyFill="1" applyFont="1">
      <alignment horizontal="left" shrinkToFit="0" wrapText="0"/>
    </xf>
    <xf borderId="0" fillId="0" fontId="0" numFmtId="0" xfId="0" applyAlignment="1" applyFont="1">
      <alignment horizontal="left" shrinkToFit="0" wrapText="0"/>
    </xf>
    <xf borderId="0" fillId="0" fontId="7" numFmtId="0" xfId="0" applyAlignment="1" applyFont="1">
      <alignment horizontal="left" shrinkToFit="0" wrapText="0"/>
    </xf>
    <xf borderId="0" fillId="0" fontId="26" numFmtId="49" xfId="0" applyAlignment="1" applyFont="1" applyNumberFormat="1">
      <alignment horizontal="center" readingOrder="0" vertical="center"/>
    </xf>
    <xf borderId="0" fillId="0" fontId="1" numFmtId="3" xfId="0" applyAlignment="1" applyFont="1" applyNumberFormat="1">
      <alignment shrinkToFit="0" wrapText="0"/>
    </xf>
    <xf borderId="0" fillId="6" fontId="38" numFmtId="4" xfId="0" applyAlignment="1" applyFill="1" applyFont="1" applyNumberFormat="1">
      <alignment horizontal="left" readingOrder="0" shrinkToFit="0" wrapText="0"/>
    </xf>
    <xf borderId="0" fillId="0" fontId="7" numFmtId="0" xfId="0" applyAlignment="1" applyFont="1">
      <alignment horizontal="center" readingOrder="0" vertical="bottom"/>
    </xf>
    <xf borderId="0" fillId="6" fontId="7" numFmtId="0" xfId="0" applyAlignment="1" applyFill="1" applyFont="1">
      <alignment horizontal="center" readingOrder="0" vertical="bottom"/>
    </xf>
    <xf borderId="0" fillId="6" fontId="7" numFmtId="49" xfId="0" applyAlignment="1" applyFill="1" applyFont="1" applyNumberFormat="1">
      <alignment horizontal="center" readingOrder="0" vertical="bottom"/>
    </xf>
    <xf borderId="0" fillId="0" fontId="7" numFmtId="49" xfId="0" applyAlignment="1" applyFont="1" applyNumberFormat="1">
      <alignment horizontal="center" readingOrder="0" vertical="bottom"/>
    </xf>
    <xf borderId="0" fillId="6" fontId="39" numFmtId="0" xfId="0" applyAlignment="1" applyFill="1" applyFont="1">
      <alignment horizontal="left" readingOrder="0" shrinkToFit="0" vertical="bottom" wrapText="0"/>
    </xf>
    <xf borderId="0" fillId="0" fontId="12" numFmtId="0" xfId="0" applyAlignment="1" applyFont="1">
      <alignment readingOrder="0" shrinkToFit="0" wrapText="0"/>
    </xf>
    <xf borderId="0" fillId="0" fontId="1" numFmtId="49" xfId="0" applyAlignment="1" applyFont="1" applyNumberFormat="1">
      <alignment horizontal="center" readingOrder="0"/>
    </xf>
    <xf borderId="0" fillId="0" fontId="7" numFmtId="4" xfId="0" applyAlignment="1" applyFont="1" applyNumberFormat="1">
      <alignment horizontal="left" readingOrder="0" shrinkToFit="0" wrapText="0"/>
    </xf>
    <xf borderId="0" fillId="2" fontId="7" numFmtId="49" xfId="0" applyAlignment="1" applyFill="1" applyFont="1" applyNumberFormat="1">
      <alignment horizontal="center" readingOrder="0" vertical="center"/>
    </xf>
    <xf borderId="0" fillId="6" fontId="40" numFmtId="0" xfId="0" applyAlignment="1" applyFill="1" applyFont="1">
      <alignment horizontal="left" shrinkToFit="0" wrapText="0"/>
    </xf>
    <xf borderId="0" fillId="0" fontId="15" numFmtId="4" xfId="0" applyAlignment="1" applyFont="1" applyNumberFormat="1">
      <alignment vertical="bottom"/>
    </xf>
    <xf borderId="0" fillId="0" fontId="15" numFmtId="0" xfId="0" applyAlignment="1" applyFont="1">
      <alignment vertical="bottom"/>
    </xf>
    <xf borderId="0" fillId="6" fontId="1" numFmtId="0" xfId="0" applyAlignment="1" applyFill="1" applyFont="1">
      <alignment horizontal="center" readingOrder="0"/>
    </xf>
    <xf borderId="0" fillId="6" fontId="1" numFmtId="49" xfId="0" applyAlignment="1" applyFill="1" applyFont="1" applyNumberFormat="1">
      <alignment horizontal="center" readingOrder="0"/>
    </xf>
    <xf borderId="0" fillId="6" fontId="41" numFmtId="4" xfId="0" applyAlignment="1" applyFill="1" applyFont="1" applyNumberFormat="1">
      <alignment horizontal="left" shrinkToFit="0" wrapText="0"/>
    </xf>
    <xf borderId="0" fillId="6" fontId="42" numFmtId="0" xfId="0" applyAlignment="1" applyFill="1" applyFont="1">
      <alignment horizontal="left" readingOrder="0" shrinkToFit="0" wrapText="0"/>
    </xf>
    <xf borderId="0" fillId="6" fontId="37" numFmtId="0" xfId="0" applyAlignment="1" applyFill="1" applyFont="1">
      <alignment horizontal="left" readingOrder="0" shrinkToFit="0" wrapText="0"/>
    </xf>
    <xf borderId="0" fillId="0" fontId="43" numFmtId="0" xfId="0" applyAlignment="1" applyFont="1">
      <alignment readingOrder="0"/>
    </xf>
    <xf borderId="0" fillId="6" fontId="7" numFmtId="1" xfId="0" applyAlignment="1" applyFill="1" applyFont="1" applyNumberFormat="1">
      <alignment horizontal="center" readingOrder="0" shrinkToFit="0" wrapText="1"/>
    </xf>
    <xf borderId="0" fillId="6" fontId="26" numFmtId="0" xfId="0" applyAlignment="1" applyFill="1" applyFont="1">
      <alignment horizontal="center" readingOrder="0"/>
    </xf>
    <xf borderId="0" fillId="0" fontId="7" numFmtId="49" xfId="0" applyAlignment="1" applyFont="1" applyNumberFormat="1">
      <alignment horizontal="center" vertical="center"/>
    </xf>
    <xf borderId="0" fillId="7" fontId="1" numFmtId="0" xfId="0" applyAlignment="1" applyFill="1" applyFont="1">
      <alignment horizontal="center"/>
    </xf>
    <xf borderId="0" fillId="7" fontId="7" numFmtId="164" xfId="0" applyAlignment="1" applyFill="1" applyFont="1" applyNumberFormat="1">
      <alignment horizontal="center" readingOrder="0"/>
    </xf>
    <xf borderId="0" fillId="0" fontId="1" numFmtId="49" xfId="0" applyAlignment="1" applyFont="1" applyNumberFormat="1">
      <alignment horizontal="center" readingOrder="0" vertical="center"/>
    </xf>
    <xf borderId="0" fillId="0" fontId="1" numFmtId="0" xfId="0" applyAlignment="1" applyFont="1">
      <alignment horizontal="center" shrinkToFit="0" wrapText="0"/>
    </xf>
    <xf borderId="0" fillId="0" fontId="1" numFmtId="49" xfId="0" applyAlignment="1" applyFont="1" applyNumberFormat="1">
      <alignment horizontal="center"/>
    </xf>
    <xf borderId="0" fillId="0" fontId="44" numFmtId="0" xfId="0" applyAlignment="1" applyFont="1">
      <alignment horizontal="left" readingOrder="0" shrinkToFit="0" wrapText="0"/>
    </xf>
    <xf borderId="0" fillId="0" fontId="20" numFmtId="0" xfId="0" applyAlignment="1" applyFont="1">
      <alignment horizontal="left" shrinkToFit="0" wrapText="0"/>
    </xf>
    <xf borderId="0" fillId="0" fontId="1" numFmtId="0" xfId="0" applyAlignment="1" applyFont="1">
      <alignment horizontal="center"/>
    </xf>
    <xf borderId="0" fillId="0" fontId="12" numFmtId="0" xfId="0" applyAlignment="1" applyFont="1">
      <alignment horizontal="center"/>
    </xf>
    <xf borderId="0" fillId="6" fontId="11" numFmtId="0" xfId="0" applyAlignment="1" applyFill="1" applyFont="1">
      <alignment horizontal="left" shrinkToFit="0" wrapText="0"/>
    </xf>
    <xf borderId="0" fillId="6" fontId="7" numFmtId="0" xfId="0" applyAlignment="1" applyFill="1" applyFont="1">
      <alignment horizontal="left" readingOrder="0" shrinkToFit="0" wrapText="0"/>
    </xf>
    <xf borderId="0" fillId="7" fontId="7" numFmtId="0" xfId="0" applyAlignment="1" applyFill="1" applyFont="1">
      <alignment horizontal="center"/>
    </xf>
    <xf borderId="0" fillId="7" fontId="1" numFmtId="0" xfId="0" applyAlignment="1" applyFill="1" applyFont="1">
      <alignment horizontal="center" readingOrder="0"/>
    </xf>
    <xf borderId="1" fillId="6" fontId="7" numFmtId="0" xfId="0" applyAlignment="1" applyBorder="1" applyFill="1" applyFont="1">
      <alignment horizontal="center" readingOrder="0" shrinkToFit="0" wrapText="0"/>
    </xf>
    <xf borderId="0" fillId="6" fontId="12" numFmtId="0" xfId="0" applyAlignment="1" applyFill="1" applyFont="1">
      <alignment horizontal="left" shrinkToFit="0" wrapText="0"/>
    </xf>
    <xf borderId="0" fillId="0" fontId="1" numFmtId="0" xfId="0" applyAlignment="1" applyFont="1">
      <alignment horizontal="center" readingOrder="0" shrinkToFit="0" wrapText="0"/>
    </xf>
    <xf borderId="0" fillId="0" fontId="20" numFmtId="0" xfId="0" applyAlignment="1" applyFont="1">
      <alignment horizontal="left" readingOrder="0" shrinkToFit="0" wrapText="0"/>
    </xf>
    <xf borderId="0" fillId="0" fontId="12" numFmtId="0" xfId="0" applyAlignment="1" applyFont="1">
      <alignment horizontal="center" readingOrder="0"/>
    </xf>
    <xf borderId="0" fillId="6" fontId="7" numFmtId="0" xfId="0" applyAlignment="1" applyFill="1" applyFont="1">
      <alignment horizontal="left" shrinkToFit="0" wrapText="0"/>
    </xf>
    <xf borderId="0" fillId="0" fontId="11" numFmtId="0" xfId="0" applyAlignment="1" applyFont="1">
      <alignment readingOrder="0" shrinkToFit="0" wrapText="0"/>
    </xf>
    <xf borderId="0" fillId="6" fontId="1" numFmtId="0" xfId="0" applyAlignment="1" applyFill="1" applyFont="1">
      <alignment horizontal="center" shrinkToFit="0" wrapText="0"/>
    </xf>
    <xf borderId="0" fillId="6" fontId="7" numFmtId="49" xfId="0" applyAlignment="1" applyFill="1" applyFont="1" applyNumberFormat="1">
      <alignment horizontal="center" readingOrder="0" shrinkToFit="0" wrapText="0"/>
    </xf>
    <xf borderId="0" fillId="9" fontId="7" numFmtId="49" xfId="0" applyAlignment="1" applyFill="1" applyFont="1" applyNumberFormat="1">
      <alignment horizontal="center" readingOrder="0" shrinkToFit="0" vertical="center" wrapText="1"/>
    </xf>
    <xf borderId="0" fillId="10" fontId="7" numFmtId="0" xfId="0" applyAlignment="1" applyFill="1" applyFont="1">
      <alignment horizontal="center" readingOrder="0"/>
    </xf>
    <xf borderId="0" fillId="0" fontId="1" numFmtId="164" xfId="0" applyAlignment="1" applyFont="1" applyNumberFormat="1">
      <alignment readingOrder="0" shrinkToFit="0" wrapText="0"/>
    </xf>
    <xf borderId="0" fillId="6" fontId="45" numFmtId="4" xfId="0" applyAlignment="1" applyFill="1" applyFont="1" applyNumberFormat="1">
      <alignment horizontal="left" readingOrder="0" shrinkToFit="0" wrapText="0"/>
    </xf>
    <xf borderId="0" fillId="6" fontId="7" numFmtId="4" xfId="0" applyAlignment="1" applyFill="1" applyFont="1" applyNumberFormat="1">
      <alignment horizontal="center" readingOrder="0" vertical="bottom"/>
    </xf>
    <xf borderId="0" fillId="0" fontId="7" numFmtId="0" xfId="0" applyAlignment="1" applyFont="1">
      <alignment horizontal="center" readingOrder="0" shrinkToFit="0" vertical="bottom" wrapText="0"/>
    </xf>
    <xf borderId="0" fillId="6" fontId="12" numFmtId="0" xfId="0" applyAlignment="1" applyFill="1" applyFont="1">
      <alignment horizontal="center"/>
    </xf>
    <xf borderId="0" fillId="0" fontId="15" numFmtId="49" xfId="0" applyAlignment="1" applyFont="1" applyNumberFormat="1">
      <alignment horizontal="center" readingOrder="0" vertical="center"/>
    </xf>
    <xf borderId="0" fillId="0" fontId="15" numFmtId="0" xfId="0" applyAlignment="1" applyFont="1">
      <alignment horizontal="center" readingOrder="0" vertical="bottom"/>
    </xf>
    <xf borderId="0" fillId="0" fontId="15" numFmtId="0" xfId="0" applyAlignment="1" applyFont="1">
      <alignment horizontal="center" vertical="bottom"/>
    </xf>
    <xf borderId="0" fillId="0" fontId="15" numFmtId="164" xfId="0" applyAlignment="1" applyFont="1" applyNumberFormat="1">
      <alignment horizontal="right" shrinkToFit="0" vertical="bottom" wrapText="0"/>
    </xf>
    <xf borderId="0" fillId="0" fontId="15" numFmtId="4" xfId="0" applyAlignment="1" applyFont="1" applyNumberFormat="1">
      <alignment horizontal="center" vertical="bottom"/>
    </xf>
    <xf borderId="0" fillId="0" fontId="15" numFmtId="49" xfId="0" applyAlignment="1" applyFont="1" applyNumberFormat="1">
      <alignment horizontal="center" vertical="bottom"/>
    </xf>
    <xf borderId="0" fillId="0" fontId="46" numFmtId="0" xfId="0" applyAlignment="1" applyFont="1">
      <alignment horizontal="left" readingOrder="0" shrinkToFit="0" vertical="bottom" wrapText="0"/>
    </xf>
    <xf borderId="0" fillId="0" fontId="11" numFmtId="0" xfId="0" applyAlignment="1" applyFont="1">
      <alignment horizontal="left" shrinkToFit="0" vertical="bottom" wrapText="0"/>
    </xf>
    <xf borderId="0" fillId="6" fontId="15" numFmtId="0" xfId="0" applyAlignment="1" applyFill="1" applyFont="1">
      <alignment horizontal="center" shrinkToFit="0" vertical="bottom" wrapText="0"/>
    </xf>
    <xf borderId="0" fillId="0" fontId="15" numFmtId="0" xfId="0" applyAlignment="1" applyFont="1">
      <alignment horizontal="center" shrinkToFit="0" vertical="bottom" wrapText="1"/>
    </xf>
    <xf borderId="0" fillId="0" fontId="15" numFmtId="0" xfId="0" applyAlignment="1" applyFont="1">
      <alignment horizontal="center" shrinkToFit="0" vertical="bottom" wrapText="0"/>
    </xf>
    <xf borderId="0" fillId="6" fontId="12" numFmtId="0" xfId="0" applyAlignment="1" applyFill="1" applyFont="1">
      <alignment horizontal="center" vertical="bottom"/>
    </xf>
    <xf borderId="0" fillId="0" fontId="15" numFmtId="164" xfId="0" applyAlignment="1" applyFont="1" applyNumberFormat="1">
      <alignment horizontal="center" vertical="bottom"/>
    </xf>
    <xf borderId="0" fillId="0" fontId="15" numFmtId="0" xfId="0" applyAlignment="1" applyFont="1">
      <alignment horizontal="center" readingOrder="0" shrinkToFit="0" vertical="bottom" wrapText="1"/>
    </xf>
    <xf borderId="0" fillId="0" fontId="7" numFmtId="1" xfId="0" applyAlignment="1" applyFont="1" applyNumberFormat="1">
      <alignment horizontal="center" vertical="bottom"/>
    </xf>
    <xf borderId="0" fillId="0" fontId="47" numFmtId="4" xfId="0" applyAlignment="1" applyFont="1" applyNumberFormat="1">
      <alignment horizontal="left" readingOrder="0" shrinkToFit="0" vertical="bottom" wrapText="0"/>
    </xf>
    <xf borderId="0" fillId="0" fontId="48" numFmtId="0" xfId="0" applyAlignment="1" applyFont="1">
      <alignment horizontal="left" readingOrder="0" shrinkToFit="0" vertical="bottom" wrapText="0"/>
    </xf>
    <xf borderId="0" fillId="0" fontId="15" numFmtId="164" xfId="0" applyAlignment="1" applyFont="1" applyNumberFormat="1">
      <alignment horizontal="right" readingOrder="0" shrinkToFit="0" vertical="bottom" wrapText="0"/>
    </xf>
    <xf borderId="0" fillId="0" fontId="15" numFmtId="49" xfId="0" applyAlignment="1" applyFont="1" applyNumberFormat="1">
      <alignment horizontal="center" shrinkToFit="0" vertical="bottom" wrapText="1"/>
    </xf>
    <xf borderId="0" fillId="0" fontId="15" numFmtId="3" xfId="0" applyAlignment="1" applyFont="1" applyNumberFormat="1">
      <alignment horizontal="center" shrinkToFit="0" vertical="bottom" wrapText="1"/>
    </xf>
    <xf borderId="0" fillId="0" fontId="49" numFmtId="4" xfId="0" applyAlignment="1" applyFont="1" applyNumberFormat="1">
      <alignment horizontal="left" readingOrder="0" shrinkToFit="0" vertical="bottom" wrapText="0"/>
    </xf>
    <xf borderId="0" fillId="6" fontId="12" numFmtId="0" xfId="0" applyAlignment="1" applyFill="1" applyFont="1">
      <alignment horizontal="center" shrinkToFit="0" vertical="bottom" wrapText="1"/>
    </xf>
    <xf borderId="0" fillId="0" fontId="15" numFmtId="164" xfId="0" applyAlignment="1" applyFont="1" applyNumberFormat="1">
      <alignment horizontal="center" shrinkToFit="0" vertical="bottom" wrapText="1"/>
    </xf>
    <xf borderId="0" fillId="0" fontId="15" numFmtId="0" xfId="0" applyAlignment="1" applyFont="1">
      <alignment horizontal="left" shrinkToFit="0" vertical="bottom" wrapText="0"/>
    </xf>
    <xf borderId="0" fillId="9" fontId="7" numFmtId="0" xfId="0" applyAlignment="1" applyFill="1" applyFont="1">
      <alignment horizontal="center"/>
    </xf>
    <xf borderId="0" fillId="0" fontId="7" numFmtId="164" xfId="0" applyAlignment="1" applyFont="1" applyNumberFormat="1">
      <alignment horizontal="center" shrinkToFit="0" wrapText="1"/>
    </xf>
    <xf borderId="0" fillId="0" fontId="50" numFmtId="4" xfId="0" applyAlignment="1" applyFont="1" applyNumberFormat="1">
      <alignment horizontal="left" readingOrder="0" shrinkToFit="0" wrapText="0"/>
    </xf>
    <xf borderId="0" fillId="6" fontId="26" numFmtId="0" xfId="0" applyAlignment="1" applyFill="1" applyFont="1">
      <alignment horizontal="left" readingOrder="0" shrinkToFit="0" wrapText="0"/>
    </xf>
    <xf borderId="0" fillId="0" fontId="7" numFmtId="0" xfId="0" applyAlignment="1" applyFont="1">
      <alignment horizontal="center" shrinkToFit="0" wrapText="0"/>
    </xf>
    <xf borderId="0" fillId="11" fontId="7" numFmtId="0" xfId="0" applyAlignment="1" applyFill="1" applyFont="1">
      <alignment horizontal="center" readingOrder="0"/>
    </xf>
    <xf borderId="0" fillId="0" fontId="51" numFmtId="0" xfId="0" applyAlignment="1" applyFont="1">
      <alignment horizontal="center" readingOrder="0" shrinkToFit="0" wrapText="0"/>
    </xf>
    <xf borderId="0" fillId="0" fontId="20" numFmtId="0" xfId="0" applyAlignment="1" applyFont="1">
      <alignment horizontal="center" readingOrder="0" shrinkToFit="0" wrapText="0"/>
    </xf>
    <xf borderId="0" fillId="0" fontId="20" numFmtId="0" xfId="0" applyAlignment="1" applyFont="1">
      <alignment horizontal="center" readingOrder="0"/>
    </xf>
    <xf borderId="0" fillId="10" fontId="7" numFmtId="0" xfId="0" applyAlignment="1" applyFill="1" applyFont="1">
      <alignment horizontal="center"/>
    </xf>
    <xf borderId="0" fillId="12" fontId="7" numFmtId="0" xfId="0" applyAlignment="1" applyFill="1" applyFont="1">
      <alignment horizontal="center"/>
    </xf>
    <xf borderId="0" fillId="9" fontId="7" numFmtId="49" xfId="0" applyAlignment="1" applyFill="1" applyFont="1" applyNumberFormat="1">
      <alignment horizontal="center" vertical="center"/>
    </xf>
    <xf borderId="0" fillId="9" fontId="7" numFmtId="49" xfId="0" applyAlignment="1" applyFill="1" applyFont="1" applyNumberFormat="1">
      <alignment horizontal="center" shrinkToFit="0" vertical="center" wrapText="1"/>
    </xf>
    <xf borderId="0" fillId="0" fontId="7" numFmtId="49" xfId="0" applyAlignment="1" applyFont="1" applyNumberFormat="1">
      <alignment horizontal="center" shrinkToFit="0" wrapText="1"/>
    </xf>
    <xf borderId="0" fillId="6" fontId="52" numFmtId="0" xfId="0" applyAlignment="1" applyFill="1" applyFont="1">
      <alignment readingOrder="0"/>
    </xf>
    <xf borderId="0" fillId="6" fontId="52" numFmtId="0" xfId="0" applyAlignment="1" applyFill="1" applyFont="1">
      <alignment horizontal="center" readingOrder="0"/>
    </xf>
    <xf borderId="0" fillId="0" fontId="53" numFmtId="4" xfId="0" applyAlignment="1" applyFont="1" applyNumberFormat="1">
      <alignment horizontal="left" readingOrder="0" shrinkToFit="0" wrapText="0"/>
    </xf>
    <xf borderId="0" fillId="9" fontId="7" numFmtId="49" xfId="0" applyAlignment="1" applyFill="1" applyFont="1" applyNumberFormat="1">
      <alignment horizontal="center" readingOrder="0" vertical="center"/>
    </xf>
    <xf borderId="0" fillId="9" fontId="0" numFmtId="49" xfId="0" applyAlignment="1" applyFill="1" applyFont="1" applyNumberFormat="1">
      <alignment horizontal="center" readingOrder="0" shrinkToFit="0" vertical="center" wrapText="1"/>
    </xf>
    <xf borderId="0" fillId="9" fontId="7" numFmtId="0" xfId="0" applyAlignment="1" applyFill="1" applyFont="1">
      <alignment horizontal="center" readingOrder="0"/>
    </xf>
    <xf borderId="0" fillId="13" fontId="54" numFmtId="49" xfId="0" applyAlignment="1" applyFill="1" applyFont="1" applyNumberFormat="1">
      <alignment horizontal="center" shrinkToFit="0" vertical="center" wrapText="1"/>
    </xf>
    <xf borderId="0" fillId="0" fontId="55" numFmtId="0" xfId="0" applyAlignment="1" applyFont="1">
      <alignment horizontal="left" readingOrder="0" shrinkToFit="0" wrapText="0"/>
    </xf>
    <xf borderId="0" fillId="0" fontId="11" numFmtId="0" xfId="0" applyAlignment="1" applyFont="1">
      <alignment horizontal="left" readingOrder="0" shrinkToFit="0" vertical="center" wrapText="0"/>
    </xf>
    <xf borderId="0" fillId="0" fontId="7" numFmtId="164" xfId="0" applyAlignment="1" applyFont="1" applyNumberFormat="1">
      <alignment horizontal="center" readingOrder="0" shrinkToFit="0" wrapText="1"/>
    </xf>
    <xf borderId="0" fillId="0" fontId="56" numFmtId="0" xfId="0" applyAlignment="1" applyFont="1">
      <alignment horizontal="left" readingOrder="0" shrinkToFit="0" wrapText="0"/>
    </xf>
    <xf borderId="0" fillId="6" fontId="7" numFmtId="164" xfId="0" applyAlignment="1" applyFill="1" applyFont="1" applyNumberFormat="1">
      <alignment horizontal="center" readingOrder="0" shrinkToFit="0" wrapText="1"/>
    </xf>
    <xf borderId="0" fillId="6" fontId="7" numFmtId="1" xfId="0" applyAlignment="1" applyFill="1" applyFont="1" applyNumberFormat="1">
      <alignment horizontal="center"/>
    </xf>
    <xf borderId="0" fillId="6" fontId="7" numFmtId="1" xfId="0" applyAlignment="1" applyFill="1" applyFont="1" applyNumberFormat="1">
      <alignment horizontal="center" readingOrder="0"/>
    </xf>
    <xf borderId="0" fillId="6" fontId="0" numFmtId="0" xfId="0" applyAlignment="1" applyFill="1" applyFont="1">
      <alignment horizontal="center" readingOrder="0" vertical="bottom"/>
    </xf>
    <xf borderId="0" fillId="6" fontId="7" numFmtId="3" xfId="0" applyAlignment="1" applyFill="1" applyFont="1" applyNumberFormat="1">
      <alignment horizontal="center" readingOrder="0" shrinkToFit="0" wrapText="0"/>
    </xf>
    <xf borderId="0" fillId="6" fontId="0" numFmtId="4" xfId="0" applyAlignment="1" applyFill="1" applyFont="1" applyNumberFormat="1">
      <alignment horizontal="center" readingOrder="0" vertical="bottom"/>
    </xf>
    <xf borderId="0" fillId="6" fontId="7" numFmtId="49" xfId="0" applyAlignment="1" applyFill="1" applyFont="1" applyNumberFormat="1">
      <alignment horizontal="center" readingOrder="0" shrinkToFit="0" wrapText="0"/>
    </xf>
    <xf borderId="0" fillId="6" fontId="7" numFmtId="0" xfId="0" applyAlignment="1" applyFill="1" applyFont="1">
      <alignment horizontal="center" readingOrder="0" shrinkToFit="0" wrapText="0"/>
    </xf>
    <xf borderId="0" fillId="6" fontId="57" numFmtId="0" xfId="0" applyAlignment="1" applyFill="1" applyFont="1">
      <alignment horizontal="center" readingOrder="0" shrinkToFit="0" wrapText="0"/>
    </xf>
    <xf borderId="0" fillId="6" fontId="58" numFmtId="0" xfId="0" applyAlignment="1" applyFill="1" applyFont="1">
      <alignment horizontal="center" readingOrder="0"/>
    </xf>
    <xf borderId="0" fillId="7" fontId="7" numFmtId="0" xfId="0" applyAlignment="1" applyFill="1" applyFont="1">
      <alignment horizontal="center" readingOrder="0" shrinkToFit="0" wrapText="1"/>
    </xf>
    <xf borderId="0" fillId="0" fontId="12" numFmtId="0" xfId="0" applyAlignment="1" applyFont="1">
      <alignment horizontal="center" readingOrder="0" shrinkToFit="0" wrapText="0"/>
    </xf>
    <xf borderId="0" fillId="0" fontId="1" numFmtId="3" xfId="0" applyAlignment="1" applyFont="1" applyNumberFormat="1">
      <alignment horizontal="center" shrinkToFit="0" wrapText="0"/>
    </xf>
    <xf borderId="0" fillId="0" fontId="59" numFmtId="0" xfId="0" applyAlignment="1" applyFont="1">
      <alignment horizontal="left" readingOrder="0" shrinkToFit="0" wrapText="0"/>
    </xf>
    <xf borderId="0" fillId="14" fontId="7" numFmtId="0" xfId="0" applyAlignment="1" applyFill="1" applyFont="1">
      <alignment horizontal="center"/>
    </xf>
    <xf borderId="0" fillId="6" fontId="60" numFmtId="0" xfId="0" applyAlignment="1" applyFill="1" applyFont="1">
      <alignment horizontal="center" readingOrder="0" shrinkToFit="0" wrapText="0"/>
    </xf>
    <xf borderId="0" fillId="6" fontId="60" numFmtId="0" xfId="0" applyAlignment="1" applyFill="1" applyFont="1">
      <alignment horizontal="center" shrinkToFit="0" wrapText="0"/>
    </xf>
    <xf borderId="0" fillId="0" fontId="54" numFmtId="1" xfId="0" applyAlignment="1" applyFont="1" applyNumberFormat="1">
      <alignment horizontal="center"/>
    </xf>
    <xf borderId="0" fillId="15" fontId="7" numFmtId="0" xfId="0" applyAlignment="1" applyFill="1" applyFont="1">
      <alignment horizontal="center" readingOrder="0"/>
    </xf>
    <xf borderId="0" fillId="0" fontId="7" numFmtId="0" xfId="0" applyAlignment="1" applyFont="1">
      <alignment horizontal="left" shrinkToFit="0" vertical="bottom" wrapText="0"/>
    </xf>
    <xf borderId="0" fillId="6" fontId="15" numFmtId="3" xfId="0" applyAlignment="1" applyFill="1" applyFont="1" applyNumberFormat="1">
      <alignment vertical="bottom"/>
    </xf>
    <xf borderId="0" fillId="6" fontId="15" numFmtId="4" xfId="0" applyAlignment="1" applyFill="1" applyFont="1" applyNumberFormat="1">
      <alignment vertical="bottom"/>
    </xf>
    <xf borderId="0" fillId="0" fontId="15" numFmtId="4" xfId="0" applyAlignment="1" applyFont="1" applyNumberFormat="1">
      <alignment horizontal="left" shrinkToFit="0" vertical="bottom" wrapText="0"/>
    </xf>
    <xf borderId="0" fillId="0" fontId="7" numFmtId="3" xfId="0" applyAlignment="1" applyFont="1" applyNumberFormat="1">
      <alignment horizontal="center" shrinkToFit="0" wrapText="1"/>
    </xf>
    <xf borderId="0" fillId="6" fontId="7" numFmtId="3" xfId="0" applyAlignment="1" applyFill="1" applyFont="1" applyNumberFormat="1">
      <alignment horizontal="center" readingOrder="0" shrinkToFit="0" vertical="bottom" wrapText="0"/>
    </xf>
    <xf borderId="0" fillId="6" fontId="7" numFmtId="49" xfId="0" applyAlignment="1" applyFill="1" applyFont="1" applyNumberFormat="1">
      <alignment horizontal="center" shrinkToFit="0" wrapText="0"/>
    </xf>
    <xf borderId="0" fillId="6" fontId="61" numFmtId="4" xfId="0" applyAlignment="1" applyFill="1" applyFont="1" applyNumberFormat="1">
      <alignment horizontal="left" shrinkToFit="0" wrapText="0"/>
    </xf>
    <xf borderId="0" fillId="6" fontId="7" numFmtId="0" xfId="0" applyAlignment="1" applyFill="1" applyFont="1">
      <alignment horizontal="left" readingOrder="0" shrinkToFit="0" wrapText="0"/>
    </xf>
    <xf borderId="0" fillId="0" fontId="12" numFmtId="0" xfId="0" applyAlignment="1" applyFont="1">
      <alignment horizontal="center" readingOrder="0" shrinkToFit="0" wrapText="1"/>
    </xf>
    <xf borderId="0" fillId="6" fontId="57" numFmtId="0" xfId="0" applyAlignment="1" applyFill="1" applyFont="1">
      <alignment horizontal="center" readingOrder="0" shrinkToFit="0" vertical="bottom" wrapText="0"/>
    </xf>
    <xf borderId="0" fillId="7" fontId="7" numFmtId="0" xfId="0" applyAlignment="1" applyFill="1" applyFont="1">
      <alignment horizontal="center" shrinkToFit="0" wrapText="1"/>
    </xf>
    <xf borderId="0" fillId="16" fontId="7" numFmtId="0" xfId="0" applyAlignment="1" applyFill="1" applyFont="1">
      <alignment horizontal="center" readingOrder="0" shrinkToFit="0" wrapText="1"/>
    </xf>
    <xf borderId="0" fillId="6" fontId="15" numFmtId="0" xfId="0" applyAlignment="1" applyFill="1" applyFont="1">
      <alignment vertical="bottom"/>
    </xf>
    <xf borderId="0" fillId="6" fontId="15" numFmtId="0" xfId="0" applyAlignment="1" applyFill="1" applyFont="1">
      <alignment horizontal="center" vertical="bottom"/>
    </xf>
    <xf borderId="0" fillId="6" fontId="15" numFmtId="3" xfId="0" applyAlignment="1" applyFill="1" applyFont="1" applyNumberFormat="1">
      <alignment horizontal="center" readingOrder="0" vertical="bottom"/>
    </xf>
    <xf borderId="0" fillId="6" fontId="15" numFmtId="0" xfId="0" applyAlignment="1" applyFill="1" applyFont="1">
      <alignment horizontal="center" readingOrder="0" vertical="bottom"/>
    </xf>
    <xf borderId="0" fillId="6" fontId="15" numFmtId="0" xfId="0" applyAlignment="1" applyFill="1" applyFont="1">
      <alignment horizontal="center" shrinkToFit="0" vertical="bottom" wrapText="1"/>
    </xf>
    <xf borderId="0" fillId="0" fontId="34" numFmtId="0" xfId="0" applyAlignment="1" applyFont="1">
      <alignment readingOrder="0" shrinkToFit="0" wrapText="0"/>
    </xf>
    <xf borderId="0" fillId="6" fontId="15" numFmtId="4" xfId="0" applyAlignment="1" applyFill="1" applyFont="1" applyNumberFormat="1">
      <alignment horizontal="center" readingOrder="0" shrinkToFit="0" vertical="bottom" wrapText="1"/>
    </xf>
    <xf borderId="0" fillId="6" fontId="1" numFmtId="0" xfId="0" applyAlignment="1" applyFill="1" applyFont="1">
      <alignment readingOrder="0" shrinkToFit="0" wrapText="0"/>
    </xf>
    <xf borderId="0" fillId="6" fontId="34" numFmtId="0" xfId="0" applyAlignment="1" applyFill="1" applyFont="1">
      <alignment readingOrder="0"/>
    </xf>
    <xf borderId="0" fillId="6" fontId="7" numFmtId="4" xfId="0" applyAlignment="1" applyFill="1" applyFont="1" applyNumberFormat="1">
      <alignment horizontal="left" readingOrder="0" shrinkToFit="0" wrapText="0"/>
    </xf>
    <xf borderId="0" fillId="0" fontId="18" numFmtId="0" xfId="0" applyAlignment="1" applyFont="1">
      <alignment readingOrder="0"/>
    </xf>
    <xf borderId="0" fillId="0" fontId="26" numFmtId="0" xfId="0" applyAlignment="1" applyFont="1">
      <alignment horizontal="center" readingOrder="0" vertical="bottom"/>
    </xf>
    <xf borderId="0" fillId="0" fontId="7" numFmtId="0" xfId="0" applyAlignment="1" applyFont="1">
      <alignment readingOrder="0" shrinkToFit="0" wrapText="0"/>
    </xf>
    <xf borderId="0" fillId="0" fontId="7" numFmtId="0" xfId="0" applyAlignment="1" applyFont="1">
      <alignment readingOrder="0"/>
    </xf>
    <xf borderId="0" fillId="6" fontId="62" numFmtId="0" xfId="0" applyAlignment="1" applyFill="1" applyFont="1">
      <alignment readingOrder="0" shrinkToFit="0" wrapText="0"/>
    </xf>
    <xf borderId="0" fillId="6" fontId="63" numFmtId="0" xfId="0" applyAlignment="1" applyFill="1" applyFont="1">
      <alignment horizontal="left" readingOrder="0" shrinkToFit="0" wrapText="0"/>
    </xf>
    <xf borderId="0" fillId="6" fontId="7" numFmtId="49" xfId="0" applyAlignment="1" applyFill="1" applyFont="1" applyNumberFormat="1">
      <alignment horizontal="center" readingOrder="0" vertical="center"/>
    </xf>
    <xf borderId="0" fillId="6" fontId="7" numFmtId="1" xfId="0" applyAlignment="1" applyFill="1" applyFont="1" applyNumberFormat="1">
      <alignment horizontal="center" shrinkToFit="0" wrapText="1"/>
    </xf>
    <xf borderId="0" fillId="6" fontId="63" numFmtId="0" xfId="0" applyAlignment="1" applyFill="1" applyFont="1">
      <alignment horizontal="left" readingOrder="0"/>
    </xf>
    <xf borderId="0" fillId="14" fontId="7" numFmtId="3" xfId="0" applyAlignment="1" applyFill="1" applyFont="1" applyNumberFormat="1">
      <alignment horizontal="center" readingOrder="0"/>
    </xf>
    <xf borderId="0" fillId="6" fontId="15" numFmtId="164" xfId="0" applyAlignment="1" applyFill="1" applyFont="1" applyNumberFormat="1">
      <alignment horizontal="center" vertical="bottom"/>
    </xf>
    <xf borderId="0" fillId="6" fontId="15" numFmtId="0" xfId="0" applyAlignment="1" applyFill="1" applyFont="1">
      <alignment horizontal="center" shrinkToFit="0" vertical="bottom" wrapText="1"/>
    </xf>
    <xf borderId="0" fillId="6" fontId="15" numFmtId="0" xfId="0" applyAlignment="1" applyFill="1" applyFont="1">
      <alignment horizontal="center" readingOrder="0" shrinkToFit="0" vertical="center" wrapText="1"/>
    </xf>
    <xf borderId="0" fillId="0" fontId="7" numFmtId="3" xfId="0" applyAlignment="1" applyFont="1" applyNumberFormat="1">
      <alignment horizontal="center" readingOrder="0"/>
    </xf>
    <xf borderId="0" fillId="6" fontId="57" numFmtId="0" xfId="0" applyAlignment="1" applyFill="1" applyFont="1">
      <alignment readingOrder="0" shrinkToFit="0" wrapText="0"/>
    </xf>
    <xf borderId="0" fillId="0" fontId="64" numFmtId="0" xfId="0" applyAlignment="1" applyFont="1">
      <alignment readingOrder="0"/>
    </xf>
    <xf borderId="0" fillId="0" fontId="57" numFmtId="0" xfId="0" applyAlignment="1" applyFont="1">
      <alignment horizontal="center" readingOrder="0" shrinkToFit="0" wrapText="0"/>
    </xf>
    <xf borderId="0" fillId="6" fontId="15" numFmtId="3" xfId="0" applyAlignment="1" applyFill="1" applyFont="1" applyNumberFormat="1">
      <alignment horizontal="center" vertical="bottom"/>
    </xf>
    <xf borderId="0" fillId="0" fontId="7" numFmtId="164" xfId="0" applyAlignment="1" applyFont="1" applyNumberFormat="1">
      <alignment horizontal="center"/>
    </xf>
    <xf borderId="0" fillId="17" fontId="7" numFmtId="49" xfId="0" applyAlignment="1" applyFill="1" applyFont="1" applyNumberFormat="1">
      <alignment horizontal="center" shrinkToFit="0" vertical="center" wrapText="1"/>
    </xf>
    <xf borderId="0" fillId="0" fontId="57" numFmtId="0" xfId="0" applyAlignment="1" applyFont="1">
      <alignment readingOrder="0" shrinkToFit="0" wrapText="0"/>
    </xf>
    <xf borderId="0" fillId="0" fontId="0" numFmtId="1" xfId="0" applyAlignment="1" applyFont="1" applyNumberFormat="1">
      <alignment horizontal="center" readingOrder="0"/>
    </xf>
    <xf borderId="0" fillId="6" fontId="7" numFmtId="49" xfId="0" applyAlignment="1" applyFill="1" applyFont="1" applyNumberFormat="1">
      <alignment horizontal="center" readingOrder="0" shrinkToFit="0" vertical="center" wrapText="0"/>
    </xf>
    <xf borderId="0" fillId="6" fontId="1" numFmtId="0" xfId="0" applyAlignment="1" applyFill="1" applyFont="1">
      <alignment horizontal="center" readingOrder="0" shrinkToFit="0" wrapText="0"/>
    </xf>
    <xf borderId="0" fillId="0" fontId="0" numFmtId="0" xfId="0" applyAlignment="1" applyFont="1">
      <alignment horizontal="left" readingOrder="0" shrinkToFit="0" wrapText="0"/>
    </xf>
    <xf borderId="0" fillId="6" fontId="1" numFmtId="49" xfId="0" applyAlignment="1" applyFill="1" applyFont="1" applyNumberFormat="1">
      <alignment horizontal="center" readingOrder="0" vertical="center"/>
    </xf>
    <xf borderId="0" fillId="18" fontId="65" numFmtId="0" xfId="0" applyAlignment="1" applyFill="1" applyFont="1">
      <alignment horizontal="center" readingOrder="0"/>
    </xf>
    <xf borderId="0" fillId="0" fontId="20" numFmtId="0" xfId="0" applyFont="1"/>
    <xf borderId="0" fillId="6" fontId="66" numFmtId="4" xfId="0" applyAlignment="1" applyFill="1" applyFont="1" applyNumberFormat="1">
      <alignment horizontal="left" readingOrder="0" shrinkToFit="0" wrapText="0"/>
    </xf>
    <xf borderId="0" fillId="6" fontId="7" numFmtId="0" xfId="0" applyAlignment="1" applyFill="1" applyFont="1">
      <alignment horizontal="left"/>
    </xf>
    <xf borderId="0" fillId="14" fontId="7" numFmtId="49" xfId="0" applyAlignment="1" applyFill="1" applyFont="1" applyNumberFormat="1">
      <alignment horizontal="center" readingOrder="0" vertical="center"/>
    </xf>
    <xf borderId="0" fillId="0" fontId="26" numFmtId="0" xfId="0" applyAlignment="1" applyFont="1">
      <alignment readingOrder="0" shrinkToFit="0" wrapText="0"/>
    </xf>
    <xf borderId="0" fillId="19" fontId="7" numFmtId="4" xfId="0" applyAlignment="1" applyFill="1" applyFont="1" applyNumberFormat="1">
      <alignment horizontal="center"/>
    </xf>
    <xf borderId="0" fillId="19" fontId="7" numFmtId="4" xfId="0" applyAlignment="1" applyFill="1" applyFont="1" applyNumberFormat="1">
      <alignment horizontal="center" readingOrder="0"/>
    </xf>
    <xf borderId="0" fillId="0" fontId="20" numFmtId="0" xfId="0" applyAlignment="1" applyFont="1">
      <alignment shrinkToFit="0" wrapText="0"/>
    </xf>
    <xf borderId="0" fillId="0" fontId="22" numFmtId="0" xfId="0" applyAlignment="1" applyFont="1">
      <alignment shrinkToFit="0" wrapText="0"/>
    </xf>
    <xf borderId="0" fillId="0" fontId="1" numFmtId="0" xfId="0" applyAlignment="1" applyFont="1">
      <alignment horizontal="left" shrinkToFit="0" wrapText="0"/>
    </xf>
    <xf borderId="0" fillId="0" fontId="7" numFmtId="49" xfId="0" applyAlignment="1" applyFont="1" applyNumberFormat="1">
      <alignment horizontal="center" vertical="bottom"/>
    </xf>
    <xf borderId="0" fillId="6" fontId="7" numFmtId="0" xfId="0" applyAlignment="1" applyFill="1" applyFont="1">
      <alignment horizontal="left" shrinkToFit="0" vertical="bottom" wrapText="0"/>
    </xf>
    <xf borderId="0" fillId="6" fontId="12" numFmtId="0" xfId="0" applyAlignment="1" applyFill="1" applyFont="1">
      <alignment horizontal="center" shrinkToFit="0" vertical="bottom" wrapText="0"/>
    </xf>
    <xf borderId="0" fillId="0" fontId="7" numFmtId="3" xfId="0" applyAlignment="1" applyFont="1" applyNumberFormat="1">
      <alignment horizontal="center" vertical="bottom"/>
    </xf>
    <xf borderId="0" fillId="0" fontId="12" numFmtId="0" xfId="0" applyAlignment="1" applyFont="1">
      <alignment horizontal="center" shrinkToFit="0" vertical="bottom" wrapText="0"/>
    </xf>
    <xf borderId="0" fillId="0" fontId="7" numFmtId="164" xfId="0" applyAlignment="1" applyFont="1" applyNumberForma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ICDE" id="{25977836-0ad2-494d-8ff3-fe851bac667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74" dT="2025-09-09T23:13:15.00" personId="{25977836-0ad2-494d-8ff3-fe851bac6670}" id="{a9a17639-1c90-430e-a219-8b83ad2fe105}" done="0">
    <x18tc:text xml:space="preserve">NO PAGÓ, HAY QUE DEMANDAR</x18tc:text>
  </x18tc:threadedComment>
  <x18tc:threadedComment ref="A375" dT="2025-07-22T21:39:24.00" personId="{25977836-0ad2-494d-8ff3-fe851bac6670}" id="{e4559de6-7007-4abc-a6c7-0f14022706a8}" done="0">
    <x18tc:text xml:space="preserve">Son dos inmuebles seguidos 1308 y 013.</x18tc:text>
  </x18tc:threadedComment>
  <x18tc:threadedComment ref="F1" dT="2025-05-24T06:27:48.00" personId="{25977836-0ad2-494d-8ff3-fe851bac6670}" id="{1c1f853f-57cb-4659-8cb2-fd31d899abcb}" done="1">
    <x18tc:text xml:space="preserve">ver si se puede precio en barra</x18tc:text>
  </x18tc:threadedComment>
  <x18tc:threadedComment ref="R1" dT="2025-05-17T23:23:59.00" personId="{25977836-0ad2-494d-8ff3-fe851bac6670}" id="{33715b01-b792-42ab-9e37-0119a9fc1199}" done="0">
    <x18tc:text xml:space="preserve">Recordar usar puntos en lugar de comas</x18tc:text>
  </x18tc:threadedComment>
  <x18tc:threadedComment ref="AA1" dT="2025-05-24T06:32:29.00" personId="{25977836-0ad2-494d-8ff3-fe851bac6670}" id="{b9b74128-7bc8-452e-bb66-36cadc22d53c}" done="1">
    <x18tc:text xml:space="preserve">ver decimales</x18tc:text>
  </x18tc:threadedComment>
  <x18tc:threadedComment ref="AK1" dT="2025-05-25T04:34:54.00" personId="{25977836-0ad2-494d-8ff3-fe851bac6670}" id="{e2559520-4ab0-454b-a152-83ced266be1a}" done="0">
    <x18tc:text xml:space="preserve">Ofrecer servicio a las que dicen sin contrato</x18tc:text>
  </x18tc:threadedComment>
  <x18tc:threadedComment ref="J1" dT="2025-05-24T06:28:12.00" personId="{25977836-0ad2-494d-8ff3-fe851bac6670}" id="{77fd2ee2-78ca-4281-9baa-d4fd68440e54}" done="1">
    <x18tc:text xml:space="preserve">Completar zona</x18tc:text>
  </x18tc:threadedComment>
  <x18tc:threadedComment ref="AC1" dT="2025-05-24T06:32:43.00" personId="{25977836-0ad2-494d-8ff3-fe851bac6670}" id="{91c68ccd-9154-468e-8eb0-b8109030a934}" done="0">
    <x18tc:text xml:space="preserve">Faltan</x18tc:text>
  </x18tc:threadedComment>
  <x18tc:threadedComment ref="A1" dT="2025-07-31T22:34:39.00" personId="{25977836-0ad2-494d-8ff3-fe851bac6670}" id="{d81d4db5-e86e-4e54-8194-38a12e52e7d2}" done="0">
    <x18tc:text xml:space="preserve">Pendiente actualizar fotos, nueva remodelación.</x18tc:text>
  </x18tc:threadedComment>
  <x18tc:threadedComment ref="A547" dT="2025-08-11T15:17:21.00" personId="{25977836-0ad2-494d-8ff3-fe851bac6670}" id="{d143db17-68f1-48b1-ad9a-65effa5e7dc6}" done="0">
    <x18tc:text xml:space="preserve">Posible Admt. Para el año entrante.</x18tc:text>
  </x18tc:threadedComment>
  <x18tc:threadedComment ref="D1" dT="2025-05-24T06:29:17.00" personId="{25977836-0ad2-494d-8ff3-fe851bac6670}" id="{22ce2cd3-cb77-4176-b168-76d926cb51a2}" done="1">
    <x18tc:text xml:space="preserve">Faltan barrios</x18tc:text>
  </x18tc:threadedComment>
  <x18tc:threadedComment ref="A1" dT="2025-07-31T22:33:04.00" personId="{25977836-0ad2-494d-8ff3-fe851bac6670}" id="{a25e5519-63fd-4255-a1b7-d27913793fb6}" done="0">
    <x18tc:text xml:space="preserve">No se publica. Aplazaron la venta. Proceso de sucesión.</x18tc:text>
  </x18tc:threadedComment>
  <x18tc:threadedComment ref="O1" dT="2025-05-25T01:59:57.00" personId="{25977836-0ad2-494d-8ff3-fe851bac6670}" id="{7342c4d5-fdb5-49ec-a4af-25361edb73ed}" done="0">
    <x18tc:text xml:space="preserve">Ver por que en el modal aparece - y no 0</x18tc:text>
  </x18tc:threadedComment>
  <x18tc:threadedComment ref="AD1" dT="2025-05-24T06:33:06.00" personId="{25977836-0ad2-494d-8ff3-fe851bac6670}" id="{025a501f-d52a-41eb-9e30-57b5afd843ca}" done="1">
    <x18tc:text xml:space="preserve">Faltan</x18tc:text>
  </x18tc:threadedComment>
  <x18tc:threadedComment ref="Q1" dT="2025-05-24T06:30:42.00" personId="{25977836-0ad2-494d-8ff3-fe851bac6670}" id="{65fd2623-f2ea-45d2-8158-42f9c30be68b}" done="1">
    <x18tc:text xml:space="preserve">cambiar 0  por "No info"</x18tc:text>
  </x18tc:threadedComment>
  <x18tc:threadedComment ref="Q1" dT="2025-05-24T06:31:58.00" personId="{25977836-0ad2-494d-8ff3-fe851bac6670}" id="{8682b510-54e0-41d7-a401-475d08ac5322}" parentId="{65fd2623-f2ea-45d2-8158-42f9c30be68b}">
    <x18tc:text xml:space="preserve">sin datos</x18tc:text>
  </x18tc:threadedComment>
  <x18tc:threadedComment ref="A319" dT="2025-07-31T22:32:17.00" personId="{25977836-0ad2-494d-8ff3-fe851bac6670}" id="{3a8b5750-a2c6-46d7-9399-4f67a3ea0882}" done="0">
    <x18tc:text xml:space="preserve">Marco a los 2 números y me indica que no estan vendiendo.</x18tc:text>
  </x18tc:threadedComment>
  <x18tc:threadedComment ref="S1" dT="2025-05-24T06:31:36.00" personId="{25977836-0ad2-494d-8ff3-fe851bac6670}" id="{88e0e556-0d9f-41e4-9fe1-8587baaf8a34}" done="1">
    <x18tc:text xml:space="preserve">Poner formula que se actualice sola con rentabiliad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photos.app.goo.gl/BScognxLyGwbVcws6" TargetMode="External"/><Relationship Id="rId42" Type="http://schemas.openxmlformats.org/officeDocument/2006/relationships/hyperlink" Target="https://photos.app.goo.gl/iHhwkVwwHrLyJ1Pm9" TargetMode="External"/><Relationship Id="rId41" Type="http://schemas.openxmlformats.org/officeDocument/2006/relationships/hyperlink" Target="https://photos.app.goo.gl/TXX6msddF9pfSCax5" TargetMode="External"/><Relationship Id="rId44" Type="http://schemas.openxmlformats.org/officeDocument/2006/relationships/hyperlink" Target="https://photos.app.goo.gl/u4vTtbfW4BwEi1HS8" TargetMode="External"/><Relationship Id="rId43" Type="http://schemas.openxmlformats.org/officeDocument/2006/relationships/hyperlink" Target="https://photos.app.goo.gl/8mUQLUfcDcZ9dtnS9" TargetMode="External"/><Relationship Id="rId46" Type="http://schemas.openxmlformats.org/officeDocument/2006/relationships/hyperlink" Target="https://photos.app.goo.gl/crR3aocbxuAfbeoP8" TargetMode="External"/><Relationship Id="rId45" Type="http://schemas.openxmlformats.org/officeDocument/2006/relationships/hyperlink" Target="https://photos.app.goo.gl/Y17QF47eCpuRLgSh8" TargetMode="External"/><Relationship Id="rId1" Type="http://schemas.openxmlformats.org/officeDocument/2006/relationships/hyperlink" Target="https://photos.app.goo.gl/zwhNZsro4YC2YDY28" TargetMode="External"/><Relationship Id="rId2" Type="http://schemas.openxmlformats.org/officeDocument/2006/relationships/hyperlink" Target="https://photos.app.goo.gl/5fGWK8Q6FdVAQXw98" TargetMode="External"/><Relationship Id="rId3" Type="http://schemas.openxmlformats.org/officeDocument/2006/relationships/hyperlink" Target="https://photos.app.goo.gl/JsmPogvXQAzJjipm7" TargetMode="External"/><Relationship Id="rId4" Type="http://schemas.openxmlformats.org/officeDocument/2006/relationships/hyperlink" Target="https://photos.app.goo.gl/MFdMkcBc3i82eZUV7" TargetMode="External"/><Relationship Id="rId9" Type="http://schemas.openxmlformats.org/officeDocument/2006/relationships/hyperlink" Target="https://photos.app.goo.gl/ifKcNM57JsW8PTto8" TargetMode="External"/><Relationship Id="rId48" Type="http://schemas.openxmlformats.org/officeDocument/2006/relationships/hyperlink" Target="https://photos.app.goo.gl/QraPhs76ino1nDaH6" TargetMode="External"/><Relationship Id="rId47" Type="http://schemas.openxmlformats.org/officeDocument/2006/relationships/hyperlink" Target="https://photos.app.goo.gl/pwuasSkedRPi1xYPA" TargetMode="External"/><Relationship Id="rId49" Type="http://schemas.openxmlformats.org/officeDocument/2006/relationships/hyperlink" Target="https://photos.app.goo.gl/SJMUPeeYXJSxe7dz5" TargetMode="External"/><Relationship Id="rId5" Type="http://schemas.openxmlformats.org/officeDocument/2006/relationships/hyperlink" Target="https://photos.app.goo.gl/GhkCaFHqVtsvqh766" TargetMode="External"/><Relationship Id="rId6" Type="http://schemas.openxmlformats.org/officeDocument/2006/relationships/hyperlink" Target="https://photos.app.goo.gl/QreDSVBcWGaTgydG6" TargetMode="External"/><Relationship Id="rId7" Type="http://schemas.openxmlformats.org/officeDocument/2006/relationships/hyperlink" Target="https://photos.app.goo.gl/J7BteKbURmw1SYqA6" TargetMode="External"/><Relationship Id="rId8" Type="http://schemas.openxmlformats.org/officeDocument/2006/relationships/hyperlink" Target="https://photos.app.goo.gl/BeHTDzEhVihhPL939" TargetMode="External"/><Relationship Id="rId73" Type="http://schemas.openxmlformats.org/officeDocument/2006/relationships/hyperlink" Target="https://photos.app.goo.gl/72H2wdBCTawGYt146" TargetMode="External"/><Relationship Id="rId72" Type="http://schemas.openxmlformats.org/officeDocument/2006/relationships/hyperlink" Target="https://photos.app.goo.gl/wnAKnpL8RqvjYTzi7" TargetMode="External"/><Relationship Id="rId31" Type="http://schemas.openxmlformats.org/officeDocument/2006/relationships/hyperlink" Target="https://photos.app.goo.gl/waqGKDfe1Bea7d8GA" TargetMode="External"/><Relationship Id="rId75" Type="http://schemas.openxmlformats.org/officeDocument/2006/relationships/drawing" Target="../drawings/drawing2.xml"/><Relationship Id="rId30" Type="http://schemas.openxmlformats.org/officeDocument/2006/relationships/hyperlink" Target="https://photos.app.goo.gl/nJDWkAWQZzoqhfSN9" TargetMode="External"/><Relationship Id="rId74" Type="http://schemas.openxmlformats.org/officeDocument/2006/relationships/hyperlink" Target="https://photos.app.goo.gl/UUj2kB1qf16Ntnq29" TargetMode="External"/><Relationship Id="rId33" Type="http://schemas.openxmlformats.org/officeDocument/2006/relationships/hyperlink" Target="https://photos.app.goo.gl/5uKvQGabQK1sdntd7" TargetMode="External"/><Relationship Id="rId32" Type="http://schemas.openxmlformats.org/officeDocument/2006/relationships/hyperlink" Target="https://photos.app.goo.gl/YMQdDMhXVhQt2m2u6" TargetMode="External"/><Relationship Id="rId35" Type="http://schemas.openxmlformats.org/officeDocument/2006/relationships/hyperlink" Target="https://photos.app.goo.gl/e2dH5UwKbSdUfcbf7" TargetMode="External"/><Relationship Id="rId34" Type="http://schemas.openxmlformats.org/officeDocument/2006/relationships/hyperlink" Target="https://photos.app.goo.gl/Se2rjyd29VEGoztUA" TargetMode="External"/><Relationship Id="rId71" Type="http://schemas.openxmlformats.org/officeDocument/2006/relationships/hyperlink" Target="https://photos.app.goo.gl/2SWpNoJhW1jM7e8cA" TargetMode="External"/><Relationship Id="rId70" Type="http://schemas.openxmlformats.org/officeDocument/2006/relationships/hyperlink" Target="https://photos.app.goo.gl/GQ5kFHFinAS5muQj9" TargetMode="External"/><Relationship Id="rId37" Type="http://schemas.openxmlformats.org/officeDocument/2006/relationships/hyperlink" Target="https://photos.app.goo.gl/inHTqNdUHAsmNeYx7" TargetMode="External"/><Relationship Id="rId36" Type="http://schemas.openxmlformats.org/officeDocument/2006/relationships/hyperlink" Target="https://photos.app.goo.gl/SUhnDFn299R9Lub4A" TargetMode="External"/><Relationship Id="rId39" Type="http://schemas.openxmlformats.org/officeDocument/2006/relationships/hyperlink" Target="https://photos.app.goo.gl/VAdNDoM3VY9Lrx4HA" TargetMode="External"/><Relationship Id="rId38" Type="http://schemas.openxmlformats.org/officeDocument/2006/relationships/hyperlink" Target="https://photos.app.goo.gl/ckewZJV6TJD1E9vS8" TargetMode="External"/><Relationship Id="rId62" Type="http://schemas.openxmlformats.org/officeDocument/2006/relationships/hyperlink" Target="https://photos.app.goo.gl/pxVobcSFy1uBe4M57" TargetMode="External"/><Relationship Id="rId61" Type="http://schemas.openxmlformats.org/officeDocument/2006/relationships/hyperlink" Target="https://photos.app.goo.gl/cuSLc1nQTB3F4mb46" TargetMode="External"/><Relationship Id="rId20" Type="http://schemas.openxmlformats.org/officeDocument/2006/relationships/hyperlink" Target="https://photos.app.goo.gl/v5NhaMsT1txHqUAZ8" TargetMode="External"/><Relationship Id="rId64" Type="http://schemas.openxmlformats.org/officeDocument/2006/relationships/hyperlink" Target="https://photos.app.goo.gl/SpZULHC9pfFEULiSA" TargetMode="External"/><Relationship Id="rId63" Type="http://schemas.openxmlformats.org/officeDocument/2006/relationships/hyperlink" Target="https://photos.app.goo.gl/UmFuRays1ga56oJn6" TargetMode="External"/><Relationship Id="rId22" Type="http://schemas.openxmlformats.org/officeDocument/2006/relationships/hyperlink" Target="https://photos.app.goo.gl/adSnzJ7EwRNpfcaZ9" TargetMode="External"/><Relationship Id="rId66" Type="http://schemas.openxmlformats.org/officeDocument/2006/relationships/hyperlink" Target="https://photos.app.goo.gl/zpb2nqo4ztrDVUYp6" TargetMode="External"/><Relationship Id="rId21" Type="http://schemas.openxmlformats.org/officeDocument/2006/relationships/hyperlink" Target="https://photos.app.goo.gl/JaJXFytqFTjEUTbG6" TargetMode="External"/><Relationship Id="rId65" Type="http://schemas.openxmlformats.org/officeDocument/2006/relationships/hyperlink" Target="https://photos.app.goo.gl/bhWunPMWWqUnr4QG6" TargetMode="External"/><Relationship Id="rId24" Type="http://schemas.openxmlformats.org/officeDocument/2006/relationships/hyperlink" Target="https://photos.app.goo.gl/DptS89CmnWEW7h938" TargetMode="External"/><Relationship Id="rId68" Type="http://schemas.openxmlformats.org/officeDocument/2006/relationships/hyperlink" Target="https://photos.app.goo.gl/uVDDREVywH7S5yTH6" TargetMode="External"/><Relationship Id="rId23" Type="http://schemas.openxmlformats.org/officeDocument/2006/relationships/hyperlink" Target="https://photos.app.goo.gl/RYRFmN4gLJK1sNKD6" TargetMode="External"/><Relationship Id="rId67" Type="http://schemas.openxmlformats.org/officeDocument/2006/relationships/hyperlink" Target="https://photos.app.goo.gl/L5BSgcdVkH3fhgNG6" TargetMode="External"/><Relationship Id="rId60" Type="http://schemas.openxmlformats.org/officeDocument/2006/relationships/hyperlink" Target="https://photos.app.goo.gl/S8CDXGirYYSKy6Lm8" TargetMode="External"/><Relationship Id="rId26" Type="http://schemas.openxmlformats.org/officeDocument/2006/relationships/hyperlink" Target="https://photos.app.goo.gl/MecKAB4MJ8qoYU1S6" TargetMode="External"/><Relationship Id="rId25" Type="http://schemas.openxmlformats.org/officeDocument/2006/relationships/hyperlink" Target="https://photos.app.goo.gl/aMWeEoAPbUDNSTSRA" TargetMode="External"/><Relationship Id="rId69" Type="http://schemas.openxmlformats.org/officeDocument/2006/relationships/hyperlink" Target="https://photos.app.goo.gl/ahyQLpCvzygYoqKB6" TargetMode="External"/><Relationship Id="rId28" Type="http://schemas.openxmlformats.org/officeDocument/2006/relationships/hyperlink" Target="https://photos.app.goo.gl/9VWPgqFrjRj8vNLw8" TargetMode="External"/><Relationship Id="rId27" Type="http://schemas.openxmlformats.org/officeDocument/2006/relationships/hyperlink" Target="https://photos.app.goo.gl/VaLvWiBG6zi6BMQX6" TargetMode="External"/><Relationship Id="rId29" Type="http://schemas.openxmlformats.org/officeDocument/2006/relationships/hyperlink" Target="https://photos.app.goo.gl/9z5fRUHiNkwXYUsQ6" TargetMode="External"/><Relationship Id="rId51" Type="http://schemas.openxmlformats.org/officeDocument/2006/relationships/hyperlink" Target="https://photos.app.goo.gl/xnKaAo1zMB4uBUjJ8" TargetMode="External"/><Relationship Id="rId50" Type="http://schemas.openxmlformats.org/officeDocument/2006/relationships/hyperlink" Target="https://photos.app.goo.gl/ZsxjJVGp7uJorD948" TargetMode="External"/><Relationship Id="rId53" Type="http://schemas.openxmlformats.org/officeDocument/2006/relationships/hyperlink" Target="https://photos.app.goo.gl/inHTqNdUHAsmNeYx7" TargetMode="External"/><Relationship Id="rId52" Type="http://schemas.openxmlformats.org/officeDocument/2006/relationships/hyperlink" Target="https://photos.app.goo.gl/dZafvs2VqV8t3a9aA" TargetMode="External"/><Relationship Id="rId11" Type="http://schemas.openxmlformats.org/officeDocument/2006/relationships/hyperlink" Target="https://photos.app.goo.gl/fSaSXTFLumJN5a7h9" TargetMode="External"/><Relationship Id="rId55" Type="http://schemas.openxmlformats.org/officeDocument/2006/relationships/hyperlink" Target="https://photos.app.goo.gl/DEvGzbzvKXXW3xr29" TargetMode="External"/><Relationship Id="rId10" Type="http://schemas.openxmlformats.org/officeDocument/2006/relationships/hyperlink" Target="https://photos.app.goo.gl/xZQqFfPcjaiK5Ky9A" TargetMode="External"/><Relationship Id="rId54" Type="http://schemas.openxmlformats.org/officeDocument/2006/relationships/hyperlink" Target="https://photos.app.goo.gl/vAz1LaGWFkDAac8EA" TargetMode="External"/><Relationship Id="rId13" Type="http://schemas.openxmlformats.org/officeDocument/2006/relationships/hyperlink" Target="https://photos.app.goo.gl/Vreh7uUdMUXAhqUG6" TargetMode="External"/><Relationship Id="rId57" Type="http://schemas.openxmlformats.org/officeDocument/2006/relationships/hyperlink" Target="https://photos.app.goo.gl/CAf8xebasMJvfKyy5" TargetMode="External"/><Relationship Id="rId12" Type="http://schemas.openxmlformats.org/officeDocument/2006/relationships/hyperlink" Target="https://photos.app.goo.gl/cuREDmpg6MZf8hSS9" TargetMode="External"/><Relationship Id="rId56" Type="http://schemas.openxmlformats.org/officeDocument/2006/relationships/hyperlink" Target="https://photos.app.goo.gl/LFRkdQ8hMABKVr7y6" TargetMode="External"/><Relationship Id="rId15" Type="http://schemas.openxmlformats.org/officeDocument/2006/relationships/hyperlink" Target="https://photos.app.goo.gl/8accad79tcZRBSST7" TargetMode="External"/><Relationship Id="rId59" Type="http://schemas.openxmlformats.org/officeDocument/2006/relationships/hyperlink" Target="https://photos.app.goo.gl/jE14SB8eEprsjVei7" TargetMode="External"/><Relationship Id="rId14" Type="http://schemas.openxmlformats.org/officeDocument/2006/relationships/hyperlink" Target="https://photos.app.goo.gl/2VLZRoS5Y11KNUYm7" TargetMode="External"/><Relationship Id="rId58" Type="http://schemas.openxmlformats.org/officeDocument/2006/relationships/hyperlink" Target="https://photos.app.goo.gl/1g5619WrUderprit9" TargetMode="External"/><Relationship Id="rId17" Type="http://schemas.openxmlformats.org/officeDocument/2006/relationships/hyperlink" Target="https://photos.app.goo.gl/KQV17NGjgUXDxUjr5" TargetMode="External"/><Relationship Id="rId16" Type="http://schemas.openxmlformats.org/officeDocument/2006/relationships/hyperlink" Target="https://photos.app.goo.gl/kJppqsoaVfU6tNoB6" TargetMode="External"/><Relationship Id="rId19" Type="http://schemas.openxmlformats.org/officeDocument/2006/relationships/hyperlink" Target="https://photos.app.goo.gl/LjQ8rQ4SVY4j6Vw37" TargetMode="External"/><Relationship Id="rId18" Type="http://schemas.openxmlformats.org/officeDocument/2006/relationships/hyperlink" Target="https://photos.app.goo.gl/wjTd6tvFMvXCK9qF7"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photos.app.goo.gl/ybDjP6GndB1PZxWc6" TargetMode="External"/><Relationship Id="rId194" Type="http://schemas.openxmlformats.org/officeDocument/2006/relationships/hyperlink" Target="https://photos.app.goo.gl/M12QLowt2h53KMYs7" TargetMode="External"/><Relationship Id="rId193" Type="http://schemas.openxmlformats.org/officeDocument/2006/relationships/hyperlink" Target="https://photos.app.goo.gl/faSnxo1vFMSFvH6n8" TargetMode="External"/><Relationship Id="rId192" Type="http://schemas.openxmlformats.org/officeDocument/2006/relationships/hyperlink" Target="https://photos.app.goo.gl/MecKAB4MJ8qoYU1S6" TargetMode="External"/><Relationship Id="rId191" Type="http://schemas.openxmlformats.org/officeDocument/2006/relationships/hyperlink" Target="https://photos.app.goo.gl/6hYQzTwBqSL4LgAk9" TargetMode="External"/><Relationship Id="rId187" Type="http://schemas.openxmlformats.org/officeDocument/2006/relationships/hyperlink" Target="https://photos.app.goo.gl/WMu8sreanb64biwQ6" TargetMode="External"/><Relationship Id="rId186" Type="http://schemas.openxmlformats.org/officeDocument/2006/relationships/hyperlink" Target="https://photos.app.goo.gl/dxsSPH77xX2x8ZNa8" TargetMode="External"/><Relationship Id="rId185" Type="http://schemas.openxmlformats.org/officeDocument/2006/relationships/hyperlink" Target="https://photos.app.goo.gl/MKPDnv4JVsmbi2wp7" TargetMode="External"/><Relationship Id="rId184" Type="http://schemas.openxmlformats.org/officeDocument/2006/relationships/hyperlink" Target="https://photos.app.goo.gl/KQV17NGjgUXDxUjr5" TargetMode="External"/><Relationship Id="rId189" Type="http://schemas.openxmlformats.org/officeDocument/2006/relationships/hyperlink" Target="https://photos.app.goo.gl/m288EAspwV3AtsiR7" TargetMode="External"/><Relationship Id="rId188" Type="http://schemas.openxmlformats.org/officeDocument/2006/relationships/hyperlink" Target="https://photos.app.goo.gl/m7uh6M9bRzjyNFss8" TargetMode="External"/><Relationship Id="rId183" Type="http://schemas.openxmlformats.org/officeDocument/2006/relationships/hyperlink" Target="https://photos.app.goo.gl/BinvjT2coS1SbyK9A" TargetMode="External"/><Relationship Id="rId182" Type="http://schemas.openxmlformats.org/officeDocument/2006/relationships/hyperlink" Target="https://photos.app.goo.gl/Gc27FZSNkhmvnyALA" TargetMode="External"/><Relationship Id="rId181" Type="http://schemas.openxmlformats.org/officeDocument/2006/relationships/hyperlink" Target="https://photos.app.goo.gl/SuQbu7Hcd4Nxhod29" TargetMode="External"/><Relationship Id="rId180" Type="http://schemas.openxmlformats.org/officeDocument/2006/relationships/hyperlink" Target="https://photos.app.goo.gl/AG4jqsBz5dor6voW8" TargetMode="External"/><Relationship Id="rId176" Type="http://schemas.openxmlformats.org/officeDocument/2006/relationships/hyperlink" Target="https://photos.app.goo.gl/DKrxPqY99FULJxS18" TargetMode="External"/><Relationship Id="rId297" Type="http://schemas.openxmlformats.org/officeDocument/2006/relationships/hyperlink" Target="https://photos.app.goo.gl/x4GZiibDV9W4M8pc7" TargetMode="External"/><Relationship Id="rId175" Type="http://schemas.openxmlformats.org/officeDocument/2006/relationships/hyperlink" Target="https://photos.app.goo.gl/WNmLxvQgEk5W8CEC8" TargetMode="External"/><Relationship Id="rId296" Type="http://schemas.openxmlformats.org/officeDocument/2006/relationships/hyperlink" Target="https://photos.app.goo.gl/8LdXEDn39kshfydx8" TargetMode="External"/><Relationship Id="rId174" Type="http://schemas.openxmlformats.org/officeDocument/2006/relationships/hyperlink" Target="https://photos.app.goo.gl/6N15LVqjsf6ZZ5Py7" TargetMode="External"/><Relationship Id="rId295" Type="http://schemas.openxmlformats.org/officeDocument/2006/relationships/hyperlink" Target="https://photos.app.goo.gl/yYtTWHVVYB8y8saTA" TargetMode="External"/><Relationship Id="rId173" Type="http://schemas.openxmlformats.org/officeDocument/2006/relationships/hyperlink" Target="https://photos.app.goo.gl/bd5jecrgrv9Ki9HN9" TargetMode="External"/><Relationship Id="rId294" Type="http://schemas.openxmlformats.org/officeDocument/2006/relationships/hyperlink" Target="https://photos.app.goo.gl/QasMcfxGXBEbyKfq5" TargetMode="External"/><Relationship Id="rId179" Type="http://schemas.openxmlformats.org/officeDocument/2006/relationships/hyperlink" Target="https://photos.app.goo.gl/FWdaZfZxGVZv41UV7" TargetMode="External"/><Relationship Id="rId178" Type="http://schemas.openxmlformats.org/officeDocument/2006/relationships/hyperlink" Target="https://photos.app.goo.gl/gbt4mSMkZRRjAaUb6" TargetMode="External"/><Relationship Id="rId299" Type="http://schemas.openxmlformats.org/officeDocument/2006/relationships/hyperlink" Target="https://photos.app.goo.gl/7QAgGYjqRE4rnLW77" TargetMode="External"/><Relationship Id="rId177" Type="http://schemas.openxmlformats.org/officeDocument/2006/relationships/hyperlink" Target="https://photos.app.goo.gl/1aNYHZQiN449kwTA9" TargetMode="External"/><Relationship Id="rId298" Type="http://schemas.openxmlformats.org/officeDocument/2006/relationships/hyperlink" Target="https://photos.app.goo.gl/zXnhAxi4jYWx1k6u7" TargetMode="External"/><Relationship Id="rId198" Type="http://schemas.openxmlformats.org/officeDocument/2006/relationships/hyperlink" Target="https://photos.app.goo.gl/3A5gjBviS2wQHNtF7" TargetMode="External"/><Relationship Id="rId197" Type="http://schemas.openxmlformats.org/officeDocument/2006/relationships/hyperlink" Target="https://photos.app.goo.gl/9VWPgqFrjRj8vNLw8" TargetMode="External"/><Relationship Id="rId196" Type="http://schemas.openxmlformats.org/officeDocument/2006/relationships/hyperlink" Target="https://photos.app.goo.gl/S1nKKVfcRrcjGysH6" TargetMode="External"/><Relationship Id="rId195" Type="http://schemas.openxmlformats.org/officeDocument/2006/relationships/hyperlink" Target="https://photos.app.goo.gl/VaLvWiBG6zi6BMQX6" TargetMode="External"/><Relationship Id="rId199" Type="http://schemas.openxmlformats.org/officeDocument/2006/relationships/hyperlink" Target="https://photos.app.goo.gl/9z5fRUHiNkwXYUsQ6" TargetMode="External"/><Relationship Id="rId150" Type="http://schemas.openxmlformats.org/officeDocument/2006/relationships/hyperlink" Target="https://photos.app.goo.gl/64jTAg9mFfnyHEZC7" TargetMode="External"/><Relationship Id="rId271" Type="http://schemas.openxmlformats.org/officeDocument/2006/relationships/hyperlink" Target="https://photos.app.goo.gl/4v5L3ZbosDRYFGsj8" TargetMode="External"/><Relationship Id="rId392" Type="http://schemas.openxmlformats.org/officeDocument/2006/relationships/hyperlink" Target="https://photos.app.goo.gl/xu5bBDj2gJyBoQLy8" TargetMode="External"/><Relationship Id="rId270" Type="http://schemas.openxmlformats.org/officeDocument/2006/relationships/hyperlink" Target="https://photos.app.goo.gl/cuSLc1nQTB3F4mb46" TargetMode="External"/><Relationship Id="rId391" Type="http://schemas.openxmlformats.org/officeDocument/2006/relationships/hyperlink" Target="https://photos.app.goo.gl/U7fjQkgwDPrLE3Yy7" TargetMode="External"/><Relationship Id="rId390" Type="http://schemas.openxmlformats.org/officeDocument/2006/relationships/hyperlink" Target="https://photos.app.goo.gl/gEAwBsoBfrtef6bF9" TargetMode="External"/><Relationship Id="rId1" Type="http://schemas.openxmlformats.org/officeDocument/2006/relationships/hyperlink" Target="https://photos.app.goo.gl/FsXuh4zRiHtfxLRy8" TargetMode="External"/><Relationship Id="rId2" Type="http://schemas.openxmlformats.org/officeDocument/2006/relationships/hyperlink" Target="https://photos.app.goo.gl/qBodAdBTByzCxczf7" TargetMode="External"/><Relationship Id="rId3" Type="http://schemas.openxmlformats.org/officeDocument/2006/relationships/hyperlink" Target="https://photos.app.goo.gl/ihWDX96WyS8yz2xt6" TargetMode="External"/><Relationship Id="rId149" Type="http://schemas.openxmlformats.org/officeDocument/2006/relationships/hyperlink" Target="https://photos.app.goo.gl/hiRm76yv8jvBmDiN7" TargetMode="External"/><Relationship Id="rId4" Type="http://schemas.openxmlformats.org/officeDocument/2006/relationships/hyperlink" Target="https://photos.app.goo.gl/7H36CRapUBibtUSS6" TargetMode="External"/><Relationship Id="rId148" Type="http://schemas.openxmlformats.org/officeDocument/2006/relationships/hyperlink" Target="https://photos.app.goo.gl/fZEY5XBVDgsSeZp56" TargetMode="External"/><Relationship Id="rId269" Type="http://schemas.openxmlformats.org/officeDocument/2006/relationships/hyperlink" Target="https://photos.app.goo.gl/nYKwoD2jq68q8MnT7" TargetMode="External"/><Relationship Id="rId9" Type="http://schemas.openxmlformats.org/officeDocument/2006/relationships/hyperlink" Target="https://photos.app.goo.gl/NKncbuoDDE2qshnWA" TargetMode="External"/><Relationship Id="rId143" Type="http://schemas.openxmlformats.org/officeDocument/2006/relationships/hyperlink" Target="https://photos.app.goo.gl/s9ncjsvBiaEK98Ky8" TargetMode="External"/><Relationship Id="rId264" Type="http://schemas.openxmlformats.org/officeDocument/2006/relationships/hyperlink" Target="https://photos.app.goo.gl/3uguP1XrxbDbXXfz7" TargetMode="External"/><Relationship Id="rId385" Type="http://schemas.openxmlformats.org/officeDocument/2006/relationships/hyperlink" Target="https://photos.app.goo.gl/pCj3q4GggyvhtjLh7" TargetMode="External"/><Relationship Id="rId142" Type="http://schemas.openxmlformats.org/officeDocument/2006/relationships/hyperlink" Target="https://photos.app.goo.gl/hKdnQwxBZAtLSPHe7" TargetMode="External"/><Relationship Id="rId263" Type="http://schemas.openxmlformats.org/officeDocument/2006/relationships/hyperlink" Target="https://photos.app.goo.gl/UhXT7z2hCdqHdySs9" TargetMode="External"/><Relationship Id="rId384" Type="http://schemas.openxmlformats.org/officeDocument/2006/relationships/hyperlink" Target="https://photos.app.goo.gl/TrPudcCCmC94Rpuk7" TargetMode="External"/><Relationship Id="rId141" Type="http://schemas.openxmlformats.org/officeDocument/2006/relationships/hyperlink" Target="https://photos.app.goo.gl/cC9aZJ55RB7Am7Bu5" TargetMode="External"/><Relationship Id="rId262" Type="http://schemas.openxmlformats.org/officeDocument/2006/relationships/hyperlink" Target="https://photos.app.goo.gl/jojk7qmaE45pJ4Kc8" TargetMode="External"/><Relationship Id="rId383" Type="http://schemas.openxmlformats.org/officeDocument/2006/relationships/hyperlink" Target="https://photos.app.goo.gl/Ln8NCQRo26R2mzUd9" TargetMode="External"/><Relationship Id="rId140" Type="http://schemas.openxmlformats.org/officeDocument/2006/relationships/hyperlink" Target="https://photos.app.goo.gl/WCUyAfmNQRqwh68T7" TargetMode="External"/><Relationship Id="rId261" Type="http://schemas.openxmlformats.org/officeDocument/2006/relationships/hyperlink" Target="https://photos.app.goo.gl/Ggtmyu3H5psC3Sba9" TargetMode="External"/><Relationship Id="rId382" Type="http://schemas.openxmlformats.org/officeDocument/2006/relationships/hyperlink" Target="https://photos.app.goo.gl/CVnCQGxM7o8Ngdkf7" TargetMode="External"/><Relationship Id="rId5" Type="http://schemas.openxmlformats.org/officeDocument/2006/relationships/hyperlink" Target="https://photos.app.goo.gl/BMCr6PSAuvTd5zfY7" TargetMode="External"/><Relationship Id="rId147" Type="http://schemas.openxmlformats.org/officeDocument/2006/relationships/hyperlink" Target="https://photos.app.goo.gl/qXPqVdgAcwrYsdtx7" TargetMode="External"/><Relationship Id="rId268" Type="http://schemas.openxmlformats.org/officeDocument/2006/relationships/hyperlink" Target="https://photos.app.goo.gl/jE14SB8eEprsjVei7" TargetMode="External"/><Relationship Id="rId389" Type="http://schemas.openxmlformats.org/officeDocument/2006/relationships/hyperlink" Target="https://photos.app.goo.gl/NjLHTuXuMHnnmTeW8" TargetMode="External"/><Relationship Id="rId6" Type="http://schemas.openxmlformats.org/officeDocument/2006/relationships/hyperlink" Target="https://photos.app.goo.gl/CDtswANPv8kzF49EA" TargetMode="External"/><Relationship Id="rId146" Type="http://schemas.openxmlformats.org/officeDocument/2006/relationships/hyperlink" Target="https://photos.app.goo.gl/ruJPeGsSVvPYyKJu5" TargetMode="External"/><Relationship Id="rId267" Type="http://schemas.openxmlformats.org/officeDocument/2006/relationships/hyperlink" Target="https://photos.app.goo.gl/VSMqzVyknjzXkfL28" TargetMode="External"/><Relationship Id="rId388" Type="http://schemas.openxmlformats.org/officeDocument/2006/relationships/hyperlink" Target="https://photos.app.goo.gl/UZ96JkH82z5knv1B7" TargetMode="External"/><Relationship Id="rId7" Type="http://schemas.openxmlformats.org/officeDocument/2006/relationships/hyperlink" Target="https://photos.app.goo.gl/csWSDYNDaxn4PyQW9" TargetMode="External"/><Relationship Id="rId145" Type="http://schemas.openxmlformats.org/officeDocument/2006/relationships/hyperlink" Target="https://photos.app.goo.gl/gNex8n22RsMi5yzb8" TargetMode="External"/><Relationship Id="rId266" Type="http://schemas.openxmlformats.org/officeDocument/2006/relationships/hyperlink" Target="https://photos.app.goo.gl/DPb7Jd6ah79vTUXo8" TargetMode="External"/><Relationship Id="rId387" Type="http://schemas.openxmlformats.org/officeDocument/2006/relationships/hyperlink" Target="https://photos.app.goo.gl/m2uS6rpanjLGzX9W8" TargetMode="External"/><Relationship Id="rId8" Type="http://schemas.openxmlformats.org/officeDocument/2006/relationships/hyperlink" Target="https://photos.app.goo.gl/7aURCJC7HKMzHwRAA" TargetMode="External"/><Relationship Id="rId144" Type="http://schemas.openxmlformats.org/officeDocument/2006/relationships/hyperlink" Target="https://photos.app.goo.gl/CFQLhcF7pU2xbk8a6" TargetMode="External"/><Relationship Id="rId265" Type="http://schemas.openxmlformats.org/officeDocument/2006/relationships/hyperlink" Target="https://photos.app.goo.gl/sHg7YC8a1VFwhZUV7" TargetMode="External"/><Relationship Id="rId386" Type="http://schemas.openxmlformats.org/officeDocument/2006/relationships/hyperlink" Target="https://photos.app.goo.gl/4R3WvqD4DTGRozNs7" TargetMode="External"/><Relationship Id="rId260" Type="http://schemas.openxmlformats.org/officeDocument/2006/relationships/hyperlink" Target="https://photos.app.goo.gl/JKVo1UiTY6XSxcpR6" TargetMode="External"/><Relationship Id="rId381" Type="http://schemas.openxmlformats.org/officeDocument/2006/relationships/hyperlink" Target="https://photos.app.goo.gl/LkXspBzMFj6yQf46A" TargetMode="External"/><Relationship Id="rId380" Type="http://schemas.openxmlformats.org/officeDocument/2006/relationships/hyperlink" Target="https://photos.app.goo.gl/CpZZ7LXTmhuCNZE6A" TargetMode="External"/><Relationship Id="rId139" Type="http://schemas.openxmlformats.org/officeDocument/2006/relationships/hyperlink" Target="https://photos.app.goo.gl/mQPnUaNpv1YV5nfD6" TargetMode="External"/><Relationship Id="rId138" Type="http://schemas.openxmlformats.org/officeDocument/2006/relationships/hyperlink" Target="https://photos.app.goo.gl/CK4neNebqKpGsjQf6" TargetMode="External"/><Relationship Id="rId259" Type="http://schemas.openxmlformats.org/officeDocument/2006/relationships/hyperlink" Target="https://photos.app.goo.gl/BSCAZzjFCwecqKVA9" TargetMode="External"/><Relationship Id="rId137" Type="http://schemas.openxmlformats.org/officeDocument/2006/relationships/hyperlink" Target="https://photos.app.goo.gl/rbQzFLXogtBkhVvR6" TargetMode="External"/><Relationship Id="rId258" Type="http://schemas.openxmlformats.org/officeDocument/2006/relationships/hyperlink" Target="https://photos.app.goo.gl/6Buyq38oXsPZVuni7" TargetMode="External"/><Relationship Id="rId379" Type="http://schemas.openxmlformats.org/officeDocument/2006/relationships/hyperlink" Target="https://photos.app.goo.gl/bzZd1yfUDYYmZrn7A" TargetMode="External"/><Relationship Id="rId132" Type="http://schemas.openxmlformats.org/officeDocument/2006/relationships/hyperlink" Target="https://photos.app.goo.gl/cKqHrnGHqSxQWen88" TargetMode="External"/><Relationship Id="rId253" Type="http://schemas.openxmlformats.org/officeDocument/2006/relationships/hyperlink" Target="https://photos.app.goo.gl/QraPhs76ino1nDaH6" TargetMode="External"/><Relationship Id="rId374" Type="http://schemas.openxmlformats.org/officeDocument/2006/relationships/hyperlink" Target="https://photos.app.goo.gl/UtWq6d5B44pAn9dA9" TargetMode="External"/><Relationship Id="rId495" Type="http://schemas.openxmlformats.org/officeDocument/2006/relationships/hyperlink" Target="https://photos.app.goo.gl/6h4pEnn4oM4JF2AV9" TargetMode="External"/><Relationship Id="rId131" Type="http://schemas.openxmlformats.org/officeDocument/2006/relationships/hyperlink" Target="https://photos.app.goo.gl/fjjaxA5mtveokZ4g8" TargetMode="External"/><Relationship Id="rId252" Type="http://schemas.openxmlformats.org/officeDocument/2006/relationships/hyperlink" Target="https://photos.app.goo.gl/pwuasSkedRPi1xYPA" TargetMode="External"/><Relationship Id="rId373" Type="http://schemas.openxmlformats.org/officeDocument/2006/relationships/hyperlink" Target="https://photos.app.goo.gl/QDhyZnkG2BXFHTZx5" TargetMode="External"/><Relationship Id="rId494" Type="http://schemas.openxmlformats.org/officeDocument/2006/relationships/hyperlink" Target="https://photos.app.goo.gl/DYegagJCueAhdTzQ7" TargetMode="External"/><Relationship Id="rId130" Type="http://schemas.openxmlformats.org/officeDocument/2006/relationships/hyperlink" Target="https://photos.app.goo.gl/yW9WBvB16Y7J5Xrq7" TargetMode="External"/><Relationship Id="rId251" Type="http://schemas.openxmlformats.org/officeDocument/2006/relationships/hyperlink" Target="https://photos.app.goo.gl/iQrEvBkQUdUQt8gD6" TargetMode="External"/><Relationship Id="rId372" Type="http://schemas.openxmlformats.org/officeDocument/2006/relationships/hyperlink" Target="https://photos.app.goo.gl/KKXk8evmVShuX6PEA" TargetMode="External"/><Relationship Id="rId493" Type="http://schemas.openxmlformats.org/officeDocument/2006/relationships/hyperlink" Target="https://photos.app.goo.gl/jFxLN5xei72tD3Za7" TargetMode="External"/><Relationship Id="rId250" Type="http://schemas.openxmlformats.org/officeDocument/2006/relationships/hyperlink" Target="https://photos.app.goo.gl/Y17QF47eCpuRLgSh8" TargetMode="External"/><Relationship Id="rId371" Type="http://schemas.openxmlformats.org/officeDocument/2006/relationships/hyperlink" Target="https://photos.app.goo.gl/EzBkdkrkPKaESDAZ8" TargetMode="External"/><Relationship Id="rId492" Type="http://schemas.openxmlformats.org/officeDocument/2006/relationships/hyperlink" Target="https://photos.app.goo.gl/N4WkvTbnvAgNh1B19" TargetMode="External"/><Relationship Id="rId136" Type="http://schemas.openxmlformats.org/officeDocument/2006/relationships/hyperlink" Target="https://photos.app.goo.gl/r1HTv4rciHVs18M5A" TargetMode="External"/><Relationship Id="rId257" Type="http://schemas.openxmlformats.org/officeDocument/2006/relationships/hyperlink" Target="https://photos.app.goo.gl/6wdkGQ2CJH1VCgKR9" TargetMode="External"/><Relationship Id="rId378" Type="http://schemas.openxmlformats.org/officeDocument/2006/relationships/hyperlink" Target="https://photos.app.goo.gl/wnVtkfiy7QPGppfo9" TargetMode="External"/><Relationship Id="rId499" Type="http://schemas.openxmlformats.org/officeDocument/2006/relationships/hyperlink" Target="https://photos.app.goo.gl/etjJvx624ESFS9GH8" TargetMode="External"/><Relationship Id="rId135" Type="http://schemas.openxmlformats.org/officeDocument/2006/relationships/hyperlink" Target="https://photos.app.goo.gl/LhM4PSYZoc5Zj5Ac7" TargetMode="External"/><Relationship Id="rId256" Type="http://schemas.openxmlformats.org/officeDocument/2006/relationships/hyperlink" Target="https://photos.app.goo.gl/7kh8pv9B3KLyvDfy7" TargetMode="External"/><Relationship Id="rId377" Type="http://schemas.openxmlformats.org/officeDocument/2006/relationships/hyperlink" Target="https://photos.app.goo.gl/JfNfhbKqF1ssBcwq8" TargetMode="External"/><Relationship Id="rId498" Type="http://schemas.openxmlformats.org/officeDocument/2006/relationships/hyperlink" Target="https://photos.app.goo.gl/Qir9sbyuCAH7ZMJq5" TargetMode="External"/><Relationship Id="rId134" Type="http://schemas.openxmlformats.org/officeDocument/2006/relationships/hyperlink" Target="https://photos.app.goo.gl/imN8ehN1ioiy4VRE9" TargetMode="External"/><Relationship Id="rId255" Type="http://schemas.openxmlformats.org/officeDocument/2006/relationships/hyperlink" Target="https://photos.app.goo.gl/LFsEBeuCNZ93fK3C6" TargetMode="External"/><Relationship Id="rId376" Type="http://schemas.openxmlformats.org/officeDocument/2006/relationships/hyperlink" Target="https://photos.app.goo.gl/C2EjB2CEJB7hjFTR8" TargetMode="External"/><Relationship Id="rId497" Type="http://schemas.openxmlformats.org/officeDocument/2006/relationships/hyperlink" Target="https://photos.app.goo.gl/kP6JF4c3K3mj8ZV88" TargetMode="External"/><Relationship Id="rId133" Type="http://schemas.openxmlformats.org/officeDocument/2006/relationships/hyperlink" Target="https://photos.app.goo.gl/bVBq55n9YQNbt3617" TargetMode="External"/><Relationship Id="rId254" Type="http://schemas.openxmlformats.org/officeDocument/2006/relationships/hyperlink" Target="https://photos.app.goo.gl/SMX1KNLJMiJsYoiJ8" TargetMode="External"/><Relationship Id="rId375" Type="http://schemas.openxmlformats.org/officeDocument/2006/relationships/hyperlink" Target="https://photos.app.goo.gl/SSE5HCfD1AVpZ2Xu8" TargetMode="External"/><Relationship Id="rId496" Type="http://schemas.openxmlformats.org/officeDocument/2006/relationships/hyperlink" Target="https://photos.app.goo.gl/y7eWucWq7mDrFcvh6" TargetMode="External"/><Relationship Id="rId172" Type="http://schemas.openxmlformats.org/officeDocument/2006/relationships/hyperlink" Target="https://photos.app.goo.gl/s8CCwvCMqG3WgZxg7" TargetMode="External"/><Relationship Id="rId293" Type="http://schemas.openxmlformats.org/officeDocument/2006/relationships/hyperlink" Target="https://photos.app.goo.gl/YdEsGnUP9zj8BPiT8" TargetMode="External"/><Relationship Id="rId171" Type="http://schemas.openxmlformats.org/officeDocument/2006/relationships/hyperlink" Target="https://photos.app.goo.gl/vmyi8qntc3xCP1Qk8" TargetMode="External"/><Relationship Id="rId292" Type="http://schemas.openxmlformats.org/officeDocument/2006/relationships/hyperlink" Target="https://photos.app.goo.gl/VxHcARrAZNkoGNek7" TargetMode="External"/><Relationship Id="rId170" Type="http://schemas.openxmlformats.org/officeDocument/2006/relationships/hyperlink" Target="https://photos.app.goo.gl/kJppqsoaVfU6tNoB6" TargetMode="External"/><Relationship Id="rId291" Type="http://schemas.openxmlformats.org/officeDocument/2006/relationships/hyperlink" Target="https://photos.app.goo.gl/pfSPbDiR7hZYh24X7" TargetMode="External"/><Relationship Id="rId290" Type="http://schemas.openxmlformats.org/officeDocument/2006/relationships/hyperlink" Target="https://photos.app.goo.gl/KRxef1yBWHiLw1tp7" TargetMode="External"/><Relationship Id="rId165" Type="http://schemas.openxmlformats.org/officeDocument/2006/relationships/hyperlink" Target="https://photos.app.goo.gl/rmKee8J9kqx13ekN6" TargetMode="External"/><Relationship Id="rId286" Type="http://schemas.openxmlformats.org/officeDocument/2006/relationships/hyperlink" Target="https://photos.app.goo.gl/vDUBMsLCaDNw2T6YA" TargetMode="External"/><Relationship Id="rId164" Type="http://schemas.openxmlformats.org/officeDocument/2006/relationships/hyperlink" Target="https://photos.app.goo.gl/svXbLnwMB3XYbEjZA" TargetMode="External"/><Relationship Id="rId285" Type="http://schemas.openxmlformats.org/officeDocument/2006/relationships/hyperlink" Target="https://photos.app.goo.gl/c8AvcMzASdTyyyHv7" TargetMode="External"/><Relationship Id="rId163" Type="http://schemas.openxmlformats.org/officeDocument/2006/relationships/hyperlink" Target="https://photos.app.goo.gl/iHmEuzZ66RQ31E6g7" TargetMode="External"/><Relationship Id="rId284" Type="http://schemas.openxmlformats.org/officeDocument/2006/relationships/hyperlink" Target="https://photos.app.goo.gl/bJHfGtCcuMemsEoc6" TargetMode="External"/><Relationship Id="rId162" Type="http://schemas.openxmlformats.org/officeDocument/2006/relationships/hyperlink" Target="https://photos.app.goo.gl/NyeXW5wEAex4DmTj9" TargetMode="External"/><Relationship Id="rId283" Type="http://schemas.openxmlformats.org/officeDocument/2006/relationships/hyperlink" Target="https://photos.app.goo.gl/sNxAXUx4t3MKcYK96" TargetMode="External"/><Relationship Id="rId169" Type="http://schemas.openxmlformats.org/officeDocument/2006/relationships/hyperlink" Target="https://photos.app.goo.gl/LLG4CKE3c6tscmEC6" TargetMode="External"/><Relationship Id="rId168" Type="http://schemas.openxmlformats.org/officeDocument/2006/relationships/hyperlink" Target="https://photos.app.goo.gl/8accad79tcZRBSST7" TargetMode="External"/><Relationship Id="rId289" Type="http://schemas.openxmlformats.org/officeDocument/2006/relationships/hyperlink" Target="https://photos.app.goo.gl/fHVT6qohfZtgJAnWA" TargetMode="External"/><Relationship Id="rId167" Type="http://schemas.openxmlformats.org/officeDocument/2006/relationships/hyperlink" Target="https://photos.app.goo.gl/Vx1EnqwSCQYy3kJr7" TargetMode="External"/><Relationship Id="rId288" Type="http://schemas.openxmlformats.org/officeDocument/2006/relationships/hyperlink" Target="https://photos.app.goo.gl/WC1ZLi7nswvCExC67" TargetMode="External"/><Relationship Id="rId166" Type="http://schemas.openxmlformats.org/officeDocument/2006/relationships/hyperlink" Target="https://photos.app.goo.gl/4MXN1w8h9PagFxgQ8" TargetMode="External"/><Relationship Id="rId287" Type="http://schemas.openxmlformats.org/officeDocument/2006/relationships/hyperlink" Target="https://photos.app.goo.gl/sC7Aj3zSm2WnPzKw8" TargetMode="External"/><Relationship Id="rId161" Type="http://schemas.openxmlformats.org/officeDocument/2006/relationships/hyperlink" Target="https://photos.app.goo.gl/oVfv6e3xxzP41VXa8" TargetMode="External"/><Relationship Id="rId282" Type="http://schemas.openxmlformats.org/officeDocument/2006/relationships/hyperlink" Target="https://photos.app.goo.gl/2yy7eYWraLttWx2g6" TargetMode="External"/><Relationship Id="rId160" Type="http://schemas.openxmlformats.org/officeDocument/2006/relationships/hyperlink" Target="https://photos.app.goo.gl/ubxdDrrUZ6C8nMqu8" TargetMode="External"/><Relationship Id="rId281" Type="http://schemas.openxmlformats.org/officeDocument/2006/relationships/hyperlink" Target="https://photos.app.goo.gl/5CsgGSzRbqNyijVZ7" TargetMode="External"/><Relationship Id="rId280" Type="http://schemas.openxmlformats.org/officeDocument/2006/relationships/hyperlink" Target="https://photos.app.goo.gl/RtLpwQCXRfv4edYK6" TargetMode="External"/><Relationship Id="rId159" Type="http://schemas.openxmlformats.org/officeDocument/2006/relationships/hyperlink" Target="https://photos.app.goo.gl/Fer6Nhs7P1Txjodg6" TargetMode="External"/><Relationship Id="rId154" Type="http://schemas.openxmlformats.org/officeDocument/2006/relationships/hyperlink" Target="https://photos.app.goo.gl/bAczRcQfFX7g8u278" TargetMode="External"/><Relationship Id="rId275" Type="http://schemas.openxmlformats.org/officeDocument/2006/relationships/hyperlink" Target="https://photos.app.goo.gl/Bpm255r6zAZ9q5G59" TargetMode="External"/><Relationship Id="rId396" Type="http://schemas.openxmlformats.org/officeDocument/2006/relationships/hyperlink" Target="https://photos.app.goo.gl/bzQiL2Bevj12VyPf8" TargetMode="External"/><Relationship Id="rId153" Type="http://schemas.openxmlformats.org/officeDocument/2006/relationships/hyperlink" Target="https://photos.app.goo.gl/VxwSeYHE54Ueunbw5" TargetMode="External"/><Relationship Id="rId274" Type="http://schemas.openxmlformats.org/officeDocument/2006/relationships/hyperlink" Target="https://photos.app.goo.gl/uuVkryXVQGR9ZpfD6" TargetMode="External"/><Relationship Id="rId395" Type="http://schemas.openxmlformats.org/officeDocument/2006/relationships/hyperlink" Target="https://photos.app.goo.gl/zVs32Z9bD61yNxnFA" TargetMode="External"/><Relationship Id="rId152" Type="http://schemas.openxmlformats.org/officeDocument/2006/relationships/hyperlink" Target="https://photos.app.goo.gl/gme4VCTHed6G9ifj7" TargetMode="External"/><Relationship Id="rId273" Type="http://schemas.openxmlformats.org/officeDocument/2006/relationships/hyperlink" Target="https://photos.app.goo.gl/rdksmWSBeyDJnLpU8" TargetMode="External"/><Relationship Id="rId394" Type="http://schemas.openxmlformats.org/officeDocument/2006/relationships/hyperlink" Target="https://photos.app.goo.gl/doFcVdcMp63Cc6hy7" TargetMode="External"/><Relationship Id="rId151" Type="http://schemas.openxmlformats.org/officeDocument/2006/relationships/hyperlink" Target="https://photos.app.goo.gl/f6dDW8aL4N78sD9g9" TargetMode="External"/><Relationship Id="rId272" Type="http://schemas.openxmlformats.org/officeDocument/2006/relationships/hyperlink" Target="https://photos.app.goo.gl/6NKeH8TTKk22kN8o9" TargetMode="External"/><Relationship Id="rId393" Type="http://schemas.openxmlformats.org/officeDocument/2006/relationships/hyperlink" Target="https://photos.app.goo.gl/WAGTuuc72N7MSkEt8" TargetMode="External"/><Relationship Id="rId158" Type="http://schemas.openxmlformats.org/officeDocument/2006/relationships/hyperlink" Target="https://photos.app.goo.gl/DjZqiejUSF8iRayE8" TargetMode="External"/><Relationship Id="rId279" Type="http://schemas.openxmlformats.org/officeDocument/2006/relationships/hyperlink" Target="https://photos.app.goo.gl/1R5eGbBHeGTXTr1u9" TargetMode="External"/><Relationship Id="rId157" Type="http://schemas.openxmlformats.org/officeDocument/2006/relationships/hyperlink" Target="https://photos.app.goo.gl/gj6DoSUnMU6s2xGcA" TargetMode="External"/><Relationship Id="rId278" Type="http://schemas.openxmlformats.org/officeDocument/2006/relationships/hyperlink" Target="https://photos.app.goo.gl/ATghK3tZF9Leiw73A" TargetMode="External"/><Relationship Id="rId399" Type="http://schemas.openxmlformats.org/officeDocument/2006/relationships/hyperlink" Target="https://photos.app.goo.gl/oXxMfoKQYfhr8Qzx8" TargetMode="External"/><Relationship Id="rId156" Type="http://schemas.openxmlformats.org/officeDocument/2006/relationships/hyperlink" Target="https://photos.app.goo.gl/MMe6ZeHZwstyXCG47" TargetMode="External"/><Relationship Id="rId277" Type="http://schemas.openxmlformats.org/officeDocument/2006/relationships/hyperlink" Target="https://photos.app.goo.gl/vywkuSPfHfFrhckUA" TargetMode="External"/><Relationship Id="rId398" Type="http://schemas.openxmlformats.org/officeDocument/2006/relationships/hyperlink" Target="https://photos.app.goo.gl/hUNY7SXZKEKs37cg7" TargetMode="External"/><Relationship Id="rId155" Type="http://schemas.openxmlformats.org/officeDocument/2006/relationships/hyperlink" Target="https://photos.app.goo.gl/Mtzzb9N9VEqysBFj7" TargetMode="External"/><Relationship Id="rId276" Type="http://schemas.openxmlformats.org/officeDocument/2006/relationships/hyperlink" Target="https://photos.app.goo.gl/FBGAkmsQqeZeuGpy7" TargetMode="External"/><Relationship Id="rId397" Type="http://schemas.openxmlformats.org/officeDocument/2006/relationships/hyperlink" Target="https://photos.app.goo.gl/5m2ZTQnWqdKGY4dm6" TargetMode="External"/><Relationship Id="rId40" Type="http://schemas.openxmlformats.org/officeDocument/2006/relationships/hyperlink" Target="https://photos.app.goo.gl/kvkXhcgMQWmAPRiE7" TargetMode="External"/><Relationship Id="rId42" Type="http://schemas.openxmlformats.org/officeDocument/2006/relationships/hyperlink" Target="https://photos.app.goo.gl/yiy8HNjFhhsszHcG9" TargetMode="External"/><Relationship Id="rId41" Type="http://schemas.openxmlformats.org/officeDocument/2006/relationships/hyperlink" Target="https://photos.app.goo.gl/ifKcNM57JsW8PTto8" TargetMode="External"/><Relationship Id="rId44" Type="http://schemas.openxmlformats.org/officeDocument/2006/relationships/hyperlink" Target="https://photos.app.goo.gl/tGEhZ2E57tK96mKg9" TargetMode="External"/><Relationship Id="rId43" Type="http://schemas.openxmlformats.org/officeDocument/2006/relationships/hyperlink" Target="https://photos.app.goo.gl/28r95BFi95kWrdew7" TargetMode="External"/><Relationship Id="rId46" Type="http://schemas.openxmlformats.org/officeDocument/2006/relationships/hyperlink" Target="https://photos.app.goo.gl/WXvsDsDkXAHqLN3w7" TargetMode="External"/><Relationship Id="rId45" Type="http://schemas.openxmlformats.org/officeDocument/2006/relationships/hyperlink" Target="https://photos.app.goo.gl/Nisg4Mnh6UHJigyi6" TargetMode="External"/><Relationship Id="rId509" Type="http://schemas.openxmlformats.org/officeDocument/2006/relationships/hyperlink" Target="https://photos.app.goo.gl/4Hq4XARDkBBL4V927" TargetMode="External"/><Relationship Id="rId508" Type="http://schemas.openxmlformats.org/officeDocument/2006/relationships/hyperlink" Target="https://photos.app.goo.gl/FHdWFRTHHxT7Xbey7" TargetMode="External"/><Relationship Id="rId503" Type="http://schemas.openxmlformats.org/officeDocument/2006/relationships/hyperlink" Target="https://photos.app.goo.gl/sPMkBr93iVdn6s6y8" TargetMode="External"/><Relationship Id="rId502" Type="http://schemas.openxmlformats.org/officeDocument/2006/relationships/hyperlink" Target="https://photos.app.goo.gl/6SH7wp57moHx8fAK9" TargetMode="External"/><Relationship Id="rId501" Type="http://schemas.openxmlformats.org/officeDocument/2006/relationships/hyperlink" Target="https://photos.app.goo.gl/wHVAsib9XRV7S3sY7" TargetMode="External"/><Relationship Id="rId500" Type="http://schemas.openxmlformats.org/officeDocument/2006/relationships/hyperlink" Target="https://photos.app.goo.gl/NKBr8zHEwYcxQegC9" TargetMode="External"/><Relationship Id="rId507" Type="http://schemas.openxmlformats.org/officeDocument/2006/relationships/hyperlink" Target="https://photos.app.goo.gl/HvawkibQRNuHpf14A" TargetMode="External"/><Relationship Id="rId506" Type="http://schemas.openxmlformats.org/officeDocument/2006/relationships/hyperlink" Target="https://photos.app.goo.gl/wFnGftfaEQwDyy87A" TargetMode="External"/><Relationship Id="rId505" Type="http://schemas.openxmlformats.org/officeDocument/2006/relationships/hyperlink" Target="https://photos.app.goo.gl/ueZzPr7mgKREj9te9" TargetMode="External"/><Relationship Id="rId504" Type="http://schemas.openxmlformats.org/officeDocument/2006/relationships/hyperlink" Target="https://photos.app.goo.gl/myepAuqjokcAAcmW6" TargetMode="External"/><Relationship Id="rId48" Type="http://schemas.openxmlformats.org/officeDocument/2006/relationships/hyperlink" Target="https://photos.app.goo.gl/xZQqFfPcjaiK5Ky9A" TargetMode="External"/><Relationship Id="rId47" Type="http://schemas.openxmlformats.org/officeDocument/2006/relationships/hyperlink" Target="https://photos.app.goo.gl/2aGpJXVnmwJrN1JUA" TargetMode="External"/><Relationship Id="rId49" Type="http://schemas.openxmlformats.org/officeDocument/2006/relationships/hyperlink" Target="https://photos.app.goo.gl/TGt2f1jyWRnTtP9N8" TargetMode="External"/><Relationship Id="rId31" Type="http://schemas.openxmlformats.org/officeDocument/2006/relationships/hyperlink" Target="https://photos.app.goo.gl/TGs6ftsvn2eGKbWu5" TargetMode="External"/><Relationship Id="rId30" Type="http://schemas.openxmlformats.org/officeDocument/2006/relationships/hyperlink" Target="https://photos.app.goo.gl/1hkjovUYZCbwF5Py8" TargetMode="External"/><Relationship Id="rId33" Type="http://schemas.openxmlformats.org/officeDocument/2006/relationships/hyperlink" Target="https://photos.app.goo.gl/RgwVPydVaU34BZ5x9" TargetMode="External"/><Relationship Id="rId32" Type="http://schemas.openxmlformats.org/officeDocument/2006/relationships/hyperlink" Target="https://photos.app.goo.gl/vfxi3Gq9wwtCJTBC9" TargetMode="External"/><Relationship Id="rId35" Type="http://schemas.openxmlformats.org/officeDocument/2006/relationships/hyperlink" Target="https://photos.app.goo.gl/QeeLYVewpQZuc1tx8" TargetMode="External"/><Relationship Id="rId34" Type="http://schemas.openxmlformats.org/officeDocument/2006/relationships/hyperlink" Target="https://photos.app.goo.gl/2kDZbdGwKZUnE4zM8" TargetMode="External"/><Relationship Id="rId613" Type="http://schemas.openxmlformats.org/officeDocument/2006/relationships/hyperlink" Target="https://photos.google.com/share/AF1QipM70sLWGl_pxst2SkbALIZJmVKudYk6E3me_lqrk4G6zqvgUsJ3PGSMBd5_eVy4Mw?key=MnlneFFXS1JaZlB5V1VDU2hlSFVvQndsRi1ydS1n" TargetMode="External"/><Relationship Id="rId612" Type="http://schemas.openxmlformats.org/officeDocument/2006/relationships/hyperlink" Target="https://photos.app.goo.gl/ypJTrchMTyy9WZPw6" TargetMode="External"/><Relationship Id="rId611" Type="http://schemas.openxmlformats.org/officeDocument/2006/relationships/hyperlink" Target="https://photos.app.goo.gl/NKKu3bzYBztQUS9LA" TargetMode="External"/><Relationship Id="rId610" Type="http://schemas.openxmlformats.org/officeDocument/2006/relationships/hyperlink" Target="https://photos.app.goo.gl/DiXtovCaoiD77WHT7" TargetMode="External"/><Relationship Id="rId615" Type="http://schemas.openxmlformats.org/officeDocument/2006/relationships/drawing" Target="../drawings/drawing3.xml"/><Relationship Id="rId614" Type="http://schemas.openxmlformats.org/officeDocument/2006/relationships/hyperlink" Target="https://photos.app.goo.gl/5gPGx5fy2wLrYz8J7" TargetMode="External"/><Relationship Id="rId37" Type="http://schemas.openxmlformats.org/officeDocument/2006/relationships/hyperlink" Target="https://photos.app.goo.gl/pUMDJpGPKCcyKLPj8" TargetMode="External"/><Relationship Id="rId36" Type="http://schemas.openxmlformats.org/officeDocument/2006/relationships/hyperlink" Target="https://photos.google.com/share/AF1QipPG-PD5M4WUkiQhJVm385g60lmQEVyp_B0NgU_pvWQbKm2VESwkvNDmSfhOMpDoKA?key=VUJzaVRyc3JrN0pRSGlTazlkX2tmaVpEemx2ZC1B" TargetMode="External"/><Relationship Id="rId39" Type="http://schemas.openxmlformats.org/officeDocument/2006/relationships/hyperlink" Target="https://photos.app.goo.gl/dtdF2Uam6ykmVrUn6" TargetMode="External"/><Relationship Id="rId38" Type="http://schemas.openxmlformats.org/officeDocument/2006/relationships/hyperlink" Target="https://photos.app.goo.gl/pyEqhR858X2ukSTi6" TargetMode="External"/><Relationship Id="rId20" Type="http://schemas.openxmlformats.org/officeDocument/2006/relationships/hyperlink" Target="https://photos.app.goo.gl/rDyBvhQL57ggLCTr5" TargetMode="External"/><Relationship Id="rId22" Type="http://schemas.openxmlformats.org/officeDocument/2006/relationships/hyperlink" Target="https://photos.app.goo.gl/TKVhauFUqALAtFu48" TargetMode="External"/><Relationship Id="rId21" Type="http://schemas.openxmlformats.org/officeDocument/2006/relationships/hyperlink" Target="https://photos.app.goo.gl/r22fhDk7SJap2JfB8" TargetMode="External"/><Relationship Id="rId24" Type="http://schemas.openxmlformats.org/officeDocument/2006/relationships/hyperlink" Target="https://photos.app.goo.gl/NS7pzPKcrED8cEss8" TargetMode="External"/><Relationship Id="rId23" Type="http://schemas.openxmlformats.org/officeDocument/2006/relationships/hyperlink" Target="https://photos.app.goo.gl/CH4YEvTXutjj2dCF7" TargetMode="External"/><Relationship Id="rId409" Type="http://schemas.openxmlformats.org/officeDocument/2006/relationships/hyperlink" Target="https://photos.app.goo.gl/APjocfzCiV2ew62n8" TargetMode="External"/><Relationship Id="rId404" Type="http://schemas.openxmlformats.org/officeDocument/2006/relationships/hyperlink" Target="https://photos.app.goo.gl/KfMfPWituhJAec1a7" TargetMode="External"/><Relationship Id="rId525" Type="http://schemas.openxmlformats.org/officeDocument/2006/relationships/hyperlink" Target="https://photos.app.goo.gl/YU6k8NdPK3X3immz8" TargetMode="External"/><Relationship Id="rId403" Type="http://schemas.openxmlformats.org/officeDocument/2006/relationships/hyperlink" Target="https://photos.app.goo.gl/itsFzTEXdnpTxRcF8" TargetMode="External"/><Relationship Id="rId524" Type="http://schemas.openxmlformats.org/officeDocument/2006/relationships/hyperlink" Target="https://photos.app.goo.gl/DoQBHoXVYjhrz4We6" TargetMode="External"/><Relationship Id="rId402" Type="http://schemas.openxmlformats.org/officeDocument/2006/relationships/hyperlink" Target="https://photos.app.goo.gl/kz62gSK6JCwAnsZu7" TargetMode="External"/><Relationship Id="rId523" Type="http://schemas.openxmlformats.org/officeDocument/2006/relationships/hyperlink" Target="https://photos.app.goo.gl/jXEi15WknpqBBsYS8" TargetMode="External"/><Relationship Id="rId401" Type="http://schemas.openxmlformats.org/officeDocument/2006/relationships/hyperlink" Target="https://photos.app.goo.gl/Nh9zS1YrEDv1dTzW6" TargetMode="External"/><Relationship Id="rId522" Type="http://schemas.openxmlformats.org/officeDocument/2006/relationships/hyperlink" Target="https://photos.app.goo.gl/utPiVoAvLEYsgmjVA" TargetMode="External"/><Relationship Id="rId408" Type="http://schemas.openxmlformats.org/officeDocument/2006/relationships/hyperlink" Target="https://photos.app.goo.gl/t1AgQAmmpK36UNUd8" TargetMode="External"/><Relationship Id="rId529" Type="http://schemas.openxmlformats.org/officeDocument/2006/relationships/hyperlink" Target="https://photos.app.goo.gl/2tCf5tqV6HyPUqAU8" TargetMode="External"/><Relationship Id="rId407" Type="http://schemas.openxmlformats.org/officeDocument/2006/relationships/hyperlink" Target="https://photos.app.goo.gl/jjQoH533EFN3Le8F8" TargetMode="External"/><Relationship Id="rId528" Type="http://schemas.openxmlformats.org/officeDocument/2006/relationships/hyperlink" Target="https://photos.app.goo.gl/MKm76my6taGycyQj9" TargetMode="External"/><Relationship Id="rId406" Type="http://schemas.openxmlformats.org/officeDocument/2006/relationships/hyperlink" Target="https://photos.app.goo.gl/xhrh6ZB1MFLfPC6p6" TargetMode="External"/><Relationship Id="rId527" Type="http://schemas.openxmlformats.org/officeDocument/2006/relationships/hyperlink" Target="https://photos.app.goo.gl/DogAw3njzrrKf5hM6" TargetMode="External"/><Relationship Id="rId405" Type="http://schemas.openxmlformats.org/officeDocument/2006/relationships/hyperlink" Target="https://photos.app.goo.gl/9XVkzKFgx1DV5Ezz9" TargetMode="External"/><Relationship Id="rId526" Type="http://schemas.openxmlformats.org/officeDocument/2006/relationships/hyperlink" Target="https://photos.app.goo.gl/gdxcshDTRR95qRzC6" TargetMode="External"/><Relationship Id="rId26" Type="http://schemas.openxmlformats.org/officeDocument/2006/relationships/hyperlink" Target="https://photos.app.goo.gl/265YVLp17oWXSbTu9" TargetMode="External"/><Relationship Id="rId25" Type="http://schemas.openxmlformats.org/officeDocument/2006/relationships/hyperlink" Target="https://photos.app.goo.gl/wWHWhsTijAo9dYEY6" TargetMode="External"/><Relationship Id="rId28" Type="http://schemas.openxmlformats.org/officeDocument/2006/relationships/hyperlink" Target="https://photos.app.goo.gl/erXE6RJXtocjff119" TargetMode="External"/><Relationship Id="rId27" Type="http://schemas.openxmlformats.org/officeDocument/2006/relationships/hyperlink" Target="https://photos.app.goo.gl/nzGMWLi6Lcst9YPD9" TargetMode="External"/><Relationship Id="rId400" Type="http://schemas.openxmlformats.org/officeDocument/2006/relationships/hyperlink" Target="https://photos.app.goo.gl/izNh1y6zf6yQogRe7" TargetMode="External"/><Relationship Id="rId521" Type="http://schemas.openxmlformats.org/officeDocument/2006/relationships/hyperlink" Target="https://photos.app.goo.gl/ZCMmSrQSfyeDXnPt9" TargetMode="External"/><Relationship Id="rId29" Type="http://schemas.openxmlformats.org/officeDocument/2006/relationships/hyperlink" Target="https://photos.app.goo.gl/e9sA8bxfEh3dNjkq7" TargetMode="External"/><Relationship Id="rId520" Type="http://schemas.openxmlformats.org/officeDocument/2006/relationships/hyperlink" Target="https://photos.app.goo.gl/BJrnN9NVnkPwwxuT6" TargetMode="External"/><Relationship Id="rId11" Type="http://schemas.openxmlformats.org/officeDocument/2006/relationships/hyperlink" Target="https://photos.app.goo.gl/Lf7b9vYgvG5uyXYU9" TargetMode="External"/><Relationship Id="rId10" Type="http://schemas.openxmlformats.org/officeDocument/2006/relationships/hyperlink" Target="https://photos.app.goo.gl/CHX3wyuPHgdkZGtx9" TargetMode="External"/><Relationship Id="rId13" Type="http://schemas.openxmlformats.org/officeDocument/2006/relationships/hyperlink" Target="https://photos.app.goo.gl/jru9Baz3bjGXDJkp8" TargetMode="External"/><Relationship Id="rId12" Type="http://schemas.openxmlformats.org/officeDocument/2006/relationships/hyperlink" Target="https://photos.app.goo.gl/s3bnrFs1dD6q745j6" TargetMode="External"/><Relationship Id="rId519" Type="http://schemas.openxmlformats.org/officeDocument/2006/relationships/hyperlink" Target="https://photos.app.goo.gl/DtEiqKxciueMycZQ8" TargetMode="External"/><Relationship Id="rId514" Type="http://schemas.openxmlformats.org/officeDocument/2006/relationships/hyperlink" Target="https://photos.app.goo.gl/MaM2SsmLnftzNu8EA" TargetMode="External"/><Relationship Id="rId513" Type="http://schemas.openxmlformats.org/officeDocument/2006/relationships/hyperlink" Target="https://photos.app.goo.gl/uuKPYwknuxkH182j9" TargetMode="External"/><Relationship Id="rId512" Type="http://schemas.openxmlformats.org/officeDocument/2006/relationships/hyperlink" Target="https://photos.app.goo.gl/tqngk5eCuvLxzNaJ8" TargetMode="External"/><Relationship Id="rId511" Type="http://schemas.openxmlformats.org/officeDocument/2006/relationships/hyperlink" Target="https://photos.app.goo.gl/qakqYnaLQUYHN7Co9" TargetMode="External"/><Relationship Id="rId518" Type="http://schemas.openxmlformats.org/officeDocument/2006/relationships/hyperlink" Target="https://photos.app.goo.gl/i9jzihSSdyDgcVwj9" TargetMode="External"/><Relationship Id="rId517" Type="http://schemas.openxmlformats.org/officeDocument/2006/relationships/hyperlink" Target="https://photos.app.goo.gl/M36yyHfWwJKpWiGZ7" TargetMode="External"/><Relationship Id="rId516" Type="http://schemas.openxmlformats.org/officeDocument/2006/relationships/hyperlink" Target="https://photos.app.goo.gl/U6iyfzUdHCM4rLBC8" TargetMode="External"/><Relationship Id="rId515" Type="http://schemas.openxmlformats.org/officeDocument/2006/relationships/hyperlink" Target="https://photos.app.goo.gl/DpreRXDmubp79Hob7" TargetMode="External"/><Relationship Id="rId15" Type="http://schemas.openxmlformats.org/officeDocument/2006/relationships/hyperlink" Target="https://photos.app.goo.gl/2A6BAb5pmKh3g2Bq8" TargetMode="External"/><Relationship Id="rId14" Type="http://schemas.openxmlformats.org/officeDocument/2006/relationships/hyperlink" Target="https://photos.app.goo.gl/PPyC8ucCkJAdMMpS7" TargetMode="External"/><Relationship Id="rId17" Type="http://schemas.openxmlformats.org/officeDocument/2006/relationships/hyperlink" Target="https://photos.app.goo.gl/CnoCam3NKY4GqHs68" TargetMode="External"/><Relationship Id="rId16" Type="http://schemas.openxmlformats.org/officeDocument/2006/relationships/hyperlink" Target="https://photos.app.goo.gl/vVtBYGcLfqpzQC2k8" TargetMode="External"/><Relationship Id="rId19" Type="http://schemas.openxmlformats.org/officeDocument/2006/relationships/hyperlink" Target="https://photos.app.goo.gl/vvuK4Dk7b1CK5kZF9" TargetMode="External"/><Relationship Id="rId510" Type="http://schemas.openxmlformats.org/officeDocument/2006/relationships/hyperlink" Target="https://photos.app.goo.gl/6fY18Zo7XeSMMa659" TargetMode="External"/><Relationship Id="rId18" Type="http://schemas.openxmlformats.org/officeDocument/2006/relationships/hyperlink" Target="https://photos.app.goo.gl/V7HLSX19968aiwVU6" TargetMode="External"/><Relationship Id="rId84" Type="http://schemas.openxmlformats.org/officeDocument/2006/relationships/hyperlink" Target="https://photos.app.goo.gl/f8CVVuM8JMsa82dg7" TargetMode="External"/><Relationship Id="rId83" Type="http://schemas.openxmlformats.org/officeDocument/2006/relationships/hyperlink" Target="https://photos.app.goo.gl/7QnTN5NGG7gsYNyh9" TargetMode="External"/><Relationship Id="rId86" Type="http://schemas.openxmlformats.org/officeDocument/2006/relationships/hyperlink" Target="https://photos.app.goo.gl/wowRpimK8dXqFTKB9" TargetMode="External"/><Relationship Id="rId85" Type="http://schemas.openxmlformats.org/officeDocument/2006/relationships/hyperlink" Target="https://photos.google.com/u/1/share/AF1QipPeRRIvYTdPiqHYgwiWZtodt7pJTz8-bUWRd1wS9ckV1VYX7O4M5I_idI96SnlJxQ?hl=es&amp;key=UTF2ZlI4elJhWndUYzd5RzRLVFRMd01KeHlJSnBn" TargetMode="External"/><Relationship Id="rId88" Type="http://schemas.openxmlformats.org/officeDocument/2006/relationships/hyperlink" Target="https://photos.app.goo.gl/N6A5PzNrqHxyQfPs8" TargetMode="External"/><Relationship Id="rId87" Type="http://schemas.openxmlformats.org/officeDocument/2006/relationships/hyperlink" Target="https://photos.app.goo.gl/AeurqTdLb1BQABaNA" TargetMode="External"/><Relationship Id="rId89" Type="http://schemas.openxmlformats.org/officeDocument/2006/relationships/hyperlink" Target="https://photos.app.goo.gl/7c2Wc2AHV81pF9MQ6" TargetMode="External"/><Relationship Id="rId80" Type="http://schemas.openxmlformats.org/officeDocument/2006/relationships/hyperlink" Target="https://photos.app.goo.gl/6EiPhjJq1zuaPHXeA" TargetMode="External"/><Relationship Id="rId82" Type="http://schemas.openxmlformats.org/officeDocument/2006/relationships/hyperlink" Target="https://photos.app.goo.gl/Not4Z3sZoWa2rM1s9" TargetMode="External"/><Relationship Id="rId81" Type="http://schemas.openxmlformats.org/officeDocument/2006/relationships/hyperlink" Target="https://photos.google.com/u/1/share/AF1QipOvg8N7lkh9bSRuNFfKF7XfNtpeOlIEG3bs_Un8YsTgcl1V0gM0UI9pcejqm0rD9Q?hl=es&amp;key=MGF1Z2M0REhhVi1SSEQ4VG85N3B2YWhjWG9mNnNR" TargetMode="External"/><Relationship Id="rId73" Type="http://schemas.openxmlformats.org/officeDocument/2006/relationships/hyperlink" Target="https://photos.app.goo.gl/PQQrQfE4hGm6jSU86" TargetMode="External"/><Relationship Id="rId72" Type="http://schemas.openxmlformats.org/officeDocument/2006/relationships/hyperlink" Target="https://photos.app.goo.gl/wo4gwGMQcpstqwSZ7" TargetMode="External"/><Relationship Id="rId75" Type="http://schemas.openxmlformats.org/officeDocument/2006/relationships/hyperlink" Target="https://photos.app.goo.gl/S8Uf6ADeRATd5fkDA" TargetMode="External"/><Relationship Id="rId74" Type="http://schemas.openxmlformats.org/officeDocument/2006/relationships/hyperlink" Target="https://photos.app.goo.gl/5kt5qMWR95e7hGct6" TargetMode="External"/><Relationship Id="rId77" Type="http://schemas.openxmlformats.org/officeDocument/2006/relationships/hyperlink" Target="https://photos.app.goo.gl/cuREDmpg6MZf8hSS9" TargetMode="External"/><Relationship Id="rId76" Type="http://schemas.openxmlformats.org/officeDocument/2006/relationships/hyperlink" Target="https://photos.app.goo.gl/L8drHzcKfcH6K37f8" TargetMode="External"/><Relationship Id="rId79" Type="http://schemas.openxmlformats.org/officeDocument/2006/relationships/hyperlink" Target="https://photos.app.goo.gl/nYRoNs4d96geQ5wF6" TargetMode="External"/><Relationship Id="rId78" Type="http://schemas.openxmlformats.org/officeDocument/2006/relationships/hyperlink" Target="https://photos.app.goo.gl/tsPPRAq8Z52u2RqQA" TargetMode="External"/><Relationship Id="rId71" Type="http://schemas.openxmlformats.org/officeDocument/2006/relationships/hyperlink" Target="https://photos.app.goo.gl/aLgM5xncdjjhSwX38" TargetMode="External"/><Relationship Id="rId70" Type="http://schemas.openxmlformats.org/officeDocument/2006/relationships/hyperlink" Target="https://photos.app.goo.gl/fSaSXTFLumJN5a7h9" TargetMode="External"/><Relationship Id="rId62" Type="http://schemas.openxmlformats.org/officeDocument/2006/relationships/hyperlink" Target="https://photos.app.goo.gl/mHnVe33GeDJVbxN68" TargetMode="External"/><Relationship Id="rId61" Type="http://schemas.openxmlformats.org/officeDocument/2006/relationships/hyperlink" Target="https://photos.app.goo.gl/skRULc1XbMU1RPC27" TargetMode="External"/><Relationship Id="rId64" Type="http://schemas.openxmlformats.org/officeDocument/2006/relationships/hyperlink" Target="https://photos.app.goo.gl/kgGtacyC5ih4t8yu6" TargetMode="External"/><Relationship Id="rId63" Type="http://schemas.openxmlformats.org/officeDocument/2006/relationships/hyperlink" Target="https://photos.app.goo.gl/yRPTt3PCofBbGXZp8" TargetMode="External"/><Relationship Id="rId66" Type="http://schemas.openxmlformats.org/officeDocument/2006/relationships/hyperlink" Target="https://photos.app.goo.gl/jLtrDFZy4WbQ4FwMA" TargetMode="External"/><Relationship Id="rId65" Type="http://schemas.openxmlformats.org/officeDocument/2006/relationships/hyperlink" Target="https://photos.google.com/share/AF1QipOyGipHtovkXKZoZlzlIbwvLLiAwmBH2jVluLO3WwBXirU0F8JC-AA0l15406lO-Q?key=SzV3WkVJUEdNQlBrcFF2akV1WmUzaTBMal9idVhB" TargetMode="External"/><Relationship Id="rId68" Type="http://schemas.openxmlformats.org/officeDocument/2006/relationships/hyperlink" Target="https://photos.app.goo.gl/VtUD7sCEF1dZ3QH37" TargetMode="External"/><Relationship Id="rId67" Type="http://schemas.openxmlformats.org/officeDocument/2006/relationships/hyperlink" Target="https://photos.app.goo.gl/hHao2T54ywh6DF797" TargetMode="External"/><Relationship Id="rId609" Type="http://schemas.openxmlformats.org/officeDocument/2006/relationships/hyperlink" Target="https://photos.app.goo.gl/AqvzBt2FU4rJzBZ77" TargetMode="External"/><Relationship Id="rId608" Type="http://schemas.openxmlformats.org/officeDocument/2006/relationships/hyperlink" Target="https://photos.app.goo.gl/kpDLaMkzB7hdAdtb6" TargetMode="External"/><Relationship Id="rId607" Type="http://schemas.openxmlformats.org/officeDocument/2006/relationships/hyperlink" Target="https://photos.google.com/share/AF1QipOlbIhMdp6Tg-e0dW2HSdMdKDvtMDBFp8PYE_wbDqfYLJFnJ4aB49_D-eysAdzlEQ?key=T0pwTXNvbVQ3QXMzWmttaWZkbDdETU0zenRwTVNB" TargetMode="External"/><Relationship Id="rId60" Type="http://schemas.openxmlformats.org/officeDocument/2006/relationships/hyperlink" Target="https://photos.app.goo.gl/uKBv5dw33Ri8x29v7" TargetMode="External"/><Relationship Id="rId602" Type="http://schemas.openxmlformats.org/officeDocument/2006/relationships/hyperlink" Target="https://photos.app.goo.gl/tq2vYLM9xDjvymGs5" TargetMode="External"/><Relationship Id="rId601" Type="http://schemas.openxmlformats.org/officeDocument/2006/relationships/hyperlink" Target="https://photos.app.goo.gl/2gXD48edVC7ABKfB6" TargetMode="External"/><Relationship Id="rId600" Type="http://schemas.openxmlformats.org/officeDocument/2006/relationships/hyperlink" Target="https://photos.app.goo.gl/i6Kbc3G8hK7pxDdY8" TargetMode="External"/><Relationship Id="rId606" Type="http://schemas.openxmlformats.org/officeDocument/2006/relationships/hyperlink" Target="https://photos.app.goo.gl/tZrDt4WKBk2vyeH99" TargetMode="External"/><Relationship Id="rId605" Type="http://schemas.openxmlformats.org/officeDocument/2006/relationships/hyperlink" Target="https://photos.app.goo.gl/qMuba87kZvLGuv9P6" TargetMode="External"/><Relationship Id="rId604" Type="http://schemas.openxmlformats.org/officeDocument/2006/relationships/hyperlink" Target="https://photos.app.goo.gl/TALfxmABfxfFnYte6" TargetMode="External"/><Relationship Id="rId603" Type="http://schemas.openxmlformats.org/officeDocument/2006/relationships/hyperlink" Target="https://photos.app.goo.gl/aP9DhRuiosR7ri5XA" TargetMode="External"/><Relationship Id="rId69" Type="http://schemas.openxmlformats.org/officeDocument/2006/relationships/hyperlink" Target="https://photos.app.goo.gl/CUG7CxVGsfA3Q99r6" TargetMode="External"/><Relationship Id="rId51" Type="http://schemas.openxmlformats.org/officeDocument/2006/relationships/hyperlink" Target="https://photos.app.goo.gl/cNY2uJopLj7HEEue6" TargetMode="External"/><Relationship Id="rId50" Type="http://schemas.openxmlformats.org/officeDocument/2006/relationships/hyperlink" Target="https://photos.app.goo.gl/miJXk3Vn6KxRUDot5" TargetMode="External"/><Relationship Id="rId53" Type="http://schemas.openxmlformats.org/officeDocument/2006/relationships/hyperlink" Target="https://photos.google.com/share/AF1QipOLLpr5C_uObIpgoE-Uhi_ilxGVAZl79MMy0XbHYpQI2QTQe7WlMZz_Z9xJSEWlvQ?key=MDV0SHFwUVEwa2pfZjcxb2J5dmhfUEVTZG1GX1RR" TargetMode="External"/><Relationship Id="rId52" Type="http://schemas.openxmlformats.org/officeDocument/2006/relationships/hyperlink" Target="https://photos.app.goo.gl/WuMAyVsKhxwLkpPZ8" TargetMode="External"/><Relationship Id="rId55" Type="http://schemas.openxmlformats.org/officeDocument/2006/relationships/hyperlink" Target="https://photos.app.goo.gl/tLjia1GpMQi3sNR78" TargetMode="External"/><Relationship Id="rId54" Type="http://schemas.openxmlformats.org/officeDocument/2006/relationships/hyperlink" Target="https://photos.app.goo.gl/PEB1SFtFhpqpzGDW8" TargetMode="External"/><Relationship Id="rId57" Type="http://schemas.openxmlformats.org/officeDocument/2006/relationships/hyperlink" Target="https://photos.app.goo.gl/1GzKJEyhd5QUDEhe7" TargetMode="External"/><Relationship Id="rId56" Type="http://schemas.openxmlformats.org/officeDocument/2006/relationships/hyperlink" Target="https://photos.app.goo.gl/SZ7rH2tqFytPeZxw5" TargetMode="External"/><Relationship Id="rId59" Type="http://schemas.openxmlformats.org/officeDocument/2006/relationships/hyperlink" Target="https://photos.app.goo.gl/CNHnPeShbGKLhdbf8" TargetMode="External"/><Relationship Id="rId58" Type="http://schemas.openxmlformats.org/officeDocument/2006/relationships/hyperlink" Target="https://photos.google.com/share/AF1QipObINDaOpVLn4u0sk_OrmabNgl-3sCIPjj43V_2tIj9IX0GR2UgiprYKEEtTV_YxA?key=UWtUSExYd1NqQ2VXbmdhb05LSDEwNEdZVm9ZRERR" TargetMode="External"/><Relationship Id="rId590" Type="http://schemas.openxmlformats.org/officeDocument/2006/relationships/hyperlink" Target="https://photos.app.goo.gl/xKNp33EXDgcMb5fg8" TargetMode="External"/><Relationship Id="rId107" Type="http://schemas.openxmlformats.org/officeDocument/2006/relationships/hyperlink" Target="https://photos.google.com/u/1/share/AF1QipPplZBV7tlQYw_pX8G_Pnt4qwAW--se6LialvKIYDv8GNhg8Ai3-LzqaTbudRMJYA?key=eDVMeW9KYmlvSHZoaXRDR3lvcmdmU1FUbFhtdUtn" TargetMode="External"/><Relationship Id="rId228" Type="http://schemas.openxmlformats.org/officeDocument/2006/relationships/hyperlink" Target="https://photos.app.goo.gl/vSUeZWEgBPSyQgTL8" TargetMode="External"/><Relationship Id="rId349" Type="http://schemas.openxmlformats.org/officeDocument/2006/relationships/hyperlink" Target="https://photos.app.goo.gl/EvagycDkqAs9xg3D6" TargetMode="External"/><Relationship Id="rId106" Type="http://schemas.openxmlformats.org/officeDocument/2006/relationships/hyperlink" Target="https://photos.app.goo.gl/Dg3YqKn5tKSrHCrS6" TargetMode="External"/><Relationship Id="rId227" Type="http://schemas.openxmlformats.org/officeDocument/2006/relationships/hyperlink" Target="https://photos.app.goo.gl/6yAnteo6WodTVoMD7" TargetMode="External"/><Relationship Id="rId348" Type="http://schemas.openxmlformats.org/officeDocument/2006/relationships/hyperlink" Target="https://photos.app.goo.gl/gLEdoXzG4vUV36tb9" TargetMode="External"/><Relationship Id="rId469" Type="http://schemas.openxmlformats.org/officeDocument/2006/relationships/hyperlink" Target="https://photos.app.goo.gl/jrxXiNpG3pxujeqf9" TargetMode="External"/><Relationship Id="rId105" Type="http://schemas.openxmlformats.org/officeDocument/2006/relationships/hyperlink" Target="https://photos.app.goo.gl/mNeVYZiUt1zQo2bx6" TargetMode="External"/><Relationship Id="rId226" Type="http://schemas.openxmlformats.org/officeDocument/2006/relationships/hyperlink" Target="https://photos.app.goo.gl/e2dH5UwKbSdUfcbf7" TargetMode="External"/><Relationship Id="rId347" Type="http://schemas.openxmlformats.org/officeDocument/2006/relationships/hyperlink" Target="https://photos.app.goo.gl/jH8CyDeWEkGHBXub8" TargetMode="External"/><Relationship Id="rId468" Type="http://schemas.openxmlformats.org/officeDocument/2006/relationships/hyperlink" Target="https://photos.app.goo.gl/vSPxGUArAYAc45gn8" TargetMode="External"/><Relationship Id="rId589" Type="http://schemas.openxmlformats.org/officeDocument/2006/relationships/hyperlink" Target="https://photos.app.goo.gl/5hVHez48KrVZiWBG9" TargetMode="External"/><Relationship Id="rId104" Type="http://schemas.openxmlformats.org/officeDocument/2006/relationships/hyperlink" Target="https://photos.app.goo.gl/jXc4KpFWFsHfRLaS7" TargetMode="External"/><Relationship Id="rId225" Type="http://schemas.openxmlformats.org/officeDocument/2006/relationships/hyperlink" Target="https://photos.app.goo.gl/Se2rjyd29VEGoztUA" TargetMode="External"/><Relationship Id="rId346" Type="http://schemas.openxmlformats.org/officeDocument/2006/relationships/hyperlink" Target="https://photos.app.goo.gl/mRN3Zvg1BYZswE7a6" TargetMode="External"/><Relationship Id="rId467" Type="http://schemas.openxmlformats.org/officeDocument/2006/relationships/hyperlink" Target="https://photos.app.goo.gl/rSC7CmwTGgbbD8Rf7" TargetMode="External"/><Relationship Id="rId588" Type="http://schemas.openxmlformats.org/officeDocument/2006/relationships/hyperlink" Target="https://photos.app.goo.gl/njhRsdhCaWpEKh3C7" TargetMode="External"/><Relationship Id="rId109" Type="http://schemas.openxmlformats.org/officeDocument/2006/relationships/hyperlink" Target="https://photos.app.goo.gl/dh3PZnvt2V7tRhiG6" TargetMode="External"/><Relationship Id="rId108" Type="http://schemas.openxmlformats.org/officeDocument/2006/relationships/hyperlink" Target="https://photos.google.com/share/AF1QipPOStZNEuG6CxtIeuwShcFiOkR6KtMKNi4j0VrAfCI3dg7UCXrUZjoVEBa-RGG-0Q?key=elVSMVlRczZ3RFlUU2hSY051QzJTTjR6aF91b0pR" TargetMode="External"/><Relationship Id="rId229" Type="http://schemas.openxmlformats.org/officeDocument/2006/relationships/hyperlink" Target="https://photos.app.goo.gl/qo3xXSkiK3etd51v5" TargetMode="External"/><Relationship Id="rId220" Type="http://schemas.openxmlformats.org/officeDocument/2006/relationships/hyperlink" Target="https://photos.app.goo.gl/9J3sKjenW5Bs2XxN9" TargetMode="External"/><Relationship Id="rId341" Type="http://schemas.openxmlformats.org/officeDocument/2006/relationships/hyperlink" Target="https://photos.app.goo.gl/vNy5oQSYGGGH8apN9" TargetMode="External"/><Relationship Id="rId462" Type="http://schemas.openxmlformats.org/officeDocument/2006/relationships/hyperlink" Target="https://photos.app.goo.gl/BCBAhci9AiitbcEi6" TargetMode="External"/><Relationship Id="rId583" Type="http://schemas.openxmlformats.org/officeDocument/2006/relationships/hyperlink" Target="https://photos.app.goo.gl/dFRpeLkKxkXqADSf8" TargetMode="External"/><Relationship Id="rId340" Type="http://schemas.openxmlformats.org/officeDocument/2006/relationships/hyperlink" Target="https://photos.app.goo.gl/3jss4zehsxWf1NM78" TargetMode="External"/><Relationship Id="rId461" Type="http://schemas.openxmlformats.org/officeDocument/2006/relationships/hyperlink" Target="https://photos.app.goo.gl/36B2s4ujcJqaYJ5a8" TargetMode="External"/><Relationship Id="rId582" Type="http://schemas.openxmlformats.org/officeDocument/2006/relationships/hyperlink" Target="https://photos.app.goo.gl/mYoAuthzWF9UmPrF7" TargetMode="External"/><Relationship Id="rId460" Type="http://schemas.openxmlformats.org/officeDocument/2006/relationships/hyperlink" Target="https://photos.app.goo.gl/DztRgWe6qoxF4waQA" TargetMode="External"/><Relationship Id="rId581" Type="http://schemas.openxmlformats.org/officeDocument/2006/relationships/hyperlink" Target="https://photos.app.goo.gl/4MEtp4jzgwQ22gkt9" TargetMode="External"/><Relationship Id="rId580" Type="http://schemas.openxmlformats.org/officeDocument/2006/relationships/hyperlink" Target="https://photos.app.goo.gl/un7tmg3uPkrvrHgF7" TargetMode="External"/><Relationship Id="rId103" Type="http://schemas.openxmlformats.org/officeDocument/2006/relationships/hyperlink" Target="https://photos.app.goo.gl/fXdVSix3NhpZgPWU7" TargetMode="External"/><Relationship Id="rId224" Type="http://schemas.openxmlformats.org/officeDocument/2006/relationships/hyperlink" Target="https://photos.app.goo.gl/5777s2morKceCkBWA" TargetMode="External"/><Relationship Id="rId345" Type="http://schemas.openxmlformats.org/officeDocument/2006/relationships/hyperlink" Target="https://photos.app.goo.gl/HKnphBre4aHR5DWMA" TargetMode="External"/><Relationship Id="rId466" Type="http://schemas.openxmlformats.org/officeDocument/2006/relationships/hyperlink" Target="https://photos.app.goo.gl/YLP6sZdKuYn23Xnr5" TargetMode="External"/><Relationship Id="rId587" Type="http://schemas.openxmlformats.org/officeDocument/2006/relationships/hyperlink" Target="https://photos.app.goo.gl/6jb9FH6SUESxsMnQ7" TargetMode="External"/><Relationship Id="rId102" Type="http://schemas.openxmlformats.org/officeDocument/2006/relationships/hyperlink" Target="https://photos.app.goo.gl/SzhDikLhpUyQXsNo8" TargetMode="External"/><Relationship Id="rId223" Type="http://schemas.openxmlformats.org/officeDocument/2006/relationships/hyperlink" Target="https://photos.app.goo.gl/rgKAFZen8htxrBvW7" TargetMode="External"/><Relationship Id="rId344" Type="http://schemas.openxmlformats.org/officeDocument/2006/relationships/hyperlink" Target="https://photos.app.goo.gl/BqZXJN9aSL9MHNib9" TargetMode="External"/><Relationship Id="rId465" Type="http://schemas.openxmlformats.org/officeDocument/2006/relationships/hyperlink" Target="https://photos.app.goo.gl/D9pupPaSpZULnSti7" TargetMode="External"/><Relationship Id="rId586" Type="http://schemas.openxmlformats.org/officeDocument/2006/relationships/hyperlink" Target="https://photos.app.goo.gl/12KY9ToTsDFbGKdj9" TargetMode="External"/><Relationship Id="rId101" Type="http://schemas.openxmlformats.org/officeDocument/2006/relationships/hyperlink" Target="https://photos.app.goo.gl/eqwoxA5G2yXuJyz59" TargetMode="External"/><Relationship Id="rId222" Type="http://schemas.openxmlformats.org/officeDocument/2006/relationships/hyperlink" Target="https://photos.app.goo.gl/WU262hfaFgyP4zDq6" TargetMode="External"/><Relationship Id="rId343" Type="http://schemas.openxmlformats.org/officeDocument/2006/relationships/hyperlink" Target="https://photos.app.goo.gl/1av9Q27K1uyFxBsu9" TargetMode="External"/><Relationship Id="rId464" Type="http://schemas.openxmlformats.org/officeDocument/2006/relationships/hyperlink" Target="https://photos.app.goo.gl/VfqetJvVQF4wQk5b9" TargetMode="External"/><Relationship Id="rId585" Type="http://schemas.openxmlformats.org/officeDocument/2006/relationships/hyperlink" Target="https://photos.google.com/share/AF1QipMCki-kqHhOmS69tHMmgs1D7ZJ9qNSNHx6SeZXWE8qpo6kAaNUu--AC9PTAVRIfcw?key=cW1UeDNFSk1ldGlUMFYzd0lMOHFPb0tURG96UWRn" TargetMode="External"/><Relationship Id="rId100" Type="http://schemas.openxmlformats.org/officeDocument/2006/relationships/hyperlink" Target="https://photos.app.goo.gl/czFLCHxKvvzGyFuQ8" TargetMode="External"/><Relationship Id="rId221" Type="http://schemas.openxmlformats.org/officeDocument/2006/relationships/hyperlink" Target="https://photos.app.goo.gl/nc6T15SXSgEHYwfR7" TargetMode="External"/><Relationship Id="rId342" Type="http://schemas.openxmlformats.org/officeDocument/2006/relationships/hyperlink" Target="https://photos.app.goo.gl/ee7VaFE2BUMSfEPG9" TargetMode="External"/><Relationship Id="rId463" Type="http://schemas.openxmlformats.org/officeDocument/2006/relationships/hyperlink" Target="https://photos.app.goo.gl/KXt98zinGCgBbjNs9" TargetMode="External"/><Relationship Id="rId584" Type="http://schemas.openxmlformats.org/officeDocument/2006/relationships/hyperlink" Target="https://photos.app.goo.gl/1FF1hSPMdyRTQRrr9" TargetMode="External"/><Relationship Id="rId217" Type="http://schemas.openxmlformats.org/officeDocument/2006/relationships/hyperlink" Target="https://photos.app.goo.gl/owGzaGHSr5R6KcJu6" TargetMode="External"/><Relationship Id="rId338" Type="http://schemas.openxmlformats.org/officeDocument/2006/relationships/hyperlink" Target="https://photos.app.goo.gl/AeM1B5QBFYuk39Yo6" TargetMode="External"/><Relationship Id="rId459" Type="http://schemas.openxmlformats.org/officeDocument/2006/relationships/hyperlink" Target="https://photos.app.goo.gl/Fxg3PPhvJxxX3MiN6" TargetMode="External"/><Relationship Id="rId216" Type="http://schemas.openxmlformats.org/officeDocument/2006/relationships/hyperlink" Target="https://photos.app.goo.gl/mraBH3mGL4N5yz4Z7" TargetMode="External"/><Relationship Id="rId337" Type="http://schemas.openxmlformats.org/officeDocument/2006/relationships/hyperlink" Target="https://photos.app.goo.gl/L5BSgcdVkH3fhgNG6" TargetMode="External"/><Relationship Id="rId458" Type="http://schemas.openxmlformats.org/officeDocument/2006/relationships/hyperlink" Target="https://photos.app.goo.gl/ajb14WJLuippEKqn7" TargetMode="External"/><Relationship Id="rId579" Type="http://schemas.openxmlformats.org/officeDocument/2006/relationships/hyperlink" Target="https://photos.app.goo.gl/9NMMQpnA1siP9d3o9" TargetMode="External"/><Relationship Id="rId215" Type="http://schemas.openxmlformats.org/officeDocument/2006/relationships/hyperlink" Target="https://photos.app.goo.gl/sU8yUpy657T5Uuat7" TargetMode="External"/><Relationship Id="rId336" Type="http://schemas.openxmlformats.org/officeDocument/2006/relationships/hyperlink" Target="https://photos.app.goo.gl/Azh1WjR5Jm3iMkYo7" TargetMode="External"/><Relationship Id="rId457" Type="http://schemas.openxmlformats.org/officeDocument/2006/relationships/hyperlink" Target="https://photos.app.goo.gl/jHjiVbdun4VCW4KM8" TargetMode="External"/><Relationship Id="rId578" Type="http://schemas.openxmlformats.org/officeDocument/2006/relationships/hyperlink" Target="https://photos.app.goo.gl/fCUjtWstEHSnQnfFA" TargetMode="External"/><Relationship Id="rId214" Type="http://schemas.openxmlformats.org/officeDocument/2006/relationships/hyperlink" Target="https://photos.app.goo.gl/5uKvQGabQK1sdntd7" TargetMode="External"/><Relationship Id="rId335" Type="http://schemas.openxmlformats.org/officeDocument/2006/relationships/hyperlink" Target="https://photos.app.goo.gl/mc6LBnRPgok8F19D6" TargetMode="External"/><Relationship Id="rId456" Type="http://schemas.openxmlformats.org/officeDocument/2006/relationships/hyperlink" Target="https://photos.app.goo.gl/cYE8YcdXwVsfKhY56" TargetMode="External"/><Relationship Id="rId577" Type="http://schemas.openxmlformats.org/officeDocument/2006/relationships/hyperlink" Target="https://photos.google.com/share/AF1QipNEpFEP1oRCUi8AR4dtRsQepqsNvK-5RZKzI22VnP9hOBzzogOWr2XKZcJ5lLHA0g?key=U1g1M2pySy1HZ1ZBM0ZBV0ZwY1hmbnU3TVpoY2NR" TargetMode="External"/><Relationship Id="rId219" Type="http://schemas.openxmlformats.org/officeDocument/2006/relationships/hyperlink" Target="https://photos.app.goo.gl/7eAR7XjbR28wwFx29" TargetMode="External"/><Relationship Id="rId218" Type="http://schemas.openxmlformats.org/officeDocument/2006/relationships/hyperlink" Target="https://photos.app.goo.gl/xmsXw3KkGxxyEzxd9" TargetMode="External"/><Relationship Id="rId339" Type="http://schemas.openxmlformats.org/officeDocument/2006/relationships/hyperlink" Target="https://photos.app.goo.gl/uVDDREVywH7S5yTH6" TargetMode="External"/><Relationship Id="rId330" Type="http://schemas.openxmlformats.org/officeDocument/2006/relationships/hyperlink" Target="https://photos.app.goo.gl/NQyW7AuUhgiyAFjq6" TargetMode="External"/><Relationship Id="rId451" Type="http://schemas.openxmlformats.org/officeDocument/2006/relationships/hyperlink" Target="https://photos.app.goo.gl/hZmj175wYShJufoy7" TargetMode="External"/><Relationship Id="rId572" Type="http://schemas.openxmlformats.org/officeDocument/2006/relationships/hyperlink" Target="https://photos.google.com/share/AF1QipM9WK3Vefu04P64VpfK89wpean8nsVzoaxkoHmLHbVrlKzOWyIhLGZdL7ELTVgwIg?key=ZFp5alhMZ0NpYXdiQVZQZk55b0hmaklZWG53QjhR" TargetMode="External"/><Relationship Id="rId450" Type="http://schemas.openxmlformats.org/officeDocument/2006/relationships/hyperlink" Target="https://photos.app.goo.gl/HHJ2VAt6v6kDqcgd6" TargetMode="External"/><Relationship Id="rId571" Type="http://schemas.openxmlformats.org/officeDocument/2006/relationships/hyperlink" Target="https://photos.google.com/share/AF1QipNBYZl568W0BulMRyi7fIEbzszsOekhW5KhcdmOmU780fcukaiJvs-TqfwCXZ_7wg?key=aEhBLXFLVHBsbGlMaVZBQWhPTUJtQTBEeUpSdTR3" TargetMode="External"/><Relationship Id="rId570" Type="http://schemas.openxmlformats.org/officeDocument/2006/relationships/hyperlink" Target="https://photos.app.goo.gl/pK6Aq8vtG9S6ecwY8" TargetMode="External"/><Relationship Id="rId213" Type="http://schemas.openxmlformats.org/officeDocument/2006/relationships/hyperlink" Target="https://photos.app.goo.gl/ELzNVeSarC7Dikh37" TargetMode="External"/><Relationship Id="rId334" Type="http://schemas.openxmlformats.org/officeDocument/2006/relationships/hyperlink" Target="https://photos.app.goo.gl/Fy3PtKv7NhV62qa38" TargetMode="External"/><Relationship Id="rId455" Type="http://schemas.openxmlformats.org/officeDocument/2006/relationships/hyperlink" Target="https://photos.app.goo.gl/FvFBiH8kQWb99SmK8" TargetMode="External"/><Relationship Id="rId576" Type="http://schemas.openxmlformats.org/officeDocument/2006/relationships/hyperlink" Target="https://photos.app.goo.gl/KnRzKZfAeUUk4PH5A" TargetMode="External"/><Relationship Id="rId212" Type="http://schemas.openxmlformats.org/officeDocument/2006/relationships/hyperlink" Target="https://photos.app.goo.gl/CzXXn36mVpKn7ut49" TargetMode="External"/><Relationship Id="rId333" Type="http://schemas.openxmlformats.org/officeDocument/2006/relationships/hyperlink" Target="https://photos.app.goo.gl/poD7FwNEo6o4EAy87" TargetMode="External"/><Relationship Id="rId454" Type="http://schemas.openxmlformats.org/officeDocument/2006/relationships/hyperlink" Target="https://photos.app.goo.gl/DXahLWJjjFh9RAMEA" TargetMode="External"/><Relationship Id="rId575" Type="http://schemas.openxmlformats.org/officeDocument/2006/relationships/hyperlink" Target="https://photos.app.goo.gl/3XfG2hwg8YG5k6Xf6" TargetMode="External"/><Relationship Id="rId211" Type="http://schemas.openxmlformats.org/officeDocument/2006/relationships/hyperlink" Target="https://photos.app.goo.gl/ySdUsbd2wtMtgKm2A" TargetMode="External"/><Relationship Id="rId332" Type="http://schemas.openxmlformats.org/officeDocument/2006/relationships/hyperlink" Target="https://photos.app.goo.gl/zpb2nqo4ztrDVUYp6" TargetMode="External"/><Relationship Id="rId453" Type="http://schemas.openxmlformats.org/officeDocument/2006/relationships/hyperlink" Target="https://photos.app.goo.gl/iNDB7oPPEH4k9SzXA" TargetMode="External"/><Relationship Id="rId574" Type="http://schemas.openxmlformats.org/officeDocument/2006/relationships/hyperlink" Target="https://photos.app.goo.gl/Ytu55xhsKD1QXyvXA" TargetMode="External"/><Relationship Id="rId210" Type="http://schemas.openxmlformats.org/officeDocument/2006/relationships/hyperlink" Target="https://photos.app.goo.gl/KjHnDQGCE5zVvSbv5" TargetMode="External"/><Relationship Id="rId331" Type="http://schemas.openxmlformats.org/officeDocument/2006/relationships/hyperlink" Target="https://photos.app.goo.gl/bc2kFfEwFAphJbPQA" TargetMode="External"/><Relationship Id="rId452" Type="http://schemas.openxmlformats.org/officeDocument/2006/relationships/hyperlink" Target="https://photos.app.goo.gl/HisFuKoFCNxSUf9j7" TargetMode="External"/><Relationship Id="rId573" Type="http://schemas.openxmlformats.org/officeDocument/2006/relationships/hyperlink" Target="https://photos.app.goo.gl/U9oiHuzLdw3BCKPH9" TargetMode="External"/><Relationship Id="rId370" Type="http://schemas.openxmlformats.org/officeDocument/2006/relationships/hyperlink" Target="https://photos.app.goo.gl/fxMk4EJWemSXEDo17" TargetMode="External"/><Relationship Id="rId491" Type="http://schemas.openxmlformats.org/officeDocument/2006/relationships/hyperlink" Target="https://photos.app.goo.gl/oAjsUBP74T4MBJqc8" TargetMode="External"/><Relationship Id="rId490" Type="http://schemas.openxmlformats.org/officeDocument/2006/relationships/hyperlink" Target="https://photos.app.goo.gl/afBWUhTLbzp77CzV8" TargetMode="External"/><Relationship Id="rId129" Type="http://schemas.openxmlformats.org/officeDocument/2006/relationships/hyperlink" Target="https://photos.app.goo.gl/Rja6bXNXgpaoxmYb9" TargetMode="External"/><Relationship Id="rId128" Type="http://schemas.openxmlformats.org/officeDocument/2006/relationships/hyperlink" Target="https://photos.app.goo.gl/oafXpjLDta1kzw5f8" TargetMode="External"/><Relationship Id="rId249" Type="http://schemas.openxmlformats.org/officeDocument/2006/relationships/hyperlink" Target="https://photos.app.goo.gl/8mUQLUfcDcZ9dtnS9" TargetMode="External"/><Relationship Id="rId127" Type="http://schemas.openxmlformats.org/officeDocument/2006/relationships/hyperlink" Target="https://photos.app.goo.gl/XSfP1B9HpzcWnAM76" TargetMode="External"/><Relationship Id="rId248" Type="http://schemas.openxmlformats.org/officeDocument/2006/relationships/hyperlink" Target="https://photos.app.goo.gl/iHhwkVwwHrLyJ1Pm9" TargetMode="External"/><Relationship Id="rId369" Type="http://schemas.openxmlformats.org/officeDocument/2006/relationships/hyperlink" Target="https://photos.app.goo.gl/PFsZXgV9Q4m72GdCA" TargetMode="External"/><Relationship Id="rId126" Type="http://schemas.openxmlformats.org/officeDocument/2006/relationships/hyperlink" Target="https://photos.app.goo.gl/xE1da8SGjaV9SjBK9" TargetMode="External"/><Relationship Id="rId247" Type="http://schemas.openxmlformats.org/officeDocument/2006/relationships/hyperlink" Target="https://photos.app.goo.gl/9F5WjutUKUm9tWKf6" TargetMode="External"/><Relationship Id="rId368" Type="http://schemas.openxmlformats.org/officeDocument/2006/relationships/hyperlink" Target="https://photos.app.goo.gl/9biqo69BcA9Mky9s8" TargetMode="External"/><Relationship Id="rId489" Type="http://schemas.openxmlformats.org/officeDocument/2006/relationships/hyperlink" Target="https://photos.app.goo.gl/4qt895zHFFmmPvyH8" TargetMode="External"/><Relationship Id="rId121" Type="http://schemas.openxmlformats.org/officeDocument/2006/relationships/hyperlink" Target="https://photos.app.goo.gl/PrDymhxqaYYZaaJk7" TargetMode="External"/><Relationship Id="rId242" Type="http://schemas.openxmlformats.org/officeDocument/2006/relationships/hyperlink" Target="https://photos.app.goo.gl/kSFG3RuKevpxqgcq6" TargetMode="External"/><Relationship Id="rId363" Type="http://schemas.openxmlformats.org/officeDocument/2006/relationships/hyperlink" Target="https://photos.app.goo.gl/zaTZAVoCVZ4X5XzK7" TargetMode="External"/><Relationship Id="rId484" Type="http://schemas.openxmlformats.org/officeDocument/2006/relationships/hyperlink" Target="https://photos.app.goo.gl/NVQAenVXbQK4nrom7" TargetMode="External"/><Relationship Id="rId120" Type="http://schemas.openxmlformats.org/officeDocument/2006/relationships/hyperlink" Target="https://photos.app.goo.gl/WNdrZzAQMpApFRVp9" TargetMode="External"/><Relationship Id="rId241" Type="http://schemas.openxmlformats.org/officeDocument/2006/relationships/hyperlink" Target="https://photos.app.goo.gl/VAdNDoM3VY9Lrx4HA" TargetMode="External"/><Relationship Id="rId362" Type="http://schemas.openxmlformats.org/officeDocument/2006/relationships/hyperlink" Target="https://photos.app.goo.gl/ysWMgThXbNGE6WoD6" TargetMode="External"/><Relationship Id="rId483" Type="http://schemas.openxmlformats.org/officeDocument/2006/relationships/hyperlink" Target="https://photos.app.goo.gl/TeEkWp5fcKGSTtG56" TargetMode="External"/><Relationship Id="rId240" Type="http://schemas.openxmlformats.org/officeDocument/2006/relationships/hyperlink" Target="https://photos.app.goo.gl/owsU4TNseikSa9Nv7" TargetMode="External"/><Relationship Id="rId361" Type="http://schemas.openxmlformats.org/officeDocument/2006/relationships/hyperlink" Target="https://photos.app.goo.gl/PJiDDxt3uRVzmRit9" TargetMode="External"/><Relationship Id="rId482" Type="http://schemas.openxmlformats.org/officeDocument/2006/relationships/hyperlink" Target="https://photos.app.goo.gl/AbJuTKj3fW2Xg6eJA" TargetMode="External"/><Relationship Id="rId360" Type="http://schemas.openxmlformats.org/officeDocument/2006/relationships/hyperlink" Target="https://photos.app.goo.gl/MPa4btevbfPaadLr6" TargetMode="External"/><Relationship Id="rId481" Type="http://schemas.openxmlformats.org/officeDocument/2006/relationships/hyperlink" Target="https://photos.app.goo.gl/r3Y6C8P15gTpzdxu6" TargetMode="External"/><Relationship Id="rId125" Type="http://schemas.openxmlformats.org/officeDocument/2006/relationships/hyperlink" Target="https://photos.app.goo.gl/sZPKjz5wPWVdh9VJA" TargetMode="External"/><Relationship Id="rId246" Type="http://schemas.openxmlformats.org/officeDocument/2006/relationships/hyperlink" Target="https://photos.app.goo.gl/f2zJ2ip7i6WaDPdU7" TargetMode="External"/><Relationship Id="rId367" Type="http://schemas.openxmlformats.org/officeDocument/2006/relationships/hyperlink" Target="https://photos.app.goo.gl/A3SQb3ATB3Ad5EKJ6" TargetMode="External"/><Relationship Id="rId488" Type="http://schemas.openxmlformats.org/officeDocument/2006/relationships/hyperlink" Target="https://photos.app.goo.gl/2BGJJ57apZdM5MSh9" TargetMode="External"/><Relationship Id="rId124" Type="http://schemas.openxmlformats.org/officeDocument/2006/relationships/hyperlink" Target="https://photos.app.goo.gl/BkUpN8wByc67DDLL9" TargetMode="External"/><Relationship Id="rId245" Type="http://schemas.openxmlformats.org/officeDocument/2006/relationships/hyperlink" Target="https://photos.app.goo.gl/TXX6msddF9pfSCax5" TargetMode="External"/><Relationship Id="rId366" Type="http://schemas.openxmlformats.org/officeDocument/2006/relationships/hyperlink" Target="https://photos.app.goo.gl/xhzBLta3P2yzEBaH9" TargetMode="External"/><Relationship Id="rId487" Type="http://schemas.openxmlformats.org/officeDocument/2006/relationships/hyperlink" Target="https://photos.app.goo.gl/LY5D1w3GnL9P88pMA" TargetMode="External"/><Relationship Id="rId123" Type="http://schemas.openxmlformats.org/officeDocument/2006/relationships/hyperlink" Target="https://photos.app.goo.gl/qZk18RKu6DkZiSfD8" TargetMode="External"/><Relationship Id="rId244" Type="http://schemas.openxmlformats.org/officeDocument/2006/relationships/hyperlink" Target="https://photos.app.goo.gl/PRBw3zRyA7QBUFid6" TargetMode="External"/><Relationship Id="rId365" Type="http://schemas.openxmlformats.org/officeDocument/2006/relationships/hyperlink" Target="https://photos.app.goo.gl/GQ5kFHFinAS5muQj9" TargetMode="External"/><Relationship Id="rId486" Type="http://schemas.openxmlformats.org/officeDocument/2006/relationships/hyperlink" Target="https://photos.app.goo.gl/a1eeEv2bixPSA7V86" TargetMode="External"/><Relationship Id="rId122" Type="http://schemas.openxmlformats.org/officeDocument/2006/relationships/hyperlink" Target="https://photos.app.goo.gl/NhzQws14c29sLT7QA" TargetMode="External"/><Relationship Id="rId243" Type="http://schemas.openxmlformats.org/officeDocument/2006/relationships/hyperlink" Target="https://photos.app.goo.gl/L8srihkG8Su13syv7" TargetMode="External"/><Relationship Id="rId364" Type="http://schemas.openxmlformats.org/officeDocument/2006/relationships/hyperlink" Target="https://photos.app.goo.gl/ahyQLpCvzygYoqKB6" TargetMode="External"/><Relationship Id="rId485" Type="http://schemas.openxmlformats.org/officeDocument/2006/relationships/hyperlink" Target="https://photos.app.goo.gl/dLnCJLRYG6ye8hP67" TargetMode="External"/><Relationship Id="rId95" Type="http://schemas.openxmlformats.org/officeDocument/2006/relationships/hyperlink" Target="https://photos.app.goo.gl/dNAiX3WRmirPqqvd7" TargetMode="External"/><Relationship Id="rId94" Type="http://schemas.openxmlformats.org/officeDocument/2006/relationships/hyperlink" Target="https://photos.app.goo.gl/7jbhq9Tg72KahKfW7" TargetMode="External"/><Relationship Id="rId97" Type="http://schemas.openxmlformats.org/officeDocument/2006/relationships/hyperlink" Target="https://photos.app.goo.gl/JDkeTECSy1nRr4pU8" TargetMode="External"/><Relationship Id="rId96" Type="http://schemas.openxmlformats.org/officeDocument/2006/relationships/hyperlink" Target="https://photos.app.goo.gl/XRqAq5D1AC3q8ro2A" TargetMode="External"/><Relationship Id="rId99" Type="http://schemas.openxmlformats.org/officeDocument/2006/relationships/hyperlink" Target="https://photos.app.goo.gl/cbqCbRAE4rzpqz6fA" TargetMode="External"/><Relationship Id="rId480" Type="http://schemas.openxmlformats.org/officeDocument/2006/relationships/hyperlink" Target="https://photos.app.goo.gl/s8i6ZffZnzUjo6No7" TargetMode="External"/><Relationship Id="rId98" Type="http://schemas.openxmlformats.org/officeDocument/2006/relationships/hyperlink" Target="https://photos.app.goo.gl/Yf9uXsSJoRsJf2P7A" TargetMode="External"/><Relationship Id="rId91" Type="http://schemas.openxmlformats.org/officeDocument/2006/relationships/hyperlink" Target="https://photos.app.goo.gl/HxuR49LomqaA5NBj8" TargetMode="External"/><Relationship Id="rId90" Type="http://schemas.openxmlformats.org/officeDocument/2006/relationships/hyperlink" Target="https://photos.app.goo.gl/4cUYKAMhLmq3tfGh8" TargetMode="External"/><Relationship Id="rId93" Type="http://schemas.openxmlformats.org/officeDocument/2006/relationships/hyperlink" Target="https://photos.app.goo.gl/bAQQxb6AF8xpDcyw7" TargetMode="External"/><Relationship Id="rId92" Type="http://schemas.openxmlformats.org/officeDocument/2006/relationships/hyperlink" Target="https://photos.app.goo.gl/j6Lk14rJCLt3XwiZ7" TargetMode="External"/><Relationship Id="rId118" Type="http://schemas.openxmlformats.org/officeDocument/2006/relationships/hyperlink" Target="https://photos.app.goo.gl/F5WuKdw9XdcZ8r2c9" TargetMode="External"/><Relationship Id="rId239" Type="http://schemas.openxmlformats.org/officeDocument/2006/relationships/hyperlink" Target="https://photos.app.goo.gl/oqB8DHSvi96CbmFX8" TargetMode="External"/><Relationship Id="rId117" Type="http://schemas.openxmlformats.org/officeDocument/2006/relationships/hyperlink" Target="https://photos.app.goo.gl/JniekKRCHtykWEdv8" TargetMode="External"/><Relationship Id="rId238" Type="http://schemas.openxmlformats.org/officeDocument/2006/relationships/hyperlink" Target="https://photos.app.goo.gl/ckewZJV6TJD1E9vS8" TargetMode="External"/><Relationship Id="rId359" Type="http://schemas.openxmlformats.org/officeDocument/2006/relationships/hyperlink" Target="https://photos.app.goo.gl/JhvqXFWdUTdMnoAW7" TargetMode="External"/><Relationship Id="rId116" Type="http://schemas.openxmlformats.org/officeDocument/2006/relationships/hyperlink" Target="https://photos.app.goo.gl/TbsW1hAt4KSnHdCx7" TargetMode="External"/><Relationship Id="rId237" Type="http://schemas.openxmlformats.org/officeDocument/2006/relationships/hyperlink" Target="https://photos.app.goo.gl/2hEdEiHSJQdkBDuu7" TargetMode="External"/><Relationship Id="rId358" Type="http://schemas.openxmlformats.org/officeDocument/2006/relationships/hyperlink" Target="https://photos.app.goo.gl/V74K3sZVNmBT32Tq6" TargetMode="External"/><Relationship Id="rId479" Type="http://schemas.openxmlformats.org/officeDocument/2006/relationships/hyperlink" Target="https://photos.app.goo.gl/ZpQJgsz3LWEtW3yD9" TargetMode="External"/><Relationship Id="rId115" Type="http://schemas.openxmlformats.org/officeDocument/2006/relationships/hyperlink" Target="https://photos.app.goo.gl/rC3dGgGd2am9sQwL7" TargetMode="External"/><Relationship Id="rId236" Type="http://schemas.openxmlformats.org/officeDocument/2006/relationships/hyperlink" Target="https://photos.app.goo.gl/BkL4mwwUDw4pAhix7" TargetMode="External"/><Relationship Id="rId357" Type="http://schemas.openxmlformats.org/officeDocument/2006/relationships/hyperlink" Target="https://photos.app.goo.gl/mEcLAecYoWVLnmwy6" TargetMode="External"/><Relationship Id="rId478" Type="http://schemas.openxmlformats.org/officeDocument/2006/relationships/hyperlink" Target="https://photos.app.goo.gl/tQpTcgxtVHfqDVeT9" TargetMode="External"/><Relationship Id="rId599" Type="http://schemas.openxmlformats.org/officeDocument/2006/relationships/hyperlink" Target="https://photos.app.goo.gl/5FucuZSJddDN96Jk8" TargetMode="External"/><Relationship Id="rId119" Type="http://schemas.openxmlformats.org/officeDocument/2006/relationships/hyperlink" Target="https://photos.app.goo.gl/bJHT3AF8mPSqURfP7" TargetMode="External"/><Relationship Id="rId110" Type="http://schemas.openxmlformats.org/officeDocument/2006/relationships/hyperlink" Target="https://photos.app.goo.gl/b13pYTpZtLNZTUBz8" TargetMode="External"/><Relationship Id="rId231" Type="http://schemas.openxmlformats.org/officeDocument/2006/relationships/hyperlink" Target="https://photos.app.goo.gl/3vWinmhjTfJUDdf59" TargetMode="External"/><Relationship Id="rId352" Type="http://schemas.openxmlformats.org/officeDocument/2006/relationships/hyperlink" Target="https://photos.app.goo.gl/4uCBjTqz5kNy2b4S7" TargetMode="External"/><Relationship Id="rId473" Type="http://schemas.openxmlformats.org/officeDocument/2006/relationships/hyperlink" Target="https://photos.app.goo.gl/biYSz7id2n835AgL9" TargetMode="External"/><Relationship Id="rId594" Type="http://schemas.openxmlformats.org/officeDocument/2006/relationships/hyperlink" Target="https://photos.app.goo.gl/a8MxrCvZWDAr1c1R6" TargetMode="External"/><Relationship Id="rId230" Type="http://schemas.openxmlformats.org/officeDocument/2006/relationships/hyperlink" Target="https://photos.app.goo.gl/ht8dcbUxpU3pKCLm7" TargetMode="External"/><Relationship Id="rId351" Type="http://schemas.openxmlformats.org/officeDocument/2006/relationships/hyperlink" Target="https://photos.app.goo.gl/CYwBCg4v5KkRYbtL8" TargetMode="External"/><Relationship Id="rId472" Type="http://schemas.openxmlformats.org/officeDocument/2006/relationships/hyperlink" Target="https://photos.app.goo.gl/pnyj4GbU9BxE1H1fA" TargetMode="External"/><Relationship Id="rId593" Type="http://schemas.openxmlformats.org/officeDocument/2006/relationships/hyperlink" Target="https://photos.app.goo.gl/KqtSRVhNXziKMU729" TargetMode="External"/><Relationship Id="rId350" Type="http://schemas.openxmlformats.org/officeDocument/2006/relationships/hyperlink" Target="https://photos.app.goo.gl/LRFrXnRPDwqZ2cbq7" TargetMode="External"/><Relationship Id="rId471" Type="http://schemas.openxmlformats.org/officeDocument/2006/relationships/hyperlink" Target="https://photos.app.goo.gl/XUZRoXr72gQH86sv6" TargetMode="External"/><Relationship Id="rId592" Type="http://schemas.openxmlformats.org/officeDocument/2006/relationships/hyperlink" Target="https://photos.app.goo.gl/ZnHwzqG9DE7wfV3A8" TargetMode="External"/><Relationship Id="rId470" Type="http://schemas.openxmlformats.org/officeDocument/2006/relationships/hyperlink" Target="https://photos.app.goo.gl/Uf3iVeSVFhUS4wtg7" TargetMode="External"/><Relationship Id="rId591" Type="http://schemas.openxmlformats.org/officeDocument/2006/relationships/hyperlink" Target="https://photos.app.goo.gl/e4kdGUcPMGtZrknc9" TargetMode="External"/><Relationship Id="rId114" Type="http://schemas.openxmlformats.org/officeDocument/2006/relationships/hyperlink" Target="https://photos.app.goo.gl/jv1k8dtgsJpjaN249" TargetMode="External"/><Relationship Id="rId235" Type="http://schemas.openxmlformats.org/officeDocument/2006/relationships/hyperlink" Target="https://photos.app.goo.gl/d6umWHuT9TKaYn6G6" TargetMode="External"/><Relationship Id="rId356" Type="http://schemas.openxmlformats.org/officeDocument/2006/relationships/hyperlink" Target="https://photos.app.goo.gl/WLWanwmGkTNRgeKQA" TargetMode="External"/><Relationship Id="rId477" Type="http://schemas.openxmlformats.org/officeDocument/2006/relationships/hyperlink" Target="https://photos.app.goo.gl/6Yo64MFgdfZ2zmvX8" TargetMode="External"/><Relationship Id="rId598" Type="http://schemas.openxmlformats.org/officeDocument/2006/relationships/hyperlink" Target="https://photos.app.goo.gl/WTMnnt5EHKpRZXqs5" TargetMode="External"/><Relationship Id="rId113" Type="http://schemas.openxmlformats.org/officeDocument/2006/relationships/hyperlink" Target="https://photos.google.com/u/1/share/AF1QipPyLgpSp_aA6U2gyr1nfKCxs899mQLJoyaOtxqcw92s90SWyVzzTSAo_LZWHd3bDQ?hl=es&amp;key=NkhJemRVOTM3bVBIeUx6Q0UwQ1dDZWM3QUdxaFdR" TargetMode="External"/><Relationship Id="rId234" Type="http://schemas.openxmlformats.org/officeDocument/2006/relationships/hyperlink" Target="https://photos.app.goo.gl/inHTqNdUHAsmNeYx7" TargetMode="External"/><Relationship Id="rId355" Type="http://schemas.openxmlformats.org/officeDocument/2006/relationships/hyperlink" Target="https://photos.app.goo.gl/QtC2cYpZZrsJQPW99" TargetMode="External"/><Relationship Id="rId476" Type="http://schemas.openxmlformats.org/officeDocument/2006/relationships/hyperlink" Target="https://photos.app.goo.gl/mpBGsqnwuFcExAtv6" TargetMode="External"/><Relationship Id="rId597" Type="http://schemas.openxmlformats.org/officeDocument/2006/relationships/hyperlink" Target="https://photos.app.goo.gl/zZKCPkV8CR3TGAYdA" TargetMode="External"/><Relationship Id="rId112" Type="http://schemas.openxmlformats.org/officeDocument/2006/relationships/hyperlink" Target="https://photos.app.goo.gl/WKFvoFk82uTdBDbWA" TargetMode="External"/><Relationship Id="rId233" Type="http://schemas.openxmlformats.org/officeDocument/2006/relationships/hyperlink" Target="https://photos.app.goo.gl/FkB5WTBKrrf5XScDA" TargetMode="External"/><Relationship Id="rId354" Type="http://schemas.openxmlformats.org/officeDocument/2006/relationships/hyperlink" Target="https://photos.app.goo.gl/eWoiHMc88eBYzJvy9" TargetMode="External"/><Relationship Id="rId475" Type="http://schemas.openxmlformats.org/officeDocument/2006/relationships/hyperlink" Target="https://photos.app.goo.gl/uDJsjAwMg4rfawhX6" TargetMode="External"/><Relationship Id="rId596" Type="http://schemas.openxmlformats.org/officeDocument/2006/relationships/hyperlink" Target="https://photos.google.com/share/AF1QipNj9gQB3R7dHrBxXeYYTc4TzRjpwNlpinw1PJzYNjhbEp_3Sq5i-dAUOWPgNnMnnQ?key=WUtKcXdFMlFZbkpzYUxNS2MtSklEekZoOV9tSVJn" TargetMode="External"/><Relationship Id="rId111" Type="http://schemas.openxmlformats.org/officeDocument/2006/relationships/hyperlink" Target="https://photos.app.goo.gl/dQNeJQ3AvrrcLDDk9" TargetMode="External"/><Relationship Id="rId232" Type="http://schemas.openxmlformats.org/officeDocument/2006/relationships/hyperlink" Target="https://photos.app.goo.gl/SUhnDFn299R9Lub4A" TargetMode="External"/><Relationship Id="rId353" Type="http://schemas.openxmlformats.org/officeDocument/2006/relationships/hyperlink" Target="https://photos.app.goo.gl/RuCvacpnZu5MVcj99" TargetMode="External"/><Relationship Id="rId474" Type="http://schemas.openxmlformats.org/officeDocument/2006/relationships/hyperlink" Target="https://photos.app.goo.gl/SzEpXK1jg1PhM3j77" TargetMode="External"/><Relationship Id="rId595" Type="http://schemas.openxmlformats.org/officeDocument/2006/relationships/hyperlink" Target="https://photos.app.goo.gl/dL22s1zpCPWB7fd58" TargetMode="External"/><Relationship Id="rId305" Type="http://schemas.openxmlformats.org/officeDocument/2006/relationships/hyperlink" Target="https://photos.app.goo.gl/WdAWd8AiTcs3vUBW8" TargetMode="External"/><Relationship Id="rId426" Type="http://schemas.openxmlformats.org/officeDocument/2006/relationships/hyperlink" Target="https://photos.google.com/share/AF1QipMxRbLn18ARCuKLHzsTNYH20pWqQ-JZ5ZSRfGmc68JP3QNRSEWBl_5TARakThrRpQ?key=aUVGRnlVdUNLNHB4ZVVGaTZYM084MmdTcEhjWXZB" TargetMode="External"/><Relationship Id="rId547" Type="http://schemas.openxmlformats.org/officeDocument/2006/relationships/hyperlink" Target="https://photos.app.goo.gl/JZHneDJaLzbiLSCp6" TargetMode="External"/><Relationship Id="rId304" Type="http://schemas.openxmlformats.org/officeDocument/2006/relationships/hyperlink" Target="https://photos.app.goo.gl/UmFuRays1ga56oJn6" TargetMode="External"/><Relationship Id="rId425" Type="http://schemas.openxmlformats.org/officeDocument/2006/relationships/hyperlink" Target="https://photos.app.goo.gl/mnuQgn6hP4QVvEgJ9" TargetMode="External"/><Relationship Id="rId546" Type="http://schemas.openxmlformats.org/officeDocument/2006/relationships/hyperlink" Target="https://photos.app.goo.gl/UUj2kB1qf16Ntnq29" TargetMode="External"/><Relationship Id="rId303" Type="http://schemas.openxmlformats.org/officeDocument/2006/relationships/hyperlink" Target="https://photos.app.goo.gl/UbcxE6AvCGuuiQRY6" TargetMode="External"/><Relationship Id="rId424" Type="http://schemas.openxmlformats.org/officeDocument/2006/relationships/hyperlink" Target="https://photos.app.goo.gl/oQHfUM752EZxS1Sz8" TargetMode="External"/><Relationship Id="rId545" Type="http://schemas.openxmlformats.org/officeDocument/2006/relationships/hyperlink" Target="https://photos.app.goo.gl/mVSizfb2eoTurWL98" TargetMode="External"/><Relationship Id="rId302" Type="http://schemas.openxmlformats.org/officeDocument/2006/relationships/hyperlink" Target="https://photos.app.goo.gl/Mu3iRgvhvVT3xnk17" TargetMode="External"/><Relationship Id="rId423" Type="http://schemas.openxmlformats.org/officeDocument/2006/relationships/hyperlink" Target="https://photos.google.com/share/AF1QipPGkZKWkSGObmevnDBYoaV7pLZTwPU9KupE5O7rcAOw8hOgtCXPguBF51hw5oxDuA?key=bXRNZ09jdnpZVW96bWJDQ1AtdmNPOVkxWUI4U0ln" TargetMode="External"/><Relationship Id="rId544" Type="http://schemas.openxmlformats.org/officeDocument/2006/relationships/hyperlink" Target="https://photos.app.goo.gl/72H2wdBCTawGYt146" TargetMode="External"/><Relationship Id="rId309" Type="http://schemas.openxmlformats.org/officeDocument/2006/relationships/hyperlink" Target="https://photos.app.goo.gl/LYfAd5DWSnyKvNYY9" TargetMode="External"/><Relationship Id="rId308" Type="http://schemas.openxmlformats.org/officeDocument/2006/relationships/hyperlink" Target="https://photos.app.goo.gl/SpZULHC9pfFEULiSA" TargetMode="External"/><Relationship Id="rId429" Type="http://schemas.openxmlformats.org/officeDocument/2006/relationships/hyperlink" Target="https://photos.app.goo.gl/j1UXrnCDoK6W4u4aA" TargetMode="External"/><Relationship Id="rId307" Type="http://schemas.openxmlformats.org/officeDocument/2006/relationships/hyperlink" Target="https://photos.app.goo.gl/osbC6Z91wDPytfqm8" TargetMode="External"/><Relationship Id="rId428" Type="http://schemas.openxmlformats.org/officeDocument/2006/relationships/hyperlink" Target="https://photos.app.goo.gl/F3guTcvx6pwEsaAt8" TargetMode="External"/><Relationship Id="rId549" Type="http://schemas.openxmlformats.org/officeDocument/2006/relationships/hyperlink" Target="https://photos.app.goo.gl/5KEJeyCXb3ZD2FZLA" TargetMode="External"/><Relationship Id="rId306" Type="http://schemas.openxmlformats.org/officeDocument/2006/relationships/hyperlink" Target="https://photos.app.goo.gl/sn3Y2bei6UCPRzBKA" TargetMode="External"/><Relationship Id="rId427" Type="http://schemas.openxmlformats.org/officeDocument/2006/relationships/hyperlink" Target="https://photos.app.goo.gl/4yHeBhknKmxi1qJL9" TargetMode="External"/><Relationship Id="rId548" Type="http://schemas.openxmlformats.org/officeDocument/2006/relationships/hyperlink" Target="https://photos.app.goo.gl/ZfH886ex7mpYhbkD6" TargetMode="External"/><Relationship Id="rId301" Type="http://schemas.openxmlformats.org/officeDocument/2006/relationships/hyperlink" Target="https://photos.app.goo.gl/pxVobcSFy1uBe4M57" TargetMode="External"/><Relationship Id="rId422" Type="http://schemas.openxmlformats.org/officeDocument/2006/relationships/hyperlink" Target="https://photos.app.goo.gl/1dopEgTf3Sn61hmc8" TargetMode="External"/><Relationship Id="rId543" Type="http://schemas.openxmlformats.org/officeDocument/2006/relationships/hyperlink" Target="https://photos.app.goo.gl/f9GmpRHz5kMUvsHLA" TargetMode="External"/><Relationship Id="rId300" Type="http://schemas.openxmlformats.org/officeDocument/2006/relationships/hyperlink" Target="https://photos.app.goo.gl/LFBQojRRi5gPRiA16" TargetMode="External"/><Relationship Id="rId421" Type="http://schemas.openxmlformats.org/officeDocument/2006/relationships/hyperlink" Target="https://photos.app.goo.gl/Gvq8MmZARb9gwYjv7" TargetMode="External"/><Relationship Id="rId542" Type="http://schemas.openxmlformats.org/officeDocument/2006/relationships/hyperlink" Target="https://photos.app.goo.gl/bkRdLgVC9jhnzMtaA" TargetMode="External"/><Relationship Id="rId420" Type="http://schemas.openxmlformats.org/officeDocument/2006/relationships/hyperlink" Target="https://photos.app.goo.gl/EDPt3CqUUVJWKKfG6" TargetMode="External"/><Relationship Id="rId541" Type="http://schemas.openxmlformats.org/officeDocument/2006/relationships/hyperlink" Target="https://photos.app.goo.gl/EZqs531DNDK9xoEp9" TargetMode="External"/><Relationship Id="rId540" Type="http://schemas.openxmlformats.org/officeDocument/2006/relationships/hyperlink" Target="https://photos.app.goo.gl/hAvzwwsg7oHc6C58A" TargetMode="External"/><Relationship Id="rId415" Type="http://schemas.openxmlformats.org/officeDocument/2006/relationships/hyperlink" Target="https://photos.app.goo.gl/vMbm7Vtpg9hwsvFy7" TargetMode="External"/><Relationship Id="rId536" Type="http://schemas.openxmlformats.org/officeDocument/2006/relationships/hyperlink" Target="https://photos.app.goo.gl/mgnjoNSbpQmhwobf8" TargetMode="External"/><Relationship Id="rId414" Type="http://schemas.openxmlformats.org/officeDocument/2006/relationships/hyperlink" Target="https://photos.app.goo.gl/CzJLePgPxZDjnzri9" TargetMode="External"/><Relationship Id="rId535" Type="http://schemas.openxmlformats.org/officeDocument/2006/relationships/hyperlink" Target="https://photos.app.goo.gl/UBVv7bHxP4w5esw4A" TargetMode="External"/><Relationship Id="rId413" Type="http://schemas.openxmlformats.org/officeDocument/2006/relationships/hyperlink" Target="https://photos.app.goo.gl/nik972QMrmXmE8MXA" TargetMode="External"/><Relationship Id="rId534" Type="http://schemas.openxmlformats.org/officeDocument/2006/relationships/hyperlink" Target="https://photos.app.goo.gl/D51FAtTcqjMxCmM37" TargetMode="External"/><Relationship Id="rId412" Type="http://schemas.openxmlformats.org/officeDocument/2006/relationships/hyperlink" Target="https://photos.app.goo.gl/eBaLFPXDVzRtiyxE7" TargetMode="External"/><Relationship Id="rId533" Type="http://schemas.openxmlformats.org/officeDocument/2006/relationships/hyperlink" Target="https://photos.app.goo.gl/eUPN9wVY9MHVnJWr6" TargetMode="External"/><Relationship Id="rId419" Type="http://schemas.openxmlformats.org/officeDocument/2006/relationships/hyperlink" Target="https://photos.app.goo.gl/fvusjk1XVdi67Cen9" TargetMode="External"/><Relationship Id="rId418" Type="http://schemas.openxmlformats.org/officeDocument/2006/relationships/hyperlink" Target="https://photos.app.goo.gl/upL9KbdeM1GpG72v8" TargetMode="External"/><Relationship Id="rId539" Type="http://schemas.openxmlformats.org/officeDocument/2006/relationships/hyperlink" Target="https://photos.app.goo.gl/wnAKnpL8RqvjYTzi7" TargetMode="External"/><Relationship Id="rId417" Type="http://schemas.openxmlformats.org/officeDocument/2006/relationships/hyperlink" Target="https://photos.app.goo.gl/sqAqc52tEwqT2aiq7" TargetMode="External"/><Relationship Id="rId538" Type="http://schemas.openxmlformats.org/officeDocument/2006/relationships/hyperlink" Target="https://photos.app.goo.gl/9Rp7f5LJ5p7UsUfPA" TargetMode="External"/><Relationship Id="rId416" Type="http://schemas.openxmlformats.org/officeDocument/2006/relationships/hyperlink" Target="https://photos.app.goo.gl/C677pfwrSc9vyt8H6" TargetMode="External"/><Relationship Id="rId537" Type="http://schemas.openxmlformats.org/officeDocument/2006/relationships/hyperlink" Target="https://photos.app.goo.gl/JjoGmPa4S5W1AjTZ7" TargetMode="External"/><Relationship Id="rId411" Type="http://schemas.openxmlformats.org/officeDocument/2006/relationships/hyperlink" Target="https://photos.app.goo.gl/ARpvx3VEBahn8W9o9" TargetMode="External"/><Relationship Id="rId532" Type="http://schemas.openxmlformats.org/officeDocument/2006/relationships/hyperlink" Target="https://photos.app.goo.gl/Q1vJXT2VSsEycUp1A" TargetMode="External"/><Relationship Id="rId410" Type="http://schemas.openxmlformats.org/officeDocument/2006/relationships/hyperlink" Target="https://photos.app.goo.gl/RnWeUb8aMHGa5icy9" TargetMode="External"/><Relationship Id="rId531" Type="http://schemas.openxmlformats.org/officeDocument/2006/relationships/hyperlink" Target="https://photos.app.goo.gl/nysNqnNqxr4Q1FMNA" TargetMode="External"/><Relationship Id="rId530" Type="http://schemas.openxmlformats.org/officeDocument/2006/relationships/hyperlink" Target="https://photos.app.goo.gl/h4fpCUagexBVamzA6" TargetMode="External"/><Relationship Id="rId206" Type="http://schemas.openxmlformats.org/officeDocument/2006/relationships/hyperlink" Target="https://photos.app.goo.gl/34KGoMpwwxVPeV8A9" TargetMode="External"/><Relationship Id="rId327" Type="http://schemas.openxmlformats.org/officeDocument/2006/relationships/hyperlink" Target="https://photos.app.goo.gl/bhWunPMWWqUnr4QG6" TargetMode="External"/><Relationship Id="rId448" Type="http://schemas.openxmlformats.org/officeDocument/2006/relationships/hyperlink" Target="https://photos.app.goo.gl/zuTdKA9eTzQqJSVcA" TargetMode="External"/><Relationship Id="rId569" Type="http://schemas.openxmlformats.org/officeDocument/2006/relationships/hyperlink" Target="https://photos.google.com/share/AF1QipORIwe-P8Sm7jF2Uf8J7Rq1Sso17zR3wYwgQBJb-ypJWH85wX5VGNlNHy9tjCPMpw?key=c25rc2EtU2ljcUVNYXB0Y3FUdkM3a2FMNFctYnFn" TargetMode="External"/><Relationship Id="rId205" Type="http://schemas.openxmlformats.org/officeDocument/2006/relationships/hyperlink" Target="https://photos.app.goo.gl/d2Cduyf1nQgpWCid8" TargetMode="External"/><Relationship Id="rId326" Type="http://schemas.openxmlformats.org/officeDocument/2006/relationships/hyperlink" Target="https://photos.app.goo.gl/yfn8LE3oXGJLy9RL6" TargetMode="External"/><Relationship Id="rId447" Type="http://schemas.openxmlformats.org/officeDocument/2006/relationships/hyperlink" Target="https://photos.app.goo.gl/BTnK4JJmK8CPEyfX6" TargetMode="External"/><Relationship Id="rId568" Type="http://schemas.openxmlformats.org/officeDocument/2006/relationships/hyperlink" Target="https://photos.app.goo.gl/jPNKhE5hUjMX2cdV8" TargetMode="External"/><Relationship Id="rId204" Type="http://schemas.openxmlformats.org/officeDocument/2006/relationships/hyperlink" Target="https://photos.app.goo.gl/wvHaHgL6N1Dcynpd8" TargetMode="External"/><Relationship Id="rId325" Type="http://schemas.openxmlformats.org/officeDocument/2006/relationships/hyperlink" Target="https://photos.app.goo.gl/kaaW9UEMg2BTzxtGA" TargetMode="External"/><Relationship Id="rId446" Type="http://schemas.openxmlformats.org/officeDocument/2006/relationships/hyperlink" Target="https://photos.app.goo.gl/axWfdjCJk2gSxK17A" TargetMode="External"/><Relationship Id="rId567" Type="http://schemas.openxmlformats.org/officeDocument/2006/relationships/hyperlink" Target="https://photos.app.goo.gl/FYXa5AF8q5wZhKuU7" TargetMode="External"/><Relationship Id="rId203" Type="http://schemas.openxmlformats.org/officeDocument/2006/relationships/hyperlink" Target="https://photos.app.goo.gl/PCiusEGX6c1wuiw3A" TargetMode="External"/><Relationship Id="rId324" Type="http://schemas.openxmlformats.org/officeDocument/2006/relationships/hyperlink" Target="https://photos.app.goo.gl/3cb68uzbydtyUFWu7" TargetMode="External"/><Relationship Id="rId445" Type="http://schemas.openxmlformats.org/officeDocument/2006/relationships/hyperlink" Target="https://photos.app.goo.gl/mkyskaTZKxBGUb9W6" TargetMode="External"/><Relationship Id="rId566" Type="http://schemas.openxmlformats.org/officeDocument/2006/relationships/hyperlink" Target="https://photos.app.goo.gl/Lhf57pPdrWeQ1XFQ8" TargetMode="External"/><Relationship Id="rId209" Type="http://schemas.openxmlformats.org/officeDocument/2006/relationships/hyperlink" Target="https://photos.app.goo.gl/1RmDVwjwVstzpCz47" TargetMode="External"/><Relationship Id="rId208" Type="http://schemas.openxmlformats.org/officeDocument/2006/relationships/hyperlink" Target="https://photos.app.goo.gl/LPYqsyhFpfUEwXjq7" TargetMode="External"/><Relationship Id="rId329" Type="http://schemas.openxmlformats.org/officeDocument/2006/relationships/hyperlink" Target="https://photos.app.goo.gl/nQaamarytbj5jMaz9" TargetMode="External"/><Relationship Id="rId207" Type="http://schemas.openxmlformats.org/officeDocument/2006/relationships/hyperlink" Target="https://photos.app.goo.gl/bcbHHWkeWFovPXhZ8" TargetMode="External"/><Relationship Id="rId328" Type="http://schemas.openxmlformats.org/officeDocument/2006/relationships/hyperlink" Target="https://photos.app.goo.gl/cA4CjjEshY1Qqo48A" TargetMode="External"/><Relationship Id="rId449" Type="http://schemas.openxmlformats.org/officeDocument/2006/relationships/hyperlink" Target="https://photos.app.goo.gl/PNki4Yrxnk1ptCVC7" TargetMode="External"/><Relationship Id="rId440" Type="http://schemas.openxmlformats.org/officeDocument/2006/relationships/hyperlink" Target="https://photos.app.goo.gl/DiAs87km1yarPKgB8" TargetMode="External"/><Relationship Id="rId561" Type="http://schemas.openxmlformats.org/officeDocument/2006/relationships/hyperlink" Target="https://photos.app.goo.gl/NzyccJx5jNa9GivNA" TargetMode="External"/><Relationship Id="rId560" Type="http://schemas.openxmlformats.org/officeDocument/2006/relationships/hyperlink" Target="https://photos.app.goo.gl/HjEmqZ8fKohKdfX48" TargetMode="External"/><Relationship Id="rId202" Type="http://schemas.openxmlformats.org/officeDocument/2006/relationships/hyperlink" Target="https://photos.app.goo.gl/itEMcReEDAkVKjWD6" TargetMode="External"/><Relationship Id="rId323" Type="http://schemas.openxmlformats.org/officeDocument/2006/relationships/hyperlink" Target="https://photos.app.goo.gl/hx8eC7J6bJFm1Wbq9" TargetMode="External"/><Relationship Id="rId444" Type="http://schemas.openxmlformats.org/officeDocument/2006/relationships/hyperlink" Target="https://photos.app.goo.gl/ToJQa25Ce93oFiMy6" TargetMode="External"/><Relationship Id="rId565" Type="http://schemas.openxmlformats.org/officeDocument/2006/relationships/hyperlink" Target="https://photos.app.goo.gl/k59q58MapnTHJnEf7" TargetMode="External"/><Relationship Id="rId201" Type="http://schemas.openxmlformats.org/officeDocument/2006/relationships/hyperlink" Target="https://photos.app.goo.gl/waqGKDfe1Bea7d8GA" TargetMode="External"/><Relationship Id="rId322" Type="http://schemas.openxmlformats.org/officeDocument/2006/relationships/hyperlink" Target="https://photos.app.goo.gl/FJgEfD1w36cGS8V97" TargetMode="External"/><Relationship Id="rId443" Type="http://schemas.openxmlformats.org/officeDocument/2006/relationships/hyperlink" Target="https://photos.app.goo.gl/Khyb8MMU89mFKBiY8" TargetMode="External"/><Relationship Id="rId564" Type="http://schemas.openxmlformats.org/officeDocument/2006/relationships/hyperlink" Target="https://photos.app.goo.gl/oMnwLdC2z7WcB9ccA" TargetMode="External"/><Relationship Id="rId200" Type="http://schemas.openxmlformats.org/officeDocument/2006/relationships/hyperlink" Target="https://photos.app.goo.gl/nJDWkAWQZzoqhfSN9" TargetMode="External"/><Relationship Id="rId321" Type="http://schemas.openxmlformats.org/officeDocument/2006/relationships/hyperlink" Target="https://photos.app.goo.gl/p18pjb9SvzcQDgcA6" TargetMode="External"/><Relationship Id="rId442" Type="http://schemas.openxmlformats.org/officeDocument/2006/relationships/hyperlink" Target="https://photos.app.goo.gl/epKaWddRaULSt7W46" TargetMode="External"/><Relationship Id="rId563" Type="http://schemas.openxmlformats.org/officeDocument/2006/relationships/hyperlink" Target="https://photos.app.goo.gl/Get7ktL2HqP4Fm8r5" TargetMode="External"/><Relationship Id="rId320" Type="http://schemas.openxmlformats.org/officeDocument/2006/relationships/hyperlink" Target="https://photos.app.goo.gl/a46dNFdp214C8gqD9" TargetMode="External"/><Relationship Id="rId441" Type="http://schemas.openxmlformats.org/officeDocument/2006/relationships/hyperlink" Target="https://photos.app.goo.gl/zWRM34wPStAnKZKL8" TargetMode="External"/><Relationship Id="rId562" Type="http://schemas.openxmlformats.org/officeDocument/2006/relationships/hyperlink" Target="https://photos.app.goo.gl/4frYnrGmqX19e3iJ8" TargetMode="External"/><Relationship Id="rId316" Type="http://schemas.openxmlformats.org/officeDocument/2006/relationships/hyperlink" Target="https://photos.app.goo.gl/DYePtSJW9WC7tCoB9" TargetMode="External"/><Relationship Id="rId437" Type="http://schemas.openxmlformats.org/officeDocument/2006/relationships/hyperlink" Target="https://photos.app.goo.gl/DiiN9hCkNm56KKLz6" TargetMode="External"/><Relationship Id="rId558" Type="http://schemas.openxmlformats.org/officeDocument/2006/relationships/hyperlink" Target="https://photos.app.goo.gl/jBGDxx9SMdQEBNyw6" TargetMode="External"/><Relationship Id="rId315" Type="http://schemas.openxmlformats.org/officeDocument/2006/relationships/hyperlink" Target="https://photos.app.goo.gl/HwZVRRfpX7Hy37dh8" TargetMode="External"/><Relationship Id="rId436" Type="http://schemas.openxmlformats.org/officeDocument/2006/relationships/hyperlink" Target="https://photos.app.goo.gl/QH9vpDHkR8Lm5qUn7" TargetMode="External"/><Relationship Id="rId557" Type="http://schemas.openxmlformats.org/officeDocument/2006/relationships/hyperlink" Target="https://photos.app.goo.gl/rGBKCnmGaXp2ujDBA" TargetMode="External"/><Relationship Id="rId314" Type="http://schemas.openxmlformats.org/officeDocument/2006/relationships/hyperlink" Target="https://photos.app.goo.gl/bpqZrxB7PWs7kjrJ8" TargetMode="External"/><Relationship Id="rId435" Type="http://schemas.openxmlformats.org/officeDocument/2006/relationships/hyperlink" Target="https://photos.app.goo.gl/HE5KKb8q6sLYm8FH9" TargetMode="External"/><Relationship Id="rId556" Type="http://schemas.openxmlformats.org/officeDocument/2006/relationships/hyperlink" Target="https://photos.app.goo.gl/6AjwWEzgvCYGMMCH8" TargetMode="External"/><Relationship Id="rId313" Type="http://schemas.openxmlformats.org/officeDocument/2006/relationships/hyperlink" Target="https://photos.app.goo.gl/1prXaXf8KNjgUonWA" TargetMode="External"/><Relationship Id="rId434" Type="http://schemas.openxmlformats.org/officeDocument/2006/relationships/hyperlink" Target="https://photos.app.goo.gl/FPXwmQ4UszZDH8sp8" TargetMode="External"/><Relationship Id="rId555" Type="http://schemas.openxmlformats.org/officeDocument/2006/relationships/hyperlink" Target="https://photos.app.goo.gl/TEH31bjm2js2SXaPA" TargetMode="External"/><Relationship Id="rId319" Type="http://schemas.openxmlformats.org/officeDocument/2006/relationships/hyperlink" Target="https://photos.app.goo.gl/o66era5EkT5Epe8e7" TargetMode="External"/><Relationship Id="rId318" Type="http://schemas.openxmlformats.org/officeDocument/2006/relationships/hyperlink" Target="https://photos.app.goo.gl/p18pjb9SvzcQDgcA6" TargetMode="External"/><Relationship Id="rId439" Type="http://schemas.openxmlformats.org/officeDocument/2006/relationships/hyperlink" Target="https://photos.app.goo.gl/HQXtXtWDUfzL5dfU9" TargetMode="External"/><Relationship Id="rId317" Type="http://schemas.openxmlformats.org/officeDocument/2006/relationships/hyperlink" Target="https://photos.app.goo.gl/CQs95GKg41VjFQCt7" TargetMode="External"/><Relationship Id="rId438" Type="http://schemas.openxmlformats.org/officeDocument/2006/relationships/hyperlink" Target="https://photos.app.goo.gl/qkZ5yPYAgAAXLRoNA" TargetMode="External"/><Relationship Id="rId559" Type="http://schemas.openxmlformats.org/officeDocument/2006/relationships/hyperlink" Target="https://photos.app.goo.gl/rszTRTzwuVtyFsAo6" TargetMode="External"/><Relationship Id="rId550" Type="http://schemas.openxmlformats.org/officeDocument/2006/relationships/hyperlink" Target="https://photos.app.goo.gl/zREVwSjnKfzV6V2R6" TargetMode="External"/><Relationship Id="rId312" Type="http://schemas.openxmlformats.org/officeDocument/2006/relationships/hyperlink" Target="https://photos.app.goo.gl/EhE6jUHgc2zhCMUk7" TargetMode="External"/><Relationship Id="rId433" Type="http://schemas.openxmlformats.org/officeDocument/2006/relationships/hyperlink" Target="https://photos.app.goo.gl/axDgxi9tthBSne2y9" TargetMode="External"/><Relationship Id="rId554" Type="http://schemas.openxmlformats.org/officeDocument/2006/relationships/hyperlink" Target="https://photos.app.goo.gl/4LQpwnya9d5STWK87" TargetMode="External"/><Relationship Id="rId311" Type="http://schemas.openxmlformats.org/officeDocument/2006/relationships/hyperlink" Target="https://photos.app.goo.gl/Mfw1xoU1p7hW17sk9" TargetMode="External"/><Relationship Id="rId432" Type="http://schemas.openxmlformats.org/officeDocument/2006/relationships/hyperlink" Target="https://photos.app.goo.gl/cbZJCZnFXtSCUa3B9" TargetMode="External"/><Relationship Id="rId553" Type="http://schemas.openxmlformats.org/officeDocument/2006/relationships/hyperlink" Target="https://photos.app.goo.gl/uzevigAd6A69vD6W7" TargetMode="External"/><Relationship Id="rId310" Type="http://schemas.openxmlformats.org/officeDocument/2006/relationships/hyperlink" Target="https://photos.app.goo.gl/8dy5mWuModDURvc86" TargetMode="External"/><Relationship Id="rId431" Type="http://schemas.openxmlformats.org/officeDocument/2006/relationships/hyperlink" Target="https://photos.app.goo.gl/7L8bNbq7scFyE3rS8" TargetMode="External"/><Relationship Id="rId552" Type="http://schemas.openxmlformats.org/officeDocument/2006/relationships/hyperlink" Target="https://photos.app.goo.gl/BD5yvaVo4RWica2j6" TargetMode="External"/><Relationship Id="rId430" Type="http://schemas.openxmlformats.org/officeDocument/2006/relationships/hyperlink" Target="https://photos.app.goo.gl/8HWZomEcScsEKEnn6" TargetMode="External"/><Relationship Id="rId551" Type="http://schemas.openxmlformats.org/officeDocument/2006/relationships/hyperlink" Target="https://photos.app.goo.gl/ZQyhgLu5vLbovvgw5"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photos.app.goo.gl/VxwSeYHE54Ueunbw5" TargetMode="External"/><Relationship Id="rId194" Type="http://schemas.openxmlformats.org/officeDocument/2006/relationships/hyperlink" Target="https://photos.app.goo.gl/gj6DoSUnMU6s2xGcA" TargetMode="External"/><Relationship Id="rId193" Type="http://schemas.openxmlformats.org/officeDocument/2006/relationships/hyperlink" Target="https://photos.app.goo.gl/MMe6ZeHZwstyXCG47" TargetMode="External"/><Relationship Id="rId192" Type="http://schemas.openxmlformats.org/officeDocument/2006/relationships/hyperlink" Target="https://photos.app.goo.gl/Mtzzb9N9VEqysBFj7" TargetMode="External"/><Relationship Id="rId191" Type="http://schemas.openxmlformats.org/officeDocument/2006/relationships/hyperlink" Target="https://photos.app.goo.gl/bAczRcQfFX7g8u278" TargetMode="External"/><Relationship Id="rId187" Type="http://schemas.openxmlformats.org/officeDocument/2006/relationships/hyperlink" Target="https://photos.app.goo.gl/64jTAg9mFfnyHEZC7" TargetMode="External"/><Relationship Id="rId186" Type="http://schemas.openxmlformats.org/officeDocument/2006/relationships/hyperlink" Target="https://photos.app.goo.gl/hiRm76yv8jvBmDiN7" TargetMode="External"/><Relationship Id="rId185" Type="http://schemas.openxmlformats.org/officeDocument/2006/relationships/hyperlink" Target="https://photos.app.goo.gl/fZEY5XBVDgsSeZp56" TargetMode="External"/><Relationship Id="rId184" Type="http://schemas.openxmlformats.org/officeDocument/2006/relationships/hyperlink" Target="https://photos.app.goo.gl/qXPqVdgAcwrYsdtx7" TargetMode="External"/><Relationship Id="rId189" Type="http://schemas.openxmlformats.org/officeDocument/2006/relationships/hyperlink" Target="https://photos.app.goo.gl/gme4VCTHed6G9ifj7" TargetMode="External"/><Relationship Id="rId188" Type="http://schemas.openxmlformats.org/officeDocument/2006/relationships/hyperlink" Target="https://photos.app.goo.gl/f6dDW8aL4N78sD9g9" TargetMode="External"/><Relationship Id="rId183" Type="http://schemas.openxmlformats.org/officeDocument/2006/relationships/hyperlink" Target="https://photos.app.goo.gl/ruJPeGsSVvPYyKJu5" TargetMode="External"/><Relationship Id="rId182" Type="http://schemas.openxmlformats.org/officeDocument/2006/relationships/hyperlink" Target="https://lh3.googleusercontent.com/pw/AP1GczOswPI3OxB6JJ8mAgzDEWBNO1ZZX6-kmMLffEMd-JqFrZRZpV_88--tSPOx1ggAuL2k11US9X16RcAD9leIviFHy-bDj7ZpYAIV1WhDqxOOXJ2i4Y8R=w1200" TargetMode="External"/><Relationship Id="rId181" Type="http://schemas.openxmlformats.org/officeDocument/2006/relationships/hyperlink" Target="https://photos.app.goo.gl/Tt7X9adzhe44Utuq6" TargetMode="External"/><Relationship Id="rId180" Type="http://schemas.openxmlformats.org/officeDocument/2006/relationships/hyperlink" Target="https://photos.app.goo.gl/gNex8n22RsMi5yzb8" TargetMode="External"/><Relationship Id="rId176" Type="http://schemas.openxmlformats.org/officeDocument/2006/relationships/hyperlink" Target="https://photos.app.goo.gl/cC9aZJ55RB7Am7Bu5" TargetMode="External"/><Relationship Id="rId297" Type="http://schemas.openxmlformats.org/officeDocument/2006/relationships/hyperlink" Target="https://photos.app.goo.gl/VAdNDoM3VY9Lrx4HA" TargetMode="External"/><Relationship Id="rId175" Type="http://schemas.openxmlformats.org/officeDocument/2006/relationships/hyperlink" Target="https://photos.app.goo.gl/WCUyAfmNQRqwh68T7" TargetMode="External"/><Relationship Id="rId296" Type="http://schemas.openxmlformats.org/officeDocument/2006/relationships/hyperlink" Target="https://photos.app.goo.gl/owsU4TNseikSa9Nv7" TargetMode="External"/><Relationship Id="rId174" Type="http://schemas.openxmlformats.org/officeDocument/2006/relationships/hyperlink" Target="https://photos.app.goo.gl/mQPnUaNpv1YV5nfD6" TargetMode="External"/><Relationship Id="rId295" Type="http://schemas.openxmlformats.org/officeDocument/2006/relationships/hyperlink" Target="https://photos.app.goo.gl/oqB8DHSvi96CbmFX8" TargetMode="External"/><Relationship Id="rId173" Type="http://schemas.openxmlformats.org/officeDocument/2006/relationships/hyperlink" Target="https://photos.app.goo.gl/CK4neNebqKpGsjQf6" TargetMode="External"/><Relationship Id="rId294" Type="http://schemas.openxmlformats.org/officeDocument/2006/relationships/hyperlink" Target="https://photos.app.goo.gl/ckewZJV6TJD1E9vS8" TargetMode="External"/><Relationship Id="rId179" Type="http://schemas.openxmlformats.org/officeDocument/2006/relationships/hyperlink" Target="https://photos.app.goo.gl/CFQLhcF7pU2xbk8a6" TargetMode="External"/><Relationship Id="rId178" Type="http://schemas.openxmlformats.org/officeDocument/2006/relationships/hyperlink" Target="https://photos.app.goo.gl/s9ncjsvBiaEK98Ky8" TargetMode="External"/><Relationship Id="rId299" Type="http://schemas.openxmlformats.org/officeDocument/2006/relationships/hyperlink" Target="https://photos.app.goo.gl/L8srihkG8Su13syv7" TargetMode="External"/><Relationship Id="rId177" Type="http://schemas.openxmlformats.org/officeDocument/2006/relationships/hyperlink" Target="https://photos.app.goo.gl/hKdnQwxBZAtLSPHe7" TargetMode="External"/><Relationship Id="rId298" Type="http://schemas.openxmlformats.org/officeDocument/2006/relationships/hyperlink" Target="https://photos.app.goo.gl/kSFG3RuKevpxqgcq6" TargetMode="External"/><Relationship Id="rId198" Type="http://schemas.openxmlformats.org/officeDocument/2006/relationships/hyperlink" Target="https://photos.app.goo.gl/oVfv6e3xxzP41VXa8" TargetMode="External"/><Relationship Id="rId197" Type="http://schemas.openxmlformats.org/officeDocument/2006/relationships/hyperlink" Target="https://photos.app.goo.gl/ubxdDrrUZ6C8nMqu8" TargetMode="External"/><Relationship Id="rId196" Type="http://schemas.openxmlformats.org/officeDocument/2006/relationships/hyperlink" Target="https://photos.app.goo.gl/Fer6Nhs7P1Txjodg6" TargetMode="External"/><Relationship Id="rId195" Type="http://schemas.openxmlformats.org/officeDocument/2006/relationships/hyperlink" Target="https://photos.app.goo.gl/DjZqiejUSF8iRayE8" TargetMode="External"/><Relationship Id="rId199" Type="http://schemas.openxmlformats.org/officeDocument/2006/relationships/hyperlink" Target="https://photos.app.goo.gl/NyeXW5wEAex4DmTj9" TargetMode="External"/><Relationship Id="rId150" Type="http://schemas.openxmlformats.org/officeDocument/2006/relationships/hyperlink" Target="https://photos.app.goo.gl/EXdgV8kqmidR21ccA" TargetMode="External"/><Relationship Id="rId271" Type="http://schemas.openxmlformats.org/officeDocument/2006/relationships/hyperlink" Target="https://photos.app.goo.gl/xmsXw3KkGxxyEzxd9" TargetMode="External"/><Relationship Id="rId392" Type="http://schemas.openxmlformats.org/officeDocument/2006/relationships/hyperlink" Target="https://photos.app.goo.gl/UmFuRays1ga56oJn6" TargetMode="External"/><Relationship Id="rId270" Type="http://schemas.openxmlformats.org/officeDocument/2006/relationships/hyperlink" Target="https://photos.app.goo.gl/owGzaGHSr5R6KcJu6" TargetMode="External"/><Relationship Id="rId391" Type="http://schemas.openxmlformats.org/officeDocument/2006/relationships/hyperlink" Target="https://photos.app.goo.gl/UbcxE6AvCGuuiQRY6" TargetMode="External"/><Relationship Id="rId390" Type="http://schemas.openxmlformats.org/officeDocument/2006/relationships/hyperlink" Target="https://photos.app.goo.gl/Mu3iRgvhvVT3xnk17"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photos.app.goo.gl/Wd5GoiVJigCeixvh9" TargetMode="External"/><Relationship Id="rId4" Type="http://schemas.openxmlformats.org/officeDocument/2006/relationships/hyperlink" Target="https://photos.app.goo.gl/FsXuh4zRiHtfxLRy8" TargetMode="External"/><Relationship Id="rId148" Type="http://schemas.openxmlformats.org/officeDocument/2006/relationships/hyperlink" Target="https://photos.app.goo.gl/ZFyJeFicYFetFs4R9" TargetMode="External"/><Relationship Id="rId269" Type="http://schemas.openxmlformats.org/officeDocument/2006/relationships/hyperlink" Target="https://photos.app.goo.gl/mraBH3mGL4N5yz4Z7" TargetMode="External"/><Relationship Id="rId9" Type="http://schemas.openxmlformats.org/officeDocument/2006/relationships/hyperlink" Target="https://photos.app.goo.gl/CDtswANPv8kzF49EA" TargetMode="External"/><Relationship Id="rId143" Type="http://schemas.openxmlformats.org/officeDocument/2006/relationships/hyperlink" Target="https://photos.app.goo.gl/oafXpjLDta1kzw5f8" TargetMode="External"/><Relationship Id="rId264" Type="http://schemas.openxmlformats.org/officeDocument/2006/relationships/hyperlink" Target="https://photos.app.goo.gl/ySdUsbd2wtMtgKm2A" TargetMode="External"/><Relationship Id="rId385" Type="http://schemas.openxmlformats.org/officeDocument/2006/relationships/hyperlink" Target="https://photos.app.goo.gl/x4GZiibDV9W4M8pc7" TargetMode="External"/><Relationship Id="rId142" Type="http://schemas.openxmlformats.org/officeDocument/2006/relationships/hyperlink" Target="https://photos.app.goo.gl/XSfP1B9HpzcWnAM76" TargetMode="External"/><Relationship Id="rId263" Type="http://schemas.openxmlformats.org/officeDocument/2006/relationships/hyperlink" Target="https://photos.app.goo.gl/YMQdDMhXVhQt2m2u6" TargetMode="External"/><Relationship Id="rId384" Type="http://schemas.openxmlformats.org/officeDocument/2006/relationships/hyperlink" Target="https://photos.app.goo.gl/8LdXEDn39kshfydx8" TargetMode="External"/><Relationship Id="rId141" Type="http://schemas.openxmlformats.org/officeDocument/2006/relationships/hyperlink" Target="https://photos.app.goo.gl/xE1da8SGjaV9SjBK9" TargetMode="External"/><Relationship Id="rId262" Type="http://schemas.openxmlformats.org/officeDocument/2006/relationships/hyperlink" Target="https://lh3.googleusercontent.com/pw/AP1GczPd0vs2rVbQ0GU1JHzbx_9j6caWQlOl8LVR_GLlAoW8lM375xsURUl8JGM4Fntwf_ZFnLZU5BbKKVFG4391MCn55u8-By2o7eajppg6mOK-nNHbSmrX=w1200" TargetMode="External"/><Relationship Id="rId383" Type="http://schemas.openxmlformats.org/officeDocument/2006/relationships/hyperlink" Target="https://photos.app.goo.gl/yYtTWHVVYB8y8saTA" TargetMode="External"/><Relationship Id="rId140" Type="http://schemas.openxmlformats.org/officeDocument/2006/relationships/hyperlink" Target="https://photos.app.goo.gl/sZPKjz5wPWVdh9VJA" TargetMode="External"/><Relationship Id="rId261" Type="http://schemas.openxmlformats.org/officeDocument/2006/relationships/hyperlink" Target="https://photos.app.goo.gl/KjHnDQGCE5zVvSbv5" TargetMode="External"/><Relationship Id="rId382" Type="http://schemas.openxmlformats.org/officeDocument/2006/relationships/hyperlink" Target="https://photos.app.goo.gl/QasMcfxGXBEbyKfq5" TargetMode="External"/><Relationship Id="rId5" Type="http://schemas.openxmlformats.org/officeDocument/2006/relationships/hyperlink" Target="https://photos.app.goo.gl/qBodAdBTByzCxczf7" TargetMode="External"/><Relationship Id="rId147" Type="http://schemas.openxmlformats.org/officeDocument/2006/relationships/hyperlink" Target="https://photos.app.goo.gl/2FEH2Zk3HjQtRdGz9" TargetMode="External"/><Relationship Id="rId268" Type="http://schemas.openxmlformats.org/officeDocument/2006/relationships/hyperlink" Target="https://photos.app.goo.gl/sU8yUpy657T5Uuat7" TargetMode="External"/><Relationship Id="rId389" Type="http://schemas.openxmlformats.org/officeDocument/2006/relationships/hyperlink" Target="https://photos.app.goo.gl/pxVobcSFy1uBe4M57" TargetMode="External"/><Relationship Id="rId6" Type="http://schemas.openxmlformats.org/officeDocument/2006/relationships/hyperlink" Target="https://photos.app.goo.gl/ihWDX96WyS8yz2xt6" TargetMode="External"/><Relationship Id="rId146" Type="http://schemas.openxmlformats.org/officeDocument/2006/relationships/hyperlink" Target="https://photos.app.goo.gl/Vreh7uUdMUXAhqUG6" TargetMode="External"/><Relationship Id="rId267" Type="http://schemas.openxmlformats.org/officeDocument/2006/relationships/hyperlink" Target="https://photos.app.goo.gl/5uKvQGabQK1sdntd7" TargetMode="External"/><Relationship Id="rId388" Type="http://schemas.openxmlformats.org/officeDocument/2006/relationships/hyperlink" Target="https://photos.app.goo.gl/LFBQojRRi5gPRiA16" TargetMode="External"/><Relationship Id="rId7" Type="http://schemas.openxmlformats.org/officeDocument/2006/relationships/hyperlink" Target="https://photos.app.goo.gl/7H36CRapUBibtUSS6" TargetMode="External"/><Relationship Id="rId145" Type="http://schemas.openxmlformats.org/officeDocument/2006/relationships/hyperlink" Target="https://photos.app.goo.gl/yW9WBvB16Y7J5Xrq7" TargetMode="External"/><Relationship Id="rId266" Type="http://schemas.openxmlformats.org/officeDocument/2006/relationships/hyperlink" Target="https://photos.app.goo.gl/ELzNVeSarC7Dikh37" TargetMode="External"/><Relationship Id="rId387" Type="http://schemas.openxmlformats.org/officeDocument/2006/relationships/hyperlink" Target="https://photos.app.goo.gl/7QAgGYjqRE4rnLW77" TargetMode="External"/><Relationship Id="rId8" Type="http://schemas.openxmlformats.org/officeDocument/2006/relationships/hyperlink" Target="https://photos.app.goo.gl/BMCr6PSAuvTd5zfY7" TargetMode="External"/><Relationship Id="rId144" Type="http://schemas.openxmlformats.org/officeDocument/2006/relationships/hyperlink" Target="https://photos.app.goo.gl/Rja6bXNXgpaoxmYb9" TargetMode="External"/><Relationship Id="rId265" Type="http://schemas.openxmlformats.org/officeDocument/2006/relationships/hyperlink" Target="https://photos.app.goo.gl/CzXXn36mVpKn7ut49" TargetMode="External"/><Relationship Id="rId386" Type="http://schemas.openxmlformats.org/officeDocument/2006/relationships/hyperlink" Target="https://photos.app.goo.gl/zXnhAxi4jYWx1k6u7" TargetMode="External"/><Relationship Id="rId260" Type="http://schemas.openxmlformats.org/officeDocument/2006/relationships/hyperlink" Target="https://photos.app.goo.gl/1RmDVwjwVstzpCz47" TargetMode="External"/><Relationship Id="rId381" Type="http://schemas.openxmlformats.org/officeDocument/2006/relationships/hyperlink" Target="https://photos.app.goo.gl/YdEsGnUP9zj8BPiT8" TargetMode="External"/><Relationship Id="rId380" Type="http://schemas.openxmlformats.org/officeDocument/2006/relationships/hyperlink" Target="https://photos.app.goo.gl/VxHcARrAZNkoGNek7" TargetMode="External"/><Relationship Id="rId139" Type="http://schemas.openxmlformats.org/officeDocument/2006/relationships/hyperlink" Target="https://photos.app.goo.gl/BkUpN8wByc67DDLL9" TargetMode="External"/><Relationship Id="rId138" Type="http://schemas.openxmlformats.org/officeDocument/2006/relationships/hyperlink" Target="https://photos.app.goo.gl/qZk18RKu6DkZiSfD8" TargetMode="External"/><Relationship Id="rId259" Type="http://schemas.openxmlformats.org/officeDocument/2006/relationships/hyperlink" Target="https://photos.app.goo.gl/YAwuBVHgJqzri4hEA" TargetMode="External"/><Relationship Id="rId137" Type="http://schemas.openxmlformats.org/officeDocument/2006/relationships/hyperlink" Target="https://photos.app.goo.gl/NhzQws14c29sLT7QA" TargetMode="External"/><Relationship Id="rId258" Type="http://schemas.openxmlformats.org/officeDocument/2006/relationships/hyperlink" Target="https://photos.app.goo.gl/LPYqsyhFpfUEwXjq7" TargetMode="External"/><Relationship Id="rId379" Type="http://schemas.openxmlformats.org/officeDocument/2006/relationships/hyperlink" Target="https://photos.app.goo.gl/pfSPbDiR7hZYh24X7" TargetMode="External"/><Relationship Id="rId132" Type="http://schemas.openxmlformats.org/officeDocument/2006/relationships/hyperlink" Target="https://photos.app.goo.gl/JniekKRCHtykWEdv8" TargetMode="External"/><Relationship Id="rId253" Type="http://schemas.openxmlformats.org/officeDocument/2006/relationships/hyperlink" Target="https://photos.app.goo.gl/d2Cduyf1nQgpWCid8" TargetMode="External"/><Relationship Id="rId374" Type="http://schemas.openxmlformats.org/officeDocument/2006/relationships/hyperlink" Target="https://photos.app.goo.gl/vDUBMsLCaDNw2T6YA" TargetMode="External"/><Relationship Id="rId495" Type="http://schemas.openxmlformats.org/officeDocument/2006/relationships/hyperlink" Target="https://photos.app.goo.gl/KfMfPWituhJAec1a7" TargetMode="External"/><Relationship Id="rId131" Type="http://schemas.openxmlformats.org/officeDocument/2006/relationships/hyperlink" Target="https://photos.app.goo.gl/TbsW1hAt4KSnHdCx7" TargetMode="External"/><Relationship Id="rId252" Type="http://schemas.openxmlformats.org/officeDocument/2006/relationships/hyperlink" Target="https://photos.app.goo.gl/wvHaHgL6N1Dcynpd8" TargetMode="External"/><Relationship Id="rId373" Type="http://schemas.openxmlformats.org/officeDocument/2006/relationships/hyperlink" Target="https://photos.app.goo.gl/c8AvcMzASdTyyyHv7" TargetMode="External"/><Relationship Id="rId494" Type="http://schemas.openxmlformats.org/officeDocument/2006/relationships/hyperlink" Target="https://photos.app.goo.gl/itsFzTEXdnpTxRcF8" TargetMode="External"/><Relationship Id="rId130" Type="http://schemas.openxmlformats.org/officeDocument/2006/relationships/hyperlink" Target="https://photos.app.goo.gl/rC3dGgGd2am9sQwL7" TargetMode="External"/><Relationship Id="rId251" Type="http://schemas.openxmlformats.org/officeDocument/2006/relationships/hyperlink" Target="https://photos.app.goo.gl/PCiusEGX6c1wuiw3A" TargetMode="External"/><Relationship Id="rId372" Type="http://schemas.openxmlformats.org/officeDocument/2006/relationships/hyperlink" Target="https://photos.app.goo.gl/bJHfGtCcuMemsEoc6" TargetMode="External"/><Relationship Id="rId493" Type="http://schemas.openxmlformats.org/officeDocument/2006/relationships/hyperlink" Target="https://photos.app.goo.gl/kz62gSK6JCwAnsZu7" TargetMode="External"/><Relationship Id="rId250" Type="http://schemas.openxmlformats.org/officeDocument/2006/relationships/hyperlink" Target="https://photos.app.goo.gl/itEMcReEDAkVKjWD6" TargetMode="External"/><Relationship Id="rId371" Type="http://schemas.openxmlformats.org/officeDocument/2006/relationships/hyperlink" Target="https://photos.app.goo.gl/sNxAXUx4t3MKcYK96" TargetMode="External"/><Relationship Id="rId492" Type="http://schemas.openxmlformats.org/officeDocument/2006/relationships/hyperlink" Target="https://photos.app.goo.gl/Nh9zS1YrEDv1dTzW6" TargetMode="External"/><Relationship Id="rId136" Type="http://schemas.openxmlformats.org/officeDocument/2006/relationships/hyperlink" Target="https://photos.app.goo.gl/PrDymhxqaYYZaaJk7" TargetMode="External"/><Relationship Id="rId257" Type="http://schemas.openxmlformats.org/officeDocument/2006/relationships/hyperlink" Target="https://photos.app.goo.gl/bcbHHWkeWFovPXhZ8" TargetMode="External"/><Relationship Id="rId378" Type="http://schemas.openxmlformats.org/officeDocument/2006/relationships/hyperlink" Target="https://photos.app.goo.gl/KRxef1yBWHiLw1tp7" TargetMode="External"/><Relationship Id="rId499" Type="http://schemas.openxmlformats.org/officeDocument/2006/relationships/hyperlink" Target="https://photos.app.goo.gl/t1AgQAmmpK36UNUd8" TargetMode="External"/><Relationship Id="rId135" Type="http://schemas.openxmlformats.org/officeDocument/2006/relationships/hyperlink" Target="https://photos.app.goo.gl/WNdrZzAQMpApFRVp9" TargetMode="External"/><Relationship Id="rId256" Type="http://schemas.openxmlformats.org/officeDocument/2006/relationships/hyperlink" Target="https://photos.app.goo.gl/d1SaTW9zYcfm9pJN7" TargetMode="External"/><Relationship Id="rId377" Type="http://schemas.openxmlformats.org/officeDocument/2006/relationships/hyperlink" Target="https://photos.app.goo.gl/fHVT6qohfZtgJAnWA" TargetMode="External"/><Relationship Id="rId498" Type="http://schemas.openxmlformats.org/officeDocument/2006/relationships/hyperlink" Target="https://photos.app.goo.gl/jjQoH533EFN3Le8F8" TargetMode="External"/><Relationship Id="rId134" Type="http://schemas.openxmlformats.org/officeDocument/2006/relationships/hyperlink" Target="https://photos.app.goo.gl/bJHT3AF8mPSqURfP7" TargetMode="External"/><Relationship Id="rId255" Type="http://schemas.openxmlformats.org/officeDocument/2006/relationships/hyperlink" Target="https://photos.app.goo.gl/34KGoMpwwxVPeV8A9" TargetMode="External"/><Relationship Id="rId376" Type="http://schemas.openxmlformats.org/officeDocument/2006/relationships/hyperlink" Target="https://photos.app.goo.gl/WC1ZLi7nswvCExC67" TargetMode="External"/><Relationship Id="rId497" Type="http://schemas.openxmlformats.org/officeDocument/2006/relationships/hyperlink" Target="https://photos.app.goo.gl/xhrh6ZB1MFLfPC6p6" TargetMode="External"/><Relationship Id="rId133" Type="http://schemas.openxmlformats.org/officeDocument/2006/relationships/hyperlink" Target="https://photos.app.goo.gl/F5WuKdw9XdcZ8r2c9" TargetMode="External"/><Relationship Id="rId254" Type="http://schemas.openxmlformats.org/officeDocument/2006/relationships/hyperlink" Target="https://photos.app.goo.gl/AKmdkbz5QpSGwxMx9" TargetMode="External"/><Relationship Id="rId375" Type="http://schemas.openxmlformats.org/officeDocument/2006/relationships/hyperlink" Target="https://photos.app.goo.gl/sC7Aj3zSm2WnPzKw8" TargetMode="External"/><Relationship Id="rId496" Type="http://schemas.openxmlformats.org/officeDocument/2006/relationships/hyperlink" Target="https://photos.app.goo.gl/9XVkzKFgx1DV5Ezz9" TargetMode="External"/><Relationship Id="rId172" Type="http://schemas.openxmlformats.org/officeDocument/2006/relationships/hyperlink" Target="https://photos.app.goo.gl/rbQzFLXogtBkhVvR6" TargetMode="External"/><Relationship Id="rId293" Type="http://schemas.openxmlformats.org/officeDocument/2006/relationships/hyperlink" Target="https://photos.app.goo.gl/2hEdEiHSJQdkBDuu7" TargetMode="External"/><Relationship Id="rId171" Type="http://schemas.openxmlformats.org/officeDocument/2006/relationships/hyperlink" Target="https://photos.app.goo.gl/r1HTv4rciHVs18M5A" TargetMode="External"/><Relationship Id="rId292" Type="http://schemas.openxmlformats.org/officeDocument/2006/relationships/hyperlink" Target="https://photos.app.goo.gl/BkL4mwwUDw4pAhix7" TargetMode="External"/><Relationship Id="rId170" Type="http://schemas.openxmlformats.org/officeDocument/2006/relationships/hyperlink" Target="https://photos.app.goo.gl/LhM4PSYZoc5Zj5Ac7" TargetMode="External"/><Relationship Id="rId291" Type="http://schemas.openxmlformats.org/officeDocument/2006/relationships/hyperlink" Target="https://photos.app.goo.gl/d6umWHuT9TKaYn6G6" TargetMode="External"/><Relationship Id="rId290" Type="http://schemas.openxmlformats.org/officeDocument/2006/relationships/hyperlink" Target="https://photos.app.goo.gl/inHTqNdUHAsmNeYx7" TargetMode="External"/><Relationship Id="rId165" Type="http://schemas.openxmlformats.org/officeDocument/2006/relationships/hyperlink" Target="https://photos.app.goo.gl/cKqHrnGHqSxQWen88" TargetMode="External"/><Relationship Id="rId286" Type="http://schemas.openxmlformats.org/officeDocument/2006/relationships/hyperlink" Target="https://photos.app.goo.gl/ht8dcbUxpU3pKCLm7" TargetMode="External"/><Relationship Id="rId164" Type="http://schemas.openxmlformats.org/officeDocument/2006/relationships/hyperlink" Target="https://photos.app.goo.gl/fjjaxA5mtveokZ4g8" TargetMode="External"/><Relationship Id="rId285" Type="http://schemas.openxmlformats.org/officeDocument/2006/relationships/hyperlink" Target="https://photos.app.goo.gl/qo3xXSkiK3etd51v5" TargetMode="External"/><Relationship Id="rId163" Type="http://schemas.openxmlformats.org/officeDocument/2006/relationships/hyperlink" Target="https://photos.app.goo.gl/zrXpR3QUw8edQd7A9" TargetMode="External"/><Relationship Id="rId284" Type="http://schemas.openxmlformats.org/officeDocument/2006/relationships/hyperlink" Target="https://photos.app.goo.gl/vSUeZWEgBPSyQgTL8" TargetMode="External"/><Relationship Id="rId162" Type="http://schemas.openxmlformats.org/officeDocument/2006/relationships/hyperlink" Target="https://photos.app.goo.gl/edQ9Fu69azqMMWGW7" TargetMode="External"/><Relationship Id="rId283" Type="http://schemas.openxmlformats.org/officeDocument/2006/relationships/hyperlink" Target="https://photos.app.goo.gl/6yAnteo6WodTVoMD7" TargetMode="External"/><Relationship Id="rId169" Type="http://schemas.openxmlformats.org/officeDocument/2006/relationships/hyperlink" Target="https://photos.app.goo.gl/imN8ehN1ioiy4VRE9" TargetMode="External"/><Relationship Id="rId168" Type="http://schemas.openxmlformats.org/officeDocument/2006/relationships/hyperlink" Target="https://photos.app.goo.gl/bVBq55n9YQNbt3617" TargetMode="External"/><Relationship Id="rId289" Type="http://schemas.openxmlformats.org/officeDocument/2006/relationships/hyperlink" Target="https://photos.app.goo.gl/FkB5WTBKrrf5XScDA" TargetMode="External"/><Relationship Id="rId167" Type="http://schemas.openxmlformats.org/officeDocument/2006/relationships/hyperlink" Target="https://photos.app.goo.gl/2VLZRoS5Y11KNUYm7" TargetMode="External"/><Relationship Id="rId288" Type="http://schemas.openxmlformats.org/officeDocument/2006/relationships/hyperlink" Target="https://photos.app.goo.gl/SUhnDFn299R9Lub4A" TargetMode="External"/><Relationship Id="rId166" Type="http://schemas.openxmlformats.org/officeDocument/2006/relationships/hyperlink" Target="https://photos.app.goo.gl/xcseC78y1GiKnbSB6" TargetMode="External"/><Relationship Id="rId287" Type="http://schemas.openxmlformats.org/officeDocument/2006/relationships/hyperlink" Target="https://photos.app.goo.gl/3vWinmhjTfJUDdf59" TargetMode="External"/><Relationship Id="rId161" Type="http://schemas.openxmlformats.org/officeDocument/2006/relationships/hyperlink" Target="https://photos.app.goo.gl/x9YHDMdc5ActGWH47" TargetMode="External"/><Relationship Id="rId282" Type="http://schemas.openxmlformats.org/officeDocument/2006/relationships/hyperlink" Target="https://photos.app.goo.gl/e2dH5UwKbSdUfcbf7" TargetMode="External"/><Relationship Id="rId160" Type="http://schemas.openxmlformats.org/officeDocument/2006/relationships/hyperlink" Target="https://photos.app.goo.gl/YQjUdY56Z61mam9x8" TargetMode="External"/><Relationship Id="rId281" Type="http://schemas.openxmlformats.org/officeDocument/2006/relationships/hyperlink" Target="https://photos.app.goo.gl/Se2rjyd29VEGoztUA" TargetMode="External"/><Relationship Id="rId280" Type="http://schemas.openxmlformats.org/officeDocument/2006/relationships/hyperlink" Target="https://photos.app.goo.gl/5777s2morKceCkBWA" TargetMode="External"/><Relationship Id="rId159" Type="http://schemas.openxmlformats.org/officeDocument/2006/relationships/hyperlink" Target="https://photos.app.goo.gl/cNsRqDq75zxAZSh6A" TargetMode="External"/><Relationship Id="rId154" Type="http://schemas.openxmlformats.org/officeDocument/2006/relationships/hyperlink" Target="https://photos.app.goo.gl/mxkzhNbcYEpGrodB7" TargetMode="External"/><Relationship Id="rId275" Type="http://schemas.openxmlformats.org/officeDocument/2006/relationships/hyperlink" Target="https://photos.app.goo.gl/nc6T15SXSgEHYwfR7" TargetMode="External"/><Relationship Id="rId396" Type="http://schemas.openxmlformats.org/officeDocument/2006/relationships/hyperlink" Target="https://photos.app.goo.gl/osbC6Z91wDPytfqm8" TargetMode="External"/><Relationship Id="rId153" Type="http://schemas.openxmlformats.org/officeDocument/2006/relationships/hyperlink" Target="https://photos.app.goo.gl/dzZTREbiaYrMZXz27" TargetMode="External"/><Relationship Id="rId274" Type="http://schemas.openxmlformats.org/officeDocument/2006/relationships/hyperlink" Target="https://lh3.googleusercontent.com/pw/AP1GczMbXRCm0l24QJtn0oC75V6WoX3mzO7B_6V_vgAn7VHyFifHcfbA-3RfevZfo3WyHYEJUoZ2WXyorgpcWe9fh_Cx8QCb-8ooq6SyENOaufWr7ZUffojS=w1200" TargetMode="External"/><Relationship Id="rId395" Type="http://schemas.openxmlformats.org/officeDocument/2006/relationships/hyperlink" Target="https://photos.app.goo.gl/sn3Y2bei6UCPRzBKA" TargetMode="External"/><Relationship Id="rId152" Type="http://schemas.openxmlformats.org/officeDocument/2006/relationships/hyperlink" Target="https://photos.app.goo.gl/f4KW3fwy7ShN5nrS9" TargetMode="External"/><Relationship Id="rId273" Type="http://schemas.openxmlformats.org/officeDocument/2006/relationships/hyperlink" Target="https://photos.app.goo.gl/9J3sKjenW5Bs2XxN9" TargetMode="External"/><Relationship Id="rId394" Type="http://schemas.openxmlformats.org/officeDocument/2006/relationships/hyperlink" Target="https://photos.app.goo.gl/5SU7fRn916vpbRpW6" TargetMode="External"/><Relationship Id="rId151" Type="http://schemas.openxmlformats.org/officeDocument/2006/relationships/hyperlink" Target="https://photos.app.goo.gl/V3oMZ575XWReyLCR8" TargetMode="External"/><Relationship Id="rId272" Type="http://schemas.openxmlformats.org/officeDocument/2006/relationships/hyperlink" Target="https://photos.app.goo.gl/7eAR7XjbR28wwFx29" TargetMode="External"/><Relationship Id="rId393" Type="http://schemas.openxmlformats.org/officeDocument/2006/relationships/hyperlink" Target="https://photos.app.goo.gl/WdAWd8AiTcs3vUBW8" TargetMode="External"/><Relationship Id="rId158" Type="http://schemas.openxmlformats.org/officeDocument/2006/relationships/hyperlink" Target="https://photos.app.goo.gl/9LS4BCjBxho9NR2b7" TargetMode="External"/><Relationship Id="rId279" Type="http://schemas.openxmlformats.org/officeDocument/2006/relationships/hyperlink" Target="https://photos.app.goo.gl/eApdB51BBj5jC3p76" TargetMode="External"/><Relationship Id="rId157" Type="http://schemas.openxmlformats.org/officeDocument/2006/relationships/hyperlink" Target="https://photos.app.goo.gl/7thw2QscZEoVM4eg6" TargetMode="External"/><Relationship Id="rId278" Type="http://schemas.openxmlformats.org/officeDocument/2006/relationships/hyperlink" Target="https://photos.app.goo.gl/rgKAFZen8htxrBvW7" TargetMode="External"/><Relationship Id="rId399" Type="http://schemas.openxmlformats.org/officeDocument/2006/relationships/hyperlink" Target="https://photos.app.goo.gl/8dy5mWuModDURvc86" TargetMode="External"/><Relationship Id="rId156" Type="http://schemas.openxmlformats.org/officeDocument/2006/relationships/hyperlink" Target="https://photos.app.goo.gl/PJWuj4DLyZ8M18Hw9" TargetMode="External"/><Relationship Id="rId277" Type="http://schemas.openxmlformats.org/officeDocument/2006/relationships/hyperlink" Target="https://photos.app.goo.gl/VKUqH9iCu4r1Cafg7" TargetMode="External"/><Relationship Id="rId398" Type="http://schemas.openxmlformats.org/officeDocument/2006/relationships/hyperlink" Target="https://photos.app.goo.gl/LYfAd5DWSnyKvNYY9" TargetMode="External"/><Relationship Id="rId155" Type="http://schemas.openxmlformats.org/officeDocument/2006/relationships/hyperlink" Target="https://photos.app.goo.gl/rqKZ9LwtvMGmreLd9" TargetMode="External"/><Relationship Id="rId276" Type="http://schemas.openxmlformats.org/officeDocument/2006/relationships/hyperlink" Target="https://photos.app.goo.gl/WU262hfaFgyP4zDq6" TargetMode="External"/><Relationship Id="rId397" Type="http://schemas.openxmlformats.org/officeDocument/2006/relationships/hyperlink" Target="https://photos.app.goo.gl/SpZULHC9pfFEULiSA" TargetMode="External"/><Relationship Id="rId40" Type="http://schemas.openxmlformats.org/officeDocument/2006/relationships/hyperlink" Target="https://photos.app.goo.gl/JsmPogvXQAzJjipm7" TargetMode="External"/><Relationship Id="rId42" Type="http://schemas.openxmlformats.org/officeDocument/2006/relationships/hyperlink" Target="https://photos.app.goo.gl/GhkCaFHqVtsvqh766" TargetMode="External"/><Relationship Id="rId41" Type="http://schemas.openxmlformats.org/officeDocument/2006/relationships/hyperlink" Target="https://photos.app.goo.gl/MFdMkcBc3i82eZUV7" TargetMode="External"/><Relationship Id="rId44" Type="http://schemas.openxmlformats.org/officeDocument/2006/relationships/hyperlink" Target="https://photos.app.goo.gl/J7BteKbURmw1SYqA6" TargetMode="External"/><Relationship Id="rId43" Type="http://schemas.openxmlformats.org/officeDocument/2006/relationships/hyperlink" Target="https://photos.app.goo.gl/QreDSVBcWGaTgydG6" TargetMode="External"/><Relationship Id="rId46" Type="http://schemas.openxmlformats.org/officeDocument/2006/relationships/hyperlink" Target="https://photos.app.goo.gl/RgwVPydVaU34BZ5x9" TargetMode="External"/><Relationship Id="rId45" Type="http://schemas.openxmlformats.org/officeDocument/2006/relationships/hyperlink" Target="https://photos.app.goo.gl/BeHTDzEhVihhPL939" TargetMode="External"/><Relationship Id="rId509" Type="http://schemas.openxmlformats.org/officeDocument/2006/relationships/hyperlink" Target="https://photos.app.goo.gl/upL9KbdeM1GpG72v8" TargetMode="External"/><Relationship Id="rId508" Type="http://schemas.openxmlformats.org/officeDocument/2006/relationships/hyperlink" Target="https://photos.app.goo.gl/sqAqc52tEwqT2aiq7" TargetMode="External"/><Relationship Id="rId629" Type="http://schemas.openxmlformats.org/officeDocument/2006/relationships/hyperlink" Target="https://photos.app.goo.gl/mgnjoNSbpQmhwobf8" TargetMode="External"/><Relationship Id="rId503" Type="http://schemas.openxmlformats.org/officeDocument/2006/relationships/hyperlink" Target="https://photos.app.goo.gl/eBaLFPXDVzRtiyxE7" TargetMode="External"/><Relationship Id="rId624" Type="http://schemas.openxmlformats.org/officeDocument/2006/relationships/hyperlink" Target="https://photos.app.goo.gl/nysNqnNqxr4Q1FMNA" TargetMode="External"/><Relationship Id="rId502" Type="http://schemas.openxmlformats.org/officeDocument/2006/relationships/hyperlink" Target="https://photos.app.goo.gl/ARpvx3VEBahn8W9o9" TargetMode="External"/><Relationship Id="rId623" Type="http://schemas.openxmlformats.org/officeDocument/2006/relationships/hyperlink" Target="https://photos.app.goo.gl/h4fpCUagexBVamzA6" TargetMode="External"/><Relationship Id="rId501" Type="http://schemas.openxmlformats.org/officeDocument/2006/relationships/hyperlink" Target="https://photos.app.goo.gl/RnWeUb8aMHGa5icy9" TargetMode="External"/><Relationship Id="rId622" Type="http://schemas.openxmlformats.org/officeDocument/2006/relationships/hyperlink" Target="https://photos.app.goo.gl/2tCf5tqV6HyPUqAU8" TargetMode="External"/><Relationship Id="rId500" Type="http://schemas.openxmlformats.org/officeDocument/2006/relationships/hyperlink" Target="https://photos.app.goo.gl/APjocfzCiV2ew62n8" TargetMode="External"/><Relationship Id="rId621" Type="http://schemas.openxmlformats.org/officeDocument/2006/relationships/hyperlink" Target="https://photos.app.goo.gl/MKm76my6taGycyQj9" TargetMode="External"/><Relationship Id="rId507" Type="http://schemas.openxmlformats.org/officeDocument/2006/relationships/hyperlink" Target="https://photos.app.goo.gl/C677pfwrSc9vyt8H6" TargetMode="External"/><Relationship Id="rId628" Type="http://schemas.openxmlformats.org/officeDocument/2006/relationships/hyperlink" Target="https://photos.app.goo.gl/UBVv7bHxP4w5esw4A" TargetMode="External"/><Relationship Id="rId506" Type="http://schemas.openxmlformats.org/officeDocument/2006/relationships/hyperlink" Target="https://photos.app.goo.gl/vMbm7Vtpg9hwsvFy7" TargetMode="External"/><Relationship Id="rId627" Type="http://schemas.openxmlformats.org/officeDocument/2006/relationships/hyperlink" Target="https://photos.app.goo.gl/D51FAtTcqjMxCmM37" TargetMode="External"/><Relationship Id="rId505" Type="http://schemas.openxmlformats.org/officeDocument/2006/relationships/hyperlink" Target="https://photos.app.goo.gl/CzJLePgPxZDjnzri9" TargetMode="External"/><Relationship Id="rId626" Type="http://schemas.openxmlformats.org/officeDocument/2006/relationships/hyperlink" Target="https://photos.app.goo.gl/eUPN9wVY9MHVnJWr6" TargetMode="External"/><Relationship Id="rId504" Type="http://schemas.openxmlformats.org/officeDocument/2006/relationships/hyperlink" Target="https://photos.app.goo.gl/nik972QMrmXmE8MXA" TargetMode="External"/><Relationship Id="rId625" Type="http://schemas.openxmlformats.org/officeDocument/2006/relationships/hyperlink" Target="https://photos.app.goo.gl/Q1vJXT2VSsEycUp1A" TargetMode="External"/><Relationship Id="rId48" Type="http://schemas.openxmlformats.org/officeDocument/2006/relationships/hyperlink" Target="https://photos.app.goo.gl/QeeLYVewpQZuc1tx8" TargetMode="External"/><Relationship Id="rId47" Type="http://schemas.openxmlformats.org/officeDocument/2006/relationships/hyperlink" Target="https://photos.app.goo.gl/2kDZbdGwKZUnE4zM8" TargetMode="External"/><Relationship Id="rId49" Type="http://schemas.openxmlformats.org/officeDocument/2006/relationships/hyperlink" Target="https://photos.google.com/share/AF1QipPG-PD5M4WUkiQhJVm385g60lmQEVyp_B0NgU_pvWQbKm2VESwkvNDmSfhOMpDoKA?key=VUJzaVRyc3JrN0pRSGlTazlkX2tmaVpEemx2ZC1B" TargetMode="External"/><Relationship Id="rId620" Type="http://schemas.openxmlformats.org/officeDocument/2006/relationships/hyperlink" Target="https://photos.app.goo.gl/DogAw3njzrrKf5hM6" TargetMode="External"/><Relationship Id="rId31" Type="http://schemas.openxmlformats.org/officeDocument/2006/relationships/hyperlink" Target="https://photos.app.goo.gl/nzGMWLi6Lcst9YPD9" TargetMode="External"/><Relationship Id="rId30" Type="http://schemas.openxmlformats.org/officeDocument/2006/relationships/hyperlink" Target="https://photos.app.goo.gl/265YVLp17oWXSbTu9" TargetMode="External"/><Relationship Id="rId33" Type="http://schemas.openxmlformats.org/officeDocument/2006/relationships/hyperlink" Target="https://photos.app.goo.gl/e9sA8bxfEh3dNjkq7" TargetMode="External"/><Relationship Id="rId32" Type="http://schemas.openxmlformats.org/officeDocument/2006/relationships/hyperlink" Target="https://photos.app.goo.gl/erXE6RJXtocjff119" TargetMode="External"/><Relationship Id="rId35" Type="http://schemas.openxmlformats.org/officeDocument/2006/relationships/hyperlink" Target="https://photos.app.goo.gl/TGs6ftsvn2eGKbWu5" TargetMode="External"/><Relationship Id="rId34" Type="http://schemas.openxmlformats.org/officeDocument/2006/relationships/hyperlink" Target="https://photos.app.goo.gl/1hkjovUYZCbwF5Py8" TargetMode="External"/><Relationship Id="rId619" Type="http://schemas.openxmlformats.org/officeDocument/2006/relationships/hyperlink" Target="https://photos.app.goo.gl/gdxcshDTRR95qRzC6" TargetMode="External"/><Relationship Id="rId618" Type="http://schemas.openxmlformats.org/officeDocument/2006/relationships/hyperlink" Target="https://photos.app.goo.gl/YU6k8NdPK3X3immz8" TargetMode="External"/><Relationship Id="rId613" Type="http://schemas.openxmlformats.org/officeDocument/2006/relationships/hyperlink" Target="https://photos.app.goo.gl/BJrnN9NVnkPwwxuT6" TargetMode="External"/><Relationship Id="rId612" Type="http://schemas.openxmlformats.org/officeDocument/2006/relationships/hyperlink" Target="https://photos.app.goo.gl/DtEiqKxciueMycZQ8" TargetMode="External"/><Relationship Id="rId611" Type="http://schemas.openxmlformats.org/officeDocument/2006/relationships/hyperlink" Target="https://photos.app.goo.gl/i9jzihSSdyDgcVwj9" TargetMode="External"/><Relationship Id="rId610" Type="http://schemas.openxmlformats.org/officeDocument/2006/relationships/hyperlink" Target="https://photos.app.goo.gl/M36yyHfWwJKpWiGZ7" TargetMode="External"/><Relationship Id="rId617" Type="http://schemas.openxmlformats.org/officeDocument/2006/relationships/hyperlink" Target="https://photos.app.goo.gl/DoQBHoXVYjhrz4We6" TargetMode="External"/><Relationship Id="rId616" Type="http://schemas.openxmlformats.org/officeDocument/2006/relationships/hyperlink" Target="https://photos.app.goo.gl/jXEi15WknpqBBsYS8" TargetMode="External"/><Relationship Id="rId615" Type="http://schemas.openxmlformats.org/officeDocument/2006/relationships/hyperlink" Target="https://photos.app.goo.gl/utPiVoAvLEYsgmjVA" TargetMode="External"/><Relationship Id="rId614" Type="http://schemas.openxmlformats.org/officeDocument/2006/relationships/hyperlink" Target="https://photos.app.goo.gl/ZCMmSrQSfyeDXnPt9" TargetMode="External"/><Relationship Id="rId37" Type="http://schemas.openxmlformats.org/officeDocument/2006/relationships/hyperlink" Target="https://photos.app.goo.gl/vfxi3Gq9wwtCJTBC9" TargetMode="External"/><Relationship Id="rId36" Type="http://schemas.openxmlformats.org/officeDocument/2006/relationships/hyperlink" Target="https://photos.app.goo.gl/YsUdFBYKgCYNxDf79" TargetMode="External"/><Relationship Id="rId39" Type="http://schemas.openxmlformats.org/officeDocument/2006/relationships/hyperlink" Target="https://photos.app.goo.gl/5fGWK8Q6FdVAQXw98" TargetMode="External"/><Relationship Id="rId38" Type="http://schemas.openxmlformats.org/officeDocument/2006/relationships/hyperlink" Target="https://photos.app.goo.gl/zwhNZsro4YC2YDY28" TargetMode="External"/><Relationship Id="rId20" Type="http://schemas.openxmlformats.org/officeDocument/2006/relationships/hyperlink" Target="https://photos.app.goo.gl/vVtBYGcLfqpzQC2k8" TargetMode="External"/><Relationship Id="rId22" Type="http://schemas.openxmlformats.org/officeDocument/2006/relationships/hyperlink" Target="https://photos.app.goo.gl/V7HLSX19968aiwVU6" TargetMode="External"/><Relationship Id="rId21" Type="http://schemas.openxmlformats.org/officeDocument/2006/relationships/hyperlink" Target="https://photos.app.goo.gl/CnoCam3NKY4GqHs68" TargetMode="External"/><Relationship Id="rId24" Type="http://schemas.openxmlformats.org/officeDocument/2006/relationships/hyperlink" Target="https://photos.app.goo.gl/rDyBvhQL57ggLCTr5" TargetMode="External"/><Relationship Id="rId23" Type="http://schemas.openxmlformats.org/officeDocument/2006/relationships/hyperlink" Target="https://photos.app.goo.gl/vvuK4Dk7b1CK5kZF9" TargetMode="External"/><Relationship Id="rId409" Type="http://schemas.openxmlformats.org/officeDocument/2006/relationships/hyperlink" Target="https://photos.app.goo.gl/a46dNFdp214C8gqD9" TargetMode="External"/><Relationship Id="rId404" Type="http://schemas.openxmlformats.org/officeDocument/2006/relationships/hyperlink" Target="https://photos.app.goo.gl/HwZVRRfpX7Hy37dh8" TargetMode="External"/><Relationship Id="rId525" Type="http://schemas.openxmlformats.org/officeDocument/2006/relationships/hyperlink" Target="https://photos.app.goo.gl/axDgxi9tthBSne2y9" TargetMode="External"/><Relationship Id="rId646" Type="http://schemas.openxmlformats.org/officeDocument/2006/relationships/hyperlink" Target="https://photos.app.goo.gl/BD5yvaVo4RWica2j6" TargetMode="External"/><Relationship Id="rId403" Type="http://schemas.openxmlformats.org/officeDocument/2006/relationships/hyperlink" Target="https://photos.app.goo.gl/bpqZrxB7PWs7kjrJ8" TargetMode="External"/><Relationship Id="rId524" Type="http://schemas.openxmlformats.org/officeDocument/2006/relationships/hyperlink" Target="https://photos.app.goo.gl/cbZJCZnFXtSCUa3B9" TargetMode="External"/><Relationship Id="rId645" Type="http://schemas.openxmlformats.org/officeDocument/2006/relationships/hyperlink" Target="https://photos.app.goo.gl/ZQyhgLu5vLbovvgw5" TargetMode="External"/><Relationship Id="rId402" Type="http://schemas.openxmlformats.org/officeDocument/2006/relationships/hyperlink" Target="https://photos.app.goo.gl/1prXaXf8KNjgUonWA" TargetMode="External"/><Relationship Id="rId523" Type="http://schemas.openxmlformats.org/officeDocument/2006/relationships/hyperlink" Target="https://photos.app.goo.gl/7L8bNbq7scFyE3rS8" TargetMode="External"/><Relationship Id="rId644" Type="http://schemas.openxmlformats.org/officeDocument/2006/relationships/hyperlink" Target="https://photos.app.goo.gl/zREVwSjnKfzV6V2R6" TargetMode="External"/><Relationship Id="rId401" Type="http://schemas.openxmlformats.org/officeDocument/2006/relationships/hyperlink" Target="https://photos.app.goo.gl/EhE6jUHgc2zhCMUk7" TargetMode="External"/><Relationship Id="rId522" Type="http://schemas.openxmlformats.org/officeDocument/2006/relationships/hyperlink" Target="https://photos.app.goo.gl/8HWZomEcScsEKEnn6" TargetMode="External"/><Relationship Id="rId643" Type="http://schemas.openxmlformats.org/officeDocument/2006/relationships/hyperlink" Target="https://photos.app.goo.gl/5KEJeyCXb3ZD2FZLA" TargetMode="External"/><Relationship Id="rId408" Type="http://schemas.openxmlformats.org/officeDocument/2006/relationships/hyperlink" Target="https://photos.app.goo.gl/o66era5EkT5Epe8e7" TargetMode="External"/><Relationship Id="rId529" Type="http://schemas.openxmlformats.org/officeDocument/2006/relationships/hyperlink" Target="https://photos.app.goo.gl/DiiN9hCkNm56KKLz6" TargetMode="External"/><Relationship Id="rId407" Type="http://schemas.openxmlformats.org/officeDocument/2006/relationships/hyperlink" Target="https://photos.app.goo.gl/p18pjb9SvzcQDgcA6" TargetMode="External"/><Relationship Id="rId528" Type="http://schemas.openxmlformats.org/officeDocument/2006/relationships/hyperlink" Target="https://photos.app.goo.gl/QH9vpDHkR8Lm5qUn7" TargetMode="External"/><Relationship Id="rId649" Type="http://schemas.openxmlformats.org/officeDocument/2006/relationships/hyperlink" Target="https://photos.app.goo.gl/TEH31bjm2js2SXaPA" TargetMode="External"/><Relationship Id="rId406" Type="http://schemas.openxmlformats.org/officeDocument/2006/relationships/hyperlink" Target="https://photos.app.goo.gl/CQs95GKg41VjFQCt7" TargetMode="External"/><Relationship Id="rId527" Type="http://schemas.openxmlformats.org/officeDocument/2006/relationships/hyperlink" Target="https://photos.app.goo.gl/HE5KKb8q6sLYm8FH9" TargetMode="External"/><Relationship Id="rId648" Type="http://schemas.openxmlformats.org/officeDocument/2006/relationships/hyperlink" Target="https://photos.app.goo.gl/4LQpwnya9d5STWK87" TargetMode="External"/><Relationship Id="rId405" Type="http://schemas.openxmlformats.org/officeDocument/2006/relationships/hyperlink" Target="https://photos.app.goo.gl/DYePtSJW9WC7tCoB9" TargetMode="External"/><Relationship Id="rId526" Type="http://schemas.openxmlformats.org/officeDocument/2006/relationships/hyperlink" Target="https://photos.app.goo.gl/FPXwmQ4UszZDH8sp8" TargetMode="External"/><Relationship Id="rId647" Type="http://schemas.openxmlformats.org/officeDocument/2006/relationships/hyperlink" Target="https://photos.app.goo.gl/uzevigAd6A69vD6W7" TargetMode="External"/><Relationship Id="rId26" Type="http://schemas.openxmlformats.org/officeDocument/2006/relationships/hyperlink" Target="https://photos.app.goo.gl/TKVhauFUqALAtFu48" TargetMode="External"/><Relationship Id="rId25" Type="http://schemas.openxmlformats.org/officeDocument/2006/relationships/hyperlink" Target="https://photos.app.goo.gl/r22fhDk7SJap2JfB8" TargetMode="External"/><Relationship Id="rId28" Type="http://schemas.openxmlformats.org/officeDocument/2006/relationships/hyperlink" Target="https://photos.app.goo.gl/NS7pzPKcrED8cEss8" TargetMode="External"/><Relationship Id="rId27" Type="http://schemas.openxmlformats.org/officeDocument/2006/relationships/hyperlink" Target="https://photos.app.goo.gl/CH4YEvTXutjj2dCF7" TargetMode="External"/><Relationship Id="rId400" Type="http://schemas.openxmlformats.org/officeDocument/2006/relationships/hyperlink" Target="https://photos.app.goo.gl/Mfw1xoU1p7hW17sk9" TargetMode="External"/><Relationship Id="rId521" Type="http://schemas.openxmlformats.org/officeDocument/2006/relationships/hyperlink" Target="https://photos.app.goo.gl/j1UXrnCDoK6W4u4aA" TargetMode="External"/><Relationship Id="rId642" Type="http://schemas.openxmlformats.org/officeDocument/2006/relationships/hyperlink" Target="https://photos.app.goo.gl/ZfH886ex7mpYhbkD6" TargetMode="External"/><Relationship Id="rId29" Type="http://schemas.openxmlformats.org/officeDocument/2006/relationships/hyperlink" Target="https://photos.app.goo.gl/wWHWhsTijAo9dYEY6" TargetMode="External"/><Relationship Id="rId520" Type="http://schemas.openxmlformats.org/officeDocument/2006/relationships/hyperlink" Target="https://photos.app.goo.gl/F3guTcvx6pwEsaAt8" TargetMode="External"/><Relationship Id="rId641" Type="http://schemas.openxmlformats.org/officeDocument/2006/relationships/hyperlink" Target="https://photos.app.goo.gl/JZHneDJaLzbiLSCp6" TargetMode="External"/><Relationship Id="rId640" Type="http://schemas.openxmlformats.org/officeDocument/2006/relationships/hyperlink" Target="https://photos.app.goo.gl/8AbXDMUxSj6aFAM46" TargetMode="External"/><Relationship Id="rId11" Type="http://schemas.openxmlformats.org/officeDocument/2006/relationships/hyperlink" Target="https://photos.app.goo.gl/rFGBkcPUNbUXvAsGA" TargetMode="External"/><Relationship Id="rId10" Type="http://schemas.openxmlformats.org/officeDocument/2006/relationships/hyperlink" Target="https://photos.app.goo.gl/csWSDYNDaxn4PyQW9" TargetMode="External"/><Relationship Id="rId13" Type="http://schemas.openxmlformats.org/officeDocument/2006/relationships/hyperlink" Target="https://photos.app.goo.gl/NKncbuoDDE2qshnWA" TargetMode="External"/><Relationship Id="rId12" Type="http://schemas.openxmlformats.org/officeDocument/2006/relationships/hyperlink" Target="https://photos.app.goo.gl/7aURCJC7HKMzHwRAA" TargetMode="External"/><Relationship Id="rId519" Type="http://schemas.openxmlformats.org/officeDocument/2006/relationships/hyperlink" Target="https://photos.app.goo.gl/4yHeBhknKmxi1qJL9" TargetMode="External"/><Relationship Id="rId514" Type="http://schemas.openxmlformats.org/officeDocument/2006/relationships/hyperlink" Target="https://photos.google.com/share/AF1QipN0ejfu8zSL41ljb6urTIjhQhNIEaNjXQkU_Jy9gRnjoQzndOQ6K2fe0ItpmvKzDQ?key=U0RTeWY1UGtvZnIzMWRKb2VvY2VzMmtMc2d3Rzln" TargetMode="External"/><Relationship Id="rId635" Type="http://schemas.openxmlformats.org/officeDocument/2006/relationships/hyperlink" Target="https://photos.app.goo.gl/bkRdLgVC9jhnzMtaA" TargetMode="External"/><Relationship Id="rId513" Type="http://schemas.openxmlformats.org/officeDocument/2006/relationships/hyperlink" Target="https://photos.app.goo.gl/1dopEgTf3Sn61hmc8" TargetMode="External"/><Relationship Id="rId634" Type="http://schemas.openxmlformats.org/officeDocument/2006/relationships/hyperlink" Target="https://photos.app.goo.gl/EZqs531DNDK9xoEp9" TargetMode="External"/><Relationship Id="rId512" Type="http://schemas.openxmlformats.org/officeDocument/2006/relationships/hyperlink" Target="https://photos.app.goo.gl/Gvq8MmZARb9gwYjv7" TargetMode="External"/><Relationship Id="rId633" Type="http://schemas.openxmlformats.org/officeDocument/2006/relationships/hyperlink" Target="https://photos.app.goo.gl/hAvzwwsg7oHc6C58A" TargetMode="External"/><Relationship Id="rId511" Type="http://schemas.openxmlformats.org/officeDocument/2006/relationships/hyperlink" Target="https://photos.app.goo.gl/EDPt3CqUUVJWKKfG6" TargetMode="External"/><Relationship Id="rId632" Type="http://schemas.openxmlformats.org/officeDocument/2006/relationships/hyperlink" Target="https://photos.app.goo.gl/wnAKnpL8RqvjYTzi7" TargetMode="External"/><Relationship Id="rId518" Type="http://schemas.openxmlformats.org/officeDocument/2006/relationships/hyperlink" Target="https://photos.google.com/share/AF1QipMxRbLn18ARCuKLHzsTNYH20pWqQ-JZ5ZSRfGmc68JP3QNRSEWBl_5TARakThrRpQ?key=aUVGRnlVdUNLNHB4ZVVGaTZYM084MmdTcEhjWXZB" TargetMode="External"/><Relationship Id="rId639" Type="http://schemas.openxmlformats.org/officeDocument/2006/relationships/hyperlink" Target="https://photos.app.goo.gl/UUj2kB1qf16Ntnq29" TargetMode="External"/><Relationship Id="rId517" Type="http://schemas.openxmlformats.org/officeDocument/2006/relationships/hyperlink" Target="https://photos.app.goo.gl/mnuQgn6hP4QVvEgJ9" TargetMode="External"/><Relationship Id="rId638" Type="http://schemas.openxmlformats.org/officeDocument/2006/relationships/hyperlink" Target="https://photos.app.goo.gl/mVSizfb2eoTurWL98" TargetMode="External"/><Relationship Id="rId516" Type="http://schemas.openxmlformats.org/officeDocument/2006/relationships/hyperlink" Target="https://photos.app.goo.gl/oQHfUM752EZxS1Sz8" TargetMode="External"/><Relationship Id="rId637" Type="http://schemas.openxmlformats.org/officeDocument/2006/relationships/hyperlink" Target="https://photos.app.goo.gl/72H2wdBCTawGYt146" TargetMode="External"/><Relationship Id="rId515" Type="http://schemas.openxmlformats.org/officeDocument/2006/relationships/hyperlink" Target="https://photos.google.com/share/AF1QipPGkZKWkSGObmevnDBYoaV7pLZTwPU9KupE5O7rcAOw8hOgtCXPguBF51hw5oxDuA?key=bXRNZ09jdnpZVW96bWJDQ1AtdmNPOVkxWUI4U0ln" TargetMode="External"/><Relationship Id="rId636" Type="http://schemas.openxmlformats.org/officeDocument/2006/relationships/hyperlink" Target="https://photos.app.goo.gl/f9GmpRHz5kMUvsHLA" TargetMode="External"/><Relationship Id="rId15" Type="http://schemas.openxmlformats.org/officeDocument/2006/relationships/hyperlink" Target="https://photos.app.goo.gl/Lf7b9vYgvG5uyXYU9" TargetMode="External"/><Relationship Id="rId14" Type="http://schemas.openxmlformats.org/officeDocument/2006/relationships/hyperlink" Target="https://photos.app.goo.gl/CHX3wyuPHgdkZGtx9" TargetMode="External"/><Relationship Id="rId17" Type="http://schemas.openxmlformats.org/officeDocument/2006/relationships/hyperlink" Target="https://photos.app.goo.gl/jru9Baz3bjGXDJkp8" TargetMode="External"/><Relationship Id="rId16" Type="http://schemas.openxmlformats.org/officeDocument/2006/relationships/hyperlink" Target="https://photos.app.goo.gl/s3bnrFs1dD6q745j6" TargetMode="External"/><Relationship Id="rId19" Type="http://schemas.openxmlformats.org/officeDocument/2006/relationships/hyperlink" Target="https://photos.app.goo.gl/2A6BAb5pmKh3g2Bq8" TargetMode="External"/><Relationship Id="rId510" Type="http://schemas.openxmlformats.org/officeDocument/2006/relationships/hyperlink" Target="https://photos.app.goo.gl/fvusjk1XVdi67Cen9" TargetMode="External"/><Relationship Id="rId631" Type="http://schemas.openxmlformats.org/officeDocument/2006/relationships/hyperlink" Target="https://photos.app.goo.gl/9Rp7f5LJ5p7UsUfPA" TargetMode="External"/><Relationship Id="rId18" Type="http://schemas.openxmlformats.org/officeDocument/2006/relationships/hyperlink" Target="https://photos.app.goo.gl/PPyC8ucCkJAdMMpS7" TargetMode="External"/><Relationship Id="rId630" Type="http://schemas.openxmlformats.org/officeDocument/2006/relationships/hyperlink" Target="https://photos.app.goo.gl/JjoGmPa4S5W1AjTZ7" TargetMode="External"/><Relationship Id="rId84" Type="http://schemas.openxmlformats.org/officeDocument/2006/relationships/hyperlink" Target="https://photos.app.goo.gl/fSaSXTFLumJN5a7h9" TargetMode="External"/><Relationship Id="rId83" Type="http://schemas.openxmlformats.org/officeDocument/2006/relationships/hyperlink" Target="https://photos.app.goo.gl/CUG7CxVGsfA3Q99r6" TargetMode="External"/><Relationship Id="rId86" Type="http://schemas.openxmlformats.org/officeDocument/2006/relationships/hyperlink" Target="https://photos.app.goo.gl/wo4gwGMQcpstqwSZ7" TargetMode="External"/><Relationship Id="rId85" Type="http://schemas.openxmlformats.org/officeDocument/2006/relationships/hyperlink" Target="https://photos.app.goo.gl/aLgM5xncdjjhSwX38" TargetMode="External"/><Relationship Id="rId88" Type="http://schemas.openxmlformats.org/officeDocument/2006/relationships/hyperlink" Target="https://photos.app.goo.gl/5kt5qMWR95e7hGct6" TargetMode="External"/><Relationship Id="rId87" Type="http://schemas.openxmlformats.org/officeDocument/2006/relationships/hyperlink" Target="https://photos.app.goo.gl/PQQrQfE4hGm6jSU86" TargetMode="External"/><Relationship Id="rId89" Type="http://schemas.openxmlformats.org/officeDocument/2006/relationships/hyperlink" Target="https://photos.app.goo.gl/S8Uf6ADeRATd5fkDA" TargetMode="External"/><Relationship Id="rId709" Type="http://schemas.openxmlformats.org/officeDocument/2006/relationships/hyperlink" Target="https://photos.app.goo.gl/5gPGx5fy2wLrYz8J7" TargetMode="External"/><Relationship Id="rId708" Type="http://schemas.openxmlformats.org/officeDocument/2006/relationships/hyperlink" Target="https://photos.google.com/share/AF1QipM70sLWGl_pxst2SkbALIZJmVKudYk6E3me_lqrk4G6zqvgUsJ3PGSMBd5_eVy4Mw?key=MnlneFFXS1JaZlB5V1VDU2hlSFVvQndsRi1ydS1n" TargetMode="External"/><Relationship Id="rId707" Type="http://schemas.openxmlformats.org/officeDocument/2006/relationships/hyperlink" Target="https://photos.app.goo.gl/ypJTrchMTyy9WZPw6" TargetMode="External"/><Relationship Id="rId706" Type="http://schemas.openxmlformats.org/officeDocument/2006/relationships/hyperlink" Target="https://photos.app.goo.gl/NKKu3bzYBztQUS9LA" TargetMode="External"/><Relationship Id="rId80" Type="http://schemas.openxmlformats.org/officeDocument/2006/relationships/hyperlink" Target="https://photos.app.goo.gl/jLtrDFZy4WbQ4FwMA" TargetMode="External"/><Relationship Id="rId82" Type="http://schemas.openxmlformats.org/officeDocument/2006/relationships/hyperlink" Target="https://photos.app.goo.gl/VtUD7sCEF1dZ3QH37" TargetMode="External"/><Relationship Id="rId81" Type="http://schemas.openxmlformats.org/officeDocument/2006/relationships/hyperlink" Target="https://photos.app.goo.gl/hHao2T54ywh6DF797" TargetMode="External"/><Relationship Id="rId701" Type="http://schemas.openxmlformats.org/officeDocument/2006/relationships/hyperlink" Target="https://photos.app.goo.gl/tZrDt4WKBk2vyeH99" TargetMode="External"/><Relationship Id="rId700" Type="http://schemas.openxmlformats.org/officeDocument/2006/relationships/hyperlink" Target="https://photos.app.goo.gl/qMuba87kZvLGuv9P6" TargetMode="External"/><Relationship Id="rId705" Type="http://schemas.openxmlformats.org/officeDocument/2006/relationships/hyperlink" Target="https://photos.app.goo.gl/DiXtovCaoiD77WHT7" TargetMode="External"/><Relationship Id="rId704" Type="http://schemas.openxmlformats.org/officeDocument/2006/relationships/hyperlink" Target="https://photos.app.goo.gl/AqvzBt2FU4rJzBZ77" TargetMode="External"/><Relationship Id="rId703" Type="http://schemas.openxmlformats.org/officeDocument/2006/relationships/hyperlink" Target="https://photos.app.goo.gl/kpDLaMkzB7hdAdtb6" TargetMode="External"/><Relationship Id="rId702" Type="http://schemas.openxmlformats.org/officeDocument/2006/relationships/hyperlink" Target="https://photos.google.com/share/AF1QipOlbIhMdp6Tg-e0dW2HSdMdKDvtMDBFp8PYE_wbDqfYLJFnJ4aB49_D-eysAdzlEQ?key=T0pwTXNvbVQ3QXMzWmttaWZkbDdETU0zenRwTVNB" TargetMode="External"/><Relationship Id="rId73" Type="http://schemas.openxmlformats.org/officeDocument/2006/relationships/hyperlink" Target="https://photos.app.goo.gl/dmeGdJxuMNbDyvuE6" TargetMode="External"/><Relationship Id="rId72" Type="http://schemas.openxmlformats.org/officeDocument/2006/relationships/hyperlink" Target="https://photos.app.goo.gl/CNHnPeShbGKLhdbf8" TargetMode="External"/><Relationship Id="rId75" Type="http://schemas.openxmlformats.org/officeDocument/2006/relationships/hyperlink" Target="https://photos.app.goo.gl/skRULc1XbMU1RPC27" TargetMode="External"/><Relationship Id="rId74" Type="http://schemas.openxmlformats.org/officeDocument/2006/relationships/hyperlink" Target="https://photos.app.goo.gl/uKBv5dw33Ri8x29v7" TargetMode="External"/><Relationship Id="rId77" Type="http://schemas.openxmlformats.org/officeDocument/2006/relationships/hyperlink" Target="https://photos.app.goo.gl/yRPTt3PCofBbGXZp8" TargetMode="External"/><Relationship Id="rId76" Type="http://schemas.openxmlformats.org/officeDocument/2006/relationships/hyperlink" Target="https://photos.app.goo.gl/mHnVe33GeDJVbxN68" TargetMode="External"/><Relationship Id="rId79" Type="http://schemas.openxmlformats.org/officeDocument/2006/relationships/hyperlink" Target="https://photos.google.com/share/AF1QipOyGipHtovkXKZoZlzlIbwvLLiAwmBH2jVluLO3WwBXirU0F8JC-AA0l15406lO-Q?key=SzV3WkVJUEdNQlBrcFF2akV1WmUzaTBMal9idVhB" TargetMode="External"/><Relationship Id="rId78" Type="http://schemas.openxmlformats.org/officeDocument/2006/relationships/hyperlink" Target="https://photos.app.goo.gl/kgGtacyC5ih4t8yu6" TargetMode="External"/><Relationship Id="rId71" Type="http://schemas.openxmlformats.org/officeDocument/2006/relationships/hyperlink" Target="https://photos.google.com/share/AF1QipObINDaOpVLn4u0sk_OrmabNgl-3sCIPjj43V_2tIj9IX0GR2UgiprYKEEtTV_YxA?key=UWtUSExYd1NqQ2VXbmdhb05LSDEwNEdZVm9ZRERR" TargetMode="External"/><Relationship Id="rId70" Type="http://schemas.openxmlformats.org/officeDocument/2006/relationships/hyperlink" Target="https://photos.app.goo.gl/1GzKJEyhd5QUDEhe7" TargetMode="External"/><Relationship Id="rId62" Type="http://schemas.openxmlformats.org/officeDocument/2006/relationships/hyperlink" Target="https://photos.app.goo.gl/TGt2f1jyWRnTtP9N8" TargetMode="External"/><Relationship Id="rId61" Type="http://schemas.openxmlformats.org/officeDocument/2006/relationships/hyperlink" Target="https://photos.app.goo.gl/xZQqFfPcjaiK5Ky9A" TargetMode="External"/><Relationship Id="rId64" Type="http://schemas.openxmlformats.org/officeDocument/2006/relationships/hyperlink" Target="https://photos.app.goo.gl/cNY2uJopLj7HEEue6" TargetMode="External"/><Relationship Id="rId63" Type="http://schemas.openxmlformats.org/officeDocument/2006/relationships/hyperlink" Target="https://photos.app.goo.gl/miJXk3Vn6KxRUDot5" TargetMode="External"/><Relationship Id="rId66" Type="http://schemas.openxmlformats.org/officeDocument/2006/relationships/hyperlink" Target="https://photos.google.com/share/AF1QipOLLpr5C_uObIpgoE-Uhi_ilxGVAZl79MMy0XbHYpQI2QTQe7WlMZz_Z9xJSEWlvQ?key=MDV0SHFwUVEwa2pfZjcxb2J5dmhfUEVTZG1GX1RR" TargetMode="External"/><Relationship Id="rId65" Type="http://schemas.openxmlformats.org/officeDocument/2006/relationships/hyperlink" Target="https://photos.app.goo.gl/WuMAyVsKhxwLkpPZ8" TargetMode="External"/><Relationship Id="rId68" Type="http://schemas.openxmlformats.org/officeDocument/2006/relationships/hyperlink" Target="https://photos.app.goo.gl/tLjia1GpMQi3sNR78" TargetMode="External"/><Relationship Id="rId67" Type="http://schemas.openxmlformats.org/officeDocument/2006/relationships/hyperlink" Target="https://photos.app.goo.gl/PEB1SFtFhpqpzGDW8" TargetMode="External"/><Relationship Id="rId609" Type="http://schemas.openxmlformats.org/officeDocument/2006/relationships/hyperlink" Target="https://photos.app.goo.gl/U6iyfzUdHCM4rLBC8" TargetMode="External"/><Relationship Id="rId608" Type="http://schemas.openxmlformats.org/officeDocument/2006/relationships/hyperlink" Target="https://photos.app.goo.gl/DpreRXDmubp79Hob7" TargetMode="External"/><Relationship Id="rId607" Type="http://schemas.openxmlformats.org/officeDocument/2006/relationships/hyperlink" Target="https://photos.app.goo.gl/MaM2SsmLnftzNu8EA" TargetMode="External"/><Relationship Id="rId60" Type="http://schemas.openxmlformats.org/officeDocument/2006/relationships/hyperlink" Target="https://photos.app.goo.gl/2aGpJXVnmwJrN1JUA" TargetMode="External"/><Relationship Id="rId602" Type="http://schemas.openxmlformats.org/officeDocument/2006/relationships/hyperlink" Target="https://photos.app.goo.gl/4Hq4XARDkBBL4V927" TargetMode="External"/><Relationship Id="rId601" Type="http://schemas.openxmlformats.org/officeDocument/2006/relationships/hyperlink" Target="https://photos.app.goo.gl/FHdWFRTHHxT7Xbey7" TargetMode="External"/><Relationship Id="rId600" Type="http://schemas.openxmlformats.org/officeDocument/2006/relationships/hyperlink" Target="https://photos.app.goo.gl/HvawkibQRNuHpf14A" TargetMode="External"/><Relationship Id="rId606" Type="http://schemas.openxmlformats.org/officeDocument/2006/relationships/hyperlink" Target="https://photos.app.goo.gl/uuKPYwknuxkH182j9" TargetMode="External"/><Relationship Id="rId605" Type="http://schemas.openxmlformats.org/officeDocument/2006/relationships/hyperlink" Target="https://photos.app.goo.gl/tqngk5eCuvLxzNaJ8" TargetMode="External"/><Relationship Id="rId604" Type="http://schemas.openxmlformats.org/officeDocument/2006/relationships/hyperlink" Target="https://photos.app.goo.gl/qakqYnaLQUYHN7Co9" TargetMode="External"/><Relationship Id="rId603" Type="http://schemas.openxmlformats.org/officeDocument/2006/relationships/hyperlink" Target="https://photos.app.goo.gl/6fY18Zo7XeSMMa659" TargetMode="External"/><Relationship Id="rId69" Type="http://schemas.openxmlformats.org/officeDocument/2006/relationships/hyperlink" Target="https://photos.app.goo.gl/SZ7rH2tqFytPeZxw5" TargetMode="External"/><Relationship Id="rId51" Type="http://schemas.openxmlformats.org/officeDocument/2006/relationships/hyperlink" Target="https://photos.app.goo.gl/pyEqhR858X2ukSTi6" TargetMode="External"/><Relationship Id="rId50" Type="http://schemas.openxmlformats.org/officeDocument/2006/relationships/hyperlink" Target="https://photos.app.goo.gl/pUMDJpGPKCcyKLPj8" TargetMode="External"/><Relationship Id="rId53" Type="http://schemas.openxmlformats.org/officeDocument/2006/relationships/hyperlink" Target="https://photos.app.goo.gl/kvkXhcgMQWmAPRiE7" TargetMode="External"/><Relationship Id="rId52" Type="http://schemas.openxmlformats.org/officeDocument/2006/relationships/hyperlink" Target="https://photos.app.goo.gl/dtdF2Uam6ykmVrUn6" TargetMode="External"/><Relationship Id="rId55" Type="http://schemas.openxmlformats.org/officeDocument/2006/relationships/hyperlink" Target="https://photos.app.goo.gl/yiy8HNjFhhsszHcG9" TargetMode="External"/><Relationship Id="rId54" Type="http://schemas.openxmlformats.org/officeDocument/2006/relationships/hyperlink" Target="https://photos.app.goo.gl/ifKcNM57JsW8PTto8" TargetMode="External"/><Relationship Id="rId57" Type="http://schemas.openxmlformats.org/officeDocument/2006/relationships/hyperlink" Target="https://photos.app.goo.gl/tGEhZ2E57tK96mKg9" TargetMode="External"/><Relationship Id="rId56" Type="http://schemas.openxmlformats.org/officeDocument/2006/relationships/hyperlink" Target="https://photos.app.goo.gl/28r95BFi95kWrdew7" TargetMode="External"/><Relationship Id="rId711" Type="http://schemas.openxmlformats.org/officeDocument/2006/relationships/vmlDrawing" Target="../drawings/vmlDrawing1.vml"/><Relationship Id="rId710" Type="http://schemas.openxmlformats.org/officeDocument/2006/relationships/drawing" Target="../drawings/drawing4.xml"/><Relationship Id="rId59" Type="http://schemas.openxmlformats.org/officeDocument/2006/relationships/hyperlink" Target="https://photos.app.goo.gl/WXvsDsDkXAHqLN3w7" TargetMode="External"/><Relationship Id="rId58" Type="http://schemas.openxmlformats.org/officeDocument/2006/relationships/hyperlink" Target="https://photos.app.goo.gl/Nisg4Mnh6UHJigyi6" TargetMode="External"/><Relationship Id="rId590" Type="http://schemas.openxmlformats.org/officeDocument/2006/relationships/hyperlink" Target="https://photos.app.goo.gl/Qir9sbyuCAH7ZMJq5" TargetMode="External"/><Relationship Id="rId107" Type="http://schemas.openxmlformats.org/officeDocument/2006/relationships/hyperlink" Target="https://photos.app.goo.gl/j6Lk14rJCLt3XwiZ7" TargetMode="External"/><Relationship Id="rId228" Type="http://schemas.openxmlformats.org/officeDocument/2006/relationships/hyperlink" Target="https://photos.app.goo.gl/DptS89CmnWEW7h938" TargetMode="External"/><Relationship Id="rId349" Type="http://schemas.openxmlformats.org/officeDocument/2006/relationships/hyperlink" Target="https://photos.app.goo.gl/ieYENAJKU4Hri4J57" TargetMode="External"/><Relationship Id="rId106" Type="http://schemas.openxmlformats.org/officeDocument/2006/relationships/hyperlink" Target="https://photos.app.goo.gl/HxuR49LomqaA5NBj8" TargetMode="External"/><Relationship Id="rId227" Type="http://schemas.openxmlformats.org/officeDocument/2006/relationships/hyperlink" Target="https://photos.app.goo.gl/RYRFmN4gLJK1sNKD6" TargetMode="External"/><Relationship Id="rId348" Type="http://schemas.openxmlformats.org/officeDocument/2006/relationships/hyperlink" Target="https://photos.app.goo.gl/jCGSvACD4avSZ9pK8" TargetMode="External"/><Relationship Id="rId469" Type="http://schemas.openxmlformats.org/officeDocument/2006/relationships/hyperlink" Target="https://photos.app.goo.gl/bzZd1yfUDYYmZrn7A" TargetMode="External"/><Relationship Id="rId105" Type="http://schemas.openxmlformats.org/officeDocument/2006/relationships/hyperlink" Target="https://photos.app.goo.gl/4cUYKAMhLmq3tfGh8" TargetMode="External"/><Relationship Id="rId226" Type="http://schemas.openxmlformats.org/officeDocument/2006/relationships/hyperlink" Target="https://photos.app.goo.gl/adSnzJ7EwRNpfcaZ9" TargetMode="External"/><Relationship Id="rId347" Type="http://schemas.openxmlformats.org/officeDocument/2006/relationships/hyperlink" Target="https://photos.app.goo.gl/XkKzhkG3f2cz73wX6" TargetMode="External"/><Relationship Id="rId468" Type="http://schemas.openxmlformats.org/officeDocument/2006/relationships/hyperlink" Target="https://photos.app.goo.gl/wnVtkfiy7QPGppfo9" TargetMode="External"/><Relationship Id="rId589" Type="http://schemas.openxmlformats.org/officeDocument/2006/relationships/hyperlink" Target="https://photos.app.goo.gl/kP6JF4c3K3mj8ZV88" TargetMode="External"/><Relationship Id="rId104" Type="http://schemas.openxmlformats.org/officeDocument/2006/relationships/hyperlink" Target="https://photos.app.goo.gl/8Wg2TEUt3qeja4bS6" TargetMode="External"/><Relationship Id="rId225" Type="http://schemas.openxmlformats.org/officeDocument/2006/relationships/hyperlink" Target="https://photos.app.goo.gl/JaJXFytqFTjEUTbG6" TargetMode="External"/><Relationship Id="rId346" Type="http://schemas.openxmlformats.org/officeDocument/2006/relationships/hyperlink" Target="https://photos.app.goo.gl/8e7jucMt3enixbP49" TargetMode="External"/><Relationship Id="rId467" Type="http://schemas.openxmlformats.org/officeDocument/2006/relationships/hyperlink" Target="https://photos.app.goo.gl/JfNfhbKqF1ssBcwq8" TargetMode="External"/><Relationship Id="rId588" Type="http://schemas.openxmlformats.org/officeDocument/2006/relationships/hyperlink" Target="https://photos.app.goo.gl/y7eWucWq7mDrFcvh6" TargetMode="External"/><Relationship Id="rId109" Type="http://schemas.openxmlformats.org/officeDocument/2006/relationships/hyperlink" Target="https://photos.app.goo.gl/7jbhq9Tg72KahKfW7" TargetMode="External"/><Relationship Id="rId108" Type="http://schemas.openxmlformats.org/officeDocument/2006/relationships/hyperlink" Target="https://photos.app.goo.gl/bAQQxb6AF8xpDcyw7" TargetMode="External"/><Relationship Id="rId229" Type="http://schemas.openxmlformats.org/officeDocument/2006/relationships/hyperlink" Target="https://photos.app.goo.gl/aMWeEoAPbUDNSTSRA" TargetMode="External"/><Relationship Id="rId220" Type="http://schemas.openxmlformats.org/officeDocument/2006/relationships/hyperlink" Target="https://photos.app.goo.gl/BinvjT2coS1SbyK9A" TargetMode="External"/><Relationship Id="rId341" Type="http://schemas.openxmlformats.org/officeDocument/2006/relationships/hyperlink" Target="https://photos.app.goo.gl/LFRkdQ8hMABKVr7y6" TargetMode="External"/><Relationship Id="rId462" Type="http://schemas.openxmlformats.org/officeDocument/2006/relationships/hyperlink" Target="https://photos.app.goo.gl/KKXk8evmVShuX6PEA" TargetMode="External"/><Relationship Id="rId583" Type="http://schemas.openxmlformats.org/officeDocument/2006/relationships/hyperlink" Target="https://photos.app.goo.gl/oAjsUBP74T4MBJqc8" TargetMode="External"/><Relationship Id="rId340" Type="http://schemas.openxmlformats.org/officeDocument/2006/relationships/hyperlink" Target="https://photos.app.goo.gl/ef5r6xZiwT3kBq7M6" TargetMode="External"/><Relationship Id="rId461" Type="http://schemas.openxmlformats.org/officeDocument/2006/relationships/hyperlink" Target="https://photos.app.goo.gl/EzBkdkrkPKaESDAZ8" TargetMode="External"/><Relationship Id="rId582" Type="http://schemas.openxmlformats.org/officeDocument/2006/relationships/hyperlink" Target="https://photos.app.goo.gl/afBWUhTLbzp77CzV8" TargetMode="External"/><Relationship Id="rId460" Type="http://schemas.openxmlformats.org/officeDocument/2006/relationships/hyperlink" Target="https://photos.app.goo.gl/fxMk4EJWemSXEDo17" TargetMode="External"/><Relationship Id="rId581" Type="http://schemas.openxmlformats.org/officeDocument/2006/relationships/hyperlink" Target="https://photos.app.goo.gl/4qt895zHFFmmPvyH8" TargetMode="External"/><Relationship Id="rId580" Type="http://schemas.openxmlformats.org/officeDocument/2006/relationships/hyperlink" Target="https://photos.app.goo.gl/2BGJJ57apZdM5MSh9" TargetMode="External"/><Relationship Id="rId103" Type="http://schemas.openxmlformats.org/officeDocument/2006/relationships/hyperlink" Target="https://photos.app.goo.gl/7c2Wc2AHV81pF9MQ6" TargetMode="External"/><Relationship Id="rId224" Type="http://schemas.openxmlformats.org/officeDocument/2006/relationships/hyperlink" Target="https://photos.app.goo.gl/v5NhaMsT1txHqUAZ8" TargetMode="External"/><Relationship Id="rId345" Type="http://schemas.openxmlformats.org/officeDocument/2006/relationships/hyperlink" Target="https://photos.app.goo.gl/3TWRYyxFzM4xaHJM7" TargetMode="External"/><Relationship Id="rId466" Type="http://schemas.openxmlformats.org/officeDocument/2006/relationships/hyperlink" Target="https://photos.app.goo.gl/C2EjB2CEJB7hjFTR8" TargetMode="External"/><Relationship Id="rId587" Type="http://schemas.openxmlformats.org/officeDocument/2006/relationships/hyperlink" Target="https://photos.app.goo.gl/6h4pEnn4oM4JF2AV9" TargetMode="External"/><Relationship Id="rId102" Type="http://schemas.openxmlformats.org/officeDocument/2006/relationships/hyperlink" Target="https://photos.app.goo.gl/N6A5PzNrqHxyQfPs8" TargetMode="External"/><Relationship Id="rId223" Type="http://schemas.openxmlformats.org/officeDocument/2006/relationships/hyperlink" Target="https://photos.app.goo.gl/LjQ8rQ4SVY4j6Vw37" TargetMode="External"/><Relationship Id="rId344" Type="http://schemas.openxmlformats.org/officeDocument/2006/relationships/hyperlink" Target="https://photos.app.goo.gl/ednhLQVFmhmUPbG19" TargetMode="External"/><Relationship Id="rId465" Type="http://schemas.openxmlformats.org/officeDocument/2006/relationships/hyperlink" Target="https://photos.app.goo.gl/SSE5HCfD1AVpZ2Xu8" TargetMode="External"/><Relationship Id="rId586" Type="http://schemas.openxmlformats.org/officeDocument/2006/relationships/hyperlink" Target="https://photos.app.goo.gl/DYegagJCueAhdTzQ7" TargetMode="External"/><Relationship Id="rId101" Type="http://schemas.openxmlformats.org/officeDocument/2006/relationships/hyperlink" Target="https://photos.app.goo.gl/AeurqTdLb1BQABaNA" TargetMode="External"/><Relationship Id="rId222" Type="http://schemas.openxmlformats.org/officeDocument/2006/relationships/hyperlink" Target="https://photos.app.goo.gl/wjTd6tvFMvXCK9qF7" TargetMode="External"/><Relationship Id="rId343" Type="http://schemas.openxmlformats.org/officeDocument/2006/relationships/hyperlink" Target="https://photos.app.goo.gl/EgJixdTgg2FAnhww7" TargetMode="External"/><Relationship Id="rId464" Type="http://schemas.openxmlformats.org/officeDocument/2006/relationships/hyperlink" Target="https://photos.app.goo.gl/UtWq6d5B44pAn9dA9" TargetMode="External"/><Relationship Id="rId585" Type="http://schemas.openxmlformats.org/officeDocument/2006/relationships/hyperlink" Target="https://photos.app.goo.gl/jFxLN5xei72tD3Za7" TargetMode="External"/><Relationship Id="rId100" Type="http://schemas.openxmlformats.org/officeDocument/2006/relationships/hyperlink" Target="https://photos.app.goo.gl/wowRpimK8dXqFTKB9" TargetMode="External"/><Relationship Id="rId221" Type="http://schemas.openxmlformats.org/officeDocument/2006/relationships/hyperlink" Target="https://photos.app.goo.gl/KQV17NGjgUXDxUjr5" TargetMode="External"/><Relationship Id="rId342" Type="http://schemas.openxmlformats.org/officeDocument/2006/relationships/hyperlink" Target="https://photos.app.goo.gl/iZRCV5T88nYuyUYG7" TargetMode="External"/><Relationship Id="rId463" Type="http://schemas.openxmlformats.org/officeDocument/2006/relationships/hyperlink" Target="https://photos.app.goo.gl/QDhyZnkG2BXFHTZx5" TargetMode="External"/><Relationship Id="rId584" Type="http://schemas.openxmlformats.org/officeDocument/2006/relationships/hyperlink" Target="https://photos.app.goo.gl/N4WkvTbnvAgNh1B19" TargetMode="External"/><Relationship Id="rId217" Type="http://schemas.openxmlformats.org/officeDocument/2006/relationships/hyperlink" Target="https://photos.app.goo.gl/AG4jqsBz5dor6voW8" TargetMode="External"/><Relationship Id="rId338" Type="http://schemas.openxmlformats.org/officeDocument/2006/relationships/hyperlink" Target="https://photos.app.goo.gl/KZjqG41tZafvmudA8" TargetMode="External"/><Relationship Id="rId459" Type="http://schemas.openxmlformats.org/officeDocument/2006/relationships/hyperlink" Target="https://photos.app.goo.gl/PFsZXgV9Q4m72GdCA" TargetMode="External"/><Relationship Id="rId216" Type="http://schemas.openxmlformats.org/officeDocument/2006/relationships/hyperlink" Target="https://photos.app.goo.gl/FWdaZfZxGVZv41UV7" TargetMode="External"/><Relationship Id="rId337" Type="http://schemas.openxmlformats.org/officeDocument/2006/relationships/hyperlink" Target="https://photos.app.goo.gl/DEvGzbzvKXXW3xr29" TargetMode="External"/><Relationship Id="rId458" Type="http://schemas.openxmlformats.org/officeDocument/2006/relationships/hyperlink" Target="https://photos.app.goo.gl/9biqo69BcA9Mky9s8" TargetMode="External"/><Relationship Id="rId579" Type="http://schemas.openxmlformats.org/officeDocument/2006/relationships/hyperlink" Target="https://photos.app.goo.gl/LY5D1w3GnL9P88pMA" TargetMode="External"/><Relationship Id="rId215" Type="http://schemas.openxmlformats.org/officeDocument/2006/relationships/hyperlink" Target="https://photos.app.goo.gl/gbt4mSMkZRRjAaUb6" TargetMode="External"/><Relationship Id="rId336" Type="http://schemas.openxmlformats.org/officeDocument/2006/relationships/hyperlink" Target="https://photos.app.goo.gl/vAz1LaGWFkDAac8EA" TargetMode="External"/><Relationship Id="rId457" Type="http://schemas.openxmlformats.org/officeDocument/2006/relationships/hyperlink" Target="https://photos.app.goo.gl/A3SQb3ATB3Ad5EKJ6" TargetMode="External"/><Relationship Id="rId578" Type="http://schemas.openxmlformats.org/officeDocument/2006/relationships/hyperlink" Target="https://photos.app.goo.gl/a1eeEv2bixPSA7V86" TargetMode="External"/><Relationship Id="rId699" Type="http://schemas.openxmlformats.org/officeDocument/2006/relationships/hyperlink" Target="https://photos.app.goo.gl/TALfxmABfxfFnYte6" TargetMode="External"/><Relationship Id="rId214" Type="http://schemas.openxmlformats.org/officeDocument/2006/relationships/hyperlink" Target="https://photos.app.goo.gl/1aNYHZQiN449kwTA9" TargetMode="External"/><Relationship Id="rId335" Type="http://schemas.openxmlformats.org/officeDocument/2006/relationships/hyperlink" Target="https://photos.app.goo.gl/inHTqNdUHAsmNeYx7" TargetMode="External"/><Relationship Id="rId456" Type="http://schemas.openxmlformats.org/officeDocument/2006/relationships/hyperlink" Target="https://photos.app.goo.gl/xhzBLta3P2yzEBaH9" TargetMode="External"/><Relationship Id="rId577" Type="http://schemas.openxmlformats.org/officeDocument/2006/relationships/hyperlink" Target="https://photos.app.goo.gl/dLnCJLRYG6ye8hP67" TargetMode="External"/><Relationship Id="rId698" Type="http://schemas.openxmlformats.org/officeDocument/2006/relationships/hyperlink" Target="https://photos.app.goo.gl/aP9DhRuiosR7ri5XA" TargetMode="External"/><Relationship Id="rId219" Type="http://schemas.openxmlformats.org/officeDocument/2006/relationships/hyperlink" Target="https://photos.app.goo.gl/Gc27FZSNkhmvnyALA" TargetMode="External"/><Relationship Id="rId218" Type="http://schemas.openxmlformats.org/officeDocument/2006/relationships/hyperlink" Target="https://photos.app.goo.gl/SuQbu7Hcd4Nxhod29" TargetMode="External"/><Relationship Id="rId339" Type="http://schemas.openxmlformats.org/officeDocument/2006/relationships/hyperlink" Target="https://photos.app.goo.gl/DPb7Jd6ah79vTUXo8" TargetMode="External"/><Relationship Id="rId330" Type="http://schemas.openxmlformats.org/officeDocument/2006/relationships/hyperlink" Target="https://photos.app.goo.gl/xZQqFfPcjaiK5Ky9A" TargetMode="External"/><Relationship Id="rId451" Type="http://schemas.openxmlformats.org/officeDocument/2006/relationships/hyperlink" Target="https://photos.app.goo.gl/PJiDDxt3uRVzmRit9" TargetMode="External"/><Relationship Id="rId572" Type="http://schemas.openxmlformats.org/officeDocument/2006/relationships/hyperlink" Target="https://photos.app.goo.gl/s8i6ZffZnzUjo6No7" TargetMode="External"/><Relationship Id="rId693" Type="http://schemas.openxmlformats.org/officeDocument/2006/relationships/hyperlink" Target="https://photos.app.goo.gl/WTMnnt5EHKpRZXqs5" TargetMode="External"/><Relationship Id="rId450" Type="http://schemas.openxmlformats.org/officeDocument/2006/relationships/hyperlink" Target="https://photos.app.goo.gl/MPa4btevbfPaadLr6" TargetMode="External"/><Relationship Id="rId571" Type="http://schemas.openxmlformats.org/officeDocument/2006/relationships/hyperlink" Target="https://photos.app.goo.gl/ZpQJgsz3LWEtW3yD9" TargetMode="External"/><Relationship Id="rId692" Type="http://schemas.openxmlformats.org/officeDocument/2006/relationships/hyperlink" Target="https://photos.app.goo.gl/zZKCPkV8CR3TGAYdA" TargetMode="External"/><Relationship Id="rId570" Type="http://schemas.openxmlformats.org/officeDocument/2006/relationships/hyperlink" Target="https://photos.app.goo.gl/tQpTcgxtVHfqDVeT9" TargetMode="External"/><Relationship Id="rId691" Type="http://schemas.openxmlformats.org/officeDocument/2006/relationships/hyperlink" Target="https://photos.google.com/share/AF1QipNj9gQB3R7dHrBxXeYYTc4TzRjpwNlpinw1PJzYNjhbEp_3Sq5i-dAUOWPgNnMnnQ?key=WUtKcXdFMlFZbkpzYUxNS2MtSklEekZoOV9tSVJn" TargetMode="External"/><Relationship Id="rId690" Type="http://schemas.openxmlformats.org/officeDocument/2006/relationships/hyperlink" Target="https://photos.app.goo.gl/dL22s1zpCPWB7fd58" TargetMode="External"/><Relationship Id="rId213" Type="http://schemas.openxmlformats.org/officeDocument/2006/relationships/hyperlink" Target="https://photos.app.goo.gl/DKrxPqY99FULJxS18" TargetMode="External"/><Relationship Id="rId334" Type="http://schemas.openxmlformats.org/officeDocument/2006/relationships/hyperlink" Target="https://photos.app.goo.gl/dZafvs2VqV8t3a9aA" TargetMode="External"/><Relationship Id="rId455" Type="http://schemas.openxmlformats.org/officeDocument/2006/relationships/hyperlink" Target="https://photos.app.goo.gl/GQ5kFHFinAS5muQj9" TargetMode="External"/><Relationship Id="rId576" Type="http://schemas.openxmlformats.org/officeDocument/2006/relationships/hyperlink" Target="https://photos.app.goo.gl/NVQAenVXbQK4nrom7" TargetMode="External"/><Relationship Id="rId697" Type="http://schemas.openxmlformats.org/officeDocument/2006/relationships/hyperlink" Target="https://photos.app.goo.gl/tq2vYLM9xDjvymGs5" TargetMode="External"/><Relationship Id="rId212" Type="http://schemas.openxmlformats.org/officeDocument/2006/relationships/hyperlink" Target="https://photos.app.goo.gl/WNmLxvQgEk5W8CEC8" TargetMode="External"/><Relationship Id="rId333" Type="http://schemas.openxmlformats.org/officeDocument/2006/relationships/hyperlink" Target="https://photos.app.goo.gl/F4bTuGxHWCARTQ3t9" TargetMode="External"/><Relationship Id="rId454" Type="http://schemas.openxmlformats.org/officeDocument/2006/relationships/hyperlink" Target="https://photos.app.goo.gl/ahyQLpCvzygYoqKB6" TargetMode="External"/><Relationship Id="rId575" Type="http://schemas.openxmlformats.org/officeDocument/2006/relationships/hyperlink" Target="https://photos.app.goo.gl/TeEkWp5fcKGSTtG56" TargetMode="External"/><Relationship Id="rId696" Type="http://schemas.openxmlformats.org/officeDocument/2006/relationships/hyperlink" Target="https://photos.app.goo.gl/2gXD48edVC7ABKfB6" TargetMode="External"/><Relationship Id="rId211" Type="http://schemas.openxmlformats.org/officeDocument/2006/relationships/hyperlink" Target="https://photos.app.goo.gl/6N15LVqjsf6ZZ5Py7" TargetMode="External"/><Relationship Id="rId332" Type="http://schemas.openxmlformats.org/officeDocument/2006/relationships/hyperlink" Target="https://photos.app.goo.gl/xnKaAo1zMB4uBUjJ8" TargetMode="External"/><Relationship Id="rId453" Type="http://schemas.openxmlformats.org/officeDocument/2006/relationships/hyperlink" Target="https://photos.app.goo.gl/zaTZAVoCVZ4X5XzK7" TargetMode="External"/><Relationship Id="rId574" Type="http://schemas.openxmlformats.org/officeDocument/2006/relationships/hyperlink" Target="https://photos.app.goo.gl/AbJuTKj3fW2Xg6eJA" TargetMode="External"/><Relationship Id="rId695" Type="http://schemas.openxmlformats.org/officeDocument/2006/relationships/hyperlink" Target="https://photos.app.goo.gl/i6Kbc3G8hK7pxDdY8" TargetMode="External"/><Relationship Id="rId210" Type="http://schemas.openxmlformats.org/officeDocument/2006/relationships/hyperlink" Target="https://photos.app.goo.gl/bd5jecrgrv9Ki9HN9" TargetMode="External"/><Relationship Id="rId331" Type="http://schemas.openxmlformats.org/officeDocument/2006/relationships/hyperlink" Target="https://photos.app.goo.gl/ZsxjJVGp7uJorD948" TargetMode="External"/><Relationship Id="rId452" Type="http://schemas.openxmlformats.org/officeDocument/2006/relationships/hyperlink" Target="https://photos.app.goo.gl/ysWMgThXbNGE6WoD6" TargetMode="External"/><Relationship Id="rId573" Type="http://schemas.openxmlformats.org/officeDocument/2006/relationships/hyperlink" Target="https://photos.app.goo.gl/r3Y6C8P15gTpzdxu6" TargetMode="External"/><Relationship Id="rId694" Type="http://schemas.openxmlformats.org/officeDocument/2006/relationships/hyperlink" Target="https://photos.app.goo.gl/5FucuZSJddDN96Jk8" TargetMode="External"/><Relationship Id="rId370" Type="http://schemas.openxmlformats.org/officeDocument/2006/relationships/hyperlink" Target="https://photos.app.goo.gl/2yy7eYWraLttWx2g6" TargetMode="External"/><Relationship Id="rId491" Type="http://schemas.openxmlformats.org/officeDocument/2006/relationships/hyperlink" Target="https://photos.app.goo.gl/izNh1y6zf6yQogRe7" TargetMode="External"/><Relationship Id="rId490" Type="http://schemas.openxmlformats.org/officeDocument/2006/relationships/hyperlink" Target="https://photos.app.goo.gl/oXxMfoKQYfhr8Qzx8" TargetMode="External"/><Relationship Id="rId129" Type="http://schemas.openxmlformats.org/officeDocument/2006/relationships/hyperlink" Target="https://photos.app.goo.gl/jv1k8dtgsJpjaN249" TargetMode="External"/><Relationship Id="rId128" Type="http://schemas.openxmlformats.org/officeDocument/2006/relationships/hyperlink" Target="https://photos.google.com/u/1/share/AF1QipPyLgpSp_aA6U2gyr1nfKCxs899mQLJoyaOtxqcw92s90SWyVzzTSAo_LZWHd3bDQ?hl=es&amp;key=NkhJemRVOTM3bVBIeUx6Q0UwQ1dDZWM3QUdxaFdR" TargetMode="External"/><Relationship Id="rId249" Type="http://schemas.openxmlformats.org/officeDocument/2006/relationships/hyperlink" Target="https://photos.app.goo.gl/waqGKDfe1Bea7d8GA" TargetMode="External"/><Relationship Id="rId127" Type="http://schemas.openxmlformats.org/officeDocument/2006/relationships/hyperlink" Target="https://photos.app.goo.gl/WKFvoFk82uTdBDbWA" TargetMode="External"/><Relationship Id="rId248" Type="http://schemas.openxmlformats.org/officeDocument/2006/relationships/hyperlink" Target="https://photos.app.goo.gl/nJDWkAWQZzoqhfSN9" TargetMode="External"/><Relationship Id="rId369" Type="http://schemas.openxmlformats.org/officeDocument/2006/relationships/hyperlink" Target="https://photos.app.goo.gl/5CsgGSzRbqNyijVZ7" TargetMode="External"/><Relationship Id="rId126" Type="http://schemas.openxmlformats.org/officeDocument/2006/relationships/hyperlink" Target="https://photos.app.goo.gl/dQNeJQ3AvrrcLDDk9" TargetMode="External"/><Relationship Id="rId247" Type="http://schemas.openxmlformats.org/officeDocument/2006/relationships/hyperlink" Target="https://photos.app.goo.gl/9z5fRUHiNkwXYUsQ6" TargetMode="External"/><Relationship Id="rId368" Type="http://schemas.openxmlformats.org/officeDocument/2006/relationships/hyperlink" Target="https://photos.app.goo.gl/RtLpwQCXRfv4edYK6" TargetMode="External"/><Relationship Id="rId489" Type="http://schemas.openxmlformats.org/officeDocument/2006/relationships/hyperlink" Target="https://photos.app.goo.gl/LzF2kWKR7SjJxRSz5" TargetMode="External"/><Relationship Id="rId121" Type="http://schemas.openxmlformats.org/officeDocument/2006/relationships/hyperlink" Target="https://photos.app.goo.gl/Dg3YqKn5tKSrHCrS6" TargetMode="External"/><Relationship Id="rId242" Type="http://schemas.openxmlformats.org/officeDocument/2006/relationships/hyperlink" Target="https://photos.app.goo.gl/VaLvWiBG6zi6BMQX6" TargetMode="External"/><Relationship Id="rId363" Type="http://schemas.openxmlformats.org/officeDocument/2006/relationships/hyperlink" Target="https://photos.app.goo.gl/Bpm255r6zAZ9q5G59" TargetMode="External"/><Relationship Id="rId484" Type="http://schemas.openxmlformats.org/officeDocument/2006/relationships/hyperlink" Target="https://photos.app.goo.gl/doFcVdcMp63Cc6hy7" TargetMode="External"/><Relationship Id="rId120" Type="http://schemas.openxmlformats.org/officeDocument/2006/relationships/hyperlink" Target="https://photos.app.goo.gl/mNeVYZiUt1zQo2bx6" TargetMode="External"/><Relationship Id="rId241" Type="http://schemas.openxmlformats.org/officeDocument/2006/relationships/hyperlink" Target="https://photos.app.goo.gl/M12QLowt2h53KMYs7" TargetMode="External"/><Relationship Id="rId362" Type="http://schemas.openxmlformats.org/officeDocument/2006/relationships/hyperlink" Target="https://photos.app.goo.gl/uuVkryXVQGR9ZpfD6" TargetMode="External"/><Relationship Id="rId483" Type="http://schemas.openxmlformats.org/officeDocument/2006/relationships/hyperlink" Target="https://photos.app.goo.gl/WAGTuuc72N7MSkEt8" TargetMode="External"/><Relationship Id="rId240" Type="http://schemas.openxmlformats.org/officeDocument/2006/relationships/hyperlink" Target="https://photos.app.goo.gl/faSnxo1vFMSFvH6n8" TargetMode="External"/><Relationship Id="rId361" Type="http://schemas.openxmlformats.org/officeDocument/2006/relationships/hyperlink" Target="https://photos.app.goo.gl/rdksmWSBeyDJnLpU8" TargetMode="External"/><Relationship Id="rId482" Type="http://schemas.openxmlformats.org/officeDocument/2006/relationships/hyperlink" Target="https://photos.app.goo.gl/xu5bBDj2gJyBoQLy8" TargetMode="External"/><Relationship Id="rId360" Type="http://schemas.openxmlformats.org/officeDocument/2006/relationships/hyperlink" Target="https://photos.app.goo.gl/6NKeH8TTKk22kN8o9" TargetMode="External"/><Relationship Id="rId481" Type="http://schemas.openxmlformats.org/officeDocument/2006/relationships/hyperlink" Target="https://photos.app.goo.gl/U7fjQkgwDPrLE3Yy7" TargetMode="External"/><Relationship Id="rId125" Type="http://schemas.openxmlformats.org/officeDocument/2006/relationships/hyperlink" Target="https://photos.app.goo.gl/b13pYTpZtLNZTUBz8" TargetMode="External"/><Relationship Id="rId246" Type="http://schemas.openxmlformats.org/officeDocument/2006/relationships/hyperlink" Target="https://photos.app.goo.gl/3A5gjBviS2wQHNtF7" TargetMode="External"/><Relationship Id="rId367" Type="http://schemas.openxmlformats.org/officeDocument/2006/relationships/hyperlink" Target="https://photos.app.goo.gl/1R5eGbBHeGTXTr1u9" TargetMode="External"/><Relationship Id="rId488" Type="http://schemas.openxmlformats.org/officeDocument/2006/relationships/hyperlink" Target="https://photos.app.goo.gl/hUNY7SXZKEKs37cg7" TargetMode="External"/><Relationship Id="rId124" Type="http://schemas.openxmlformats.org/officeDocument/2006/relationships/hyperlink" Target="https://photos.app.goo.gl/dh3PZnvt2V7tRhiG6" TargetMode="External"/><Relationship Id="rId245" Type="http://schemas.openxmlformats.org/officeDocument/2006/relationships/hyperlink" Target="https://photos.app.goo.gl/GMD8FrnJa9PFGtwL8" TargetMode="External"/><Relationship Id="rId366" Type="http://schemas.openxmlformats.org/officeDocument/2006/relationships/hyperlink" Target="https://photos.app.goo.gl/ATghK3tZF9Leiw73A" TargetMode="External"/><Relationship Id="rId487" Type="http://schemas.openxmlformats.org/officeDocument/2006/relationships/hyperlink" Target="https://photos.app.goo.gl/5m2ZTQnWqdKGY4dm6" TargetMode="External"/><Relationship Id="rId123" Type="http://schemas.openxmlformats.org/officeDocument/2006/relationships/hyperlink" Target="https://photos.google.com/share/AF1QipPOStZNEuG6CxtIeuwShcFiOkR6KtMKNi4j0VrAfCI3dg7UCXrUZjoVEBa-RGG-0Q?key=elVSMVlRczZ3RFlUU2hSY051QzJTTjR6aF91b0pR" TargetMode="External"/><Relationship Id="rId244" Type="http://schemas.openxmlformats.org/officeDocument/2006/relationships/hyperlink" Target="https://photos.app.goo.gl/9VWPgqFrjRj8vNLw8" TargetMode="External"/><Relationship Id="rId365" Type="http://schemas.openxmlformats.org/officeDocument/2006/relationships/hyperlink" Target="https://photos.app.goo.gl/vywkuSPfHfFrhckUA" TargetMode="External"/><Relationship Id="rId486" Type="http://schemas.openxmlformats.org/officeDocument/2006/relationships/hyperlink" Target="https://photos.app.goo.gl/bzQiL2Bevj12VyPf8" TargetMode="External"/><Relationship Id="rId122" Type="http://schemas.openxmlformats.org/officeDocument/2006/relationships/hyperlink" Target="https://photos.google.com/u/1/share/AF1QipPplZBV7tlQYw_pX8G_Pnt4qwAW--se6LialvKIYDv8GNhg8Ai3-LzqaTbudRMJYA?key=eDVMeW9KYmlvSHZoaXRDR3lvcmdmU1FUbFhtdUtn" TargetMode="External"/><Relationship Id="rId243" Type="http://schemas.openxmlformats.org/officeDocument/2006/relationships/hyperlink" Target="https://photos.app.goo.gl/S1nKKVfcRrcjGysH6" TargetMode="External"/><Relationship Id="rId364" Type="http://schemas.openxmlformats.org/officeDocument/2006/relationships/hyperlink" Target="https://photos.app.goo.gl/FBGAkmsQqeZeuGpy7" TargetMode="External"/><Relationship Id="rId485" Type="http://schemas.openxmlformats.org/officeDocument/2006/relationships/hyperlink" Target="https://photos.app.goo.gl/zVs32Z9bD61yNxnFA" TargetMode="External"/><Relationship Id="rId95" Type="http://schemas.openxmlformats.org/officeDocument/2006/relationships/hyperlink" Target="https://photos.google.com/u/1/share/AF1QipOvg8N7lkh9bSRuNFfKF7XfNtpeOlIEG3bs_Un8YsTgcl1V0gM0UI9pcejqm0rD9Q?hl=es&amp;key=MGF1Z2M0REhhVi1SSEQ4VG85N3B2YWhjWG9mNnNR" TargetMode="External"/><Relationship Id="rId94" Type="http://schemas.openxmlformats.org/officeDocument/2006/relationships/hyperlink" Target="https://photos.app.goo.gl/6EiPhjJq1zuaPHXeA" TargetMode="External"/><Relationship Id="rId97" Type="http://schemas.openxmlformats.org/officeDocument/2006/relationships/hyperlink" Target="https://photos.app.goo.gl/7QnTN5NGG7gsYNyh9" TargetMode="External"/><Relationship Id="rId96" Type="http://schemas.openxmlformats.org/officeDocument/2006/relationships/hyperlink" Target="https://photos.app.goo.gl/Not4Z3sZoWa2rM1s9" TargetMode="External"/><Relationship Id="rId99" Type="http://schemas.openxmlformats.org/officeDocument/2006/relationships/hyperlink" Target="https://photos.google.com/u/1/share/AF1QipPeRRIvYTdPiqHYgwiWZtodt7pJTz8-bUWRd1wS9ckV1VYX7O4M5I_idI96SnlJxQ?hl=es&amp;key=UTF2ZlI4elJhWndUYzd5RzRLVFRMd01KeHlJSnBn" TargetMode="External"/><Relationship Id="rId480" Type="http://schemas.openxmlformats.org/officeDocument/2006/relationships/hyperlink" Target="https://photos.app.goo.gl/gEAwBsoBfrtef6bF9" TargetMode="External"/><Relationship Id="rId98" Type="http://schemas.openxmlformats.org/officeDocument/2006/relationships/hyperlink" Target="https://photos.app.goo.gl/f8CVVuM8JMsa82dg7" TargetMode="External"/><Relationship Id="rId91" Type="http://schemas.openxmlformats.org/officeDocument/2006/relationships/hyperlink" Target="https://photos.app.goo.gl/cuREDmpg6MZf8hSS9" TargetMode="External"/><Relationship Id="rId90" Type="http://schemas.openxmlformats.org/officeDocument/2006/relationships/hyperlink" Target="https://photos.app.goo.gl/L8drHzcKfcH6K37f8" TargetMode="External"/><Relationship Id="rId93" Type="http://schemas.openxmlformats.org/officeDocument/2006/relationships/hyperlink" Target="https://photos.app.goo.gl/nYRoNs4d96geQ5wF6" TargetMode="External"/><Relationship Id="rId92" Type="http://schemas.openxmlformats.org/officeDocument/2006/relationships/hyperlink" Target="https://photos.app.goo.gl/tsPPRAq8Z52u2RqQA" TargetMode="External"/><Relationship Id="rId118" Type="http://schemas.openxmlformats.org/officeDocument/2006/relationships/hyperlink" Target="https://photos.app.goo.gl/fXdVSix3NhpZgPWU7" TargetMode="External"/><Relationship Id="rId239" Type="http://schemas.openxmlformats.org/officeDocument/2006/relationships/hyperlink" Target="https://photos.app.goo.gl/MecKAB4MJ8qoYU1S6" TargetMode="External"/><Relationship Id="rId117" Type="http://schemas.openxmlformats.org/officeDocument/2006/relationships/hyperlink" Target="https://photos.app.goo.gl/SzhDikLhpUyQXsNo8" TargetMode="External"/><Relationship Id="rId238" Type="http://schemas.openxmlformats.org/officeDocument/2006/relationships/hyperlink" Target="https://photos.app.goo.gl/6hYQzTwBqSL4LgAk9" TargetMode="External"/><Relationship Id="rId359" Type="http://schemas.openxmlformats.org/officeDocument/2006/relationships/hyperlink" Target="https://photos.app.goo.gl/4v5L3ZbosDRYFGsj8" TargetMode="External"/><Relationship Id="rId116" Type="http://schemas.openxmlformats.org/officeDocument/2006/relationships/hyperlink" Target="https://photos.app.goo.gl/eqwoxA5G2yXuJyz59" TargetMode="External"/><Relationship Id="rId237" Type="http://schemas.openxmlformats.org/officeDocument/2006/relationships/hyperlink" Target="https://photos.app.goo.gl/ybDjP6GndB1PZxWc6" TargetMode="External"/><Relationship Id="rId358" Type="http://schemas.openxmlformats.org/officeDocument/2006/relationships/hyperlink" Target="https://photos.app.goo.gl/cuSLc1nQTB3F4mb46" TargetMode="External"/><Relationship Id="rId479" Type="http://schemas.openxmlformats.org/officeDocument/2006/relationships/hyperlink" Target="https://photos.app.goo.gl/NjLHTuXuMHnnmTeW8" TargetMode="External"/><Relationship Id="rId115" Type="http://schemas.openxmlformats.org/officeDocument/2006/relationships/hyperlink" Target="https://photos.app.goo.gl/czFLCHxKvvzGyFuQ8" TargetMode="External"/><Relationship Id="rId236" Type="http://schemas.openxmlformats.org/officeDocument/2006/relationships/hyperlink" Target="https://photos.app.goo.gl/m288EAspwV3AtsiR7" TargetMode="External"/><Relationship Id="rId357" Type="http://schemas.openxmlformats.org/officeDocument/2006/relationships/hyperlink" Target="https://photos.app.goo.gl/nYKwoD2jq68q8MnT7" TargetMode="External"/><Relationship Id="rId478" Type="http://schemas.openxmlformats.org/officeDocument/2006/relationships/hyperlink" Target="https://photos.app.goo.gl/UZ96JkH82z5knv1B7" TargetMode="External"/><Relationship Id="rId599" Type="http://schemas.openxmlformats.org/officeDocument/2006/relationships/hyperlink" Target="https://photos.app.goo.gl/wFnGftfaEQwDyy87A" TargetMode="External"/><Relationship Id="rId119" Type="http://schemas.openxmlformats.org/officeDocument/2006/relationships/hyperlink" Target="https://photos.app.goo.gl/jXc4KpFWFsHfRLaS7" TargetMode="External"/><Relationship Id="rId110" Type="http://schemas.openxmlformats.org/officeDocument/2006/relationships/hyperlink" Target="https://photos.app.goo.gl/dNAiX3WRmirPqqvd7" TargetMode="External"/><Relationship Id="rId231" Type="http://schemas.openxmlformats.org/officeDocument/2006/relationships/hyperlink" Target="https://photos.app.goo.gl/MveJ9qez329gAsxi9" TargetMode="External"/><Relationship Id="rId352" Type="http://schemas.openxmlformats.org/officeDocument/2006/relationships/hyperlink" Target="https://photos.app.goo.gl/1g5619WrUderprit9" TargetMode="External"/><Relationship Id="rId473" Type="http://schemas.openxmlformats.org/officeDocument/2006/relationships/hyperlink" Target="https://photos.app.goo.gl/Ln8NCQRo26R2mzUd9" TargetMode="External"/><Relationship Id="rId594" Type="http://schemas.openxmlformats.org/officeDocument/2006/relationships/hyperlink" Target="https://photos.app.goo.gl/6SH7wp57moHx8fAK9" TargetMode="External"/><Relationship Id="rId230" Type="http://schemas.openxmlformats.org/officeDocument/2006/relationships/hyperlink" Target="https://photos.app.goo.gl/MveJ9qez329gAsxi9" TargetMode="External"/><Relationship Id="rId351" Type="http://schemas.openxmlformats.org/officeDocument/2006/relationships/hyperlink" Target="https://photos.app.goo.gl/CAf8xebasMJvfKyy5" TargetMode="External"/><Relationship Id="rId472" Type="http://schemas.openxmlformats.org/officeDocument/2006/relationships/hyperlink" Target="https://photos.app.goo.gl/CVnCQGxM7o8Ngdkf7" TargetMode="External"/><Relationship Id="rId593" Type="http://schemas.openxmlformats.org/officeDocument/2006/relationships/hyperlink" Target="https://photos.app.goo.gl/wHVAsib9XRV7S3sY7" TargetMode="External"/><Relationship Id="rId350" Type="http://schemas.openxmlformats.org/officeDocument/2006/relationships/hyperlink" Target="https://photos.app.goo.gl/Tcrz2r6JpprmK3Bx8" TargetMode="External"/><Relationship Id="rId471" Type="http://schemas.openxmlformats.org/officeDocument/2006/relationships/hyperlink" Target="https://photos.app.goo.gl/LkXspBzMFj6yQf46A" TargetMode="External"/><Relationship Id="rId592" Type="http://schemas.openxmlformats.org/officeDocument/2006/relationships/hyperlink" Target="https://photos.app.goo.gl/NKBr8zHEwYcxQegC9" TargetMode="External"/><Relationship Id="rId470" Type="http://schemas.openxmlformats.org/officeDocument/2006/relationships/hyperlink" Target="https://photos.app.goo.gl/CpZZ7LXTmhuCNZE6A" TargetMode="External"/><Relationship Id="rId591" Type="http://schemas.openxmlformats.org/officeDocument/2006/relationships/hyperlink" Target="https://photos.app.goo.gl/etjJvx624ESFS9GH8" TargetMode="External"/><Relationship Id="rId114" Type="http://schemas.openxmlformats.org/officeDocument/2006/relationships/hyperlink" Target="https://photos.app.goo.gl/cbqCbRAE4rzpqz6fA" TargetMode="External"/><Relationship Id="rId235" Type="http://schemas.openxmlformats.org/officeDocument/2006/relationships/hyperlink" Target="https://photos.app.goo.gl/m7uh6M9bRzjyNFss8" TargetMode="External"/><Relationship Id="rId356" Type="http://schemas.openxmlformats.org/officeDocument/2006/relationships/hyperlink" Target="https://photos.app.goo.gl/zp8187GgtjVkoYDt7" TargetMode="External"/><Relationship Id="rId477" Type="http://schemas.openxmlformats.org/officeDocument/2006/relationships/hyperlink" Target="https://photos.app.goo.gl/m2uS6rpanjLGzX9W8" TargetMode="External"/><Relationship Id="rId598" Type="http://schemas.openxmlformats.org/officeDocument/2006/relationships/hyperlink" Target="https://photos.app.goo.gl/ueZzPr7mgKREj9te9" TargetMode="External"/><Relationship Id="rId113" Type="http://schemas.openxmlformats.org/officeDocument/2006/relationships/hyperlink" Target="https://photos.app.goo.gl/Yf9uXsSJoRsJf2P7A" TargetMode="External"/><Relationship Id="rId234" Type="http://schemas.openxmlformats.org/officeDocument/2006/relationships/hyperlink" Target="https://photos.app.goo.gl/WMu8sreanb64biwQ6" TargetMode="External"/><Relationship Id="rId355" Type="http://schemas.openxmlformats.org/officeDocument/2006/relationships/hyperlink" Target="https://photos.app.goo.gl/S8CDXGirYYSKy6Lm8" TargetMode="External"/><Relationship Id="rId476" Type="http://schemas.openxmlformats.org/officeDocument/2006/relationships/hyperlink" Target="https://photos.app.goo.gl/4R3WvqD4DTGRozNs7" TargetMode="External"/><Relationship Id="rId597" Type="http://schemas.openxmlformats.org/officeDocument/2006/relationships/hyperlink" Target="https://photos.app.goo.gl/myepAuqjokcAAcmW6" TargetMode="External"/><Relationship Id="rId112" Type="http://schemas.openxmlformats.org/officeDocument/2006/relationships/hyperlink" Target="https://photos.app.goo.gl/JDkeTECSy1nRr4pU8" TargetMode="External"/><Relationship Id="rId233" Type="http://schemas.openxmlformats.org/officeDocument/2006/relationships/hyperlink" Target="https://photos.app.goo.gl/dxsSPH77xX2x8ZNa8" TargetMode="External"/><Relationship Id="rId354" Type="http://schemas.openxmlformats.org/officeDocument/2006/relationships/hyperlink" Target="https://photos.app.goo.gl/jE14SB8eEprsjVei7" TargetMode="External"/><Relationship Id="rId475" Type="http://schemas.openxmlformats.org/officeDocument/2006/relationships/hyperlink" Target="https://photos.app.goo.gl/pCj3q4GggyvhtjLh7" TargetMode="External"/><Relationship Id="rId596" Type="http://schemas.openxmlformats.org/officeDocument/2006/relationships/hyperlink" Target="https://photos.app.goo.gl/sPMkBr93iVdn6s6y8" TargetMode="External"/><Relationship Id="rId111" Type="http://schemas.openxmlformats.org/officeDocument/2006/relationships/hyperlink" Target="https://photos.app.goo.gl/XRqAq5D1AC3q8ro2A" TargetMode="External"/><Relationship Id="rId232" Type="http://schemas.openxmlformats.org/officeDocument/2006/relationships/hyperlink" Target="https://photos.app.goo.gl/MKPDnv4JVsmbi2wp7" TargetMode="External"/><Relationship Id="rId353" Type="http://schemas.openxmlformats.org/officeDocument/2006/relationships/hyperlink" Target="https://photos.app.goo.gl/VSMqzVyknjzXkfL28" TargetMode="External"/><Relationship Id="rId474" Type="http://schemas.openxmlformats.org/officeDocument/2006/relationships/hyperlink" Target="https://photos.app.goo.gl/TrPudcCCmC94Rpuk7" TargetMode="External"/><Relationship Id="rId595" Type="http://schemas.openxmlformats.org/officeDocument/2006/relationships/hyperlink" Target="https://photos.app.goo.gl/2SWpNoJhW1jM7e8cA" TargetMode="External"/><Relationship Id="rId305" Type="http://schemas.openxmlformats.org/officeDocument/2006/relationships/hyperlink" Target="https://photos.app.goo.gl/iHhwkVwwHrLyJ1Pm9" TargetMode="External"/><Relationship Id="rId426" Type="http://schemas.openxmlformats.org/officeDocument/2006/relationships/hyperlink" Target="https://photos.app.goo.gl/Azh1WjR5Jm3iMkYo7" TargetMode="External"/><Relationship Id="rId547" Type="http://schemas.openxmlformats.org/officeDocument/2006/relationships/hyperlink" Target="https://photos.app.goo.gl/FvFBiH8kQWb99SmK8" TargetMode="External"/><Relationship Id="rId668" Type="http://schemas.openxmlformats.org/officeDocument/2006/relationships/hyperlink" Target="https://photos.app.goo.gl/U9oiHuzLdw3BCKPH9" TargetMode="External"/><Relationship Id="rId304" Type="http://schemas.openxmlformats.org/officeDocument/2006/relationships/hyperlink" Target="https://photos.app.goo.gl/9F5WjutUKUm9tWKf6" TargetMode="External"/><Relationship Id="rId425" Type="http://schemas.openxmlformats.org/officeDocument/2006/relationships/hyperlink" Target="https://photos.app.goo.gl/mc6LBnRPgok8F19D6" TargetMode="External"/><Relationship Id="rId546" Type="http://schemas.openxmlformats.org/officeDocument/2006/relationships/hyperlink" Target="https://photos.app.goo.gl/DXahLWJjjFh9RAMEA" TargetMode="External"/><Relationship Id="rId667" Type="http://schemas.openxmlformats.org/officeDocument/2006/relationships/hyperlink" Target="https://photos.google.com/share/AF1QipM9WK3Vefu04P64VpfK89wpean8nsVzoaxkoHmLHbVrlKzOWyIhLGZdL7ELTVgwIg?key=ZFp5alhMZ0NpYXdiQVZQZk55b0hmaklZWG53QjhR" TargetMode="External"/><Relationship Id="rId303" Type="http://schemas.openxmlformats.org/officeDocument/2006/relationships/hyperlink" Target="https://photos.app.goo.gl/f2zJ2ip7i6WaDPdU7" TargetMode="External"/><Relationship Id="rId424" Type="http://schemas.openxmlformats.org/officeDocument/2006/relationships/hyperlink" Target="https://photos.app.goo.gl/Fy3PtKv7NhV62qa38" TargetMode="External"/><Relationship Id="rId545" Type="http://schemas.openxmlformats.org/officeDocument/2006/relationships/hyperlink" Target="https://photos.app.goo.gl/iNDB7oPPEH4k9SzXA" TargetMode="External"/><Relationship Id="rId666" Type="http://schemas.openxmlformats.org/officeDocument/2006/relationships/hyperlink" Target="https://photos.google.com/share/AF1QipNBYZl568W0BulMRyi7fIEbzszsOekhW5KhcdmOmU780fcukaiJvs-TqfwCXZ_7wg?key=aEhBLXFLVHBsbGlMaVZBQWhPTUJtQTBEeUpSdTR3" TargetMode="External"/><Relationship Id="rId302" Type="http://schemas.openxmlformats.org/officeDocument/2006/relationships/hyperlink" Target="https://photos.app.goo.gl/TXX6msddF9pfSCax5" TargetMode="External"/><Relationship Id="rId423" Type="http://schemas.openxmlformats.org/officeDocument/2006/relationships/hyperlink" Target="https://photos.app.goo.gl/poD7FwNEo6o4EAy87" TargetMode="External"/><Relationship Id="rId544" Type="http://schemas.openxmlformats.org/officeDocument/2006/relationships/hyperlink" Target="https://photos.app.goo.gl/HisFuKoFCNxSUf9j7" TargetMode="External"/><Relationship Id="rId665" Type="http://schemas.openxmlformats.org/officeDocument/2006/relationships/hyperlink" Target="https://photos.app.goo.gl/pK6Aq8vtG9S6ecwY8" TargetMode="External"/><Relationship Id="rId309" Type="http://schemas.openxmlformats.org/officeDocument/2006/relationships/hyperlink" Target="https://photos.app.goo.gl/crR3aocbxuAfbeoP8" TargetMode="External"/><Relationship Id="rId308" Type="http://schemas.openxmlformats.org/officeDocument/2006/relationships/hyperlink" Target="https://photos.app.goo.gl/Y17QF47eCpuRLgSh8" TargetMode="External"/><Relationship Id="rId429" Type="http://schemas.openxmlformats.org/officeDocument/2006/relationships/hyperlink" Target="https://photos.app.goo.gl/uVDDREVywH7S5yTH6" TargetMode="External"/><Relationship Id="rId307" Type="http://schemas.openxmlformats.org/officeDocument/2006/relationships/hyperlink" Target="https://photos.app.goo.gl/u4vTtbfW4BwEi1HS8" TargetMode="External"/><Relationship Id="rId428" Type="http://schemas.openxmlformats.org/officeDocument/2006/relationships/hyperlink" Target="https://photos.app.goo.gl/AeM1B5QBFYuk39Yo6" TargetMode="External"/><Relationship Id="rId549" Type="http://schemas.openxmlformats.org/officeDocument/2006/relationships/hyperlink" Target="https://photos.app.goo.gl/jHjiVbdun4VCW4KM8" TargetMode="External"/><Relationship Id="rId306" Type="http://schemas.openxmlformats.org/officeDocument/2006/relationships/hyperlink" Target="https://photos.app.goo.gl/8mUQLUfcDcZ9dtnS9" TargetMode="External"/><Relationship Id="rId427" Type="http://schemas.openxmlformats.org/officeDocument/2006/relationships/hyperlink" Target="https://photos.app.goo.gl/L5BSgcdVkH3fhgNG6" TargetMode="External"/><Relationship Id="rId548" Type="http://schemas.openxmlformats.org/officeDocument/2006/relationships/hyperlink" Target="https://photos.app.goo.gl/cYE8YcdXwVsfKhY56" TargetMode="External"/><Relationship Id="rId669" Type="http://schemas.openxmlformats.org/officeDocument/2006/relationships/hyperlink" Target="https://photos.app.goo.gl/Ytu55xhsKD1QXyvXA" TargetMode="External"/><Relationship Id="rId660" Type="http://schemas.openxmlformats.org/officeDocument/2006/relationships/hyperlink" Target="https://photos.app.goo.gl/oGdX7khFJpPXHaXz7" TargetMode="External"/><Relationship Id="rId301" Type="http://schemas.openxmlformats.org/officeDocument/2006/relationships/hyperlink" Target="https://photos.app.goo.gl/BScognxLyGwbVcws6" TargetMode="External"/><Relationship Id="rId422" Type="http://schemas.openxmlformats.org/officeDocument/2006/relationships/hyperlink" Target="https://photos.app.goo.gl/zpb2nqo4ztrDVUYp6" TargetMode="External"/><Relationship Id="rId543" Type="http://schemas.openxmlformats.org/officeDocument/2006/relationships/hyperlink" Target="https://photos.app.goo.gl/hZmj175wYShJufoy7" TargetMode="External"/><Relationship Id="rId664" Type="http://schemas.openxmlformats.org/officeDocument/2006/relationships/hyperlink" Target="https://photos.google.com/share/AF1QipORIwe-P8Sm7jF2Uf8J7Rq1Sso17zR3wYwgQBJb-ypJWH85wX5VGNlNHy9tjCPMpw?key=c25rc2EtU2ljcUVNYXB0Y3FUdkM3a2FMNFctYnFn" TargetMode="External"/><Relationship Id="rId300" Type="http://schemas.openxmlformats.org/officeDocument/2006/relationships/hyperlink" Target="https://photos.app.goo.gl/PRBw3zRyA7QBUFid6" TargetMode="External"/><Relationship Id="rId421" Type="http://schemas.openxmlformats.org/officeDocument/2006/relationships/hyperlink" Target="https://photos.app.goo.gl/bc2kFfEwFAphJbPQA" TargetMode="External"/><Relationship Id="rId542" Type="http://schemas.openxmlformats.org/officeDocument/2006/relationships/hyperlink" Target="https://photos.app.goo.gl/HHJ2VAt6v6kDqcgd6" TargetMode="External"/><Relationship Id="rId663" Type="http://schemas.openxmlformats.org/officeDocument/2006/relationships/hyperlink" Target="https://photos.app.goo.gl/jPNKhE5hUjMX2cdV8" TargetMode="External"/><Relationship Id="rId420" Type="http://schemas.openxmlformats.org/officeDocument/2006/relationships/hyperlink" Target="https://photos.app.goo.gl/NQyW7AuUhgiyAFjq6" TargetMode="External"/><Relationship Id="rId541" Type="http://schemas.openxmlformats.org/officeDocument/2006/relationships/hyperlink" Target="https://photos.app.goo.gl/PNki4Yrxnk1ptCVC7" TargetMode="External"/><Relationship Id="rId662" Type="http://schemas.openxmlformats.org/officeDocument/2006/relationships/hyperlink" Target="https://photos.app.goo.gl/FYXa5AF8q5wZhKuU7" TargetMode="External"/><Relationship Id="rId540" Type="http://schemas.openxmlformats.org/officeDocument/2006/relationships/hyperlink" Target="https://photos.app.goo.gl/zuTdKA9eTzQqJSVcA" TargetMode="External"/><Relationship Id="rId661" Type="http://schemas.openxmlformats.org/officeDocument/2006/relationships/hyperlink" Target="https://photos.app.goo.gl/Lhf57pPdrWeQ1XFQ8" TargetMode="External"/><Relationship Id="rId415" Type="http://schemas.openxmlformats.org/officeDocument/2006/relationships/hyperlink" Target="https://photos.app.goo.gl/kaaW9UEMg2BTzxtGA" TargetMode="External"/><Relationship Id="rId536" Type="http://schemas.openxmlformats.org/officeDocument/2006/relationships/hyperlink" Target="https://photos.app.goo.gl/ToJQa25Ce93oFiMy6" TargetMode="External"/><Relationship Id="rId657" Type="http://schemas.openxmlformats.org/officeDocument/2006/relationships/hyperlink" Target="https://photos.app.goo.gl/Get7ktL2HqP4Fm8r5" TargetMode="External"/><Relationship Id="rId414" Type="http://schemas.openxmlformats.org/officeDocument/2006/relationships/hyperlink" Target="https://photos.app.goo.gl/3cb68uzbydtyUFWu7" TargetMode="External"/><Relationship Id="rId535" Type="http://schemas.openxmlformats.org/officeDocument/2006/relationships/hyperlink" Target="https://photos.app.goo.gl/Khyb8MMU89mFKBiY8" TargetMode="External"/><Relationship Id="rId656" Type="http://schemas.openxmlformats.org/officeDocument/2006/relationships/hyperlink" Target="https://photos.app.goo.gl/4frYnrGmqX19e3iJ8" TargetMode="External"/><Relationship Id="rId413" Type="http://schemas.openxmlformats.org/officeDocument/2006/relationships/hyperlink" Target="https://photos.app.goo.gl/hx8eC7J6bJFm1Wbq9" TargetMode="External"/><Relationship Id="rId534" Type="http://schemas.openxmlformats.org/officeDocument/2006/relationships/hyperlink" Target="https://photos.app.goo.gl/epKaWddRaULSt7W46" TargetMode="External"/><Relationship Id="rId655" Type="http://schemas.openxmlformats.org/officeDocument/2006/relationships/hyperlink" Target="https://photos.app.goo.gl/NzyccJx5jNa9GivNA" TargetMode="External"/><Relationship Id="rId412" Type="http://schemas.openxmlformats.org/officeDocument/2006/relationships/hyperlink" Target="https://photos.app.goo.gl/FJgEfD1w36cGS8V97" TargetMode="External"/><Relationship Id="rId533" Type="http://schemas.openxmlformats.org/officeDocument/2006/relationships/hyperlink" Target="https://photos.app.goo.gl/zWRM34wPStAnKZKL8" TargetMode="External"/><Relationship Id="rId654" Type="http://schemas.openxmlformats.org/officeDocument/2006/relationships/hyperlink" Target="https://photos.app.goo.gl/HjEmqZ8fKohKdfX48" TargetMode="External"/><Relationship Id="rId419" Type="http://schemas.openxmlformats.org/officeDocument/2006/relationships/hyperlink" Target="https://photos.app.goo.gl/nQaamarytbj5jMaz9" TargetMode="External"/><Relationship Id="rId418" Type="http://schemas.openxmlformats.org/officeDocument/2006/relationships/hyperlink" Target="https://photos.app.goo.gl/cA4CjjEshY1Qqo48A" TargetMode="External"/><Relationship Id="rId539" Type="http://schemas.openxmlformats.org/officeDocument/2006/relationships/hyperlink" Target="https://photos.app.goo.gl/BTnK4JJmK8CPEyfX6" TargetMode="External"/><Relationship Id="rId417" Type="http://schemas.openxmlformats.org/officeDocument/2006/relationships/hyperlink" Target="https://photos.app.goo.gl/bhWunPMWWqUnr4QG6" TargetMode="External"/><Relationship Id="rId538" Type="http://schemas.openxmlformats.org/officeDocument/2006/relationships/hyperlink" Target="https://photos.app.goo.gl/axWfdjCJk2gSxK17A" TargetMode="External"/><Relationship Id="rId659" Type="http://schemas.openxmlformats.org/officeDocument/2006/relationships/hyperlink" Target="https://photos.app.goo.gl/k59q58MapnTHJnEf7" TargetMode="External"/><Relationship Id="rId416" Type="http://schemas.openxmlformats.org/officeDocument/2006/relationships/hyperlink" Target="https://photos.app.goo.gl/yfn8LE3oXGJLy9RL6" TargetMode="External"/><Relationship Id="rId537" Type="http://schemas.openxmlformats.org/officeDocument/2006/relationships/hyperlink" Target="https://photos.app.goo.gl/mkyskaTZKxBGUb9W6" TargetMode="External"/><Relationship Id="rId658" Type="http://schemas.openxmlformats.org/officeDocument/2006/relationships/hyperlink" Target="https://photos.app.goo.gl/oMnwLdC2z7WcB9ccA" TargetMode="External"/><Relationship Id="rId411" Type="http://schemas.openxmlformats.org/officeDocument/2006/relationships/hyperlink" Target="https://photos.app.goo.gl/p18pjb9SvzcQDgcA6" TargetMode="External"/><Relationship Id="rId532" Type="http://schemas.openxmlformats.org/officeDocument/2006/relationships/hyperlink" Target="https://photos.app.goo.gl/DiAs87km1yarPKgB8" TargetMode="External"/><Relationship Id="rId653" Type="http://schemas.openxmlformats.org/officeDocument/2006/relationships/hyperlink" Target="https://photos.app.goo.gl/rszTRTzwuVtyFsAo6" TargetMode="External"/><Relationship Id="rId410" Type="http://schemas.openxmlformats.org/officeDocument/2006/relationships/hyperlink" Target="https://lh3.googleusercontent.com/pw/AP1GczMbkUVK9OBKrJee5trdIJ4mEbeR2itlgt-x902Ce1n6Q8X5ly9Ejvm7_zU4AynpcQ-cLLVXA2tlHh2WcqINARIT_WgilV9QPj1NgdcAu-F8wuJ8egTJ=w1200" TargetMode="External"/><Relationship Id="rId531" Type="http://schemas.openxmlformats.org/officeDocument/2006/relationships/hyperlink" Target="https://photos.app.goo.gl/HQXtXtWDUfzL5dfU9" TargetMode="External"/><Relationship Id="rId652" Type="http://schemas.openxmlformats.org/officeDocument/2006/relationships/hyperlink" Target="https://photos.app.goo.gl/jBGDxx9SMdQEBNyw6" TargetMode="External"/><Relationship Id="rId530" Type="http://schemas.openxmlformats.org/officeDocument/2006/relationships/hyperlink" Target="https://photos.app.goo.gl/qkZ5yPYAgAAXLRoNA" TargetMode="External"/><Relationship Id="rId651" Type="http://schemas.openxmlformats.org/officeDocument/2006/relationships/hyperlink" Target="https://photos.app.goo.gl/rGBKCnmGaXp2ujDBA" TargetMode="External"/><Relationship Id="rId650" Type="http://schemas.openxmlformats.org/officeDocument/2006/relationships/hyperlink" Target="https://photos.app.goo.gl/6AjwWEzgvCYGMMCH8" TargetMode="External"/><Relationship Id="rId206" Type="http://schemas.openxmlformats.org/officeDocument/2006/relationships/hyperlink" Target="https://photos.app.goo.gl/LLG4CKE3c6tscmEC6" TargetMode="External"/><Relationship Id="rId327" Type="http://schemas.openxmlformats.org/officeDocument/2006/relationships/hyperlink" Target="https://photos.app.goo.gl/UhXT7z2hCdqHdySs9" TargetMode="External"/><Relationship Id="rId448" Type="http://schemas.openxmlformats.org/officeDocument/2006/relationships/hyperlink" Target="https://photos.app.goo.gl/V74K3sZVNmBT32Tq6" TargetMode="External"/><Relationship Id="rId569" Type="http://schemas.openxmlformats.org/officeDocument/2006/relationships/hyperlink" Target="https://photos.app.goo.gl/6Yo64MFgdfZ2zmvX8" TargetMode="External"/><Relationship Id="rId205" Type="http://schemas.openxmlformats.org/officeDocument/2006/relationships/hyperlink" Target="https://photos.app.goo.gl/8accad79tcZRBSST7" TargetMode="External"/><Relationship Id="rId326" Type="http://schemas.openxmlformats.org/officeDocument/2006/relationships/hyperlink" Target="https://photos.app.goo.gl/jojk7qmaE45pJ4Kc8" TargetMode="External"/><Relationship Id="rId447" Type="http://schemas.openxmlformats.org/officeDocument/2006/relationships/hyperlink" Target="https://photos.app.goo.gl/mEcLAecYoWVLnmwy6" TargetMode="External"/><Relationship Id="rId568" Type="http://schemas.openxmlformats.org/officeDocument/2006/relationships/hyperlink" Target="https://photos.app.goo.gl/mpBGsqnwuFcExAtv6" TargetMode="External"/><Relationship Id="rId689" Type="http://schemas.openxmlformats.org/officeDocument/2006/relationships/hyperlink" Target="https://photos.app.goo.gl/a8MxrCvZWDAr1c1R6" TargetMode="External"/><Relationship Id="rId204" Type="http://schemas.openxmlformats.org/officeDocument/2006/relationships/hyperlink" Target="https://photos.app.goo.gl/Vx1EnqwSCQYy3kJr7" TargetMode="External"/><Relationship Id="rId325" Type="http://schemas.openxmlformats.org/officeDocument/2006/relationships/hyperlink" Target="https://photos.app.goo.gl/Ggtmyu3H5psC3Sba9" TargetMode="External"/><Relationship Id="rId446" Type="http://schemas.openxmlformats.org/officeDocument/2006/relationships/hyperlink" Target="https://photos.app.goo.gl/WLWanwmGkTNRgeKQA" TargetMode="External"/><Relationship Id="rId567" Type="http://schemas.openxmlformats.org/officeDocument/2006/relationships/hyperlink" Target="https://photos.app.goo.gl/uDJsjAwMg4rfawhX6" TargetMode="External"/><Relationship Id="rId688" Type="http://schemas.openxmlformats.org/officeDocument/2006/relationships/hyperlink" Target="https://photos.app.goo.gl/KqtSRVhNXziKMU729" TargetMode="External"/><Relationship Id="rId203" Type="http://schemas.openxmlformats.org/officeDocument/2006/relationships/hyperlink" Target="https://photos.app.goo.gl/4MXN1w8h9PagFxgQ8" TargetMode="External"/><Relationship Id="rId324" Type="http://schemas.openxmlformats.org/officeDocument/2006/relationships/hyperlink" Target="https://photos.app.goo.gl/LGq5j1zdPGfcTaQw8" TargetMode="External"/><Relationship Id="rId445" Type="http://schemas.openxmlformats.org/officeDocument/2006/relationships/hyperlink" Target="https://photos.app.goo.gl/QtC2cYpZZrsJQPW99" TargetMode="External"/><Relationship Id="rId566" Type="http://schemas.openxmlformats.org/officeDocument/2006/relationships/hyperlink" Target="https://photos.app.goo.gl/SzEpXK1jg1PhM3j77" TargetMode="External"/><Relationship Id="rId687" Type="http://schemas.openxmlformats.org/officeDocument/2006/relationships/hyperlink" Target="https://photos.app.goo.gl/ZnHwzqG9DE7wfV3A8" TargetMode="External"/><Relationship Id="rId209" Type="http://schemas.openxmlformats.org/officeDocument/2006/relationships/hyperlink" Target="https://photos.app.goo.gl/s8CCwvCMqG3WgZxg7" TargetMode="External"/><Relationship Id="rId208" Type="http://schemas.openxmlformats.org/officeDocument/2006/relationships/hyperlink" Target="https://photos.app.goo.gl/vmyi8qntc3xCP1Qk8" TargetMode="External"/><Relationship Id="rId329" Type="http://schemas.openxmlformats.org/officeDocument/2006/relationships/hyperlink" Target="https://photos.app.goo.gl/sHg7YC8a1VFwhZUV7" TargetMode="External"/><Relationship Id="rId207" Type="http://schemas.openxmlformats.org/officeDocument/2006/relationships/hyperlink" Target="https://photos.app.goo.gl/kJppqsoaVfU6tNoB6" TargetMode="External"/><Relationship Id="rId328" Type="http://schemas.openxmlformats.org/officeDocument/2006/relationships/hyperlink" Target="https://photos.app.goo.gl/3uguP1XrxbDbXXfz7" TargetMode="External"/><Relationship Id="rId449" Type="http://schemas.openxmlformats.org/officeDocument/2006/relationships/hyperlink" Target="https://photos.app.goo.gl/JhvqXFWdUTdMnoAW7" TargetMode="External"/><Relationship Id="rId440" Type="http://schemas.openxmlformats.org/officeDocument/2006/relationships/hyperlink" Target="https://photos.app.goo.gl/LRFrXnRPDwqZ2cbq7" TargetMode="External"/><Relationship Id="rId561" Type="http://schemas.openxmlformats.org/officeDocument/2006/relationships/hyperlink" Target="https://photos.app.goo.gl/jrxXiNpG3pxujeqf9" TargetMode="External"/><Relationship Id="rId682" Type="http://schemas.openxmlformats.org/officeDocument/2006/relationships/hyperlink" Target="https://photos.app.goo.gl/6jb9FH6SUESxsMnQ7" TargetMode="External"/><Relationship Id="rId560" Type="http://schemas.openxmlformats.org/officeDocument/2006/relationships/hyperlink" Target="https://photos.app.goo.gl/vSPxGUArAYAc45gn8" TargetMode="External"/><Relationship Id="rId681" Type="http://schemas.openxmlformats.org/officeDocument/2006/relationships/hyperlink" Target="https://photos.app.goo.gl/12KY9ToTsDFbGKdj9" TargetMode="External"/><Relationship Id="rId680" Type="http://schemas.openxmlformats.org/officeDocument/2006/relationships/hyperlink" Target="https://photos.google.com/share/AF1QipMCki-kqHhOmS69tHMmgs1D7ZJ9qNSNHx6SeZXWE8qpo6kAaNUu--AC9PTAVRIfcw?key=cW1UeDNFSk1ldGlUMFYzd0lMOHFPb0tURG96UWRn" TargetMode="External"/><Relationship Id="rId202" Type="http://schemas.openxmlformats.org/officeDocument/2006/relationships/hyperlink" Target="https://photos.app.goo.gl/rmKee8J9kqx13ekN6" TargetMode="External"/><Relationship Id="rId323" Type="http://schemas.openxmlformats.org/officeDocument/2006/relationships/hyperlink" Target="https://photos.app.goo.gl/rxUrK9BFFM84Kqpb8" TargetMode="External"/><Relationship Id="rId444" Type="http://schemas.openxmlformats.org/officeDocument/2006/relationships/hyperlink" Target="https://photos.app.goo.gl/eWoiHMc88eBYzJvy9" TargetMode="External"/><Relationship Id="rId565" Type="http://schemas.openxmlformats.org/officeDocument/2006/relationships/hyperlink" Target="https://photos.app.goo.gl/biYSz7id2n835AgL9" TargetMode="External"/><Relationship Id="rId686" Type="http://schemas.openxmlformats.org/officeDocument/2006/relationships/hyperlink" Target="https://photos.app.goo.gl/e4kdGUcPMGtZrknc9" TargetMode="External"/><Relationship Id="rId201" Type="http://schemas.openxmlformats.org/officeDocument/2006/relationships/hyperlink" Target="https://photos.app.goo.gl/svXbLnwMB3XYbEjZA" TargetMode="External"/><Relationship Id="rId322" Type="http://schemas.openxmlformats.org/officeDocument/2006/relationships/hyperlink" Target="https://photos.app.goo.gl/JKVo1UiTY6XSxcpR6" TargetMode="External"/><Relationship Id="rId443" Type="http://schemas.openxmlformats.org/officeDocument/2006/relationships/hyperlink" Target="https://photos.app.goo.gl/RuCvacpnZu5MVcj99" TargetMode="External"/><Relationship Id="rId564" Type="http://schemas.openxmlformats.org/officeDocument/2006/relationships/hyperlink" Target="https://photos.app.goo.gl/pnyj4GbU9BxE1H1fA" TargetMode="External"/><Relationship Id="rId685" Type="http://schemas.openxmlformats.org/officeDocument/2006/relationships/hyperlink" Target="https://photos.app.goo.gl/xKNp33EXDgcMb5fg8" TargetMode="External"/><Relationship Id="rId200" Type="http://schemas.openxmlformats.org/officeDocument/2006/relationships/hyperlink" Target="https://photos.app.goo.gl/iHmEuzZ66RQ31E6g7" TargetMode="External"/><Relationship Id="rId321" Type="http://schemas.openxmlformats.org/officeDocument/2006/relationships/hyperlink" Target="https://photos.app.goo.gl/SJMUPeeYXJSxe7dz5" TargetMode="External"/><Relationship Id="rId442" Type="http://schemas.openxmlformats.org/officeDocument/2006/relationships/hyperlink" Target="https://photos.app.goo.gl/4uCBjTqz5kNy2b4S7" TargetMode="External"/><Relationship Id="rId563" Type="http://schemas.openxmlformats.org/officeDocument/2006/relationships/hyperlink" Target="https://photos.app.goo.gl/XUZRoXr72gQH86sv6" TargetMode="External"/><Relationship Id="rId684" Type="http://schemas.openxmlformats.org/officeDocument/2006/relationships/hyperlink" Target="https://photos.app.goo.gl/5hVHez48KrVZiWBG9" TargetMode="External"/><Relationship Id="rId320" Type="http://schemas.openxmlformats.org/officeDocument/2006/relationships/hyperlink" Target="https://photos.app.goo.gl/BSCAZzjFCwecqKVA9" TargetMode="External"/><Relationship Id="rId441" Type="http://schemas.openxmlformats.org/officeDocument/2006/relationships/hyperlink" Target="https://photos.app.goo.gl/CYwBCg4v5KkRYbtL8" TargetMode="External"/><Relationship Id="rId562" Type="http://schemas.openxmlformats.org/officeDocument/2006/relationships/hyperlink" Target="https://photos.app.goo.gl/Uf3iVeSVFhUS4wtg7" TargetMode="External"/><Relationship Id="rId683" Type="http://schemas.openxmlformats.org/officeDocument/2006/relationships/hyperlink" Target="https://photos.app.goo.gl/njhRsdhCaWpEKh3C7" TargetMode="External"/><Relationship Id="rId316" Type="http://schemas.openxmlformats.org/officeDocument/2006/relationships/hyperlink" Target="https://photos.app.goo.gl/6wdkGQ2CJH1VCgKR9" TargetMode="External"/><Relationship Id="rId437" Type="http://schemas.openxmlformats.org/officeDocument/2006/relationships/hyperlink" Target="https://photos.app.goo.gl/jH8CyDeWEkGHBXub8" TargetMode="External"/><Relationship Id="rId558" Type="http://schemas.openxmlformats.org/officeDocument/2006/relationships/hyperlink" Target="https://photos.app.goo.gl/YLP6sZdKuYn23Xnr5" TargetMode="External"/><Relationship Id="rId679" Type="http://schemas.openxmlformats.org/officeDocument/2006/relationships/hyperlink" Target="https://photos.app.goo.gl/1FF1hSPMdyRTQRrr9" TargetMode="External"/><Relationship Id="rId315" Type="http://schemas.openxmlformats.org/officeDocument/2006/relationships/hyperlink" Target="https://photos.app.goo.gl/7kh8pv9B3KLyvDfy7" TargetMode="External"/><Relationship Id="rId436" Type="http://schemas.openxmlformats.org/officeDocument/2006/relationships/hyperlink" Target="https://photos.app.goo.gl/mRN3Zvg1BYZswE7a6" TargetMode="External"/><Relationship Id="rId557" Type="http://schemas.openxmlformats.org/officeDocument/2006/relationships/hyperlink" Target="https://photos.app.goo.gl/D9pupPaSpZULnSti7" TargetMode="External"/><Relationship Id="rId678" Type="http://schemas.openxmlformats.org/officeDocument/2006/relationships/hyperlink" Target="https://photos.app.goo.gl/dFRpeLkKxkXqADSf8" TargetMode="External"/><Relationship Id="rId314" Type="http://schemas.openxmlformats.org/officeDocument/2006/relationships/hyperlink" Target="https://photos.app.goo.gl/LFsEBeuCNZ93fK3C6" TargetMode="External"/><Relationship Id="rId435" Type="http://schemas.openxmlformats.org/officeDocument/2006/relationships/hyperlink" Target="https://photos.app.goo.gl/HKnphBre4aHR5DWMA" TargetMode="External"/><Relationship Id="rId556" Type="http://schemas.openxmlformats.org/officeDocument/2006/relationships/hyperlink" Target="https://photos.app.goo.gl/VfqetJvVQF4wQk5b9" TargetMode="External"/><Relationship Id="rId677" Type="http://schemas.openxmlformats.org/officeDocument/2006/relationships/hyperlink" Target="https://photos.app.goo.gl/mYoAuthzWF9UmPrF7" TargetMode="External"/><Relationship Id="rId313" Type="http://schemas.openxmlformats.org/officeDocument/2006/relationships/hyperlink" Target="https://photos.app.goo.gl/SMX1KNLJMiJsYoiJ8" TargetMode="External"/><Relationship Id="rId434" Type="http://schemas.openxmlformats.org/officeDocument/2006/relationships/hyperlink" Target="https://photos.app.goo.gl/BqZXJN9aSL9MHNib9" TargetMode="External"/><Relationship Id="rId555" Type="http://schemas.openxmlformats.org/officeDocument/2006/relationships/hyperlink" Target="https://photos.app.goo.gl/KXt98zinGCgBbjNs9" TargetMode="External"/><Relationship Id="rId676" Type="http://schemas.openxmlformats.org/officeDocument/2006/relationships/hyperlink" Target="https://photos.app.goo.gl/4MEtp4jzgwQ22gkt9" TargetMode="External"/><Relationship Id="rId319" Type="http://schemas.openxmlformats.org/officeDocument/2006/relationships/hyperlink" Target="https://photos.app.goo.gl/SKk4jV1DAP7Uk2rX6" TargetMode="External"/><Relationship Id="rId318" Type="http://schemas.openxmlformats.org/officeDocument/2006/relationships/hyperlink" Target="https://photos.app.goo.gl/G8vhU2ASkSr7biAk6" TargetMode="External"/><Relationship Id="rId439" Type="http://schemas.openxmlformats.org/officeDocument/2006/relationships/hyperlink" Target="https://photos.app.goo.gl/EvagycDkqAs9xg3D6" TargetMode="External"/><Relationship Id="rId317" Type="http://schemas.openxmlformats.org/officeDocument/2006/relationships/hyperlink" Target="https://photos.app.goo.gl/6Buyq38oXsPZVuni7" TargetMode="External"/><Relationship Id="rId438" Type="http://schemas.openxmlformats.org/officeDocument/2006/relationships/hyperlink" Target="https://photos.app.goo.gl/gLEdoXzG4vUV36tb9" TargetMode="External"/><Relationship Id="rId559" Type="http://schemas.openxmlformats.org/officeDocument/2006/relationships/hyperlink" Target="https://photos.app.goo.gl/rSC7CmwTGgbbD8Rf7" TargetMode="External"/><Relationship Id="rId550" Type="http://schemas.openxmlformats.org/officeDocument/2006/relationships/hyperlink" Target="https://photos.app.goo.gl/ajb14WJLuippEKqn7" TargetMode="External"/><Relationship Id="rId671" Type="http://schemas.openxmlformats.org/officeDocument/2006/relationships/hyperlink" Target="https://photos.app.goo.gl/KnRzKZfAeUUk4PH5A" TargetMode="External"/><Relationship Id="rId670" Type="http://schemas.openxmlformats.org/officeDocument/2006/relationships/hyperlink" Target="https://photos.app.goo.gl/3XfG2hwg8YG5k6Xf6" TargetMode="External"/><Relationship Id="rId312" Type="http://schemas.openxmlformats.org/officeDocument/2006/relationships/hyperlink" Target="https://photos.app.goo.gl/QraPhs76ino1nDaH6" TargetMode="External"/><Relationship Id="rId433" Type="http://schemas.openxmlformats.org/officeDocument/2006/relationships/hyperlink" Target="https://photos.app.goo.gl/1av9Q27K1uyFxBsu9" TargetMode="External"/><Relationship Id="rId554" Type="http://schemas.openxmlformats.org/officeDocument/2006/relationships/hyperlink" Target="https://photos.app.goo.gl/BCBAhci9AiitbcEi6" TargetMode="External"/><Relationship Id="rId675" Type="http://schemas.openxmlformats.org/officeDocument/2006/relationships/hyperlink" Target="https://photos.app.goo.gl/un7tmg3uPkrvrHgF7" TargetMode="External"/><Relationship Id="rId311" Type="http://schemas.openxmlformats.org/officeDocument/2006/relationships/hyperlink" Target="https://photos.app.goo.gl/pwuasSkedRPi1xYPA" TargetMode="External"/><Relationship Id="rId432" Type="http://schemas.openxmlformats.org/officeDocument/2006/relationships/hyperlink" Target="https://photos.app.goo.gl/ee7VaFE2BUMSfEPG9" TargetMode="External"/><Relationship Id="rId553" Type="http://schemas.openxmlformats.org/officeDocument/2006/relationships/hyperlink" Target="https://photos.app.goo.gl/36B2s4ujcJqaYJ5a8" TargetMode="External"/><Relationship Id="rId674" Type="http://schemas.openxmlformats.org/officeDocument/2006/relationships/hyperlink" Target="https://photos.app.goo.gl/9NMMQpnA1siP9d3o9" TargetMode="External"/><Relationship Id="rId310" Type="http://schemas.openxmlformats.org/officeDocument/2006/relationships/hyperlink" Target="https://photos.app.goo.gl/iQrEvBkQUdUQt8gD6" TargetMode="External"/><Relationship Id="rId431" Type="http://schemas.openxmlformats.org/officeDocument/2006/relationships/hyperlink" Target="https://photos.app.goo.gl/vNy5oQSYGGGH8apN9" TargetMode="External"/><Relationship Id="rId552" Type="http://schemas.openxmlformats.org/officeDocument/2006/relationships/hyperlink" Target="https://photos.app.goo.gl/DztRgWe6qoxF4waQA" TargetMode="External"/><Relationship Id="rId673" Type="http://schemas.openxmlformats.org/officeDocument/2006/relationships/hyperlink" Target="https://photos.app.goo.gl/fCUjtWstEHSnQnfFA" TargetMode="External"/><Relationship Id="rId430" Type="http://schemas.openxmlformats.org/officeDocument/2006/relationships/hyperlink" Target="https://photos.app.goo.gl/3jss4zehsxWf1NM78" TargetMode="External"/><Relationship Id="rId551" Type="http://schemas.openxmlformats.org/officeDocument/2006/relationships/hyperlink" Target="https://photos.app.goo.gl/Fxg3PPhvJxxX3MiN6" TargetMode="External"/><Relationship Id="rId672" Type="http://schemas.openxmlformats.org/officeDocument/2006/relationships/hyperlink" Target="https://photos.google.com/share/AF1QipNEpFEP1oRCUi8AR4dtRsQepqsNvK-5RZKzI22VnP9hOBzzogOWr2XKZcJ5lLHA0g?key=U1g1M2pySy1HZ1ZBM0ZBV0ZwY1hmbnU3TVpoY2N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8"/>
    <col customWidth="1" min="3" max="3" width="13.38"/>
    <col customWidth="1" min="4" max="4" width="13.63"/>
    <col customWidth="1" min="7" max="7" width="15.88"/>
  </cols>
  <sheetData>
    <row r="1">
      <c r="A1" s="1" t="s">
        <v>0</v>
      </c>
      <c r="B1" s="1" t="s">
        <v>1</v>
      </c>
      <c r="C1" s="1" t="s">
        <v>2</v>
      </c>
      <c r="D1" s="1" t="s">
        <v>3</v>
      </c>
      <c r="E1" s="2" t="s">
        <v>4</v>
      </c>
      <c r="F1" s="2" t="s">
        <v>5</v>
      </c>
      <c r="G1" s="1" t="s">
        <v>6</v>
      </c>
      <c r="H1" s="1" t="s">
        <v>7</v>
      </c>
      <c r="I1" s="1" t="s">
        <v>8</v>
      </c>
      <c r="J1" s="1" t="s">
        <v>9</v>
      </c>
      <c r="K1" s="1"/>
      <c r="L1" s="1"/>
      <c r="M1" s="4"/>
      <c r="N1" s="4"/>
      <c r="O1" s="4"/>
      <c r="P1" s="4"/>
      <c r="Q1" s="4"/>
      <c r="R1" s="4"/>
      <c r="S1" s="4"/>
      <c r="T1" s="4"/>
      <c r="U1" s="4"/>
      <c r="V1" s="4"/>
      <c r="W1" s="4"/>
      <c r="X1" s="4"/>
      <c r="Y1" s="4"/>
      <c r="Z1" s="4"/>
      <c r="AA1" s="4"/>
    </row>
    <row r="2">
      <c r="A2" s="1" t="s">
        <v>11</v>
      </c>
      <c r="B2" s="8" t="s">
        <v>12</v>
      </c>
      <c r="C2" s="8" t="s">
        <v>13</v>
      </c>
      <c r="D2" s="8" t="s">
        <v>14</v>
      </c>
      <c r="E2" s="18">
        <f>IFERROR(MINIFS('Inventario barrios'!F:F,'Inventario barrios'!D:D,TRIM(A2),'Inventario barrios'!F:F,"&gt;0"),0)</f>
        <v>130000000</v>
      </c>
      <c r="F2" s="18">
        <f>IFERROR(AVERAGEIFS('Inventario barrios'!F:F,'Inventario barrios'!D:D,TRIM(A2),'Inventario barrios'!F:F,"&gt;0"),0)</f>
        <v>592551020.4</v>
      </c>
      <c r="G2" s="33">
        <f>IFERROR(AVERAGEIFS('Inventario barrios'!J:J,'Inventario barrios'!D:D,TRIM(A2),'Inventario barrios'!J:J,"&gt;0"),0)</f>
        <v>0</v>
      </c>
      <c r="H2" s="33">
        <f>IFERROR(AVERAGEIFS('Inventario barrios'!K:K,'Inventario barrios'!D:D,TRIM(A2),'Inventario barrios'!K:K,"&gt;0"),0)</f>
        <v>0</v>
      </c>
      <c r="I2" s="33">
        <f>IFERROR(AVERAGEIFS('Inventario barrios'!N:N,'Inventario barrios'!D:D,TRIM(A2),'Inventario barrios'!N:N,"&gt;0"),0)</f>
        <v>3.145833333</v>
      </c>
      <c r="J2" s="8">
        <v>2.0</v>
      </c>
      <c r="K2" s="8"/>
      <c r="L2" s="46"/>
      <c r="M2" s="46"/>
      <c r="N2" s="46"/>
      <c r="O2" s="46"/>
      <c r="P2" s="46"/>
      <c r="Q2" s="46"/>
      <c r="R2" s="46"/>
      <c r="S2" s="46"/>
      <c r="T2" s="46"/>
      <c r="U2" s="46"/>
      <c r="V2" s="46"/>
      <c r="W2" s="46"/>
      <c r="X2" s="46"/>
      <c r="Y2" s="46"/>
      <c r="Z2" s="46"/>
      <c r="AA2" s="46"/>
    </row>
    <row r="3">
      <c r="A3" s="1" t="s">
        <v>72</v>
      </c>
      <c r="B3" s="8" t="s">
        <v>73</v>
      </c>
      <c r="C3" s="8" t="s">
        <v>74</v>
      </c>
      <c r="D3" s="8" t="s">
        <v>75</v>
      </c>
      <c r="E3" s="18">
        <f>IFERROR(MINIFS('Inventario barrios'!F:F,'Inventario barrios'!D:D,TRIM(A3),'Inventario barrios'!F:F,"&gt;0"),0)</f>
        <v>153000000</v>
      </c>
      <c r="F3" s="18">
        <f>IFERROR(AVERAGEIFS('Inventario barrios'!F:F,'Inventario barrios'!D:D,TRIM(A3),'Inventario barrios'!F:F,"&gt;0"),0)</f>
        <v>309720000</v>
      </c>
      <c r="G3" s="33">
        <f>IFERROR(AVERAGEIFS('Inventario barrios'!J:J,'Inventario barrios'!D:D,TRIM(A3),'Inventario barrios'!J:J,"&gt;0"),0)</f>
        <v>0</v>
      </c>
      <c r="H3" s="33">
        <f>IFERROR(AVERAGEIFS('Inventario barrios'!K:K,'Inventario barrios'!D:D,TRIM(A3),'Inventario barrios'!K:K,"&gt;0"),0)</f>
        <v>0</v>
      </c>
      <c r="I3" s="33">
        <f>IFERROR(AVERAGEIFS('Inventario barrios'!N:N,'Inventario barrios'!D:D,TRIM(A3),'Inventario barrios'!N:N,"&gt;0"),0)</f>
        <v>2.76</v>
      </c>
      <c r="J3" s="8">
        <v>3.0</v>
      </c>
      <c r="K3" s="8"/>
      <c r="L3" s="46"/>
      <c r="M3" s="46"/>
      <c r="N3" s="46"/>
      <c r="O3" s="46"/>
      <c r="P3" s="46"/>
      <c r="Q3" s="46"/>
      <c r="R3" s="46"/>
      <c r="S3" s="46"/>
      <c r="T3" s="46"/>
      <c r="U3" s="46"/>
      <c r="V3" s="46"/>
      <c r="W3" s="46"/>
      <c r="X3" s="46"/>
      <c r="Y3" s="46"/>
      <c r="Z3" s="46"/>
      <c r="AA3" s="46"/>
    </row>
    <row r="4">
      <c r="A4" s="1" t="s">
        <v>82</v>
      </c>
      <c r="B4" s="8" t="s">
        <v>73</v>
      </c>
      <c r="C4" s="8" t="s">
        <v>74</v>
      </c>
      <c r="D4" s="8" t="s">
        <v>83</v>
      </c>
      <c r="E4" s="18">
        <f>IFERROR(MINIFS('Inventario barrios'!F:F,'Inventario barrios'!D:D,TRIM(A4),'Inventario barrios'!F:F,"&gt;0"),0)</f>
        <v>260000000</v>
      </c>
      <c r="F4" s="18">
        <f>IFERROR(AVERAGEIFS('Inventario barrios'!F:F,'Inventario barrios'!D:D,TRIM(A4),'Inventario barrios'!F:F,"&gt;0"),0)</f>
        <v>318571428.6</v>
      </c>
      <c r="G4" s="33">
        <f>IFERROR(AVERAGEIFS('Inventario barrios'!J:J,'Inventario barrios'!D:D,TRIM(A4),'Inventario barrios'!J:J,"&gt;0"),0)</f>
        <v>0</v>
      </c>
      <c r="H4" s="33">
        <f>IFERROR(AVERAGEIFS('Inventario barrios'!K:K,'Inventario barrios'!D:D,TRIM(A4),'Inventario barrios'!K:K,"&gt;0"),0)</f>
        <v>0</v>
      </c>
      <c r="I4" s="33">
        <f>IFERROR(AVERAGEIFS('Inventario barrios'!N:N,'Inventario barrios'!D:D,TRIM(A4),'Inventario barrios'!N:N,"&gt;0"),0)</f>
        <v>3</v>
      </c>
      <c r="J4" s="8">
        <v>4.0</v>
      </c>
      <c r="K4" s="8"/>
      <c r="L4" s="46"/>
      <c r="M4" s="46"/>
      <c r="N4" s="46"/>
      <c r="O4" s="46"/>
      <c r="P4" s="46"/>
      <c r="Q4" s="46"/>
      <c r="R4" s="46"/>
      <c r="S4" s="46"/>
      <c r="T4" s="46"/>
      <c r="U4" s="46"/>
      <c r="V4" s="46"/>
      <c r="W4" s="46"/>
      <c r="X4" s="46"/>
      <c r="Y4" s="46"/>
      <c r="Z4" s="46"/>
      <c r="AA4" s="46"/>
    </row>
    <row r="5">
      <c r="A5" s="1" t="s">
        <v>98</v>
      </c>
      <c r="B5" s="8" t="s">
        <v>99</v>
      </c>
      <c r="C5" s="8" t="s">
        <v>100</v>
      </c>
      <c r="D5" s="8" t="s">
        <v>101</v>
      </c>
      <c r="E5" s="18">
        <f>IFERROR(MINIFS('Inventario barrios'!F:F,'Inventario barrios'!D:D,TRIM(A5),'Inventario barrios'!F:F,"&gt;0"),0)</f>
        <v>120000000</v>
      </c>
      <c r="F5" s="18">
        <f>IFERROR(AVERAGEIFS('Inventario barrios'!F:F,'Inventario barrios'!D:D,TRIM(A5),'Inventario barrios'!F:F,"&gt;0"),0)</f>
        <v>333333333.3</v>
      </c>
      <c r="G5" s="33">
        <f>IFERROR(AVERAGEIFS('Inventario barrios'!J:J,'Inventario barrios'!D:D,TRIM(A5),'Inventario barrios'!J:J,"&gt;0"),0)</f>
        <v>0</v>
      </c>
      <c r="H5" s="33">
        <f>IFERROR(AVERAGEIFS('Inventario barrios'!K:K,'Inventario barrios'!D:D,TRIM(A5),'Inventario barrios'!K:K,"&gt;0"),0)</f>
        <v>0</v>
      </c>
      <c r="I5" s="33">
        <f>IFERROR(AVERAGEIFS('Inventario barrios'!N:N,'Inventario barrios'!D:D,TRIM(A5),'Inventario barrios'!N:N,"&gt;0"),0)</f>
        <v>3.142857143</v>
      </c>
      <c r="J5" s="8">
        <v>5.0</v>
      </c>
      <c r="K5" s="8"/>
      <c r="L5" s="46"/>
      <c r="M5" s="46"/>
      <c r="N5" s="46"/>
      <c r="O5" s="46"/>
      <c r="P5" s="46"/>
      <c r="Q5" s="46"/>
      <c r="R5" s="46"/>
      <c r="S5" s="46"/>
      <c r="T5" s="46"/>
      <c r="U5" s="46"/>
      <c r="V5" s="46"/>
      <c r="W5" s="46"/>
      <c r="X5" s="46"/>
      <c r="Y5" s="46"/>
      <c r="Z5" s="46"/>
      <c r="AA5" s="46"/>
    </row>
    <row r="6">
      <c r="A6" s="1" t="s">
        <v>120</v>
      </c>
      <c r="B6" s="8" t="s">
        <v>99</v>
      </c>
      <c r="C6" s="8" t="s">
        <v>100</v>
      </c>
      <c r="D6" s="8" t="s">
        <v>101</v>
      </c>
      <c r="E6" s="18">
        <f>IFERROR(MINIFS('Inventario barrios'!F:F,'Inventario barrios'!D:D,TRIM(A6),'Inventario barrios'!F:F,"&gt;0"),0)</f>
        <v>240000000</v>
      </c>
      <c r="F6" s="18">
        <f>IFERROR(AVERAGEIFS('Inventario barrios'!F:F,'Inventario barrios'!D:D,TRIM(A6),'Inventario barrios'!F:F,"&gt;0"),0)</f>
        <v>280000000</v>
      </c>
      <c r="G6" s="33">
        <f>IFERROR(AVERAGEIFS('Inventario barrios'!J:J,'Inventario barrios'!D:D,TRIM(A6),'Inventario barrios'!J:J,"&gt;0"),0)</f>
        <v>0</v>
      </c>
      <c r="H6" s="33">
        <f>IFERROR(AVERAGEIFS('Inventario barrios'!K:K,'Inventario barrios'!D:D,TRIM(A6),'Inventario barrios'!K:K,"&gt;0"),0)</f>
        <v>0</v>
      </c>
      <c r="I6" s="33">
        <f>IFERROR(AVERAGEIFS('Inventario barrios'!N:N,'Inventario barrios'!D:D,TRIM(A6),'Inventario barrios'!N:N,"&gt;0"),0)</f>
        <v>3.5</v>
      </c>
      <c r="J6" s="8">
        <v>2.0</v>
      </c>
      <c r="K6" s="8"/>
      <c r="L6" s="46"/>
      <c r="M6" s="46"/>
      <c r="N6" s="46"/>
      <c r="O6" s="46"/>
      <c r="P6" s="46"/>
      <c r="Q6" s="46"/>
      <c r="R6" s="46"/>
      <c r="S6" s="46"/>
      <c r="T6" s="46"/>
      <c r="U6" s="46"/>
      <c r="V6" s="46"/>
      <c r="W6" s="46"/>
      <c r="X6" s="46"/>
      <c r="Y6" s="46"/>
      <c r="Z6" s="46"/>
      <c r="AA6" s="46"/>
    </row>
    <row r="7">
      <c r="A7" s="1" t="s">
        <v>131</v>
      </c>
      <c r="B7" s="8" t="s">
        <v>132</v>
      </c>
      <c r="C7" s="8" t="s">
        <v>100</v>
      </c>
      <c r="D7" s="8" t="s">
        <v>133</v>
      </c>
      <c r="E7" s="18">
        <f>IFERROR(MINIFS('Inventario barrios'!F:F,'Inventario barrios'!D:D,TRIM(A7),'Inventario barrios'!F:F,"&gt;0"),0)</f>
        <v>140000000</v>
      </c>
      <c r="F7" s="18">
        <f>IFERROR(AVERAGEIFS('Inventario barrios'!F:F,'Inventario barrios'!D:D,TRIM(A7),'Inventario barrios'!F:F,"&gt;0"),0)</f>
        <v>390000000</v>
      </c>
      <c r="G7" s="33">
        <f>IFERROR(AVERAGEIFS('Inventario barrios'!J:J,'Inventario barrios'!D:D,TRIM(A7),'Inventario barrios'!J:J,"&gt;0"),0)</f>
        <v>0</v>
      </c>
      <c r="H7" s="33">
        <f>IFERROR(AVERAGEIFS('Inventario barrios'!K:K,'Inventario barrios'!D:D,TRIM(A7),'Inventario barrios'!K:K,"&gt;0"),0)</f>
        <v>0</v>
      </c>
      <c r="I7" s="33">
        <f>IFERROR(AVERAGEIFS('Inventario barrios'!N:N,'Inventario barrios'!D:D,TRIM(A7),'Inventario barrios'!N:N,"&gt;0"),0)</f>
        <v>4.2</v>
      </c>
      <c r="J7" s="8">
        <v>3.0</v>
      </c>
      <c r="K7" s="8"/>
      <c r="L7" s="46"/>
      <c r="M7" s="46"/>
      <c r="N7" s="46"/>
      <c r="O7" s="46"/>
      <c r="P7" s="46"/>
      <c r="Q7" s="46"/>
      <c r="R7" s="46"/>
      <c r="S7" s="46"/>
      <c r="T7" s="46"/>
      <c r="U7" s="46"/>
      <c r="V7" s="46"/>
      <c r="W7" s="46"/>
      <c r="X7" s="46"/>
      <c r="Y7" s="46"/>
      <c r="Z7" s="46"/>
      <c r="AA7" s="46"/>
    </row>
    <row r="8">
      <c r="A8" s="1" t="s">
        <v>143</v>
      </c>
      <c r="B8" s="8" t="s">
        <v>144</v>
      </c>
      <c r="C8" s="8" t="s">
        <v>145</v>
      </c>
      <c r="D8" s="8" t="s">
        <v>146</v>
      </c>
      <c r="E8" s="18">
        <f>IFERROR(MINIFS('Inventario barrios'!F:F,'Inventario barrios'!D:D,TRIM(A8),'Inventario barrios'!F:F,"&gt;0"),0)</f>
        <v>130000000</v>
      </c>
      <c r="F8" s="18">
        <f>IFERROR(AVERAGEIFS('Inventario barrios'!F:F,'Inventario barrios'!D:D,TRIM(A8),'Inventario barrios'!F:F,"&gt;0"),0)</f>
        <v>373000000</v>
      </c>
      <c r="G8" s="33">
        <f>IFERROR(AVERAGEIFS('Inventario barrios'!J:J,'Inventario barrios'!D:D,TRIM(A8),'Inventario barrios'!J:J,"&gt;0"),0)</f>
        <v>0</v>
      </c>
      <c r="H8" s="33">
        <f>IFERROR(AVERAGEIFS('Inventario barrios'!K:K,'Inventario barrios'!D:D,TRIM(A8),'Inventario barrios'!K:K,"&gt;0"),0)</f>
        <v>0</v>
      </c>
      <c r="I8" s="33">
        <f>IFERROR(AVERAGEIFS('Inventario barrios'!N:N,'Inventario barrios'!D:D,TRIM(A8),'Inventario barrios'!N:N,"&gt;0"),0)</f>
        <v>3.5</v>
      </c>
      <c r="J8" s="8">
        <v>4.0</v>
      </c>
      <c r="K8" s="8"/>
      <c r="L8" s="46"/>
      <c r="M8" s="46"/>
      <c r="N8" s="46"/>
      <c r="O8" s="46"/>
      <c r="P8" s="46"/>
      <c r="Q8" s="46"/>
      <c r="R8" s="46"/>
      <c r="S8" s="46"/>
      <c r="T8" s="46"/>
      <c r="U8" s="46"/>
      <c r="V8" s="46"/>
      <c r="W8" s="46"/>
      <c r="X8" s="46"/>
      <c r="Y8" s="46"/>
      <c r="Z8" s="46"/>
      <c r="AA8" s="46"/>
    </row>
    <row r="9">
      <c r="A9" s="1" t="s">
        <v>155</v>
      </c>
      <c r="B9" s="8" t="s">
        <v>144</v>
      </c>
      <c r="C9" s="8" t="s">
        <v>145</v>
      </c>
      <c r="D9" s="8" t="s">
        <v>156</v>
      </c>
      <c r="E9" s="18">
        <f>IFERROR(MINIFS('Inventario barrios'!F:F,'Inventario barrios'!D:D,TRIM(A9),'Inventario barrios'!F:F,"&gt;0"),0)</f>
        <v>130000000</v>
      </c>
      <c r="F9" s="18">
        <f>IFERROR(AVERAGEIFS('Inventario barrios'!F:F,'Inventario barrios'!D:D,TRIM(A9),'Inventario barrios'!F:F,"&gt;0"),0)</f>
        <v>469347826.1</v>
      </c>
      <c r="G9" s="33">
        <f>IFERROR(AVERAGEIFS('Inventario barrios'!J:J,'Inventario barrios'!D:D,TRIM(A9),'Inventario barrios'!J:J,"&gt;0"),0)</f>
        <v>0</v>
      </c>
      <c r="H9" s="33">
        <f>IFERROR(AVERAGEIFS('Inventario barrios'!K:K,'Inventario barrios'!D:D,TRIM(A9),'Inventario barrios'!K:K,"&gt;0"),0)</f>
        <v>0</v>
      </c>
      <c r="I9" s="33">
        <f>IFERROR(AVERAGEIFS('Inventario barrios'!N:N,'Inventario barrios'!D:D,TRIM(A9),'Inventario barrios'!N:N,"&gt;0"),0)</f>
        <v>2.65</v>
      </c>
      <c r="J9" s="8">
        <v>3.0</v>
      </c>
      <c r="K9" s="8"/>
      <c r="L9" s="46"/>
      <c r="M9" s="46"/>
      <c r="N9" s="46"/>
      <c r="O9" s="46"/>
      <c r="P9" s="46"/>
      <c r="Q9" s="46"/>
      <c r="R9" s="46"/>
      <c r="S9" s="46"/>
      <c r="T9" s="46"/>
      <c r="U9" s="46"/>
      <c r="V9" s="46"/>
      <c r="W9" s="46"/>
      <c r="X9" s="46"/>
      <c r="Y9" s="46"/>
      <c r="Z9" s="46"/>
      <c r="AA9" s="46"/>
    </row>
    <row r="10">
      <c r="A10" s="1" t="s">
        <v>163</v>
      </c>
      <c r="B10" s="98" t="s">
        <v>164</v>
      </c>
      <c r="C10" s="99" t="s">
        <v>165</v>
      </c>
      <c r="D10" s="83" t="s">
        <v>166</v>
      </c>
      <c r="E10" s="18">
        <f>IFERROR(MINIFS('Inventario barrios'!F:F,'Inventario barrios'!D:D,TRIM(A10),'Inventario barrios'!F:F,"&gt;0"),0)</f>
        <v>260000000</v>
      </c>
      <c r="F10" s="18">
        <f>IFERROR(AVERAGEIFS('Inventario barrios'!F:F,'Inventario barrios'!D:D,TRIM(A10),'Inventario barrios'!F:F,"&gt;0"),0)</f>
        <v>489545454.5</v>
      </c>
      <c r="G10" s="33">
        <f>IFERROR(AVERAGEIFS('Inventario barrios'!J:J,'Inventario barrios'!D:D,TRIM(A10),'Inventario barrios'!J:J,"&gt;0"),0)</f>
        <v>0</v>
      </c>
      <c r="H10" s="33">
        <f>IFERROR(AVERAGEIFS('Inventario barrios'!K:K,'Inventario barrios'!D:D,TRIM(A10),'Inventario barrios'!K:K,"&gt;0"),0)</f>
        <v>0</v>
      </c>
      <c r="I10" s="33">
        <f>IFERROR(AVERAGEIFS('Inventario barrios'!N:N,'Inventario barrios'!D:D,TRIM(A10),'Inventario barrios'!N:N,"&gt;0"),0)</f>
        <v>2.5</v>
      </c>
      <c r="J10" s="8">
        <v>2.0</v>
      </c>
      <c r="K10" s="8"/>
      <c r="L10" s="46"/>
      <c r="M10" s="46"/>
      <c r="N10" s="46"/>
      <c r="O10" s="46"/>
      <c r="P10" s="46"/>
      <c r="Q10" s="46"/>
      <c r="R10" s="46"/>
      <c r="S10" s="46"/>
      <c r="T10" s="46"/>
      <c r="U10" s="46"/>
      <c r="V10" s="46"/>
      <c r="W10" s="46"/>
      <c r="X10" s="46"/>
      <c r="Y10" s="46"/>
      <c r="Z10" s="46"/>
      <c r="AA10" s="46"/>
    </row>
    <row r="11">
      <c r="A11" s="1" t="s">
        <v>71</v>
      </c>
      <c r="B11" s="101" t="s">
        <v>177</v>
      </c>
      <c r="C11" s="99" t="s">
        <v>178</v>
      </c>
      <c r="D11" s="83" t="s">
        <v>180</v>
      </c>
      <c r="E11" s="18">
        <f>IFERROR(MINIFS('Inventario barrios'!F:F,'Inventario barrios'!D:D,TRIM(A11),'Inventario barrios'!F:F,"&gt;0"),0)</f>
        <v>140000000</v>
      </c>
      <c r="F11" s="18">
        <f>IFERROR(AVERAGEIFS('Inventario barrios'!F:F,'Inventario barrios'!D:D,TRIM(A11),'Inventario barrios'!F:F,"&gt;0"),0)</f>
        <v>761935426.6</v>
      </c>
      <c r="G11" s="33">
        <f>IFERROR(AVERAGEIFS('Inventario barrios'!J:J,'Inventario barrios'!D:D,TRIM(A11),'Inventario barrios'!J:J,"&gt;0"),0)</f>
        <v>0</v>
      </c>
      <c r="H11" s="33">
        <f>IFERROR(AVERAGEIFS('Inventario barrios'!K:K,'Inventario barrios'!D:D,TRIM(A11),'Inventario barrios'!K:K,"&gt;0"),0)</f>
        <v>0</v>
      </c>
      <c r="I11" s="33">
        <f>IFERROR(AVERAGEIFS('Inventario barrios'!N:N,'Inventario barrios'!D:D,TRIM(A11),'Inventario barrios'!N:N,"&gt;0"),0)</f>
        <v>2.586206897</v>
      </c>
      <c r="J11" s="8">
        <v>2.0</v>
      </c>
      <c r="K11" s="8"/>
      <c r="L11" s="46"/>
      <c r="M11" s="46"/>
      <c r="N11" s="46"/>
      <c r="O11" s="46"/>
      <c r="P11" s="46"/>
      <c r="Q11" s="46"/>
      <c r="R11" s="46"/>
      <c r="S11" s="46"/>
      <c r="T11" s="46"/>
      <c r="U11" s="46"/>
      <c r="V11" s="46"/>
      <c r="W11" s="46"/>
      <c r="X11" s="46"/>
      <c r="Y11" s="46"/>
      <c r="Z11" s="46"/>
      <c r="AA11" s="46"/>
    </row>
    <row r="12">
      <c r="A12" s="1" t="s">
        <v>193</v>
      </c>
      <c r="B12" s="8" t="s">
        <v>195</v>
      </c>
      <c r="C12" s="83" t="s">
        <v>196</v>
      </c>
      <c r="D12" s="8" t="s">
        <v>197</v>
      </c>
      <c r="E12" s="18">
        <f>IFERROR(MINIFS('Inventario barrios'!F:F,'Inventario barrios'!D:D,TRIM(A12),'Inventario barrios'!F:F,"&gt;0"),0)</f>
        <v>300000000</v>
      </c>
      <c r="F12" s="18">
        <f>IFERROR(AVERAGEIFS('Inventario barrios'!F:F,'Inventario barrios'!D:D,TRIM(A12),'Inventario barrios'!F:F,"&gt;0"),0)</f>
        <v>801388888.9</v>
      </c>
      <c r="G12" s="33">
        <f>IFERROR(AVERAGEIFS('Inventario barrios'!J:J,'Inventario barrios'!D:D,TRIM(A12),'Inventario barrios'!J:J,"&gt;0"),0)</f>
        <v>0</v>
      </c>
      <c r="H12" s="33">
        <f>IFERROR(AVERAGEIFS('Inventario barrios'!K:K,'Inventario barrios'!D:D,TRIM(A12),'Inventario barrios'!K:K,"&gt;0"),0)</f>
        <v>0</v>
      </c>
      <c r="I12" s="33">
        <f>IFERROR(AVERAGEIFS('Inventario barrios'!N:N,'Inventario barrios'!D:D,TRIM(A12),'Inventario barrios'!N:N,"&gt;0"),0)</f>
        <v>4.294117647</v>
      </c>
      <c r="J12" s="8">
        <v>4.0</v>
      </c>
      <c r="K12" s="8"/>
      <c r="L12" s="46"/>
      <c r="M12" s="46"/>
      <c r="N12" s="46"/>
      <c r="O12" s="46"/>
      <c r="P12" s="46"/>
      <c r="Q12" s="46"/>
      <c r="R12" s="46"/>
      <c r="S12" s="46"/>
      <c r="T12" s="46"/>
      <c r="U12" s="46"/>
      <c r="V12" s="46"/>
      <c r="W12" s="46"/>
      <c r="X12" s="46"/>
      <c r="Y12" s="46"/>
      <c r="Z12" s="46"/>
      <c r="AA12" s="46"/>
    </row>
    <row r="13">
      <c r="A13" s="1" t="s">
        <v>205</v>
      </c>
      <c r="B13" s="8" t="s">
        <v>206</v>
      </c>
      <c r="C13" s="83" t="s">
        <v>207</v>
      </c>
      <c r="D13" s="8" t="s">
        <v>208</v>
      </c>
      <c r="E13" s="18">
        <f>IFERROR(MINIFS('Inventario barrios'!F:F,'Inventario barrios'!D:D,TRIM(A13),'Inventario barrios'!F:F,"&gt;0"),0)</f>
        <v>250000000</v>
      </c>
      <c r="F13" s="18">
        <f>IFERROR(AVERAGEIFS('Inventario barrios'!F:F,'Inventario barrios'!D:D,TRIM(A13),'Inventario barrios'!F:F,"&gt;0"),0)</f>
        <v>616315789.5</v>
      </c>
      <c r="G13" s="33">
        <f>IFERROR(AVERAGEIFS('Inventario barrios'!J:J,'Inventario barrios'!D:D,TRIM(A13),'Inventario barrios'!J:J,"&gt;0"),0)</f>
        <v>0</v>
      </c>
      <c r="H13" s="33">
        <f>IFERROR(AVERAGEIFS('Inventario barrios'!K:K,'Inventario barrios'!D:D,TRIM(A13),'Inventario barrios'!K:K,"&gt;0"),0)</f>
        <v>0</v>
      </c>
      <c r="I13" s="33">
        <f>IFERROR(AVERAGEIFS('Inventario barrios'!N:N,'Inventario barrios'!D:D,TRIM(A13),'Inventario barrios'!N:N,"&gt;0"),0)</f>
        <v>3.777777778</v>
      </c>
      <c r="J13" s="8">
        <v>5.0</v>
      </c>
      <c r="K13" s="8"/>
      <c r="L13" s="46"/>
      <c r="M13" s="46"/>
      <c r="N13" s="46"/>
      <c r="O13" s="46"/>
      <c r="P13" s="46"/>
      <c r="Q13" s="46"/>
      <c r="R13" s="46"/>
      <c r="S13" s="46"/>
      <c r="T13" s="46"/>
      <c r="U13" s="46"/>
      <c r="V13" s="46"/>
      <c r="W13" s="46"/>
      <c r="X13" s="46"/>
      <c r="Y13" s="46"/>
      <c r="Z13" s="46"/>
      <c r="AA13" s="46"/>
    </row>
    <row r="14">
      <c r="A14" s="1"/>
      <c r="E14" s="18"/>
      <c r="F14" s="18"/>
      <c r="G14" s="33"/>
      <c r="H14" s="33"/>
      <c r="I14" s="104"/>
      <c r="J14" s="46"/>
      <c r="K14" s="8"/>
      <c r="L14" s="46"/>
      <c r="M14" s="46"/>
      <c r="N14" s="46"/>
      <c r="O14" s="46"/>
      <c r="P14" s="46"/>
      <c r="Q14" s="46"/>
      <c r="R14" s="46"/>
      <c r="S14" s="46"/>
      <c r="T14" s="46"/>
      <c r="U14" s="46"/>
      <c r="V14" s="46"/>
      <c r="W14" s="46"/>
      <c r="X14" s="46"/>
      <c r="Y14" s="46"/>
      <c r="Z14" s="46"/>
      <c r="AA14" s="46"/>
    </row>
    <row r="15">
      <c r="A15" s="4"/>
      <c r="B15" s="46"/>
      <c r="C15" s="46"/>
      <c r="D15" s="46"/>
      <c r="E15" s="18"/>
      <c r="F15" s="18"/>
      <c r="G15" s="46"/>
      <c r="H15" s="46"/>
      <c r="I15" s="46"/>
      <c r="J15" s="8"/>
      <c r="K15" s="46"/>
      <c r="L15" s="46"/>
      <c r="M15" s="46"/>
      <c r="N15" s="46"/>
      <c r="O15" s="46"/>
      <c r="P15" s="46"/>
      <c r="Q15" s="46"/>
      <c r="R15" s="46"/>
      <c r="S15" s="46"/>
      <c r="T15" s="46"/>
      <c r="U15" s="46"/>
      <c r="V15" s="46"/>
      <c r="W15" s="46"/>
      <c r="X15" s="46"/>
      <c r="Y15" s="46"/>
      <c r="Z15" s="46"/>
      <c r="AA15" s="46"/>
    </row>
    <row r="16">
      <c r="A16" s="4"/>
      <c r="B16" s="46"/>
      <c r="C16" s="46"/>
      <c r="D16" s="46"/>
      <c r="E16" s="18"/>
      <c r="F16" s="18"/>
      <c r="G16" s="46"/>
      <c r="H16" s="46"/>
      <c r="I16" s="46"/>
      <c r="J16" s="46"/>
      <c r="K16" s="46"/>
      <c r="L16" s="46"/>
      <c r="M16" s="46"/>
      <c r="N16" s="46"/>
      <c r="O16" s="46"/>
      <c r="P16" s="46"/>
      <c r="Q16" s="46"/>
      <c r="R16" s="46"/>
      <c r="S16" s="46"/>
      <c r="T16" s="46"/>
      <c r="U16" s="46"/>
      <c r="V16" s="46"/>
      <c r="W16" s="46"/>
      <c r="X16" s="46"/>
      <c r="Y16" s="46"/>
      <c r="Z16" s="46"/>
      <c r="AA16" s="46"/>
    </row>
    <row r="17">
      <c r="A17" s="4"/>
      <c r="B17" s="46"/>
      <c r="C17" s="46"/>
      <c r="D17" s="46"/>
      <c r="E17" s="18"/>
      <c r="F17" s="18"/>
      <c r="G17" s="46"/>
      <c r="H17" s="46"/>
      <c r="I17" s="46"/>
      <c r="J17" s="46"/>
      <c r="K17" s="46"/>
      <c r="L17" s="46"/>
      <c r="M17" s="46"/>
      <c r="N17" s="46"/>
      <c r="O17" s="46"/>
      <c r="P17" s="46"/>
      <c r="Q17" s="46"/>
      <c r="R17" s="46"/>
      <c r="S17" s="46"/>
      <c r="T17" s="46"/>
      <c r="U17" s="46"/>
      <c r="V17" s="46"/>
      <c r="W17" s="46"/>
      <c r="X17" s="46"/>
      <c r="Y17" s="46"/>
      <c r="Z17" s="46"/>
      <c r="AA17" s="46"/>
    </row>
    <row r="18">
      <c r="A18" s="4"/>
      <c r="B18" s="46"/>
      <c r="C18" s="46"/>
      <c r="D18" s="46"/>
      <c r="E18" s="18"/>
      <c r="F18" s="18"/>
      <c r="G18" s="46"/>
      <c r="H18" s="46"/>
      <c r="I18" s="46"/>
      <c r="J18" s="46"/>
      <c r="K18" s="46"/>
      <c r="L18" s="46"/>
      <c r="M18" s="46"/>
      <c r="N18" s="46"/>
      <c r="O18" s="46"/>
      <c r="P18" s="46"/>
      <c r="Q18" s="46"/>
      <c r="R18" s="46"/>
      <c r="S18" s="46"/>
      <c r="T18" s="46"/>
      <c r="U18" s="46"/>
      <c r="V18" s="46"/>
      <c r="W18" s="46"/>
      <c r="X18" s="46"/>
      <c r="Y18" s="46"/>
      <c r="Z18" s="46"/>
      <c r="AA18" s="46"/>
    </row>
    <row r="19">
      <c r="A19" s="4"/>
      <c r="B19" s="46"/>
      <c r="C19" s="46"/>
      <c r="D19" s="46"/>
      <c r="E19" s="18"/>
      <c r="F19" s="18"/>
      <c r="G19" s="46"/>
      <c r="H19" s="46"/>
      <c r="I19" s="46"/>
      <c r="J19" s="46"/>
      <c r="K19" s="46"/>
      <c r="L19" s="46"/>
      <c r="M19" s="46"/>
      <c r="N19" s="46"/>
      <c r="O19" s="46"/>
      <c r="P19" s="46"/>
      <c r="Q19" s="46"/>
      <c r="R19" s="46"/>
      <c r="S19" s="46"/>
      <c r="T19" s="46"/>
      <c r="U19" s="46"/>
      <c r="V19" s="46"/>
      <c r="W19" s="46"/>
      <c r="X19" s="46"/>
      <c r="Y19" s="46"/>
      <c r="Z19" s="46"/>
      <c r="AA19" s="46"/>
    </row>
    <row r="20">
      <c r="A20" s="4"/>
      <c r="B20" s="46"/>
      <c r="C20" s="46"/>
      <c r="D20" s="46"/>
      <c r="E20" s="18"/>
      <c r="F20" s="18"/>
      <c r="H20" s="46"/>
      <c r="I20" s="46"/>
      <c r="J20" s="46"/>
      <c r="K20" s="46"/>
      <c r="L20" s="46"/>
      <c r="M20" s="46"/>
      <c r="N20" s="46"/>
      <c r="O20" s="46"/>
      <c r="P20" s="46"/>
      <c r="Q20" s="46"/>
      <c r="R20" s="46"/>
      <c r="S20" s="46"/>
      <c r="T20" s="46"/>
      <c r="U20" s="46"/>
      <c r="V20" s="46"/>
      <c r="W20" s="46"/>
      <c r="X20" s="46"/>
      <c r="Y20" s="46"/>
      <c r="Z20" s="46"/>
      <c r="AA20" s="46"/>
    </row>
    <row r="21">
      <c r="A21" s="4"/>
      <c r="B21" s="46"/>
      <c r="C21" s="46"/>
      <c r="D21" s="46"/>
      <c r="E21" s="18"/>
      <c r="F21" s="18"/>
      <c r="H21" s="46"/>
      <c r="I21" s="46"/>
      <c r="J21" s="46"/>
      <c r="K21" s="46"/>
      <c r="L21" s="46"/>
      <c r="M21" s="46"/>
      <c r="N21" s="46"/>
      <c r="O21" s="46"/>
      <c r="P21" s="46"/>
      <c r="Q21" s="46"/>
      <c r="R21" s="46"/>
      <c r="S21" s="46"/>
      <c r="T21" s="46"/>
      <c r="U21" s="46"/>
      <c r="V21" s="46"/>
      <c r="W21" s="46"/>
      <c r="X21" s="46"/>
      <c r="Y21" s="46"/>
      <c r="Z21" s="46"/>
      <c r="AA21" s="46"/>
    </row>
    <row r="22">
      <c r="A22" s="4"/>
      <c r="B22" s="46"/>
      <c r="C22" s="46"/>
      <c r="D22" s="46"/>
      <c r="E22" s="18"/>
      <c r="F22" s="18"/>
      <c r="H22" s="46"/>
      <c r="I22" s="46"/>
      <c r="J22" s="46"/>
      <c r="K22" s="46"/>
      <c r="L22" s="46"/>
      <c r="M22" s="46"/>
      <c r="N22" s="46"/>
      <c r="O22" s="46"/>
      <c r="P22" s="46"/>
      <c r="Q22" s="46"/>
      <c r="R22" s="46"/>
      <c r="S22" s="46"/>
      <c r="T22" s="46"/>
      <c r="U22" s="46"/>
      <c r="V22" s="46"/>
      <c r="W22" s="46"/>
      <c r="X22" s="46"/>
      <c r="Y22" s="46"/>
      <c r="Z22" s="46"/>
      <c r="AA22" s="46"/>
    </row>
    <row r="23">
      <c r="A23" s="4"/>
      <c r="B23" s="46"/>
      <c r="C23" s="46"/>
      <c r="D23" s="46"/>
      <c r="E23" s="18"/>
      <c r="F23" s="18"/>
      <c r="H23" s="46"/>
      <c r="I23" s="46"/>
      <c r="J23" s="46"/>
      <c r="K23" s="46"/>
      <c r="L23" s="46"/>
      <c r="M23" s="46"/>
      <c r="N23" s="46"/>
      <c r="O23" s="46"/>
      <c r="P23" s="46"/>
      <c r="Q23" s="46"/>
      <c r="R23" s="46"/>
      <c r="S23" s="46"/>
      <c r="T23" s="46"/>
      <c r="U23" s="46"/>
      <c r="V23" s="46"/>
      <c r="W23" s="46"/>
      <c r="X23" s="46"/>
      <c r="Y23" s="46"/>
      <c r="Z23" s="46"/>
      <c r="AA23" s="46"/>
    </row>
    <row r="24">
      <c r="A24" s="4"/>
      <c r="B24" s="46"/>
      <c r="C24" s="46"/>
      <c r="D24" s="46"/>
      <c r="E24" s="18"/>
      <c r="F24" s="18"/>
      <c r="H24" s="46"/>
      <c r="I24" s="46"/>
      <c r="J24" s="46"/>
      <c r="K24" s="46"/>
      <c r="L24" s="46"/>
      <c r="M24" s="46"/>
      <c r="N24" s="46"/>
      <c r="O24" s="46"/>
      <c r="P24" s="46"/>
      <c r="Q24" s="46"/>
      <c r="R24" s="46"/>
      <c r="S24" s="46"/>
      <c r="T24" s="46"/>
      <c r="U24" s="46"/>
      <c r="V24" s="46"/>
      <c r="W24" s="46"/>
      <c r="X24" s="46"/>
      <c r="Y24" s="46"/>
      <c r="Z24" s="46"/>
      <c r="AA24" s="46"/>
    </row>
    <row r="25">
      <c r="A25" s="4"/>
      <c r="B25" s="46"/>
      <c r="C25" s="46"/>
      <c r="D25" s="46"/>
      <c r="E25" s="18"/>
      <c r="F25" s="18"/>
      <c r="H25" s="46"/>
      <c r="I25" s="46"/>
      <c r="J25" s="46"/>
      <c r="K25" s="46"/>
      <c r="L25" s="46"/>
      <c r="M25" s="46"/>
      <c r="N25" s="46"/>
      <c r="O25" s="46"/>
      <c r="P25" s="46"/>
      <c r="Q25" s="46"/>
      <c r="R25" s="46"/>
      <c r="S25" s="46"/>
      <c r="T25" s="46"/>
      <c r="U25" s="46"/>
      <c r="V25" s="46"/>
      <c r="W25" s="46"/>
      <c r="X25" s="46"/>
      <c r="Y25" s="46"/>
      <c r="Z25" s="46"/>
      <c r="AA25" s="46"/>
    </row>
    <row r="26">
      <c r="A26" s="4"/>
      <c r="B26" s="46"/>
      <c r="C26" s="46"/>
      <c r="D26" s="46"/>
      <c r="E26" s="18"/>
      <c r="F26" s="18"/>
      <c r="H26" s="46"/>
      <c r="I26" s="46"/>
      <c r="J26" s="46"/>
      <c r="K26" s="46"/>
      <c r="L26" s="46"/>
      <c r="M26" s="46"/>
      <c r="N26" s="46"/>
      <c r="O26" s="46"/>
      <c r="P26" s="46"/>
      <c r="Q26" s="46"/>
      <c r="R26" s="46"/>
      <c r="S26" s="46"/>
      <c r="T26" s="46"/>
      <c r="U26" s="46"/>
      <c r="V26" s="46"/>
      <c r="W26" s="46"/>
      <c r="X26" s="46"/>
      <c r="Y26" s="46"/>
      <c r="Z26" s="46"/>
      <c r="AA26" s="46"/>
    </row>
    <row r="27">
      <c r="A27" s="4"/>
      <c r="B27" s="46"/>
      <c r="C27" s="46"/>
      <c r="D27" s="46"/>
      <c r="E27" s="18"/>
      <c r="F27" s="18"/>
      <c r="H27" s="46"/>
      <c r="I27" s="46"/>
      <c r="J27" s="46"/>
      <c r="K27" s="46"/>
      <c r="L27" s="46"/>
      <c r="M27" s="46"/>
      <c r="N27" s="46"/>
      <c r="O27" s="46"/>
      <c r="P27" s="46"/>
      <c r="Q27" s="46"/>
      <c r="R27" s="46"/>
      <c r="S27" s="46"/>
      <c r="T27" s="46"/>
      <c r="U27" s="46"/>
      <c r="V27" s="46"/>
      <c r="W27" s="46"/>
      <c r="X27" s="46"/>
      <c r="Y27" s="46"/>
      <c r="Z27" s="46"/>
      <c r="AA27" s="46"/>
    </row>
    <row r="28">
      <c r="A28" s="4"/>
      <c r="B28" s="46"/>
      <c r="C28" s="46"/>
      <c r="D28" s="46"/>
      <c r="E28" s="18"/>
      <c r="F28" s="18"/>
      <c r="H28" s="46"/>
      <c r="I28" s="46"/>
      <c r="J28" s="46"/>
      <c r="K28" s="46"/>
      <c r="L28" s="46"/>
      <c r="M28" s="46"/>
      <c r="N28" s="46"/>
      <c r="O28" s="46"/>
      <c r="P28" s="46"/>
      <c r="Q28" s="46"/>
      <c r="R28" s="46"/>
      <c r="S28" s="46"/>
      <c r="T28" s="46"/>
      <c r="U28" s="46"/>
      <c r="V28" s="46"/>
      <c r="W28" s="46"/>
      <c r="X28" s="46"/>
      <c r="Y28" s="46"/>
      <c r="Z28" s="46"/>
      <c r="AA28" s="46"/>
    </row>
    <row r="29">
      <c r="A29" s="4"/>
      <c r="B29" s="46"/>
      <c r="C29" s="46"/>
      <c r="D29" s="46"/>
      <c r="E29" s="18"/>
      <c r="F29" s="18"/>
      <c r="H29" s="46"/>
      <c r="I29" s="46"/>
      <c r="J29" s="46"/>
      <c r="K29" s="46"/>
      <c r="L29" s="46"/>
      <c r="M29" s="46"/>
      <c r="N29" s="46"/>
      <c r="O29" s="46"/>
      <c r="P29" s="46"/>
      <c r="Q29" s="46"/>
      <c r="R29" s="46"/>
      <c r="S29" s="46"/>
      <c r="T29" s="46"/>
      <c r="U29" s="46"/>
      <c r="V29" s="46"/>
      <c r="W29" s="46"/>
      <c r="X29" s="46"/>
      <c r="Y29" s="46"/>
      <c r="Z29" s="46"/>
      <c r="AA29" s="46"/>
    </row>
    <row r="30">
      <c r="A30" s="4"/>
      <c r="B30" s="46"/>
      <c r="C30" s="46"/>
      <c r="D30" s="46"/>
      <c r="E30" s="18"/>
      <c r="F30" s="18"/>
      <c r="H30" s="46"/>
      <c r="I30" s="46"/>
      <c r="J30" s="46"/>
      <c r="K30" s="46"/>
      <c r="L30" s="46"/>
      <c r="M30" s="46"/>
      <c r="N30" s="46"/>
      <c r="O30" s="46"/>
      <c r="P30" s="46"/>
      <c r="Q30" s="46"/>
      <c r="R30" s="46"/>
      <c r="S30" s="46"/>
      <c r="T30" s="46"/>
      <c r="U30" s="46"/>
      <c r="V30" s="46"/>
      <c r="W30" s="46"/>
      <c r="X30" s="46"/>
      <c r="Y30" s="46"/>
      <c r="Z30" s="46"/>
      <c r="AA30" s="46"/>
    </row>
    <row r="31">
      <c r="A31" s="4"/>
      <c r="B31" s="46"/>
      <c r="C31" s="46"/>
      <c r="D31" s="46"/>
      <c r="E31" s="18"/>
      <c r="F31" s="18"/>
      <c r="H31" s="46"/>
      <c r="I31" s="46"/>
      <c r="J31" s="46"/>
      <c r="K31" s="46"/>
      <c r="L31" s="46"/>
      <c r="M31" s="46"/>
      <c r="N31" s="46"/>
      <c r="O31" s="46"/>
      <c r="P31" s="46"/>
      <c r="Q31" s="46"/>
      <c r="R31" s="46"/>
      <c r="S31" s="46"/>
      <c r="T31" s="46"/>
      <c r="U31" s="46"/>
      <c r="V31" s="46"/>
      <c r="W31" s="46"/>
      <c r="X31" s="46"/>
      <c r="Y31" s="46"/>
      <c r="Z31" s="46"/>
      <c r="AA31" s="46"/>
    </row>
    <row r="32">
      <c r="A32" s="4"/>
      <c r="B32" s="46"/>
      <c r="C32" s="46"/>
      <c r="D32" s="46"/>
      <c r="E32" s="18"/>
      <c r="F32" s="18"/>
      <c r="H32" s="46"/>
      <c r="I32" s="46"/>
      <c r="J32" s="46"/>
      <c r="K32" s="46"/>
      <c r="L32" s="46"/>
      <c r="M32" s="46"/>
      <c r="N32" s="46"/>
      <c r="O32" s="46"/>
      <c r="P32" s="46"/>
      <c r="Q32" s="46"/>
      <c r="R32" s="46"/>
      <c r="S32" s="46"/>
      <c r="T32" s="46"/>
      <c r="U32" s="46"/>
      <c r="V32" s="46"/>
      <c r="W32" s="46"/>
      <c r="X32" s="46"/>
      <c r="Y32" s="46"/>
      <c r="Z32" s="46"/>
      <c r="AA32" s="46"/>
    </row>
    <row r="33">
      <c r="A33" s="4"/>
      <c r="B33" s="46"/>
      <c r="C33" s="46"/>
      <c r="D33" s="46"/>
      <c r="E33" s="18"/>
      <c r="F33" s="18"/>
      <c r="H33" s="46"/>
      <c r="I33" s="46"/>
      <c r="J33" s="46"/>
      <c r="K33" s="46"/>
      <c r="L33" s="46"/>
      <c r="M33" s="46"/>
      <c r="N33" s="46"/>
      <c r="O33" s="46"/>
      <c r="P33" s="46"/>
      <c r="Q33" s="46"/>
      <c r="R33" s="46"/>
      <c r="S33" s="46"/>
      <c r="T33" s="46"/>
      <c r="U33" s="46"/>
      <c r="V33" s="46"/>
      <c r="W33" s="46"/>
      <c r="X33" s="46"/>
      <c r="Y33" s="46"/>
      <c r="Z33" s="46"/>
      <c r="AA33" s="46"/>
    </row>
    <row r="34">
      <c r="A34" s="4"/>
      <c r="B34" s="46"/>
      <c r="C34" s="46"/>
      <c r="D34" s="46"/>
      <c r="E34" s="18"/>
      <c r="F34" s="18"/>
      <c r="H34" s="46"/>
      <c r="I34" s="46"/>
      <c r="J34" s="46"/>
      <c r="K34" s="46"/>
      <c r="L34" s="46"/>
      <c r="M34" s="46"/>
      <c r="N34" s="46"/>
      <c r="O34" s="46"/>
      <c r="P34" s="46"/>
      <c r="Q34" s="46"/>
      <c r="R34" s="46"/>
      <c r="S34" s="46"/>
      <c r="T34" s="46"/>
      <c r="U34" s="46"/>
      <c r="V34" s="46"/>
      <c r="W34" s="46"/>
      <c r="X34" s="46"/>
      <c r="Y34" s="46"/>
      <c r="Z34" s="46"/>
      <c r="AA34" s="46"/>
    </row>
    <row r="35">
      <c r="A35" s="4"/>
      <c r="B35" s="46"/>
      <c r="C35" s="46"/>
      <c r="D35" s="46"/>
      <c r="E35" s="18"/>
      <c r="F35" s="18"/>
      <c r="H35" s="46"/>
      <c r="I35" s="46"/>
      <c r="J35" s="46"/>
      <c r="K35" s="46"/>
      <c r="L35" s="46"/>
      <c r="M35" s="46"/>
      <c r="N35" s="46"/>
      <c r="O35" s="46"/>
      <c r="P35" s="46"/>
      <c r="Q35" s="46"/>
      <c r="R35" s="46"/>
      <c r="S35" s="46"/>
      <c r="T35" s="46"/>
      <c r="U35" s="46"/>
      <c r="V35" s="46"/>
      <c r="W35" s="46"/>
      <c r="X35" s="46"/>
      <c r="Y35" s="46"/>
      <c r="Z35" s="46"/>
      <c r="AA35" s="46"/>
    </row>
    <row r="36">
      <c r="A36" s="4"/>
      <c r="B36" s="46"/>
      <c r="C36" s="46"/>
      <c r="D36" s="46"/>
      <c r="E36" s="18"/>
      <c r="F36" s="18"/>
      <c r="G36" s="40" t="str">
        <f t="shared" ref="G36:G41" si="1">IF(TRIM(H18)=TRIM($A18), D18, )</f>
        <v/>
      </c>
      <c r="H36" s="46"/>
      <c r="I36" s="46"/>
      <c r="J36" s="46"/>
      <c r="K36" s="46"/>
      <c r="L36" s="46"/>
      <c r="M36" s="46"/>
      <c r="N36" s="46"/>
      <c r="O36" s="46"/>
      <c r="P36" s="46"/>
      <c r="Q36" s="46"/>
      <c r="R36" s="46"/>
      <c r="S36" s="46"/>
      <c r="T36" s="46"/>
      <c r="U36" s="46"/>
      <c r="V36" s="46"/>
      <c r="W36" s="46"/>
      <c r="X36" s="46"/>
      <c r="Y36" s="46"/>
      <c r="Z36" s="46"/>
      <c r="AA36" s="46"/>
    </row>
    <row r="37">
      <c r="A37" s="4"/>
      <c r="B37" s="46"/>
      <c r="C37" s="46"/>
      <c r="D37" s="46"/>
      <c r="E37" s="18"/>
      <c r="F37" s="18"/>
      <c r="G37" s="40" t="str">
        <f t="shared" si="1"/>
        <v/>
      </c>
      <c r="H37" s="46"/>
      <c r="I37" s="46"/>
      <c r="J37" s="46"/>
      <c r="K37" s="46"/>
      <c r="L37" s="46"/>
      <c r="M37" s="46"/>
      <c r="N37" s="46"/>
      <c r="O37" s="46"/>
      <c r="P37" s="46"/>
      <c r="Q37" s="46"/>
      <c r="R37" s="46"/>
      <c r="S37" s="46"/>
      <c r="T37" s="46"/>
      <c r="U37" s="46"/>
      <c r="V37" s="46"/>
      <c r="W37" s="46"/>
      <c r="X37" s="46"/>
      <c r="Y37" s="46"/>
      <c r="Z37" s="46"/>
      <c r="AA37" s="46"/>
    </row>
    <row r="38">
      <c r="A38" s="4"/>
      <c r="B38" s="46"/>
      <c r="C38" s="46"/>
      <c r="D38" s="46"/>
      <c r="E38" s="18"/>
      <c r="F38" s="18"/>
      <c r="G38" s="40" t="str">
        <f t="shared" si="1"/>
        <v/>
      </c>
      <c r="H38" s="46"/>
      <c r="I38" s="46"/>
      <c r="J38" s="46"/>
      <c r="K38" s="46"/>
      <c r="L38" s="46"/>
      <c r="M38" s="46"/>
      <c r="N38" s="46"/>
      <c r="O38" s="46"/>
      <c r="P38" s="46"/>
      <c r="Q38" s="46"/>
      <c r="R38" s="46"/>
      <c r="S38" s="46"/>
      <c r="T38" s="46"/>
      <c r="U38" s="46"/>
      <c r="V38" s="46"/>
      <c r="W38" s="46"/>
      <c r="X38" s="46"/>
      <c r="Y38" s="46"/>
      <c r="Z38" s="46"/>
      <c r="AA38" s="46"/>
    </row>
    <row r="39">
      <c r="A39" s="4"/>
      <c r="B39" s="46"/>
      <c r="C39" s="46"/>
      <c r="D39" s="46"/>
      <c r="E39" s="18"/>
      <c r="F39" s="18"/>
      <c r="G39" s="40" t="str">
        <f t="shared" si="1"/>
        <v/>
      </c>
      <c r="H39" s="46"/>
      <c r="I39" s="46"/>
      <c r="J39" s="46"/>
      <c r="K39" s="46"/>
      <c r="L39" s="46"/>
      <c r="M39" s="46"/>
      <c r="N39" s="46"/>
      <c r="O39" s="46"/>
      <c r="P39" s="46"/>
      <c r="Q39" s="46"/>
      <c r="R39" s="46"/>
      <c r="S39" s="46"/>
      <c r="T39" s="46"/>
      <c r="U39" s="46"/>
      <c r="V39" s="46"/>
      <c r="W39" s="46"/>
      <c r="X39" s="46"/>
      <c r="Y39" s="46"/>
      <c r="Z39" s="46"/>
      <c r="AA39" s="46"/>
    </row>
    <row r="40">
      <c r="A40" s="4"/>
      <c r="B40" s="46"/>
      <c r="C40" s="46"/>
      <c r="D40" s="46"/>
      <c r="E40" s="18"/>
      <c r="F40" s="18"/>
      <c r="G40" s="40" t="str">
        <f t="shared" si="1"/>
        <v/>
      </c>
      <c r="H40" s="46"/>
      <c r="I40" s="46"/>
      <c r="J40" s="46"/>
      <c r="K40" s="46"/>
      <c r="L40" s="46"/>
      <c r="M40" s="46"/>
      <c r="N40" s="46"/>
      <c r="O40" s="46"/>
      <c r="P40" s="46"/>
      <c r="Q40" s="46"/>
      <c r="R40" s="46"/>
      <c r="S40" s="46"/>
      <c r="T40" s="46"/>
      <c r="U40" s="46"/>
      <c r="V40" s="46"/>
      <c r="W40" s="46"/>
      <c r="X40" s="46"/>
      <c r="Y40" s="46"/>
      <c r="Z40" s="46"/>
      <c r="AA40" s="46"/>
    </row>
    <row r="41">
      <c r="A41" s="4"/>
      <c r="B41" s="46"/>
      <c r="C41" s="46"/>
      <c r="D41" s="46"/>
      <c r="E41" s="18"/>
      <c r="F41" s="18"/>
      <c r="G41" s="40" t="str">
        <f t="shared" si="1"/>
        <v/>
      </c>
      <c r="H41" s="46"/>
      <c r="I41" s="46"/>
      <c r="J41" s="46"/>
      <c r="K41" s="46"/>
      <c r="L41" s="46"/>
      <c r="M41" s="46"/>
      <c r="N41" s="46"/>
      <c r="O41" s="46"/>
      <c r="P41" s="46"/>
      <c r="Q41" s="46"/>
      <c r="R41" s="46"/>
      <c r="S41" s="46"/>
      <c r="T41" s="46"/>
      <c r="U41" s="46"/>
      <c r="V41" s="46"/>
      <c r="W41" s="46"/>
      <c r="X41" s="46"/>
      <c r="Y41" s="46"/>
      <c r="Z41" s="46"/>
      <c r="AA41" s="46"/>
    </row>
    <row r="42">
      <c r="A42" s="4"/>
      <c r="B42" s="46"/>
      <c r="C42" s="46"/>
      <c r="D42" s="46"/>
      <c r="E42" s="18"/>
      <c r="F42" s="18"/>
      <c r="G42" s="46"/>
      <c r="H42" s="46"/>
      <c r="I42" s="46"/>
      <c r="J42" s="46"/>
      <c r="K42" s="46"/>
      <c r="L42" s="46"/>
      <c r="M42" s="46"/>
      <c r="N42" s="46"/>
      <c r="O42" s="46"/>
      <c r="P42" s="46"/>
      <c r="Q42" s="46"/>
      <c r="R42" s="46"/>
      <c r="S42" s="46"/>
      <c r="T42" s="46"/>
      <c r="U42" s="46"/>
      <c r="V42" s="46"/>
      <c r="W42" s="46"/>
      <c r="X42" s="46"/>
      <c r="Y42" s="46"/>
      <c r="Z42" s="46"/>
      <c r="AA42" s="46"/>
    </row>
    <row r="43">
      <c r="A43" s="4"/>
      <c r="B43" s="46"/>
      <c r="C43" s="46"/>
      <c r="D43" s="46"/>
      <c r="E43" s="18"/>
      <c r="F43" s="18"/>
      <c r="G43" s="46"/>
      <c r="H43" s="46"/>
      <c r="I43" s="46"/>
      <c r="J43" s="46"/>
      <c r="K43" s="46"/>
      <c r="L43" s="46"/>
      <c r="M43" s="46"/>
      <c r="N43" s="46"/>
      <c r="O43" s="46"/>
      <c r="P43" s="46"/>
      <c r="Q43" s="46"/>
      <c r="R43" s="46"/>
      <c r="S43" s="46"/>
      <c r="T43" s="46"/>
      <c r="U43" s="46"/>
      <c r="V43" s="46"/>
      <c r="W43" s="46"/>
      <c r="X43" s="46"/>
      <c r="Y43" s="46"/>
      <c r="Z43" s="46"/>
      <c r="AA43" s="46"/>
    </row>
    <row r="44">
      <c r="A44" s="4"/>
      <c r="B44" s="46"/>
      <c r="C44" s="46"/>
      <c r="D44" s="46"/>
      <c r="E44" s="18"/>
      <c r="F44" s="18"/>
      <c r="G44" s="46"/>
      <c r="H44" s="46"/>
      <c r="I44" s="46"/>
      <c r="J44" s="46"/>
      <c r="K44" s="46"/>
      <c r="L44" s="46"/>
      <c r="M44" s="46"/>
      <c r="N44" s="46"/>
      <c r="O44" s="46"/>
      <c r="P44" s="46"/>
      <c r="Q44" s="46"/>
      <c r="R44" s="46"/>
      <c r="S44" s="46"/>
      <c r="T44" s="46"/>
      <c r="U44" s="46"/>
      <c r="V44" s="46"/>
      <c r="W44" s="46"/>
      <c r="X44" s="46"/>
      <c r="Y44" s="46"/>
      <c r="Z44" s="46"/>
      <c r="AA44" s="46"/>
    </row>
    <row r="45">
      <c r="A45" s="4"/>
      <c r="B45" s="46"/>
      <c r="C45" s="46"/>
      <c r="D45" s="46"/>
      <c r="E45" s="18"/>
      <c r="F45" s="18"/>
      <c r="G45" s="46"/>
      <c r="H45" s="46"/>
      <c r="I45" s="46"/>
      <c r="J45" s="46"/>
      <c r="K45" s="46"/>
      <c r="L45" s="46"/>
      <c r="M45" s="46"/>
      <c r="N45" s="46"/>
      <c r="O45" s="46"/>
      <c r="P45" s="46"/>
      <c r="Q45" s="46"/>
      <c r="R45" s="46"/>
      <c r="S45" s="46"/>
      <c r="T45" s="46"/>
      <c r="U45" s="46"/>
      <c r="V45" s="46"/>
      <c r="W45" s="46"/>
      <c r="X45" s="46"/>
      <c r="Y45" s="46"/>
      <c r="Z45" s="46"/>
      <c r="AA45" s="46"/>
    </row>
    <row r="46">
      <c r="A46" s="4"/>
      <c r="B46" s="46"/>
      <c r="C46" s="46"/>
      <c r="D46" s="46"/>
      <c r="E46" s="18"/>
      <c r="F46" s="18"/>
      <c r="G46" s="46"/>
      <c r="H46" s="46"/>
      <c r="I46" s="46"/>
      <c r="J46" s="46"/>
      <c r="K46" s="46"/>
      <c r="L46" s="46"/>
      <c r="M46" s="46"/>
      <c r="N46" s="46"/>
      <c r="O46" s="46"/>
      <c r="P46" s="46"/>
      <c r="Q46" s="46"/>
      <c r="R46" s="46"/>
      <c r="S46" s="46"/>
      <c r="T46" s="46"/>
      <c r="U46" s="46"/>
      <c r="V46" s="46"/>
      <c r="W46" s="46"/>
      <c r="X46" s="46"/>
      <c r="Y46" s="46"/>
      <c r="Z46" s="46"/>
      <c r="AA46" s="46"/>
    </row>
    <row r="47">
      <c r="A47" s="4"/>
      <c r="B47" s="46"/>
      <c r="C47" s="46"/>
      <c r="D47" s="46"/>
      <c r="E47" s="18"/>
      <c r="F47" s="18"/>
      <c r="G47" s="46"/>
      <c r="H47" s="46"/>
      <c r="I47" s="46"/>
      <c r="J47" s="46"/>
      <c r="K47" s="46"/>
      <c r="L47" s="46"/>
      <c r="M47" s="46"/>
      <c r="N47" s="46"/>
      <c r="O47" s="46"/>
      <c r="P47" s="46"/>
      <c r="Q47" s="46"/>
      <c r="R47" s="46"/>
      <c r="S47" s="46"/>
      <c r="T47" s="46"/>
      <c r="U47" s="46"/>
      <c r="V47" s="46"/>
      <c r="W47" s="46"/>
      <c r="X47" s="46"/>
      <c r="Y47" s="46"/>
      <c r="Z47" s="46"/>
      <c r="AA47" s="46"/>
    </row>
    <row r="48">
      <c r="A48" s="4"/>
      <c r="B48" s="46"/>
      <c r="C48" s="46"/>
      <c r="D48" s="46"/>
      <c r="E48" s="18"/>
      <c r="F48" s="18"/>
      <c r="G48" s="46"/>
      <c r="H48" s="46"/>
      <c r="I48" s="46"/>
      <c r="J48" s="46"/>
      <c r="K48" s="46"/>
      <c r="L48" s="46"/>
      <c r="M48" s="46"/>
      <c r="N48" s="46"/>
      <c r="O48" s="46"/>
      <c r="P48" s="46"/>
      <c r="Q48" s="46"/>
      <c r="R48" s="46"/>
      <c r="S48" s="46"/>
      <c r="T48" s="46"/>
      <c r="U48" s="46"/>
      <c r="V48" s="46"/>
      <c r="W48" s="46"/>
      <c r="X48" s="46"/>
      <c r="Y48" s="46"/>
      <c r="Z48" s="46"/>
      <c r="AA48" s="46"/>
    </row>
    <row r="49">
      <c r="A49" s="4"/>
      <c r="B49" s="46"/>
      <c r="C49" s="46"/>
      <c r="D49" s="46"/>
      <c r="E49" s="18"/>
      <c r="F49" s="18"/>
      <c r="G49" s="46"/>
      <c r="H49" s="46"/>
      <c r="I49" s="46"/>
      <c r="J49" s="46"/>
      <c r="K49" s="46"/>
      <c r="L49" s="46"/>
      <c r="M49" s="46"/>
      <c r="N49" s="46"/>
      <c r="O49" s="46"/>
      <c r="P49" s="46"/>
      <c r="Q49" s="46"/>
      <c r="R49" s="46"/>
      <c r="S49" s="46"/>
      <c r="T49" s="46"/>
      <c r="U49" s="46"/>
      <c r="V49" s="46"/>
      <c r="W49" s="46"/>
      <c r="X49" s="46"/>
      <c r="Y49" s="46"/>
      <c r="Z49" s="46"/>
      <c r="AA49" s="46"/>
    </row>
    <row r="50">
      <c r="A50" s="4"/>
      <c r="B50" s="46"/>
      <c r="C50" s="46"/>
      <c r="D50" s="46"/>
      <c r="E50" s="18"/>
      <c r="F50" s="18"/>
      <c r="G50" s="46"/>
      <c r="H50" s="46"/>
      <c r="I50" s="46"/>
      <c r="J50" s="46"/>
      <c r="K50" s="46"/>
      <c r="L50" s="46"/>
      <c r="M50" s="46"/>
      <c r="N50" s="46"/>
      <c r="O50" s="46"/>
      <c r="P50" s="46"/>
      <c r="Q50" s="46"/>
      <c r="R50" s="46"/>
      <c r="S50" s="46"/>
      <c r="T50" s="46"/>
      <c r="U50" s="46"/>
      <c r="V50" s="46"/>
      <c r="W50" s="46"/>
      <c r="X50" s="46"/>
      <c r="Y50" s="46"/>
      <c r="Z50" s="46"/>
      <c r="AA50" s="46"/>
    </row>
    <row r="51">
      <c r="A51" s="4"/>
      <c r="B51" s="46"/>
      <c r="C51" s="46"/>
      <c r="D51" s="46"/>
      <c r="E51" s="18"/>
      <c r="F51" s="18"/>
      <c r="G51" s="46"/>
      <c r="H51" s="46"/>
      <c r="I51" s="46"/>
      <c r="J51" s="46"/>
      <c r="K51" s="46"/>
      <c r="L51" s="46"/>
      <c r="M51" s="46"/>
      <c r="N51" s="46"/>
      <c r="O51" s="46"/>
      <c r="P51" s="46"/>
      <c r="Q51" s="46"/>
      <c r="R51" s="46"/>
      <c r="S51" s="46"/>
      <c r="T51" s="46"/>
      <c r="U51" s="46"/>
      <c r="V51" s="46"/>
      <c r="W51" s="46"/>
      <c r="X51" s="46"/>
      <c r="Y51" s="46"/>
      <c r="Z51" s="46"/>
      <c r="AA51" s="46"/>
    </row>
    <row r="52">
      <c r="A52" s="4"/>
      <c r="B52" s="46"/>
      <c r="C52" s="46"/>
      <c r="D52" s="46"/>
      <c r="E52" s="18"/>
      <c r="F52" s="18"/>
      <c r="G52" s="46"/>
      <c r="H52" s="46"/>
      <c r="I52" s="46"/>
      <c r="J52" s="46"/>
      <c r="K52" s="46"/>
      <c r="L52" s="46"/>
      <c r="M52" s="46"/>
      <c r="N52" s="46"/>
      <c r="O52" s="46"/>
      <c r="P52" s="46"/>
      <c r="Q52" s="46"/>
      <c r="R52" s="46"/>
      <c r="S52" s="46"/>
      <c r="T52" s="46"/>
      <c r="U52" s="46"/>
      <c r="V52" s="46"/>
      <c r="W52" s="46"/>
      <c r="X52" s="46"/>
      <c r="Y52" s="46"/>
      <c r="Z52" s="46"/>
      <c r="AA52" s="46"/>
    </row>
    <row r="53">
      <c r="A53" s="4"/>
      <c r="B53" s="46"/>
      <c r="C53" s="46"/>
      <c r="D53" s="46"/>
      <c r="E53" s="18"/>
      <c r="F53" s="18"/>
      <c r="G53" s="46"/>
      <c r="H53" s="46"/>
      <c r="I53" s="46"/>
      <c r="J53" s="46"/>
      <c r="K53" s="46"/>
      <c r="L53" s="46"/>
      <c r="M53" s="46"/>
      <c r="N53" s="46"/>
      <c r="O53" s="46"/>
      <c r="P53" s="46"/>
      <c r="Q53" s="46"/>
      <c r="R53" s="46"/>
      <c r="S53" s="46"/>
      <c r="T53" s="46"/>
      <c r="U53" s="46"/>
      <c r="V53" s="46"/>
      <c r="W53" s="46"/>
      <c r="X53" s="46"/>
      <c r="Y53" s="46"/>
      <c r="Z53" s="46"/>
      <c r="AA53" s="46"/>
    </row>
    <row r="54">
      <c r="A54" s="4"/>
      <c r="B54" s="46"/>
      <c r="C54" s="46"/>
      <c r="D54" s="46"/>
      <c r="E54" s="18"/>
      <c r="F54" s="18"/>
      <c r="G54" s="46"/>
      <c r="H54" s="46"/>
      <c r="I54" s="46"/>
      <c r="J54" s="46"/>
      <c r="K54" s="46"/>
      <c r="L54" s="46"/>
      <c r="M54" s="46"/>
      <c r="N54" s="46"/>
      <c r="O54" s="46"/>
      <c r="P54" s="46"/>
      <c r="Q54" s="46"/>
      <c r="R54" s="46"/>
      <c r="S54" s="46"/>
      <c r="T54" s="46"/>
      <c r="U54" s="46"/>
      <c r="V54" s="46"/>
      <c r="W54" s="46"/>
      <c r="X54" s="46"/>
      <c r="Y54" s="46"/>
      <c r="Z54" s="46"/>
      <c r="AA54" s="46"/>
    </row>
    <row r="55">
      <c r="A55" s="4"/>
      <c r="B55" s="46"/>
      <c r="C55" s="46"/>
      <c r="D55" s="46"/>
      <c r="E55" s="18"/>
      <c r="F55" s="18"/>
      <c r="G55" s="46"/>
      <c r="H55" s="46"/>
      <c r="I55" s="46"/>
      <c r="J55" s="46"/>
      <c r="K55" s="46"/>
      <c r="L55" s="46"/>
      <c r="M55" s="46"/>
      <c r="N55" s="46"/>
      <c r="O55" s="46"/>
      <c r="P55" s="46"/>
      <c r="Q55" s="46"/>
      <c r="R55" s="46"/>
      <c r="S55" s="46"/>
      <c r="T55" s="46"/>
      <c r="U55" s="46"/>
      <c r="V55" s="46"/>
      <c r="W55" s="46"/>
      <c r="X55" s="46"/>
      <c r="Y55" s="46"/>
      <c r="Z55" s="46"/>
      <c r="AA55" s="46"/>
    </row>
    <row r="56">
      <c r="A56" s="4"/>
      <c r="B56" s="46"/>
      <c r="C56" s="46"/>
      <c r="D56" s="46"/>
      <c r="E56" s="18"/>
      <c r="F56" s="18"/>
      <c r="G56" s="46"/>
      <c r="H56" s="46"/>
      <c r="I56" s="46"/>
      <c r="J56" s="46"/>
      <c r="K56" s="46"/>
      <c r="L56" s="46"/>
      <c r="M56" s="46"/>
      <c r="N56" s="46"/>
      <c r="O56" s="46"/>
      <c r="P56" s="46"/>
      <c r="Q56" s="46"/>
      <c r="R56" s="46"/>
      <c r="S56" s="46"/>
      <c r="T56" s="46"/>
      <c r="U56" s="46"/>
      <c r="V56" s="46"/>
      <c r="W56" s="46"/>
      <c r="X56" s="46"/>
      <c r="Y56" s="46"/>
      <c r="Z56" s="46"/>
      <c r="AA56" s="46"/>
    </row>
    <row r="57">
      <c r="A57" s="4"/>
      <c r="B57" s="46"/>
      <c r="C57" s="46"/>
      <c r="D57" s="46"/>
      <c r="E57" s="18"/>
      <c r="F57" s="18"/>
      <c r="G57" s="46"/>
      <c r="H57" s="46"/>
      <c r="I57" s="46"/>
      <c r="J57" s="46"/>
      <c r="K57" s="46"/>
      <c r="L57" s="46"/>
      <c r="M57" s="46"/>
      <c r="N57" s="46"/>
      <c r="O57" s="46"/>
      <c r="P57" s="46"/>
      <c r="Q57" s="46"/>
      <c r="R57" s="46"/>
      <c r="S57" s="46"/>
      <c r="T57" s="46"/>
      <c r="U57" s="46"/>
      <c r="V57" s="46"/>
      <c r="W57" s="46"/>
      <c r="X57" s="46"/>
      <c r="Y57" s="46"/>
      <c r="Z57" s="46"/>
      <c r="AA57" s="46"/>
    </row>
    <row r="58">
      <c r="A58" s="4"/>
      <c r="B58" s="46"/>
      <c r="C58" s="46"/>
      <c r="D58" s="46"/>
      <c r="E58" s="18"/>
      <c r="F58" s="18"/>
      <c r="G58" s="46"/>
      <c r="H58" s="46"/>
      <c r="I58" s="46"/>
      <c r="J58" s="46"/>
      <c r="K58" s="46"/>
      <c r="L58" s="46"/>
      <c r="M58" s="46"/>
      <c r="N58" s="46"/>
      <c r="O58" s="46"/>
      <c r="P58" s="46"/>
      <c r="Q58" s="46"/>
      <c r="R58" s="46"/>
      <c r="S58" s="46"/>
      <c r="T58" s="46"/>
      <c r="U58" s="46"/>
      <c r="V58" s="46"/>
      <c r="W58" s="46"/>
      <c r="X58" s="46"/>
      <c r="Y58" s="46"/>
      <c r="Z58" s="46"/>
      <c r="AA58" s="46"/>
    </row>
    <row r="59">
      <c r="A59" s="4"/>
      <c r="B59" s="46"/>
      <c r="C59" s="46"/>
      <c r="D59" s="46"/>
      <c r="E59" s="18"/>
      <c r="F59" s="18"/>
      <c r="G59" s="46"/>
      <c r="H59" s="46"/>
      <c r="I59" s="46"/>
      <c r="J59" s="46"/>
      <c r="K59" s="46"/>
      <c r="L59" s="46"/>
      <c r="M59" s="46"/>
      <c r="N59" s="46"/>
      <c r="O59" s="46"/>
      <c r="P59" s="46"/>
      <c r="Q59" s="46"/>
      <c r="R59" s="46"/>
      <c r="S59" s="46"/>
      <c r="T59" s="46"/>
      <c r="U59" s="46"/>
      <c r="V59" s="46"/>
      <c r="W59" s="46"/>
      <c r="X59" s="46"/>
      <c r="Y59" s="46"/>
      <c r="Z59" s="46"/>
      <c r="AA59" s="46"/>
    </row>
    <row r="60">
      <c r="A60" s="4"/>
      <c r="B60" s="46"/>
      <c r="C60" s="46"/>
      <c r="D60" s="46"/>
      <c r="E60" s="18"/>
      <c r="F60" s="18"/>
      <c r="G60" s="46"/>
      <c r="H60" s="46"/>
      <c r="I60" s="46"/>
      <c r="J60" s="46"/>
      <c r="K60" s="46"/>
      <c r="L60" s="46"/>
      <c r="M60" s="46"/>
      <c r="N60" s="46"/>
      <c r="O60" s="46"/>
      <c r="P60" s="46"/>
      <c r="Q60" s="46"/>
      <c r="R60" s="46"/>
      <c r="S60" s="46"/>
      <c r="T60" s="46"/>
      <c r="U60" s="46"/>
      <c r="V60" s="46"/>
      <c r="W60" s="46"/>
      <c r="X60" s="46"/>
      <c r="Y60" s="46"/>
      <c r="Z60" s="46"/>
      <c r="AA60" s="46"/>
    </row>
    <row r="61">
      <c r="A61" s="4"/>
      <c r="B61" s="46"/>
      <c r="C61" s="46"/>
      <c r="D61" s="46"/>
      <c r="E61" s="18"/>
      <c r="F61" s="18"/>
      <c r="G61" s="46"/>
      <c r="H61" s="46"/>
      <c r="I61" s="46"/>
      <c r="J61" s="46"/>
      <c r="K61" s="46"/>
      <c r="L61" s="46"/>
      <c r="M61" s="46"/>
      <c r="N61" s="46"/>
      <c r="O61" s="46"/>
      <c r="P61" s="46"/>
      <c r="Q61" s="46"/>
      <c r="R61" s="46"/>
      <c r="S61" s="46"/>
      <c r="T61" s="46"/>
      <c r="U61" s="46"/>
      <c r="V61" s="46"/>
      <c r="W61" s="46"/>
      <c r="X61" s="46"/>
      <c r="Y61" s="46"/>
      <c r="Z61" s="46"/>
      <c r="AA61" s="46"/>
    </row>
    <row r="62">
      <c r="A62" s="4"/>
      <c r="B62" s="46"/>
      <c r="C62" s="46"/>
      <c r="D62" s="46"/>
      <c r="E62" s="18"/>
      <c r="F62" s="18"/>
      <c r="G62" s="46"/>
      <c r="H62" s="46"/>
      <c r="I62" s="46"/>
      <c r="J62" s="46"/>
      <c r="K62" s="46"/>
      <c r="L62" s="46"/>
      <c r="M62" s="46"/>
      <c r="N62" s="46"/>
      <c r="O62" s="46"/>
      <c r="P62" s="46"/>
      <c r="Q62" s="46"/>
      <c r="R62" s="46"/>
      <c r="S62" s="46"/>
      <c r="T62" s="46"/>
      <c r="U62" s="46"/>
      <c r="V62" s="46"/>
      <c r="W62" s="46"/>
      <c r="X62" s="46"/>
      <c r="Y62" s="46"/>
      <c r="Z62" s="46"/>
      <c r="AA62" s="46"/>
    </row>
    <row r="63">
      <c r="A63" s="4"/>
      <c r="B63" s="46"/>
      <c r="C63" s="46"/>
      <c r="D63" s="46"/>
      <c r="E63" s="18"/>
      <c r="F63" s="18"/>
      <c r="G63" s="46"/>
      <c r="H63" s="46"/>
      <c r="I63" s="46"/>
      <c r="J63" s="46"/>
      <c r="K63" s="46"/>
      <c r="L63" s="46"/>
      <c r="M63" s="46"/>
      <c r="N63" s="46"/>
      <c r="O63" s="46"/>
      <c r="P63" s="46"/>
      <c r="Q63" s="46"/>
      <c r="R63" s="46"/>
      <c r="S63" s="46"/>
      <c r="T63" s="46"/>
      <c r="U63" s="46"/>
      <c r="V63" s="46"/>
      <c r="W63" s="46"/>
      <c r="X63" s="46"/>
      <c r="Y63" s="46"/>
      <c r="Z63" s="46"/>
      <c r="AA63" s="46"/>
    </row>
    <row r="64">
      <c r="A64" s="4"/>
      <c r="B64" s="46"/>
      <c r="C64" s="46"/>
      <c r="D64" s="46"/>
      <c r="E64" s="18"/>
      <c r="F64" s="18"/>
      <c r="G64" s="46"/>
      <c r="H64" s="46"/>
      <c r="I64" s="46"/>
      <c r="J64" s="46"/>
      <c r="K64" s="46"/>
      <c r="L64" s="46"/>
      <c r="M64" s="46"/>
      <c r="N64" s="46"/>
      <c r="O64" s="46"/>
      <c r="P64" s="46"/>
      <c r="Q64" s="46"/>
      <c r="R64" s="46"/>
      <c r="S64" s="46"/>
      <c r="T64" s="46"/>
      <c r="U64" s="46"/>
      <c r="V64" s="46"/>
      <c r="W64" s="46"/>
      <c r="X64" s="46"/>
      <c r="Y64" s="46"/>
      <c r="Z64" s="46"/>
      <c r="AA64" s="46"/>
    </row>
    <row r="65">
      <c r="A65" s="4"/>
      <c r="B65" s="46"/>
      <c r="C65" s="46"/>
      <c r="D65" s="46"/>
      <c r="E65" s="18"/>
      <c r="F65" s="18"/>
      <c r="G65" s="46"/>
      <c r="H65" s="46"/>
      <c r="I65" s="46"/>
      <c r="J65" s="46"/>
      <c r="K65" s="46"/>
      <c r="L65" s="46"/>
      <c r="M65" s="46"/>
      <c r="N65" s="46"/>
      <c r="O65" s="46"/>
      <c r="P65" s="46"/>
      <c r="Q65" s="46"/>
      <c r="R65" s="46"/>
      <c r="S65" s="46"/>
      <c r="T65" s="46"/>
      <c r="U65" s="46"/>
      <c r="V65" s="46"/>
      <c r="W65" s="46"/>
      <c r="X65" s="46"/>
      <c r="Y65" s="46"/>
      <c r="Z65" s="46"/>
      <c r="AA65" s="46"/>
    </row>
    <row r="66">
      <c r="A66" s="4"/>
      <c r="B66" s="46"/>
      <c r="C66" s="46"/>
      <c r="D66" s="46"/>
      <c r="E66" s="18"/>
      <c r="F66" s="18"/>
      <c r="G66" s="46"/>
      <c r="H66" s="46"/>
      <c r="I66" s="46"/>
      <c r="J66" s="46"/>
      <c r="K66" s="46"/>
      <c r="L66" s="46"/>
      <c r="M66" s="46"/>
      <c r="N66" s="46"/>
      <c r="O66" s="46"/>
      <c r="P66" s="46"/>
      <c r="Q66" s="46"/>
      <c r="R66" s="46"/>
      <c r="S66" s="46"/>
      <c r="T66" s="46"/>
      <c r="U66" s="46"/>
      <c r="V66" s="46"/>
      <c r="W66" s="46"/>
      <c r="X66" s="46"/>
      <c r="Y66" s="46"/>
      <c r="Z66" s="46"/>
      <c r="AA66" s="46"/>
    </row>
    <row r="67">
      <c r="A67" s="4"/>
      <c r="B67" s="46"/>
      <c r="C67" s="46"/>
      <c r="D67" s="46"/>
      <c r="E67" s="18"/>
      <c r="F67" s="18"/>
      <c r="G67" s="46"/>
      <c r="H67" s="46"/>
      <c r="I67" s="46"/>
      <c r="J67" s="46"/>
      <c r="K67" s="46"/>
      <c r="L67" s="46"/>
      <c r="M67" s="46"/>
      <c r="N67" s="46"/>
      <c r="O67" s="46"/>
      <c r="P67" s="46"/>
      <c r="Q67" s="46"/>
      <c r="R67" s="46"/>
      <c r="S67" s="46"/>
      <c r="T67" s="46"/>
      <c r="U67" s="46"/>
      <c r="V67" s="46"/>
      <c r="W67" s="46"/>
      <c r="X67" s="46"/>
      <c r="Y67" s="46"/>
      <c r="Z67" s="46"/>
      <c r="AA67" s="46"/>
    </row>
    <row r="68">
      <c r="A68" s="4"/>
      <c r="B68" s="46"/>
      <c r="C68" s="46"/>
      <c r="D68" s="46"/>
      <c r="E68" s="18"/>
      <c r="F68" s="18"/>
      <c r="G68" s="46"/>
      <c r="H68" s="46"/>
      <c r="I68" s="46"/>
      <c r="J68" s="46"/>
      <c r="K68" s="46"/>
      <c r="L68" s="46"/>
      <c r="M68" s="46"/>
      <c r="N68" s="46"/>
      <c r="O68" s="46"/>
      <c r="P68" s="46"/>
      <c r="Q68" s="46"/>
      <c r="R68" s="46"/>
      <c r="S68" s="46"/>
      <c r="T68" s="46"/>
      <c r="U68" s="46"/>
      <c r="V68" s="46"/>
      <c r="W68" s="46"/>
      <c r="X68" s="46"/>
      <c r="Y68" s="46"/>
      <c r="Z68" s="46"/>
      <c r="AA68" s="46"/>
    </row>
    <row r="69">
      <c r="A69" s="4"/>
      <c r="B69" s="46"/>
      <c r="C69" s="46"/>
      <c r="D69" s="46"/>
      <c r="E69" s="18"/>
      <c r="F69" s="18"/>
      <c r="G69" s="46"/>
      <c r="H69" s="46"/>
      <c r="I69" s="46"/>
      <c r="J69" s="46"/>
      <c r="K69" s="46"/>
      <c r="L69" s="46"/>
      <c r="M69" s="46"/>
      <c r="N69" s="46"/>
      <c r="O69" s="46"/>
      <c r="P69" s="46"/>
      <c r="Q69" s="46"/>
      <c r="R69" s="46"/>
      <c r="S69" s="46"/>
      <c r="T69" s="46"/>
      <c r="U69" s="46"/>
      <c r="V69" s="46"/>
      <c r="W69" s="46"/>
      <c r="X69" s="46"/>
      <c r="Y69" s="46"/>
      <c r="Z69" s="46"/>
      <c r="AA69" s="46"/>
    </row>
    <row r="70">
      <c r="A70" s="4"/>
      <c r="B70" s="46"/>
      <c r="C70" s="46"/>
      <c r="D70" s="46"/>
      <c r="E70" s="18"/>
      <c r="F70" s="18"/>
      <c r="G70" s="46"/>
      <c r="H70" s="46"/>
      <c r="I70" s="46"/>
      <c r="J70" s="46"/>
      <c r="K70" s="46"/>
      <c r="L70" s="46"/>
      <c r="M70" s="46"/>
      <c r="N70" s="46"/>
      <c r="O70" s="46"/>
      <c r="P70" s="46"/>
      <c r="Q70" s="46"/>
      <c r="R70" s="46"/>
      <c r="S70" s="46"/>
      <c r="T70" s="46"/>
      <c r="U70" s="46"/>
      <c r="V70" s="46"/>
      <c r="W70" s="46"/>
      <c r="X70" s="46"/>
      <c r="Y70" s="46"/>
      <c r="Z70" s="46"/>
      <c r="AA70" s="46"/>
    </row>
    <row r="71">
      <c r="A71" s="4"/>
      <c r="B71" s="46"/>
      <c r="C71" s="46"/>
      <c r="D71" s="46"/>
      <c r="E71" s="18"/>
      <c r="F71" s="18"/>
      <c r="G71" s="46"/>
      <c r="H71" s="46"/>
      <c r="I71" s="46"/>
      <c r="J71" s="46"/>
      <c r="K71" s="46"/>
      <c r="L71" s="46"/>
      <c r="M71" s="46"/>
      <c r="N71" s="46"/>
      <c r="O71" s="46"/>
      <c r="P71" s="46"/>
      <c r="Q71" s="46"/>
      <c r="R71" s="46"/>
      <c r="S71" s="46"/>
      <c r="T71" s="46"/>
      <c r="U71" s="46"/>
      <c r="V71" s="46"/>
      <c r="W71" s="46"/>
      <c r="X71" s="46"/>
      <c r="Y71" s="46"/>
      <c r="Z71" s="46"/>
      <c r="AA71" s="46"/>
    </row>
    <row r="72">
      <c r="A72" s="4"/>
      <c r="B72" s="46"/>
      <c r="C72" s="46"/>
      <c r="D72" s="46"/>
      <c r="E72" s="18"/>
      <c r="F72" s="18"/>
      <c r="G72" s="46"/>
      <c r="H72" s="46"/>
      <c r="I72" s="46"/>
      <c r="J72" s="46"/>
      <c r="K72" s="46"/>
      <c r="L72" s="46"/>
      <c r="M72" s="46"/>
      <c r="N72" s="46"/>
      <c r="O72" s="46"/>
      <c r="P72" s="46"/>
      <c r="Q72" s="46"/>
      <c r="R72" s="46"/>
      <c r="S72" s="46"/>
      <c r="T72" s="46"/>
      <c r="U72" s="46"/>
      <c r="V72" s="46"/>
      <c r="W72" s="46"/>
      <c r="X72" s="46"/>
      <c r="Y72" s="46"/>
      <c r="Z72" s="46"/>
      <c r="AA72" s="46"/>
    </row>
    <row r="73">
      <c r="A73" s="4"/>
      <c r="B73" s="46"/>
      <c r="C73" s="46"/>
      <c r="D73" s="46"/>
      <c r="E73" s="18"/>
      <c r="F73" s="18"/>
      <c r="G73" s="46"/>
      <c r="H73" s="46"/>
      <c r="I73" s="46"/>
      <c r="J73" s="46"/>
      <c r="K73" s="46"/>
      <c r="L73" s="46"/>
      <c r="M73" s="46"/>
      <c r="N73" s="46"/>
      <c r="O73" s="46"/>
      <c r="P73" s="46"/>
      <c r="Q73" s="46"/>
      <c r="R73" s="46"/>
      <c r="S73" s="46"/>
      <c r="T73" s="46"/>
      <c r="U73" s="46"/>
      <c r="V73" s="46"/>
      <c r="W73" s="46"/>
      <c r="X73" s="46"/>
      <c r="Y73" s="46"/>
      <c r="Z73" s="46"/>
      <c r="AA73" s="46"/>
    </row>
    <row r="74">
      <c r="A74" s="4"/>
      <c r="B74" s="46"/>
      <c r="C74" s="46"/>
      <c r="D74" s="46"/>
      <c r="E74" s="18"/>
      <c r="F74" s="18"/>
      <c r="G74" s="46"/>
      <c r="H74" s="46"/>
      <c r="I74" s="46"/>
      <c r="J74" s="46"/>
      <c r="K74" s="46"/>
      <c r="L74" s="46"/>
      <c r="M74" s="46"/>
      <c r="N74" s="46"/>
      <c r="O74" s="46"/>
      <c r="P74" s="46"/>
      <c r="Q74" s="46"/>
      <c r="R74" s="46"/>
      <c r="S74" s="46"/>
      <c r="T74" s="46"/>
      <c r="U74" s="46"/>
      <c r="V74" s="46"/>
      <c r="W74" s="46"/>
      <c r="X74" s="46"/>
      <c r="Y74" s="46"/>
      <c r="Z74" s="46"/>
      <c r="AA74" s="46"/>
    </row>
    <row r="75">
      <c r="A75" s="4"/>
      <c r="B75" s="46"/>
      <c r="C75" s="46"/>
      <c r="D75" s="46"/>
      <c r="E75" s="18"/>
      <c r="F75" s="18"/>
      <c r="G75" s="46"/>
      <c r="H75" s="46"/>
      <c r="I75" s="46"/>
      <c r="J75" s="46"/>
      <c r="K75" s="46"/>
      <c r="L75" s="46"/>
      <c r="M75" s="46"/>
      <c r="N75" s="46"/>
      <c r="O75" s="46"/>
      <c r="P75" s="46"/>
      <c r="Q75" s="46"/>
      <c r="R75" s="46"/>
      <c r="S75" s="46"/>
      <c r="T75" s="46"/>
      <c r="U75" s="46"/>
      <c r="V75" s="46"/>
      <c r="W75" s="46"/>
      <c r="X75" s="46"/>
      <c r="Y75" s="46"/>
      <c r="Z75" s="46"/>
      <c r="AA75" s="46"/>
    </row>
    <row r="76">
      <c r="A76" s="4"/>
      <c r="B76" s="46"/>
      <c r="C76" s="46"/>
      <c r="D76" s="46"/>
      <c r="E76" s="18"/>
      <c r="F76" s="18"/>
      <c r="G76" s="46"/>
      <c r="H76" s="46"/>
      <c r="I76" s="46"/>
      <c r="J76" s="46"/>
      <c r="K76" s="46"/>
      <c r="L76" s="46"/>
      <c r="M76" s="46"/>
      <c r="N76" s="46"/>
      <c r="O76" s="46"/>
      <c r="P76" s="46"/>
      <c r="Q76" s="46"/>
      <c r="R76" s="46"/>
      <c r="S76" s="46"/>
      <c r="T76" s="46"/>
      <c r="U76" s="46"/>
      <c r="V76" s="46"/>
      <c r="W76" s="46"/>
      <c r="X76" s="46"/>
      <c r="Y76" s="46"/>
      <c r="Z76" s="46"/>
      <c r="AA76" s="46"/>
    </row>
    <row r="77">
      <c r="A77" s="4"/>
      <c r="B77" s="46"/>
      <c r="C77" s="46"/>
      <c r="D77" s="46"/>
      <c r="E77" s="18"/>
      <c r="F77" s="18"/>
      <c r="G77" s="46"/>
      <c r="H77" s="46"/>
      <c r="I77" s="46"/>
      <c r="J77" s="46"/>
      <c r="K77" s="46"/>
      <c r="L77" s="46"/>
      <c r="M77" s="46"/>
      <c r="N77" s="46"/>
      <c r="O77" s="46"/>
      <c r="P77" s="46"/>
      <c r="Q77" s="46"/>
      <c r="R77" s="46"/>
      <c r="S77" s="46"/>
      <c r="T77" s="46"/>
      <c r="U77" s="46"/>
      <c r="V77" s="46"/>
      <c r="W77" s="46"/>
      <c r="X77" s="46"/>
      <c r="Y77" s="46"/>
      <c r="Z77" s="46"/>
      <c r="AA77" s="46"/>
    </row>
    <row r="78">
      <c r="A78" s="4"/>
      <c r="B78" s="46"/>
      <c r="C78" s="46"/>
      <c r="D78" s="46"/>
      <c r="E78" s="18"/>
      <c r="F78" s="18"/>
      <c r="G78" s="46"/>
      <c r="H78" s="46"/>
      <c r="I78" s="46"/>
      <c r="J78" s="46"/>
      <c r="K78" s="46"/>
      <c r="L78" s="46"/>
      <c r="M78" s="46"/>
      <c r="N78" s="46"/>
      <c r="O78" s="46"/>
      <c r="P78" s="46"/>
      <c r="Q78" s="46"/>
      <c r="R78" s="46"/>
      <c r="S78" s="46"/>
      <c r="T78" s="46"/>
      <c r="U78" s="46"/>
      <c r="V78" s="46"/>
      <c r="W78" s="46"/>
      <c r="X78" s="46"/>
      <c r="Y78" s="46"/>
      <c r="Z78" s="46"/>
      <c r="AA78" s="46"/>
    </row>
    <row r="79">
      <c r="A79" s="4"/>
      <c r="B79" s="46"/>
      <c r="C79" s="46"/>
      <c r="D79" s="46"/>
      <c r="E79" s="18"/>
      <c r="F79" s="18"/>
      <c r="G79" s="46"/>
      <c r="H79" s="46"/>
      <c r="I79" s="46"/>
      <c r="J79" s="46"/>
      <c r="K79" s="46"/>
      <c r="L79" s="46"/>
      <c r="M79" s="46"/>
      <c r="N79" s="46"/>
      <c r="O79" s="46"/>
      <c r="P79" s="46"/>
      <c r="Q79" s="46"/>
      <c r="R79" s="46"/>
      <c r="S79" s="46"/>
      <c r="T79" s="46"/>
      <c r="U79" s="46"/>
      <c r="V79" s="46"/>
      <c r="W79" s="46"/>
      <c r="X79" s="46"/>
      <c r="Y79" s="46"/>
      <c r="Z79" s="46"/>
      <c r="AA79" s="46"/>
    </row>
    <row r="80">
      <c r="A80" s="4"/>
      <c r="B80" s="46"/>
      <c r="C80" s="46"/>
      <c r="D80" s="46"/>
      <c r="E80" s="18"/>
      <c r="F80" s="18"/>
      <c r="G80" s="46"/>
      <c r="H80" s="46"/>
      <c r="I80" s="46"/>
      <c r="J80" s="46"/>
      <c r="K80" s="46"/>
      <c r="L80" s="46"/>
      <c r="M80" s="46"/>
      <c r="N80" s="46"/>
      <c r="O80" s="46"/>
      <c r="P80" s="46"/>
      <c r="Q80" s="46"/>
      <c r="R80" s="46"/>
      <c r="S80" s="46"/>
      <c r="T80" s="46"/>
      <c r="U80" s="46"/>
      <c r="V80" s="46"/>
      <c r="W80" s="46"/>
      <c r="X80" s="46"/>
      <c r="Y80" s="46"/>
      <c r="Z80" s="46"/>
      <c r="AA80" s="46"/>
    </row>
    <row r="81">
      <c r="A81" s="4"/>
      <c r="B81" s="46"/>
      <c r="C81" s="46"/>
      <c r="D81" s="46"/>
      <c r="E81" s="18"/>
      <c r="F81" s="18"/>
      <c r="G81" s="46"/>
      <c r="H81" s="46"/>
      <c r="I81" s="46"/>
      <c r="J81" s="46"/>
      <c r="K81" s="46"/>
      <c r="L81" s="46"/>
      <c r="M81" s="46"/>
      <c r="N81" s="46"/>
      <c r="O81" s="46"/>
      <c r="P81" s="46"/>
      <c r="Q81" s="46"/>
      <c r="R81" s="46"/>
      <c r="S81" s="46"/>
      <c r="T81" s="46"/>
      <c r="U81" s="46"/>
      <c r="V81" s="46"/>
      <c r="W81" s="46"/>
      <c r="X81" s="46"/>
      <c r="Y81" s="46"/>
      <c r="Z81" s="46"/>
      <c r="AA81" s="46"/>
    </row>
    <row r="82">
      <c r="A82" s="4"/>
      <c r="B82" s="46"/>
      <c r="C82" s="46"/>
      <c r="D82" s="46"/>
      <c r="E82" s="18"/>
      <c r="F82" s="18"/>
      <c r="G82" s="46"/>
      <c r="H82" s="46"/>
      <c r="I82" s="46"/>
      <c r="J82" s="46"/>
      <c r="K82" s="46"/>
      <c r="L82" s="46"/>
      <c r="M82" s="46"/>
      <c r="N82" s="46"/>
      <c r="O82" s="46"/>
      <c r="P82" s="46"/>
      <c r="Q82" s="46"/>
      <c r="R82" s="46"/>
      <c r="S82" s="46"/>
      <c r="T82" s="46"/>
      <c r="U82" s="46"/>
      <c r="V82" s="46"/>
      <c r="W82" s="46"/>
      <c r="X82" s="46"/>
      <c r="Y82" s="46"/>
      <c r="Z82" s="46"/>
      <c r="AA82" s="46"/>
    </row>
    <row r="83">
      <c r="A83" s="4"/>
      <c r="B83" s="46"/>
      <c r="C83" s="46"/>
      <c r="D83" s="46"/>
      <c r="E83" s="18"/>
      <c r="F83" s="18"/>
      <c r="G83" s="46"/>
      <c r="H83" s="46"/>
      <c r="I83" s="46"/>
      <c r="J83" s="46"/>
      <c r="K83" s="46"/>
      <c r="L83" s="46"/>
      <c r="M83" s="46"/>
      <c r="N83" s="46"/>
      <c r="O83" s="46"/>
      <c r="P83" s="46"/>
      <c r="Q83" s="46"/>
      <c r="R83" s="46"/>
      <c r="S83" s="46"/>
      <c r="T83" s="46"/>
      <c r="U83" s="46"/>
      <c r="V83" s="46"/>
      <c r="W83" s="46"/>
      <c r="X83" s="46"/>
      <c r="Y83" s="46"/>
      <c r="Z83" s="46"/>
      <c r="AA83" s="46"/>
    </row>
    <row r="84">
      <c r="A84" s="4"/>
      <c r="B84" s="46"/>
      <c r="C84" s="46"/>
      <c r="D84" s="46"/>
      <c r="E84" s="18"/>
      <c r="F84" s="18"/>
      <c r="G84" s="46"/>
      <c r="H84" s="46"/>
      <c r="I84" s="46"/>
      <c r="J84" s="46"/>
      <c r="K84" s="46"/>
      <c r="L84" s="46"/>
      <c r="M84" s="46"/>
      <c r="N84" s="46"/>
      <c r="O84" s="46"/>
      <c r="P84" s="46"/>
      <c r="Q84" s="46"/>
      <c r="R84" s="46"/>
      <c r="S84" s="46"/>
      <c r="T84" s="46"/>
      <c r="U84" s="46"/>
      <c r="V84" s="46"/>
      <c r="W84" s="46"/>
      <c r="X84" s="46"/>
      <c r="Y84" s="46"/>
      <c r="Z84" s="46"/>
      <c r="AA84" s="46"/>
    </row>
    <row r="85">
      <c r="A85" s="4"/>
      <c r="B85" s="46"/>
      <c r="C85" s="46"/>
      <c r="D85" s="46"/>
      <c r="E85" s="18"/>
      <c r="F85" s="18"/>
      <c r="G85" s="46"/>
      <c r="H85" s="46"/>
      <c r="I85" s="46"/>
      <c r="J85" s="46"/>
      <c r="K85" s="46"/>
      <c r="L85" s="46"/>
      <c r="M85" s="46"/>
      <c r="N85" s="46"/>
      <c r="O85" s="46"/>
      <c r="P85" s="46"/>
      <c r="Q85" s="46"/>
      <c r="R85" s="46"/>
      <c r="S85" s="46"/>
      <c r="T85" s="46"/>
      <c r="U85" s="46"/>
      <c r="V85" s="46"/>
      <c r="W85" s="46"/>
      <c r="X85" s="46"/>
      <c r="Y85" s="46"/>
      <c r="Z85" s="46"/>
      <c r="AA85" s="46"/>
    </row>
    <row r="86">
      <c r="A86" s="4"/>
      <c r="B86" s="46"/>
      <c r="C86" s="46"/>
      <c r="D86" s="46"/>
      <c r="E86" s="18"/>
      <c r="F86" s="18"/>
      <c r="G86" s="46"/>
      <c r="H86" s="46"/>
      <c r="I86" s="46"/>
      <c r="J86" s="46"/>
      <c r="K86" s="46"/>
      <c r="L86" s="46"/>
      <c r="M86" s="46"/>
      <c r="N86" s="46"/>
      <c r="O86" s="46"/>
      <c r="P86" s="46"/>
      <c r="Q86" s="46"/>
      <c r="R86" s="46"/>
      <c r="S86" s="46"/>
      <c r="T86" s="46"/>
      <c r="U86" s="46"/>
      <c r="V86" s="46"/>
      <c r="W86" s="46"/>
      <c r="X86" s="46"/>
      <c r="Y86" s="46"/>
      <c r="Z86" s="46"/>
      <c r="AA86" s="46"/>
    </row>
    <row r="87">
      <c r="A87" s="4"/>
      <c r="B87" s="46"/>
      <c r="C87" s="46"/>
      <c r="D87" s="46"/>
      <c r="E87" s="18"/>
      <c r="F87" s="18"/>
      <c r="G87" s="46"/>
      <c r="H87" s="46"/>
      <c r="I87" s="46"/>
      <c r="J87" s="46"/>
      <c r="K87" s="46"/>
      <c r="L87" s="46"/>
      <c r="M87" s="46"/>
      <c r="N87" s="46"/>
      <c r="O87" s="46"/>
      <c r="P87" s="46"/>
      <c r="Q87" s="46"/>
      <c r="R87" s="46"/>
      <c r="S87" s="46"/>
      <c r="T87" s="46"/>
      <c r="U87" s="46"/>
      <c r="V87" s="46"/>
      <c r="W87" s="46"/>
      <c r="X87" s="46"/>
      <c r="Y87" s="46"/>
      <c r="Z87" s="46"/>
      <c r="AA87" s="46"/>
    </row>
    <row r="88">
      <c r="A88" s="4"/>
      <c r="B88" s="46"/>
      <c r="C88" s="46"/>
      <c r="D88" s="46"/>
      <c r="E88" s="18"/>
      <c r="F88" s="18"/>
      <c r="G88" s="46"/>
      <c r="H88" s="46"/>
      <c r="I88" s="46"/>
      <c r="J88" s="46"/>
      <c r="K88" s="46"/>
      <c r="L88" s="46"/>
      <c r="M88" s="46"/>
      <c r="N88" s="46"/>
      <c r="O88" s="46"/>
      <c r="P88" s="46"/>
      <c r="Q88" s="46"/>
      <c r="R88" s="46"/>
      <c r="S88" s="46"/>
      <c r="T88" s="46"/>
      <c r="U88" s="46"/>
      <c r="V88" s="46"/>
      <c r="W88" s="46"/>
      <c r="X88" s="46"/>
      <c r="Y88" s="46"/>
      <c r="Z88" s="46"/>
      <c r="AA88" s="46"/>
    </row>
    <row r="89">
      <c r="A89" s="4"/>
      <c r="B89" s="46"/>
      <c r="C89" s="46"/>
      <c r="D89" s="46"/>
      <c r="E89" s="18"/>
      <c r="F89" s="18"/>
      <c r="G89" s="46"/>
      <c r="H89" s="46"/>
      <c r="I89" s="46"/>
      <c r="J89" s="46"/>
      <c r="K89" s="46"/>
      <c r="L89" s="46"/>
      <c r="M89" s="46"/>
      <c r="N89" s="46"/>
      <c r="O89" s="46"/>
      <c r="P89" s="46"/>
      <c r="Q89" s="46"/>
      <c r="R89" s="46"/>
      <c r="S89" s="46"/>
      <c r="T89" s="46"/>
      <c r="U89" s="46"/>
      <c r="V89" s="46"/>
      <c r="W89" s="46"/>
      <c r="X89" s="46"/>
      <c r="Y89" s="46"/>
      <c r="Z89" s="46"/>
      <c r="AA89" s="46"/>
    </row>
    <row r="90">
      <c r="A90" s="4"/>
      <c r="B90" s="46"/>
      <c r="C90" s="46"/>
      <c r="D90" s="46"/>
      <c r="E90" s="18"/>
      <c r="F90" s="18"/>
      <c r="G90" s="46"/>
      <c r="H90" s="46"/>
      <c r="I90" s="46"/>
      <c r="J90" s="46"/>
      <c r="K90" s="46"/>
      <c r="L90" s="46"/>
      <c r="M90" s="46"/>
      <c r="N90" s="46"/>
      <c r="O90" s="46"/>
      <c r="P90" s="46"/>
      <c r="Q90" s="46"/>
      <c r="R90" s="46"/>
      <c r="S90" s="46"/>
      <c r="T90" s="46"/>
      <c r="U90" s="46"/>
      <c r="V90" s="46"/>
      <c r="W90" s="46"/>
      <c r="X90" s="46"/>
      <c r="Y90" s="46"/>
      <c r="Z90" s="46"/>
      <c r="AA90" s="46"/>
    </row>
    <row r="91">
      <c r="A91" s="4"/>
      <c r="B91" s="46"/>
      <c r="C91" s="46"/>
      <c r="D91" s="46"/>
      <c r="E91" s="18"/>
      <c r="F91" s="18"/>
      <c r="G91" s="46"/>
      <c r="H91" s="46"/>
      <c r="I91" s="46"/>
      <c r="J91" s="46"/>
      <c r="K91" s="46"/>
      <c r="L91" s="46"/>
      <c r="M91" s="46"/>
      <c r="N91" s="46"/>
      <c r="O91" s="46"/>
      <c r="P91" s="46"/>
      <c r="Q91" s="46"/>
      <c r="R91" s="46"/>
      <c r="S91" s="46"/>
      <c r="T91" s="46"/>
      <c r="U91" s="46"/>
      <c r="V91" s="46"/>
      <c r="W91" s="46"/>
      <c r="X91" s="46"/>
      <c r="Y91" s="46"/>
      <c r="Z91" s="46"/>
      <c r="AA91" s="46"/>
    </row>
    <row r="92">
      <c r="A92" s="4"/>
      <c r="B92" s="46"/>
      <c r="C92" s="46"/>
      <c r="D92" s="46"/>
      <c r="E92" s="18"/>
      <c r="F92" s="18"/>
      <c r="G92" s="46"/>
      <c r="H92" s="46"/>
      <c r="I92" s="46"/>
      <c r="J92" s="46"/>
      <c r="K92" s="46"/>
      <c r="L92" s="46"/>
      <c r="M92" s="46"/>
      <c r="N92" s="46"/>
      <c r="O92" s="46"/>
      <c r="P92" s="46"/>
      <c r="Q92" s="46"/>
      <c r="R92" s="46"/>
      <c r="S92" s="46"/>
      <c r="T92" s="46"/>
      <c r="U92" s="46"/>
      <c r="V92" s="46"/>
      <c r="W92" s="46"/>
      <c r="X92" s="46"/>
      <c r="Y92" s="46"/>
      <c r="Z92" s="46"/>
      <c r="AA92" s="46"/>
    </row>
    <row r="93">
      <c r="A93" s="4"/>
      <c r="B93" s="46"/>
      <c r="C93" s="46"/>
      <c r="D93" s="46"/>
      <c r="E93" s="18"/>
      <c r="F93" s="18"/>
      <c r="G93" s="46"/>
      <c r="H93" s="46"/>
      <c r="I93" s="46"/>
      <c r="J93" s="46"/>
      <c r="K93" s="46"/>
      <c r="L93" s="46"/>
      <c r="M93" s="46"/>
      <c r="N93" s="46"/>
      <c r="O93" s="46"/>
      <c r="P93" s="46"/>
      <c r="Q93" s="46"/>
      <c r="R93" s="46"/>
      <c r="S93" s="46"/>
      <c r="T93" s="46"/>
      <c r="U93" s="46"/>
      <c r="V93" s="46"/>
      <c r="W93" s="46"/>
      <c r="X93" s="46"/>
      <c r="Y93" s="46"/>
      <c r="Z93" s="46"/>
      <c r="AA93" s="46"/>
    </row>
    <row r="94">
      <c r="A94" s="4"/>
      <c r="B94" s="46"/>
      <c r="C94" s="46"/>
      <c r="D94" s="46"/>
      <c r="E94" s="18"/>
      <c r="F94" s="18"/>
      <c r="G94" s="46"/>
      <c r="H94" s="46"/>
      <c r="I94" s="46"/>
      <c r="J94" s="46"/>
      <c r="K94" s="46"/>
      <c r="L94" s="46"/>
      <c r="M94" s="46"/>
      <c r="N94" s="46"/>
      <c r="O94" s="46"/>
      <c r="P94" s="46"/>
      <c r="Q94" s="46"/>
      <c r="R94" s="46"/>
      <c r="S94" s="46"/>
      <c r="T94" s="46"/>
      <c r="U94" s="46"/>
      <c r="V94" s="46"/>
      <c r="W94" s="46"/>
      <c r="X94" s="46"/>
      <c r="Y94" s="46"/>
      <c r="Z94" s="46"/>
      <c r="AA94" s="46"/>
    </row>
    <row r="95">
      <c r="A95" s="4"/>
      <c r="B95" s="46"/>
      <c r="C95" s="46"/>
      <c r="D95" s="46"/>
      <c r="E95" s="18"/>
      <c r="F95" s="18"/>
      <c r="G95" s="46"/>
      <c r="H95" s="46"/>
      <c r="I95" s="46"/>
      <c r="J95" s="46"/>
      <c r="K95" s="46"/>
      <c r="L95" s="46"/>
      <c r="M95" s="46"/>
      <c r="N95" s="46"/>
      <c r="O95" s="46"/>
      <c r="P95" s="46"/>
      <c r="Q95" s="46"/>
      <c r="R95" s="46"/>
      <c r="S95" s="46"/>
      <c r="T95" s="46"/>
      <c r="U95" s="46"/>
      <c r="V95" s="46"/>
      <c r="W95" s="46"/>
      <c r="X95" s="46"/>
      <c r="Y95" s="46"/>
      <c r="Z95" s="46"/>
      <c r="AA95" s="46"/>
    </row>
    <row r="96">
      <c r="A96" s="4"/>
      <c r="B96" s="46"/>
      <c r="C96" s="46"/>
      <c r="D96" s="46"/>
      <c r="E96" s="18"/>
      <c r="F96" s="18"/>
      <c r="G96" s="46"/>
      <c r="H96" s="46"/>
      <c r="I96" s="46"/>
      <c r="J96" s="46"/>
      <c r="K96" s="46"/>
      <c r="L96" s="46"/>
      <c r="M96" s="46"/>
      <c r="N96" s="46"/>
      <c r="O96" s="46"/>
      <c r="P96" s="46"/>
      <c r="Q96" s="46"/>
      <c r="R96" s="46"/>
      <c r="S96" s="46"/>
      <c r="T96" s="46"/>
      <c r="U96" s="46"/>
      <c r="V96" s="46"/>
      <c r="W96" s="46"/>
      <c r="X96" s="46"/>
      <c r="Y96" s="46"/>
      <c r="Z96" s="46"/>
      <c r="AA96" s="46"/>
    </row>
    <row r="97">
      <c r="A97" s="4"/>
      <c r="B97" s="46"/>
      <c r="C97" s="46"/>
      <c r="D97" s="46"/>
      <c r="E97" s="18"/>
      <c r="F97" s="18"/>
      <c r="G97" s="46"/>
      <c r="H97" s="46"/>
      <c r="I97" s="46"/>
      <c r="J97" s="46"/>
      <c r="K97" s="46"/>
      <c r="L97" s="46"/>
      <c r="M97" s="46"/>
      <c r="N97" s="46"/>
      <c r="O97" s="46"/>
      <c r="P97" s="46"/>
      <c r="Q97" s="46"/>
      <c r="R97" s="46"/>
      <c r="S97" s="46"/>
      <c r="T97" s="46"/>
      <c r="U97" s="46"/>
      <c r="V97" s="46"/>
      <c r="W97" s="46"/>
      <c r="X97" s="46"/>
      <c r="Y97" s="46"/>
      <c r="Z97" s="46"/>
      <c r="AA97" s="46"/>
    </row>
    <row r="98">
      <c r="A98" s="4"/>
      <c r="B98" s="46"/>
      <c r="C98" s="46"/>
      <c r="D98" s="46"/>
      <c r="E98" s="18"/>
      <c r="F98" s="18"/>
      <c r="G98" s="46"/>
      <c r="H98" s="46"/>
      <c r="I98" s="46"/>
      <c r="J98" s="46"/>
      <c r="K98" s="46"/>
      <c r="L98" s="46"/>
      <c r="M98" s="46"/>
      <c r="N98" s="46"/>
      <c r="O98" s="46"/>
      <c r="P98" s="46"/>
      <c r="Q98" s="46"/>
      <c r="R98" s="46"/>
      <c r="S98" s="46"/>
      <c r="T98" s="46"/>
      <c r="U98" s="46"/>
      <c r="V98" s="46"/>
      <c r="W98" s="46"/>
      <c r="X98" s="46"/>
      <c r="Y98" s="46"/>
      <c r="Z98" s="46"/>
      <c r="AA98" s="46"/>
    </row>
    <row r="99">
      <c r="A99" s="4"/>
      <c r="B99" s="46"/>
      <c r="C99" s="46"/>
      <c r="D99" s="46"/>
      <c r="E99" s="18"/>
      <c r="F99" s="18"/>
      <c r="G99" s="46"/>
      <c r="H99" s="46"/>
      <c r="I99" s="46"/>
      <c r="J99" s="46"/>
      <c r="K99" s="46"/>
      <c r="L99" s="46"/>
      <c r="M99" s="46"/>
      <c r="N99" s="46"/>
      <c r="O99" s="46"/>
      <c r="P99" s="46"/>
      <c r="Q99" s="46"/>
      <c r="R99" s="46"/>
      <c r="S99" s="46"/>
      <c r="T99" s="46"/>
      <c r="U99" s="46"/>
      <c r="V99" s="46"/>
      <c r="W99" s="46"/>
      <c r="X99" s="46"/>
      <c r="Y99" s="46"/>
      <c r="Z99" s="46"/>
      <c r="AA99" s="46"/>
    </row>
    <row r="100">
      <c r="A100" s="4"/>
      <c r="B100" s="46"/>
      <c r="C100" s="46"/>
      <c r="D100" s="46"/>
      <c r="E100" s="18"/>
      <c r="F100" s="18"/>
      <c r="G100" s="46"/>
      <c r="H100" s="46"/>
      <c r="I100" s="46"/>
      <c r="J100" s="46"/>
      <c r="K100" s="46"/>
      <c r="L100" s="46"/>
      <c r="M100" s="46"/>
      <c r="N100" s="46"/>
      <c r="O100" s="46"/>
      <c r="P100" s="46"/>
      <c r="Q100" s="46"/>
      <c r="R100" s="46"/>
      <c r="S100" s="46"/>
      <c r="T100" s="46"/>
      <c r="U100" s="46"/>
      <c r="V100" s="46"/>
      <c r="W100" s="46"/>
      <c r="X100" s="46"/>
      <c r="Y100" s="46"/>
      <c r="Z100" s="46"/>
      <c r="AA100" s="46"/>
    </row>
    <row r="101">
      <c r="A101" s="4"/>
      <c r="B101" s="46"/>
      <c r="C101" s="46"/>
      <c r="D101" s="46"/>
      <c r="E101" s="18"/>
      <c r="F101" s="18"/>
      <c r="G101" s="46"/>
      <c r="H101" s="46"/>
      <c r="I101" s="46"/>
      <c r="J101" s="46"/>
      <c r="K101" s="46"/>
      <c r="L101" s="46"/>
      <c r="M101" s="46"/>
      <c r="N101" s="46"/>
      <c r="O101" s="46"/>
      <c r="P101" s="46"/>
      <c r="Q101" s="46"/>
      <c r="R101" s="46"/>
      <c r="S101" s="46"/>
      <c r="T101" s="46"/>
      <c r="U101" s="46"/>
      <c r="V101" s="46"/>
      <c r="W101" s="46"/>
      <c r="X101" s="46"/>
      <c r="Y101" s="46"/>
      <c r="Z101" s="46"/>
      <c r="AA101" s="46"/>
    </row>
    <row r="102">
      <c r="A102" s="4"/>
      <c r="B102" s="46"/>
      <c r="C102" s="46"/>
      <c r="D102" s="46"/>
      <c r="E102" s="18"/>
      <c r="F102" s="18"/>
      <c r="G102" s="46"/>
      <c r="H102" s="46"/>
      <c r="I102" s="46"/>
      <c r="J102" s="46"/>
      <c r="K102" s="46"/>
      <c r="L102" s="46"/>
      <c r="M102" s="46"/>
      <c r="N102" s="46"/>
      <c r="O102" s="46"/>
      <c r="P102" s="46"/>
      <c r="Q102" s="46"/>
      <c r="R102" s="46"/>
      <c r="S102" s="46"/>
      <c r="T102" s="46"/>
      <c r="U102" s="46"/>
      <c r="V102" s="46"/>
      <c r="W102" s="46"/>
      <c r="X102" s="46"/>
      <c r="Y102" s="46"/>
      <c r="Z102" s="46"/>
      <c r="AA102" s="46"/>
    </row>
    <row r="103">
      <c r="A103" s="4"/>
      <c r="B103" s="46"/>
      <c r="C103" s="46"/>
      <c r="D103" s="46"/>
      <c r="E103" s="18"/>
      <c r="F103" s="18"/>
      <c r="G103" s="46"/>
      <c r="H103" s="46"/>
      <c r="I103" s="46"/>
      <c r="J103" s="46"/>
      <c r="K103" s="46"/>
      <c r="L103" s="46"/>
      <c r="M103" s="46"/>
      <c r="N103" s="46"/>
      <c r="O103" s="46"/>
      <c r="P103" s="46"/>
      <c r="Q103" s="46"/>
      <c r="R103" s="46"/>
      <c r="S103" s="46"/>
      <c r="T103" s="46"/>
      <c r="U103" s="46"/>
      <c r="V103" s="46"/>
      <c r="W103" s="46"/>
      <c r="X103" s="46"/>
      <c r="Y103" s="46"/>
      <c r="Z103" s="46"/>
      <c r="AA103" s="46"/>
    </row>
    <row r="104">
      <c r="A104" s="4"/>
      <c r="B104" s="46"/>
      <c r="C104" s="46"/>
      <c r="D104" s="46"/>
      <c r="E104" s="18"/>
      <c r="F104" s="18"/>
      <c r="G104" s="46"/>
      <c r="H104" s="46"/>
      <c r="I104" s="46"/>
      <c r="J104" s="46"/>
      <c r="K104" s="46"/>
      <c r="L104" s="46"/>
      <c r="M104" s="46"/>
      <c r="N104" s="46"/>
      <c r="O104" s="46"/>
      <c r="P104" s="46"/>
      <c r="Q104" s="46"/>
      <c r="R104" s="46"/>
      <c r="S104" s="46"/>
      <c r="T104" s="46"/>
      <c r="U104" s="46"/>
      <c r="V104" s="46"/>
      <c r="W104" s="46"/>
      <c r="X104" s="46"/>
      <c r="Y104" s="46"/>
      <c r="Z104" s="46"/>
      <c r="AA104" s="46"/>
    </row>
    <row r="105">
      <c r="A105" s="4"/>
      <c r="B105" s="46"/>
      <c r="C105" s="46"/>
      <c r="D105" s="46"/>
      <c r="E105" s="18"/>
      <c r="F105" s="18"/>
      <c r="G105" s="46"/>
      <c r="H105" s="46"/>
      <c r="I105" s="46"/>
      <c r="J105" s="46"/>
      <c r="K105" s="46"/>
      <c r="L105" s="46"/>
      <c r="M105" s="46"/>
      <c r="N105" s="46"/>
      <c r="O105" s="46"/>
      <c r="P105" s="46"/>
      <c r="Q105" s="46"/>
      <c r="R105" s="46"/>
      <c r="S105" s="46"/>
      <c r="T105" s="46"/>
      <c r="U105" s="46"/>
      <c r="V105" s="46"/>
      <c r="W105" s="46"/>
      <c r="X105" s="46"/>
      <c r="Y105" s="46"/>
      <c r="Z105" s="46"/>
      <c r="AA105" s="46"/>
    </row>
    <row r="106">
      <c r="A106" s="4"/>
      <c r="B106" s="46"/>
      <c r="C106" s="46"/>
      <c r="D106" s="46"/>
      <c r="E106" s="18"/>
      <c r="F106" s="18"/>
      <c r="G106" s="46"/>
      <c r="H106" s="46"/>
      <c r="I106" s="46"/>
      <c r="J106" s="46"/>
      <c r="K106" s="46"/>
      <c r="L106" s="46"/>
      <c r="M106" s="46"/>
      <c r="N106" s="46"/>
      <c r="O106" s="46"/>
      <c r="P106" s="46"/>
      <c r="Q106" s="46"/>
      <c r="R106" s="46"/>
      <c r="S106" s="46"/>
      <c r="T106" s="46"/>
      <c r="U106" s="46"/>
      <c r="V106" s="46"/>
      <c r="W106" s="46"/>
      <c r="X106" s="46"/>
      <c r="Y106" s="46"/>
      <c r="Z106" s="46"/>
      <c r="AA106" s="46"/>
    </row>
    <row r="107">
      <c r="A107" s="4"/>
      <c r="B107" s="46"/>
      <c r="C107" s="46"/>
      <c r="D107" s="46"/>
      <c r="E107" s="18"/>
      <c r="F107" s="18"/>
      <c r="G107" s="46"/>
      <c r="H107" s="46"/>
      <c r="I107" s="46"/>
      <c r="J107" s="46"/>
      <c r="K107" s="46"/>
      <c r="L107" s="46"/>
      <c r="M107" s="46"/>
      <c r="N107" s="46"/>
      <c r="O107" s="46"/>
      <c r="P107" s="46"/>
      <c r="Q107" s="46"/>
      <c r="R107" s="46"/>
      <c r="S107" s="46"/>
      <c r="T107" s="46"/>
      <c r="U107" s="46"/>
      <c r="V107" s="46"/>
      <c r="W107" s="46"/>
      <c r="X107" s="46"/>
      <c r="Y107" s="46"/>
      <c r="Z107" s="46"/>
      <c r="AA107" s="46"/>
    </row>
    <row r="108">
      <c r="A108" s="4"/>
      <c r="B108" s="46"/>
      <c r="C108" s="46"/>
      <c r="D108" s="46"/>
      <c r="E108" s="18"/>
      <c r="F108" s="18"/>
      <c r="G108" s="46"/>
      <c r="H108" s="46"/>
      <c r="I108" s="46"/>
      <c r="J108" s="46"/>
      <c r="K108" s="46"/>
      <c r="L108" s="46"/>
      <c r="M108" s="46"/>
      <c r="N108" s="46"/>
      <c r="O108" s="46"/>
      <c r="P108" s="46"/>
      <c r="Q108" s="46"/>
      <c r="R108" s="46"/>
      <c r="S108" s="46"/>
      <c r="T108" s="46"/>
      <c r="U108" s="46"/>
      <c r="V108" s="46"/>
      <c r="W108" s="46"/>
      <c r="X108" s="46"/>
      <c r="Y108" s="46"/>
      <c r="Z108" s="46"/>
      <c r="AA108" s="46"/>
    </row>
    <row r="109">
      <c r="A109" s="4"/>
      <c r="B109" s="46"/>
      <c r="C109" s="46"/>
      <c r="D109" s="46"/>
      <c r="E109" s="18"/>
      <c r="F109" s="18"/>
      <c r="G109" s="46"/>
      <c r="H109" s="46"/>
      <c r="I109" s="46"/>
      <c r="J109" s="46"/>
      <c r="K109" s="46"/>
      <c r="L109" s="46"/>
      <c r="M109" s="46"/>
      <c r="N109" s="46"/>
      <c r="O109" s="46"/>
      <c r="P109" s="46"/>
      <c r="Q109" s="46"/>
      <c r="R109" s="46"/>
      <c r="S109" s="46"/>
      <c r="T109" s="46"/>
      <c r="U109" s="46"/>
      <c r="V109" s="46"/>
      <c r="W109" s="46"/>
      <c r="X109" s="46"/>
      <c r="Y109" s="46"/>
      <c r="Z109" s="46"/>
      <c r="AA109" s="46"/>
    </row>
    <row r="110">
      <c r="A110" s="4"/>
      <c r="B110" s="46"/>
      <c r="C110" s="46"/>
      <c r="D110" s="46"/>
      <c r="E110" s="18"/>
      <c r="F110" s="18"/>
      <c r="G110" s="46"/>
      <c r="H110" s="46"/>
      <c r="I110" s="46"/>
      <c r="J110" s="46"/>
      <c r="K110" s="46"/>
      <c r="L110" s="46"/>
      <c r="M110" s="46"/>
      <c r="N110" s="46"/>
      <c r="O110" s="46"/>
      <c r="P110" s="46"/>
      <c r="Q110" s="46"/>
      <c r="R110" s="46"/>
      <c r="S110" s="46"/>
      <c r="T110" s="46"/>
      <c r="U110" s="46"/>
      <c r="V110" s="46"/>
      <c r="W110" s="46"/>
      <c r="X110" s="46"/>
      <c r="Y110" s="46"/>
      <c r="Z110" s="46"/>
      <c r="AA110" s="46"/>
    </row>
    <row r="111">
      <c r="A111" s="4"/>
      <c r="B111" s="46"/>
      <c r="C111" s="46"/>
      <c r="D111" s="46"/>
      <c r="E111" s="18"/>
      <c r="F111" s="18"/>
      <c r="G111" s="46"/>
      <c r="H111" s="46"/>
      <c r="I111" s="46"/>
      <c r="J111" s="46"/>
      <c r="K111" s="46"/>
      <c r="L111" s="46"/>
      <c r="M111" s="46"/>
      <c r="N111" s="46"/>
      <c r="O111" s="46"/>
      <c r="P111" s="46"/>
      <c r="Q111" s="46"/>
      <c r="R111" s="46"/>
      <c r="S111" s="46"/>
      <c r="T111" s="46"/>
      <c r="U111" s="46"/>
      <c r="V111" s="46"/>
      <c r="W111" s="46"/>
      <c r="X111" s="46"/>
      <c r="Y111" s="46"/>
      <c r="Z111" s="46"/>
      <c r="AA111" s="46"/>
    </row>
    <row r="112">
      <c r="A112" s="4"/>
      <c r="B112" s="46"/>
      <c r="C112" s="46"/>
      <c r="D112" s="46"/>
      <c r="E112" s="18"/>
      <c r="F112" s="18"/>
      <c r="G112" s="46"/>
      <c r="H112" s="46"/>
      <c r="I112" s="46"/>
      <c r="J112" s="46"/>
      <c r="K112" s="46"/>
      <c r="L112" s="46"/>
      <c r="M112" s="46"/>
      <c r="N112" s="46"/>
      <c r="O112" s="46"/>
      <c r="P112" s="46"/>
      <c r="Q112" s="46"/>
      <c r="R112" s="46"/>
      <c r="S112" s="46"/>
      <c r="T112" s="46"/>
      <c r="U112" s="46"/>
      <c r="V112" s="46"/>
      <c r="W112" s="46"/>
      <c r="X112" s="46"/>
      <c r="Y112" s="46"/>
      <c r="Z112" s="46"/>
      <c r="AA112" s="46"/>
    </row>
    <row r="113">
      <c r="A113" s="4"/>
      <c r="B113" s="46"/>
      <c r="C113" s="46"/>
      <c r="D113" s="46"/>
      <c r="E113" s="18"/>
      <c r="F113" s="18"/>
      <c r="G113" s="46"/>
      <c r="H113" s="46"/>
      <c r="I113" s="46"/>
      <c r="J113" s="46"/>
      <c r="K113" s="46"/>
      <c r="L113" s="46"/>
      <c r="M113" s="46"/>
      <c r="N113" s="46"/>
      <c r="O113" s="46"/>
      <c r="P113" s="46"/>
      <c r="Q113" s="46"/>
      <c r="R113" s="46"/>
      <c r="S113" s="46"/>
      <c r="T113" s="46"/>
      <c r="U113" s="46"/>
      <c r="V113" s="46"/>
      <c r="W113" s="46"/>
      <c r="X113" s="46"/>
      <c r="Y113" s="46"/>
      <c r="Z113" s="46"/>
      <c r="AA113" s="46"/>
    </row>
    <row r="114">
      <c r="A114" s="4"/>
      <c r="B114" s="46"/>
      <c r="C114" s="46"/>
      <c r="D114" s="46"/>
      <c r="E114" s="18"/>
      <c r="F114" s="18"/>
      <c r="G114" s="46"/>
      <c r="H114" s="46"/>
      <c r="I114" s="46"/>
      <c r="J114" s="46"/>
      <c r="K114" s="46"/>
      <c r="L114" s="46"/>
      <c r="M114" s="46"/>
      <c r="N114" s="46"/>
      <c r="O114" s="46"/>
      <c r="P114" s="46"/>
      <c r="Q114" s="46"/>
      <c r="R114" s="46"/>
      <c r="S114" s="46"/>
      <c r="T114" s="46"/>
      <c r="U114" s="46"/>
      <c r="V114" s="46"/>
      <c r="W114" s="46"/>
      <c r="X114" s="46"/>
      <c r="Y114" s="46"/>
      <c r="Z114" s="46"/>
      <c r="AA114" s="46"/>
    </row>
    <row r="115">
      <c r="A115" s="4"/>
      <c r="B115" s="46"/>
      <c r="C115" s="46"/>
      <c r="D115" s="46"/>
      <c r="E115" s="18"/>
      <c r="F115" s="18"/>
      <c r="G115" s="46"/>
      <c r="H115" s="46"/>
      <c r="I115" s="46"/>
      <c r="J115" s="46"/>
      <c r="K115" s="46"/>
      <c r="L115" s="46"/>
      <c r="M115" s="46"/>
      <c r="N115" s="46"/>
      <c r="O115" s="46"/>
      <c r="P115" s="46"/>
      <c r="Q115" s="46"/>
      <c r="R115" s="46"/>
      <c r="S115" s="46"/>
      <c r="T115" s="46"/>
      <c r="U115" s="46"/>
      <c r="V115" s="46"/>
      <c r="W115" s="46"/>
      <c r="X115" s="46"/>
      <c r="Y115" s="46"/>
      <c r="Z115" s="46"/>
      <c r="AA115" s="46"/>
    </row>
    <row r="116">
      <c r="A116" s="4"/>
      <c r="B116" s="46"/>
      <c r="C116" s="46"/>
      <c r="D116" s="46"/>
      <c r="E116" s="18"/>
      <c r="F116" s="18"/>
      <c r="G116" s="46"/>
      <c r="H116" s="46"/>
      <c r="I116" s="46"/>
      <c r="J116" s="46"/>
      <c r="K116" s="46"/>
      <c r="L116" s="46"/>
      <c r="M116" s="46"/>
      <c r="N116" s="46"/>
      <c r="O116" s="46"/>
      <c r="P116" s="46"/>
      <c r="Q116" s="46"/>
      <c r="R116" s="46"/>
      <c r="S116" s="46"/>
      <c r="T116" s="46"/>
      <c r="U116" s="46"/>
      <c r="V116" s="46"/>
      <c r="W116" s="46"/>
      <c r="X116" s="46"/>
      <c r="Y116" s="46"/>
      <c r="Z116" s="46"/>
      <c r="AA116" s="46"/>
    </row>
    <row r="117">
      <c r="A117" s="4"/>
      <c r="B117" s="46"/>
      <c r="C117" s="46"/>
      <c r="D117" s="46"/>
      <c r="E117" s="18"/>
      <c r="F117" s="18"/>
      <c r="G117" s="46"/>
      <c r="H117" s="46"/>
      <c r="I117" s="46"/>
      <c r="J117" s="46"/>
      <c r="K117" s="46"/>
      <c r="L117" s="46"/>
      <c r="M117" s="46"/>
      <c r="N117" s="46"/>
      <c r="O117" s="46"/>
      <c r="P117" s="46"/>
      <c r="Q117" s="46"/>
      <c r="R117" s="46"/>
      <c r="S117" s="46"/>
      <c r="T117" s="46"/>
      <c r="U117" s="46"/>
      <c r="V117" s="46"/>
      <c r="W117" s="46"/>
      <c r="X117" s="46"/>
      <c r="Y117" s="46"/>
      <c r="Z117" s="46"/>
      <c r="AA117" s="46"/>
    </row>
    <row r="118">
      <c r="A118" s="4"/>
      <c r="B118" s="46"/>
      <c r="C118" s="46"/>
      <c r="D118" s="46"/>
      <c r="E118" s="18"/>
      <c r="F118" s="18"/>
      <c r="G118" s="46"/>
      <c r="H118" s="46"/>
      <c r="I118" s="46"/>
      <c r="J118" s="46"/>
      <c r="K118" s="46"/>
      <c r="L118" s="46"/>
      <c r="M118" s="46"/>
      <c r="N118" s="46"/>
      <c r="O118" s="46"/>
      <c r="P118" s="46"/>
      <c r="Q118" s="46"/>
      <c r="R118" s="46"/>
      <c r="S118" s="46"/>
      <c r="T118" s="46"/>
      <c r="U118" s="46"/>
      <c r="V118" s="46"/>
      <c r="W118" s="46"/>
      <c r="X118" s="46"/>
      <c r="Y118" s="46"/>
      <c r="Z118" s="46"/>
      <c r="AA118" s="46"/>
    </row>
    <row r="119">
      <c r="A119" s="4"/>
      <c r="B119" s="46"/>
      <c r="C119" s="46"/>
      <c r="D119" s="46"/>
      <c r="E119" s="18"/>
      <c r="F119" s="18"/>
      <c r="G119" s="46"/>
      <c r="H119" s="46"/>
      <c r="I119" s="46"/>
      <c r="J119" s="46"/>
      <c r="K119" s="46"/>
      <c r="L119" s="46"/>
      <c r="M119" s="46"/>
      <c r="N119" s="46"/>
      <c r="O119" s="46"/>
      <c r="P119" s="46"/>
      <c r="Q119" s="46"/>
      <c r="R119" s="46"/>
      <c r="S119" s="46"/>
      <c r="T119" s="46"/>
      <c r="U119" s="46"/>
      <c r="V119" s="46"/>
      <c r="W119" s="46"/>
      <c r="X119" s="46"/>
      <c r="Y119" s="46"/>
      <c r="Z119" s="46"/>
      <c r="AA119" s="46"/>
    </row>
    <row r="120">
      <c r="A120" s="4"/>
      <c r="B120" s="46"/>
      <c r="C120" s="46"/>
      <c r="D120" s="46"/>
      <c r="E120" s="18"/>
      <c r="F120" s="18"/>
      <c r="G120" s="46"/>
      <c r="H120" s="46"/>
      <c r="I120" s="46"/>
      <c r="J120" s="46"/>
      <c r="K120" s="46"/>
      <c r="L120" s="46"/>
      <c r="M120" s="46"/>
      <c r="N120" s="46"/>
      <c r="O120" s="46"/>
      <c r="P120" s="46"/>
      <c r="Q120" s="46"/>
      <c r="R120" s="46"/>
      <c r="S120" s="46"/>
      <c r="T120" s="46"/>
      <c r="U120" s="46"/>
      <c r="V120" s="46"/>
      <c r="W120" s="46"/>
      <c r="X120" s="46"/>
      <c r="Y120" s="46"/>
      <c r="Z120" s="46"/>
      <c r="AA120" s="46"/>
    </row>
    <row r="121">
      <c r="A121" s="4"/>
      <c r="B121" s="46"/>
      <c r="C121" s="46"/>
      <c r="D121" s="46"/>
      <c r="E121" s="18"/>
      <c r="F121" s="18"/>
      <c r="G121" s="46"/>
      <c r="H121" s="46"/>
      <c r="I121" s="46"/>
      <c r="J121" s="46"/>
      <c r="K121" s="46"/>
      <c r="L121" s="46"/>
      <c r="M121" s="46"/>
      <c r="N121" s="46"/>
      <c r="O121" s="46"/>
      <c r="P121" s="46"/>
      <c r="Q121" s="46"/>
      <c r="R121" s="46"/>
      <c r="S121" s="46"/>
      <c r="T121" s="46"/>
      <c r="U121" s="46"/>
      <c r="V121" s="46"/>
      <c r="W121" s="46"/>
      <c r="X121" s="46"/>
      <c r="Y121" s="46"/>
      <c r="Z121" s="46"/>
      <c r="AA121" s="46"/>
    </row>
    <row r="122">
      <c r="A122" s="4"/>
      <c r="B122" s="46"/>
      <c r="C122" s="46"/>
      <c r="D122" s="46"/>
      <c r="E122" s="18"/>
      <c r="F122" s="18"/>
      <c r="G122" s="46"/>
      <c r="H122" s="46"/>
      <c r="I122" s="46"/>
      <c r="J122" s="46"/>
      <c r="K122" s="46"/>
      <c r="L122" s="46"/>
      <c r="M122" s="46"/>
      <c r="N122" s="46"/>
      <c r="O122" s="46"/>
      <c r="P122" s="46"/>
      <c r="Q122" s="46"/>
      <c r="R122" s="46"/>
      <c r="S122" s="46"/>
      <c r="T122" s="46"/>
      <c r="U122" s="46"/>
      <c r="V122" s="46"/>
      <c r="W122" s="46"/>
      <c r="X122" s="46"/>
      <c r="Y122" s="46"/>
      <c r="Z122" s="46"/>
      <c r="AA122" s="46"/>
    </row>
    <row r="123">
      <c r="A123" s="4"/>
      <c r="B123" s="46"/>
      <c r="C123" s="46"/>
      <c r="D123" s="46"/>
      <c r="E123" s="18"/>
      <c r="F123" s="18"/>
      <c r="G123" s="46"/>
      <c r="H123" s="46"/>
      <c r="I123" s="46"/>
      <c r="J123" s="46"/>
      <c r="K123" s="46"/>
      <c r="L123" s="46"/>
      <c r="M123" s="46"/>
      <c r="N123" s="46"/>
      <c r="O123" s="46"/>
      <c r="P123" s="46"/>
      <c r="Q123" s="46"/>
      <c r="R123" s="46"/>
      <c r="S123" s="46"/>
      <c r="T123" s="46"/>
      <c r="U123" s="46"/>
      <c r="V123" s="46"/>
      <c r="W123" s="46"/>
      <c r="X123" s="46"/>
      <c r="Y123" s="46"/>
      <c r="Z123" s="46"/>
      <c r="AA123" s="46"/>
    </row>
    <row r="124">
      <c r="A124" s="4"/>
      <c r="B124" s="46"/>
      <c r="C124" s="46"/>
      <c r="D124" s="46"/>
      <c r="E124" s="18"/>
      <c r="F124" s="18"/>
      <c r="G124" s="46"/>
      <c r="H124" s="46"/>
      <c r="I124" s="46"/>
      <c r="J124" s="46"/>
      <c r="K124" s="46"/>
      <c r="L124" s="46"/>
      <c r="M124" s="46"/>
      <c r="N124" s="46"/>
      <c r="O124" s="46"/>
      <c r="P124" s="46"/>
      <c r="Q124" s="46"/>
      <c r="R124" s="46"/>
      <c r="S124" s="46"/>
      <c r="T124" s="46"/>
      <c r="U124" s="46"/>
      <c r="V124" s="46"/>
      <c r="W124" s="46"/>
      <c r="X124" s="46"/>
      <c r="Y124" s="46"/>
      <c r="Z124" s="46"/>
      <c r="AA124" s="46"/>
    </row>
    <row r="125">
      <c r="A125" s="4"/>
      <c r="B125" s="46"/>
      <c r="C125" s="46"/>
      <c r="D125" s="46"/>
      <c r="E125" s="18"/>
      <c r="F125" s="18"/>
      <c r="G125" s="46"/>
      <c r="H125" s="46"/>
      <c r="I125" s="46"/>
      <c r="J125" s="46"/>
      <c r="K125" s="46"/>
      <c r="L125" s="46"/>
      <c r="M125" s="46"/>
      <c r="N125" s="46"/>
      <c r="O125" s="46"/>
      <c r="P125" s="46"/>
      <c r="Q125" s="46"/>
      <c r="R125" s="46"/>
      <c r="S125" s="46"/>
      <c r="T125" s="46"/>
      <c r="U125" s="46"/>
      <c r="V125" s="46"/>
      <c r="W125" s="46"/>
      <c r="X125" s="46"/>
      <c r="Y125" s="46"/>
      <c r="Z125" s="46"/>
      <c r="AA125" s="46"/>
    </row>
    <row r="126">
      <c r="A126" s="4"/>
      <c r="B126" s="46"/>
      <c r="C126" s="46"/>
      <c r="D126" s="46"/>
      <c r="E126" s="18"/>
      <c r="F126" s="18"/>
      <c r="G126" s="46"/>
      <c r="H126" s="46"/>
      <c r="I126" s="46"/>
      <c r="J126" s="46"/>
      <c r="K126" s="46"/>
      <c r="L126" s="46"/>
      <c r="M126" s="46"/>
      <c r="N126" s="46"/>
      <c r="O126" s="46"/>
      <c r="P126" s="46"/>
      <c r="Q126" s="46"/>
      <c r="R126" s="46"/>
      <c r="S126" s="46"/>
      <c r="T126" s="46"/>
      <c r="U126" s="46"/>
      <c r="V126" s="46"/>
      <c r="W126" s="46"/>
      <c r="X126" s="46"/>
      <c r="Y126" s="46"/>
      <c r="Z126" s="46"/>
      <c r="AA126" s="46"/>
    </row>
    <row r="127">
      <c r="A127" s="4"/>
      <c r="B127" s="46"/>
      <c r="C127" s="46"/>
      <c r="D127" s="46"/>
      <c r="E127" s="18"/>
      <c r="F127" s="18"/>
      <c r="G127" s="46"/>
      <c r="H127" s="46"/>
      <c r="I127" s="46"/>
      <c r="J127" s="46"/>
      <c r="K127" s="46"/>
      <c r="L127" s="46"/>
      <c r="M127" s="46"/>
      <c r="N127" s="46"/>
      <c r="O127" s="46"/>
      <c r="P127" s="46"/>
      <c r="Q127" s="46"/>
      <c r="R127" s="46"/>
      <c r="S127" s="46"/>
      <c r="T127" s="46"/>
      <c r="U127" s="46"/>
      <c r="V127" s="46"/>
      <c r="W127" s="46"/>
      <c r="X127" s="46"/>
      <c r="Y127" s="46"/>
      <c r="Z127" s="46"/>
      <c r="AA127" s="46"/>
    </row>
    <row r="128">
      <c r="A128" s="4"/>
      <c r="B128" s="46"/>
      <c r="C128" s="46"/>
      <c r="D128" s="46"/>
      <c r="E128" s="18"/>
      <c r="F128" s="18"/>
      <c r="G128" s="46"/>
      <c r="H128" s="46"/>
      <c r="I128" s="46"/>
      <c r="J128" s="46"/>
      <c r="K128" s="46"/>
      <c r="L128" s="46"/>
      <c r="M128" s="46"/>
      <c r="N128" s="46"/>
      <c r="O128" s="46"/>
      <c r="P128" s="46"/>
      <c r="Q128" s="46"/>
      <c r="R128" s="46"/>
      <c r="S128" s="46"/>
      <c r="T128" s="46"/>
      <c r="U128" s="46"/>
      <c r="V128" s="46"/>
      <c r="W128" s="46"/>
      <c r="X128" s="46"/>
      <c r="Y128" s="46"/>
      <c r="Z128" s="46"/>
      <c r="AA128" s="46"/>
    </row>
    <row r="129">
      <c r="A129" s="4"/>
      <c r="B129" s="46"/>
      <c r="C129" s="46"/>
      <c r="D129" s="46"/>
      <c r="E129" s="18"/>
      <c r="F129" s="18"/>
      <c r="G129" s="46"/>
      <c r="H129" s="46"/>
      <c r="I129" s="46"/>
      <c r="J129" s="46"/>
      <c r="K129" s="46"/>
      <c r="L129" s="46"/>
      <c r="M129" s="46"/>
      <c r="N129" s="46"/>
      <c r="O129" s="46"/>
      <c r="P129" s="46"/>
      <c r="Q129" s="46"/>
      <c r="R129" s="46"/>
      <c r="S129" s="46"/>
      <c r="T129" s="46"/>
      <c r="U129" s="46"/>
      <c r="V129" s="46"/>
      <c r="W129" s="46"/>
      <c r="X129" s="46"/>
      <c r="Y129" s="46"/>
      <c r="Z129" s="46"/>
      <c r="AA129" s="46"/>
    </row>
    <row r="130">
      <c r="A130" s="4"/>
      <c r="B130" s="46"/>
      <c r="C130" s="46"/>
      <c r="D130" s="46"/>
      <c r="E130" s="18"/>
      <c r="F130" s="18"/>
      <c r="G130" s="46"/>
      <c r="H130" s="46"/>
      <c r="I130" s="46"/>
      <c r="J130" s="46"/>
      <c r="K130" s="46"/>
      <c r="L130" s="46"/>
      <c r="M130" s="46"/>
      <c r="N130" s="46"/>
      <c r="O130" s="46"/>
      <c r="P130" s="46"/>
      <c r="Q130" s="46"/>
      <c r="R130" s="46"/>
      <c r="S130" s="46"/>
      <c r="T130" s="46"/>
      <c r="U130" s="46"/>
      <c r="V130" s="46"/>
      <c r="W130" s="46"/>
      <c r="X130" s="46"/>
      <c r="Y130" s="46"/>
      <c r="Z130" s="46"/>
      <c r="AA130" s="46"/>
    </row>
    <row r="131">
      <c r="A131" s="4"/>
      <c r="B131" s="46"/>
      <c r="C131" s="46"/>
      <c r="D131" s="46"/>
      <c r="E131" s="18"/>
      <c r="F131" s="18"/>
      <c r="G131" s="46"/>
      <c r="H131" s="46"/>
      <c r="I131" s="46"/>
      <c r="J131" s="46"/>
      <c r="K131" s="46"/>
      <c r="L131" s="46"/>
      <c r="M131" s="46"/>
      <c r="N131" s="46"/>
      <c r="O131" s="46"/>
      <c r="P131" s="46"/>
      <c r="Q131" s="46"/>
      <c r="R131" s="46"/>
      <c r="S131" s="46"/>
      <c r="T131" s="46"/>
      <c r="U131" s="46"/>
      <c r="V131" s="46"/>
      <c r="W131" s="46"/>
      <c r="X131" s="46"/>
      <c r="Y131" s="46"/>
      <c r="Z131" s="46"/>
      <c r="AA131" s="46"/>
    </row>
    <row r="132">
      <c r="A132" s="4"/>
      <c r="B132" s="46"/>
      <c r="C132" s="46"/>
      <c r="D132" s="46"/>
      <c r="E132" s="18"/>
      <c r="F132" s="18"/>
      <c r="G132" s="46"/>
      <c r="H132" s="46"/>
      <c r="I132" s="46"/>
      <c r="J132" s="46"/>
      <c r="K132" s="46"/>
      <c r="L132" s="46"/>
      <c r="M132" s="46"/>
      <c r="N132" s="46"/>
      <c r="O132" s="46"/>
      <c r="P132" s="46"/>
      <c r="Q132" s="46"/>
      <c r="R132" s="46"/>
      <c r="S132" s="46"/>
      <c r="T132" s="46"/>
      <c r="U132" s="46"/>
      <c r="V132" s="46"/>
      <c r="W132" s="46"/>
      <c r="X132" s="46"/>
      <c r="Y132" s="46"/>
      <c r="Z132" s="46"/>
      <c r="AA132" s="46"/>
    </row>
    <row r="133">
      <c r="A133" s="4"/>
      <c r="B133" s="46"/>
      <c r="C133" s="46"/>
      <c r="D133" s="46"/>
      <c r="E133" s="18"/>
      <c r="F133" s="18"/>
      <c r="G133" s="46"/>
      <c r="H133" s="46"/>
      <c r="I133" s="46"/>
      <c r="J133" s="46"/>
      <c r="K133" s="46"/>
      <c r="L133" s="46"/>
      <c r="M133" s="46"/>
      <c r="N133" s="46"/>
      <c r="O133" s="46"/>
      <c r="P133" s="46"/>
      <c r="Q133" s="46"/>
      <c r="R133" s="46"/>
      <c r="S133" s="46"/>
      <c r="T133" s="46"/>
      <c r="U133" s="46"/>
      <c r="V133" s="46"/>
      <c r="W133" s="46"/>
      <c r="X133" s="46"/>
      <c r="Y133" s="46"/>
      <c r="Z133" s="46"/>
      <c r="AA133" s="46"/>
    </row>
    <row r="134">
      <c r="A134" s="4"/>
      <c r="B134" s="46"/>
      <c r="C134" s="46"/>
      <c r="D134" s="46"/>
      <c r="E134" s="18"/>
      <c r="F134" s="18"/>
      <c r="G134" s="46"/>
      <c r="H134" s="46"/>
      <c r="I134" s="46"/>
      <c r="J134" s="46"/>
      <c r="K134" s="46"/>
      <c r="L134" s="46"/>
      <c r="M134" s="46"/>
      <c r="N134" s="46"/>
      <c r="O134" s="46"/>
      <c r="P134" s="46"/>
      <c r="Q134" s="46"/>
      <c r="R134" s="46"/>
      <c r="S134" s="46"/>
      <c r="T134" s="46"/>
      <c r="U134" s="46"/>
      <c r="V134" s="46"/>
      <c r="W134" s="46"/>
      <c r="X134" s="46"/>
      <c r="Y134" s="46"/>
      <c r="Z134" s="46"/>
      <c r="AA134" s="46"/>
    </row>
    <row r="135">
      <c r="A135" s="4"/>
      <c r="B135" s="46"/>
      <c r="C135" s="46"/>
      <c r="D135" s="46"/>
      <c r="E135" s="18"/>
      <c r="F135" s="18"/>
      <c r="G135" s="46"/>
      <c r="H135" s="46"/>
      <c r="I135" s="46"/>
      <c r="J135" s="46"/>
      <c r="K135" s="46"/>
      <c r="L135" s="46"/>
      <c r="M135" s="46"/>
      <c r="N135" s="46"/>
      <c r="O135" s="46"/>
      <c r="P135" s="46"/>
      <c r="Q135" s="46"/>
      <c r="R135" s="46"/>
      <c r="S135" s="46"/>
      <c r="T135" s="46"/>
      <c r="U135" s="46"/>
      <c r="V135" s="46"/>
      <c r="W135" s="46"/>
      <c r="X135" s="46"/>
      <c r="Y135" s="46"/>
      <c r="Z135" s="46"/>
      <c r="AA135" s="46"/>
    </row>
    <row r="136">
      <c r="A136" s="4"/>
      <c r="B136" s="46"/>
      <c r="C136" s="46"/>
      <c r="D136" s="46"/>
      <c r="E136" s="18"/>
      <c r="F136" s="18"/>
      <c r="G136" s="46"/>
      <c r="H136" s="46"/>
      <c r="I136" s="46"/>
      <c r="J136" s="46"/>
      <c r="K136" s="46"/>
      <c r="L136" s="46"/>
      <c r="M136" s="46"/>
      <c r="N136" s="46"/>
      <c r="O136" s="46"/>
      <c r="P136" s="46"/>
      <c r="Q136" s="46"/>
      <c r="R136" s="46"/>
      <c r="S136" s="46"/>
      <c r="T136" s="46"/>
      <c r="U136" s="46"/>
      <c r="V136" s="46"/>
      <c r="W136" s="46"/>
      <c r="X136" s="46"/>
      <c r="Y136" s="46"/>
      <c r="Z136" s="46"/>
      <c r="AA136" s="46"/>
    </row>
    <row r="137">
      <c r="A137" s="4"/>
      <c r="B137" s="46"/>
      <c r="C137" s="46"/>
      <c r="D137" s="46"/>
      <c r="E137" s="18"/>
      <c r="F137" s="18"/>
      <c r="G137" s="46"/>
      <c r="H137" s="46"/>
      <c r="I137" s="46"/>
      <c r="J137" s="46"/>
      <c r="K137" s="46"/>
      <c r="L137" s="46"/>
      <c r="M137" s="46"/>
      <c r="N137" s="46"/>
      <c r="O137" s="46"/>
      <c r="P137" s="46"/>
      <c r="Q137" s="46"/>
      <c r="R137" s="46"/>
      <c r="S137" s="46"/>
      <c r="T137" s="46"/>
      <c r="U137" s="46"/>
      <c r="V137" s="46"/>
      <c r="W137" s="46"/>
      <c r="X137" s="46"/>
      <c r="Y137" s="46"/>
      <c r="Z137" s="46"/>
      <c r="AA137" s="46"/>
    </row>
    <row r="138">
      <c r="A138" s="4"/>
      <c r="B138" s="46"/>
      <c r="C138" s="46"/>
      <c r="D138" s="46"/>
      <c r="E138" s="18"/>
      <c r="F138" s="18"/>
      <c r="G138" s="46"/>
      <c r="H138" s="46"/>
      <c r="I138" s="46"/>
      <c r="J138" s="46"/>
      <c r="K138" s="46"/>
      <c r="L138" s="46"/>
      <c r="M138" s="46"/>
      <c r="N138" s="46"/>
      <c r="O138" s="46"/>
      <c r="P138" s="46"/>
      <c r="Q138" s="46"/>
      <c r="R138" s="46"/>
      <c r="S138" s="46"/>
      <c r="T138" s="46"/>
      <c r="U138" s="46"/>
      <c r="V138" s="46"/>
      <c r="W138" s="46"/>
      <c r="X138" s="46"/>
      <c r="Y138" s="46"/>
      <c r="Z138" s="46"/>
      <c r="AA138" s="46"/>
    </row>
    <row r="139">
      <c r="A139" s="4"/>
      <c r="B139" s="46"/>
      <c r="C139" s="46"/>
      <c r="D139" s="46"/>
      <c r="E139" s="18"/>
      <c r="F139" s="18"/>
      <c r="G139" s="46"/>
      <c r="H139" s="46"/>
      <c r="I139" s="46"/>
      <c r="J139" s="46"/>
      <c r="K139" s="46"/>
      <c r="L139" s="46"/>
      <c r="M139" s="46"/>
      <c r="N139" s="46"/>
      <c r="O139" s="46"/>
      <c r="P139" s="46"/>
      <c r="Q139" s="46"/>
      <c r="R139" s="46"/>
      <c r="S139" s="46"/>
      <c r="T139" s="46"/>
      <c r="U139" s="46"/>
      <c r="V139" s="46"/>
      <c r="W139" s="46"/>
      <c r="X139" s="46"/>
      <c r="Y139" s="46"/>
      <c r="Z139" s="46"/>
      <c r="AA139" s="46"/>
    </row>
    <row r="140">
      <c r="A140" s="4"/>
      <c r="B140" s="46"/>
      <c r="C140" s="46"/>
      <c r="D140" s="46"/>
      <c r="E140" s="18"/>
      <c r="F140" s="18"/>
      <c r="G140" s="46"/>
      <c r="H140" s="46"/>
      <c r="I140" s="46"/>
      <c r="J140" s="46"/>
      <c r="K140" s="46"/>
      <c r="L140" s="46"/>
      <c r="M140" s="46"/>
      <c r="N140" s="46"/>
      <c r="O140" s="46"/>
      <c r="P140" s="46"/>
      <c r="Q140" s="46"/>
      <c r="R140" s="46"/>
      <c r="S140" s="46"/>
      <c r="T140" s="46"/>
      <c r="U140" s="46"/>
      <c r="V140" s="46"/>
      <c r="W140" s="46"/>
      <c r="X140" s="46"/>
      <c r="Y140" s="46"/>
      <c r="Z140" s="46"/>
      <c r="AA140" s="46"/>
    </row>
    <row r="141">
      <c r="A141" s="4"/>
      <c r="B141" s="46"/>
      <c r="C141" s="46"/>
      <c r="D141" s="46"/>
      <c r="E141" s="18"/>
      <c r="F141" s="18"/>
      <c r="G141" s="46"/>
      <c r="H141" s="46"/>
      <c r="I141" s="46"/>
      <c r="J141" s="46"/>
      <c r="K141" s="46"/>
      <c r="L141" s="46"/>
      <c r="M141" s="46"/>
      <c r="N141" s="46"/>
      <c r="O141" s="46"/>
      <c r="P141" s="46"/>
      <c r="Q141" s="46"/>
      <c r="R141" s="46"/>
      <c r="S141" s="46"/>
      <c r="T141" s="46"/>
      <c r="U141" s="46"/>
      <c r="V141" s="46"/>
      <c r="W141" s="46"/>
      <c r="X141" s="46"/>
      <c r="Y141" s="46"/>
      <c r="Z141" s="46"/>
      <c r="AA141" s="46"/>
    </row>
    <row r="142">
      <c r="A142" s="4"/>
      <c r="B142" s="46"/>
      <c r="C142" s="46"/>
      <c r="D142" s="46"/>
      <c r="E142" s="18"/>
      <c r="F142" s="18"/>
      <c r="G142" s="46"/>
      <c r="H142" s="46"/>
      <c r="I142" s="46"/>
      <c r="J142" s="46"/>
      <c r="K142" s="46"/>
      <c r="L142" s="46"/>
      <c r="M142" s="46"/>
      <c r="N142" s="46"/>
      <c r="O142" s="46"/>
      <c r="P142" s="46"/>
      <c r="Q142" s="46"/>
      <c r="R142" s="46"/>
      <c r="S142" s="46"/>
      <c r="T142" s="46"/>
      <c r="U142" s="46"/>
      <c r="V142" s="46"/>
      <c r="W142" s="46"/>
      <c r="X142" s="46"/>
      <c r="Y142" s="46"/>
      <c r="Z142" s="46"/>
      <c r="AA142" s="46"/>
    </row>
    <row r="143">
      <c r="A143" s="4"/>
      <c r="B143" s="46"/>
      <c r="C143" s="46"/>
      <c r="D143" s="46"/>
      <c r="E143" s="18"/>
      <c r="F143" s="18"/>
      <c r="G143" s="46"/>
      <c r="H143" s="46"/>
      <c r="I143" s="46"/>
      <c r="J143" s="46"/>
      <c r="K143" s="46"/>
      <c r="L143" s="46"/>
      <c r="M143" s="46"/>
      <c r="N143" s="46"/>
      <c r="O143" s="46"/>
      <c r="P143" s="46"/>
      <c r="Q143" s="46"/>
      <c r="R143" s="46"/>
      <c r="S143" s="46"/>
      <c r="T143" s="46"/>
      <c r="U143" s="46"/>
      <c r="V143" s="46"/>
      <c r="W143" s="46"/>
      <c r="X143" s="46"/>
      <c r="Y143" s="46"/>
      <c r="Z143" s="46"/>
      <c r="AA143" s="46"/>
    </row>
    <row r="144">
      <c r="A144" s="4"/>
      <c r="B144" s="46"/>
      <c r="C144" s="46"/>
      <c r="D144" s="46"/>
      <c r="E144" s="18"/>
      <c r="F144" s="18"/>
      <c r="G144" s="46"/>
      <c r="H144" s="46"/>
      <c r="I144" s="46"/>
      <c r="J144" s="46"/>
      <c r="K144" s="46"/>
      <c r="L144" s="46"/>
      <c r="M144" s="46"/>
      <c r="N144" s="46"/>
      <c r="O144" s="46"/>
      <c r="P144" s="46"/>
      <c r="Q144" s="46"/>
      <c r="R144" s="46"/>
      <c r="S144" s="46"/>
      <c r="T144" s="46"/>
      <c r="U144" s="46"/>
      <c r="V144" s="46"/>
      <c r="W144" s="46"/>
      <c r="X144" s="46"/>
      <c r="Y144" s="46"/>
      <c r="Z144" s="46"/>
      <c r="AA144" s="46"/>
    </row>
    <row r="145">
      <c r="A145" s="4"/>
      <c r="B145" s="46"/>
      <c r="C145" s="46"/>
      <c r="D145" s="46"/>
      <c r="E145" s="18"/>
      <c r="F145" s="18"/>
      <c r="G145" s="46"/>
      <c r="H145" s="46"/>
      <c r="I145" s="46"/>
      <c r="J145" s="46"/>
      <c r="K145" s="46"/>
      <c r="L145" s="46"/>
      <c r="M145" s="46"/>
      <c r="N145" s="46"/>
      <c r="O145" s="46"/>
      <c r="P145" s="46"/>
      <c r="Q145" s="46"/>
      <c r="R145" s="46"/>
      <c r="S145" s="46"/>
      <c r="T145" s="46"/>
      <c r="U145" s="46"/>
      <c r="V145" s="46"/>
      <c r="W145" s="46"/>
      <c r="X145" s="46"/>
      <c r="Y145" s="46"/>
      <c r="Z145" s="46"/>
      <c r="AA145" s="46"/>
    </row>
    <row r="146">
      <c r="A146" s="4"/>
      <c r="B146" s="46"/>
      <c r="C146" s="46"/>
      <c r="D146" s="46"/>
      <c r="E146" s="18"/>
      <c r="F146" s="18"/>
      <c r="G146" s="46"/>
      <c r="H146" s="46"/>
      <c r="I146" s="46"/>
      <c r="J146" s="46"/>
      <c r="K146" s="46"/>
      <c r="L146" s="46"/>
      <c r="M146" s="46"/>
      <c r="N146" s="46"/>
      <c r="O146" s="46"/>
      <c r="P146" s="46"/>
      <c r="Q146" s="46"/>
      <c r="R146" s="46"/>
      <c r="S146" s="46"/>
      <c r="T146" s="46"/>
      <c r="U146" s="46"/>
      <c r="V146" s="46"/>
      <c r="W146" s="46"/>
      <c r="X146" s="46"/>
      <c r="Y146" s="46"/>
      <c r="Z146" s="46"/>
      <c r="AA146" s="46"/>
    </row>
    <row r="147">
      <c r="A147" s="4"/>
      <c r="B147" s="46"/>
      <c r="C147" s="46"/>
      <c r="D147" s="46"/>
      <c r="E147" s="18"/>
      <c r="F147" s="18"/>
      <c r="G147" s="46"/>
      <c r="H147" s="46"/>
      <c r="I147" s="46"/>
      <c r="J147" s="46"/>
      <c r="K147" s="46"/>
      <c r="L147" s="46"/>
      <c r="M147" s="46"/>
      <c r="N147" s="46"/>
      <c r="O147" s="46"/>
      <c r="P147" s="46"/>
      <c r="Q147" s="46"/>
      <c r="R147" s="46"/>
      <c r="S147" s="46"/>
      <c r="T147" s="46"/>
      <c r="U147" s="46"/>
      <c r="V147" s="46"/>
      <c r="W147" s="46"/>
      <c r="X147" s="46"/>
      <c r="Y147" s="46"/>
      <c r="Z147" s="46"/>
      <c r="AA147" s="46"/>
    </row>
    <row r="148">
      <c r="A148" s="4"/>
      <c r="B148" s="46"/>
      <c r="C148" s="46"/>
      <c r="D148" s="46"/>
      <c r="E148" s="18"/>
      <c r="F148" s="18"/>
      <c r="G148" s="46"/>
      <c r="H148" s="46"/>
      <c r="I148" s="46"/>
      <c r="J148" s="46"/>
      <c r="K148" s="46"/>
      <c r="L148" s="46"/>
      <c r="M148" s="46"/>
      <c r="N148" s="46"/>
      <c r="O148" s="46"/>
      <c r="P148" s="46"/>
      <c r="Q148" s="46"/>
      <c r="R148" s="46"/>
      <c r="S148" s="46"/>
      <c r="T148" s="46"/>
      <c r="U148" s="46"/>
      <c r="V148" s="46"/>
      <c r="W148" s="46"/>
      <c r="X148" s="46"/>
      <c r="Y148" s="46"/>
      <c r="Z148" s="46"/>
      <c r="AA148" s="46"/>
    </row>
    <row r="149">
      <c r="A149" s="4"/>
      <c r="B149" s="46"/>
      <c r="C149" s="46"/>
      <c r="D149" s="46"/>
      <c r="E149" s="18"/>
      <c r="F149" s="18"/>
      <c r="G149" s="46"/>
      <c r="H149" s="46"/>
      <c r="I149" s="46"/>
      <c r="J149" s="46"/>
      <c r="K149" s="46"/>
      <c r="L149" s="46"/>
      <c r="M149" s="46"/>
      <c r="N149" s="46"/>
      <c r="O149" s="46"/>
      <c r="P149" s="46"/>
      <c r="Q149" s="46"/>
      <c r="R149" s="46"/>
      <c r="S149" s="46"/>
      <c r="T149" s="46"/>
      <c r="U149" s="46"/>
      <c r="V149" s="46"/>
      <c r="W149" s="46"/>
      <c r="X149" s="46"/>
      <c r="Y149" s="46"/>
      <c r="Z149" s="46"/>
      <c r="AA149" s="46"/>
    </row>
    <row r="150">
      <c r="A150" s="4"/>
      <c r="B150" s="46"/>
      <c r="C150" s="46"/>
      <c r="D150" s="46"/>
      <c r="E150" s="18"/>
      <c r="F150" s="18"/>
      <c r="G150" s="46"/>
      <c r="H150" s="46"/>
      <c r="I150" s="46"/>
      <c r="J150" s="46"/>
      <c r="K150" s="46"/>
      <c r="L150" s="46"/>
      <c r="M150" s="46"/>
      <c r="N150" s="46"/>
      <c r="O150" s="46"/>
      <c r="P150" s="46"/>
      <c r="Q150" s="46"/>
      <c r="R150" s="46"/>
      <c r="S150" s="46"/>
      <c r="T150" s="46"/>
      <c r="U150" s="46"/>
      <c r="V150" s="46"/>
      <c r="W150" s="46"/>
      <c r="X150" s="46"/>
      <c r="Y150" s="46"/>
      <c r="Z150" s="46"/>
      <c r="AA150" s="46"/>
    </row>
    <row r="151">
      <c r="A151" s="4"/>
      <c r="B151" s="46"/>
      <c r="C151" s="46"/>
      <c r="D151" s="46"/>
      <c r="E151" s="18"/>
      <c r="F151" s="18"/>
      <c r="G151" s="46"/>
      <c r="H151" s="46"/>
      <c r="I151" s="46"/>
      <c r="J151" s="46"/>
      <c r="K151" s="46"/>
      <c r="L151" s="46"/>
      <c r="M151" s="46"/>
      <c r="N151" s="46"/>
      <c r="O151" s="46"/>
      <c r="P151" s="46"/>
      <c r="Q151" s="46"/>
      <c r="R151" s="46"/>
      <c r="S151" s="46"/>
      <c r="T151" s="46"/>
      <c r="U151" s="46"/>
      <c r="V151" s="46"/>
      <c r="W151" s="46"/>
      <c r="X151" s="46"/>
      <c r="Y151" s="46"/>
      <c r="Z151" s="46"/>
      <c r="AA151" s="46"/>
    </row>
    <row r="152">
      <c r="A152" s="4"/>
      <c r="B152" s="46"/>
      <c r="C152" s="46"/>
      <c r="D152" s="46"/>
      <c r="E152" s="18"/>
      <c r="F152" s="18"/>
      <c r="G152" s="46"/>
      <c r="H152" s="46"/>
      <c r="I152" s="46"/>
      <c r="J152" s="46"/>
      <c r="K152" s="46"/>
      <c r="L152" s="46"/>
      <c r="M152" s="46"/>
      <c r="N152" s="46"/>
      <c r="O152" s="46"/>
      <c r="P152" s="46"/>
      <c r="Q152" s="46"/>
      <c r="R152" s="46"/>
      <c r="S152" s="46"/>
      <c r="T152" s="46"/>
      <c r="U152" s="46"/>
      <c r="V152" s="46"/>
      <c r="W152" s="46"/>
      <c r="X152" s="46"/>
      <c r="Y152" s="46"/>
      <c r="Z152" s="46"/>
      <c r="AA152" s="46"/>
    </row>
    <row r="153">
      <c r="A153" s="4"/>
      <c r="B153" s="46"/>
      <c r="C153" s="46"/>
      <c r="D153" s="46"/>
      <c r="E153" s="18"/>
      <c r="F153" s="18"/>
      <c r="G153" s="46"/>
      <c r="H153" s="46"/>
      <c r="I153" s="46"/>
      <c r="J153" s="46"/>
      <c r="K153" s="46"/>
      <c r="L153" s="46"/>
      <c r="M153" s="46"/>
      <c r="N153" s="46"/>
      <c r="O153" s="46"/>
      <c r="P153" s="46"/>
      <c r="Q153" s="46"/>
      <c r="R153" s="46"/>
      <c r="S153" s="46"/>
      <c r="T153" s="46"/>
      <c r="U153" s="46"/>
      <c r="V153" s="46"/>
      <c r="W153" s="46"/>
      <c r="X153" s="46"/>
      <c r="Y153" s="46"/>
      <c r="Z153" s="46"/>
      <c r="AA153" s="46"/>
    </row>
    <row r="154">
      <c r="A154" s="4"/>
      <c r="B154" s="46"/>
      <c r="C154" s="46"/>
      <c r="D154" s="46"/>
      <c r="E154" s="18"/>
      <c r="F154" s="18"/>
      <c r="G154" s="46"/>
      <c r="H154" s="46"/>
      <c r="I154" s="46"/>
      <c r="J154" s="46"/>
      <c r="K154" s="46"/>
      <c r="L154" s="46"/>
      <c r="M154" s="46"/>
      <c r="N154" s="46"/>
      <c r="O154" s="46"/>
      <c r="P154" s="46"/>
      <c r="Q154" s="46"/>
      <c r="R154" s="46"/>
      <c r="S154" s="46"/>
      <c r="T154" s="46"/>
      <c r="U154" s="46"/>
      <c r="V154" s="46"/>
      <c r="W154" s="46"/>
      <c r="X154" s="46"/>
      <c r="Y154" s="46"/>
      <c r="Z154" s="46"/>
      <c r="AA154" s="46"/>
    </row>
    <row r="155">
      <c r="A155" s="4"/>
      <c r="B155" s="46"/>
      <c r="C155" s="46"/>
      <c r="D155" s="46"/>
      <c r="E155" s="18"/>
      <c r="F155" s="18"/>
      <c r="G155" s="46"/>
      <c r="H155" s="46"/>
      <c r="I155" s="46"/>
      <c r="J155" s="46"/>
      <c r="K155" s="46"/>
      <c r="L155" s="46"/>
      <c r="M155" s="46"/>
      <c r="N155" s="46"/>
      <c r="O155" s="46"/>
      <c r="P155" s="46"/>
      <c r="Q155" s="46"/>
      <c r="R155" s="46"/>
      <c r="S155" s="46"/>
      <c r="T155" s="46"/>
      <c r="U155" s="46"/>
      <c r="V155" s="46"/>
      <c r="W155" s="46"/>
      <c r="X155" s="46"/>
      <c r="Y155" s="46"/>
      <c r="Z155" s="46"/>
      <c r="AA155" s="46"/>
    </row>
    <row r="156">
      <c r="A156" s="4"/>
      <c r="B156" s="46"/>
      <c r="C156" s="46"/>
      <c r="D156" s="46"/>
      <c r="E156" s="18"/>
      <c r="F156" s="18"/>
      <c r="G156" s="46"/>
      <c r="H156" s="46"/>
      <c r="I156" s="46"/>
      <c r="J156" s="46"/>
      <c r="K156" s="46"/>
      <c r="L156" s="46"/>
      <c r="M156" s="46"/>
      <c r="N156" s="46"/>
      <c r="O156" s="46"/>
      <c r="P156" s="46"/>
      <c r="Q156" s="46"/>
      <c r="R156" s="46"/>
      <c r="S156" s="46"/>
      <c r="T156" s="46"/>
      <c r="U156" s="46"/>
      <c r="V156" s="46"/>
      <c r="W156" s="46"/>
      <c r="X156" s="46"/>
      <c r="Y156" s="46"/>
      <c r="Z156" s="46"/>
      <c r="AA156" s="46"/>
    </row>
    <row r="157">
      <c r="A157" s="4"/>
      <c r="B157" s="46"/>
      <c r="C157" s="46"/>
      <c r="D157" s="46"/>
      <c r="E157" s="18"/>
      <c r="F157" s="18"/>
      <c r="G157" s="46"/>
      <c r="H157" s="46"/>
      <c r="I157" s="46"/>
      <c r="J157" s="46"/>
      <c r="K157" s="46"/>
      <c r="L157" s="46"/>
      <c r="M157" s="46"/>
      <c r="N157" s="46"/>
      <c r="O157" s="46"/>
      <c r="P157" s="46"/>
      <c r="Q157" s="46"/>
      <c r="R157" s="46"/>
      <c r="S157" s="46"/>
      <c r="T157" s="46"/>
      <c r="U157" s="46"/>
      <c r="V157" s="46"/>
      <c r="W157" s="46"/>
      <c r="X157" s="46"/>
      <c r="Y157" s="46"/>
      <c r="Z157" s="46"/>
      <c r="AA157" s="46"/>
    </row>
    <row r="158">
      <c r="A158" s="4"/>
      <c r="B158" s="46"/>
      <c r="C158" s="46"/>
      <c r="D158" s="46"/>
      <c r="E158" s="18"/>
      <c r="F158" s="18"/>
      <c r="G158" s="46"/>
      <c r="H158" s="46"/>
      <c r="I158" s="46"/>
      <c r="J158" s="46"/>
      <c r="K158" s="46"/>
      <c r="L158" s="46"/>
      <c r="M158" s="46"/>
      <c r="N158" s="46"/>
      <c r="O158" s="46"/>
      <c r="P158" s="46"/>
      <c r="Q158" s="46"/>
      <c r="R158" s="46"/>
      <c r="S158" s="46"/>
      <c r="T158" s="46"/>
      <c r="U158" s="46"/>
      <c r="V158" s="46"/>
      <c r="W158" s="46"/>
      <c r="X158" s="46"/>
      <c r="Y158" s="46"/>
      <c r="Z158" s="46"/>
      <c r="AA158" s="46"/>
    </row>
    <row r="159">
      <c r="A159" s="4"/>
      <c r="B159" s="46"/>
      <c r="C159" s="46"/>
      <c r="D159" s="46"/>
      <c r="E159" s="18"/>
      <c r="F159" s="18"/>
      <c r="G159" s="46"/>
      <c r="H159" s="46"/>
      <c r="I159" s="46"/>
      <c r="J159" s="46"/>
      <c r="K159" s="46"/>
      <c r="L159" s="46"/>
      <c r="M159" s="46"/>
      <c r="N159" s="46"/>
      <c r="O159" s="46"/>
      <c r="P159" s="46"/>
      <c r="Q159" s="46"/>
      <c r="R159" s="46"/>
      <c r="S159" s="46"/>
      <c r="T159" s="46"/>
      <c r="U159" s="46"/>
      <c r="V159" s="46"/>
      <c r="W159" s="46"/>
      <c r="X159" s="46"/>
      <c r="Y159" s="46"/>
      <c r="Z159" s="46"/>
      <c r="AA159" s="46"/>
    </row>
    <row r="160">
      <c r="A160" s="4"/>
      <c r="B160" s="46"/>
      <c r="C160" s="46"/>
      <c r="D160" s="46"/>
      <c r="E160" s="18"/>
      <c r="F160" s="18"/>
      <c r="G160" s="46"/>
      <c r="H160" s="46"/>
      <c r="I160" s="46"/>
      <c r="J160" s="46"/>
      <c r="K160" s="46"/>
      <c r="L160" s="46"/>
      <c r="M160" s="46"/>
      <c r="N160" s="46"/>
      <c r="O160" s="46"/>
      <c r="P160" s="46"/>
      <c r="Q160" s="46"/>
      <c r="R160" s="46"/>
      <c r="S160" s="46"/>
      <c r="T160" s="46"/>
      <c r="U160" s="46"/>
      <c r="V160" s="46"/>
      <c r="W160" s="46"/>
      <c r="X160" s="46"/>
      <c r="Y160" s="46"/>
      <c r="Z160" s="46"/>
      <c r="AA160" s="46"/>
    </row>
    <row r="161">
      <c r="A161" s="4"/>
      <c r="B161" s="46"/>
      <c r="C161" s="46"/>
      <c r="D161" s="46"/>
      <c r="E161" s="18"/>
      <c r="F161" s="18"/>
      <c r="G161" s="46"/>
      <c r="H161" s="46"/>
      <c r="I161" s="46"/>
      <c r="J161" s="46"/>
      <c r="K161" s="46"/>
      <c r="L161" s="46"/>
      <c r="M161" s="46"/>
      <c r="N161" s="46"/>
      <c r="O161" s="46"/>
      <c r="P161" s="46"/>
      <c r="Q161" s="46"/>
      <c r="R161" s="46"/>
      <c r="S161" s="46"/>
      <c r="T161" s="46"/>
      <c r="U161" s="46"/>
      <c r="V161" s="46"/>
      <c r="W161" s="46"/>
      <c r="X161" s="46"/>
      <c r="Y161" s="46"/>
      <c r="Z161" s="46"/>
      <c r="AA161" s="46"/>
    </row>
    <row r="162">
      <c r="A162" s="4"/>
      <c r="B162" s="46"/>
      <c r="C162" s="46"/>
      <c r="D162" s="46"/>
      <c r="E162" s="18"/>
      <c r="F162" s="18"/>
      <c r="G162" s="46"/>
      <c r="H162" s="46"/>
      <c r="I162" s="46"/>
      <c r="J162" s="46"/>
      <c r="K162" s="46"/>
      <c r="L162" s="46"/>
      <c r="M162" s="46"/>
      <c r="N162" s="46"/>
      <c r="O162" s="46"/>
      <c r="P162" s="46"/>
      <c r="Q162" s="46"/>
      <c r="R162" s="46"/>
      <c r="S162" s="46"/>
      <c r="T162" s="46"/>
      <c r="U162" s="46"/>
      <c r="V162" s="46"/>
      <c r="W162" s="46"/>
      <c r="X162" s="46"/>
      <c r="Y162" s="46"/>
      <c r="Z162" s="46"/>
      <c r="AA162" s="46"/>
    </row>
    <row r="163">
      <c r="A163" s="4"/>
      <c r="B163" s="46"/>
      <c r="C163" s="46"/>
      <c r="D163" s="46"/>
      <c r="E163" s="18"/>
      <c r="F163" s="18"/>
      <c r="G163" s="46"/>
      <c r="H163" s="46"/>
      <c r="I163" s="46"/>
      <c r="J163" s="46"/>
      <c r="K163" s="46"/>
      <c r="L163" s="46"/>
      <c r="M163" s="46"/>
      <c r="N163" s="46"/>
      <c r="O163" s="46"/>
      <c r="P163" s="46"/>
      <c r="Q163" s="46"/>
      <c r="R163" s="46"/>
      <c r="S163" s="46"/>
      <c r="T163" s="46"/>
      <c r="U163" s="46"/>
      <c r="V163" s="46"/>
      <c r="W163" s="46"/>
      <c r="X163" s="46"/>
      <c r="Y163" s="46"/>
      <c r="Z163" s="46"/>
      <c r="AA163" s="46"/>
    </row>
    <row r="164">
      <c r="A164" s="4"/>
      <c r="B164" s="46"/>
      <c r="C164" s="46"/>
      <c r="D164" s="46"/>
      <c r="E164" s="18"/>
      <c r="F164" s="18"/>
      <c r="G164" s="46"/>
      <c r="H164" s="46"/>
      <c r="I164" s="46"/>
      <c r="J164" s="46"/>
      <c r="K164" s="46"/>
      <c r="L164" s="46"/>
      <c r="M164" s="46"/>
      <c r="N164" s="46"/>
      <c r="O164" s="46"/>
      <c r="P164" s="46"/>
      <c r="Q164" s="46"/>
      <c r="R164" s="46"/>
      <c r="S164" s="46"/>
      <c r="T164" s="46"/>
      <c r="U164" s="46"/>
      <c r="V164" s="46"/>
      <c r="W164" s="46"/>
      <c r="X164" s="46"/>
      <c r="Y164" s="46"/>
      <c r="Z164" s="46"/>
      <c r="AA164" s="46"/>
    </row>
    <row r="165">
      <c r="A165" s="4"/>
      <c r="B165" s="46"/>
      <c r="C165" s="46"/>
      <c r="D165" s="46"/>
      <c r="E165" s="18"/>
      <c r="F165" s="18"/>
      <c r="G165" s="46"/>
      <c r="H165" s="46"/>
      <c r="I165" s="46"/>
      <c r="J165" s="46"/>
      <c r="K165" s="46"/>
      <c r="L165" s="46"/>
      <c r="M165" s="46"/>
      <c r="N165" s="46"/>
      <c r="O165" s="46"/>
      <c r="P165" s="46"/>
      <c r="Q165" s="46"/>
      <c r="R165" s="46"/>
      <c r="S165" s="46"/>
      <c r="T165" s="46"/>
      <c r="U165" s="46"/>
      <c r="V165" s="46"/>
      <c r="W165" s="46"/>
      <c r="X165" s="46"/>
      <c r="Y165" s="46"/>
      <c r="Z165" s="46"/>
      <c r="AA165" s="46"/>
    </row>
    <row r="166">
      <c r="A166" s="4"/>
      <c r="B166" s="46"/>
      <c r="C166" s="46"/>
      <c r="D166" s="46"/>
      <c r="E166" s="18"/>
      <c r="F166" s="18"/>
      <c r="G166" s="46"/>
      <c r="H166" s="46"/>
      <c r="I166" s="46"/>
      <c r="J166" s="46"/>
      <c r="K166" s="46"/>
      <c r="L166" s="46"/>
      <c r="M166" s="46"/>
      <c r="N166" s="46"/>
      <c r="O166" s="46"/>
      <c r="P166" s="46"/>
      <c r="Q166" s="46"/>
      <c r="R166" s="46"/>
      <c r="S166" s="46"/>
      <c r="T166" s="46"/>
      <c r="U166" s="46"/>
      <c r="V166" s="46"/>
      <c r="W166" s="46"/>
      <c r="X166" s="46"/>
      <c r="Y166" s="46"/>
      <c r="Z166" s="46"/>
      <c r="AA166" s="46"/>
    </row>
    <row r="167">
      <c r="A167" s="4"/>
      <c r="B167" s="46"/>
      <c r="C167" s="46"/>
      <c r="D167" s="46"/>
      <c r="E167" s="18"/>
      <c r="F167" s="18"/>
      <c r="G167" s="46"/>
      <c r="H167" s="46"/>
      <c r="I167" s="46"/>
      <c r="J167" s="46"/>
      <c r="K167" s="46"/>
      <c r="L167" s="46"/>
      <c r="M167" s="46"/>
      <c r="N167" s="46"/>
      <c r="O167" s="46"/>
      <c r="P167" s="46"/>
      <c r="Q167" s="46"/>
      <c r="R167" s="46"/>
      <c r="S167" s="46"/>
      <c r="T167" s="46"/>
      <c r="U167" s="46"/>
      <c r="V167" s="46"/>
      <c r="W167" s="46"/>
      <c r="X167" s="46"/>
      <c r="Y167" s="46"/>
      <c r="Z167" s="46"/>
      <c r="AA167" s="46"/>
    </row>
    <row r="168">
      <c r="A168" s="4"/>
      <c r="B168" s="46"/>
      <c r="C168" s="46"/>
      <c r="D168" s="46"/>
      <c r="E168" s="18"/>
      <c r="F168" s="18"/>
      <c r="G168" s="46"/>
      <c r="H168" s="46"/>
      <c r="I168" s="46"/>
      <c r="J168" s="46"/>
      <c r="K168" s="46"/>
      <c r="L168" s="46"/>
      <c r="M168" s="46"/>
      <c r="N168" s="46"/>
      <c r="O168" s="46"/>
      <c r="P168" s="46"/>
      <c r="Q168" s="46"/>
      <c r="R168" s="46"/>
      <c r="S168" s="46"/>
      <c r="T168" s="46"/>
      <c r="U168" s="46"/>
      <c r="V168" s="46"/>
      <c r="W168" s="46"/>
      <c r="X168" s="46"/>
      <c r="Y168" s="46"/>
      <c r="Z168" s="46"/>
      <c r="AA168" s="46"/>
    </row>
    <row r="169">
      <c r="A169" s="4"/>
      <c r="B169" s="46"/>
      <c r="C169" s="46"/>
      <c r="D169" s="46"/>
      <c r="E169" s="18"/>
      <c r="F169" s="18"/>
      <c r="G169" s="46"/>
      <c r="H169" s="46"/>
      <c r="I169" s="46"/>
      <c r="J169" s="46"/>
      <c r="K169" s="46"/>
      <c r="L169" s="46"/>
      <c r="M169" s="46"/>
      <c r="N169" s="46"/>
      <c r="O169" s="46"/>
      <c r="P169" s="46"/>
      <c r="Q169" s="46"/>
      <c r="R169" s="46"/>
      <c r="S169" s="46"/>
      <c r="T169" s="46"/>
      <c r="U169" s="46"/>
      <c r="V169" s="46"/>
      <c r="W169" s="46"/>
      <c r="X169" s="46"/>
      <c r="Y169" s="46"/>
      <c r="Z169" s="46"/>
      <c r="AA169" s="46"/>
    </row>
    <row r="170">
      <c r="A170" s="4"/>
      <c r="B170" s="46"/>
      <c r="C170" s="46"/>
      <c r="D170" s="46"/>
      <c r="E170" s="18"/>
      <c r="F170" s="18"/>
      <c r="G170" s="46"/>
      <c r="H170" s="46"/>
      <c r="I170" s="46"/>
      <c r="J170" s="46"/>
      <c r="K170" s="46"/>
      <c r="L170" s="46"/>
      <c r="M170" s="46"/>
      <c r="N170" s="46"/>
      <c r="O170" s="46"/>
      <c r="P170" s="46"/>
      <c r="Q170" s="46"/>
      <c r="R170" s="46"/>
      <c r="S170" s="46"/>
      <c r="T170" s="46"/>
      <c r="U170" s="46"/>
      <c r="V170" s="46"/>
      <c r="W170" s="46"/>
      <c r="X170" s="46"/>
      <c r="Y170" s="46"/>
      <c r="Z170" s="46"/>
      <c r="AA170" s="46"/>
    </row>
    <row r="171">
      <c r="A171" s="4"/>
      <c r="B171" s="46"/>
      <c r="C171" s="46"/>
      <c r="D171" s="46"/>
      <c r="E171" s="18"/>
      <c r="F171" s="18"/>
      <c r="G171" s="46"/>
      <c r="H171" s="46"/>
      <c r="I171" s="46"/>
      <c r="J171" s="46"/>
      <c r="K171" s="46"/>
      <c r="L171" s="46"/>
      <c r="M171" s="46"/>
      <c r="N171" s="46"/>
      <c r="O171" s="46"/>
      <c r="P171" s="46"/>
      <c r="Q171" s="46"/>
      <c r="R171" s="46"/>
      <c r="S171" s="46"/>
      <c r="T171" s="46"/>
      <c r="U171" s="46"/>
      <c r="V171" s="46"/>
      <c r="W171" s="46"/>
      <c r="X171" s="46"/>
      <c r="Y171" s="46"/>
      <c r="Z171" s="46"/>
      <c r="AA171" s="46"/>
    </row>
    <row r="172">
      <c r="A172" s="4"/>
      <c r="B172" s="46"/>
      <c r="C172" s="46"/>
      <c r="D172" s="46"/>
      <c r="E172" s="18"/>
      <c r="F172" s="18"/>
      <c r="G172" s="46"/>
      <c r="H172" s="46"/>
      <c r="I172" s="46"/>
      <c r="J172" s="46"/>
      <c r="K172" s="46"/>
      <c r="L172" s="46"/>
      <c r="M172" s="46"/>
      <c r="N172" s="46"/>
      <c r="O172" s="46"/>
      <c r="P172" s="46"/>
      <c r="Q172" s="46"/>
      <c r="R172" s="46"/>
      <c r="S172" s="46"/>
      <c r="T172" s="46"/>
      <c r="U172" s="46"/>
      <c r="V172" s="46"/>
      <c r="W172" s="46"/>
      <c r="X172" s="46"/>
      <c r="Y172" s="46"/>
      <c r="Z172" s="46"/>
      <c r="AA172" s="46"/>
    </row>
    <row r="173">
      <c r="A173" s="4"/>
      <c r="B173" s="46"/>
      <c r="C173" s="46"/>
      <c r="D173" s="46"/>
      <c r="E173" s="18"/>
      <c r="F173" s="18"/>
      <c r="G173" s="46"/>
      <c r="H173" s="46"/>
      <c r="I173" s="46"/>
      <c r="J173" s="46"/>
      <c r="K173" s="46"/>
      <c r="L173" s="46"/>
      <c r="M173" s="46"/>
      <c r="N173" s="46"/>
      <c r="O173" s="46"/>
      <c r="P173" s="46"/>
      <c r="Q173" s="46"/>
      <c r="R173" s="46"/>
      <c r="S173" s="46"/>
      <c r="T173" s="46"/>
      <c r="U173" s="46"/>
      <c r="V173" s="46"/>
      <c r="W173" s="46"/>
      <c r="X173" s="46"/>
      <c r="Y173" s="46"/>
      <c r="Z173" s="46"/>
      <c r="AA173" s="46"/>
    </row>
    <row r="174">
      <c r="A174" s="4"/>
      <c r="B174" s="46"/>
      <c r="C174" s="46"/>
      <c r="D174" s="46"/>
      <c r="E174" s="18"/>
      <c r="F174" s="18"/>
      <c r="G174" s="46"/>
      <c r="H174" s="46"/>
      <c r="I174" s="46"/>
      <c r="J174" s="46"/>
      <c r="K174" s="46"/>
      <c r="L174" s="46"/>
      <c r="M174" s="46"/>
      <c r="N174" s="46"/>
      <c r="O174" s="46"/>
      <c r="P174" s="46"/>
      <c r="Q174" s="46"/>
      <c r="R174" s="46"/>
      <c r="S174" s="46"/>
      <c r="T174" s="46"/>
      <c r="U174" s="46"/>
      <c r="V174" s="46"/>
      <c r="W174" s="46"/>
      <c r="X174" s="46"/>
      <c r="Y174" s="46"/>
      <c r="Z174" s="46"/>
      <c r="AA174" s="46"/>
    </row>
    <row r="175">
      <c r="A175" s="4"/>
      <c r="B175" s="46"/>
      <c r="C175" s="46"/>
      <c r="D175" s="46"/>
      <c r="E175" s="18"/>
      <c r="F175" s="18"/>
      <c r="G175" s="46"/>
      <c r="H175" s="46"/>
      <c r="I175" s="46"/>
      <c r="J175" s="46"/>
      <c r="K175" s="46"/>
      <c r="L175" s="46"/>
      <c r="M175" s="46"/>
      <c r="N175" s="46"/>
      <c r="O175" s="46"/>
      <c r="P175" s="46"/>
      <c r="Q175" s="46"/>
      <c r="R175" s="46"/>
      <c r="S175" s="46"/>
      <c r="T175" s="46"/>
      <c r="U175" s="46"/>
      <c r="V175" s="46"/>
      <c r="W175" s="46"/>
      <c r="X175" s="46"/>
      <c r="Y175" s="46"/>
      <c r="Z175" s="46"/>
      <c r="AA175" s="46"/>
    </row>
    <row r="176">
      <c r="A176" s="4"/>
      <c r="B176" s="46"/>
      <c r="C176" s="46"/>
      <c r="D176" s="46"/>
      <c r="E176" s="18"/>
      <c r="F176" s="18"/>
      <c r="G176" s="46"/>
      <c r="H176" s="46"/>
      <c r="I176" s="46"/>
      <c r="J176" s="46"/>
      <c r="K176" s="46"/>
      <c r="L176" s="46"/>
      <c r="M176" s="46"/>
      <c r="N176" s="46"/>
      <c r="O176" s="46"/>
      <c r="P176" s="46"/>
      <c r="Q176" s="46"/>
      <c r="R176" s="46"/>
      <c r="S176" s="46"/>
      <c r="T176" s="46"/>
      <c r="U176" s="46"/>
      <c r="V176" s="46"/>
      <c r="W176" s="46"/>
      <c r="X176" s="46"/>
      <c r="Y176" s="46"/>
      <c r="Z176" s="46"/>
      <c r="AA176" s="46"/>
    </row>
    <row r="177">
      <c r="A177" s="4"/>
      <c r="B177" s="46"/>
      <c r="C177" s="46"/>
      <c r="D177" s="46"/>
      <c r="E177" s="18"/>
      <c r="F177" s="18"/>
      <c r="G177" s="46"/>
      <c r="H177" s="46"/>
      <c r="I177" s="46"/>
      <c r="J177" s="46"/>
      <c r="K177" s="46"/>
      <c r="L177" s="46"/>
      <c r="M177" s="46"/>
      <c r="N177" s="46"/>
      <c r="O177" s="46"/>
      <c r="P177" s="46"/>
      <c r="Q177" s="46"/>
      <c r="R177" s="46"/>
      <c r="S177" s="46"/>
      <c r="T177" s="46"/>
      <c r="U177" s="46"/>
      <c r="V177" s="46"/>
      <c r="W177" s="46"/>
      <c r="X177" s="46"/>
      <c r="Y177" s="46"/>
      <c r="Z177" s="46"/>
      <c r="AA177" s="46"/>
    </row>
    <row r="178">
      <c r="A178" s="4"/>
      <c r="B178" s="46"/>
      <c r="C178" s="46"/>
      <c r="D178" s="46"/>
      <c r="E178" s="18"/>
      <c r="F178" s="18"/>
      <c r="G178" s="46"/>
      <c r="H178" s="46"/>
      <c r="I178" s="46"/>
      <c r="J178" s="46"/>
      <c r="K178" s="46"/>
      <c r="L178" s="46"/>
      <c r="M178" s="46"/>
      <c r="N178" s="46"/>
      <c r="O178" s="46"/>
      <c r="P178" s="46"/>
      <c r="Q178" s="46"/>
      <c r="R178" s="46"/>
      <c r="S178" s="46"/>
      <c r="T178" s="46"/>
      <c r="U178" s="46"/>
      <c r="V178" s="46"/>
      <c r="W178" s="46"/>
      <c r="X178" s="46"/>
      <c r="Y178" s="46"/>
      <c r="Z178" s="46"/>
      <c r="AA178" s="46"/>
    </row>
    <row r="179">
      <c r="A179" s="4"/>
      <c r="B179" s="46"/>
      <c r="C179" s="46"/>
      <c r="D179" s="46"/>
      <c r="E179" s="18"/>
      <c r="F179" s="18"/>
      <c r="G179" s="46"/>
      <c r="H179" s="46"/>
      <c r="I179" s="46"/>
      <c r="J179" s="46"/>
      <c r="K179" s="46"/>
      <c r="L179" s="46"/>
      <c r="M179" s="46"/>
      <c r="N179" s="46"/>
      <c r="O179" s="46"/>
      <c r="P179" s="46"/>
      <c r="Q179" s="46"/>
      <c r="R179" s="46"/>
      <c r="S179" s="46"/>
      <c r="T179" s="46"/>
      <c r="U179" s="46"/>
      <c r="V179" s="46"/>
      <c r="W179" s="46"/>
      <c r="X179" s="46"/>
      <c r="Y179" s="46"/>
      <c r="Z179" s="46"/>
      <c r="AA179" s="46"/>
    </row>
    <row r="180">
      <c r="A180" s="4"/>
      <c r="B180" s="46"/>
      <c r="C180" s="46"/>
      <c r="D180" s="46"/>
      <c r="E180" s="18"/>
      <c r="F180" s="18"/>
      <c r="G180" s="46"/>
      <c r="H180" s="46"/>
      <c r="I180" s="46"/>
      <c r="J180" s="46"/>
      <c r="K180" s="46"/>
      <c r="L180" s="46"/>
      <c r="M180" s="46"/>
      <c r="N180" s="46"/>
      <c r="O180" s="46"/>
      <c r="P180" s="46"/>
      <c r="Q180" s="46"/>
      <c r="R180" s="46"/>
      <c r="S180" s="46"/>
      <c r="T180" s="46"/>
      <c r="U180" s="46"/>
      <c r="V180" s="46"/>
      <c r="W180" s="46"/>
      <c r="X180" s="46"/>
      <c r="Y180" s="46"/>
      <c r="Z180" s="46"/>
      <c r="AA180" s="46"/>
    </row>
    <row r="181">
      <c r="A181" s="4"/>
      <c r="B181" s="46"/>
      <c r="C181" s="46"/>
      <c r="D181" s="46"/>
      <c r="E181" s="18"/>
      <c r="F181" s="18"/>
      <c r="G181" s="46"/>
      <c r="H181" s="46"/>
      <c r="I181" s="46"/>
      <c r="J181" s="46"/>
      <c r="K181" s="46"/>
      <c r="L181" s="46"/>
      <c r="M181" s="46"/>
      <c r="N181" s="46"/>
      <c r="O181" s="46"/>
      <c r="P181" s="46"/>
      <c r="Q181" s="46"/>
      <c r="R181" s="46"/>
      <c r="S181" s="46"/>
      <c r="T181" s="46"/>
      <c r="U181" s="46"/>
      <c r="V181" s="46"/>
      <c r="W181" s="46"/>
      <c r="X181" s="46"/>
      <c r="Y181" s="46"/>
      <c r="Z181" s="46"/>
      <c r="AA181" s="46"/>
    </row>
    <row r="182">
      <c r="A182" s="4"/>
      <c r="B182" s="46"/>
      <c r="C182" s="46"/>
      <c r="D182" s="46"/>
      <c r="E182" s="18"/>
      <c r="F182" s="18"/>
      <c r="G182" s="46"/>
      <c r="H182" s="46"/>
      <c r="I182" s="46"/>
      <c r="J182" s="46"/>
      <c r="K182" s="46"/>
      <c r="L182" s="46"/>
      <c r="M182" s="46"/>
      <c r="N182" s="46"/>
      <c r="O182" s="46"/>
      <c r="P182" s="46"/>
      <c r="Q182" s="46"/>
      <c r="R182" s="46"/>
      <c r="S182" s="46"/>
      <c r="T182" s="46"/>
      <c r="U182" s="46"/>
      <c r="V182" s="46"/>
      <c r="W182" s="46"/>
      <c r="X182" s="46"/>
      <c r="Y182" s="46"/>
      <c r="Z182" s="46"/>
      <c r="AA182" s="46"/>
    </row>
    <row r="183">
      <c r="A183" s="4"/>
      <c r="B183" s="46"/>
      <c r="C183" s="46"/>
      <c r="D183" s="46"/>
      <c r="E183" s="18"/>
      <c r="F183" s="18"/>
      <c r="G183" s="46"/>
      <c r="H183" s="46"/>
      <c r="I183" s="46"/>
      <c r="J183" s="46"/>
      <c r="K183" s="46"/>
      <c r="L183" s="46"/>
      <c r="M183" s="46"/>
      <c r="N183" s="46"/>
      <c r="O183" s="46"/>
      <c r="P183" s="46"/>
      <c r="Q183" s="46"/>
      <c r="R183" s="46"/>
      <c r="S183" s="46"/>
      <c r="T183" s="46"/>
      <c r="U183" s="46"/>
      <c r="V183" s="46"/>
      <c r="W183" s="46"/>
      <c r="X183" s="46"/>
      <c r="Y183" s="46"/>
      <c r="Z183" s="46"/>
      <c r="AA183" s="46"/>
    </row>
    <row r="184">
      <c r="A184" s="4"/>
      <c r="B184" s="46"/>
      <c r="C184" s="46"/>
      <c r="D184" s="46"/>
      <c r="E184" s="18"/>
      <c r="F184" s="18"/>
      <c r="G184" s="46"/>
      <c r="H184" s="46"/>
      <c r="I184" s="46"/>
      <c r="J184" s="46"/>
      <c r="K184" s="46"/>
      <c r="L184" s="46"/>
      <c r="M184" s="46"/>
      <c r="N184" s="46"/>
      <c r="O184" s="46"/>
      <c r="P184" s="46"/>
      <c r="Q184" s="46"/>
      <c r="R184" s="46"/>
      <c r="S184" s="46"/>
      <c r="T184" s="46"/>
      <c r="U184" s="46"/>
      <c r="V184" s="46"/>
      <c r="W184" s="46"/>
      <c r="X184" s="46"/>
      <c r="Y184" s="46"/>
      <c r="Z184" s="46"/>
      <c r="AA184" s="46"/>
    </row>
    <row r="185">
      <c r="A185" s="4"/>
      <c r="B185" s="46"/>
      <c r="C185" s="46"/>
      <c r="D185" s="46"/>
      <c r="E185" s="18"/>
      <c r="F185" s="18"/>
      <c r="G185" s="46"/>
      <c r="H185" s="46"/>
      <c r="I185" s="46"/>
      <c r="J185" s="46"/>
      <c r="K185" s="46"/>
      <c r="L185" s="46"/>
      <c r="M185" s="46"/>
      <c r="N185" s="46"/>
      <c r="O185" s="46"/>
      <c r="P185" s="46"/>
      <c r="Q185" s="46"/>
      <c r="R185" s="46"/>
      <c r="S185" s="46"/>
      <c r="T185" s="46"/>
      <c r="U185" s="46"/>
      <c r="V185" s="46"/>
      <c r="W185" s="46"/>
      <c r="X185" s="46"/>
      <c r="Y185" s="46"/>
      <c r="Z185" s="46"/>
      <c r="AA185" s="46"/>
    </row>
    <row r="186">
      <c r="A186" s="4"/>
      <c r="B186" s="46"/>
      <c r="C186" s="46"/>
      <c r="D186" s="46"/>
      <c r="E186" s="18"/>
      <c r="F186" s="18"/>
      <c r="G186" s="46"/>
      <c r="H186" s="46"/>
      <c r="I186" s="46"/>
      <c r="J186" s="46"/>
      <c r="K186" s="46"/>
      <c r="L186" s="46"/>
      <c r="M186" s="46"/>
      <c r="N186" s="46"/>
      <c r="O186" s="46"/>
      <c r="P186" s="46"/>
      <c r="Q186" s="46"/>
      <c r="R186" s="46"/>
      <c r="S186" s="46"/>
      <c r="T186" s="46"/>
      <c r="U186" s="46"/>
      <c r="V186" s="46"/>
      <c r="W186" s="46"/>
      <c r="X186" s="46"/>
      <c r="Y186" s="46"/>
      <c r="Z186" s="46"/>
      <c r="AA186" s="46"/>
    </row>
    <row r="187">
      <c r="A187" s="4"/>
      <c r="B187" s="46"/>
      <c r="C187" s="46"/>
      <c r="D187" s="46"/>
      <c r="E187" s="18"/>
      <c r="F187" s="18"/>
      <c r="G187" s="46"/>
      <c r="H187" s="46"/>
      <c r="I187" s="46"/>
      <c r="J187" s="46"/>
      <c r="K187" s="46"/>
      <c r="L187" s="46"/>
      <c r="M187" s="46"/>
      <c r="N187" s="46"/>
      <c r="O187" s="46"/>
      <c r="P187" s="46"/>
      <c r="Q187" s="46"/>
      <c r="R187" s="46"/>
      <c r="S187" s="46"/>
      <c r="T187" s="46"/>
      <c r="U187" s="46"/>
      <c r="V187" s="46"/>
      <c r="W187" s="46"/>
      <c r="X187" s="46"/>
      <c r="Y187" s="46"/>
      <c r="Z187" s="46"/>
      <c r="AA187" s="46"/>
    </row>
    <row r="188">
      <c r="A188" s="4"/>
      <c r="B188" s="46"/>
      <c r="C188" s="46"/>
      <c r="D188" s="46"/>
      <c r="E188" s="18"/>
      <c r="F188" s="18"/>
      <c r="G188" s="46"/>
      <c r="H188" s="46"/>
      <c r="I188" s="46"/>
      <c r="J188" s="46"/>
      <c r="K188" s="46"/>
      <c r="L188" s="46"/>
      <c r="M188" s="46"/>
      <c r="N188" s="46"/>
      <c r="O188" s="46"/>
      <c r="P188" s="46"/>
      <c r="Q188" s="46"/>
      <c r="R188" s="46"/>
      <c r="S188" s="46"/>
      <c r="T188" s="46"/>
      <c r="U188" s="46"/>
      <c r="V188" s="46"/>
      <c r="W188" s="46"/>
      <c r="X188" s="46"/>
      <c r="Y188" s="46"/>
      <c r="Z188" s="46"/>
      <c r="AA188" s="46"/>
    </row>
    <row r="189">
      <c r="A189" s="4"/>
      <c r="B189" s="46"/>
      <c r="C189" s="46"/>
      <c r="D189" s="46"/>
      <c r="E189" s="18"/>
      <c r="F189" s="18"/>
      <c r="G189" s="46"/>
      <c r="H189" s="46"/>
      <c r="I189" s="46"/>
      <c r="J189" s="46"/>
      <c r="K189" s="46"/>
      <c r="L189" s="46"/>
      <c r="M189" s="46"/>
      <c r="N189" s="46"/>
      <c r="O189" s="46"/>
      <c r="P189" s="46"/>
      <c r="Q189" s="46"/>
      <c r="R189" s="46"/>
      <c r="S189" s="46"/>
      <c r="T189" s="46"/>
      <c r="U189" s="46"/>
      <c r="V189" s="46"/>
      <c r="W189" s="46"/>
      <c r="X189" s="46"/>
      <c r="Y189" s="46"/>
      <c r="Z189" s="46"/>
      <c r="AA189" s="46"/>
    </row>
    <row r="190">
      <c r="A190" s="4"/>
      <c r="B190" s="46"/>
      <c r="C190" s="46"/>
      <c r="D190" s="46"/>
      <c r="E190" s="18"/>
      <c r="F190" s="18"/>
      <c r="G190" s="46"/>
      <c r="H190" s="46"/>
      <c r="I190" s="46"/>
      <c r="J190" s="46"/>
      <c r="K190" s="46"/>
      <c r="L190" s="46"/>
      <c r="M190" s="46"/>
      <c r="N190" s="46"/>
      <c r="O190" s="46"/>
      <c r="P190" s="46"/>
      <c r="Q190" s="46"/>
      <c r="R190" s="46"/>
      <c r="S190" s="46"/>
      <c r="T190" s="46"/>
      <c r="U190" s="46"/>
      <c r="V190" s="46"/>
      <c r="W190" s="46"/>
      <c r="X190" s="46"/>
      <c r="Y190" s="46"/>
      <c r="Z190" s="46"/>
      <c r="AA190" s="46"/>
    </row>
    <row r="191">
      <c r="A191" s="4"/>
      <c r="B191" s="46"/>
      <c r="C191" s="46"/>
      <c r="D191" s="46"/>
      <c r="E191" s="18"/>
      <c r="F191" s="18"/>
      <c r="G191" s="46"/>
      <c r="H191" s="46"/>
      <c r="I191" s="46"/>
      <c r="J191" s="46"/>
      <c r="K191" s="46"/>
      <c r="L191" s="46"/>
      <c r="M191" s="46"/>
      <c r="N191" s="46"/>
      <c r="O191" s="46"/>
      <c r="P191" s="46"/>
      <c r="Q191" s="46"/>
      <c r="R191" s="46"/>
      <c r="S191" s="46"/>
      <c r="T191" s="46"/>
      <c r="U191" s="46"/>
      <c r="V191" s="46"/>
      <c r="W191" s="46"/>
      <c r="X191" s="46"/>
      <c r="Y191" s="46"/>
      <c r="Z191" s="46"/>
      <c r="AA191" s="46"/>
    </row>
    <row r="192">
      <c r="A192" s="4"/>
      <c r="B192" s="46"/>
      <c r="C192" s="46"/>
      <c r="D192" s="46"/>
      <c r="E192" s="18"/>
      <c r="F192" s="18"/>
      <c r="G192" s="46"/>
      <c r="H192" s="46"/>
      <c r="I192" s="46"/>
      <c r="J192" s="46"/>
      <c r="K192" s="46"/>
      <c r="L192" s="46"/>
      <c r="M192" s="46"/>
      <c r="N192" s="46"/>
      <c r="O192" s="46"/>
      <c r="P192" s="46"/>
      <c r="Q192" s="46"/>
      <c r="R192" s="46"/>
      <c r="S192" s="46"/>
      <c r="T192" s="46"/>
      <c r="U192" s="46"/>
      <c r="V192" s="46"/>
      <c r="W192" s="46"/>
      <c r="X192" s="46"/>
      <c r="Y192" s="46"/>
      <c r="Z192" s="46"/>
      <c r="AA192" s="46"/>
    </row>
    <row r="193">
      <c r="A193" s="4"/>
      <c r="B193" s="46"/>
      <c r="C193" s="46"/>
      <c r="D193" s="46"/>
      <c r="E193" s="18"/>
      <c r="F193" s="18"/>
      <c r="G193" s="46"/>
      <c r="H193" s="46"/>
      <c r="I193" s="46"/>
      <c r="J193" s="46"/>
      <c r="K193" s="46"/>
      <c r="L193" s="46"/>
      <c r="M193" s="46"/>
      <c r="N193" s="46"/>
      <c r="O193" s="46"/>
      <c r="P193" s="46"/>
      <c r="Q193" s="46"/>
      <c r="R193" s="46"/>
      <c r="S193" s="46"/>
      <c r="T193" s="46"/>
      <c r="U193" s="46"/>
      <c r="V193" s="46"/>
      <c r="W193" s="46"/>
      <c r="X193" s="46"/>
      <c r="Y193" s="46"/>
      <c r="Z193" s="46"/>
      <c r="AA193" s="46"/>
    </row>
    <row r="194">
      <c r="A194" s="4"/>
      <c r="B194" s="46"/>
      <c r="C194" s="46"/>
      <c r="D194" s="46"/>
      <c r="E194" s="18"/>
      <c r="F194" s="18"/>
      <c r="G194" s="46"/>
      <c r="H194" s="46"/>
      <c r="I194" s="46"/>
      <c r="J194" s="46"/>
      <c r="K194" s="46"/>
      <c r="L194" s="46"/>
      <c r="M194" s="46"/>
      <c r="N194" s="46"/>
      <c r="O194" s="46"/>
      <c r="P194" s="46"/>
      <c r="Q194" s="46"/>
      <c r="R194" s="46"/>
      <c r="S194" s="46"/>
      <c r="T194" s="46"/>
      <c r="U194" s="46"/>
      <c r="V194" s="46"/>
      <c r="W194" s="46"/>
      <c r="X194" s="46"/>
      <c r="Y194" s="46"/>
      <c r="Z194" s="46"/>
      <c r="AA194" s="46"/>
    </row>
    <row r="195">
      <c r="A195" s="4"/>
      <c r="B195" s="46"/>
      <c r="C195" s="46"/>
      <c r="D195" s="46"/>
      <c r="E195" s="18"/>
      <c r="F195" s="18"/>
      <c r="G195" s="46"/>
      <c r="H195" s="46"/>
      <c r="I195" s="46"/>
      <c r="J195" s="46"/>
      <c r="K195" s="46"/>
      <c r="L195" s="46"/>
      <c r="M195" s="46"/>
      <c r="N195" s="46"/>
      <c r="O195" s="46"/>
      <c r="P195" s="46"/>
      <c r="Q195" s="46"/>
      <c r="R195" s="46"/>
      <c r="S195" s="46"/>
      <c r="T195" s="46"/>
      <c r="U195" s="46"/>
      <c r="V195" s="46"/>
      <c r="W195" s="46"/>
      <c r="X195" s="46"/>
      <c r="Y195" s="46"/>
      <c r="Z195" s="46"/>
      <c r="AA195" s="46"/>
    </row>
    <row r="196">
      <c r="A196" s="4"/>
      <c r="B196" s="46"/>
      <c r="C196" s="46"/>
      <c r="D196" s="46"/>
      <c r="E196" s="18"/>
      <c r="F196" s="18"/>
      <c r="G196" s="46"/>
      <c r="H196" s="46"/>
      <c r="I196" s="46"/>
      <c r="J196" s="46"/>
      <c r="K196" s="46"/>
      <c r="L196" s="46"/>
      <c r="M196" s="46"/>
      <c r="N196" s="46"/>
      <c r="O196" s="46"/>
      <c r="P196" s="46"/>
      <c r="Q196" s="46"/>
      <c r="R196" s="46"/>
      <c r="S196" s="46"/>
      <c r="T196" s="46"/>
      <c r="U196" s="46"/>
      <c r="V196" s="46"/>
      <c r="W196" s="46"/>
      <c r="X196" s="46"/>
      <c r="Y196" s="46"/>
      <c r="Z196" s="46"/>
      <c r="AA196" s="46"/>
    </row>
    <row r="197">
      <c r="A197" s="4"/>
      <c r="B197" s="46"/>
      <c r="C197" s="46"/>
      <c r="D197" s="46"/>
      <c r="E197" s="18"/>
      <c r="F197" s="18"/>
      <c r="G197" s="46"/>
      <c r="H197" s="46"/>
      <c r="I197" s="46"/>
      <c r="J197" s="46"/>
      <c r="K197" s="46"/>
      <c r="L197" s="46"/>
      <c r="M197" s="46"/>
      <c r="N197" s="46"/>
      <c r="O197" s="46"/>
      <c r="P197" s="46"/>
      <c r="Q197" s="46"/>
      <c r="R197" s="46"/>
      <c r="S197" s="46"/>
      <c r="T197" s="46"/>
      <c r="U197" s="46"/>
      <c r="V197" s="46"/>
      <c r="W197" s="46"/>
      <c r="X197" s="46"/>
      <c r="Y197" s="46"/>
      <c r="Z197" s="46"/>
      <c r="AA197" s="46"/>
    </row>
    <row r="198">
      <c r="A198" s="4"/>
      <c r="B198" s="46"/>
      <c r="C198" s="46"/>
      <c r="D198" s="46"/>
      <c r="E198" s="18"/>
      <c r="F198" s="18"/>
      <c r="G198" s="46"/>
      <c r="H198" s="46"/>
      <c r="I198" s="46"/>
      <c r="J198" s="46"/>
      <c r="K198" s="46"/>
      <c r="L198" s="46"/>
      <c r="M198" s="46"/>
      <c r="N198" s="46"/>
      <c r="O198" s="46"/>
      <c r="P198" s="46"/>
      <c r="Q198" s="46"/>
      <c r="R198" s="46"/>
      <c r="S198" s="46"/>
      <c r="T198" s="46"/>
      <c r="U198" s="46"/>
      <c r="V198" s="46"/>
      <c r="W198" s="46"/>
      <c r="X198" s="46"/>
      <c r="Y198" s="46"/>
      <c r="Z198" s="46"/>
      <c r="AA198" s="46"/>
    </row>
    <row r="199">
      <c r="A199" s="4"/>
      <c r="B199" s="46"/>
      <c r="C199" s="46"/>
      <c r="D199" s="46"/>
      <c r="E199" s="18"/>
      <c r="F199" s="18"/>
      <c r="G199" s="46"/>
      <c r="H199" s="46"/>
      <c r="I199" s="46"/>
      <c r="J199" s="46"/>
      <c r="K199" s="46"/>
      <c r="L199" s="46"/>
      <c r="M199" s="46"/>
      <c r="N199" s="46"/>
      <c r="O199" s="46"/>
      <c r="P199" s="46"/>
      <c r="Q199" s="46"/>
      <c r="R199" s="46"/>
      <c r="S199" s="46"/>
      <c r="T199" s="46"/>
      <c r="U199" s="46"/>
      <c r="V199" s="46"/>
      <c r="W199" s="46"/>
      <c r="X199" s="46"/>
      <c r="Y199" s="46"/>
      <c r="Z199" s="46"/>
      <c r="AA199" s="46"/>
    </row>
    <row r="200">
      <c r="A200" s="4"/>
      <c r="B200" s="46"/>
      <c r="C200" s="46"/>
      <c r="D200" s="46"/>
      <c r="E200" s="18"/>
      <c r="F200" s="18"/>
      <c r="G200" s="46"/>
      <c r="H200" s="46"/>
      <c r="I200" s="46"/>
      <c r="J200" s="46"/>
      <c r="K200" s="46"/>
      <c r="L200" s="46"/>
      <c r="M200" s="46"/>
      <c r="N200" s="46"/>
      <c r="O200" s="46"/>
      <c r="P200" s="46"/>
      <c r="Q200" s="46"/>
      <c r="R200" s="46"/>
      <c r="S200" s="46"/>
      <c r="T200" s="46"/>
      <c r="U200" s="46"/>
      <c r="V200" s="46"/>
      <c r="W200" s="46"/>
      <c r="X200" s="46"/>
      <c r="Y200" s="46"/>
      <c r="Z200" s="46"/>
      <c r="AA200" s="46"/>
    </row>
    <row r="201">
      <c r="A201" s="4"/>
      <c r="B201" s="46"/>
      <c r="C201" s="46"/>
      <c r="D201" s="46"/>
      <c r="E201" s="18"/>
      <c r="F201" s="18"/>
      <c r="G201" s="46"/>
      <c r="H201" s="46"/>
      <c r="I201" s="46"/>
      <c r="J201" s="46"/>
      <c r="K201" s="46"/>
      <c r="L201" s="46"/>
      <c r="M201" s="46"/>
      <c r="N201" s="46"/>
      <c r="O201" s="46"/>
      <c r="P201" s="46"/>
      <c r="Q201" s="46"/>
      <c r="R201" s="46"/>
      <c r="S201" s="46"/>
      <c r="T201" s="46"/>
      <c r="U201" s="46"/>
      <c r="V201" s="46"/>
      <c r="W201" s="46"/>
      <c r="X201" s="46"/>
      <c r="Y201" s="46"/>
      <c r="Z201" s="46"/>
      <c r="AA201" s="46"/>
    </row>
    <row r="202">
      <c r="A202" s="4"/>
      <c r="B202" s="46"/>
      <c r="C202" s="46"/>
      <c r="D202" s="46"/>
      <c r="E202" s="18"/>
      <c r="F202" s="18"/>
      <c r="G202" s="46"/>
      <c r="H202" s="46"/>
      <c r="I202" s="46"/>
      <c r="J202" s="46"/>
      <c r="K202" s="46"/>
      <c r="L202" s="46"/>
      <c r="M202" s="46"/>
      <c r="N202" s="46"/>
      <c r="O202" s="46"/>
      <c r="P202" s="46"/>
      <c r="Q202" s="46"/>
      <c r="R202" s="46"/>
      <c r="S202" s="46"/>
      <c r="T202" s="46"/>
      <c r="U202" s="46"/>
      <c r="V202" s="46"/>
      <c r="W202" s="46"/>
      <c r="X202" s="46"/>
      <c r="Y202" s="46"/>
      <c r="Z202" s="46"/>
      <c r="AA202" s="46"/>
    </row>
    <row r="203">
      <c r="A203" s="4"/>
      <c r="B203" s="46"/>
      <c r="C203" s="46"/>
      <c r="D203" s="46"/>
      <c r="E203" s="18"/>
      <c r="F203" s="18"/>
      <c r="G203" s="46"/>
      <c r="H203" s="46"/>
      <c r="I203" s="46"/>
      <c r="J203" s="46"/>
      <c r="K203" s="46"/>
      <c r="L203" s="46"/>
      <c r="M203" s="46"/>
      <c r="N203" s="46"/>
      <c r="O203" s="46"/>
      <c r="P203" s="46"/>
      <c r="Q203" s="46"/>
      <c r="R203" s="46"/>
      <c r="S203" s="46"/>
      <c r="T203" s="46"/>
      <c r="U203" s="46"/>
      <c r="V203" s="46"/>
      <c r="W203" s="46"/>
      <c r="X203" s="46"/>
      <c r="Y203" s="46"/>
      <c r="Z203" s="46"/>
      <c r="AA203" s="46"/>
    </row>
    <row r="204">
      <c r="A204" s="4"/>
      <c r="B204" s="46"/>
      <c r="C204" s="46"/>
      <c r="D204" s="46"/>
      <c r="E204" s="18"/>
      <c r="F204" s="18"/>
      <c r="G204" s="46"/>
      <c r="H204" s="46"/>
      <c r="I204" s="46"/>
      <c r="J204" s="46"/>
      <c r="K204" s="46"/>
      <c r="L204" s="46"/>
      <c r="M204" s="46"/>
      <c r="N204" s="46"/>
      <c r="O204" s="46"/>
      <c r="P204" s="46"/>
      <c r="Q204" s="46"/>
      <c r="R204" s="46"/>
      <c r="S204" s="46"/>
      <c r="T204" s="46"/>
      <c r="U204" s="46"/>
      <c r="V204" s="46"/>
      <c r="W204" s="46"/>
      <c r="X204" s="46"/>
      <c r="Y204" s="46"/>
      <c r="Z204" s="46"/>
      <c r="AA204" s="46"/>
    </row>
    <row r="205">
      <c r="A205" s="4"/>
      <c r="B205" s="46"/>
      <c r="C205" s="46"/>
      <c r="D205" s="46"/>
      <c r="E205" s="18"/>
      <c r="F205" s="18"/>
      <c r="G205" s="46"/>
      <c r="H205" s="46"/>
      <c r="I205" s="46"/>
      <c r="J205" s="46"/>
      <c r="K205" s="46"/>
      <c r="L205" s="46"/>
      <c r="M205" s="46"/>
      <c r="N205" s="46"/>
      <c r="O205" s="46"/>
      <c r="P205" s="46"/>
      <c r="Q205" s="46"/>
      <c r="R205" s="46"/>
      <c r="S205" s="46"/>
      <c r="T205" s="46"/>
      <c r="U205" s="46"/>
      <c r="V205" s="46"/>
      <c r="W205" s="46"/>
      <c r="X205" s="46"/>
      <c r="Y205" s="46"/>
      <c r="Z205" s="46"/>
      <c r="AA205" s="46"/>
    </row>
    <row r="206">
      <c r="A206" s="4"/>
      <c r="B206" s="46"/>
      <c r="C206" s="46"/>
      <c r="D206" s="46"/>
      <c r="E206" s="18"/>
      <c r="F206" s="18"/>
      <c r="G206" s="46"/>
      <c r="H206" s="46"/>
      <c r="I206" s="46"/>
      <c r="J206" s="46"/>
      <c r="K206" s="46"/>
      <c r="L206" s="46"/>
      <c r="M206" s="46"/>
      <c r="N206" s="46"/>
      <c r="O206" s="46"/>
      <c r="P206" s="46"/>
      <c r="Q206" s="46"/>
      <c r="R206" s="46"/>
      <c r="S206" s="46"/>
      <c r="T206" s="46"/>
      <c r="U206" s="46"/>
      <c r="V206" s="46"/>
      <c r="W206" s="46"/>
      <c r="X206" s="46"/>
      <c r="Y206" s="46"/>
      <c r="Z206" s="46"/>
      <c r="AA206" s="46"/>
    </row>
    <row r="207">
      <c r="A207" s="4"/>
      <c r="B207" s="46"/>
      <c r="C207" s="46"/>
      <c r="D207" s="46"/>
      <c r="E207" s="18"/>
      <c r="F207" s="18"/>
      <c r="G207" s="46"/>
      <c r="H207" s="46"/>
      <c r="I207" s="46"/>
      <c r="J207" s="46"/>
      <c r="K207" s="46"/>
      <c r="L207" s="46"/>
      <c r="M207" s="46"/>
      <c r="N207" s="46"/>
      <c r="O207" s="46"/>
      <c r="P207" s="46"/>
      <c r="Q207" s="46"/>
      <c r="R207" s="46"/>
      <c r="S207" s="46"/>
      <c r="T207" s="46"/>
      <c r="U207" s="46"/>
      <c r="V207" s="46"/>
      <c r="W207" s="46"/>
      <c r="X207" s="46"/>
      <c r="Y207" s="46"/>
      <c r="Z207" s="46"/>
      <c r="AA207" s="46"/>
    </row>
    <row r="208">
      <c r="A208" s="4"/>
      <c r="B208" s="46"/>
      <c r="C208" s="46"/>
      <c r="D208" s="46"/>
      <c r="E208" s="18"/>
      <c r="F208" s="18"/>
      <c r="G208" s="46"/>
      <c r="H208" s="46"/>
      <c r="I208" s="46"/>
      <c r="J208" s="46"/>
      <c r="K208" s="46"/>
      <c r="L208" s="46"/>
      <c r="M208" s="46"/>
      <c r="N208" s="46"/>
      <c r="O208" s="46"/>
      <c r="P208" s="46"/>
      <c r="Q208" s="46"/>
      <c r="R208" s="46"/>
      <c r="S208" s="46"/>
      <c r="T208" s="46"/>
      <c r="U208" s="46"/>
      <c r="V208" s="46"/>
      <c r="W208" s="46"/>
      <c r="X208" s="46"/>
      <c r="Y208" s="46"/>
      <c r="Z208" s="46"/>
      <c r="AA208" s="46"/>
    </row>
    <row r="209">
      <c r="A209" s="4"/>
      <c r="B209" s="46"/>
      <c r="C209" s="46"/>
      <c r="D209" s="46"/>
      <c r="E209" s="18"/>
      <c r="F209" s="18"/>
      <c r="G209" s="46"/>
      <c r="H209" s="46"/>
      <c r="I209" s="46"/>
      <c r="J209" s="46"/>
      <c r="K209" s="46"/>
      <c r="L209" s="46"/>
      <c r="M209" s="46"/>
      <c r="N209" s="46"/>
      <c r="O209" s="46"/>
      <c r="P209" s="46"/>
      <c r="Q209" s="46"/>
      <c r="R209" s="46"/>
      <c r="S209" s="46"/>
      <c r="T209" s="46"/>
      <c r="U209" s="46"/>
      <c r="V209" s="46"/>
      <c r="W209" s="46"/>
      <c r="X209" s="46"/>
      <c r="Y209" s="46"/>
      <c r="Z209" s="46"/>
      <c r="AA209" s="46"/>
    </row>
    <row r="210">
      <c r="A210" s="4"/>
      <c r="B210" s="46"/>
      <c r="C210" s="46"/>
      <c r="D210" s="46"/>
      <c r="E210" s="18"/>
      <c r="F210" s="18"/>
      <c r="G210" s="46"/>
      <c r="H210" s="46"/>
      <c r="I210" s="46"/>
      <c r="J210" s="46"/>
      <c r="K210" s="46"/>
      <c r="L210" s="46"/>
      <c r="M210" s="46"/>
      <c r="N210" s="46"/>
      <c r="O210" s="46"/>
      <c r="P210" s="46"/>
      <c r="Q210" s="46"/>
      <c r="R210" s="46"/>
      <c r="S210" s="46"/>
      <c r="T210" s="46"/>
      <c r="U210" s="46"/>
      <c r="V210" s="46"/>
      <c r="W210" s="46"/>
      <c r="X210" s="46"/>
      <c r="Y210" s="46"/>
      <c r="Z210" s="46"/>
      <c r="AA210" s="46"/>
    </row>
    <row r="211">
      <c r="A211" s="4"/>
      <c r="B211" s="46"/>
      <c r="C211" s="46"/>
      <c r="D211" s="46"/>
      <c r="E211" s="18"/>
      <c r="F211" s="18"/>
      <c r="G211" s="46"/>
      <c r="H211" s="46"/>
      <c r="I211" s="46"/>
      <c r="J211" s="46"/>
      <c r="K211" s="46"/>
      <c r="L211" s="46"/>
      <c r="M211" s="46"/>
      <c r="N211" s="46"/>
      <c r="O211" s="46"/>
      <c r="P211" s="46"/>
      <c r="Q211" s="46"/>
      <c r="R211" s="46"/>
      <c r="S211" s="46"/>
      <c r="T211" s="46"/>
      <c r="U211" s="46"/>
      <c r="V211" s="46"/>
      <c r="W211" s="46"/>
      <c r="X211" s="46"/>
      <c r="Y211" s="46"/>
      <c r="Z211" s="46"/>
      <c r="AA211" s="46"/>
    </row>
    <row r="212">
      <c r="A212" s="4"/>
      <c r="B212" s="46"/>
      <c r="C212" s="46"/>
      <c r="D212" s="46"/>
      <c r="E212" s="18"/>
      <c r="F212" s="18"/>
      <c r="G212" s="46"/>
      <c r="H212" s="46"/>
      <c r="I212" s="46"/>
      <c r="J212" s="46"/>
      <c r="K212" s="46"/>
      <c r="L212" s="46"/>
      <c r="M212" s="46"/>
      <c r="N212" s="46"/>
      <c r="O212" s="46"/>
      <c r="P212" s="46"/>
      <c r="Q212" s="46"/>
      <c r="R212" s="46"/>
      <c r="S212" s="46"/>
      <c r="T212" s="46"/>
      <c r="U212" s="46"/>
      <c r="V212" s="46"/>
      <c r="W212" s="46"/>
      <c r="X212" s="46"/>
      <c r="Y212" s="46"/>
      <c r="Z212" s="46"/>
      <c r="AA212" s="46"/>
    </row>
    <row r="213">
      <c r="A213" s="4"/>
      <c r="B213" s="46"/>
      <c r="C213" s="46"/>
      <c r="D213" s="46"/>
      <c r="E213" s="18"/>
      <c r="F213" s="18"/>
      <c r="G213" s="46"/>
      <c r="H213" s="46"/>
      <c r="I213" s="46"/>
      <c r="J213" s="46"/>
      <c r="K213" s="46"/>
      <c r="L213" s="46"/>
      <c r="M213" s="46"/>
      <c r="N213" s="46"/>
      <c r="O213" s="46"/>
      <c r="P213" s="46"/>
      <c r="Q213" s="46"/>
      <c r="R213" s="46"/>
      <c r="S213" s="46"/>
      <c r="T213" s="46"/>
      <c r="U213" s="46"/>
      <c r="V213" s="46"/>
      <c r="W213" s="46"/>
      <c r="X213" s="46"/>
      <c r="Y213" s="46"/>
      <c r="Z213" s="46"/>
      <c r="AA213" s="46"/>
    </row>
    <row r="214">
      <c r="A214" s="4"/>
      <c r="B214" s="46"/>
      <c r="C214" s="46"/>
      <c r="D214" s="46"/>
      <c r="E214" s="18"/>
      <c r="F214" s="18"/>
      <c r="G214" s="46"/>
      <c r="H214" s="46"/>
      <c r="I214" s="46"/>
      <c r="J214" s="46"/>
      <c r="K214" s="46"/>
      <c r="L214" s="46"/>
      <c r="M214" s="46"/>
      <c r="N214" s="46"/>
      <c r="O214" s="46"/>
      <c r="P214" s="46"/>
      <c r="Q214" s="46"/>
      <c r="R214" s="46"/>
      <c r="S214" s="46"/>
      <c r="T214" s="46"/>
      <c r="U214" s="46"/>
      <c r="V214" s="46"/>
      <c r="W214" s="46"/>
      <c r="X214" s="46"/>
      <c r="Y214" s="46"/>
      <c r="Z214" s="46"/>
      <c r="AA214" s="46"/>
    </row>
    <row r="215">
      <c r="A215" s="4"/>
      <c r="B215" s="46"/>
      <c r="C215" s="46"/>
      <c r="D215" s="46"/>
      <c r="E215" s="18"/>
      <c r="F215" s="18"/>
      <c r="G215" s="46"/>
      <c r="H215" s="46"/>
      <c r="I215" s="46"/>
      <c r="J215" s="46"/>
      <c r="K215" s="46"/>
      <c r="L215" s="46"/>
      <c r="M215" s="46"/>
      <c r="N215" s="46"/>
      <c r="O215" s="46"/>
      <c r="P215" s="46"/>
      <c r="Q215" s="46"/>
      <c r="R215" s="46"/>
      <c r="S215" s="46"/>
      <c r="T215" s="46"/>
      <c r="U215" s="46"/>
      <c r="V215" s="46"/>
      <c r="W215" s="46"/>
      <c r="X215" s="46"/>
      <c r="Y215" s="46"/>
      <c r="Z215" s="46"/>
      <c r="AA215" s="46"/>
    </row>
    <row r="216">
      <c r="A216" s="4"/>
      <c r="B216" s="46"/>
      <c r="C216" s="46"/>
      <c r="D216" s="46"/>
      <c r="E216" s="18"/>
      <c r="F216" s="18"/>
      <c r="G216" s="46"/>
      <c r="H216" s="46"/>
      <c r="I216" s="46"/>
      <c r="J216" s="46"/>
      <c r="K216" s="46"/>
      <c r="L216" s="46"/>
      <c r="M216" s="46"/>
      <c r="N216" s="46"/>
      <c r="O216" s="46"/>
      <c r="P216" s="46"/>
      <c r="Q216" s="46"/>
      <c r="R216" s="46"/>
      <c r="S216" s="46"/>
      <c r="T216" s="46"/>
      <c r="U216" s="46"/>
      <c r="V216" s="46"/>
      <c r="W216" s="46"/>
      <c r="X216" s="46"/>
      <c r="Y216" s="46"/>
      <c r="Z216" s="46"/>
      <c r="AA216" s="46"/>
    </row>
    <row r="217">
      <c r="A217" s="4"/>
      <c r="B217" s="46"/>
      <c r="C217" s="46"/>
      <c r="D217" s="46"/>
      <c r="E217" s="18"/>
      <c r="F217" s="18"/>
      <c r="G217" s="46"/>
      <c r="H217" s="46"/>
      <c r="I217" s="46"/>
      <c r="J217" s="46"/>
      <c r="K217" s="46"/>
      <c r="L217" s="46"/>
      <c r="M217" s="46"/>
      <c r="N217" s="46"/>
      <c r="O217" s="46"/>
      <c r="P217" s="46"/>
      <c r="Q217" s="46"/>
      <c r="R217" s="46"/>
      <c r="S217" s="46"/>
      <c r="T217" s="46"/>
      <c r="U217" s="46"/>
      <c r="V217" s="46"/>
      <c r="W217" s="46"/>
      <c r="X217" s="46"/>
      <c r="Y217" s="46"/>
      <c r="Z217" s="46"/>
      <c r="AA217" s="46"/>
    </row>
    <row r="218">
      <c r="A218" s="4"/>
      <c r="B218" s="46"/>
      <c r="C218" s="46"/>
      <c r="D218" s="46"/>
      <c r="E218" s="18"/>
      <c r="F218" s="18"/>
      <c r="G218" s="46"/>
      <c r="H218" s="46"/>
      <c r="I218" s="46"/>
      <c r="J218" s="46"/>
      <c r="K218" s="46"/>
      <c r="L218" s="46"/>
      <c r="M218" s="46"/>
      <c r="N218" s="46"/>
      <c r="O218" s="46"/>
      <c r="P218" s="46"/>
      <c r="Q218" s="46"/>
      <c r="R218" s="46"/>
      <c r="S218" s="46"/>
      <c r="T218" s="46"/>
      <c r="U218" s="46"/>
      <c r="V218" s="46"/>
      <c r="W218" s="46"/>
      <c r="X218" s="46"/>
      <c r="Y218" s="46"/>
      <c r="Z218" s="46"/>
      <c r="AA218" s="46"/>
    </row>
    <row r="219">
      <c r="A219" s="4"/>
      <c r="B219" s="46"/>
      <c r="C219" s="46"/>
      <c r="D219" s="46"/>
      <c r="E219" s="18"/>
      <c r="F219" s="18"/>
      <c r="G219" s="46"/>
      <c r="H219" s="46"/>
      <c r="I219" s="46"/>
      <c r="J219" s="46"/>
      <c r="K219" s="46"/>
      <c r="L219" s="46"/>
      <c r="M219" s="46"/>
      <c r="N219" s="46"/>
      <c r="O219" s="46"/>
      <c r="P219" s="46"/>
      <c r="Q219" s="46"/>
      <c r="R219" s="46"/>
      <c r="S219" s="46"/>
      <c r="T219" s="46"/>
      <c r="U219" s="46"/>
      <c r="V219" s="46"/>
      <c r="W219" s="46"/>
      <c r="X219" s="46"/>
      <c r="Y219" s="46"/>
      <c r="Z219" s="46"/>
      <c r="AA219" s="46"/>
    </row>
    <row r="220">
      <c r="A220" s="4"/>
      <c r="B220" s="46"/>
      <c r="C220" s="46"/>
      <c r="D220" s="46"/>
      <c r="E220" s="18"/>
      <c r="F220" s="18"/>
      <c r="G220" s="46"/>
      <c r="H220" s="46"/>
      <c r="I220" s="46"/>
      <c r="J220" s="46"/>
      <c r="K220" s="46"/>
      <c r="L220" s="46"/>
      <c r="M220" s="46"/>
      <c r="N220" s="46"/>
      <c r="O220" s="46"/>
      <c r="P220" s="46"/>
      <c r="Q220" s="46"/>
      <c r="R220" s="46"/>
      <c r="S220" s="46"/>
      <c r="T220" s="46"/>
      <c r="U220" s="46"/>
      <c r="V220" s="46"/>
      <c r="W220" s="46"/>
      <c r="X220" s="46"/>
      <c r="Y220" s="46"/>
      <c r="Z220" s="46"/>
      <c r="AA220" s="46"/>
    </row>
    <row r="221">
      <c r="A221" s="4"/>
      <c r="B221" s="46"/>
      <c r="C221" s="46"/>
      <c r="D221" s="46"/>
      <c r="E221" s="18"/>
      <c r="F221" s="18"/>
      <c r="G221" s="46"/>
      <c r="H221" s="46"/>
      <c r="I221" s="46"/>
      <c r="J221" s="46"/>
      <c r="K221" s="46"/>
      <c r="L221" s="46"/>
      <c r="M221" s="46"/>
      <c r="N221" s="46"/>
      <c r="O221" s="46"/>
      <c r="P221" s="46"/>
      <c r="Q221" s="46"/>
      <c r="R221" s="46"/>
      <c r="S221" s="46"/>
      <c r="T221" s="46"/>
      <c r="U221" s="46"/>
      <c r="V221" s="46"/>
      <c r="W221" s="46"/>
      <c r="X221" s="46"/>
      <c r="Y221" s="46"/>
      <c r="Z221" s="46"/>
      <c r="AA221" s="46"/>
    </row>
    <row r="222">
      <c r="A222" s="4"/>
      <c r="B222" s="46"/>
      <c r="C222" s="46"/>
      <c r="D222" s="46"/>
      <c r="E222" s="18"/>
      <c r="F222" s="18"/>
      <c r="G222" s="46"/>
      <c r="H222" s="46"/>
      <c r="I222" s="46"/>
      <c r="J222" s="46"/>
      <c r="K222" s="46"/>
      <c r="L222" s="46"/>
      <c r="M222" s="46"/>
      <c r="N222" s="46"/>
      <c r="O222" s="46"/>
      <c r="P222" s="46"/>
      <c r="Q222" s="46"/>
      <c r="R222" s="46"/>
      <c r="S222" s="46"/>
      <c r="T222" s="46"/>
      <c r="U222" s="46"/>
      <c r="V222" s="46"/>
      <c r="W222" s="46"/>
      <c r="X222" s="46"/>
      <c r="Y222" s="46"/>
      <c r="Z222" s="46"/>
      <c r="AA222" s="46"/>
    </row>
    <row r="223">
      <c r="A223" s="4"/>
      <c r="B223" s="46"/>
      <c r="C223" s="46"/>
      <c r="D223" s="46"/>
      <c r="E223" s="18"/>
      <c r="F223" s="18"/>
      <c r="G223" s="46"/>
      <c r="H223" s="46"/>
      <c r="I223" s="46"/>
      <c r="J223" s="46"/>
      <c r="K223" s="46"/>
      <c r="L223" s="46"/>
      <c r="M223" s="46"/>
      <c r="N223" s="46"/>
      <c r="O223" s="46"/>
      <c r="P223" s="46"/>
      <c r="Q223" s="46"/>
      <c r="R223" s="46"/>
      <c r="S223" s="46"/>
      <c r="T223" s="46"/>
      <c r="U223" s="46"/>
      <c r="V223" s="46"/>
      <c r="W223" s="46"/>
      <c r="X223" s="46"/>
      <c r="Y223" s="46"/>
      <c r="Z223" s="46"/>
      <c r="AA223" s="46"/>
    </row>
    <row r="224">
      <c r="A224" s="4"/>
      <c r="B224" s="46"/>
      <c r="C224" s="46"/>
      <c r="D224" s="46"/>
      <c r="E224" s="18"/>
      <c r="F224" s="18"/>
      <c r="G224" s="46"/>
      <c r="H224" s="46"/>
      <c r="I224" s="46"/>
      <c r="J224" s="46"/>
      <c r="K224" s="46"/>
      <c r="L224" s="46"/>
      <c r="M224" s="46"/>
      <c r="N224" s="46"/>
      <c r="O224" s="46"/>
      <c r="P224" s="46"/>
      <c r="Q224" s="46"/>
      <c r="R224" s="46"/>
      <c r="S224" s="46"/>
      <c r="T224" s="46"/>
      <c r="U224" s="46"/>
      <c r="V224" s="46"/>
      <c r="W224" s="46"/>
      <c r="X224" s="46"/>
      <c r="Y224" s="46"/>
      <c r="Z224" s="46"/>
      <c r="AA224" s="46"/>
    </row>
    <row r="225">
      <c r="A225" s="4"/>
      <c r="B225" s="46"/>
      <c r="C225" s="46"/>
      <c r="D225" s="46"/>
      <c r="E225" s="18"/>
      <c r="F225" s="18"/>
      <c r="G225" s="46"/>
      <c r="H225" s="46"/>
      <c r="I225" s="46"/>
      <c r="J225" s="46"/>
      <c r="K225" s="46"/>
      <c r="L225" s="46"/>
      <c r="M225" s="46"/>
      <c r="N225" s="46"/>
      <c r="O225" s="46"/>
      <c r="P225" s="46"/>
      <c r="Q225" s="46"/>
      <c r="R225" s="46"/>
      <c r="S225" s="46"/>
      <c r="T225" s="46"/>
      <c r="U225" s="46"/>
      <c r="V225" s="46"/>
      <c r="W225" s="46"/>
      <c r="X225" s="46"/>
      <c r="Y225" s="46"/>
      <c r="Z225" s="46"/>
      <c r="AA225" s="46"/>
    </row>
    <row r="226">
      <c r="A226" s="4"/>
      <c r="B226" s="46"/>
      <c r="C226" s="46"/>
      <c r="D226" s="46"/>
      <c r="E226" s="18"/>
      <c r="F226" s="18"/>
      <c r="G226" s="46"/>
      <c r="H226" s="46"/>
      <c r="I226" s="46"/>
      <c r="J226" s="46"/>
      <c r="K226" s="46"/>
      <c r="L226" s="46"/>
      <c r="M226" s="46"/>
      <c r="N226" s="46"/>
      <c r="O226" s="46"/>
      <c r="P226" s="46"/>
      <c r="Q226" s="46"/>
      <c r="R226" s="46"/>
      <c r="S226" s="46"/>
      <c r="T226" s="46"/>
      <c r="U226" s="46"/>
      <c r="V226" s="46"/>
      <c r="W226" s="46"/>
      <c r="X226" s="46"/>
      <c r="Y226" s="46"/>
      <c r="Z226" s="46"/>
      <c r="AA226" s="46"/>
    </row>
    <row r="227">
      <c r="A227" s="4"/>
      <c r="B227" s="46"/>
      <c r="C227" s="46"/>
      <c r="D227" s="46"/>
      <c r="E227" s="18"/>
      <c r="F227" s="18"/>
      <c r="G227" s="46"/>
      <c r="H227" s="46"/>
      <c r="I227" s="46"/>
      <c r="J227" s="46"/>
      <c r="K227" s="46"/>
      <c r="L227" s="46"/>
      <c r="M227" s="46"/>
      <c r="N227" s="46"/>
      <c r="O227" s="46"/>
      <c r="P227" s="46"/>
      <c r="Q227" s="46"/>
      <c r="R227" s="46"/>
      <c r="S227" s="46"/>
      <c r="T227" s="46"/>
      <c r="U227" s="46"/>
      <c r="V227" s="46"/>
      <c r="W227" s="46"/>
      <c r="X227" s="46"/>
      <c r="Y227" s="46"/>
      <c r="Z227" s="46"/>
      <c r="AA227" s="46"/>
    </row>
    <row r="228">
      <c r="A228" s="4"/>
      <c r="B228" s="46"/>
      <c r="C228" s="46"/>
      <c r="D228" s="46"/>
      <c r="E228" s="18"/>
      <c r="F228" s="18"/>
      <c r="G228" s="46"/>
      <c r="H228" s="46"/>
      <c r="I228" s="46"/>
      <c r="J228" s="46"/>
      <c r="K228" s="46"/>
      <c r="L228" s="46"/>
      <c r="M228" s="46"/>
      <c r="N228" s="46"/>
      <c r="O228" s="46"/>
      <c r="P228" s="46"/>
      <c r="Q228" s="46"/>
      <c r="R228" s="46"/>
      <c r="S228" s="46"/>
      <c r="T228" s="46"/>
      <c r="U228" s="46"/>
      <c r="V228" s="46"/>
      <c r="W228" s="46"/>
      <c r="X228" s="46"/>
      <c r="Y228" s="46"/>
      <c r="Z228" s="46"/>
      <c r="AA228" s="46"/>
    </row>
    <row r="229">
      <c r="A229" s="4"/>
      <c r="B229" s="46"/>
      <c r="C229" s="46"/>
      <c r="D229" s="46"/>
      <c r="E229" s="18"/>
      <c r="F229" s="18"/>
      <c r="G229" s="46"/>
      <c r="H229" s="46"/>
      <c r="I229" s="46"/>
      <c r="J229" s="46"/>
      <c r="K229" s="46"/>
      <c r="L229" s="46"/>
      <c r="M229" s="46"/>
      <c r="N229" s="46"/>
      <c r="O229" s="46"/>
      <c r="P229" s="46"/>
      <c r="Q229" s="46"/>
      <c r="R229" s="46"/>
      <c r="S229" s="46"/>
      <c r="T229" s="46"/>
      <c r="U229" s="46"/>
      <c r="V229" s="46"/>
      <c r="W229" s="46"/>
      <c r="X229" s="46"/>
      <c r="Y229" s="46"/>
      <c r="Z229" s="46"/>
      <c r="AA229" s="46"/>
    </row>
    <row r="230">
      <c r="A230" s="4"/>
      <c r="B230" s="46"/>
      <c r="C230" s="46"/>
      <c r="D230" s="46"/>
      <c r="E230" s="18"/>
      <c r="F230" s="18"/>
      <c r="G230" s="46"/>
      <c r="H230" s="46"/>
      <c r="I230" s="46"/>
      <c r="J230" s="46"/>
      <c r="K230" s="46"/>
      <c r="L230" s="46"/>
      <c r="M230" s="46"/>
      <c r="N230" s="46"/>
      <c r="O230" s="46"/>
      <c r="P230" s="46"/>
      <c r="Q230" s="46"/>
      <c r="R230" s="46"/>
      <c r="S230" s="46"/>
      <c r="T230" s="46"/>
      <c r="U230" s="46"/>
      <c r="V230" s="46"/>
      <c r="W230" s="46"/>
      <c r="X230" s="46"/>
      <c r="Y230" s="46"/>
      <c r="Z230" s="46"/>
      <c r="AA230" s="46"/>
    </row>
    <row r="231">
      <c r="A231" s="4"/>
      <c r="B231" s="46"/>
      <c r="C231" s="46"/>
      <c r="D231" s="46"/>
      <c r="E231" s="18"/>
      <c r="F231" s="18"/>
      <c r="G231" s="46"/>
      <c r="H231" s="46"/>
      <c r="I231" s="46"/>
      <c r="J231" s="46"/>
      <c r="K231" s="46"/>
      <c r="L231" s="46"/>
      <c r="M231" s="46"/>
      <c r="N231" s="46"/>
      <c r="O231" s="46"/>
      <c r="P231" s="46"/>
      <c r="Q231" s="46"/>
      <c r="R231" s="46"/>
      <c r="S231" s="46"/>
      <c r="T231" s="46"/>
      <c r="U231" s="46"/>
      <c r="V231" s="46"/>
      <c r="W231" s="46"/>
      <c r="X231" s="46"/>
      <c r="Y231" s="46"/>
      <c r="Z231" s="46"/>
      <c r="AA231" s="46"/>
    </row>
    <row r="232">
      <c r="A232" s="4"/>
      <c r="B232" s="46"/>
      <c r="C232" s="46"/>
      <c r="D232" s="46"/>
      <c r="E232" s="18"/>
      <c r="F232" s="18"/>
      <c r="G232" s="46"/>
      <c r="H232" s="46"/>
      <c r="I232" s="46"/>
      <c r="J232" s="46"/>
      <c r="K232" s="46"/>
      <c r="L232" s="46"/>
      <c r="M232" s="46"/>
      <c r="N232" s="46"/>
      <c r="O232" s="46"/>
      <c r="P232" s="46"/>
      <c r="Q232" s="46"/>
      <c r="R232" s="46"/>
      <c r="S232" s="46"/>
      <c r="T232" s="46"/>
      <c r="U232" s="46"/>
      <c r="V232" s="46"/>
      <c r="W232" s="46"/>
      <c r="X232" s="46"/>
      <c r="Y232" s="46"/>
      <c r="Z232" s="46"/>
      <c r="AA232" s="46"/>
    </row>
    <row r="233">
      <c r="A233" s="4"/>
      <c r="B233" s="46"/>
      <c r="C233" s="46"/>
      <c r="D233" s="46"/>
      <c r="E233" s="18"/>
      <c r="F233" s="18"/>
      <c r="G233" s="46"/>
      <c r="H233" s="46"/>
      <c r="I233" s="46"/>
      <c r="J233" s="46"/>
      <c r="K233" s="46"/>
      <c r="L233" s="46"/>
      <c r="M233" s="46"/>
      <c r="N233" s="46"/>
      <c r="O233" s="46"/>
      <c r="P233" s="46"/>
      <c r="Q233" s="46"/>
      <c r="R233" s="46"/>
      <c r="S233" s="46"/>
      <c r="T233" s="46"/>
      <c r="U233" s="46"/>
      <c r="V233" s="46"/>
      <c r="W233" s="46"/>
      <c r="X233" s="46"/>
      <c r="Y233" s="46"/>
      <c r="Z233" s="46"/>
      <c r="AA233" s="46"/>
    </row>
    <row r="234">
      <c r="A234" s="4"/>
      <c r="B234" s="46"/>
      <c r="C234" s="46"/>
      <c r="D234" s="46"/>
      <c r="E234" s="18"/>
      <c r="F234" s="18"/>
      <c r="G234" s="46"/>
      <c r="H234" s="46"/>
      <c r="I234" s="46"/>
      <c r="J234" s="46"/>
      <c r="K234" s="46"/>
      <c r="L234" s="46"/>
      <c r="M234" s="46"/>
      <c r="N234" s="46"/>
      <c r="O234" s="46"/>
      <c r="P234" s="46"/>
      <c r="Q234" s="46"/>
      <c r="R234" s="46"/>
      <c r="S234" s="46"/>
      <c r="T234" s="46"/>
      <c r="U234" s="46"/>
      <c r="V234" s="46"/>
      <c r="W234" s="46"/>
      <c r="X234" s="46"/>
      <c r="Y234" s="46"/>
      <c r="Z234" s="46"/>
      <c r="AA234" s="46"/>
    </row>
    <row r="235">
      <c r="A235" s="4"/>
      <c r="B235" s="46"/>
      <c r="C235" s="46"/>
      <c r="D235" s="46"/>
      <c r="E235" s="18"/>
      <c r="F235" s="18"/>
      <c r="G235" s="46"/>
      <c r="H235" s="46"/>
      <c r="I235" s="46"/>
      <c r="J235" s="46"/>
      <c r="K235" s="46"/>
      <c r="L235" s="46"/>
      <c r="M235" s="46"/>
      <c r="N235" s="46"/>
      <c r="O235" s="46"/>
      <c r="P235" s="46"/>
      <c r="Q235" s="46"/>
      <c r="R235" s="46"/>
      <c r="S235" s="46"/>
      <c r="T235" s="46"/>
      <c r="U235" s="46"/>
      <c r="V235" s="46"/>
      <c r="W235" s="46"/>
      <c r="X235" s="46"/>
      <c r="Y235" s="46"/>
      <c r="Z235" s="46"/>
      <c r="AA235" s="46"/>
    </row>
    <row r="236">
      <c r="A236" s="4"/>
      <c r="B236" s="46"/>
      <c r="C236" s="46"/>
      <c r="D236" s="46"/>
      <c r="E236" s="18"/>
      <c r="F236" s="18"/>
      <c r="G236" s="46"/>
      <c r="H236" s="46"/>
      <c r="I236" s="46"/>
      <c r="J236" s="46"/>
      <c r="K236" s="46"/>
      <c r="L236" s="46"/>
      <c r="M236" s="46"/>
      <c r="N236" s="46"/>
      <c r="O236" s="46"/>
      <c r="P236" s="46"/>
      <c r="Q236" s="46"/>
      <c r="R236" s="46"/>
      <c r="S236" s="46"/>
      <c r="T236" s="46"/>
      <c r="U236" s="46"/>
      <c r="V236" s="46"/>
      <c r="W236" s="46"/>
      <c r="X236" s="46"/>
      <c r="Y236" s="46"/>
      <c r="Z236" s="46"/>
      <c r="AA236" s="46"/>
    </row>
    <row r="237">
      <c r="A237" s="4"/>
      <c r="B237" s="46"/>
      <c r="C237" s="46"/>
      <c r="D237" s="46"/>
      <c r="E237" s="18"/>
      <c r="F237" s="18"/>
      <c r="G237" s="46"/>
      <c r="H237" s="46"/>
      <c r="I237" s="46"/>
      <c r="J237" s="46"/>
      <c r="K237" s="46"/>
      <c r="L237" s="46"/>
      <c r="M237" s="46"/>
      <c r="N237" s="46"/>
      <c r="O237" s="46"/>
      <c r="P237" s="46"/>
      <c r="Q237" s="46"/>
      <c r="R237" s="46"/>
      <c r="S237" s="46"/>
      <c r="T237" s="46"/>
      <c r="U237" s="46"/>
      <c r="V237" s="46"/>
      <c r="W237" s="46"/>
      <c r="X237" s="46"/>
      <c r="Y237" s="46"/>
      <c r="Z237" s="46"/>
      <c r="AA237" s="46"/>
    </row>
    <row r="238">
      <c r="A238" s="4"/>
      <c r="B238" s="46"/>
      <c r="C238" s="46"/>
      <c r="D238" s="46"/>
      <c r="E238" s="18"/>
      <c r="F238" s="18"/>
      <c r="G238" s="46"/>
      <c r="H238" s="46"/>
      <c r="I238" s="46"/>
      <c r="J238" s="46"/>
      <c r="K238" s="46"/>
      <c r="L238" s="46"/>
      <c r="M238" s="46"/>
      <c r="N238" s="46"/>
      <c r="O238" s="46"/>
      <c r="P238" s="46"/>
      <c r="Q238" s="46"/>
      <c r="R238" s="46"/>
      <c r="S238" s="46"/>
      <c r="T238" s="46"/>
      <c r="U238" s="46"/>
      <c r="V238" s="46"/>
      <c r="W238" s="46"/>
      <c r="X238" s="46"/>
      <c r="Y238" s="46"/>
      <c r="Z238" s="46"/>
      <c r="AA238" s="46"/>
    </row>
    <row r="239">
      <c r="A239" s="4"/>
      <c r="B239" s="46"/>
      <c r="C239" s="46"/>
      <c r="D239" s="46"/>
      <c r="E239" s="18"/>
      <c r="F239" s="18"/>
      <c r="G239" s="46"/>
      <c r="H239" s="46"/>
      <c r="I239" s="46"/>
      <c r="J239" s="46"/>
      <c r="K239" s="46"/>
      <c r="L239" s="46"/>
      <c r="M239" s="46"/>
      <c r="N239" s="46"/>
      <c r="O239" s="46"/>
      <c r="P239" s="46"/>
      <c r="Q239" s="46"/>
      <c r="R239" s="46"/>
      <c r="S239" s="46"/>
      <c r="T239" s="46"/>
      <c r="U239" s="46"/>
      <c r="V239" s="46"/>
      <c r="W239" s="46"/>
      <c r="X239" s="46"/>
      <c r="Y239" s="46"/>
      <c r="Z239" s="46"/>
      <c r="AA239" s="46"/>
    </row>
    <row r="240">
      <c r="A240" s="4"/>
      <c r="B240" s="46"/>
      <c r="C240" s="46"/>
      <c r="D240" s="46"/>
      <c r="E240" s="18"/>
      <c r="F240" s="18"/>
      <c r="G240" s="46"/>
      <c r="H240" s="46"/>
      <c r="I240" s="46"/>
      <c r="J240" s="46"/>
      <c r="K240" s="46"/>
      <c r="L240" s="46"/>
      <c r="M240" s="46"/>
      <c r="N240" s="46"/>
      <c r="O240" s="46"/>
      <c r="P240" s="46"/>
      <c r="Q240" s="46"/>
      <c r="R240" s="46"/>
      <c r="S240" s="46"/>
      <c r="T240" s="46"/>
      <c r="U240" s="46"/>
      <c r="V240" s="46"/>
      <c r="W240" s="46"/>
      <c r="X240" s="46"/>
      <c r="Y240" s="46"/>
      <c r="Z240" s="46"/>
      <c r="AA240" s="46"/>
    </row>
    <row r="241">
      <c r="A241" s="4"/>
      <c r="B241" s="46"/>
      <c r="C241" s="46"/>
      <c r="D241" s="46"/>
      <c r="E241" s="18"/>
      <c r="F241" s="18"/>
      <c r="G241" s="46"/>
      <c r="H241" s="46"/>
      <c r="I241" s="46"/>
      <c r="J241" s="46"/>
      <c r="K241" s="46"/>
      <c r="L241" s="46"/>
      <c r="M241" s="46"/>
      <c r="N241" s="46"/>
      <c r="O241" s="46"/>
      <c r="P241" s="46"/>
      <c r="Q241" s="46"/>
      <c r="R241" s="46"/>
      <c r="S241" s="46"/>
      <c r="T241" s="46"/>
      <c r="U241" s="46"/>
      <c r="V241" s="46"/>
      <c r="W241" s="46"/>
      <c r="X241" s="46"/>
      <c r="Y241" s="46"/>
      <c r="Z241" s="46"/>
      <c r="AA241" s="46"/>
    </row>
    <row r="242">
      <c r="A242" s="4"/>
      <c r="B242" s="46"/>
      <c r="C242" s="46"/>
      <c r="D242" s="46"/>
      <c r="E242" s="18"/>
      <c r="F242" s="18"/>
      <c r="G242" s="46"/>
      <c r="H242" s="46"/>
      <c r="I242" s="46"/>
      <c r="J242" s="46"/>
      <c r="K242" s="46"/>
      <c r="L242" s="46"/>
      <c r="M242" s="46"/>
      <c r="N242" s="46"/>
      <c r="O242" s="46"/>
      <c r="P242" s="46"/>
      <c r="Q242" s="46"/>
      <c r="R242" s="46"/>
      <c r="S242" s="46"/>
      <c r="T242" s="46"/>
      <c r="U242" s="46"/>
      <c r="V242" s="46"/>
      <c r="W242" s="46"/>
      <c r="X242" s="46"/>
      <c r="Y242" s="46"/>
      <c r="Z242" s="46"/>
      <c r="AA242" s="46"/>
    </row>
    <row r="243">
      <c r="A243" s="4"/>
      <c r="B243" s="46"/>
      <c r="C243" s="46"/>
      <c r="D243" s="46"/>
      <c r="E243" s="18"/>
      <c r="F243" s="18"/>
      <c r="G243" s="46"/>
      <c r="H243" s="46"/>
      <c r="I243" s="46"/>
      <c r="J243" s="46"/>
      <c r="K243" s="46"/>
      <c r="L243" s="46"/>
      <c r="M243" s="46"/>
      <c r="N243" s="46"/>
      <c r="O243" s="46"/>
      <c r="P243" s="46"/>
      <c r="Q243" s="46"/>
      <c r="R243" s="46"/>
      <c r="S243" s="46"/>
      <c r="T243" s="46"/>
      <c r="U243" s="46"/>
      <c r="V243" s="46"/>
      <c r="W243" s="46"/>
      <c r="X243" s="46"/>
      <c r="Y243" s="46"/>
      <c r="Z243" s="46"/>
      <c r="AA243" s="46"/>
    </row>
    <row r="244">
      <c r="A244" s="4"/>
      <c r="B244" s="46"/>
      <c r="C244" s="46"/>
      <c r="D244" s="46"/>
      <c r="E244" s="18"/>
      <c r="F244" s="18"/>
      <c r="G244" s="46"/>
      <c r="H244" s="46"/>
      <c r="I244" s="46"/>
      <c r="J244" s="46"/>
      <c r="K244" s="46"/>
      <c r="L244" s="46"/>
      <c r="M244" s="46"/>
      <c r="N244" s="46"/>
      <c r="O244" s="46"/>
      <c r="P244" s="46"/>
      <c r="Q244" s="46"/>
      <c r="R244" s="46"/>
      <c r="S244" s="46"/>
      <c r="T244" s="46"/>
      <c r="U244" s="46"/>
      <c r="V244" s="46"/>
      <c r="W244" s="46"/>
      <c r="X244" s="46"/>
      <c r="Y244" s="46"/>
      <c r="Z244" s="46"/>
      <c r="AA244" s="46"/>
    </row>
    <row r="245">
      <c r="A245" s="4"/>
      <c r="B245" s="46"/>
      <c r="C245" s="46"/>
      <c r="D245" s="46"/>
      <c r="E245" s="18"/>
      <c r="F245" s="18"/>
      <c r="G245" s="46"/>
      <c r="H245" s="46"/>
      <c r="I245" s="46"/>
      <c r="J245" s="46"/>
      <c r="K245" s="46"/>
      <c r="L245" s="46"/>
      <c r="M245" s="46"/>
      <c r="N245" s="46"/>
      <c r="O245" s="46"/>
      <c r="P245" s="46"/>
      <c r="Q245" s="46"/>
      <c r="R245" s="46"/>
      <c r="S245" s="46"/>
      <c r="T245" s="46"/>
      <c r="U245" s="46"/>
      <c r="V245" s="46"/>
      <c r="W245" s="46"/>
      <c r="X245" s="46"/>
      <c r="Y245" s="46"/>
      <c r="Z245" s="46"/>
      <c r="AA245" s="46"/>
    </row>
    <row r="246">
      <c r="A246" s="4"/>
      <c r="B246" s="46"/>
      <c r="C246" s="46"/>
      <c r="D246" s="46"/>
      <c r="E246" s="18"/>
      <c r="F246" s="18"/>
      <c r="G246" s="46"/>
      <c r="H246" s="46"/>
      <c r="I246" s="46"/>
      <c r="J246" s="46"/>
      <c r="K246" s="46"/>
      <c r="L246" s="46"/>
      <c r="M246" s="46"/>
      <c r="N246" s="46"/>
      <c r="O246" s="46"/>
      <c r="P246" s="46"/>
      <c r="Q246" s="46"/>
      <c r="R246" s="46"/>
      <c r="S246" s="46"/>
      <c r="T246" s="46"/>
      <c r="U246" s="46"/>
      <c r="V246" s="46"/>
      <c r="W246" s="46"/>
      <c r="X246" s="46"/>
      <c r="Y246" s="46"/>
      <c r="Z246" s="46"/>
      <c r="AA246" s="46"/>
    </row>
    <row r="247">
      <c r="A247" s="4"/>
      <c r="B247" s="46"/>
      <c r="C247" s="46"/>
      <c r="D247" s="46"/>
      <c r="E247" s="18"/>
      <c r="F247" s="18"/>
      <c r="G247" s="46"/>
      <c r="H247" s="46"/>
      <c r="I247" s="46"/>
      <c r="J247" s="46"/>
      <c r="K247" s="46"/>
      <c r="L247" s="46"/>
      <c r="M247" s="46"/>
      <c r="N247" s="46"/>
      <c r="O247" s="46"/>
      <c r="P247" s="46"/>
      <c r="Q247" s="46"/>
      <c r="R247" s="46"/>
      <c r="S247" s="46"/>
      <c r="T247" s="46"/>
      <c r="U247" s="46"/>
      <c r="V247" s="46"/>
      <c r="W247" s="46"/>
      <c r="X247" s="46"/>
      <c r="Y247" s="46"/>
      <c r="Z247" s="46"/>
      <c r="AA247" s="46"/>
    </row>
    <row r="248">
      <c r="A248" s="4"/>
      <c r="B248" s="46"/>
      <c r="C248" s="46"/>
      <c r="D248" s="46"/>
      <c r="E248" s="18"/>
      <c r="F248" s="18"/>
      <c r="G248" s="46"/>
      <c r="H248" s="46"/>
      <c r="I248" s="46"/>
      <c r="J248" s="46"/>
      <c r="K248" s="46"/>
      <c r="L248" s="46"/>
      <c r="M248" s="46"/>
      <c r="N248" s="46"/>
      <c r="O248" s="46"/>
      <c r="P248" s="46"/>
      <c r="Q248" s="46"/>
      <c r="R248" s="46"/>
      <c r="S248" s="46"/>
      <c r="T248" s="46"/>
      <c r="U248" s="46"/>
      <c r="V248" s="46"/>
      <c r="W248" s="46"/>
      <c r="X248" s="46"/>
      <c r="Y248" s="46"/>
      <c r="Z248" s="46"/>
      <c r="AA248" s="46"/>
    </row>
    <row r="249">
      <c r="A249" s="4"/>
      <c r="B249" s="46"/>
      <c r="C249" s="46"/>
      <c r="D249" s="46"/>
      <c r="E249" s="18"/>
      <c r="F249" s="18"/>
      <c r="G249" s="46"/>
      <c r="H249" s="46"/>
      <c r="I249" s="46"/>
      <c r="J249" s="46"/>
      <c r="K249" s="46"/>
      <c r="L249" s="46"/>
      <c r="M249" s="46"/>
      <c r="N249" s="46"/>
      <c r="O249" s="46"/>
      <c r="P249" s="46"/>
      <c r="Q249" s="46"/>
      <c r="R249" s="46"/>
      <c r="S249" s="46"/>
      <c r="T249" s="46"/>
      <c r="U249" s="46"/>
      <c r="V249" s="46"/>
      <c r="W249" s="46"/>
      <c r="X249" s="46"/>
      <c r="Y249" s="46"/>
      <c r="Z249" s="46"/>
      <c r="AA249" s="46"/>
    </row>
    <row r="250">
      <c r="A250" s="4"/>
      <c r="B250" s="46"/>
      <c r="C250" s="46"/>
      <c r="D250" s="46"/>
      <c r="E250" s="18"/>
      <c r="F250" s="18"/>
      <c r="G250" s="46"/>
      <c r="H250" s="46"/>
      <c r="I250" s="46"/>
      <c r="J250" s="46"/>
      <c r="K250" s="46"/>
      <c r="L250" s="46"/>
      <c r="M250" s="46"/>
      <c r="N250" s="46"/>
      <c r="O250" s="46"/>
      <c r="P250" s="46"/>
      <c r="Q250" s="46"/>
      <c r="R250" s="46"/>
      <c r="S250" s="46"/>
      <c r="T250" s="46"/>
      <c r="U250" s="46"/>
      <c r="V250" s="46"/>
      <c r="W250" s="46"/>
      <c r="X250" s="46"/>
      <c r="Y250" s="46"/>
      <c r="Z250" s="46"/>
      <c r="AA250" s="46"/>
    </row>
    <row r="251">
      <c r="A251" s="4"/>
      <c r="B251" s="46"/>
      <c r="C251" s="46"/>
      <c r="D251" s="46"/>
      <c r="E251" s="18"/>
      <c r="F251" s="18"/>
      <c r="G251" s="46"/>
      <c r="H251" s="46"/>
      <c r="I251" s="46"/>
      <c r="J251" s="46"/>
      <c r="K251" s="46"/>
      <c r="L251" s="46"/>
      <c r="M251" s="46"/>
      <c r="N251" s="46"/>
      <c r="O251" s="46"/>
      <c r="P251" s="46"/>
      <c r="Q251" s="46"/>
      <c r="R251" s="46"/>
      <c r="S251" s="46"/>
      <c r="T251" s="46"/>
      <c r="U251" s="46"/>
      <c r="V251" s="46"/>
      <c r="W251" s="46"/>
      <c r="X251" s="46"/>
      <c r="Y251" s="46"/>
      <c r="Z251" s="46"/>
      <c r="AA251" s="46"/>
    </row>
    <row r="252">
      <c r="A252" s="4"/>
      <c r="B252" s="46"/>
      <c r="C252" s="46"/>
      <c r="D252" s="46"/>
      <c r="E252" s="18"/>
      <c r="F252" s="18"/>
      <c r="G252" s="46"/>
      <c r="H252" s="46"/>
      <c r="I252" s="46"/>
      <c r="J252" s="46"/>
      <c r="K252" s="46"/>
      <c r="L252" s="46"/>
      <c r="M252" s="46"/>
      <c r="N252" s="46"/>
      <c r="O252" s="46"/>
      <c r="P252" s="46"/>
      <c r="Q252" s="46"/>
      <c r="R252" s="46"/>
      <c r="S252" s="46"/>
      <c r="T252" s="46"/>
      <c r="U252" s="46"/>
      <c r="V252" s="46"/>
      <c r="W252" s="46"/>
      <c r="X252" s="46"/>
      <c r="Y252" s="46"/>
      <c r="Z252" s="46"/>
      <c r="AA252" s="46"/>
    </row>
    <row r="253">
      <c r="A253" s="4"/>
      <c r="B253" s="46"/>
      <c r="C253" s="46"/>
      <c r="D253" s="46"/>
      <c r="E253" s="18"/>
      <c r="F253" s="18"/>
      <c r="G253" s="46"/>
      <c r="H253" s="46"/>
      <c r="I253" s="46"/>
      <c r="J253" s="46"/>
      <c r="K253" s="46"/>
      <c r="L253" s="46"/>
      <c r="M253" s="46"/>
      <c r="N253" s="46"/>
      <c r="O253" s="46"/>
      <c r="P253" s="46"/>
      <c r="Q253" s="46"/>
      <c r="R253" s="46"/>
      <c r="S253" s="46"/>
      <c r="T253" s="46"/>
      <c r="U253" s="46"/>
      <c r="V253" s="46"/>
      <c r="W253" s="46"/>
      <c r="X253" s="46"/>
      <c r="Y253" s="46"/>
      <c r="Z253" s="46"/>
      <c r="AA253" s="46"/>
    </row>
    <row r="254">
      <c r="A254" s="4"/>
      <c r="B254" s="46"/>
      <c r="C254" s="46"/>
      <c r="D254" s="46"/>
      <c r="E254" s="18"/>
      <c r="F254" s="18"/>
      <c r="G254" s="46"/>
      <c r="H254" s="46"/>
      <c r="I254" s="46"/>
      <c r="J254" s="46"/>
      <c r="K254" s="46"/>
      <c r="L254" s="46"/>
      <c r="M254" s="46"/>
      <c r="N254" s="46"/>
      <c r="O254" s="46"/>
      <c r="P254" s="46"/>
      <c r="Q254" s="46"/>
      <c r="R254" s="46"/>
      <c r="S254" s="46"/>
      <c r="T254" s="46"/>
      <c r="U254" s="46"/>
      <c r="V254" s="46"/>
      <c r="W254" s="46"/>
      <c r="X254" s="46"/>
      <c r="Y254" s="46"/>
      <c r="Z254" s="46"/>
      <c r="AA254" s="46"/>
    </row>
    <row r="255">
      <c r="A255" s="4"/>
      <c r="B255" s="46"/>
      <c r="C255" s="46"/>
      <c r="D255" s="46"/>
      <c r="E255" s="18"/>
      <c r="F255" s="18"/>
      <c r="G255" s="46"/>
      <c r="H255" s="46"/>
      <c r="I255" s="46"/>
      <c r="J255" s="46"/>
      <c r="K255" s="46"/>
      <c r="L255" s="46"/>
      <c r="M255" s="46"/>
      <c r="N255" s="46"/>
      <c r="O255" s="46"/>
      <c r="P255" s="46"/>
      <c r="Q255" s="46"/>
      <c r="R255" s="46"/>
      <c r="S255" s="46"/>
      <c r="T255" s="46"/>
      <c r="U255" s="46"/>
      <c r="V255" s="46"/>
      <c r="W255" s="46"/>
      <c r="X255" s="46"/>
      <c r="Y255" s="46"/>
      <c r="Z255" s="46"/>
      <c r="AA255" s="46"/>
    </row>
    <row r="256">
      <c r="A256" s="4"/>
      <c r="B256" s="46"/>
      <c r="C256" s="46"/>
      <c r="D256" s="46"/>
      <c r="E256" s="18"/>
      <c r="F256" s="18"/>
      <c r="G256" s="46"/>
      <c r="H256" s="46"/>
      <c r="I256" s="46"/>
      <c r="J256" s="46"/>
      <c r="K256" s="46"/>
      <c r="L256" s="46"/>
      <c r="M256" s="46"/>
      <c r="N256" s="46"/>
      <c r="O256" s="46"/>
      <c r="P256" s="46"/>
      <c r="Q256" s="46"/>
      <c r="R256" s="46"/>
      <c r="S256" s="46"/>
      <c r="T256" s="46"/>
      <c r="U256" s="46"/>
      <c r="V256" s="46"/>
      <c r="W256" s="46"/>
      <c r="X256" s="46"/>
      <c r="Y256" s="46"/>
      <c r="Z256" s="46"/>
      <c r="AA256" s="46"/>
    </row>
    <row r="257">
      <c r="A257" s="4"/>
      <c r="B257" s="46"/>
      <c r="C257" s="46"/>
      <c r="D257" s="46"/>
      <c r="E257" s="18"/>
      <c r="F257" s="18"/>
      <c r="G257" s="46"/>
      <c r="H257" s="46"/>
      <c r="I257" s="46"/>
      <c r="J257" s="46"/>
      <c r="K257" s="46"/>
      <c r="L257" s="46"/>
      <c r="M257" s="46"/>
      <c r="N257" s="46"/>
      <c r="O257" s="46"/>
      <c r="P257" s="46"/>
      <c r="Q257" s="46"/>
      <c r="R257" s="46"/>
      <c r="S257" s="46"/>
      <c r="T257" s="46"/>
      <c r="U257" s="46"/>
      <c r="V257" s="46"/>
      <c r="W257" s="46"/>
      <c r="X257" s="46"/>
      <c r="Y257" s="46"/>
      <c r="Z257" s="46"/>
      <c r="AA257" s="46"/>
    </row>
    <row r="258">
      <c r="A258" s="4"/>
      <c r="B258" s="46"/>
      <c r="C258" s="46"/>
      <c r="D258" s="46"/>
      <c r="E258" s="18"/>
      <c r="F258" s="18"/>
      <c r="G258" s="46"/>
      <c r="H258" s="46"/>
      <c r="I258" s="46"/>
      <c r="J258" s="46"/>
      <c r="K258" s="46"/>
      <c r="L258" s="46"/>
      <c r="M258" s="46"/>
      <c r="N258" s="46"/>
      <c r="O258" s="46"/>
      <c r="P258" s="46"/>
      <c r="Q258" s="46"/>
      <c r="R258" s="46"/>
      <c r="S258" s="46"/>
      <c r="T258" s="46"/>
      <c r="U258" s="46"/>
      <c r="V258" s="46"/>
      <c r="W258" s="46"/>
      <c r="X258" s="46"/>
      <c r="Y258" s="46"/>
      <c r="Z258" s="46"/>
      <c r="AA258" s="46"/>
    </row>
    <row r="259">
      <c r="A259" s="4"/>
      <c r="B259" s="46"/>
      <c r="C259" s="46"/>
      <c r="D259" s="46"/>
      <c r="E259" s="18"/>
      <c r="F259" s="18"/>
      <c r="G259" s="46"/>
      <c r="H259" s="46"/>
      <c r="I259" s="46"/>
      <c r="J259" s="46"/>
      <c r="K259" s="46"/>
      <c r="L259" s="46"/>
      <c r="M259" s="46"/>
      <c r="N259" s="46"/>
      <c r="O259" s="46"/>
      <c r="P259" s="46"/>
      <c r="Q259" s="46"/>
      <c r="R259" s="46"/>
      <c r="S259" s="46"/>
      <c r="T259" s="46"/>
      <c r="U259" s="46"/>
      <c r="V259" s="46"/>
      <c r="W259" s="46"/>
      <c r="X259" s="46"/>
      <c r="Y259" s="46"/>
      <c r="Z259" s="46"/>
      <c r="AA259" s="46"/>
    </row>
    <row r="260">
      <c r="A260" s="4"/>
      <c r="B260" s="46"/>
      <c r="C260" s="46"/>
      <c r="D260" s="46"/>
      <c r="E260" s="18"/>
      <c r="F260" s="18"/>
      <c r="G260" s="46"/>
      <c r="H260" s="46"/>
      <c r="I260" s="46"/>
      <c r="J260" s="46"/>
      <c r="K260" s="46"/>
      <c r="L260" s="46"/>
      <c r="M260" s="46"/>
      <c r="N260" s="46"/>
      <c r="O260" s="46"/>
      <c r="P260" s="46"/>
      <c r="Q260" s="46"/>
      <c r="R260" s="46"/>
      <c r="S260" s="46"/>
      <c r="T260" s="46"/>
      <c r="U260" s="46"/>
      <c r="V260" s="46"/>
      <c r="W260" s="46"/>
      <c r="X260" s="46"/>
      <c r="Y260" s="46"/>
      <c r="Z260" s="46"/>
      <c r="AA260" s="46"/>
    </row>
    <row r="261">
      <c r="A261" s="4"/>
      <c r="B261" s="46"/>
      <c r="C261" s="46"/>
      <c r="D261" s="46"/>
      <c r="E261" s="18"/>
      <c r="F261" s="18"/>
      <c r="G261" s="46"/>
      <c r="H261" s="46"/>
      <c r="I261" s="46"/>
      <c r="J261" s="46"/>
      <c r="K261" s="46"/>
      <c r="L261" s="46"/>
      <c r="M261" s="46"/>
      <c r="N261" s="46"/>
      <c r="O261" s="46"/>
      <c r="P261" s="46"/>
      <c r="Q261" s="46"/>
      <c r="R261" s="46"/>
      <c r="S261" s="46"/>
      <c r="T261" s="46"/>
      <c r="U261" s="46"/>
      <c r="V261" s="46"/>
      <c r="W261" s="46"/>
      <c r="X261" s="46"/>
      <c r="Y261" s="46"/>
      <c r="Z261" s="46"/>
      <c r="AA261" s="46"/>
    </row>
    <row r="262">
      <c r="A262" s="4"/>
      <c r="B262" s="46"/>
      <c r="C262" s="46"/>
      <c r="D262" s="46"/>
      <c r="E262" s="18"/>
      <c r="F262" s="18"/>
      <c r="G262" s="46"/>
      <c r="H262" s="46"/>
      <c r="I262" s="46"/>
      <c r="J262" s="46"/>
      <c r="K262" s="46"/>
      <c r="L262" s="46"/>
      <c r="M262" s="46"/>
      <c r="N262" s="46"/>
      <c r="O262" s="46"/>
      <c r="P262" s="46"/>
      <c r="Q262" s="46"/>
      <c r="R262" s="46"/>
      <c r="S262" s="46"/>
      <c r="T262" s="46"/>
      <c r="U262" s="46"/>
      <c r="V262" s="46"/>
      <c r="W262" s="46"/>
      <c r="X262" s="46"/>
      <c r="Y262" s="46"/>
      <c r="Z262" s="46"/>
      <c r="AA262" s="46"/>
    </row>
    <row r="263">
      <c r="A263" s="4"/>
      <c r="B263" s="46"/>
      <c r="C263" s="46"/>
      <c r="D263" s="46"/>
      <c r="E263" s="18"/>
      <c r="F263" s="18"/>
      <c r="G263" s="46"/>
      <c r="H263" s="46"/>
      <c r="I263" s="46"/>
      <c r="J263" s="46"/>
      <c r="K263" s="46"/>
      <c r="L263" s="46"/>
      <c r="M263" s="46"/>
      <c r="N263" s="46"/>
      <c r="O263" s="46"/>
      <c r="P263" s="46"/>
      <c r="Q263" s="46"/>
      <c r="R263" s="46"/>
      <c r="S263" s="46"/>
      <c r="T263" s="46"/>
      <c r="U263" s="46"/>
      <c r="V263" s="46"/>
      <c r="W263" s="46"/>
      <c r="X263" s="46"/>
      <c r="Y263" s="46"/>
      <c r="Z263" s="46"/>
      <c r="AA263" s="46"/>
    </row>
    <row r="264">
      <c r="A264" s="4"/>
      <c r="B264" s="46"/>
      <c r="C264" s="46"/>
      <c r="D264" s="46"/>
      <c r="E264" s="18"/>
      <c r="F264" s="18"/>
      <c r="G264" s="46"/>
      <c r="H264" s="46"/>
      <c r="I264" s="46"/>
      <c r="J264" s="46"/>
      <c r="K264" s="46"/>
      <c r="L264" s="46"/>
      <c r="M264" s="46"/>
      <c r="N264" s="46"/>
      <c r="O264" s="46"/>
      <c r="P264" s="46"/>
      <c r="Q264" s="46"/>
      <c r="R264" s="46"/>
      <c r="S264" s="46"/>
      <c r="T264" s="46"/>
      <c r="U264" s="46"/>
      <c r="V264" s="46"/>
      <c r="W264" s="46"/>
      <c r="X264" s="46"/>
      <c r="Y264" s="46"/>
      <c r="Z264" s="46"/>
      <c r="AA264" s="46"/>
    </row>
    <row r="265">
      <c r="A265" s="4"/>
      <c r="B265" s="46"/>
      <c r="C265" s="46"/>
      <c r="D265" s="46"/>
      <c r="E265" s="18"/>
      <c r="F265" s="18"/>
      <c r="G265" s="46"/>
      <c r="H265" s="46"/>
      <c r="I265" s="46"/>
      <c r="J265" s="46"/>
      <c r="K265" s="46"/>
      <c r="L265" s="46"/>
      <c r="M265" s="46"/>
      <c r="N265" s="46"/>
      <c r="O265" s="46"/>
      <c r="P265" s="46"/>
      <c r="Q265" s="46"/>
      <c r="R265" s="46"/>
      <c r="S265" s="46"/>
      <c r="T265" s="46"/>
      <c r="U265" s="46"/>
      <c r="V265" s="46"/>
      <c r="W265" s="46"/>
      <c r="X265" s="46"/>
      <c r="Y265" s="46"/>
      <c r="Z265" s="46"/>
      <c r="AA265" s="46"/>
    </row>
    <row r="266">
      <c r="A266" s="4"/>
      <c r="B266" s="46"/>
      <c r="C266" s="46"/>
      <c r="D266" s="46"/>
      <c r="E266" s="18"/>
      <c r="F266" s="18"/>
      <c r="G266" s="46"/>
      <c r="H266" s="46"/>
      <c r="I266" s="46"/>
      <c r="J266" s="46"/>
      <c r="K266" s="46"/>
      <c r="L266" s="46"/>
      <c r="M266" s="46"/>
      <c r="N266" s="46"/>
      <c r="O266" s="46"/>
      <c r="P266" s="46"/>
      <c r="Q266" s="46"/>
      <c r="R266" s="46"/>
      <c r="S266" s="46"/>
      <c r="T266" s="46"/>
      <c r="U266" s="46"/>
      <c r="V266" s="46"/>
      <c r="W266" s="46"/>
      <c r="X266" s="46"/>
      <c r="Y266" s="46"/>
      <c r="Z266" s="46"/>
      <c r="AA266" s="46"/>
    </row>
    <row r="267">
      <c r="A267" s="4"/>
      <c r="B267" s="46"/>
      <c r="C267" s="46"/>
      <c r="D267" s="46"/>
      <c r="E267" s="18"/>
      <c r="F267" s="18"/>
      <c r="G267" s="46"/>
      <c r="H267" s="46"/>
      <c r="I267" s="46"/>
      <c r="J267" s="46"/>
      <c r="K267" s="46"/>
      <c r="L267" s="46"/>
      <c r="M267" s="46"/>
      <c r="N267" s="46"/>
      <c r="O267" s="46"/>
      <c r="P267" s="46"/>
      <c r="Q267" s="46"/>
      <c r="R267" s="46"/>
      <c r="S267" s="46"/>
      <c r="T267" s="46"/>
      <c r="U267" s="46"/>
      <c r="V267" s="46"/>
      <c r="W267" s="46"/>
      <c r="X267" s="46"/>
      <c r="Y267" s="46"/>
      <c r="Z267" s="46"/>
      <c r="AA267" s="46"/>
    </row>
    <row r="268">
      <c r="A268" s="4"/>
      <c r="B268" s="46"/>
      <c r="C268" s="46"/>
      <c r="D268" s="46"/>
      <c r="E268" s="18"/>
      <c r="F268" s="18"/>
      <c r="G268" s="46"/>
      <c r="H268" s="46"/>
      <c r="I268" s="46"/>
      <c r="J268" s="46"/>
      <c r="K268" s="46"/>
      <c r="L268" s="46"/>
      <c r="M268" s="46"/>
      <c r="N268" s="46"/>
      <c r="O268" s="46"/>
      <c r="P268" s="46"/>
      <c r="Q268" s="46"/>
      <c r="R268" s="46"/>
      <c r="S268" s="46"/>
      <c r="T268" s="46"/>
      <c r="U268" s="46"/>
      <c r="V268" s="46"/>
      <c r="W268" s="46"/>
      <c r="X268" s="46"/>
      <c r="Y268" s="46"/>
      <c r="Z268" s="46"/>
      <c r="AA268" s="46"/>
    </row>
    <row r="269">
      <c r="A269" s="4"/>
      <c r="B269" s="46"/>
      <c r="C269" s="46"/>
      <c r="D269" s="46"/>
      <c r="E269" s="18"/>
      <c r="F269" s="18"/>
      <c r="G269" s="46"/>
      <c r="H269" s="46"/>
      <c r="I269" s="46"/>
      <c r="J269" s="46"/>
      <c r="K269" s="46"/>
      <c r="L269" s="46"/>
      <c r="M269" s="46"/>
      <c r="N269" s="46"/>
      <c r="O269" s="46"/>
      <c r="P269" s="46"/>
      <c r="Q269" s="46"/>
      <c r="R269" s="46"/>
      <c r="S269" s="46"/>
      <c r="T269" s="46"/>
      <c r="U269" s="46"/>
      <c r="V269" s="46"/>
      <c r="W269" s="46"/>
      <c r="X269" s="46"/>
      <c r="Y269" s="46"/>
      <c r="Z269" s="46"/>
      <c r="AA269" s="46"/>
    </row>
    <row r="270">
      <c r="A270" s="4"/>
      <c r="B270" s="46"/>
      <c r="C270" s="46"/>
      <c r="D270" s="46"/>
      <c r="E270" s="18"/>
      <c r="F270" s="18"/>
      <c r="G270" s="46"/>
      <c r="H270" s="46"/>
      <c r="I270" s="46"/>
      <c r="J270" s="46"/>
      <c r="K270" s="46"/>
      <c r="L270" s="46"/>
      <c r="M270" s="46"/>
      <c r="N270" s="46"/>
      <c r="O270" s="46"/>
      <c r="P270" s="46"/>
      <c r="Q270" s="46"/>
      <c r="R270" s="46"/>
      <c r="S270" s="46"/>
      <c r="T270" s="46"/>
      <c r="U270" s="46"/>
      <c r="V270" s="46"/>
      <c r="W270" s="46"/>
      <c r="X270" s="46"/>
      <c r="Y270" s="46"/>
      <c r="Z270" s="46"/>
      <c r="AA270" s="46"/>
    </row>
    <row r="271">
      <c r="A271" s="4"/>
      <c r="B271" s="46"/>
      <c r="C271" s="46"/>
      <c r="D271" s="46"/>
      <c r="E271" s="18"/>
      <c r="F271" s="18"/>
      <c r="G271" s="46"/>
      <c r="H271" s="46"/>
      <c r="I271" s="46"/>
      <c r="J271" s="46"/>
      <c r="K271" s="46"/>
      <c r="L271" s="46"/>
      <c r="M271" s="46"/>
      <c r="N271" s="46"/>
      <c r="O271" s="46"/>
      <c r="P271" s="46"/>
      <c r="Q271" s="46"/>
      <c r="R271" s="46"/>
      <c r="S271" s="46"/>
      <c r="T271" s="46"/>
      <c r="U271" s="46"/>
      <c r="V271" s="46"/>
      <c r="W271" s="46"/>
      <c r="X271" s="46"/>
      <c r="Y271" s="46"/>
      <c r="Z271" s="46"/>
      <c r="AA271" s="46"/>
    </row>
    <row r="272">
      <c r="A272" s="4"/>
      <c r="B272" s="46"/>
      <c r="C272" s="46"/>
      <c r="D272" s="46"/>
      <c r="E272" s="18"/>
      <c r="F272" s="18"/>
      <c r="G272" s="46"/>
      <c r="H272" s="46"/>
      <c r="I272" s="46"/>
      <c r="J272" s="46"/>
      <c r="K272" s="46"/>
      <c r="L272" s="46"/>
      <c r="M272" s="46"/>
      <c r="N272" s="46"/>
      <c r="O272" s="46"/>
      <c r="P272" s="46"/>
      <c r="Q272" s="46"/>
      <c r="R272" s="46"/>
      <c r="S272" s="46"/>
      <c r="T272" s="46"/>
      <c r="U272" s="46"/>
      <c r="V272" s="46"/>
      <c r="W272" s="46"/>
      <c r="X272" s="46"/>
      <c r="Y272" s="46"/>
      <c r="Z272" s="46"/>
      <c r="AA272" s="46"/>
    </row>
    <row r="273">
      <c r="A273" s="4"/>
      <c r="B273" s="46"/>
      <c r="C273" s="46"/>
      <c r="D273" s="46"/>
      <c r="E273" s="18"/>
      <c r="F273" s="18"/>
      <c r="G273" s="46"/>
      <c r="H273" s="46"/>
      <c r="I273" s="46"/>
      <c r="J273" s="46"/>
      <c r="K273" s="46"/>
      <c r="L273" s="46"/>
      <c r="M273" s="46"/>
      <c r="N273" s="46"/>
      <c r="O273" s="46"/>
      <c r="P273" s="46"/>
      <c r="Q273" s="46"/>
      <c r="R273" s="46"/>
      <c r="S273" s="46"/>
      <c r="T273" s="46"/>
      <c r="U273" s="46"/>
      <c r="V273" s="46"/>
      <c r="W273" s="46"/>
      <c r="X273" s="46"/>
      <c r="Y273" s="46"/>
      <c r="Z273" s="46"/>
      <c r="AA273" s="46"/>
    </row>
    <row r="274">
      <c r="A274" s="4"/>
      <c r="B274" s="46"/>
      <c r="C274" s="46"/>
      <c r="D274" s="46"/>
      <c r="E274" s="18"/>
      <c r="F274" s="18"/>
      <c r="G274" s="46"/>
      <c r="H274" s="46"/>
      <c r="I274" s="46"/>
      <c r="J274" s="46"/>
      <c r="K274" s="46"/>
      <c r="L274" s="46"/>
      <c r="M274" s="46"/>
      <c r="N274" s="46"/>
      <c r="O274" s="46"/>
      <c r="P274" s="46"/>
      <c r="Q274" s="46"/>
      <c r="R274" s="46"/>
      <c r="S274" s="46"/>
      <c r="T274" s="46"/>
      <c r="U274" s="46"/>
      <c r="V274" s="46"/>
      <c r="W274" s="46"/>
      <c r="X274" s="46"/>
      <c r="Y274" s="46"/>
      <c r="Z274" s="46"/>
      <c r="AA274" s="46"/>
    </row>
    <row r="275">
      <c r="A275" s="4"/>
      <c r="B275" s="46"/>
      <c r="C275" s="46"/>
      <c r="D275" s="46"/>
      <c r="E275" s="18"/>
      <c r="F275" s="18"/>
      <c r="G275" s="46"/>
      <c r="H275" s="46"/>
      <c r="I275" s="46"/>
      <c r="J275" s="46"/>
      <c r="K275" s="46"/>
      <c r="L275" s="46"/>
      <c r="M275" s="46"/>
      <c r="N275" s="46"/>
      <c r="O275" s="46"/>
      <c r="P275" s="46"/>
      <c r="Q275" s="46"/>
      <c r="R275" s="46"/>
      <c r="S275" s="46"/>
      <c r="T275" s="46"/>
      <c r="U275" s="46"/>
      <c r="V275" s="46"/>
      <c r="W275" s="46"/>
      <c r="X275" s="46"/>
      <c r="Y275" s="46"/>
      <c r="Z275" s="46"/>
      <c r="AA275" s="46"/>
    </row>
    <row r="276">
      <c r="A276" s="4"/>
      <c r="B276" s="46"/>
      <c r="C276" s="46"/>
      <c r="D276" s="46"/>
      <c r="E276" s="18"/>
      <c r="F276" s="18"/>
      <c r="G276" s="46"/>
      <c r="H276" s="46"/>
      <c r="I276" s="46"/>
      <c r="J276" s="46"/>
      <c r="K276" s="46"/>
      <c r="L276" s="46"/>
      <c r="M276" s="46"/>
      <c r="N276" s="46"/>
      <c r="O276" s="46"/>
      <c r="P276" s="46"/>
      <c r="Q276" s="46"/>
      <c r="R276" s="46"/>
      <c r="S276" s="46"/>
      <c r="T276" s="46"/>
      <c r="U276" s="46"/>
      <c r="V276" s="46"/>
      <c r="W276" s="46"/>
      <c r="X276" s="46"/>
      <c r="Y276" s="46"/>
      <c r="Z276" s="46"/>
      <c r="AA276" s="46"/>
    </row>
    <row r="277">
      <c r="A277" s="4"/>
      <c r="B277" s="46"/>
      <c r="C277" s="46"/>
      <c r="D277" s="46"/>
      <c r="E277" s="18"/>
      <c r="F277" s="18"/>
      <c r="G277" s="46"/>
      <c r="H277" s="46"/>
      <c r="I277" s="46"/>
      <c r="J277" s="46"/>
      <c r="K277" s="46"/>
      <c r="L277" s="46"/>
      <c r="M277" s="46"/>
      <c r="N277" s="46"/>
      <c r="O277" s="46"/>
      <c r="P277" s="46"/>
      <c r="Q277" s="46"/>
      <c r="R277" s="46"/>
      <c r="S277" s="46"/>
      <c r="T277" s="46"/>
      <c r="U277" s="46"/>
      <c r="V277" s="46"/>
      <c r="W277" s="46"/>
      <c r="X277" s="46"/>
      <c r="Y277" s="46"/>
      <c r="Z277" s="46"/>
      <c r="AA277" s="46"/>
    </row>
    <row r="278">
      <c r="A278" s="4"/>
      <c r="B278" s="46"/>
      <c r="C278" s="46"/>
      <c r="D278" s="46"/>
      <c r="E278" s="18"/>
      <c r="F278" s="18"/>
      <c r="G278" s="46"/>
      <c r="H278" s="46"/>
      <c r="I278" s="46"/>
      <c r="J278" s="46"/>
      <c r="K278" s="46"/>
      <c r="L278" s="46"/>
      <c r="M278" s="46"/>
      <c r="N278" s="46"/>
      <c r="O278" s="46"/>
      <c r="P278" s="46"/>
      <c r="Q278" s="46"/>
      <c r="R278" s="46"/>
      <c r="S278" s="46"/>
      <c r="T278" s="46"/>
      <c r="U278" s="46"/>
      <c r="V278" s="46"/>
      <c r="W278" s="46"/>
      <c r="X278" s="46"/>
      <c r="Y278" s="46"/>
      <c r="Z278" s="46"/>
      <c r="AA278" s="46"/>
    </row>
    <row r="279">
      <c r="A279" s="4"/>
      <c r="B279" s="46"/>
      <c r="C279" s="46"/>
      <c r="D279" s="46"/>
      <c r="E279" s="18"/>
      <c r="F279" s="18"/>
      <c r="G279" s="46"/>
      <c r="H279" s="46"/>
      <c r="I279" s="46"/>
      <c r="J279" s="46"/>
      <c r="K279" s="46"/>
      <c r="L279" s="46"/>
      <c r="M279" s="46"/>
      <c r="N279" s="46"/>
      <c r="O279" s="46"/>
      <c r="P279" s="46"/>
      <c r="Q279" s="46"/>
      <c r="R279" s="46"/>
      <c r="S279" s="46"/>
      <c r="T279" s="46"/>
      <c r="U279" s="46"/>
      <c r="V279" s="46"/>
      <c r="W279" s="46"/>
      <c r="X279" s="46"/>
      <c r="Y279" s="46"/>
      <c r="Z279" s="46"/>
      <c r="AA279" s="46"/>
    </row>
    <row r="280">
      <c r="A280" s="4"/>
      <c r="B280" s="46"/>
      <c r="C280" s="46"/>
      <c r="D280" s="46"/>
      <c r="E280" s="18"/>
      <c r="F280" s="18"/>
      <c r="G280" s="46"/>
      <c r="H280" s="46"/>
      <c r="I280" s="46"/>
      <c r="J280" s="46"/>
      <c r="K280" s="46"/>
      <c r="L280" s="46"/>
      <c r="M280" s="46"/>
      <c r="N280" s="46"/>
      <c r="O280" s="46"/>
      <c r="P280" s="46"/>
      <c r="Q280" s="46"/>
      <c r="R280" s="46"/>
      <c r="S280" s="46"/>
      <c r="T280" s="46"/>
      <c r="U280" s="46"/>
      <c r="V280" s="46"/>
      <c r="W280" s="46"/>
      <c r="X280" s="46"/>
      <c r="Y280" s="46"/>
      <c r="Z280" s="46"/>
      <c r="AA280" s="46"/>
    </row>
    <row r="281">
      <c r="A281" s="4"/>
      <c r="B281" s="46"/>
      <c r="C281" s="46"/>
      <c r="D281" s="46"/>
      <c r="E281" s="18"/>
      <c r="F281" s="18"/>
      <c r="G281" s="46"/>
      <c r="H281" s="46"/>
      <c r="I281" s="46"/>
      <c r="J281" s="46"/>
      <c r="K281" s="46"/>
      <c r="L281" s="46"/>
      <c r="M281" s="46"/>
      <c r="N281" s="46"/>
      <c r="O281" s="46"/>
      <c r="P281" s="46"/>
      <c r="Q281" s="46"/>
      <c r="R281" s="46"/>
      <c r="S281" s="46"/>
      <c r="T281" s="46"/>
      <c r="U281" s="46"/>
      <c r="V281" s="46"/>
      <c r="W281" s="46"/>
      <c r="X281" s="46"/>
      <c r="Y281" s="46"/>
      <c r="Z281" s="46"/>
      <c r="AA281" s="46"/>
    </row>
    <row r="282">
      <c r="A282" s="4"/>
      <c r="B282" s="46"/>
      <c r="C282" s="46"/>
      <c r="D282" s="46"/>
      <c r="E282" s="18"/>
      <c r="F282" s="18"/>
      <c r="G282" s="46"/>
      <c r="H282" s="46"/>
      <c r="I282" s="46"/>
      <c r="J282" s="46"/>
      <c r="K282" s="46"/>
      <c r="L282" s="46"/>
      <c r="M282" s="46"/>
      <c r="N282" s="46"/>
      <c r="O282" s="46"/>
      <c r="P282" s="46"/>
      <c r="Q282" s="46"/>
      <c r="R282" s="46"/>
      <c r="S282" s="46"/>
      <c r="T282" s="46"/>
      <c r="U282" s="46"/>
      <c r="V282" s="46"/>
      <c r="W282" s="46"/>
      <c r="X282" s="46"/>
      <c r="Y282" s="46"/>
      <c r="Z282" s="46"/>
      <c r="AA282" s="46"/>
    </row>
    <row r="283">
      <c r="A283" s="4"/>
      <c r="B283" s="46"/>
      <c r="C283" s="46"/>
      <c r="D283" s="46"/>
      <c r="E283" s="18"/>
      <c r="F283" s="18"/>
      <c r="G283" s="46"/>
      <c r="H283" s="46"/>
      <c r="I283" s="46"/>
      <c r="J283" s="46"/>
      <c r="K283" s="46"/>
      <c r="L283" s="46"/>
      <c r="M283" s="46"/>
      <c r="N283" s="46"/>
      <c r="O283" s="46"/>
      <c r="P283" s="46"/>
      <c r="Q283" s="46"/>
      <c r="R283" s="46"/>
      <c r="S283" s="46"/>
      <c r="T283" s="46"/>
      <c r="U283" s="46"/>
      <c r="V283" s="46"/>
      <c r="W283" s="46"/>
      <c r="X283" s="46"/>
      <c r="Y283" s="46"/>
      <c r="Z283" s="46"/>
      <c r="AA283" s="46"/>
    </row>
    <row r="284">
      <c r="A284" s="4"/>
      <c r="B284" s="46"/>
      <c r="C284" s="46"/>
      <c r="D284" s="46"/>
      <c r="E284" s="18"/>
      <c r="F284" s="18"/>
      <c r="G284" s="46"/>
      <c r="H284" s="46"/>
      <c r="I284" s="46"/>
      <c r="J284" s="46"/>
      <c r="K284" s="46"/>
      <c r="L284" s="46"/>
      <c r="M284" s="46"/>
      <c r="N284" s="46"/>
      <c r="O284" s="46"/>
      <c r="P284" s="46"/>
      <c r="Q284" s="46"/>
      <c r="R284" s="46"/>
      <c r="S284" s="46"/>
      <c r="T284" s="46"/>
      <c r="U284" s="46"/>
      <c r="V284" s="46"/>
      <c r="W284" s="46"/>
      <c r="X284" s="46"/>
      <c r="Y284" s="46"/>
      <c r="Z284" s="46"/>
      <c r="AA284" s="46"/>
    </row>
    <row r="285">
      <c r="A285" s="4"/>
      <c r="B285" s="46"/>
      <c r="C285" s="46"/>
      <c r="D285" s="46"/>
      <c r="E285" s="18"/>
      <c r="F285" s="18"/>
      <c r="G285" s="46"/>
      <c r="H285" s="46"/>
      <c r="I285" s="46"/>
      <c r="J285" s="46"/>
      <c r="K285" s="46"/>
      <c r="L285" s="46"/>
      <c r="M285" s="46"/>
      <c r="N285" s="46"/>
      <c r="O285" s="46"/>
      <c r="P285" s="46"/>
      <c r="Q285" s="46"/>
      <c r="R285" s="46"/>
      <c r="S285" s="46"/>
      <c r="T285" s="46"/>
      <c r="U285" s="46"/>
      <c r="V285" s="46"/>
      <c r="W285" s="46"/>
      <c r="X285" s="46"/>
      <c r="Y285" s="46"/>
      <c r="Z285" s="46"/>
      <c r="AA285" s="46"/>
    </row>
    <row r="286">
      <c r="A286" s="4"/>
      <c r="B286" s="46"/>
      <c r="C286" s="46"/>
      <c r="D286" s="46"/>
      <c r="E286" s="18"/>
      <c r="F286" s="18"/>
      <c r="G286" s="46"/>
      <c r="H286" s="46"/>
      <c r="I286" s="46"/>
      <c r="J286" s="46"/>
      <c r="K286" s="46"/>
      <c r="L286" s="46"/>
      <c r="M286" s="46"/>
      <c r="N286" s="46"/>
      <c r="O286" s="46"/>
      <c r="P286" s="46"/>
      <c r="Q286" s="46"/>
      <c r="R286" s="46"/>
      <c r="S286" s="46"/>
      <c r="T286" s="46"/>
      <c r="U286" s="46"/>
      <c r="V286" s="46"/>
      <c r="W286" s="46"/>
      <c r="X286" s="46"/>
      <c r="Y286" s="46"/>
      <c r="Z286" s="46"/>
      <c r="AA286" s="46"/>
    </row>
    <row r="287">
      <c r="A287" s="4"/>
      <c r="B287" s="46"/>
      <c r="C287" s="46"/>
      <c r="D287" s="46"/>
      <c r="E287" s="18"/>
      <c r="F287" s="18"/>
      <c r="G287" s="46"/>
      <c r="H287" s="46"/>
      <c r="I287" s="46"/>
      <c r="J287" s="46"/>
      <c r="K287" s="46"/>
      <c r="L287" s="46"/>
      <c r="M287" s="46"/>
      <c r="N287" s="46"/>
      <c r="O287" s="46"/>
      <c r="P287" s="46"/>
      <c r="Q287" s="46"/>
      <c r="R287" s="46"/>
      <c r="S287" s="46"/>
      <c r="T287" s="46"/>
      <c r="U287" s="46"/>
      <c r="V287" s="46"/>
      <c r="W287" s="46"/>
      <c r="X287" s="46"/>
      <c r="Y287" s="46"/>
      <c r="Z287" s="46"/>
      <c r="AA287" s="46"/>
    </row>
    <row r="288">
      <c r="A288" s="4"/>
      <c r="B288" s="46"/>
      <c r="C288" s="46"/>
      <c r="D288" s="46"/>
      <c r="E288" s="18"/>
      <c r="F288" s="18"/>
      <c r="G288" s="46"/>
      <c r="H288" s="46"/>
      <c r="I288" s="46"/>
      <c r="J288" s="46"/>
      <c r="K288" s="46"/>
      <c r="L288" s="46"/>
      <c r="M288" s="46"/>
      <c r="N288" s="46"/>
      <c r="O288" s="46"/>
      <c r="P288" s="46"/>
      <c r="Q288" s="46"/>
      <c r="R288" s="46"/>
      <c r="S288" s="46"/>
      <c r="T288" s="46"/>
      <c r="U288" s="46"/>
      <c r="V288" s="46"/>
      <c r="W288" s="46"/>
      <c r="X288" s="46"/>
      <c r="Y288" s="46"/>
      <c r="Z288" s="46"/>
      <c r="AA288" s="46"/>
    </row>
    <row r="289">
      <c r="A289" s="4"/>
      <c r="B289" s="46"/>
      <c r="C289" s="46"/>
      <c r="D289" s="46"/>
      <c r="E289" s="18"/>
      <c r="F289" s="18"/>
      <c r="G289" s="46"/>
      <c r="H289" s="46"/>
      <c r="I289" s="46"/>
      <c r="J289" s="46"/>
      <c r="K289" s="46"/>
      <c r="L289" s="46"/>
      <c r="M289" s="46"/>
      <c r="N289" s="46"/>
      <c r="O289" s="46"/>
      <c r="P289" s="46"/>
      <c r="Q289" s="46"/>
      <c r="R289" s="46"/>
      <c r="S289" s="46"/>
      <c r="T289" s="46"/>
      <c r="U289" s="46"/>
      <c r="V289" s="46"/>
      <c r="W289" s="46"/>
      <c r="X289" s="46"/>
      <c r="Y289" s="46"/>
      <c r="Z289" s="46"/>
      <c r="AA289" s="46"/>
    </row>
    <row r="290">
      <c r="A290" s="4"/>
      <c r="B290" s="46"/>
      <c r="C290" s="46"/>
      <c r="D290" s="46"/>
      <c r="E290" s="18"/>
      <c r="F290" s="18"/>
      <c r="G290" s="46"/>
      <c r="H290" s="46"/>
      <c r="I290" s="46"/>
      <c r="J290" s="46"/>
      <c r="K290" s="46"/>
      <c r="L290" s="46"/>
      <c r="M290" s="46"/>
      <c r="N290" s="46"/>
      <c r="O290" s="46"/>
      <c r="P290" s="46"/>
      <c r="Q290" s="46"/>
      <c r="R290" s="46"/>
      <c r="S290" s="46"/>
      <c r="T290" s="46"/>
      <c r="U290" s="46"/>
      <c r="V290" s="46"/>
      <c r="W290" s="46"/>
      <c r="X290" s="46"/>
      <c r="Y290" s="46"/>
      <c r="Z290" s="46"/>
      <c r="AA290" s="46"/>
    </row>
    <row r="291">
      <c r="A291" s="4"/>
      <c r="B291" s="46"/>
      <c r="C291" s="46"/>
      <c r="D291" s="46"/>
      <c r="E291" s="18"/>
      <c r="F291" s="18"/>
      <c r="G291" s="46"/>
      <c r="H291" s="46"/>
      <c r="I291" s="46"/>
      <c r="J291" s="46"/>
      <c r="K291" s="46"/>
      <c r="L291" s="46"/>
      <c r="M291" s="46"/>
      <c r="N291" s="46"/>
      <c r="O291" s="46"/>
      <c r="P291" s="46"/>
      <c r="Q291" s="46"/>
      <c r="R291" s="46"/>
      <c r="S291" s="46"/>
      <c r="T291" s="46"/>
      <c r="U291" s="46"/>
      <c r="V291" s="46"/>
      <c r="W291" s="46"/>
      <c r="X291" s="46"/>
      <c r="Y291" s="46"/>
      <c r="Z291" s="46"/>
      <c r="AA291" s="46"/>
    </row>
    <row r="292">
      <c r="A292" s="4"/>
      <c r="B292" s="46"/>
      <c r="C292" s="46"/>
      <c r="D292" s="46"/>
      <c r="E292" s="18"/>
      <c r="F292" s="18"/>
      <c r="G292" s="46"/>
      <c r="H292" s="46"/>
      <c r="I292" s="46"/>
      <c r="J292" s="46"/>
      <c r="K292" s="46"/>
      <c r="L292" s="46"/>
      <c r="M292" s="46"/>
      <c r="N292" s="46"/>
      <c r="O292" s="46"/>
      <c r="P292" s="46"/>
      <c r="Q292" s="46"/>
      <c r="R292" s="46"/>
      <c r="S292" s="46"/>
      <c r="T292" s="46"/>
      <c r="U292" s="46"/>
      <c r="V292" s="46"/>
      <c r="W292" s="46"/>
      <c r="X292" s="46"/>
      <c r="Y292" s="46"/>
      <c r="Z292" s="46"/>
      <c r="AA292" s="46"/>
    </row>
    <row r="293">
      <c r="A293" s="4"/>
      <c r="B293" s="46"/>
      <c r="C293" s="46"/>
      <c r="D293" s="46"/>
      <c r="E293" s="18"/>
      <c r="F293" s="18"/>
      <c r="G293" s="46"/>
      <c r="H293" s="46"/>
      <c r="I293" s="46"/>
      <c r="J293" s="46"/>
      <c r="K293" s="46"/>
      <c r="L293" s="46"/>
      <c r="M293" s="46"/>
      <c r="N293" s="46"/>
      <c r="O293" s="46"/>
      <c r="P293" s="46"/>
      <c r="Q293" s="46"/>
      <c r="R293" s="46"/>
      <c r="S293" s="46"/>
      <c r="T293" s="46"/>
      <c r="U293" s="46"/>
      <c r="V293" s="46"/>
      <c r="W293" s="46"/>
      <c r="X293" s="46"/>
      <c r="Y293" s="46"/>
      <c r="Z293" s="46"/>
      <c r="AA293" s="46"/>
    </row>
    <row r="294">
      <c r="A294" s="4"/>
      <c r="B294" s="46"/>
      <c r="C294" s="46"/>
      <c r="D294" s="46"/>
      <c r="E294" s="18"/>
      <c r="F294" s="18"/>
      <c r="G294" s="46"/>
      <c r="H294" s="46"/>
      <c r="I294" s="46"/>
      <c r="J294" s="46"/>
      <c r="K294" s="46"/>
      <c r="L294" s="46"/>
      <c r="M294" s="46"/>
      <c r="N294" s="46"/>
      <c r="O294" s="46"/>
      <c r="P294" s="46"/>
      <c r="Q294" s="46"/>
      <c r="R294" s="46"/>
      <c r="S294" s="46"/>
      <c r="T294" s="46"/>
      <c r="U294" s="46"/>
      <c r="V294" s="46"/>
      <c r="W294" s="46"/>
      <c r="X294" s="46"/>
      <c r="Y294" s="46"/>
      <c r="Z294" s="46"/>
      <c r="AA294" s="46"/>
    </row>
    <row r="295">
      <c r="A295" s="4"/>
      <c r="B295" s="46"/>
      <c r="C295" s="46"/>
      <c r="D295" s="46"/>
      <c r="E295" s="18"/>
      <c r="F295" s="18"/>
      <c r="G295" s="46"/>
      <c r="H295" s="46"/>
      <c r="I295" s="46"/>
      <c r="J295" s="46"/>
      <c r="K295" s="46"/>
      <c r="L295" s="46"/>
      <c r="M295" s="46"/>
      <c r="N295" s="46"/>
      <c r="O295" s="46"/>
      <c r="P295" s="46"/>
      <c r="Q295" s="46"/>
      <c r="R295" s="46"/>
      <c r="S295" s="46"/>
      <c r="T295" s="46"/>
      <c r="U295" s="46"/>
      <c r="V295" s="46"/>
      <c r="W295" s="46"/>
      <c r="X295" s="46"/>
      <c r="Y295" s="46"/>
      <c r="Z295" s="46"/>
      <c r="AA295" s="46"/>
    </row>
    <row r="296">
      <c r="A296" s="4"/>
      <c r="B296" s="46"/>
      <c r="C296" s="46"/>
      <c r="D296" s="46"/>
      <c r="E296" s="18"/>
      <c r="F296" s="18"/>
      <c r="G296" s="46"/>
      <c r="H296" s="46"/>
      <c r="I296" s="46"/>
      <c r="J296" s="46"/>
      <c r="K296" s="46"/>
      <c r="L296" s="46"/>
      <c r="M296" s="46"/>
      <c r="N296" s="46"/>
      <c r="O296" s="46"/>
      <c r="P296" s="46"/>
      <c r="Q296" s="46"/>
      <c r="R296" s="46"/>
      <c r="S296" s="46"/>
      <c r="T296" s="46"/>
      <c r="U296" s="46"/>
      <c r="V296" s="46"/>
      <c r="W296" s="46"/>
      <c r="X296" s="46"/>
      <c r="Y296" s="46"/>
      <c r="Z296" s="46"/>
      <c r="AA296" s="46"/>
    </row>
    <row r="297">
      <c r="A297" s="4"/>
      <c r="B297" s="46"/>
      <c r="C297" s="46"/>
      <c r="D297" s="46"/>
      <c r="E297" s="18"/>
      <c r="F297" s="18"/>
      <c r="G297" s="46"/>
      <c r="H297" s="46"/>
      <c r="I297" s="46"/>
      <c r="J297" s="46"/>
      <c r="K297" s="46"/>
      <c r="L297" s="46"/>
      <c r="M297" s="46"/>
      <c r="N297" s="46"/>
      <c r="O297" s="46"/>
      <c r="P297" s="46"/>
      <c r="Q297" s="46"/>
      <c r="R297" s="46"/>
      <c r="S297" s="46"/>
      <c r="T297" s="46"/>
      <c r="U297" s="46"/>
      <c r="V297" s="46"/>
      <c r="W297" s="46"/>
      <c r="X297" s="46"/>
      <c r="Y297" s="46"/>
      <c r="Z297" s="46"/>
      <c r="AA297" s="46"/>
    </row>
    <row r="298">
      <c r="A298" s="4"/>
      <c r="B298" s="46"/>
      <c r="C298" s="46"/>
      <c r="D298" s="46"/>
      <c r="E298" s="18"/>
      <c r="F298" s="18"/>
      <c r="G298" s="46"/>
      <c r="H298" s="46"/>
      <c r="I298" s="46"/>
      <c r="J298" s="46"/>
      <c r="K298" s="46"/>
      <c r="L298" s="46"/>
      <c r="M298" s="46"/>
      <c r="N298" s="46"/>
      <c r="O298" s="46"/>
      <c r="P298" s="46"/>
      <c r="Q298" s="46"/>
      <c r="R298" s="46"/>
      <c r="S298" s="46"/>
      <c r="T298" s="46"/>
      <c r="U298" s="46"/>
      <c r="V298" s="46"/>
      <c r="W298" s="46"/>
      <c r="X298" s="46"/>
      <c r="Y298" s="46"/>
      <c r="Z298" s="46"/>
      <c r="AA298" s="46"/>
    </row>
    <row r="299">
      <c r="A299" s="4"/>
      <c r="B299" s="46"/>
      <c r="C299" s="46"/>
      <c r="D299" s="46"/>
      <c r="E299" s="18"/>
      <c r="F299" s="18"/>
      <c r="G299" s="46"/>
      <c r="H299" s="46"/>
      <c r="I299" s="46"/>
      <c r="J299" s="46"/>
      <c r="K299" s="46"/>
      <c r="L299" s="46"/>
      <c r="M299" s="46"/>
      <c r="N299" s="46"/>
      <c r="O299" s="46"/>
      <c r="P299" s="46"/>
      <c r="Q299" s="46"/>
      <c r="R299" s="46"/>
      <c r="S299" s="46"/>
      <c r="T299" s="46"/>
      <c r="U299" s="46"/>
      <c r="V299" s="46"/>
      <c r="W299" s="46"/>
      <c r="X299" s="46"/>
      <c r="Y299" s="46"/>
      <c r="Z299" s="46"/>
      <c r="AA299" s="46"/>
    </row>
    <row r="300">
      <c r="A300" s="4"/>
      <c r="B300" s="46"/>
      <c r="C300" s="46"/>
      <c r="D300" s="46"/>
      <c r="E300" s="18"/>
      <c r="F300" s="18"/>
      <c r="G300" s="46"/>
      <c r="H300" s="46"/>
      <c r="I300" s="46"/>
      <c r="J300" s="46"/>
      <c r="K300" s="46"/>
      <c r="L300" s="46"/>
      <c r="M300" s="46"/>
      <c r="N300" s="46"/>
      <c r="O300" s="46"/>
      <c r="P300" s="46"/>
      <c r="Q300" s="46"/>
      <c r="R300" s="46"/>
      <c r="S300" s="46"/>
      <c r="T300" s="46"/>
      <c r="U300" s="46"/>
      <c r="V300" s="46"/>
      <c r="W300" s="46"/>
      <c r="X300" s="46"/>
      <c r="Y300" s="46"/>
      <c r="Z300" s="46"/>
      <c r="AA300" s="46"/>
    </row>
    <row r="301">
      <c r="A301" s="4"/>
      <c r="B301" s="46"/>
      <c r="C301" s="46"/>
      <c r="D301" s="46"/>
      <c r="E301" s="18"/>
      <c r="F301" s="18"/>
      <c r="G301" s="46"/>
      <c r="H301" s="46"/>
      <c r="I301" s="46"/>
      <c r="J301" s="46"/>
      <c r="K301" s="46"/>
      <c r="L301" s="46"/>
      <c r="M301" s="46"/>
      <c r="N301" s="46"/>
      <c r="O301" s="46"/>
      <c r="P301" s="46"/>
      <c r="Q301" s="46"/>
      <c r="R301" s="46"/>
      <c r="S301" s="46"/>
      <c r="T301" s="46"/>
      <c r="U301" s="46"/>
      <c r="V301" s="46"/>
      <c r="W301" s="46"/>
      <c r="X301" s="46"/>
      <c r="Y301" s="46"/>
      <c r="Z301" s="46"/>
      <c r="AA301" s="46"/>
    </row>
    <row r="302">
      <c r="A302" s="4"/>
      <c r="B302" s="46"/>
      <c r="C302" s="46"/>
      <c r="D302" s="46"/>
      <c r="E302" s="18"/>
      <c r="F302" s="18"/>
      <c r="G302" s="46"/>
      <c r="H302" s="46"/>
      <c r="I302" s="46"/>
      <c r="J302" s="46"/>
      <c r="K302" s="46"/>
      <c r="L302" s="46"/>
      <c r="M302" s="46"/>
      <c r="N302" s="46"/>
      <c r="O302" s="46"/>
      <c r="P302" s="46"/>
      <c r="Q302" s="46"/>
      <c r="R302" s="46"/>
      <c r="S302" s="46"/>
      <c r="T302" s="46"/>
      <c r="U302" s="46"/>
      <c r="V302" s="46"/>
      <c r="W302" s="46"/>
      <c r="X302" s="46"/>
      <c r="Y302" s="46"/>
      <c r="Z302" s="46"/>
      <c r="AA302" s="46"/>
    </row>
    <row r="303">
      <c r="A303" s="4"/>
      <c r="B303" s="46"/>
      <c r="C303" s="46"/>
      <c r="D303" s="46"/>
      <c r="E303" s="18"/>
      <c r="F303" s="18"/>
      <c r="G303" s="46"/>
      <c r="H303" s="46"/>
      <c r="I303" s="46"/>
      <c r="J303" s="46"/>
      <c r="K303" s="46"/>
      <c r="L303" s="46"/>
      <c r="M303" s="46"/>
      <c r="N303" s="46"/>
      <c r="O303" s="46"/>
      <c r="P303" s="46"/>
      <c r="Q303" s="46"/>
      <c r="R303" s="46"/>
      <c r="S303" s="46"/>
      <c r="T303" s="46"/>
      <c r="U303" s="46"/>
      <c r="V303" s="46"/>
      <c r="W303" s="46"/>
      <c r="X303" s="46"/>
      <c r="Y303" s="46"/>
      <c r="Z303" s="46"/>
      <c r="AA303" s="46"/>
    </row>
    <row r="304">
      <c r="A304" s="4"/>
      <c r="B304" s="46"/>
      <c r="C304" s="46"/>
      <c r="D304" s="46"/>
      <c r="E304" s="18"/>
      <c r="F304" s="18"/>
      <c r="G304" s="46"/>
      <c r="H304" s="46"/>
      <c r="I304" s="46"/>
      <c r="J304" s="46"/>
      <c r="K304" s="46"/>
      <c r="L304" s="46"/>
      <c r="M304" s="46"/>
      <c r="N304" s="46"/>
      <c r="O304" s="46"/>
      <c r="P304" s="46"/>
      <c r="Q304" s="46"/>
      <c r="R304" s="46"/>
      <c r="S304" s="46"/>
      <c r="T304" s="46"/>
      <c r="U304" s="46"/>
      <c r="V304" s="46"/>
      <c r="W304" s="46"/>
      <c r="X304" s="46"/>
      <c r="Y304" s="46"/>
      <c r="Z304" s="46"/>
      <c r="AA304" s="46"/>
    </row>
    <row r="305">
      <c r="A305" s="4"/>
      <c r="B305" s="46"/>
      <c r="C305" s="46"/>
      <c r="D305" s="46"/>
      <c r="E305" s="18"/>
      <c r="F305" s="18"/>
      <c r="G305" s="46"/>
      <c r="H305" s="46"/>
      <c r="I305" s="46"/>
      <c r="J305" s="46"/>
      <c r="K305" s="46"/>
      <c r="L305" s="46"/>
      <c r="M305" s="46"/>
      <c r="N305" s="46"/>
      <c r="O305" s="46"/>
      <c r="P305" s="46"/>
      <c r="Q305" s="46"/>
      <c r="R305" s="46"/>
      <c r="S305" s="46"/>
      <c r="T305" s="46"/>
      <c r="U305" s="46"/>
      <c r="V305" s="46"/>
      <c r="W305" s="46"/>
      <c r="X305" s="46"/>
      <c r="Y305" s="46"/>
      <c r="Z305" s="46"/>
      <c r="AA305" s="46"/>
    </row>
    <row r="306">
      <c r="A306" s="4"/>
      <c r="B306" s="46"/>
      <c r="C306" s="46"/>
      <c r="D306" s="46"/>
      <c r="E306" s="18"/>
      <c r="F306" s="18"/>
      <c r="G306" s="46"/>
      <c r="H306" s="46"/>
      <c r="I306" s="46"/>
      <c r="J306" s="46"/>
      <c r="K306" s="46"/>
      <c r="L306" s="46"/>
      <c r="M306" s="46"/>
      <c r="N306" s="46"/>
      <c r="O306" s="46"/>
      <c r="P306" s="46"/>
      <c r="Q306" s="46"/>
      <c r="R306" s="46"/>
      <c r="S306" s="46"/>
      <c r="T306" s="46"/>
      <c r="U306" s="46"/>
      <c r="V306" s="46"/>
      <c r="W306" s="46"/>
      <c r="X306" s="46"/>
      <c r="Y306" s="46"/>
      <c r="Z306" s="46"/>
      <c r="AA306" s="46"/>
    </row>
    <row r="307">
      <c r="A307" s="4"/>
      <c r="B307" s="46"/>
      <c r="C307" s="46"/>
      <c r="D307" s="46"/>
      <c r="E307" s="18"/>
      <c r="F307" s="18"/>
      <c r="G307" s="46"/>
      <c r="H307" s="46"/>
      <c r="I307" s="46"/>
      <c r="J307" s="46"/>
      <c r="K307" s="46"/>
      <c r="L307" s="46"/>
      <c r="M307" s="46"/>
      <c r="N307" s="46"/>
      <c r="O307" s="46"/>
      <c r="P307" s="46"/>
      <c r="Q307" s="46"/>
      <c r="R307" s="46"/>
      <c r="S307" s="46"/>
      <c r="T307" s="46"/>
      <c r="U307" s="46"/>
      <c r="V307" s="46"/>
      <c r="W307" s="46"/>
      <c r="X307" s="46"/>
      <c r="Y307" s="46"/>
      <c r="Z307" s="46"/>
      <c r="AA307" s="46"/>
    </row>
    <row r="308">
      <c r="A308" s="4"/>
      <c r="B308" s="46"/>
      <c r="C308" s="46"/>
      <c r="D308" s="46"/>
      <c r="E308" s="18"/>
      <c r="F308" s="18"/>
      <c r="G308" s="46"/>
      <c r="H308" s="46"/>
      <c r="I308" s="46"/>
      <c r="J308" s="46"/>
      <c r="K308" s="46"/>
      <c r="L308" s="46"/>
      <c r="M308" s="46"/>
      <c r="N308" s="46"/>
      <c r="O308" s="46"/>
      <c r="P308" s="46"/>
      <c r="Q308" s="46"/>
      <c r="R308" s="46"/>
      <c r="S308" s="46"/>
      <c r="T308" s="46"/>
      <c r="U308" s="46"/>
      <c r="V308" s="46"/>
      <c r="W308" s="46"/>
      <c r="X308" s="46"/>
      <c r="Y308" s="46"/>
      <c r="Z308" s="46"/>
      <c r="AA308" s="46"/>
    </row>
    <row r="309">
      <c r="A309" s="4"/>
      <c r="B309" s="46"/>
      <c r="C309" s="46"/>
      <c r="D309" s="46"/>
      <c r="E309" s="18"/>
      <c r="F309" s="18"/>
      <c r="G309" s="46"/>
      <c r="H309" s="46"/>
      <c r="I309" s="46"/>
      <c r="J309" s="46"/>
      <c r="K309" s="46"/>
      <c r="L309" s="46"/>
      <c r="M309" s="46"/>
      <c r="N309" s="46"/>
      <c r="O309" s="46"/>
      <c r="P309" s="46"/>
      <c r="Q309" s="46"/>
      <c r="R309" s="46"/>
      <c r="S309" s="46"/>
      <c r="T309" s="46"/>
      <c r="U309" s="46"/>
      <c r="V309" s="46"/>
      <c r="W309" s="46"/>
      <c r="X309" s="46"/>
      <c r="Y309" s="46"/>
      <c r="Z309" s="46"/>
      <c r="AA309" s="46"/>
    </row>
    <row r="310">
      <c r="A310" s="4"/>
      <c r="B310" s="46"/>
      <c r="C310" s="46"/>
      <c r="D310" s="46"/>
      <c r="E310" s="18"/>
      <c r="F310" s="18"/>
      <c r="G310" s="46"/>
      <c r="H310" s="46"/>
      <c r="I310" s="46"/>
      <c r="J310" s="46"/>
      <c r="K310" s="46"/>
      <c r="L310" s="46"/>
      <c r="M310" s="46"/>
      <c r="N310" s="46"/>
      <c r="O310" s="46"/>
      <c r="P310" s="46"/>
      <c r="Q310" s="46"/>
      <c r="R310" s="46"/>
      <c r="S310" s="46"/>
      <c r="T310" s="46"/>
      <c r="U310" s="46"/>
      <c r="V310" s="46"/>
      <c r="W310" s="46"/>
      <c r="X310" s="46"/>
      <c r="Y310" s="46"/>
      <c r="Z310" s="46"/>
      <c r="AA310" s="46"/>
    </row>
    <row r="311">
      <c r="A311" s="4"/>
      <c r="B311" s="46"/>
      <c r="C311" s="46"/>
      <c r="D311" s="46"/>
      <c r="E311" s="18"/>
      <c r="F311" s="18"/>
      <c r="G311" s="46"/>
      <c r="H311" s="46"/>
      <c r="I311" s="46"/>
      <c r="J311" s="46"/>
      <c r="K311" s="46"/>
      <c r="L311" s="46"/>
      <c r="M311" s="46"/>
      <c r="N311" s="46"/>
      <c r="O311" s="46"/>
      <c r="P311" s="46"/>
      <c r="Q311" s="46"/>
      <c r="R311" s="46"/>
      <c r="S311" s="46"/>
      <c r="T311" s="46"/>
      <c r="U311" s="46"/>
      <c r="V311" s="46"/>
      <c r="W311" s="46"/>
      <c r="X311" s="46"/>
      <c r="Y311" s="46"/>
      <c r="Z311" s="46"/>
      <c r="AA311" s="46"/>
    </row>
    <row r="312">
      <c r="A312" s="4"/>
      <c r="B312" s="46"/>
      <c r="C312" s="46"/>
      <c r="D312" s="46"/>
      <c r="E312" s="18"/>
      <c r="F312" s="18"/>
      <c r="G312" s="46"/>
      <c r="H312" s="46"/>
      <c r="I312" s="46"/>
      <c r="J312" s="46"/>
      <c r="K312" s="46"/>
      <c r="L312" s="46"/>
      <c r="M312" s="46"/>
      <c r="N312" s="46"/>
      <c r="O312" s="46"/>
      <c r="P312" s="46"/>
      <c r="Q312" s="46"/>
      <c r="R312" s="46"/>
      <c r="S312" s="46"/>
      <c r="T312" s="46"/>
      <c r="U312" s="46"/>
      <c r="V312" s="46"/>
      <c r="W312" s="46"/>
      <c r="X312" s="46"/>
      <c r="Y312" s="46"/>
      <c r="Z312" s="46"/>
      <c r="AA312" s="46"/>
    </row>
    <row r="313">
      <c r="A313" s="4"/>
      <c r="B313" s="46"/>
      <c r="C313" s="46"/>
      <c r="D313" s="46"/>
      <c r="E313" s="18"/>
      <c r="F313" s="18"/>
      <c r="G313" s="46"/>
      <c r="H313" s="46"/>
      <c r="I313" s="46"/>
      <c r="J313" s="46"/>
      <c r="K313" s="46"/>
      <c r="L313" s="46"/>
      <c r="M313" s="46"/>
      <c r="N313" s="46"/>
      <c r="O313" s="46"/>
      <c r="P313" s="46"/>
      <c r="Q313" s="46"/>
      <c r="R313" s="46"/>
      <c r="S313" s="46"/>
      <c r="T313" s="46"/>
      <c r="U313" s="46"/>
      <c r="V313" s="46"/>
      <c r="W313" s="46"/>
      <c r="X313" s="46"/>
      <c r="Y313" s="46"/>
      <c r="Z313" s="46"/>
      <c r="AA313" s="46"/>
    </row>
    <row r="314">
      <c r="A314" s="4"/>
      <c r="B314" s="46"/>
      <c r="C314" s="46"/>
      <c r="D314" s="46"/>
      <c r="E314" s="18"/>
      <c r="F314" s="18"/>
      <c r="G314" s="46"/>
      <c r="H314" s="46"/>
      <c r="I314" s="46"/>
      <c r="J314" s="46"/>
      <c r="K314" s="46"/>
      <c r="L314" s="46"/>
      <c r="M314" s="46"/>
      <c r="N314" s="46"/>
      <c r="O314" s="46"/>
      <c r="P314" s="46"/>
      <c r="Q314" s="46"/>
      <c r="R314" s="46"/>
      <c r="S314" s="46"/>
      <c r="T314" s="46"/>
      <c r="U314" s="46"/>
      <c r="V314" s="46"/>
      <c r="W314" s="46"/>
      <c r="X314" s="46"/>
      <c r="Y314" s="46"/>
      <c r="Z314" s="46"/>
      <c r="AA314" s="46"/>
    </row>
    <row r="315">
      <c r="A315" s="4"/>
      <c r="B315" s="46"/>
      <c r="C315" s="46"/>
      <c r="D315" s="46"/>
      <c r="E315" s="18"/>
      <c r="F315" s="18"/>
      <c r="G315" s="46"/>
      <c r="H315" s="46"/>
      <c r="I315" s="46"/>
      <c r="J315" s="46"/>
      <c r="K315" s="46"/>
      <c r="L315" s="46"/>
      <c r="M315" s="46"/>
      <c r="N315" s="46"/>
      <c r="O315" s="46"/>
      <c r="P315" s="46"/>
      <c r="Q315" s="46"/>
      <c r="R315" s="46"/>
      <c r="S315" s="46"/>
      <c r="T315" s="46"/>
      <c r="U315" s="46"/>
      <c r="V315" s="46"/>
      <c r="W315" s="46"/>
      <c r="X315" s="46"/>
      <c r="Y315" s="46"/>
      <c r="Z315" s="46"/>
      <c r="AA315" s="46"/>
    </row>
    <row r="316">
      <c r="A316" s="4"/>
      <c r="B316" s="46"/>
      <c r="C316" s="46"/>
      <c r="D316" s="46"/>
      <c r="E316" s="18"/>
      <c r="F316" s="18"/>
      <c r="G316" s="46"/>
      <c r="H316" s="46"/>
      <c r="I316" s="46"/>
      <c r="J316" s="46"/>
      <c r="K316" s="46"/>
      <c r="L316" s="46"/>
      <c r="M316" s="46"/>
      <c r="N316" s="46"/>
      <c r="O316" s="46"/>
      <c r="P316" s="46"/>
      <c r="Q316" s="46"/>
      <c r="R316" s="46"/>
      <c r="S316" s="46"/>
      <c r="T316" s="46"/>
      <c r="U316" s="46"/>
      <c r="V316" s="46"/>
      <c r="W316" s="46"/>
      <c r="X316" s="46"/>
      <c r="Y316" s="46"/>
      <c r="Z316" s="46"/>
      <c r="AA316" s="46"/>
    </row>
    <row r="317">
      <c r="A317" s="4"/>
      <c r="B317" s="46"/>
      <c r="C317" s="46"/>
      <c r="D317" s="46"/>
      <c r="E317" s="18"/>
      <c r="F317" s="18"/>
      <c r="G317" s="46"/>
      <c r="H317" s="46"/>
      <c r="I317" s="46"/>
      <c r="J317" s="46"/>
      <c r="K317" s="46"/>
      <c r="L317" s="46"/>
      <c r="M317" s="46"/>
      <c r="N317" s="46"/>
      <c r="O317" s="46"/>
      <c r="P317" s="46"/>
      <c r="Q317" s="46"/>
      <c r="R317" s="46"/>
      <c r="S317" s="46"/>
      <c r="T317" s="46"/>
      <c r="U317" s="46"/>
      <c r="V317" s="46"/>
      <c r="W317" s="46"/>
      <c r="X317" s="46"/>
      <c r="Y317" s="46"/>
      <c r="Z317" s="46"/>
      <c r="AA317" s="46"/>
    </row>
    <row r="318">
      <c r="A318" s="4"/>
      <c r="B318" s="46"/>
      <c r="C318" s="46"/>
      <c r="D318" s="46"/>
      <c r="E318" s="18"/>
      <c r="F318" s="18"/>
      <c r="G318" s="46"/>
      <c r="H318" s="46"/>
      <c r="I318" s="46"/>
      <c r="J318" s="46"/>
      <c r="K318" s="46"/>
      <c r="L318" s="46"/>
      <c r="M318" s="46"/>
      <c r="N318" s="46"/>
      <c r="O318" s="46"/>
      <c r="P318" s="46"/>
      <c r="Q318" s="46"/>
      <c r="R318" s="46"/>
      <c r="S318" s="46"/>
      <c r="T318" s="46"/>
      <c r="U318" s="46"/>
      <c r="V318" s="46"/>
      <c r="W318" s="46"/>
      <c r="X318" s="46"/>
      <c r="Y318" s="46"/>
      <c r="Z318" s="46"/>
      <c r="AA318" s="46"/>
    </row>
    <row r="319">
      <c r="A319" s="4"/>
      <c r="B319" s="46"/>
      <c r="C319" s="46"/>
      <c r="D319" s="46"/>
      <c r="E319" s="18"/>
      <c r="F319" s="18"/>
      <c r="G319" s="46"/>
      <c r="H319" s="46"/>
      <c r="I319" s="46"/>
      <c r="J319" s="46"/>
      <c r="K319" s="46"/>
      <c r="L319" s="46"/>
      <c r="M319" s="46"/>
      <c r="N319" s="46"/>
      <c r="O319" s="46"/>
      <c r="P319" s="46"/>
      <c r="Q319" s="46"/>
      <c r="R319" s="46"/>
      <c r="S319" s="46"/>
      <c r="T319" s="46"/>
      <c r="U319" s="46"/>
      <c r="V319" s="46"/>
      <c r="W319" s="46"/>
      <c r="X319" s="46"/>
      <c r="Y319" s="46"/>
      <c r="Z319" s="46"/>
      <c r="AA319" s="46"/>
    </row>
    <row r="320">
      <c r="A320" s="4"/>
      <c r="B320" s="46"/>
      <c r="C320" s="46"/>
      <c r="D320" s="46"/>
      <c r="E320" s="18"/>
      <c r="F320" s="18"/>
      <c r="G320" s="46"/>
      <c r="H320" s="46"/>
      <c r="I320" s="46"/>
      <c r="J320" s="46"/>
      <c r="K320" s="46"/>
      <c r="L320" s="46"/>
      <c r="M320" s="46"/>
      <c r="N320" s="46"/>
      <c r="O320" s="46"/>
      <c r="P320" s="46"/>
      <c r="Q320" s="46"/>
      <c r="R320" s="46"/>
      <c r="S320" s="46"/>
      <c r="T320" s="46"/>
      <c r="U320" s="46"/>
      <c r="V320" s="46"/>
      <c r="W320" s="46"/>
      <c r="X320" s="46"/>
      <c r="Y320" s="46"/>
      <c r="Z320" s="46"/>
      <c r="AA320" s="46"/>
    </row>
    <row r="321">
      <c r="A321" s="4"/>
      <c r="B321" s="46"/>
      <c r="C321" s="46"/>
      <c r="D321" s="46"/>
      <c r="E321" s="18"/>
      <c r="F321" s="18"/>
      <c r="G321" s="46"/>
      <c r="H321" s="46"/>
      <c r="I321" s="46"/>
      <c r="J321" s="46"/>
      <c r="K321" s="46"/>
      <c r="L321" s="46"/>
      <c r="M321" s="46"/>
      <c r="N321" s="46"/>
      <c r="O321" s="46"/>
      <c r="P321" s="46"/>
      <c r="Q321" s="46"/>
      <c r="R321" s="46"/>
      <c r="S321" s="46"/>
      <c r="T321" s="46"/>
      <c r="U321" s="46"/>
      <c r="V321" s="46"/>
      <c r="W321" s="46"/>
      <c r="X321" s="46"/>
      <c r="Y321" s="46"/>
      <c r="Z321" s="46"/>
      <c r="AA321" s="46"/>
    </row>
    <row r="322">
      <c r="A322" s="4"/>
      <c r="B322" s="46"/>
      <c r="C322" s="46"/>
      <c r="D322" s="46"/>
      <c r="E322" s="18"/>
      <c r="F322" s="18"/>
      <c r="G322" s="46"/>
      <c r="H322" s="46"/>
      <c r="I322" s="46"/>
      <c r="J322" s="46"/>
      <c r="K322" s="46"/>
      <c r="L322" s="46"/>
      <c r="M322" s="46"/>
      <c r="N322" s="46"/>
      <c r="O322" s="46"/>
      <c r="P322" s="46"/>
      <c r="Q322" s="46"/>
      <c r="R322" s="46"/>
      <c r="S322" s="46"/>
      <c r="T322" s="46"/>
      <c r="U322" s="46"/>
      <c r="V322" s="46"/>
      <c r="W322" s="46"/>
      <c r="X322" s="46"/>
      <c r="Y322" s="46"/>
      <c r="Z322" s="46"/>
      <c r="AA322" s="46"/>
    </row>
    <row r="323">
      <c r="A323" s="4"/>
      <c r="B323" s="46"/>
      <c r="C323" s="46"/>
      <c r="D323" s="46"/>
      <c r="E323" s="18"/>
      <c r="F323" s="18"/>
      <c r="G323" s="46"/>
      <c r="H323" s="46"/>
      <c r="I323" s="46"/>
      <c r="J323" s="46"/>
      <c r="K323" s="46"/>
      <c r="L323" s="46"/>
      <c r="M323" s="46"/>
      <c r="N323" s="46"/>
      <c r="O323" s="46"/>
      <c r="P323" s="46"/>
      <c r="Q323" s="46"/>
      <c r="R323" s="46"/>
      <c r="S323" s="46"/>
      <c r="T323" s="46"/>
      <c r="U323" s="46"/>
      <c r="V323" s="46"/>
      <c r="W323" s="46"/>
      <c r="X323" s="46"/>
      <c r="Y323" s="46"/>
      <c r="Z323" s="46"/>
      <c r="AA323" s="46"/>
    </row>
    <row r="324">
      <c r="A324" s="4"/>
      <c r="B324" s="46"/>
      <c r="C324" s="46"/>
      <c r="D324" s="46"/>
      <c r="E324" s="18"/>
      <c r="F324" s="18"/>
      <c r="G324" s="46"/>
      <c r="H324" s="46"/>
      <c r="I324" s="46"/>
      <c r="J324" s="46"/>
      <c r="K324" s="46"/>
      <c r="L324" s="46"/>
      <c r="M324" s="46"/>
      <c r="N324" s="46"/>
      <c r="O324" s="46"/>
      <c r="P324" s="46"/>
      <c r="Q324" s="46"/>
      <c r="R324" s="46"/>
      <c r="S324" s="46"/>
      <c r="T324" s="46"/>
      <c r="U324" s="46"/>
      <c r="V324" s="46"/>
      <c r="W324" s="46"/>
      <c r="X324" s="46"/>
      <c r="Y324" s="46"/>
      <c r="Z324" s="46"/>
      <c r="AA324" s="46"/>
    </row>
    <row r="325">
      <c r="A325" s="4"/>
      <c r="B325" s="46"/>
      <c r="C325" s="46"/>
      <c r="D325" s="46"/>
      <c r="E325" s="18"/>
      <c r="F325" s="18"/>
      <c r="G325" s="46"/>
      <c r="H325" s="46"/>
      <c r="I325" s="46"/>
      <c r="J325" s="46"/>
      <c r="K325" s="46"/>
      <c r="L325" s="46"/>
      <c r="M325" s="46"/>
      <c r="N325" s="46"/>
      <c r="O325" s="46"/>
      <c r="P325" s="46"/>
      <c r="Q325" s="46"/>
      <c r="R325" s="46"/>
      <c r="S325" s="46"/>
      <c r="T325" s="46"/>
      <c r="U325" s="46"/>
      <c r="V325" s="46"/>
      <c r="W325" s="46"/>
      <c r="X325" s="46"/>
      <c r="Y325" s="46"/>
      <c r="Z325" s="46"/>
      <c r="AA325" s="46"/>
    </row>
    <row r="326">
      <c r="A326" s="4"/>
      <c r="B326" s="46"/>
      <c r="C326" s="46"/>
      <c r="D326" s="46"/>
      <c r="E326" s="18"/>
      <c r="F326" s="18"/>
      <c r="G326" s="46"/>
      <c r="H326" s="46"/>
      <c r="I326" s="46"/>
      <c r="J326" s="46"/>
      <c r="K326" s="46"/>
      <c r="L326" s="46"/>
      <c r="M326" s="46"/>
      <c r="N326" s="46"/>
      <c r="O326" s="46"/>
      <c r="P326" s="46"/>
      <c r="Q326" s="46"/>
      <c r="R326" s="46"/>
      <c r="S326" s="46"/>
      <c r="T326" s="46"/>
      <c r="U326" s="46"/>
      <c r="V326" s="46"/>
      <c r="W326" s="46"/>
      <c r="X326" s="46"/>
      <c r="Y326" s="46"/>
      <c r="Z326" s="46"/>
      <c r="AA326" s="46"/>
    </row>
    <row r="327">
      <c r="A327" s="4"/>
      <c r="B327" s="46"/>
      <c r="C327" s="46"/>
      <c r="D327" s="46"/>
      <c r="E327" s="18"/>
      <c r="F327" s="18"/>
      <c r="G327" s="46"/>
      <c r="H327" s="46"/>
      <c r="I327" s="46"/>
      <c r="J327" s="46"/>
      <c r="K327" s="46"/>
      <c r="L327" s="46"/>
      <c r="M327" s="46"/>
      <c r="N327" s="46"/>
      <c r="O327" s="46"/>
      <c r="P327" s="46"/>
      <c r="Q327" s="46"/>
      <c r="R327" s="46"/>
      <c r="S327" s="46"/>
      <c r="T327" s="46"/>
      <c r="U327" s="46"/>
      <c r="V327" s="46"/>
      <c r="W327" s="46"/>
      <c r="X327" s="46"/>
      <c r="Y327" s="46"/>
      <c r="Z327" s="46"/>
      <c r="AA327" s="46"/>
    </row>
    <row r="328">
      <c r="A328" s="4"/>
      <c r="B328" s="46"/>
      <c r="C328" s="46"/>
      <c r="D328" s="46"/>
      <c r="E328" s="18"/>
      <c r="F328" s="18"/>
      <c r="G328" s="46"/>
      <c r="H328" s="46"/>
      <c r="I328" s="46"/>
      <c r="J328" s="46"/>
      <c r="K328" s="46"/>
      <c r="L328" s="46"/>
      <c r="M328" s="46"/>
      <c r="N328" s="46"/>
      <c r="O328" s="46"/>
      <c r="P328" s="46"/>
      <c r="Q328" s="46"/>
      <c r="R328" s="46"/>
      <c r="S328" s="46"/>
      <c r="T328" s="46"/>
      <c r="U328" s="46"/>
      <c r="V328" s="46"/>
      <c r="W328" s="46"/>
      <c r="X328" s="46"/>
      <c r="Y328" s="46"/>
      <c r="Z328" s="46"/>
      <c r="AA328" s="46"/>
    </row>
    <row r="329">
      <c r="A329" s="4"/>
      <c r="B329" s="46"/>
      <c r="C329" s="46"/>
      <c r="D329" s="46"/>
      <c r="E329" s="18"/>
      <c r="F329" s="18"/>
      <c r="G329" s="46"/>
      <c r="H329" s="46"/>
      <c r="I329" s="46"/>
      <c r="J329" s="46"/>
      <c r="K329" s="46"/>
      <c r="L329" s="46"/>
      <c r="M329" s="46"/>
      <c r="N329" s="46"/>
      <c r="O329" s="46"/>
      <c r="P329" s="46"/>
      <c r="Q329" s="46"/>
      <c r="R329" s="46"/>
      <c r="S329" s="46"/>
      <c r="T329" s="46"/>
      <c r="U329" s="46"/>
      <c r="V329" s="46"/>
      <c r="W329" s="46"/>
      <c r="X329" s="46"/>
      <c r="Y329" s="46"/>
      <c r="Z329" s="46"/>
      <c r="AA329" s="46"/>
    </row>
    <row r="330">
      <c r="A330" s="4"/>
      <c r="B330" s="46"/>
      <c r="C330" s="46"/>
      <c r="D330" s="46"/>
      <c r="E330" s="18"/>
      <c r="F330" s="18"/>
      <c r="G330" s="46"/>
      <c r="H330" s="46"/>
      <c r="I330" s="46"/>
      <c r="J330" s="46"/>
      <c r="K330" s="46"/>
      <c r="L330" s="46"/>
      <c r="M330" s="46"/>
      <c r="N330" s="46"/>
      <c r="O330" s="46"/>
      <c r="P330" s="46"/>
      <c r="Q330" s="46"/>
      <c r="R330" s="46"/>
      <c r="S330" s="46"/>
      <c r="T330" s="46"/>
      <c r="U330" s="46"/>
      <c r="V330" s="46"/>
      <c r="W330" s="46"/>
      <c r="X330" s="46"/>
      <c r="Y330" s="46"/>
      <c r="Z330" s="46"/>
      <c r="AA330" s="46"/>
    </row>
    <row r="331">
      <c r="A331" s="4"/>
      <c r="B331" s="46"/>
      <c r="C331" s="46"/>
      <c r="D331" s="46"/>
      <c r="E331" s="18"/>
      <c r="F331" s="18"/>
      <c r="G331" s="46"/>
      <c r="H331" s="46"/>
      <c r="I331" s="46"/>
      <c r="J331" s="46"/>
      <c r="K331" s="46"/>
      <c r="L331" s="46"/>
      <c r="M331" s="46"/>
      <c r="N331" s="46"/>
      <c r="O331" s="46"/>
      <c r="P331" s="46"/>
      <c r="Q331" s="46"/>
      <c r="R331" s="46"/>
      <c r="S331" s="46"/>
      <c r="T331" s="46"/>
      <c r="U331" s="46"/>
      <c r="V331" s="46"/>
      <c r="W331" s="46"/>
      <c r="X331" s="46"/>
      <c r="Y331" s="46"/>
      <c r="Z331" s="46"/>
      <c r="AA331" s="46"/>
    </row>
    <row r="332">
      <c r="A332" s="4"/>
      <c r="B332" s="46"/>
      <c r="C332" s="46"/>
      <c r="D332" s="46"/>
      <c r="E332" s="18"/>
      <c r="F332" s="18"/>
      <c r="G332" s="46"/>
      <c r="H332" s="46"/>
      <c r="I332" s="46"/>
      <c r="J332" s="46"/>
      <c r="K332" s="46"/>
      <c r="L332" s="46"/>
      <c r="M332" s="46"/>
      <c r="N332" s="46"/>
      <c r="O332" s="46"/>
      <c r="P332" s="46"/>
      <c r="Q332" s="46"/>
      <c r="R332" s="46"/>
      <c r="S332" s="46"/>
      <c r="T332" s="46"/>
      <c r="U332" s="46"/>
      <c r="V332" s="46"/>
      <c r="W332" s="46"/>
      <c r="X332" s="46"/>
      <c r="Y332" s="46"/>
      <c r="Z332" s="46"/>
      <c r="AA332" s="46"/>
    </row>
    <row r="333">
      <c r="A333" s="4"/>
      <c r="B333" s="46"/>
      <c r="C333" s="46"/>
      <c r="D333" s="46"/>
      <c r="E333" s="18"/>
      <c r="F333" s="18"/>
      <c r="G333" s="46"/>
      <c r="H333" s="46"/>
      <c r="I333" s="46"/>
      <c r="J333" s="46"/>
      <c r="K333" s="46"/>
      <c r="L333" s="46"/>
      <c r="M333" s="46"/>
      <c r="N333" s="46"/>
      <c r="O333" s="46"/>
      <c r="P333" s="46"/>
      <c r="Q333" s="46"/>
      <c r="R333" s="46"/>
      <c r="S333" s="46"/>
      <c r="T333" s="46"/>
      <c r="U333" s="46"/>
      <c r="V333" s="46"/>
      <c r="W333" s="46"/>
      <c r="X333" s="46"/>
      <c r="Y333" s="46"/>
      <c r="Z333" s="46"/>
      <c r="AA333" s="46"/>
    </row>
    <row r="334">
      <c r="A334" s="4"/>
      <c r="B334" s="46"/>
      <c r="C334" s="46"/>
      <c r="D334" s="46"/>
      <c r="E334" s="18"/>
      <c r="F334" s="18"/>
      <c r="G334" s="46"/>
      <c r="H334" s="46"/>
      <c r="I334" s="46"/>
      <c r="J334" s="46"/>
      <c r="K334" s="46"/>
      <c r="L334" s="46"/>
      <c r="M334" s="46"/>
      <c r="N334" s="46"/>
      <c r="O334" s="46"/>
      <c r="P334" s="46"/>
      <c r="Q334" s="46"/>
      <c r="R334" s="46"/>
      <c r="S334" s="46"/>
      <c r="T334" s="46"/>
      <c r="U334" s="46"/>
      <c r="V334" s="46"/>
      <c r="W334" s="46"/>
      <c r="X334" s="46"/>
      <c r="Y334" s="46"/>
      <c r="Z334" s="46"/>
      <c r="AA334" s="46"/>
    </row>
    <row r="335">
      <c r="A335" s="4"/>
      <c r="B335" s="46"/>
      <c r="C335" s="46"/>
      <c r="D335" s="46"/>
      <c r="E335" s="18"/>
      <c r="F335" s="18"/>
      <c r="G335" s="46"/>
      <c r="H335" s="46"/>
      <c r="I335" s="46"/>
      <c r="J335" s="46"/>
      <c r="K335" s="46"/>
      <c r="L335" s="46"/>
      <c r="M335" s="46"/>
      <c r="N335" s="46"/>
      <c r="O335" s="46"/>
      <c r="P335" s="46"/>
      <c r="Q335" s="46"/>
      <c r="R335" s="46"/>
      <c r="S335" s="46"/>
      <c r="T335" s="46"/>
      <c r="U335" s="46"/>
      <c r="V335" s="46"/>
      <c r="W335" s="46"/>
      <c r="X335" s="46"/>
      <c r="Y335" s="46"/>
      <c r="Z335" s="46"/>
      <c r="AA335" s="46"/>
    </row>
    <row r="336">
      <c r="A336" s="4"/>
      <c r="B336" s="46"/>
      <c r="C336" s="46"/>
      <c r="D336" s="46"/>
      <c r="E336" s="18"/>
      <c r="F336" s="18"/>
      <c r="G336" s="46"/>
      <c r="H336" s="46"/>
      <c r="I336" s="46"/>
      <c r="J336" s="46"/>
      <c r="K336" s="46"/>
      <c r="L336" s="46"/>
      <c r="M336" s="46"/>
      <c r="N336" s="46"/>
      <c r="O336" s="46"/>
      <c r="P336" s="46"/>
      <c r="Q336" s="46"/>
      <c r="R336" s="46"/>
      <c r="S336" s="46"/>
      <c r="T336" s="46"/>
      <c r="U336" s="46"/>
      <c r="V336" s="46"/>
      <c r="W336" s="46"/>
      <c r="X336" s="46"/>
      <c r="Y336" s="46"/>
      <c r="Z336" s="46"/>
      <c r="AA336" s="46"/>
    </row>
    <row r="337">
      <c r="A337" s="4"/>
      <c r="B337" s="46"/>
      <c r="C337" s="46"/>
      <c r="D337" s="46"/>
      <c r="E337" s="18"/>
      <c r="F337" s="18"/>
      <c r="G337" s="46"/>
      <c r="H337" s="46"/>
      <c r="I337" s="46"/>
      <c r="J337" s="46"/>
      <c r="K337" s="46"/>
      <c r="L337" s="46"/>
      <c r="M337" s="46"/>
      <c r="N337" s="46"/>
      <c r="O337" s="46"/>
      <c r="P337" s="46"/>
      <c r="Q337" s="46"/>
      <c r="R337" s="46"/>
      <c r="S337" s="46"/>
      <c r="T337" s="46"/>
      <c r="U337" s="46"/>
      <c r="V337" s="46"/>
      <c r="W337" s="46"/>
      <c r="X337" s="46"/>
      <c r="Y337" s="46"/>
      <c r="Z337" s="46"/>
      <c r="AA337" s="46"/>
    </row>
    <row r="338">
      <c r="A338" s="4"/>
      <c r="B338" s="46"/>
      <c r="C338" s="46"/>
      <c r="D338" s="46"/>
      <c r="E338" s="18"/>
      <c r="F338" s="18"/>
      <c r="G338" s="46"/>
      <c r="H338" s="46"/>
      <c r="I338" s="46"/>
      <c r="J338" s="46"/>
      <c r="K338" s="46"/>
      <c r="L338" s="46"/>
      <c r="M338" s="46"/>
      <c r="N338" s="46"/>
      <c r="O338" s="46"/>
      <c r="P338" s="46"/>
      <c r="Q338" s="46"/>
      <c r="R338" s="46"/>
      <c r="S338" s="46"/>
      <c r="T338" s="46"/>
      <c r="U338" s="46"/>
      <c r="V338" s="46"/>
      <c r="W338" s="46"/>
      <c r="X338" s="46"/>
      <c r="Y338" s="46"/>
      <c r="Z338" s="46"/>
      <c r="AA338" s="46"/>
    </row>
    <row r="339">
      <c r="A339" s="4"/>
      <c r="B339" s="46"/>
      <c r="C339" s="46"/>
      <c r="D339" s="46"/>
      <c r="E339" s="18"/>
      <c r="F339" s="18"/>
      <c r="G339" s="46"/>
      <c r="H339" s="46"/>
      <c r="I339" s="46"/>
      <c r="J339" s="46"/>
      <c r="K339" s="46"/>
      <c r="L339" s="46"/>
      <c r="M339" s="46"/>
      <c r="N339" s="46"/>
      <c r="O339" s="46"/>
      <c r="P339" s="46"/>
      <c r="Q339" s="46"/>
      <c r="R339" s="46"/>
      <c r="S339" s="46"/>
      <c r="T339" s="46"/>
      <c r="U339" s="46"/>
      <c r="V339" s="46"/>
      <c r="W339" s="46"/>
      <c r="X339" s="46"/>
      <c r="Y339" s="46"/>
      <c r="Z339" s="46"/>
      <c r="AA339" s="46"/>
    </row>
    <row r="340">
      <c r="A340" s="4"/>
      <c r="B340" s="46"/>
      <c r="C340" s="46"/>
      <c r="D340" s="46"/>
      <c r="E340" s="18"/>
      <c r="F340" s="18"/>
      <c r="G340" s="46"/>
      <c r="H340" s="46"/>
      <c r="I340" s="46"/>
      <c r="J340" s="46"/>
      <c r="K340" s="46"/>
      <c r="L340" s="46"/>
      <c r="M340" s="46"/>
      <c r="N340" s="46"/>
      <c r="O340" s="46"/>
      <c r="P340" s="46"/>
      <c r="Q340" s="46"/>
      <c r="R340" s="46"/>
      <c r="S340" s="46"/>
      <c r="T340" s="46"/>
      <c r="U340" s="46"/>
      <c r="V340" s="46"/>
      <c r="W340" s="46"/>
      <c r="X340" s="46"/>
      <c r="Y340" s="46"/>
      <c r="Z340" s="46"/>
      <c r="AA340" s="46"/>
    </row>
    <row r="341">
      <c r="A341" s="4"/>
      <c r="B341" s="46"/>
      <c r="C341" s="46"/>
      <c r="D341" s="46"/>
      <c r="E341" s="18"/>
      <c r="F341" s="18"/>
      <c r="G341" s="46"/>
      <c r="H341" s="46"/>
      <c r="I341" s="46"/>
      <c r="J341" s="46"/>
      <c r="K341" s="46"/>
      <c r="L341" s="46"/>
      <c r="M341" s="46"/>
      <c r="N341" s="46"/>
      <c r="O341" s="46"/>
      <c r="P341" s="46"/>
      <c r="Q341" s="46"/>
      <c r="R341" s="46"/>
      <c r="S341" s="46"/>
      <c r="T341" s="46"/>
      <c r="U341" s="46"/>
      <c r="V341" s="46"/>
      <c r="W341" s="46"/>
      <c r="X341" s="46"/>
      <c r="Y341" s="46"/>
      <c r="Z341" s="46"/>
      <c r="AA341" s="46"/>
    </row>
    <row r="342">
      <c r="A342" s="4"/>
      <c r="B342" s="46"/>
      <c r="C342" s="46"/>
      <c r="D342" s="46"/>
      <c r="E342" s="18"/>
      <c r="F342" s="18"/>
      <c r="G342" s="46"/>
      <c r="H342" s="46"/>
      <c r="I342" s="46"/>
      <c r="J342" s="46"/>
      <c r="K342" s="46"/>
      <c r="L342" s="46"/>
      <c r="M342" s="46"/>
      <c r="N342" s="46"/>
      <c r="O342" s="46"/>
      <c r="P342" s="46"/>
      <c r="Q342" s="46"/>
      <c r="R342" s="46"/>
      <c r="S342" s="46"/>
      <c r="T342" s="46"/>
      <c r="U342" s="46"/>
      <c r="V342" s="46"/>
      <c r="W342" s="46"/>
      <c r="X342" s="46"/>
      <c r="Y342" s="46"/>
      <c r="Z342" s="46"/>
      <c r="AA342" s="46"/>
    </row>
    <row r="343">
      <c r="A343" s="4"/>
      <c r="B343" s="46"/>
      <c r="C343" s="46"/>
      <c r="D343" s="46"/>
      <c r="E343" s="18"/>
      <c r="F343" s="18"/>
      <c r="G343" s="46"/>
      <c r="H343" s="46"/>
      <c r="I343" s="46"/>
      <c r="J343" s="46"/>
      <c r="K343" s="46"/>
      <c r="L343" s="46"/>
      <c r="M343" s="46"/>
      <c r="N343" s="46"/>
      <c r="O343" s="46"/>
      <c r="P343" s="46"/>
      <c r="Q343" s="46"/>
      <c r="R343" s="46"/>
      <c r="S343" s="46"/>
      <c r="T343" s="46"/>
      <c r="U343" s="46"/>
      <c r="V343" s="46"/>
      <c r="W343" s="46"/>
      <c r="X343" s="46"/>
      <c r="Y343" s="46"/>
      <c r="Z343" s="46"/>
      <c r="AA343" s="46"/>
    </row>
    <row r="344">
      <c r="A344" s="4"/>
      <c r="B344" s="46"/>
      <c r="C344" s="46"/>
      <c r="D344" s="46"/>
      <c r="E344" s="18"/>
      <c r="F344" s="18"/>
      <c r="G344" s="46"/>
      <c r="H344" s="46"/>
      <c r="I344" s="46"/>
      <c r="J344" s="46"/>
      <c r="K344" s="46"/>
      <c r="L344" s="46"/>
      <c r="M344" s="46"/>
      <c r="N344" s="46"/>
      <c r="O344" s="46"/>
      <c r="P344" s="46"/>
      <c r="Q344" s="46"/>
      <c r="R344" s="46"/>
      <c r="S344" s="46"/>
      <c r="T344" s="46"/>
      <c r="U344" s="46"/>
      <c r="V344" s="46"/>
      <c r="W344" s="46"/>
      <c r="X344" s="46"/>
      <c r="Y344" s="46"/>
      <c r="Z344" s="46"/>
      <c r="AA344" s="46"/>
    </row>
    <row r="345">
      <c r="A345" s="4"/>
      <c r="B345" s="46"/>
      <c r="C345" s="46"/>
      <c r="D345" s="46"/>
      <c r="E345" s="18"/>
      <c r="F345" s="18"/>
      <c r="G345" s="46"/>
      <c r="H345" s="46"/>
      <c r="I345" s="46"/>
      <c r="J345" s="46"/>
      <c r="K345" s="46"/>
      <c r="L345" s="46"/>
      <c r="M345" s="46"/>
      <c r="N345" s="46"/>
      <c r="O345" s="46"/>
      <c r="P345" s="46"/>
      <c r="Q345" s="46"/>
      <c r="R345" s="46"/>
      <c r="S345" s="46"/>
      <c r="T345" s="46"/>
      <c r="U345" s="46"/>
      <c r="V345" s="46"/>
      <c r="W345" s="46"/>
      <c r="X345" s="46"/>
      <c r="Y345" s="46"/>
      <c r="Z345" s="46"/>
      <c r="AA345" s="46"/>
    </row>
    <row r="346">
      <c r="A346" s="4"/>
      <c r="B346" s="46"/>
      <c r="C346" s="46"/>
      <c r="D346" s="46"/>
      <c r="E346" s="18"/>
      <c r="F346" s="18"/>
      <c r="G346" s="46"/>
      <c r="H346" s="46"/>
      <c r="I346" s="46"/>
      <c r="J346" s="46"/>
      <c r="K346" s="46"/>
      <c r="L346" s="46"/>
      <c r="M346" s="46"/>
      <c r="N346" s="46"/>
      <c r="O346" s="46"/>
      <c r="P346" s="46"/>
      <c r="Q346" s="46"/>
      <c r="R346" s="46"/>
      <c r="S346" s="46"/>
      <c r="T346" s="46"/>
      <c r="U346" s="46"/>
      <c r="V346" s="46"/>
      <c r="W346" s="46"/>
      <c r="X346" s="46"/>
      <c r="Y346" s="46"/>
      <c r="Z346" s="46"/>
      <c r="AA346" s="46"/>
    </row>
    <row r="347">
      <c r="A347" s="4"/>
      <c r="B347" s="46"/>
      <c r="C347" s="46"/>
      <c r="D347" s="46"/>
      <c r="E347" s="18"/>
      <c r="F347" s="18"/>
      <c r="G347" s="46"/>
      <c r="H347" s="46"/>
      <c r="I347" s="46"/>
      <c r="J347" s="46"/>
      <c r="K347" s="46"/>
      <c r="L347" s="46"/>
      <c r="M347" s="46"/>
      <c r="N347" s="46"/>
      <c r="O347" s="46"/>
      <c r="P347" s="46"/>
      <c r="Q347" s="46"/>
      <c r="R347" s="46"/>
      <c r="S347" s="46"/>
      <c r="T347" s="46"/>
      <c r="U347" s="46"/>
      <c r="V347" s="46"/>
      <c r="W347" s="46"/>
      <c r="X347" s="46"/>
      <c r="Y347" s="46"/>
      <c r="Z347" s="46"/>
      <c r="AA347" s="46"/>
    </row>
    <row r="348">
      <c r="A348" s="4"/>
      <c r="B348" s="46"/>
      <c r="C348" s="46"/>
      <c r="D348" s="46"/>
      <c r="E348" s="18"/>
      <c r="F348" s="18"/>
      <c r="G348" s="46"/>
      <c r="H348" s="46"/>
      <c r="I348" s="46"/>
      <c r="J348" s="46"/>
      <c r="K348" s="46"/>
      <c r="L348" s="46"/>
      <c r="M348" s="46"/>
      <c r="N348" s="46"/>
      <c r="O348" s="46"/>
      <c r="P348" s="46"/>
      <c r="Q348" s="46"/>
      <c r="R348" s="46"/>
      <c r="S348" s="46"/>
      <c r="T348" s="46"/>
      <c r="U348" s="46"/>
      <c r="V348" s="46"/>
      <c r="W348" s="46"/>
      <c r="X348" s="46"/>
      <c r="Y348" s="46"/>
      <c r="Z348" s="46"/>
      <c r="AA348" s="46"/>
    </row>
    <row r="349">
      <c r="A349" s="4"/>
      <c r="B349" s="46"/>
      <c r="C349" s="46"/>
      <c r="D349" s="46"/>
      <c r="E349" s="18"/>
      <c r="F349" s="18"/>
      <c r="G349" s="46"/>
      <c r="H349" s="46"/>
      <c r="I349" s="46"/>
      <c r="J349" s="46"/>
      <c r="K349" s="46"/>
      <c r="L349" s="46"/>
      <c r="M349" s="46"/>
      <c r="N349" s="46"/>
      <c r="O349" s="46"/>
      <c r="P349" s="46"/>
      <c r="Q349" s="46"/>
      <c r="R349" s="46"/>
      <c r="S349" s="46"/>
      <c r="T349" s="46"/>
      <c r="U349" s="46"/>
      <c r="V349" s="46"/>
      <c r="W349" s="46"/>
      <c r="X349" s="46"/>
      <c r="Y349" s="46"/>
      <c r="Z349" s="46"/>
      <c r="AA349" s="46"/>
    </row>
    <row r="350">
      <c r="A350" s="4"/>
      <c r="B350" s="46"/>
      <c r="C350" s="46"/>
      <c r="D350" s="46"/>
      <c r="E350" s="18"/>
      <c r="F350" s="18"/>
      <c r="G350" s="46"/>
      <c r="H350" s="46"/>
      <c r="I350" s="46"/>
      <c r="J350" s="46"/>
      <c r="K350" s="46"/>
      <c r="L350" s="46"/>
      <c r="M350" s="46"/>
      <c r="N350" s="46"/>
      <c r="O350" s="46"/>
      <c r="P350" s="46"/>
      <c r="Q350" s="46"/>
      <c r="R350" s="46"/>
      <c r="S350" s="46"/>
      <c r="T350" s="46"/>
      <c r="U350" s="46"/>
      <c r="V350" s="46"/>
      <c r="W350" s="46"/>
      <c r="X350" s="46"/>
      <c r="Y350" s="46"/>
      <c r="Z350" s="46"/>
      <c r="AA350" s="46"/>
    </row>
    <row r="351">
      <c r="A351" s="4"/>
      <c r="B351" s="46"/>
      <c r="C351" s="46"/>
      <c r="D351" s="46"/>
      <c r="E351" s="18"/>
      <c r="F351" s="18"/>
      <c r="G351" s="46"/>
      <c r="H351" s="46"/>
      <c r="I351" s="46"/>
      <c r="J351" s="46"/>
      <c r="K351" s="46"/>
      <c r="L351" s="46"/>
      <c r="M351" s="46"/>
      <c r="N351" s="46"/>
      <c r="O351" s="46"/>
      <c r="P351" s="46"/>
      <c r="Q351" s="46"/>
      <c r="R351" s="46"/>
      <c r="S351" s="46"/>
      <c r="T351" s="46"/>
      <c r="U351" s="46"/>
      <c r="V351" s="46"/>
      <c r="W351" s="46"/>
      <c r="X351" s="46"/>
      <c r="Y351" s="46"/>
      <c r="Z351" s="46"/>
      <c r="AA351" s="46"/>
    </row>
    <row r="352">
      <c r="A352" s="4"/>
      <c r="B352" s="46"/>
      <c r="C352" s="46"/>
      <c r="D352" s="46"/>
      <c r="E352" s="18"/>
      <c r="F352" s="18"/>
      <c r="G352" s="46"/>
      <c r="H352" s="46"/>
      <c r="I352" s="46"/>
      <c r="J352" s="46"/>
      <c r="K352" s="46"/>
      <c r="L352" s="46"/>
      <c r="M352" s="46"/>
      <c r="N352" s="46"/>
      <c r="O352" s="46"/>
      <c r="P352" s="46"/>
      <c r="Q352" s="46"/>
      <c r="R352" s="46"/>
      <c r="S352" s="46"/>
      <c r="T352" s="46"/>
      <c r="U352" s="46"/>
      <c r="V352" s="46"/>
      <c r="W352" s="46"/>
      <c r="X352" s="46"/>
      <c r="Y352" s="46"/>
      <c r="Z352" s="46"/>
      <c r="AA352" s="46"/>
    </row>
    <row r="353">
      <c r="A353" s="4"/>
      <c r="B353" s="46"/>
      <c r="C353" s="46"/>
      <c r="D353" s="46"/>
      <c r="E353" s="18"/>
      <c r="F353" s="18"/>
      <c r="G353" s="46"/>
      <c r="H353" s="46"/>
      <c r="I353" s="46"/>
      <c r="J353" s="46"/>
      <c r="K353" s="46"/>
      <c r="L353" s="46"/>
      <c r="M353" s="46"/>
      <c r="N353" s="46"/>
      <c r="O353" s="46"/>
      <c r="P353" s="46"/>
      <c r="Q353" s="46"/>
      <c r="R353" s="46"/>
      <c r="S353" s="46"/>
      <c r="T353" s="46"/>
      <c r="U353" s="46"/>
      <c r="V353" s="46"/>
      <c r="W353" s="46"/>
      <c r="X353" s="46"/>
      <c r="Y353" s="46"/>
      <c r="Z353" s="46"/>
      <c r="AA353" s="46"/>
    </row>
    <row r="354">
      <c r="A354" s="4"/>
      <c r="B354" s="46"/>
      <c r="C354" s="46"/>
      <c r="D354" s="46"/>
      <c r="E354" s="18"/>
      <c r="F354" s="18"/>
      <c r="G354" s="46"/>
      <c r="H354" s="46"/>
      <c r="I354" s="46"/>
      <c r="J354" s="46"/>
      <c r="K354" s="46"/>
      <c r="L354" s="46"/>
      <c r="M354" s="46"/>
      <c r="N354" s="46"/>
      <c r="O354" s="46"/>
      <c r="P354" s="46"/>
      <c r="Q354" s="46"/>
      <c r="R354" s="46"/>
      <c r="S354" s="46"/>
      <c r="T354" s="46"/>
      <c r="U354" s="46"/>
      <c r="V354" s="46"/>
      <c r="W354" s="46"/>
      <c r="X354" s="46"/>
      <c r="Y354" s="46"/>
      <c r="Z354" s="46"/>
      <c r="AA354" s="46"/>
    </row>
    <row r="355">
      <c r="A355" s="4"/>
      <c r="B355" s="46"/>
      <c r="C355" s="46"/>
      <c r="D355" s="46"/>
      <c r="E355" s="18"/>
      <c r="F355" s="18"/>
      <c r="G355" s="46"/>
      <c r="H355" s="46"/>
      <c r="I355" s="46"/>
      <c r="J355" s="46"/>
      <c r="K355" s="46"/>
      <c r="L355" s="46"/>
      <c r="M355" s="46"/>
      <c r="N355" s="46"/>
      <c r="O355" s="46"/>
      <c r="P355" s="46"/>
      <c r="Q355" s="46"/>
      <c r="R355" s="46"/>
      <c r="S355" s="46"/>
      <c r="T355" s="46"/>
      <c r="U355" s="46"/>
      <c r="V355" s="46"/>
      <c r="W355" s="46"/>
      <c r="X355" s="46"/>
      <c r="Y355" s="46"/>
      <c r="Z355" s="46"/>
      <c r="AA355" s="46"/>
    </row>
    <row r="356">
      <c r="A356" s="4"/>
      <c r="B356" s="46"/>
      <c r="C356" s="46"/>
      <c r="D356" s="46"/>
      <c r="E356" s="18"/>
      <c r="F356" s="18"/>
      <c r="G356" s="46"/>
      <c r="H356" s="46"/>
      <c r="I356" s="46"/>
      <c r="J356" s="46"/>
      <c r="K356" s="46"/>
      <c r="L356" s="46"/>
      <c r="M356" s="46"/>
      <c r="N356" s="46"/>
      <c r="O356" s="46"/>
      <c r="P356" s="46"/>
      <c r="Q356" s="46"/>
      <c r="R356" s="46"/>
      <c r="S356" s="46"/>
      <c r="T356" s="46"/>
      <c r="U356" s="46"/>
      <c r="V356" s="46"/>
      <c r="W356" s="46"/>
      <c r="X356" s="46"/>
      <c r="Y356" s="46"/>
      <c r="Z356" s="46"/>
      <c r="AA356" s="46"/>
    </row>
    <row r="357">
      <c r="A357" s="4"/>
      <c r="B357" s="46"/>
      <c r="C357" s="46"/>
      <c r="D357" s="46"/>
      <c r="E357" s="18"/>
      <c r="F357" s="18"/>
      <c r="G357" s="46"/>
      <c r="H357" s="46"/>
      <c r="I357" s="46"/>
      <c r="J357" s="46"/>
      <c r="K357" s="46"/>
      <c r="L357" s="46"/>
      <c r="M357" s="46"/>
      <c r="N357" s="46"/>
      <c r="O357" s="46"/>
      <c r="P357" s="46"/>
      <c r="Q357" s="46"/>
      <c r="R357" s="46"/>
      <c r="S357" s="46"/>
      <c r="T357" s="46"/>
      <c r="U357" s="46"/>
      <c r="V357" s="46"/>
      <c r="W357" s="46"/>
      <c r="X357" s="46"/>
      <c r="Y357" s="46"/>
      <c r="Z357" s="46"/>
      <c r="AA357" s="46"/>
    </row>
    <row r="358">
      <c r="A358" s="4"/>
      <c r="B358" s="46"/>
      <c r="C358" s="46"/>
      <c r="D358" s="46"/>
      <c r="E358" s="18"/>
      <c r="F358" s="18"/>
      <c r="G358" s="46"/>
      <c r="H358" s="46"/>
      <c r="I358" s="46"/>
      <c r="J358" s="46"/>
      <c r="K358" s="46"/>
      <c r="L358" s="46"/>
      <c r="M358" s="46"/>
      <c r="N358" s="46"/>
      <c r="O358" s="46"/>
      <c r="P358" s="46"/>
      <c r="Q358" s="46"/>
      <c r="R358" s="46"/>
      <c r="S358" s="46"/>
      <c r="T358" s="46"/>
      <c r="U358" s="46"/>
      <c r="V358" s="46"/>
      <c r="W358" s="46"/>
      <c r="X358" s="46"/>
      <c r="Y358" s="46"/>
      <c r="Z358" s="46"/>
      <c r="AA358" s="46"/>
    </row>
    <row r="359">
      <c r="A359" s="4"/>
      <c r="B359" s="46"/>
      <c r="C359" s="46"/>
      <c r="D359" s="46"/>
      <c r="E359" s="18"/>
      <c r="F359" s="18"/>
      <c r="G359" s="46"/>
      <c r="H359" s="46"/>
      <c r="I359" s="46"/>
      <c r="J359" s="46"/>
      <c r="K359" s="46"/>
      <c r="L359" s="46"/>
      <c r="M359" s="46"/>
      <c r="N359" s="46"/>
      <c r="O359" s="46"/>
      <c r="P359" s="46"/>
      <c r="Q359" s="46"/>
      <c r="R359" s="46"/>
      <c r="S359" s="46"/>
      <c r="T359" s="46"/>
      <c r="U359" s="46"/>
      <c r="V359" s="46"/>
      <c r="W359" s="46"/>
      <c r="X359" s="46"/>
      <c r="Y359" s="46"/>
      <c r="Z359" s="46"/>
      <c r="AA359" s="46"/>
    </row>
    <row r="360">
      <c r="A360" s="4"/>
      <c r="B360" s="46"/>
      <c r="C360" s="46"/>
      <c r="D360" s="46"/>
      <c r="E360" s="18"/>
      <c r="F360" s="18"/>
      <c r="G360" s="46"/>
      <c r="H360" s="46"/>
      <c r="I360" s="46"/>
      <c r="J360" s="46"/>
      <c r="K360" s="46"/>
      <c r="L360" s="46"/>
      <c r="M360" s="46"/>
      <c r="N360" s="46"/>
      <c r="O360" s="46"/>
      <c r="P360" s="46"/>
      <c r="Q360" s="46"/>
      <c r="R360" s="46"/>
      <c r="S360" s="46"/>
      <c r="T360" s="46"/>
      <c r="U360" s="46"/>
      <c r="V360" s="46"/>
      <c r="W360" s="46"/>
      <c r="X360" s="46"/>
      <c r="Y360" s="46"/>
      <c r="Z360" s="46"/>
      <c r="AA360" s="46"/>
    </row>
    <row r="361">
      <c r="A361" s="4"/>
      <c r="B361" s="46"/>
      <c r="C361" s="46"/>
      <c r="D361" s="46"/>
      <c r="E361" s="18"/>
      <c r="F361" s="18"/>
      <c r="G361" s="46"/>
      <c r="H361" s="46"/>
      <c r="I361" s="46"/>
      <c r="J361" s="46"/>
      <c r="K361" s="46"/>
      <c r="L361" s="46"/>
      <c r="M361" s="46"/>
      <c r="N361" s="46"/>
      <c r="O361" s="46"/>
      <c r="P361" s="46"/>
      <c r="Q361" s="46"/>
      <c r="R361" s="46"/>
      <c r="S361" s="46"/>
      <c r="T361" s="46"/>
      <c r="U361" s="46"/>
      <c r="V361" s="46"/>
      <c r="W361" s="46"/>
      <c r="X361" s="46"/>
      <c r="Y361" s="46"/>
      <c r="Z361" s="46"/>
      <c r="AA361" s="46"/>
    </row>
    <row r="362">
      <c r="A362" s="4"/>
      <c r="B362" s="46"/>
      <c r="C362" s="46"/>
      <c r="D362" s="46"/>
      <c r="E362" s="18"/>
      <c r="F362" s="18"/>
      <c r="G362" s="46"/>
      <c r="H362" s="46"/>
      <c r="I362" s="46"/>
      <c r="J362" s="46"/>
      <c r="K362" s="46"/>
      <c r="L362" s="46"/>
      <c r="M362" s="46"/>
      <c r="N362" s="46"/>
      <c r="O362" s="46"/>
      <c r="P362" s="46"/>
      <c r="Q362" s="46"/>
      <c r="R362" s="46"/>
      <c r="S362" s="46"/>
      <c r="T362" s="46"/>
      <c r="U362" s="46"/>
      <c r="V362" s="46"/>
      <c r="W362" s="46"/>
      <c r="X362" s="46"/>
      <c r="Y362" s="46"/>
      <c r="Z362" s="46"/>
      <c r="AA362" s="46"/>
    </row>
    <row r="363">
      <c r="A363" s="4"/>
      <c r="B363" s="46"/>
      <c r="C363" s="46"/>
      <c r="D363" s="46"/>
      <c r="E363" s="18"/>
      <c r="F363" s="18"/>
      <c r="G363" s="46"/>
      <c r="H363" s="46"/>
      <c r="I363" s="46"/>
      <c r="J363" s="46"/>
      <c r="K363" s="46"/>
      <c r="L363" s="46"/>
      <c r="M363" s="46"/>
      <c r="N363" s="46"/>
      <c r="O363" s="46"/>
      <c r="P363" s="46"/>
      <c r="Q363" s="46"/>
      <c r="R363" s="46"/>
      <c r="S363" s="46"/>
      <c r="T363" s="46"/>
      <c r="U363" s="46"/>
      <c r="V363" s="46"/>
      <c r="W363" s="46"/>
      <c r="X363" s="46"/>
      <c r="Y363" s="46"/>
      <c r="Z363" s="46"/>
      <c r="AA363" s="46"/>
    </row>
    <row r="364">
      <c r="A364" s="4"/>
      <c r="B364" s="46"/>
      <c r="C364" s="46"/>
      <c r="D364" s="46"/>
      <c r="E364" s="18"/>
      <c r="F364" s="18"/>
      <c r="G364" s="46"/>
      <c r="H364" s="46"/>
      <c r="I364" s="46"/>
      <c r="J364" s="46"/>
      <c r="K364" s="46"/>
      <c r="L364" s="46"/>
      <c r="M364" s="46"/>
      <c r="N364" s="46"/>
      <c r="O364" s="46"/>
      <c r="P364" s="46"/>
      <c r="Q364" s="46"/>
      <c r="R364" s="46"/>
      <c r="S364" s="46"/>
      <c r="T364" s="46"/>
      <c r="U364" s="46"/>
      <c r="V364" s="46"/>
      <c r="W364" s="46"/>
      <c r="X364" s="46"/>
      <c r="Y364" s="46"/>
      <c r="Z364" s="46"/>
      <c r="AA364" s="46"/>
    </row>
    <row r="365">
      <c r="A365" s="4"/>
      <c r="B365" s="46"/>
      <c r="C365" s="46"/>
      <c r="D365" s="46"/>
      <c r="E365" s="18"/>
      <c r="F365" s="18"/>
      <c r="G365" s="46"/>
      <c r="H365" s="46"/>
      <c r="I365" s="46"/>
      <c r="J365" s="46"/>
      <c r="K365" s="46"/>
      <c r="L365" s="46"/>
      <c r="M365" s="46"/>
      <c r="N365" s="46"/>
      <c r="O365" s="46"/>
      <c r="P365" s="46"/>
      <c r="Q365" s="46"/>
      <c r="R365" s="46"/>
      <c r="S365" s="46"/>
      <c r="T365" s="46"/>
      <c r="U365" s="46"/>
      <c r="V365" s="46"/>
      <c r="W365" s="46"/>
      <c r="X365" s="46"/>
      <c r="Y365" s="46"/>
      <c r="Z365" s="46"/>
      <c r="AA365" s="46"/>
    </row>
    <row r="366">
      <c r="A366" s="4"/>
      <c r="B366" s="46"/>
      <c r="C366" s="46"/>
      <c r="D366" s="46"/>
      <c r="E366" s="18"/>
      <c r="F366" s="18"/>
      <c r="G366" s="46"/>
      <c r="H366" s="46"/>
      <c r="I366" s="46"/>
      <c r="J366" s="46"/>
      <c r="K366" s="46"/>
      <c r="L366" s="46"/>
      <c r="M366" s="46"/>
      <c r="N366" s="46"/>
      <c r="O366" s="46"/>
      <c r="P366" s="46"/>
      <c r="Q366" s="46"/>
      <c r="R366" s="46"/>
      <c r="S366" s="46"/>
      <c r="T366" s="46"/>
      <c r="U366" s="46"/>
      <c r="V366" s="46"/>
      <c r="W366" s="46"/>
      <c r="X366" s="46"/>
      <c r="Y366" s="46"/>
      <c r="Z366" s="46"/>
      <c r="AA366" s="46"/>
    </row>
    <row r="367">
      <c r="A367" s="4"/>
      <c r="B367" s="46"/>
      <c r="C367" s="46"/>
      <c r="D367" s="46"/>
      <c r="E367" s="18"/>
      <c r="F367" s="18"/>
      <c r="G367" s="46"/>
      <c r="H367" s="46"/>
      <c r="I367" s="46"/>
      <c r="J367" s="46"/>
      <c r="K367" s="46"/>
      <c r="L367" s="46"/>
      <c r="M367" s="46"/>
      <c r="N367" s="46"/>
      <c r="O367" s="46"/>
      <c r="P367" s="46"/>
      <c r="Q367" s="46"/>
      <c r="R367" s="46"/>
      <c r="S367" s="46"/>
      <c r="T367" s="46"/>
      <c r="U367" s="46"/>
      <c r="V367" s="46"/>
      <c r="W367" s="46"/>
      <c r="X367" s="46"/>
      <c r="Y367" s="46"/>
      <c r="Z367" s="46"/>
      <c r="AA367" s="46"/>
    </row>
    <row r="368">
      <c r="A368" s="4"/>
      <c r="B368" s="46"/>
      <c r="C368" s="46"/>
      <c r="D368" s="46"/>
      <c r="E368" s="18"/>
      <c r="F368" s="18"/>
      <c r="G368" s="46"/>
      <c r="H368" s="46"/>
      <c r="I368" s="46"/>
      <c r="J368" s="46"/>
      <c r="K368" s="46"/>
      <c r="L368" s="46"/>
      <c r="M368" s="46"/>
      <c r="N368" s="46"/>
      <c r="O368" s="46"/>
      <c r="P368" s="46"/>
      <c r="Q368" s="46"/>
      <c r="R368" s="46"/>
      <c r="S368" s="46"/>
      <c r="T368" s="46"/>
      <c r="U368" s="46"/>
      <c r="V368" s="46"/>
      <c r="W368" s="46"/>
      <c r="X368" s="46"/>
      <c r="Y368" s="46"/>
      <c r="Z368" s="46"/>
      <c r="AA368" s="46"/>
    </row>
    <row r="369">
      <c r="A369" s="4"/>
      <c r="B369" s="46"/>
      <c r="C369" s="46"/>
      <c r="D369" s="46"/>
      <c r="E369" s="18"/>
      <c r="F369" s="18"/>
      <c r="G369" s="46"/>
      <c r="H369" s="46"/>
      <c r="I369" s="46"/>
      <c r="J369" s="46"/>
      <c r="K369" s="46"/>
      <c r="L369" s="46"/>
      <c r="M369" s="46"/>
      <c r="N369" s="46"/>
      <c r="O369" s="46"/>
      <c r="P369" s="46"/>
      <c r="Q369" s="46"/>
      <c r="R369" s="46"/>
      <c r="S369" s="46"/>
      <c r="T369" s="46"/>
      <c r="U369" s="46"/>
      <c r="V369" s="46"/>
      <c r="W369" s="46"/>
      <c r="X369" s="46"/>
      <c r="Y369" s="46"/>
      <c r="Z369" s="46"/>
      <c r="AA369" s="46"/>
    </row>
    <row r="370">
      <c r="A370" s="4"/>
      <c r="B370" s="46"/>
      <c r="C370" s="46"/>
      <c r="D370" s="46"/>
      <c r="E370" s="18"/>
      <c r="F370" s="18"/>
      <c r="G370" s="46"/>
      <c r="H370" s="46"/>
      <c r="I370" s="46"/>
      <c r="J370" s="46"/>
      <c r="K370" s="46"/>
      <c r="L370" s="46"/>
      <c r="M370" s="46"/>
      <c r="N370" s="46"/>
      <c r="O370" s="46"/>
      <c r="P370" s="46"/>
      <c r="Q370" s="46"/>
      <c r="R370" s="46"/>
      <c r="S370" s="46"/>
      <c r="T370" s="46"/>
      <c r="U370" s="46"/>
      <c r="V370" s="46"/>
      <c r="W370" s="46"/>
      <c r="X370" s="46"/>
      <c r="Y370" s="46"/>
      <c r="Z370" s="46"/>
      <c r="AA370" s="46"/>
    </row>
    <row r="371">
      <c r="A371" s="4"/>
      <c r="B371" s="46"/>
      <c r="C371" s="46"/>
      <c r="D371" s="46"/>
      <c r="E371" s="18"/>
      <c r="F371" s="18"/>
      <c r="G371" s="46"/>
      <c r="H371" s="46"/>
      <c r="I371" s="46"/>
      <c r="J371" s="46"/>
      <c r="K371" s="46"/>
      <c r="L371" s="46"/>
      <c r="M371" s="46"/>
      <c r="N371" s="46"/>
      <c r="O371" s="46"/>
      <c r="P371" s="46"/>
      <c r="Q371" s="46"/>
      <c r="R371" s="46"/>
      <c r="S371" s="46"/>
      <c r="T371" s="46"/>
      <c r="U371" s="46"/>
      <c r="V371" s="46"/>
      <c r="W371" s="46"/>
      <c r="X371" s="46"/>
      <c r="Y371" s="46"/>
      <c r="Z371" s="46"/>
      <c r="AA371" s="46"/>
    </row>
    <row r="372">
      <c r="A372" s="4"/>
      <c r="B372" s="46"/>
      <c r="C372" s="46"/>
      <c r="D372" s="46"/>
      <c r="E372" s="18"/>
      <c r="F372" s="18"/>
      <c r="G372" s="46"/>
      <c r="H372" s="46"/>
      <c r="I372" s="46"/>
      <c r="J372" s="46"/>
      <c r="K372" s="46"/>
      <c r="L372" s="46"/>
      <c r="M372" s="46"/>
      <c r="N372" s="46"/>
      <c r="O372" s="46"/>
      <c r="P372" s="46"/>
      <c r="Q372" s="46"/>
      <c r="R372" s="46"/>
      <c r="S372" s="46"/>
      <c r="T372" s="46"/>
      <c r="U372" s="46"/>
      <c r="V372" s="46"/>
      <c r="W372" s="46"/>
      <c r="X372" s="46"/>
      <c r="Y372" s="46"/>
      <c r="Z372" s="46"/>
      <c r="AA372" s="46"/>
    </row>
    <row r="373">
      <c r="A373" s="4"/>
      <c r="B373" s="46"/>
      <c r="C373" s="46"/>
      <c r="D373" s="46"/>
      <c r="E373" s="18"/>
      <c r="F373" s="18"/>
      <c r="G373" s="46"/>
      <c r="H373" s="46"/>
      <c r="I373" s="46"/>
      <c r="J373" s="46"/>
      <c r="K373" s="46"/>
      <c r="L373" s="46"/>
      <c r="M373" s="46"/>
      <c r="N373" s="46"/>
      <c r="O373" s="46"/>
      <c r="P373" s="46"/>
      <c r="Q373" s="46"/>
      <c r="R373" s="46"/>
      <c r="S373" s="46"/>
      <c r="T373" s="46"/>
      <c r="U373" s="46"/>
      <c r="V373" s="46"/>
      <c r="W373" s="46"/>
      <c r="X373" s="46"/>
      <c r="Y373" s="46"/>
      <c r="Z373" s="46"/>
      <c r="AA373" s="46"/>
    </row>
    <row r="374">
      <c r="A374" s="4"/>
      <c r="B374" s="46"/>
      <c r="C374" s="46"/>
      <c r="D374" s="46"/>
      <c r="E374" s="18"/>
      <c r="F374" s="18"/>
      <c r="G374" s="46"/>
      <c r="H374" s="46"/>
      <c r="I374" s="46"/>
      <c r="J374" s="46"/>
      <c r="K374" s="46"/>
      <c r="L374" s="46"/>
      <c r="M374" s="46"/>
      <c r="N374" s="46"/>
      <c r="O374" s="46"/>
      <c r="P374" s="46"/>
      <c r="Q374" s="46"/>
      <c r="R374" s="46"/>
      <c r="S374" s="46"/>
      <c r="T374" s="46"/>
      <c r="U374" s="46"/>
      <c r="V374" s="46"/>
      <c r="W374" s="46"/>
      <c r="X374" s="46"/>
      <c r="Y374" s="46"/>
      <c r="Z374" s="46"/>
      <c r="AA374" s="46"/>
    </row>
    <row r="375">
      <c r="A375" s="4"/>
      <c r="B375" s="46"/>
      <c r="C375" s="46"/>
      <c r="D375" s="46"/>
      <c r="E375" s="18"/>
      <c r="F375" s="18"/>
      <c r="G375" s="46"/>
      <c r="H375" s="46"/>
      <c r="I375" s="46"/>
      <c r="J375" s="46"/>
      <c r="K375" s="46"/>
      <c r="L375" s="46"/>
      <c r="M375" s="46"/>
      <c r="N375" s="46"/>
      <c r="O375" s="46"/>
      <c r="P375" s="46"/>
      <c r="Q375" s="46"/>
      <c r="R375" s="46"/>
      <c r="S375" s="46"/>
      <c r="T375" s="46"/>
      <c r="U375" s="46"/>
      <c r="V375" s="46"/>
      <c r="W375" s="46"/>
      <c r="X375" s="46"/>
      <c r="Y375" s="46"/>
      <c r="Z375" s="46"/>
      <c r="AA375" s="46"/>
    </row>
    <row r="376">
      <c r="A376" s="4"/>
      <c r="B376" s="46"/>
      <c r="C376" s="46"/>
      <c r="D376" s="46"/>
      <c r="E376" s="18"/>
      <c r="F376" s="18"/>
      <c r="G376" s="46"/>
      <c r="H376" s="46"/>
      <c r="I376" s="46"/>
      <c r="J376" s="46"/>
      <c r="K376" s="46"/>
      <c r="L376" s="46"/>
      <c r="M376" s="46"/>
      <c r="N376" s="46"/>
      <c r="O376" s="46"/>
      <c r="P376" s="46"/>
      <c r="Q376" s="46"/>
      <c r="R376" s="46"/>
      <c r="S376" s="46"/>
      <c r="T376" s="46"/>
      <c r="U376" s="46"/>
      <c r="V376" s="46"/>
      <c r="W376" s="46"/>
      <c r="X376" s="46"/>
      <c r="Y376" s="46"/>
      <c r="Z376" s="46"/>
      <c r="AA376" s="46"/>
    </row>
    <row r="377">
      <c r="A377" s="4"/>
      <c r="B377" s="46"/>
      <c r="C377" s="46"/>
      <c r="D377" s="46"/>
      <c r="E377" s="18"/>
      <c r="F377" s="18"/>
      <c r="G377" s="46"/>
      <c r="H377" s="46"/>
      <c r="I377" s="46"/>
      <c r="J377" s="46"/>
      <c r="K377" s="46"/>
      <c r="L377" s="46"/>
      <c r="M377" s="46"/>
      <c r="N377" s="46"/>
      <c r="O377" s="46"/>
      <c r="P377" s="46"/>
      <c r="Q377" s="46"/>
      <c r="R377" s="46"/>
      <c r="S377" s="46"/>
      <c r="T377" s="46"/>
      <c r="U377" s="46"/>
      <c r="V377" s="46"/>
      <c r="W377" s="46"/>
      <c r="X377" s="46"/>
      <c r="Y377" s="46"/>
      <c r="Z377" s="46"/>
      <c r="AA377" s="46"/>
    </row>
    <row r="378">
      <c r="A378" s="4"/>
      <c r="B378" s="46"/>
      <c r="C378" s="46"/>
      <c r="D378" s="46"/>
      <c r="E378" s="18"/>
      <c r="F378" s="18"/>
      <c r="G378" s="46"/>
      <c r="H378" s="46"/>
      <c r="I378" s="46"/>
      <c r="J378" s="46"/>
      <c r="K378" s="46"/>
      <c r="L378" s="46"/>
      <c r="M378" s="46"/>
      <c r="N378" s="46"/>
      <c r="O378" s="46"/>
      <c r="P378" s="46"/>
      <c r="Q378" s="46"/>
      <c r="R378" s="46"/>
      <c r="S378" s="46"/>
      <c r="T378" s="46"/>
      <c r="U378" s="46"/>
      <c r="V378" s="46"/>
      <c r="W378" s="46"/>
      <c r="X378" s="46"/>
      <c r="Y378" s="46"/>
      <c r="Z378" s="46"/>
      <c r="AA378" s="46"/>
    </row>
    <row r="379">
      <c r="A379" s="4"/>
      <c r="B379" s="46"/>
      <c r="C379" s="46"/>
      <c r="D379" s="46"/>
      <c r="E379" s="18"/>
      <c r="F379" s="18"/>
      <c r="G379" s="46"/>
      <c r="H379" s="46"/>
      <c r="I379" s="46"/>
      <c r="J379" s="46"/>
      <c r="K379" s="46"/>
      <c r="L379" s="46"/>
      <c r="M379" s="46"/>
      <c r="N379" s="46"/>
      <c r="O379" s="46"/>
      <c r="P379" s="46"/>
      <c r="Q379" s="46"/>
      <c r="R379" s="46"/>
      <c r="S379" s="46"/>
      <c r="T379" s="46"/>
      <c r="U379" s="46"/>
      <c r="V379" s="46"/>
      <c r="W379" s="46"/>
      <c r="X379" s="46"/>
      <c r="Y379" s="46"/>
      <c r="Z379" s="46"/>
      <c r="AA379" s="46"/>
    </row>
    <row r="380">
      <c r="A380" s="4"/>
      <c r="B380" s="46"/>
      <c r="C380" s="46"/>
      <c r="D380" s="46"/>
      <c r="E380" s="18"/>
      <c r="F380" s="18"/>
      <c r="G380" s="46"/>
      <c r="H380" s="46"/>
      <c r="I380" s="46"/>
      <c r="J380" s="46"/>
      <c r="K380" s="46"/>
      <c r="L380" s="46"/>
      <c r="M380" s="46"/>
      <c r="N380" s="46"/>
      <c r="O380" s="46"/>
      <c r="P380" s="46"/>
      <c r="Q380" s="46"/>
      <c r="R380" s="46"/>
      <c r="S380" s="46"/>
      <c r="T380" s="46"/>
      <c r="U380" s="46"/>
      <c r="V380" s="46"/>
      <c r="W380" s="46"/>
      <c r="X380" s="46"/>
      <c r="Y380" s="46"/>
      <c r="Z380" s="46"/>
      <c r="AA380" s="46"/>
    </row>
    <row r="381">
      <c r="A381" s="4"/>
      <c r="B381" s="46"/>
      <c r="C381" s="46"/>
      <c r="D381" s="46"/>
      <c r="E381" s="18"/>
      <c r="F381" s="18"/>
      <c r="G381" s="46"/>
      <c r="H381" s="46"/>
      <c r="I381" s="46"/>
      <c r="J381" s="46"/>
      <c r="K381" s="46"/>
      <c r="L381" s="46"/>
      <c r="M381" s="46"/>
      <c r="N381" s="46"/>
      <c r="O381" s="46"/>
      <c r="P381" s="46"/>
      <c r="Q381" s="46"/>
      <c r="R381" s="46"/>
      <c r="S381" s="46"/>
      <c r="T381" s="46"/>
      <c r="U381" s="46"/>
      <c r="V381" s="46"/>
      <c r="W381" s="46"/>
      <c r="X381" s="46"/>
      <c r="Y381" s="46"/>
      <c r="Z381" s="46"/>
      <c r="AA381" s="46"/>
    </row>
    <row r="382">
      <c r="A382" s="4"/>
      <c r="B382" s="46"/>
      <c r="C382" s="46"/>
      <c r="D382" s="46"/>
      <c r="E382" s="18"/>
      <c r="F382" s="18"/>
      <c r="G382" s="46"/>
      <c r="H382" s="46"/>
      <c r="I382" s="46"/>
      <c r="J382" s="46"/>
      <c r="K382" s="46"/>
      <c r="L382" s="46"/>
      <c r="M382" s="46"/>
      <c r="N382" s="46"/>
      <c r="O382" s="46"/>
      <c r="P382" s="46"/>
      <c r="Q382" s="46"/>
      <c r="R382" s="46"/>
      <c r="S382" s="46"/>
      <c r="T382" s="46"/>
      <c r="U382" s="46"/>
      <c r="V382" s="46"/>
      <c r="W382" s="46"/>
      <c r="X382" s="46"/>
      <c r="Y382" s="46"/>
      <c r="Z382" s="46"/>
      <c r="AA382" s="46"/>
    </row>
    <row r="383">
      <c r="A383" s="4"/>
      <c r="B383" s="46"/>
      <c r="C383" s="46"/>
      <c r="D383" s="46"/>
      <c r="E383" s="18"/>
      <c r="F383" s="18"/>
      <c r="G383" s="46"/>
      <c r="H383" s="46"/>
      <c r="I383" s="46"/>
      <c r="J383" s="46"/>
      <c r="K383" s="46"/>
      <c r="L383" s="46"/>
      <c r="M383" s="46"/>
      <c r="N383" s="46"/>
      <c r="O383" s="46"/>
      <c r="P383" s="46"/>
      <c r="Q383" s="46"/>
      <c r="R383" s="46"/>
      <c r="S383" s="46"/>
      <c r="T383" s="46"/>
      <c r="U383" s="46"/>
      <c r="V383" s="46"/>
      <c r="W383" s="46"/>
      <c r="X383" s="46"/>
      <c r="Y383" s="46"/>
      <c r="Z383" s="46"/>
      <c r="AA383" s="46"/>
    </row>
    <row r="384">
      <c r="A384" s="4"/>
      <c r="B384" s="46"/>
      <c r="C384" s="46"/>
      <c r="D384" s="46"/>
      <c r="E384" s="18"/>
      <c r="F384" s="18"/>
      <c r="G384" s="46"/>
      <c r="H384" s="46"/>
      <c r="I384" s="46"/>
      <c r="J384" s="46"/>
      <c r="K384" s="46"/>
      <c r="L384" s="46"/>
      <c r="M384" s="46"/>
      <c r="N384" s="46"/>
      <c r="O384" s="46"/>
      <c r="P384" s="46"/>
      <c r="Q384" s="46"/>
      <c r="R384" s="46"/>
      <c r="S384" s="46"/>
      <c r="T384" s="46"/>
      <c r="U384" s="46"/>
      <c r="V384" s="46"/>
      <c r="W384" s="46"/>
      <c r="X384" s="46"/>
      <c r="Y384" s="46"/>
      <c r="Z384" s="46"/>
      <c r="AA384" s="46"/>
    </row>
    <row r="385">
      <c r="A385" s="4"/>
      <c r="B385" s="46"/>
      <c r="C385" s="46"/>
      <c r="D385" s="46"/>
      <c r="E385" s="18"/>
      <c r="F385" s="18"/>
      <c r="G385" s="46"/>
      <c r="H385" s="46"/>
      <c r="I385" s="46"/>
      <c r="J385" s="46"/>
      <c r="K385" s="46"/>
      <c r="L385" s="46"/>
      <c r="M385" s="46"/>
      <c r="N385" s="46"/>
      <c r="O385" s="46"/>
      <c r="P385" s="46"/>
      <c r="Q385" s="46"/>
      <c r="R385" s="46"/>
      <c r="S385" s="46"/>
      <c r="T385" s="46"/>
      <c r="U385" s="46"/>
      <c r="V385" s="46"/>
      <c r="W385" s="46"/>
      <c r="X385" s="46"/>
      <c r="Y385" s="46"/>
      <c r="Z385" s="46"/>
      <c r="AA385" s="46"/>
    </row>
    <row r="386">
      <c r="A386" s="4"/>
      <c r="B386" s="46"/>
      <c r="C386" s="46"/>
      <c r="D386" s="46"/>
      <c r="E386" s="18"/>
      <c r="F386" s="18"/>
      <c r="G386" s="46"/>
      <c r="H386" s="46"/>
      <c r="I386" s="46"/>
      <c r="J386" s="46"/>
      <c r="K386" s="46"/>
      <c r="L386" s="46"/>
      <c r="M386" s="46"/>
      <c r="N386" s="46"/>
      <c r="O386" s="46"/>
      <c r="P386" s="46"/>
      <c r="Q386" s="46"/>
      <c r="R386" s="46"/>
      <c r="S386" s="46"/>
      <c r="T386" s="46"/>
      <c r="U386" s="46"/>
      <c r="V386" s="46"/>
      <c r="W386" s="46"/>
      <c r="X386" s="46"/>
      <c r="Y386" s="46"/>
      <c r="Z386" s="46"/>
      <c r="AA386" s="46"/>
    </row>
    <row r="387">
      <c r="A387" s="4"/>
      <c r="B387" s="46"/>
      <c r="C387" s="46"/>
      <c r="D387" s="46"/>
      <c r="E387" s="18"/>
      <c r="F387" s="18"/>
      <c r="G387" s="46"/>
      <c r="H387" s="46"/>
      <c r="I387" s="46"/>
      <c r="J387" s="46"/>
      <c r="K387" s="46"/>
      <c r="L387" s="46"/>
      <c r="M387" s="46"/>
      <c r="N387" s="46"/>
      <c r="O387" s="46"/>
      <c r="P387" s="46"/>
      <c r="Q387" s="46"/>
      <c r="R387" s="46"/>
      <c r="S387" s="46"/>
      <c r="T387" s="46"/>
      <c r="U387" s="46"/>
      <c r="V387" s="46"/>
      <c r="W387" s="46"/>
      <c r="X387" s="46"/>
      <c r="Y387" s="46"/>
      <c r="Z387" s="46"/>
      <c r="AA387" s="46"/>
    </row>
    <row r="388">
      <c r="A388" s="4"/>
      <c r="B388" s="46"/>
      <c r="C388" s="46"/>
      <c r="D388" s="46"/>
      <c r="E388" s="18"/>
      <c r="F388" s="18"/>
      <c r="G388" s="46"/>
      <c r="H388" s="46"/>
      <c r="I388" s="46"/>
      <c r="J388" s="46"/>
      <c r="K388" s="46"/>
      <c r="L388" s="46"/>
      <c r="M388" s="46"/>
      <c r="N388" s="46"/>
      <c r="O388" s="46"/>
      <c r="P388" s="46"/>
      <c r="Q388" s="46"/>
      <c r="R388" s="46"/>
      <c r="S388" s="46"/>
      <c r="T388" s="46"/>
      <c r="U388" s="46"/>
      <c r="V388" s="46"/>
      <c r="W388" s="46"/>
      <c r="X388" s="46"/>
      <c r="Y388" s="46"/>
      <c r="Z388" s="46"/>
      <c r="AA388" s="46"/>
    </row>
    <row r="389">
      <c r="A389" s="4"/>
      <c r="B389" s="46"/>
      <c r="C389" s="46"/>
      <c r="D389" s="46"/>
      <c r="E389" s="18"/>
      <c r="F389" s="18"/>
      <c r="G389" s="46"/>
      <c r="H389" s="46"/>
      <c r="I389" s="46"/>
      <c r="J389" s="46"/>
      <c r="K389" s="46"/>
      <c r="L389" s="46"/>
      <c r="M389" s="46"/>
      <c r="N389" s="46"/>
      <c r="O389" s="46"/>
      <c r="P389" s="46"/>
      <c r="Q389" s="46"/>
      <c r="R389" s="46"/>
      <c r="S389" s="46"/>
      <c r="T389" s="46"/>
      <c r="U389" s="46"/>
      <c r="V389" s="46"/>
      <c r="W389" s="46"/>
      <c r="X389" s="46"/>
      <c r="Y389" s="46"/>
      <c r="Z389" s="46"/>
      <c r="AA389" s="46"/>
    </row>
    <row r="390">
      <c r="A390" s="4"/>
      <c r="B390" s="46"/>
      <c r="C390" s="46"/>
      <c r="D390" s="46"/>
      <c r="E390" s="18"/>
      <c r="F390" s="18"/>
      <c r="G390" s="46"/>
      <c r="H390" s="46"/>
      <c r="I390" s="46"/>
      <c r="J390" s="46"/>
      <c r="K390" s="46"/>
      <c r="L390" s="46"/>
      <c r="M390" s="46"/>
      <c r="N390" s="46"/>
      <c r="O390" s="46"/>
      <c r="P390" s="46"/>
      <c r="Q390" s="46"/>
      <c r="R390" s="46"/>
      <c r="S390" s="46"/>
      <c r="T390" s="46"/>
      <c r="U390" s="46"/>
      <c r="V390" s="46"/>
      <c r="W390" s="46"/>
      <c r="X390" s="46"/>
      <c r="Y390" s="46"/>
      <c r="Z390" s="46"/>
      <c r="AA390" s="46"/>
    </row>
    <row r="391">
      <c r="A391" s="4"/>
      <c r="B391" s="46"/>
      <c r="C391" s="46"/>
      <c r="D391" s="46"/>
      <c r="E391" s="18"/>
      <c r="F391" s="18"/>
      <c r="G391" s="46"/>
      <c r="H391" s="46"/>
      <c r="I391" s="46"/>
      <c r="J391" s="46"/>
      <c r="K391" s="46"/>
      <c r="L391" s="46"/>
      <c r="M391" s="46"/>
      <c r="N391" s="46"/>
      <c r="O391" s="46"/>
      <c r="P391" s="46"/>
      <c r="Q391" s="46"/>
      <c r="R391" s="46"/>
      <c r="S391" s="46"/>
      <c r="T391" s="46"/>
      <c r="U391" s="46"/>
      <c r="V391" s="46"/>
      <c r="W391" s="46"/>
      <c r="X391" s="46"/>
      <c r="Y391" s="46"/>
      <c r="Z391" s="46"/>
      <c r="AA391" s="46"/>
    </row>
    <row r="392">
      <c r="A392" s="4"/>
      <c r="B392" s="46"/>
      <c r="C392" s="46"/>
      <c r="D392" s="46"/>
      <c r="E392" s="18"/>
      <c r="F392" s="18"/>
      <c r="G392" s="46"/>
      <c r="H392" s="46"/>
      <c r="I392" s="46"/>
      <c r="J392" s="46"/>
      <c r="K392" s="46"/>
      <c r="L392" s="46"/>
      <c r="M392" s="46"/>
      <c r="N392" s="46"/>
      <c r="O392" s="46"/>
      <c r="P392" s="46"/>
      <c r="Q392" s="46"/>
      <c r="R392" s="46"/>
      <c r="S392" s="46"/>
      <c r="T392" s="46"/>
      <c r="U392" s="46"/>
      <c r="V392" s="46"/>
      <c r="W392" s="46"/>
      <c r="X392" s="46"/>
      <c r="Y392" s="46"/>
      <c r="Z392" s="46"/>
      <c r="AA392" s="46"/>
    </row>
    <row r="393">
      <c r="A393" s="4"/>
      <c r="B393" s="46"/>
      <c r="C393" s="46"/>
      <c r="D393" s="46"/>
      <c r="E393" s="18"/>
      <c r="F393" s="18"/>
      <c r="G393" s="46"/>
      <c r="H393" s="46"/>
      <c r="I393" s="46"/>
      <c r="J393" s="46"/>
      <c r="K393" s="46"/>
      <c r="L393" s="46"/>
      <c r="M393" s="46"/>
      <c r="N393" s="46"/>
      <c r="O393" s="46"/>
      <c r="P393" s="46"/>
      <c r="Q393" s="46"/>
      <c r="R393" s="46"/>
      <c r="S393" s="46"/>
      <c r="T393" s="46"/>
      <c r="U393" s="46"/>
      <c r="V393" s="46"/>
      <c r="W393" s="46"/>
      <c r="X393" s="46"/>
      <c r="Y393" s="46"/>
      <c r="Z393" s="46"/>
      <c r="AA393" s="46"/>
    </row>
    <row r="394">
      <c r="A394" s="4"/>
      <c r="B394" s="46"/>
      <c r="C394" s="46"/>
      <c r="D394" s="46"/>
      <c r="E394" s="18"/>
      <c r="F394" s="18"/>
      <c r="G394" s="46"/>
      <c r="H394" s="46"/>
      <c r="I394" s="46"/>
      <c r="J394" s="46"/>
      <c r="K394" s="46"/>
      <c r="L394" s="46"/>
      <c r="M394" s="46"/>
      <c r="N394" s="46"/>
      <c r="O394" s="46"/>
      <c r="P394" s="46"/>
      <c r="Q394" s="46"/>
      <c r="R394" s="46"/>
      <c r="S394" s="46"/>
      <c r="T394" s="46"/>
      <c r="U394" s="46"/>
      <c r="V394" s="46"/>
      <c r="W394" s="46"/>
      <c r="X394" s="46"/>
      <c r="Y394" s="46"/>
      <c r="Z394" s="46"/>
      <c r="AA394" s="46"/>
    </row>
    <row r="395">
      <c r="A395" s="4"/>
      <c r="B395" s="46"/>
      <c r="C395" s="46"/>
      <c r="D395" s="46"/>
      <c r="E395" s="18"/>
      <c r="F395" s="18"/>
      <c r="G395" s="46"/>
      <c r="H395" s="46"/>
      <c r="I395" s="46"/>
      <c r="J395" s="46"/>
      <c r="K395" s="46"/>
      <c r="L395" s="46"/>
      <c r="M395" s="46"/>
      <c r="N395" s="46"/>
      <c r="O395" s="46"/>
      <c r="P395" s="46"/>
      <c r="Q395" s="46"/>
      <c r="R395" s="46"/>
      <c r="S395" s="46"/>
      <c r="T395" s="46"/>
      <c r="U395" s="46"/>
      <c r="V395" s="46"/>
      <c r="W395" s="46"/>
      <c r="X395" s="46"/>
      <c r="Y395" s="46"/>
      <c r="Z395" s="46"/>
      <c r="AA395" s="46"/>
    </row>
    <row r="396">
      <c r="A396" s="4"/>
      <c r="B396" s="46"/>
      <c r="C396" s="46"/>
      <c r="D396" s="46"/>
      <c r="E396" s="18"/>
      <c r="F396" s="18"/>
      <c r="G396" s="46"/>
      <c r="H396" s="46"/>
      <c r="I396" s="46"/>
      <c r="J396" s="46"/>
      <c r="K396" s="46"/>
      <c r="L396" s="46"/>
      <c r="M396" s="46"/>
      <c r="N396" s="46"/>
      <c r="O396" s="46"/>
      <c r="P396" s="46"/>
      <c r="Q396" s="46"/>
      <c r="R396" s="46"/>
      <c r="S396" s="46"/>
      <c r="T396" s="46"/>
      <c r="U396" s="46"/>
      <c r="V396" s="46"/>
      <c r="W396" s="46"/>
      <c r="X396" s="46"/>
      <c r="Y396" s="46"/>
      <c r="Z396" s="46"/>
      <c r="AA396" s="46"/>
    </row>
    <row r="397">
      <c r="A397" s="4"/>
      <c r="B397" s="46"/>
      <c r="C397" s="46"/>
      <c r="D397" s="46"/>
      <c r="E397" s="18"/>
      <c r="F397" s="18"/>
      <c r="G397" s="46"/>
      <c r="H397" s="46"/>
      <c r="I397" s="46"/>
      <c r="J397" s="46"/>
      <c r="K397" s="46"/>
      <c r="L397" s="46"/>
      <c r="M397" s="46"/>
      <c r="N397" s="46"/>
      <c r="O397" s="46"/>
      <c r="P397" s="46"/>
      <c r="Q397" s="46"/>
      <c r="R397" s="46"/>
      <c r="S397" s="46"/>
      <c r="T397" s="46"/>
      <c r="U397" s="46"/>
      <c r="V397" s="46"/>
      <c r="W397" s="46"/>
      <c r="X397" s="46"/>
      <c r="Y397" s="46"/>
      <c r="Z397" s="46"/>
      <c r="AA397" s="46"/>
    </row>
    <row r="398">
      <c r="A398" s="4"/>
      <c r="B398" s="46"/>
      <c r="C398" s="46"/>
      <c r="D398" s="46"/>
      <c r="E398" s="18"/>
      <c r="F398" s="18"/>
      <c r="G398" s="46"/>
      <c r="H398" s="46"/>
      <c r="I398" s="46"/>
      <c r="J398" s="46"/>
      <c r="K398" s="46"/>
      <c r="L398" s="46"/>
      <c r="M398" s="46"/>
      <c r="N398" s="46"/>
      <c r="O398" s="46"/>
      <c r="P398" s="46"/>
      <c r="Q398" s="46"/>
      <c r="R398" s="46"/>
      <c r="S398" s="46"/>
      <c r="T398" s="46"/>
      <c r="U398" s="46"/>
      <c r="V398" s="46"/>
      <c r="W398" s="46"/>
      <c r="X398" s="46"/>
      <c r="Y398" s="46"/>
      <c r="Z398" s="46"/>
      <c r="AA398" s="46"/>
    </row>
    <row r="399">
      <c r="A399" s="4"/>
      <c r="B399" s="46"/>
      <c r="C399" s="46"/>
      <c r="D399" s="46"/>
      <c r="E399" s="18"/>
      <c r="F399" s="18"/>
      <c r="G399" s="46"/>
      <c r="H399" s="46"/>
      <c r="I399" s="46"/>
      <c r="J399" s="46"/>
      <c r="K399" s="46"/>
      <c r="L399" s="46"/>
      <c r="M399" s="46"/>
      <c r="N399" s="46"/>
      <c r="O399" s="46"/>
      <c r="P399" s="46"/>
      <c r="Q399" s="46"/>
      <c r="R399" s="46"/>
      <c r="S399" s="46"/>
      <c r="T399" s="46"/>
      <c r="U399" s="46"/>
      <c r="V399" s="46"/>
      <c r="W399" s="46"/>
      <c r="X399" s="46"/>
      <c r="Y399" s="46"/>
      <c r="Z399" s="46"/>
      <c r="AA399" s="46"/>
    </row>
    <row r="400">
      <c r="A400" s="4"/>
      <c r="B400" s="46"/>
      <c r="C400" s="46"/>
      <c r="D400" s="46"/>
      <c r="E400" s="18"/>
      <c r="F400" s="18"/>
      <c r="G400" s="46"/>
      <c r="H400" s="46"/>
      <c r="I400" s="46"/>
      <c r="J400" s="46"/>
      <c r="K400" s="46"/>
      <c r="L400" s="46"/>
      <c r="M400" s="46"/>
      <c r="N400" s="46"/>
      <c r="O400" s="46"/>
      <c r="P400" s="46"/>
      <c r="Q400" s="46"/>
      <c r="R400" s="46"/>
      <c r="S400" s="46"/>
      <c r="T400" s="46"/>
      <c r="U400" s="46"/>
      <c r="V400" s="46"/>
      <c r="W400" s="46"/>
      <c r="X400" s="46"/>
      <c r="Y400" s="46"/>
      <c r="Z400" s="46"/>
      <c r="AA400" s="46"/>
    </row>
    <row r="401">
      <c r="A401" s="4"/>
      <c r="B401" s="46"/>
      <c r="C401" s="46"/>
      <c r="D401" s="46"/>
      <c r="E401" s="18"/>
      <c r="F401" s="18"/>
      <c r="G401" s="46"/>
      <c r="H401" s="46"/>
      <c r="I401" s="46"/>
      <c r="J401" s="46"/>
      <c r="K401" s="46"/>
      <c r="L401" s="46"/>
      <c r="M401" s="46"/>
      <c r="N401" s="46"/>
      <c r="O401" s="46"/>
      <c r="P401" s="46"/>
      <c r="Q401" s="46"/>
      <c r="R401" s="46"/>
      <c r="S401" s="46"/>
      <c r="T401" s="46"/>
      <c r="U401" s="46"/>
      <c r="V401" s="46"/>
      <c r="W401" s="46"/>
      <c r="X401" s="46"/>
      <c r="Y401" s="46"/>
      <c r="Z401" s="46"/>
      <c r="AA401" s="46"/>
    </row>
    <row r="402">
      <c r="A402" s="4"/>
      <c r="B402" s="46"/>
      <c r="C402" s="46"/>
      <c r="D402" s="46"/>
      <c r="E402" s="18"/>
      <c r="F402" s="18"/>
      <c r="G402" s="46"/>
      <c r="H402" s="46"/>
      <c r="I402" s="46"/>
      <c r="J402" s="46"/>
      <c r="K402" s="46"/>
      <c r="L402" s="46"/>
      <c r="M402" s="46"/>
      <c r="N402" s="46"/>
      <c r="O402" s="46"/>
      <c r="P402" s="46"/>
      <c r="Q402" s="46"/>
      <c r="R402" s="46"/>
      <c r="S402" s="46"/>
      <c r="T402" s="46"/>
      <c r="U402" s="46"/>
      <c r="V402" s="46"/>
      <c r="W402" s="46"/>
      <c r="X402" s="46"/>
      <c r="Y402" s="46"/>
      <c r="Z402" s="46"/>
      <c r="AA402" s="46"/>
    </row>
    <row r="403">
      <c r="A403" s="4"/>
      <c r="B403" s="46"/>
      <c r="C403" s="46"/>
      <c r="D403" s="46"/>
      <c r="E403" s="18"/>
      <c r="F403" s="18"/>
      <c r="G403" s="46"/>
      <c r="H403" s="46"/>
      <c r="I403" s="46"/>
      <c r="J403" s="46"/>
      <c r="K403" s="46"/>
      <c r="L403" s="46"/>
      <c r="M403" s="46"/>
      <c r="N403" s="46"/>
      <c r="O403" s="46"/>
      <c r="P403" s="46"/>
      <c r="Q403" s="46"/>
      <c r="R403" s="46"/>
      <c r="S403" s="46"/>
      <c r="T403" s="46"/>
      <c r="U403" s="46"/>
      <c r="V403" s="46"/>
      <c r="W403" s="46"/>
      <c r="X403" s="46"/>
      <c r="Y403" s="46"/>
      <c r="Z403" s="46"/>
      <c r="AA403" s="46"/>
    </row>
    <row r="404">
      <c r="A404" s="4"/>
      <c r="B404" s="46"/>
      <c r="C404" s="46"/>
      <c r="D404" s="46"/>
      <c r="E404" s="18"/>
      <c r="F404" s="18"/>
      <c r="G404" s="46"/>
      <c r="H404" s="46"/>
      <c r="I404" s="46"/>
      <c r="J404" s="46"/>
      <c r="K404" s="46"/>
      <c r="L404" s="46"/>
      <c r="M404" s="46"/>
      <c r="N404" s="46"/>
      <c r="O404" s="46"/>
      <c r="P404" s="46"/>
      <c r="Q404" s="46"/>
      <c r="R404" s="46"/>
      <c r="S404" s="46"/>
      <c r="T404" s="46"/>
      <c r="U404" s="46"/>
      <c r="V404" s="46"/>
      <c r="W404" s="46"/>
      <c r="X404" s="46"/>
      <c r="Y404" s="46"/>
      <c r="Z404" s="46"/>
      <c r="AA404" s="46"/>
    </row>
    <row r="405">
      <c r="A405" s="4"/>
      <c r="B405" s="46"/>
      <c r="C405" s="46"/>
      <c r="D405" s="46"/>
      <c r="E405" s="18"/>
      <c r="F405" s="18"/>
      <c r="G405" s="46"/>
      <c r="H405" s="46"/>
      <c r="I405" s="46"/>
      <c r="J405" s="46"/>
      <c r="K405" s="46"/>
      <c r="L405" s="46"/>
      <c r="M405" s="46"/>
      <c r="N405" s="46"/>
      <c r="O405" s="46"/>
      <c r="P405" s="46"/>
      <c r="Q405" s="46"/>
      <c r="R405" s="46"/>
      <c r="S405" s="46"/>
      <c r="T405" s="46"/>
      <c r="U405" s="46"/>
      <c r="V405" s="46"/>
      <c r="W405" s="46"/>
      <c r="X405" s="46"/>
      <c r="Y405" s="46"/>
      <c r="Z405" s="46"/>
      <c r="AA405" s="46"/>
    </row>
    <row r="406">
      <c r="A406" s="4"/>
      <c r="B406" s="46"/>
      <c r="C406" s="46"/>
      <c r="D406" s="46"/>
      <c r="E406" s="18"/>
      <c r="F406" s="18"/>
      <c r="G406" s="46"/>
      <c r="H406" s="46"/>
      <c r="I406" s="46"/>
      <c r="J406" s="46"/>
      <c r="K406" s="46"/>
      <c r="L406" s="46"/>
      <c r="M406" s="46"/>
      <c r="N406" s="46"/>
      <c r="O406" s="46"/>
      <c r="P406" s="46"/>
      <c r="Q406" s="46"/>
      <c r="R406" s="46"/>
      <c r="S406" s="46"/>
      <c r="T406" s="46"/>
      <c r="U406" s="46"/>
      <c r="V406" s="46"/>
      <c r="W406" s="46"/>
      <c r="X406" s="46"/>
      <c r="Y406" s="46"/>
      <c r="Z406" s="46"/>
      <c r="AA406" s="46"/>
    </row>
    <row r="407">
      <c r="A407" s="4"/>
      <c r="B407" s="46"/>
      <c r="C407" s="46"/>
      <c r="D407" s="46"/>
      <c r="E407" s="18"/>
      <c r="F407" s="18"/>
      <c r="G407" s="46"/>
      <c r="H407" s="46"/>
      <c r="I407" s="46"/>
      <c r="J407" s="46"/>
      <c r="K407" s="46"/>
      <c r="L407" s="46"/>
      <c r="M407" s="46"/>
      <c r="N407" s="46"/>
      <c r="O407" s="46"/>
      <c r="P407" s="46"/>
      <c r="Q407" s="46"/>
      <c r="R407" s="46"/>
      <c r="S407" s="46"/>
      <c r="T407" s="46"/>
      <c r="U407" s="46"/>
      <c r="V407" s="46"/>
      <c r="W407" s="46"/>
      <c r="X407" s="46"/>
      <c r="Y407" s="46"/>
      <c r="Z407" s="46"/>
      <c r="AA407" s="46"/>
    </row>
    <row r="408">
      <c r="A408" s="4"/>
      <c r="B408" s="46"/>
      <c r="C408" s="46"/>
      <c r="D408" s="46"/>
      <c r="E408" s="18"/>
      <c r="F408" s="18"/>
      <c r="G408" s="46"/>
      <c r="H408" s="46"/>
      <c r="I408" s="46"/>
      <c r="J408" s="46"/>
      <c r="K408" s="46"/>
      <c r="L408" s="46"/>
      <c r="M408" s="46"/>
      <c r="N408" s="46"/>
      <c r="O408" s="46"/>
      <c r="P408" s="46"/>
      <c r="Q408" s="46"/>
      <c r="R408" s="46"/>
      <c r="S408" s="46"/>
      <c r="T408" s="46"/>
      <c r="U408" s="46"/>
      <c r="V408" s="46"/>
      <c r="W408" s="46"/>
      <c r="X408" s="46"/>
      <c r="Y408" s="46"/>
      <c r="Z408" s="46"/>
      <c r="AA408" s="46"/>
    </row>
    <row r="409">
      <c r="A409" s="4"/>
      <c r="B409" s="46"/>
      <c r="C409" s="46"/>
      <c r="D409" s="46"/>
      <c r="E409" s="18"/>
      <c r="F409" s="18"/>
      <c r="G409" s="46"/>
      <c r="H409" s="46"/>
      <c r="I409" s="46"/>
      <c r="J409" s="46"/>
      <c r="K409" s="46"/>
      <c r="L409" s="46"/>
      <c r="M409" s="46"/>
      <c r="N409" s="46"/>
      <c r="O409" s="46"/>
      <c r="P409" s="46"/>
      <c r="Q409" s="46"/>
      <c r="R409" s="46"/>
      <c r="S409" s="46"/>
      <c r="T409" s="46"/>
      <c r="U409" s="46"/>
      <c r="V409" s="46"/>
      <c r="W409" s="46"/>
      <c r="X409" s="46"/>
      <c r="Y409" s="46"/>
      <c r="Z409" s="46"/>
      <c r="AA409" s="46"/>
    </row>
    <row r="410">
      <c r="A410" s="4"/>
      <c r="B410" s="46"/>
      <c r="C410" s="46"/>
      <c r="D410" s="46"/>
      <c r="E410" s="18"/>
      <c r="F410" s="18"/>
      <c r="G410" s="46"/>
      <c r="H410" s="46"/>
      <c r="I410" s="46"/>
      <c r="J410" s="46"/>
      <c r="K410" s="46"/>
      <c r="L410" s="46"/>
      <c r="M410" s="46"/>
      <c r="N410" s="46"/>
      <c r="O410" s="46"/>
      <c r="P410" s="46"/>
      <c r="Q410" s="46"/>
      <c r="R410" s="46"/>
      <c r="S410" s="46"/>
      <c r="T410" s="46"/>
      <c r="U410" s="46"/>
      <c r="V410" s="46"/>
      <c r="W410" s="46"/>
      <c r="X410" s="46"/>
      <c r="Y410" s="46"/>
      <c r="Z410" s="46"/>
      <c r="AA410" s="46"/>
    </row>
    <row r="411">
      <c r="A411" s="4"/>
      <c r="B411" s="46"/>
      <c r="C411" s="46"/>
      <c r="D411" s="46"/>
      <c r="E411" s="18"/>
      <c r="F411" s="18"/>
      <c r="G411" s="46"/>
      <c r="H411" s="46"/>
      <c r="I411" s="46"/>
      <c r="J411" s="46"/>
      <c r="K411" s="46"/>
      <c r="L411" s="46"/>
      <c r="M411" s="46"/>
      <c r="N411" s="46"/>
      <c r="O411" s="46"/>
      <c r="P411" s="46"/>
      <c r="Q411" s="46"/>
      <c r="R411" s="46"/>
      <c r="S411" s="46"/>
      <c r="T411" s="46"/>
      <c r="U411" s="46"/>
      <c r="V411" s="46"/>
      <c r="W411" s="46"/>
      <c r="X411" s="46"/>
      <c r="Y411" s="46"/>
      <c r="Z411" s="46"/>
      <c r="AA411" s="46"/>
    </row>
    <row r="412">
      <c r="A412" s="4"/>
      <c r="B412" s="46"/>
      <c r="C412" s="46"/>
      <c r="D412" s="46"/>
      <c r="E412" s="18"/>
      <c r="F412" s="18"/>
      <c r="G412" s="46"/>
      <c r="H412" s="46"/>
      <c r="I412" s="46"/>
      <c r="J412" s="46"/>
      <c r="K412" s="46"/>
      <c r="L412" s="46"/>
      <c r="M412" s="46"/>
      <c r="N412" s="46"/>
      <c r="O412" s="46"/>
      <c r="P412" s="46"/>
      <c r="Q412" s="46"/>
      <c r="R412" s="46"/>
      <c r="S412" s="46"/>
      <c r="T412" s="46"/>
      <c r="U412" s="46"/>
      <c r="V412" s="46"/>
      <c r="W412" s="46"/>
      <c r="X412" s="46"/>
      <c r="Y412" s="46"/>
      <c r="Z412" s="46"/>
      <c r="AA412" s="46"/>
    </row>
    <row r="413">
      <c r="A413" s="4"/>
      <c r="B413" s="46"/>
      <c r="C413" s="46"/>
      <c r="D413" s="46"/>
      <c r="E413" s="18"/>
      <c r="F413" s="18"/>
      <c r="G413" s="46"/>
      <c r="H413" s="46"/>
      <c r="I413" s="46"/>
      <c r="J413" s="46"/>
      <c r="K413" s="46"/>
      <c r="L413" s="46"/>
      <c r="M413" s="46"/>
      <c r="N413" s="46"/>
      <c r="O413" s="46"/>
      <c r="P413" s="46"/>
      <c r="Q413" s="46"/>
      <c r="R413" s="46"/>
      <c r="S413" s="46"/>
      <c r="T413" s="46"/>
      <c r="U413" s="46"/>
      <c r="V413" s="46"/>
      <c r="W413" s="46"/>
      <c r="X413" s="46"/>
      <c r="Y413" s="46"/>
      <c r="Z413" s="46"/>
      <c r="AA413" s="46"/>
    </row>
    <row r="414">
      <c r="A414" s="4"/>
      <c r="B414" s="46"/>
      <c r="C414" s="46"/>
      <c r="D414" s="46"/>
      <c r="E414" s="18"/>
      <c r="F414" s="18"/>
      <c r="G414" s="46"/>
      <c r="H414" s="46"/>
      <c r="I414" s="46"/>
      <c r="J414" s="46"/>
      <c r="K414" s="46"/>
      <c r="L414" s="46"/>
      <c r="M414" s="46"/>
      <c r="N414" s="46"/>
      <c r="O414" s="46"/>
      <c r="P414" s="46"/>
      <c r="Q414" s="46"/>
      <c r="R414" s="46"/>
      <c r="S414" s="46"/>
      <c r="T414" s="46"/>
      <c r="U414" s="46"/>
      <c r="V414" s="46"/>
      <c r="W414" s="46"/>
      <c r="X414" s="46"/>
      <c r="Y414" s="46"/>
      <c r="Z414" s="46"/>
      <c r="AA414" s="46"/>
    </row>
    <row r="415">
      <c r="A415" s="4"/>
      <c r="B415" s="46"/>
      <c r="C415" s="46"/>
      <c r="D415" s="46"/>
      <c r="E415" s="18"/>
      <c r="F415" s="18"/>
      <c r="G415" s="46"/>
      <c r="H415" s="46"/>
      <c r="I415" s="46"/>
      <c r="J415" s="46"/>
      <c r="K415" s="46"/>
      <c r="L415" s="46"/>
      <c r="M415" s="46"/>
      <c r="N415" s="46"/>
      <c r="O415" s="46"/>
      <c r="P415" s="46"/>
      <c r="Q415" s="46"/>
      <c r="R415" s="46"/>
      <c r="S415" s="46"/>
      <c r="T415" s="46"/>
      <c r="U415" s="46"/>
      <c r="V415" s="46"/>
      <c r="W415" s="46"/>
      <c r="X415" s="46"/>
      <c r="Y415" s="46"/>
      <c r="Z415" s="46"/>
      <c r="AA415" s="46"/>
    </row>
    <row r="416">
      <c r="A416" s="4"/>
      <c r="B416" s="46"/>
      <c r="C416" s="46"/>
      <c r="D416" s="46"/>
      <c r="E416" s="18"/>
      <c r="F416" s="18"/>
      <c r="G416" s="46"/>
      <c r="H416" s="46"/>
      <c r="I416" s="46"/>
      <c r="J416" s="46"/>
      <c r="K416" s="46"/>
      <c r="L416" s="46"/>
      <c r="M416" s="46"/>
      <c r="N416" s="46"/>
      <c r="O416" s="46"/>
      <c r="P416" s="46"/>
      <c r="Q416" s="46"/>
      <c r="R416" s="46"/>
      <c r="S416" s="46"/>
      <c r="T416" s="46"/>
      <c r="U416" s="46"/>
      <c r="V416" s="46"/>
      <c r="W416" s="46"/>
      <c r="X416" s="46"/>
      <c r="Y416" s="46"/>
      <c r="Z416" s="46"/>
      <c r="AA416" s="46"/>
    </row>
    <row r="417">
      <c r="A417" s="4"/>
      <c r="B417" s="46"/>
      <c r="C417" s="46"/>
      <c r="D417" s="46"/>
      <c r="E417" s="18"/>
      <c r="F417" s="18"/>
      <c r="G417" s="46"/>
      <c r="H417" s="46"/>
      <c r="I417" s="46"/>
      <c r="J417" s="46"/>
      <c r="K417" s="46"/>
      <c r="L417" s="46"/>
      <c r="M417" s="46"/>
      <c r="N417" s="46"/>
      <c r="O417" s="46"/>
      <c r="P417" s="46"/>
      <c r="Q417" s="46"/>
      <c r="R417" s="46"/>
      <c r="S417" s="46"/>
      <c r="T417" s="46"/>
      <c r="U417" s="46"/>
      <c r="V417" s="46"/>
      <c r="W417" s="46"/>
      <c r="X417" s="46"/>
      <c r="Y417" s="46"/>
      <c r="Z417" s="46"/>
      <c r="AA417" s="46"/>
    </row>
    <row r="418">
      <c r="A418" s="4"/>
      <c r="B418" s="46"/>
      <c r="C418" s="46"/>
      <c r="D418" s="46"/>
      <c r="E418" s="18"/>
      <c r="F418" s="18"/>
      <c r="G418" s="46"/>
      <c r="H418" s="46"/>
      <c r="I418" s="46"/>
      <c r="J418" s="46"/>
      <c r="K418" s="46"/>
      <c r="L418" s="46"/>
      <c r="M418" s="46"/>
      <c r="N418" s="46"/>
      <c r="O418" s="46"/>
      <c r="P418" s="46"/>
      <c r="Q418" s="46"/>
      <c r="R418" s="46"/>
      <c r="S418" s="46"/>
      <c r="T418" s="46"/>
      <c r="U418" s="46"/>
      <c r="V418" s="46"/>
      <c r="W418" s="46"/>
      <c r="X418" s="46"/>
      <c r="Y418" s="46"/>
      <c r="Z418" s="46"/>
      <c r="AA418" s="46"/>
    </row>
    <row r="419">
      <c r="A419" s="4"/>
      <c r="B419" s="46"/>
      <c r="C419" s="46"/>
      <c r="D419" s="46"/>
      <c r="E419" s="18"/>
      <c r="F419" s="18"/>
      <c r="G419" s="46"/>
      <c r="H419" s="46"/>
      <c r="I419" s="46"/>
      <c r="J419" s="46"/>
      <c r="K419" s="46"/>
      <c r="L419" s="46"/>
      <c r="M419" s="46"/>
      <c r="N419" s="46"/>
      <c r="O419" s="46"/>
      <c r="P419" s="46"/>
      <c r="Q419" s="46"/>
      <c r="R419" s="46"/>
      <c r="S419" s="46"/>
      <c r="T419" s="46"/>
      <c r="U419" s="46"/>
      <c r="V419" s="46"/>
      <c r="W419" s="46"/>
      <c r="X419" s="46"/>
      <c r="Y419" s="46"/>
      <c r="Z419" s="46"/>
      <c r="AA419" s="46"/>
    </row>
    <row r="420">
      <c r="A420" s="4"/>
      <c r="B420" s="46"/>
      <c r="C420" s="46"/>
      <c r="D420" s="46"/>
      <c r="E420" s="18"/>
      <c r="F420" s="18"/>
      <c r="G420" s="46"/>
      <c r="H420" s="46"/>
      <c r="I420" s="46"/>
      <c r="J420" s="46"/>
      <c r="K420" s="46"/>
      <c r="L420" s="46"/>
      <c r="M420" s="46"/>
      <c r="N420" s="46"/>
      <c r="O420" s="46"/>
      <c r="P420" s="46"/>
      <c r="Q420" s="46"/>
      <c r="R420" s="46"/>
      <c r="S420" s="46"/>
      <c r="T420" s="46"/>
      <c r="U420" s="46"/>
      <c r="V420" s="46"/>
      <c r="W420" s="46"/>
      <c r="X420" s="46"/>
      <c r="Y420" s="46"/>
      <c r="Z420" s="46"/>
      <c r="AA420" s="46"/>
    </row>
    <row r="421">
      <c r="A421" s="4"/>
      <c r="B421" s="46"/>
      <c r="C421" s="46"/>
      <c r="D421" s="46"/>
      <c r="E421" s="18"/>
      <c r="F421" s="18"/>
      <c r="G421" s="46"/>
      <c r="H421" s="46"/>
      <c r="I421" s="46"/>
      <c r="J421" s="46"/>
      <c r="K421" s="46"/>
      <c r="L421" s="46"/>
      <c r="M421" s="46"/>
      <c r="N421" s="46"/>
      <c r="O421" s="46"/>
      <c r="P421" s="46"/>
      <c r="Q421" s="46"/>
      <c r="R421" s="46"/>
      <c r="S421" s="46"/>
      <c r="T421" s="46"/>
      <c r="U421" s="46"/>
      <c r="V421" s="46"/>
      <c r="W421" s="46"/>
      <c r="X421" s="46"/>
      <c r="Y421" s="46"/>
      <c r="Z421" s="46"/>
      <c r="AA421" s="46"/>
    </row>
    <row r="422">
      <c r="A422" s="4"/>
      <c r="B422" s="46"/>
      <c r="C422" s="46"/>
      <c r="D422" s="46"/>
      <c r="E422" s="18"/>
      <c r="F422" s="18"/>
      <c r="G422" s="46"/>
      <c r="H422" s="46"/>
      <c r="I422" s="46"/>
      <c r="J422" s="46"/>
      <c r="K422" s="46"/>
      <c r="L422" s="46"/>
      <c r="M422" s="46"/>
      <c r="N422" s="46"/>
      <c r="O422" s="46"/>
      <c r="P422" s="46"/>
      <c r="Q422" s="46"/>
      <c r="R422" s="46"/>
      <c r="S422" s="46"/>
      <c r="T422" s="46"/>
      <c r="U422" s="46"/>
      <c r="V422" s="46"/>
      <c r="W422" s="46"/>
      <c r="X422" s="46"/>
      <c r="Y422" s="46"/>
      <c r="Z422" s="46"/>
      <c r="AA422" s="46"/>
    </row>
    <row r="423">
      <c r="A423" s="4"/>
      <c r="B423" s="46"/>
      <c r="C423" s="46"/>
      <c r="D423" s="46"/>
      <c r="E423" s="18"/>
      <c r="F423" s="18"/>
      <c r="G423" s="46"/>
      <c r="H423" s="46"/>
      <c r="I423" s="46"/>
      <c r="J423" s="46"/>
      <c r="K423" s="46"/>
      <c r="L423" s="46"/>
      <c r="M423" s="46"/>
      <c r="N423" s="46"/>
      <c r="O423" s="46"/>
      <c r="P423" s="46"/>
      <c r="Q423" s="46"/>
      <c r="R423" s="46"/>
      <c r="S423" s="46"/>
      <c r="T423" s="46"/>
      <c r="U423" s="46"/>
      <c r="V423" s="46"/>
      <c r="W423" s="46"/>
      <c r="X423" s="46"/>
      <c r="Y423" s="46"/>
      <c r="Z423" s="46"/>
      <c r="AA423" s="46"/>
    </row>
    <row r="424">
      <c r="A424" s="4"/>
      <c r="B424" s="46"/>
      <c r="C424" s="46"/>
      <c r="D424" s="46"/>
      <c r="E424" s="18"/>
      <c r="F424" s="18"/>
      <c r="G424" s="46"/>
      <c r="H424" s="46"/>
      <c r="I424" s="46"/>
      <c r="J424" s="46"/>
      <c r="K424" s="46"/>
      <c r="L424" s="46"/>
      <c r="M424" s="46"/>
      <c r="N424" s="46"/>
      <c r="O424" s="46"/>
      <c r="P424" s="46"/>
      <c r="Q424" s="46"/>
      <c r="R424" s="46"/>
      <c r="S424" s="46"/>
      <c r="T424" s="46"/>
      <c r="U424" s="46"/>
      <c r="V424" s="46"/>
      <c r="W424" s="46"/>
      <c r="X424" s="46"/>
      <c r="Y424" s="46"/>
      <c r="Z424" s="46"/>
      <c r="AA424" s="46"/>
    </row>
    <row r="425">
      <c r="A425" s="4"/>
      <c r="B425" s="46"/>
      <c r="C425" s="46"/>
      <c r="D425" s="46"/>
      <c r="E425" s="18"/>
      <c r="F425" s="18"/>
      <c r="G425" s="46"/>
      <c r="H425" s="46"/>
      <c r="I425" s="46"/>
      <c r="J425" s="46"/>
      <c r="K425" s="46"/>
      <c r="L425" s="46"/>
      <c r="M425" s="46"/>
      <c r="N425" s="46"/>
      <c r="O425" s="46"/>
      <c r="P425" s="46"/>
      <c r="Q425" s="46"/>
      <c r="R425" s="46"/>
      <c r="S425" s="46"/>
      <c r="T425" s="46"/>
      <c r="U425" s="46"/>
      <c r="V425" s="46"/>
      <c r="W425" s="46"/>
      <c r="X425" s="46"/>
      <c r="Y425" s="46"/>
      <c r="Z425" s="46"/>
      <c r="AA425" s="46"/>
    </row>
    <row r="426">
      <c r="A426" s="4"/>
      <c r="B426" s="46"/>
      <c r="C426" s="46"/>
      <c r="D426" s="46"/>
      <c r="E426" s="18"/>
      <c r="F426" s="18"/>
      <c r="G426" s="46"/>
      <c r="H426" s="46"/>
      <c r="I426" s="46"/>
      <c r="J426" s="46"/>
      <c r="K426" s="46"/>
      <c r="L426" s="46"/>
      <c r="M426" s="46"/>
      <c r="N426" s="46"/>
      <c r="O426" s="46"/>
      <c r="P426" s="46"/>
      <c r="Q426" s="46"/>
      <c r="R426" s="46"/>
      <c r="S426" s="46"/>
      <c r="T426" s="46"/>
      <c r="U426" s="46"/>
      <c r="V426" s="46"/>
      <c r="W426" s="46"/>
      <c r="X426" s="46"/>
      <c r="Y426" s="46"/>
      <c r="Z426" s="46"/>
      <c r="AA426" s="46"/>
    </row>
    <row r="427">
      <c r="A427" s="4"/>
      <c r="B427" s="46"/>
      <c r="C427" s="46"/>
      <c r="D427" s="46"/>
      <c r="E427" s="18"/>
      <c r="F427" s="18"/>
      <c r="G427" s="46"/>
      <c r="H427" s="46"/>
      <c r="I427" s="46"/>
      <c r="J427" s="46"/>
      <c r="K427" s="46"/>
      <c r="L427" s="46"/>
      <c r="M427" s="46"/>
      <c r="N427" s="46"/>
      <c r="O427" s="46"/>
      <c r="P427" s="46"/>
      <c r="Q427" s="46"/>
      <c r="R427" s="46"/>
      <c r="S427" s="46"/>
      <c r="T427" s="46"/>
      <c r="U427" s="46"/>
      <c r="V427" s="46"/>
      <c r="W427" s="46"/>
      <c r="X427" s="46"/>
      <c r="Y427" s="46"/>
      <c r="Z427" s="46"/>
      <c r="AA427" s="46"/>
    </row>
    <row r="428">
      <c r="A428" s="4"/>
      <c r="B428" s="46"/>
      <c r="C428" s="46"/>
      <c r="D428" s="46"/>
      <c r="E428" s="18"/>
      <c r="F428" s="18"/>
      <c r="G428" s="46"/>
      <c r="H428" s="46"/>
      <c r="I428" s="46"/>
      <c r="J428" s="46"/>
      <c r="K428" s="46"/>
      <c r="L428" s="46"/>
      <c r="M428" s="46"/>
      <c r="N428" s="46"/>
      <c r="O428" s="46"/>
      <c r="P428" s="46"/>
      <c r="Q428" s="46"/>
      <c r="R428" s="46"/>
      <c r="S428" s="46"/>
      <c r="T428" s="46"/>
      <c r="U428" s="46"/>
      <c r="V428" s="46"/>
      <c r="W428" s="46"/>
      <c r="X428" s="46"/>
      <c r="Y428" s="46"/>
      <c r="Z428" s="46"/>
      <c r="AA428" s="46"/>
    </row>
    <row r="429">
      <c r="A429" s="4"/>
      <c r="B429" s="46"/>
      <c r="C429" s="46"/>
      <c r="D429" s="46"/>
      <c r="E429" s="18"/>
      <c r="F429" s="18"/>
      <c r="G429" s="46"/>
      <c r="H429" s="46"/>
      <c r="I429" s="46"/>
      <c r="J429" s="46"/>
      <c r="K429" s="46"/>
      <c r="L429" s="46"/>
      <c r="M429" s="46"/>
      <c r="N429" s="46"/>
      <c r="O429" s="46"/>
      <c r="P429" s="46"/>
      <c r="Q429" s="46"/>
      <c r="R429" s="46"/>
      <c r="S429" s="46"/>
      <c r="T429" s="46"/>
      <c r="U429" s="46"/>
      <c r="V429" s="46"/>
      <c r="W429" s="46"/>
      <c r="X429" s="46"/>
      <c r="Y429" s="46"/>
      <c r="Z429" s="46"/>
      <c r="AA429" s="46"/>
    </row>
    <row r="430">
      <c r="A430" s="4"/>
      <c r="B430" s="46"/>
      <c r="C430" s="46"/>
      <c r="D430" s="46"/>
      <c r="E430" s="18"/>
      <c r="F430" s="18"/>
      <c r="G430" s="46"/>
      <c r="H430" s="46"/>
      <c r="I430" s="46"/>
      <c r="J430" s="46"/>
      <c r="K430" s="46"/>
      <c r="L430" s="46"/>
      <c r="M430" s="46"/>
      <c r="N430" s="46"/>
      <c r="O430" s="46"/>
      <c r="P430" s="46"/>
      <c r="Q430" s="46"/>
      <c r="R430" s="46"/>
      <c r="S430" s="46"/>
      <c r="T430" s="46"/>
      <c r="U430" s="46"/>
      <c r="V430" s="46"/>
      <c r="W430" s="46"/>
      <c r="X430" s="46"/>
      <c r="Y430" s="46"/>
      <c r="Z430" s="46"/>
      <c r="AA430" s="46"/>
    </row>
    <row r="431">
      <c r="A431" s="4"/>
      <c r="B431" s="46"/>
      <c r="C431" s="46"/>
      <c r="D431" s="46"/>
      <c r="E431" s="18"/>
      <c r="F431" s="18"/>
      <c r="G431" s="46"/>
      <c r="H431" s="46"/>
      <c r="I431" s="46"/>
      <c r="J431" s="46"/>
      <c r="K431" s="46"/>
      <c r="L431" s="46"/>
      <c r="M431" s="46"/>
      <c r="N431" s="46"/>
      <c r="O431" s="46"/>
      <c r="P431" s="46"/>
      <c r="Q431" s="46"/>
      <c r="R431" s="46"/>
      <c r="S431" s="46"/>
      <c r="T431" s="46"/>
      <c r="U431" s="46"/>
      <c r="V431" s="46"/>
      <c r="W431" s="46"/>
      <c r="X431" s="46"/>
      <c r="Y431" s="46"/>
      <c r="Z431" s="46"/>
      <c r="AA431" s="46"/>
    </row>
    <row r="432">
      <c r="A432" s="4"/>
      <c r="B432" s="46"/>
      <c r="C432" s="46"/>
      <c r="D432" s="46"/>
      <c r="E432" s="18"/>
      <c r="F432" s="18"/>
      <c r="G432" s="46"/>
      <c r="H432" s="46"/>
      <c r="I432" s="46"/>
      <c r="J432" s="46"/>
      <c r="K432" s="46"/>
      <c r="L432" s="46"/>
      <c r="M432" s="46"/>
      <c r="N432" s="46"/>
      <c r="O432" s="46"/>
      <c r="P432" s="46"/>
      <c r="Q432" s="46"/>
      <c r="R432" s="46"/>
      <c r="S432" s="46"/>
      <c r="T432" s="46"/>
      <c r="U432" s="46"/>
      <c r="V432" s="46"/>
      <c r="W432" s="46"/>
      <c r="X432" s="46"/>
      <c r="Y432" s="46"/>
      <c r="Z432" s="46"/>
      <c r="AA432" s="46"/>
    </row>
    <row r="433">
      <c r="A433" s="4"/>
      <c r="B433" s="46"/>
      <c r="C433" s="46"/>
      <c r="D433" s="46"/>
      <c r="E433" s="18"/>
      <c r="F433" s="18"/>
      <c r="G433" s="46"/>
      <c r="H433" s="46"/>
      <c r="I433" s="46"/>
      <c r="J433" s="46"/>
      <c r="K433" s="46"/>
      <c r="L433" s="46"/>
      <c r="M433" s="46"/>
      <c r="N433" s="46"/>
      <c r="O433" s="46"/>
      <c r="P433" s="46"/>
      <c r="Q433" s="46"/>
      <c r="R433" s="46"/>
      <c r="S433" s="46"/>
      <c r="T433" s="46"/>
      <c r="U433" s="46"/>
      <c r="V433" s="46"/>
      <c r="W433" s="46"/>
      <c r="X433" s="46"/>
      <c r="Y433" s="46"/>
      <c r="Z433" s="46"/>
      <c r="AA433" s="46"/>
    </row>
    <row r="434">
      <c r="A434" s="4"/>
      <c r="B434" s="46"/>
      <c r="C434" s="46"/>
      <c r="D434" s="46"/>
      <c r="E434" s="18"/>
      <c r="F434" s="18"/>
      <c r="G434" s="46"/>
      <c r="H434" s="46"/>
      <c r="I434" s="46"/>
      <c r="J434" s="46"/>
      <c r="K434" s="46"/>
      <c r="L434" s="46"/>
      <c r="M434" s="46"/>
      <c r="N434" s="46"/>
      <c r="O434" s="46"/>
      <c r="P434" s="46"/>
      <c r="Q434" s="46"/>
      <c r="R434" s="46"/>
      <c r="S434" s="46"/>
      <c r="T434" s="46"/>
      <c r="U434" s="46"/>
      <c r="V434" s="46"/>
      <c r="W434" s="46"/>
      <c r="X434" s="46"/>
      <c r="Y434" s="46"/>
      <c r="Z434" s="46"/>
      <c r="AA434" s="46"/>
    </row>
    <row r="435">
      <c r="A435" s="4"/>
      <c r="B435" s="46"/>
      <c r="C435" s="46"/>
      <c r="D435" s="46"/>
      <c r="E435" s="18"/>
      <c r="F435" s="18"/>
      <c r="G435" s="46"/>
      <c r="H435" s="46"/>
      <c r="I435" s="46"/>
      <c r="J435" s="46"/>
      <c r="K435" s="46"/>
      <c r="L435" s="46"/>
      <c r="M435" s="46"/>
      <c r="N435" s="46"/>
      <c r="O435" s="46"/>
      <c r="P435" s="46"/>
      <c r="Q435" s="46"/>
      <c r="R435" s="46"/>
      <c r="S435" s="46"/>
      <c r="T435" s="46"/>
      <c r="U435" s="46"/>
      <c r="V435" s="46"/>
      <c r="W435" s="46"/>
      <c r="X435" s="46"/>
      <c r="Y435" s="46"/>
      <c r="Z435" s="46"/>
      <c r="AA435" s="46"/>
    </row>
    <row r="436">
      <c r="A436" s="4"/>
      <c r="B436" s="46"/>
      <c r="C436" s="46"/>
      <c r="D436" s="46"/>
      <c r="E436" s="18"/>
      <c r="F436" s="18"/>
      <c r="G436" s="46"/>
      <c r="H436" s="46"/>
      <c r="I436" s="46"/>
      <c r="J436" s="46"/>
      <c r="K436" s="46"/>
      <c r="L436" s="46"/>
      <c r="M436" s="46"/>
      <c r="N436" s="46"/>
      <c r="O436" s="46"/>
      <c r="P436" s="46"/>
      <c r="Q436" s="46"/>
      <c r="R436" s="46"/>
      <c r="S436" s="46"/>
      <c r="T436" s="46"/>
      <c r="U436" s="46"/>
      <c r="V436" s="46"/>
      <c r="W436" s="46"/>
      <c r="X436" s="46"/>
      <c r="Y436" s="46"/>
      <c r="Z436" s="46"/>
      <c r="AA436" s="46"/>
    </row>
    <row r="437">
      <c r="A437" s="4"/>
      <c r="B437" s="46"/>
      <c r="C437" s="46"/>
      <c r="D437" s="46"/>
      <c r="E437" s="18"/>
      <c r="F437" s="18"/>
      <c r="G437" s="46"/>
      <c r="H437" s="46"/>
      <c r="I437" s="46"/>
      <c r="J437" s="46"/>
      <c r="K437" s="46"/>
      <c r="L437" s="46"/>
      <c r="M437" s="46"/>
      <c r="N437" s="46"/>
      <c r="O437" s="46"/>
      <c r="P437" s="46"/>
      <c r="Q437" s="46"/>
      <c r="R437" s="46"/>
      <c r="S437" s="46"/>
      <c r="T437" s="46"/>
      <c r="U437" s="46"/>
      <c r="V437" s="46"/>
      <c r="W437" s="46"/>
      <c r="X437" s="46"/>
      <c r="Y437" s="46"/>
      <c r="Z437" s="46"/>
      <c r="AA437" s="46"/>
    </row>
    <row r="438">
      <c r="A438" s="4"/>
      <c r="B438" s="46"/>
      <c r="C438" s="46"/>
      <c r="D438" s="46"/>
      <c r="E438" s="18"/>
      <c r="F438" s="18"/>
      <c r="G438" s="46"/>
      <c r="H438" s="46"/>
      <c r="I438" s="46"/>
      <c r="J438" s="46"/>
      <c r="K438" s="46"/>
      <c r="L438" s="46"/>
      <c r="M438" s="46"/>
      <c r="N438" s="46"/>
      <c r="O438" s="46"/>
      <c r="P438" s="46"/>
      <c r="Q438" s="46"/>
      <c r="R438" s="46"/>
      <c r="S438" s="46"/>
      <c r="T438" s="46"/>
      <c r="U438" s="46"/>
      <c r="V438" s="46"/>
      <c r="W438" s="46"/>
      <c r="X438" s="46"/>
      <c r="Y438" s="46"/>
      <c r="Z438" s="46"/>
      <c r="AA438" s="46"/>
    </row>
    <row r="439">
      <c r="A439" s="4"/>
      <c r="B439" s="46"/>
      <c r="C439" s="46"/>
      <c r="D439" s="46"/>
      <c r="E439" s="18"/>
      <c r="F439" s="18"/>
      <c r="G439" s="46"/>
      <c r="H439" s="46"/>
      <c r="I439" s="46"/>
      <c r="J439" s="46"/>
      <c r="K439" s="46"/>
      <c r="L439" s="46"/>
      <c r="M439" s="46"/>
      <c r="N439" s="46"/>
      <c r="O439" s="46"/>
      <c r="P439" s="46"/>
      <c r="Q439" s="46"/>
      <c r="R439" s="46"/>
      <c r="S439" s="46"/>
      <c r="T439" s="46"/>
      <c r="U439" s="46"/>
      <c r="V439" s="46"/>
      <c r="W439" s="46"/>
      <c r="X439" s="46"/>
      <c r="Y439" s="46"/>
      <c r="Z439" s="46"/>
      <c r="AA439" s="46"/>
    </row>
    <row r="440">
      <c r="A440" s="4"/>
      <c r="B440" s="46"/>
      <c r="C440" s="46"/>
      <c r="D440" s="46"/>
      <c r="E440" s="18"/>
      <c r="F440" s="18"/>
      <c r="G440" s="46"/>
      <c r="H440" s="46"/>
      <c r="I440" s="46"/>
      <c r="J440" s="46"/>
      <c r="K440" s="46"/>
      <c r="L440" s="46"/>
      <c r="M440" s="46"/>
      <c r="N440" s="46"/>
      <c r="O440" s="46"/>
      <c r="P440" s="46"/>
      <c r="Q440" s="46"/>
      <c r="R440" s="46"/>
      <c r="S440" s="46"/>
      <c r="T440" s="46"/>
      <c r="U440" s="46"/>
      <c r="V440" s="46"/>
      <c r="W440" s="46"/>
      <c r="X440" s="46"/>
      <c r="Y440" s="46"/>
      <c r="Z440" s="46"/>
      <c r="AA440" s="46"/>
    </row>
    <row r="441">
      <c r="A441" s="4"/>
      <c r="B441" s="46"/>
      <c r="C441" s="46"/>
      <c r="D441" s="46"/>
      <c r="E441" s="18"/>
      <c r="F441" s="18"/>
      <c r="G441" s="46"/>
      <c r="H441" s="46"/>
      <c r="I441" s="46"/>
      <c r="J441" s="46"/>
      <c r="K441" s="46"/>
      <c r="L441" s="46"/>
      <c r="M441" s="46"/>
      <c r="N441" s="46"/>
      <c r="O441" s="46"/>
      <c r="P441" s="46"/>
      <c r="Q441" s="46"/>
      <c r="R441" s="46"/>
      <c r="S441" s="46"/>
      <c r="T441" s="46"/>
      <c r="U441" s="46"/>
      <c r="V441" s="46"/>
      <c r="W441" s="46"/>
      <c r="X441" s="46"/>
      <c r="Y441" s="46"/>
      <c r="Z441" s="46"/>
      <c r="AA441" s="46"/>
    </row>
    <row r="442">
      <c r="A442" s="4"/>
      <c r="B442" s="46"/>
      <c r="C442" s="46"/>
      <c r="D442" s="46"/>
      <c r="E442" s="18"/>
      <c r="F442" s="18"/>
      <c r="G442" s="46"/>
      <c r="H442" s="46"/>
      <c r="I442" s="46"/>
      <c r="J442" s="46"/>
      <c r="K442" s="46"/>
      <c r="L442" s="46"/>
      <c r="M442" s="46"/>
      <c r="N442" s="46"/>
      <c r="O442" s="46"/>
      <c r="P442" s="46"/>
      <c r="Q442" s="46"/>
      <c r="R442" s="46"/>
      <c r="S442" s="46"/>
      <c r="T442" s="46"/>
      <c r="U442" s="46"/>
      <c r="V442" s="46"/>
      <c r="W442" s="46"/>
      <c r="X442" s="46"/>
      <c r="Y442" s="46"/>
      <c r="Z442" s="46"/>
      <c r="AA442" s="46"/>
    </row>
    <row r="443">
      <c r="A443" s="4"/>
      <c r="B443" s="46"/>
      <c r="C443" s="46"/>
      <c r="D443" s="46"/>
      <c r="E443" s="18"/>
      <c r="F443" s="18"/>
      <c r="G443" s="46"/>
      <c r="H443" s="46"/>
      <c r="I443" s="46"/>
      <c r="J443" s="46"/>
      <c r="K443" s="46"/>
      <c r="L443" s="46"/>
      <c r="M443" s="46"/>
      <c r="N443" s="46"/>
      <c r="O443" s="46"/>
      <c r="P443" s="46"/>
      <c r="Q443" s="46"/>
      <c r="R443" s="46"/>
      <c r="S443" s="46"/>
      <c r="T443" s="46"/>
      <c r="U443" s="46"/>
      <c r="V443" s="46"/>
      <c r="W443" s="46"/>
      <c r="X443" s="46"/>
      <c r="Y443" s="46"/>
      <c r="Z443" s="46"/>
      <c r="AA443" s="46"/>
    </row>
    <row r="444">
      <c r="A444" s="4"/>
      <c r="B444" s="46"/>
      <c r="C444" s="46"/>
      <c r="D444" s="46"/>
      <c r="E444" s="18"/>
      <c r="F444" s="18"/>
      <c r="G444" s="46"/>
      <c r="H444" s="46"/>
      <c r="I444" s="46"/>
      <c r="J444" s="46"/>
      <c r="K444" s="46"/>
      <c r="L444" s="46"/>
      <c r="M444" s="46"/>
      <c r="N444" s="46"/>
      <c r="O444" s="46"/>
      <c r="P444" s="46"/>
      <c r="Q444" s="46"/>
      <c r="R444" s="46"/>
      <c r="S444" s="46"/>
      <c r="T444" s="46"/>
      <c r="U444" s="46"/>
      <c r="V444" s="46"/>
      <c r="W444" s="46"/>
      <c r="X444" s="46"/>
      <c r="Y444" s="46"/>
      <c r="Z444" s="46"/>
      <c r="AA444" s="46"/>
    </row>
    <row r="445">
      <c r="A445" s="4"/>
      <c r="B445" s="46"/>
      <c r="C445" s="46"/>
      <c r="D445" s="46"/>
      <c r="E445" s="18"/>
      <c r="F445" s="18"/>
      <c r="G445" s="46"/>
      <c r="H445" s="46"/>
      <c r="I445" s="46"/>
      <c r="J445" s="46"/>
      <c r="K445" s="46"/>
      <c r="L445" s="46"/>
      <c r="M445" s="46"/>
      <c r="N445" s="46"/>
      <c r="O445" s="46"/>
      <c r="P445" s="46"/>
      <c r="Q445" s="46"/>
      <c r="R445" s="46"/>
      <c r="S445" s="46"/>
      <c r="T445" s="46"/>
      <c r="U445" s="46"/>
      <c r="V445" s="46"/>
      <c r="W445" s="46"/>
      <c r="X445" s="46"/>
      <c r="Y445" s="46"/>
      <c r="Z445" s="46"/>
      <c r="AA445" s="46"/>
    </row>
    <row r="446">
      <c r="A446" s="4"/>
      <c r="B446" s="46"/>
      <c r="C446" s="46"/>
      <c r="D446" s="46"/>
      <c r="E446" s="18"/>
      <c r="F446" s="18"/>
      <c r="G446" s="46"/>
      <c r="H446" s="46"/>
      <c r="I446" s="46"/>
      <c r="J446" s="46"/>
      <c r="K446" s="46"/>
      <c r="L446" s="46"/>
      <c r="M446" s="46"/>
      <c r="N446" s="46"/>
      <c r="O446" s="46"/>
      <c r="P446" s="46"/>
      <c r="Q446" s="46"/>
      <c r="R446" s="46"/>
      <c r="S446" s="46"/>
      <c r="T446" s="46"/>
      <c r="U446" s="46"/>
      <c r="V446" s="46"/>
      <c r="W446" s="46"/>
      <c r="X446" s="46"/>
      <c r="Y446" s="46"/>
      <c r="Z446" s="46"/>
      <c r="AA446" s="46"/>
    </row>
    <row r="447">
      <c r="A447" s="4"/>
      <c r="B447" s="46"/>
      <c r="C447" s="46"/>
      <c r="D447" s="46"/>
      <c r="E447" s="18"/>
      <c r="F447" s="18"/>
      <c r="G447" s="46"/>
      <c r="H447" s="46"/>
      <c r="I447" s="46"/>
      <c r="J447" s="46"/>
      <c r="K447" s="46"/>
      <c r="L447" s="46"/>
      <c r="M447" s="46"/>
      <c r="N447" s="46"/>
      <c r="O447" s="46"/>
      <c r="P447" s="46"/>
      <c r="Q447" s="46"/>
      <c r="R447" s="46"/>
      <c r="S447" s="46"/>
      <c r="T447" s="46"/>
      <c r="U447" s="46"/>
      <c r="V447" s="46"/>
      <c r="W447" s="46"/>
      <c r="X447" s="46"/>
      <c r="Y447" s="46"/>
      <c r="Z447" s="46"/>
      <c r="AA447" s="46"/>
    </row>
    <row r="448">
      <c r="A448" s="4"/>
      <c r="B448" s="46"/>
      <c r="C448" s="46"/>
      <c r="D448" s="46"/>
      <c r="E448" s="18"/>
      <c r="F448" s="18"/>
      <c r="G448" s="46"/>
      <c r="H448" s="46"/>
      <c r="I448" s="46"/>
      <c r="J448" s="46"/>
      <c r="K448" s="46"/>
      <c r="L448" s="46"/>
      <c r="M448" s="46"/>
      <c r="N448" s="46"/>
      <c r="O448" s="46"/>
      <c r="P448" s="46"/>
      <c r="Q448" s="46"/>
      <c r="R448" s="46"/>
      <c r="S448" s="46"/>
      <c r="T448" s="46"/>
      <c r="U448" s="46"/>
      <c r="V448" s="46"/>
      <c r="W448" s="46"/>
      <c r="X448" s="46"/>
      <c r="Y448" s="46"/>
      <c r="Z448" s="46"/>
      <c r="AA448" s="46"/>
    </row>
    <row r="449">
      <c r="A449" s="4"/>
      <c r="B449" s="46"/>
      <c r="C449" s="46"/>
      <c r="D449" s="46"/>
      <c r="E449" s="18"/>
      <c r="F449" s="18"/>
      <c r="G449" s="46"/>
      <c r="H449" s="46"/>
      <c r="I449" s="46"/>
      <c r="J449" s="46"/>
      <c r="K449" s="46"/>
      <c r="L449" s="46"/>
      <c r="M449" s="46"/>
      <c r="N449" s="46"/>
      <c r="O449" s="46"/>
      <c r="P449" s="46"/>
      <c r="Q449" s="46"/>
      <c r="R449" s="46"/>
      <c r="S449" s="46"/>
      <c r="T449" s="46"/>
      <c r="U449" s="46"/>
      <c r="V449" s="46"/>
      <c r="W449" s="46"/>
      <c r="X449" s="46"/>
      <c r="Y449" s="46"/>
      <c r="Z449" s="46"/>
      <c r="AA449" s="46"/>
    </row>
    <row r="450">
      <c r="A450" s="4"/>
      <c r="B450" s="46"/>
      <c r="C450" s="46"/>
      <c r="D450" s="46"/>
      <c r="E450" s="18"/>
      <c r="F450" s="18"/>
      <c r="G450" s="46"/>
      <c r="H450" s="46"/>
      <c r="I450" s="46"/>
      <c r="J450" s="46"/>
      <c r="K450" s="46"/>
      <c r="L450" s="46"/>
      <c r="M450" s="46"/>
      <c r="N450" s="46"/>
      <c r="O450" s="46"/>
      <c r="P450" s="46"/>
      <c r="Q450" s="46"/>
      <c r="R450" s="46"/>
      <c r="S450" s="46"/>
      <c r="T450" s="46"/>
      <c r="U450" s="46"/>
      <c r="V450" s="46"/>
      <c r="W450" s="46"/>
      <c r="X450" s="46"/>
      <c r="Y450" s="46"/>
      <c r="Z450" s="46"/>
      <c r="AA450" s="46"/>
    </row>
    <row r="451">
      <c r="A451" s="4"/>
      <c r="B451" s="46"/>
      <c r="C451" s="46"/>
      <c r="D451" s="46"/>
      <c r="E451" s="18"/>
      <c r="F451" s="18"/>
      <c r="G451" s="46"/>
      <c r="H451" s="46"/>
      <c r="I451" s="46"/>
      <c r="J451" s="46"/>
      <c r="K451" s="46"/>
      <c r="L451" s="46"/>
      <c r="M451" s="46"/>
      <c r="N451" s="46"/>
      <c r="O451" s="46"/>
      <c r="P451" s="46"/>
      <c r="Q451" s="46"/>
      <c r="R451" s="46"/>
      <c r="S451" s="46"/>
      <c r="T451" s="46"/>
      <c r="U451" s="46"/>
      <c r="V451" s="46"/>
      <c r="W451" s="46"/>
      <c r="X451" s="46"/>
      <c r="Y451" s="46"/>
      <c r="Z451" s="46"/>
      <c r="AA451" s="46"/>
    </row>
    <row r="452">
      <c r="A452" s="4"/>
      <c r="B452" s="46"/>
      <c r="C452" s="46"/>
      <c r="D452" s="46"/>
      <c r="E452" s="18"/>
      <c r="F452" s="18"/>
      <c r="G452" s="46"/>
      <c r="H452" s="46"/>
      <c r="I452" s="46"/>
      <c r="J452" s="46"/>
      <c r="K452" s="46"/>
      <c r="L452" s="46"/>
      <c r="M452" s="46"/>
      <c r="N452" s="46"/>
      <c r="O452" s="46"/>
      <c r="P452" s="46"/>
      <c r="Q452" s="46"/>
      <c r="R452" s="46"/>
      <c r="S452" s="46"/>
      <c r="T452" s="46"/>
      <c r="U452" s="46"/>
      <c r="V452" s="46"/>
      <c r="W452" s="46"/>
      <c r="X452" s="46"/>
      <c r="Y452" s="46"/>
      <c r="Z452" s="46"/>
      <c r="AA452" s="46"/>
    </row>
    <row r="453">
      <c r="A453" s="4"/>
      <c r="B453" s="46"/>
      <c r="C453" s="46"/>
      <c r="D453" s="46"/>
      <c r="E453" s="18"/>
      <c r="F453" s="18"/>
      <c r="G453" s="46"/>
      <c r="H453" s="46"/>
      <c r="I453" s="46"/>
      <c r="J453" s="46"/>
      <c r="K453" s="46"/>
      <c r="L453" s="46"/>
      <c r="M453" s="46"/>
      <c r="N453" s="46"/>
      <c r="O453" s="46"/>
      <c r="P453" s="46"/>
      <c r="Q453" s="46"/>
      <c r="R453" s="46"/>
      <c r="S453" s="46"/>
      <c r="T453" s="46"/>
      <c r="U453" s="46"/>
      <c r="V453" s="46"/>
      <c r="W453" s="46"/>
      <c r="X453" s="46"/>
      <c r="Y453" s="46"/>
      <c r="Z453" s="46"/>
      <c r="AA453" s="46"/>
    </row>
    <row r="454">
      <c r="A454" s="4"/>
      <c r="B454" s="46"/>
      <c r="C454" s="46"/>
      <c r="D454" s="46"/>
      <c r="E454" s="18"/>
      <c r="F454" s="18"/>
      <c r="G454" s="46"/>
      <c r="H454" s="46"/>
      <c r="I454" s="46"/>
      <c r="J454" s="46"/>
      <c r="K454" s="46"/>
      <c r="L454" s="46"/>
      <c r="M454" s="46"/>
      <c r="N454" s="46"/>
      <c r="O454" s="46"/>
      <c r="P454" s="46"/>
      <c r="Q454" s="46"/>
      <c r="R454" s="46"/>
      <c r="S454" s="46"/>
      <c r="T454" s="46"/>
      <c r="U454" s="46"/>
      <c r="V454" s="46"/>
      <c r="W454" s="46"/>
      <c r="X454" s="46"/>
      <c r="Y454" s="46"/>
      <c r="Z454" s="46"/>
      <c r="AA454" s="46"/>
    </row>
    <row r="455">
      <c r="A455" s="4"/>
      <c r="B455" s="46"/>
      <c r="C455" s="46"/>
      <c r="D455" s="46"/>
      <c r="E455" s="18"/>
      <c r="F455" s="18"/>
      <c r="G455" s="46"/>
      <c r="H455" s="46"/>
      <c r="I455" s="46"/>
      <c r="J455" s="46"/>
      <c r="K455" s="46"/>
      <c r="L455" s="46"/>
      <c r="M455" s="46"/>
      <c r="N455" s="46"/>
      <c r="O455" s="46"/>
      <c r="P455" s="46"/>
      <c r="Q455" s="46"/>
      <c r="R455" s="46"/>
      <c r="S455" s="46"/>
      <c r="T455" s="46"/>
      <c r="U455" s="46"/>
      <c r="V455" s="46"/>
      <c r="W455" s="46"/>
      <c r="X455" s="46"/>
      <c r="Y455" s="46"/>
      <c r="Z455" s="46"/>
      <c r="AA455" s="46"/>
    </row>
    <row r="456">
      <c r="A456" s="4"/>
      <c r="B456" s="46"/>
      <c r="C456" s="46"/>
      <c r="D456" s="46"/>
      <c r="E456" s="18"/>
      <c r="F456" s="18"/>
      <c r="G456" s="46"/>
      <c r="H456" s="46"/>
      <c r="I456" s="46"/>
      <c r="J456" s="46"/>
      <c r="K456" s="46"/>
      <c r="L456" s="46"/>
      <c r="M456" s="46"/>
      <c r="N456" s="46"/>
      <c r="O456" s="46"/>
      <c r="P456" s="46"/>
      <c r="Q456" s="46"/>
      <c r="R456" s="46"/>
      <c r="S456" s="46"/>
      <c r="T456" s="46"/>
      <c r="U456" s="46"/>
      <c r="V456" s="46"/>
      <c r="W456" s="46"/>
      <c r="X456" s="46"/>
      <c r="Y456" s="46"/>
      <c r="Z456" s="46"/>
      <c r="AA456" s="46"/>
    </row>
    <row r="457">
      <c r="A457" s="4"/>
      <c r="B457" s="46"/>
      <c r="C457" s="46"/>
      <c r="D457" s="46"/>
      <c r="E457" s="18"/>
      <c r="F457" s="18"/>
      <c r="G457" s="46"/>
      <c r="H457" s="46"/>
      <c r="I457" s="46"/>
      <c r="J457" s="46"/>
      <c r="K457" s="46"/>
      <c r="L457" s="46"/>
      <c r="M457" s="46"/>
      <c r="N457" s="46"/>
      <c r="O457" s="46"/>
      <c r="P457" s="46"/>
      <c r="Q457" s="46"/>
      <c r="R457" s="46"/>
      <c r="S457" s="46"/>
      <c r="T457" s="46"/>
      <c r="U457" s="46"/>
      <c r="V457" s="46"/>
      <c r="W457" s="46"/>
      <c r="X457" s="46"/>
      <c r="Y457" s="46"/>
      <c r="Z457" s="46"/>
      <c r="AA457" s="46"/>
    </row>
    <row r="458">
      <c r="A458" s="4"/>
      <c r="B458" s="46"/>
      <c r="C458" s="46"/>
      <c r="D458" s="46"/>
      <c r="E458" s="18"/>
      <c r="F458" s="18"/>
      <c r="G458" s="46"/>
      <c r="H458" s="46"/>
      <c r="I458" s="46"/>
      <c r="J458" s="46"/>
      <c r="K458" s="46"/>
      <c r="L458" s="46"/>
      <c r="M458" s="46"/>
      <c r="N458" s="46"/>
      <c r="O458" s="46"/>
      <c r="P458" s="46"/>
      <c r="Q458" s="46"/>
      <c r="R458" s="46"/>
      <c r="S458" s="46"/>
      <c r="T458" s="46"/>
      <c r="U458" s="46"/>
      <c r="V458" s="46"/>
      <c r="W458" s="46"/>
      <c r="X458" s="46"/>
      <c r="Y458" s="46"/>
      <c r="Z458" s="46"/>
      <c r="AA458" s="46"/>
    </row>
    <row r="459">
      <c r="A459" s="4"/>
      <c r="B459" s="46"/>
      <c r="C459" s="46"/>
      <c r="D459" s="46"/>
      <c r="E459" s="18"/>
      <c r="F459" s="18"/>
      <c r="G459" s="46"/>
      <c r="H459" s="46"/>
      <c r="I459" s="46"/>
      <c r="J459" s="46"/>
      <c r="K459" s="46"/>
      <c r="L459" s="46"/>
      <c r="M459" s="46"/>
      <c r="N459" s="46"/>
      <c r="O459" s="46"/>
      <c r="P459" s="46"/>
      <c r="Q459" s="46"/>
      <c r="R459" s="46"/>
      <c r="S459" s="46"/>
      <c r="T459" s="46"/>
      <c r="U459" s="46"/>
      <c r="V459" s="46"/>
      <c r="W459" s="46"/>
      <c r="X459" s="46"/>
      <c r="Y459" s="46"/>
      <c r="Z459" s="46"/>
      <c r="AA459" s="46"/>
    </row>
    <row r="460">
      <c r="A460" s="4"/>
      <c r="B460" s="46"/>
      <c r="C460" s="46"/>
      <c r="D460" s="46"/>
      <c r="E460" s="18"/>
      <c r="F460" s="18"/>
      <c r="G460" s="46"/>
      <c r="H460" s="46"/>
      <c r="I460" s="46"/>
      <c r="J460" s="46"/>
      <c r="K460" s="46"/>
      <c r="L460" s="46"/>
      <c r="M460" s="46"/>
      <c r="N460" s="46"/>
      <c r="O460" s="46"/>
      <c r="P460" s="46"/>
      <c r="Q460" s="46"/>
      <c r="R460" s="46"/>
      <c r="S460" s="46"/>
      <c r="T460" s="46"/>
      <c r="U460" s="46"/>
      <c r="V460" s="46"/>
      <c r="W460" s="46"/>
      <c r="X460" s="46"/>
      <c r="Y460" s="46"/>
      <c r="Z460" s="46"/>
      <c r="AA460" s="46"/>
    </row>
    <row r="461">
      <c r="A461" s="4"/>
      <c r="B461" s="46"/>
      <c r="C461" s="46"/>
      <c r="D461" s="46"/>
      <c r="E461" s="18"/>
      <c r="F461" s="18"/>
      <c r="G461" s="46"/>
      <c r="H461" s="46"/>
      <c r="I461" s="46"/>
      <c r="J461" s="46"/>
      <c r="K461" s="46"/>
      <c r="L461" s="46"/>
      <c r="M461" s="46"/>
      <c r="N461" s="46"/>
      <c r="O461" s="46"/>
      <c r="P461" s="46"/>
      <c r="Q461" s="46"/>
      <c r="R461" s="46"/>
      <c r="S461" s="46"/>
      <c r="T461" s="46"/>
      <c r="U461" s="46"/>
      <c r="V461" s="46"/>
      <c r="W461" s="46"/>
      <c r="X461" s="46"/>
      <c r="Y461" s="46"/>
      <c r="Z461" s="46"/>
      <c r="AA461" s="46"/>
    </row>
    <row r="462">
      <c r="A462" s="4"/>
      <c r="B462" s="46"/>
      <c r="C462" s="46"/>
      <c r="D462" s="46"/>
      <c r="E462" s="18"/>
      <c r="F462" s="18"/>
      <c r="G462" s="46"/>
      <c r="H462" s="46"/>
      <c r="I462" s="46"/>
      <c r="J462" s="46"/>
      <c r="K462" s="46"/>
      <c r="L462" s="46"/>
      <c r="M462" s="46"/>
      <c r="N462" s="46"/>
      <c r="O462" s="46"/>
      <c r="P462" s="46"/>
      <c r="Q462" s="46"/>
      <c r="R462" s="46"/>
      <c r="S462" s="46"/>
      <c r="T462" s="46"/>
      <c r="U462" s="46"/>
      <c r="V462" s="46"/>
      <c r="W462" s="46"/>
      <c r="X462" s="46"/>
      <c r="Y462" s="46"/>
      <c r="Z462" s="46"/>
      <c r="AA462" s="46"/>
    </row>
    <row r="463">
      <c r="A463" s="4"/>
      <c r="B463" s="46"/>
      <c r="C463" s="46"/>
      <c r="D463" s="46"/>
      <c r="E463" s="18"/>
      <c r="F463" s="18"/>
      <c r="G463" s="46"/>
      <c r="H463" s="46"/>
      <c r="I463" s="46"/>
      <c r="J463" s="46"/>
      <c r="K463" s="46"/>
      <c r="L463" s="46"/>
      <c r="M463" s="46"/>
      <c r="N463" s="46"/>
      <c r="O463" s="46"/>
      <c r="P463" s="46"/>
      <c r="Q463" s="46"/>
      <c r="R463" s="46"/>
      <c r="S463" s="46"/>
      <c r="T463" s="46"/>
      <c r="U463" s="46"/>
      <c r="V463" s="46"/>
      <c r="W463" s="46"/>
      <c r="X463" s="46"/>
      <c r="Y463" s="46"/>
      <c r="Z463" s="46"/>
      <c r="AA463" s="46"/>
    </row>
    <row r="464">
      <c r="A464" s="4"/>
      <c r="B464" s="46"/>
      <c r="C464" s="46"/>
      <c r="D464" s="46"/>
      <c r="E464" s="18"/>
      <c r="F464" s="18"/>
      <c r="G464" s="46"/>
      <c r="H464" s="46"/>
      <c r="I464" s="46"/>
      <c r="J464" s="46"/>
      <c r="K464" s="46"/>
      <c r="L464" s="46"/>
      <c r="M464" s="46"/>
      <c r="N464" s="46"/>
      <c r="O464" s="46"/>
      <c r="P464" s="46"/>
      <c r="Q464" s="46"/>
      <c r="R464" s="46"/>
      <c r="S464" s="46"/>
      <c r="T464" s="46"/>
      <c r="U464" s="46"/>
      <c r="V464" s="46"/>
      <c r="W464" s="46"/>
      <c r="X464" s="46"/>
      <c r="Y464" s="46"/>
      <c r="Z464" s="46"/>
      <c r="AA464" s="46"/>
    </row>
    <row r="465">
      <c r="A465" s="4"/>
      <c r="B465" s="46"/>
      <c r="C465" s="46"/>
      <c r="D465" s="46"/>
      <c r="E465" s="18"/>
      <c r="F465" s="18"/>
      <c r="G465" s="46"/>
      <c r="H465" s="46"/>
      <c r="I465" s="46"/>
      <c r="J465" s="46"/>
      <c r="K465" s="46"/>
      <c r="L465" s="46"/>
      <c r="M465" s="46"/>
      <c r="N465" s="46"/>
      <c r="O465" s="46"/>
      <c r="P465" s="46"/>
      <c r="Q465" s="46"/>
      <c r="R465" s="46"/>
      <c r="S465" s="46"/>
      <c r="T465" s="46"/>
      <c r="U465" s="46"/>
      <c r="V465" s="46"/>
      <c r="W465" s="46"/>
      <c r="X465" s="46"/>
      <c r="Y465" s="46"/>
      <c r="Z465" s="46"/>
      <c r="AA465" s="46"/>
    </row>
    <row r="466">
      <c r="A466" s="4"/>
      <c r="B466" s="46"/>
      <c r="C466" s="46"/>
      <c r="D466" s="46"/>
      <c r="E466" s="18"/>
      <c r="F466" s="18"/>
      <c r="G466" s="46"/>
      <c r="H466" s="46"/>
      <c r="I466" s="46"/>
      <c r="J466" s="46"/>
      <c r="K466" s="46"/>
      <c r="L466" s="46"/>
      <c r="M466" s="46"/>
      <c r="N466" s="46"/>
      <c r="O466" s="46"/>
      <c r="P466" s="46"/>
      <c r="Q466" s="46"/>
      <c r="R466" s="46"/>
      <c r="S466" s="46"/>
      <c r="T466" s="46"/>
      <c r="U466" s="46"/>
      <c r="V466" s="46"/>
      <c r="W466" s="46"/>
      <c r="X466" s="46"/>
      <c r="Y466" s="46"/>
      <c r="Z466" s="46"/>
      <c r="AA466" s="46"/>
    </row>
    <row r="467">
      <c r="A467" s="4"/>
      <c r="B467" s="46"/>
      <c r="C467" s="46"/>
      <c r="D467" s="46"/>
      <c r="E467" s="18"/>
      <c r="F467" s="18"/>
      <c r="G467" s="46"/>
      <c r="H467" s="46"/>
      <c r="I467" s="46"/>
      <c r="J467" s="46"/>
      <c r="K467" s="46"/>
      <c r="L467" s="46"/>
      <c r="M467" s="46"/>
      <c r="N467" s="46"/>
      <c r="O467" s="46"/>
      <c r="P467" s="46"/>
      <c r="Q467" s="46"/>
      <c r="R467" s="46"/>
      <c r="S467" s="46"/>
      <c r="T467" s="46"/>
      <c r="U467" s="46"/>
      <c r="V467" s="46"/>
      <c r="W467" s="46"/>
      <c r="X467" s="46"/>
      <c r="Y467" s="46"/>
      <c r="Z467" s="46"/>
      <c r="AA467" s="46"/>
    </row>
    <row r="468">
      <c r="A468" s="4"/>
      <c r="B468" s="46"/>
      <c r="C468" s="46"/>
      <c r="D468" s="46"/>
      <c r="E468" s="18"/>
      <c r="F468" s="18"/>
      <c r="G468" s="46"/>
      <c r="H468" s="46"/>
      <c r="I468" s="46"/>
      <c r="J468" s="46"/>
      <c r="K468" s="46"/>
      <c r="L468" s="46"/>
      <c r="M468" s="46"/>
      <c r="N468" s="46"/>
      <c r="O468" s="46"/>
      <c r="P468" s="46"/>
      <c r="Q468" s="46"/>
      <c r="R468" s="46"/>
      <c r="S468" s="46"/>
      <c r="T468" s="46"/>
      <c r="U468" s="46"/>
      <c r="V468" s="46"/>
      <c r="W468" s="46"/>
      <c r="X468" s="46"/>
      <c r="Y468" s="46"/>
      <c r="Z468" s="46"/>
      <c r="AA468" s="46"/>
    </row>
    <row r="469">
      <c r="A469" s="4"/>
      <c r="B469" s="46"/>
      <c r="C469" s="46"/>
      <c r="D469" s="46"/>
      <c r="E469" s="18"/>
      <c r="F469" s="18"/>
      <c r="G469" s="46"/>
      <c r="H469" s="46"/>
      <c r="I469" s="46"/>
      <c r="J469" s="46"/>
      <c r="K469" s="46"/>
      <c r="L469" s="46"/>
      <c r="M469" s="46"/>
      <c r="N469" s="46"/>
      <c r="O469" s="46"/>
      <c r="P469" s="46"/>
      <c r="Q469" s="46"/>
      <c r="R469" s="46"/>
      <c r="S469" s="46"/>
      <c r="T469" s="46"/>
      <c r="U469" s="46"/>
      <c r="V469" s="46"/>
      <c r="W469" s="46"/>
      <c r="X469" s="46"/>
      <c r="Y469" s="46"/>
      <c r="Z469" s="46"/>
      <c r="AA469" s="46"/>
    </row>
    <row r="470">
      <c r="A470" s="4"/>
      <c r="B470" s="46"/>
      <c r="C470" s="46"/>
      <c r="D470" s="46"/>
      <c r="E470" s="18"/>
      <c r="F470" s="18"/>
      <c r="G470" s="46"/>
      <c r="H470" s="46"/>
      <c r="I470" s="46"/>
      <c r="J470" s="46"/>
      <c r="K470" s="46"/>
      <c r="L470" s="46"/>
      <c r="M470" s="46"/>
      <c r="N470" s="46"/>
      <c r="O470" s="46"/>
      <c r="P470" s="46"/>
      <c r="Q470" s="46"/>
      <c r="R470" s="46"/>
      <c r="S470" s="46"/>
      <c r="T470" s="46"/>
      <c r="U470" s="46"/>
      <c r="V470" s="46"/>
      <c r="W470" s="46"/>
      <c r="X470" s="46"/>
      <c r="Y470" s="46"/>
      <c r="Z470" s="46"/>
      <c r="AA470" s="46"/>
    </row>
    <row r="471">
      <c r="A471" s="4"/>
      <c r="B471" s="46"/>
      <c r="C471" s="46"/>
      <c r="D471" s="46"/>
      <c r="E471" s="18"/>
      <c r="F471" s="18"/>
      <c r="G471" s="46"/>
      <c r="H471" s="46"/>
      <c r="I471" s="46"/>
      <c r="J471" s="46"/>
      <c r="K471" s="46"/>
      <c r="L471" s="46"/>
      <c r="M471" s="46"/>
      <c r="N471" s="46"/>
      <c r="O471" s="46"/>
      <c r="P471" s="46"/>
      <c r="Q471" s="46"/>
      <c r="R471" s="46"/>
      <c r="S471" s="46"/>
      <c r="T471" s="46"/>
      <c r="U471" s="46"/>
      <c r="V471" s="46"/>
      <c r="W471" s="46"/>
      <c r="X471" s="46"/>
      <c r="Y471" s="46"/>
      <c r="Z471" s="46"/>
      <c r="AA471" s="46"/>
    </row>
    <row r="472">
      <c r="A472" s="4"/>
      <c r="B472" s="46"/>
      <c r="C472" s="46"/>
      <c r="D472" s="46"/>
      <c r="E472" s="18"/>
      <c r="F472" s="18"/>
      <c r="G472" s="46"/>
      <c r="H472" s="46"/>
      <c r="I472" s="46"/>
      <c r="J472" s="46"/>
      <c r="K472" s="46"/>
      <c r="L472" s="46"/>
      <c r="M472" s="46"/>
      <c r="N472" s="46"/>
      <c r="O472" s="46"/>
      <c r="P472" s="46"/>
      <c r="Q472" s="46"/>
      <c r="R472" s="46"/>
      <c r="S472" s="46"/>
      <c r="T472" s="46"/>
      <c r="U472" s="46"/>
      <c r="V472" s="46"/>
      <c r="W472" s="46"/>
      <c r="X472" s="46"/>
      <c r="Y472" s="46"/>
      <c r="Z472" s="46"/>
      <c r="AA472" s="46"/>
    </row>
    <row r="473">
      <c r="A473" s="4"/>
      <c r="B473" s="46"/>
      <c r="C473" s="46"/>
      <c r="D473" s="46"/>
      <c r="E473" s="18"/>
      <c r="F473" s="18"/>
      <c r="G473" s="46"/>
      <c r="H473" s="46"/>
      <c r="I473" s="46"/>
      <c r="J473" s="46"/>
      <c r="K473" s="46"/>
      <c r="L473" s="46"/>
      <c r="M473" s="46"/>
      <c r="N473" s="46"/>
      <c r="O473" s="46"/>
      <c r="P473" s="46"/>
      <c r="Q473" s="46"/>
      <c r="R473" s="46"/>
      <c r="S473" s="46"/>
      <c r="T473" s="46"/>
      <c r="U473" s="46"/>
      <c r="V473" s="46"/>
      <c r="W473" s="46"/>
      <c r="X473" s="46"/>
      <c r="Y473" s="46"/>
      <c r="Z473" s="46"/>
      <c r="AA473" s="46"/>
    </row>
    <row r="474">
      <c r="A474" s="4"/>
      <c r="B474" s="46"/>
      <c r="C474" s="46"/>
      <c r="D474" s="46"/>
      <c r="E474" s="18"/>
      <c r="F474" s="18"/>
      <c r="G474" s="46"/>
      <c r="H474" s="46"/>
      <c r="I474" s="46"/>
      <c r="J474" s="46"/>
      <c r="K474" s="46"/>
      <c r="L474" s="46"/>
      <c r="M474" s="46"/>
      <c r="N474" s="46"/>
      <c r="O474" s="46"/>
      <c r="P474" s="46"/>
      <c r="Q474" s="46"/>
      <c r="R474" s="46"/>
      <c r="S474" s="46"/>
      <c r="T474" s="46"/>
      <c r="U474" s="46"/>
      <c r="V474" s="46"/>
      <c r="W474" s="46"/>
      <c r="X474" s="46"/>
      <c r="Y474" s="46"/>
      <c r="Z474" s="46"/>
      <c r="AA474" s="46"/>
    </row>
    <row r="475">
      <c r="A475" s="4"/>
      <c r="B475" s="46"/>
      <c r="C475" s="46"/>
      <c r="D475" s="46"/>
      <c r="E475" s="18"/>
      <c r="F475" s="18"/>
      <c r="G475" s="46"/>
      <c r="H475" s="46"/>
      <c r="I475" s="46"/>
      <c r="J475" s="46"/>
      <c r="K475" s="46"/>
      <c r="L475" s="46"/>
      <c r="M475" s="46"/>
      <c r="N475" s="46"/>
      <c r="O475" s="46"/>
      <c r="P475" s="46"/>
      <c r="Q475" s="46"/>
      <c r="R475" s="46"/>
      <c r="S475" s="46"/>
      <c r="T475" s="46"/>
      <c r="U475" s="46"/>
      <c r="V475" s="46"/>
      <c r="W475" s="46"/>
      <c r="X475" s="46"/>
      <c r="Y475" s="46"/>
      <c r="Z475" s="46"/>
      <c r="AA475" s="46"/>
    </row>
    <row r="476">
      <c r="A476" s="4"/>
      <c r="B476" s="46"/>
      <c r="C476" s="46"/>
      <c r="D476" s="46"/>
      <c r="E476" s="18"/>
      <c r="F476" s="18"/>
      <c r="G476" s="46"/>
      <c r="H476" s="46"/>
      <c r="I476" s="46"/>
      <c r="J476" s="46"/>
      <c r="K476" s="46"/>
      <c r="L476" s="46"/>
      <c r="M476" s="46"/>
      <c r="N476" s="46"/>
      <c r="O476" s="46"/>
      <c r="P476" s="46"/>
      <c r="Q476" s="46"/>
      <c r="R476" s="46"/>
      <c r="S476" s="46"/>
      <c r="T476" s="46"/>
      <c r="U476" s="46"/>
      <c r="V476" s="46"/>
      <c r="W476" s="46"/>
      <c r="X476" s="46"/>
      <c r="Y476" s="46"/>
      <c r="Z476" s="46"/>
      <c r="AA476" s="46"/>
    </row>
    <row r="477">
      <c r="A477" s="4"/>
      <c r="B477" s="46"/>
      <c r="C477" s="46"/>
      <c r="D477" s="46"/>
      <c r="E477" s="18"/>
      <c r="F477" s="18"/>
      <c r="G477" s="46"/>
      <c r="H477" s="46"/>
      <c r="I477" s="46"/>
      <c r="J477" s="46"/>
      <c r="K477" s="46"/>
      <c r="L477" s="46"/>
      <c r="M477" s="46"/>
      <c r="N477" s="46"/>
      <c r="O477" s="46"/>
      <c r="P477" s="46"/>
      <c r="Q477" s="46"/>
      <c r="R477" s="46"/>
      <c r="S477" s="46"/>
      <c r="T477" s="46"/>
      <c r="U477" s="46"/>
      <c r="V477" s="46"/>
      <c r="W477" s="46"/>
      <c r="X477" s="46"/>
      <c r="Y477" s="46"/>
      <c r="Z477" s="46"/>
      <c r="AA477" s="46"/>
    </row>
    <row r="478">
      <c r="A478" s="4"/>
      <c r="B478" s="46"/>
      <c r="C478" s="46"/>
      <c r="D478" s="46"/>
      <c r="E478" s="18"/>
      <c r="F478" s="18"/>
      <c r="G478" s="46"/>
      <c r="H478" s="46"/>
      <c r="I478" s="46"/>
      <c r="J478" s="46"/>
      <c r="K478" s="46"/>
      <c r="L478" s="46"/>
      <c r="M478" s="46"/>
      <c r="N478" s="46"/>
      <c r="O478" s="46"/>
      <c r="P478" s="46"/>
      <c r="Q478" s="46"/>
      <c r="R478" s="46"/>
      <c r="S478" s="46"/>
      <c r="T478" s="46"/>
      <c r="U478" s="46"/>
      <c r="V478" s="46"/>
      <c r="W478" s="46"/>
      <c r="X478" s="46"/>
      <c r="Y478" s="46"/>
      <c r="Z478" s="46"/>
      <c r="AA478" s="46"/>
    </row>
    <row r="479">
      <c r="A479" s="4"/>
      <c r="B479" s="46"/>
      <c r="C479" s="46"/>
      <c r="D479" s="46"/>
      <c r="E479" s="18"/>
      <c r="F479" s="18"/>
      <c r="G479" s="46"/>
      <c r="H479" s="46"/>
      <c r="I479" s="46"/>
      <c r="J479" s="46"/>
      <c r="K479" s="46"/>
      <c r="L479" s="46"/>
      <c r="M479" s="46"/>
      <c r="N479" s="46"/>
      <c r="O479" s="46"/>
      <c r="P479" s="46"/>
      <c r="Q479" s="46"/>
      <c r="R479" s="46"/>
      <c r="S479" s="46"/>
      <c r="T479" s="46"/>
      <c r="U479" s="46"/>
      <c r="V479" s="46"/>
      <c r="W479" s="46"/>
      <c r="X479" s="46"/>
      <c r="Y479" s="46"/>
      <c r="Z479" s="46"/>
      <c r="AA479" s="46"/>
    </row>
    <row r="480">
      <c r="A480" s="4"/>
      <c r="B480" s="46"/>
      <c r="C480" s="46"/>
      <c r="D480" s="46"/>
      <c r="E480" s="18"/>
      <c r="F480" s="18"/>
      <c r="G480" s="46"/>
      <c r="H480" s="46"/>
      <c r="I480" s="46"/>
      <c r="J480" s="46"/>
      <c r="K480" s="46"/>
      <c r="L480" s="46"/>
      <c r="M480" s="46"/>
      <c r="N480" s="46"/>
      <c r="O480" s="46"/>
      <c r="P480" s="46"/>
      <c r="Q480" s="46"/>
      <c r="R480" s="46"/>
      <c r="S480" s="46"/>
      <c r="T480" s="46"/>
      <c r="U480" s="46"/>
      <c r="V480" s="46"/>
      <c r="W480" s="46"/>
      <c r="X480" s="46"/>
      <c r="Y480" s="46"/>
      <c r="Z480" s="46"/>
      <c r="AA480" s="46"/>
    </row>
    <row r="481">
      <c r="A481" s="4"/>
      <c r="B481" s="46"/>
      <c r="C481" s="46"/>
      <c r="D481" s="46"/>
      <c r="E481" s="18"/>
      <c r="F481" s="18"/>
      <c r="G481" s="46"/>
      <c r="H481" s="46"/>
      <c r="I481" s="46"/>
      <c r="J481" s="46"/>
      <c r="K481" s="46"/>
      <c r="L481" s="46"/>
      <c r="M481" s="46"/>
      <c r="N481" s="46"/>
      <c r="O481" s="46"/>
      <c r="P481" s="46"/>
      <c r="Q481" s="46"/>
      <c r="R481" s="46"/>
      <c r="S481" s="46"/>
      <c r="T481" s="46"/>
      <c r="U481" s="46"/>
      <c r="V481" s="46"/>
      <c r="W481" s="46"/>
      <c r="X481" s="46"/>
      <c r="Y481" s="46"/>
      <c r="Z481" s="46"/>
      <c r="AA481" s="46"/>
    </row>
    <row r="482">
      <c r="A482" s="4"/>
      <c r="B482" s="46"/>
      <c r="C482" s="46"/>
      <c r="D482" s="46"/>
      <c r="E482" s="18"/>
      <c r="F482" s="18"/>
      <c r="G482" s="46"/>
      <c r="H482" s="46"/>
      <c r="I482" s="46"/>
      <c r="J482" s="46"/>
      <c r="K482" s="46"/>
      <c r="L482" s="46"/>
      <c r="M482" s="46"/>
      <c r="N482" s="46"/>
      <c r="O482" s="46"/>
      <c r="P482" s="46"/>
      <c r="Q482" s="46"/>
      <c r="R482" s="46"/>
      <c r="S482" s="46"/>
      <c r="T482" s="46"/>
      <c r="U482" s="46"/>
      <c r="V482" s="46"/>
      <c r="W482" s="46"/>
      <c r="X482" s="46"/>
      <c r="Y482" s="46"/>
      <c r="Z482" s="46"/>
      <c r="AA482" s="46"/>
    </row>
    <row r="483">
      <c r="A483" s="4"/>
      <c r="B483" s="46"/>
      <c r="C483" s="46"/>
      <c r="D483" s="46"/>
      <c r="E483" s="18"/>
      <c r="F483" s="18"/>
      <c r="G483" s="46"/>
      <c r="H483" s="46"/>
      <c r="I483" s="46"/>
      <c r="J483" s="46"/>
      <c r="K483" s="46"/>
      <c r="L483" s="46"/>
      <c r="M483" s="46"/>
      <c r="N483" s="46"/>
      <c r="O483" s="46"/>
      <c r="P483" s="46"/>
      <c r="Q483" s="46"/>
      <c r="R483" s="46"/>
      <c r="S483" s="46"/>
      <c r="T483" s="46"/>
      <c r="U483" s="46"/>
      <c r="V483" s="46"/>
      <c r="W483" s="46"/>
      <c r="X483" s="46"/>
      <c r="Y483" s="46"/>
      <c r="Z483" s="46"/>
      <c r="AA483" s="46"/>
    </row>
    <row r="484">
      <c r="A484" s="4"/>
      <c r="B484" s="46"/>
      <c r="C484" s="46"/>
      <c r="D484" s="46"/>
      <c r="E484" s="18"/>
      <c r="F484" s="18"/>
      <c r="G484" s="46"/>
      <c r="H484" s="46"/>
      <c r="I484" s="46"/>
      <c r="J484" s="46"/>
      <c r="K484" s="46"/>
      <c r="L484" s="46"/>
      <c r="M484" s="46"/>
      <c r="N484" s="46"/>
      <c r="O484" s="46"/>
      <c r="P484" s="46"/>
      <c r="Q484" s="46"/>
      <c r="R484" s="46"/>
      <c r="S484" s="46"/>
      <c r="T484" s="46"/>
      <c r="U484" s="46"/>
      <c r="V484" s="46"/>
      <c r="W484" s="46"/>
      <c r="X484" s="46"/>
      <c r="Y484" s="46"/>
      <c r="Z484" s="46"/>
      <c r="AA484" s="46"/>
    </row>
    <row r="485">
      <c r="A485" s="4"/>
      <c r="B485" s="46"/>
      <c r="C485" s="46"/>
      <c r="D485" s="46"/>
      <c r="E485" s="18"/>
      <c r="F485" s="18"/>
      <c r="G485" s="46"/>
      <c r="H485" s="46"/>
      <c r="I485" s="46"/>
      <c r="J485" s="46"/>
      <c r="K485" s="46"/>
      <c r="L485" s="46"/>
      <c r="M485" s="46"/>
      <c r="N485" s="46"/>
      <c r="O485" s="46"/>
      <c r="P485" s="46"/>
      <c r="Q485" s="46"/>
      <c r="R485" s="46"/>
      <c r="S485" s="46"/>
      <c r="T485" s="46"/>
      <c r="U485" s="46"/>
      <c r="V485" s="46"/>
      <c r="W485" s="46"/>
      <c r="X485" s="46"/>
      <c r="Y485" s="46"/>
      <c r="Z485" s="46"/>
      <c r="AA485" s="46"/>
    </row>
    <row r="486">
      <c r="A486" s="4"/>
      <c r="B486" s="46"/>
      <c r="C486" s="46"/>
      <c r="D486" s="46"/>
      <c r="E486" s="18"/>
      <c r="F486" s="18"/>
      <c r="G486" s="46"/>
      <c r="H486" s="46"/>
      <c r="I486" s="46"/>
      <c r="J486" s="46"/>
      <c r="K486" s="46"/>
      <c r="L486" s="46"/>
      <c r="M486" s="46"/>
      <c r="N486" s="46"/>
      <c r="O486" s="46"/>
      <c r="P486" s="46"/>
      <c r="Q486" s="46"/>
      <c r="R486" s="46"/>
      <c r="S486" s="46"/>
      <c r="T486" s="46"/>
      <c r="U486" s="46"/>
      <c r="V486" s="46"/>
      <c r="W486" s="46"/>
      <c r="X486" s="46"/>
      <c r="Y486" s="46"/>
      <c r="Z486" s="46"/>
      <c r="AA486" s="46"/>
    </row>
    <row r="487">
      <c r="A487" s="4"/>
      <c r="B487" s="46"/>
      <c r="C487" s="46"/>
      <c r="D487" s="46"/>
      <c r="E487" s="18"/>
      <c r="F487" s="18"/>
      <c r="G487" s="46"/>
      <c r="H487" s="46"/>
      <c r="I487" s="46"/>
      <c r="J487" s="46"/>
      <c r="K487" s="46"/>
      <c r="L487" s="46"/>
      <c r="M487" s="46"/>
      <c r="N487" s="46"/>
      <c r="O487" s="46"/>
      <c r="P487" s="46"/>
      <c r="Q487" s="46"/>
      <c r="R487" s="46"/>
      <c r="S487" s="46"/>
      <c r="T487" s="46"/>
      <c r="U487" s="46"/>
      <c r="V487" s="46"/>
      <c r="W487" s="46"/>
      <c r="X487" s="46"/>
      <c r="Y487" s="46"/>
      <c r="Z487" s="46"/>
      <c r="AA487" s="46"/>
    </row>
    <row r="488">
      <c r="A488" s="4"/>
      <c r="B488" s="46"/>
      <c r="C488" s="46"/>
      <c r="D488" s="46"/>
      <c r="E488" s="18"/>
      <c r="F488" s="18"/>
      <c r="G488" s="46"/>
      <c r="H488" s="46"/>
      <c r="I488" s="46"/>
      <c r="J488" s="46"/>
      <c r="K488" s="46"/>
      <c r="L488" s="46"/>
      <c r="M488" s="46"/>
      <c r="N488" s="46"/>
      <c r="O488" s="46"/>
      <c r="P488" s="46"/>
      <c r="Q488" s="46"/>
      <c r="R488" s="46"/>
      <c r="S488" s="46"/>
      <c r="T488" s="46"/>
      <c r="U488" s="46"/>
      <c r="V488" s="46"/>
      <c r="W488" s="46"/>
      <c r="X488" s="46"/>
      <c r="Y488" s="46"/>
      <c r="Z488" s="46"/>
      <c r="AA488" s="46"/>
    </row>
    <row r="489">
      <c r="A489" s="4"/>
      <c r="B489" s="46"/>
      <c r="C489" s="46"/>
      <c r="D489" s="46"/>
      <c r="E489" s="18"/>
      <c r="F489" s="18"/>
      <c r="G489" s="46"/>
      <c r="H489" s="46"/>
      <c r="I489" s="46"/>
      <c r="J489" s="46"/>
      <c r="K489" s="46"/>
      <c r="L489" s="46"/>
      <c r="M489" s="46"/>
      <c r="N489" s="46"/>
      <c r="O489" s="46"/>
      <c r="P489" s="46"/>
      <c r="Q489" s="46"/>
      <c r="R489" s="46"/>
      <c r="S489" s="46"/>
      <c r="T489" s="46"/>
      <c r="U489" s="46"/>
      <c r="V489" s="46"/>
      <c r="W489" s="46"/>
      <c r="X489" s="46"/>
      <c r="Y489" s="46"/>
      <c r="Z489" s="46"/>
      <c r="AA489" s="46"/>
    </row>
    <row r="490">
      <c r="A490" s="4"/>
      <c r="B490" s="46"/>
      <c r="C490" s="46"/>
      <c r="D490" s="46"/>
      <c r="E490" s="18"/>
      <c r="F490" s="18"/>
      <c r="G490" s="46"/>
      <c r="H490" s="46"/>
      <c r="I490" s="46"/>
      <c r="J490" s="46"/>
      <c r="K490" s="46"/>
      <c r="L490" s="46"/>
      <c r="M490" s="46"/>
      <c r="N490" s="46"/>
      <c r="O490" s="46"/>
      <c r="P490" s="46"/>
      <c r="Q490" s="46"/>
      <c r="R490" s="46"/>
      <c r="S490" s="46"/>
      <c r="T490" s="46"/>
      <c r="U490" s="46"/>
      <c r="V490" s="46"/>
      <c r="W490" s="46"/>
      <c r="X490" s="46"/>
      <c r="Y490" s="46"/>
      <c r="Z490" s="46"/>
      <c r="AA490" s="46"/>
    </row>
    <row r="491">
      <c r="A491" s="4"/>
      <c r="B491" s="46"/>
      <c r="C491" s="46"/>
      <c r="D491" s="46"/>
      <c r="E491" s="18"/>
      <c r="F491" s="18"/>
      <c r="G491" s="46"/>
      <c r="H491" s="46"/>
      <c r="I491" s="46"/>
      <c r="J491" s="46"/>
      <c r="K491" s="46"/>
      <c r="L491" s="46"/>
      <c r="M491" s="46"/>
      <c r="N491" s="46"/>
      <c r="O491" s="46"/>
      <c r="P491" s="46"/>
      <c r="Q491" s="46"/>
      <c r="R491" s="46"/>
      <c r="S491" s="46"/>
      <c r="T491" s="46"/>
      <c r="U491" s="46"/>
      <c r="V491" s="46"/>
      <c r="W491" s="46"/>
      <c r="X491" s="46"/>
      <c r="Y491" s="46"/>
      <c r="Z491" s="46"/>
      <c r="AA491" s="46"/>
    </row>
    <row r="492">
      <c r="A492" s="4"/>
      <c r="B492" s="46"/>
      <c r="C492" s="46"/>
      <c r="D492" s="46"/>
      <c r="E492" s="18"/>
      <c r="F492" s="18"/>
      <c r="G492" s="46"/>
      <c r="H492" s="46"/>
      <c r="I492" s="46"/>
      <c r="J492" s="46"/>
      <c r="K492" s="46"/>
      <c r="L492" s="46"/>
      <c r="M492" s="46"/>
      <c r="N492" s="46"/>
      <c r="O492" s="46"/>
      <c r="P492" s="46"/>
      <c r="Q492" s="46"/>
      <c r="R492" s="46"/>
      <c r="S492" s="46"/>
      <c r="T492" s="46"/>
      <c r="U492" s="46"/>
      <c r="V492" s="46"/>
      <c r="W492" s="46"/>
      <c r="X492" s="46"/>
      <c r="Y492" s="46"/>
      <c r="Z492" s="46"/>
      <c r="AA492" s="46"/>
    </row>
    <row r="493">
      <c r="A493" s="4"/>
      <c r="B493" s="46"/>
      <c r="C493" s="46"/>
      <c r="D493" s="46"/>
      <c r="E493" s="18"/>
      <c r="F493" s="18"/>
      <c r="G493" s="46"/>
      <c r="H493" s="46"/>
      <c r="I493" s="46"/>
      <c r="J493" s="46"/>
      <c r="K493" s="46"/>
      <c r="L493" s="46"/>
      <c r="M493" s="46"/>
      <c r="N493" s="46"/>
      <c r="O493" s="46"/>
      <c r="P493" s="46"/>
      <c r="Q493" s="46"/>
      <c r="R493" s="46"/>
      <c r="S493" s="46"/>
      <c r="T493" s="46"/>
      <c r="U493" s="46"/>
      <c r="V493" s="46"/>
      <c r="W493" s="46"/>
      <c r="X493" s="46"/>
      <c r="Y493" s="46"/>
      <c r="Z493" s="46"/>
      <c r="AA493" s="46"/>
    </row>
    <row r="494">
      <c r="A494" s="4"/>
      <c r="B494" s="46"/>
      <c r="C494" s="46"/>
      <c r="D494" s="46"/>
      <c r="E494" s="18"/>
      <c r="F494" s="18"/>
      <c r="G494" s="46"/>
      <c r="H494" s="46"/>
      <c r="I494" s="46"/>
      <c r="J494" s="46"/>
      <c r="K494" s="46"/>
      <c r="L494" s="46"/>
      <c r="M494" s="46"/>
      <c r="N494" s="46"/>
      <c r="O494" s="46"/>
      <c r="P494" s="46"/>
      <c r="Q494" s="46"/>
      <c r="R494" s="46"/>
      <c r="S494" s="46"/>
      <c r="T494" s="46"/>
      <c r="U494" s="46"/>
      <c r="V494" s="46"/>
      <c r="W494" s="46"/>
      <c r="X494" s="46"/>
      <c r="Y494" s="46"/>
      <c r="Z494" s="46"/>
      <c r="AA494" s="46"/>
    </row>
    <row r="495">
      <c r="A495" s="4"/>
      <c r="B495" s="46"/>
      <c r="C495" s="46"/>
      <c r="D495" s="46"/>
      <c r="E495" s="18"/>
      <c r="F495" s="18"/>
      <c r="G495" s="46"/>
      <c r="H495" s="46"/>
      <c r="I495" s="46"/>
      <c r="J495" s="46"/>
      <c r="K495" s="46"/>
      <c r="L495" s="46"/>
      <c r="M495" s="46"/>
      <c r="N495" s="46"/>
      <c r="O495" s="46"/>
      <c r="P495" s="46"/>
      <c r="Q495" s="46"/>
      <c r="R495" s="46"/>
      <c r="S495" s="46"/>
      <c r="T495" s="46"/>
      <c r="U495" s="46"/>
      <c r="V495" s="46"/>
      <c r="W495" s="46"/>
      <c r="X495" s="46"/>
      <c r="Y495" s="46"/>
      <c r="Z495" s="46"/>
      <c r="AA495" s="46"/>
    </row>
    <row r="496">
      <c r="A496" s="4"/>
      <c r="B496" s="46"/>
      <c r="C496" s="46"/>
      <c r="D496" s="46"/>
      <c r="E496" s="18"/>
      <c r="F496" s="18"/>
      <c r="G496" s="46"/>
      <c r="H496" s="46"/>
      <c r="I496" s="46"/>
      <c r="J496" s="46"/>
      <c r="K496" s="46"/>
      <c r="L496" s="46"/>
      <c r="M496" s="46"/>
      <c r="N496" s="46"/>
      <c r="O496" s="46"/>
      <c r="P496" s="46"/>
      <c r="Q496" s="46"/>
      <c r="R496" s="46"/>
      <c r="S496" s="46"/>
      <c r="T496" s="46"/>
      <c r="U496" s="46"/>
      <c r="V496" s="46"/>
      <c r="W496" s="46"/>
      <c r="X496" s="46"/>
      <c r="Y496" s="46"/>
      <c r="Z496" s="46"/>
      <c r="AA496" s="46"/>
    </row>
    <row r="497">
      <c r="A497" s="4"/>
      <c r="B497" s="46"/>
      <c r="C497" s="46"/>
      <c r="D497" s="46"/>
      <c r="E497" s="18"/>
      <c r="F497" s="18"/>
      <c r="G497" s="46"/>
      <c r="H497" s="46"/>
      <c r="I497" s="46"/>
      <c r="J497" s="46"/>
      <c r="K497" s="46"/>
      <c r="L497" s="46"/>
      <c r="M497" s="46"/>
      <c r="N497" s="46"/>
      <c r="O497" s="46"/>
      <c r="P497" s="46"/>
      <c r="Q497" s="46"/>
      <c r="R497" s="46"/>
      <c r="S497" s="46"/>
      <c r="T497" s="46"/>
      <c r="U497" s="46"/>
      <c r="V497" s="46"/>
      <c r="W497" s="46"/>
      <c r="X497" s="46"/>
      <c r="Y497" s="46"/>
      <c r="Z497" s="46"/>
      <c r="AA497" s="46"/>
    </row>
    <row r="498">
      <c r="A498" s="4"/>
      <c r="B498" s="46"/>
      <c r="C498" s="46"/>
      <c r="D498" s="46"/>
      <c r="E498" s="18"/>
      <c r="F498" s="18"/>
      <c r="G498" s="46"/>
      <c r="H498" s="46"/>
      <c r="I498" s="46"/>
      <c r="J498" s="46"/>
      <c r="K498" s="46"/>
      <c r="L498" s="46"/>
      <c r="M498" s="46"/>
      <c r="N498" s="46"/>
      <c r="O498" s="46"/>
      <c r="P498" s="46"/>
      <c r="Q498" s="46"/>
      <c r="R498" s="46"/>
      <c r="S498" s="46"/>
      <c r="T498" s="46"/>
      <c r="U498" s="46"/>
      <c r="V498" s="46"/>
      <c r="W498" s="46"/>
      <c r="X498" s="46"/>
      <c r="Y498" s="46"/>
      <c r="Z498" s="46"/>
      <c r="AA498" s="46"/>
    </row>
    <row r="499">
      <c r="A499" s="4"/>
      <c r="B499" s="46"/>
      <c r="C499" s="46"/>
      <c r="D499" s="46"/>
      <c r="E499" s="18"/>
      <c r="F499" s="18"/>
      <c r="G499" s="46"/>
      <c r="H499" s="46"/>
      <c r="I499" s="46"/>
      <c r="J499" s="46"/>
      <c r="K499" s="46"/>
      <c r="L499" s="46"/>
      <c r="M499" s="46"/>
      <c r="N499" s="46"/>
      <c r="O499" s="46"/>
      <c r="P499" s="46"/>
      <c r="Q499" s="46"/>
      <c r="R499" s="46"/>
      <c r="S499" s="46"/>
      <c r="T499" s="46"/>
      <c r="U499" s="46"/>
      <c r="V499" s="46"/>
      <c r="W499" s="46"/>
      <c r="X499" s="46"/>
      <c r="Y499" s="46"/>
      <c r="Z499" s="46"/>
      <c r="AA499" s="46"/>
    </row>
    <row r="500">
      <c r="A500" s="4"/>
      <c r="B500" s="46"/>
      <c r="C500" s="46"/>
      <c r="D500" s="46"/>
      <c r="E500" s="18"/>
      <c r="F500" s="18"/>
      <c r="G500" s="46"/>
      <c r="H500" s="46"/>
      <c r="I500" s="46"/>
      <c r="J500" s="46"/>
      <c r="K500" s="46"/>
      <c r="L500" s="46"/>
      <c r="M500" s="46"/>
      <c r="N500" s="46"/>
      <c r="O500" s="46"/>
      <c r="P500" s="46"/>
      <c r="Q500" s="46"/>
      <c r="R500" s="46"/>
      <c r="S500" s="46"/>
      <c r="T500" s="46"/>
      <c r="U500" s="46"/>
      <c r="V500" s="46"/>
      <c r="W500" s="46"/>
      <c r="X500" s="46"/>
      <c r="Y500" s="46"/>
      <c r="Z500" s="46"/>
      <c r="AA500" s="46"/>
    </row>
    <row r="501">
      <c r="A501" s="4"/>
      <c r="B501" s="46"/>
      <c r="C501" s="46"/>
      <c r="D501" s="46"/>
      <c r="E501" s="18"/>
      <c r="F501" s="18"/>
      <c r="G501" s="46"/>
      <c r="H501" s="46"/>
      <c r="I501" s="46"/>
      <c r="J501" s="46"/>
      <c r="K501" s="46"/>
      <c r="L501" s="46"/>
      <c r="M501" s="46"/>
      <c r="N501" s="46"/>
      <c r="O501" s="46"/>
      <c r="P501" s="46"/>
      <c r="Q501" s="46"/>
      <c r="R501" s="46"/>
      <c r="S501" s="46"/>
      <c r="T501" s="46"/>
      <c r="U501" s="46"/>
      <c r="V501" s="46"/>
      <c r="W501" s="46"/>
      <c r="X501" s="46"/>
      <c r="Y501" s="46"/>
      <c r="Z501" s="46"/>
      <c r="AA501" s="46"/>
    </row>
    <row r="502">
      <c r="A502" s="4"/>
      <c r="B502" s="46"/>
      <c r="C502" s="46"/>
      <c r="D502" s="46"/>
      <c r="E502" s="18"/>
      <c r="F502" s="18"/>
      <c r="G502" s="46"/>
      <c r="H502" s="46"/>
      <c r="I502" s="46"/>
      <c r="J502" s="46"/>
      <c r="K502" s="46"/>
      <c r="L502" s="46"/>
      <c r="M502" s="46"/>
      <c r="N502" s="46"/>
      <c r="O502" s="46"/>
      <c r="P502" s="46"/>
      <c r="Q502" s="46"/>
      <c r="R502" s="46"/>
      <c r="S502" s="46"/>
      <c r="T502" s="46"/>
      <c r="U502" s="46"/>
      <c r="V502" s="46"/>
      <c r="W502" s="46"/>
      <c r="X502" s="46"/>
      <c r="Y502" s="46"/>
      <c r="Z502" s="46"/>
      <c r="AA502" s="46"/>
    </row>
    <row r="503">
      <c r="A503" s="4"/>
      <c r="B503" s="46"/>
      <c r="C503" s="46"/>
      <c r="D503" s="46"/>
      <c r="E503" s="18"/>
      <c r="F503" s="18"/>
      <c r="G503" s="46"/>
      <c r="H503" s="46"/>
      <c r="I503" s="46"/>
      <c r="J503" s="46"/>
      <c r="K503" s="46"/>
      <c r="L503" s="46"/>
      <c r="M503" s="46"/>
      <c r="N503" s="46"/>
      <c r="O503" s="46"/>
      <c r="P503" s="46"/>
      <c r="Q503" s="46"/>
      <c r="R503" s="46"/>
      <c r="S503" s="46"/>
      <c r="T503" s="46"/>
      <c r="U503" s="46"/>
      <c r="V503" s="46"/>
      <c r="W503" s="46"/>
      <c r="X503" s="46"/>
      <c r="Y503" s="46"/>
      <c r="Z503" s="46"/>
      <c r="AA503" s="46"/>
    </row>
    <row r="504">
      <c r="A504" s="4"/>
      <c r="B504" s="46"/>
      <c r="C504" s="46"/>
      <c r="D504" s="46"/>
      <c r="E504" s="18"/>
      <c r="F504" s="18"/>
      <c r="G504" s="46"/>
      <c r="H504" s="46"/>
      <c r="I504" s="46"/>
      <c r="J504" s="46"/>
      <c r="K504" s="46"/>
      <c r="L504" s="46"/>
      <c r="M504" s="46"/>
      <c r="N504" s="46"/>
      <c r="O504" s="46"/>
      <c r="P504" s="46"/>
      <c r="Q504" s="46"/>
      <c r="R504" s="46"/>
      <c r="S504" s="46"/>
      <c r="T504" s="46"/>
      <c r="U504" s="46"/>
      <c r="V504" s="46"/>
      <c r="W504" s="46"/>
      <c r="X504" s="46"/>
      <c r="Y504" s="46"/>
      <c r="Z504" s="46"/>
      <c r="AA504" s="46"/>
    </row>
    <row r="505">
      <c r="A505" s="4"/>
      <c r="B505" s="46"/>
      <c r="C505" s="46"/>
      <c r="D505" s="46"/>
      <c r="E505" s="18"/>
      <c r="F505" s="18"/>
      <c r="G505" s="46"/>
      <c r="H505" s="46"/>
      <c r="I505" s="46"/>
      <c r="J505" s="46"/>
      <c r="K505" s="46"/>
      <c r="L505" s="46"/>
      <c r="M505" s="46"/>
      <c r="N505" s="46"/>
      <c r="O505" s="46"/>
      <c r="P505" s="46"/>
      <c r="Q505" s="46"/>
      <c r="R505" s="46"/>
      <c r="S505" s="46"/>
      <c r="T505" s="46"/>
      <c r="U505" s="46"/>
      <c r="V505" s="46"/>
      <c r="W505" s="46"/>
      <c r="X505" s="46"/>
      <c r="Y505" s="46"/>
      <c r="Z505" s="46"/>
      <c r="AA505" s="46"/>
    </row>
    <row r="506">
      <c r="A506" s="4"/>
      <c r="B506" s="46"/>
      <c r="C506" s="46"/>
      <c r="D506" s="46"/>
      <c r="E506" s="18"/>
      <c r="F506" s="18"/>
      <c r="G506" s="46"/>
      <c r="H506" s="46"/>
      <c r="I506" s="46"/>
      <c r="J506" s="46"/>
      <c r="K506" s="46"/>
      <c r="L506" s="46"/>
      <c r="M506" s="46"/>
      <c r="N506" s="46"/>
      <c r="O506" s="46"/>
      <c r="P506" s="46"/>
      <c r="Q506" s="46"/>
      <c r="R506" s="46"/>
      <c r="S506" s="46"/>
      <c r="T506" s="46"/>
      <c r="U506" s="46"/>
      <c r="V506" s="46"/>
      <c r="W506" s="46"/>
      <c r="X506" s="46"/>
      <c r="Y506" s="46"/>
      <c r="Z506" s="46"/>
      <c r="AA506" s="46"/>
    </row>
    <row r="507">
      <c r="A507" s="4"/>
      <c r="B507" s="46"/>
      <c r="C507" s="46"/>
      <c r="D507" s="46"/>
      <c r="E507" s="18"/>
      <c r="F507" s="18"/>
      <c r="G507" s="46"/>
      <c r="H507" s="46"/>
      <c r="I507" s="46"/>
      <c r="J507" s="46"/>
      <c r="K507" s="46"/>
      <c r="L507" s="46"/>
      <c r="M507" s="46"/>
      <c r="N507" s="46"/>
      <c r="O507" s="46"/>
      <c r="P507" s="46"/>
      <c r="Q507" s="46"/>
      <c r="R507" s="46"/>
      <c r="S507" s="46"/>
      <c r="T507" s="46"/>
      <c r="U507" s="46"/>
      <c r="V507" s="46"/>
      <c r="W507" s="46"/>
      <c r="X507" s="46"/>
      <c r="Y507" s="46"/>
      <c r="Z507" s="46"/>
      <c r="AA507" s="46"/>
    </row>
    <row r="508">
      <c r="A508" s="4"/>
      <c r="B508" s="46"/>
      <c r="C508" s="46"/>
      <c r="D508" s="46"/>
      <c r="E508" s="18"/>
      <c r="F508" s="18"/>
      <c r="G508" s="46"/>
      <c r="H508" s="46"/>
      <c r="I508" s="46"/>
      <c r="J508" s="46"/>
      <c r="K508" s="46"/>
      <c r="L508" s="46"/>
      <c r="M508" s="46"/>
      <c r="N508" s="46"/>
      <c r="O508" s="46"/>
      <c r="P508" s="46"/>
      <c r="Q508" s="46"/>
      <c r="R508" s="46"/>
      <c r="S508" s="46"/>
      <c r="T508" s="46"/>
      <c r="U508" s="46"/>
      <c r="V508" s="46"/>
      <c r="W508" s="46"/>
      <c r="X508" s="46"/>
      <c r="Y508" s="46"/>
      <c r="Z508" s="46"/>
      <c r="AA508" s="46"/>
    </row>
    <row r="509">
      <c r="A509" s="4"/>
      <c r="B509" s="46"/>
      <c r="C509" s="46"/>
      <c r="D509" s="46"/>
      <c r="E509" s="18"/>
      <c r="F509" s="18"/>
      <c r="G509" s="46"/>
      <c r="H509" s="46"/>
      <c r="I509" s="46"/>
      <c r="J509" s="46"/>
      <c r="K509" s="46"/>
      <c r="L509" s="46"/>
      <c r="M509" s="46"/>
      <c r="N509" s="46"/>
      <c r="O509" s="46"/>
      <c r="P509" s="46"/>
      <c r="Q509" s="46"/>
      <c r="R509" s="46"/>
      <c r="S509" s="46"/>
      <c r="T509" s="46"/>
      <c r="U509" s="46"/>
      <c r="V509" s="46"/>
      <c r="W509" s="46"/>
      <c r="X509" s="46"/>
      <c r="Y509" s="46"/>
      <c r="Z509" s="46"/>
      <c r="AA509" s="46"/>
    </row>
    <row r="510">
      <c r="A510" s="4"/>
      <c r="B510" s="46"/>
      <c r="C510" s="46"/>
      <c r="D510" s="46"/>
      <c r="E510" s="18"/>
      <c r="F510" s="18"/>
      <c r="G510" s="46"/>
      <c r="H510" s="46"/>
      <c r="I510" s="46"/>
      <c r="J510" s="46"/>
      <c r="K510" s="46"/>
      <c r="L510" s="46"/>
      <c r="M510" s="46"/>
      <c r="N510" s="46"/>
      <c r="O510" s="46"/>
      <c r="P510" s="46"/>
      <c r="Q510" s="46"/>
      <c r="R510" s="46"/>
      <c r="S510" s="46"/>
      <c r="T510" s="46"/>
      <c r="U510" s="46"/>
      <c r="V510" s="46"/>
      <c r="W510" s="46"/>
      <c r="X510" s="46"/>
      <c r="Y510" s="46"/>
      <c r="Z510" s="46"/>
      <c r="AA510" s="46"/>
    </row>
    <row r="511">
      <c r="A511" s="4"/>
      <c r="B511" s="46"/>
      <c r="C511" s="46"/>
      <c r="D511" s="46"/>
      <c r="E511" s="18"/>
      <c r="F511" s="18"/>
      <c r="G511" s="46"/>
      <c r="H511" s="46"/>
      <c r="I511" s="46"/>
      <c r="J511" s="46"/>
      <c r="K511" s="46"/>
      <c r="L511" s="46"/>
      <c r="M511" s="46"/>
      <c r="N511" s="46"/>
      <c r="O511" s="46"/>
      <c r="P511" s="46"/>
      <c r="Q511" s="46"/>
      <c r="R511" s="46"/>
      <c r="S511" s="46"/>
      <c r="T511" s="46"/>
      <c r="U511" s="46"/>
      <c r="V511" s="46"/>
      <c r="W511" s="46"/>
      <c r="X511" s="46"/>
      <c r="Y511" s="46"/>
      <c r="Z511" s="46"/>
      <c r="AA511" s="46"/>
    </row>
    <row r="512">
      <c r="A512" s="4"/>
      <c r="B512" s="46"/>
      <c r="C512" s="46"/>
      <c r="D512" s="46"/>
      <c r="E512" s="18"/>
      <c r="F512" s="18"/>
      <c r="G512" s="46"/>
      <c r="H512" s="46"/>
      <c r="I512" s="46"/>
      <c r="J512" s="46"/>
      <c r="K512" s="46"/>
      <c r="L512" s="46"/>
      <c r="M512" s="46"/>
      <c r="N512" s="46"/>
      <c r="O512" s="46"/>
      <c r="P512" s="46"/>
      <c r="Q512" s="46"/>
      <c r="R512" s="46"/>
      <c r="S512" s="46"/>
      <c r="T512" s="46"/>
      <c r="U512" s="46"/>
      <c r="V512" s="46"/>
      <c r="W512" s="46"/>
      <c r="X512" s="46"/>
      <c r="Y512" s="46"/>
      <c r="Z512" s="46"/>
      <c r="AA512" s="46"/>
    </row>
    <row r="513">
      <c r="A513" s="4"/>
      <c r="B513" s="46"/>
      <c r="C513" s="46"/>
      <c r="D513" s="46"/>
      <c r="E513" s="18"/>
      <c r="F513" s="18"/>
      <c r="G513" s="46"/>
      <c r="H513" s="46"/>
      <c r="I513" s="46"/>
      <c r="J513" s="46"/>
      <c r="K513" s="46"/>
      <c r="L513" s="46"/>
      <c r="M513" s="46"/>
      <c r="N513" s="46"/>
      <c r="O513" s="46"/>
      <c r="P513" s="46"/>
      <c r="Q513" s="46"/>
      <c r="R513" s="46"/>
      <c r="S513" s="46"/>
      <c r="T513" s="46"/>
      <c r="U513" s="46"/>
      <c r="V513" s="46"/>
      <c r="W513" s="46"/>
      <c r="X513" s="46"/>
      <c r="Y513" s="46"/>
      <c r="Z513" s="46"/>
      <c r="AA513" s="46"/>
    </row>
    <row r="514">
      <c r="A514" s="4"/>
      <c r="B514" s="46"/>
      <c r="C514" s="46"/>
      <c r="D514" s="46"/>
      <c r="E514" s="18"/>
      <c r="F514" s="18"/>
      <c r="G514" s="46"/>
      <c r="H514" s="46"/>
      <c r="I514" s="46"/>
      <c r="J514" s="46"/>
      <c r="K514" s="46"/>
      <c r="L514" s="46"/>
      <c r="M514" s="46"/>
      <c r="N514" s="46"/>
      <c r="O514" s="46"/>
      <c r="P514" s="46"/>
      <c r="Q514" s="46"/>
      <c r="R514" s="46"/>
      <c r="S514" s="46"/>
      <c r="T514" s="46"/>
      <c r="U514" s="46"/>
      <c r="V514" s="46"/>
      <c r="W514" s="46"/>
      <c r="X514" s="46"/>
      <c r="Y514" s="46"/>
      <c r="Z514" s="46"/>
      <c r="AA514" s="46"/>
    </row>
    <row r="515">
      <c r="A515" s="4"/>
      <c r="B515" s="46"/>
      <c r="C515" s="46"/>
      <c r="D515" s="46"/>
      <c r="E515" s="18"/>
      <c r="F515" s="18"/>
      <c r="G515" s="46"/>
      <c r="H515" s="46"/>
      <c r="I515" s="46"/>
      <c r="J515" s="46"/>
      <c r="K515" s="46"/>
      <c r="L515" s="46"/>
      <c r="M515" s="46"/>
      <c r="N515" s="46"/>
      <c r="O515" s="46"/>
      <c r="P515" s="46"/>
      <c r="Q515" s="46"/>
      <c r="R515" s="46"/>
      <c r="S515" s="46"/>
      <c r="T515" s="46"/>
      <c r="U515" s="46"/>
      <c r="V515" s="46"/>
      <c r="W515" s="46"/>
      <c r="X515" s="46"/>
      <c r="Y515" s="46"/>
      <c r="Z515" s="46"/>
      <c r="AA515" s="46"/>
    </row>
    <row r="516">
      <c r="A516" s="4"/>
      <c r="B516" s="46"/>
      <c r="C516" s="46"/>
      <c r="D516" s="46"/>
      <c r="E516" s="18"/>
      <c r="F516" s="18"/>
      <c r="G516" s="46"/>
      <c r="H516" s="46"/>
      <c r="I516" s="46"/>
      <c r="J516" s="46"/>
      <c r="K516" s="46"/>
      <c r="L516" s="46"/>
      <c r="M516" s="46"/>
      <c r="N516" s="46"/>
      <c r="O516" s="46"/>
      <c r="P516" s="46"/>
      <c r="Q516" s="46"/>
      <c r="R516" s="46"/>
      <c r="S516" s="46"/>
      <c r="T516" s="46"/>
      <c r="U516" s="46"/>
      <c r="V516" s="46"/>
      <c r="W516" s="46"/>
      <c r="X516" s="46"/>
      <c r="Y516" s="46"/>
      <c r="Z516" s="46"/>
      <c r="AA516" s="46"/>
    </row>
    <row r="517">
      <c r="A517" s="4"/>
      <c r="B517" s="46"/>
      <c r="C517" s="46"/>
      <c r="D517" s="46"/>
      <c r="E517" s="18"/>
      <c r="F517" s="18"/>
      <c r="G517" s="46"/>
      <c r="H517" s="46"/>
      <c r="I517" s="46"/>
      <c r="J517" s="46"/>
      <c r="K517" s="46"/>
      <c r="L517" s="46"/>
      <c r="M517" s="46"/>
      <c r="N517" s="46"/>
      <c r="O517" s="46"/>
      <c r="P517" s="46"/>
      <c r="Q517" s="46"/>
      <c r="R517" s="46"/>
      <c r="S517" s="46"/>
      <c r="T517" s="46"/>
      <c r="U517" s="46"/>
      <c r="V517" s="46"/>
      <c r="W517" s="46"/>
      <c r="X517" s="46"/>
      <c r="Y517" s="46"/>
      <c r="Z517" s="46"/>
      <c r="AA517" s="46"/>
    </row>
    <row r="518">
      <c r="A518" s="4"/>
      <c r="B518" s="46"/>
      <c r="C518" s="46"/>
      <c r="D518" s="46"/>
      <c r="E518" s="18"/>
      <c r="F518" s="18"/>
      <c r="G518" s="46"/>
      <c r="H518" s="46"/>
      <c r="I518" s="46"/>
      <c r="J518" s="46"/>
      <c r="K518" s="46"/>
      <c r="L518" s="46"/>
      <c r="M518" s="46"/>
      <c r="N518" s="46"/>
      <c r="O518" s="46"/>
      <c r="P518" s="46"/>
      <c r="Q518" s="46"/>
      <c r="R518" s="46"/>
      <c r="S518" s="46"/>
      <c r="T518" s="46"/>
      <c r="U518" s="46"/>
      <c r="V518" s="46"/>
      <c r="W518" s="46"/>
      <c r="X518" s="46"/>
      <c r="Y518" s="46"/>
      <c r="Z518" s="46"/>
      <c r="AA518" s="46"/>
    </row>
    <row r="519">
      <c r="A519" s="4"/>
      <c r="B519" s="46"/>
      <c r="C519" s="46"/>
      <c r="D519" s="46"/>
      <c r="E519" s="18"/>
      <c r="F519" s="18"/>
      <c r="G519" s="46"/>
      <c r="H519" s="46"/>
      <c r="I519" s="46"/>
      <c r="J519" s="46"/>
      <c r="K519" s="46"/>
      <c r="L519" s="46"/>
      <c r="M519" s="46"/>
      <c r="N519" s="46"/>
      <c r="O519" s="46"/>
      <c r="P519" s="46"/>
      <c r="Q519" s="46"/>
      <c r="R519" s="46"/>
      <c r="S519" s="46"/>
      <c r="T519" s="46"/>
      <c r="U519" s="46"/>
      <c r="V519" s="46"/>
      <c r="W519" s="46"/>
      <c r="X519" s="46"/>
      <c r="Y519" s="46"/>
      <c r="Z519" s="46"/>
      <c r="AA519" s="46"/>
    </row>
    <row r="520">
      <c r="A520" s="4"/>
      <c r="B520" s="46"/>
      <c r="C520" s="46"/>
      <c r="D520" s="46"/>
      <c r="E520" s="18"/>
      <c r="F520" s="18"/>
      <c r="G520" s="46"/>
      <c r="H520" s="46"/>
      <c r="I520" s="46"/>
      <c r="J520" s="46"/>
      <c r="K520" s="46"/>
      <c r="L520" s="46"/>
      <c r="M520" s="46"/>
      <c r="N520" s="46"/>
      <c r="O520" s="46"/>
      <c r="P520" s="46"/>
      <c r="Q520" s="46"/>
      <c r="R520" s="46"/>
      <c r="S520" s="46"/>
      <c r="T520" s="46"/>
      <c r="U520" s="46"/>
      <c r="V520" s="46"/>
      <c r="W520" s="46"/>
      <c r="X520" s="46"/>
      <c r="Y520" s="46"/>
      <c r="Z520" s="46"/>
      <c r="AA520" s="46"/>
    </row>
    <row r="521">
      <c r="A521" s="4"/>
      <c r="B521" s="46"/>
      <c r="C521" s="46"/>
      <c r="D521" s="46"/>
      <c r="E521" s="18"/>
      <c r="F521" s="18"/>
      <c r="G521" s="46"/>
      <c r="H521" s="46"/>
      <c r="I521" s="46"/>
      <c r="J521" s="46"/>
      <c r="K521" s="46"/>
      <c r="L521" s="46"/>
      <c r="M521" s="46"/>
      <c r="N521" s="46"/>
      <c r="O521" s="46"/>
      <c r="P521" s="46"/>
      <c r="Q521" s="46"/>
      <c r="R521" s="46"/>
      <c r="S521" s="46"/>
      <c r="T521" s="46"/>
      <c r="U521" s="46"/>
      <c r="V521" s="46"/>
      <c r="W521" s="46"/>
      <c r="X521" s="46"/>
      <c r="Y521" s="46"/>
      <c r="Z521" s="46"/>
      <c r="AA521" s="46"/>
    </row>
    <row r="522">
      <c r="A522" s="4"/>
      <c r="B522" s="46"/>
      <c r="C522" s="46"/>
      <c r="D522" s="46"/>
      <c r="E522" s="18"/>
      <c r="F522" s="18"/>
      <c r="G522" s="46"/>
      <c r="H522" s="46"/>
      <c r="I522" s="46"/>
      <c r="J522" s="46"/>
      <c r="K522" s="46"/>
      <c r="L522" s="46"/>
      <c r="M522" s="46"/>
      <c r="N522" s="46"/>
      <c r="O522" s="46"/>
      <c r="P522" s="46"/>
      <c r="Q522" s="46"/>
      <c r="R522" s="46"/>
      <c r="S522" s="46"/>
      <c r="T522" s="46"/>
      <c r="U522" s="46"/>
      <c r="V522" s="46"/>
      <c r="W522" s="46"/>
      <c r="X522" s="46"/>
      <c r="Y522" s="46"/>
      <c r="Z522" s="46"/>
      <c r="AA522" s="46"/>
    </row>
    <row r="523">
      <c r="A523" s="4"/>
      <c r="B523" s="46"/>
      <c r="C523" s="46"/>
      <c r="D523" s="46"/>
      <c r="E523" s="18"/>
      <c r="F523" s="18"/>
      <c r="G523" s="46"/>
      <c r="H523" s="46"/>
      <c r="I523" s="46"/>
      <c r="J523" s="46"/>
      <c r="K523" s="46"/>
      <c r="L523" s="46"/>
      <c r="M523" s="46"/>
      <c r="N523" s="46"/>
      <c r="O523" s="46"/>
      <c r="P523" s="46"/>
      <c r="Q523" s="46"/>
      <c r="R523" s="46"/>
      <c r="S523" s="46"/>
      <c r="T523" s="46"/>
      <c r="U523" s="46"/>
      <c r="V523" s="46"/>
      <c r="W523" s="46"/>
      <c r="X523" s="46"/>
      <c r="Y523" s="46"/>
      <c r="Z523" s="46"/>
      <c r="AA523" s="46"/>
    </row>
    <row r="524">
      <c r="A524" s="4"/>
      <c r="B524" s="46"/>
      <c r="C524" s="46"/>
      <c r="D524" s="46"/>
      <c r="E524" s="18"/>
      <c r="F524" s="18"/>
      <c r="G524" s="46"/>
      <c r="H524" s="46"/>
      <c r="I524" s="46"/>
      <c r="J524" s="46"/>
      <c r="K524" s="46"/>
      <c r="L524" s="46"/>
      <c r="M524" s="46"/>
      <c r="N524" s="46"/>
      <c r="O524" s="46"/>
      <c r="P524" s="46"/>
      <c r="Q524" s="46"/>
      <c r="R524" s="46"/>
      <c r="S524" s="46"/>
      <c r="T524" s="46"/>
      <c r="U524" s="46"/>
      <c r="V524" s="46"/>
      <c r="W524" s="46"/>
      <c r="X524" s="46"/>
      <c r="Y524" s="46"/>
      <c r="Z524" s="46"/>
      <c r="AA524" s="46"/>
    </row>
    <row r="525">
      <c r="A525" s="4"/>
      <c r="B525" s="46"/>
      <c r="C525" s="46"/>
      <c r="D525" s="46"/>
      <c r="E525" s="18"/>
      <c r="F525" s="18"/>
      <c r="G525" s="46"/>
      <c r="H525" s="46"/>
      <c r="I525" s="46"/>
      <c r="J525" s="46"/>
      <c r="K525" s="46"/>
      <c r="L525" s="46"/>
      <c r="M525" s="46"/>
      <c r="N525" s="46"/>
      <c r="O525" s="46"/>
      <c r="P525" s="46"/>
      <c r="Q525" s="46"/>
      <c r="R525" s="46"/>
      <c r="S525" s="46"/>
      <c r="T525" s="46"/>
      <c r="U525" s="46"/>
      <c r="V525" s="46"/>
      <c r="W525" s="46"/>
      <c r="X525" s="46"/>
      <c r="Y525" s="46"/>
      <c r="Z525" s="46"/>
      <c r="AA525" s="46"/>
    </row>
    <row r="526">
      <c r="A526" s="4"/>
      <c r="B526" s="46"/>
      <c r="C526" s="46"/>
      <c r="D526" s="46"/>
      <c r="E526" s="18"/>
      <c r="F526" s="18"/>
      <c r="G526" s="46"/>
      <c r="H526" s="46"/>
      <c r="I526" s="46"/>
      <c r="J526" s="46"/>
      <c r="K526" s="46"/>
      <c r="L526" s="46"/>
      <c r="M526" s="46"/>
      <c r="N526" s="46"/>
      <c r="O526" s="46"/>
      <c r="P526" s="46"/>
      <c r="Q526" s="46"/>
      <c r="R526" s="46"/>
      <c r="S526" s="46"/>
      <c r="T526" s="46"/>
      <c r="U526" s="46"/>
      <c r="V526" s="46"/>
      <c r="W526" s="46"/>
      <c r="X526" s="46"/>
      <c r="Y526" s="46"/>
      <c r="Z526" s="46"/>
      <c r="AA526" s="46"/>
    </row>
    <row r="527">
      <c r="A527" s="4"/>
      <c r="B527" s="46"/>
      <c r="C527" s="46"/>
      <c r="D527" s="46"/>
      <c r="E527" s="18"/>
      <c r="F527" s="18"/>
      <c r="G527" s="46"/>
      <c r="H527" s="46"/>
      <c r="I527" s="46"/>
      <c r="J527" s="46"/>
      <c r="K527" s="46"/>
      <c r="L527" s="46"/>
      <c r="M527" s="46"/>
      <c r="N527" s="46"/>
      <c r="O527" s="46"/>
      <c r="P527" s="46"/>
      <c r="Q527" s="46"/>
      <c r="R527" s="46"/>
      <c r="S527" s="46"/>
      <c r="T527" s="46"/>
      <c r="U527" s="46"/>
      <c r="V527" s="46"/>
      <c r="W527" s="46"/>
      <c r="X527" s="46"/>
      <c r="Y527" s="46"/>
      <c r="Z527" s="46"/>
      <c r="AA527" s="46"/>
    </row>
    <row r="528">
      <c r="A528" s="4"/>
      <c r="B528" s="46"/>
      <c r="C528" s="46"/>
      <c r="D528" s="46"/>
      <c r="E528" s="18"/>
      <c r="F528" s="18"/>
      <c r="G528" s="46"/>
      <c r="H528" s="46"/>
      <c r="I528" s="46"/>
      <c r="J528" s="46"/>
      <c r="K528" s="46"/>
      <c r="L528" s="46"/>
      <c r="M528" s="46"/>
      <c r="N528" s="46"/>
      <c r="O528" s="46"/>
      <c r="P528" s="46"/>
      <c r="Q528" s="46"/>
      <c r="R528" s="46"/>
      <c r="S528" s="46"/>
      <c r="T528" s="46"/>
      <c r="U528" s="46"/>
      <c r="V528" s="46"/>
      <c r="W528" s="46"/>
      <c r="X528" s="46"/>
      <c r="Y528" s="46"/>
      <c r="Z528" s="46"/>
      <c r="AA528" s="46"/>
    </row>
    <row r="529">
      <c r="A529" s="4"/>
      <c r="B529" s="46"/>
      <c r="C529" s="46"/>
      <c r="D529" s="46"/>
      <c r="E529" s="18"/>
      <c r="F529" s="18"/>
      <c r="G529" s="46"/>
      <c r="H529" s="46"/>
      <c r="I529" s="46"/>
      <c r="J529" s="46"/>
      <c r="K529" s="46"/>
      <c r="L529" s="46"/>
      <c r="M529" s="46"/>
      <c r="N529" s="46"/>
      <c r="O529" s="46"/>
      <c r="P529" s="46"/>
      <c r="Q529" s="46"/>
      <c r="R529" s="46"/>
      <c r="S529" s="46"/>
      <c r="T529" s="46"/>
      <c r="U529" s="46"/>
      <c r="V529" s="46"/>
      <c r="W529" s="46"/>
      <c r="X529" s="46"/>
      <c r="Y529" s="46"/>
      <c r="Z529" s="46"/>
      <c r="AA529" s="46"/>
    </row>
    <row r="530">
      <c r="A530" s="4"/>
      <c r="B530" s="46"/>
      <c r="C530" s="46"/>
      <c r="D530" s="46"/>
      <c r="E530" s="18"/>
      <c r="F530" s="18"/>
      <c r="G530" s="46"/>
      <c r="H530" s="46"/>
      <c r="I530" s="46"/>
      <c r="J530" s="46"/>
      <c r="K530" s="46"/>
      <c r="L530" s="46"/>
      <c r="M530" s="46"/>
      <c r="N530" s="46"/>
      <c r="O530" s="46"/>
      <c r="P530" s="46"/>
      <c r="Q530" s="46"/>
      <c r="R530" s="46"/>
      <c r="S530" s="46"/>
      <c r="T530" s="46"/>
      <c r="U530" s="46"/>
      <c r="V530" s="46"/>
      <c r="W530" s="46"/>
      <c r="X530" s="46"/>
      <c r="Y530" s="46"/>
      <c r="Z530" s="46"/>
      <c r="AA530" s="46"/>
    </row>
    <row r="531">
      <c r="A531" s="4"/>
      <c r="B531" s="46"/>
      <c r="C531" s="46"/>
      <c r="D531" s="46"/>
      <c r="E531" s="18"/>
      <c r="F531" s="18"/>
      <c r="G531" s="46"/>
      <c r="H531" s="46"/>
      <c r="I531" s="46"/>
      <c r="J531" s="46"/>
      <c r="K531" s="46"/>
      <c r="L531" s="46"/>
      <c r="M531" s="46"/>
      <c r="N531" s="46"/>
      <c r="O531" s="46"/>
      <c r="P531" s="46"/>
      <c r="Q531" s="46"/>
      <c r="R531" s="46"/>
      <c r="S531" s="46"/>
      <c r="T531" s="46"/>
      <c r="U531" s="46"/>
      <c r="V531" s="46"/>
      <c r="W531" s="46"/>
      <c r="X531" s="46"/>
      <c r="Y531" s="46"/>
      <c r="Z531" s="46"/>
      <c r="AA531" s="46"/>
    </row>
    <row r="532">
      <c r="A532" s="4"/>
      <c r="B532" s="46"/>
      <c r="C532" s="46"/>
      <c r="D532" s="46"/>
      <c r="E532" s="18"/>
      <c r="F532" s="18"/>
      <c r="G532" s="46"/>
      <c r="H532" s="46"/>
      <c r="I532" s="46"/>
      <c r="J532" s="46"/>
      <c r="K532" s="46"/>
      <c r="L532" s="46"/>
      <c r="M532" s="46"/>
      <c r="N532" s="46"/>
      <c r="O532" s="46"/>
      <c r="P532" s="46"/>
      <c r="Q532" s="46"/>
      <c r="R532" s="46"/>
      <c r="S532" s="46"/>
      <c r="T532" s="46"/>
      <c r="U532" s="46"/>
      <c r="V532" s="46"/>
      <c r="W532" s="46"/>
      <c r="X532" s="46"/>
      <c r="Y532" s="46"/>
      <c r="Z532" s="46"/>
      <c r="AA532" s="46"/>
    </row>
    <row r="533">
      <c r="A533" s="4"/>
      <c r="B533" s="46"/>
      <c r="C533" s="46"/>
      <c r="D533" s="46"/>
      <c r="E533" s="18"/>
      <c r="F533" s="18"/>
      <c r="G533" s="46"/>
      <c r="H533" s="46"/>
      <c r="I533" s="46"/>
      <c r="J533" s="46"/>
      <c r="K533" s="46"/>
      <c r="L533" s="46"/>
      <c r="M533" s="46"/>
      <c r="N533" s="46"/>
      <c r="O533" s="46"/>
      <c r="P533" s="46"/>
      <c r="Q533" s="46"/>
      <c r="R533" s="46"/>
      <c r="S533" s="46"/>
      <c r="T533" s="46"/>
      <c r="U533" s="46"/>
      <c r="V533" s="46"/>
      <c r="W533" s="46"/>
      <c r="X533" s="46"/>
      <c r="Y533" s="46"/>
      <c r="Z533" s="46"/>
      <c r="AA533" s="46"/>
    </row>
    <row r="534">
      <c r="A534" s="4"/>
      <c r="B534" s="46"/>
      <c r="C534" s="46"/>
      <c r="D534" s="46"/>
      <c r="E534" s="18"/>
      <c r="F534" s="18"/>
      <c r="G534" s="46"/>
      <c r="H534" s="46"/>
      <c r="I534" s="46"/>
      <c r="J534" s="46"/>
      <c r="K534" s="46"/>
      <c r="L534" s="46"/>
      <c r="M534" s="46"/>
      <c r="N534" s="46"/>
      <c r="O534" s="46"/>
      <c r="P534" s="46"/>
      <c r="Q534" s="46"/>
      <c r="R534" s="46"/>
      <c r="S534" s="46"/>
      <c r="T534" s="46"/>
      <c r="U534" s="46"/>
      <c r="V534" s="46"/>
      <c r="W534" s="46"/>
      <c r="X534" s="46"/>
      <c r="Y534" s="46"/>
      <c r="Z534" s="46"/>
      <c r="AA534" s="46"/>
    </row>
    <row r="535">
      <c r="A535" s="4"/>
      <c r="B535" s="46"/>
      <c r="C535" s="46"/>
      <c r="D535" s="46"/>
      <c r="E535" s="18"/>
      <c r="F535" s="18"/>
      <c r="G535" s="46"/>
      <c r="H535" s="46"/>
      <c r="I535" s="46"/>
      <c r="J535" s="46"/>
      <c r="K535" s="46"/>
      <c r="L535" s="46"/>
      <c r="M535" s="46"/>
      <c r="N535" s="46"/>
      <c r="O535" s="46"/>
      <c r="P535" s="46"/>
      <c r="Q535" s="46"/>
      <c r="R535" s="46"/>
      <c r="S535" s="46"/>
      <c r="T535" s="46"/>
      <c r="U535" s="46"/>
      <c r="V535" s="46"/>
      <c r="W535" s="46"/>
      <c r="X535" s="46"/>
      <c r="Y535" s="46"/>
      <c r="Z535" s="46"/>
      <c r="AA535" s="46"/>
    </row>
    <row r="536">
      <c r="A536" s="4"/>
      <c r="B536" s="46"/>
      <c r="C536" s="46"/>
      <c r="D536" s="46"/>
      <c r="E536" s="18"/>
      <c r="F536" s="18"/>
      <c r="G536" s="46"/>
      <c r="H536" s="46"/>
      <c r="I536" s="46"/>
      <c r="J536" s="46"/>
      <c r="K536" s="46"/>
      <c r="L536" s="46"/>
      <c r="M536" s="46"/>
      <c r="N536" s="46"/>
      <c r="O536" s="46"/>
      <c r="P536" s="46"/>
      <c r="Q536" s="46"/>
      <c r="R536" s="46"/>
      <c r="S536" s="46"/>
      <c r="T536" s="46"/>
      <c r="U536" s="46"/>
      <c r="V536" s="46"/>
      <c r="W536" s="46"/>
      <c r="X536" s="46"/>
      <c r="Y536" s="46"/>
      <c r="Z536" s="46"/>
      <c r="AA536" s="46"/>
    </row>
    <row r="537">
      <c r="A537" s="4"/>
      <c r="B537" s="46"/>
      <c r="C537" s="46"/>
      <c r="D537" s="46"/>
      <c r="E537" s="18"/>
      <c r="F537" s="18"/>
      <c r="G537" s="46"/>
      <c r="H537" s="46"/>
      <c r="I537" s="46"/>
      <c r="J537" s="46"/>
      <c r="K537" s="46"/>
      <c r="L537" s="46"/>
      <c r="M537" s="46"/>
      <c r="N537" s="46"/>
      <c r="O537" s="46"/>
      <c r="P537" s="46"/>
      <c r="Q537" s="46"/>
      <c r="R537" s="46"/>
      <c r="S537" s="46"/>
      <c r="T537" s="46"/>
      <c r="U537" s="46"/>
      <c r="V537" s="46"/>
      <c r="W537" s="46"/>
      <c r="X537" s="46"/>
      <c r="Y537" s="46"/>
      <c r="Z537" s="46"/>
      <c r="AA537" s="46"/>
    </row>
    <row r="538">
      <c r="A538" s="4"/>
      <c r="B538" s="46"/>
      <c r="C538" s="46"/>
      <c r="D538" s="46"/>
      <c r="E538" s="18"/>
      <c r="F538" s="18"/>
      <c r="G538" s="46"/>
      <c r="H538" s="46"/>
      <c r="I538" s="46"/>
      <c r="J538" s="46"/>
      <c r="K538" s="46"/>
      <c r="L538" s="46"/>
      <c r="M538" s="46"/>
      <c r="N538" s="46"/>
      <c r="O538" s="46"/>
      <c r="P538" s="46"/>
      <c r="Q538" s="46"/>
      <c r="R538" s="46"/>
      <c r="S538" s="46"/>
      <c r="T538" s="46"/>
      <c r="U538" s="46"/>
      <c r="V538" s="46"/>
      <c r="W538" s="46"/>
      <c r="X538" s="46"/>
      <c r="Y538" s="46"/>
      <c r="Z538" s="46"/>
      <c r="AA538" s="46"/>
    </row>
    <row r="539">
      <c r="A539" s="4"/>
      <c r="B539" s="46"/>
      <c r="C539" s="46"/>
      <c r="D539" s="46"/>
      <c r="E539" s="18"/>
      <c r="F539" s="18"/>
      <c r="G539" s="46"/>
      <c r="H539" s="46"/>
      <c r="I539" s="46"/>
      <c r="J539" s="46"/>
      <c r="K539" s="46"/>
      <c r="L539" s="46"/>
      <c r="M539" s="46"/>
      <c r="N539" s="46"/>
      <c r="O539" s="46"/>
      <c r="P539" s="46"/>
      <c r="Q539" s="46"/>
      <c r="R539" s="46"/>
      <c r="S539" s="46"/>
      <c r="T539" s="46"/>
      <c r="U539" s="46"/>
      <c r="V539" s="46"/>
      <c r="W539" s="46"/>
      <c r="X539" s="46"/>
      <c r="Y539" s="46"/>
      <c r="Z539" s="46"/>
      <c r="AA539" s="46"/>
    </row>
    <row r="540">
      <c r="A540" s="4"/>
      <c r="B540" s="46"/>
      <c r="C540" s="46"/>
      <c r="D540" s="46"/>
      <c r="E540" s="18"/>
      <c r="F540" s="18"/>
      <c r="G540" s="46"/>
      <c r="H540" s="46"/>
      <c r="I540" s="46"/>
      <c r="J540" s="46"/>
      <c r="K540" s="46"/>
      <c r="L540" s="46"/>
      <c r="M540" s="46"/>
      <c r="N540" s="46"/>
      <c r="O540" s="46"/>
      <c r="P540" s="46"/>
      <c r="Q540" s="46"/>
      <c r="R540" s="46"/>
      <c r="S540" s="46"/>
      <c r="T540" s="46"/>
      <c r="U540" s="46"/>
      <c r="V540" s="46"/>
      <c r="W540" s="46"/>
      <c r="X540" s="46"/>
      <c r="Y540" s="46"/>
      <c r="Z540" s="46"/>
      <c r="AA540" s="46"/>
    </row>
    <row r="541">
      <c r="A541" s="4"/>
      <c r="B541" s="46"/>
      <c r="C541" s="46"/>
      <c r="D541" s="46"/>
      <c r="E541" s="18"/>
      <c r="F541" s="18"/>
      <c r="G541" s="46"/>
      <c r="H541" s="46"/>
      <c r="I541" s="46"/>
      <c r="J541" s="46"/>
      <c r="K541" s="46"/>
      <c r="L541" s="46"/>
      <c r="M541" s="46"/>
      <c r="N541" s="46"/>
      <c r="O541" s="46"/>
      <c r="P541" s="46"/>
      <c r="Q541" s="46"/>
      <c r="R541" s="46"/>
      <c r="S541" s="46"/>
      <c r="T541" s="46"/>
      <c r="U541" s="46"/>
      <c r="V541" s="46"/>
      <c r="W541" s="46"/>
      <c r="X541" s="46"/>
      <c r="Y541" s="46"/>
      <c r="Z541" s="46"/>
      <c r="AA541" s="46"/>
    </row>
    <row r="542">
      <c r="A542" s="4"/>
      <c r="B542" s="46"/>
      <c r="C542" s="46"/>
      <c r="D542" s="46"/>
      <c r="E542" s="18"/>
      <c r="F542" s="18"/>
      <c r="G542" s="46"/>
      <c r="H542" s="46"/>
      <c r="I542" s="46"/>
      <c r="J542" s="46"/>
      <c r="K542" s="46"/>
      <c r="L542" s="46"/>
      <c r="M542" s="46"/>
      <c r="N542" s="46"/>
      <c r="O542" s="46"/>
      <c r="P542" s="46"/>
      <c r="Q542" s="46"/>
      <c r="R542" s="46"/>
      <c r="S542" s="46"/>
      <c r="T542" s="46"/>
      <c r="U542" s="46"/>
      <c r="V542" s="46"/>
      <c r="W542" s="46"/>
      <c r="X542" s="46"/>
      <c r="Y542" s="46"/>
      <c r="Z542" s="46"/>
      <c r="AA542" s="46"/>
    </row>
    <row r="543">
      <c r="A543" s="4"/>
      <c r="B543" s="46"/>
      <c r="C543" s="46"/>
      <c r="D543" s="46"/>
      <c r="E543" s="18"/>
      <c r="F543" s="18"/>
      <c r="G543" s="46"/>
      <c r="H543" s="46"/>
      <c r="I543" s="46"/>
      <c r="J543" s="46"/>
      <c r="K543" s="46"/>
      <c r="L543" s="46"/>
      <c r="M543" s="46"/>
      <c r="N543" s="46"/>
      <c r="O543" s="46"/>
      <c r="P543" s="46"/>
      <c r="Q543" s="46"/>
      <c r="R543" s="46"/>
      <c r="S543" s="46"/>
      <c r="T543" s="46"/>
      <c r="U543" s="46"/>
      <c r="V543" s="46"/>
      <c r="W543" s="46"/>
      <c r="X543" s="46"/>
      <c r="Y543" s="46"/>
      <c r="Z543" s="46"/>
      <c r="AA543" s="46"/>
    </row>
    <row r="544">
      <c r="A544" s="4"/>
      <c r="B544" s="46"/>
      <c r="C544" s="46"/>
      <c r="D544" s="46"/>
      <c r="E544" s="18"/>
      <c r="F544" s="18"/>
      <c r="G544" s="46"/>
      <c r="H544" s="46"/>
      <c r="I544" s="46"/>
      <c r="J544" s="46"/>
      <c r="K544" s="46"/>
      <c r="L544" s="46"/>
      <c r="M544" s="46"/>
      <c r="N544" s="46"/>
      <c r="O544" s="46"/>
      <c r="P544" s="46"/>
      <c r="Q544" s="46"/>
      <c r="R544" s="46"/>
      <c r="S544" s="46"/>
      <c r="T544" s="46"/>
      <c r="U544" s="46"/>
      <c r="V544" s="46"/>
      <c r="W544" s="46"/>
      <c r="X544" s="46"/>
      <c r="Y544" s="46"/>
      <c r="Z544" s="46"/>
      <c r="AA544" s="46"/>
    </row>
    <row r="545">
      <c r="A545" s="4"/>
      <c r="B545" s="46"/>
      <c r="C545" s="46"/>
      <c r="D545" s="46"/>
      <c r="E545" s="18"/>
      <c r="F545" s="18"/>
      <c r="G545" s="46"/>
      <c r="H545" s="46"/>
      <c r="I545" s="46"/>
      <c r="J545" s="46"/>
      <c r="K545" s="46"/>
      <c r="L545" s="46"/>
      <c r="M545" s="46"/>
      <c r="N545" s="46"/>
      <c r="O545" s="46"/>
      <c r="P545" s="46"/>
      <c r="Q545" s="46"/>
      <c r="R545" s="46"/>
      <c r="S545" s="46"/>
      <c r="T545" s="46"/>
      <c r="U545" s="46"/>
      <c r="V545" s="46"/>
      <c r="W545" s="46"/>
      <c r="X545" s="46"/>
      <c r="Y545" s="46"/>
      <c r="Z545" s="46"/>
      <c r="AA545" s="46"/>
    </row>
    <row r="546">
      <c r="A546" s="4"/>
      <c r="B546" s="46"/>
      <c r="C546" s="46"/>
      <c r="D546" s="46"/>
      <c r="E546" s="18"/>
      <c r="F546" s="18"/>
      <c r="G546" s="46"/>
      <c r="H546" s="46"/>
      <c r="I546" s="46"/>
      <c r="J546" s="46"/>
      <c r="K546" s="46"/>
      <c r="L546" s="46"/>
      <c r="M546" s="46"/>
      <c r="N546" s="46"/>
      <c r="O546" s="46"/>
      <c r="P546" s="46"/>
      <c r="Q546" s="46"/>
      <c r="R546" s="46"/>
      <c r="S546" s="46"/>
      <c r="T546" s="46"/>
      <c r="U546" s="46"/>
      <c r="V546" s="46"/>
      <c r="W546" s="46"/>
      <c r="X546" s="46"/>
      <c r="Y546" s="46"/>
      <c r="Z546" s="46"/>
      <c r="AA546" s="46"/>
    </row>
    <row r="547">
      <c r="A547" s="4"/>
      <c r="B547" s="46"/>
      <c r="C547" s="46"/>
      <c r="D547" s="46"/>
      <c r="E547" s="18"/>
      <c r="F547" s="18"/>
      <c r="G547" s="46"/>
      <c r="H547" s="46"/>
      <c r="I547" s="46"/>
      <c r="J547" s="46"/>
      <c r="K547" s="46"/>
      <c r="L547" s="46"/>
      <c r="M547" s="46"/>
      <c r="N547" s="46"/>
      <c r="O547" s="46"/>
      <c r="P547" s="46"/>
      <c r="Q547" s="46"/>
      <c r="R547" s="46"/>
      <c r="S547" s="46"/>
      <c r="T547" s="46"/>
      <c r="U547" s="46"/>
      <c r="V547" s="46"/>
      <c r="W547" s="46"/>
      <c r="X547" s="46"/>
      <c r="Y547" s="46"/>
      <c r="Z547" s="46"/>
      <c r="AA547" s="46"/>
    </row>
    <row r="548">
      <c r="A548" s="4"/>
      <c r="B548" s="46"/>
      <c r="C548" s="46"/>
      <c r="D548" s="46"/>
      <c r="E548" s="18"/>
      <c r="F548" s="18"/>
      <c r="G548" s="46"/>
      <c r="H548" s="46"/>
      <c r="I548" s="46"/>
      <c r="J548" s="46"/>
      <c r="K548" s="46"/>
      <c r="L548" s="46"/>
      <c r="M548" s="46"/>
      <c r="N548" s="46"/>
      <c r="O548" s="46"/>
      <c r="P548" s="46"/>
      <c r="Q548" s="46"/>
      <c r="R548" s="46"/>
      <c r="S548" s="46"/>
      <c r="T548" s="46"/>
      <c r="U548" s="46"/>
      <c r="V548" s="46"/>
      <c r="W548" s="46"/>
      <c r="X548" s="46"/>
      <c r="Y548" s="46"/>
      <c r="Z548" s="46"/>
      <c r="AA548" s="46"/>
    </row>
    <row r="549">
      <c r="A549" s="4"/>
      <c r="B549" s="46"/>
      <c r="C549" s="46"/>
      <c r="D549" s="46"/>
      <c r="E549" s="18"/>
      <c r="F549" s="18"/>
      <c r="G549" s="46"/>
      <c r="H549" s="46"/>
      <c r="I549" s="46"/>
      <c r="J549" s="46"/>
      <c r="K549" s="46"/>
      <c r="L549" s="46"/>
      <c r="M549" s="46"/>
      <c r="N549" s="46"/>
      <c r="O549" s="46"/>
      <c r="P549" s="46"/>
      <c r="Q549" s="46"/>
      <c r="R549" s="46"/>
      <c r="S549" s="46"/>
      <c r="T549" s="46"/>
      <c r="U549" s="46"/>
      <c r="V549" s="46"/>
      <c r="W549" s="46"/>
      <c r="X549" s="46"/>
      <c r="Y549" s="46"/>
      <c r="Z549" s="46"/>
      <c r="AA549" s="46"/>
    </row>
    <row r="550">
      <c r="A550" s="4"/>
      <c r="B550" s="46"/>
      <c r="C550" s="46"/>
      <c r="D550" s="46"/>
      <c r="E550" s="18"/>
      <c r="F550" s="18"/>
      <c r="G550" s="46"/>
      <c r="H550" s="46"/>
      <c r="I550" s="46"/>
      <c r="J550" s="46"/>
      <c r="K550" s="46"/>
      <c r="L550" s="46"/>
      <c r="M550" s="46"/>
      <c r="N550" s="46"/>
      <c r="O550" s="46"/>
      <c r="P550" s="46"/>
      <c r="Q550" s="46"/>
      <c r="R550" s="46"/>
      <c r="S550" s="46"/>
      <c r="T550" s="46"/>
      <c r="U550" s="46"/>
      <c r="V550" s="46"/>
      <c r="W550" s="46"/>
      <c r="X550" s="46"/>
      <c r="Y550" s="46"/>
      <c r="Z550" s="46"/>
      <c r="AA550" s="46"/>
    </row>
    <row r="551">
      <c r="A551" s="4"/>
      <c r="B551" s="46"/>
      <c r="C551" s="46"/>
      <c r="D551" s="46"/>
      <c r="E551" s="18"/>
      <c r="F551" s="18"/>
      <c r="G551" s="46"/>
      <c r="H551" s="46"/>
      <c r="I551" s="46"/>
      <c r="J551" s="46"/>
      <c r="K551" s="46"/>
      <c r="L551" s="46"/>
      <c r="M551" s="46"/>
      <c r="N551" s="46"/>
      <c r="O551" s="46"/>
      <c r="P551" s="46"/>
      <c r="Q551" s="46"/>
      <c r="R551" s="46"/>
      <c r="S551" s="46"/>
      <c r="T551" s="46"/>
      <c r="U551" s="46"/>
      <c r="V551" s="46"/>
      <c r="W551" s="46"/>
      <c r="X551" s="46"/>
      <c r="Y551" s="46"/>
      <c r="Z551" s="46"/>
      <c r="AA551" s="46"/>
    </row>
    <row r="552">
      <c r="A552" s="4"/>
      <c r="B552" s="46"/>
      <c r="C552" s="46"/>
      <c r="D552" s="46"/>
      <c r="E552" s="18"/>
      <c r="F552" s="18"/>
      <c r="G552" s="46"/>
      <c r="H552" s="46"/>
      <c r="I552" s="46"/>
      <c r="J552" s="46"/>
      <c r="K552" s="46"/>
      <c r="L552" s="46"/>
      <c r="M552" s="46"/>
      <c r="N552" s="46"/>
      <c r="O552" s="46"/>
      <c r="P552" s="46"/>
      <c r="Q552" s="46"/>
      <c r="R552" s="46"/>
      <c r="S552" s="46"/>
      <c r="T552" s="46"/>
      <c r="U552" s="46"/>
      <c r="V552" s="46"/>
      <c r="W552" s="46"/>
      <c r="X552" s="46"/>
      <c r="Y552" s="46"/>
      <c r="Z552" s="46"/>
      <c r="AA552" s="46"/>
    </row>
    <row r="553">
      <c r="A553" s="4"/>
      <c r="B553" s="46"/>
      <c r="C553" s="46"/>
      <c r="D553" s="46"/>
      <c r="E553" s="18"/>
      <c r="F553" s="18"/>
      <c r="G553" s="46"/>
      <c r="H553" s="46"/>
      <c r="I553" s="46"/>
      <c r="J553" s="46"/>
      <c r="K553" s="46"/>
      <c r="L553" s="46"/>
      <c r="M553" s="46"/>
      <c r="N553" s="46"/>
      <c r="O553" s="46"/>
      <c r="P553" s="46"/>
      <c r="Q553" s="46"/>
      <c r="R553" s="46"/>
      <c r="S553" s="46"/>
      <c r="T553" s="46"/>
      <c r="U553" s="46"/>
      <c r="V553" s="46"/>
      <c r="W553" s="46"/>
      <c r="X553" s="46"/>
      <c r="Y553" s="46"/>
      <c r="Z553" s="46"/>
      <c r="AA553" s="46"/>
    </row>
    <row r="554">
      <c r="A554" s="4"/>
      <c r="B554" s="46"/>
      <c r="C554" s="46"/>
      <c r="D554" s="46"/>
      <c r="E554" s="18"/>
      <c r="F554" s="18"/>
      <c r="G554" s="46"/>
      <c r="H554" s="46"/>
      <c r="I554" s="46"/>
      <c r="J554" s="46"/>
      <c r="K554" s="46"/>
      <c r="L554" s="46"/>
      <c r="M554" s="46"/>
      <c r="N554" s="46"/>
      <c r="O554" s="46"/>
      <c r="P554" s="46"/>
      <c r="Q554" s="46"/>
      <c r="R554" s="46"/>
      <c r="S554" s="46"/>
      <c r="T554" s="46"/>
      <c r="U554" s="46"/>
      <c r="V554" s="46"/>
      <c r="W554" s="46"/>
      <c r="X554" s="46"/>
      <c r="Y554" s="46"/>
      <c r="Z554" s="46"/>
      <c r="AA554" s="46"/>
    </row>
    <row r="555">
      <c r="A555" s="4"/>
      <c r="B555" s="46"/>
      <c r="C555" s="46"/>
      <c r="D555" s="46"/>
      <c r="E555" s="18"/>
      <c r="F555" s="18"/>
      <c r="G555" s="46"/>
      <c r="H555" s="46"/>
      <c r="I555" s="46"/>
      <c r="J555" s="46"/>
      <c r="K555" s="46"/>
      <c r="L555" s="46"/>
      <c r="M555" s="46"/>
      <c r="N555" s="46"/>
      <c r="O555" s="46"/>
      <c r="P555" s="46"/>
      <c r="Q555" s="46"/>
      <c r="R555" s="46"/>
      <c r="S555" s="46"/>
      <c r="T555" s="46"/>
      <c r="U555" s="46"/>
      <c r="V555" s="46"/>
      <c r="W555" s="46"/>
      <c r="X555" s="46"/>
      <c r="Y555" s="46"/>
      <c r="Z555" s="46"/>
      <c r="AA555" s="46"/>
    </row>
    <row r="556">
      <c r="A556" s="4"/>
      <c r="B556" s="46"/>
      <c r="C556" s="46"/>
      <c r="D556" s="46"/>
      <c r="E556" s="18"/>
      <c r="F556" s="18"/>
      <c r="G556" s="46"/>
      <c r="H556" s="46"/>
      <c r="I556" s="46"/>
      <c r="J556" s="46"/>
      <c r="K556" s="46"/>
      <c r="L556" s="46"/>
      <c r="M556" s="46"/>
      <c r="N556" s="46"/>
      <c r="O556" s="46"/>
      <c r="P556" s="46"/>
      <c r="Q556" s="46"/>
      <c r="R556" s="46"/>
      <c r="S556" s="46"/>
      <c r="T556" s="46"/>
      <c r="U556" s="46"/>
      <c r="V556" s="46"/>
      <c r="W556" s="46"/>
      <c r="X556" s="46"/>
      <c r="Y556" s="46"/>
      <c r="Z556" s="46"/>
      <c r="AA556" s="46"/>
    </row>
    <row r="557">
      <c r="A557" s="4"/>
      <c r="B557" s="46"/>
      <c r="C557" s="46"/>
      <c r="D557" s="46"/>
      <c r="E557" s="18"/>
      <c r="F557" s="18"/>
      <c r="G557" s="46"/>
      <c r="H557" s="46"/>
      <c r="I557" s="46"/>
      <c r="J557" s="46"/>
      <c r="K557" s="46"/>
      <c r="L557" s="46"/>
      <c r="M557" s="46"/>
      <c r="N557" s="46"/>
      <c r="O557" s="46"/>
      <c r="P557" s="46"/>
      <c r="Q557" s="46"/>
      <c r="R557" s="46"/>
      <c r="S557" s="46"/>
      <c r="T557" s="46"/>
      <c r="U557" s="46"/>
      <c r="V557" s="46"/>
      <c r="W557" s="46"/>
      <c r="X557" s="46"/>
      <c r="Y557" s="46"/>
      <c r="Z557" s="46"/>
      <c r="AA557" s="46"/>
    </row>
    <row r="558">
      <c r="A558" s="4"/>
      <c r="B558" s="46"/>
      <c r="C558" s="46"/>
      <c r="D558" s="46"/>
      <c r="E558" s="18"/>
      <c r="F558" s="18"/>
      <c r="G558" s="46"/>
      <c r="H558" s="46"/>
      <c r="I558" s="46"/>
      <c r="J558" s="46"/>
      <c r="K558" s="46"/>
      <c r="L558" s="46"/>
      <c r="M558" s="46"/>
      <c r="N558" s="46"/>
      <c r="O558" s="46"/>
      <c r="P558" s="46"/>
      <c r="Q558" s="46"/>
      <c r="R558" s="46"/>
      <c r="S558" s="46"/>
      <c r="T558" s="46"/>
      <c r="U558" s="46"/>
      <c r="V558" s="46"/>
      <c r="W558" s="46"/>
      <c r="X558" s="46"/>
      <c r="Y558" s="46"/>
      <c r="Z558" s="46"/>
      <c r="AA558" s="46"/>
    </row>
    <row r="559">
      <c r="A559" s="4"/>
      <c r="B559" s="46"/>
      <c r="C559" s="46"/>
      <c r="D559" s="46"/>
      <c r="E559" s="18"/>
      <c r="F559" s="18"/>
      <c r="G559" s="46"/>
      <c r="H559" s="46"/>
      <c r="I559" s="46"/>
      <c r="J559" s="46"/>
      <c r="K559" s="46"/>
      <c r="L559" s="46"/>
      <c r="M559" s="46"/>
      <c r="N559" s="46"/>
      <c r="O559" s="46"/>
      <c r="P559" s="46"/>
      <c r="Q559" s="46"/>
      <c r="R559" s="46"/>
      <c r="S559" s="46"/>
      <c r="T559" s="46"/>
      <c r="U559" s="46"/>
      <c r="V559" s="46"/>
      <c r="W559" s="46"/>
      <c r="X559" s="46"/>
      <c r="Y559" s="46"/>
      <c r="Z559" s="46"/>
      <c r="AA559" s="46"/>
    </row>
    <row r="560">
      <c r="A560" s="4"/>
      <c r="B560" s="46"/>
      <c r="C560" s="46"/>
      <c r="D560" s="46"/>
      <c r="E560" s="18"/>
      <c r="F560" s="18"/>
      <c r="G560" s="46"/>
      <c r="H560" s="46"/>
      <c r="I560" s="46"/>
      <c r="J560" s="46"/>
      <c r="K560" s="46"/>
      <c r="L560" s="46"/>
      <c r="M560" s="46"/>
      <c r="N560" s="46"/>
      <c r="O560" s="46"/>
      <c r="P560" s="46"/>
      <c r="Q560" s="46"/>
      <c r="R560" s="46"/>
      <c r="S560" s="46"/>
      <c r="T560" s="46"/>
      <c r="U560" s="46"/>
      <c r="V560" s="46"/>
      <c r="W560" s="46"/>
      <c r="X560" s="46"/>
      <c r="Y560" s="46"/>
      <c r="Z560" s="46"/>
      <c r="AA560" s="46"/>
    </row>
    <row r="561">
      <c r="A561" s="4"/>
      <c r="B561" s="46"/>
      <c r="C561" s="46"/>
      <c r="D561" s="46"/>
      <c r="E561" s="18"/>
      <c r="F561" s="18"/>
      <c r="G561" s="46"/>
      <c r="H561" s="46"/>
      <c r="I561" s="46"/>
      <c r="J561" s="46"/>
      <c r="K561" s="46"/>
      <c r="L561" s="46"/>
      <c r="M561" s="46"/>
      <c r="N561" s="46"/>
      <c r="O561" s="46"/>
      <c r="P561" s="46"/>
      <c r="Q561" s="46"/>
      <c r="R561" s="46"/>
      <c r="S561" s="46"/>
      <c r="T561" s="46"/>
      <c r="U561" s="46"/>
      <c r="V561" s="46"/>
      <c r="W561" s="46"/>
      <c r="X561" s="46"/>
      <c r="Y561" s="46"/>
      <c r="Z561" s="46"/>
      <c r="AA561" s="46"/>
    </row>
    <row r="562">
      <c r="A562" s="4"/>
      <c r="B562" s="46"/>
      <c r="C562" s="46"/>
      <c r="D562" s="46"/>
      <c r="E562" s="18"/>
      <c r="F562" s="18"/>
      <c r="G562" s="46"/>
      <c r="H562" s="46"/>
      <c r="I562" s="46"/>
      <c r="J562" s="46"/>
      <c r="K562" s="46"/>
      <c r="L562" s="46"/>
      <c r="M562" s="46"/>
      <c r="N562" s="46"/>
      <c r="O562" s="46"/>
      <c r="P562" s="46"/>
      <c r="Q562" s="46"/>
      <c r="R562" s="46"/>
      <c r="S562" s="46"/>
      <c r="T562" s="46"/>
      <c r="U562" s="46"/>
      <c r="V562" s="46"/>
      <c r="W562" s="46"/>
      <c r="X562" s="46"/>
      <c r="Y562" s="46"/>
      <c r="Z562" s="46"/>
      <c r="AA562" s="46"/>
    </row>
    <row r="563">
      <c r="A563" s="4"/>
      <c r="B563" s="46"/>
      <c r="C563" s="46"/>
      <c r="D563" s="46"/>
      <c r="E563" s="18"/>
      <c r="F563" s="18"/>
      <c r="G563" s="46"/>
      <c r="H563" s="46"/>
      <c r="I563" s="46"/>
      <c r="J563" s="46"/>
      <c r="K563" s="46"/>
      <c r="L563" s="46"/>
      <c r="M563" s="46"/>
      <c r="N563" s="46"/>
      <c r="O563" s="46"/>
      <c r="P563" s="46"/>
      <c r="Q563" s="46"/>
      <c r="R563" s="46"/>
      <c r="S563" s="46"/>
      <c r="T563" s="46"/>
      <c r="U563" s="46"/>
      <c r="V563" s="46"/>
      <c r="W563" s="46"/>
      <c r="X563" s="46"/>
      <c r="Y563" s="46"/>
      <c r="Z563" s="46"/>
      <c r="AA563" s="46"/>
    </row>
    <row r="564">
      <c r="A564" s="4"/>
      <c r="B564" s="46"/>
      <c r="C564" s="46"/>
      <c r="D564" s="46"/>
      <c r="E564" s="18"/>
      <c r="F564" s="18"/>
      <c r="G564" s="46"/>
      <c r="H564" s="46"/>
      <c r="I564" s="46"/>
      <c r="J564" s="46"/>
      <c r="K564" s="46"/>
      <c r="L564" s="46"/>
      <c r="M564" s="46"/>
      <c r="N564" s="46"/>
      <c r="O564" s="46"/>
      <c r="P564" s="46"/>
      <c r="Q564" s="46"/>
      <c r="R564" s="46"/>
      <c r="S564" s="46"/>
      <c r="T564" s="46"/>
      <c r="U564" s="46"/>
      <c r="V564" s="46"/>
      <c r="W564" s="46"/>
      <c r="X564" s="46"/>
      <c r="Y564" s="46"/>
      <c r="Z564" s="46"/>
      <c r="AA564" s="46"/>
    </row>
    <row r="565">
      <c r="A565" s="4"/>
      <c r="B565" s="46"/>
      <c r="C565" s="46"/>
      <c r="D565" s="46"/>
      <c r="E565" s="18"/>
      <c r="F565" s="18"/>
      <c r="G565" s="46"/>
      <c r="H565" s="46"/>
      <c r="I565" s="46"/>
      <c r="J565" s="46"/>
      <c r="K565" s="46"/>
      <c r="L565" s="46"/>
      <c r="M565" s="46"/>
      <c r="N565" s="46"/>
      <c r="O565" s="46"/>
      <c r="P565" s="46"/>
      <c r="Q565" s="46"/>
      <c r="R565" s="46"/>
      <c r="S565" s="46"/>
      <c r="T565" s="46"/>
      <c r="U565" s="46"/>
      <c r="V565" s="46"/>
      <c r="W565" s="46"/>
      <c r="X565" s="46"/>
      <c r="Y565" s="46"/>
      <c r="Z565" s="46"/>
      <c r="AA565" s="46"/>
    </row>
    <row r="566">
      <c r="A566" s="4"/>
      <c r="B566" s="46"/>
      <c r="C566" s="46"/>
      <c r="D566" s="46"/>
      <c r="E566" s="18"/>
      <c r="F566" s="18"/>
      <c r="G566" s="46"/>
      <c r="H566" s="46"/>
      <c r="I566" s="46"/>
      <c r="J566" s="46"/>
      <c r="K566" s="46"/>
      <c r="L566" s="46"/>
      <c r="M566" s="46"/>
      <c r="N566" s="46"/>
      <c r="O566" s="46"/>
      <c r="P566" s="46"/>
      <c r="Q566" s="46"/>
      <c r="R566" s="46"/>
      <c r="S566" s="46"/>
      <c r="T566" s="46"/>
      <c r="U566" s="46"/>
      <c r="V566" s="46"/>
      <c r="W566" s="46"/>
      <c r="X566" s="46"/>
      <c r="Y566" s="46"/>
      <c r="Z566" s="46"/>
      <c r="AA566" s="46"/>
    </row>
    <row r="567">
      <c r="A567" s="4"/>
      <c r="B567" s="46"/>
      <c r="C567" s="46"/>
      <c r="D567" s="46"/>
      <c r="E567" s="18"/>
      <c r="F567" s="18"/>
      <c r="G567" s="46"/>
      <c r="H567" s="46"/>
      <c r="I567" s="46"/>
      <c r="J567" s="46"/>
      <c r="K567" s="46"/>
      <c r="L567" s="46"/>
      <c r="M567" s="46"/>
      <c r="N567" s="46"/>
      <c r="O567" s="46"/>
      <c r="P567" s="46"/>
      <c r="Q567" s="46"/>
      <c r="R567" s="46"/>
      <c r="S567" s="46"/>
      <c r="T567" s="46"/>
      <c r="U567" s="46"/>
      <c r="V567" s="46"/>
      <c r="W567" s="46"/>
      <c r="X567" s="46"/>
      <c r="Y567" s="46"/>
      <c r="Z567" s="46"/>
      <c r="AA567" s="46"/>
    </row>
    <row r="568">
      <c r="A568" s="4"/>
      <c r="B568" s="46"/>
      <c r="C568" s="46"/>
      <c r="D568" s="46"/>
      <c r="E568" s="18"/>
      <c r="F568" s="18"/>
      <c r="G568" s="46"/>
      <c r="H568" s="46"/>
      <c r="I568" s="46"/>
      <c r="J568" s="46"/>
      <c r="K568" s="46"/>
      <c r="L568" s="46"/>
      <c r="M568" s="46"/>
      <c r="N568" s="46"/>
      <c r="O568" s="46"/>
      <c r="P568" s="46"/>
      <c r="Q568" s="46"/>
      <c r="R568" s="46"/>
      <c r="S568" s="46"/>
      <c r="T568" s="46"/>
      <c r="U568" s="46"/>
      <c r="V568" s="46"/>
      <c r="W568" s="46"/>
      <c r="X568" s="46"/>
      <c r="Y568" s="46"/>
      <c r="Z568" s="46"/>
      <c r="AA568" s="46"/>
    </row>
    <row r="569">
      <c r="A569" s="4"/>
      <c r="B569" s="46"/>
      <c r="C569" s="46"/>
      <c r="D569" s="46"/>
      <c r="E569" s="18"/>
      <c r="F569" s="18"/>
      <c r="G569" s="46"/>
      <c r="H569" s="46"/>
      <c r="I569" s="46"/>
      <c r="J569" s="46"/>
      <c r="K569" s="46"/>
      <c r="L569" s="46"/>
      <c r="M569" s="46"/>
      <c r="N569" s="46"/>
      <c r="O569" s="46"/>
      <c r="P569" s="46"/>
      <c r="Q569" s="46"/>
      <c r="R569" s="46"/>
      <c r="S569" s="46"/>
      <c r="T569" s="46"/>
      <c r="U569" s="46"/>
      <c r="V569" s="46"/>
      <c r="W569" s="46"/>
      <c r="X569" s="46"/>
      <c r="Y569" s="46"/>
      <c r="Z569" s="46"/>
      <c r="AA569" s="46"/>
    </row>
    <row r="570">
      <c r="A570" s="4"/>
      <c r="B570" s="46"/>
      <c r="C570" s="46"/>
      <c r="D570" s="46"/>
      <c r="E570" s="18"/>
      <c r="F570" s="18"/>
      <c r="G570" s="46"/>
      <c r="H570" s="46"/>
      <c r="I570" s="46"/>
      <c r="J570" s="46"/>
      <c r="K570" s="46"/>
      <c r="L570" s="46"/>
      <c r="M570" s="46"/>
      <c r="N570" s="46"/>
      <c r="O570" s="46"/>
      <c r="P570" s="46"/>
      <c r="Q570" s="46"/>
      <c r="R570" s="46"/>
      <c r="S570" s="46"/>
      <c r="T570" s="46"/>
      <c r="U570" s="46"/>
      <c r="V570" s="46"/>
      <c r="W570" s="46"/>
      <c r="X570" s="46"/>
      <c r="Y570" s="46"/>
      <c r="Z570" s="46"/>
      <c r="AA570" s="46"/>
    </row>
    <row r="571">
      <c r="A571" s="4"/>
      <c r="B571" s="46"/>
      <c r="C571" s="46"/>
      <c r="D571" s="46"/>
      <c r="E571" s="18"/>
      <c r="F571" s="18"/>
      <c r="G571" s="46"/>
      <c r="H571" s="46"/>
      <c r="I571" s="46"/>
      <c r="J571" s="46"/>
      <c r="K571" s="46"/>
      <c r="L571" s="46"/>
      <c r="M571" s="46"/>
      <c r="N571" s="46"/>
      <c r="O571" s="46"/>
      <c r="P571" s="46"/>
      <c r="Q571" s="46"/>
      <c r="R571" s="46"/>
      <c r="S571" s="46"/>
      <c r="T571" s="46"/>
      <c r="U571" s="46"/>
      <c r="V571" s="46"/>
      <c r="W571" s="46"/>
      <c r="X571" s="46"/>
      <c r="Y571" s="46"/>
      <c r="Z571" s="46"/>
      <c r="AA571" s="46"/>
    </row>
    <row r="572">
      <c r="A572" s="4"/>
      <c r="B572" s="46"/>
      <c r="C572" s="46"/>
      <c r="D572" s="46"/>
      <c r="E572" s="18"/>
      <c r="F572" s="18"/>
      <c r="G572" s="46"/>
      <c r="H572" s="46"/>
      <c r="I572" s="46"/>
      <c r="J572" s="46"/>
      <c r="K572" s="46"/>
      <c r="L572" s="46"/>
      <c r="M572" s="46"/>
      <c r="N572" s="46"/>
      <c r="O572" s="46"/>
      <c r="P572" s="46"/>
      <c r="Q572" s="46"/>
      <c r="R572" s="46"/>
      <c r="S572" s="46"/>
      <c r="T572" s="46"/>
      <c r="U572" s="46"/>
      <c r="V572" s="46"/>
      <c r="W572" s="46"/>
      <c r="X572" s="46"/>
      <c r="Y572" s="46"/>
      <c r="Z572" s="46"/>
      <c r="AA572" s="46"/>
    </row>
    <row r="573">
      <c r="A573" s="4"/>
      <c r="B573" s="46"/>
      <c r="C573" s="46"/>
      <c r="D573" s="46"/>
      <c r="E573" s="18"/>
      <c r="F573" s="18"/>
      <c r="G573" s="46"/>
      <c r="H573" s="46"/>
      <c r="I573" s="46"/>
      <c r="J573" s="46"/>
      <c r="K573" s="46"/>
      <c r="L573" s="46"/>
      <c r="M573" s="46"/>
      <c r="N573" s="46"/>
      <c r="O573" s="46"/>
      <c r="P573" s="46"/>
      <c r="Q573" s="46"/>
      <c r="R573" s="46"/>
      <c r="S573" s="46"/>
      <c r="T573" s="46"/>
      <c r="U573" s="46"/>
      <c r="V573" s="46"/>
      <c r="W573" s="46"/>
      <c r="X573" s="46"/>
      <c r="Y573" s="46"/>
      <c r="Z573" s="46"/>
      <c r="AA573" s="46"/>
    </row>
    <row r="574">
      <c r="A574" s="4"/>
      <c r="B574" s="46"/>
      <c r="C574" s="46"/>
      <c r="D574" s="46"/>
      <c r="E574" s="18"/>
      <c r="F574" s="18"/>
      <c r="G574" s="46"/>
      <c r="H574" s="46"/>
      <c r="I574" s="46"/>
      <c r="J574" s="46"/>
      <c r="K574" s="46"/>
      <c r="L574" s="46"/>
      <c r="M574" s="46"/>
      <c r="N574" s="46"/>
      <c r="O574" s="46"/>
      <c r="P574" s="46"/>
      <c r="Q574" s="46"/>
      <c r="R574" s="46"/>
      <c r="S574" s="46"/>
      <c r="T574" s="46"/>
      <c r="U574" s="46"/>
      <c r="V574" s="46"/>
      <c r="W574" s="46"/>
      <c r="X574" s="46"/>
      <c r="Y574" s="46"/>
      <c r="Z574" s="46"/>
      <c r="AA574" s="46"/>
    </row>
    <row r="575">
      <c r="A575" s="4"/>
      <c r="B575" s="46"/>
      <c r="C575" s="46"/>
      <c r="D575" s="46"/>
      <c r="E575" s="18"/>
      <c r="F575" s="18"/>
      <c r="G575" s="46"/>
      <c r="H575" s="46"/>
      <c r="I575" s="46"/>
      <c r="J575" s="46"/>
      <c r="K575" s="46"/>
      <c r="L575" s="46"/>
      <c r="M575" s="46"/>
      <c r="N575" s="46"/>
      <c r="O575" s="46"/>
      <c r="P575" s="46"/>
      <c r="Q575" s="46"/>
      <c r="R575" s="46"/>
      <c r="S575" s="46"/>
      <c r="T575" s="46"/>
      <c r="U575" s="46"/>
      <c r="V575" s="46"/>
      <c r="W575" s="46"/>
      <c r="X575" s="46"/>
      <c r="Y575" s="46"/>
      <c r="Z575" s="46"/>
      <c r="AA575" s="46"/>
    </row>
    <row r="576">
      <c r="A576" s="4"/>
      <c r="B576" s="46"/>
      <c r="C576" s="46"/>
      <c r="D576" s="46"/>
      <c r="E576" s="18"/>
      <c r="F576" s="18"/>
      <c r="G576" s="46"/>
      <c r="H576" s="46"/>
      <c r="I576" s="46"/>
      <c r="J576" s="46"/>
      <c r="K576" s="46"/>
      <c r="L576" s="46"/>
      <c r="M576" s="46"/>
      <c r="N576" s="46"/>
      <c r="O576" s="46"/>
      <c r="P576" s="46"/>
      <c r="Q576" s="46"/>
      <c r="R576" s="46"/>
      <c r="S576" s="46"/>
      <c r="T576" s="46"/>
      <c r="U576" s="46"/>
      <c r="V576" s="46"/>
      <c r="W576" s="46"/>
      <c r="X576" s="46"/>
      <c r="Y576" s="46"/>
      <c r="Z576" s="46"/>
      <c r="AA576" s="46"/>
    </row>
    <row r="577">
      <c r="A577" s="4"/>
      <c r="B577" s="46"/>
      <c r="C577" s="46"/>
      <c r="D577" s="46"/>
      <c r="E577" s="18"/>
      <c r="F577" s="18"/>
      <c r="G577" s="46"/>
      <c r="H577" s="46"/>
      <c r="I577" s="46"/>
      <c r="J577" s="46"/>
      <c r="K577" s="46"/>
      <c r="L577" s="46"/>
      <c r="M577" s="46"/>
      <c r="N577" s="46"/>
      <c r="O577" s="46"/>
      <c r="P577" s="46"/>
      <c r="Q577" s="46"/>
      <c r="R577" s="46"/>
      <c r="S577" s="46"/>
      <c r="T577" s="46"/>
      <c r="U577" s="46"/>
      <c r="V577" s="46"/>
      <c r="W577" s="46"/>
      <c r="X577" s="46"/>
      <c r="Y577" s="46"/>
      <c r="Z577" s="46"/>
      <c r="AA577" s="46"/>
    </row>
    <row r="578">
      <c r="A578" s="4"/>
      <c r="B578" s="46"/>
      <c r="C578" s="46"/>
      <c r="D578" s="46"/>
      <c r="E578" s="18"/>
      <c r="F578" s="18"/>
      <c r="G578" s="46"/>
      <c r="H578" s="46"/>
      <c r="I578" s="46"/>
      <c r="J578" s="46"/>
      <c r="K578" s="46"/>
      <c r="L578" s="46"/>
      <c r="M578" s="46"/>
      <c r="N578" s="46"/>
      <c r="O578" s="46"/>
      <c r="P578" s="46"/>
      <c r="Q578" s="46"/>
      <c r="R578" s="46"/>
      <c r="S578" s="46"/>
      <c r="T578" s="46"/>
      <c r="U578" s="46"/>
      <c r="V578" s="46"/>
      <c r="W578" s="46"/>
      <c r="X578" s="46"/>
      <c r="Y578" s="46"/>
      <c r="Z578" s="46"/>
      <c r="AA578" s="46"/>
    </row>
    <row r="579">
      <c r="A579" s="4"/>
      <c r="B579" s="46"/>
      <c r="C579" s="46"/>
      <c r="D579" s="46"/>
      <c r="E579" s="18"/>
      <c r="F579" s="18"/>
      <c r="G579" s="46"/>
      <c r="H579" s="46"/>
      <c r="I579" s="46"/>
      <c r="J579" s="46"/>
      <c r="K579" s="46"/>
      <c r="L579" s="46"/>
      <c r="M579" s="46"/>
      <c r="N579" s="46"/>
      <c r="O579" s="46"/>
      <c r="P579" s="46"/>
      <c r="Q579" s="46"/>
      <c r="R579" s="46"/>
      <c r="S579" s="46"/>
      <c r="T579" s="46"/>
      <c r="U579" s="46"/>
      <c r="V579" s="46"/>
      <c r="W579" s="46"/>
      <c r="X579" s="46"/>
      <c r="Y579" s="46"/>
      <c r="Z579" s="46"/>
      <c r="AA579" s="46"/>
    </row>
    <row r="580">
      <c r="A580" s="4"/>
      <c r="B580" s="46"/>
      <c r="C580" s="46"/>
      <c r="D580" s="46"/>
      <c r="E580" s="18"/>
      <c r="F580" s="18"/>
      <c r="G580" s="46"/>
      <c r="H580" s="46"/>
      <c r="I580" s="46"/>
      <c r="J580" s="46"/>
      <c r="K580" s="46"/>
      <c r="L580" s="46"/>
      <c r="M580" s="46"/>
      <c r="N580" s="46"/>
      <c r="O580" s="46"/>
      <c r="P580" s="46"/>
      <c r="Q580" s="46"/>
      <c r="R580" s="46"/>
      <c r="S580" s="46"/>
      <c r="T580" s="46"/>
      <c r="U580" s="46"/>
      <c r="V580" s="46"/>
      <c r="W580" s="46"/>
      <c r="X580" s="46"/>
      <c r="Y580" s="46"/>
      <c r="Z580" s="46"/>
      <c r="AA580" s="46"/>
    </row>
    <row r="581">
      <c r="A581" s="4"/>
      <c r="B581" s="46"/>
      <c r="C581" s="46"/>
      <c r="D581" s="46"/>
      <c r="E581" s="18"/>
      <c r="F581" s="18"/>
      <c r="G581" s="46"/>
      <c r="H581" s="46"/>
      <c r="I581" s="46"/>
      <c r="J581" s="46"/>
      <c r="K581" s="46"/>
      <c r="L581" s="46"/>
      <c r="M581" s="46"/>
      <c r="N581" s="46"/>
      <c r="O581" s="46"/>
      <c r="P581" s="46"/>
      <c r="Q581" s="46"/>
      <c r="R581" s="46"/>
      <c r="S581" s="46"/>
      <c r="T581" s="46"/>
      <c r="U581" s="46"/>
      <c r="V581" s="46"/>
      <c r="W581" s="46"/>
      <c r="X581" s="46"/>
      <c r="Y581" s="46"/>
      <c r="Z581" s="46"/>
      <c r="AA581" s="46"/>
    </row>
    <row r="582">
      <c r="A582" s="4"/>
      <c r="B582" s="46"/>
      <c r="C582" s="46"/>
      <c r="D582" s="46"/>
      <c r="E582" s="18"/>
      <c r="F582" s="18"/>
      <c r="G582" s="46"/>
      <c r="H582" s="46"/>
      <c r="I582" s="46"/>
      <c r="J582" s="46"/>
      <c r="K582" s="46"/>
      <c r="L582" s="46"/>
      <c r="M582" s="46"/>
      <c r="N582" s="46"/>
      <c r="O582" s="46"/>
      <c r="P582" s="46"/>
      <c r="Q582" s="46"/>
      <c r="R582" s="46"/>
      <c r="S582" s="46"/>
      <c r="T582" s="46"/>
      <c r="U582" s="46"/>
      <c r="V582" s="46"/>
      <c r="W582" s="46"/>
      <c r="X582" s="46"/>
      <c r="Y582" s="46"/>
      <c r="Z582" s="46"/>
      <c r="AA582" s="46"/>
    </row>
    <row r="583">
      <c r="A583" s="4"/>
      <c r="B583" s="46"/>
      <c r="C583" s="46"/>
      <c r="D583" s="46"/>
      <c r="E583" s="18"/>
      <c r="F583" s="18"/>
      <c r="G583" s="46"/>
      <c r="H583" s="46"/>
      <c r="I583" s="46"/>
      <c r="J583" s="46"/>
      <c r="K583" s="46"/>
      <c r="L583" s="46"/>
      <c r="M583" s="46"/>
      <c r="N583" s="46"/>
      <c r="O583" s="46"/>
      <c r="P583" s="46"/>
      <c r="Q583" s="46"/>
      <c r="R583" s="46"/>
      <c r="S583" s="46"/>
      <c r="T583" s="46"/>
      <c r="U583" s="46"/>
      <c r="V583" s="46"/>
      <c r="W583" s="46"/>
      <c r="X583" s="46"/>
      <c r="Y583" s="46"/>
      <c r="Z583" s="46"/>
      <c r="AA583" s="46"/>
    </row>
    <row r="584">
      <c r="A584" s="4"/>
      <c r="B584" s="46"/>
      <c r="C584" s="46"/>
      <c r="D584" s="46"/>
      <c r="E584" s="18"/>
      <c r="F584" s="18"/>
      <c r="G584" s="46"/>
      <c r="H584" s="46"/>
      <c r="I584" s="46"/>
      <c r="J584" s="46"/>
      <c r="K584" s="46"/>
      <c r="L584" s="46"/>
      <c r="M584" s="46"/>
      <c r="N584" s="46"/>
      <c r="O584" s="46"/>
      <c r="P584" s="46"/>
      <c r="Q584" s="46"/>
      <c r="R584" s="46"/>
      <c r="S584" s="46"/>
      <c r="T584" s="46"/>
      <c r="U584" s="46"/>
      <c r="V584" s="46"/>
      <c r="W584" s="46"/>
      <c r="X584" s="46"/>
      <c r="Y584" s="46"/>
      <c r="Z584" s="46"/>
      <c r="AA584" s="46"/>
    </row>
    <row r="585">
      <c r="A585" s="4"/>
      <c r="B585" s="46"/>
      <c r="C585" s="46"/>
      <c r="D585" s="46"/>
      <c r="E585" s="18"/>
      <c r="F585" s="18"/>
      <c r="G585" s="46"/>
      <c r="H585" s="46"/>
      <c r="I585" s="46"/>
      <c r="J585" s="46"/>
      <c r="K585" s="46"/>
      <c r="L585" s="46"/>
      <c r="M585" s="46"/>
      <c r="N585" s="46"/>
      <c r="O585" s="46"/>
      <c r="P585" s="46"/>
      <c r="Q585" s="46"/>
      <c r="R585" s="46"/>
      <c r="S585" s="46"/>
      <c r="T585" s="46"/>
      <c r="U585" s="46"/>
      <c r="V585" s="46"/>
      <c r="W585" s="46"/>
      <c r="X585" s="46"/>
      <c r="Y585" s="46"/>
      <c r="Z585" s="46"/>
      <c r="AA585" s="46"/>
    </row>
    <row r="586">
      <c r="A586" s="4"/>
      <c r="B586" s="46"/>
      <c r="C586" s="46"/>
      <c r="D586" s="46"/>
      <c r="E586" s="18"/>
      <c r="F586" s="18"/>
      <c r="G586" s="46"/>
      <c r="H586" s="46"/>
      <c r="I586" s="46"/>
      <c r="J586" s="46"/>
      <c r="K586" s="46"/>
      <c r="L586" s="46"/>
      <c r="M586" s="46"/>
      <c r="N586" s="46"/>
      <c r="O586" s="46"/>
      <c r="P586" s="46"/>
      <c r="Q586" s="46"/>
      <c r="R586" s="46"/>
      <c r="S586" s="46"/>
      <c r="T586" s="46"/>
      <c r="U586" s="46"/>
      <c r="V586" s="46"/>
      <c r="W586" s="46"/>
      <c r="X586" s="46"/>
      <c r="Y586" s="46"/>
      <c r="Z586" s="46"/>
      <c r="AA586" s="46"/>
    </row>
    <row r="587">
      <c r="A587" s="4"/>
      <c r="B587" s="46"/>
      <c r="C587" s="46"/>
      <c r="D587" s="46"/>
      <c r="E587" s="18"/>
      <c r="F587" s="18"/>
      <c r="G587" s="46"/>
      <c r="H587" s="46"/>
      <c r="I587" s="46"/>
      <c r="J587" s="46"/>
      <c r="K587" s="46"/>
      <c r="L587" s="46"/>
      <c r="M587" s="46"/>
      <c r="N587" s="46"/>
      <c r="O587" s="46"/>
      <c r="P587" s="46"/>
      <c r="Q587" s="46"/>
      <c r="R587" s="46"/>
      <c r="S587" s="46"/>
      <c r="T587" s="46"/>
      <c r="U587" s="46"/>
      <c r="V587" s="46"/>
      <c r="W587" s="46"/>
      <c r="X587" s="46"/>
      <c r="Y587" s="46"/>
      <c r="Z587" s="46"/>
      <c r="AA587" s="46"/>
    </row>
    <row r="588">
      <c r="A588" s="4"/>
      <c r="B588" s="46"/>
      <c r="C588" s="46"/>
      <c r="D588" s="46"/>
      <c r="E588" s="18"/>
      <c r="F588" s="18"/>
      <c r="G588" s="46"/>
      <c r="H588" s="46"/>
      <c r="I588" s="46"/>
      <c r="J588" s="46"/>
      <c r="K588" s="46"/>
      <c r="L588" s="46"/>
      <c r="M588" s="46"/>
      <c r="N588" s="46"/>
      <c r="O588" s="46"/>
      <c r="P588" s="46"/>
      <c r="Q588" s="46"/>
      <c r="R588" s="46"/>
      <c r="S588" s="46"/>
      <c r="T588" s="46"/>
      <c r="U588" s="46"/>
      <c r="V588" s="46"/>
      <c r="W588" s="46"/>
      <c r="X588" s="46"/>
      <c r="Y588" s="46"/>
      <c r="Z588" s="46"/>
      <c r="AA588" s="46"/>
    </row>
    <row r="589">
      <c r="A589" s="4"/>
      <c r="B589" s="46"/>
      <c r="C589" s="46"/>
      <c r="D589" s="46"/>
      <c r="E589" s="18"/>
      <c r="F589" s="18"/>
      <c r="G589" s="46"/>
      <c r="H589" s="46"/>
      <c r="I589" s="46"/>
      <c r="J589" s="46"/>
      <c r="K589" s="46"/>
      <c r="L589" s="46"/>
      <c r="M589" s="46"/>
      <c r="N589" s="46"/>
      <c r="O589" s="46"/>
      <c r="P589" s="46"/>
      <c r="Q589" s="46"/>
      <c r="R589" s="46"/>
      <c r="S589" s="46"/>
      <c r="T589" s="46"/>
      <c r="U589" s="46"/>
      <c r="V589" s="46"/>
      <c r="W589" s="46"/>
      <c r="X589" s="46"/>
      <c r="Y589" s="46"/>
      <c r="Z589" s="46"/>
      <c r="AA589" s="46"/>
    </row>
    <row r="590">
      <c r="A590" s="4"/>
      <c r="B590" s="46"/>
      <c r="C590" s="46"/>
      <c r="D590" s="46"/>
      <c r="E590" s="18"/>
      <c r="F590" s="18"/>
      <c r="G590" s="46"/>
      <c r="H590" s="46"/>
      <c r="I590" s="46"/>
      <c r="J590" s="46"/>
      <c r="K590" s="46"/>
      <c r="L590" s="46"/>
      <c r="M590" s="46"/>
      <c r="N590" s="46"/>
      <c r="O590" s="46"/>
      <c r="P590" s="46"/>
      <c r="Q590" s="46"/>
      <c r="R590" s="46"/>
      <c r="S590" s="46"/>
      <c r="T590" s="46"/>
      <c r="U590" s="46"/>
      <c r="V590" s="46"/>
      <c r="W590" s="46"/>
      <c r="X590" s="46"/>
      <c r="Y590" s="46"/>
      <c r="Z590" s="46"/>
      <c r="AA590" s="46"/>
    </row>
    <row r="591">
      <c r="A591" s="4"/>
      <c r="B591" s="46"/>
      <c r="C591" s="46"/>
      <c r="D591" s="46"/>
      <c r="E591" s="18"/>
      <c r="F591" s="18"/>
      <c r="G591" s="46"/>
      <c r="H591" s="46"/>
      <c r="I591" s="46"/>
      <c r="J591" s="46"/>
      <c r="K591" s="46"/>
      <c r="L591" s="46"/>
      <c r="M591" s="46"/>
      <c r="N591" s="46"/>
      <c r="O591" s="46"/>
      <c r="P591" s="46"/>
      <c r="Q591" s="46"/>
      <c r="R591" s="46"/>
      <c r="S591" s="46"/>
      <c r="T591" s="46"/>
      <c r="U591" s="46"/>
      <c r="V591" s="46"/>
      <c r="W591" s="46"/>
      <c r="X591" s="46"/>
      <c r="Y591" s="46"/>
      <c r="Z591" s="46"/>
      <c r="AA591" s="46"/>
    </row>
    <row r="592">
      <c r="A592" s="4"/>
      <c r="B592" s="46"/>
      <c r="C592" s="46"/>
      <c r="D592" s="46"/>
      <c r="E592" s="18"/>
      <c r="F592" s="18"/>
      <c r="G592" s="46"/>
      <c r="H592" s="46"/>
      <c r="I592" s="46"/>
      <c r="J592" s="46"/>
      <c r="K592" s="46"/>
      <c r="L592" s="46"/>
      <c r="M592" s="46"/>
      <c r="N592" s="46"/>
      <c r="O592" s="46"/>
      <c r="P592" s="46"/>
      <c r="Q592" s="46"/>
      <c r="R592" s="46"/>
      <c r="S592" s="46"/>
      <c r="T592" s="46"/>
      <c r="U592" s="46"/>
      <c r="V592" s="46"/>
      <c r="W592" s="46"/>
      <c r="X592" s="46"/>
      <c r="Y592" s="46"/>
      <c r="Z592" s="46"/>
      <c r="AA592" s="46"/>
    </row>
    <row r="593">
      <c r="A593" s="4"/>
      <c r="B593" s="46"/>
      <c r="C593" s="46"/>
      <c r="D593" s="46"/>
      <c r="E593" s="18"/>
      <c r="F593" s="18"/>
      <c r="G593" s="46"/>
      <c r="H593" s="46"/>
      <c r="I593" s="46"/>
      <c r="J593" s="46"/>
      <c r="K593" s="46"/>
      <c r="L593" s="46"/>
      <c r="M593" s="46"/>
      <c r="N593" s="46"/>
      <c r="O593" s="46"/>
      <c r="P593" s="46"/>
      <c r="Q593" s="46"/>
      <c r="R593" s="46"/>
      <c r="S593" s="46"/>
      <c r="T593" s="46"/>
      <c r="U593" s="46"/>
      <c r="V593" s="46"/>
      <c r="W593" s="46"/>
      <c r="X593" s="46"/>
      <c r="Y593" s="46"/>
      <c r="Z593" s="46"/>
      <c r="AA593" s="46"/>
    </row>
    <row r="594">
      <c r="A594" s="4"/>
      <c r="B594" s="46"/>
      <c r="C594" s="46"/>
      <c r="D594" s="46"/>
      <c r="E594" s="18"/>
      <c r="F594" s="18"/>
      <c r="G594" s="46"/>
      <c r="H594" s="46"/>
      <c r="I594" s="46"/>
      <c r="J594" s="46"/>
      <c r="K594" s="46"/>
      <c r="L594" s="46"/>
      <c r="M594" s="46"/>
      <c r="N594" s="46"/>
      <c r="O594" s="46"/>
      <c r="P594" s="46"/>
      <c r="Q594" s="46"/>
      <c r="R594" s="46"/>
      <c r="S594" s="46"/>
      <c r="T594" s="46"/>
      <c r="U594" s="46"/>
      <c r="V594" s="46"/>
      <c r="W594" s="46"/>
      <c r="X594" s="46"/>
      <c r="Y594" s="46"/>
      <c r="Z594" s="46"/>
      <c r="AA594" s="46"/>
    </row>
    <row r="595">
      <c r="A595" s="4"/>
      <c r="B595" s="46"/>
      <c r="C595" s="46"/>
      <c r="D595" s="46"/>
      <c r="E595" s="18"/>
      <c r="F595" s="18"/>
      <c r="G595" s="46"/>
      <c r="H595" s="46"/>
      <c r="I595" s="46"/>
      <c r="J595" s="46"/>
      <c r="K595" s="46"/>
      <c r="L595" s="46"/>
      <c r="M595" s="46"/>
      <c r="N595" s="46"/>
      <c r="O595" s="46"/>
      <c r="P595" s="46"/>
      <c r="Q595" s="46"/>
      <c r="R595" s="46"/>
      <c r="S595" s="46"/>
      <c r="T595" s="46"/>
      <c r="U595" s="46"/>
      <c r="V595" s="46"/>
      <c r="W595" s="46"/>
      <c r="X595" s="46"/>
      <c r="Y595" s="46"/>
      <c r="Z595" s="46"/>
      <c r="AA595" s="46"/>
    </row>
    <row r="596">
      <c r="A596" s="4"/>
      <c r="B596" s="46"/>
      <c r="C596" s="46"/>
      <c r="D596" s="46"/>
      <c r="E596" s="18"/>
      <c r="F596" s="18"/>
      <c r="G596" s="46"/>
      <c r="H596" s="46"/>
      <c r="I596" s="46"/>
      <c r="J596" s="46"/>
      <c r="K596" s="46"/>
      <c r="L596" s="46"/>
      <c r="M596" s="46"/>
      <c r="N596" s="46"/>
      <c r="O596" s="46"/>
      <c r="P596" s="46"/>
      <c r="Q596" s="46"/>
      <c r="R596" s="46"/>
      <c r="S596" s="46"/>
      <c r="T596" s="46"/>
      <c r="U596" s="46"/>
      <c r="V596" s="46"/>
      <c r="W596" s="46"/>
      <c r="X596" s="46"/>
      <c r="Y596" s="46"/>
      <c r="Z596" s="46"/>
      <c r="AA596" s="46"/>
    </row>
    <row r="597">
      <c r="A597" s="4"/>
      <c r="B597" s="46"/>
      <c r="C597" s="46"/>
      <c r="D597" s="46"/>
      <c r="E597" s="18"/>
      <c r="F597" s="18"/>
      <c r="G597" s="46"/>
      <c r="H597" s="46"/>
      <c r="I597" s="46"/>
      <c r="J597" s="46"/>
      <c r="K597" s="46"/>
      <c r="L597" s="46"/>
      <c r="M597" s="46"/>
      <c r="N597" s="46"/>
      <c r="O597" s="46"/>
      <c r="P597" s="46"/>
      <c r="Q597" s="46"/>
      <c r="R597" s="46"/>
      <c r="S597" s="46"/>
      <c r="T597" s="46"/>
      <c r="U597" s="46"/>
      <c r="V597" s="46"/>
      <c r="W597" s="46"/>
      <c r="X597" s="46"/>
      <c r="Y597" s="46"/>
      <c r="Z597" s="46"/>
      <c r="AA597" s="46"/>
    </row>
    <row r="598">
      <c r="A598" s="4"/>
      <c r="B598" s="46"/>
      <c r="C598" s="46"/>
      <c r="D598" s="46"/>
      <c r="E598" s="18"/>
      <c r="F598" s="18"/>
      <c r="G598" s="46"/>
      <c r="H598" s="46"/>
      <c r="I598" s="46"/>
      <c r="J598" s="46"/>
      <c r="K598" s="46"/>
      <c r="L598" s="46"/>
      <c r="M598" s="46"/>
      <c r="N598" s="46"/>
      <c r="O598" s="46"/>
      <c r="P598" s="46"/>
      <c r="Q598" s="46"/>
      <c r="R598" s="46"/>
      <c r="S598" s="46"/>
      <c r="T598" s="46"/>
      <c r="U598" s="46"/>
      <c r="V598" s="46"/>
      <c r="W598" s="46"/>
      <c r="X598" s="46"/>
      <c r="Y598" s="46"/>
      <c r="Z598" s="46"/>
      <c r="AA598" s="46"/>
    </row>
    <row r="599">
      <c r="A599" s="4"/>
      <c r="B599" s="46"/>
      <c r="C599" s="46"/>
      <c r="D599" s="46"/>
      <c r="E599" s="18"/>
      <c r="F599" s="18"/>
      <c r="G599" s="46"/>
      <c r="H599" s="46"/>
      <c r="I599" s="46"/>
      <c r="J599" s="46"/>
      <c r="K599" s="46"/>
      <c r="L599" s="46"/>
      <c r="M599" s="46"/>
      <c r="N599" s="46"/>
      <c r="O599" s="46"/>
      <c r="P599" s="46"/>
      <c r="Q599" s="46"/>
      <c r="R599" s="46"/>
      <c r="S599" s="46"/>
      <c r="T599" s="46"/>
      <c r="U599" s="46"/>
      <c r="V599" s="46"/>
      <c r="W599" s="46"/>
      <c r="X599" s="46"/>
      <c r="Y599" s="46"/>
      <c r="Z599" s="46"/>
      <c r="AA599" s="46"/>
    </row>
    <row r="600">
      <c r="A600" s="4"/>
      <c r="B600" s="46"/>
      <c r="C600" s="46"/>
      <c r="D600" s="46"/>
      <c r="E600" s="18"/>
      <c r="F600" s="18"/>
      <c r="G600" s="46"/>
      <c r="H600" s="46"/>
      <c r="I600" s="46"/>
      <c r="J600" s="46"/>
      <c r="K600" s="46"/>
      <c r="L600" s="46"/>
      <c r="M600" s="46"/>
      <c r="N600" s="46"/>
      <c r="O600" s="46"/>
      <c r="P600" s="46"/>
      <c r="Q600" s="46"/>
      <c r="R600" s="46"/>
      <c r="S600" s="46"/>
      <c r="T600" s="46"/>
      <c r="U600" s="46"/>
      <c r="V600" s="46"/>
      <c r="W600" s="46"/>
      <c r="X600" s="46"/>
      <c r="Y600" s="46"/>
      <c r="Z600" s="46"/>
      <c r="AA600" s="46"/>
    </row>
    <row r="601">
      <c r="A601" s="4"/>
      <c r="B601" s="46"/>
      <c r="C601" s="46"/>
      <c r="D601" s="46"/>
      <c r="E601" s="18"/>
      <c r="F601" s="18"/>
      <c r="G601" s="46"/>
      <c r="H601" s="46"/>
      <c r="I601" s="46"/>
      <c r="J601" s="46"/>
      <c r="K601" s="46"/>
      <c r="L601" s="46"/>
      <c r="M601" s="46"/>
      <c r="N601" s="46"/>
      <c r="O601" s="46"/>
      <c r="P601" s="46"/>
      <c r="Q601" s="46"/>
      <c r="R601" s="46"/>
      <c r="S601" s="46"/>
      <c r="T601" s="46"/>
      <c r="U601" s="46"/>
      <c r="V601" s="46"/>
      <c r="W601" s="46"/>
      <c r="X601" s="46"/>
      <c r="Y601" s="46"/>
      <c r="Z601" s="46"/>
      <c r="AA601" s="46"/>
    </row>
    <row r="602">
      <c r="A602" s="4"/>
      <c r="B602" s="46"/>
      <c r="C602" s="46"/>
      <c r="D602" s="46"/>
      <c r="E602" s="18"/>
      <c r="F602" s="18"/>
      <c r="G602" s="46"/>
      <c r="H602" s="46"/>
      <c r="I602" s="46"/>
      <c r="J602" s="46"/>
      <c r="K602" s="46"/>
      <c r="L602" s="46"/>
      <c r="M602" s="46"/>
      <c r="N602" s="46"/>
      <c r="O602" s="46"/>
      <c r="P602" s="46"/>
      <c r="Q602" s="46"/>
      <c r="R602" s="46"/>
      <c r="S602" s="46"/>
      <c r="T602" s="46"/>
      <c r="U602" s="46"/>
      <c r="V602" s="46"/>
      <c r="W602" s="46"/>
      <c r="X602" s="46"/>
      <c r="Y602" s="46"/>
      <c r="Z602" s="46"/>
      <c r="AA602" s="46"/>
    </row>
    <row r="603">
      <c r="A603" s="4"/>
      <c r="B603" s="46"/>
      <c r="C603" s="46"/>
      <c r="D603" s="46"/>
      <c r="E603" s="18"/>
      <c r="F603" s="18"/>
      <c r="G603" s="46"/>
      <c r="H603" s="46"/>
      <c r="I603" s="46"/>
      <c r="J603" s="46"/>
      <c r="K603" s="46"/>
      <c r="L603" s="46"/>
      <c r="M603" s="46"/>
      <c r="N603" s="46"/>
      <c r="O603" s="46"/>
      <c r="P603" s="46"/>
      <c r="Q603" s="46"/>
      <c r="R603" s="46"/>
      <c r="S603" s="46"/>
      <c r="T603" s="46"/>
      <c r="U603" s="46"/>
      <c r="V603" s="46"/>
      <c r="W603" s="46"/>
      <c r="X603" s="46"/>
      <c r="Y603" s="46"/>
      <c r="Z603" s="46"/>
      <c r="AA603" s="46"/>
    </row>
    <row r="604">
      <c r="A604" s="4"/>
      <c r="B604" s="46"/>
      <c r="C604" s="46"/>
      <c r="D604" s="46"/>
      <c r="E604" s="18"/>
      <c r="F604" s="18"/>
      <c r="G604" s="46"/>
      <c r="H604" s="46"/>
      <c r="I604" s="46"/>
      <c r="J604" s="46"/>
      <c r="K604" s="46"/>
      <c r="L604" s="46"/>
      <c r="M604" s="46"/>
      <c r="N604" s="46"/>
      <c r="O604" s="46"/>
      <c r="P604" s="46"/>
      <c r="Q604" s="46"/>
      <c r="R604" s="46"/>
      <c r="S604" s="46"/>
      <c r="T604" s="46"/>
      <c r="U604" s="46"/>
      <c r="V604" s="46"/>
      <c r="W604" s="46"/>
      <c r="X604" s="46"/>
      <c r="Y604" s="46"/>
      <c r="Z604" s="46"/>
      <c r="AA604" s="46"/>
    </row>
    <row r="605">
      <c r="A605" s="4"/>
      <c r="B605" s="46"/>
      <c r="C605" s="46"/>
      <c r="D605" s="46"/>
      <c r="E605" s="18"/>
      <c r="F605" s="18"/>
      <c r="G605" s="46"/>
      <c r="H605" s="46"/>
      <c r="I605" s="46"/>
      <c r="J605" s="46"/>
      <c r="K605" s="46"/>
      <c r="L605" s="46"/>
      <c r="M605" s="46"/>
      <c r="N605" s="46"/>
      <c r="O605" s="46"/>
      <c r="P605" s="46"/>
      <c r="Q605" s="46"/>
      <c r="R605" s="46"/>
      <c r="S605" s="46"/>
      <c r="T605" s="46"/>
      <c r="U605" s="46"/>
      <c r="V605" s="46"/>
      <c r="W605" s="46"/>
      <c r="X605" s="46"/>
      <c r="Y605" s="46"/>
      <c r="Z605" s="46"/>
      <c r="AA605" s="46"/>
    </row>
    <row r="606">
      <c r="A606" s="4"/>
      <c r="B606" s="46"/>
      <c r="C606" s="46"/>
      <c r="D606" s="46"/>
      <c r="E606" s="18"/>
      <c r="F606" s="18"/>
      <c r="G606" s="46"/>
      <c r="H606" s="46"/>
      <c r="I606" s="46"/>
      <c r="J606" s="46"/>
      <c r="K606" s="46"/>
      <c r="L606" s="46"/>
      <c r="M606" s="46"/>
      <c r="N606" s="46"/>
      <c r="O606" s="46"/>
      <c r="P606" s="46"/>
      <c r="Q606" s="46"/>
      <c r="R606" s="46"/>
      <c r="S606" s="46"/>
      <c r="T606" s="46"/>
      <c r="U606" s="46"/>
      <c r="V606" s="46"/>
      <c r="W606" s="46"/>
      <c r="X606" s="46"/>
      <c r="Y606" s="46"/>
      <c r="Z606" s="46"/>
      <c r="AA606" s="46"/>
    </row>
    <row r="607">
      <c r="A607" s="4"/>
      <c r="B607" s="46"/>
      <c r="C607" s="46"/>
      <c r="D607" s="46"/>
      <c r="E607" s="18"/>
      <c r="F607" s="18"/>
      <c r="G607" s="46"/>
      <c r="H607" s="46"/>
      <c r="I607" s="46"/>
      <c r="J607" s="46"/>
      <c r="K607" s="46"/>
      <c r="L607" s="46"/>
      <c r="M607" s="46"/>
      <c r="N607" s="46"/>
      <c r="O607" s="46"/>
      <c r="P607" s="46"/>
      <c r="Q607" s="46"/>
      <c r="R607" s="46"/>
      <c r="S607" s="46"/>
      <c r="T607" s="46"/>
      <c r="U607" s="46"/>
      <c r="V607" s="46"/>
      <c r="W607" s="46"/>
      <c r="X607" s="46"/>
      <c r="Y607" s="46"/>
      <c r="Z607" s="46"/>
      <c r="AA607" s="46"/>
    </row>
    <row r="608">
      <c r="A608" s="4"/>
      <c r="B608" s="46"/>
      <c r="C608" s="46"/>
      <c r="D608" s="46"/>
      <c r="E608" s="18"/>
      <c r="F608" s="18"/>
      <c r="G608" s="46"/>
      <c r="H608" s="46"/>
      <c r="I608" s="46"/>
      <c r="J608" s="46"/>
      <c r="K608" s="46"/>
      <c r="L608" s="46"/>
      <c r="M608" s="46"/>
      <c r="N608" s="46"/>
      <c r="O608" s="46"/>
      <c r="P608" s="46"/>
      <c r="Q608" s="46"/>
      <c r="R608" s="46"/>
      <c r="S608" s="46"/>
      <c r="T608" s="46"/>
      <c r="U608" s="46"/>
      <c r="V608" s="46"/>
      <c r="W608" s="46"/>
      <c r="X608" s="46"/>
      <c r="Y608" s="46"/>
      <c r="Z608" s="46"/>
      <c r="AA608" s="46"/>
    </row>
    <row r="609">
      <c r="A609" s="4"/>
      <c r="B609" s="46"/>
      <c r="C609" s="46"/>
      <c r="D609" s="46"/>
      <c r="E609" s="18"/>
      <c r="F609" s="18"/>
      <c r="G609" s="46"/>
      <c r="H609" s="46"/>
      <c r="I609" s="46"/>
      <c r="J609" s="46"/>
      <c r="K609" s="46"/>
      <c r="L609" s="46"/>
      <c r="M609" s="46"/>
      <c r="N609" s="46"/>
      <c r="O609" s="46"/>
      <c r="P609" s="46"/>
      <c r="Q609" s="46"/>
      <c r="R609" s="46"/>
      <c r="S609" s="46"/>
      <c r="T609" s="46"/>
      <c r="U609" s="46"/>
      <c r="V609" s="46"/>
      <c r="W609" s="46"/>
      <c r="X609" s="46"/>
      <c r="Y609" s="46"/>
      <c r="Z609" s="46"/>
      <c r="AA609" s="46"/>
    </row>
    <row r="610">
      <c r="A610" s="4"/>
      <c r="B610" s="46"/>
      <c r="C610" s="46"/>
      <c r="D610" s="46"/>
      <c r="E610" s="18"/>
      <c r="F610" s="18"/>
      <c r="G610" s="46"/>
      <c r="H610" s="46"/>
      <c r="I610" s="46"/>
      <c r="J610" s="46"/>
      <c r="K610" s="46"/>
      <c r="L610" s="46"/>
      <c r="M610" s="46"/>
      <c r="N610" s="46"/>
      <c r="O610" s="46"/>
      <c r="P610" s="46"/>
      <c r="Q610" s="46"/>
      <c r="R610" s="46"/>
      <c r="S610" s="46"/>
      <c r="T610" s="46"/>
      <c r="U610" s="46"/>
      <c r="V610" s="46"/>
      <c r="W610" s="46"/>
      <c r="X610" s="46"/>
      <c r="Y610" s="46"/>
      <c r="Z610" s="46"/>
      <c r="AA610" s="46"/>
    </row>
    <row r="611">
      <c r="A611" s="4"/>
      <c r="B611" s="46"/>
      <c r="C611" s="46"/>
      <c r="D611" s="46"/>
      <c r="E611" s="18"/>
      <c r="F611" s="18"/>
      <c r="G611" s="46"/>
      <c r="H611" s="46"/>
      <c r="I611" s="46"/>
      <c r="J611" s="46"/>
      <c r="K611" s="46"/>
      <c r="L611" s="46"/>
      <c r="M611" s="46"/>
      <c r="N611" s="46"/>
      <c r="O611" s="46"/>
      <c r="P611" s="46"/>
      <c r="Q611" s="46"/>
      <c r="R611" s="46"/>
      <c r="S611" s="46"/>
      <c r="T611" s="46"/>
      <c r="U611" s="46"/>
      <c r="V611" s="46"/>
      <c r="W611" s="46"/>
      <c r="X611" s="46"/>
      <c r="Y611" s="46"/>
      <c r="Z611" s="46"/>
      <c r="AA611" s="46"/>
    </row>
    <row r="612">
      <c r="A612" s="4"/>
      <c r="B612" s="46"/>
      <c r="C612" s="46"/>
      <c r="D612" s="46"/>
      <c r="E612" s="18"/>
      <c r="F612" s="18"/>
      <c r="G612" s="46"/>
      <c r="H612" s="46"/>
      <c r="I612" s="46"/>
      <c r="J612" s="46"/>
      <c r="K612" s="46"/>
      <c r="L612" s="46"/>
      <c r="M612" s="46"/>
      <c r="N612" s="46"/>
      <c r="O612" s="46"/>
      <c r="P612" s="46"/>
      <c r="Q612" s="46"/>
      <c r="R612" s="46"/>
      <c r="S612" s="46"/>
      <c r="T612" s="46"/>
      <c r="U612" s="46"/>
      <c r="V612" s="46"/>
      <c r="W612" s="46"/>
      <c r="X612" s="46"/>
      <c r="Y612" s="46"/>
      <c r="Z612" s="46"/>
      <c r="AA612" s="46"/>
    </row>
    <row r="613">
      <c r="A613" s="4"/>
      <c r="B613" s="46"/>
      <c r="C613" s="46"/>
      <c r="D613" s="46"/>
      <c r="E613" s="18"/>
      <c r="F613" s="18"/>
      <c r="G613" s="46"/>
      <c r="H613" s="46"/>
      <c r="I613" s="46"/>
      <c r="J613" s="46"/>
      <c r="K613" s="46"/>
      <c r="L613" s="46"/>
      <c r="M613" s="46"/>
      <c r="N613" s="46"/>
      <c r="O613" s="46"/>
      <c r="P613" s="46"/>
      <c r="Q613" s="46"/>
      <c r="R613" s="46"/>
      <c r="S613" s="46"/>
      <c r="T613" s="46"/>
      <c r="U613" s="46"/>
      <c r="V613" s="46"/>
      <c r="W613" s="46"/>
      <c r="X613" s="46"/>
      <c r="Y613" s="46"/>
      <c r="Z613" s="46"/>
      <c r="AA613" s="46"/>
    </row>
    <row r="614">
      <c r="A614" s="4"/>
      <c r="B614" s="46"/>
      <c r="C614" s="46"/>
      <c r="D614" s="46"/>
      <c r="E614" s="18"/>
      <c r="F614" s="18"/>
      <c r="G614" s="46"/>
      <c r="H614" s="46"/>
      <c r="I614" s="46"/>
      <c r="J614" s="46"/>
      <c r="K614" s="46"/>
      <c r="L614" s="46"/>
      <c r="M614" s="46"/>
      <c r="N614" s="46"/>
      <c r="O614" s="46"/>
      <c r="P614" s="46"/>
      <c r="Q614" s="46"/>
      <c r="R614" s="46"/>
      <c r="S614" s="46"/>
      <c r="T614" s="46"/>
      <c r="U614" s="46"/>
      <c r="V614" s="46"/>
      <c r="W614" s="46"/>
      <c r="X614" s="46"/>
      <c r="Y614" s="46"/>
      <c r="Z614" s="46"/>
      <c r="AA614" s="46"/>
    </row>
    <row r="615">
      <c r="A615" s="4"/>
      <c r="B615" s="46"/>
      <c r="C615" s="46"/>
      <c r="D615" s="46"/>
      <c r="E615" s="18"/>
      <c r="F615" s="18"/>
      <c r="G615" s="46"/>
      <c r="H615" s="46"/>
      <c r="I615" s="46"/>
      <c r="J615" s="46"/>
      <c r="K615" s="46"/>
      <c r="L615" s="46"/>
      <c r="M615" s="46"/>
      <c r="N615" s="46"/>
      <c r="O615" s="46"/>
      <c r="P615" s="46"/>
      <c r="Q615" s="46"/>
      <c r="R615" s="46"/>
      <c r="S615" s="46"/>
      <c r="T615" s="46"/>
      <c r="U615" s="46"/>
      <c r="V615" s="46"/>
      <c r="W615" s="46"/>
      <c r="X615" s="46"/>
      <c r="Y615" s="46"/>
      <c r="Z615" s="46"/>
      <c r="AA615" s="46"/>
    </row>
    <row r="616">
      <c r="A616" s="4"/>
      <c r="B616" s="46"/>
      <c r="C616" s="46"/>
      <c r="D616" s="46"/>
      <c r="E616" s="18"/>
      <c r="F616" s="18"/>
      <c r="G616" s="46"/>
      <c r="H616" s="46"/>
      <c r="I616" s="46"/>
      <c r="J616" s="46"/>
      <c r="K616" s="46"/>
      <c r="L616" s="46"/>
      <c r="M616" s="46"/>
      <c r="N616" s="46"/>
      <c r="O616" s="46"/>
      <c r="P616" s="46"/>
      <c r="Q616" s="46"/>
      <c r="R616" s="46"/>
      <c r="S616" s="46"/>
      <c r="T616" s="46"/>
      <c r="U616" s="46"/>
      <c r="V616" s="46"/>
      <c r="W616" s="46"/>
      <c r="X616" s="46"/>
      <c r="Y616" s="46"/>
      <c r="Z616" s="46"/>
      <c r="AA616" s="46"/>
    </row>
    <row r="617">
      <c r="A617" s="4"/>
      <c r="B617" s="46"/>
      <c r="C617" s="46"/>
      <c r="D617" s="46"/>
      <c r="E617" s="18"/>
      <c r="F617" s="18"/>
      <c r="G617" s="46"/>
      <c r="H617" s="46"/>
      <c r="I617" s="46"/>
      <c r="J617" s="46"/>
      <c r="K617" s="46"/>
      <c r="L617" s="46"/>
      <c r="M617" s="46"/>
      <c r="N617" s="46"/>
      <c r="O617" s="46"/>
      <c r="P617" s="46"/>
      <c r="Q617" s="46"/>
      <c r="R617" s="46"/>
      <c r="S617" s="46"/>
      <c r="T617" s="46"/>
      <c r="U617" s="46"/>
      <c r="V617" s="46"/>
      <c r="W617" s="46"/>
      <c r="X617" s="46"/>
      <c r="Y617" s="46"/>
      <c r="Z617" s="46"/>
      <c r="AA617" s="46"/>
    </row>
    <row r="618">
      <c r="A618" s="4"/>
      <c r="B618" s="46"/>
      <c r="C618" s="46"/>
      <c r="D618" s="46"/>
      <c r="E618" s="18"/>
      <c r="F618" s="18"/>
      <c r="G618" s="46"/>
      <c r="H618" s="46"/>
      <c r="I618" s="46"/>
      <c r="J618" s="46"/>
      <c r="K618" s="46"/>
      <c r="L618" s="46"/>
      <c r="M618" s="46"/>
      <c r="N618" s="46"/>
      <c r="O618" s="46"/>
      <c r="P618" s="46"/>
      <c r="Q618" s="46"/>
      <c r="R618" s="46"/>
      <c r="S618" s="46"/>
      <c r="T618" s="46"/>
      <c r="U618" s="46"/>
      <c r="V618" s="46"/>
      <c r="W618" s="46"/>
      <c r="X618" s="46"/>
      <c r="Y618" s="46"/>
      <c r="Z618" s="46"/>
      <c r="AA618" s="46"/>
    </row>
    <row r="619">
      <c r="A619" s="4"/>
      <c r="B619" s="46"/>
      <c r="C619" s="46"/>
      <c r="D619" s="46"/>
      <c r="E619" s="18"/>
      <c r="F619" s="18"/>
      <c r="G619" s="46"/>
      <c r="H619" s="46"/>
      <c r="I619" s="46"/>
      <c r="J619" s="46"/>
      <c r="K619" s="46"/>
      <c r="L619" s="46"/>
      <c r="M619" s="46"/>
      <c r="N619" s="46"/>
      <c r="O619" s="46"/>
      <c r="P619" s="46"/>
      <c r="Q619" s="46"/>
      <c r="R619" s="46"/>
      <c r="S619" s="46"/>
      <c r="T619" s="46"/>
      <c r="U619" s="46"/>
      <c r="V619" s="46"/>
      <c r="W619" s="46"/>
      <c r="X619" s="46"/>
      <c r="Y619" s="46"/>
      <c r="Z619" s="46"/>
      <c r="AA619" s="46"/>
    </row>
    <row r="620">
      <c r="A620" s="4"/>
      <c r="B620" s="46"/>
      <c r="C620" s="46"/>
      <c r="D620" s="46"/>
      <c r="E620" s="18"/>
      <c r="F620" s="18"/>
      <c r="G620" s="46"/>
      <c r="H620" s="46"/>
      <c r="I620" s="46"/>
      <c r="J620" s="46"/>
      <c r="K620" s="46"/>
      <c r="L620" s="46"/>
      <c r="M620" s="46"/>
      <c r="N620" s="46"/>
      <c r="O620" s="46"/>
      <c r="P620" s="46"/>
      <c r="Q620" s="46"/>
      <c r="R620" s="46"/>
      <c r="S620" s="46"/>
      <c r="T620" s="46"/>
      <c r="U620" s="46"/>
      <c r="V620" s="46"/>
      <c r="W620" s="46"/>
      <c r="X620" s="46"/>
      <c r="Y620" s="46"/>
      <c r="Z620" s="46"/>
      <c r="AA620" s="46"/>
    </row>
    <row r="621">
      <c r="A621" s="4"/>
      <c r="B621" s="46"/>
      <c r="C621" s="46"/>
      <c r="D621" s="46"/>
      <c r="E621" s="18"/>
      <c r="F621" s="18"/>
      <c r="G621" s="46"/>
      <c r="H621" s="46"/>
      <c r="I621" s="46"/>
      <c r="J621" s="46"/>
      <c r="K621" s="46"/>
      <c r="L621" s="46"/>
      <c r="M621" s="46"/>
      <c r="N621" s="46"/>
      <c r="O621" s="46"/>
      <c r="P621" s="46"/>
      <c r="Q621" s="46"/>
      <c r="R621" s="46"/>
      <c r="S621" s="46"/>
      <c r="T621" s="46"/>
      <c r="U621" s="46"/>
      <c r="V621" s="46"/>
      <c r="W621" s="46"/>
      <c r="X621" s="46"/>
      <c r="Y621" s="46"/>
      <c r="Z621" s="46"/>
      <c r="AA621" s="46"/>
    </row>
    <row r="622">
      <c r="A622" s="4"/>
      <c r="B622" s="46"/>
      <c r="C622" s="46"/>
      <c r="D622" s="46"/>
      <c r="E622" s="18"/>
      <c r="F622" s="18"/>
      <c r="G622" s="46"/>
      <c r="H622" s="46"/>
      <c r="I622" s="46"/>
      <c r="J622" s="46"/>
      <c r="K622" s="46"/>
      <c r="L622" s="46"/>
      <c r="M622" s="46"/>
      <c r="N622" s="46"/>
      <c r="O622" s="46"/>
      <c r="P622" s="46"/>
      <c r="Q622" s="46"/>
      <c r="R622" s="46"/>
      <c r="S622" s="46"/>
      <c r="T622" s="46"/>
      <c r="U622" s="46"/>
      <c r="V622" s="46"/>
      <c r="W622" s="46"/>
      <c r="X622" s="46"/>
      <c r="Y622" s="46"/>
      <c r="Z622" s="46"/>
      <c r="AA622" s="46"/>
    </row>
    <row r="623">
      <c r="A623" s="4"/>
      <c r="B623" s="46"/>
      <c r="C623" s="46"/>
      <c r="D623" s="46"/>
      <c r="E623" s="18"/>
      <c r="F623" s="18"/>
      <c r="G623" s="46"/>
      <c r="H623" s="46"/>
      <c r="I623" s="46"/>
      <c r="J623" s="46"/>
      <c r="K623" s="46"/>
      <c r="L623" s="46"/>
      <c r="M623" s="46"/>
      <c r="N623" s="46"/>
      <c r="O623" s="46"/>
      <c r="P623" s="46"/>
      <c r="Q623" s="46"/>
      <c r="R623" s="46"/>
      <c r="S623" s="46"/>
      <c r="T623" s="46"/>
      <c r="U623" s="46"/>
      <c r="V623" s="46"/>
      <c r="W623" s="46"/>
      <c r="X623" s="46"/>
      <c r="Y623" s="46"/>
      <c r="Z623" s="46"/>
      <c r="AA623" s="46"/>
    </row>
    <row r="624">
      <c r="A624" s="4"/>
      <c r="B624" s="46"/>
      <c r="C624" s="46"/>
      <c r="D624" s="46"/>
      <c r="E624" s="18"/>
      <c r="F624" s="18"/>
      <c r="G624" s="46"/>
      <c r="H624" s="46"/>
      <c r="I624" s="46"/>
      <c r="J624" s="46"/>
      <c r="K624" s="46"/>
      <c r="L624" s="46"/>
      <c r="M624" s="46"/>
      <c r="N624" s="46"/>
      <c r="O624" s="46"/>
      <c r="P624" s="46"/>
      <c r="Q624" s="46"/>
      <c r="R624" s="46"/>
      <c r="S624" s="46"/>
      <c r="T624" s="46"/>
      <c r="U624" s="46"/>
      <c r="V624" s="46"/>
      <c r="W624" s="46"/>
      <c r="X624" s="46"/>
      <c r="Y624" s="46"/>
      <c r="Z624" s="46"/>
      <c r="AA624" s="46"/>
    </row>
    <row r="625">
      <c r="A625" s="4"/>
      <c r="B625" s="46"/>
      <c r="C625" s="46"/>
      <c r="D625" s="46"/>
      <c r="E625" s="18"/>
      <c r="F625" s="18"/>
      <c r="G625" s="46"/>
      <c r="H625" s="46"/>
      <c r="I625" s="46"/>
      <c r="J625" s="46"/>
      <c r="K625" s="46"/>
      <c r="L625" s="46"/>
      <c r="M625" s="46"/>
      <c r="N625" s="46"/>
      <c r="O625" s="46"/>
      <c r="P625" s="46"/>
      <c r="Q625" s="46"/>
      <c r="R625" s="46"/>
      <c r="S625" s="46"/>
      <c r="T625" s="46"/>
      <c r="U625" s="46"/>
      <c r="V625" s="46"/>
      <c r="W625" s="46"/>
      <c r="X625" s="46"/>
      <c r="Y625" s="46"/>
      <c r="Z625" s="46"/>
      <c r="AA625" s="46"/>
    </row>
    <row r="626">
      <c r="A626" s="4"/>
      <c r="B626" s="46"/>
      <c r="C626" s="46"/>
      <c r="D626" s="46"/>
      <c r="E626" s="18"/>
      <c r="F626" s="18"/>
      <c r="G626" s="46"/>
      <c r="H626" s="46"/>
      <c r="I626" s="46"/>
      <c r="J626" s="46"/>
      <c r="K626" s="46"/>
      <c r="L626" s="46"/>
      <c r="M626" s="46"/>
      <c r="N626" s="46"/>
      <c r="O626" s="46"/>
      <c r="P626" s="46"/>
      <c r="Q626" s="46"/>
      <c r="R626" s="46"/>
      <c r="S626" s="46"/>
      <c r="T626" s="46"/>
      <c r="U626" s="46"/>
      <c r="V626" s="46"/>
      <c r="W626" s="46"/>
      <c r="X626" s="46"/>
      <c r="Y626" s="46"/>
      <c r="Z626" s="46"/>
      <c r="AA626" s="46"/>
    </row>
    <row r="627">
      <c r="A627" s="4"/>
      <c r="B627" s="46"/>
      <c r="C627" s="46"/>
      <c r="D627" s="46"/>
      <c r="E627" s="18"/>
      <c r="F627" s="18"/>
      <c r="G627" s="46"/>
      <c r="H627" s="46"/>
      <c r="I627" s="46"/>
      <c r="J627" s="46"/>
      <c r="K627" s="46"/>
      <c r="L627" s="46"/>
      <c r="M627" s="46"/>
      <c r="N627" s="46"/>
      <c r="O627" s="46"/>
      <c r="P627" s="46"/>
      <c r="Q627" s="46"/>
      <c r="R627" s="46"/>
      <c r="S627" s="46"/>
      <c r="T627" s="46"/>
      <c r="U627" s="46"/>
      <c r="V627" s="46"/>
      <c r="W627" s="46"/>
      <c r="X627" s="46"/>
      <c r="Y627" s="46"/>
      <c r="Z627" s="46"/>
      <c r="AA627" s="46"/>
    </row>
    <row r="628">
      <c r="A628" s="4"/>
      <c r="B628" s="46"/>
      <c r="C628" s="46"/>
      <c r="D628" s="46"/>
      <c r="E628" s="18"/>
      <c r="F628" s="18"/>
      <c r="G628" s="46"/>
      <c r="H628" s="46"/>
      <c r="I628" s="46"/>
      <c r="J628" s="46"/>
      <c r="K628" s="46"/>
      <c r="L628" s="46"/>
      <c r="M628" s="46"/>
      <c r="N628" s="46"/>
      <c r="O628" s="46"/>
      <c r="P628" s="46"/>
      <c r="Q628" s="46"/>
      <c r="R628" s="46"/>
      <c r="S628" s="46"/>
      <c r="T628" s="46"/>
      <c r="U628" s="46"/>
      <c r="V628" s="46"/>
      <c r="W628" s="46"/>
      <c r="X628" s="46"/>
      <c r="Y628" s="46"/>
      <c r="Z628" s="46"/>
      <c r="AA628" s="46"/>
    </row>
    <row r="629">
      <c r="A629" s="4"/>
      <c r="B629" s="46"/>
      <c r="C629" s="46"/>
      <c r="D629" s="46"/>
      <c r="E629" s="18"/>
      <c r="F629" s="18"/>
      <c r="G629" s="46"/>
      <c r="H629" s="46"/>
      <c r="I629" s="46"/>
      <c r="J629" s="46"/>
      <c r="K629" s="46"/>
      <c r="L629" s="46"/>
      <c r="M629" s="46"/>
      <c r="N629" s="46"/>
      <c r="O629" s="46"/>
      <c r="P629" s="46"/>
      <c r="Q629" s="46"/>
      <c r="R629" s="46"/>
      <c r="S629" s="46"/>
      <c r="T629" s="46"/>
      <c r="U629" s="46"/>
      <c r="V629" s="46"/>
      <c r="W629" s="46"/>
      <c r="X629" s="46"/>
      <c r="Y629" s="46"/>
      <c r="Z629" s="46"/>
      <c r="AA629" s="46"/>
    </row>
    <row r="630">
      <c r="A630" s="4"/>
      <c r="B630" s="46"/>
      <c r="C630" s="46"/>
      <c r="D630" s="46"/>
      <c r="E630" s="18"/>
      <c r="F630" s="18"/>
      <c r="G630" s="46"/>
      <c r="H630" s="46"/>
      <c r="I630" s="46"/>
      <c r="J630" s="46"/>
      <c r="K630" s="46"/>
      <c r="L630" s="46"/>
      <c r="M630" s="46"/>
      <c r="N630" s="46"/>
      <c r="O630" s="46"/>
      <c r="P630" s="46"/>
      <c r="Q630" s="46"/>
      <c r="R630" s="46"/>
      <c r="S630" s="46"/>
      <c r="T630" s="46"/>
      <c r="U630" s="46"/>
      <c r="V630" s="46"/>
      <c r="W630" s="46"/>
      <c r="X630" s="46"/>
      <c r="Y630" s="46"/>
      <c r="Z630" s="46"/>
      <c r="AA630" s="46"/>
    </row>
    <row r="631">
      <c r="A631" s="4"/>
      <c r="B631" s="46"/>
      <c r="C631" s="46"/>
      <c r="D631" s="46"/>
      <c r="E631" s="18"/>
      <c r="F631" s="18"/>
      <c r="G631" s="46"/>
      <c r="H631" s="46"/>
      <c r="I631" s="46"/>
      <c r="J631" s="46"/>
      <c r="K631" s="46"/>
      <c r="L631" s="46"/>
      <c r="M631" s="46"/>
      <c r="N631" s="46"/>
      <c r="O631" s="46"/>
      <c r="P631" s="46"/>
      <c r="Q631" s="46"/>
      <c r="R631" s="46"/>
      <c r="S631" s="46"/>
      <c r="T631" s="46"/>
      <c r="U631" s="46"/>
      <c r="V631" s="46"/>
      <c r="W631" s="46"/>
      <c r="X631" s="46"/>
      <c r="Y631" s="46"/>
      <c r="Z631" s="46"/>
      <c r="AA631" s="46"/>
    </row>
    <row r="632">
      <c r="A632" s="4"/>
      <c r="B632" s="46"/>
      <c r="C632" s="46"/>
      <c r="D632" s="46"/>
      <c r="E632" s="18"/>
      <c r="F632" s="18"/>
      <c r="G632" s="46"/>
      <c r="H632" s="46"/>
      <c r="I632" s="46"/>
      <c r="J632" s="46"/>
      <c r="K632" s="46"/>
      <c r="L632" s="46"/>
      <c r="M632" s="46"/>
      <c r="N632" s="46"/>
      <c r="O632" s="46"/>
      <c r="P632" s="46"/>
      <c r="Q632" s="46"/>
      <c r="R632" s="46"/>
      <c r="S632" s="46"/>
      <c r="T632" s="46"/>
      <c r="U632" s="46"/>
      <c r="V632" s="46"/>
      <c r="W632" s="46"/>
      <c r="X632" s="46"/>
      <c r="Y632" s="46"/>
      <c r="Z632" s="46"/>
      <c r="AA632" s="46"/>
    </row>
    <row r="633">
      <c r="A633" s="4"/>
      <c r="B633" s="46"/>
      <c r="C633" s="46"/>
      <c r="D633" s="46"/>
      <c r="E633" s="18"/>
      <c r="F633" s="18"/>
      <c r="G633" s="46"/>
      <c r="H633" s="46"/>
      <c r="I633" s="46"/>
      <c r="J633" s="46"/>
      <c r="K633" s="46"/>
      <c r="L633" s="46"/>
      <c r="M633" s="46"/>
      <c r="N633" s="46"/>
      <c r="O633" s="46"/>
      <c r="P633" s="46"/>
      <c r="Q633" s="46"/>
      <c r="R633" s="46"/>
      <c r="S633" s="46"/>
      <c r="T633" s="46"/>
      <c r="U633" s="46"/>
      <c r="V633" s="46"/>
      <c r="W633" s="46"/>
      <c r="X633" s="46"/>
      <c r="Y633" s="46"/>
      <c r="Z633" s="46"/>
      <c r="AA633" s="46"/>
    </row>
    <row r="634">
      <c r="A634" s="4"/>
      <c r="B634" s="46"/>
      <c r="C634" s="46"/>
      <c r="D634" s="46"/>
      <c r="E634" s="18"/>
      <c r="F634" s="18"/>
      <c r="G634" s="46"/>
      <c r="H634" s="46"/>
      <c r="I634" s="46"/>
      <c r="J634" s="46"/>
      <c r="K634" s="46"/>
      <c r="L634" s="46"/>
      <c r="M634" s="46"/>
      <c r="N634" s="46"/>
      <c r="O634" s="46"/>
      <c r="P634" s="46"/>
      <c r="Q634" s="46"/>
      <c r="R634" s="46"/>
      <c r="S634" s="46"/>
      <c r="T634" s="46"/>
      <c r="U634" s="46"/>
      <c r="V634" s="46"/>
      <c r="W634" s="46"/>
      <c r="X634" s="46"/>
      <c r="Y634" s="46"/>
      <c r="Z634" s="46"/>
      <c r="AA634" s="46"/>
    </row>
    <row r="635">
      <c r="A635" s="4"/>
      <c r="B635" s="46"/>
      <c r="C635" s="46"/>
      <c r="D635" s="46"/>
      <c r="E635" s="18"/>
      <c r="F635" s="18"/>
      <c r="G635" s="46"/>
      <c r="H635" s="46"/>
      <c r="I635" s="46"/>
      <c r="J635" s="46"/>
      <c r="K635" s="46"/>
      <c r="L635" s="46"/>
      <c r="M635" s="46"/>
      <c r="N635" s="46"/>
      <c r="O635" s="46"/>
      <c r="P635" s="46"/>
      <c r="Q635" s="46"/>
      <c r="R635" s="46"/>
      <c r="S635" s="46"/>
      <c r="T635" s="46"/>
      <c r="U635" s="46"/>
      <c r="V635" s="46"/>
      <c r="W635" s="46"/>
      <c r="X635" s="46"/>
      <c r="Y635" s="46"/>
      <c r="Z635" s="46"/>
      <c r="AA635" s="46"/>
    </row>
    <row r="636">
      <c r="A636" s="4"/>
      <c r="B636" s="46"/>
      <c r="C636" s="46"/>
      <c r="D636" s="46"/>
      <c r="E636" s="18"/>
      <c r="F636" s="18"/>
      <c r="G636" s="46"/>
      <c r="H636" s="46"/>
      <c r="I636" s="46"/>
      <c r="J636" s="46"/>
      <c r="K636" s="46"/>
      <c r="L636" s="46"/>
      <c r="M636" s="46"/>
      <c r="N636" s="46"/>
      <c r="O636" s="46"/>
      <c r="P636" s="46"/>
      <c r="Q636" s="46"/>
      <c r="R636" s="46"/>
      <c r="S636" s="46"/>
      <c r="T636" s="46"/>
      <c r="U636" s="46"/>
      <c r="V636" s="46"/>
      <c r="W636" s="46"/>
      <c r="X636" s="46"/>
      <c r="Y636" s="46"/>
      <c r="Z636" s="46"/>
      <c r="AA636" s="46"/>
    </row>
    <row r="637">
      <c r="A637" s="4"/>
      <c r="B637" s="46"/>
      <c r="C637" s="46"/>
      <c r="D637" s="46"/>
      <c r="E637" s="18"/>
      <c r="F637" s="18"/>
      <c r="G637" s="46"/>
      <c r="H637" s="46"/>
      <c r="I637" s="46"/>
      <c r="J637" s="46"/>
      <c r="K637" s="46"/>
      <c r="L637" s="46"/>
      <c r="M637" s="46"/>
      <c r="N637" s="46"/>
      <c r="O637" s="46"/>
      <c r="P637" s="46"/>
      <c r="Q637" s="46"/>
      <c r="R637" s="46"/>
      <c r="S637" s="46"/>
      <c r="T637" s="46"/>
      <c r="U637" s="46"/>
      <c r="V637" s="46"/>
      <c r="W637" s="46"/>
      <c r="X637" s="46"/>
      <c r="Y637" s="46"/>
      <c r="Z637" s="46"/>
      <c r="AA637" s="46"/>
    </row>
    <row r="638">
      <c r="A638" s="4"/>
      <c r="B638" s="46"/>
      <c r="C638" s="46"/>
      <c r="D638" s="46"/>
      <c r="E638" s="18"/>
      <c r="F638" s="18"/>
      <c r="G638" s="46"/>
      <c r="H638" s="46"/>
      <c r="I638" s="46"/>
      <c r="J638" s="46"/>
      <c r="K638" s="46"/>
      <c r="L638" s="46"/>
      <c r="M638" s="46"/>
      <c r="N638" s="46"/>
      <c r="O638" s="46"/>
      <c r="P638" s="46"/>
      <c r="Q638" s="46"/>
      <c r="R638" s="46"/>
      <c r="S638" s="46"/>
      <c r="T638" s="46"/>
      <c r="U638" s="46"/>
      <c r="V638" s="46"/>
      <c r="W638" s="46"/>
      <c r="X638" s="46"/>
      <c r="Y638" s="46"/>
      <c r="Z638" s="46"/>
      <c r="AA638" s="46"/>
    </row>
    <row r="639">
      <c r="A639" s="4"/>
      <c r="B639" s="46"/>
      <c r="C639" s="46"/>
      <c r="D639" s="46"/>
      <c r="E639" s="18"/>
      <c r="F639" s="18"/>
      <c r="G639" s="46"/>
      <c r="H639" s="46"/>
      <c r="I639" s="46"/>
      <c r="J639" s="46"/>
      <c r="K639" s="46"/>
      <c r="L639" s="46"/>
      <c r="M639" s="46"/>
      <c r="N639" s="46"/>
      <c r="O639" s="46"/>
      <c r="P639" s="46"/>
      <c r="Q639" s="46"/>
      <c r="R639" s="46"/>
      <c r="S639" s="46"/>
      <c r="T639" s="46"/>
      <c r="U639" s="46"/>
      <c r="V639" s="46"/>
      <c r="W639" s="46"/>
      <c r="X639" s="46"/>
      <c r="Y639" s="46"/>
      <c r="Z639" s="46"/>
      <c r="AA639" s="46"/>
    </row>
    <row r="640">
      <c r="A640" s="4"/>
      <c r="B640" s="46"/>
      <c r="C640" s="46"/>
      <c r="D640" s="46"/>
      <c r="E640" s="18"/>
      <c r="F640" s="18"/>
      <c r="G640" s="46"/>
      <c r="H640" s="46"/>
      <c r="I640" s="46"/>
      <c r="J640" s="46"/>
      <c r="K640" s="46"/>
      <c r="L640" s="46"/>
      <c r="M640" s="46"/>
      <c r="N640" s="46"/>
      <c r="O640" s="46"/>
      <c r="P640" s="46"/>
      <c r="Q640" s="46"/>
      <c r="R640" s="46"/>
      <c r="S640" s="46"/>
      <c r="T640" s="46"/>
      <c r="U640" s="46"/>
      <c r="V640" s="46"/>
      <c r="W640" s="46"/>
      <c r="X640" s="46"/>
      <c r="Y640" s="46"/>
      <c r="Z640" s="46"/>
      <c r="AA640" s="46"/>
    </row>
    <row r="641">
      <c r="A641" s="4"/>
      <c r="B641" s="46"/>
      <c r="C641" s="46"/>
      <c r="D641" s="46"/>
      <c r="E641" s="18"/>
      <c r="F641" s="18"/>
      <c r="G641" s="46"/>
      <c r="H641" s="46"/>
      <c r="I641" s="46"/>
      <c r="J641" s="46"/>
      <c r="K641" s="46"/>
      <c r="L641" s="46"/>
      <c r="M641" s="46"/>
      <c r="N641" s="46"/>
      <c r="O641" s="46"/>
      <c r="P641" s="46"/>
      <c r="Q641" s="46"/>
      <c r="R641" s="46"/>
      <c r="S641" s="46"/>
      <c r="T641" s="46"/>
      <c r="U641" s="46"/>
      <c r="V641" s="46"/>
      <c r="W641" s="46"/>
      <c r="X641" s="46"/>
      <c r="Y641" s="46"/>
      <c r="Z641" s="46"/>
      <c r="AA641" s="46"/>
    </row>
    <row r="642">
      <c r="A642" s="4"/>
      <c r="B642" s="46"/>
      <c r="C642" s="46"/>
      <c r="D642" s="46"/>
      <c r="E642" s="18"/>
      <c r="F642" s="18"/>
      <c r="G642" s="46"/>
      <c r="H642" s="46"/>
      <c r="I642" s="46"/>
      <c r="J642" s="46"/>
      <c r="K642" s="46"/>
      <c r="L642" s="46"/>
      <c r="M642" s="46"/>
      <c r="N642" s="46"/>
      <c r="O642" s="46"/>
      <c r="P642" s="46"/>
      <c r="Q642" s="46"/>
      <c r="R642" s="46"/>
      <c r="S642" s="46"/>
      <c r="T642" s="46"/>
      <c r="U642" s="46"/>
      <c r="V642" s="46"/>
      <c r="W642" s="46"/>
      <c r="X642" s="46"/>
      <c r="Y642" s="46"/>
      <c r="Z642" s="46"/>
      <c r="AA642" s="46"/>
    </row>
    <row r="643">
      <c r="A643" s="4"/>
      <c r="B643" s="46"/>
      <c r="C643" s="46"/>
      <c r="D643" s="46"/>
      <c r="E643" s="18"/>
      <c r="F643" s="18"/>
      <c r="G643" s="46"/>
      <c r="H643" s="46"/>
      <c r="I643" s="46"/>
      <c r="J643" s="46"/>
      <c r="K643" s="46"/>
      <c r="L643" s="46"/>
      <c r="M643" s="46"/>
      <c r="N643" s="46"/>
      <c r="O643" s="46"/>
      <c r="P643" s="46"/>
      <c r="Q643" s="46"/>
      <c r="R643" s="46"/>
      <c r="S643" s="46"/>
      <c r="T643" s="46"/>
      <c r="U643" s="46"/>
      <c r="V643" s="46"/>
      <c r="W643" s="46"/>
      <c r="X643" s="46"/>
      <c r="Y643" s="46"/>
      <c r="Z643" s="46"/>
      <c r="AA643" s="46"/>
    </row>
    <row r="644">
      <c r="A644" s="4"/>
      <c r="B644" s="46"/>
      <c r="C644" s="46"/>
      <c r="D644" s="46"/>
      <c r="E644" s="18"/>
      <c r="F644" s="18"/>
      <c r="G644" s="46"/>
      <c r="H644" s="46"/>
      <c r="I644" s="46"/>
      <c r="J644" s="46"/>
      <c r="K644" s="46"/>
      <c r="L644" s="46"/>
      <c r="M644" s="46"/>
      <c r="N644" s="46"/>
      <c r="O644" s="46"/>
      <c r="P644" s="46"/>
      <c r="Q644" s="46"/>
      <c r="R644" s="46"/>
      <c r="S644" s="46"/>
      <c r="T644" s="46"/>
      <c r="U644" s="46"/>
      <c r="V644" s="46"/>
      <c r="W644" s="46"/>
      <c r="X644" s="46"/>
      <c r="Y644" s="46"/>
      <c r="Z644" s="46"/>
      <c r="AA644" s="46"/>
    </row>
    <row r="645">
      <c r="A645" s="4"/>
      <c r="B645" s="46"/>
      <c r="C645" s="46"/>
      <c r="D645" s="46"/>
      <c r="E645" s="18"/>
      <c r="F645" s="18"/>
      <c r="G645" s="46"/>
      <c r="H645" s="46"/>
      <c r="I645" s="46"/>
      <c r="J645" s="46"/>
      <c r="K645" s="46"/>
      <c r="L645" s="46"/>
      <c r="M645" s="46"/>
      <c r="N645" s="46"/>
      <c r="O645" s="46"/>
      <c r="P645" s="46"/>
      <c r="Q645" s="46"/>
      <c r="R645" s="46"/>
      <c r="S645" s="46"/>
      <c r="T645" s="46"/>
      <c r="U645" s="46"/>
      <c r="V645" s="46"/>
      <c r="W645" s="46"/>
      <c r="X645" s="46"/>
      <c r="Y645" s="46"/>
      <c r="Z645" s="46"/>
      <c r="AA645" s="46"/>
    </row>
    <row r="646">
      <c r="A646" s="4"/>
      <c r="B646" s="46"/>
      <c r="C646" s="46"/>
      <c r="D646" s="46"/>
      <c r="E646" s="18"/>
      <c r="F646" s="18"/>
      <c r="G646" s="46"/>
      <c r="H646" s="46"/>
      <c r="I646" s="46"/>
      <c r="J646" s="46"/>
      <c r="K646" s="46"/>
      <c r="L646" s="46"/>
      <c r="M646" s="46"/>
      <c r="N646" s="46"/>
      <c r="O646" s="46"/>
      <c r="P646" s="46"/>
      <c r="Q646" s="46"/>
      <c r="R646" s="46"/>
      <c r="S646" s="46"/>
      <c r="T646" s="46"/>
      <c r="U646" s="46"/>
      <c r="V646" s="46"/>
      <c r="W646" s="46"/>
      <c r="X646" s="46"/>
      <c r="Y646" s="46"/>
      <c r="Z646" s="46"/>
      <c r="AA646" s="46"/>
    </row>
    <row r="647">
      <c r="A647" s="4"/>
      <c r="B647" s="46"/>
      <c r="C647" s="46"/>
      <c r="D647" s="46"/>
      <c r="E647" s="18"/>
      <c r="F647" s="18"/>
      <c r="G647" s="46"/>
      <c r="H647" s="46"/>
      <c r="I647" s="46"/>
      <c r="J647" s="46"/>
      <c r="K647" s="46"/>
      <c r="L647" s="46"/>
      <c r="M647" s="46"/>
      <c r="N647" s="46"/>
      <c r="O647" s="46"/>
      <c r="P647" s="46"/>
      <c r="Q647" s="46"/>
      <c r="R647" s="46"/>
      <c r="S647" s="46"/>
      <c r="T647" s="46"/>
      <c r="U647" s="46"/>
      <c r="V647" s="46"/>
      <c r="W647" s="46"/>
      <c r="X647" s="46"/>
      <c r="Y647" s="46"/>
      <c r="Z647" s="46"/>
      <c r="AA647" s="46"/>
    </row>
    <row r="648">
      <c r="A648" s="4"/>
      <c r="B648" s="46"/>
      <c r="C648" s="46"/>
      <c r="D648" s="46"/>
      <c r="E648" s="18"/>
      <c r="F648" s="18"/>
      <c r="G648" s="46"/>
      <c r="H648" s="46"/>
      <c r="I648" s="46"/>
      <c r="J648" s="46"/>
      <c r="K648" s="46"/>
      <c r="L648" s="46"/>
      <c r="M648" s="46"/>
      <c r="N648" s="46"/>
      <c r="O648" s="46"/>
      <c r="P648" s="46"/>
      <c r="Q648" s="46"/>
      <c r="R648" s="46"/>
      <c r="S648" s="46"/>
      <c r="T648" s="46"/>
      <c r="U648" s="46"/>
      <c r="V648" s="46"/>
      <c r="W648" s="46"/>
      <c r="X648" s="46"/>
      <c r="Y648" s="46"/>
      <c r="Z648" s="46"/>
      <c r="AA648" s="46"/>
    </row>
    <row r="649">
      <c r="A649" s="4"/>
      <c r="B649" s="46"/>
      <c r="C649" s="46"/>
      <c r="D649" s="46"/>
      <c r="E649" s="18"/>
      <c r="F649" s="18"/>
      <c r="G649" s="46"/>
      <c r="H649" s="46"/>
      <c r="I649" s="46"/>
      <c r="J649" s="46"/>
      <c r="K649" s="46"/>
      <c r="L649" s="46"/>
      <c r="M649" s="46"/>
      <c r="N649" s="46"/>
      <c r="O649" s="46"/>
      <c r="P649" s="46"/>
      <c r="Q649" s="46"/>
      <c r="R649" s="46"/>
      <c r="S649" s="46"/>
      <c r="T649" s="46"/>
      <c r="U649" s="46"/>
      <c r="V649" s="46"/>
      <c r="W649" s="46"/>
      <c r="X649" s="46"/>
      <c r="Y649" s="46"/>
      <c r="Z649" s="46"/>
      <c r="AA649" s="46"/>
    </row>
    <row r="650">
      <c r="A650" s="4"/>
      <c r="B650" s="46"/>
      <c r="C650" s="46"/>
      <c r="D650" s="46"/>
      <c r="E650" s="18"/>
      <c r="F650" s="18"/>
      <c r="G650" s="46"/>
      <c r="H650" s="46"/>
      <c r="I650" s="46"/>
      <c r="J650" s="46"/>
      <c r="K650" s="46"/>
      <c r="L650" s="46"/>
      <c r="M650" s="46"/>
      <c r="N650" s="46"/>
      <c r="O650" s="46"/>
      <c r="P650" s="46"/>
      <c r="Q650" s="46"/>
      <c r="R650" s="46"/>
      <c r="S650" s="46"/>
      <c r="T650" s="46"/>
      <c r="U650" s="46"/>
      <c r="V650" s="46"/>
      <c r="W650" s="46"/>
      <c r="X650" s="46"/>
      <c r="Y650" s="46"/>
      <c r="Z650" s="46"/>
      <c r="AA650" s="46"/>
    </row>
    <row r="651">
      <c r="A651" s="4"/>
      <c r="B651" s="46"/>
      <c r="C651" s="46"/>
      <c r="D651" s="46"/>
      <c r="E651" s="18"/>
      <c r="F651" s="18"/>
      <c r="G651" s="46"/>
      <c r="H651" s="46"/>
      <c r="I651" s="46"/>
      <c r="J651" s="46"/>
      <c r="K651" s="46"/>
      <c r="L651" s="46"/>
      <c r="M651" s="46"/>
      <c r="N651" s="46"/>
      <c r="O651" s="46"/>
      <c r="P651" s="46"/>
      <c r="Q651" s="46"/>
      <c r="R651" s="46"/>
      <c r="S651" s="46"/>
      <c r="T651" s="46"/>
      <c r="U651" s="46"/>
      <c r="V651" s="46"/>
      <c r="W651" s="46"/>
      <c r="X651" s="46"/>
      <c r="Y651" s="46"/>
      <c r="Z651" s="46"/>
      <c r="AA651" s="46"/>
    </row>
    <row r="652">
      <c r="A652" s="4"/>
      <c r="B652" s="46"/>
      <c r="C652" s="46"/>
      <c r="D652" s="46"/>
      <c r="E652" s="18"/>
      <c r="F652" s="18"/>
      <c r="G652" s="46"/>
      <c r="H652" s="46"/>
      <c r="I652" s="46"/>
      <c r="J652" s="46"/>
      <c r="K652" s="46"/>
      <c r="L652" s="46"/>
      <c r="M652" s="46"/>
      <c r="N652" s="46"/>
      <c r="O652" s="46"/>
      <c r="P652" s="46"/>
      <c r="Q652" s="46"/>
      <c r="R652" s="46"/>
      <c r="S652" s="46"/>
      <c r="T652" s="46"/>
      <c r="U652" s="46"/>
      <c r="V652" s="46"/>
      <c r="W652" s="46"/>
      <c r="X652" s="46"/>
      <c r="Y652" s="46"/>
      <c r="Z652" s="46"/>
      <c r="AA652" s="46"/>
    </row>
    <row r="653">
      <c r="A653" s="4"/>
      <c r="B653" s="46"/>
      <c r="C653" s="46"/>
      <c r="D653" s="46"/>
      <c r="E653" s="18"/>
      <c r="F653" s="18"/>
      <c r="G653" s="46"/>
      <c r="H653" s="46"/>
      <c r="I653" s="46"/>
      <c r="J653" s="46"/>
      <c r="K653" s="46"/>
      <c r="L653" s="46"/>
      <c r="M653" s="46"/>
      <c r="N653" s="46"/>
      <c r="O653" s="46"/>
      <c r="P653" s="46"/>
      <c r="Q653" s="46"/>
      <c r="R653" s="46"/>
      <c r="S653" s="46"/>
      <c r="T653" s="46"/>
      <c r="U653" s="46"/>
      <c r="V653" s="46"/>
      <c r="W653" s="46"/>
      <c r="X653" s="46"/>
      <c r="Y653" s="46"/>
      <c r="Z653" s="46"/>
      <c r="AA653" s="46"/>
    </row>
    <row r="654">
      <c r="A654" s="4"/>
      <c r="B654" s="46"/>
      <c r="C654" s="46"/>
      <c r="D654" s="46"/>
      <c r="E654" s="18"/>
      <c r="F654" s="18"/>
      <c r="G654" s="46"/>
      <c r="H654" s="46"/>
      <c r="I654" s="46"/>
      <c r="J654" s="46"/>
      <c r="K654" s="46"/>
      <c r="L654" s="46"/>
      <c r="M654" s="46"/>
      <c r="N654" s="46"/>
      <c r="O654" s="46"/>
      <c r="P654" s="46"/>
      <c r="Q654" s="46"/>
      <c r="R654" s="46"/>
      <c r="S654" s="46"/>
      <c r="T654" s="46"/>
      <c r="U654" s="46"/>
      <c r="V654" s="46"/>
      <c r="W654" s="46"/>
      <c r="X654" s="46"/>
      <c r="Y654" s="46"/>
      <c r="Z654" s="46"/>
      <c r="AA654" s="46"/>
    </row>
    <row r="655">
      <c r="A655" s="4"/>
      <c r="B655" s="46"/>
      <c r="C655" s="46"/>
      <c r="D655" s="46"/>
      <c r="E655" s="18"/>
      <c r="F655" s="18"/>
      <c r="G655" s="46"/>
      <c r="H655" s="46"/>
      <c r="I655" s="46"/>
      <c r="J655" s="46"/>
      <c r="K655" s="46"/>
      <c r="L655" s="46"/>
      <c r="M655" s="46"/>
      <c r="N655" s="46"/>
      <c r="O655" s="46"/>
      <c r="P655" s="46"/>
      <c r="Q655" s="46"/>
      <c r="R655" s="46"/>
      <c r="S655" s="46"/>
      <c r="T655" s="46"/>
      <c r="U655" s="46"/>
      <c r="V655" s="46"/>
      <c r="W655" s="46"/>
      <c r="X655" s="46"/>
      <c r="Y655" s="46"/>
      <c r="Z655" s="46"/>
      <c r="AA655" s="46"/>
    </row>
    <row r="656">
      <c r="A656" s="4"/>
      <c r="B656" s="46"/>
      <c r="C656" s="46"/>
      <c r="D656" s="46"/>
      <c r="E656" s="18"/>
      <c r="F656" s="18"/>
      <c r="G656" s="46"/>
      <c r="H656" s="46"/>
      <c r="I656" s="46"/>
      <c r="J656" s="46"/>
      <c r="K656" s="46"/>
      <c r="L656" s="46"/>
      <c r="M656" s="46"/>
      <c r="N656" s="46"/>
      <c r="O656" s="46"/>
      <c r="P656" s="46"/>
      <c r="Q656" s="46"/>
      <c r="R656" s="46"/>
      <c r="S656" s="46"/>
      <c r="T656" s="46"/>
      <c r="U656" s="46"/>
      <c r="V656" s="46"/>
      <c r="W656" s="46"/>
      <c r="X656" s="46"/>
      <c r="Y656" s="46"/>
      <c r="Z656" s="46"/>
      <c r="AA656" s="46"/>
    </row>
    <row r="657">
      <c r="A657" s="4"/>
      <c r="B657" s="46"/>
      <c r="C657" s="46"/>
      <c r="D657" s="46"/>
      <c r="E657" s="18"/>
      <c r="F657" s="18"/>
      <c r="G657" s="46"/>
      <c r="H657" s="46"/>
      <c r="I657" s="46"/>
      <c r="J657" s="46"/>
      <c r="K657" s="46"/>
      <c r="L657" s="46"/>
      <c r="M657" s="46"/>
      <c r="N657" s="46"/>
      <c r="O657" s="46"/>
      <c r="P657" s="46"/>
      <c r="Q657" s="46"/>
      <c r="R657" s="46"/>
      <c r="S657" s="46"/>
      <c r="T657" s="46"/>
      <c r="U657" s="46"/>
      <c r="V657" s="46"/>
      <c r="W657" s="46"/>
      <c r="X657" s="46"/>
      <c r="Y657" s="46"/>
      <c r="Z657" s="46"/>
      <c r="AA657" s="46"/>
    </row>
    <row r="658">
      <c r="A658" s="4"/>
      <c r="B658" s="46"/>
      <c r="C658" s="46"/>
      <c r="D658" s="46"/>
      <c r="E658" s="18"/>
      <c r="F658" s="18"/>
      <c r="G658" s="46"/>
      <c r="H658" s="46"/>
      <c r="I658" s="46"/>
      <c r="J658" s="46"/>
      <c r="K658" s="46"/>
      <c r="L658" s="46"/>
      <c r="M658" s="46"/>
      <c r="N658" s="46"/>
      <c r="O658" s="46"/>
      <c r="P658" s="46"/>
      <c r="Q658" s="46"/>
      <c r="R658" s="46"/>
      <c r="S658" s="46"/>
      <c r="T658" s="46"/>
      <c r="U658" s="46"/>
      <c r="V658" s="46"/>
      <c r="W658" s="46"/>
      <c r="X658" s="46"/>
      <c r="Y658" s="46"/>
      <c r="Z658" s="46"/>
      <c r="AA658" s="46"/>
    </row>
    <row r="659">
      <c r="A659" s="4"/>
      <c r="B659" s="46"/>
      <c r="C659" s="46"/>
      <c r="D659" s="46"/>
      <c r="E659" s="18"/>
      <c r="F659" s="18"/>
      <c r="G659" s="46"/>
      <c r="H659" s="46"/>
      <c r="I659" s="46"/>
      <c r="J659" s="46"/>
      <c r="K659" s="46"/>
      <c r="L659" s="46"/>
      <c r="M659" s="46"/>
      <c r="N659" s="46"/>
      <c r="O659" s="46"/>
      <c r="P659" s="46"/>
      <c r="Q659" s="46"/>
      <c r="R659" s="46"/>
      <c r="S659" s="46"/>
      <c r="T659" s="46"/>
      <c r="U659" s="46"/>
      <c r="V659" s="46"/>
      <c r="W659" s="46"/>
      <c r="X659" s="46"/>
      <c r="Y659" s="46"/>
      <c r="Z659" s="46"/>
      <c r="AA659" s="46"/>
    </row>
    <row r="660">
      <c r="A660" s="4"/>
      <c r="B660" s="46"/>
      <c r="C660" s="46"/>
      <c r="D660" s="46"/>
      <c r="E660" s="18"/>
      <c r="F660" s="18"/>
      <c r="G660" s="46"/>
      <c r="H660" s="46"/>
      <c r="I660" s="46"/>
      <c r="J660" s="46"/>
      <c r="K660" s="46"/>
      <c r="L660" s="46"/>
      <c r="M660" s="46"/>
      <c r="N660" s="46"/>
      <c r="O660" s="46"/>
      <c r="P660" s="46"/>
      <c r="Q660" s="46"/>
      <c r="R660" s="46"/>
      <c r="S660" s="46"/>
      <c r="T660" s="46"/>
      <c r="U660" s="46"/>
      <c r="V660" s="46"/>
      <c r="W660" s="46"/>
      <c r="X660" s="46"/>
      <c r="Y660" s="46"/>
      <c r="Z660" s="46"/>
      <c r="AA660" s="46"/>
    </row>
    <row r="661">
      <c r="A661" s="4"/>
      <c r="B661" s="46"/>
      <c r="C661" s="46"/>
      <c r="D661" s="46"/>
      <c r="E661" s="18"/>
      <c r="F661" s="18"/>
      <c r="G661" s="46"/>
      <c r="H661" s="46"/>
      <c r="I661" s="46"/>
      <c r="J661" s="46"/>
      <c r="K661" s="46"/>
      <c r="L661" s="46"/>
      <c r="M661" s="46"/>
      <c r="N661" s="46"/>
      <c r="O661" s="46"/>
      <c r="P661" s="46"/>
      <c r="Q661" s="46"/>
      <c r="R661" s="46"/>
      <c r="S661" s="46"/>
      <c r="T661" s="46"/>
      <c r="U661" s="46"/>
      <c r="V661" s="46"/>
      <c r="W661" s="46"/>
      <c r="X661" s="46"/>
      <c r="Y661" s="46"/>
      <c r="Z661" s="46"/>
      <c r="AA661" s="46"/>
    </row>
    <row r="662">
      <c r="A662" s="4"/>
      <c r="B662" s="46"/>
      <c r="C662" s="46"/>
      <c r="D662" s="46"/>
      <c r="E662" s="18"/>
      <c r="F662" s="18"/>
      <c r="G662" s="46"/>
      <c r="H662" s="46"/>
      <c r="I662" s="46"/>
      <c r="J662" s="46"/>
      <c r="K662" s="46"/>
      <c r="L662" s="46"/>
      <c r="M662" s="46"/>
      <c r="N662" s="46"/>
      <c r="O662" s="46"/>
      <c r="P662" s="46"/>
      <c r="Q662" s="46"/>
      <c r="R662" s="46"/>
      <c r="S662" s="46"/>
      <c r="T662" s="46"/>
      <c r="U662" s="46"/>
      <c r="V662" s="46"/>
      <c r="W662" s="46"/>
      <c r="X662" s="46"/>
      <c r="Y662" s="46"/>
      <c r="Z662" s="46"/>
      <c r="AA662" s="46"/>
    </row>
    <row r="663">
      <c r="A663" s="4"/>
      <c r="B663" s="46"/>
      <c r="C663" s="46"/>
      <c r="D663" s="46"/>
      <c r="E663" s="18"/>
      <c r="F663" s="18"/>
      <c r="G663" s="46"/>
      <c r="H663" s="46"/>
      <c r="I663" s="46"/>
      <c r="J663" s="46"/>
      <c r="K663" s="46"/>
      <c r="L663" s="46"/>
      <c r="M663" s="46"/>
      <c r="N663" s="46"/>
      <c r="O663" s="46"/>
      <c r="P663" s="46"/>
      <c r="Q663" s="46"/>
      <c r="R663" s="46"/>
      <c r="S663" s="46"/>
      <c r="T663" s="46"/>
      <c r="U663" s="46"/>
      <c r="V663" s="46"/>
      <c r="W663" s="46"/>
      <c r="X663" s="46"/>
      <c r="Y663" s="46"/>
      <c r="Z663" s="46"/>
      <c r="AA663" s="46"/>
    </row>
    <row r="664">
      <c r="A664" s="4"/>
      <c r="B664" s="46"/>
      <c r="C664" s="46"/>
      <c r="D664" s="46"/>
      <c r="E664" s="18"/>
      <c r="F664" s="18"/>
      <c r="G664" s="46"/>
      <c r="H664" s="46"/>
      <c r="I664" s="46"/>
      <c r="J664" s="46"/>
      <c r="K664" s="46"/>
      <c r="L664" s="46"/>
      <c r="M664" s="46"/>
      <c r="N664" s="46"/>
      <c r="O664" s="46"/>
      <c r="P664" s="46"/>
      <c r="Q664" s="46"/>
      <c r="R664" s="46"/>
      <c r="S664" s="46"/>
      <c r="T664" s="46"/>
      <c r="U664" s="46"/>
      <c r="V664" s="46"/>
      <c r="W664" s="46"/>
      <c r="X664" s="46"/>
      <c r="Y664" s="46"/>
      <c r="Z664" s="46"/>
      <c r="AA664" s="46"/>
    </row>
    <row r="665">
      <c r="A665" s="4"/>
      <c r="B665" s="46"/>
      <c r="C665" s="46"/>
      <c r="D665" s="46"/>
      <c r="E665" s="18"/>
      <c r="F665" s="18"/>
      <c r="G665" s="46"/>
      <c r="H665" s="46"/>
      <c r="I665" s="46"/>
      <c r="J665" s="46"/>
      <c r="K665" s="46"/>
      <c r="L665" s="46"/>
      <c r="M665" s="46"/>
      <c r="N665" s="46"/>
      <c r="O665" s="46"/>
      <c r="P665" s="46"/>
      <c r="Q665" s="46"/>
      <c r="R665" s="46"/>
      <c r="S665" s="46"/>
      <c r="T665" s="46"/>
      <c r="U665" s="46"/>
      <c r="V665" s="46"/>
      <c r="W665" s="46"/>
      <c r="X665" s="46"/>
      <c r="Y665" s="46"/>
      <c r="Z665" s="46"/>
      <c r="AA665" s="46"/>
    </row>
    <row r="666">
      <c r="A666" s="4"/>
      <c r="B666" s="46"/>
      <c r="C666" s="46"/>
      <c r="D666" s="46"/>
      <c r="E666" s="18"/>
      <c r="F666" s="18"/>
      <c r="G666" s="46"/>
      <c r="H666" s="46"/>
      <c r="I666" s="46"/>
      <c r="J666" s="46"/>
      <c r="K666" s="46"/>
      <c r="L666" s="46"/>
      <c r="M666" s="46"/>
      <c r="N666" s="46"/>
      <c r="O666" s="46"/>
      <c r="P666" s="46"/>
      <c r="Q666" s="46"/>
      <c r="R666" s="46"/>
      <c r="S666" s="46"/>
      <c r="T666" s="46"/>
      <c r="U666" s="46"/>
      <c r="V666" s="46"/>
      <c r="W666" s="46"/>
      <c r="X666" s="46"/>
      <c r="Y666" s="46"/>
      <c r="Z666" s="46"/>
      <c r="AA666" s="46"/>
    </row>
    <row r="667">
      <c r="A667" s="4"/>
      <c r="B667" s="46"/>
      <c r="C667" s="46"/>
      <c r="D667" s="46"/>
      <c r="E667" s="18"/>
      <c r="F667" s="18"/>
      <c r="G667" s="46"/>
      <c r="H667" s="46"/>
      <c r="I667" s="46"/>
      <c r="J667" s="46"/>
      <c r="K667" s="46"/>
      <c r="L667" s="46"/>
      <c r="M667" s="46"/>
      <c r="N667" s="46"/>
      <c r="O667" s="46"/>
      <c r="P667" s="46"/>
      <c r="Q667" s="46"/>
      <c r="R667" s="46"/>
      <c r="S667" s="46"/>
      <c r="T667" s="46"/>
      <c r="U667" s="46"/>
      <c r="V667" s="46"/>
      <c r="W667" s="46"/>
      <c r="X667" s="46"/>
      <c r="Y667" s="46"/>
      <c r="Z667" s="46"/>
      <c r="AA667" s="46"/>
    </row>
    <row r="668">
      <c r="A668" s="4"/>
      <c r="B668" s="46"/>
      <c r="C668" s="46"/>
      <c r="D668" s="46"/>
      <c r="E668" s="18"/>
      <c r="F668" s="18"/>
      <c r="G668" s="46"/>
      <c r="H668" s="46"/>
      <c r="I668" s="46"/>
      <c r="J668" s="46"/>
      <c r="K668" s="46"/>
      <c r="L668" s="46"/>
      <c r="M668" s="46"/>
      <c r="N668" s="46"/>
      <c r="O668" s="46"/>
      <c r="P668" s="46"/>
      <c r="Q668" s="46"/>
      <c r="R668" s="46"/>
      <c r="S668" s="46"/>
      <c r="T668" s="46"/>
      <c r="U668" s="46"/>
      <c r="V668" s="46"/>
      <c r="W668" s="46"/>
      <c r="X668" s="46"/>
      <c r="Y668" s="46"/>
      <c r="Z668" s="46"/>
      <c r="AA668" s="46"/>
    </row>
    <row r="669">
      <c r="A669" s="4"/>
      <c r="B669" s="46"/>
      <c r="C669" s="46"/>
      <c r="D669" s="46"/>
      <c r="E669" s="18"/>
      <c r="F669" s="18"/>
      <c r="G669" s="46"/>
      <c r="H669" s="46"/>
      <c r="I669" s="46"/>
      <c r="J669" s="46"/>
      <c r="K669" s="46"/>
      <c r="L669" s="46"/>
      <c r="M669" s="46"/>
      <c r="N669" s="46"/>
      <c r="O669" s="46"/>
      <c r="P669" s="46"/>
      <c r="Q669" s="46"/>
      <c r="R669" s="46"/>
      <c r="S669" s="46"/>
      <c r="T669" s="46"/>
      <c r="U669" s="46"/>
      <c r="V669" s="46"/>
      <c r="W669" s="46"/>
      <c r="X669" s="46"/>
      <c r="Y669" s="46"/>
      <c r="Z669" s="46"/>
      <c r="AA669" s="46"/>
    </row>
    <row r="670">
      <c r="A670" s="4"/>
      <c r="B670" s="46"/>
      <c r="C670" s="46"/>
      <c r="D670" s="46"/>
      <c r="E670" s="18"/>
      <c r="F670" s="18"/>
      <c r="G670" s="46"/>
      <c r="H670" s="46"/>
      <c r="I670" s="46"/>
      <c r="J670" s="46"/>
      <c r="K670" s="46"/>
      <c r="L670" s="46"/>
      <c r="M670" s="46"/>
      <c r="N670" s="46"/>
      <c r="O670" s="46"/>
      <c r="P670" s="46"/>
      <c r="Q670" s="46"/>
      <c r="R670" s="46"/>
      <c r="S670" s="46"/>
      <c r="T670" s="46"/>
      <c r="U670" s="46"/>
      <c r="V670" s="46"/>
      <c r="W670" s="46"/>
      <c r="X670" s="46"/>
      <c r="Y670" s="46"/>
      <c r="Z670" s="46"/>
      <c r="AA670" s="46"/>
    </row>
    <row r="671">
      <c r="A671" s="4"/>
      <c r="B671" s="46"/>
      <c r="C671" s="46"/>
      <c r="D671" s="46"/>
      <c r="E671" s="18"/>
      <c r="F671" s="18"/>
      <c r="G671" s="46"/>
      <c r="H671" s="46"/>
      <c r="I671" s="46"/>
      <c r="J671" s="46"/>
      <c r="K671" s="46"/>
      <c r="L671" s="46"/>
      <c r="M671" s="46"/>
      <c r="N671" s="46"/>
      <c r="O671" s="46"/>
      <c r="P671" s="46"/>
      <c r="Q671" s="46"/>
      <c r="R671" s="46"/>
      <c r="S671" s="46"/>
      <c r="T671" s="46"/>
      <c r="U671" s="46"/>
      <c r="V671" s="46"/>
      <c r="W671" s="46"/>
      <c r="X671" s="46"/>
      <c r="Y671" s="46"/>
      <c r="Z671" s="46"/>
      <c r="AA671" s="46"/>
    </row>
    <row r="672">
      <c r="A672" s="4"/>
      <c r="B672" s="46"/>
      <c r="C672" s="46"/>
      <c r="D672" s="46"/>
      <c r="E672" s="18"/>
      <c r="F672" s="18"/>
      <c r="G672" s="46"/>
      <c r="H672" s="46"/>
      <c r="I672" s="46"/>
      <c r="J672" s="46"/>
      <c r="K672" s="46"/>
      <c r="L672" s="46"/>
      <c r="M672" s="46"/>
      <c r="N672" s="46"/>
      <c r="O672" s="46"/>
      <c r="P672" s="46"/>
      <c r="Q672" s="46"/>
      <c r="R672" s="46"/>
      <c r="S672" s="46"/>
      <c r="T672" s="46"/>
      <c r="U672" s="46"/>
      <c r="V672" s="46"/>
      <c r="W672" s="46"/>
      <c r="X672" s="46"/>
      <c r="Y672" s="46"/>
      <c r="Z672" s="46"/>
      <c r="AA672" s="46"/>
    </row>
    <row r="673">
      <c r="A673" s="4"/>
      <c r="B673" s="46"/>
      <c r="C673" s="46"/>
      <c r="D673" s="46"/>
      <c r="E673" s="18"/>
      <c r="F673" s="18"/>
      <c r="G673" s="46"/>
      <c r="H673" s="46"/>
      <c r="I673" s="46"/>
      <c r="J673" s="46"/>
      <c r="K673" s="46"/>
      <c r="L673" s="46"/>
      <c r="M673" s="46"/>
      <c r="N673" s="46"/>
      <c r="O673" s="46"/>
      <c r="P673" s="46"/>
      <c r="Q673" s="46"/>
      <c r="R673" s="46"/>
      <c r="S673" s="46"/>
      <c r="T673" s="46"/>
      <c r="U673" s="46"/>
      <c r="V673" s="46"/>
      <c r="W673" s="46"/>
      <c r="X673" s="46"/>
      <c r="Y673" s="46"/>
      <c r="Z673" s="46"/>
      <c r="AA673" s="46"/>
    </row>
    <row r="674">
      <c r="A674" s="4"/>
      <c r="B674" s="46"/>
      <c r="C674" s="46"/>
      <c r="D674" s="46"/>
      <c r="E674" s="18"/>
      <c r="F674" s="18"/>
      <c r="G674" s="46"/>
      <c r="H674" s="46"/>
      <c r="I674" s="46"/>
      <c r="J674" s="46"/>
      <c r="K674" s="46"/>
      <c r="L674" s="46"/>
      <c r="M674" s="46"/>
      <c r="N674" s="46"/>
      <c r="O674" s="46"/>
      <c r="P674" s="46"/>
      <c r="Q674" s="46"/>
      <c r="R674" s="46"/>
      <c r="S674" s="46"/>
      <c r="T674" s="46"/>
      <c r="U674" s="46"/>
      <c r="V674" s="46"/>
      <c r="W674" s="46"/>
      <c r="X674" s="46"/>
      <c r="Y674" s="46"/>
      <c r="Z674" s="46"/>
      <c r="AA674" s="46"/>
    </row>
    <row r="675">
      <c r="A675" s="4"/>
      <c r="B675" s="46"/>
      <c r="C675" s="46"/>
      <c r="D675" s="46"/>
      <c r="E675" s="18"/>
      <c r="F675" s="18"/>
      <c r="G675" s="46"/>
      <c r="H675" s="46"/>
      <c r="I675" s="46"/>
      <c r="J675" s="46"/>
      <c r="K675" s="46"/>
      <c r="L675" s="46"/>
      <c r="M675" s="46"/>
      <c r="N675" s="46"/>
      <c r="O675" s="46"/>
      <c r="P675" s="46"/>
      <c r="Q675" s="46"/>
      <c r="R675" s="46"/>
      <c r="S675" s="46"/>
      <c r="T675" s="46"/>
      <c r="U675" s="46"/>
      <c r="V675" s="46"/>
      <c r="W675" s="46"/>
      <c r="X675" s="46"/>
      <c r="Y675" s="46"/>
      <c r="Z675" s="46"/>
      <c r="AA675" s="46"/>
    </row>
    <row r="676">
      <c r="A676" s="4"/>
      <c r="B676" s="46"/>
      <c r="C676" s="46"/>
      <c r="D676" s="46"/>
      <c r="E676" s="18"/>
      <c r="F676" s="18"/>
      <c r="G676" s="46"/>
      <c r="H676" s="46"/>
      <c r="I676" s="46"/>
      <c r="J676" s="46"/>
      <c r="K676" s="46"/>
      <c r="L676" s="46"/>
      <c r="M676" s="46"/>
      <c r="N676" s="46"/>
      <c r="O676" s="46"/>
      <c r="P676" s="46"/>
      <c r="Q676" s="46"/>
      <c r="R676" s="46"/>
      <c r="S676" s="46"/>
      <c r="T676" s="46"/>
      <c r="U676" s="46"/>
      <c r="V676" s="46"/>
      <c r="W676" s="46"/>
      <c r="X676" s="46"/>
      <c r="Y676" s="46"/>
      <c r="Z676" s="46"/>
      <c r="AA676" s="46"/>
    </row>
    <row r="677">
      <c r="A677" s="4"/>
      <c r="B677" s="46"/>
      <c r="C677" s="46"/>
      <c r="D677" s="46"/>
      <c r="E677" s="18"/>
      <c r="F677" s="18"/>
      <c r="G677" s="46"/>
      <c r="H677" s="46"/>
      <c r="I677" s="46"/>
      <c r="J677" s="46"/>
      <c r="K677" s="46"/>
      <c r="L677" s="46"/>
      <c r="M677" s="46"/>
      <c r="N677" s="46"/>
      <c r="O677" s="46"/>
      <c r="P677" s="46"/>
      <c r="Q677" s="46"/>
      <c r="R677" s="46"/>
      <c r="S677" s="46"/>
      <c r="T677" s="46"/>
      <c r="U677" s="46"/>
      <c r="V677" s="46"/>
      <c r="W677" s="46"/>
      <c r="X677" s="46"/>
      <c r="Y677" s="46"/>
      <c r="Z677" s="46"/>
      <c r="AA677" s="46"/>
    </row>
    <row r="678">
      <c r="A678" s="4"/>
      <c r="B678" s="46"/>
      <c r="C678" s="46"/>
      <c r="D678" s="46"/>
      <c r="E678" s="18"/>
      <c r="F678" s="18"/>
      <c r="G678" s="46"/>
      <c r="H678" s="46"/>
      <c r="I678" s="46"/>
      <c r="J678" s="46"/>
      <c r="K678" s="46"/>
      <c r="L678" s="46"/>
      <c r="M678" s="46"/>
      <c r="N678" s="46"/>
      <c r="O678" s="46"/>
      <c r="P678" s="46"/>
      <c r="Q678" s="46"/>
      <c r="R678" s="46"/>
      <c r="S678" s="46"/>
      <c r="T678" s="46"/>
      <c r="U678" s="46"/>
      <c r="V678" s="46"/>
      <c r="W678" s="46"/>
      <c r="X678" s="46"/>
      <c r="Y678" s="46"/>
      <c r="Z678" s="46"/>
      <c r="AA678" s="46"/>
    </row>
    <row r="679">
      <c r="A679" s="4"/>
      <c r="B679" s="46"/>
      <c r="C679" s="46"/>
      <c r="D679" s="46"/>
      <c r="E679" s="18"/>
      <c r="F679" s="18"/>
      <c r="G679" s="46"/>
      <c r="H679" s="46"/>
      <c r="I679" s="46"/>
      <c r="J679" s="46"/>
      <c r="K679" s="46"/>
      <c r="L679" s="46"/>
      <c r="M679" s="46"/>
      <c r="N679" s="46"/>
      <c r="O679" s="46"/>
      <c r="P679" s="46"/>
      <c r="Q679" s="46"/>
      <c r="R679" s="46"/>
      <c r="S679" s="46"/>
      <c r="T679" s="46"/>
      <c r="U679" s="46"/>
      <c r="V679" s="46"/>
      <c r="W679" s="46"/>
      <c r="X679" s="46"/>
      <c r="Y679" s="46"/>
      <c r="Z679" s="46"/>
      <c r="AA679" s="46"/>
    </row>
    <row r="680">
      <c r="A680" s="4"/>
      <c r="B680" s="46"/>
      <c r="C680" s="46"/>
      <c r="D680" s="46"/>
      <c r="E680" s="18"/>
      <c r="F680" s="18"/>
      <c r="G680" s="46"/>
      <c r="H680" s="46"/>
      <c r="I680" s="46"/>
      <c r="J680" s="46"/>
      <c r="K680" s="46"/>
      <c r="L680" s="46"/>
      <c r="M680" s="46"/>
      <c r="N680" s="46"/>
      <c r="O680" s="46"/>
      <c r="P680" s="46"/>
      <c r="Q680" s="46"/>
      <c r="R680" s="46"/>
      <c r="S680" s="46"/>
      <c r="T680" s="46"/>
      <c r="U680" s="46"/>
      <c r="V680" s="46"/>
      <c r="W680" s="46"/>
      <c r="X680" s="46"/>
      <c r="Y680" s="46"/>
      <c r="Z680" s="46"/>
      <c r="AA680" s="46"/>
    </row>
    <row r="681">
      <c r="A681" s="4"/>
      <c r="B681" s="46"/>
      <c r="C681" s="46"/>
      <c r="D681" s="46"/>
      <c r="E681" s="18"/>
      <c r="F681" s="18"/>
      <c r="G681" s="46"/>
      <c r="H681" s="46"/>
      <c r="I681" s="46"/>
      <c r="J681" s="46"/>
      <c r="K681" s="46"/>
      <c r="L681" s="46"/>
      <c r="M681" s="46"/>
      <c r="N681" s="46"/>
      <c r="O681" s="46"/>
      <c r="P681" s="46"/>
      <c r="Q681" s="46"/>
      <c r="R681" s="46"/>
      <c r="S681" s="46"/>
      <c r="T681" s="46"/>
      <c r="U681" s="46"/>
      <c r="V681" s="46"/>
      <c r="W681" s="46"/>
      <c r="X681" s="46"/>
      <c r="Y681" s="46"/>
      <c r="Z681" s="46"/>
      <c r="AA681" s="46"/>
    </row>
    <row r="682">
      <c r="A682" s="4"/>
      <c r="B682" s="46"/>
      <c r="C682" s="46"/>
      <c r="D682" s="46"/>
      <c r="E682" s="18"/>
      <c r="F682" s="18"/>
      <c r="G682" s="46"/>
      <c r="H682" s="46"/>
      <c r="I682" s="46"/>
      <c r="J682" s="46"/>
      <c r="K682" s="46"/>
      <c r="L682" s="46"/>
      <c r="M682" s="46"/>
      <c r="N682" s="46"/>
      <c r="O682" s="46"/>
      <c r="P682" s="46"/>
      <c r="Q682" s="46"/>
      <c r="R682" s="46"/>
      <c r="S682" s="46"/>
      <c r="T682" s="46"/>
      <c r="U682" s="46"/>
      <c r="V682" s="46"/>
      <c r="W682" s="46"/>
      <c r="X682" s="46"/>
      <c r="Y682" s="46"/>
      <c r="Z682" s="46"/>
      <c r="AA682" s="46"/>
    </row>
    <row r="683">
      <c r="A683" s="4"/>
      <c r="B683" s="46"/>
      <c r="C683" s="46"/>
      <c r="D683" s="46"/>
      <c r="E683" s="18"/>
      <c r="F683" s="18"/>
      <c r="G683" s="46"/>
      <c r="H683" s="46"/>
      <c r="I683" s="46"/>
      <c r="J683" s="46"/>
      <c r="K683" s="46"/>
      <c r="L683" s="46"/>
      <c r="M683" s="46"/>
      <c r="N683" s="46"/>
      <c r="O683" s="46"/>
      <c r="P683" s="46"/>
      <c r="Q683" s="46"/>
      <c r="R683" s="46"/>
      <c r="S683" s="46"/>
      <c r="T683" s="46"/>
      <c r="U683" s="46"/>
      <c r="V683" s="46"/>
      <c r="W683" s="46"/>
      <c r="X683" s="46"/>
      <c r="Y683" s="46"/>
      <c r="Z683" s="46"/>
      <c r="AA683" s="46"/>
    </row>
    <row r="684">
      <c r="A684" s="4"/>
      <c r="B684" s="46"/>
      <c r="C684" s="46"/>
      <c r="D684" s="46"/>
      <c r="E684" s="18"/>
      <c r="F684" s="18"/>
      <c r="G684" s="46"/>
      <c r="H684" s="46"/>
      <c r="I684" s="46"/>
      <c r="J684" s="46"/>
      <c r="K684" s="46"/>
      <c r="L684" s="46"/>
      <c r="M684" s="46"/>
      <c r="N684" s="46"/>
      <c r="O684" s="46"/>
      <c r="P684" s="46"/>
      <c r="Q684" s="46"/>
      <c r="R684" s="46"/>
      <c r="S684" s="46"/>
      <c r="T684" s="46"/>
      <c r="U684" s="46"/>
      <c r="V684" s="46"/>
      <c r="W684" s="46"/>
      <c r="X684" s="46"/>
      <c r="Y684" s="46"/>
      <c r="Z684" s="46"/>
      <c r="AA684" s="46"/>
    </row>
    <row r="685">
      <c r="A685" s="4"/>
      <c r="B685" s="46"/>
      <c r="C685" s="46"/>
      <c r="D685" s="46"/>
      <c r="E685" s="18"/>
      <c r="F685" s="18"/>
      <c r="G685" s="46"/>
      <c r="H685" s="46"/>
      <c r="I685" s="46"/>
      <c r="J685" s="46"/>
      <c r="K685" s="46"/>
      <c r="L685" s="46"/>
      <c r="M685" s="46"/>
      <c r="N685" s="46"/>
      <c r="O685" s="46"/>
      <c r="P685" s="46"/>
      <c r="Q685" s="46"/>
      <c r="R685" s="46"/>
      <c r="S685" s="46"/>
      <c r="T685" s="46"/>
      <c r="U685" s="46"/>
      <c r="V685" s="46"/>
      <c r="W685" s="46"/>
      <c r="X685" s="46"/>
      <c r="Y685" s="46"/>
      <c r="Z685" s="46"/>
      <c r="AA685" s="46"/>
    </row>
    <row r="686">
      <c r="A686" s="4"/>
      <c r="B686" s="46"/>
      <c r="C686" s="46"/>
      <c r="D686" s="46"/>
      <c r="E686" s="18"/>
      <c r="F686" s="18"/>
      <c r="G686" s="46"/>
      <c r="H686" s="46"/>
      <c r="I686" s="46"/>
      <c r="J686" s="46"/>
      <c r="K686" s="46"/>
      <c r="L686" s="46"/>
      <c r="M686" s="46"/>
      <c r="N686" s="46"/>
      <c r="O686" s="46"/>
      <c r="P686" s="46"/>
      <c r="Q686" s="46"/>
      <c r="R686" s="46"/>
      <c r="S686" s="46"/>
      <c r="T686" s="46"/>
      <c r="U686" s="46"/>
      <c r="V686" s="46"/>
      <c r="W686" s="46"/>
      <c r="X686" s="46"/>
      <c r="Y686" s="46"/>
      <c r="Z686" s="46"/>
      <c r="AA686" s="46"/>
    </row>
    <row r="687">
      <c r="A687" s="4"/>
      <c r="B687" s="46"/>
      <c r="C687" s="46"/>
      <c r="D687" s="46"/>
      <c r="E687" s="18"/>
      <c r="F687" s="18"/>
      <c r="G687" s="46"/>
      <c r="H687" s="46"/>
      <c r="I687" s="46"/>
      <c r="J687" s="46"/>
      <c r="K687" s="46"/>
      <c r="L687" s="46"/>
      <c r="M687" s="46"/>
      <c r="N687" s="46"/>
      <c r="O687" s="46"/>
      <c r="P687" s="46"/>
      <c r="Q687" s="46"/>
      <c r="R687" s="46"/>
      <c r="S687" s="46"/>
      <c r="T687" s="46"/>
      <c r="U687" s="46"/>
      <c r="V687" s="46"/>
      <c r="W687" s="46"/>
      <c r="X687" s="46"/>
      <c r="Y687" s="46"/>
      <c r="Z687" s="46"/>
      <c r="AA687" s="46"/>
    </row>
    <row r="688">
      <c r="A688" s="4"/>
      <c r="B688" s="46"/>
      <c r="C688" s="46"/>
      <c r="D688" s="46"/>
      <c r="E688" s="18"/>
      <c r="F688" s="18"/>
      <c r="G688" s="46"/>
      <c r="H688" s="46"/>
      <c r="I688" s="46"/>
      <c r="J688" s="46"/>
      <c r="K688" s="46"/>
      <c r="L688" s="46"/>
      <c r="M688" s="46"/>
      <c r="N688" s="46"/>
      <c r="O688" s="46"/>
      <c r="P688" s="46"/>
      <c r="Q688" s="46"/>
      <c r="R688" s="46"/>
      <c r="S688" s="46"/>
      <c r="T688" s="46"/>
      <c r="U688" s="46"/>
      <c r="V688" s="46"/>
      <c r="W688" s="46"/>
      <c r="X688" s="46"/>
      <c r="Y688" s="46"/>
      <c r="Z688" s="46"/>
      <c r="AA688" s="46"/>
    </row>
    <row r="689">
      <c r="A689" s="4"/>
      <c r="B689" s="46"/>
      <c r="C689" s="46"/>
      <c r="D689" s="46"/>
      <c r="E689" s="18"/>
      <c r="F689" s="18"/>
      <c r="G689" s="46"/>
      <c r="H689" s="46"/>
      <c r="I689" s="46"/>
      <c r="J689" s="46"/>
      <c r="K689" s="46"/>
      <c r="L689" s="46"/>
      <c r="M689" s="46"/>
      <c r="N689" s="46"/>
      <c r="O689" s="46"/>
      <c r="P689" s="46"/>
      <c r="Q689" s="46"/>
      <c r="R689" s="46"/>
      <c r="S689" s="46"/>
      <c r="T689" s="46"/>
      <c r="U689" s="46"/>
      <c r="V689" s="46"/>
      <c r="W689" s="46"/>
      <c r="X689" s="46"/>
      <c r="Y689" s="46"/>
      <c r="Z689" s="46"/>
      <c r="AA689" s="46"/>
    </row>
    <row r="690">
      <c r="A690" s="4"/>
      <c r="B690" s="46"/>
      <c r="C690" s="46"/>
      <c r="D690" s="46"/>
      <c r="E690" s="18"/>
      <c r="F690" s="18"/>
      <c r="G690" s="46"/>
      <c r="H690" s="46"/>
      <c r="I690" s="46"/>
      <c r="J690" s="46"/>
      <c r="K690" s="46"/>
      <c r="L690" s="46"/>
      <c r="M690" s="46"/>
      <c r="N690" s="46"/>
      <c r="O690" s="46"/>
      <c r="P690" s="46"/>
      <c r="Q690" s="46"/>
      <c r="R690" s="46"/>
      <c r="S690" s="46"/>
      <c r="T690" s="46"/>
      <c r="U690" s="46"/>
      <c r="V690" s="46"/>
      <c r="W690" s="46"/>
      <c r="X690" s="46"/>
      <c r="Y690" s="46"/>
      <c r="Z690" s="46"/>
      <c r="AA690" s="46"/>
    </row>
    <row r="691">
      <c r="A691" s="4"/>
      <c r="B691" s="46"/>
      <c r="C691" s="46"/>
      <c r="D691" s="46"/>
      <c r="E691" s="18"/>
      <c r="F691" s="18"/>
      <c r="G691" s="46"/>
      <c r="H691" s="46"/>
      <c r="I691" s="46"/>
      <c r="J691" s="46"/>
      <c r="K691" s="46"/>
      <c r="L691" s="46"/>
      <c r="M691" s="46"/>
      <c r="N691" s="46"/>
      <c r="O691" s="46"/>
      <c r="P691" s="46"/>
      <c r="Q691" s="46"/>
      <c r="R691" s="46"/>
      <c r="S691" s="46"/>
      <c r="T691" s="46"/>
      <c r="U691" s="46"/>
      <c r="V691" s="46"/>
      <c r="W691" s="46"/>
      <c r="X691" s="46"/>
      <c r="Y691" s="46"/>
      <c r="Z691" s="46"/>
      <c r="AA691" s="46"/>
    </row>
    <row r="692">
      <c r="A692" s="4"/>
      <c r="B692" s="46"/>
      <c r="C692" s="46"/>
      <c r="D692" s="46"/>
      <c r="E692" s="18"/>
      <c r="F692" s="18"/>
      <c r="G692" s="46"/>
      <c r="H692" s="46"/>
      <c r="I692" s="46"/>
      <c r="J692" s="46"/>
      <c r="K692" s="46"/>
      <c r="L692" s="46"/>
      <c r="M692" s="46"/>
      <c r="N692" s="46"/>
      <c r="O692" s="46"/>
      <c r="P692" s="46"/>
      <c r="Q692" s="46"/>
      <c r="R692" s="46"/>
      <c r="S692" s="46"/>
      <c r="T692" s="46"/>
      <c r="U692" s="46"/>
      <c r="V692" s="46"/>
      <c r="W692" s="46"/>
      <c r="X692" s="46"/>
      <c r="Y692" s="46"/>
      <c r="Z692" s="46"/>
      <c r="AA692" s="46"/>
    </row>
    <row r="693">
      <c r="A693" s="4"/>
      <c r="B693" s="46"/>
      <c r="C693" s="46"/>
      <c r="D693" s="46"/>
      <c r="E693" s="18"/>
      <c r="F693" s="18"/>
      <c r="G693" s="46"/>
      <c r="H693" s="46"/>
      <c r="I693" s="46"/>
      <c r="J693" s="46"/>
      <c r="K693" s="46"/>
      <c r="L693" s="46"/>
      <c r="M693" s="46"/>
      <c r="N693" s="46"/>
      <c r="O693" s="46"/>
      <c r="P693" s="46"/>
      <c r="Q693" s="46"/>
      <c r="R693" s="46"/>
      <c r="S693" s="46"/>
      <c r="T693" s="46"/>
      <c r="U693" s="46"/>
      <c r="V693" s="46"/>
      <c r="W693" s="46"/>
      <c r="X693" s="46"/>
      <c r="Y693" s="46"/>
      <c r="Z693" s="46"/>
      <c r="AA693" s="46"/>
    </row>
    <row r="694">
      <c r="A694" s="4"/>
      <c r="B694" s="46"/>
      <c r="C694" s="46"/>
      <c r="D694" s="46"/>
      <c r="E694" s="18"/>
      <c r="F694" s="18"/>
      <c r="G694" s="46"/>
      <c r="H694" s="46"/>
      <c r="I694" s="46"/>
      <c r="J694" s="46"/>
      <c r="K694" s="46"/>
      <c r="L694" s="46"/>
      <c r="M694" s="46"/>
      <c r="N694" s="46"/>
      <c r="O694" s="46"/>
      <c r="P694" s="46"/>
      <c r="Q694" s="46"/>
      <c r="R694" s="46"/>
      <c r="S694" s="46"/>
      <c r="T694" s="46"/>
      <c r="U694" s="46"/>
      <c r="V694" s="46"/>
      <c r="W694" s="46"/>
      <c r="X694" s="46"/>
      <c r="Y694" s="46"/>
      <c r="Z694" s="46"/>
      <c r="AA694" s="46"/>
    </row>
    <row r="695">
      <c r="A695" s="4"/>
      <c r="B695" s="46"/>
      <c r="C695" s="46"/>
      <c r="D695" s="46"/>
      <c r="E695" s="18"/>
      <c r="F695" s="18"/>
      <c r="G695" s="46"/>
      <c r="H695" s="46"/>
      <c r="I695" s="46"/>
      <c r="J695" s="46"/>
      <c r="K695" s="46"/>
      <c r="L695" s="46"/>
      <c r="M695" s="46"/>
      <c r="N695" s="46"/>
      <c r="O695" s="46"/>
      <c r="P695" s="46"/>
      <c r="Q695" s="46"/>
      <c r="R695" s="46"/>
      <c r="S695" s="46"/>
      <c r="T695" s="46"/>
      <c r="U695" s="46"/>
      <c r="V695" s="46"/>
      <c r="W695" s="46"/>
      <c r="X695" s="46"/>
      <c r="Y695" s="46"/>
      <c r="Z695" s="46"/>
      <c r="AA695" s="46"/>
    </row>
    <row r="696">
      <c r="A696" s="4"/>
      <c r="B696" s="46"/>
      <c r="C696" s="46"/>
      <c r="D696" s="46"/>
      <c r="E696" s="18"/>
      <c r="F696" s="18"/>
      <c r="G696" s="46"/>
      <c r="H696" s="46"/>
      <c r="I696" s="46"/>
      <c r="J696" s="46"/>
      <c r="K696" s="46"/>
      <c r="L696" s="46"/>
      <c r="M696" s="46"/>
      <c r="N696" s="46"/>
      <c r="O696" s="46"/>
      <c r="P696" s="46"/>
      <c r="Q696" s="46"/>
      <c r="R696" s="46"/>
      <c r="S696" s="46"/>
      <c r="T696" s="46"/>
      <c r="U696" s="46"/>
      <c r="V696" s="46"/>
      <c r="W696" s="46"/>
      <c r="X696" s="46"/>
      <c r="Y696" s="46"/>
      <c r="Z696" s="46"/>
      <c r="AA696" s="46"/>
    </row>
    <row r="697">
      <c r="A697" s="4"/>
      <c r="B697" s="46"/>
      <c r="C697" s="46"/>
      <c r="D697" s="46"/>
      <c r="E697" s="18"/>
      <c r="F697" s="18"/>
      <c r="G697" s="46"/>
      <c r="H697" s="46"/>
      <c r="I697" s="46"/>
      <c r="J697" s="46"/>
      <c r="K697" s="46"/>
      <c r="L697" s="46"/>
      <c r="M697" s="46"/>
      <c r="N697" s="46"/>
      <c r="O697" s="46"/>
      <c r="P697" s="46"/>
      <c r="Q697" s="46"/>
      <c r="R697" s="46"/>
      <c r="S697" s="46"/>
      <c r="T697" s="46"/>
      <c r="U697" s="46"/>
      <c r="V697" s="46"/>
      <c r="W697" s="46"/>
      <c r="X697" s="46"/>
      <c r="Y697" s="46"/>
      <c r="Z697" s="46"/>
      <c r="AA697" s="46"/>
    </row>
    <row r="698">
      <c r="A698" s="4"/>
      <c r="B698" s="46"/>
      <c r="C698" s="46"/>
      <c r="D698" s="46"/>
      <c r="E698" s="18"/>
      <c r="F698" s="18"/>
      <c r="G698" s="46"/>
      <c r="H698" s="46"/>
      <c r="I698" s="46"/>
      <c r="J698" s="46"/>
      <c r="K698" s="46"/>
      <c r="L698" s="46"/>
      <c r="M698" s="46"/>
      <c r="N698" s="46"/>
      <c r="O698" s="46"/>
      <c r="P698" s="46"/>
      <c r="Q698" s="46"/>
      <c r="R698" s="46"/>
      <c r="S698" s="46"/>
      <c r="T698" s="46"/>
      <c r="U698" s="46"/>
      <c r="V698" s="46"/>
      <c r="W698" s="46"/>
      <c r="X698" s="46"/>
      <c r="Y698" s="46"/>
      <c r="Z698" s="46"/>
      <c r="AA698" s="46"/>
    </row>
    <row r="699">
      <c r="A699" s="4"/>
      <c r="B699" s="46"/>
      <c r="C699" s="46"/>
      <c r="D699" s="46"/>
      <c r="E699" s="18"/>
      <c r="F699" s="18"/>
      <c r="G699" s="46"/>
      <c r="H699" s="46"/>
      <c r="I699" s="46"/>
      <c r="J699" s="46"/>
      <c r="K699" s="46"/>
      <c r="L699" s="46"/>
      <c r="M699" s="46"/>
      <c r="N699" s="46"/>
      <c r="O699" s="46"/>
      <c r="P699" s="46"/>
      <c r="Q699" s="46"/>
      <c r="R699" s="46"/>
      <c r="S699" s="46"/>
      <c r="T699" s="46"/>
      <c r="U699" s="46"/>
      <c r="V699" s="46"/>
      <c r="W699" s="46"/>
      <c r="X699" s="46"/>
      <c r="Y699" s="46"/>
      <c r="Z699" s="46"/>
      <c r="AA699" s="46"/>
    </row>
    <row r="700">
      <c r="A700" s="4"/>
      <c r="B700" s="46"/>
      <c r="C700" s="46"/>
      <c r="D700" s="46"/>
      <c r="E700" s="18"/>
      <c r="F700" s="18"/>
      <c r="G700" s="46"/>
      <c r="H700" s="46"/>
      <c r="I700" s="46"/>
      <c r="J700" s="46"/>
      <c r="K700" s="46"/>
      <c r="L700" s="46"/>
      <c r="M700" s="46"/>
      <c r="N700" s="46"/>
      <c r="O700" s="46"/>
      <c r="P700" s="46"/>
      <c r="Q700" s="46"/>
      <c r="R700" s="46"/>
      <c r="S700" s="46"/>
      <c r="T700" s="46"/>
      <c r="U700" s="46"/>
      <c r="V700" s="46"/>
      <c r="W700" s="46"/>
      <c r="X700" s="46"/>
      <c r="Y700" s="46"/>
      <c r="Z700" s="46"/>
      <c r="AA700" s="46"/>
    </row>
    <row r="701">
      <c r="A701" s="4"/>
      <c r="B701" s="46"/>
      <c r="C701" s="46"/>
      <c r="D701" s="46"/>
      <c r="E701" s="18"/>
      <c r="F701" s="18"/>
      <c r="G701" s="46"/>
      <c r="H701" s="46"/>
      <c r="I701" s="46"/>
      <c r="J701" s="46"/>
      <c r="K701" s="46"/>
      <c r="L701" s="46"/>
      <c r="M701" s="46"/>
      <c r="N701" s="46"/>
      <c r="O701" s="46"/>
      <c r="P701" s="46"/>
      <c r="Q701" s="46"/>
      <c r="R701" s="46"/>
      <c r="S701" s="46"/>
      <c r="T701" s="46"/>
      <c r="U701" s="46"/>
      <c r="V701" s="46"/>
      <c r="W701" s="46"/>
      <c r="X701" s="46"/>
      <c r="Y701" s="46"/>
      <c r="Z701" s="46"/>
      <c r="AA701" s="46"/>
    </row>
    <row r="702">
      <c r="A702" s="4"/>
      <c r="B702" s="46"/>
      <c r="C702" s="46"/>
      <c r="D702" s="46"/>
      <c r="E702" s="18"/>
      <c r="F702" s="18"/>
      <c r="G702" s="46"/>
      <c r="H702" s="46"/>
      <c r="I702" s="46"/>
      <c r="J702" s="46"/>
      <c r="K702" s="46"/>
      <c r="L702" s="46"/>
      <c r="M702" s="46"/>
      <c r="N702" s="46"/>
      <c r="O702" s="46"/>
      <c r="P702" s="46"/>
      <c r="Q702" s="46"/>
      <c r="R702" s="46"/>
      <c r="S702" s="46"/>
      <c r="T702" s="46"/>
      <c r="U702" s="46"/>
      <c r="V702" s="46"/>
      <c r="W702" s="46"/>
      <c r="X702" s="46"/>
      <c r="Y702" s="46"/>
      <c r="Z702" s="46"/>
      <c r="AA702" s="46"/>
    </row>
    <row r="703">
      <c r="A703" s="4"/>
      <c r="B703" s="46"/>
      <c r="C703" s="46"/>
      <c r="D703" s="46"/>
      <c r="E703" s="18"/>
      <c r="F703" s="18"/>
      <c r="G703" s="46"/>
      <c r="H703" s="46"/>
      <c r="I703" s="46"/>
      <c r="J703" s="46"/>
      <c r="K703" s="46"/>
      <c r="L703" s="46"/>
      <c r="M703" s="46"/>
      <c r="N703" s="46"/>
      <c r="O703" s="46"/>
      <c r="P703" s="46"/>
      <c r="Q703" s="46"/>
      <c r="R703" s="46"/>
      <c r="S703" s="46"/>
      <c r="T703" s="46"/>
      <c r="U703" s="46"/>
      <c r="V703" s="46"/>
      <c r="W703" s="46"/>
      <c r="X703" s="46"/>
      <c r="Y703" s="46"/>
      <c r="Z703" s="46"/>
      <c r="AA703" s="46"/>
    </row>
    <row r="704">
      <c r="A704" s="4"/>
      <c r="B704" s="46"/>
      <c r="C704" s="46"/>
      <c r="D704" s="46"/>
      <c r="E704" s="18"/>
      <c r="F704" s="18"/>
      <c r="G704" s="46"/>
      <c r="H704" s="46"/>
      <c r="I704" s="46"/>
      <c r="J704" s="46"/>
      <c r="K704" s="46"/>
      <c r="L704" s="46"/>
      <c r="M704" s="46"/>
      <c r="N704" s="46"/>
      <c r="O704" s="46"/>
      <c r="P704" s="46"/>
      <c r="Q704" s="46"/>
      <c r="R704" s="46"/>
      <c r="S704" s="46"/>
      <c r="T704" s="46"/>
      <c r="U704" s="46"/>
      <c r="V704" s="46"/>
      <c r="W704" s="46"/>
      <c r="X704" s="46"/>
      <c r="Y704" s="46"/>
      <c r="Z704" s="46"/>
      <c r="AA704" s="46"/>
    </row>
    <row r="705">
      <c r="A705" s="4"/>
      <c r="B705" s="46"/>
      <c r="C705" s="46"/>
      <c r="D705" s="46"/>
      <c r="E705" s="18"/>
      <c r="F705" s="18"/>
      <c r="G705" s="46"/>
      <c r="H705" s="46"/>
      <c r="I705" s="46"/>
      <c r="J705" s="46"/>
      <c r="K705" s="46"/>
      <c r="L705" s="46"/>
      <c r="M705" s="46"/>
      <c r="N705" s="46"/>
      <c r="O705" s="46"/>
      <c r="P705" s="46"/>
      <c r="Q705" s="46"/>
      <c r="R705" s="46"/>
      <c r="S705" s="46"/>
      <c r="T705" s="46"/>
      <c r="U705" s="46"/>
      <c r="V705" s="46"/>
      <c r="W705" s="46"/>
      <c r="X705" s="46"/>
      <c r="Y705" s="46"/>
      <c r="Z705" s="46"/>
      <c r="AA705" s="46"/>
    </row>
    <row r="706">
      <c r="A706" s="4"/>
      <c r="B706" s="46"/>
      <c r="C706" s="46"/>
      <c r="D706" s="46"/>
      <c r="E706" s="18"/>
      <c r="F706" s="18"/>
      <c r="G706" s="46"/>
      <c r="H706" s="46"/>
      <c r="I706" s="46"/>
      <c r="J706" s="46"/>
      <c r="K706" s="46"/>
      <c r="L706" s="46"/>
      <c r="M706" s="46"/>
      <c r="N706" s="46"/>
      <c r="O706" s="46"/>
      <c r="P706" s="46"/>
      <c r="Q706" s="46"/>
      <c r="R706" s="46"/>
      <c r="S706" s="46"/>
      <c r="T706" s="46"/>
      <c r="U706" s="46"/>
      <c r="V706" s="46"/>
      <c r="W706" s="46"/>
      <c r="X706" s="46"/>
      <c r="Y706" s="46"/>
      <c r="Z706" s="46"/>
      <c r="AA706" s="46"/>
    </row>
    <row r="707">
      <c r="A707" s="4"/>
      <c r="B707" s="46"/>
      <c r="C707" s="46"/>
      <c r="D707" s="46"/>
      <c r="E707" s="18"/>
      <c r="F707" s="18"/>
      <c r="G707" s="46"/>
      <c r="H707" s="46"/>
      <c r="I707" s="46"/>
      <c r="J707" s="46"/>
      <c r="K707" s="46"/>
      <c r="L707" s="46"/>
      <c r="M707" s="46"/>
      <c r="N707" s="46"/>
      <c r="O707" s="46"/>
      <c r="P707" s="46"/>
      <c r="Q707" s="46"/>
      <c r="R707" s="46"/>
      <c r="S707" s="46"/>
      <c r="T707" s="46"/>
      <c r="U707" s="46"/>
      <c r="V707" s="46"/>
      <c r="W707" s="46"/>
      <c r="X707" s="46"/>
      <c r="Y707" s="46"/>
      <c r="Z707" s="46"/>
      <c r="AA707" s="46"/>
    </row>
    <row r="708">
      <c r="A708" s="4"/>
      <c r="B708" s="46"/>
      <c r="C708" s="46"/>
      <c r="D708" s="46"/>
      <c r="E708" s="18"/>
      <c r="F708" s="18"/>
      <c r="G708" s="46"/>
      <c r="H708" s="46"/>
      <c r="I708" s="46"/>
      <c r="J708" s="46"/>
      <c r="K708" s="46"/>
      <c r="L708" s="46"/>
      <c r="M708" s="46"/>
      <c r="N708" s="46"/>
      <c r="O708" s="46"/>
      <c r="P708" s="46"/>
      <c r="Q708" s="46"/>
      <c r="R708" s="46"/>
      <c r="S708" s="46"/>
      <c r="T708" s="46"/>
      <c r="U708" s="46"/>
      <c r="V708" s="46"/>
      <c r="W708" s="46"/>
      <c r="X708" s="46"/>
      <c r="Y708" s="46"/>
      <c r="Z708" s="46"/>
      <c r="AA708" s="46"/>
    </row>
    <row r="709">
      <c r="A709" s="4"/>
      <c r="B709" s="46"/>
      <c r="C709" s="46"/>
      <c r="D709" s="46"/>
      <c r="E709" s="18"/>
      <c r="F709" s="18"/>
      <c r="G709" s="46"/>
      <c r="H709" s="46"/>
      <c r="I709" s="46"/>
      <c r="J709" s="46"/>
      <c r="K709" s="46"/>
      <c r="L709" s="46"/>
      <c r="M709" s="46"/>
      <c r="N709" s="46"/>
      <c r="O709" s="46"/>
      <c r="P709" s="46"/>
      <c r="Q709" s="46"/>
      <c r="R709" s="46"/>
      <c r="S709" s="46"/>
      <c r="T709" s="46"/>
      <c r="U709" s="46"/>
      <c r="V709" s="46"/>
      <c r="W709" s="46"/>
      <c r="X709" s="46"/>
      <c r="Y709" s="46"/>
      <c r="Z709" s="46"/>
      <c r="AA709" s="46"/>
    </row>
    <row r="710">
      <c r="A710" s="4"/>
      <c r="B710" s="46"/>
      <c r="C710" s="46"/>
      <c r="D710" s="46"/>
      <c r="E710" s="18"/>
      <c r="F710" s="18"/>
      <c r="G710" s="46"/>
      <c r="H710" s="46"/>
      <c r="I710" s="46"/>
      <c r="J710" s="46"/>
      <c r="K710" s="46"/>
      <c r="L710" s="46"/>
      <c r="M710" s="46"/>
      <c r="N710" s="46"/>
      <c r="O710" s="46"/>
      <c r="P710" s="46"/>
      <c r="Q710" s="46"/>
      <c r="R710" s="46"/>
      <c r="S710" s="46"/>
      <c r="T710" s="46"/>
      <c r="U710" s="46"/>
      <c r="V710" s="46"/>
      <c r="W710" s="46"/>
      <c r="X710" s="46"/>
      <c r="Y710" s="46"/>
      <c r="Z710" s="46"/>
      <c r="AA710" s="46"/>
    </row>
    <row r="711">
      <c r="A711" s="4"/>
      <c r="B711" s="46"/>
      <c r="C711" s="46"/>
      <c r="D711" s="46"/>
      <c r="E711" s="18"/>
      <c r="F711" s="18"/>
      <c r="G711" s="46"/>
      <c r="H711" s="46"/>
      <c r="I711" s="46"/>
      <c r="J711" s="46"/>
      <c r="K711" s="46"/>
      <c r="L711" s="46"/>
      <c r="M711" s="46"/>
      <c r="N711" s="46"/>
      <c r="O711" s="46"/>
      <c r="P711" s="46"/>
      <c r="Q711" s="46"/>
      <c r="R711" s="46"/>
      <c r="S711" s="46"/>
      <c r="T711" s="46"/>
      <c r="U711" s="46"/>
      <c r="V711" s="46"/>
      <c r="W711" s="46"/>
      <c r="X711" s="46"/>
      <c r="Y711" s="46"/>
      <c r="Z711" s="46"/>
      <c r="AA711" s="46"/>
    </row>
    <row r="712">
      <c r="A712" s="4"/>
      <c r="B712" s="46"/>
      <c r="C712" s="46"/>
      <c r="D712" s="46"/>
      <c r="E712" s="18"/>
      <c r="F712" s="18"/>
      <c r="G712" s="46"/>
      <c r="H712" s="46"/>
      <c r="I712" s="46"/>
      <c r="J712" s="46"/>
      <c r="K712" s="46"/>
      <c r="L712" s="46"/>
      <c r="M712" s="46"/>
      <c r="N712" s="46"/>
      <c r="O712" s="46"/>
      <c r="P712" s="46"/>
      <c r="Q712" s="46"/>
      <c r="R712" s="46"/>
      <c r="S712" s="46"/>
      <c r="T712" s="46"/>
      <c r="U712" s="46"/>
      <c r="V712" s="46"/>
      <c r="W712" s="46"/>
      <c r="X712" s="46"/>
      <c r="Y712" s="46"/>
      <c r="Z712" s="46"/>
      <c r="AA712" s="46"/>
    </row>
    <row r="713">
      <c r="A713" s="4"/>
      <c r="B713" s="46"/>
      <c r="C713" s="46"/>
      <c r="D713" s="46"/>
      <c r="E713" s="18"/>
      <c r="F713" s="18"/>
      <c r="G713" s="46"/>
      <c r="H713" s="46"/>
      <c r="I713" s="46"/>
      <c r="J713" s="46"/>
      <c r="K713" s="46"/>
      <c r="L713" s="46"/>
      <c r="M713" s="46"/>
      <c r="N713" s="46"/>
      <c r="O713" s="46"/>
      <c r="P713" s="46"/>
      <c r="Q713" s="46"/>
      <c r="R713" s="46"/>
      <c r="S713" s="46"/>
      <c r="T713" s="46"/>
      <c r="U713" s="46"/>
      <c r="V713" s="46"/>
      <c r="W713" s="46"/>
      <c r="X713" s="46"/>
      <c r="Y713" s="46"/>
      <c r="Z713" s="46"/>
      <c r="AA713" s="46"/>
    </row>
    <row r="714">
      <c r="A714" s="4"/>
      <c r="B714" s="46"/>
      <c r="C714" s="46"/>
      <c r="D714" s="46"/>
      <c r="E714" s="18"/>
      <c r="F714" s="18"/>
      <c r="G714" s="46"/>
      <c r="H714" s="46"/>
      <c r="I714" s="46"/>
      <c r="J714" s="46"/>
      <c r="K714" s="46"/>
      <c r="L714" s="46"/>
      <c r="M714" s="46"/>
      <c r="N714" s="46"/>
      <c r="O714" s="46"/>
      <c r="P714" s="46"/>
      <c r="Q714" s="46"/>
      <c r="R714" s="46"/>
      <c r="S714" s="46"/>
      <c r="T714" s="46"/>
      <c r="U714" s="46"/>
      <c r="V714" s="46"/>
      <c r="W714" s="46"/>
      <c r="X714" s="46"/>
      <c r="Y714" s="46"/>
      <c r="Z714" s="46"/>
      <c r="AA714" s="46"/>
    </row>
    <row r="715">
      <c r="A715" s="4"/>
      <c r="B715" s="46"/>
      <c r="C715" s="46"/>
      <c r="D715" s="46"/>
      <c r="E715" s="18"/>
      <c r="F715" s="18"/>
      <c r="G715" s="46"/>
      <c r="H715" s="46"/>
      <c r="I715" s="46"/>
      <c r="J715" s="46"/>
      <c r="K715" s="46"/>
      <c r="L715" s="46"/>
      <c r="M715" s="46"/>
      <c r="N715" s="46"/>
      <c r="O715" s="46"/>
      <c r="P715" s="46"/>
      <c r="Q715" s="46"/>
      <c r="R715" s="46"/>
      <c r="S715" s="46"/>
      <c r="T715" s="46"/>
      <c r="U715" s="46"/>
      <c r="V715" s="46"/>
      <c r="W715" s="46"/>
      <c r="X715" s="46"/>
      <c r="Y715" s="46"/>
      <c r="Z715" s="46"/>
      <c r="AA715" s="46"/>
    </row>
    <row r="716">
      <c r="A716" s="4"/>
      <c r="B716" s="46"/>
      <c r="C716" s="46"/>
      <c r="D716" s="46"/>
      <c r="E716" s="18"/>
      <c r="F716" s="18"/>
      <c r="G716" s="46"/>
      <c r="H716" s="46"/>
      <c r="I716" s="46"/>
      <c r="J716" s="46"/>
      <c r="K716" s="46"/>
      <c r="L716" s="46"/>
      <c r="M716" s="46"/>
      <c r="N716" s="46"/>
      <c r="O716" s="46"/>
      <c r="P716" s="46"/>
      <c r="Q716" s="46"/>
      <c r="R716" s="46"/>
      <c r="S716" s="46"/>
      <c r="T716" s="46"/>
      <c r="U716" s="46"/>
      <c r="V716" s="46"/>
      <c r="W716" s="46"/>
      <c r="X716" s="46"/>
      <c r="Y716" s="46"/>
      <c r="Z716" s="46"/>
      <c r="AA716" s="46"/>
    </row>
    <row r="717">
      <c r="A717" s="4"/>
      <c r="B717" s="46"/>
      <c r="C717" s="46"/>
      <c r="D717" s="46"/>
      <c r="E717" s="18"/>
      <c r="F717" s="18"/>
      <c r="G717" s="46"/>
      <c r="H717" s="46"/>
      <c r="I717" s="46"/>
      <c r="J717" s="46"/>
      <c r="K717" s="46"/>
      <c r="L717" s="46"/>
      <c r="M717" s="46"/>
      <c r="N717" s="46"/>
      <c r="O717" s="46"/>
      <c r="P717" s="46"/>
      <c r="Q717" s="46"/>
      <c r="R717" s="46"/>
      <c r="S717" s="46"/>
      <c r="T717" s="46"/>
      <c r="U717" s="46"/>
      <c r="V717" s="46"/>
      <c r="W717" s="46"/>
      <c r="X717" s="46"/>
      <c r="Y717" s="46"/>
      <c r="Z717" s="46"/>
      <c r="AA717" s="46"/>
    </row>
    <row r="718">
      <c r="A718" s="4"/>
      <c r="B718" s="46"/>
      <c r="C718" s="46"/>
      <c r="D718" s="46"/>
      <c r="E718" s="18"/>
      <c r="F718" s="18"/>
      <c r="G718" s="46"/>
      <c r="H718" s="46"/>
      <c r="I718" s="46"/>
      <c r="J718" s="46"/>
      <c r="K718" s="46"/>
      <c r="L718" s="46"/>
      <c r="M718" s="46"/>
      <c r="N718" s="46"/>
      <c r="O718" s="46"/>
      <c r="P718" s="46"/>
      <c r="Q718" s="46"/>
      <c r="R718" s="46"/>
      <c r="S718" s="46"/>
      <c r="T718" s="46"/>
      <c r="U718" s="46"/>
      <c r="V718" s="46"/>
      <c r="W718" s="46"/>
      <c r="X718" s="46"/>
      <c r="Y718" s="46"/>
      <c r="Z718" s="46"/>
      <c r="AA718" s="46"/>
    </row>
    <row r="719">
      <c r="A719" s="4"/>
      <c r="B719" s="46"/>
      <c r="C719" s="46"/>
      <c r="D719" s="46"/>
      <c r="E719" s="18"/>
      <c r="F719" s="18"/>
      <c r="G719" s="46"/>
      <c r="H719" s="46"/>
      <c r="I719" s="46"/>
      <c r="J719" s="46"/>
      <c r="K719" s="46"/>
      <c r="L719" s="46"/>
      <c r="M719" s="46"/>
      <c r="N719" s="46"/>
      <c r="O719" s="46"/>
      <c r="P719" s="46"/>
      <c r="Q719" s="46"/>
      <c r="R719" s="46"/>
      <c r="S719" s="46"/>
      <c r="T719" s="46"/>
      <c r="U719" s="46"/>
      <c r="V719" s="46"/>
      <c r="W719" s="46"/>
      <c r="X719" s="46"/>
      <c r="Y719" s="46"/>
      <c r="Z719" s="46"/>
      <c r="AA719" s="46"/>
    </row>
    <row r="720">
      <c r="A720" s="4"/>
      <c r="B720" s="46"/>
      <c r="C720" s="46"/>
      <c r="D720" s="46"/>
      <c r="E720" s="18"/>
      <c r="F720" s="18"/>
      <c r="G720" s="46"/>
      <c r="H720" s="46"/>
      <c r="I720" s="46"/>
      <c r="J720" s="46"/>
      <c r="K720" s="46"/>
      <c r="L720" s="46"/>
      <c r="M720" s="46"/>
      <c r="N720" s="46"/>
      <c r="O720" s="46"/>
      <c r="P720" s="46"/>
      <c r="Q720" s="46"/>
      <c r="R720" s="46"/>
      <c r="S720" s="46"/>
      <c r="T720" s="46"/>
      <c r="U720" s="46"/>
      <c r="V720" s="46"/>
      <c r="W720" s="46"/>
      <c r="X720" s="46"/>
      <c r="Y720" s="46"/>
      <c r="Z720" s="46"/>
      <c r="AA720" s="46"/>
    </row>
    <row r="721">
      <c r="A721" s="4"/>
      <c r="B721" s="46"/>
      <c r="C721" s="46"/>
      <c r="D721" s="46"/>
      <c r="E721" s="18"/>
      <c r="F721" s="18"/>
      <c r="G721" s="46"/>
      <c r="H721" s="46"/>
      <c r="I721" s="46"/>
      <c r="J721" s="46"/>
      <c r="K721" s="46"/>
      <c r="L721" s="46"/>
      <c r="M721" s="46"/>
      <c r="N721" s="46"/>
      <c r="O721" s="46"/>
      <c r="P721" s="46"/>
      <c r="Q721" s="46"/>
      <c r="R721" s="46"/>
      <c r="S721" s="46"/>
      <c r="T721" s="46"/>
      <c r="U721" s="46"/>
      <c r="V721" s="46"/>
      <c r="W721" s="46"/>
      <c r="X721" s="46"/>
      <c r="Y721" s="46"/>
      <c r="Z721" s="46"/>
      <c r="AA721" s="46"/>
    </row>
    <row r="722">
      <c r="A722" s="4"/>
      <c r="B722" s="46"/>
      <c r="C722" s="46"/>
      <c r="D722" s="46"/>
      <c r="E722" s="18"/>
      <c r="F722" s="18"/>
      <c r="G722" s="46"/>
      <c r="H722" s="46"/>
      <c r="I722" s="46"/>
      <c r="J722" s="46"/>
      <c r="K722" s="46"/>
      <c r="L722" s="46"/>
      <c r="M722" s="46"/>
      <c r="N722" s="46"/>
      <c r="O722" s="46"/>
      <c r="P722" s="46"/>
      <c r="Q722" s="46"/>
      <c r="R722" s="46"/>
      <c r="S722" s="46"/>
      <c r="T722" s="46"/>
      <c r="U722" s="46"/>
      <c r="V722" s="46"/>
      <c r="W722" s="46"/>
      <c r="X722" s="46"/>
      <c r="Y722" s="46"/>
      <c r="Z722" s="46"/>
      <c r="AA722" s="46"/>
    </row>
    <row r="723">
      <c r="A723" s="4"/>
      <c r="B723" s="46"/>
      <c r="C723" s="46"/>
      <c r="D723" s="46"/>
      <c r="E723" s="18"/>
      <c r="F723" s="18"/>
      <c r="G723" s="46"/>
      <c r="H723" s="46"/>
      <c r="I723" s="46"/>
      <c r="J723" s="46"/>
      <c r="K723" s="46"/>
      <c r="L723" s="46"/>
      <c r="M723" s="46"/>
      <c r="N723" s="46"/>
      <c r="O723" s="46"/>
      <c r="P723" s="46"/>
      <c r="Q723" s="46"/>
      <c r="R723" s="46"/>
      <c r="S723" s="46"/>
      <c r="T723" s="46"/>
      <c r="U723" s="46"/>
      <c r="V723" s="46"/>
      <c r="W723" s="46"/>
      <c r="X723" s="46"/>
      <c r="Y723" s="46"/>
      <c r="Z723" s="46"/>
      <c r="AA723" s="46"/>
    </row>
    <row r="724">
      <c r="A724" s="4"/>
      <c r="B724" s="46"/>
      <c r="C724" s="46"/>
      <c r="D724" s="46"/>
      <c r="E724" s="18"/>
      <c r="F724" s="18"/>
      <c r="G724" s="46"/>
      <c r="H724" s="46"/>
      <c r="I724" s="46"/>
      <c r="J724" s="46"/>
      <c r="K724" s="46"/>
      <c r="L724" s="46"/>
      <c r="M724" s="46"/>
      <c r="N724" s="46"/>
      <c r="O724" s="46"/>
      <c r="P724" s="46"/>
      <c r="Q724" s="46"/>
      <c r="R724" s="46"/>
      <c r="S724" s="46"/>
      <c r="T724" s="46"/>
      <c r="U724" s="46"/>
      <c r="V724" s="46"/>
      <c r="W724" s="46"/>
      <c r="X724" s="46"/>
      <c r="Y724" s="46"/>
      <c r="Z724" s="46"/>
      <c r="AA724" s="46"/>
    </row>
    <row r="725">
      <c r="A725" s="4"/>
      <c r="B725" s="46"/>
      <c r="C725" s="46"/>
      <c r="D725" s="46"/>
      <c r="E725" s="18"/>
      <c r="F725" s="18"/>
      <c r="G725" s="46"/>
      <c r="H725" s="46"/>
      <c r="I725" s="46"/>
      <c r="J725" s="46"/>
      <c r="K725" s="46"/>
      <c r="L725" s="46"/>
      <c r="M725" s="46"/>
      <c r="N725" s="46"/>
      <c r="O725" s="46"/>
      <c r="P725" s="46"/>
      <c r="Q725" s="46"/>
      <c r="R725" s="46"/>
      <c r="S725" s="46"/>
      <c r="T725" s="46"/>
      <c r="U725" s="46"/>
      <c r="V725" s="46"/>
      <c r="W725" s="46"/>
      <c r="X725" s="46"/>
      <c r="Y725" s="46"/>
      <c r="Z725" s="46"/>
      <c r="AA725" s="46"/>
    </row>
    <row r="726">
      <c r="A726" s="4"/>
      <c r="B726" s="46"/>
      <c r="C726" s="46"/>
      <c r="D726" s="46"/>
      <c r="E726" s="18"/>
      <c r="F726" s="18"/>
      <c r="G726" s="46"/>
      <c r="H726" s="46"/>
      <c r="I726" s="46"/>
      <c r="J726" s="46"/>
      <c r="K726" s="46"/>
      <c r="L726" s="46"/>
      <c r="M726" s="46"/>
      <c r="N726" s="46"/>
      <c r="O726" s="46"/>
      <c r="P726" s="46"/>
      <c r="Q726" s="46"/>
      <c r="R726" s="46"/>
      <c r="S726" s="46"/>
      <c r="T726" s="46"/>
      <c r="U726" s="46"/>
      <c r="V726" s="46"/>
      <c r="W726" s="46"/>
      <c r="X726" s="46"/>
      <c r="Y726" s="46"/>
      <c r="Z726" s="46"/>
      <c r="AA726" s="46"/>
    </row>
    <row r="727">
      <c r="A727" s="4"/>
      <c r="B727" s="46"/>
      <c r="C727" s="46"/>
      <c r="D727" s="46"/>
      <c r="E727" s="18"/>
      <c r="F727" s="18"/>
      <c r="G727" s="46"/>
      <c r="H727" s="46"/>
      <c r="I727" s="46"/>
      <c r="J727" s="46"/>
      <c r="K727" s="46"/>
      <c r="L727" s="46"/>
      <c r="M727" s="46"/>
      <c r="N727" s="46"/>
      <c r="O727" s="46"/>
      <c r="P727" s="46"/>
      <c r="Q727" s="46"/>
      <c r="R727" s="46"/>
      <c r="S727" s="46"/>
      <c r="T727" s="46"/>
      <c r="U727" s="46"/>
      <c r="V727" s="46"/>
      <c r="W727" s="46"/>
      <c r="X727" s="46"/>
      <c r="Y727" s="46"/>
      <c r="Z727" s="46"/>
      <c r="AA727" s="46"/>
    </row>
    <row r="728">
      <c r="A728" s="4"/>
      <c r="B728" s="46"/>
      <c r="C728" s="46"/>
      <c r="D728" s="46"/>
      <c r="E728" s="18"/>
      <c r="F728" s="18"/>
      <c r="G728" s="46"/>
      <c r="H728" s="46"/>
      <c r="I728" s="46"/>
      <c r="J728" s="46"/>
      <c r="K728" s="46"/>
      <c r="L728" s="46"/>
      <c r="M728" s="46"/>
      <c r="N728" s="46"/>
      <c r="O728" s="46"/>
      <c r="P728" s="46"/>
      <c r="Q728" s="46"/>
      <c r="R728" s="46"/>
      <c r="S728" s="46"/>
      <c r="T728" s="46"/>
      <c r="U728" s="46"/>
      <c r="V728" s="46"/>
      <c r="W728" s="46"/>
      <c r="X728" s="46"/>
      <c r="Y728" s="46"/>
      <c r="Z728" s="46"/>
      <c r="AA728" s="46"/>
    </row>
    <row r="729">
      <c r="A729" s="4"/>
      <c r="B729" s="46"/>
      <c r="C729" s="46"/>
      <c r="D729" s="46"/>
      <c r="E729" s="18"/>
      <c r="F729" s="18"/>
      <c r="G729" s="46"/>
      <c r="H729" s="46"/>
      <c r="I729" s="46"/>
      <c r="J729" s="46"/>
      <c r="K729" s="46"/>
      <c r="L729" s="46"/>
      <c r="M729" s="46"/>
      <c r="N729" s="46"/>
      <c r="O729" s="46"/>
      <c r="P729" s="46"/>
      <c r="Q729" s="46"/>
      <c r="R729" s="46"/>
      <c r="S729" s="46"/>
      <c r="T729" s="46"/>
      <c r="U729" s="46"/>
      <c r="V729" s="46"/>
      <c r="W729" s="46"/>
      <c r="X729" s="46"/>
      <c r="Y729" s="46"/>
      <c r="Z729" s="46"/>
      <c r="AA729" s="46"/>
    </row>
    <row r="730">
      <c r="A730" s="4"/>
      <c r="B730" s="46"/>
      <c r="C730" s="46"/>
      <c r="D730" s="46"/>
      <c r="E730" s="18"/>
      <c r="F730" s="18"/>
      <c r="G730" s="46"/>
      <c r="H730" s="46"/>
      <c r="I730" s="46"/>
      <c r="J730" s="46"/>
      <c r="K730" s="46"/>
      <c r="L730" s="46"/>
      <c r="M730" s="46"/>
      <c r="N730" s="46"/>
      <c r="O730" s="46"/>
      <c r="P730" s="46"/>
      <c r="Q730" s="46"/>
      <c r="R730" s="46"/>
      <c r="S730" s="46"/>
      <c r="T730" s="46"/>
      <c r="U730" s="46"/>
      <c r="V730" s="46"/>
      <c r="W730" s="46"/>
      <c r="X730" s="46"/>
      <c r="Y730" s="46"/>
      <c r="Z730" s="46"/>
      <c r="AA730" s="46"/>
    </row>
    <row r="731">
      <c r="A731" s="4"/>
      <c r="B731" s="46"/>
      <c r="C731" s="46"/>
      <c r="D731" s="46"/>
      <c r="E731" s="18"/>
      <c r="F731" s="18"/>
      <c r="G731" s="46"/>
      <c r="H731" s="46"/>
      <c r="I731" s="46"/>
      <c r="J731" s="46"/>
      <c r="K731" s="46"/>
      <c r="L731" s="46"/>
      <c r="M731" s="46"/>
      <c r="N731" s="46"/>
      <c r="O731" s="46"/>
      <c r="P731" s="46"/>
      <c r="Q731" s="46"/>
      <c r="R731" s="46"/>
      <c r="S731" s="46"/>
      <c r="T731" s="46"/>
      <c r="U731" s="46"/>
      <c r="V731" s="46"/>
      <c r="W731" s="46"/>
      <c r="X731" s="46"/>
      <c r="Y731" s="46"/>
      <c r="Z731" s="46"/>
      <c r="AA731" s="46"/>
    </row>
    <row r="732">
      <c r="A732" s="4"/>
      <c r="B732" s="46"/>
      <c r="C732" s="46"/>
      <c r="D732" s="46"/>
      <c r="E732" s="18"/>
      <c r="F732" s="18"/>
      <c r="G732" s="46"/>
      <c r="H732" s="46"/>
      <c r="I732" s="46"/>
      <c r="J732" s="46"/>
      <c r="K732" s="46"/>
      <c r="L732" s="46"/>
      <c r="M732" s="46"/>
      <c r="N732" s="46"/>
      <c r="O732" s="46"/>
      <c r="P732" s="46"/>
      <c r="Q732" s="46"/>
      <c r="R732" s="46"/>
      <c r="S732" s="46"/>
      <c r="T732" s="46"/>
      <c r="U732" s="46"/>
      <c r="V732" s="46"/>
      <c r="W732" s="46"/>
      <c r="X732" s="46"/>
      <c r="Y732" s="46"/>
      <c r="Z732" s="46"/>
      <c r="AA732" s="46"/>
    </row>
    <row r="733">
      <c r="A733" s="4"/>
      <c r="B733" s="46"/>
      <c r="C733" s="46"/>
      <c r="D733" s="46"/>
      <c r="E733" s="18"/>
      <c r="F733" s="18"/>
      <c r="G733" s="46"/>
      <c r="H733" s="46"/>
      <c r="I733" s="46"/>
      <c r="J733" s="46"/>
      <c r="K733" s="46"/>
      <c r="L733" s="46"/>
      <c r="M733" s="46"/>
      <c r="N733" s="46"/>
      <c r="O733" s="46"/>
      <c r="P733" s="46"/>
      <c r="Q733" s="46"/>
      <c r="R733" s="46"/>
      <c r="S733" s="46"/>
      <c r="T733" s="46"/>
      <c r="U733" s="46"/>
      <c r="V733" s="46"/>
      <c r="W733" s="46"/>
      <c r="X733" s="46"/>
      <c r="Y733" s="46"/>
      <c r="Z733" s="46"/>
      <c r="AA733" s="46"/>
    </row>
    <row r="734">
      <c r="A734" s="4"/>
      <c r="B734" s="46"/>
      <c r="C734" s="46"/>
      <c r="D734" s="46"/>
      <c r="E734" s="18"/>
      <c r="F734" s="18"/>
      <c r="G734" s="46"/>
      <c r="H734" s="46"/>
      <c r="I734" s="46"/>
      <c r="J734" s="46"/>
      <c r="K734" s="46"/>
      <c r="L734" s="46"/>
      <c r="M734" s="46"/>
      <c r="N734" s="46"/>
      <c r="O734" s="46"/>
      <c r="P734" s="46"/>
      <c r="Q734" s="46"/>
      <c r="R734" s="46"/>
      <c r="S734" s="46"/>
      <c r="T734" s="46"/>
      <c r="U734" s="46"/>
      <c r="V734" s="46"/>
      <c r="W734" s="46"/>
      <c r="X734" s="46"/>
      <c r="Y734" s="46"/>
      <c r="Z734" s="46"/>
      <c r="AA734" s="46"/>
    </row>
    <row r="735">
      <c r="A735" s="4"/>
      <c r="B735" s="46"/>
      <c r="C735" s="46"/>
      <c r="D735" s="46"/>
      <c r="E735" s="18"/>
      <c r="F735" s="18"/>
      <c r="G735" s="46"/>
      <c r="H735" s="46"/>
      <c r="I735" s="46"/>
      <c r="J735" s="46"/>
      <c r="K735" s="46"/>
      <c r="L735" s="46"/>
      <c r="M735" s="46"/>
      <c r="N735" s="46"/>
      <c r="O735" s="46"/>
      <c r="P735" s="46"/>
      <c r="Q735" s="46"/>
      <c r="R735" s="46"/>
      <c r="S735" s="46"/>
      <c r="T735" s="46"/>
      <c r="U735" s="46"/>
      <c r="V735" s="46"/>
      <c r="W735" s="46"/>
      <c r="X735" s="46"/>
      <c r="Y735" s="46"/>
      <c r="Z735" s="46"/>
      <c r="AA735" s="46"/>
    </row>
    <row r="736">
      <c r="A736" s="4"/>
      <c r="B736" s="46"/>
      <c r="C736" s="46"/>
      <c r="D736" s="46"/>
      <c r="E736" s="18"/>
      <c r="F736" s="18"/>
      <c r="G736" s="46"/>
      <c r="H736" s="46"/>
      <c r="I736" s="46"/>
      <c r="J736" s="46"/>
      <c r="K736" s="46"/>
      <c r="L736" s="46"/>
      <c r="M736" s="46"/>
      <c r="N736" s="46"/>
      <c r="O736" s="46"/>
      <c r="P736" s="46"/>
      <c r="Q736" s="46"/>
      <c r="R736" s="46"/>
      <c r="S736" s="46"/>
      <c r="T736" s="46"/>
      <c r="U736" s="46"/>
      <c r="V736" s="46"/>
      <c r="W736" s="46"/>
      <c r="X736" s="46"/>
      <c r="Y736" s="46"/>
      <c r="Z736" s="46"/>
      <c r="AA736" s="46"/>
    </row>
    <row r="737">
      <c r="A737" s="4"/>
      <c r="B737" s="46"/>
      <c r="C737" s="46"/>
      <c r="D737" s="46"/>
      <c r="E737" s="18"/>
      <c r="F737" s="18"/>
      <c r="G737" s="46"/>
      <c r="H737" s="46"/>
      <c r="I737" s="46"/>
      <c r="J737" s="46"/>
      <c r="K737" s="46"/>
      <c r="L737" s="46"/>
      <c r="M737" s="46"/>
      <c r="N737" s="46"/>
      <c r="O737" s="46"/>
      <c r="P737" s="46"/>
      <c r="Q737" s="46"/>
      <c r="R737" s="46"/>
      <c r="S737" s="46"/>
      <c r="T737" s="46"/>
      <c r="U737" s="46"/>
      <c r="V737" s="46"/>
      <c r="W737" s="46"/>
      <c r="X737" s="46"/>
      <c r="Y737" s="46"/>
      <c r="Z737" s="46"/>
      <c r="AA737" s="46"/>
    </row>
    <row r="738">
      <c r="A738" s="4"/>
      <c r="B738" s="46"/>
      <c r="C738" s="46"/>
      <c r="D738" s="46"/>
      <c r="E738" s="18"/>
      <c r="F738" s="18"/>
      <c r="G738" s="46"/>
      <c r="H738" s="46"/>
      <c r="I738" s="46"/>
      <c r="J738" s="46"/>
      <c r="K738" s="46"/>
      <c r="L738" s="46"/>
      <c r="M738" s="46"/>
      <c r="N738" s="46"/>
      <c r="O738" s="46"/>
      <c r="P738" s="46"/>
      <c r="Q738" s="46"/>
      <c r="R738" s="46"/>
      <c r="S738" s="46"/>
      <c r="T738" s="46"/>
      <c r="U738" s="46"/>
      <c r="V738" s="46"/>
      <c r="W738" s="46"/>
      <c r="X738" s="46"/>
      <c r="Y738" s="46"/>
      <c r="Z738" s="46"/>
      <c r="AA738" s="46"/>
    </row>
    <row r="739">
      <c r="A739" s="4"/>
      <c r="B739" s="46"/>
      <c r="C739" s="46"/>
      <c r="D739" s="46"/>
      <c r="E739" s="18"/>
      <c r="F739" s="18"/>
      <c r="G739" s="46"/>
      <c r="H739" s="46"/>
      <c r="I739" s="46"/>
      <c r="J739" s="46"/>
      <c r="K739" s="46"/>
      <c r="L739" s="46"/>
      <c r="M739" s="46"/>
      <c r="N739" s="46"/>
      <c r="O739" s="46"/>
      <c r="P739" s="46"/>
      <c r="Q739" s="46"/>
      <c r="R739" s="46"/>
      <c r="S739" s="46"/>
      <c r="T739" s="46"/>
      <c r="U739" s="46"/>
      <c r="V739" s="46"/>
      <c r="W739" s="46"/>
      <c r="X739" s="46"/>
      <c r="Y739" s="46"/>
      <c r="Z739" s="46"/>
      <c r="AA739" s="46"/>
    </row>
    <row r="740">
      <c r="A740" s="4"/>
      <c r="B740" s="46"/>
      <c r="C740" s="46"/>
      <c r="D740" s="46"/>
      <c r="E740" s="18"/>
      <c r="F740" s="18"/>
      <c r="G740" s="46"/>
      <c r="H740" s="46"/>
      <c r="I740" s="46"/>
      <c r="J740" s="46"/>
      <c r="K740" s="46"/>
      <c r="L740" s="46"/>
      <c r="M740" s="46"/>
      <c r="N740" s="46"/>
      <c r="O740" s="46"/>
      <c r="P740" s="46"/>
      <c r="Q740" s="46"/>
      <c r="R740" s="46"/>
      <c r="S740" s="46"/>
      <c r="T740" s="46"/>
      <c r="U740" s="46"/>
      <c r="V740" s="46"/>
      <c r="W740" s="46"/>
      <c r="X740" s="46"/>
      <c r="Y740" s="46"/>
      <c r="Z740" s="46"/>
      <c r="AA740" s="46"/>
    </row>
    <row r="741">
      <c r="A741" s="4"/>
      <c r="B741" s="46"/>
      <c r="C741" s="46"/>
      <c r="D741" s="46"/>
      <c r="E741" s="18"/>
      <c r="F741" s="18"/>
      <c r="G741" s="46"/>
      <c r="H741" s="46"/>
      <c r="I741" s="46"/>
      <c r="J741" s="46"/>
      <c r="K741" s="46"/>
      <c r="L741" s="46"/>
      <c r="M741" s="46"/>
      <c r="N741" s="46"/>
      <c r="O741" s="46"/>
      <c r="P741" s="46"/>
      <c r="Q741" s="46"/>
      <c r="R741" s="46"/>
      <c r="S741" s="46"/>
      <c r="T741" s="46"/>
      <c r="U741" s="46"/>
      <c r="V741" s="46"/>
      <c r="W741" s="46"/>
      <c r="X741" s="46"/>
      <c r="Y741" s="46"/>
      <c r="Z741" s="46"/>
      <c r="AA741" s="46"/>
    </row>
    <row r="742">
      <c r="A742" s="4"/>
      <c r="B742" s="46"/>
      <c r="C742" s="46"/>
      <c r="D742" s="46"/>
      <c r="E742" s="18"/>
      <c r="F742" s="18"/>
      <c r="G742" s="46"/>
      <c r="H742" s="46"/>
      <c r="I742" s="46"/>
      <c r="J742" s="46"/>
      <c r="K742" s="46"/>
      <c r="L742" s="46"/>
      <c r="M742" s="46"/>
      <c r="N742" s="46"/>
      <c r="O742" s="46"/>
      <c r="P742" s="46"/>
      <c r="Q742" s="46"/>
      <c r="R742" s="46"/>
      <c r="S742" s="46"/>
      <c r="T742" s="46"/>
      <c r="U742" s="46"/>
      <c r="V742" s="46"/>
      <c r="W742" s="46"/>
      <c r="X742" s="46"/>
      <c r="Y742" s="46"/>
      <c r="Z742" s="46"/>
      <c r="AA742" s="46"/>
    </row>
    <row r="743">
      <c r="A743" s="4"/>
      <c r="B743" s="46"/>
      <c r="C743" s="46"/>
      <c r="D743" s="46"/>
      <c r="E743" s="18"/>
      <c r="F743" s="18"/>
      <c r="G743" s="46"/>
      <c r="H743" s="46"/>
      <c r="I743" s="46"/>
      <c r="J743" s="46"/>
      <c r="K743" s="46"/>
      <c r="L743" s="46"/>
      <c r="M743" s="46"/>
      <c r="N743" s="46"/>
      <c r="O743" s="46"/>
      <c r="P743" s="46"/>
      <c r="Q743" s="46"/>
      <c r="R743" s="46"/>
      <c r="S743" s="46"/>
      <c r="T743" s="46"/>
      <c r="U743" s="46"/>
      <c r="V743" s="46"/>
      <c r="W743" s="46"/>
      <c r="X743" s="46"/>
      <c r="Y743" s="46"/>
      <c r="Z743" s="46"/>
      <c r="AA743" s="46"/>
    </row>
    <row r="744">
      <c r="A744" s="4"/>
      <c r="B744" s="46"/>
      <c r="C744" s="46"/>
      <c r="D744" s="46"/>
      <c r="E744" s="18"/>
      <c r="F744" s="18"/>
      <c r="G744" s="46"/>
      <c r="H744" s="46"/>
      <c r="I744" s="46"/>
      <c r="J744" s="46"/>
      <c r="K744" s="46"/>
      <c r="L744" s="46"/>
      <c r="M744" s="46"/>
      <c r="N744" s="46"/>
      <c r="O744" s="46"/>
      <c r="P744" s="46"/>
      <c r="Q744" s="46"/>
      <c r="R744" s="46"/>
      <c r="S744" s="46"/>
      <c r="T744" s="46"/>
      <c r="U744" s="46"/>
      <c r="V744" s="46"/>
      <c r="W744" s="46"/>
      <c r="X744" s="46"/>
      <c r="Y744" s="46"/>
      <c r="Z744" s="46"/>
      <c r="AA744" s="46"/>
    </row>
    <row r="745">
      <c r="A745" s="4"/>
      <c r="B745" s="46"/>
      <c r="C745" s="46"/>
      <c r="D745" s="46"/>
      <c r="E745" s="18"/>
      <c r="F745" s="18"/>
      <c r="G745" s="46"/>
      <c r="H745" s="46"/>
      <c r="I745" s="46"/>
      <c r="J745" s="46"/>
      <c r="K745" s="46"/>
      <c r="L745" s="46"/>
      <c r="M745" s="46"/>
      <c r="N745" s="46"/>
      <c r="O745" s="46"/>
      <c r="P745" s="46"/>
      <c r="Q745" s="46"/>
      <c r="R745" s="46"/>
      <c r="S745" s="46"/>
      <c r="T745" s="46"/>
      <c r="U745" s="46"/>
      <c r="V745" s="46"/>
      <c r="W745" s="46"/>
      <c r="X745" s="46"/>
      <c r="Y745" s="46"/>
      <c r="Z745" s="46"/>
      <c r="AA745" s="46"/>
    </row>
    <row r="746">
      <c r="A746" s="4"/>
      <c r="B746" s="46"/>
      <c r="C746" s="46"/>
      <c r="D746" s="46"/>
      <c r="E746" s="18"/>
      <c r="F746" s="18"/>
      <c r="G746" s="46"/>
      <c r="H746" s="46"/>
      <c r="I746" s="46"/>
      <c r="J746" s="46"/>
      <c r="K746" s="46"/>
      <c r="L746" s="46"/>
      <c r="M746" s="46"/>
      <c r="N746" s="46"/>
      <c r="O746" s="46"/>
      <c r="P746" s="46"/>
      <c r="Q746" s="46"/>
      <c r="R746" s="46"/>
      <c r="S746" s="46"/>
      <c r="T746" s="46"/>
      <c r="U746" s="46"/>
      <c r="V746" s="46"/>
      <c r="W746" s="46"/>
      <c r="X746" s="46"/>
      <c r="Y746" s="46"/>
      <c r="Z746" s="46"/>
      <c r="AA746" s="46"/>
    </row>
    <row r="747">
      <c r="A747" s="4"/>
      <c r="B747" s="46"/>
      <c r="C747" s="46"/>
      <c r="D747" s="46"/>
      <c r="E747" s="18"/>
      <c r="F747" s="18"/>
      <c r="G747" s="46"/>
      <c r="H747" s="46"/>
      <c r="I747" s="46"/>
      <c r="J747" s="46"/>
      <c r="K747" s="46"/>
      <c r="L747" s="46"/>
      <c r="M747" s="46"/>
      <c r="N747" s="46"/>
      <c r="O747" s="46"/>
      <c r="P747" s="46"/>
      <c r="Q747" s="46"/>
      <c r="R747" s="46"/>
      <c r="S747" s="46"/>
      <c r="T747" s="46"/>
      <c r="U747" s="46"/>
      <c r="V747" s="46"/>
      <c r="W747" s="46"/>
      <c r="X747" s="46"/>
      <c r="Y747" s="46"/>
      <c r="Z747" s="46"/>
      <c r="AA747" s="46"/>
    </row>
    <row r="748">
      <c r="A748" s="4"/>
      <c r="B748" s="46"/>
      <c r="C748" s="46"/>
      <c r="D748" s="46"/>
      <c r="E748" s="18"/>
      <c r="F748" s="18"/>
      <c r="G748" s="46"/>
      <c r="H748" s="46"/>
      <c r="I748" s="46"/>
      <c r="J748" s="46"/>
      <c r="K748" s="46"/>
      <c r="L748" s="46"/>
      <c r="M748" s="46"/>
      <c r="N748" s="46"/>
      <c r="O748" s="46"/>
      <c r="P748" s="46"/>
      <c r="Q748" s="46"/>
      <c r="R748" s="46"/>
      <c r="S748" s="46"/>
      <c r="T748" s="46"/>
      <c r="U748" s="46"/>
      <c r="V748" s="46"/>
      <c r="W748" s="46"/>
      <c r="X748" s="46"/>
      <c r="Y748" s="46"/>
      <c r="Z748" s="46"/>
      <c r="AA748" s="46"/>
    </row>
    <row r="749">
      <c r="A749" s="4"/>
      <c r="B749" s="46"/>
      <c r="C749" s="46"/>
      <c r="D749" s="46"/>
      <c r="E749" s="18"/>
      <c r="F749" s="18"/>
      <c r="G749" s="46"/>
      <c r="H749" s="46"/>
      <c r="I749" s="46"/>
      <c r="J749" s="46"/>
      <c r="K749" s="46"/>
      <c r="L749" s="46"/>
      <c r="M749" s="46"/>
      <c r="N749" s="46"/>
      <c r="O749" s="46"/>
      <c r="P749" s="46"/>
      <c r="Q749" s="46"/>
      <c r="R749" s="46"/>
      <c r="S749" s="46"/>
      <c r="T749" s="46"/>
      <c r="U749" s="46"/>
      <c r="V749" s="46"/>
      <c r="W749" s="46"/>
      <c r="X749" s="46"/>
      <c r="Y749" s="46"/>
      <c r="Z749" s="46"/>
      <c r="AA749" s="46"/>
    </row>
    <row r="750">
      <c r="A750" s="4"/>
      <c r="B750" s="46"/>
      <c r="C750" s="46"/>
      <c r="D750" s="46"/>
      <c r="E750" s="18"/>
      <c r="F750" s="18"/>
      <c r="G750" s="46"/>
      <c r="H750" s="46"/>
      <c r="I750" s="46"/>
      <c r="J750" s="46"/>
      <c r="K750" s="46"/>
      <c r="L750" s="46"/>
      <c r="M750" s="46"/>
      <c r="N750" s="46"/>
      <c r="O750" s="46"/>
      <c r="P750" s="46"/>
      <c r="Q750" s="46"/>
      <c r="R750" s="46"/>
      <c r="S750" s="46"/>
      <c r="T750" s="46"/>
      <c r="U750" s="46"/>
      <c r="V750" s="46"/>
      <c r="W750" s="46"/>
      <c r="X750" s="46"/>
      <c r="Y750" s="46"/>
      <c r="Z750" s="46"/>
      <c r="AA750" s="46"/>
    </row>
    <row r="751">
      <c r="A751" s="4"/>
      <c r="B751" s="46"/>
      <c r="C751" s="46"/>
      <c r="D751" s="46"/>
      <c r="E751" s="18"/>
      <c r="F751" s="18"/>
      <c r="G751" s="46"/>
      <c r="H751" s="46"/>
      <c r="I751" s="46"/>
      <c r="J751" s="46"/>
      <c r="K751" s="46"/>
      <c r="L751" s="46"/>
      <c r="M751" s="46"/>
      <c r="N751" s="46"/>
      <c r="O751" s="46"/>
      <c r="P751" s="46"/>
      <c r="Q751" s="46"/>
      <c r="R751" s="46"/>
      <c r="S751" s="46"/>
      <c r="T751" s="46"/>
      <c r="U751" s="46"/>
      <c r="V751" s="46"/>
      <c r="W751" s="46"/>
      <c r="X751" s="46"/>
      <c r="Y751" s="46"/>
      <c r="Z751" s="46"/>
      <c r="AA751" s="46"/>
    </row>
    <row r="752">
      <c r="A752" s="4"/>
      <c r="B752" s="46"/>
      <c r="C752" s="46"/>
      <c r="D752" s="46"/>
      <c r="E752" s="18"/>
      <c r="F752" s="18"/>
      <c r="G752" s="46"/>
      <c r="H752" s="46"/>
      <c r="I752" s="46"/>
      <c r="J752" s="46"/>
      <c r="K752" s="46"/>
      <c r="L752" s="46"/>
      <c r="M752" s="46"/>
      <c r="N752" s="46"/>
      <c r="O752" s="46"/>
      <c r="P752" s="46"/>
      <c r="Q752" s="46"/>
      <c r="R752" s="46"/>
      <c r="S752" s="46"/>
      <c r="T752" s="46"/>
      <c r="U752" s="46"/>
      <c r="V752" s="46"/>
      <c r="W752" s="46"/>
      <c r="X752" s="46"/>
      <c r="Y752" s="46"/>
      <c r="Z752" s="46"/>
      <c r="AA752" s="46"/>
    </row>
    <row r="753">
      <c r="A753" s="4"/>
      <c r="B753" s="46"/>
      <c r="C753" s="46"/>
      <c r="D753" s="46"/>
      <c r="E753" s="18"/>
      <c r="F753" s="18"/>
      <c r="G753" s="46"/>
      <c r="H753" s="46"/>
      <c r="I753" s="46"/>
      <c r="J753" s="46"/>
      <c r="K753" s="46"/>
      <c r="L753" s="46"/>
      <c r="M753" s="46"/>
      <c r="N753" s="46"/>
      <c r="O753" s="46"/>
      <c r="P753" s="46"/>
      <c r="Q753" s="46"/>
      <c r="R753" s="46"/>
      <c r="S753" s="46"/>
      <c r="T753" s="46"/>
      <c r="U753" s="46"/>
      <c r="V753" s="46"/>
      <c r="W753" s="46"/>
      <c r="X753" s="46"/>
      <c r="Y753" s="46"/>
      <c r="Z753" s="46"/>
      <c r="AA753" s="46"/>
    </row>
    <row r="754">
      <c r="A754" s="4"/>
      <c r="B754" s="46"/>
      <c r="C754" s="46"/>
      <c r="D754" s="46"/>
      <c r="E754" s="18"/>
      <c r="F754" s="18"/>
      <c r="G754" s="46"/>
      <c r="H754" s="46"/>
      <c r="I754" s="46"/>
      <c r="J754" s="46"/>
      <c r="K754" s="46"/>
      <c r="L754" s="46"/>
      <c r="M754" s="46"/>
      <c r="N754" s="46"/>
      <c r="O754" s="46"/>
      <c r="P754" s="46"/>
      <c r="Q754" s="46"/>
      <c r="R754" s="46"/>
      <c r="S754" s="46"/>
      <c r="T754" s="46"/>
      <c r="U754" s="46"/>
      <c r="V754" s="46"/>
      <c r="W754" s="46"/>
      <c r="X754" s="46"/>
      <c r="Y754" s="46"/>
      <c r="Z754" s="46"/>
      <c r="AA754" s="46"/>
    </row>
    <row r="755">
      <c r="A755" s="4"/>
      <c r="B755" s="46"/>
      <c r="C755" s="46"/>
      <c r="D755" s="46"/>
      <c r="E755" s="18"/>
      <c r="F755" s="18"/>
      <c r="G755" s="46"/>
      <c r="H755" s="46"/>
      <c r="I755" s="46"/>
      <c r="J755" s="46"/>
      <c r="K755" s="46"/>
      <c r="L755" s="46"/>
      <c r="M755" s="46"/>
      <c r="N755" s="46"/>
      <c r="O755" s="46"/>
      <c r="P755" s="46"/>
      <c r="Q755" s="46"/>
      <c r="R755" s="46"/>
      <c r="S755" s="46"/>
      <c r="T755" s="46"/>
      <c r="U755" s="46"/>
      <c r="V755" s="46"/>
      <c r="W755" s="46"/>
      <c r="X755" s="46"/>
      <c r="Y755" s="46"/>
      <c r="Z755" s="46"/>
      <c r="AA755" s="46"/>
    </row>
    <row r="756">
      <c r="A756" s="4"/>
      <c r="B756" s="46"/>
      <c r="C756" s="46"/>
      <c r="D756" s="46"/>
      <c r="E756" s="18"/>
      <c r="F756" s="18"/>
      <c r="G756" s="46"/>
      <c r="H756" s="46"/>
      <c r="I756" s="46"/>
      <c r="J756" s="46"/>
      <c r="K756" s="46"/>
      <c r="L756" s="46"/>
      <c r="M756" s="46"/>
      <c r="N756" s="46"/>
      <c r="O756" s="46"/>
      <c r="P756" s="46"/>
      <c r="Q756" s="46"/>
      <c r="R756" s="46"/>
      <c r="S756" s="46"/>
      <c r="T756" s="46"/>
      <c r="U756" s="46"/>
      <c r="V756" s="46"/>
      <c r="W756" s="46"/>
      <c r="X756" s="46"/>
      <c r="Y756" s="46"/>
      <c r="Z756" s="46"/>
      <c r="AA756" s="46"/>
    </row>
    <row r="757">
      <c r="A757" s="4"/>
      <c r="B757" s="46"/>
      <c r="C757" s="46"/>
      <c r="D757" s="46"/>
      <c r="E757" s="18"/>
      <c r="F757" s="18"/>
      <c r="G757" s="46"/>
      <c r="H757" s="46"/>
      <c r="I757" s="46"/>
      <c r="J757" s="46"/>
      <c r="K757" s="46"/>
      <c r="L757" s="46"/>
      <c r="M757" s="46"/>
      <c r="N757" s="46"/>
      <c r="O757" s="46"/>
      <c r="P757" s="46"/>
      <c r="Q757" s="46"/>
      <c r="R757" s="46"/>
      <c r="S757" s="46"/>
      <c r="T757" s="46"/>
      <c r="U757" s="46"/>
      <c r="V757" s="46"/>
      <c r="W757" s="46"/>
      <c r="X757" s="46"/>
      <c r="Y757" s="46"/>
      <c r="Z757" s="46"/>
      <c r="AA757" s="46"/>
    </row>
    <row r="758">
      <c r="A758" s="4"/>
      <c r="B758" s="46"/>
      <c r="C758" s="46"/>
      <c r="D758" s="46"/>
      <c r="E758" s="18"/>
      <c r="F758" s="18"/>
      <c r="G758" s="46"/>
      <c r="H758" s="46"/>
      <c r="I758" s="46"/>
      <c r="J758" s="46"/>
      <c r="K758" s="46"/>
      <c r="L758" s="46"/>
      <c r="M758" s="46"/>
      <c r="N758" s="46"/>
      <c r="O758" s="46"/>
      <c r="P758" s="46"/>
      <c r="Q758" s="46"/>
      <c r="R758" s="46"/>
      <c r="S758" s="46"/>
      <c r="T758" s="46"/>
      <c r="U758" s="46"/>
      <c r="V758" s="46"/>
      <c r="W758" s="46"/>
      <c r="X758" s="46"/>
      <c r="Y758" s="46"/>
      <c r="Z758" s="46"/>
      <c r="AA758" s="46"/>
    </row>
    <row r="759">
      <c r="A759" s="4"/>
      <c r="B759" s="46"/>
      <c r="C759" s="46"/>
      <c r="D759" s="46"/>
      <c r="E759" s="18"/>
      <c r="F759" s="18"/>
      <c r="G759" s="46"/>
      <c r="H759" s="46"/>
      <c r="I759" s="46"/>
      <c r="J759" s="46"/>
      <c r="K759" s="46"/>
      <c r="L759" s="46"/>
      <c r="M759" s="46"/>
      <c r="N759" s="46"/>
      <c r="O759" s="46"/>
      <c r="P759" s="46"/>
      <c r="Q759" s="46"/>
      <c r="R759" s="46"/>
      <c r="S759" s="46"/>
      <c r="T759" s="46"/>
      <c r="U759" s="46"/>
      <c r="V759" s="46"/>
      <c r="W759" s="46"/>
      <c r="X759" s="46"/>
      <c r="Y759" s="46"/>
      <c r="Z759" s="46"/>
      <c r="AA759" s="46"/>
    </row>
    <row r="760">
      <c r="A760" s="4"/>
      <c r="B760" s="46"/>
      <c r="C760" s="46"/>
      <c r="D760" s="46"/>
      <c r="E760" s="18"/>
      <c r="F760" s="18"/>
      <c r="G760" s="46"/>
      <c r="H760" s="46"/>
      <c r="I760" s="46"/>
      <c r="J760" s="46"/>
      <c r="K760" s="46"/>
      <c r="L760" s="46"/>
      <c r="M760" s="46"/>
      <c r="N760" s="46"/>
      <c r="O760" s="46"/>
      <c r="P760" s="46"/>
      <c r="Q760" s="46"/>
      <c r="R760" s="46"/>
      <c r="S760" s="46"/>
      <c r="T760" s="46"/>
      <c r="U760" s="46"/>
      <c r="V760" s="46"/>
      <c r="W760" s="46"/>
      <c r="X760" s="46"/>
      <c r="Y760" s="46"/>
      <c r="Z760" s="46"/>
      <c r="AA760" s="46"/>
    </row>
    <row r="761">
      <c r="A761" s="4"/>
      <c r="B761" s="46"/>
      <c r="C761" s="46"/>
      <c r="D761" s="46"/>
      <c r="E761" s="18"/>
      <c r="F761" s="18"/>
      <c r="G761" s="46"/>
      <c r="H761" s="46"/>
      <c r="I761" s="46"/>
      <c r="J761" s="46"/>
      <c r="K761" s="46"/>
      <c r="L761" s="46"/>
      <c r="M761" s="46"/>
      <c r="N761" s="46"/>
      <c r="O761" s="46"/>
      <c r="P761" s="46"/>
      <c r="Q761" s="46"/>
      <c r="R761" s="46"/>
      <c r="S761" s="46"/>
      <c r="T761" s="46"/>
      <c r="U761" s="46"/>
      <c r="V761" s="46"/>
      <c r="W761" s="46"/>
      <c r="X761" s="46"/>
      <c r="Y761" s="46"/>
      <c r="Z761" s="46"/>
      <c r="AA761" s="46"/>
    </row>
    <row r="762">
      <c r="A762" s="4"/>
      <c r="B762" s="46"/>
      <c r="C762" s="46"/>
      <c r="D762" s="46"/>
      <c r="E762" s="18"/>
      <c r="F762" s="18"/>
      <c r="G762" s="46"/>
      <c r="H762" s="46"/>
      <c r="I762" s="46"/>
      <c r="J762" s="46"/>
      <c r="K762" s="46"/>
      <c r="L762" s="46"/>
      <c r="M762" s="46"/>
      <c r="N762" s="46"/>
      <c r="O762" s="46"/>
      <c r="P762" s="46"/>
      <c r="Q762" s="46"/>
      <c r="R762" s="46"/>
      <c r="S762" s="46"/>
      <c r="T762" s="46"/>
      <c r="U762" s="46"/>
      <c r="V762" s="46"/>
      <c r="W762" s="46"/>
      <c r="X762" s="46"/>
      <c r="Y762" s="46"/>
      <c r="Z762" s="46"/>
      <c r="AA762" s="46"/>
    </row>
    <row r="763">
      <c r="A763" s="4"/>
      <c r="B763" s="46"/>
      <c r="C763" s="46"/>
      <c r="D763" s="46"/>
      <c r="E763" s="18"/>
      <c r="F763" s="18"/>
      <c r="G763" s="46"/>
      <c r="H763" s="46"/>
      <c r="I763" s="46"/>
      <c r="J763" s="46"/>
      <c r="K763" s="46"/>
      <c r="L763" s="46"/>
      <c r="M763" s="46"/>
      <c r="N763" s="46"/>
      <c r="O763" s="46"/>
      <c r="P763" s="46"/>
      <c r="Q763" s="46"/>
      <c r="R763" s="46"/>
      <c r="S763" s="46"/>
      <c r="T763" s="46"/>
      <c r="U763" s="46"/>
      <c r="V763" s="46"/>
      <c r="W763" s="46"/>
      <c r="X763" s="46"/>
      <c r="Y763" s="46"/>
      <c r="Z763" s="46"/>
      <c r="AA763" s="46"/>
    </row>
    <row r="764">
      <c r="A764" s="4"/>
      <c r="B764" s="46"/>
      <c r="C764" s="46"/>
      <c r="D764" s="46"/>
      <c r="E764" s="18"/>
      <c r="F764" s="18"/>
      <c r="G764" s="46"/>
      <c r="H764" s="46"/>
      <c r="I764" s="46"/>
      <c r="J764" s="46"/>
      <c r="K764" s="46"/>
      <c r="L764" s="46"/>
      <c r="M764" s="46"/>
      <c r="N764" s="46"/>
      <c r="O764" s="46"/>
      <c r="P764" s="46"/>
      <c r="Q764" s="46"/>
      <c r="R764" s="46"/>
      <c r="S764" s="46"/>
      <c r="T764" s="46"/>
      <c r="U764" s="46"/>
      <c r="V764" s="46"/>
      <c r="W764" s="46"/>
      <c r="X764" s="46"/>
      <c r="Y764" s="46"/>
      <c r="Z764" s="46"/>
      <c r="AA764" s="46"/>
    </row>
    <row r="765">
      <c r="A765" s="4"/>
      <c r="B765" s="46"/>
      <c r="C765" s="46"/>
      <c r="D765" s="46"/>
      <c r="E765" s="18"/>
      <c r="F765" s="18"/>
      <c r="G765" s="46"/>
      <c r="H765" s="46"/>
      <c r="I765" s="46"/>
      <c r="J765" s="46"/>
      <c r="K765" s="46"/>
      <c r="L765" s="46"/>
      <c r="M765" s="46"/>
      <c r="N765" s="46"/>
      <c r="O765" s="46"/>
      <c r="P765" s="46"/>
      <c r="Q765" s="46"/>
      <c r="R765" s="46"/>
      <c r="S765" s="46"/>
      <c r="T765" s="46"/>
      <c r="U765" s="46"/>
      <c r="V765" s="46"/>
      <c r="W765" s="46"/>
      <c r="X765" s="46"/>
      <c r="Y765" s="46"/>
      <c r="Z765" s="46"/>
      <c r="AA765" s="46"/>
    </row>
    <row r="766">
      <c r="A766" s="4"/>
      <c r="B766" s="46"/>
      <c r="C766" s="46"/>
      <c r="D766" s="46"/>
      <c r="E766" s="18"/>
      <c r="F766" s="18"/>
      <c r="G766" s="46"/>
      <c r="H766" s="46"/>
      <c r="I766" s="46"/>
      <c r="J766" s="46"/>
      <c r="K766" s="46"/>
      <c r="L766" s="46"/>
      <c r="M766" s="46"/>
      <c r="N766" s="46"/>
      <c r="O766" s="46"/>
      <c r="P766" s="46"/>
      <c r="Q766" s="46"/>
      <c r="R766" s="46"/>
      <c r="S766" s="46"/>
      <c r="T766" s="46"/>
      <c r="U766" s="46"/>
      <c r="V766" s="46"/>
      <c r="W766" s="46"/>
      <c r="X766" s="46"/>
      <c r="Y766" s="46"/>
      <c r="Z766" s="46"/>
      <c r="AA766" s="46"/>
    </row>
    <row r="767">
      <c r="A767" s="4"/>
      <c r="B767" s="46"/>
      <c r="C767" s="46"/>
      <c r="D767" s="46"/>
      <c r="E767" s="18"/>
      <c r="F767" s="18"/>
      <c r="G767" s="46"/>
      <c r="H767" s="46"/>
      <c r="I767" s="46"/>
      <c r="J767" s="46"/>
      <c r="K767" s="46"/>
      <c r="L767" s="46"/>
      <c r="M767" s="46"/>
      <c r="N767" s="46"/>
      <c r="O767" s="46"/>
      <c r="P767" s="46"/>
      <c r="Q767" s="46"/>
      <c r="R767" s="46"/>
      <c r="S767" s="46"/>
      <c r="T767" s="46"/>
      <c r="U767" s="46"/>
      <c r="V767" s="46"/>
      <c r="W767" s="46"/>
      <c r="X767" s="46"/>
      <c r="Y767" s="46"/>
      <c r="Z767" s="46"/>
      <c r="AA767" s="46"/>
    </row>
    <row r="768">
      <c r="A768" s="4"/>
      <c r="B768" s="46"/>
      <c r="C768" s="46"/>
      <c r="D768" s="46"/>
      <c r="E768" s="18"/>
      <c r="F768" s="18"/>
      <c r="G768" s="46"/>
      <c r="H768" s="46"/>
      <c r="I768" s="46"/>
      <c r="J768" s="46"/>
      <c r="K768" s="46"/>
      <c r="L768" s="46"/>
      <c r="M768" s="46"/>
      <c r="N768" s="46"/>
      <c r="O768" s="46"/>
      <c r="P768" s="46"/>
      <c r="Q768" s="46"/>
      <c r="R768" s="46"/>
      <c r="S768" s="46"/>
      <c r="T768" s="46"/>
      <c r="U768" s="46"/>
      <c r="V768" s="46"/>
      <c r="W768" s="46"/>
      <c r="X768" s="46"/>
      <c r="Y768" s="46"/>
      <c r="Z768" s="46"/>
      <c r="AA768" s="46"/>
    </row>
    <row r="769">
      <c r="A769" s="4"/>
      <c r="B769" s="46"/>
      <c r="C769" s="46"/>
      <c r="D769" s="46"/>
      <c r="E769" s="18"/>
      <c r="F769" s="18"/>
      <c r="G769" s="46"/>
      <c r="H769" s="46"/>
      <c r="I769" s="46"/>
      <c r="J769" s="46"/>
      <c r="K769" s="46"/>
      <c r="L769" s="46"/>
      <c r="M769" s="46"/>
      <c r="N769" s="46"/>
      <c r="O769" s="46"/>
      <c r="P769" s="46"/>
      <c r="Q769" s="46"/>
      <c r="R769" s="46"/>
      <c r="S769" s="46"/>
      <c r="T769" s="46"/>
      <c r="U769" s="46"/>
      <c r="V769" s="46"/>
      <c r="W769" s="46"/>
      <c r="X769" s="46"/>
      <c r="Y769" s="46"/>
      <c r="Z769" s="46"/>
      <c r="AA769" s="46"/>
    </row>
    <row r="770">
      <c r="A770" s="4"/>
      <c r="B770" s="46"/>
      <c r="C770" s="46"/>
      <c r="D770" s="46"/>
      <c r="E770" s="18"/>
      <c r="F770" s="18"/>
      <c r="G770" s="46"/>
      <c r="H770" s="46"/>
      <c r="I770" s="46"/>
      <c r="J770" s="46"/>
      <c r="K770" s="46"/>
      <c r="L770" s="46"/>
      <c r="M770" s="46"/>
      <c r="N770" s="46"/>
      <c r="O770" s="46"/>
      <c r="P770" s="46"/>
      <c r="Q770" s="46"/>
      <c r="R770" s="46"/>
      <c r="S770" s="46"/>
      <c r="T770" s="46"/>
      <c r="U770" s="46"/>
      <c r="V770" s="46"/>
      <c r="W770" s="46"/>
      <c r="X770" s="46"/>
      <c r="Y770" s="46"/>
      <c r="Z770" s="46"/>
      <c r="AA770" s="46"/>
    </row>
    <row r="771">
      <c r="A771" s="4"/>
      <c r="B771" s="46"/>
      <c r="C771" s="46"/>
      <c r="D771" s="46"/>
      <c r="E771" s="18"/>
      <c r="F771" s="18"/>
      <c r="G771" s="46"/>
      <c r="H771" s="46"/>
      <c r="I771" s="46"/>
      <c r="J771" s="46"/>
      <c r="K771" s="46"/>
      <c r="L771" s="46"/>
      <c r="M771" s="46"/>
      <c r="N771" s="46"/>
      <c r="O771" s="46"/>
      <c r="P771" s="46"/>
      <c r="Q771" s="46"/>
      <c r="R771" s="46"/>
      <c r="S771" s="46"/>
      <c r="T771" s="46"/>
      <c r="U771" s="46"/>
      <c r="V771" s="46"/>
      <c r="W771" s="46"/>
      <c r="X771" s="46"/>
      <c r="Y771" s="46"/>
      <c r="Z771" s="46"/>
      <c r="AA771" s="46"/>
    </row>
    <row r="772">
      <c r="A772" s="4"/>
      <c r="B772" s="46"/>
      <c r="C772" s="46"/>
      <c r="D772" s="46"/>
      <c r="E772" s="18"/>
      <c r="F772" s="18"/>
      <c r="G772" s="46"/>
      <c r="H772" s="46"/>
      <c r="I772" s="46"/>
      <c r="J772" s="46"/>
      <c r="K772" s="46"/>
      <c r="L772" s="46"/>
      <c r="M772" s="46"/>
      <c r="N772" s="46"/>
      <c r="O772" s="46"/>
      <c r="P772" s="46"/>
      <c r="Q772" s="46"/>
      <c r="R772" s="46"/>
      <c r="S772" s="46"/>
      <c r="T772" s="46"/>
      <c r="U772" s="46"/>
      <c r="V772" s="46"/>
      <c r="W772" s="46"/>
      <c r="X772" s="46"/>
      <c r="Y772" s="46"/>
      <c r="Z772" s="46"/>
      <c r="AA772" s="46"/>
    </row>
    <row r="773">
      <c r="A773" s="4"/>
      <c r="B773" s="46"/>
      <c r="C773" s="46"/>
      <c r="D773" s="46"/>
      <c r="E773" s="18"/>
      <c r="F773" s="18"/>
      <c r="G773" s="46"/>
      <c r="H773" s="46"/>
      <c r="I773" s="46"/>
      <c r="J773" s="46"/>
      <c r="K773" s="46"/>
      <c r="L773" s="46"/>
      <c r="M773" s="46"/>
      <c r="N773" s="46"/>
      <c r="O773" s="46"/>
      <c r="P773" s="46"/>
      <c r="Q773" s="46"/>
      <c r="R773" s="46"/>
      <c r="S773" s="46"/>
      <c r="T773" s="46"/>
      <c r="U773" s="46"/>
      <c r="V773" s="46"/>
      <c r="W773" s="46"/>
      <c r="X773" s="46"/>
      <c r="Y773" s="46"/>
      <c r="Z773" s="46"/>
      <c r="AA773" s="46"/>
    </row>
    <row r="774">
      <c r="A774" s="4"/>
      <c r="B774" s="46"/>
      <c r="C774" s="46"/>
      <c r="D774" s="46"/>
      <c r="E774" s="18"/>
      <c r="F774" s="18"/>
      <c r="G774" s="46"/>
      <c r="H774" s="46"/>
      <c r="I774" s="46"/>
      <c r="J774" s="46"/>
      <c r="K774" s="46"/>
      <c r="L774" s="46"/>
      <c r="M774" s="46"/>
      <c r="N774" s="46"/>
      <c r="O774" s="46"/>
      <c r="P774" s="46"/>
      <c r="Q774" s="46"/>
      <c r="R774" s="46"/>
      <c r="S774" s="46"/>
      <c r="T774" s="46"/>
      <c r="U774" s="46"/>
      <c r="V774" s="46"/>
      <c r="W774" s="46"/>
      <c r="X774" s="46"/>
      <c r="Y774" s="46"/>
      <c r="Z774" s="46"/>
      <c r="AA774" s="46"/>
    </row>
    <row r="775">
      <c r="A775" s="4"/>
      <c r="B775" s="46"/>
      <c r="C775" s="46"/>
      <c r="D775" s="46"/>
      <c r="E775" s="18"/>
      <c r="F775" s="18"/>
      <c r="G775" s="46"/>
      <c r="H775" s="46"/>
      <c r="I775" s="46"/>
      <c r="J775" s="46"/>
      <c r="K775" s="46"/>
      <c r="L775" s="46"/>
      <c r="M775" s="46"/>
      <c r="N775" s="46"/>
      <c r="O775" s="46"/>
      <c r="P775" s="46"/>
      <c r="Q775" s="46"/>
      <c r="R775" s="46"/>
      <c r="S775" s="46"/>
      <c r="T775" s="46"/>
      <c r="U775" s="46"/>
      <c r="V775" s="46"/>
      <c r="W775" s="46"/>
      <c r="X775" s="46"/>
      <c r="Y775" s="46"/>
      <c r="Z775" s="46"/>
      <c r="AA775" s="46"/>
    </row>
    <row r="776">
      <c r="A776" s="4"/>
      <c r="B776" s="46"/>
      <c r="C776" s="46"/>
      <c r="D776" s="46"/>
      <c r="E776" s="18"/>
      <c r="F776" s="18"/>
      <c r="G776" s="46"/>
      <c r="H776" s="46"/>
      <c r="I776" s="46"/>
      <c r="J776" s="46"/>
      <c r="K776" s="46"/>
      <c r="L776" s="46"/>
      <c r="M776" s="46"/>
      <c r="N776" s="46"/>
      <c r="O776" s="46"/>
      <c r="P776" s="46"/>
      <c r="Q776" s="46"/>
      <c r="R776" s="46"/>
      <c r="S776" s="46"/>
      <c r="T776" s="46"/>
      <c r="U776" s="46"/>
      <c r="V776" s="46"/>
      <c r="W776" s="46"/>
      <c r="X776" s="46"/>
      <c r="Y776" s="46"/>
      <c r="Z776" s="46"/>
      <c r="AA776" s="46"/>
    </row>
    <row r="777">
      <c r="A777" s="4"/>
      <c r="B777" s="46"/>
      <c r="C777" s="46"/>
      <c r="D777" s="46"/>
      <c r="E777" s="18"/>
      <c r="F777" s="18"/>
      <c r="G777" s="46"/>
      <c r="H777" s="46"/>
      <c r="I777" s="46"/>
      <c r="J777" s="46"/>
      <c r="K777" s="46"/>
      <c r="L777" s="46"/>
      <c r="M777" s="46"/>
      <c r="N777" s="46"/>
      <c r="O777" s="46"/>
      <c r="P777" s="46"/>
      <c r="Q777" s="46"/>
      <c r="R777" s="46"/>
      <c r="S777" s="46"/>
      <c r="T777" s="46"/>
      <c r="U777" s="46"/>
      <c r="V777" s="46"/>
      <c r="W777" s="46"/>
      <c r="X777" s="46"/>
      <c r="Y777" s="46"/>
      <c r="Z777" s="46"/>
      <c r="AA777" s="46"/>
    </row>
    <row r="778">
      <c r="A778" s="4"/>
      <c r="B778" s="46"/>
      <c r="C778" s="46"/>
      <c r="D778" s="46"/>
      <c r="E778" s="18"/>
      <c r="F778" s="18"/>
      <c r="G778" s="46"/>
      <c r="H778" s="46"/>
      <c r="I778" s="46"/>
      <c r="J778" s="46"/>
      <c r="K778" s="46"/>
      <c r="L778" s="46"/>
      <c r="M778" s="46"/>
      <c r="N778" s="46"/>
      <c r="O778" s="46"/>
      <c r="P778" s="46"/>
      <c r="Q778" s="46"/>
      <c r="R778" s="46"/>
      <c r="S778" s="46"/>
      <c r="T778" s="46"/>
      <c r="U778" s="46"/>
      <c r="V778" s="46"/>
      <c r="W778" s="46"/>
      <c r="X778" s="46"/>
      <c r="Y778" s="46"/>
      <c r="Z778" s="46"/>
      <c r="AA778" s="46"/>
    </row>
    <row r="779">
      <c r="A779" s="4"/>
      <c r="B779" s="46"/>
      <c r="C779" s="46"/>
      <c r="D779" s="46"/>
      <c r="E779" s="18"/>
      <c r="F779" s="18"/>
      <c r="G779" s="46"/>
      <c r="H779" s="46"/>
      <c r="I779" s="46"/>
      <c r="J779" s="46"/>
      <c r="K779" s="46"/>
      <c r="L779" s="46"/>
      <c r="M779" s="46"/>
      <c r="N779" s="46"/>
      <c r="O779" s="46"/>
      <c r="P779" s="46"/>
      <c r="Q779" s="46"/>
      <c r="R779" s="46"/>
      <c r="S779" s="46"/>
      <c r="T779" s="46"/>
      <c r="U779" s="46"/>
      <c r="V779" s="46"/>
      <c r="W779" s="46"/>
      <c r="X779" s="46"/>
      <c r="Y779" s="46"/>
      <c r="Z779" s="46"/>
      <c r="AA779" s="46"/>
    </row>
    <row r="780">
      <c r="A780" s="4"/>
      <c r="B780" s="46"/>
      <c r="C780" s="46"/>
      <c r="D780" s="46"/>
      <c r="E780" s="18"/>
      <c r="F780" s="18"/>
      <c r="G780" s="46"/>
      <c r="H780" s="46"/>
      <c r="I780" s="46"/>
      <c r="J780" s="46"/>
      <c r="K780" s="46"/>
      <c r="L780" s="46"/>
      <c r="M780" s="46"/>
      <c r="N780" s="46"/>
      <c r="O780" s="46"/>
      <c r="P780" s="46"/>
      <c r="Q780" s="46"/>
      <c r="R780" s="46"/>
      <c r="S780" s="46"/>
      <c r="T780" s="46"/>
      <c r="U780" s="46"/>
      <c r="V780" s="46"/>
      <c r="W780" s="46"/>
      <c r="X780" s="46"/>
      <c r="Y780" s="46"/>
      <c r="Z780" s="46"/>
      <c r="AA780" s="46"/>
    </row>
    <row r="781">
      <c r="A781" s="4"/>
      <c r="B781" s="46"/>
      <c r="C781" s="46"/>
      <c r="D781" s="46"/>
      <c r="E781" s="18"/>
      <c r="F781" s="18"/>
      <c r="G781" s="46"/>
      <c r="H781" s="46"/>
      <c r="I781" s="46"/>
      <c r="J781" s="46"/>
      <c r="K781" s="46"/>
      <c r="L781" s="46"/>
      <c r="M781" s="46"/>
      <c r="N781" s="46"/>
      <c r="O781" s="46"/>
      <c r="P781" s="46"/>
      <c r="Q781" s="46"/>
      <c r="R781" s="46"/>
      <c r="S781" s="46"/>
      <c r="T781" s="46"/>
      <c r="U781" s="46"/>
      <c r="V781" s="46"/>
      <c r="W781" s="46"/>
      <c r="X781" s="46"/>
      <c r="Y781" s="46"/>
      <c r="Z781" s="46"/>
      <c r="AA781" s="46"/>
    </row>
    <row r="782">
      <c r="A782" s="4"/>
      <c r="B782" s="46"/>
      <c r="C782" s="46"/>
      <c r="D782" s="46"/>
      <c r="E782" s="18"/>
      <c r="F782" s="18"/>
      <c r="G782" s="46"/>
      <c r="H782" s="46"/>
      <c r="I782" s="46"/>
      <c r="J782" s="46"/>
      <c r="K782" s="46"/>
      <c r="L782" s="46"/>
      <c r="M782" s="46"/>
      <c r="N782" s="46"/>
      <c r="O782" s="46"/>
      <c r="P782" s="46"/>
      <c r="Q782" s="46"/>
      <c r="R782" s="46"/>
      <c r="S782" s="46"/>
      <c r="T782" s="46"/>
      <c r="U782" s="46"/>
      <c r="V782" s="46"/>
      <c r="W782" s="46"/>
      <c r="X782" s="46"/>
      <c r="Y782" s="46"/>
      <c r="Z782" s="46"/>
      <c r="AA782" s="46"/>
    </row>
    <row r="783">
      <c r="A783" s="4"/>
      <c r="B783" s="46"/>
      <c r="C783" s="46"/>
      <c r="D783" s="46"/>
      <c r="E783" s="18"/>
      <c r="F783" s="18"/>
      <c r="G783" s="46"/>
      <c r="H783" s="46"/>
      <c r="I783" s="46"/>
      <c r="J783" s="46"/>
      <c r="K783" s="46"/>
      <c r="L783" s="46"/>
      <c r="M783" s="46"/>
      <c r="N783" s="46"/>
      <c r="O783" s="46"/>
      <c r="P783" s="46"/>
      <c r="Q783" s="46"/>
      <c r="R783" s="46"/>
      <c r="S783" s="46"/>
      <c r="T783" s="46"/>
      <c r="U783" s="46"/>
      <c r="V783" s="46"/>
      <c r="W783" s="46"/>
      <c r="X783" s="46"/>
      <c r="Y783" s="46"/>
      <c r="Z783" s="46"/>
      <c r="AA783" s="46"/>
    </row>
    <row r="784">
      <c r="A784" s="4"/>
      <c r="B784" s="46"/>
      <c r="C784" s="46"/>
      <c r="D784" s="46"/>
      <c r="E784" s="18"/>
      <c r="F784" s="18"/>
      <c r="G784" s="46"/>
      <c r="H784" s="46"/>
      <c r="I784" s="46"/>
      <c r="J784" s="46"/>
      <c r="K784" s="46"/>
      <c r="L784" s="46"/>
      <c r="M784" s="46"/>
      <c r="N784" s="46"/>
      <c r="O784" s="46"/>
      <c r="P784" s="46"/>
      <c r="Q784" s="46"/>
      <c r="R784" s="46"/>
      <c r="S784" s="46"/>
      <c r="T784" s="46"/>
      <c r="U784" s="46"/>
      <c r="V784" s="46"/>
      <c r="W784" s="46"/>
      <c r="X784" s="46"/>
      <c r="Y784" s="46"/>
      <c r="Z784" s="46"/>
      <c r="AA784" s="46"/>
    </row>
    <row r="785">
      <c r="A785" s="4"/>
      <c r="B785" s="46"/>
      <c r="C785" s="46"/>
      <c r="D785" s="46"/>
      <c r="E785" s="18"/>
      <c r="F785" s="18"/>
      <c r="G785" s="46"/>
      <c r="H785" s="46"/>
      <c r="I785" s="46"/>
      <c r="J785" s="46"/>
      <c r="K785" s="46"/>
      <c r="L785" s="46"/>
      <c r="M785" s="46"/>
      <c r="N785" s="46"/>
      <c r="O785" s="46"/>
      <c r="P785" s="46"/>
      <c r="Q785" s="46"/>
      <c r="R785" s="46"/>
      <c r="S785" s="46"/>
      <c r="T785" s="46"/>
      <c r="U785" s="46"/>
      <c r="V785" s="46"/>
      <c r="W785" s="46"/>
      <c r="X785" s="46"/>
      <c r="Y785" s="46"/>
      <c r="Z785" s="46"/>
      <c r="AA785" s="46"/>
    </row>
    <row r="786">
      <c r="A786" s="4"/>
      <c r="B786" s="46"/>
      <c r="C786" s="46"/>
      <c r="D786" s="46"/>
      <c r="E786" s="18"/>
      <c r="F786" s="18"/>
      <c r="G786" s="46"/>
      <c r="H786" s="46"/>
      <c r="I786" s="46"/>
      <c r="J786" s="46"/>
      <c r="K786" s="46"/>
      <c r="L786" s="46"/>
      <c r="M786" s="46"/>
      <c r="N786" s="46"/>
      <c r="O786" s="46"/>
      <c r="P786" s="46"/>
      <c r="Q786" s="46"/>
      <c r="R786" s="46"/>
      <c r="S786" s="46"/>
      <c r="T786" s="46"/>
      <c r="U786" s="46"/>
      <c r="V786" s="46"/>
      <c r="W786" s="46"/>
      <c r="X786" s="46"/>
      <c r="Y786" s="46"/>
      <c r="Z786" s="46"/>
      <c r="AA786" s="46"/>
    </row>
    <row r="787">
      <c r="A787" s="4"/>
      <c r="B787" s="46"/>
      <c r="C787" s="46"/>
      <c r="D787" s="46"/>
      <c r="E787" s="18"/>
      <c r="F787" s="18"/>
      <c r="G787" s="46"/>
      <c r="H787" s="46"/>
      <c r="I787" s="46"/>
      <c r="J787" s="46"/>
      <c r="K787" s="46"/>
      <c r="L787" s="46"/>
      <c r="M787" s="46"/>
      <c r="N787" s="46"/>
      <c r="O787" s="46"/>
      <c r="P787" s="46"/>
      <c r="Q787" s="46"/>
      <c r="R787" s="46"/>
      <c r="S787" s="46"/>
      <c r="T787" s="46"/>
      <c r="U787" s="46"/>
      <c r="V787" s="46"/>
      <c r="W787" s="46"/>
      <c r="X787" s="46"/>
      <c r="Y787" s="46"/>
      <c r="Z787" s="46"/>
      <c r="AA787" s="46"/>
    </row>
    <row r="788">
      <c r="A788" s="4"/>
      <c r="B788" s="46"/>
      <c r="C788" s="46"/>
      <c r="D788" s="46"/>
      <c r="E788" s="18"/>
      <c r="F788" s="18"/>
      <c r="G788" s="46"/>
      <c r="H788" s="46"/>
      <c r="I788" s="46"/>
      <c r="J788" s="46"/>
      <c r="K788" s="46"/>
      <c r="L788" s="46"/>
      <c r="M788" s="46"/>
      <c r="N788" s="46"/>
      <c r="O788" s="46"/>
      <c r="P788" s="46"/>
      <c r="Q788" s="46"/>
      <c r="R788" s="46"/>
      <c r="S788" s="46"/>
      <c r="T788" s="46"/>
      <c r="U788" s="46"/>
      <c r="V788" s="46"/>
      <c r="W788" s="46"/>
      <c r="X788" s="46"/>
      <c r="Y788" s="46"/>
      <c r="Z788" s="46"/>
      <c r="AA788" s="46"/>
    </row>
    <row r="789">
      <c r="A789" s="4"/>
      <c r="B789" s="46"/>
      <c r="C789" s="46"/>
      <c r="D789" s="46"/>
      <c r="E789" s="18"/>
      <c r="F789" s="18"/>
      <c r="G789" s="46"/>
      <c r="H789" s="46"/>
      <c r="I789" s="46"/>
      <c r="J789" s="46"/>
      <c r="K789" s="46"/>
      <c r="L789" s="46"/>
      <c r="M789" s="46"/>
      <c r="N789" s="46"/>
      <c r="O789" s="46"/>
      <c r="P789" s="46"/>
      <c r="Q789" s="46"/>
      <c r="R789" s="46"/>
      <c r="S789" s="46"/>
      <c r="T789" s="46"/>
      <c r="U789" s="46"/>
      <c r="V789" s="46"/>
      <c r="W789" s="46"/>
      <c r="X789" s="46"/>
      <c r="Y789" s="46"/>
      <c r="Z789" s="46"/>
      <c r="AA789" s="46"/>
    </row>
    <row r="790">
      <c r="A790" s="4"/>
      <c r="B790" s="46"/>
      <c r="C790" s="46"/>
      <c r="D790" s="46"/>
      <c r="E790" s="18"/>
      <c r="F790" s="18"/>
      <c r="G790" s="46"/>
      <c r="H790" s="46"/>
      <c r="I790" s="46"/>
      <c r="J790" s="46"/>
      <c r="K790" s="46"/>
      <c r="L790" s="46"/>
      <c r="M790" s="46"/>
      <c r="N790" s="46"/>
      <c r="O790" s="46"/>
      <c r="P790" s="46"/>
      <c r="Q790" s="46"/>
      <c r="R790" s="46"/>
      <c r="S790" s="46"/>
      <c r="T790" s="46"/>
      <c r="U790" s="46"/>
      <c r="V790" s="46"/>
      <c r="W790" s="46"/>
      <c r="X790" s="46"/>
      <c r="Y790" s="46"/>
      <c r="Z790" s="46"/>
      <c r="AA790" s="46"/>
    </row>
    <row r="791">
      <c r="A791" s="4"/>
      <c r="B791" s="46"/>
      <c r="C791" s="46"/>
      <c r="D791" s="46"/>
      <c r="E791" s="18"/>
      <c r="F791" s="18"/>
      <c r="G791" s="46"/>
      <c r="H791" s="46"/>
      <c r="I791" s="46"/>
      <c r="J791" s="46"/>
      <c r="K791" s="46"/>
      <c r="L791" s="46"/>
      <c r="M791" s="46"/>
      <c r="N791" s="46"/>
      <c r="O791" s="46"/>
      <c r="P791" s="46"/>
      <c r="Q791" s="46"/>
      <c r="R791" s="46"/>
      <c r="S791" s="46"/>
      <c r="T791" s="46"/>
      <c r="U791" s="46"/>
      <c r="V791" s="46"/>
      <c r="W791" s="46"/>
      <c r="X791" s="46"/>
      <c r="Y791" s="46"/>
      <c r="Z791" s="46"/>
      <c r="AA791" s="46"/>
    </row>
    <row r="792">
      <c r="A792" s="4"/>
      <c r="B792" s="46"/>
      <c r="C792" s="46"/>
      <c r="D792" s="46"/>
      <c r="E792" s="18"/>
      <c r="F792" s="18"/>
      <c r="G792" s="46"/>
      <c r="H792" s="46"/>
      <c r="I792" s="46"/>
      <c r="J792" s="46"/>
      <c r="K792" s="46"/>
      <c r="L792" s="46"/>
      <c r="M792" s="46"/>
      <c r="N792" s="46"/>
      <c r="O792" s="46"/>
      <c r="P792" s="46"/>
      <c r="Q792" s="46"/>
      <c r="R792" s="46"/>
      <c r="S792" s="46"/>
      <c r="T792" s="46"/>
      <c r="U792" s="46"/>
      <c r="V792" s="46"/>
      <c r="W792" s="46"/>
      <c r="X792" s="46"/>
      <c r="Y792" s="46"/>
      <c r="Z792" s="46"/>
      <c r="AA792" s="46"/>
    </row>
    <row r="793">
      <c r="A793" s="4"/>
      <c r="B793" s="46"/>
      <c r="C793" s="46"/>
      <c r="D793" s="46"/>
      <c r="E793" s="18"/>
      <c r="F793" s="18"/>
      <c r="G793" s="46"/>
      <c r="H793" s="46"/>
      <c r="I793" s="46"/>
      <c r="J793" s="46"/>
      <c r="K793" s="46"/>
      <c r="L793" s="46"/>
      <c r="M793" s="46"/>
      <c r="N793" s="46"/>
      <c r="O793" s="46"/>
      <c r="P793" s="46"/>
      <c r="Q793" s="46"/>
      <c r="R793" s="46"/>
      <c r="S793" s="46"/>
      <c r="T793" s="46"/>
      <c r="U793" s="46"/>
      <c r="V793" s="46"/>
      <c r="W793" s="46"/>
      <c r="X793" s="46"/>
      <c r="Y793" s="46"/>
      <c r="Z793" s="46"/>
      <c r="AA793" s="46"/>
    </row>
    <row r="794">
      <c r="A794" s="4"/>
      <c r="B794" s="46"/>
      <c r="C794" s="46"/>
      <c r="D794" s="46"/>
      <c r="E794" s="18"/>
      <c r="F794" s="18"/>
      <c r="G794" s="46"/>
      <c r="H794" s="46"/>
      <c r="I794" s="46"/>
      <c r="J794" s="46"/>
      <c r="K794" s="46"/>
      <c r="L794" s="46"/>
      <c r="M794" s="46"/>
      <c r="N794" s="46"/>
      <c r="O794" s="46"/>
      <c r="P794" s="46"/>
      <c r="Q794" s="46"/>
      <c r="R794" s="46"/>
      <c r="S794" s="46"/>
      <c r="T794" s="46"/>
      <c r="U794" s="46"/>
      <c r="V794" s="46"/>
      <c r="W794" s="46"/>
      <c r="X794" s="46"/>
      <c r="Y794" s="46"/>
      <c r="Z794" s="46"/>
      <c r="AA794" s="46"/>
    </row>
    <row r="795">
      <c r="A795" s="4"/>
      <c r="B795" s="46"/>
      <c r="C795" s="46"/>
      <c r="D795" s="46"/>
      <c r="E795" s="18"/>
      <c r="F795" s="18"/>
      <c r="G795" s="46"/>
      <c r="H795" s="46"/>
      <c r="I795" s="46"/>
      <c r="J795" s="46"/>
      <c r="K795" s="46"/>
      <c r="L795" s="46"/>
      <c r="M795" s="46"/>
      <c r="N795" s="46"/>
      <c r="O795" s="46"/>
      <c r="P795" s="46"/>
      <c r="Q795" s="46"/>
      <c r="R795" s="46"/>
      <c r="S795" s="46"/>
      <c r="T795" s="46"/>
      <c r="U795" s="46"/>
      <c r="V795" s="46"/>
      <c r="W795" s="46"/>
      <c r="X795" s="46"/>
      <c r="Y795" s="46"/>
      <c r="Z795" s="46"/>
      <c r="AA795" s="46"/>
    </row>
    <row r="796">
      <c r="A796" s="4"/>
      <c r="B796" s="46"/>
      <c r="C796" s="46"/>
      <c r="D796" s="46"/>
      <c r="E796" s="18"/>
      <c r="F796" s="18"/>
      <c r="G796" s="46"/>
      <c r="H796" s="46"/>
      <c r="I796" s="46"/>
      <c r="J796" s="46"/>
      <c r="K796" s="46"/>
      <c r="L796" s="46"/>
      <c r="M796" s="46"/>
      <c r="N796" s="46"/>
      <c r="O796" s="46"/>
      <c r="P796" s="46"/>
      <c r="Q796" s="46"/>
      <c r="R796" s="46"/>
      <c r="S796" s="46"/>
      <c r="T796" s="46"/>
      <c r="U796" s="46"/>
      <c r="V796" s="46"/>
      <c r="W796" s="46"/>
      <c r="X796" s="46"/>
      <c r="Y796" s="46"/>
      <c r="Z796" s="46"/>
      <c r="AA796" s="46"/>
    </row>
    <row r="797">
      <c r="A797" s="4"/>
      <c r="B797" s="46"/>
      <c r="C797" s="46"/>
      <c r="D797" s="46"/>
      <c r="E797" s="18"/>
      <c r="F797" s="18"/>
      <c r="G797" s="46"/>
      <c r="H797" s="46"/>
      <c r="I797" s="46"/>
      <c r="J797" s="46"/>
      <c r="K797" s="46"/>
      <c r="L797" s="46"/>
      <c r="M797" s="46"/>
      <c r="N797" s="46"/>
      <c r="O797" s="46"/>
      <c r="P797" s="46"/>
      <c r="Q797" s="46"/>
      <c r="R797" s="46"/>
      <c r="S797" s="46"/>
      <c r="T797" s="46"/>
      <c r="U797" s="46"/>
      <c r="V797" s="46"/>
      <c r="W797" s="46"/>
      <c r="X797" s="46"/>
      <c r="Y797" s="46"/>
      <c r="Z797" s="46"/>
      <c r="AA797" s="46"/>
    </row>
    <row r="798">
      <c r="A798" s="4"/>
      <c r="B798" s="46"/>
      <c r="C798" s="46"/>
      <c r="D798" s="46"/>
      <c r="E798" s="18"/>
      <c r="F798" s="18"/>
      <c r="G798" s="46"/>
      <c r="H798" s="46"/>
      <c r="I798" s="46"/>
      <c r="J798" s="46"/>
      <c r="K798" s="46"/>
      <c r="L798" s="46"/>
      <c r="M798" s="46"/>
      <c r="N798" s="46"/>
      <c r="O798" s="46"/>
      <c r="P798" s="46"/>
      <c r="Q798" s="46"/>
      <c r="R798" s="46"/>
      <c r="S798" s="46"/>
      <c r="T798" s="46"/>
      <c r="U798" s="46"/>
      <c r="V798" s="46"/>
      <c r="W798" s="46"/>
      <c r="X798" s="46"/>
      <c r="Y798" s="46"/>
      <c r="Z798" s="46"/>
      <c r="AA798" s="46"/>
    </row>
    <row r="799">
      <c r="A799" s="4"/>
      <c r="B799" s="46"/>
      <c r="C799" s="46"/>
      <c r="D799" s="46"/>
      <c r="E799" s="18"/>
      <c r="F799" s="18"/>
      <c r="G799" s="46"/>
      <c r="H799" s="46"/>
      <c r="I799" s="46"/>
      <c r="J799" s="46"/>
      <c r="K799" s="46"/>
      <c r="L799" s="46"/>
      <c r="M799" s="46"/>
      <c r="N799" s="46"/>
      <c r="O799" s="46"/>
      <c r="P799" s="46"/>
      <c r="Q799" s="46"/>
      <c r="R799" s="46"/>
      <c r="S799" s="46"/>
      <c r="T799" s="46"/>
      <c r="U799" s="46"/>
      <c r="V799" s="46"/>
      <c r="W799" s="46"/>
      <c r="X799" s="46"/>
      <c r="Y799" s="46"/>
      <c r="Z799" s="46"/>
      <c r="AA799" s="46"/>
    </row>
    <row r="800">
      <c r="A800" s="4"/>
      <c r="B800" s="46"/>
      <c r="C800" s="46"/>
      <c r="D800" s="46"/>
      <c r="E800" s="18"/>
      <c r="F800" s="18"/>
      <c r="G800" s="46"/>
      <c r="H800" s="46"/>
      <c r="I800" s="46"/>
      <c r="J800" s="46"/>
      <c r="K800" s="46"/>
      <c r="L800" s="46"/>
      <c r="M800" s="46"/>
      <c r="N800" s="46"/>
      <c r="O800" s="46"/>
      <c r="P800" s="46"/>
      <c r="Q800" s="46"/>
      <c r="R800" s="46"/>
      <c r="S800" s="46"/>
      <c r="T800" s="46"/>
      <c r="U800" s="46"/>
      <c r="V800" s="46"/>
      <c r="W800" s="46"/>
      <c r="X800" s="46"/>
      <c r="Y800" s="46"/>
      <c r="Z800" s="46"/>
      <c r="AA800" s="46"/>
    </row>
    <row r="801">
      <c r="A801" s="4"/>
      <c r="B801" s="46"/>
      <c r="C801" s="46"/>
      <c r="D801" s="46"/>
      <c r="E801" s="18"/>
      <c r="F801" s="18"/>
      <c r="G801" s="46"/>
      <c r="H801" s="46"/>
      <c r="I801" s="46"/>
      <c r="J801" s="46"/>
      <c r="K801" s="46"/>
      <c r="L801" s="46"/>
      <c r="M801" s="46"/>
      <c r="N801" s="46"/>
      <c r="O801" s="46"/>
      <c r="P801" s="46"/>
      <c r="Q801" s="46"/>
      <c r="R801" s="46"/>
      <c r="S801" s="46"/>
      <c r="T801" s="46"/>
      <c r="U801" s="46"/>
      <c r="V801" s="46"/>
      <c r="W801" s="46"/>
      <c r="X801" s="46"/>
      <c r="Y801" s="46"/>
      <c r="Z801" s="46"/>
      <c r="AA801" s="46"/>
    </row>
    <row r="802">
      <c r="A802" s="4"/>
      <c r="B802" s="46"/>
      <c r="C802" s="46"/>
      <c r="D802" s="46"/>
      <c r="E802" s="18"/>
      <c r="F802" s="18"/>
      <c r="G802" s="46"/>
      <c r="H802" s="46"/>
      <c r="I802" s="46"/>
      <c r="J802" s="46"/>
      <c r="K802" s="46"/>
      <c r="L802" s="46"/>
      <c r="M802" s="46"/>
      <c r="N802" s="46"/>
      <c r="O802" s="46"/>
      <c r="P802" s="46"/>
      <c r="Q802" s="46"/>
      <c r="R802" s="46"/>
      <c r="S802" s="46"/>
      <c r="T802" s="46"/>
      <c r="U802" s="46"/>
      <c r="V802" s="46"/>
      <c r="W802" s="46"/>
      <c r="X802" s="46"/>
      <c r="Y802" s="46"/>
      <c r="Z802" s="46"/>
      <c r="AA802" s="46"/>
    </row>
    <row r="803">
      <c r="A803" s="4"/>
      <c r="B803" s="46"/>
      <c r="C803" s="46"/>
      <c r="D803" s="46"/>
      <c r="E803" s="18"/>
      <c r="F803" s="18"/>
      <c r="G803" s="46"/>
      <c r="H803" s="46"/>
      <c r="I803" s="46"/>
      <c r="J803" s="46"/>
      <c r="K803" s="46"/>
      <c r="L803" s="46"/>
      <c r="M803" s="46"/>
      <c r="N803" s="46"/>
      <c r="O803" s="46"/>
      <c r="P803" s="46"/>
      <c r="Q803" s="46"/>
      <c r="R803" s="46"/>
      <c r="S803" s="46"/>
      <c r="T803" s="46"/>
      <c r="U803" s="46"/>
      <c r="V803" s="46"/>
      <c r="W803" s="46"/>
      <c r="X803" s="46"/>
      <c r="Y803" s="46"/>
      <c r="Z803" s="46"/>
      <c r="AA803" s="46"/>
    </row>
    <row r="804">
      <c r="A804" s="4"/>
      <c r="B804" s="46"/>
      <c r="C804" s="46"/>
      <c r="D804" s="46"/>
      <c r="E804" s="18"/>
      <c r="F804" s="18"/>
      <c r="G804" s="46"/>
      <c r="H804" s="46"/>
      <c r="I804" s="46"/>
      <c r="J804" s="46"/>
      <c r="K804" s="46"/>
      <c r="L804" s="46"/>
      <c r="M804" s="46"/>
      <c r="N804" s="46"/>
      <c r="O804" s="46"/>
      <c r="P804" s="46"/>
      <c r="Q804" s="46"/>
      <c r="R804" s="46"/>
      <c r="S804" s="46"/>
      <c r="T804" s="46"/>
      <c r="U804" s="46"/>
      <c r="V804" s="46"/>
      <c r="W804" s="46"/>
      <c r="X804" s="46"/>
      <c r="Y804" s="46"/>
      <c r="Z804" s="46"/>
      <c r="AA804" s="46"/>
    </row>
    <row r="805">
      <c r="A805" s="4"/>
      <c r="B805" s="46"/>
      <c r="C805" s="46"/>
      <c r="D805" s="46"/>
      <c r="E805" s="18"/>
      <c r="F805" s="18"/>
      <c r="G805" s="46"/>
      <c r="H805" s="46"/>
      <c r="I805" s="46"/>
      <c r="J805" s="46"/>
      <c r="K805" s="46"/>
      <c r="L805" s="46"/>
      <c r="M805" s="46"/>
      <c r="N805" s="46"/>
      <c r="O805" s="46"/>
      <c r="P805" s="46"/>
      <c r="Q805" s="46"/>
      <c r="R805" s="46"/>
      <c r="S805" s="46"/>
      <c r="T805" s="46"/>
      <c r="U805" s="46"/>
      <c r="V805" s="46"/>
      <c r="W805" s="46"/>
      <c r="X805" s="46"/>
      <c r="Y805" s="46"/>
      <c r="Z805" s="46"/>
      <c r="AA805" s="46"/>
    </row>
    <row r="806">
      <c r="A806" s="4"/>
      <c r="B806" s="46"/>
      <c r="C806" s="46"/>
      <c r="D806" s="46"/>
      <c r="E806" s="18"/>
      <c r="F806" s="18"/>
      <c r="G806" s="46"/>
      <c r="H806" s="46"/>
      <c r="I806" s="46"/>
      <c r="J806" s="46"/>
      <c r="K806" s="46"/>
      <c r="L806" s="46"/>
      <c r="M806" s="46"/>
      <c r="N806" s="46"/>
      <c r="O806" s="46"/>
      <c r="P806" s="46"/>
      <c r="Q806" s="46"/>
      <c r="R806" s="46"/>
      <c r="S806" s="46"/>
      <c r="T806" s="46"/>
      <c r="U806" s="46"/>
      <c r="V806" s="46"/>
      <c r="W806" s="46"/>
      <c r="X806" s="46"/>
      <c r="Y806" s="46"/>
      <c r="Z806" s="46"/>
      <c r="AA806" s="46"/>
    </row>
    <row r="807">
      <c r="A807" s="4"/>
      <c r="B807" s="46"/>
      <c r="C807" s="46"/>
      <c r="D807" s="46"/>
      <c r="E807" s="18"/>
      <c r="F807" s="18"/>
      <c r="G807" s="46"/>
      <c r="H807" s="46"/>
      <c r="I807" s="46"/>
      <c r="J807" s="46"/>
      <c r="K807" s="46"/>
      <c r="L807" s="46"/>
      <c r="M807" s="46"/>
      <c r="N807" s="46"/>
      <c r="O807" s="46"/>
      <c r="P807" s="46"/>
      <c r="Q807" s="46"/>
      <c r="R807" s="46"/>
      <c r="S807" s="46"/>
      <c r="T807" s="46"/>
      <c r="U807" s="46"/>
      <c r="V807" s="46"/>
      <c r="W807" s="46"/>
      <c r="X807" s="46"/>
      <c r="Y807" s="46"/>
      <c r="Z807" s="46"/>
      <c r="AA807" s="46"/>
    </row>
    <row r="808">
      <c r="A808" s="4"/>
      <c r="B808" s="46"/>
      <c r="C808" s="46"/>
      <c r="D808" s="46"/>
      <c r="E808" s="18"/>
      <c r="F808" s="18"/>
      <c r="G808" s="46"/>
      <c r="H808" s="46"/>
      <c r="I808" s="46"/>
      <c r="J808" s="46"/>
      <c r="K808" s="46"/>
      <c r="L808" s="46"/>
      <c r="M808" s="46"/>
      <c r="N808" s="46"/>
      <c r="O808" s="46"/>
      <c r="P808" s="46"/>
      <c r="Q808" s="46"/>
      <c r="R808" s="46"/>
      <c r="S808" s="46"/>
      <c r="T808" s="46"/>
      <c r="U808" s="46"/>
      <c r="V808" s="46"/>
      <c r="W808" s="46"/>
      <c r="X808" s="46"/>
      <c r="Y808" s="46"/>
      <c r="Z808" s="46"/>
      <c r="AA808" s="46"/>
    </row>
    <row r="809">
      <c r="A809" s="4"/>
      <c r="B809" s="46"/>
      <c r="C809" s="46"/>
      <c r="D809" s="46"/>
      <c r="E809" s="18"/>
      <c r="F809" s="18"/>
      <c r="G809" s="46"/>
      <c r="H809" s="46"/>
      <c r="I809" s="46"/>
      <c r="J809" s="46"/>
      <c r="K809" s="46"/>
      <c r="L809" s="46"/>
      <c r="M809" s="46"/>
      <c r="N809" s="46"/>
      <c r="O809" s="46"/>
      <c r="P809" s="46"/>
      <c r="Q809" s="46"/>
      <c r="R809" s="46"/>
      <c r="S809" s="46"/>
      <c r="T809" s="46"/>
      <c r="U809" s="46"/>
      <c r="V809" s="46"/>
      <c r="W809" s="46"/>
      <c r="X809" s="46"/>
      <c r="Y809" s="46"/>
      <c r="Z809" s="46"/>
      <c r="AA809" s="46"/>
    </row>
    <row r="810">
      <c r="A810" s="4"/>
      <c r="B810" s="46"/>
      <c r="C810" s="46"/>
      <c r="D810" s="46"/>
      <c r="E810" s="18"/>
      <c r="F810" s="18"/>
      <c r="G810" s="46"/>
      <c r="H810" s="46"/>
      <c r="I810" s="46"/>
      <c r="J810" s="46"/>
      <c r="K810" s="46"/>
      <c r="L810" s="46"/>
      <c r="M810" s="46"/>
      <c r="N810" s="46"/>
      <c r="O810" s="46"/>
      <c r="P810" s="46"/>
      <c r="Q810" s="46"/>
      <c r="R810" s="46"/>
      <c r="S810" s="46"/>
      <c r="T810" s="46"/>
      <c r="U810" s="46"/>
      <c r="V810" s="46"/>
      <c r="W810" s="46"/>
      <c r="X810" s="46"/>
      <c r="Y810" s="46"/>
      <c r="Z810" s="46"/>
      <c r="AA810" s="46"/>
    </row>
    <row r="811">
      <c r="A811" s="4"/>
      <c r="B811" s="46"/>
      <c r="C811" s="46"/>
      <c r="D811" s="46"/>
      <c r="E811" s="18"/>
      <c r="F811" s="18"/>
      <c r="G811" s="46"/>
      <c r="H811" s="46"/>
      <c r="I811" s="46"/>
      <c r="J811" s="46"/>
      <c r="K811" s="46"/>
      <c r="L811" s="46"/>
      <c r="M811" s="46"/>
      <c r="N811" s="46"/>
      <c r="O811" s="46"/>
      <c r="P811" s="46"/>
      <c r="Q811" s="46"/>
      <c r="R811" s="46"/>
      <c r="S811" s="46"/>
      <c r="T811" s="46"/>
      <c r="U811" s="46"/>
      <c r="V811" s="46"/>
      <c r="W811" s="46"/>
      <c r="X811" s="46"/>
      <c r="Y811" s="46"/>
      <c r="Z811" s="46"/>
      <c r="AA811" s="46"/>
    </row>
    <row r="812">
      <c r="A812" s="4"/>
      <c r="B812" s="46"/>
      <c r="C812" s="46"/>
      <c r="D812" s="46"/>
      <c r="E812" s="18"/>
      <c r="F812" s="18"/>
      <c r="G812" s="46"/>
      <c r="H812" s="46"/>
      <c r="I812" s="46"/>
      <c r="J812" s="46"/>
      <c r="K812" s="46"/>
      <c r="L812" s="46"/>
      <c r="M812" s="46"/>
      <c r="N812" s="46"/>
      <c r="O812" s="46"/>
      <c r="P812" s="46"/>
      <c r="Q812" s="46"/>
      <c r="R812" s="46"/>
      <c r="S812" s="46"/>
      <c r="T812" s="46"/>
      <c r="U812" s="46"/>
      <c r="V812" s="46"/>
      <c r="W812" s="46"/>
      <c r="X812" s="46"/>
      <c r="Y812" s="46"/>
      <c r="Z812" s="46"/>
      <c r="AA812" s="46"/>
    </row>
    <row r="813">
      <c r="A813" s="4"/>
      <c r="B813" s="46"/>
      <c r="C813" s="46"/>
      <c r="D813" s="46"/>
      <c r="E813" s="18"/>
      <c r="F813" s="18"/>
      <c r="G813" s="46"/>
      <c r="H813" s="46"/>
      <c r="I813" s="46"/>
      <c r="J813" s="46"/>
      <c r="K813" s="46"/>
      <c r="L813" s="46"/>
      <c r="M813" s="46"/>
      <c r="N813" s="46"/>
      <c r="O813" s="46"/>
      <c r="P813" s="46"/>
      <c r="Q813" s="46"/>
      <c r="R813" s="46"/>
      <c r="S813" s="46"/>
      <c r="T813" s="46"/>
      <c r="U813" s="46"/>
      <c r="V813" s="46"/>
      <c r="W813" s="46"/>
      <c r="X813" s="46"/>
      <c r="Y813" s="46"/>
      <c r="Z813" s="46"/>
      <c r="AA813" s="46"/>
    </row>
    <row r="814">
      <c r="A814" s="4"/>
      <c r="B814" s="46"/>
      <c r="C814" s="46"/>
      <c r="D814" s="46"/>
      <c r="E814" s="18"/>
      <c r="F814" s="18"/>
      <c r="G814" s="46"/>
      <c r="H814" s="46"/>
      <c r="I814" s="46"/>
      <c r="J814" s="46"/>
      <c r="K814" s="46"/>
      <c r="L814" s="46"/>
      <c r="M814" s="46"/>
      <c r="N814" s="46"/>
      <c r="O814" s="46"/>
      <c r="P814" s="46"/>
      <c r="Q814" s="46"/>
      <c r="R814" s="46"/>
      <c r="S814" s="46"/>
      <c r="T814" s="46"/>
      <c r="U814" s="46"/>
      <c r="V814" s="46"/>
      <c r="W814" s="46"/>
      <c r="X814" s="46"/>
      <c r="Y814" s="46"/>
      <c r="Z814" s="46"/>
      <c r="AA814" s="46"/>
    </row>
    <row r="815">
      <c r="A815" s="4"/>
      <c r="B815" s="46"/>
      <c r="C815" s="46"/>
      <c r="D815" s="46"/>
      <c r="E815" s="18"/>
      <c r="F815" s="18"/>
      <c r="G815" s="46"/>
      <c r="H815" s="46"/>
      <c r="I815" s="46"/>
      <c r="J815" s="46"/>
      <c r="K815" s="46"/>
      <c r="L815" s="46"/>
      <c r="M815" s="46"/>
      <c r="N815" s="46"/>
      <c r="O815" s="46"/>
      <c r="P815" s="46"/>
      <c r="Q815" s="46"/>
      <c r="R815" s="46"/>
      <c r="S815" s="46"/>
      <c r="T815" s="46"/>
      <c r="U815" s="46"/>
      <c r="V815" s="46"/>
      <c r="W815" s="46"/>
      <c r="X815" s="46"/>
      <c r="Y815" s="46"/>
      <c r="Z815" s="46"/>
      <c r="AA815" s="46"/>
    </row>
    <row r="816">
      <c r="A816" s="4"/>
      <c r="B816" s="46"/>
      <c r="C816" s="46"/>
      <c r="D816" s="46"/>
      <c r="E816" s="18"/>
      <c r="F816" s="18"/>
      <c r="G816" s="46"/>
      <c r="H816" s="46"/>
      <c r="I816" s="46"/>
      <c r="J816" s="46"/>
      <c r="K816" s="46"/>
      <c r="L816" s="46"/>
      <c r="M816" s="46"/>
      <c r="N816" s="46"/>
      <c r="O816" s="46"/>
      <c r="P816" s="46"/>
      <c r="Q816" s="46"/>
      <c r="R816" s="46"/>
      <c r="S816" s="46"/>
      <c r="T816" s="46"/>
      <c r="U816" s="46"/>
      <c r="V816" s="46"/>
      <c r="W816" s="46"/>
      <c r="X816" s="46"/>
      <c r="Y816" s="46"/>
      <c r="Z816" s="46"/>
      <c r="AA816" s="46"/>
    </row>
    <row r="817">
      <c r="A817" s="4"/>
      <c r="B817" s="46"/>
      <c r="C817" s="46"/>
      <c r="D817" s="46"/>
      <c r="E817" s="18"/>
      <c r="F817" s="18"/>
      <c r="G817" s="46"/>
      <c r="H817" s="46"/>
      <c r="I817" s="46"/>
      <c r="J817" s="46"/>
      <c r="K817" s="46"/>
      <c r="L817" s="46"/>
      <c r="M817" s="46"/>
      <c r="N817" s="46"/>
      <c r="O817" s="46"/>
      <c r="P817" s="46"/>
      <c r="Q817" s="46"/>
      <c r="R817" s="46"/>
      <c r="S817" s="46"/>
      <c r="T817" s="46"/>
      <c r="U817" s="46"/>
      <c r="V817" s="46"/>
      <c r="W817" s="46"/>
      <c r="X817" s="46"/>
      <c r="Y817" s="46"/>
      <c r="Z817" s="46"/>
      <c r="AA817" s="46"/>
    </row>
    <row r="818">
      <c r="A818" s="4"/>
      <c r="B818" s="46"/>
      <c r="C818" s="46"/>
      <c r="D818" s="46"/>
      <c r="E818" s="18"/>
      <c r="F818" s="18"/>
      <c r="G818" s="46"/>
      <c r="H818" s="46"/>
      <c r="I818" s="46"/>
      <c r="J818" s="46"/>
      <c r="K818" s="46"/>
      <c r="L818" s="46"/>
      <c r="M818" s="46"/>
      <c r="N818" s="46"/>
      <c r="O818" s="46"/>
      <c r="P818" s="46"/>
      <c r="Q818" s="46"/>
      <c r="R818" s="46"/>
      <c r="S818" s="46"/>
      <c r="T818" s="46"/>
      <c r="U818" s="46"/>
      <c r="V818" s="46"/>
      <c r="W818" s="46"/>
      <c r="X818" s="46"/>
      <c r="Y818" s="46"/>
      <c r="Z818" s="46"/>
      <c r="AA818" s="46"/>
    </row>
    <row r="819">
      <c r="A819" s="4"/>
      <c r="B819" s="46"/>
      <c r="C819" s="46"/>
      <c r="D819" s="46"/>
      <c r="E819" s="18"/>
      <c r="F819" s="18"/>
      <c r="G819" s="46"/>
      <c r="H819" s="46"/>
      <c r="I819" s="46"/>
      <c r="J819" s="46"/>
      <c r="K819" s="46"/>
      <c r="L819" s="46"/>
      <c r="M819" s="46"/>
      <c r="N819" s="46"/>
      <c r="O819" s="46"/>
      <c r="P819" s="46"/>
      <c r="Q819" s="46"/>
      <c r="R819" s="46"/>
      <c r="S819" s="46"/>
      <c r="T819" s="46"/>
      <c r="U819" s="46"/>
      <c r="V819" s="46"/>
      <c r="W819" s="46"/>
      <c r="X819" s="46"/>
      <c r="Y819" s="46"/>
      <c r="Z819" s="46"/>
      <c r="AA819" s="46"/>
    </row>
    <row r="820">
      <c r="A820" s="4"/>
      <c r="B820" s="46"/>
      <c r="C820" s="46"/>
      <c r="D820" s="46"/>
      <c r="E820" s="18"/>
      <c r="F820" s="18"/>
      <c r="G820" s="46"/>
      <c r="H820" s="46"/>
      <c r="I820" s="46"/>
      <c r="J820" s="46"/>
      <c r="K820" s="46"/>
      <c r="L820" s="46"/>
      <c r="M820" s="46"/>
      <c r="N820" s="46"/>
      <c r="O820" s="46"/>
      <c r="P820" s="46"/>
      <c r="Q820" s="46"/>
      <c r="R820" s="46"/>
      <c r="S820" s="46"/>
      <c r="T820" s="46"/>
      <c r="U820" s="46"/>
      <c r="V820" s="46"/>
      <c r="W820" s="46"/>
      <c r="X820" s="46"/>
      <c r="Y820" s="46"/>
      <c r="Z820" s="46"/>
      <c r="AA820" s="46"/>
    </row>
    <row r="821">
      <c r="A821" s="4"/>
      <c r="B821" s="46"/>
      <c r="C821" s="46"/>
      <c r="D821" s="46"/>
      <c r="E821" s="18"/>
      <c r="F821" s="18"/>
      <c r="G821" s="46"/>
      <c r="H821" s="46"/>
      <c r="I821" s="46"/>
      <c r="J821" s="46"/>
      <c r="K821" s="46"/>
      <c r="L821" s="46"/>
      <c r="M821" s="46"/>
      <c r="N821" s="46"/>
      <c r="O821" s="46"/>
      <c r="P821" s="46"/>
      <c r="Q821" s="46"/>
      <c r="R821" s="46"/>
      <c r="S821" s="46"/>
      <c r="T821" s="46"/>
      <c r="U821" s="46"/>
      <c r="V821" s="46"/>
      <c r="W821" s="46"/>
      <c r="X821" s="46"/>
      <c r="Y821" s="46"/>
      <c r="Z821" s="46"/>
      <c r="AA821" s="46"/>
    </row>
    <row r="822">
      <c r="A822" s="4"/>
      <c r="B822" s="46"/>
      <c r="C822" s="46"/>
      <c r="D822" s="46"/>
      <c r="E822" s="18"/>
      <c r="F822" s="18"/>
      <c r="G822" s="46"/>
      <c r="H822" s="46"/>
      <c r="I822" s="46"/>
      <c r="J822" s="46"/>
      <c r="K822" s="46"/>
      <c r="L822" s="46"/>
      <c r="M822" s="46"/>
      <c r="N822" s="46"/>
      <c r="O822" s="46"/>
      <c r="P822" s="46"/>
      <c r="Q822" s="46"/>
      <c r="R822" s="46"/>
      <c r="S822" s="46"/>
      <c r="T822" s="46"/>
      <c r="U822" s="46"/>
      <c r="V822" s="46"/>
      <c r="W822" s="46"/>
      <c r="X822" s="46"/>
      <c r="Y822" s="46"/>
      <c r="Z822" s="46"/>
      <c r="AA822" s="46"/>
    </row>
    <row r="823">
      <c r="A823" s="4"/>
      <c r="B823" s="46"/>
      <c r="C823" s="46"/>
      <c r="D823" s="46"/>
      <c r="E823" s="18"/>
      <c r="F823" s="18"/>
      <c r="G823" s="46"/>
      <c r="H823" s="46"/>
      <c r="I823" s="46"/>
      <c r="J823" s="46"/>
      <c r="K823" s="46"/>
      <c r="L823" s="46"/>
      <c r="M823" s="46"/>
      <c r="N823" s="46"/>
      <c r="O823" s="46"/>
      <c r="P823" s="46"/>
      <c r="Q823" s="46"/>
      <c r="R823" s="46"/>
      <c r="S823" s="46"/>
      <c r="T823" s="46"/>
      <c r="U823" s="46"/>
      <c r="V823" s="46"/>
      <c r="W823" s="46"/>
      <c r="X823" s="46"/>
      <c r="Y823" s="46"/>
      <c r="Z823" s="46"/>
      <c r="AA823" s="46"/>
    </row>
    <row r="824">
      <c r="A824" s="4"/>
      <c r="B824" s="46"/>
      <c r="C824" s="46"/>
      <c r="D824" s="46"/>
      <c r="E824" s="18"/>
      <c r="F824" s="18"/>
      <c r="G824" s="46"/>
      <c r="H824" s="46"/>
      <c r="I824" s="46"/>
      <c r="J824" s="46"/>
      <c r="K824" s="46"/>
      <c r="L824" s="46"/>
      <c r="M824" s="46"/>
      <c r="N824" s="46"/>
      <c r="O824" s="46"/>
      <c r="P824" s="46"/>
      <c r="Q824" s="46"/>
      <c r="R824" s="46"/>
      <c r="S824" s="46"/>
      <c r="T824" s="46"/>
      <c r="U824" s="46"/>
      <c r="V824" s="46"/>
      <c r="W824" s="46"/>
      <c r="X824" s="46"/>
      <c r="Y824" s="46"/>
      <c r="Z824" s="46"/>
      <c r="AA824" s="46"/>
    </row>
    <row r="825">
      <c r="A825" s="4"/>
      <c r="B825" s="46"/>
      <c r="C825" s="46"/>
      <c r="D825" s="46"/>
      <c r="E825" s="18"/>
      <c r="F825" s="18"/>
      <c r="G825" s="46"/>
      <c r="H825" s="46"/>
      <c r="I825" s="46"/>
      <c r="J825" s="46"/>
      <c r="K825" s="46"/>
      <c r="L825" s="46"/>
      <c r="M825" s="46"/>
      <c r="N825" s="46"/>
      <c r="O825" s="46"/>
      <c r="P825" s="46"/>
      <c r="Q825" s="46"/>
      <c r="R825" s="46"/>
      <c r="S825" s="46"/>
      <c r="T825" s="46"/>
      <c r="U825" s="46"/>
      <c r="V825" s="46"/>
      <c r="W825" s="46"/>
      <c r="X825" s="46"/>
      <c r="Y825" s="46"/>
      <c r="Z825" s="46"/>
      <c r="AA825" s="46"/>
    </row>
    <row r="826">
      <c r="A826" s="4"/>
      <c r="B826" s="46"/>
      <c r="C826" s="46"/>
      <c r="D826" s="46"/>
      <c r="E826" s="18"/>
      <c r="F826" s="18"/>
      <c r="G826" s="46"/>
      <c r="H826" s="46"/>
      <c r="I826" s="46"/>
      <c r="J826" s="46"/>
      <c r="K826" s="46"/>
      <c r="L826" s="46"/>
      <c r="M826" s="46"/>
      <c r="N826" s="46"/>
      <c r="O826" s="46"/>
      <c r="P826" s="46"/>
      <c r="Q826" s="46"/>
      <c r="R826" s="46"/>
      <c r="S826" s="46"/>
      <c r="T826" s="46"/>
      <c r="U826" s="46"/>
      <c r="V826" s="46"/>
      <c r="W826" s="46"/>
      <c r="X826" s="46"/>
      <c r="Y826" s="46"/>
      <c r="Z826" s="46"/>
      <c r="AA826" s="46"/>
    </row>
    <row r="827">
      <c r="A827" s="4"/>
      <c r="B827" s="46"/>
      <c r="C827" s="46"/>
      <c r="D827" s="46"/>
      <c r="E827" s="18"/>
      <c r="F827" s="18"/>
      <c r="G827" s="46"/>
      <c r="H827" s="46"/>
      <c r="I827" s="46"/>
      <c r="J827" s="46"/>
      <c r="K827" s="46"/>
      <c r="L827" s="46"/>
      <c r="M827" s="46"/>
      <c r="N827" s="46"/>
      <c r="O827" s="46"/>
      <c r="P827" s="46"/>
      <c r="Q827" s="46"/>
      <c r="R827" s="46"/>
      <c r="S827" s="46"/>
      <c r="T827" s="46"/>
      <c r="U827" s="46"/>
      <c r="V827" s="46"/>
      <c r="W827" s="46"/>
      <c r="X827" s="46"/>
      <c r="Y827" s="46"/>
      <c r="Z827" s="46"/>
      <c r="AA827" s="46"/>
    </row>
    <row r="828">
      <c r="A828" s="4"/>
      <c r="B828" s="46"/>
      <c r="C828" s="46"/>
      <c r="D828" s="46"/>
      <c r="E828" s="18"/>
      <c r="F828" s="18"/>
      <c r="G828" s="46"/>
      <c r="H828" s="46"/>
      <c r="I828" s="46"/>
      <c r="J828" s="46"/>
      <c r="K828" s="46"/>
      <c r="L828" s="46"/>
      <c r="M828" s="46"/>
      <c r="N828" s="46"/>
      <c r="O828" s="46"/>
      <c r="P828" s="46"/>
      <c r="Q828" s="46"/>
      <c r="R828" s="46"/>
      <c r="S828" s="46"/>
      <c r="T828" s="46"/>
      <c r="U828" s="46"/>
      <c r="V828" s="46"/>
      <c r="W828" s="46"/>
      <c r="X828" s="46"/>
      <c r="Y828" s="46"/>
      <c r="Z828" s="46"/>
      <c r="AA828" s="46"/>
    </row>
    <row r="829">
      <c r="A829" s="4"/>
      <c r="B829" s="46"/>
      <c r="C829" s="46"/>
      <c r="D829" s="46"/>
      <c r="E829" s="18"/>
      <c r="F829" s="18"/>
      <c r="G829" s="46"/>
      <c r="H829" s="46"/>
      <c r="I829" s="46"/>
      <c r="J829" s="46"/>
      <c r="K829" s="46"/>
      <c r="L829" s="46"/>
      <c r="M829" s="46"/>
      <c r="N829" s="46"/>
      <c r="O829" s="46"/>
      <c r="P829" s="46"/>
      <c r="Q829" s="46"/>
      <c r="R829" s="46"/>
      <c r="S829" s="46"/>
      <c r="T829" s="46"/>
      <c r="U829" s="46"/>
      <c r="V829" s="46"/>
      <c r="W829" s="46"/>
      <c r="X829" s="46"/>
      <c r="Y829" s="46"/>
      <c r="Z829" s="46"/>
      <c r="AA829" s="46"/>
    </row>
    <row r="830">
      <c r="A830" s="4"/>
      <c r="B830" s="46"/>
      <c r="C830" s="46"/>
      <c r="D830" s="46"/>
      <c r="E830" s="18"/>
      <c r="F830" s="18"/>
      <c r="G830" s="46"/>
      <c r="H830" s="46"/>
      <c r="I830" s="46"/>
      <c r="J830" s="46"/>
      <c r="K830" s="46"/>
      <c r="L830" s="46"/>
      <c r="M830" s="46"/>
      <c r="N830" s="46"/>
      <c r="O830" s="46"/>
      <c r="P830" s="46"/>
      <c r="Q830" s="46"/>
      <c r="R830" s="46"/>
      <c r="S830" s="46"/>
      <c r="T830" s="46"/>
      <c r="U830" s="46"/>
      <c r="V830" s="46"/>
      <c r="W830" s="46"/>
      <c r="X830" s="46"/>
      <c r="Y830" s="46"/>
      <c r="Z830" s="46"/>
      <c r="AA830" s="46"/>
    </row>
    <row r="831">
      <c r="A831" s="4"/>
      <c r="B831" s="46"/>
      <c r="C831" s="46"/>
      <c r="D831" s="46"/>
      <c r="E831" s="18"/>
      <c r="F831" s="18"/>
      <c r="G831" s="46"/>
      <c r="H831" s="46"/>
      <c r="I831" s="46"/>
      <c r="J831" s="46"/>
      <c r="K831" s="46"/>
      <c r="L831" s="46"/>
      <c r="M831" s="46"/>
      <c r="N831" s="46"/>
      <c r="O831" s="46"/>
      <c r="P831" s="46"/>
      <c r="Q831" s="46"/>
      <c r="R831" s="46"/>
      <c r="S831" s="46"/>
      <c r="T831" s="46"/>
      <c r="U831" s="46"/>
      <c r="V831" s="46"/>
      <c r="W831" s="46"/>
      <c r="X831" s="46"/>
      <c r="Y831" s="46"/>
      <c r="Z831" s="46"/>
      <c r="AA831" s="46"/>
    </row>
    <row r="832">
      <c r="A832" s="4"/>
      <c r="B832" s="46"/>
      <c r="C832" s="46"/>
      <c r="D832" s="46"/>
      <c r="E832" s="18"/>
      <c r="F832" s="18"/>
      <c r="G832" s="46"/>
      <c r="H832" s="46"/>
      <c r="I832" s="46"/>
      <c r="J832" s="46"/>
      <c r="K832" s="46"/>
      <c r="L832" s="46"/>
      <c r="M832" s="46"/>
      <c r="N832" s="46"/>
      <c r="O832" s="46"/>
      <c r="P832" s="46"/>
      <c r="Q832" s="46"/>
      <c r="R832" s="46"/>
      <c r="S832" s="46"/>
      <c r="T832" s="46"/>
      <c r="U832" s="46"/>
      <c r="V832" s="46"/>
      <c r="W832" s="46"/>
      <c r="X832" s="46"/>
      <c r="Y832" s="46"/>
      <c r="Z832" s="46"/>
      <c r="AA832" s="46"/>
    </row>
    <row r="833">
      <c r="A833" s="4"/>
      <c r="B833" s="46"/>
      <c r="C833" s="46"/>
      <c r="D833" s="46"/>
      <c r="E833" s="18"/>
      <c r="F833" s="18"/>
      <c r="G833" s="46"/>
      <c r="H833" s="46"/>
      <c r="I833" s="46"/>
      <c r="J833" s="46"/>
      <c r="K833" s="46"/>
      <c r="L833" s="46"/>
      <c r="M833" s="46"/>
      <c r="N833" s="46"/>
      <c r="O833" s="46"/>
      <c r="P833" s="46"/>
      <c r="Q833" s="46"/>
      <c r="R833" s="46"/>
      <c r="S833" s="46"/>
      <c r="T833" s="46"/>
      <c r="U833" s="46"/>
      <c r="V833" s="46"/>
      <c r="W833" s="46"/>
      <c r="X833" s="46"/>
      <c r="Y833" s="46"/>
      <c r="Z833" s="46"/>
      <c r="AA833" s="46"/>
    </row>
    <row r="834">
      <c r="A834" s="4"/>
      <c r="B834" s="46"/>
      <c r="C834" s="46"/>
      <c r="D834" s="46"/>
      <c r="E834" s="18"/>
      <c r="F834" s="18"/>
      <c r="G834" s="46"/>
      <c r="H834" s="46"/>
      <c r="I834" s="46"/>
      <c r="J834" s="46"/>
      <c r="K834" s="46"/>
      <c r="L834" s="46"/>
      <c r="M834" s="46"/>
      <c r="N834" s="46"/>
      <c r="O834" s="46"/>
      <c r="P834" s="46"/>
      <c r="Q834" s="46"/>
      <c r="R834" s="46"/>
      <c r="S834" s="46"/>
      <c r="T834" s="46"/>
      <c r="U834" s="46"/>
      <c r="V834" s="46"/>
      <c r="W834" s="46"/>
      <c r="X834" s="46"/>
      <c r="Y834" s="46"/>
      <c r="Z834" s="46"/>
      <c r="AA834" s="46"/>
    </row>
    <row r="835">
      <c r="A835" s="4"/>
      <c r="B835" s="46"/>
      <c r="C835" s="46"/>
      <c r="D835" s="46"/>
      <c r="E835" s="18"/>
      <c r="F835" s="18"/>
      <c r="G835" s="46"/>
      <c r="H835" s="46"/>
      <c r="I835" s="46"/>
      <c r="J835" s="46"/>
      <c r="K835" s="46"/>
      <c r="L835" s="46"/>
      <c r="M835" s="46"/>
      <c r="N835" s="46"/>
      <c r="O835" s="46"/>
      <c r="P835" s="46"/>
      <c r="Q835" s="46"/>
      <c r="R835" s="46"/>
      <c r="S835" s="46"/>
      <c r="T835" s="46"/>
      <c r="U835" s="46"/>
      <c r="V835" s="46"/>
      <c r="W835" s="46"/>
      <c r="X835" s="46"/>
      <c r="Y835" s="46"/>
      <c r="Z835" s="46"/>
      <c r="AA835" s="46"/>
    </row>
    <row r="836">
      <c r="A836" s="4"/>
      <c r="B836" s="46"/>
      <c r="C836" s="46"/>
      <c r="D836" s="46"/>
      <c r="E836" s="18"/>
      <c r="F836" s="18"/>
      <c r="G836" s="46"/>
      <c r="H836" s="46"/>
      <c r="I836" s="46"/>
      <c r="J836" s="46"/>
      <c r="K836" s="46"/>
      <c r="L836" s="46"/>
      <c r="M836" s="46"/>
      <c r="N836" s="46"/>
      <c r="O836" s="46"/>
      <c r="P836" s="46"/>
      <c r="Q836" s="46"/>
      <c r="R836" s="46"/>
      <c r="S836" s="46"/>
      <c r="T836" s="46"/>
      <c r="U836" s="46"/>
      <c r="V836" s="46"/>
      <c r="W836" s="46"/>
      <c r="X836" s="46"/>
      <c r="Y836" s="46"/>
      <c r="Z836" s="46"/>
      <c r="AA836" s="46"/>
    </row>
    <row r="837">
      <c r="A837" s="4"/>
      <c r="B837" s="46"/>
      <c r="C837" s="46"/>
      <c r="D837" s="46"/>
      <c r="E837" s="18"/>
      <c r="F837" s="18"/>
      <c r="G837" s="46"/>
      <c r="H837" s="46"/>
      <c r="I837" s="46"/>
      <c r="J837" s="46"/>
      <c r="K837" s="46"/>
      <c r="L837" s="46"/>
      <c r="M837" s="46"/>
      <c r="N837" s="46"/>
      <c r="O837" s="46"/>
      <c r="P837" s="46"/>
      <c r="Q837" s="46"/>
      <c r="R837" s="46"/>
      <c r="S837" s="46"/>
      <c r="T837" s="46"/>
      <c r="U837" s="46"/>
      <c r="V837" s="46"/>
      <c r="W837" s="46"/>
      <c r="X837" s="46"/>
      <c r="Y837" s="46"/>
      <c r="Z837" s="46"/>
      <c r="AA837" s="46"/>
    </row>
    <row r="838">
      <c r="A838" s="4"/>
      <c r="B838" s="46"/>
      <c r="C838" s="46"/>
      <c r="D838" s="46"/>
      <c r="E838" s="18"/>
      <c r="F838" s="18"/>
      <c r="G838" s="46"/>
      <c r="H838" s="46"/>
      <c r="I838" s="46"/>
      <c r="J838" s="46"/>
      <c r="K838" s="46"/>
      <c r="L838" s="46"/>
      <c r="M838" s="46"/>
      <c r="N838" s="46"/>
      <c r="O838" s="46"/>
      <c r="P838" s="46"/>
      <c r="Q838" s="46"/>
      <c r="R838" s="46"/>
      <c r="S838" s="46"/>
      <c r="T838" s="46"/>
      <c r="U838" s="46"/>
      <c r="V838" s="46"/>
      <c r="W838" s="46"/>
      <c r="X838" s="46"/>
      <c r="Y838" s="46"/>
      <c r="Z838" s="46"/>
      <c r="AA838" s="46"/>
    </row>
    <row r="839">
      <c r="A839" s="4"/>
      <c r="B839" s="46"/>
      <c r="C839" s="46"/>
      <c r="D839" s="46"/>
      <c r="E839" s="18"/>
      <c r="F839" s="18"/>
      <c r="G839" s="46"/>
      <c r="H839" s="46"/>
      <c r="I839" s="46"/>
      <c r="J839" s="46"/>
      <c r="K839" s="46"/>
      <c r="L839" s="46"/>
      <c r="M839" s="46"/>
      <c r="N839" s="46"/>
      <c r="O839" s="46"/>
      <c r="P839" s="46"/>
      <c r="Q839" s="46"/>
      <c r="R839" s="46"/>
      <c r="S839" s="46"/>
      <c r="T839" s="46"/>
      <c r="U839" s="46"/>
      <c r="V839" s="46"/>
      <c r="W839" s="46"/>
      <c r="X839" s="46"/>
      <c r="Y839" s="46"/>
      <c r="Z839" s="46"/>
      <c r="AA839" s="46"/>
    </row>
    <row r="840">
      <c r="A840" s="4"/>
      <c r="B840" s="46"/>
      <c r="C840" s="46"/>
      <c r="D840" s="46"/>
      <c r="E840" s="18"/>
      <c r="F840" s="18"/>
      <c r="G840" s="46"/>
      <c r="H840" s="46"/>
      <c r="I840" s="46"/>
      <c r="J840" s="46"/>
      <c r="K840" s="46"/>
      <c r="L840" s="46"/>
      <c r="M840" s="46"/>
      <c r="N840" s="46"/>
      <c r="O840" s="46"/>
      <c r="P840" s="46"/>
      <c r="Q840" s="46"/>
      <c r="R840" s="46"/>
      <c r="S840" s="46"/>
      <c r="T840" s="46"/>
      <c r="U840" s="46"/>
      <c r="V840" s="46"/>
      <c r="W840" s="46"/>
      <c r="X840" s="46"/>
      <c r="Y840" s="46"/>
      <c r="Z840" s="46"/>
      <c r="AA840" s="46"/>
    </row>
    <row r="841">
      <c r="A841" s="4"/>
      <c r="B841" s="46"/>
      <c r="C841" s="46"/>
      <c r="D841" s="46"/>
      <c r="E841" s="18"/>
      <c r="F841" s="18"/>
      <c r="G841" s="46"/>
      <c r="H841" s="46"/>
      <c r="I841" s="46"/>
      <c r="J841" s="46"/>
      <c r="K841" s="46"/>
      <c r="L841" s="46"/>
      <c r="M841" s="46"/>
      <c r="N841" s="46"/>
      <c r="O841" s="46"/>
      <c r="P841" s="46"/>
      <c r="Q841" s="46"/>
      <c r="R841" s="46"/>
      <c r="S841" s="46"/>
      <c r="T841" s="46"/>
      <c r="U841" s="46"/>
      <c r="V841" s="46"/>
      <c r="W841" s="46"/>
      <c r="X841" s="46"/>
      <c r="Y841" s="46"/>
      <c r="Z841" s="46"/>
      <c r="AA841" s="46"/>
    </row>
    <row r="842">
      <c r="A842" s="4"/>
      <c r="B842" s="46"/>
      <c r="C842" s="46"/>
      <c r="D842" s="46"/>
      <c r="E842" s="18"/>
      <c r="F842" s="18"/>
      <c r="G842" s="46"/>
      <c r="H842" s="46"/>
      <c r="I842" s="46"/>
      <c r="J842" s="46"/>
      <c r="K842" s="46"/>
      <c r="L842" s="46"/>
      <c r="M842" s="46"/>
      <c r="N842" s="46"/>
      <c r="O842" s="46"/>
      <c r="P842" s="46"/>
      <c r="Q842" s="46"/>
      <c r="R842" s="46"/>
      <c r="S842" s="46"/>
      <c r="T842" s="46"/>
      <c r="U842" s="46"/>
      <c r="V842" s="46"/>
      <c r="W842" s="46"/>
      <c r="X842" s="46"/>
      <c r="Y842" s="46"/>
      <c r="Z842" s="46"/>
      <c r="AA842" s="46"/>
    </row>
    <row r="843">
      <c r="A843" s="4"/>
      <c r="B843" s="46"/>
      <c r="C843" s="46"/>
      <c r="D843" s="46"/>
      <c r="E843" s="18"/>
      <c r="F843" s="18"/>
      <c r="G843" s="46"/>
      <c r="H843" s="46"/>
      <c r="I843" s="46"/>
      <c r="J843" s="46"/>
      <c r="K843" s="46"/>
      <c r="L843" s="46"/>
      <c r="M843" s="46"/>
      <c r="N843" s="46"/>
      <c r="O843" s="46"/>
      <c r="P843" s="46"/>
      <c r="Q843" s="46"/>
      <c r="R843" s="46"/>
      <c r="S843" s="46"/>
      <c r="T843" s="46"/>
      <c r="U843" s="46"/>
      <c r="V843" s="46"/>
      <c r="W843" s="46"/>
      <c r="X843" s="46"/>
      <c r="Y843" s="46"/>
      <c r="Z843" s="46"/>
      <c r="AA843" s="46"/>
    </row>
    <row r="844">
      <c r="A844" s="4"/>
      <c r="B844" s="46"/>
      <c r="C844" s="46"/>
      <c r="D844" s="46"/>
      <c r="E844" s="18"/>
      <c r="F844" s="18"/>
      <c r="G844" s="46"/>
      <c r="H844" s="46"/>
      <c r="I844" s="46"/>
      <c r="J844" s="46"/>
      <c r="K844" s="46"/>
      <c r="L844" s="46"/>
      <c r="M844" s="46"/>
      <c r="N844" s="46"/>
      <c r="O844" s="46"/>
      <c r="P844" s="46"/>
      <c r="Q844" s="46"/>
      <c r="R844" s="46"/>
      <c r="S844" s="46"/>
      <c r="T844" s="46"/>
      <c r="U844" s="46"/>
      <c r="V844" s="46"/>
      <c r="W844" s="46"/>
      <c r="X844" s="46"/>
      <c r="Y844" s="46"/>
      <c r="Z844" s="46"/>
      <c r="AA844" s="46"/>
    </row>
    <row r="845">
      <c r="A845" s="4"/>
      <c r="B845" s="46"/>
      <c r="C845" s="46"/>
      <c r="D845" s="46"/>
      <c r="E845" s="18"/>
      <c r="F845" s="18"/>
      <c r="G845" s="46"/>
      <c r="H845" s="46"/>
      <c r="I845" s="46"/>
      <c r="J845" s="46"/>
      <c r="K845" s="46"/>
      <c r="L845" s="46"/>
      <c r="M845" s="46"/>
      <c r="N845" s="46"/>
      <c r="O845" s="46"/>
      <c r="P845" s="46"/>
      <c r="Q845" s="46"/>
      <c r="R845" s="46"/>
      <c r="S845" s="46"/>
      <c r="T845" s="46"/>
      <c r="U845" s="46"/>
      <c r="V845" s="46"/>
      <c r="W845" s="46"/>
      <c r="X845" s="46"/>
      <c r="Y845" s="46"/>
      <c r="Z845" s="46"/>
      <c r="AA845" s="46"/>
    </row>
    <row r="846">
      <c r="A846" s="4"/>
      <c r="B846" s="46"/>
      <c r="C846" s="46"/>
      <c r="D846" s="46"/>
      <c r="E846" s="18"/>
      <c r="F846" s="18"/>
      <c r="G846" s="46"/>
      <c r="H846" s="46"/>
      <c r="I846" s="46"/>
      <c r="J846" s="46"/>
      <c r="K846" s="46"/>
      <c r="L846" s="46"/>
      <c r="M846" s="46"/>
      <c r="N846" s="46"/>
      <c r="O846" s="46"/>
      <c r="P846" s="46"/>
      <c r="Q846" s="46"/>
      <c r="R846" s="46"/>
      <c r="S846" s="46"/>
      <c r="T846" s="46"/>
      <c r="U846" s="46"/>
      <c r="V846" s="46"/>
      <c r="W846" s="46"/>
      <c r="X846" s="46"/>
      <c r="Y846" s="46"/>
      <c r="Z846" s="46"/>
      <c r="AA846" s="46"/>
    </row>
    <row r="847">
      <c r="A847" s="4"/>
      <c r="B847" s="46"/>
      <c r="C847" s="46"/>
      <c r="D847" s="46"/>
      <c r="E847" s="18"/>
      <c r="F847" s="18"/>
      <c r="G847" s="46"/>
      <c r="H847" s="46"/>
      <c r="I847" s="46"/>
      <c r="J847" s="46"/>
      <c r="K847" s="46"/>
      <c r="L847" s="46"/>
      <c r="M847" s="46"/>
      <c r="N847" s="46"/>
      <c r="O847" s="46"/>
      <c r="P847" s="46"/>
      <c r="Q847" s="46"/>
      <c r="R847" s="46"/>
      <c r="S847" s="46"/>
      <c r="T847" s="46"/>
      <c r="U847" s="46"/>
      <c r="V847" s="46"/>
      <c r="W847" s="46"/>
      <c r="X847" s="46"/>
      <c r="Y847" s="46"/>
      <c r="Z847" s="46"/>
      <c r="AA847" s="46"/>
    </row>
    <row r="848">
      <c r="A848" s="4"/>
      <c r="B848" s="46"/>
      <c r="C848" s="46"/>
      <c r="D848" s="46"/>
      <c r="E848" s="18"/>
      <c r="F848" s="18"/>
      <c r="G848" s="46"/>
      <c r="H848" s="46"/>
      <c r="I848" s="46"/>
      <c r="J848" s="46"/>
      <c r="K848" s="46"/>
      <c r="L848" s="46"/>
      <c r="M848" s="46"/>
      <c r="N848" s="46"/>
      <c r="O848" s="46"/>
      <c r="P848" s="46"/>
      <c r="Q848" s="46"/>
      <c r="R848" s="46"/>
      <c r="S848" s="46"/>
      <c r="T848" s="46"/>
      <c r="U848" s="46"/>
      <c r="V848" s="46"/>
      <c r="W848" s="46"/>
      <c r="X848" s="46"/>
      <c r="Y848" s="46"/>
      <c r="Z848" s="46"/>
      <c r="AA848" s="46"/>
    </row>
    <row r="849">
      <c r="A849" s="4"/>
      <c r="B849" s="46"/>
      <c r="C849" s="46"/>
      <c r="D849" s="46"/>
      <c r="E849" s="18"/>
      <c r="F849" s="18"/>
      <c r="G849" s="46"/>
      <c r="H849" s="46"/>
      <c r="I849" s="46"/>
      <c r="J849" s="46"/>
      <c r="K849" s="46"/>
      <c r="L849" s="46"/>
      <c r="M849" s="46"/>
      <c r="N849" s="46"/>
      <c r="O849" s="46"/>
      <c r="P849" s="46"/>
      <c r="Q849" s="46"/>
      <c r="R849" s="46"/>
      <c r="S849" s="46"/>
      <c r="T849" s="46"/>
      <c r="U849" s="46"/>
      <c r="V849" s="46"/>
      <c r="W849" s="46"/>
      <c r="X849" s="46"/>
      <c r="Y849" s="46"/>
      <c r="Z849" s="46"/>
      <c r="AA849" s="46"/>
    </row>
    <row r="850">
      <c r="A850" s="4"/>
      <c r="B850" s="46"/>
      <c r="C850" s="46"/>
      <c r="D850" s="46"/>
      <c r="E850" s="18"/>
      <c r="F850" s="18"/>
      <c r="G850" s="46"/>
      <c r="H850" s="46"/>
      <c r="I850" s="46"/>
      <c r="J850" s="46"/>
      <c r="K850" s="46"/>
      <c r="L850" s="46"/>
      <c r="M850" s="46"/>
      <c r="N850" s="46"/>
      <c r="O850" s="46"/>
      <c r="P850" s="46"/>
      <c r="Q850" s="46"/>
      <c r="R850" s="46"/>
      <c r="S850" s="46"/>
      <c r="T850" s="46"/>
      <c r="U850" s="46"/>
      <c r="V850" s="46"/>
      <c r="W850" s="46"/>
      <c r="X850" s="46"/>
      <c r="Y850" s="46"/>
      <c r="Z850" s="46"/>
      <c r="AA850" s="46"/>
    </row>
    <row r="851">
      <c r="A851" s="4"/>
      <c r="B851" s="46"/>
      <c r="C851" s="46"/>
      <c r="D851" s="46"/>
      <c r="E851" s="18"/>
      <c r="F851" s="18"/>
      <c r="G851" s="46"/>
      <c r="H851" s="46"/>
      <c r="I851" s="46"/>
      <c r="J851" s="46"/>
      <c r="K851" s="46"/>
      <c r="L851" s="46"/>
      <c r="M851" s="46"/>
      <c r="N851" s="46"/>
      <c r="O851" s="46"/>
      <c r="P851" s="46"/>
      <c r="Q851" s="46"/>
      <c r="R851" s="46"/>
      <c r="S851" s="46"/>
      <c r="T851" s="46"/>
      <c r="U851" s="46"/>
      <c r="V851" s="46"/>
      <c r="W851" s="46"/>
      <c r="X851" s="46"/>
      <c r="Y851" s="46"/>
      <c r="Z851" s="46"/>
      <c r="AA851" s="46"/>
    </row>
    <row r="852">
      <c r="A852" s="4"/>
      <c r="B852" s="46"/>
      <c r="C852" s="46"/>
      <c r="D852" s="46"/>
      <c r="E852" s="18"/>
      <c r="F852" s="18"/>
      <c r="G852" s="46"/>
      <c r="H852" s="46"/>
      <c r="I852" s="46"/>
      <c r="J852" s="46"/>
      <c r="K852" s="46"/>
      <c r="L852" s="46"/>
      <c r="M852" s="46"/>
      <c r="N852" s="46"/>
      <c r="O852" s="46"/>
      <c r="P852" s="46"/>
      <c r="Q852" s="46"/>
      <c r="R852" s="46"/>
      <c r="S852" s="46"/>
      <c r="T852" s="46"/>
      <c r="U852" s="46"/>
      <c r="V852" s="46"/>
      <c r="W852" s="46"/>
      <c r="X852" s="46"/>
      <c r="Y852" s="46"/>
      <c r="Z852" s="46"/>
      <c r="AA852" s="46"/>
    </row>
    <row r="853">
      <c r="A853" s="4"/>
      <c r="B853" s="46"/>
      <c r="C853" s="46"/>
      <c r="D853" s="46"/>
      <c r="E853" s="18"/>
      <c r="F853" s="18"/>
      <c r="G853" s="46"/>
      <c r="H853" s="46"/>
      <c r="I853" s="46"/>
      <c r="J853" s="46"/>
      <c r="K853" s="46"/>
      <c r="L853" s="46"/>
      <c r="M853" s="46"/>
      <c r="N853" s="46"/>
      <c r="O853" s="46"/>
      <c r="P853" s="46"/>
      <c r="Q853" s="46"/>
      <c r="R853" s="46"/>
      <c r="S853" s="46"/>
      <c r="T853" s="46"/>
      <c r="U853" s="46"/>
      <c r="V853" s="46"/>
      <c r="W853" s="46"/>
      <c r="X853" s="46"/>
      <c r="Y853" s="46"/>
      <c r="Z853" s="46"/>
      <c r="AA853" s="46"/>
    </row>
    <row r="854">
      <c r="A854" s="4"/>
      <c r="B854" s="46"/>
      <c r="C854" s="46"/>
      <c r="D854" s="46"/>
      <c r="E854" s="18"/>
      <c r="F854" s="18"/>
      <c r="G854" s="46"/>
      <c r="H854" s="46"/>
      <c r="I854" s="46"/>
      <c r="J854" s="46"/>
      <c r="K854" s="46"/>
      <c r="L854" s="46"/>
      <c r="M854" s="46"/>
      <c r="N854" s="46"/>
      <c r="O854" s="46"/>
      <c r="P854" s="46"/>
      <c r="Q854" s="46"/>
      <c r="R854" s="46"/>
      <c r="S854" s="46"/>
      <c r="T854" s="46"/>
      <c r="U854" s="46"/>
      <c r="V854" s="46"/>
      <c r="W854" s="46"/>
      <c r="X854" s="46"/>
      <c r="Y854" s="46"/>
      <c r="Z854" s="46"/>
      <c r="AA854" s="46"/>
    </row>
    <row r="855">
      <c r="A855" s="4"/>
      <c r="B855" s="46"/>
      <c r="C855" s="46"/>
      <c r="D855" s="46"/>
      <c r="E855" s="18"/>
      <c r="F855" s="18"/>
      <c r="G855" s="46"/>
      <c r="H855" s="46"/>
      <c r="I855" s="46"/>
      <c r="J855" s="46"/>
      <c r="K855" s="46"/>
      <c r="L855" s="46"/>
      <c r="M855" s="46"/>
      <c r="N855" s="46"/>
      <c r="O855" s="46"/>
      <c r="P855" s="46"/>
      <c r="Q855" s="46"/>
      <c r="R855" s="46"/>
      <c r="S855" s="46"/>
      <c r="T855" s="46"/>
      <c r="U855" s="46"/>
      <c r="V855" s="46"/>
      <c r="W855" s="46"/>
      <c r="X855" s="46"/>
      <c r="Y855" s="46"/>
      <c r="Z855" s="46"/>
      <c r="AA855" s="46"/>
    </row>
    <row r="856">
      <c r="A856" s="4"/>
      <c r="B856" s="46"/>
      <c r="C856" s="46"/>
      <c r="D856" s="46"/>
      <c r="E856" s="18"/>
      <c r="F856" s="18"/>
      <c r="G856" s="46"/>
      <c r="H856" s="46"/>
      <c r="I856" s="46"/>
      <c r="J856" s="46"/>
      <c r="K856" s="46"/>
      <c r="L856" s="46"/>
      <c r="M856" s="46"/>
      <c r="N856" s="46"/>
      <c r="O856" s="46"/>
      <c r="P856" s="46"/>
      <c r="Q856" s="46"/>
      <c r="R856" s="46"/>
      <c r="S856" s="46"/>
      <c r="T856" s="46"/>
      <c r="U856" s="46"/>
      <c r="V856" s="46"/>
      <c r="W856" s="46"/>
      <c r="X856" s="46"/>
      <c r="Y856" s="46"/>
      <c r="Z856" s="46"/>
      <c r="AA856" s="46"/>
    </row>
    <row r="857">
      <c r="A857" s="4"/>
      <c r="B857" s="46"/>
      <c r="C857" s="46"/>
      <c r="D857" s="46"/>
      <c r="E857" s="18"/>
      <c r="F857" s="18"/>
      <c r="G857" s="46"/>
      <c r="H857" s="46"/>
      <c r="I857" s="46"/>
      <c r="J857" s="46"/>
      <c r="K857" s="46"/>
      <c r="L857" s="46"/>
      <c r="M857" s="46"/>
      <c r="N857" s="46"/>
      <c r="O857" s="46"/>
      <c r="P857" s="46"/>
      <c r="Q857" s="46"/>
      <c r="R857" s="46"/>
      <c r="S857" s="46"/>
      <c r="T857" s="46"/>
      <c r="U857" s="46"/>
      <c r="V857" s="46"/>
      <c r="W857" s="46"/>
      <c r="X857" s="46"/>
      <c r="Y857" s="46"/>
      <c r="Z857" s="46"/>
      <c r="AA857" s="46"/>
    </row>
    <row r="858">
      <c r="A858" s="4"/>
      <c r="B858" s="46"/>
      <c r="C858" s="46"/>
      <c r="D858" s="46"/>
      <c r="E858" s="18"/>
      <c r="F858" s="18"/>
      <c r="G858" s="46"/>
      <c r="H858" s="46"/>
      <c r="I858" s="46"/>
      <c r="J858" s="46"/>
      <c r="K858" s="46"/>
      <c r="L858" s="46"/>
      <c r="M858" s="46"/>
      <c r="N858" s="46"/>
      <c r="O858" s="46"/>
      <c r="P858" s="46"/>
      <c r="Q858" s="46"/>
      <c r="R858" s="46"/>
      <c r="S858" s="46"/>
      <c r="T858" s="46"/>
      <c r="U858" s="46"/>
      <c r="V858" s="46"/>
      <c r="W858" s="46"/>
      <c r="X858" s="46"/>
      <c r="Y858" s="46"/>
      <c r="Z858" s="46"/>
      <c r="AA858" s="46"/>
    </row>
    <row r="859">
      <c r="A859" s="4"/>
      <c r="B859" s="46"/>
      <c r="C859" s="46"/>
      <c r="D859" s="46"/>
      <c r="E859" s="18"/>
      <c r="F859" s="18"/>
      <c r="G859" s="46"/>
      <c r="H859" s="46"/>
      <c r="I859" s="46"/>
      <c r="J859" s="46"/>
      <c r="K859" s="46"/>
      <c r="L859" s="46"/>
      <c r="M859" s="46"/>
      <c r="N859" s="46"/>
      <c r="O859" s="46"/>
      <c r="P859" s="46"/>
      <c r="Q859" s="46"/>
      <c r="R859" s="46"/>
      <c r="S859" s="46"/>
      <c r="T859" s="46"/>
      <c r="U859" s="46"/>
      <c r="V859" s="46"/>
      <c r="W859" s="46"/>
      <c r="X859" s="46"/>
      <c r="Y859" s="46"/>
      <c r="Z859" s="46"/>
      <c r="AA859" s="46"/>
    </row>
    <row r="860">
      <c r="A860" s="4"/>
      <c r="B860" s="46"/>
      <c r="C860" s="46"/>
      <c r="D860" s="46"/>
      <c r="E860" s="18"/>
      <c r="F860" s="18"/>
      <c r="G860" s="46"/>
      <c r="H860" s="46"/>
      <c r="I860" s="46"/>
      <c r="J860" s="46"/>
      <c r="K860" s="46"/>
      <c r="L860" s="46"/>
      <c r="M860" s="46"/>
      <c r="N860" s="46"/>
      <c r="O860" s="46"/>
      <c r="P860" s="46"/>
      <c r="Q860" s="46"/>
      <c r="R860" s="46"/>
      <c r="S860" s="46"/>
      <c r="T860" s="46"/>
      <c r="U860" s="46"/>
      <c r="V860" s="46"/>
      <c r="W860" s="46"/>
      <c r="X860" s="46"/>
      <c r="Y860" s="46"/>
      <c r="Z860" s="46"/>
      <c r="AA860" s="46"/>
    </row>
    <row r="861">
      <c r="A861" s="4"/>
      <c r="B861" s="46"/>
      <c r="C861" s="46"/>
      <c r="D861" s="46"/>
      <c r="E861" s="18"/>
      <c r="F861" s="18"/>
      <c r="G861" s="46"/>
      <c r="H861" s="46"/>
      <c r="I861" s="46"/>
      <c r="J861" s="46"/>
      <c r="K861" s="46"/>
      <c r="L861" s="46"/>
      <c r="M861" s="46"/>
      <c r="N861" s="46"/>
      <c r="O861" s="46"/>
      <c r="P861" s="46"/>
      <c r="Q861" s="46"/>
      <c r="R861" s="46"/>
      <c r="S861" s="46"/>
      <c r="T861" s="46"/>
      <c r="U861" s="46"/>
      <c r="V861" s="46"/>
      <c r="W861" s="46"/>
      <c r="X861" s="46"/>
      <c r="Y861" s="46"/>
      <c r="Z861" s="46"/>
      <c r="AA861" s="46"/>
    </row>
    <row r="862">
      <c r="A862" s="4"/>
      <c r="B862" s="46"/>
      <c r="C862" s="46"/>
      <c r="D862" s="46"/>
      <c r="E862" s="18"/>
      <c r="F862" s="18"/>
      <c r="G862" s="46"/>
      <c r="H862" s="46"/>
      <c r="I862" s="46"/>
      <c r="J862" s="46"/>
      <c r="K862" s="46"/>
      <c r="L862" s="46"/>
      <c r="M862" s="46"/>
      <c r="N862" s="46"/>
      <c r="O862" s="46"/>
      <c r="P862" s="46"/>
      <c r="Q862" s="46"/>
      <c r="R862" s="46"/>
      <c r="S862" s="46"/>
      <c r="T862" s="46"/>
      <c r="U862" s="46"/>
      <c r="V862" s="46"/>
      <c r="W862" s="46"/>
      <c r="X862" s="46"/>
      <c r="Y862" s="46"/>
      <c r="Z862" s="46"/>
      <c r="AA862" s="46"/>
    </row>
    <row r="863">
      <c r="A863" s="4"/>
      <c r="B863" s="46"/>
      <c r="C863" s="46"/>
      <c r="D863" s="46"/>
      <c r="E863" s="18"/>
      <c r="F863" s="18"/>
      <c r="G863" s="46"/>
      <c r="H863" s="46"/>
      <c r="I863" s="46"/>
      <c r="J863" s="46"/>
      <c r="K863" s="46"/>
      <c r="L863" s="46"/>
      <c r="M863" s="46"/>
      <c r="N863" s="46"/>
      <c r="O863" s="46"/>
      <c r="P863" s="46"/>
      <c r="Q863" s="46"/>
      <c r="R863" s="46"/>
      <c r="S863" s="46"/>
      <c r="T863" s="46"/>
      <c r="U863" s="46"/>
      <c r="V863" s="46"/>
      <c r="W863" s="46"/>
      <c r="X863" s="46"/>
      <c r="Y863" s="46"/>
      <c r="Z863" s="46"/>
      <c r="AA863" s="46"/>
    </row>
    <row r="864">
      <c r="A864" s="4"/>
      <c r="B864" s="46"/>
      <c r="C864" s="46"/>
      <c r="D864" s="46"/>
      <c r="E864" s="18"/>
      <c r="F864" s="18"/>
      <c r="G864" s="46"/>
      <c r="H864" s="46"/>
      <c r="I864" s="46"/>
      <c r="J864" s="46"/>
      <c r="K864" s="46"/>
      <c r="L864" s="46"/>
      <c r="M864" s="46"/>
      <c r="N864" s="46"/>
      <c r="O864" s="46"/>
      <c r="P864" s="46"/>
      <c r="Q864" s="46"/>
      <c r="R864" s="46"/>
      <c r="S864" s="46"/>
      <c r="T864" s="46"/>
      <c r="U864" s="46"/>
      <c r="V864" s="46"/>
      <c r="W864" s="46"/>
      <c r="X864" s="46"/>
      <c r="Y864" s="46"/>
      <c r="Z864" s="46"/>
      <c r="AA864" s="46"/>
    </row>
    <row r="865">
      <c r="A865" s="4"/>
      <c r="B865" s="46"/>
      <c r="C865" s="46"/>
      <c r="D865" s="46"/>
      <c r="E865" s="18"/>
      <c r="F865" s="18"/>
      <c r="G865" s="46"/>
      <c r="H865" s="46"/>
      <c r="I865" s="46"/>
      <c r="J865" s="46"/>
      <c r="K865" s="46"/>
      <c r="L865" s="46"/>
      <c r="M865" s="46"/>
      <c r="N865" s="46"/>
      <c r="O865" s="46"/>
      <c r="P865" s="46"/>
      <c r="Q865" s="46"/>
      <c r="R865" s="46"/>
      <c r="S865" s="46"/>
      <c r="T865" s="46"/>
      <c r="U865" s="46"/>
      <c r="V865" s="46"/>
      <c r="W865" s="46"/>
      <c r="X865" s="46"/>
      <c r="Y865" s="46"/>
      <c r="Z865" s="46"/>
      <c r="AA865" s="46"/>
    </row>
    <row r="866">
      <c r="A866" s="4"/>
      <c r="B866" s="46"/>
      <c r="C866" s="46"/>
      <c r="D866" s="46"/>
      <c r="E866" s="18"/>
      <c r="F866" s="18"/>
      <c r="G866" s="46"/>
      <c r="H866" s="46"/>
      <c r="I866" s="46"/>
      <c r="J866" s="46"/>
      <c r="K866" s="46"/>
      <c r="L866" s="46"/>
      <c r="M866" s="46"/>
      <c r="N866" s="46"/>
      <c r="O866" s="46"/>
      <c r="P866" s="46"/>
      <c r="Q866" s="46"/>
      <c r="R866" s="46"/>
      <c r="S866" s="46"/>
      <c r="T866" s="46"/>
      <c r="U866" s="46"/>
      <c r="V866" s="46"/>
      <c r="W866" s="46"/>
      <c r="X866" s="46"/>
      <c r="Y866" s="46"/>
      <c r="Z866" s="46"/>
      <c r="AA866" s="46"/>
    </row>
    <row r="867">
      <c r="A867" s="4"/>
      <c r="B867" s="46"/>
      <c r="C867" s="46"/>
      <c r="D867" s="46"/>
      <c r="E867" s="18"/>
      <c r="F867" s="18"/>
      <c r="G867" s="46"/>
      <c r="H867" s="46"/>
      <c r="I867" s="46"/>
      <c r="J867" s="46"/>
      <c r="K867" s="46"/>
      <c r="L867" s="46"/>
      <c r="M867" s="46"/>
      <c r="N867" s="46"/>
      <c r="O867" s="46"/>
      <c r="P867" s="46"/>
      <c r="Q867" s="46"/>
      <c r="R867" s="46"/>
      <c r="S867" s="46"/>
      <c r="T867" s="46"/>
      <c r="U867" s="46"/>
      <c r="V867" s="46"/>
      <c r="W867" s="46"/>
      <c r="X867" s="46"/>
      <c r="Y867" s="46"/>
      <c r="Z867" s="46"/>
      <c r="AA867" s="46"/>
    </row>
    <row r="868">
      <c r="A868" s="4"/>
      <c r="B868" s="46"/>
      <c r="C868" s="46"/>
      <c r="D868" s="46"/>
      <c r="E868" s="18"/>
      <c r="F868" s="18"/>
      <c r="G868" s="46"/>
      <c r="H868" s="46"/>
      <c r="I868" s="46"/>
      <c r="J868" s="46"/>
      <c r="K868" s="46"/>
      <c r="L868" s="46"/>
      <c r="M868" s="46"/>
      <c r="N868" s="46"/>
      <c r="O868" s="46"/>
      <c r="P868" s="46"/>
      <c r="Q868" s="46"/>
      <c r="R868" s="46"/>
      <c r="S868" s="46"/>
      <c r="T868" s="46"/>
      <c r="U868" s="46"/>
      <c r="V868" s="46"/>
      <c r="W868" s="46"/>
      <c r="X868" s="46"/>
      <c r="Y868" s="46"/>
      <c r="Z868" s="46"/>
      <c r="AA868" s="46"/>
    </row>
    <row r="869">
      <c r="A869" s="4"/>
      <c r="B869" s="46"/>
      <c r="C869" s="46"/>
      <c r="D869" s="46"/>
      <c r="E869" s="18"/>
      <c r="F869" s="18"/>
      <c r="G869" s="46"/>
      <c r="H869" s="46"/>
      <c r="I869" s="46"/>
      <c r="J869" s="46"/>
      <c r="K869" s="46"/>
      <c r="L869" s="46"/>
      <c r="M869" s="46"/>
      <c r="N869" s="46"/>
      <c r="O869" s="46"/>
      <c r="P869" s="46"/>
      <c r="Q869" s="46"/>
      <c r="R869" s="46"/>
      <c r="S869" s="46"/>
      <c r="T869" s="46"/>
      <c r="U869" s="46"/>
      <c r="V869" s="46"/>
      <c r="W869" s="46"/>
      <c r="X869" s="46"/>
      <c r="Y869" s="46"/>
      <c r="Z869" s="46"/>
      <c r="AA869" s="46"/>
    </row>
    <row r="870">
      <c r="A870" s="4"/>
      <c r="B870" s="46"/>
      <c r="C870" s="46"/>
      <c r="D870" s="46"/>
      <c r="E870" s="18"/>
      <c r="F870" s="18"/>
      <c r="G870" s="46"/>
      <c r="H870" s="46"/>
      <c r="I870" s="46"/>
      <c r="J870" s="46"/>
      <c r="K870" s="46"/>
      <c r="L870" s="46"/>
      <c r="M870" s="46"/>
      <c r="N870" s="46"/>
      <c r="O870" s="46"/>
      <c r="P870" s="46"/>
      <c r="Q870" s="46"/>
      <c r="R870" s="46"/>
      <c r="S870" s="46"/>
      <c r="T870" s="46"/>
      <c r="U870" s="46"/>
      <c r="V870" s="46"/>
      <c r="W870" s="46"/>
      <c r="X870" s="46"/>
      <c r="Y870" s="46"/>
      <c r="Z870" s="46"/>
      <c r="AA870" s="46"/>
    </row>
    <row r="871">
      <c r="A871" s="4"/>
      <c r="B871" s="46"/>
      <c r="C871" s="46"/>
      <c r="D871" s="46"/>
      <c r="E871" s="18"/>
      <c r="F871" s="18"/>
      <c r="G871" s="46"/>
      <c r="H871" s="46"/>
      <c r="I871" s="46"/>
      <c r="J871" s="46"/>
      <c r="K871" s="46"/>
      <c r="L871" s="46"/>
      <c r="M871" s="46"/>
      <c r="N871" s="46"/>
      <c r="O871" s="46"/>
      <c r="P871" s="46"/>
      <c r="Q871" s="46"/>
      <c r="R871" s="46"/>
      <c r="S871" s="46"/>
      <c r="T871" s="46"/>
      <c r="U871" s="46"/>
      <c r="V871" s="46"/>
      <c r="W871" s="46"/>
      <c r="X871" s="46"/>
      <c r="Y871" s="46"/>
      <c r="Z871" s="46"/>
      <c r="AA871" s="46"/>
    </row>
    <row r="872">
      <c r="A872" s="4"/>
      <c r="B872" s="46"/>
      <c r="C872" s="46"/>
      <c r="D872" s="46"/>
      <c r="E872" s="18"/>
      <c r="F872" s="18"/>
      <c r="G872" s="46"/>
      <c r="H872" s="46"/>
      <c r="I872" s="46"/>
      <c r="J872" s="46"/>
      <c r="K872" s="46"/>
      <c r="L872" s="46"/>
      <c r="M872" s="46"/>
      <c r="N872" s="46"/>
      <c r="O872" s="46"/>
      <c r="P872" s="46"/>
      <c r="Q872" s="46"/>
      <c r="R872" s="46"/>
      <c r="S872" s="46"/>
      <c r="T872" s="46"/>
      <c r="U872" s="46"/>
      <c r="V872" s="46"/>
      <c r="W872" s="46"/>
      <c r="X872" s="46"/>
      <c r="Y872" s="46"/>
      <c r="Z872" s="46"/>
      <c r="AA872" s="46"/>
    </row>
    <row r="873">
      <c r="A873" s="4"/>
      <c r="B873" s="46"/>
      <c r="C873" s="46"/>
      <c r="D873" s="46"/>
      <c r="E873" s="18"/>
      <c r="F873" s="18"/>
      <c r="G873" s="46"/>
      <c r="H873" s="46"/>
      <c r="I873" s="46"/>
      <c r="J873" s="46"/>
      <c r="K873" s="46"/>
      <c r="L873" s="46"/>
      <c r="M873" s="46"/>
      <c r="N873" s="46"/>
      <c r="O873" s="46"/>
      <c r="P873" s="46"/>
      <c r="Q873" s="46"/>
      <c r="R873" s="46"/>
      <c r="S873" s="46"/>
      <c r="T873" s="46"/>
      <c r="U873" s="46"/>
      <c r="V873" s="46"/>
      <c r="W873" s="46"/>
      <c r="X873" s="46"/>
      <c r="Y873" s="46"/>
      <c r="Z873" s="46"/>
      <c r="AA873" s="46"/>
    </row>
    <row r="874">
      <c r="A874" s="4"/>
      <c r="B874" s="46"/>
      <c r="C874" s="46"/>
      <c r="D874" s="46"/>
      <c r="E874" s="18"/>
      <c r="F874" s="18"/>
      <c r="G874" s="46"/>
      <c r="H874" s="46"/>
      <c r="I874" s="46"/>
      <c r="J874" s="46"/>
      <c r="K874" s="46"/>
      <c r="L874" s="46"/>
      <c r="M874" s="46"/>
      <c r="N874" s="46"/>
      <c r="O874" s="46"/>
      <c r="P874" s="46"/>
      <c r="Q874" s="46"/>
      <c r="R874" s="46"/>
      <c r="S874" s="46"/>
      <c r="T874" s="46"/>
      <c r="U874" s="46"/>
      <c r="V874" s="46"/>
      <c r="W874" s="46"/>
      <c r="X874" s="46"/>
      <c r="Y874" s="46"/>
      <c r="Z874" s="46"/>
      <c r="AA874" s="46"/>
    </row>
    <row r="875">
      <c r="A875" s="4"/>
      <c r="B875" s="46"/>
      <c r="C875" s="46"/>
      <c r="D875" s="46"/>
      <c r="E875" s="18"/>
      <c r="F875" s="18"/>
      <c r="G875" s="46"/>
      <c r="H875" s="46"/>
      <c r="I875" s="46"/>
      <c r="J875" s="46"/>
      <c r="K875" s="46"/>
      <c r="L875" s="46"/>
      <c r="M875" s="46"/>
      <c r="N875" s="46"/>
      <c r="O875" s="46"/>
      <c r="P875" s="46"/>
      <c r="Q875" s="46"/>
      <c r="R875" s="46"/>
      <c r="S875" s="46"/>
      <c r="T875" s="46"/>
      <c r="U875" s="46"/>
      <c r="V875" s="46"/>
      <c r="W875" s="46"/>
      <c r="X875" s="46"/>
      <c r="Y875" s="46"/>
      <c r="Z875" s="46"/>
      <c r="AA875" s="46"/>
    </row>
    <row r="876">
      <c r="A876" s="4"/>
      <c r="B876" s="46"/>
      <c r="C876" s="46"/>
      <c r="D876" s="46"/>
      <c r="E876" s="18"/>
      <c r="F876" s="18"/>
      <c r="G876" s="46"/>
      <c r="H876" s="46"/>
      <c r="I876" s="46"/>
      <c r="J876" s="46"/>
      <c r="K876" s="46"/>
      <c r="L876" s="46"/>
      <c r="M876" s="46"/>
      <c r="N876" s="46"/>
      <c r="O876" s="46"/>
      <c r="P876" s="46"/>
      <c r="Q876" s="46"/>
      <c r="R876" s="46"/>
      <c r="S876" s="46"/>
      <c r="T876" s="46"/>
      <c r="U876" s="46"/>
      <c r="V876" s="46"/>
      <c r="W876" s="46"/>
      <c r="X876" s="46"/>
      <c r="Y876" s="46"/>
      <c r="Z876" s="46"/>
      <c r="AA876" s="46"/>
    </row>
    <row r="877">
      <c r="A877" s="4"/>
      <c r="B877" s="46"/>
      <c r="C877" s="46"/>
      <c r="D877" s="46"/>
      <c r="E877" s="18"/>
      <c r="F877" s="18"/>
      <c r="G877" s="46"/>
      <c r="H877" s="46"/>
      <c r="I877" s="46"/>
      <c r="J877" s="46"/>
      <c r="K877" s="46"/>
      <c r="L877" s="46"/>
      <c r="M877" s="46"/>
      <c r="N877" s="46"/>
      <c r="O877" s="46"/>
      <c r="P877" s="46"/>
      <c r="Q877" s="46"/>
      <c r="R877" s="46"/>
      <c r="S877" s="46"/>
      <c r="T877" s="46"/>
      <c r="U877" s="46"/>
      <c r="V877" s="46"/>
      <c r="W877" s="46"/>
      <c r="X877" s="46"/>
      <c r="Y877" s="46"/>
      <c r="Z877" s="46"/>
      <c r="AA877" s="46"/>
    </row>
    <row r="878">
      <c r="A878" s="4"/>
      <c r="B878" s="46"/>
      <c r="C878" s="46"/>
      <c r="D878" s="46"/>
      <c r="E878" s="18"/>
      <c r="F878" s="18"/>
      <c r="G878" s="46"/>
      <c r="H878" s="46"/>
      <c r="I878" s="46"/>
      <c r="J878" s="46"/>
      <c r="K878" s="46"/>
      <c r="L878" s="46"/>
      <c r="M878" s="46"/>
      <c r="N878" s="46"/>
      <c r="O878" s="46"/>
      <c r="P878" s="46"/>
      <c r="Q878" s="46"/>
      <c r="R878" s="46"/>
      <c r="S878" s="46"/>
      <c r="T878" s="46"/>
      <c r="U878" s="46"/>
      <c r="V878" s="46"/>
      <c r="W878" s="46"/>
      <c r="X878" s="46"/>
      <c r="Y878" s="46"/>
      <c r="Z878" s="46"/>
      <c r="AA878" s="46"/>
    </row>
    <row r="879">
      <c r="A879" s="4"/>
      <c r="B879" s="46"/>
      <c r="C879" s="46"/>
      <c r="D879" s="46"/>
      <c r="E879" s="18"/>
      <c r="F879" s="18"/>
      <c r="G879" s="46"/>
      <c r="H879" s="46"/>
      <c r="I879" s="46"/>
      <c r="J879" s="46"/>
      <c r="K879" s="46"/>
      <c r="L879" s="46"/>
      <c r="M879" s="46"/>
      <c r="N879" s="46"/>
      <c r="O879" s="46"/>
      <c r="P879" s="46"/>
      <c r="Q879" s="46"/>
      <c r="R879" s="46"/>
      <c r="S879" s="46"/>
      <c r="T879" s="46"/>
      <c r="U879" s="46"/>
      <c r="V879" s="46"/>
      <c r="W879" s="46"/>
      <c r="X879" s="46"/>
      <c r="Y879" s="46"/>
      <c r="Z879" s="46"/>
      <c r="AA879" s="46"/>
    </row>
    <row r="880">
      <c r="A880" s="4"/>
      <c r="B880" s="46"/>
      <c r="C880" s="46"/>
      <c r="D880" s="46"/>
      <c r="E880" s="18"/>
      <c r="F880" s="18"/>
      <c r="G880" s="46"/>
      <c r="H880" s="46"/>
      <c r="I880" s="46"/>
      <c r="J880" s="46"/>
      <c r="K880" s="46"/>
      <c r="L880" s="46"/>
      <c r="M880" s="46"/>
      <c r="N880" s="46"/>
      <c r="O880" s="46"/>
      <c r="P880" s="46"/>
      <c r="Q880" s="46"/>
      <c r="R880" s="46"/>
      <c r="S880" s="46"/>
      <c r="T880" s="46"/>
      <c r="U880" s="46"/>
      <c r="V880" s="46"/>
      <c r="W880" s="46"/>
      <c r="X880" s="46"/>
      <c r="Y880" s="46"/>
      <c r="Z880" s="46"/>
      <c r="AA880" s="46"/>
    </row>
    <row r="881">
      <c r="A881" s="4"/>
      <c r="B881" s="46"/>
      <c r="C881" s="46"/>
      <c r="D881" s="46"/>
      <c r="E881" s="18"/>
      <c r="F881" s="18"/>
      <c r="G881" s="46"/>
      <c r="H881" s="46"/>
      <c r="I881" s="46"/>
      <c r="J881" s="46"/>
      <c r="K881" s="46"/>
      <c r="L881" s="46"/>
      <c r="M881" s="46"/>
      <c r="N881" s="46"/>
      <c r="O881" s="46"/>
      <c r="P881" s="46"/>
      <c r="Q881" s="46"/>
      <c r="R881" s="46"/>
      <c r="S881" s="46"/>
      <c r="T881" s="46"/>
      <c r="U881" s="46"/>
      <c r="V881" s="46"/>
      <c r="W881" s="46"/>
      <c r="X881" s="46"/>
      <c r="Y881" s="46"/>
      <c r="Z881" s="46"/>
      <c r="AA881" s="46"/>
    </row>
    <row r="882">
      <c r="A882" s="4"/>
      <c r="B882" s="46"/>
      <c r="C882" s="46"/>
      <c r="D882" s="46"/>
      <c r="E882" s="18"/>
      <c r="F882" s="18"/>
      <c r="G882" s="46"/>
      <c r="H882" s="46"/>
      <c r="I882" s="46"/>
      <c r="J882" s="46"/>
      <c r="K882" s="46"/>
      <c r="L882" s="46"/>
      <c r="M882" s="46"/>
      <c r="N882" s="46"/>
      <c r="O882" s="46"/>
      <c r="P882" s="46"/>
      <c r="Q882" s="46"/>
      <c r="R882" s="46"/>
      <c r="S882" s="46"/>
      <c r="T882" s="46"/>
      <c r="U882" s="46"/>
      <c r="V882" s="46"/>
      <c r="W882" s="46"/>
      <c r="X882" s="46"/>
      <c r="Y882" s="46"/>
      <c r="Z882" s="46"/>
      <c r="AA882" s="46"/>
    </row>
    <row r="883">
      <c r="A883" s="4"/>
      <c r="B883" s="46"/>
      <c r="C883" s="46"/>
      <c r="D883" s="46"/>
      <c r="E883" s="18"/>
      <c r="F883" s="18"/>
      <c r="G883" s="46"/>
      <c r="H883" s="46"/>
      <c r="I883" s="46"/>
      <c r="J883" s="46"/>
      <c r="K883" s="46"/>
      <c r="L883" s="46"/>
      <c r="M883" s="46"/>
      <c r="N883" s="46"/>
      <c r="O883" s="46"/>
      <c r="P883" s="46"/>
      <c r="Q883" s="46"/>
      <c r="R883" s="46"/>
      <c r="S883" s="46"/>
      <c r="T883" s="46"/>
      <c r="U883" s="46"/>
      <c r="V883" s="46"/>
      <c r="W883" s="46"/>
      <c r="X883" s="46"/>
      <c r="Y883" s="46"/>
      <c r="Z883" s="46"/>
      <c r="AA883" s="46"/>
    </row>
    <row r="884">
      <c r="A884" s="4"/>
      <c r="B884" s="46"/>
      <c r="C884" s="46"/>
      <c r="D884" s="46"/>
      <c r="E884" s="18"/>
      <c r="F884" s="18"/>
      <c r="G884" s="46"/>
      <c r="H884" s="46"/>
      <c r="I884" s="46"/>
      <c r="J884" s="46"/>
      <c r="K884" s="46"/>
      <c r="L884" s="46"/>
      <c r="M884" s="46"/>
      <c r="N884" s="46"/>
      <c r="O884" s="46"/>
      <c r="P884" s="46"/>
      <c r="Q884" s="46"/>
      <c r="R884" s="46"/>
      <c r="S884" s="46"/>
      <c r="T884" s="46"/>
      <c r="U884" s="46"/>
      <c r="V884" s="46"/>
      <c r="W884" s="46"/>
      <c r="X884" s="46"/>
      <c r="Y884" s="46"/>
      <c r="Z884" s="46"/>
      <c r="AA884" s="46"/>
    </row>
    <row r="885">
      <c r="A885" s="4"/>
      <c r="B885" s="46"/>
      <c r="C885" s="46"/>
      <c r="D885" s="46"/>
      <c r="E885" s="18"/>
      <c r="F885" s="18"/>
      <c r="G885" s="46"/>
      <c r="H885" s="46"/>
      <c r="I885" s="46"/>
      <c r="J885" s="46"/>
      <c r="K885" s="46"/>
      <c r="L885" s="46"/>
      <c r="M885" s="46"/>
      <c r="N885" s="46"/>
      <c r="O885" s="46"/>
      <c r="P885" s="46"/>
      <c r="Q885" s="46"/>
      <c r="R885" s="46"/>
      <c r="S885" s="46"/>
      <c r="T885" s="46"/>
      <c r="U885" s="46"/>
      <c r="V885" s="46"/>
      <c r="W885" s="46"/>
      <c r="X885" s="46"/>
      <c r="Y885" s="46"/>
      <c r="Z885" s="46"/>
      <c r="AA885" s="46"/>
    </row>
    <row r="886">
      <c r="A886" s="4"/>
      <c r="B886" s="46"/>
      <c r="C886" s="46"/>
      <c r="D886" s="46"/>
      <c r="E886" s="18"/>
      <c r="F886" s="18"/>
      <c r="G886" s="46"/>
      <c r="H886" s="46"/>
      <c r="I886" s="46"/>
      <c r="J886" s="46"/>
      <c r="K886" s="46"/>
      <c r="L886" s="46"/>
      <c r="M886" s="46"/>
      <c r="N886" s="46"/>
      <c r="O886" s="46"/>
      <c r="P886" s="46"/>
      <c r="Q886" s="46"/>
      <c r="R886" s="46"/>
      <c r="S886" s="46"/>
      <c r="T886" s="46"/>
      <c r="U886" s="46"/>
      <c r="V886" s="46"/>
      <c r="W886" s="46"/>
      <c r="X886" s="46"/>
      <c r="Y886" s="46"/>
      <c r="Z886" s="46"/>
      <c r="AA886" s="46"/>
    </row>
    <row r="887">
      <c r="A887" s="4"/>
      <c r="B887" s="46"/>
      <c r="C887" s="46"/>
      <c r="D887" s="46"/>
      <c r="E887" s="18"/>
      <c r="F887" s="18"/>
      <c r="G887" s="46"/>
      <c r="H887" s="46"/>
      <c r="I887" s="46"/>
      <c r="J887" s="46"/>
      <c r="K887" s="46"/>
      <c r="L887" s="46"/>
      <c r="M887" s="46"/>
      <c r="N887" s="46"/>
      <c r="O887" s="46"/>
      <c r="P887" s="46"/>
      <c r="Q887" s="46"/>
      <c r="R887" s="46"/>
      <c r="S887" s="46"/>
      <c r="T887" s="46"/>
      <c r="U887" s="46"/>
      <c r="V887" s="46"/>
      <c r="W887" s="46"/>
      <c r="X887" s="46"/>
      <c r="Y887" s="46"/>
      <c r="Z887" s="46"/>
      <c r="AA887" s="46"/>
    </row>
    <row r="888">
      <c r="A888" s="4"/>
      <c r="B888" s="46"/>
      <c r="C888" s="46"/>
      <c r="D888" s="46"/>
      <c r="E888" s="18"/>
      <c r="F888" s="18"/>
      <c r="G888" s="46"/>
      <c r="H888" s="46"/>
      <c r="I888" s="46"/>
      <c r="J888" s="46"/>
      <c r="K888" s="46"/>
      <c r="L888" s="46"/>
      <c r="M888" s="46"/>
      <c r="N888" s="46"/>
      <c r="O888" s="46"/>
      <c r="P888" s="46"/>
      <c r="Q888" s="46"/>
      <c r="R888" s="46"/>
      <c r="S888" s="46"/>
      <c r="T888" s="46"/>
      <c r="U888" s="46"/>
      <c r="V888" s="46"/>
      <c r="W888" s="46"/>
      <c r="X888" s="46"/>
      <c r="Y888" s="46"/>
      <c r="Z888" s="46"/>
      <c r="AA888" s="46"/>
    </row>
    <row r="889">
      <c r="A889" s="4"/>
      <c r="B889" s="46"/>
      <c r="C889" s="46"/>
      <c r="D889" s="46"/>
      <c r="E889" s="18"/>
      <c r="F889" s="18"/>
      <c r="G889" s="46"/>
      <c r="H889" s="46"/>
      <c r="I889" s="46"/>
      <c r="J889" s="46"/>
      <c r="K889" s="46"/>
      <c r="L889" s="46"/>
      <c r="M889" s="46"/>
      <c r="N889" s="46"/>
      <c r="O889" s="46"/>
      <c r="P889" s="46"/>
      <c r="Q889" s="46"/>
      <c r="R889" s="46"/>
      <c r="S889" s="46"/>
      <c r="T889" s="46"/>
      <c r="U889" s="46"/>
      <c r="V889" s="46"/>
      <c r="W889" s="46"/>
      <c r="X889" s="46"/>
      <c r="Y889" s="46"/>
      <c r="Z889" s="46"/>
      <c r="AA889" s="46"/>
    </row>
    <row r="890">
      <c r="A890" s="4"/>
      <c r="B890" s="46"/>
      <c r="C890" s="46"/>
      <c r="D890" s="46"/>
      <c r="E890" s="18"/>
      <c r="F890" s="18"/>
      <c r="G890" s="46"/>
      <c r="H890" s="46"/>
      <c r="I890" s="46"/>
      <c r="J890" s="46"/>
      <c r="K890" s="46"/>
      <c r="L890" s="46"/>
      <c r="M890" s="46"/>
      <c r="N890" s="46"/>
      <c r="O890" s="46"/>
      <c r="P890" s="46"/>
      <c r="Q890" s="46"/>
      <c r="R890" s="46"/>
      <c r="S890" s="46"/>
      <c r="T890" s="46"/>
      <c r="U890" s="46"/>
      <c r="V890" s="46"/>
      <c r="W890" s="46"/>
      <c r="X890" s="46"/>
      <c r="Y890" s="46"/>
      <c r="Z890" s="46"/>
      <c r="AA890" s="46"/>
    </row>
    <row r="891">
      <c r="A891" s="4"/>
      <c r="B891" s="46"/>
      <c r="C891" s="46"/>
      <c r="D891" s="46"/>
      <c r="E891" s="18"/>
      <c r="F891" s="18"/>
      <c r="G891" s="46"/>
      <c r="H891" s="46"/>
      <c r="I891" s="46"/>
      <c r="J891" s="46"/>
      <c r="K891" s="46"/>
      <c r="L891" s="46"/>
      <c r="M891" s="46"/>
      <c r="N891" s="46"/>
      <c r="O891" s="46"/>
      <c r="P891" s="46"/>
      <c r="Q891" s="46"/>
      <c r="R891" s="46"/>
      <c r="S891" s="46"/>
      <c r="T891" s="46"/>
      <c r="U891" s="46"/>
      <c r="V891" s="46"/>
      <c r="W891" s="46"/>
      <c r="X891" s="46"/>
      <c r="Y891" s="46"/>
      <c r="Z891" s="46"/>
      <c r="AA891" s="46"/>
    </row>
    <row r="892">
      <c r="A892" s="4"/>
      <c r="B892" s="46"/>
      <c r="C892" s="46"/>
      <c r="D892" s="46"/>
      <c r="E892" s="18"/>
      <c r="F892" s="18"/>
      <c r="G892" s="46"/>
      <c r="H892" s="46"/>
      <c r="I892" s="46"/>
      <c r="J892" s="46"/>
      <c r="K892" s="46"/>
      <c r="L892" s="46"/>
      <c r="M892" s="46"/>
      <c r="N892" s="46"/>
      <c r="O892" s="46"/>
      <c r="P892" s="46"/>
      <c r="Q892" s="46"/>
      <c r="R892" s="46"/>
      <c r="S892" s="46"/>
      <c r="T892" s="46"/>
      <c r="U892" s="46"/>
      <c r="V892" s="46"/>
      <c r="W892" s="46"/>
      <c r="X892" s="46"/>
      <c r="Y892" s="46"/>
      <c r="Z892" s="46"/>
      <c r="AA892" s="46"/>
    </row>
    <row r="893">
      <c r="A893" s="4"/>
      <c r="B893" s="46"/>
      <c r="C893" s="46"/>
      <c r="D893" s="46"/>
      <c r="E893" s="18"/>
      <c r="F893" s="18"/>
      <c r="G893" s="46"/>
      <c r="H893" s="46"/>
      <c r="I893" s="46"/>
      <c r="J893" s="46"/>
      <c r="K893" s="46"/>
      <c r="L893" s="46"/>
      <c r="M893" s="46"/>
      <c r="N893" s="46"/>
      <c r="O893" s="46"/>
      <c r="P893" s="46"/>
      <c r="Q893" s="46"/>
      <c r="R893" s="46"/>
      <c r="S893" s="46"/>
      <c r="T893" s="46"/>
      <c r="U893" s="46"/>
      <c r="V893" s="46"/>
      <c r="W893" s="46"/>
      <c r="X893" s="46"/>
      <c r="Y893" s="46"/>
      <c r="Z893" s="46"/>
      <c r="AA893" s="46"/>
    </row>
    <row r="894">
      <c r="A894" s="4"/>
      <c r="B894" s="46"/>
      <c r="C894" s="46"/>
      <c r="D894" s="46"/>
      <c r="E894" s="18"/>
      <c r="F894" s="18"/>
      <c r="G894" s="46"/>
      <c r="H894" s="46"/>
      <c r="I894" s="46"/>
      <c r="J894" s="46"/>
      <c r="K894" s="46"/>
      <c r="L894" s="46"/>
      <c r="M894" s="46"/>
      <c r="N894" s="46"/>
      <c r="O894" s="46"/>
      <c r="P894" s="46"/>
      <c r="Q894" s="46"/>
      <c r="R894" s="46"/>
      <c r="S894" s="46"/>
      <c r="T894" s="46"/>
      <c r="U894" s="46"/>
      <c r="V894" s="46"/>
      <c r="W894" s="46"/>
      <c r="X894" s="46"/>
      <c r="Y894" s="46"/>
      <c r="Z894" s="46"/>
      <c r="AA894" s="46"/>
    </row>
    <row r="895">
      <c r="A895" s="4"/>
      <c r="B895" s="46"/>
      <c r="C895" s="46"/>
      <c r="D895" s="46"/>
      <c r="E895" s="18"/>
      <c r="F895" s="18"/>
      <c r="G895" s="46"/>
      <c r="H895" s="46"/>
      <c r="I895" s="46"/>
      <c r="J895" s="46"/>
      <c r="K895" s="46"/>
      <c r="L895" s="46"/>
      <c r="M895" s="46"/>
      <c r="N895" s="46"/>
      <c r="O895" s="46"/>
      <c r="P895" s="46"/>
      <c r="Q895" s="46"/>
      <c r="R895" s="46"/>
      <c r="S895" s="46"/>
      <c r="T895" s="46"/>
      <c r="U895" s="46"/>
      <c r="V895" s="46"/>
      <c r="W895" s="46"/>
      <c r="X895" s="46"/>
      <c r="Y895" s="46"/>
      <c r="Z895" s="46"/>
      <c r="AA895" s="46"/>
    </row>
    <row r="896">
      <c r="A896" s="4"/>
      <c r="B896" s="46"/>
      <c r="C896" s="46"/>
      <c r="D896" s="46"/>
      <c r="E896" s="18"/>
      <c r="F896" s="18"/>
      <c r="G896" s="46"/>
      <c r="H896" s="46"/>
      <c r="I896" s="46"/>
      <c r="J896" s="46"/>
      <c r="K896" s="46"/>
      <c r="L896" s="46"/>
      <c r="M896" s="46"/>
      <c r="N896" s="46"/>
      <c r="O896" s="46"/>
      <c r="P896" s="46"/>
      <c r="Q896" s="46"/>
      <c r="R896" s="46"/>
      <c r="S896" s="46"/>
      <c r="T896" s="46"/>
      <c r="U896" s="46"/>
      <c r="V896" s="46"/>
      <c r="W896" s="46"/>
      <c r="X896" s="46"/>
      <c r="Y896" s="46"/>
      <c r="Z896" s="46"/>
      <c r="AA896" s="46"/>
    </row>
    <row r="897">
      <c r="A897" s="4"/>
      <c r="B897" s="46"/>
      <c r="C897" s="46"/>
      <c r="D897" s="46"/>
      <c r="E897" s="18"/>
      <c r="F897" s="18"/>
      <c r="G897" s="46"/>
      <c r="H897" s="46"/>
      <c r="I897" s="46"/>
      <c r="J897" s="46"/>
      <c r="K897" s="46"/>
      <c r="L897" s="46"/>
      <c r="M897" s="46"/>
      <c r="N897" s="46"/>
      <c r="O897" s="46"/>
      <c r="P897" s="46"/>
      <c r="Q897" s="46"/>
      <c r="R897" s="46"/>
      <c r="S897" s="46"/>
      <c r="T897" s="46"/>
      <c r="U897" s="46"/>
      <c r="V897" s="46"/>
      <c r="W897" s="46"/>
      <c r="X897" s="46"/>
      <c r="Y897" s="46"/>
      <c r="Z897" s="46"/>
      <c r="AA897" s="46"/>
    </row>
    <row r="898">
      <c r="A898" s="4"/>
      <c r="B898" s="46"/>
      <c r="C898" s="46"/>
      <c r="D898" s="46"/>
      <c r="E898" s="18"/>
      <c r="F898" s="18"/>
      <c r="G898" s="46"/>
      <c r="H898" s="46"/>
      <c r="I898" s="46"/>
      <c r="J898" s="46"/>
      <c r="K898" s="46"/>
      <c r="L898" s="46"/>
      <c r="M898" s="46"/>
      <c r="N898" s="46"/>
      <c r="O898" s="46"/>
      <c r="P898" s="46"/>
      <c r="Q898" s="46"/>
      <c r="R898" s="46"/>
      <c r="S898" s="46"/>
      <c r="T898" s="46"/>
      <c r="U898" s="46"/>
      <c r="V898" s="46"/>
      <c r="W898" s="46"/>
      <c r="X898" s="46"/>
      <c r="Y898" s="46"/>
      <c r="Z898" s="46"/>
      <c r="AA898" s="46"/>
    </row>
    <row r="899">
      <c r="A899" s="4"/>
      <c r="B899" s="46"/>
      <c r="C899" s="46"/>
      <c r="D899" s="46"/>
      <c r="E899" s="18"/>
      <c r="F899" s="18"/>
      <c r="G899" s="46"/>
      <c r="H899" s="46"/>
      <c r="I899" s="46"/>
      <c r="J899" s="46"/>
      <c r="K899" s="46"/>
      <c r="L899" s="46"/>
      <c r="M899" s="46"/>
      <c r="N899" s="46"/>
      <c r="O899" s="46"/>
      <c r="P899" s="46"/>
      <c r="Q899" s="46"/>
      <c r="R899" s="46"/>
      <c r="S899" s="46"/>
      <c r="T899" s="46"/>
      <c r="U899" s="46"/>
      <c r="V899" s="46"/>
      <c r="W899" s="46"/>
      <c r="X899" s="46"/>
      <c r="Y899" s="46"/>
      <c r="Z899" s="46"/>
      <c r="AA899" s="46"/>
    </row>
    <row r="900">
      <c r="A900" s="4"/>
      <c r="B900" s="46"/>
      <c r="C900" s="46"/>
      <c r="D900" s="46"/>
      <c r="E900" s="18"/>
      <c r="F900" s="18"/>
      <c r="G900" s="46"/>
      <c r="H900" s="46"/>
      <c r="I900" s="46"/>
      <c r="J900" s="46"/>
      <c r="K900" s="46"/>
      <c r="L900" s="46"/>
      <c r="M900" s="46"/>
      <c r="N900" s="46"/>
      <c r="O900" s="46"/>
      <c r="P900" s="46"/>
      <c r="Q900" s="46"/>
      <c r="R900" s="46"/>
      <c r="S900" s="46"/>
      <c r="T900" s="46"/>
      <c r="U900" s="46"/>
      <c r="V900" s="46"/>
      <c r="W900" s="46"/>
      <c r="X900" s="46"/>
      <c r="Y900" s="46"/>
      <c r="Z900" s="46"/>
      <c r="AA900" s="46"/>
    </row>
    <row r="901">
      <c r="A901" s="4"/>
      <c r="B901" s="46"/>
      <c r="C901" s="46"/>
      <c r="D901" s="46"/>
      <c r="E901" s="18"/>
      <c r="F901" s="18"/>
      <c r="G901" s="46"/>
      <c r="H901" s="46"/>
      <c r="I901" s="46"/>
      <c r="J901" s="46"/>
      <c r="K901" s="46"/>
      <c r="L901" s="46"/>
      <c r="M901" s="46"/>
      <c r="N901" s="46"/>
      <c r="O901" s="46"/>
      <c r="P901" s="46"/>
      <c r="Q901" s="46"/>
      <c r="R901" s="46"/>
      <c r="S901" s="46"/>
      <c r="T901" s="46"/>
      <c r="U901" s="46"/>
      <c r="V901" s="46"/>
      <c r="W901" s="46"/>
      <c r="X901" s="46"/>
      <c r="Y901" s="46"/>
      <c r="Z901" s="46"/>
      <c r="AA901" s="46"/>
    </row>
    <row r="902">
      <c r="A902" s="4"/>
      <c r="B902" s="46"/>
      <c r="C902" s="46"/>
      <c r="D902" s="46"/>
      <c r="E902" s="18"/>
      <c r="F902" s="18"/>
      <c r="G902" s="46"/>
      <c r="H902" s="46"/>
      <c r="I902" s="46"/>
      <c r="J902" s="46"/>
      <c r="K902" s="46"/>
      <c r="L902" s="46"/>
      <c r="M902" s="46"/>
      <c r="N902" s="46"/>
      <c r="O902" s="46"/>
      <c r="P902" s="46"/>
      <c r="Q902" s="46"/>
      <c r="R902" s="46"/>
      <c r="S902" s="46"/>
      <c r="T902" s="46"/>
      <c r="U902" s="46"/>
      <c r="V902" s="46"/>
      <c r="W902" s="46"/>
      <c r="X902" s="46"/>
      <c r="Y902" s="46"/>
      <c r="Z902" s="46"/>
      <c r="AA902" s="46"/>
    </row>
    <row r="903">
      <c r="A903" s="4"/>
      <c r="B903" s="46"/>
      <c r="C903" s="46"/>
      <c r="D903" s="46"/>
      <c r="E903" s="18"/>
      <c r="F903" s="18"/>
      <c r="G903" s="46"/>
      <c r="H903" s="46"/>
      <c r="I903" s="46"/>
      <c r="J903" s="46"/>
      <c r="K903" s="46"/>
      <c r="L903" s="46"/>
      <c r="M903" s="46"/>
      <c r="N903" s="46"/>
      <c r="O903" s="46"/>
      <c r="P903" s="46"/>
      <c r="Q903" s="46"/>
      <c r="R903" s="46"/>
      <c r="S903" s="46"/>
      <c r="T903" s="46"/>
      <c r="U903" s="46"/>
      <c r="V903" s="46"/>
      <c r="W903" s="46"/>
      <c r="X903" s="46"/>
      <c r="Y903" s="46"/>
      <c r="Z903" s="46"/>
      <c r="AA903" s="46"/>
    </row>
    <row r="904">
      <c r="A904" s="4"/>
      <c r="B904" s="46"/>
      <c r="C904" s="46"/>
      <c r="D904" s="46"/>
      <c r="E904" s="18"/>
      <c r="F904" s="18"/>
      <c r="G904" s="46"/>
      <c r="H904" s="46"/>
      <c r="I904" s="46"/>
      <c r="J904" s="46"/>
      <c r="K904" s="46"/>
      <c r="L904" s="46"/>
      <c r="M904" s="46"/>
      <c r="N904" s="46"/>
      <c r="O904" s="46"/>
      <c r="P904" s="46"/>
      <c r="Q904" s="46"/>
      <c r="R904" s="46"/>
      <c r="S904" s="46"/>
      <c r="T904" s="46"/>
      <c r="U904" s="46"/>
      <c r="V904" s="46"/>
      <c r="W904" s="46"/>
      <c r="X904" s="46"/>
      <c r="Y904" s="46"/>
      <c r="Z904" s="46"/>
      <c r="AA904" s="46"/>
    </row>
    <row r="905">
      <c r="A905" s="4"/>
      <c r="B905" s="46"/>
      <c r="C905" s="46"/>
      <c r="D905" s="46"/>
      <c r="E905" s="18"/>
      <c r="F905" s="18"/>
      <c r="G905" s="46"/>
      <c r="H905" s="46"/>
      <c r="I905" s="46"/>
      <c r="J905" s="46"/>
      <c r="K905" s="46"/>
      <c r="L905" s="46"/>
      <c r="M905" s="46"/>
      <c r="N905" s="46"/>
      <c r="O905" s="46"/>
      <c r="P905" s="46"/>
      <c r="Q905" s="46"/>
      <c r="R905" s="46"/>
      <c r="S905" s="46"/>
      <c r="T905" s="46"/>
      <c r="U905" s="46"/>
      <c r="V905" s="46"/>
      <c r="W905" s="46"/>
      <c r="X905" s="46"/>
      <c r="Y905" s="46"/>
      <c r="Z905" s="46"/>
      <c r="AA905" s="46"/>
    </row>
    <row r="906">
      <c r="A906" s="4"/>
      <c r="B906" s="46"/>
      <c r="C906" s="46"/>
      <c r="D906" s="46"/>
      <c r="E906" s="18"/>
      <c r="F906" s="18"/>
      <c r="G906" s="46"/>
      <c r="H906" s="46"/>
      <c r="I906" s="46"/>
      <c r="J906" s="46"/>
      <c r="K906" s="46"/>
      <c r="L906" s="46"/>
      <c r="M906" s="46"/>
      <c r="N906" s="46"/>
      <c r="O906" s="46"/>
      <c r="P906" s="46"/>
      <c r="Q906" s="46"/>
      <c r="R906" s="46"/>
      <c r="S906" s="46"/>
      <c r="T906" s="46"/>
      <c r="U906" s="46"/>
      <c r="V906" s="46"/>
      <c r="W906" s="46"/>
      <c r="X906" s="46"/>
      <c r="Y906" s="46"/>
      <c r="Z906" s="46"/>
      <c r="AA906" s="46"/>
    </row>
    <row r="907">
      <c r="A907" s="4"/>
      <c r="B907" s="46"/>
      <c r="C907" s="46"/>
      <c r="D907" s="46"/>
      <c r="E907" s="18"/>
      <c r="F907" s="18"/>
      <c r="G907" s="46"/>
      <c r="H907" s="46"/>
      <c r="I907" s="46"/>
      <c r="J907" s="46"/>
      <c r="K907" s="46"/>
      <c r="L907" s="46"/>
      <c r="M907" s="46"/>
      <c r="N907" s="46"/>
      <c r="O907" s="46"/>
      <c r="P907" s="46"/>
      <c r="Q907" s="46"/>
      <c r="R907" s="46"/>
      <c r="S907" s="46"/>
      <c r="T907" s="46"/>
      <c r="U907" s="46"/>
      <c r="V907" s="46"/>
      <c r="W907" s="46"/>
      <c r="X907" s="46"/>
      <c r="Y907" s="46"/>
      <c r="Z907" s="46"/>
      <c r="AA907" s="46"/>
    </row>
    <row r="908">
      <c r="A908" s="4"/>
      <c r="B908" s="46"/>
      <c r="C908" s="46"/>
      <c r="D908" s="46"/>
      <c r="E908" s="18"/>
      <c r="F908" s="18"/>
      <c r="G908" s="46"/>
      <c r="H908" s="46"/>
      <c r="I908" s="46"/>
      <c r="J908" s="46"/>
      <c r="K908" s="46"/>
      <c r="L908" s="46"/>
      <c r="M908" s="46"/>
      <c r="N908" s="46"/>
      <c r="O908" s="46"/>
      <c r="P908" s="46"/>
      <c r="Q908" s="46"/>
      <c r="R908" s="46"/>
      <c r="S908" s="46"/>
      <c r="T908" s="46"/>
      <c r="U908" s="46"/>
      <c r="V908" s="46"/>
      <c r="W908" s="46"/>
      <c r="X908" s="46"/>
      <c r="Y908" s="46"/>
      <c r="Z908" s="46"/>
      <c r="AA908" s="46"/>
    </row>
    <row r="909">
      <c r="A909" s="4"/>
      <c r="B909" s="46"/>
      <c r="C909" s="46"/>
      <c r="D909" s="46"/>
      <c r="E909" s="18"/>
      <c r="F909" s="18"/>
      <c r="G909" s="46"/>
      <c r="H909" s="46"/>
      <c r="I909" s="46"/>
      <c r="J909" s="46"/>
      <c r="K909" s="46"/>
      <c r="L909" s="46"/>
      <c r="M909" s="46"/>
      <c r="N909" s="46"/>
      <c r="O909" s="46"/>
      <c r="P909" s="46"/>
      <c r="Q909" s="46"/>
      <c r="R909" s="46"/>
      <c r="S909" s="46"/>
      <c r="T909" s="46"/>
      <c r="U909" s="46"/>
      <c r="V909" s="46"/>
      <c r="W909" s="46"/>
      <c r="X909" s="46"/>
      <c r="Y909" s="46"/>
      <c r="Z909" s="46"/>
      <c r="AA909" s="46"/>
    </row>
    <row r="910">
      <c r="A910" s="4"/>
      <c r="B910" s="46"/>
      <c r="C910" s="46"/>
      <c r="D910" s="46"/>
      <c r="E910" s="18"/>
      <c r="F910" s="18"/>
      <c r="G910" s="46"/>
      <c r="H910" s="46"/>
      <c r="I910" s="46"/>
      <c r="J910" s="46"/>
      <c r="K910" s="46"/>
      <c r="L910" s="46"/>
      <c r="M910" s="46"/>
      <c r="N910" s="46"/>
      <c r="O910" s="46"/>
      <c r="P910" s="46"/>
      <c r="Q910" s="46"/>
      <c r="R910" s="46"/>
      <c r="S910" s="46"/>
      <c r="T910" s="46"/>
      <c r="U910" s="46"/>
      <c r="V910" s="46"/>
      <c r="W910" s="46"/>
      <c r="X910" s="46"/>
      <c r="Y910" s="46"/>
      <c r="Z910" s="46"/>
      <c r="AA910" s="46"/>
    </row>
    <row r="911">
      <c r="A911" s="4"/>
      <c r="B911" s="46"/>
      <c r="C911" s="46"/>
      <c r="D911" s="46"/>
      <c r="E911" s="18"/>
      <c r="F911" s="18"/>
      <c r="G911" s="46"/>
      <c r="H911" s="46"/>
      <c r="I911" s="46"/>
      <c r="J911" s="46"/>
      <c r="K911" s="46"/>
      <c r="L911" s="46"/>
      <c r="M911" s="46"/>
      <c r="N911" s="46"/>
      <c r="O911" s="46"/>
      <c r="P911" s="46"/>
      <c r="Q911" s="46"/>
      <c r="R911" s="46"/>
      <c r="S911" s="46"/>
      <c r="T911" s="46"/>
      <c r="U911" s="46"/>
      <c r="V911" s="46"/>
      <c r="W911" s="46"/>
      <c r="X911" s="46"/>
      <c r="Y911" s="46"/>
      <c r="Z911" s="46"/>
      <c r="AA911" s="46"/>
    </row>
    <row r="912">
      <c r="A912" s="4"/>
      <c r="B912" s="46"/>
      <c r="C912" s="46"/>
      <c r="D912" s="46"/>
      <c r="E912" s="18"/>
      <c r="F912" s="18"/>
      <c r="G912" s="46"/>
      <c r="H912" s="46"/>
      <c r="I912" s="46"/>
      <c r="J912" s="46"/>
      <c r="K912" s="46"/>
      <c r="L912" s="46"/>
      <c r="M912" s="46"/>
      <c r="N912" s="46"/>
      <c r="O912" s="46"/>
      <c r="P912" s="46"/>
      <c r="Q912" s="46"/>
      <c r="R912" s="46"/>
      <c r="S912" s="46"/>
      <c r="T912" s="46"/>
      <c r="U912" s="46"/>
      <c r="V912" s="46"/>
      <c r="W912" s="46"/>
      <c r="X912" s="46"/>
      <c r="Y912" s="46"/>
      <c r="Z912" s="46"/>
      <c r="AA912" s="46"/>
    </row>
    <row r="913">
      <c r="A913" s="4"/>
      <c r="B913" s="46"/>
      <c r="C913" s="46"/>
      <c r="D913" s="46"/>
      <c r="E913" s="18"/>
      <c r="F913" s="18"/>
      <c r="G913" s="46"/>
      <c r="H913" s="46"/>
      <c r="I913" s="46"/>
      <c r="J913" s="46"/>
      <c r="K913" s="46"/>
      <c r="L913" s="46"/>
      <c r="M913" s="46"/>
      <c r="N913" s="46"/>
      <c r="O913" s="46"/>
      <c r="P913" s="46"/>
      <c r="Q913" s="46"/>
      <c r="R913" s="46"/>
      <c r="S913" s="46"/>
      <c r="T913" s="46"/>
      <c r="U913" s="46"/>
      <c r="V913" s="46"/>
      <c r="W913" s="46"/>
      <c r="X913" s="46"/>
      <c r="Y913" s="46"/>
      <c r="Z913" s="46"/>
      <c r="AA913" s="46"/>
    </row>
    <row r="914">
      <c r="A914" s="4"/>
      <c r="B914" s="46"/>
      <c r="C914" s="46"/>
      <c r="D914" s="46"/>
      <c r="E914" s="18"/>
      <c r="F914" s="18"/>
      <c r="G914" s="46"/>
      <c r="H914" s="46"/>
      <c r="I914" s="46"/>
      <c r="J914" s="46"/>
      <c r="K914" s="46"/>
      <c r="L914" s="46"/>
      <c r="M914" s="46"/>
      <c r="N914" s="46"/>
      <c r="O914" s="46"/>
      <c r="P914" s="46"/>
      <c r="Q914" s="46"/>
      <c r="R914" s="46"/>
      <c r="S914" s="46"/>
      <c r="T914" s="46"/>
      <c r="U914" s="46"/>
      <c r="V914" s="46"/>
      <c r="W914" s="46"/>
      <c r="X914" s="46"/>
      <c r="Y914" s="46"/>
      <c r="Z914" s="46"/>
      <c r="AA914" s="46"/>
    </row>
    <row r="915">
      <c r="A915" s="4"/>
      <c r="B915" s="46"/>
      <c r="C915" s="46"/>
      <c r="D915" s="46"/>
      <c r="E915" s="18"/>
      <c r="F915" s="18"/>
      <c r="G915" s="46"/>
      <c r="H915" s="46"/>
      <c r="I915" s="46"/>
      <c r="J915" s="46"/>
      <c r="K915" s="46"/>
      <c r="L915" s="46"/>
      <c r="M915" s="46"/>
      <c r="N915" s="46"/>
      <c r="O915" s="46"/>
      <c r="P915" s="46"/>
      <c r="Q915" s="46"/>
      <c r="R915" s="46"/>
      <c r="S915" s="46"/>
      <c r="T915" s="46"/>
      <c r="U915" s="46"/>
      <c r="V915" s="46"/>
      <c r="W915" s="46"/>
      <c r="X915" s="46"/>
      <c r="Y915" s="46"/>
      <c r="Z915" s="46"/>
      <c r="AA915" s="46"/>
    </row>
    <row r="916">
      <c r="A916" s="4"/>
      <c r="B916" s="46"/>
      <c r="C916" s="46"/>
      <c r="D916" s="46"/>
      <c r="E916" s="18"/>
      <c r="F916" s="18"/>
      <c r="G916" s="46"/>
      <c r="H916" s="46"/>
      <c r="I916" s="46"/>
      <c r="J916" s="46"/>
      <c r="K916" s="46"/>
      <c r="L916" s="46"/>
      <c r="M916" s="46"/>
      <c r="N916" s="46"/>
      <c r="O916" s="46"/>
      <c r="P916" s="46"/>
      <c r="Q916" s="46"/>
      <c r="R916" s="46"/>
      <c r="S916" s="46"/>
      <c r="T916" s="46"/>
      <c r="U916" s="46"/>
      <c r="V916" s="46"/>
      <c r="W916" s="46"/>
      <c r="X916" s="46"/>
      <c r="Y916" s="46"/>
      <c r="Z916" s="46"/>
      <c r="AA916" s="46"/>
    </row>
    <row r="917">
      <c r="A917" s="4"/>
      <c r="B917" s="46"/>
      <c r="C917" s="46"/>
      <c r="D917" s="46"/>
      <c r="E917" s="18"/>
      <c r="F917" s="18"/>
      <c r="G917" s="46"/>
      <c r="H917" s="46"/>
      <c r="I917" s="46"/>
      <c r="J917" s="46"/>
      <c r="K917" s="46"/>
      <c r="L917" s="46"/>
      <c r="M917" s="46"/>
      <c r="N917" s="46"/>
      <c r="O917" s="46"/>
      <c r="P917" s="46"/>
      <c r="Q917" s="46"/>
      <c r="R917" s="46"/>
      <c r="S917" s="46"/>
      <c r="T917" s="46"/>
      <c r="U917" s="46"/>
      <c r="V917" s="46"/>
      <c r="W917" s="46"/>
      <c r="X917" s="46"/>
      <c r="Y917" s="46"/>
      <c r="Z917" s="46"/>
      <c r="AA917" s="46"/>
    </row>
    <row r="918">
      <c r="A918" s="4"/>
      <c r="B918" s="46"/>
      <c r="C918" s="46"/>
      <c r="D918" s="46"/>
      <c r="E918" s="18"/>
      <c r="F918" s="18"/>
      <c r="G918" s="46"/>
      <c r="H918" s="46"/>
      <c r="I918" s="46"/>
      <c r="J918" s="46"/>
      <c r="K918" s="46"/>
      <c r="L918" s="46"/>
      <c r="M918" s="46"/>
      <c r="N918" s="46"/>
      <c r="O918" s="46"/>
      <c r="P918" s="46"/>
      <c r="Q918" s="46"/>
      <c r="R918" s="46"/>
      <c r="S918" s="46"/>
      <c r="T918" s="46"/>
      <c r="U918" s="46"/>
      <c r="V918" s="46"/>
      <c r="W918" s="46"/>
      <c r="X918" s="46"/>
      <c r="Y918" s="46"/>
      <c r="Z918" s="46"/>
      <c r="AA918" s="46"/>
    </row>
    <row r="919">
      <c r="A919" s="4"/>
      <c r="B919" s="46"/>
      <c r="C919" s="46"/>
      <c r="D919" s="46"/>
      <c r="E919" s="18"/>
      <c r="F919" s="18"/>
      <c r="G919" s="46"/>
      <c r="H919" s="46"/>
      <c r="I919" s="46"/>
      <c r="J919" s="46"/>
      <c r="K919" s="46"/>
      <c r="L919" s="46"/>
      <c r="M919" s="46"/>
      <c r="N919" s="46"/>
      <c r="O919" s="46"/>
      <c r="P919" s="46"/>
      <c r="Q919" s="46"/>
      <c r="R919" s="46"/>
      <c r="S919" s="46"/>
      <c r="T919" s="46"/>
      <c r="U919" s="46"/>
      <c r="V919" s="46"/>
      <c r="W919" s="46"/>
      <c r="X919" s="46"/>
      <c r="Y919" s="46"/>
      <c r="Z919" s="46"/>
      <c r="AA919" s="46"/>
    </row>
    <row r="920">
      <c r="A920" s="4"/>
      <c r="B920" s="46"/>
      <c r="C920" s="46"/>
      <c r="D920" s="46"/>
      <c r="E920" s="18"/>
      <c r="F920" s="18"/>
      <c r="G920" s="46"/>
      <c r="H920" s="46"/>
      <c r="I920" s="46"/>
      <c r="J920" s="46"/>
      <c r="K920" s="46"/>
      <c r="L920" s="46"/>
      <c r="M920" s="46"/>
      <c r="N920" s="46"/>
      <c r="O920" s="46"/>
      <c r="P920" s="46"/>
      <c r="Q920" s="46"/>
      <c r="R920" s="46"/>
      <c r="S920" s="46"/>
      <c r="T920" s="46"/>
      <c r="U920" s="46"/>
      <c r="V920" s="46"/>
      <c r="W920" s="46"/>
      <c r="X920" s="46"/>
      <c r="Y920" s="46"/>
      <c r="Z920" s="46"/>
      <c r="AA920" s="46"/>
    </row>
    <row r="921">
      <c r="A921" s="4"/>
      <c r="B921" s="46"/>
      <c r="C921" s="46"/>
      <c r="D921" s="46"/>
      <c r="E921" s="18"/>
      <c r="F921" s="18"/>
      <c r="G921" s="46"/>
      <c r="H921" s="46"/>
      <c r="I921" s="46"/>
      <c r="J921" s="46"/>
      <c r="K921" s="46"/>
      <c r="L921" s="46"/>
      <c r="M921" s="46"/>
      <c r="N921" s="46"/>
      <c r="O921" s="46"/>
      <c r="P921" s="46"/>
      <c r="Q921" s="46"/>
      <c r="R921" s="46"/>
      <c r="S921" s="46"/>
      <c r="T921" s="46"/>
      <c r="U921" s="46"/>
      <c r="V921" s="46"/>
      <c r="W921" s="46"/>
      <c r="X921" s="46"/>
      <c r="Y921" s="46"/>
      <c r="Z921" s="46"/>
      <c r="AA921" s="46"/>
    </row>
    <row r="922">
      <c r="A922" s="4"/>
      <c r="B922" s="46"/>
      <c r="C922" s="46"/>
      <c r="D922" s="46"/>
      <c r="E922" s="18"/>
      <c r="F922" s="18"/>
      <c r="G922" s="46"/>
      <c r="H922" s="46"/>
      <c r="I922" s="46"/>
      <c r="J922" s="46"/>
      <c r="K922" s="46"/>
      <c r="L922" s="46"/>
      <c r="M922" s="46"/>
      <c r="N922" s="46"/>
      <c r="O922" s="46"/>
      <c r="P922" s="46"/>
      <c r="Q922" s="46"/>
      <c r="R922" s="46"/>
      <c r="S922" s="46"/>
      <c r="T922" s="46"/>
      <c r="U922" s="46"/>
      <c r="V922" s="46"/>
      <c r="W922" s="46"/>
      <c r="X922" s="46"/>
      <c r="Y922" s="46"/>
      <c r="Z922" s="46"/>
      <c r="AA922" s="46"/>
    </row>
    <row r="923">
      <c r="A923" s="4"/>
      <c r="B923" s="46"/>
      <c r="C923" s="46"/>
      <c r="D923" s="46"/>
      <c r="E923" s="18"/>
      <c r="F923" s="18"/>
      <c r="G923" s="46"/>
      <c r="H923" s="46"/>
      <c r="I923" s="46"/>
      <c r="J923" s="46"/>
      <c r="K923" s="46"/>
      <c r="L923" s="46"/>
      <c r="M923" s="46"/>
      <c r="N923" s="46"/>
      <c r="O923" s="46"/>
      <c r="P923" s="46"/>
      <c r="Q923" s="46"/>
      <c r="R923" s="46"/>
      <c r="S923" s="46"/>
      <c r="T923" s="46"/>
      <c r="U923" s="46"/>
      <c r="V923" s="46"/>
      <c r="W923" s="46"/>
      <c r="X923" s="46"/>
      <c r="Y923" s="46"/>
      <c r="Z923" s="46"/>
      <c r="AA923" s="46"/>
    </row>
    <row r="924">
      <c r="A924" s="4"/>
      <c r="B924" s="46"/>
      <c r="C924" s="46"/>
      <c r="D924" s="46"/>
      <c r="E924" s="18"/>
      <c r="F924" s="18"/>
      <c r="G924" s="46"/>
      <c r="H924" s="46"/>
      <c r="I924" s="46"/>
      <c r="J924" s="46"/>
      <c r="K924" s="46"/>
      <c r="L924" s="46"/>
      <c r="M924" s="46"/>
      <c r="N924" s="46"/>
      <c r="O924" s="46"/>
      <c r="P924" s="46"/>
      <c r="Q924" s="46"/>
      <c r="R924" s="46"/>
      <c r="S924" s="46"/>
      <c r="T924" s="46"/>
      <c r="U924" s="46"/>
      <c r="V924" s="46"/>
      <c r="W924" s="46"/>
      <c r="X924" s="46"/>
      <c r="Y924" s="46"/>
      <c r="Z924" s="46"/>
      <c r="AA924" s="46"/>
    </row>
    <row r="925">
      <c r="A925" s="4"/>
      <c r="B925" s="46"/>
      <c r="C925" s="46"/>
      <c r="D925" s="46"/>
      <c r="E925" s="18"/>
      <c r="F925" s="18"/>
      <c r="G925" s="46"/>
      <c r="H925" s="46"/>
      <c r="I925" s="46"/>
      <c r="J925" s="46"/>
      <c r="K925" s="46"/>
      <c r="L925" s="46"/>
      <c r="M925" s="46"/>
      <c r="N925" s="46"/>
      <c r="O925" s="46"/>
      <c r="P925" s="46"/>
      <c r="Q925" s="46"/>
      <c r="R925" s="46"/>
      <c r="S925" s="46"/>
      <c r="T925" s="46"/>
      <c r="U925" s="46"/>
      <c r="V925" s="46"/>
      <c r="W925" s="46"/>
      <c r="X925" s="46"/>
      <c r="Y925" s="46"/>
      <c r="Z925" s="46"/>
      <c r="AA925" s="46"/>
    </row>
    <row r="926">
      <c r="A926" s="4"/>
      <c r="B926" s="46"/>
      <c r="C926" s="46"/>
      <c r="D926" s="46"/>
      <c r="E926" s="18"/>
      <c r="F926" s="18"/>
      <c r="G926" s="46"/>
      <c r="H926" s="46"/>
      <c r="I926" s="46"/>
      <c r="J926" s="46"/>
      <c r="K926" s="46"/>
      <c r="L926" s="46"/>
      <c r="M926" s="46"/>
      <c r="N926" s="46"/>
      <c r="O926" s="46"/>
      <c r="P926" s="46"/>
      <c r="Q926" s="46"/>
      <c r="R926" s="46"/>
      <c r="S926" s="46"/>
      <c r="T926" s="46"/>
      <c r="U926" s="46"/>
      <c r="V926" s="46"/>
      <c r="W926" s="46"/>
      <c r="X926" s="46"/>
      <c r="Y926" s="46"/>
      <c r="Z926" s="46"/>
      <c r="AA926" s="46"/>
    </row>
    <row r="927">
      <c r="A927" s="4"/>
      <c r="B927" s="46"/>
      <c r="C927" s="46"/>
      <c r="D927" s="46"/>
      <c r="E927" s="18"/>
      <c r="F927" s="18"/>
      <c r="G927" s="46"/>
      <c r="H927" s="46"/>
      <c r="I927" s="46"/>
      <c r="J927" s="46"/>
      <c r="K927" s="46"/>
      <c r="L927" s="46"/>
      <c r="M927" s="46"/>
      <c r="N927" s="46"/>
      <c r="O927" s="46"/>
      <c r="P927" s="46"/>
      <c r="Q927" s="46"/>
      <c r="R927" s="46"/>
      <c r="S927" s="46"/>
      <c r="T927" s="46"/>
      <c r="U927" s="46"/>
      <c r="V927" s="46"/>
      <c r="W927" s="46"/>
      <c r="X927" s="46"/>
      <c r="Y927" s="46"/>
      <c r="Z927" s="46"/>
      <c r="AA927" s="46"/>
    </row>
    <row r="928">
      <c r="A928" s="4"/>
      <c r="B928" s="46"/>
      <c r="C928" s="46"/>
      <c r="D928" s="46"/>
      <c r="E928" s="18"/>
      <c r="F928" s="18"/>
      <c r="G928" s="46"/>
      <c r="H928" s="46"/>
      <c r="I928" s="46"/>
      <c r="J928" s="46"/>
      <c r="K928" s="46"/>
      <c r="L928" s="46"/>
      <c r="M928" s="46"/>
      <c r="N928" s="46"/>
      <c r="O928" s="46"/>
      <c r="P928" s="46"/>
      <c r="Q928" s="46"/>
      <c r="R928" s="46"/>
      <c r="S928" s="46"/>
      <c r="T928" s="46"/>
      <c r="U928" s="46"/>
      <c r="V928" s="46"/>
      <c r="W928" s="46"/>
      <c r="X928" s="46"/>
      <c r="Y928" s="46"/>
      <c r="Z928" s="46"/>
      <c r="AA928" s="46"/>
    </row>
    <row r="929">
      <c r="A929" s="4"/>
      <c r="B929" s="46"/>
      <c r="C929" s="46"/>
      <c r="D929" s="46"/>
      <c r="E929" s="18"/>
      <c r="F929" s="18"/>
      <c r="G929" s="46"/>
      <c r="H929" s="46"/>
      <c r="I929" s="46"/>
      <c r="J929" s="46"/>
      <c r="K929" s="46"/>
      <c r="L929" s="46"/>
      <c r="M929" s="46"/>
      <c r="N929" s="46"/>
      <c r="O929" s="46"/>
      <c r="P929" s="46"/>
      <c r="Q929" s="46"/>
      <c r="R929" s="46"/>
      <c r="S929" s="46"/>
      <c r="T929" s="46"/>
      <c r="U929" s="46"/>
      <c r="V929" s="46"/>
      <c r="W929" s="46"/>
      <c r="X929" s="46"/>
      <c r="Y929" s="46"/>
      <c r="Z929" s="46"/>
      <c r="AA929" s="46"/>
    </row>
    <row r="930">
      <c r="A930" s="4"/>
      <c r="B930" s="46"/>
      <c r="C930" s="46"/>
      <c r="D930" s="46"/>
      <c r="E930" s="18"/>
      <c r="F930" s="18"/>
      <c r="G930" s="46"/>
      <c r="H930" s="46"/>
      <c r="I930" s="46"/>
      <c r="J930" s="46"/>
      <c r="K930" s="46"/>
      <c r="L930" s="46"/>
      <c r="M930" s="46"/>
      <c r="N930" s="46"/>
      <c r="O930" s="46"/>
      <c r="P930" s="46"/>
      <c r="Q930" s="46"/>
      <c r="R930" s="46"/>
      <c r="S930" s="46"/>
      <c r="T930" s="46"/>
      <c r="U930" s="46"/>
      <c r="V930" s="46"/>
      <c r="W930" s="46"/>
      <c r="X930" s="46"/>
      <c r="Y930" s="46"/>
      <c r="Z930" s="46"/>
      <c r="AA930" s="46"/>
    </row>
    <row r="931">
      <c r="A931" s="4"/>
      <c r="B931" s="46"/>
      <c r="C931" s="46"/>
      <c r="D931" s="46"/>
      <c r="E931" s="18"/>
      <c r="F931" s="18"/>
      <c r="G931" s="46"/>
      <c r="H931" s="46"/>
      <c r="I931" s="46"/>
      <c r="J931" s="46"/>
      <c r="K931" s="46"/>
      <c r="L931" s="46"/>
      <c r="M931" s="46"/>
      <c r="N931" s="46"/>
      <c r="O931" s="46"/>
      <c r="P931" s="46"/>
      <c r="Q931" s="46"/>
      <c r="R931" s="46"/>
      <c r="S931" s="46"/>
      <c r="T931" s="46"/>
      <c r="U931" s="46"/>
      <c r="V931" s="46"/>
      <c r="W931" s="46"/>
      <c r="X931" s="46"/>
      <c r="Y931" s="46"/>
      <c r="Z931" s="46"/>
      <c r="AA931" s="46"/>
    </row>
    <row r="932">
      <c r="A932" s="4"/>
      <c r="B932" s="46"/>
      <c r="C932" s="46"/>
      <c r="D932" s="46"/>
      <c r="E932" s="18"/>
      <c r="F932" s="18"/>
      <c r="G932" s="46"/>
      <c r="H932" s="46"/>
      <c r="I932" s="46"/>
      <c r="J932" s="46"/>
      <c r="K932" s="46"/>
      <c r="L932" s="46"/>
      <c r="M932" s="46"/>
      <c r="N932" s="46"/>
      <c r="O932" s="46"/>
      <c r="P932" s="46"/>
      <c r="Q932" s="46"/>
      <c r="R932" s="46"/>
      <c r="S932" s="46"/>
      <c r="T932" s="46"/>
      <c r="U932" s="46"/>
      <c r="V932" s="46"/>
      <c r="W932" s="46"/>
      <c r="X932" s="46"/>
      <c r="Y932" s="46"/>
      <c r="Z932" s="46"/>
      <c r="AA932" s="46"/>
    </row>
    <row r="933">
      <c r="A933" s="4"/>
      <c r="B933" s="46"/>
      <c r="C933" s="46"/>
      <c r="D933" s="46"/>
      <c r="E933" s="18"/>
      <c r="F933" s="18"/>
      <c r="G933" s="46"/>
      <c r="H933" s="46"/>
      <c r="I933" s="46"/>
      <c r="J933" s="46"/>
      <c r="K933" s="46"/>
      <c r="L933" s="46"/>
      <c r="M933" s="46"/>
      <c r="N933" s="46"/>
      <c r="O933" s="46"/>
      <c r="P933" s="46"/>
      <c r="Q933" s="46"/>
      <c r="R933" s="46"/>
      <c r="S933" s="46"/>
      <c r="T933" s="46"/>
      <c r="U933" s="46"/>
      <c r="V933" s="46"/>
      <c r="W933" s="46"/>
      <c r="X933" s="46"/>
      <c r="Y933" s="46"/>
      <c r="Z933" s="46"/>
      <c r="AA933" s="46"/>
    </row>
    <row r="934">
      <c r="A934" s="4"/>
      <c r="B934" s="46"/>
      <c r="C934" s="46"/>
      <c r="D934" s="46"/>
      <c r="E934" s="18"/>
      <c r="F934" s="18"/>
      <c r="G934" s="46"/>
      <c r="H934" s="46"/>
      <c r="I934" s="46"/>
      <c r="J934" s="46"/>
      <c r="K934" s="46"/>
      <c r="L934" s="46"/>
      <c r="M934" s="46"/>
      <c r="N934" s="46"/>
      <c r="O934" s="46"/>
      <c r="P934" s="46"/>
      <c r="Q934" s="46"/>
      <c r="R934" s="46"/>
      <c r="S934" s="46"/>
      <c r="T934" s="46"/>
      <c r="U934" s="46"/>
      <c r="V934" s="46"/>
      <c r="W934" s="46"/>
      <c r="X934" s="46"/>
      <c r="Y934" s="46"/>
      <c r="Z934" s="46"/>
      <c r="AA934" s="46"/>
    </row>
    <row r="935">
      <c r="A935" s="4"/>
      <c r="B935" s="46"/>
      <c r="C935" s="46"/>
      <c r="D935" s="46"/>
      <c r="E935" s="18"/>
      <c r="F935" s="18"/>
      <c r="G935" s="46"/>
      <c r="H935" s="46"/>
      <c r="I935" s="46"/>
      <c r="J935" s="46"/>
      <c r="K935" s="46"/>
      <c r="L935" s="46"/>
      <c r="M935" s="46"/>
      <c r="N935" s="46"/>
      <c r="O935" s="46"/>
      <c r="P935" s="46"/>
      <c r="Q935" s="46"/>
      <c r="R935" s="46"/>
      <c r="S935" s="46"/>
      <c r="T935" s="46"/>
      <c r="U935" s="46"/>
      <c r="V935" s="46"/>
      <c r="W935" s="46"/>
      <c r="X935" s="46"/>
      <c r="Y935" s="46"/>
      <c r="Z935" s="46"/>
      <c r="AA935" s="46"/>
    </row>
    <row r="936">
      <c r="A936" s="4"/>
      <c r="B936" s="46"/>
      <c r="C936" s="46"/>
      <c r="D936" s="46"/>
      <c r="E936" s="18"/>
      <c r="F936" s="18"/>
      <c r="G936" s="46"/>
      <c r="H936" s="46"/>
      <c r="I936" s="46"/>
      <c r="J936" s="46"/>
      <c r="K936" s="46"/>
      <c r="L936" s="46"/>
      <c r="M936" s="46"/>
      <c r="N936" s="46"/>
      <c r="O936" s="46"/>
      <c r="P936" s="46"/>
      <c r="Q936" s="46"/>
      <c r="R936" s="46"/>
      <c r="S936" s="46"/>
      <c r="T936" s="46"/>
      <c r="U936" s="46"/>
      <c r="V936" s="46"/>
      <c r="W936" s="46"/>
      <c r="X936" s="46"/>
      <c r="Y936" s="46"/>
      <c r="Z936" s="46"/>
      <c r="AA936" s="46"/>
    </row>
    <row r="937">
      <c r="A937" s="4"/>
      <c r="B937" s="46"/>
      <c r="C937" s="46"/>
      <c r="D937" s="46"/>
      <c r="E937" s="18"/>
      <c r="F937" s="18"/>
      <c r="G937" s="46"/>
      <c r="H937" s="46"/>
      <c r="I937" s="46"/>
      <c r="J937" s="46"/>
      <c r="K937" s="46"/>
      <c r="L937" s="46"/>
      <c r="M937" s="46"/>
      <c r="N937" s="46"/>
      <c r="O937" s="46"/>
      <c r="P937" s="46"/>
      <c r="Q937" s="46"/>
      <c r="R937" s="46"/>
      <c r="S937" s="46"/>
      <c r="T937" s="46"/>
      <c r="U937" s="46"/>
      <c r="V937" s="46"/>
      <c r="W937" s="46"/>
      <c r="X937" s="46"/>
      <c r="Y937" s="46"/>
      <c r="Z937" s="46"/>
      <c r="AA937" s="46"/>
    </row>
    <row r="938">
      <c r="A938" s="4"/>
      <c r="B938" s="46"/>
      <c r="C938" s="46"/>
      <c r="D938" s="46"/>
      <c r="E938" s="18"/>
      <c r="F938" s="18"/>
      <c r="G938" s="46"/>
      <c r="H938" s="46"/>
      <c r="I938" s="46"/>
      <c r="J938" s="46"/>
      <c r="K938" s="46"/>
      <c r="L938" s="46"/>
      <c r="M938" s="46"/>
      <c r="N938" s="46"/>
      <c r="O938" s="46"/>
      <c r="P938" s="46"/>
      <c r="Q938" s="46"/>
      <c r="R938" s="46"/>
      <c r="S938" s="46"/>
      <c r="T938" s="46"/>
      <c r="U938" s="46"/>
      <c r="V938" s="46"/>
      <c r="W938" s="46"/>
      <c r="X938" s="46"/>
      <c r="Y938" s="46"/>
      <c r="Z938" s="46"/>
      <c r="AA938" s="46"/>
    </row>
    <row r="939">
      <c r="A939" s="4"/>
      <c r="B939" s="46"/>
      <c r="C939" s="46"/>
      <c r="D939" s="46"/>
      <c r="E939" s="18"/>
      <c r="F939" s="18"/>
      <c r="G939" s="46"/>
      <c r="H939" s="46"/>
      <c r="I939" s="46"/>
      <c r="J939" s="46"/>
      <c r="K939" s="46"/>
      <c r="L939" s="46"/>
      <c r="M939" s="46"/>
      <c r="N939" s="46"/>
      <c r="O939" s="46"/>
      <c r="P939" s="46"/>
      <c r="Q939" s="46"/>
      <c r="R939" s="46"/>
      <c r="S939" s="46"/>
      <c r="T939" s="46"/>
      <c r="U939" s="46"/>
      <c r="V939" s="46"/>
      <c r="W939" s="46"/>
      <c r="X939" s="46"/>
      <c r="Y939" s="46"/>
      <c r="Z939" s="46"/>
      <c r="AA939" s="46"/>
    </row>
    <row r="940">
      <c r="A940" s="4"/>
      <c r="B940" s="46"/>
      <c r="C940" s="46"/>
      <c r="D940" s="46"/>
      <c r="E940" s="18"/>
      <c r="F940" s="18"/>
      <c r="G940" s="46"/>
      <c r="H940" s="46"/>
      <c r="I940" s="46"/>
      <c r="J940" s="46"/>
      <c r="K940" s="46"/>
      <c r="L940" s="46"/>
      <c r="M940" s="46"/>
      <c r="N940" s="46"/>
      <c r="O940" s="46"/>
      <c r="P940" s="46"/>
      <c r="Q940" s="46"/>
      <c r="R940" s="46"/>
      <c r="S940" s="46"/>
      <c r="T940" s="46"/>
      <c r="U940" s="46"/>
      <c r="V940" s="46"/>
      <c r="W940" s="46"/>
      <c r="X940" s="46"/>
      <c r="Y940" s="46"/>
      <c r="Z940" s="46"/>
      <c r="AA940" s="46"/>
    </row>
    <row r="941">
      <c r="A941" s="4"/>
      <c r="B941" s="46"/>
      <c r="C941" s="46"/>
      <c r="D941" s="46"/>
      <c r="E941" s="18"/>
      <c r="F941" s="18"/>
      <c r="G941" s="46"/>
      <c r="H941" s="46"/>
      <c r="I941" s="46"/>
      <c r="J941" s="46"/>
      <c r="K941" s="46"/>
      <c r="L941" s="46"/>
      <c r="M941" s="46"/>
      <c r="N941" s="46"/>
      <c r="O941" s="46"/>
      <c r="P941" s="46"/>
      <c r="Q941" s="46"/>
      <c r="R941" s="46"/>
      <c r="S941" s="46"/>
      <c r="T941" s="46"/>
      <c r="U941" s="46"/>
      <c r="V941" s="46"/>
      <c r="W941" s="46"/>
      <c r="X941" s="46"/>
      <c r="Y941" s="46"/>
      <c r="Z941" s="46"/>
      <c r="AA941" s="46"/>
    </row>
    <row r="942">
      <c r="A942" s="4"/>
      <c r="B942" s="46"/>
      <c r="C942" s="46"/>
      <c r="D942" s="46"/>
      <c r="E942" s="18"/>
      <c r="F942" s="18"/>
      <c r="G942" s="46"/>
      <c r="H942" s="46"/>
      <c r="I942" s="46"/>
      <c r="J942" s="46"/>
      <c r="K942" s="46"/>
      <c r="L942" s="46"/>
      <c r="M942" s="46"/>
      <c r="N942" s="46"/>
      <c r="O942" s="46"/>
      <c r="P942" s="46"/>
      <c r="Q942" s="46"/>
      <c r="R942" s="46"/>
      <c r="S942" s="46"/>
      <c r="T942" s="46"/>
      <c r="U942" s="46"/>
      <c r="V942" s="46"/>
      <c r="W942" s="46"/>
      <c r="X942" s="46"/>
      <c r="Y942" s="46"/>
      <c r="Z942" s="46"/>
      <c r="AA942" s="46"/>
    </row>
    <row r="943">
      <c r="A943" s="4"/>
      <c r="B943" s="46"/>
      <c r="C943" s="46"/>
      <c r="D943" s="46"/>
      <c r="E943" s="18"/>
      <c r="F943" s="18"/>
      <c r="G943" s="46"/>
      <c r="H943" s="46"/>
      <c r="I943" s="46"/>
      <c r="J943" s="46"/>
      <c r="K943" s="46"/>
      <c r="L943" s="46"/>
      <c r="M943" s="46"/>
      <c r="N943" s="46"/>
      <c r="O943" s="46"/>
      <c r="P943" s="46"/>
      <c r="Q943" s="46"/>
      <c r="R943" s="46"/>
      <c r="S943" s="46"/>
      <c r="T943" s="46"/>
      <c r="U943" s="46"/>
      <c r="V943" s="46"/>
      <c r="W943" s="46"/>
      <c r="X943" s="46"/>
      <c r="Y943" s="46"/>
      <c r="Z943" s="46"/>
      <c r="AA943" s="46"/>
    </row>
    <row r="944">
      <c r="A944" s="4"/>
      <c r="B944" s="46"/>
      <c r="C944" s="46"/>
      <c r="D944" s="46"/>
      <c r="E944" s="18"/>
      <c r="F944" s="18"/>
      <c r="G944" s="46"/>
      <c r="H944" s="46"/>
      <c r="I944" s="46"/>
      <c r="J944" s="46"/>
      <c r="K944" s="46"/>
      <c r="L944" s="46"/>
      <c r="M944" s="46"/>
      <c r="N944" s="46"/>
      <c r="O944" s="46"/>
      <c r="P944" s="46"/>
      <c r="Q944" s="46"/>
      <c r="R944" s="46"/>
      <c r="S944" s="46"/>
      <c r="T944" s="46"/>
      <c r="U944" s="46"/>
      <c r="V944" s="46"/>
      <c r="W944" s="46"/>
      <c r="X944" s="46"/>
      <c r="Y944" s="46"/>
      <c r="Z944" s="46"/>
      <c r="AA944" s="46"/>
    </row>
    <row r="945">
      <c r="A945" s="4"/>
      <c r="B945" s="46"/>
      <c r="C945" s="46"/>
      <c r="D945" s="46"/>
      <c r="E945" s="18"/>
      <c r="F945" s="18"/>
      <c r="G945" s="46"/>
      <c r="H945" s="46"/>
      <c r="I945" s="46"/>
      <c r="J945" s="46"/>
      <c r="K945" s="46"/>
      <c r="L945" s="46"/>
      <c r="M945" s="46"/>
      <c r="N945" s="46"/>
      <c r="O945" s="46"/>
      <c r="P945" s="46"/>
      <c r="Q945" s="46"/>
      <c r="R945" s="46"/>
      <c r="S945" s="46"/>
      <c r="T945" s="46"/>
      <c r="U945" s="46"/>
      <c r="V945" s="46"/>
      <c r="W945" s="46"/>
      <c r="X945" s="46"/>
      <c r="Y945" s="46"/>
      <c r="Z945" s="46"/>
      <c r="AA945" s="46"/>
    </row>
    <row r="946">
      <c r="A946" s="4"/>
      <c r="B946" s="46"/>
      <c r="C946" s="46"/>
      <c r="D946" s="46"/>
      <c r="E946" s="18"/>
      <c r="F946" s="18"/>
      <c r="G946" s="46"/>
      <c r="H946" s="46"/>
      <c r="I946" s="46"/>
      <c r="J946" s="46"/>
      <c r="K946" s="46"/>
      <c r="L946" s="46"/>
      <c r="M946" s="46"/>
      <c r="N946" s="46"/>
      <c r="O946" s="46"/>
      <c r="P946" s="46"/>
      <c r="Q946" s="46"/>
      <c r="R946" s="46"/>
      <c r="S946" s="46"/>
      <c r="T946" s="46"/>
      <c r="U946" s="46"/>
      <c r="V946" s="46"/>
      <c r="W946" s="46"/>
      <c r="X946" s="46"/>
      <c r="Y946" s="46"/>
      <c r="Z946" s="46"/>
      <c r="AA946" s="46"/>
    </row>
    <row r="947">
      <c r="A947" s="4"/>
      <c r="B947" s="46"/>
      <c r="C947" s="46"/>
      <c r="D947" s="46"/>
      <c r="E947" s="18"/>
      <c r="F947" s="18"/>
      <c r="G947" s="46"/>
      <c r="H947" s="46"/>
      <c r="I947" s="46"/>
      <c r="J947" s="46"/>
      <c r="K947" s="46"/>
      <c r="L947" s="46"/>
      <c r="M947" s="46"/>
      <c r="N947" s="46"/>
      <c r="O947" s="46"/>
      <c r="P947" s="46"/>
      <c r="Q947" s="46"/>
      <c r="R947" s="46"/>
      <c r="S947" s="46"/>
      <c r="T947" s="46"/>
      <c r="U947" s="46"/>
      <c r="V947" s="46"/>
      <c r="W947" s="46"/>
      <c r="X947" s="46"/>
      <c r="Y947" s="46"/>
      <c r="Z947" s="46"/>
      <c r="AA947" s="46"/>
    </row>
    <row r="948">
      <c r="A948" s="4"/>
      <c r="B948" s="46"/>
      <c r="C948" s="46"/>
      <c r="D948" s="46"/>
      <c r="E948" s="18"/>
      <c r="F948" s="18"/>
      <c r="G948" s="46"/>
      <c r="H948" s="46"/>
      <c r="I948" s="46"/>
      <c r="J948" s="46"/>
      <c r="K948" s="46"/>
      <c r="L948" s="46"/>
      <c r="M948" s="46"/>
      <c r="N948" s="46"/>
      <c r="O948" s="46"/>
      <c r="P948" s="46"/>
      <c r="Q948" s="46"/>
      <c r="R948" s="46"/>
      <c r="S948" s="46"/>
      <c r="T948" s="46"/>
      <c r="U948" s="46"/>
      <c r="V948" s="46"/>
      <c r="W948" s="46"/>
      <c r="X948" s="46"/>
      <c r="Y948" s="46"/>
      <c r="Z948" s="46"/>
      <c r="AA948" s="46"/>
    </row>
    <row r="949">
      <c r="A949" s="4"/>
      <c r="B949" s="46"/>
      <c r="C949" s="46"/>
      <c r="D949" s="46"/>
      <c r="E949" s="18"/>
      <c r="F949" s="18"/>
      <c r="G949" s="46"/>
      <c r="H949" s="46"/>
      <c r="I949" s="46"/>
      <c r="J949" s="46"/>
      <c r="K949" s="46"/>
      <c r="L949" s="46"/>
      <c r="M949" s="46"/>
      <c r="N949" s="46"/>
      <c r="O949" s="46"/>
      <c r="P949" s="46"/>
      <c r="Q949" s="46"/>
      <c r="R949" s="46"/>
      <c r="S949" s="46"/>
      <c r="T949" s="46"/>
      <c r="U949" s="46"/>
      <c r="V949" s="46"/>
      <c r="W949" s="46"/>
      <c r="X949" s="46"/>
      <c r="Y949" s="46"/>
      <c r="Z949" s="46"/>
      <c r="AA949" s="46"/>
    </row>
    <row r="950">
      <c r="A950" s="4"/>
      <c r="B950" s="46"/>
      <c r="C950" s="46"/>
      <c r="D950" s="46"/>
      <c r="E950" s="18"/>
      <c r="F950" s="18"/>
      <c r="G950" s="46"/>
      <c r="H950" s="46"/>
      <c r="I950" s="46"/>
      <c r="J950" s="46"/>
      <c r="K950" s="46"/>
      <c r="L950" s="46"/>
      <c r="M950" s="46"/>
      <c r="N950" s="46"/>
      <c r="O950" s="46"/>
      <c r="P950" s="46"/>
      <c r="Q950" s="46"/>
      <c r="R950" s="46"/>
      <c r="S950" s="46"/>
      <c r="T950" s="46"/>
      <c r="U950" s="46"/>
      <c r="V950" s="46"/>
      <c r="W950" s="46"/>
      <c r="X950" s="46"/>
      <c r="Y950" s="46"/>
      <c r="Z950" s="46"/>
      <c r="AA950" s="46"/>
    </row>
    <row r="951">
      <c r="A951" s="4"/>
      <c r="B951" s="46"/>
      <c r="C951" s="46"/>
      <c r="D951" s="46"/>
      <c r="E951" s="18"/>
      <c r="F951" s="18"/>
      <c r="G951" s="46"/>
      <c r="H951" s="46"/>
      <c r="I951" s="46"/>
      <c r="J951" s="46"/>
      <c r="K951" s="46"/>
      <c r="L951" s="46"/>
      <c r="M951" s="46"/>
      <c r="N951" s="46"/>
      <c r="O951" s="46"/>
      <c r="P951" s="46"/>
      <c r="Q951" s="46"/>
      <c r="R951" s="46"/>
      <c r="S951" s="46"/>
      <c r="T951" s="46"/>
      <c r="U951" s="46"/>
      <c r="V951" s="46"/>
      <c r="W951" s="46"/>
      <c r="X951" s="46"/>
      <c r="Y951" s="46"/>
      <c r="Z951" s="46"/>
      <c r="AA951" s="46"/>
    </row>
    <row r="952">
      <c r="A952" s="4"/>
      <c r="B952" s="46"/>
      <c r="C952" s="46"/>
      <c r="D952" s="46"/>
      <c r="E952" s="18"/>
      <c r="F952" s="18"/>
      <c r="G952" s="46"/>
      <c r="H952" s="46"/>
      <c r="I952" s="46"/>
      <c r="J952" s="46"/>
      <c r="K952" s="46"/>
      <c r="L952" s="46"/>
      <c r="M952" s="46"/>
      <c r="N952" s="46"/>
      <c r="O952" s="46"/>
      <c r="P952" s="46"/>
      <c r="Q952" s="46"/>
      <c r="R952" s="46"/>
      <c r="S952" s="46"/>
      <c r="T952" s="46"/>
      <c r="U952" s="46"/>
      <c r="V952" s="46"/>
      <c r="W952" s="46"/>
      <c r="X952" s="46"/>
      <c r="Y952" s="46"/>
      <c r="Z952" s="46"/>
      <c r="AA952" s="46"/>
    </row>
    <row r="953">
      <c r="A953" s="4"/>
      <c r="B953" s="46"/>
      <c r="C953" s="46"/>
      <c r="D953" s="46"/>
      <c r="E953" s="18"/>
      <c r="F953" s="18"/>
      <c r="G953" s="46"/>
      <c r="H953" s="46"/>
      <c r="I953" s="46"/>
      <c r="J953" s="46"/>
      <c r="K953" s="46"/>
      <c r="L953" s="46"/>
      <c r="M953" s="46"/>
      <c r="N953" s="46"/>
      <c r="O953" s="46"/>
      <c r="P953" s="46"/>
      <c r="Q953" s="46"/>
      <c r="R953" s="46"/>
      <c r="S953" s="46"/>
      <c r="T953" s="46"/>
      <c r="U953" s="46"/>
      <c r="V953" s="46"/>
      <c r="W953" s="46"/>
      <c r="X953" s="46"/>
      <c r="Y953" s="46"/>
      <c r="Z953" s="46"/>
      <c r="AA953" s="46"/>
    </row>
    <row r="954">
      <c r="A954" s="4"/>
      <c r="B954" s="46"/>
      <c r="C954" s="46"/>
      <c r="D954" s="46"/>
      <c r="E954" s="18"/>
      <c r="F954" s="18"/>
      <c r="G954" s="46"/>
      <c r="H954" s="46"/>
      <c r="I954" s="46"/>
      <c r="J954" s="46"/>
      <c r="K954" s="46"/>
      <c r="L954" s="46"/>
      <c r="M954" s="46"/>
      <c r="N954" s="46"/>
      <c r="O954" s="46"/>
      <c r="P954" s="46"/>
      <c r="Q954" s="46"/>
      <c r="R954" s="46"/>
      <c r="S954" s="46"/>
      <c r="T954" s="46"/>
      <c r="U954" s="46"/>
      <c r="V954" s="46"/>
      <c r="W954" s="46"/>
      <c r="X954" s="46"/>
      <c r="Y954" s="46"/>
      <c r="Z954" s="46"/>
      <c r="AA954" s="46"/>
    </row>
    <row r="955">
      <c r="A955" s="4"/>
      <c r="B955" s="46"/>
      <c r="C955" s="46"/>
      <c r="D955" s="46"/>
      <c r="E955" s="18"/>
      <c r="F955" s="18"/>
      <c r="G955" s="46"/>
      <c r="H955" s="46"/>
      <c r="I955" s="46"/>
      <c r="J955" s="46"/>
      <c r="K955" s="46"/>
      <c r="L955" s="46"/>
      <c r="M955" s="46"/>
      <c r="N955" s="46"/>
      <c r="O955" s="46"/>
      <c r="P955" s="46"/>
      <c r="Q955" s="46"/>
      <c r="R955" s="46"/>
      <c r="S955" s="46"/>
      <c r="T955" s="46"/>
      <c r="U955" s="46"/>
      <c r="V955" s="46"/>
      <c r="W955" s="46"/>
      <c r="X955" s="46"/>
      <c r="Y955" s="46"/>
      <c r="Z955" s="46"/>
      <c r="AA955" s="46"/>
    </row>
    <row r="956">
      <c r="A956" s="4"/>
      <c r="B956" s="46"/>
      <c r="C956" s="46"/>
      <c r="D956" s="46"/>
      <c r="E956" s="18"/>
      <c r="F956" s="18"/>
      <c r="G956" s="46"/>
      <c r="H956" s="46"/>
      <c r="I956" s="46"/>
      <c r="J956" s="46"/>
      <c r="K956" s="46"/>
      <c r="L956" s="46"/>
      <c r="M956" s="46"/>
      <c r="N956" s="46"/>
      <c r="O956" s="46"/>
      <c r="P956" s="46"/>
      <c r="Q956" s="46"/>
      <c r="R956" s="46"/>
      <c r="S956" s="46"/>
      <c r="T956" s="46"/>
      <c r="U956" s="46"/>
      <c r="V956" s="46"/>
      <c r="W956" s="46"/>
      <c r="X956" s="46"/>
      <c r="Y956" s="46"/>
      <c r="Z956" s="46"/>
      <c r="AA956" s="46"/>
    </row>
    <row r="957">
      <c r="A957" s="4"/>
      <c r="B957" s="46"/>
      <c r="C957" s="46"/>
      <c r="D957" s="46"/>
      <c r="E957" s="18"/>
      <c r="F957" s="18"/>
      <c r="G957" s="46"/>
      <c r="H957" s="46"/>
      <c r="I957" s="46"/>
      <c r="J957" s="46"/>
      <c r="K957" s="46"/>
      <c r="L957" s="46"/>
      <c r="M957" s="46"/>
      <c r="N957" s="46"/>
      <c r="O957" s="46"/>
      <c r="P957" s="46"/>
      <c r="Q957" s="46"/>
      <c r="R957" s="46"/>
      <c r="S957" s="46"/>
      <c r="T957" s="46"/>
      <c r="U957" s="46"/>
      <c r="V957" s="46"/>
      <c r="W957" s="46"/>
      <c r="X957" s="46"/>
      <c r="Y957" s="46"/>
      <c r="Z957" s="46"/>
      <c r="AA957" s="46"/>
    </row>
    <row r="958">
      <c r="A958" s="4"/>
      <c r="B958" s="46"/>
      <c r="C958" s="46"/>
      <c r="D958" s="46"/>
      <c r="E958" s="18"/>
      <c r="F958" s="18"/>
      <c r="G958" s="46"/>
      <c r="H958" s="46"/>
      <c r="I958" s="46"/>
      <c r="J958" s="46"/>
      <c r="K958" s="46"/>
      <c r="L958" s="46"/>
      <c r="M958" s="46"/>
      <c r="N958" s="46"/>
      <c r="O958" s="46"/>
      <c r="P958" s="46"/>
      <c r="Q958" s="46"/>
      <c r="R958" s="46"/>
      <c r="S958" s="46"/>
      <c r="T958" s="46"/>
      <c r="U958" s="46"/>
      <c r="V958" s="46"/>
      <c r="W958" s="46"/>
      <c r="X958" s="46"/>
      <c r="Y958" s="46"/>
      <c r="Z958" s="46"/>
      <c r="AA958" s="46"/>
    </row>
    <row r="959">
      <c r="A959" s="4"/>
      <c r="B959" s="46"/>
      <c r="C959" s="46"/>
      <c r="D959" s="46"/>
      <c r="E959" s="18"/>
      <c r="F959" s="18"/>
      <c r="G959" s="46"/>
      <c r="H959" s="46"/>
      <c r="I959" s="46"/>
      <c r="J959" s="46"/>
      <c r="K959" s="46"/>
      <c r="L959" s="46"/>
      <c r="M959" s="46"/>
      <c r="N959" s="46"/>
      <c r="O959" s="46"/>
      <c r="P959" s="46"/>
      <c r="Q959" s="46"/>
      <c r="R959" s="46"/>
      <c r="S959" s="46"/>
      <c r="T959" s="46"/>
      <c r="U959" s="46"/>
      <c r="V959" s="46"/>
      <c r="W959" s="46"/>
      <c r="X959" s="46"/>
      <c r="Y959" s="46"/>
      <c r="Z959" s="46"/>
      <c r="AA959" s="46"/>
    </row>
    <row r="960">
      <c r="A960" s="4"/>
      <c r="B960" s="46"/>
      <c r="C960" s="46"/>
      <c r="D960" s="46"/>
      <c r="E960" s="18"/>
      <c r="F960" s="18"/>
      <c r="G960" s="46"/>
      <c r="H960" s="46"/>
      <c r="I960" s="46"/>
      <c r="J960" s="46"/>
      <c r="K960" s="46"/>
      <c r="L960" s="46"/>
      <c r="M960" s="46"/>
      <c r="N960" s="46"/>
      <c r="O960" s="46"/>
      <c r="P960" s="46"/>
      <c r="Q960" s="46"/>
      <c r="R960" s="46"/>
      <c r="S960" s="46"/>
      <c r="T960" s="46"/>
      <c r="U960" s="46"/>
      <c r="V960" s="46"/>
      <c r="W960" s="46"/>
      <c r="X960" s="46"/>
      <c r="Y960" s="46"/>
      <c r="Z960" s="46"/>
      <c r="AA960" s="46"/>
    </row>
    <row r="961">
      <c r="A961" s="4"/>
      <c r="B961" s="46"/>
      <c r="C961" s="46"/>
      <c r="D961" s="46"/>
      <c r="E961" s="18"/>
      <c r="F961" s="18"/>
      <c r="G961" s="46"/>
      <c r="H961" s="46"/>
      <c r="I961" s="46"/>
      <c r="J961" s="46"/>
      <c r="K961" s="46"/>
      <c r="L961" s="46"/>
      <c r="M961" s="46"/>
      <c r="N961" s="46"/>
      <c r="O961" s="46"/>
      <c r="P961" s="46"/>
      <c r="Q961" s="46"/>
      <c r="R961" s="46"/>
      <c r="S961" s="46"/>
      <c r="T961" s="46"/>
      <c r="U961" s="46"/>
      <c r="V961" s="46"/>
      <c r="W961" s="46"/>
      <c r="X961" s="46"/>
      <c r="Y961" s="46"/>
      <c r="Z961" s="46"/>
      <c r="AA961" s="46"/>
    </row>
    <row r="962">
      <c r="A962" s="4"/>
      <c r="B962" s="46"/>
      <c r="C962" s="46"/>
      <c r="D962" s="46"/>
      <c r="E962" s="18"/>
      <c r="F962" s="18"/>
      <c r="G962" s="46"/>
      <c r="H962" s="46"/>
      <c r="I962" s="46"/>
      <c r="J962" s="46"/>
      <c r="K962" s="46"/>
      <c r="L962" s="46"/>
      <c r="M962" s="46"/>
      <c r="N962" s="46"/>
      <c r="O962" s="46"/>
      <c r="P962" s="46"/>
      <c r="Q962" s="46"/>
      <c r="R962" s="46"/>
      <c r="S962" s="46"/>
      <c r="T962" s="46"/>
      <c r="U962" s="46"/>
      <c r="V962" s="46"/>
      <c r="W962" s="46"/>
      <c r="X962" s="46"/>
      <c r="Y962" s="46"/>
      <c r="Z962" s="46"/>
      <c r="AA962" s="46"/>
    </row>
    <row r="963">
      <c r="A963" s="4"/>
      <c r="B963" s="46"/>
      <c r="C963" s="46"/>
      <c r="D963" s="46"/>
      <c r="E963" s="18"/>
      <c r="F963" s="18"/>
      <c r="G963" s="46"/>
      <c r="H963" s="46"/>
      <c r="I963" s="46"/>
      <c r="J963" s="46"/>
      <c r="K963" s="46"/>
      <c r="L963" s="46"/>
      <c r="M963" s="46"/>
      <c r="N963" s="46"/>
      <c r="O963" s="46"/>
      <c r="P963" s="46"/>
      <c r="Q963" s="46"/>
      <c r="R963" s="46"/>
      <c r="S963" s="46"/>
      <c r="T963" s="46"/>
      <c r="U963" s="46"/>
      <c r="V963" s="46"/>
      <c r="W963" s="46"/>
      <c r="X963" s="46"/>
      <c r="Y963" s="46"/>
      <c r="Z963" s="46"/>
      <c r="AA963" s="46"/>
    </row>
    <row r="964">
      <c r="A964" s="4"/>
      <c r="B964" s="46"/>
      <c r="C964" s="46"/>
      <c r="D964" s="46"/>
      <c r="E964" s="18"/>
      <c r="F964" s="18"/>
      <c r="G964" s="46"/>
      <c r="H964" s="46"/>
      <c r="I964" s="46"/>
      <c r="J964" s="46"/>
      <c r="K964" s="46"/>
      <c r="L964" s="46"/>
      <c r="M964" s="46"/>
      <c r="N964" s="46"/>
      <c r="O964" s="46"/>
      <c r="P964" s="46"/>
      <c r="Q964" s="46"/>
      <c r="R964" s="46"/>
      <c r="S964" s="46"/>
      <c r="T964" s="46"/>
      <c r="U964" s="46"/>
      <c r="V964" s="46"/>
      <c r="W964" s="46"/>
      <c r="X964" s="46"/>
      <c r="Y964" s="46"/>
      <c r="Z964" s="46"/>
      <c r="AA964" s="46"/>
    </row>
    <row r="965">
      <c r="A965" s="4"/>
      <c r="B965" s="46"/>
      <c r="C965" s="46"/>
      <c r="D965" s="46"/>
      <c r="E965" s="18"/>
      <c r="F965" s="18"/>
      <c r="G965" s="46"/>
      <c r="H965" s="46"/>
      <c r="I965" s="46"/>
      <c r="J965" s="46"/>
      <c r="K965" s="46"/>
      <c r="L965" s="46"/>
      <c r="M965" s="46"/>
      <c r="N965" s="46"/>
      <c r="O965" s="46"/>
      <c r="P965" s="46"/>
      <c r="Q965" s="46"/>
      <c r="R965" s="46"/>
      <c r="S965" s="46"/>
      <c r="T965" s="46"/>
      <c r="U965" s="46"/>
      <c r="V965" s="46"/>
      <c r="W965" s="46"/>
      <c r="X965" s="46"/>
      <c r="Y965" s="46"/>
      <c r="Z965" s="46"/>
      <c r="AA965" s="46"/>
    </row>
    <row r="966">
      <c r="A966" s="4"/>
      <c r="B966" s="46"/>
      <c r="C966" s="46"/>
      <c r="D966" s="46"/>
      <c r="E966" s="18"/>
      <c r="F966" s="18"/>
      <c r="G966" s="46"/>
      <c r="H966" s="46"/>
      <c r="I966" s="46"/>
      <c r="J966" s="46"/>
      <c r="K966" s="46"/>
      <c r="L966" s="46"/>
      <c r="M966" s="46"/>
      <c r="N966" s="46"/>
      <c r="O966" s="46"/>
      <c r="P966" s="46"/>
      <c r="Q966" s="46"/>
      <c r="R966" s="46"/>
      <c r="S966" s="46"/>
      <c r="T966" s="46"/>
      <c r="U966" s="46"/>
      <c r="V966" s="46"/>
      <c r="W966" s="46"/>
      <c r="X966" s="46"/>
      <c r="Y966" s="46"/>
      <c r="Z966" s="46"/>
      <c r="AA966" s="46"/>
    </row>
    <row r="967">
      <c r="A967" s="4"/>
      <c r="B967" s="46"/>
      <c r="C967" s="46"/>
      <c r="D967" s="46"/>
      <c r="E967" s="18"/>
      <c r="F967" s="18"/>
      <c r="G967" s="46"/>
      <c r="H967" s="46"/>
      <c r="I967" s="46"/>
      <c r="J967" s="46"/>
      <c r="K967" s="46"/>
      <c r="L967" s="46"/>
      <c r="M967" s="46"/>
      <c r="N967" s="46"/>
      <c r="O967" s="46"/>
      <c r="P967" s="46"/>
      <c r="Q967" s="46"/>
      <c r="R967" s="46"/>
      <c r="S967" s="46"/>
      <c r="T967" s="46"/>
      <c r="U967" s="46"/>
      <c r="V967" s="46"/>
      <c r="W967" s="46"/>
      <c r="X967" s="46"/>
      <c r="Y967" s="46"/>
      <c r="Z967" s="46"/>
      <c r="AA967" s="46"/>
    </row>
    <row r="968">
      <c r="A968" s="4"/>
      <c r="B968" s="46"/>
      <c r="C968" s="46"/>
      <c r="D968" s="46"/>
      <c r="E968" s="18"/>
      <c r="F968" s="18"/>
      <c r="G968" s="46"/>
      <c r="H968" s="46"/>
      <c r="I968" s="46"/>
      <c r="J968" s="46"/>
      <c r="K968" s="46"/>
      <c r="L968" s="46"/>
      <c r="M968" s="46"/>
      <c r="N968" s="46"/>
      <c r="O968" s="46"/>
      <c r="P968" s="46"/>
      <c r="Q968" s="46"/>
      <c r="R968" s="46"/>
      <c r="S968" s="46"/>
      <c r="T968" s="46"/>
      <c r="U968" s="46"/>
      <c r="V968" s="46"/>
      <c r="W968" s="46"/>
      <c r="X968" s="46"/>
      <c r="Y968" s="46"/>
      <c r="Z968" s="46"/>
      <c r="AA968" s="46"/>
    </row>
    <row r="969">
      <c r="A969" s="4"/>
      <c r="B969" s="46"/>
      <c r="C969" s="46"/>
      <c r="D969" s="46"/>
      <c r="E969" s="18"/>
      <c r="F969" s="18"/>
      <c r="G969" s="46"/>
      <c r="H969" s="46"/>
      <c r="I969" s="46"/>
      <c r="J969" s="46"/>
      <c r="K969" s="46"/>
      <c r="L969" s="46"/>
      <c r="M969" s="46"/>
      <c r="N969" s="46"/>
      <c r="O969" s="46"/>
      <c r="P969" s="46"/>
      <c r="Q969" s="46"/>
      <c r="R969" s="46"/>
      <c r="S969" s="46"/>
      <c r="T969" s="46"/>
      <c r="U969" s="46"/>
      <c r="V969" s="46"/>
      <c r="W969" s="46"/>
      <c r="X969" s="46"/>
      <c r="Y969" s="46"/>
      <c r="Z969" s="46"/>
      <c r="AA969" s="46"/>
    </row>
    <row r="970">
      <c r="A970" s="4"/>
      <c r="B970" s="46"/>
      <c r="C970" s="46"/>
      <c r="D970" s="46"/>
      <c r="E970" s="18"/>
      <c r="F970" s="18"/>
      <c r="G970" s="46"/>
      <c r="H970" s="46"/>
      <c r="I970" s="46"/>
      <c r="J970" s="46"/>
      <c r="K970" s="46"/>
      <c r="L970" s="46"/>
      <c r="M970" s="46"/>
      <c r="N970" s="46"/>
      <c r="O970" s="46"/>
      <c r="P970" s="46"/>
      <c r="Q970" s="46"/>
      <c r="R970" s="46"/>
      <c r="S970" s="46"/>
      <c r="T970" s="46"/>
      <c r="U970" s="46"/>
      <c r="V970" s="46"/>
      <c r="W970" s="46"/>
      <c r="X970" s="46"/>
      <c r="Y970" s="46"/>
      <c r="Z970" s="46"/>
      <c r="AA970" s="46"/>
    </row>
    <row r="971">
      <c r="A971" s="4"/>
      <c r="B971" s="46"/>
      <c r="C971" s="46"/>
      <c r="D971" s="46"/>
      <c r="E971" s="18"/>
      <c r="F971" s="18"/>
      <c r="G971" s="46"/>
      <c r="H971" s="46"/>
      <c r="I971" s="46"/>
      <c r="J971" s="46"/>
      <c r="K971" s="46"/>
      <c r="L971" s="46"/>
      <c r="M971" s="46"/>
      <c r="N971" s="46"/>
      <c r="O971" s="46"/>
      <c r="P971" s="46"/>
      <c r="Q971" s="46"/>
      <c r="R971" s="46"/>
      <c r="S971" s="46"/>
      <c r="T971" s="46"/>
      <c r="U971" s="46"/>
      <c r="V971" s="46"/>
      <c r="W971" s="46"/>
      <c r="X971" s="46"/>
      <c r="Y971" s="46"/>
      <c r="Z971" s="46"/>
      <c r="AA971" s="46"/>
    </row>
    <row r="972">
      <c r="A972" s="4"/>
      <c r="B972" s="46"/>
      <c r="C972" s="46"/>
      <c r="D972" s="46"/>
      <c r="E972" s="18"/>
      <c r="F972" s="18"/>
      <c r="G972" s="46"/>
      <c r="H972" s="46"/>
      <c r="I972" s="46"/>
      <c r="J972" s="46"/>
      <c r="K972" s="46"/>
      <c r="L972" s="46"/>
      <c r="M972" s="46"/>
      <c r="N972" s="46"/>
      <c r="O972" s="46"/>
      <c r="P972" s="46"/>
      <c r="Q972" s="46"/>
      <c r="R972" s="46"/>
      <c r="S972" s="46"/>
      <c r="T972" s="46"/>
      <c r="U972" s="46"/>
      <c r="V972" s="46"/>
      <c r="W972" s="46"/>
      <c r="X972" s="46"/>
      <c r="Y972" s="46"/>
      <c r="Z972" s="46"/>
      <c r="AA972" s="46"/>
    </row>
    <row r="973">
      <c r="A973" s="4"/>
      <c r="B973" s="46"/>
      <c r="C973" s="46"/>
      <c r="D973" s="46"/>
      <c r="E973" s="18"/>
      <c r="F973" s="18"/>
      <c r="G973" s="46"/>
      <c r="H973" s="46"/>
      <c r="I973" s="46"/>
      <c r="J973" s="46"/>
      <c r="K973" s="46"/>
      <c r="L973" s="46"/>
      <c r="M973" s="46"/>
      <c r="N973" s="46"/>
      <c r="O973" s="46"/>
      <c r="P973" s="46"/>
      <c r="Q973" s="46"/>
      <c r="R973" s="46"/>
      <c r="S973" s="46"/>
      <c r="T973" s="46"/>
      <c r="U973" s="46"/>
      <c r="V973" s="46"/>
      <c r="W973" s="46"/>
      <c r="X973" s="46"/>
      <c r="Y973" s="46"/>
      <c r="Z973" s="46"/>
      <c r="AA973" s="46"/>
    </row>
    <row r="974">
      <c r="A974" s="4"/>
      <c r="B974" s="46"/>
      <c r="C974" s="46"/>
      <c r="D974" s="46"/>
      <c r="E974" s="18"/>
      <c r="F974" s="18"/>
      <c r="G974" s="46"/>
      <c r="H974" s="46"/>
      <c r="I974" s="46"/>
      <c r="J974" s="46"/>
      <c r="K974" s="46"/>
      <c r="L974" s="46"/>
      <c r="M974" s="46"/>
      <c r="N974" s="46"/>
      <c r="O974" s="46"/>
      <c r="P974" s="46"/>
      <c r="Q974" s="46"/>
      <c r="R974" s="46"/>
      <c r="S974" s="46"/>
      <c r="T974" s="46"/>
      <c r="U974" s="46"/>
      <c r="V974" s="46"/>
      <c r="W974" s="46"/>
      <c r="X974" s="46"/>
      <c r="Y974" s="46"/>
      <c r="Z974" s="46"/>
      <c r="AA974" s="46"/>
    </row>
    <row r="975">
      <c r="A975" s="4"/>
      <c r="B975" s="46"/>
      <c r="C975" s="46"/>
      <c r="D975" s="46"/>
      <c r="E975" s="18"/>
      <c r="F975" s="18"/>
      <c r="G975" s="46"/>
      <c r="H975" s="46"/>
      <c r="I975" s="46"/>
      <c r="J975" s="46"/>
      <c r="K975" s="46"/>
      <c r="L975" s="46"/>
      <c r="M975" s="46"/>
      <c r="N975" s="46"/>
      <c r="O975" s="46"/>
      <c r="P975" s="46"/>
      <c r="Q975" s="46"/>
      <c r="R975" s="46"/>
      <c r="S975" s="46"/>
      <c r="T975" s="46"/>
      <c r="U975" s="46"/>
      <c r="V975" s="46"/>
      <c r="W975" s="46"/>
      <c r="X975" s="46"/>
      <c r="Y975" s="46"/>
      <c r="Z975" s="46"/>
      <c r="AA975" s="46"/>
    </row>
    <row r="976">
      <c r="A976" s="4"/>
      <c r="B976" s="46"/>
      <c r="C976" s="46"/>
      <c r="D976" s="46"/>
      <c r="E976" s="18"/>
      <c r="F976" s="18"/>
      <c r="G976" s="46"/>
      <c r="H976" s="46"/>
      <c r="I976" s="46"/>
      <c r="J976" s="46"/>
      <c r="K976" s="46"/>
      <c r="L976" s="46"/>
      <c r="M976" s="46"/>
      <c r="N976" s="46"/>
      <c r="O976" s="46"/>
      <c r="P976" s="46"/>
      <c r="Q976" s="46"/>
      <c r="R976" s="46"/>
      <c r="S976" s="46"/>
      <c r="T976" s="46"/>
      <c r="U976" s="46"/>
      <c r="V976" s="46"/>
      <c r="W976" s="46"/>
      <c r="X976" s="46"/>
      <c r="Y976" s="46"/>
      <c r="Z976" s="46"/>
      <c r="AA976" s="46"/>
    </row>
    <row r="977">
      <c r="A977" s="4"/>
      <c r="B977" s="46"/>
      <c r="C977" s="46"/>
      <c r="D977" s="46"/>
      <c r="E977" s="18"/>
      <c r="F977" s="18"/>
      <c r="G977" s="46"/>
      <c r="H977" s="46"/>
      <c r="I977" s="46"/>
      <c r="J977" s="46"/>
      <c r="K977" s="46"/>
      <c r="L977" s="46"/>
      <c r="M977" s="46"/>
      <c r="N977" s="46"/>
      <c r="O977" s="46"/>
      <c r="P977" s="46"/>
      <c r="Q977" s="46"/>
      <c r="R977" s="46"/>
      <c r="S977" s="46"/>
      <c r="T977" s="46"/>
      <c r="U977" s="46"/>
      <c r="V977" s="46"/>
      <c r="W977" s="46"/>
      <c r="X977" s="46"/>
      <c r="Y977" s="46"/>
      <c r="Z977" s="46"/>
      <c r="AA977" s="46"/>
    </row>
    <row r="978">
      <c r="A978" s="4"/>
      <c r="B978" s="46"/>
      <c r="C978" s="46"/>
      <c r="D978" s="46"/>
      <c r="E978" s="18"/>
      <c r="F978" s="18"/>
      <c r="G978" s="46"/>
      <c r="H978" s="46"/>
      <c r="I978" s="46"/>
      <c r="J978" s="46"/>
      <c r="K978" s="46"/>
      <c r="L978" s="46"/>
      <c r="M978" s="46"/>
      <c r="N978" s="46"/>
      <c r="O978" s="46"/>
      <c r="P978" s="46"/>
      <c r="Q978" s="46"/>
      <c r="R978" s="46"/>
      <c r="S978" s="46"/>
      <c r="T978" s="46"/>
      <c r="U978" s="46"/>
      <c r="V978" s="46"/>
      <c r="W978" s="46"/>
      <c r="X978" s="46"/>
      <c r="Y978" s="46"/>
      <c r="Z978" s="46"/>
      <c r="AA978" s="46"/>
    </row>
    <row r="979">
      <c r="A979" s="4"/>
      <c r="B979" s="46"/>
      <c r="C979" s="46"/>
      <c r="D979" s="46"/>
      <c r="E979" s="18"/>
      <c r="F979" s="18"/>
      <c r="G979" s="46"/>
      <c r="H979" s="46"/>
      <c r="I979" s="46"/>
      <c r="J979" s="46"/>
      <c r="K979" s="46"/>
      <c r="L979" s="46"/>
      <c r="M979" s="46"/>
      <c r="N979" s="46"/>
      <c r="O979" s="46"/>
      <c r="P979" s="46"/>
      <c r="Q979" s="46"/>
      <c r="R979" s="46"/>
      <c r="S979" s="46"/>
      <c r="T979" s="46"/>
      <c r="U979" s="46"/>
      <c r="V979" s="46"/>
      <c r="W979" s="46"/>
      <c r="X979" s="46"/>
      <c r="Y979" s="46"/>
      <c r="Z979" s="46"/>
      <c r="AA979" s="46"/>
    </row>
    <row r="980">
      <c r="A980" s="4"/>
      <c r="B980" s="46"/>
      <c r="C980" s="46"/>
      <c r="D980" s="46"/>
      <c r="E980" s="18"/>
      <c r="F980" s="18"/>
      <c r="G980" s="46"/>
      <c r="H980" s="46"/>
      <c r="I980" s="46"/>
      <c r="J980" s="46"/>
      <c r="K980" s="46"/>
      <c r="L980" s="46"/>
      <c r="M980" s="46"/>
      <c r="N980" s="46"/>
      <c r="O980" s="46"/>
      <c r="P980" s="46"/>
      <c r="Q980" s="46"/>
      <c r="R980" s="46"/>
      <c r="S980" s="46"/>
      <c r="T980" s="46"/>
      <c r="U980" s="46"/>
      <c r="V980" s="46"/>
      <c r="W980" s="46"/>
      <c r="X980" s="46"/>
      <c r="Y980" s="46"/>
      <c r="Z980" s="46"/>
      <c r="AA980" s="46"/>
    </row>
    <row r="981">
      <c r="A981" s="4"/>
      <c r="B981" s="46"/>
      <c r="C981" s="46"/>
      <c r="D981" s="46"/>
      <c r="E981" s="18"/>
      <c r="F981" s="18"/>
      <c r="G981" s="46"/>
      <c r="H981" s="46"/>
      <c r="I981" s="46"/>
      <c r="J981" s="46"/>
      <c r="K981" s="46"/>
      <c r="L981" s="46"/>
      <c r="M981" s="46"/>
      <c r="N981" s="46"/>
      <c r="O981" s="46"/>
      <c r="P981" s="46"/>
      <c r="Q981" s="46"/>
      <c r="R981" s="46"/>
      <c r="S981" s="46"/>
      <c r="T981" s="46"/>
      <c r="U981" s="46"/>
      <c r="V981" s="46"/>
      <c r="W981" s="46"/>
      <c r="X981" s="46"/>
      <c r="Y981" s="46"/>
      <c r="Z981" s="46"/>
      <c r="AA981" s="46"/>
    </row>
    <row r="982">
      <c r="A982" s="4"/>
      <c r="B982" s="46"/>
      <c r="C982" s="46"/>
      <c r="D982" s="46"/>
      <c r="E982" s="18"/>
      <c r="F982" s="18"/>
      <c r="G982" s="46"/>
      <c r="H982" s="46"/>
      <c r="I982" s="46"/>
      <c r="J982" s="46"/>
      <c r="K982" s="46"/>
      <c r="L982" s="46"/>
      <c r="M982" s="46"/>
      <c r="N982" s="46"/>
      <c r="O982" s="46"/>
      <c r="P982" s="46"/>
      <c r="Q982" s="46"/>
      <c r="R982" s="46"/>
      <c r="S982" s="46"/>
      <c r="T982" s="46"/>
      <c r="U982" s="46"/>
      <c r="V982" s="46"/>
      <c r="W982" s="46"/>
      <c r="X982" s="46"/>
      <c r="Y982" s="46"/>
      <c r="Z982" s="46"/>
      <c r="AA982" s="46"/>
    </row>
    <row r="983">
      <c r="A983" s="4"/>
      <c r="B983" s="46"/>
      <c r="C983" s="46"/>
      <c r="D983" s="46"/>
      <c r="E983" s="18"/>
      <c r="F983" s="18"/>
      <c r="G983" s="46"/>
      <c r="H983" s="46"/>
      <c r="I983" s="46"/>
      <c r="J983" s="46"/>
      <c r="K983" s="46"/>
      <c r="L983" s="46"/>
      <c r="M983" s="46"/>
      <c r="N983" s="46"/>
      <c r="O983" s="46"/>
      <c r="P983" s="46"/>
      <c r="Q983" s="46"/>
      <c r="R983" s="46"/>
      <c r="S983" s="46"/>
      <c r="T983" s="46"/>
      <c r="U983" s="46"/>
      <c r="V983" s="46"/>
      <c r="W983" s="46"/>
      <c r="X983" s="46"/>
      <c r="Y983" s="46"/>
      <c r="Z983" s="46"/>
      <c r="AA983" s="46"/>
    </row>
    <row r="984">
      <c r="A984" s="4"/>
      <c r="B984" s="46"/>
      <c r="C984" s="46"/>
      <c r="D984" s="46"/>
      <c r="E984" s="18"/>
      <c r="F984" s="18"/>
      <c r="G984" s="46"/>
      <c r="H984" s="46"/>
      <c r="I984" s="46"/>
      <c r="J984" s="46"/>
      <c r="K984" s="46"/>
      <c r="L984" s="46"/>
      <c r="M984" s="46"/>
      <c r="N984" s="46"/>
      <c r="O984" s="46"/>
      <c r="P984" s="46"/>
      <c r="Q984" s="46"/>
      <c r="R984" s="46"/>
      <c r="S984" s="46"/>
      <c r="T984" s="46"/>
      <c r="U984" s="46"/>
      <c r="V984" s="46"/>
      <c r="W984" s="46"/>
      <c r="X984" s="46"/>
      <c r="Y984" s="46"/>
      <c r="Z984" s="46"/>
      <c r="AA984" s="46"/>
    </row>
    <row r="985">
      <c r="A985" s="4"/>
      <c r="B985" s="46"/>
      <c r="C985" s="46"/>
      <c r="D985" s="46"/>
      <c r="E985" s="18"/>
      <c r="F985" s="18"/>
      <c r="G985" s="46"/>
      <c r="H985" s="46"/>
      <c r="I985" s="46"/>
      <c r="J985" s="46"/>
      <c r="K985" s="46"/>
      <c r="L985" s="46"/>
      <c r="M985" s="46"/>
      <c r="N985" s="46"/>
      <c r="O985" s="46"/>
      <c r="P985" s="46"/>
      <c r="Q985" s="46"/>
      <c r="R985" s="46"/>
      <c r="S985" s="46"/>
      <c r="T985" s="46"/>
      <c r="U985" s="46"/>
      <c r="V985" s="46"/>
      <c r="W985" s="46"/>
      <c r="X985" s="46"/>
      <c r="Y985" s="46"/>
      <c r="Z985" s="46"/>
      <c r="AA985" s="46"/>
    </row>
    <row r="986">
      <c r="A986" s="4"/>
      <c r="B986" s="46"/>
      <c r="C986" s="46"/>
      <c r="D986" s="46"/>
      <c r="E986" s="18"/>
      <c r="F986" s="18"/>
      <c r="G986" s="46"/>
      <c r="H986" s="46"/>
      <c r="I986" s="46"/>
      <c r="J986" s="46"/>
      <c r="K986" s="46"/>
      <c r="L986" s="46"/>
      <c r="M986" s="46"/>
      <c r="N986" s="46"/>
      <c r="O986" s="46"/>
      <c r="P986" s="46"/>
      <c r="Q986" s="46"/>
      <c r="R986" s="46"/>
      <c r="S986" s="46"/>
      <c r="T986" s="46"/>
      <c r="U986" s="46"/>
      <c r="V986" s="46"/>
      <c r="W986" s="46"/>
      <c r="X986" s="46"/>
      <c r="Y986" s="46"/>
      <c r="Z986" s="46"/>
      <c r="AA986" s="46"/>
    </row>
    <row r="987">
      <c r="A987" s="4"/>
      <c r="B987" s="46"/>
      <c r="C987" s="46"/>
      <c r="D987" s="46"/>
      <c r="E987" s="18"/>
      <c r="F987" s="18"/>
      <c r="G987" s="46"/>
      <c r="H987" s="46"/>
      <c r="I987" s="46"/>
      <c r="J987" s="46"/>
      <c r="K987" s="46"/>
      <c r="L987" s="46"/>
      <c r="M987" s="46"/>
      <c r="N987" s="46"/>
      <c r="O987" s="46"/>
      <c r="P987" s="46"/>
      <c r="Q987" s="46"/>
      <c r="R987" s="46"/>
      <c r="S987" s="46"/>
      <c r="T987" s="46"/>
      <c r="U987" s="46"/>
      <c r="V987" s="46"/>
      <c r="W987" s="46"/>
      <c r="X987" s="46"/>
      <c r="Y987" s="46"/>
      <c r="Z987" s="46"/>
      <c r="AA987" s="46"/>
    </row>
    <row r="988">
      <c r="A988" s="4"/>
      <c r="B988" s="46"/>
      <c r="C988" s="46"/>
      <c r="D988" s="46"/>
      <c r="E988" s="18"/>
      <c r="F988" s="18"/>
      <c r="G988" s="46"/>
      <c r="H988" s="46"/>
      <c r="I988" s="46"/>
      <c r="J988" s="46"/>
      <c r="K988" s="46"/>
      <c r="L988" s="46"/>
      <c r="M988" s="46"/>
      <c r="N988" s="46"/>
      <c r="O988" s="46"/>
      <c r="P988" s="46"/>
      <c r="Q988" s="46"/>
      <c r="R988" s="46"/>
      <c r="S988" s="46"/>
      <c r="T988" s="46"/>
      <c r="U988" s="46"/>
      <c r="V988" s="46"/>
      <c r="W988" s="46"/>
      <c r="X988" s="46"/>
      <c r="Y988" s="46"/>
      <c r="Z988" s="46"/>
      <c r="AA988" s="46"/>
    </row>
    <row r="989">
      <c r="A989" s="4"/>
      <c r="B989" s="46"/>
      <c r="C989" s="46"/>
      <c r="D989" s="46"/>
      <c r="E989" s="18"/>
      <c r="F989" s="18"/>
      <c r="G989" s="46"/>
      <c r="H989" s="46"/>
      <c r="I989" s="46"/>
      <c r="J989" s="46"/>
      <c r="K989" s="46"/>
      <c r="L989" s="46"/>
      <c r="M989" s="46"/>
      <c r="N989" s="46"/>
      <c r="O989" s="46"/>
      <c r="P989" s="46"/>
      <c r="Q989" s="46"/>
      <c r="R989" s="46"/>
      <c r="S989" s="46"/>
      <c r="T989" s="46"/>
      <c r="U989" s="46"/>
      <c r="V989" s="46"/>
      <c r="W989" s="46"/>
      <c r="X989" s="46"/>
      <c r="Y989" s="46"/>
      <c r="Z989" s="46"/>
      <c r="AA989" s="46"/>
    </row>
    <row r="990">
      <c r="A990" s="4"/>
      <c r="B990" s="46"/>
      <c r="C990" s="46"/>
      <c r="D990" s="46"/>
      <c r="E990" s="18"/>
      <c r="F990" s="18"/>
      <c r="G990" s="46"/>
      <c r="H990" s="46"/>
      <c r="I990" s="46"/>
      <c r="J990" s="46"/>
      <c r="K990" s="46"/>
      <c r="L990" s="46"/>
      <c r="M990" s="46"/>
      <c r="N990" s="46"/>
      <c r="O990" s="46"/>
      <c r="P990" s="46"/>
      <c r="Q990" s="46"/>
      <c r="R990" s="46"/>
      <c r="S990" s="46"/>
      <c r="T990" s="46"/>
      <c r="U990" s="46"/>
      <c r="V990" s="46"/>
      <c r="W990" s="46"/>
      <c r="X990" s="46"/>
      <c r="Y990" s="46"/>
      <c r="Z990" s="46"/>
      <c r="AA990" s="46"/>
    </row>
    <row r="991">
      <c r="A991" s="4"/>
      <c r="B991" s="46"/>
      <c r="C991" s="46"/>
      <c r="D991" s="46"/>
      <c r="E991" s="18"/>
      <c r="F991" s="18"/>
      <c r="G991" s="46"/>
      <c r="H991" s="46"/>
      <c r="I991" s="46"/>
      <c r="J991" s="46"/>
      <c r="K991" s="46"/>
      <c r="L991" s="46"/>
      <c r="M991" s="46"/>
      <c r="N991" s="46"/>
      <c r="O991" s="46"/>
      <c r="P991" s="46"/>
      <c r="Q991" s="46"/>
      <c r="R991" s="46"/>
      <c r="S991" s="46"/>
      <c r="T991" s="46"/>
      <c r="U991" s="46"/>
      <c r="V991" s="46"/>
      <c r="W991" s="46"/>
      <c r="X991" s="46"/>
      <c r="Y991" s="46"/>
      <c r="Z991" s="46"/>
      <c r="AA991" s="46"/>
    </row>
    <row r="992">
      <c r="A992" s="4"/>
      <c r="B992" s="46"/>
      <c r="C992" s="46"/>
      <c r="D992" s="46"/>
      <c r="E992" s="18"/>
      <c r="F992" s="18"/>
      <c r="G992" s="46"/>
      <c r="H992" s="46"/>
      <c r="I992" s="46"/>
      <c r="J992" s="46"/>
      <c r="K992" s="46"/>
      <c r="L992" s="46"/>
      <c r="M992" s="46"/>
      <c r="N992" s="46"/>
      <c r="O992" s="46"/>
      <c r="P992" s="46"/>
      <c r="Q992" s="46"/>
      <c r="R992" s="46"/>
      <c r="S992" s="46"/>
      <c r="T992" s="46"/>
      <c r="U992" s="46"/>
      <c r="V992" s="46"/>
      <c r="W992" s="46"/>
      <c r="X992" s="46"/>
      <c r="Y992" s="46"/>
      <c r="Z992" s="46"/>
      <c r="AA992" s="46"/>
    </row>
    <row r="993">
      <c r="A993" s="4"/>
      <c r="B993" s="46"/>
      <c r="C993" s="46"/>
      <c r="D993" s="46"/>
      <c r="E993" s="18"/>
      <c r="F993" s="18"/>
      <c r="G993" s="46"/>
      <c r="H993" s="46"/>
      <c r="I993" s="46"/>
      <c r="J993" s="46"/>
      <c r="K993" s="46"/>
      <c r="L993" s="46"/>
      <c r="M993" s="46"/>
      <c r="N993" s="46"/>
      <c r="O993" s="46"/>
      <c r="P993" s="46"/>
      <c r="Q993" s="46"/>
      <c r="R993" s="46"/>
      <c r="S993" s="46"/>
      <c r="T993" s="46"/>
      <c r="U993" s="46"/>
      <c r="V993" s="46"/>
      <c r="W993" s="46"/>
      <c r="X993" s="46"/>
      <c r="Y993" s="46"/>
      <c r="Z993" s="46"/>
      <c r="AA993" s="46"/>
    </row>
    <row r="994">
      <c r="A994" s="4"/>
      <c r="B994" s="46"/>
      <c r="C994" s="46"/>
      <c r="D994" s="46"/>
      <c r="E994" s="18"/>
      <c r="F994" s="18"/>
      <c r="G994" s="46"/>
      <c r="H994" s="46"/>
      <c r="I994" s="46"/>
      <c r="J994" s="46"/>
      <c r="K994" s="46"/>
      <c r="L994" s="46"/>
      <c r="M994" s="46"/>
      <c r="N994" s="46"/>
      <c r="O994" s="46"/>
      <c r="P994" s="46"/>
      <c r="Q994" s="46"/>
      <c r="R994" s="46"/>
      <c r="S994" s="46"/>
      <c r="T994" s="46"/>
      <c r="U994" s="46"/>
      <c r="V994" s="46"/>
      <c r="W994" s="46"/>
      <c r="X994" s="46"/>
      <c r="Y994" s="46"/>
      <c r="Z994" s="46"/>
      <c r="AA994" s="46"/>
    </row>
    <row r="995">
      <c r="A995" s="4"/>
      <c r="B995" s="46"/>
      <c r="C995" s="46"/>
      <c r="D995" s="46"/>
      <c r="E995" s="18"/>
      <c r="F995" s="18"/>
      <c r="G995" s="46"/>
      <c r="H995" s="46"/>
      <c r="I995" s="46"/>
      <c r="J995" s="46"/>
      <c r="K995" s="46"/>
      <c r="L995" s="46"/>
      <c r="M995" s="46"/>
      <c r="N995" s="46"/>
      <c r="O995" s="46"/>
      <c r="P995" s="46"/>
      <c r="Q995" s="46"/>
      <c r="R995" s="46"/>
      <c r="S995" s="46"/>
      <c r="T995" s="46"/>
      <c r="U995" s="46"/>
      <c r="V995" s="46"/>
      <c r="W995" s="46"/>
      <c r="X995" s="46"/>
      <c r="Y995" s="46"/>
      <c r="Z995" s="46"/>
      <c r="AA995" s="46"/>
    </row>
    <row r="996">
      <c r="A996" s="4"/>
      <c r="B996" s="46"/>
      <c r="C996" s="46"/>
      <c r="D996" s="46"/>
      <c r="E996" s="18"/>
      <c r="F996" s="18"/>
      <c r="G996" s="46"/>
      <c r="H996" s="46"/>
      <c r="I996" s="46"/>
      <c r="J996" s="46"/>
      <c r="K996" s="46"/>
      <c r="L996" s="46"/>
      <c r="M996" s="46"/>
      <c r="N996" s="46"/>
      <c r="O996" s="46"/>
      <c r="P996" s="46"/>
      <c r="Q996" s="46"/>
      <c r="R996" s="46"/>
      <c r="S996" s="46"/>
      <c r="T996" s="46"/>
      <c r="U996" s="46"/>
      <c r="V996" s="46"/>
      <c r="W996" s="46"/>
      <c r="X996" s="46"/>
      <c r="Y996" s="46"/>
      <c r="Z996" s="46"/>
      <c r="AA996" s="46"/>
    </row>
    <row r="997">
      <c r="A997" s="4"/>
      <c r="B997" s="46"/>
      <c r="C997" s="46"/>
      <c r="D997" s="46"/>
      <c r="E997" s="18"/>
      <c r="F997" s="18"/>
      <c r="G997" s="46"/>
      <c r="H997" s="46"/>
      <c r="I997" s="46"/>
      <c r="J997" s="46"/>
      <c r="K997" s="46"/>
      <c r="L997" s="46"/>
      <c r="M997" s="46"/>
      <c r="N997" s="46"/>
      <c r="O997" s="46"/>
      <c r="P997" s="46"/>
      <c r="Q997" s="46"/>
      <c r="R997" s="46"/>
      <c r="S997" s="46"/>
      <c r="T997" s="46"/>
      <c r="U997" s="46"/>
      <c r="V997" s="46"/>
      <c r="W997" s="46"/>
      <c r="X997" s="46"/>
      <c r="Y997" s="46"/>
      <c r="Z997" s="46"/>
      <c r="AA997" s="46"/>
    </row>
    <row r="998">
      <c r="A998" s="4"/>
      <c r="B998" s="46"/>
      <c r="C998" s="46"/>
      <c r="D998" s="46"/>
      <c r="E998" s="18"/>
      <c r="F998" s="18"/>
      <c r="G998" s="46"/>
      <c r="H998" s="46"/>
      <c r="I998" s="46"/>
      <c r="J998" s="46"/>
      <c r="K998" s="46"/>
      <c r="L998" s="46"/>
      <c r="M998" s="46"/>
      <c r="N998" s="46"/>
      <c r="O998" s="46"/>
      <c r="P998" s="46"/>
      <c r="Q998" s="46"/>
      <c r="R998" s="46"/>
      <c r="S998" s="46"/>
      <c r="T998" s="46"/>
      <c r="U998" s="46"/>
      <c r="V998" s="46"/>
      <c r="W998" s="46"/>
      <c r="X998" s="46"/>
      <c r="Y998" s="46"/>
      <c r="Z998" s="46"/>
      <c r="AA998" s="46"/>
    </row>
    <row r="999">
      <c r="A999" s="4"/>
      <c r="B999" s="46"/>
      <c r="C999" s="46"/>
      <c r="D999" s="46"/>
      <c r="E999" s="18"/>
      <c r="F999" s="18"/>
      <c r="G999" s="46"/>
      <c r="H999" s="46"/>
      <c r="I999" s="46"/>
      <c r="J999" s="46"/>
      <c r="K999" s="46"/>
      <c r="L999" s="46"/>
      <c r="M999" s="46"/>
      <c r="N999" s="46"/>
      <c r="O999" s="46"/>
      <c r="P999" s="46"/>
      <c r="Q999" s="46"/>
      <c r="R999" s="46"/>
      <c r="S999" s="46"/>
      <c r="T999" s="46"/>
      <c r="U999" s="46"/>
      <c r="V999" s="46"/>
      <c r="W999" s="46"/>
      <c r="X999" s="46"/>
      <c r="Y999" s="46"/>
      <c r="Z999" s="46"/>
      <c r="AA999" s="46"/>
    </row>
    <row r="1000">
      <c r="A1000" s="4"/>
      <c r="B1000" s="46"/>
      <c r="C1000" s="46"/>
      <c r="D1000" s="46"/>
      <c r="E1000" s="18"/>
      <c r="F1000" s="18"/>
      <c r="G1000" s="46"/>
      <c r="H1000" s="46"/>
      <c r="I1000" s="46"/>
      <c r="J1000" s="46"/>
      <c r="K1000" s="46"/>
      <c r="L1000" s="46"/>
      <c r="M1000" s="46"/>
      <c r="N1000" s="46"/>
      <c r="O1000" s="46"/>
      <c r="P1000" s="46"/>
      <c r="Q1000" s="46"/>
      <c r="R1000" s="46"/>
      <c r="S1000" s="46"/>
      <c r="T1000" s="46"/>
      <c r="U1000" s="46"/>
      <c r="V1000" s="46"/>
      <c r="W1000" s="46"/>
      <c r="X1000" s="46"/>
      <c r="Y1000" s="46"/>
      <c r="Z1000" s="46"/>
      <c r="AA1000" s="46"/>
    </row>
    <row r="1001">
      <c r="A1001" s="4"/>
      <c r="B1001" s="46"/>
      <c r="C1001" s="46"/>
      <c r="D1001" s="46"/>
      <c r="E1001" s="18"/>
      <c r="F1001" s="18"/>
      <c r="G1001" s="46"/>
      <c r="H1001" s="46"/>
      <c r="I1001" s="46"/>
      <c r="J1001" s="46"/>
      <c r="K1001" s="46"/>
      <c r="L1001" s="46"/>
      <c r="M1001" s="46"/>
      <c r="N1001" s="46"/>
      <c r="O1001" s="46"/>
      <c r="P1001" s="46"/>
      <c r="Q1001" s="46"/>
      <c r="R1001" s="46"/>
      <c r="S1001" s="46"/>
      <c r="T1001" s="46"/>
      <c r="U1001" s="46"/>
      <c r="V1001" s="46"/>
      <c r="W1001" s="46"/>
      <c r="X1001" s="46"/>
      <c r="Y1001" s="46"/>
      <c r="Z1001" s="46"/>
      <c r="AA1001" s="4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75"/>
  </cols>
  <sheetData>
    <row r="1">
      <c r="A1" s="3" t="str">
        <f>IFERROR(__xludf.DUMMYFUNCTION("FILTER('Base de Datos'!A1:BF3379, 'Base de Datos'!AH1:AH3379=""Inventario"")"),"Código")</f>
        <v>Código</v>
      </c>
      <c r="B1" s="5" t="str">
        <f>IFERROR(__xludf.DUMMYFUNCTION("""COMPUTED_VALUE"""),"Nombre")</f>
        <v>Nombre</v>
      </c>
      <c r="C1" s="5" t="str">
        <f>IFERROR(__xludf.DUMMYFUNCTION("""COMPUTED_VALUE"""),"Tipo de inmueble")</f>
        <v>Tipo de inmueble</v>
      </c>
      <c r="D1" s="5" t="str">
        <f>IFERROR(__xludf.DUMMYFUNCTION("""COMPUTED_VALUE"""),"Barrio")</f>
        <v>Barrio</v>
      </c>
      <c r="E1" s="5" t="str">
        <f>IFERROR(__xludf.DUMMYFUNCTION("""COMPUTED_VALUE"""),"Conjunto")</f>
        <v>Conjunto</v>
      </c>
      <c r="F1" s="5" t="str">
        <f>IFERROR(__xludf.DUMMYFUNCTION("""COMPUTED_VALUE"""),"Precio")</f>
        <v>Precio</v>
      </c>
      <c r="G1" s="5" t="str">
        <f>IFERROR(__xludf.DUMMYFUNCTION("""COMPUTED_VALUE"""),"Rango de precio")</f>
        <v>Rango de precio</v>
      </c>
      <c r="H1" s="5" t="str">
        <f>IFERROR(__xludf.DUMMYFUNCTION("""COMPUTED_VALUE"""),"Hipoteca")</f>
        <v>Hipoteca</v>
      </c>
      <c r="I1" s="5" t="str">
        <f>IFERROR(__xludf.DUMMYFUNCTION("""COMPUTED_VALUE"""),"Permuta")</f>
        <v>Permuta</v>
      </c>
      <c r="J1" s="5" t="str">
        <f>IFERROR(__xludf.DUMMYFUNCTION("""COMPUTED_VALUE"""),"Zona")</f>
        <v>Zona</v>
      </c>
      <c r="K1" s="3" t="str">
        <f>IFERROR(__xludf.DUMMYFUNCTION("""COMPUTED_VALUE"""),"Comuna")</f>
        <v>Comuna</v>
      </c>
      <c r="L1" s="5" t="str">
        <f>IFERROR(__xludf.DUMMYFUNCTION("""COMPUTED_VALUE"""),"Habitaciones")</f>
        <v>Habitaciones</v>
      </c>
      <c r="M1" s="5" t="str">
        <f>IFERROR(__xludf.DUMMYFUNCTION("""COMPUTED_VALUE"""),"Habitacion en 1er piso")</f>
        <v>Habitacion en 1er piso</v>
      </c>
      <c r="N1" s="5" t="str">
        <f>IFERROR(__xludf.DUMMYFUNCTION("""COMPUTED_VALUE"""),"Baños")</f>
        <v>Baños</v>
      </c>
      <c r="O1" s="5" t="str">
        <f>IFERROR(__xludf.DUMMYFUNCTION("""COMPUTED_VALUE"""),"Garaje")</f>
        <v>Garaje</v>
      </c>
      <c r="P1" s="5" t="str">
        <f>IFERROR(__xludf.DUMMYFUNCTION("""COMPUTED_VALUE"""),"Pisos")</f>
        <v>Pisos</v>
      </c>
      <c r="Q1" s="5" t="str">
        <f>IFERROR(__xludf.DUMMYFUNCTION("""COMPUTED_VALUE"""),"Área Construida")</f>
        <v>Área Construida</v>
      </c>
      <c r="R1" s="14" t="str">
        <f>IFERROR(__xludf.DUMMYFUNCTION("""COMPUTED_VALUE"""),"Área lote")</f>
        <v>Área lote</v>
      </c>
      <c r="S1" s="3" t="str">
        <f>IFERROR(__xludf.DUMMYFUNCTION("""COMPUTED_VALUE"""),"Rentabilidad")</f>
        <v>Rentabilidad</v>
      </c>
      <c r="T1" s="5" t="str">
        <f>IFERROR(__xludf.DUMMYFUNCTION("""COMPUTED_VALUE"""),"Ciudad")</f>
        <v>Ciudad</v>
      </c>
      <c r="U1" s="3" t="str">
        <f>IFERROR(__xludf.DUMMYFUNCTION("""COMPUTED_VALUE"""),"Estrato")</f>
        <v>Estrato</v>
      </c>
      <c r="V1" s="5" t="str">
        <f>IFERROR(__xludf.DUMMYFUNCTION("""COMPUTED_VALUE"""),"Ubicación")</f>
        <v>Ubicación</v>
      </c>
      <c r="W1" s="21" t="str">
        <f>IFERROR(__xludf.DUMMYFUNCTION("""COMPUTED_VALUE"""),"Vía")</f>
        <v>Vía</v>
      </c>
      <c r="X1" s="21" t="str">
        <f>IFERROR(__xludf.DUMMYFUNCTION("""COMPUTED_VALUE"""),"Closet")</f>
        <v>Closet</v>
      </c>
      <c r="Y1" s="5" t="str">
        <f>IFERROR(__xludf.DUMMYFUNCTION("""COMPUTED_VALUE"""),"Piscina")</f>
        <v>Piscina</v>
      </c>
      <c r="Z1" s="24" t="str">
        <f>IFERROR(__xludf.DUMMYFUNCTION("""COMPUTED_VALUE"""),"Administración")</f>
        <v>Administración</v>
      </c>
      <c r="AA1" s="25" t="str">
        <f>IFERROR(__xludf.DUMMYFUNCTION("""COMPUTED_VALUE"""),"Retorno de la Inversión")</f>
        <v>Retorno de la Inversión</v>
      </c>
      <c r="AB1" s="5" t="str">
        <f>IFERROR(__xludf.DUMMYFUNCTION("""COMPUTED_VALUE"""),"Google Fotos")</f>
        <v>Google Fotos</v>
      </c>
      <c r="AC1" s="5" t="str">
        <f>IFERROR(__xludf.DUMMYFUNCTION("""COMPUTED_VALUE"""),"Descripción")</f>
        <v>Descripción</v>
      </c>
      <c r="AD1" s="5" t="str">
        <f>IFERROR(__xludf.DUMMYFUNCTION("""COMPUTED_VALUE"""),"Puntos Clave")</f>
        <v>Puntos Clave</v>
      </c>
      <c r="AE1" s="5" t="str">
        <f>IFERROR(__xludf.DUMMYFUNCTION("""COMPUTED_VALUE"""),"Buscar")</f>
        <v>Buscar</v>
      </c>
      <c r="AF1" s="5" t="str">
        <f>IFERROR(__xludf.DUMMYFUNCTION("""COMPUTED_VALUE"""),"Cocina")</f>
        <v>Cocina</v>
      </c>
      <c r="AG1" s="5" t="str">
        <f>IFERROR(__xludf.DUMMYFUNCTION("""COMPUTED_VALUE"""),"Publicar")</f>
        <v>Publicar</v>
      </c>
      <c r="AH1" s="5" t="str">
        <f>IFERROR(__xludf.DUMMYFUNCTION("""COMPUTED_VALUE"""),"Inventario")</f>
        <v>Inventario</v>
      </c>
      <c r="AI1" s="5" t="str">
        <f>IFERROR(__xludf.DUMMYFUNCTION("""COMPUTED_VALUE"""),"Contrato")</f>
        <v>Contrato</v>
      </c>
      <c r="AJ1" s="5" t="str">
        <f>IFERROR(__xludf.DUMMYFUNCTION("""COMPUTED_VALUE"""),"Inmobiliaria")</f>
        <v>Inmobiliaria</v>
      </c>
      <c r="AK1" s="5" t="str">
        <f>IFERROR(__xludf.DUMMYFUNCTION("""COMPUTED_VALUE"""),"Estado del contrato       Firmados - para imprimir - sin contrato")</f>
        <v>Estado del contrato       Firmados - para imprimir - sin contrato</v>
      </c>
      <c r="AL1" s="5" t="str">
        <f>IFERROR(__xludf.DUMMYFUNCTION("""COMPUTED_VALUE"""),"TIENE FOTOS  - CODIGOS DISPONIBLES-NO TIENE FOTOS-NUEVOS ULTIMOS BARRIDOS - FIRMO CONTRATO ICDE")</f>
        <v>TIENE FOTOS  - CODIGOS DISPONIBLES-NO TIENE FOTOS-NUEVOS ULTIMOS BARRIDOS - FIRMO CONTRATO ICDE</v>
      </c>
      <c r="AM1" s="5" t="str">
        <f>IFERROR(__xludf.DUMMYFUNCTION("""COMPUTED_VALUE"""),"CELULAR")</f>
        <v>CELULAR</v>
      </c>
      <c r="AN1" s="5" t="str">
        <f>IFERROR(__xludf.DUMMYFUNCTION("""COMPUTED_VALUE"""),"CELULAR 2")</f>
        <v>CELULAR 2</v>
      </c>
      <c r="AO1" s="5" t="str">
        <f>IFERROR(__xludf.DUMMYFUNCTION("""COMPUTED_VALUE"""),"PROPIETARIO")</f>
        <v>PROPIETARIO</v>
      </c>
      <c r="AP1" s="5" t="str">
        <f>IFERROR(__xludf.DUMMYFUNCTION("""COMPUTED_VALUE"""),"DIRECCIÓN")</f>
        <v>DIRECCIÓN</v>
      </c>
      <c r="AQ1" s="5" t="str">
        <f>IFERROR(__xludf.DUMMYFUNCTION("""COMPUTED_VALUE"""),"LATITUD")</f>
        <v>LATITUD</v>
      </c>
      <c r="AR1" s="5" t="str">
        <f>IFERROR(__xludf.DUMMYFUNCTION("""COMPUTED_VALUE"""),"LONGITUD")</f>
        <v>LONGITUD</v>
      </c>
      <c r="AS1" s="34" t="str">
        <f>IFERROR(__xludf.DUMMYFUNCTION("""COMPUTED_VALUE"""),"RENTAB.")</f>
        <v>RENTAB.</v>
      </c>
      <c r="AT1" s="5" t="str">
        <f>IFERROR(__xludf.DUMMYFUNCTION("""COMPUTED_VALUE"""),"ASCENSOR")</f>
        <v>ASCENSOR</v>
      </c>
      <c r="AU1" s="5" t="str">
        <f>IFERROR(__xludf.DUMMYFUNCTION("""COMPUTED_VALUE"""),"CORTINAS")</f>
        <v>CORTINAS</v>
      </c>
      <c r="AV1" s="5" t="str">
        <f>IFERROR(__xludf.DUMMYFUNCTION("""COMPUTED_VALUE"""),"AIRE ACONDICIONADO")</f>
        <v>AIRE ACONDICIONADO</v>
      </c>
      <c r="AW1" s="5" t="str">
        <f>IFERROR(__xludf.DUMMYFUNCTION("""COMPUTED_VALUE"""),"REJA/ ANTEJARDIN")</f>
        <v>REJA/ ANTEJARDIN</v>
      </c>
      <c r="AX1" s="5" t="str">
        <f>IFERROR(__xludf.DUMMYFUNCTION("""COMPUTED_VALUE"""),"ANTIGÜEDAD")</f>
        <v>ANTIGÜEDAD</v>
      </c>
      <c r="AY1" s="5" t="str">
        <f>IFERROR(__xludf.DUMMYFUNCTION("""COMPUTED_VALUE"""),"PATIO")</f>
        <v>PATIO</v>
      </c>
      <c r="AZ1" s="5" t="str">
        <f>IFERROR(__xludf.DUMMYFUNCTION("""COMPUTED_VALUE"""),"DIMENSIONES")</f>
        <v>DIMENSIONES</v>
      </c>
      <c r="BA1" s="5"/>
      <c r="BB1" s="5"/>
      <c r="BC1" s="34" t="str">
        <f>IFERROR(__xludf.DUMMYFUNCTION("""COMPUTED_VALUE"""),"LEADS ASIGNADOS")</f>
        <v>LEADS ASIGNADOS</v>
      </c>
      <c r="BD1" s="5" t="str">
        <f>IFERROR(__xludf.DUMMYFUNCTION("""COMPUTED_VALUE"""),"g0f")</f>
        <v>g0f</v>
      </c>
      <c r="BE1" s="5" t="str">
        <f>IFERROR(__xludf.DUMMYFUNCTION("""COMPUTED_VALUE"""),"PROPUESTAS SUGERIDAS POR IA")</f>
        <v>PROPUESTAS SUGERIDAS POR IA</v>
      </c>
      <c r="BF1" s="5" t="str">
        <f>IFERROR(__xludf.DUMMYFUNCTION("""COMPUTED_VALUE"""),"Imagenes")</f>
        <v>Imagenes</v>
      </c>
      <c r="BG1" s="5"/>
      <c r="BH1" s="5"/>
    </row>
    <row r="2">
      <c r="A2" s="39" t="str">
        <f>IFERROR(__xludf.DUMMYFUNCTION("""COMPUTED_VALUE"""),"7064")</f>
        <v>7064</v>
      </c>
      <c r="B2" s="40" t="str">
        <f>IFERROR(__xludf.DUMMYFUNCTION("""COMPUTED_VALUE"""),"Casa en barrio La Toma")</f>
        <v>Casa en barrio La Toma</v>
      </c>
      <c r="C2" s="40" t="str">
        <f>IFERROR(__xludf.DUMMYFUNCTION("""COMPUTED_VALUE"""),"Casa")</f>
        <v>Casa</v>
      </c>
      <c r="D2" s="40" t="str">
        <f>IFERROR(__xludf.DUMMYFUNCTION("""COMPUTED_VALUE"""),"La Toma")</f>
        <v>La Toma</v>
      </c>
      <c r="E2" s="40"/>
      <c r="F2" s="42">
        <f>IFERROR(__xludf.DUMMYFUNCTION("""COMPUTED_VALUE"""),2.5E8)</f>
        <v>250000000</v>
      </c>
      <c r="G2" s="40" t="str">
        <f>IFERROR(__xludf.DUMMYFUNCTION("""COMPUTED_VALUE"""),"$200'000.000 a $300'000.000")</f>
        <v>$200'000.000 a $300'000.000</v>
      </c>
      <c r="H2" s="40"/>
      <c r="I2" s="40"/>
      <c r="J2" s="40" t="str">
        <f>IFERROR(__xludf.DUMMYFUNCTION("""COMPUTED_VALUE"""),"Centro")</f>
        <v>Centro</v>
      </c>
      <c r="K2" s="39" t="str">
        <f>IFERROR(__xludf.DUMMYFUNCTION("""COMPUTED_VALUE"""),"3")</f>
        <v>3</v>
      </c>
      <c r="L2" s="40">
        <f>IFERROR(__xludf.DUMMYFUNCTION("""COMPUTED_VALUE"""),4.0)</f>
        <v>4</v>
      </c>
      <c r="M2" s="40"/>
      <c r="N2" s="40">
        <f>IFERROR(__xludf.DUMMYFUNCTION("""COMPUTED_VALUE"""),2.0)</f>
        <v>2</v>
      </c>
      <c r="O2" s="40">
        <f>IFERROR(__xludf.DUMMYFUNCTION("""COMPUTED_VALUE"""),0.0)</f>
        <v>0</v>
      </c>
      <c r="P2" s="40">
        <f>IFERROR(__xludf.DUMMYFUNCTION("""COMPUTED_VALUE"""),1.0)</f>
        <v>1</v>
      </c>
      <c r="Q2" s="48">
        <f>IFERROR(__xludf.DUMMYFUNCTION("""COMPUTED_VALUE"""),117.0)</f>
        <v>117</v>
      </c>
      <c r="R2" s="48">
        <f>IFERROR(__xludf.DUMMYFUNCTION("""COMPUTED_VALUE"""),146.0)</f>
        <v>146</v>
      </c>
      <c r="S2" s="39" t="str">
        <f>IFERROR(__xludf.DUMMYFUNCTION("""COMPUTED_VALUE"""),"Rentabilidad $950,000")</f>
        <v>Rentabilidad $950,000</v>
      </c>
      <c r="T2" s="40" t="str">
        <f>IFERROR(__xludf.DUMMYFUNCTION("""COMPUTED_VALUE"""),"Neiva")</f>
        <v>Neiva</v>
      </c>
      <c r="U2" s="39" t="str">
        <f>IFERROR(__xludf.DUMMYFUNCTION("""COMPUTED_VALUE"""),"3")</f>
        <v>3</v>
      </c>
      <c r="V2" s="40" t="str">
        <f>IFERROR(__xludf.DUMMYFUNCTION("""COMPUTED_VALUE"""),"Medianera")</f>
        <v>Medianera</v>
      </c>
      <c r="W2" s="46"/>
      <c r="X2" s="46">
        <f>IFERROR(__xludf.DUMMYFUNCTION("""COMPUTED_VALUE"""),0.0)</f>
        <v>0</v>
      </c>
      <c r="Y2" s="40" t="str">
        <f>IFERROR(__xludf.DUMMYFUNCTION("""COMPUTED_VALUE"""),"No tiene")</f>
        <v>No tiene</v>
      </c>
      <c r="Z2" s="42" t="str">
        <f>IFERROR(__xludf.DUMMYFUNCTION("""COMPUTED_VALUE"""),"No aplica")</f>
        <v>No aplica</v>
      </c>
      <c r="AA2" s="49" t="str">
        <f>IFERROR(__xludf.DUMMYFUNCTION("""COMPUTED_VALUE"""),"22 años")</f>
        <v>22 años</v>
      </c>
      <c r="AB2" s="48"/>
      <c r="AC2" s="40"/>
      <c r="AD2" s="40"/>
      <c r="AE2" s="40"/>
      <c r="AF2" s="40" t="str">
        <f>IFERROR(__xludf.DUMMYFUNCTION("""COMPUTED_VALUE"""),"básica")</f>
        <v>básica</v>
      </c>
      <c r="AG2" s="40"/>
      <c r="AH2" s="40" t="str">
        <f>IFERROR(__xludf.DUMMYFUNCTION("""COMPUTED_VALUE"""),"Inventario")</f>
        <v>Inventario</v>
      </c>
      <c r="AI2" s="40"/>
      <c r="AJ2" s="40" t="str">
        <f>IFERROR(__xludf.DUMMYFUNCTION("""COMPUTED_VALUE"""),"  F/$250")</f>
        <v>  F/$250</v>
      </c>
      <c r="AK2" s="40" t="str">
        <f>IFERROR(__xludf.DUMMYFUNCTION("""COMPUTED_VALUE"""),"No aplica")</f>
        <v>No aplica</v>
      </c>
      <c r="AL2" s="40" t="str">
        <f>IFERROR(__xludf.DUMMYFUNCTION("""COMPUTED_VALUE"""),"NO FOTOS + DESCRIPCION")</f>
        <v>NO FOTOS + DESCRIPCION</v>
      </c>
      <c r="AM2" s="40">
        <f>IFERROR(__xludf.DUMMYFUNCTION("""COMPUTED_VALUE"""),3.183955563E9)</f>
        <v>3183955563</v>
      </c>
      <c r="AN2" s="40"/>
      <c r="AO2" s="40"/>
      <c r="AP2" s="40" t="str">
        <f>IFERROR(__xludf.DUMMYFUNCTION("""COMPUTED_VALUE"""),"CARRERA 7 A No. 13 - 20")</f>
        <v>CARRERA 7 A No. 13 - 20</v>
      </c>
      <c r="AQ2" s="40"/>
      <c r="AR2" s="40"/>
      <c r="AS2" s="53">
        <f>IFERROR(__xludf.DUMMYFUNCTION("""COMPUTED_VALUE"""),950000.0)</f>
        <v>950000</v>
      </c>
      <c r="AT2" s="40">
        <f>IFERROR(__xludf.DUMMYFUNCTION("""COMPUTED_VALUE"""),0.0)</f>
        <v>0</v>
      </c>
      <c r="AU2" s="40">
        <f>IFERROR(__xludf.DUMMYFUNCTION("""COMPUTED_VALUE"""),0.0)</f>
        <v>0</v>
      </c>
      <c r="AV2" s="40">
        <f>IFERROR(__xludf.DUMMYFUNCTION("""COMPUTED_VALUE"""),0.0)</f>
        <v>0</v>
      </c>
      <c r="AW2" s="40" t="str">
        <f>IFERROR(__xludf.DUMMYFUNCTION("""COMPUTED_VALUE"""),"NO")</f>
        <v>NO</v>
      </c>
      <c r="AX2" s="40">
        <f>IFERROR(__xludf.DUMMYFUNCTION("""COMPUTED_VALUE"""),0.0)</f>
        <v>0</v>
      </c>
      <c r="AY2" s="40">
        <f>IFERROR(__xludf.DUMMYFUNCTION("""COMPUTED_VALUE"""),0.0)</f>
        <v>0</v>
      </c>
      <c r="AZ2" s="40">
        <f>IFERROR(__xludf.DUMMYFUNCTION("""COMPUTED_VALUE"""),0.0)</f>
        <v>0</v>
      </c>
      <c r="BA2" s="40" t="str">
        <f>IFERROR(__xludf.DUMMYFUNCTION("""COMPUTED_VALUE"""),"X")</f>
        <v>X</v>
      </c>
      <c r="BB2" s="40">
        <f>IFERROR(__xludf.DUMMYFUNCTION("""COMPUTED_VALUE"""),0.0)</f>
        <v>0</v>
      </c>
      <c r="BC2" s="53" t="str">
        <f>IFERROR(__xludf.DUMMYFUNCTION("""COMPUTED_VALUE"""),"20 - SAMADHI RODRIGUEZ")</f>
        <v>20 - SAMADHI RODRIGUEZ</v>
      </c>
      <c r="BD2" s="48"/>
      <c r="BE2" s="48"/>
      <c r="BF2" s="48"/>
    </row>
    <row r="3">
      <c r="A3" s="39" t="str">
        <f>IFERROR(__xludf.DUMMYFUNCTION("""COMPUTED_VALUE"""),"3084")</f>
        <v>3084</v>
      </c>
      <c r="B3" s="40" t="str">
        <f>IFERROR(__xludf.DUMMYFUNCTION("""COMPUTED_VALUE"""),"Casa en barrio Campo Nuñez")</f>
        <v>Casa en barrio Campo Nuñez</v>
      </c>
      <c r="C3" s="40" t="str">
        <f>IFERROR(__xludf.DUMMYFUNCTION("""COMPUTED_VALUE"""),"Casa")</f>
        <v>Casa</v>
      </c>
      <c r="D3" s="40" t="str">
        <f>IFERROR(__xludf.DUMMYFUNCTION("""COMPUTED_VALUE"""),"Campo Nuñez")</f>
        <v>Campo Nuñez</v>
      </c>
      <c r="E3" s="40"/>
      <c r="F3" s="42">
        <f>IFERROR(__xludf.DUMMYFUNCTION("""COMPUTED_VALUE"""),7.0E8)</f>
        <v>700000000</v>
      </c>
      <c r="G3" s="40" t="str">
        <f>IFERROR(__xludf.DUMMYFUNCTION("""COMPUTED_VALUE"""),"$500'000.000 a $1.000'000.000")</f>
        <v>$500'000.000 a $1.000'000.000</v>
      </c>
      <c r="H3" s="40"/>
      <c r="I3" s="40"/>
      <c r="J3" s="40" t="str">
        <f>IFERROR(__xludf.DUMMYFUNCTION("""COMPUTED_VALUE"""),"Centro")</f>
        <v>Centro</v>
      </c>
      <c r="K3" s="39" t="str">
        <f>IFERROR(__xludf.DUMMYFUNCTION("""COMPUTED_VALUE"""),"3")</f>
        <v>3</v>
      </c>
      <c r="L3" s="40">
        <f>IFERROR(__xludf.DUMMYFUNCTION("""COMPUTED_VALUE"""),4.0)</f>
        <v>4</v>
      </c>
      <c r="M3" s="40"/>
      <c r="N3" s="40">
        <f>IFERROR(__xludf.DUMMYFUNCTION("""COMPUTED_VALUE"""),3.0)</f>
        <v>3</v>
      </c>
      <c r="O3" s="40">
        <f>IFERROR(__xludf.DUMMYFUNCTION("""COMPUTED_VALUE"""),1.0)</f>
        <v>1</v>
      </c>
      <c r="P3" s="40">
        <f>IFERROR(__xludf.DUMMYFUNCTION("""COMPUTED_VALUE"""),1.0)</f>
        <v>1</v>
      </c>
      <c r="Q3" s="48">
        <f>IFERROR(__xludf.DUMMYFUNCTION("""COMPUTED_VALUE"""),210.0)</f>
        <v>210</v>
      </c>
      <c r="R3" s="48">
        <f>IFERROR(__xludf.DUMMYFUNCTION("""COMPUTED_VALUE"""),210.0)</f>
        <v>210</v>
      </c>
      <c r="S3" s="39" t="str">
        <f>IFERROR(__xludf.DUMMYFUNCTION("""COMPUTED_VALUE""")," ")</f>
        <v> </v>
      </c>
      <c r="T3" s="40" t="str">
        <f>IFERROR(__xludf.DUMMYFUNCTION("""COMPUTED_VALUE"""),"Neiva")</f>
        <v>Neiva</v>
      </c>
      <c r="U3" s="39" t="str">
        <f>IFERROR(__xludf.DUMMYFUNCTION("""COMPUTED_VALUE"""),"4")</f>
        <v>4</v>
      </c>
      <c r="V3" s="40" t="str">
        <f>IFERROR(__xludf.DUMMYFUNCTION("""COMPUTED_VALUE"""),"Medianera")</f>
        <v>Medianera</v>
      </c>
      <c r="W3" s="46"/>
      <c r="X3" s="46">
        <f>IFERROR(__xludf.DUMMYFUNCTION("""COMPUTED_VALUE"""),4.0)</f>
        <v>4</v>
      </c>
      <c r="Y3" s="40" t="str">
        <f>IFERROR(__xludf.DUMMYFUNCTION("""COMPUTED_VALUE"""),"No tiene")</f>
        <v>No tiene</v>
      </c>
      <c r="Z3" s="42" t="str">
        <f>IFERROR(__xludf.DUMMYFUNCTION("""COMPUTED_VALUE"""),"No aplica")</f>
        <v>No aplica</v>
      </c>
      <c r="AA3" s="49" t="str">
        <f>IFERROR(__xludf.DUMMYFUNCTION("""COMPUTED_VALUE"""),"No aplica")</f>
        <v>No aplica</v>
      </c>
      <c r="AB3" s="66" t="str">
        <f>IFERROR(__xludf.DUMMYFUNCTION("""COMPUTED_VALUE"""),"https://photos.app.goo.gl/zwhNZsro4YC2YDY28")</f>
        <v>https://photos.app.goo.gl/zwhNZsro4YC2YDY28</v>
      </c>
      <c r="AC3" s="40"/>
      <c r="AD3" s="40"/>
      <c r="AE3" s="40"/>
      <c r="AF3" s="40" t="str">
        <f>IFERROR(__xludf.DUMMYFUNCTION("""COMPUTED_VALUE"""),"semi-integral")</f>
        <v>semi-integral</v>
      </c>
      <c r="AG3" s="40"/>
      <c r="AH3" s="40" t="str">
        <f>IFERROR(__xludf.DUMMYFUNCTION("""COMPUTED_VALUE"""),"Inventario")</f>
        <v>Inventario</v>
      </c>
      <c r="AI3" s="40"/>
      <c r="AJ3" s="40" t="str">
        <f>IFERROR(__xludf.DUMMYFUNCTION("""COMPUTED_VALUE"""),"B-Inventario Campo Nuñez")</f>
        <v>B-Inventario Campo Nuñez</v>
      </c>
      <c r="AK3" s="40"/>
      <c r="AL3" s="40" t="str">
        <f>IFERROR(__xludf.DUMMYFUNCTION("""COMPUTED_VALUE"""),"TIENE FOTOS")</f>
        <v>TIENE FOTOS</v>
      </c>
      <c r="AM3" s="40">
        <f>IFERROR(__xludf.DUMMYFUNCTION("""COMPUTED_VALUE"""),3.212323681E9)</f>
        <v>3212323681</v>
      </c>
      <c r="AN3" s="40">
        <f>IFERROR(__xludf.DUMMYFUNCTION("""COMPUTED_VALUE"""),3.135781638E9)</f>
        <v>3135781638</v>
      </c>
      <c r="AO3" s="40"/>
      <c r="AP3" s="40" t="str">
        <f>IFERROR(__xludf.DUMMYFUNCTION("""COMPUTED_VALUE"""),"CARRERA 7A NO. 16-30")</f>
        <v>CARRERA 7A NO. 16-30</v>
      </c>
      <c r="AQ3" s="40"/>
      <c r="AR3" s="40"/>
      <c r="AS3" s="53">
        <f>IFERROR(__xludf.DUMMYFUNCTION("""COMPUTED_VALUE"""),0.0)</f>
        <v>0</v>
      </c>
      <c r="AT3" s="40">
        <f>IFERROR(__xludf.DUMMYFUNCTION("""COMPUTED_VALUE"""),0.0)</f>
        <v>0</v>
      </c>
      <c r="AU3" s="40">
        <f>IFERROR(__xludf.DUMMYFUNCTION("""COMPUTED_VALUE"""),0.0)</f>
        <v>0</v>
      </c>
      <c r="AV3" s="40">
        <f>IFERROR(__xludf.DUMMYFUNCTION("""COMPUTED_VALUE"""),0.0)</f>
        <v>0</v>
      </c>
      <c r="AW3" s="40" t="str">
        <f>IFERROR(__xludf.DUMMYFUNCTION("""COMPUTED_VALUE"""),"NO")</f>
        <v>NO</v>
      </c>
      <c r="AX3" s="40">
        <f>IFERROR(__xludf.DUMMYFUNCTION("""COMPUTED_VALUE"""),0.0)</f>
        <v>0</v>
      </c>
      <c r="AY3" s="40">
        <f>IFERROR(__xludf.DUMMYFUNCTION("""COMPUTED_VALUE"""),0.0)</f>
        <v>0</v>
      </c>
      <c r="AZ3" s="40">
        <f>IFERROR(__xludf.DUMMYFUNCTION("""COMPUTED_VALUE"""),0.0)</f>
        <v>0</v>
      </c>
      <c r="BA3" s="40" t="str">
        <f>IFERROR(__xludf.DUMMYFUNCTION("""COMPUTED_VALUE"""),"X")</f>
        <v>X</v>
      </c>
      <c r="BB3" s="40">
        <f>IFERROR(__xludf.DUMMYFUNCTION("""COMPUTED_VALUE"""),0.0)</f>
        <v>0</v>
      </c>
      <c r="BC3" s="53"/>
      <c r="BD3" s="48"/>
      <c r="BE3" s="48"/>
      <c r="BF3" s="48" t="str">
        <f>IFERROR(__xludf.DUMMYFUNCTION("""COMPUTED_VALUE"""),"https://lh3.googleusercontent.com/pw/AP1GczM_q4YkeTMYSuUBWqqYdzZYkAC3FlC98d-y3b-Dx0lH7xec5m3GKCiMT3HyIGewfaeqjPMlkcPCbqyf9DOisePdzXfQ0uGd63iytM9TyJhAC4OhHWsI=w1200|https://lh3.googleusercontent.com/pw/AP1GczObcfnIuRHJEzsPXoEx4-mxe1p0-lcx2AALgAFjDcsd1siefk"&amp;"9XT0EJ_WGP2t-ZwTXBN1E0rdsKqe3UK_7UOLqNLNNyeyCozcj1rChnQVOPNfPPvmZc=w1200|https://lh3.googleusercontent.com/pw/AP1GczNwECtrsa10y7rYCW7TPXNTwuig3Hu2iT9oQd34hd7PLreqOwQXOjz5HmVU2rr8h1XJfzONC8G_UPS4rALEMJOVKh3J-CBjj57LqRpOB95lNZTUQS87=w1200|https://lh3.google"&amp;"usercontent.com/pw/AP1GczNKlgzMJuRgq68zknZTaklmxyVzawGcGGo8LqkqkncShaAPtO5MqLAyLJkrEqRSDnZ3Yt_c3z7NT5PIc1jMtb_T0lyKnrHW_ECk_cltmYbUZpVtWHow=w1200|https://lh3.googleusercontent.com/pw/AP1GczMdrPdD7s1bwof_7j0nRdJPKOEO_9KsDtHFMytNWX1eUYm_20huVfmW2l5CnWQVjYJo"&amp;"yvQPSBN7ldIXkcuUOdiI64rj1WjhHJyIWR7JmtY8C_UCDSCQ=w1200|https://lh3.googleusercontent.com/pw/AP1GczOdAw75Pq4jnUqYpjqGoCI6Cram8907QZSDG175wPpYKIpYV-AvPYhmhMPpHs9ydM7DirObUReMJcXHb82kHOjGhKaZn5mvaKz5OTB-Vq9F9XKL11oy=w1200|https://lh3.googleusercontent.com/pw"&amp;"/AP1GczN-cAD5LXmcicIOsdS1CPjvkCu1BopVQDyva-DehdTRxLyVNlGzrMOooj1wed2kwGxsm06zDPrNmqB9hTnqGzITQOArzi7whyJYF1matwc9zRf-9dH_=w1200|https://lh3.googleusercontent.com/pw/AP1GczNM_VjlEnV_fZCEWBs5qKgQqyzl54gqE5y8cbIYJkPYGqC05ul8D4YKwwOOxAtCzXTHgPRJy0Ie5tYMWJpjHr"&amp;"SBJAg2PfRF5oHhfi2AeXXbixY4zSE7=w1200|https://lh3.googleusercontent.com/pw/AP1GczOozep_ElfpR77cAt2x2VNC6V0pIvCEaN0NRf18Q6NgXEfrUaGNFdVNefXu0GD7fA1lkuLK9o03-saz8IZeYe0PpL3niUR27EzF5jRx5KPq_8TevjHx=w1200|https://lh3.googleusercontent.com/pw/AP1GczM9ZLiKiO4fH"&amp;"LZgea-iXR_KLPYulpe82VX6ZUZiHXiVLVvkp2BUb7jdbDAZYwz5zXS2ETgA-CmaVahxAd3HPcZe0By9lCLvippFZPs7VtQEUOVcRknO=w1200|https://lh3.googleusercontent.com/pw/AP1GczMu9dpvklZNNCDR3D0VItJFrW79NYF5upGnvOHJ5tkXRWmkGF9uwWFIV3lp9xKl6VSe7sR7Fpp21-pIYcoyyGYmQgtKF7N6vb3YXOJ4"&amp;"mdfvSO18CghG=w1200|https://lh3.googleusercontent.com/pw/AP1GczPgb1Tbbxnqbi9-MiryvQ_45vxSnucSLN-EZpx1IzJsHjALiOlsTahw5w8oCshTCFLxK7Oar5k7mZaYVvXRmfQlZN2Horrs39uSMV3MLA--C101qHvC=w1200|https://lh3.googleusercontent.com/pw/AP1GczM9HE6nqOX2z3taUL-lXsItMNPj1PU"&amp;"R6EbIHrPNK1RKxArKCi_yaX0zwpka7BWP3cJNGbk6wcBAB20Wwa5ynfuHs96j_vG9hLLQvo1r3_SOSKiZliML=w1200|https://lh3.googleusercontent.com/pw/AP1GczOofwiF-WFaC_9dWjhQtiUAKY_s8Uj1kuE9R5hqWc5l6aU2sEqDhOvL9vEhMWJfQgCUGzPEXVMFzcxFUjehtK7qeYemr5ECjIIDg7lSTb0tvfpT77vd=w1200"&amp;"|https://lh3.googleusercontent.com/pw/AP1GczMxybDpjdsGE9lTGj1SC6_HBx8wASok0kRN2Mh8KT3CujwqTQsgUAXgv8S-XBHjwr2LYLWK2zvK-bD0ugxNxr8KQLD0YDqJdprZuXafGFuX_szQz4b9=w1200|https://lh3.googleusercontent.com/pw/AP1GczM4fNGtZ5skDT6kCIkR0ETNb7LG75DoAFlHP3Ki5CB7iaSGy"&amp;"w5nN5LhaL2wXBnZ8VpGh9KHDXxUfPFR0oDdNDkVcyClcJ0ANPYECcD-_srowcDS-x80=w1200|https://lh3.googleusercontent.com/pw/AP1GczOeyzjIvWQl4Kh9tRuABHpSryYyQGLgL4Rkc5MRZ0VuhacnqqQ0gqF_6z6iOJvZyQwdEPmJ7kUy-_6UgjKAsBn1HKCD6mRh449Wd2T5zWHq08So3y9l=w1200|https://lh3.googl"&amp;"eusercontent.com/pw/AP1GczPdT3tAmx7u0kTbY3JSvEzr4iLC2p9pky68ZTg1s4wwE9A03Koi7VLAiGmkTZVfYEXN_M6uVMxOpBikinflS9WFGaewR_josBtOyRnpY_9NMv5lmAx8=w1200|https://lh3.googleusercontent.com/pw/AP1GczMINMau5TM_f0_KXnV_4TWUU2lpYvgTczVrcTt5AYx-BJ-qJi_CPiI2kwVUdcXxMeB"&amp;"0mCsT3K20ufY5TA4uFVj-yUruLvL9M24Gv4MgKkaO_0pUfxRP=w1200|https://lh3.googleusercontent.com/pw/AP1GczMu2kUh8u1pjOGGa1sCN7UM-GERUZxc9XAqpSSl09A4jMk5R7BoHWOF_VRYyNrJkrQzfSUk--fRwH1R3YkXxqrd7n4WiIKHeK0riX9CTB6Zg4lSSQf4=w1200|https://lh3.googleusercontent.com/p"&amp;"w/AP1GczOca9e-Z7erZR73ga76_rnzoHcFYlPXhbnNtzDWud0oPMdJEQoxj-KZ1o7LlaFHJtX4jQL1H4FTwy3GQ_ChvdsARR-cpDTPLxbRmvgzO0ck-r1oJb77=w1200|https://lh3.googleusercontent.com/pw/AP1GczOoqcTA7Elg-8HYseVZ5V2z8FMJ4jv4UhV9Kh7Ci_8fQNlDCnD3DpKVF2nmexRq1lqCaSrJkJxNgSfVKzf1B"&amp;"ucpve-cWbDySSUhYCVSgXgcRi2gk4ou=w1200|https://lh3.googleusercontent.com/pw/AP1GczOZyikEqhxenI-O0LmST7RMv_Wzw4g41Vf5Xpktl2zuGpyD_YpZGKfTqn3C63J1zL9oehpYgCQmc_Ry_iEhY1TYqofw6tha2EjndNFtaNSyJM4wjYWp=w1200|https://lh3.googleusercontent.com/pw/AP1GczO36Zy1EHB-"&amp;"O1SvGcI50nz6BYJ70mVZ00hDk2Qm1dosPu4cOdzucLOPq1vtwwgBUcwKLDSb4OBAz-3xsYfZx1wllPxof0lehos40gM-ehM3SdfaVzeT=w1200|https://lh3.googleusercontent.com/pw/AP1GczNtKyAm_fQx_WJhVw-kMk1_q5912KxhSiW6pQfmyWh7HInIURo0aWuFhabc8cMEVoCuORI3gaaL9aPAT6zWcNCsTeKoLq0TNIyeAJH"&amp;"d__Q0yDSG7Kg3=w1200")</f>
        <v>https://lh3.googleusercontent.com/pw/AP1GczM_q4YkeTMYSuUBWqqYdzZYkAC3FlC98d-y3b-Dx0lH7xec5m3GKCiMT3HyIGewfaeqjPMlkcPCbqyf9DOisePdzXfQ0uGd63iytM9TyJhAC4OhHWsI=w1200|https://lh3.googleusercontent.com/pw/AP1GczObcfnIuRHJEzsPXoEx4-mxe1p0-lcx2AALgAFjDcsd1siefk9XT0EJ_WGP2t-ZwTXBN1E0rdsKqe3UK_7UOLqNLNNyeyCozcj1rChnQVOPNfPPvmZc=w1200|https://lh3.googleusercontent.com/pw/AP1GczNwECtrsa10y7rYCW7TPXNTwuig3Hu2iT9oQd34hd7PLreqOwQXOjz5HmVU2rr8h1XJfzONC8G_UPS4rALEMJOVKh3J-CBjj57LqRpOB95lNZTUQS87=w1200|https://lh3.googleusercontent.com/pw/AP1GczNKlgzMJuRgq68zknZTaklmxyVzawGcGGo8LqkqkncShaAPtO5MqLAyLJkrEqRSDnZ3Yt_c3z7NT5PIc1jMtb_T0lyKnrHW_ECk_cltmYbUZpVtWHow=w1200|https://lh3.googleusercontent.com/pw/AP1GczMdrPdD7s1bwof_7j0nRdJPKOEO_9KsDtHFMytNWX1eUYm_20huVfmW2l5CnWQVjYJoyvQPSBN7ldIXkcuUOdiI64rj1WjhHJyIWR7JmtY8C_UCDSCQ=w1200|https://lh3.googleusercontent.com/pw/AP1GczOdAw75Pq4jnUqYpjqGoCI6Cram8907QZSDG175wPpYKIpYV-AvPYhmhMPpHs9ydM7DirObUReMJcXHb82kHOjGhKaZn5mvaKz5OTB-Vq9F9XKL11oy=w1200|https://lh3.googleusercontent.com/pw/AP1GczN-cAD5LXmcicIOsdS1CPjvkCu1BopVQDyva-DehdTRxLyVNlGzrMOooj1wed2kwGxsm06zDPrNmqB9hTnqGzITQOArzi7whyJYF1matwc9zRf-9dH_=w1200|https://lh3.googleusercontent.com/pw/AP1GczNM_VjlEnV_fZCEWBs5qKgQqyzl54gqE5y8cbIYJkPYGqC05ul8D4YKwwOOxAtCzXTHgPRJy0Ie5tYMWJpjHrSBJAg2PfRF5oHhfi2AeXXbixY4zSE7=w1200|https://lh3.googleusercontent.com/pw/AP1GczOozep_ElfpR77cAt2x2VNC6V0pIvCEaN0NRf18Q6NgXEfrUaGNFdVNefXu0GD7fA1lkuLK9o03-saz8IZeYe0PpL3niUR27EzF5jRx5KPq_8TevjHx=w1200|https://lh3.googleusercontent.com/pw/AP1GczM9ZLiKiO4fHLZgea-iXR_KLPYulpe82VX6ZUZiHXiVLVvkp2BUb7jdbDAZYwz5zXS2ETgA-CmaVahxAd3HPcZe0By9lCLvippFZPs7VtQEUOVcRknO=w1200|https://lh3.googleusercontent.com/pw/AP1GczMu9dpvklZNNCDR3D0VItJFrW79NYF5upGnvOHJ5tkXRWmkGF9uwWFIV3lp9xKl6VSe7sR7Fpp21-pIYcoyyGYmQgtKF7N6vb3YXOJ4mdfvSO18CghG=w1200|https://lh3.googleusercontent.com/pw/AP1GczPgb1Tbbxnqbi9-MiryvQ_45vxSnucSLN-EZpx1IzJsHjALiOlsTahw5w8oCshTCFLxK7Oar5k7mZaYVvXRmfQlZN2Horrs39uSMV3MLA--C101qHvC=w1200|https://lh3.googleusercontent.com/pw/AP1GczM9HE6nqOX2z3taUL-lXsItMNPj1PUR6EbIHrPNK1RKxArKCi_yaX0zwpka7BWP3cJNGbk6wcBAB20Wwa5ynfuHs96j_vG9hLLQvo1r3_SOSKiZliML=w1200|https://lh3.googleusercontent.com/pw/AP1GczOofwiF-WFaC_9dWjhQtiUAKY_s8Uj1kuE9R5hqWc5l6aU2sEqDhOvL9vEhMWJfQgCUGzPEXVMFzcxFUjehtK7qeYemr5ECjIIDg7lSTb0tvfpT77vd=w1200|https://lh3.googleusercontent.com/pw/AP1GczMxybDpjdsGE9lTGj1SC6_HBx8wASok0kRN2Mh8KT3CujwqTQsgUAXgv8S-XBHjwr2LYLWK2zvK-bD0ugxNxr8KQLD0YDqJdprZuXafGFuX_szQz4b9=w1200|https://lh3.googleusercontent.com/pw/AP1GczM4fNGtZ5skDT6kCIkR0ETNb7LG75DoAFlHP3Ki5CB7iaSGyw5nN5LhaL2wXBnZ8VpGh9KHDXxUfPFR0oDdNDkVcyClcJ0ANPYECcD-_srowcDS-x80=w1200|https://lh3.googleusercontent.com/pw/AP1GczOeyzjIvWQl4Kh9tRuABHpSryYyQGLgL4Rkc5MRZ0VuhacnqqQ0gqF_6z6iOJvZyQwdEPmJ7kUy-_6UgjKAsBn1HKCD6mRh449Wd2T5zWHq08So3y9l=w1200|https://lh3.googleusercontent.com/pw/AP1GczPdT3tAmx7u0kTbY3JSvEzr4iLC2p9pky68ZTg1s4wwE9A03Koi7VLAiGmkTZVfYEXN_M6uVMxOpBikinflS9WFGaewR_josBtOyRnpY_9NMv5lmAx8=w1200|https://lh3.googleusercontent.com/pw/AP1GczMINMau5TM_f0_KXnV_4TWUU2lpYvgTczVrcTt5AYx-BJ-qJi_CPiI2kwVUdcXxMeB0mCsT3K20ufY5TA4uFVj-yUruLvL9M24Gv4MgKkaO_0pUfxRP=w1200|https://lh3.googleusercontent.com/pw/AP1GczMu2kUh8u1pjOGGa1sCN7UM-GERUZxc9XAqpSSl09A4jMk5R7BoHWOF_VRYyNrJkrQzfSUk--fRwH1R3YkXxqrd7n4WiIKHeK0riX9CTB6Zg4lSSQf4=w1200|https://lh3.googleusercontent.com/pw/AP1GczOca9e-Z7erZR73ga76_rnzoHcFYlPXhbnNtzDWud0oPMdJEQoxj-KZ1o7LlaFHJtX4jQL1H4FTwy3GQ_ChvdsARR-cpDTPLxbRmvgzO0ck-r1oJb77=w1200|https://lh3.googleusercontent.com/pw/AP1GczOoqcTA7Elg-8HYseVZ5V2z8FMJ4jv4UhV9Kh7Ci_8fQNlDCnD3DpKVF2nmexRq1lqCaSrJkJxNgSfVKzf1Bucpve-cWbDySSUhYCVSgXgcRi2gk4ou=w1200|https://lh3.googleusercontent.com/pw/AP1GczOZyikEqhxenI-O0LmST7RMv_Wzw4g41Vf5Xpktl2zuGpyD_YpZGKfTqn3C63J1zL9oehpYgCQmc_Ry_iEhY1TYqofw6tha2EjndNFtaNSyJM4wjYWp=w1200|https://lh3.googleusercontent.com/pw/AP1GczO36Zy1EHB-O1SvGcI50nz6BYJ70mVZ00hDk2Qm1dosPu4cOdzucLOPq1vtwwgBUcwKLDSb4OBAz-3xsYfZx1wllPxof0lehos40gM-ehM3SdfaVzeT=w1200|https://lh3.googleusercontent.com/pw/AP1GczNtKyAm_fQx_WJhVw-kMk1_q5912KxhSiW6pQfmyWh7HInIURo0aWuFhabc8cMEVoCuORI3gaaL9aPAT6zWcNCsTeKoLq0TNIyeAJHd__Q0yDSG7Kg3=w1200</v>
      </c>
    </row>
    <row r="4">
      <c r="A4" s="39" t="str">
        <f>IFERROR(__xludf.DUMMYFUNCTION("""COMPUTED_VALUE"""),"2025")</f>
        <v>2025</v>
      </c>
      <c r="B4" s="40" t="str">
        <f>IFERROR(__xludf.DUMMYFUNCTION("""COMPUTED_VALUE"""),"Casa en barrio Los Cámbulos II")</f>
        <v>Casa en barrio Los Cámbulos II</v>
      </c>
      <c r="C4" s="40" t="str">
        <f>IFERROR(__xludf.DUMMYFUNCTION("""COMPUTED_VALUE"""),"Casa")</f>
        <v>Casa</v>
      </c>
      <c r="D4" s="40" t="str">
        <f>IFERROR(__xludf.DUMMYFUNCTION("""COMPUTED_VALUE"""),"Los Cámbulos II")</f>
        <v>Los Cámbulos II</v>
      </c>
      <c r="E4" s="42" t="str">
        <f>IFERROR(__xludf.DUMMYFUNCTION("""COMPUTED_VALUE""")," ")</f>
        <v> </v>
      </c>
      <c r="F4" s="42">
        <f>IFERROR(__xludf.DUMMYFUNCTION("""COMPUTED_VALUE"""),3.0E8)</f>
        <v>300000000</v>
      </c>
      <c r="G4" s="40" t="str">
        <f>IFERROR(__xludf.DUMMYFUNCTION("""COMPUTED_VALUE"""),"$300'000.000 a $400'000.000")</f>
        <v>$300'000.000 a $400'000.000</v>
      </c>
      <c r="H4" s="40"/>
      <c r="I4" s="40"/>
      <c r="J4" s="40" t="str">
        <f>IFERROR(__xludf.DUMMYFUNCTION("""COMPUTED_VALUE"""),"Norte")</f>
        <v>Norte</v>
      </c>
      <c r="K4" s="39" t="str">
        <f>IFERROR(__xludf.DUMMYFUNCTION("""COMPUTED_VALUE"""),"2")</f>
        <v>2</v>
      </c>
      <c r="L4" s="40">
        <f>IFERROR(__xludf.DUMMYFUNCTION("""COMPUTED_VALUE"""),6.0)</f>
        <v>6</v>
      </c>
      <c r="M4" s="40"/>
      <c r="N4" s="40">
        <f>IFERROR(__xludf.DUMMYFUNCTION("""COMPUTED_VALUE"""),2.0)</f>
        <v>2</v>
      </c>
      <c r="O4" s="40">
        <f>IFERROR(__xludf.DUMMYFUNCTION("""COMPUTED_VALUE"""),1.0)</f>
        <v>1</v>
      </c>
      <c r="P4" s="40">
        <f>IFERROR(__xludf.DUMMYFUNCTION("""COMPUTED_VALUE"""),2.0)</f>
        <v>2</v>
      </c>
      <c r="Q4" s="48">
        <f>IFERROR(__xludf.DUMMYFUNCTION("""COMPUTED_VALUE"""),140.0)</f>
        <v>140</v>
      </c>
      <c r="R4" s="48">
        <f>IFERROR(__xludf.DUMMYFUNCTION("""COMPUTED_VALUE"""),90.0)</f>
        <v>90</v>
      </c>
      <c r="S4" s="39" t="str">
        <f>IFERROR(__xludf.DUMMYFUNCTION("""COMPUTED_VALUE""")," ")</f>
        <v> </v>
      </c>
      <c r="T4" s="40" t="str">
        <f>IFERROR(__xludf.DUMMYFUNCTION("""COMPUTED_VALUE"""),"Neiva")</f>
        <v>Neiva</v>
      </c>
      <c r="U4" s="39" t="str">
        <f>IFERROR(__xludf.DUMMYFUNCTION("""COMPUTED_VALUE"""),"3")</f>
        <v>3</v>
      </c>
      <c r="V4" s="40" t="str">
        <f>IFERROR(__xludf.DUMMYFUNCTION("""COMPUTED_VALUE"""),"Medianera")</f>
        <v>Medianera</v>
      </c>
      <c r="W4" s="46"/>
      <c r="X4" s="46">
        <f>IFERROR(__xludf.DUMMYFUNCTION("""COMPUTED_VALUE"""),4.0)</f>
        <v>4</v>
      </c>
      <c r="Y4" s="40" t="str">
        <f>IFERROR(__xludf.DUMMYFUNCTION("""COMPUTED_VALUE"""),"No tiene")</f>
        <v>No tiene</v>
      </c>
      <c r="Z4" s="42" t="str">
        <f>IFERROR(__xludf.DUMMYFUNCTION("""COMPUTED_VALUE"""),"No aplica")</f>
        <v>No aplica</v>
      </c>
      <c r="AA4" s="49" t="str">
        <f>IFERROR(__xludf.DUMMYFUNCTION("""COMPUTED_VALUE"""),"No aplica")</f>
        <v>No aplica</v>
      </c>
      <c r="AB4" s="66" t="str">
        <f>IFERROR(__xludf.DUMMYFUNCTION("""COMPUTED_VALUE"""),"https://photos.app.goo.gl/5fGWK8Q6FdVAQXw98")</f>
        <v>https://photos.app.goo.gl/5fGWK8Q6FdVAQXw98</v>
      </c>
      <c r="AC4" s="40"/>
      <c r="AD4" s="40"/>
      <c r="AE4" s="40"/>
      <c r="AF4" s="40" t="str">
        <f>IFERROR(__xludf.DUMMYFUNCTION("""COMPUTED_VALUE"""),"semi-integral")</f>
        <v>semi-integral</v>
      </c>
      <c r="AG4" s="40"/>
      <c r="AH4" s="40" t="str">
        <f>IFERROR(__xludf.DUMMYFUNCTION("""COMPUTED_VALUE"""),"Inventario")</f>
        <v>Inventario</v>
      </c>
      <c r="AI4" s="40"/>
      <c r="AJ4" s="40" t="str">
        <f>IFERROR(__xludf.DUMMYFUNCTION("""COMPUTED_VALUE"""),"B-Inventario Los Cambulos II")</f>
        <v>B-Inventario Los Cambulos II</v>
      </c>
      <c r="AK4" s="40"/>
      <c r="AL4" s="40" t="str">
        <f>IFERROR(__xludf.DUMMYFUNCTION("""COMPUTED_VALUE"""),"TIENE FOTOS")</f>
        <v>TIENE FOTOS</v>
      </c>
      <c r="AM4" s="40">
        <f>IFERROR(__xludf.DUMMYFUNCTION("""COMPUTED_VALUE"""),3.212323681E9)</f>
        <v>3212323681</v>
      </c>
      <c r="AN4" s="40">
        <f>IFERROR(__xludf.DUMMYFUNCTION("""COMPUTED_VALUE"""),3.135781638E9)</f>
        <v>3135781638</v>
      </c>
      <c r="AO4" s="40"/>
      <c r="AP4" s="40" t="str">
        <f>IFERROR(__xludf.DUMMYFUNCTION("""COMPUTED_VALUE"""),"Carrera 12 # 33-24")</f>
        <v>Carrera 12 # 33-24</v>
      </c>
      <c r="AQ4" s="40"/>
      <c r="AR4" s="40"/>
      <c r="AS4" s="53">
        <f>IFERROR(__xludf.DUMMYFUNCTION("""COMPUTED_VALUE"""),0.0)</f>
        <v>0</v>
      </c>
      <c r="AT4" s="40">
        <f>IFERROR(__xludf.DUMMYFUNCTION("""COMPUTED_VALUE"""),0.0)</f>
        <v>0</v>
      </c>
      <c r="AU4" s="40">
        <f>IFERROR(__xludf.DUMMYFUNCTION("""COMPUTED_VALUE"""),0.0)</f>
        <v>0</v>
      </c>
      <c r="AV4" s="40">
        <f>IFERROR(__xludf.DUMMYFUNCTION("""COMPUTED_VALUE"""),0.0)</f>
        <v>0</v>
      </c>
      <c r="AW4" s="40" t="str">
        <f>IFERROR(__xludf.DUMMYFUNCTION("""COMPUTED_VALUE"""),"NO")</f>
        <v>NO</v>
      </c>
      <c r="AX4" s="40">
        <f>IFERROR(__xludf.DUMMYFUNCTION("""COMPUTED_VALUE"""),0.0)</f>
        <v>0</v>
      </c>
      <c r="AY4" s="40">
        <f>IFERROR(__xludf.DUMMYFUNCTION("""COMPUTED_VALUE"""),0.0)</f>
        <v>0</v>
      </c>
      <c r="AZ4" s="40">
        <f>IFERROR(__xludf.DUMMYFUNCTION("""COMPUTED_VALUE"""),6.0)</f>
        <v>6</v>
      </c>
      <c r="BA4" s="40" t="str">
        <f>IFERROR(__xludf.DUMMYFUNCTION("""COMPUTED_VALUE"""),"X")</f>
        <v>X</v>
      </c>
      <c r="BB4" s="40">
        <f>IFERROR(__xludf.DUMMYFUNCTION("""COMPUTED_VALUE"""),15.0)</f>
        <v>15</v>
      </c>
      <c r="BC4" s="40" t="str">
        <f>IFERROR(__xludf.DUMMYFUNCTION("""COMPUTED_VALUE"""),"8 - ERNESTO POLANCO, 9 - ALBEIRO TOVAR")</f>
        <v>8 - ERNESTO POLANCO, 9 - ALBEIRO TOVAR</v>
      </c>
      <c r="BD4" s="48"/>
      <c r="BE4" s="48"/>
      <c r="BF4" s="48" t="str">
        <f>IFERROR(__xludf.DUMMYFUNCTION("""COMPUTED_VALUE"""),"https://lh3.googleusercontent.com/pw/AP1GczNiJ2WTMAT7mE7Vvqt81Bwzfk6FVv9tlijaYncZFHZYNHmwlHmb5HXAzBgCtiBLWoRNqJLrfBEAGtGC5CpQFJTxOfggFexN_mCIasqxrTumVvFn6gPO=w1200|https://lh3.googleusercontent.com/pw/AP1GczMoTaZSPGlIilMcMBR67uSopPBxjCVXWyrNfJ2--8roH3txtT"&amp;"JZQLSBIPlidqR7L4cDRF69OI89VoToWoXpVvffIk-DhecGj-mZixgy0Qwb4S3dhh1D=w1200|https://lh3.googleusercontent.com/pw/AP1GczP7pR3aj8il8QzAyxGiKlwebH9w-cayYMlvB3CKBP3vJnrQy_CgbNdidTV0LYzhjVREtP8irAiGobXSUclt164Z_0kKlNRl1p7TlMnq034jTpBKAnap=w1200|https://lh3.google"&amp;"usercontent.com/pw/AP1GczOqBG6RMa4UmToalEBdiGVEyxiwpHAuyHtdwLgrEGvB5E6BL7I0IqP18Fp87H4qYLGZxmOo0_o0Nk5IwL7hp_saiI5U18J40W6rjHwL2AesEyvZK7Pf=w1200|https://lh3.googleusercontent.com/pw/AP1GczOYDpophPphjZ_XOQhxrYdkgb1ULcEIo2OaCHdNR2ja_w3FXvygiKZTc-s107TLIl-F"&amp;"K7lcRSZGcxyQMKomdtXnd1iRl7vzAXE2p1cQq5GdcKNxtVOm=w1200|https://lh3.googleusercontent.com/pw/AP1GczN5Ax_pur40sKfULmPIO7IotMe4ysxNGMl942q6T8L55tiKlvjj3z94nQ2EPqZ0nyUnWZzJ_fZq36Z7Rve1TNFlwJ0ynwKaeoYJMKNv7SDSGvk1R1Wq=w1200|https://lh3.googleusercontent.com/pw"&amp;"/AP1GczP6kkquiOYs0oBn1zyKCk2AZ6IozTPgv-ZtNd1gPGExaIYdTa3jo0bc9kbivnRVMow7dL_ihev3bKLPJp4tTj7ZEDSnT-XcRmMN6MyOEgkzoZ5wKL7E=w1200|https://lh3.googleusercontent.com/pw/AP1GczNynOzf5U7dTYuEug5wKhTQ08OEBkiRlSnf4SJVZ5dBY5FJ6xeUoo_Ncnz1l8uoaGBD5tkmvgxV_PC737V-h1"&amp;"7Fv5Q8Y9XwkL_cTF1nKTIHsnddv5x9=w1200|https://lh3.googleusercontent.com/pw/AP1GczMLtgappbFoKeYzn32a4bXk3Q-EzbxqCWEkY1XLAuqjb-u6VfVHNQwuME3L46WAsqf0zHOEhalZjDAE5FcJomOmxJMOH3lFwgA1L6E2U99dfbHOtcSm=w1200|https://lh3.googleusercontent.com/pw/AP1GczOxVjiI4IvHA"&amp;"4wmH4gcvCwiD5lEoueyDdP7soOxQnkaA02sBO99ADzKeqYdmC8kuIpElz_sfyBP2GTdtj9Wm_reHcfaDi7UXFg3vR_M8CisAdELXZbE=w1200|https://lh3.googleusercontent.com/pw/AP1GczMAhyIiYQFKsssrY5sCRY9yGsiNR5zLP6G2VV2uveNq4LgVpZgUKmXkkEauKlyj2xkRvRQp3FYGdTVdontozmAR0T_ciaM4HgIaB8wS"&amp;"yEsRG7A7O_G1=w1200|https://lh3.googleusercontent.com/pw/AP1GczP5ki9OojRO8-ZCn-HvC-AAM513WY_A9l8U9rT8eJM0jLDVxTuNJbuw8zSTeVOvTA5sGdA2O34nSrPWk_5rjz5f-WBjDEyMsRb6bh2CLFYdNqdB4V-5=w1200|https://lh3.googleusercontent.com/pw/AP1GczOImcZyGYskcTR-9D3SdTr1vmFfm0D"&amp;"lzRZUakOKhcb8fph7N0u4j-X_HvEm0Cdwn-G0DENWLFAAEal8yPXyFJGmwmgRkP-xfV9b_-4EISuSXxXGchTV=w1200|https://lh3.googleusercontent.com/pw/AP1GczMWQJonWZufNMfmyRCFTMG9zKakEwaJe31q1jCqgj7Kbi-k4qERsgdl7FYEukrqJe9HKyBbnN5JT4azbr-xnIoWo4tWD4m9Lwlk8HZG_XcZRzZOzEn_=w1200"&amp;"|https://lh3.googleusercontent.com/pw/AP1GczMxEUS1DQcCvPN4UOpcOv3PGoJmq8X5dGCd1gm07Pv7XpGYfqiOSdGG2mKWt4OWooa5yorM0v4C727CizzcTv7nELMampFm-uv7IJsTp5OpKxCNtUy9=w1200")</f>
        <v>https://lh3.googleusercontent.com/pw/AP1GczNiJ2WTMAT7mE7Vvqt81Bwzfk6FVv9tlijaYncZFHZYNHmwlHmb5HXAzBgCtiBLWoRNqJLrfBEAGtGC5CpQFJTxOfggFexN_mCIasqxrTumVvFn6gPO=w1200|https://lh3.googleusercontent.com/pw/AP1GczMoTaZSPGlIilMcMBR67uSopPBxjCVXWyrNfJ2--8roH3txtTJZQLSBIPlidqR7L4cDRF69OI89VoToWoXpVvffIk-DhecGj-mZixgy0Qwb4S3dhh1D=w1200|https://lh3.googleusercontent.com/pw/AP1GczP7pR3aj8il8QzAyxGiKlwebH9w-cayYMlvB3CKBP3vJnrQy_CgbNdidTV0LYzhjVREtP8irAiGobXSUclt164Z_0kKlNRl1p7TlMnq034jTpBKAnap=w1200|https://lh3.googleusercontent.com/pw/AP1GczOqBG6RMa4UmToalEBdiGVEyxiwpHAuyHtdwLgrEGvB5E6BL7I0IqP18Fp87H4qYLGZxmOo0_o0Nk5IwL7hp_saiI5U18J40W6rjHwL2AesEyvZK7Pf=w1200|https://lh3.googleusercontent.com/pw/AP1GczOYDpophPphjZ_XOQhxrYdkgb1ULcEIo2OaCHdNR2ja_w3FXvygiKZTc-s107TLIl-FK7lcRSZGcxyQMKomdtXnd1iRl7vzAXE2p1cQq5GdcKNxtVOm=w1200|https://lh3.googleusercontent.com/pw/AP1GczN5Ax_pur40sKfULmPIO7IotMe4ysxNGMl942q6T8L55tiKlvjj3z94nQ2EPqZ0nyUnWZzJ_fZq36Z7Rve1TNFlwJ0ynwKaeoYJMKNv7SDSGvk1R1Wq=w1200|https://lh3.googleusercontent.com/pw/AP1GczP6kkquiOYs0oBn1zyKCk2AZ6IozTPgv-ZtNd1gPGExaIYdTa3jo0bc9kbivnRVMow7dL_ihev3bKLPJp4tTj7ZEDSnT-XcRmMN6MyOEgkzoZ5wKL7E=w1200|https://lh3.googleusercontent.com/pw/AP1GczNynOzf5U7dTYuEug5wKhTQ08OEBkiRlSnf4SJVZ5dBY5FJ6xeUoo_Ncnz1l8uoaGBD5tkmvgxV_PC737V-h17Fv5Q8Y9XwkL_cTF1nKTIHsnddv5x9=w1200|https://lh3.googleusercontent.com/pw/AP1GczMLtgappbFoKeYzn32a4bXk3Q-EzbxqCWEkY1XLAuqjb-u6VfVHNQwuME3L46WAsqf0zHOEhalZjDAE5FcJomOmxJMOH3lFwgA1L6E2U99dfbHOtcSm=w1200|https://lh3.googleusercontent.com/pw/AP1GczOxVjiI4IvHA4wmH4gcvCwiD5lEoueyDdP7soOxQnkaA02sBO99ADzKeqYdmC8kuIpElz_sfyBP2GTdtj9Wm_reHcfaDi7UXFg3vR_M8CisAdELXZbE=w1200|https://lh3.googleusercontent.com/pw/AP1GczMAhyIiYQFKsssrY5sCRY9yGsiNR5zLP6G2VV2uveNq4LgVpZgUKmXkkEauKlyj2xkRvRQp3FYGdTVdontozmAR0T_ciaM4HgIaB8wSyEsRG7A7O_G1=w1200|https://lh3.googleusercontent.com/pw/AP1GczP5ki9OojRO8-ZCn-HvC-AAM513WY_A9l8U9rT8eJM0jLDVxTuNJbuw8zSTeVOvTA5sGdA2O34nSrPWk_5rjz5f-WBjDEyMsRb6bh2CLFYdNqdB4V-5=w1200|https://lh3.googleusercontent.com/pw/AP1GczOImcZyGYskcTR-9D3SdTr1vmFfm0DlzRZUakOKhcb8fph7N0u4j-X_HvEm0Cdwn-G0DENWLFAAEal8yPXyFJGmwmgRkP-xfV9b_-4EISuSXxXGchTV=w1200|https://lh3.googleusercontent.com/pw/AP1GczMWQJonWZufNMfmyRCFTMG9zKakEwaJe31q1jCqgj7Kbi-k4qERsgdl7FYEukrqJe9HKyBbnN5JT4azbr-xnIoWo4tWD4m9Lwlk8HZG_XcZRzZOzEn_=w1200|https://lh3.googleusercontent.com/pw/AP1GczMxEUS1DQcCvPN4UOpcOv3PGoJmq8X5dGCd1gm07Pv7XpGYfqiOSdGG2mKWt4OWooa5yorM0v4C727CizzcTv7nELMampFm-uv7IJsTp5OpKxCNtUy9=w1200</v>
      </c>
    </row>
    <row r="5">
      <c r="A5" s="39" t="str">
        <f>IFERROR(__xludf.DUMMYFUNCTION("""COMPUTED_VALUE"""),"3118")</f>
        <v>3118</v>
      </c>
      <c r="B5" s="40" t="str">
        <f>IFERROR(__xludf.DUMMYFUNCTION("""COMPUTED_VALUE"""),"Casa en barrio Quirinal")</f>
        <v>Casa en barrio Quirinal</v>
      </c>
      <c r="C5" s="40" t="str">
        <f>IFERROR(__xludf.DUMMYFUNCTION("""COMPUTED_VALUE"""),"Casa")</f>
        <v>Casa</v>
      </c>
      <c r="D5" s="40" t="str">
        <f>IFERROR(__xludf.DUMMYFUNCTION("""COMPUTED_VALUE"""),"Quirinal")</f>
        <v>Quirinal</v>
      </c>
      <c r="E5" s="40"/>
      <c r="F5" s="42">
        <f>IFERROR(__xludf.DUMMYFUNCTION("""COMPUTED_VALUE"""),9.0E8)</f>
        <v>900000000</v>
      </c>
      <c r="G5" s="40" t="str">
        <f>IFERROR(__xludf.DUMMYFUNCTION("""COMPUTED_VALUE"""),"$500'000.000 a $1.000'000.000")</f>
        <v>$500'000.000 a $1.000'000.000</v>
      </c>
      <c r="H5" s="40"/>
      <c r="I5" s="40"/>
      <c r="J5" s="40" t="str">
        <f>IFERROR(__xludf.DUMMYFUNCTION("""COMPUTED_VALUE"""),"Centro")</f>
        <v>Centro</v>
      </c>
      <c r="K5" s="39" t="str">
        <f>IFERROR(__xludf.DUMMYFUNCTION("""COMPUTED_VALUE"""),"3")</f>
        <v>3</v>
      </c>
      <c r="L5" s="40">
        <f>IFERROR(__xludf.DUMMYFUNCTION("""COMPUTED_VALUE"""),6.0)</f>
        <v>6</v>
      </c>
      <c r="M5" s="40"/>
      <c r="N5" s="40">
        <f>IFERROR(__xludf.DUMMYFUNCTION("""COMPUTED_VALUE"""),3.0)</f>
        <v>3</v>
      </c>
      <c r="O5" s="40">
        <f>IFERROR(__xludf.DUMMYFUNCTION("""COMPUTED_VALUE"""),1.0)</f>
        <v>1</v>
      </c>
      <c r="P5" s="40">
        <f>IFERROR(__xludf.DUMMYFUNCTION("""COMPUTED_VALUE"""),2.0)</f>
        <v>2</v>
      </c>
      <c r="Q5" s="48"/>
      <c r="R5" s="48">
        <f>IFERROR(__xludf.DUMMYFUNCTION("""COMPUTED_VALUE"""),323.0)</f>
        <v>323</v>
      </c>
      <c r="S5" s="39" t="str">
        <f>IFERROR(__xludf.DUMMYFUNCTION("""COMPUTED_VALUE""")," ")</f>
        <v> </v>
      </c>
      <c r="T5" s="40" t="str">
        <f>IFERROR(__xludf.DUMMYFUNCTION("""COMPUTED_VALUE"""),"Neiva")</f>
        <v>Neiva</v>
      </c>
      <c r="U5" s="39" t="str">
        <f>IFERROR(__xludf.DUMMYFUNCTION("""COMPUTED_VALUE"""),"4")</f>
        <v>4</v>
      </c>
      <c r="V5" s="40" t="str">
        <f>IFERROR(__xludf.DUMMYFUNCTION("""COMPUTED_VALUE"""),"Esquinera")</f>
        <v>Esquinera</v>
      </c>
      <c r="W5" s="46"/>
      <c r="X5" s="46">
        <f>IFERROR(__xludf.DUMMYFUNCTION("""COMPUTED_VALUE"""),5.0)</f>
        <v>5</v>
      </c>
      <c r="Y5" s="40" t="str">
        <f>IFERROR(__xludf.DUMMYFUNCTION("""COMPUTED_VALUE"""),"No tiene")</f>
        <v>No tiene</v>
      </c>
      <c r="Z5" s="42" t="str">
        <f>IFERROR(__xludf.DUMMYFUNCTION("""COMPUTED_VALUE"""),"No aplica")</f>
        <v>No aplica</v>
      </c>
      <c r="AA5" s="49" t="str">
        <f>IFERROR(__xludf.DUMMYFUNCTION("""COMPUTED_VALUE"""),"No aplica")</f>
        <v>No aplica</v>
      </c>
      <c r="AB5" s="66" t="str">
        <f>IFERROR(__xludf.DUMMYFUNCTION("""COMPUTED_VALUE"""),"https://photos.app.goo.gl/JsmPogvXQAzJjipm7")</f>
        <v>https://photos.app.goo.gl/JsmPogvXQAzJjipm7</v>
      </c>
      <c r="AC5" s="40"/>
      <c r="AD5" s="40"/>
      <c r="AE5" s="40"/>
      <c r="AF5" s="40" t="str">
        <f>IFERROR(__xludf.DUMMYFUNCTION("""COMPUTED_VALUE"""),"semi-integral")</f>
        <v>semi-integral</v>
      </c>
      <c r="AG5" s="40"/>
      <c r="AH5" s="40" t="str">
        <f>IFERROR(__xludf.DUMMYFUNCTION("""COMPUTED_VALUE"""),"Inventario")</f>
        <v>Inventario</v>
      </c>
      <c r="AI5" s="40"/>
      <c r="AJ5" s="40" t="str">
        <f>IFERROR(__xludf.DUMMYFUNCTION("""COMPUTED_VALUE"""),"B-Inventario Quirinal")</f>
        <v>B-Inventario Quirinal</v>
      </c>
      <c r="AK5" s="40"/>
      <c r="AL5" s="40" t="str">
        <f>IFERROR(__xludf.DUMMYFUNCTION("""COMPUTED_VALUE"""),"TIENE FOTOS")</f>
        <v>TIENE FOTOS</v>
      </c>
      <c r="AM5" s="40">
        <f>IFERROR(__xludf.DUMMYFUNCTION("""COMPUTED_VALUE"""),3.212323681E9)</f>
        <v>3212323681</v>
      </c>
      <c r="AN5" s="40">
        <f>IFERROR(__xludf.DUMMYFUNCTION("""COMPUTED_VALUE"""),3.135781638E9)</f>
        <v>3135781638</v>
      </c>
      <c r="AO5" s="40"/>
      <c r="AP5" s="40" t="str">
        <f>IFERROR(__xludf.DUMMYFUNCTION("""COMPUTED_VALUE"""),"Calle 17 A No. 7-73")</f>
        <v>Calle 17 A No. 7-73</v>
      </c>
      <c r="AQ5" s="40"/>
      <c r="AR5" s="40"/>
      <c r="AS5" s="53">
        <f>IFERROR(__xludf.DUMMYFUNCTION("""COMPUTED_VALUE"""),0.0)</f>
        <v>0</v>
      </c>
      <c r="AT5" s="40">
        <f>IFERROR(__xludf.DUMMYFUNCTION("""COMPUTED_VALUE"""),0.0)</f>
        <v>0</v>
      </c>
      <c r="AU5" s="40">
        <f>IFERROR(__xludf.DUMMYFUNCTION("""COMPUTED_VALUE"""),0.0)</f>
        <v>0</v>
      </c>
      <c r="AV5" s="40">
        <f>IFERROR(__xludf.DUMMYFUNCTION("""COMPUTED_VALUE"""),0.0)</f>
        <v>0</v>
      </c>
      <c r="AW5" s="40" t="str">
        <f>IFERROR(__xludf.DUMMYFUNCTION("""COMPUTED_VALUE"""),"NO")</f>
        <v>NO</v>
      </c>
      <c r="AX5" s="40">
        <f>IFERROR(__xludf.DUMMYFUNCTION("""COMPUTED_VALUE"""),0.0)</f>
        <v>0</v>
      </c>
      <c r="AY5" s="40">
        <f>IFERROR(__xludf.DUMMYFUNCTION("""COMPUTED_VALUE"""),0.0)</f>
        <v>0</v>
      </c>
      <c r="AZ5" s="40">
        <f>IFERROR(__xludf.DUMMYFUNCTION("""COMPUTED_VALUE"""),0.0)</f>
        <v>0</v>
      </c>
      <c r="BA5" s="40" t="str">
        <f>IFERROR(__xludf.DUMMYFUNCTION("""COMPUTED_VALUE"""),"X")</f>
        <v>X</v>
      </c>
      <c r="BB5" s="40">
        <f>IFERROR(__xludf.DUMMYFUNCTION("""COMPUTED_VALUE"""),0.0)</f>
        <v>0</v>
      </c>
      <c r="BC5" s="53" t="str">
        <f>IFERROR(__xludf.DUMMYFUNCTION("""COMPUTED_VALUE"""),"2 - JAIRO DIAZ, 39 - JHONATHA, 39 - JHONATHAN")</f>
        <v>2 - JAIRO DIAZ, 39 - JHONATHA, 39 - JHONATHAN</v>
      </c>
      <c r="BD5" s="48"/>
      <c r="BE5" s="48"/>
      <c r="BF5" s="48" t="str">
        <f>IFERROR(__xludf.DUMMYFUNCTION("""COMPUTED_VALUE"""),"https://lh3.googleusercontent.com/pw/AP1GczNg2rwgsskmo-_A3mKJ-dyYpYRdYtkQTk_wN_XnpGymgQBxUvht_vICWWXt5UdWMjuQf089l5hSPaLJw0x0PLnhTLcugkJJUgjCvm6zL-pt7Ex8VE2z=w1200|https://lh3.googleusercontent.com/pw/AP1GczOzH2Pj3Qg3vdO1_DqlyU6j1VC7Z8J4heGwAq5ohoRcXo8eCS"&amp;"QTguDEAL6tq9VT2Kzpdt5WTXqKiZXluRo1GCnDxhslObSfp17ab9b80MynXhPu9FGS=w1200|https://lh3.googleusercontent.com/pw/AP1GczM0reGmmBkst7N_xJ6UETL55bBv5GtzYYrqWQ8OzB48W2vwY7UQHJbSDo9K-c3NOQypz962fqvljXmChjvafe1sK8fHtIHgke5Z5dYn7kwgKe_nIhY2=w1200|https://lh3.google"&amp;"usercontent.com/pw/AP1GczMq93394K4U1GY9tfsZiz01XOoVyDCQunpS2IZu1tr2M_pEZLNUJL_vcBIuRqyXwBfl7etkAv5tJOoQkngw6JjDm46dzh6kuHvvJmkQwgSdnyg2ouwD=w1200|https://lh3.googleusercontent.com/pw/AP1GczM-tCnQduwmrt9kPzVxV8UnBeNOd-XLv_4pXGe2HXihFVwZaYm0HxPXaHEmXgW885ZI"&amp;"7_JIDZgMbFjg6_SYBKgcSXfFKOO_gELQx_nWmlRp1Lf4nDvY=w1200|https://lh3.googleusercontent.com/pw/AP1GczPIuI7Vg7XAU6QAP_obauw49fTpvXND8CuOW9x12PYKkWd2ubiV0M0TiYJhzGn0lCt38dXziLC2f3TJoOxh-4f_oGlUKKMLI6lEd7VyQ-2Eni9we0bw=w1200|https://lh3.googleusercontent.com/pw"&amp;"/AP1GczOAmjmjTHnEt12WNlc0w5BT1YvvpVW4QEfmxNMR8slJN2_D529fJFlxRelfKp4F0fY1jpLx50va0x-Sr32YWizLkaHDROF2A3HtvtTPKMi5d8pG8AXA=w1200|https://lh3.googleusercontent.com/pw/AP1GczOZhd_dKfATMRSVw9mLTSf2MNcZzGkiP3gWtJoi8cWyDuZGs6GDUUA66FvmJ49DInR2DdSFfpITvR_By0w1R0"&amp;"ESzkfqAGPgmIy6RntcY8ZI-i0sDCMv=w1200|https://lh3.googleusercontent.com/pw/AP1GczNmlOHjHOOz_8v1eLcUkxJuAVX3iCWw__VfQE8kbzH7UVUm4KEj66cPSb3RDuwe9Xho8EVkyy51DjcZmz7AFcEBsrckJS3unQ9g1sh8Nrp1pvCoUckS=w1200|https://lh3.googleusercontent.com/pw/AP1GczO5gbayHS-EB"&amp;"fX0mE1adstUpQ_ZIROAG6dlPuGoafBSwzpV9L2JwyH6NjHvIivYgKvqnGpVie9b8zth_5PVzHNdtN3CcYX8XkKqCLImbplETybZGjH4=w1200|https://lh3.googleusercontent.com/pw/AP1GczNLrUp3o3JgaWjBtOWz7_eHixafJuv0xDgp5YYDl28_fil2piaUnjEbJuRMylo83PEQl4CbISGlR6liWGMlNp8oyVVm41-LABgCIAEp"&amp;"uqGYboqPxIOM=w1200|https://lh3.googleusercontent.com/pw/AP1GczNpemxJ7zfjZ4pgnwcfK7ZMHyiS8meImxAS_BWPLziHSKytwflVsx9RqDNmezJygSe_wdne82pLDMy_EPFKP6a_Kph9ty7WAvIGo1kFxpIY6y_XT2QY=w1200|https://lh3.googleusercontent.com/pw/AP1GczNAmJ35ntXvSBHuCyAYvc_8U7qZDxz"&amp;"pE4UcLlEyLdhOkm7-xo_1jTmmR6bFT595yHqtD2fvIu4X2tnaA-C9e1mEJstr4gZ485EXcRo6KsCm9yE-giiC=w1200|https://lh3.googleusercontent.com/pw/AP1GczMhco40CNWULWuDdBoNOJgoziHx0H3rmUDAx1fh0f7CjvTLCt-RiA4UFkcjvoFMDlXCZYB2UPWJ6Y93oAmEKbS0lwY4HfrfH6lb_BpbaVlcAaTRMrmy=w1200"&amp;"|https://lh3.googleusercontent.com/pw/AP1GczNhiDKbPW9zrX1-A2OFKsTq6NhgrPZIDC5qHcysEh90srBZ-hiaHfN2PWAEACcZvlDqXBrELC4pl_9UJ04bzcXlOqHzfLO10R1H5tu4qSfiJSlcyTU8=w1200|https://lh3.googleusercontent.com/pw/AP1GczPH1PC7MoAB9ZlO2YZ5QlrKv8GheVVa1UX_Dr8Dkb0TEczdb"&amp;"MA0fIImqc0TS3hloDRjJWG0mYuTKGy7-i6B2_lT6ag3-cMLc6odgFRGNamTICegg_-Y=w1200|https://lh3.googleusercontent.com/pw/AP1GczPp-h9J0CIzgLW7_6Hlao-NIwJBol5_YGJRQqbZRn3TUxgW5t-nJByW3dnaIJEyGOMOguGsTOGRzFFtk50nBUxjwx0J4ypSMJCsqwG9rNjzRXM0m2Bx=w1200|https://lh3.googl"&amp;"eusercontent.com/pw/AP1GczMXiMMdrkJ1QmsHO_pfZxQkqMgn7KKIffOB6MhyR79KPG4hpEIj77jx3gEqs-Qpi06lCp3GXqFdzThJrSRrSZ4Flvt6YS8Tp87ClXNV0_ctym68OzzV=w1200|https://lh3.googleusercontent.com/pw/AP1GczPx1RrMeOhIr10rahDjBDrF8G5wnRmmDLSW-BqOcyVzQZZcNiVo8McZ_vE6dgCOTiX"&amp;"bdWHAACO9QsvMCn_8mm5TWXQzFwMOYbHqThCAWrAzLUTCLFWc=w1200|https://lh3.googleusercontent.com/pw/AP1GczOGrMzCO3VX-5JY_voaWemeaIk1rNsqOD3iCaf82W8ypS4eZdOhWPkQtDoC3jhHgJhXd_2n64UJvSXXttFDx9zIqkp7XTve9fdK0muB0yOpuHOO-6z1=w1200|https://lh3.googleusercontent.com/p"&amp;"w/AP1GczOGJ4n9H0Kwu7kBXj3F20-Mzlh3Qmh1YNEMWUjEzLzZygE5n9mVFVughUEOlaiv2yTHAvvlfPN4M4bX9KQkSexvla7BazpE8uxboE-XCPiYYx9liNT4=w1200")</f>
        <v>https://lh3.googleusercontent.com/pw/AP1GczNg2rwgsskmo-_A3mKJ-dyYpYRdYtkQTk_wN_XnpGymgQBxUvht_vICWWXt5UdWMjuQf089l5hSPaLJw0x0PLnhTLcugkJJUgjCvm6zL-pt7Ex8VE2z=w1200|https://lh3.googleusercontent.com/pw/AP1GczOzH2Pj3Qg3vdO1_DqlyU6j1VC7Z8J4heGwAq5ohoRcXo8eCSQTguDEAL6tq9VT2Kzpdt5WTXqKiZXluRo1GCnDxhslObSfp17ab9b80MynXhPu9FGS=w1200|https://lh3.googleusercontent.com/pw/AP1GczM0reGmmBkst7N_xJ6UETL55bBv5GtzYYrqWQ8OzB48W2vwY7UQHJbSDo9K-c3NOQypz962fqvljXmChjvafe1sK8fHtIHgke5Z5dYn7kwgKe_nIhY2=w1200|https://lh3.googleusercontent.com/pw/AP1GczMq93394K4U1GY9tfsZiz01XOoVyDCQunpS2IZu1tr2M_pEZLNUJL_vcBIuRqyXwBfl7etkAv5tJOoQkngw6JjDm46dzh6kuHvvJmkQwgSdnyg2ouwD=w1200|https://lh3.googleusercontent.com/pw/AP1GczM-tCnQduwmrt9kPzVxV8UnBeNOd-XLv_4pXGe2HXihFVwZaYm0HxPXaHEmXgW885ZI7_JIDZgMbFjg6_SYBKgcSXfFKOO_gELQx_nWmlRp1Lf4nDvY=w1200|https://lh3.googleusercontent.com/pw/AP1GczPIuI7Vg7XAU6QAP_obauw49fTpvXND8CuOW9x12PYKkWd2ubiV0M0TiYJhzGn0lCt38dXziLC2f3TJoOxh-4f_oGlUKKMLI6lEd7VyQ-2Eni9we0bw=w1200|https://lh3.googleusercontent.com/pw/AP1GczOAmjmjTHnEt12WNlc0w5BT1YvvpVW4QEfmxNMR8slJN2_D529fJFlxRelfKp4F0fY1jpLx50va0x-Sr32YWizLkaHDROF2A3HtvtTPKMi5d8pG8AXA=w1200|https://lh3.googleusercontent.com/pw/AP1GczOZhd_dKfATMRSVw9mLTSf2MNcZzGkiP3gWtJoi8cWyDuZGs6GDUUA66FvmJ49DInR2DdSFfpITvR_By0w1R0ESzkfqAGPgmIy6RntcY8ZI-i0sDCMv=w1200|https://lh3.googleusercontent.com/pw/AP1GczNmlOHjHOOz_8v1eLcUkxJuAVX3iCWw__VfQE8kbzH7UVUm4KEj66cPSb3RDuwe9Xho8EVkyy51DjcZmz7AFcEBsrckJS3unQ9g1sh8Nrp1pvCoUckS=w1200|https://lh3.googleusercontent.com/pw/AP1GczO5gbayHS-EBfX0mE1adstUpQ_ZIROAG6dlPuGoafBSwzpV9L2JwyH6NjHvIivYgKvqnGpVie9b8zth_5PVzHNdtN3CcYX8XkKqCLImbplETybZGjH4=w1200|https://lh3.googleusercontent.com/pw/AP1GczNLrUp3o3JgaWjBtOWz7_eHixafJuv0xDgp5YYDl28_fil2piaUnjEbJuRMylo83PEQl4CbISGlR6liWGMlNp8oyVVm41-LABgCIAEpuqGYboqPxIOM=w1200|https://lh3.googleusercontent.com/pw/AP1GczNpemxJ7zfjZ4pgnwcfK7ZMHyiS8meImxAS_BWPLziHSKytwflVsx9RqDNmezJygSe_wdne82pLDMy_EPFKP6a_Kph9ty7WAvIGo1kFxpIY6y_XT2QY=w1200|https://lh3.googleusercontent.com/pw/AP1GczNAmJ35ntXvSBHuCyAYvc_8U7qZDxzpE4UcLlEyLdhOkm7-xo_1jTmmR6bFT595yHqtD2fvIu4X2tnaA-C9e1mEJstr4gZ485EXcRo6KsCm9yE-giiC=w1200|https://lh3.googleusercontent.com/pw/AP1GczMhco40CNWULWuDdBoNOJgoziHx0H3rmUDAx1fh0f7CjvTLCt-RiA4UFkcjvoFMDlXCZYB2UPWJ6Y93oAmEKbS0lwY4HfrfH6lb_BpbaVlcAaTRMrmy=w1200|https://lh3.googleusercontent.com/pw/AP1GczNhiDKbPW9zrX1-A2OFKsTq6NhgrPZIDC5qHcysEh90srBZ-hiaHfN2PWAEACcZvlDqXBrELC4pl_9UJ04bzcXlOqHzfLO10R1H5tu4qSfiJSlcyTU8=w1200|https://lh3.googleusercontent.com/pw/AP1GczPH1PC7MoAB9ZlO2YZ5QlrKv8GheVVa1UX_Dr8Dkb0TEczdbMA0fIImqc0TS3hloDRjJWG0mYuTKGy7-i6B2_lT6ag3-cMLc6odgFRGNamTICegg_-Y=w1200|https://lh3.googleusercontent.com/pw/AP1GczPp-h9J0CIzgLW7_6Hlao-NIwJBol5_YGJRQqbZRn3TUxgW5t-nJByW3dnaIJEyGOMOguGsTOGRzFFtk50nBUxjwx0J4ypSMJCsqwG9rNjzRXM0m2Bx=w1200|https://lh3.googleusercontent.com/pw/AP1GczMXiMMdrkJ1QmsHO_pfZxQkqMgn7KKIffOB6MhyR79KPG4hpEIj77jx3gEqs-Qpi06lCp3GXqFdzThJrSRrSZ4Flvt6YS8Tp87ClXNV0_ctym68OzzV=w1200|https://lh3.googleusercontent.com/pw/AP1GczPx1RrMeOhIr10rahDjBDrF8G5wnRmmDLSW-BqOcyVzQZZcNiVo8McZ_vE6dgCOTiXbdWHAACO9QsvMCn_8mm5TWXQzFwMOYbHqThCAWrAzLUTCLFWc=w1200|https://lh3.googleusercontent.com/pw/AP1GczOGrMzCO3VX-5JY_voaWemeaIk1rNsqOD3iCaf82W8ypS4eZdOhWPkQtDoC3jhHgJhXd_2n64UJvSXXttFDx9zIqkp7XTve9fdK0muB0yOpuHOO-6z1=w1200|https://lh3.googleusercontent.com/pw/AP1GczOGJ4n9H0Kwu7kBXj3F20-Mzlh3Qmh1YNEMWUjEzLzZygE5n9mVFVughUEOlaiv2yTHAvvlfPN4M4bX9KQkSexvla7BazpE8uxboE-XCPiYYx9liNT4=w1200</v>
      </c>
    </row>
    <row r="6">
      <c r="A6" s="39" t="str">
        <f>IFERROR(__xludf.DUMMYFUNCTION("""COMPUTED_VALUE"""),"2843")</f>
        <v>2843</v>
      </c>
      <c r="B6" s="40" t="str">
        <f>IFERROR(__xludf.DUMMYFUNCTION("""COMPUTED_VALUE"""),"Casa en barrio Sevilla")</f>
        <v>Casa en barrio Sevilla</v>
      </c>
      <c r="C6" s="40" t="str">
        <f>IFERROR(__xludf.DUMMYFUNCTION("""COMPUTED_VALUE"""),"Casa")</f>
        <v>Casa</v>
      </c>
      <c r="D6" s="40" t="str">
        <f>IFERROR(__xludf.DUMMYFUNCTION("""COMPUTED_VALUE"""),"Sevilla")</f>
        <v>Sevilla</v>
      </c>
      <c r="E6" s="40"/>
      <c r="F6" s="42">
        <f>IFERROR(__xludf.DUMMYFUNCTION("""COMPUTED_VALUE"""),7.0E8)</f>
        <v>700000000</v>
      </c>
      <c r="G6" s="40" t="str">
        <f>IFERROR(__xludf.DUMMYFUNCTION("""COMPUTED_VALUE"""),"$500'000.000 a $1.000'000.000")</f>
        <v>$500'000.000 a $1.000'000.000</v>
      </c>
      <c r="H6" s="40"/>
      <c r="I6" s="40"/>
      <c r="J6" s="40" t="str">
        <f>IFERROR(__xludf.DUMMYFUNCTION("""COMPUTED_VALUE"""),"Centro")</f>
        <v>Centro</v>
      </c>
      <c r="K6" s="39" t="str">
        <f>IFERROR(__xludf.DUMMYFUNCTION("""COMPUTED_VALUE"""),"3")</f>
        <v>3</v>
      </c>
      <c r="L6" s="40">
        <f>IFERROR(__xludf.DUMMYFUNCTION("""COMPUTED_VALUE"""),3.0)</f>
        <v>3</v>
      </c>
      <c r="M6" s="40"/>
      <c r="N6" s="40">
        <f>IFERROR(__xludf.DUMMYFUNCTION("""COMPUTED_VALUE"""),6.0)</f>
        <v>6</v>
      </c>
      <c r="O6" s="40">
        <f>IFERROR(__xludf.DUMMYFUNCTION("""COMPUTED_VALUE"""),1.0)</f>
        <v>1</v>
      </c>
      <c r="P6" s="40">
        <f>IFERROR(__xludf.DUMMYFUNCTION("""COMPUTED_VALUE"""),2.0)</f>
        <v>2</v>
      </c>
      <c r="Q6" s="48"/>
      <c r="R6" s="48">
        <f>IFERROR(__xludf.DUMMYFUNCTION("""COMPUTED_VALUE"""),364.0)</f>
        <v>364</v>
      </c>
      <c r="S6" s="39" t="str">
        <f>IFERROR(__xludf.DUMMYFUNCTION("""COMPUTED_VALUE""")," ")</f>
        <v> </v>
      </c>
      <c r="T6" s="40" t="str">
        <f>IFERROR(__xludf.DUMMYFUNCTION("""COMPUTED_VALUE"""),"Neiva")</f>
        <v>Neiva</v>
      </c>
      <c r="U6" s="39" t="str">
        <f>IFERROR(__xludf.DUMMYFUNCTION("""COMPUTED_VALUE"""),"4")</f>
        <v>4</v>
      </c>
      <c r="V6" s="40" t="str">
        <f>IFERROR(__xludf.DUMMYFUNCTION("""COMPUTED_VALUE"""),"Medianera")</f>
        <v>Medianera</v>
      </c>
      <c r="W6" s="46"/>
      <c r="X6" s="46">
        <f>IFERROR(__xludf.DUMMYFUNCTION("""COMPUTED_VALUE"""),3.0)</f>
        <v>3</v>
      </c>
      <c r="Y6" s="40" t="str">
        <f>IFERROR(__xludf.DUMMYFUNCTION("""COMPUTED_VALUE"""),"No tiene")</f>
        <v>No tiene</v>
      </c>
      <c r="Z6" s="42" t="str">
        <f>IFERROR(__xludf.DUMMYFUNCTION("""COMPUTED_VALUE"""),"No aplica")</f>
        <v>No aplica</v>
      </c>
      <c r="AA6" s="49" t="str">
        <f>IFERROR(__xludf.DUMMYFUNCTION("""COMPUTED_VALUE"""),"No aplica")</f>
        <v>No aplica</v>
      </c>
      <c r="AB6" s="66" t="str">
        <f>IFERROR(__xludf.DUMMYFUNCTION("""COMPUTED_VALUE"""),"https://photos.app.goo.gl/MFdMkcBc3i82eZUV7")</f>
        <v>https://photos.app.goo.gl/MFdMkcBc3i82eZUV7</v>
      </c>
      <c r="AC6" s="40"/>
      <c r="AD6" s="40"/>
      <c r="AE6" s="40"/>
      <c r="AF6" s="40" t="str">
        <f>IFERROR(__xludf.DUMMYFUNCTION("""COMPUTED_VALUE"""),"integral")</f>
        <v>integral</v>
      </c>
      <c r="AG6" s="40"/>
      <c r="AH6" s="40" t="str">
        <f>IFERROR(__xludf.DUMMYFUNCTION("""COMPUTED_VALUE"""),"Inventario")</f>
        <v>Inventario</v>
      </c>
      <c r="AI6" s="40"/>
      <c r="AJ6" s="40" t="str">
        <f>IFERROR(__xludf.DUMMYFUNCTION("""COMPUTED_VALUE"""),"B-Inventario Sevilla")</f>
        <v>B-Inventario Sevilla</v>
      </c>
      <c r="AK6" s="40"/>
      <c r="AL6" s="40" t="str">
        <f>IFERROR(__xludf.DUMMYFUNCTION("""COMPUTED_VALUE"""),"TIENE FOTOS")</f>
        <v>TIENE FOTOS</v>
      </c>
      <c r="AM6" s="40">
        <f>IFERROR(__xludf.DUMMYFUNCTION("""COMPUTED_VALUE"""),3.212323681E9)</f>
        <v>3212323681</v>
      </c>
      <c r="AN6" s="40">
        <f>IFERROR(__xludf.DUMMYFUNCTION("""COMPUTED_VALUE"""),3.135781638E9)</f>
        <v>3135781638</v>
      </c>
      <c r="AO6" s="40"/>
      <c r="AP6" s="40" t="str">
        <f>IFERROR(__xludf.DUMMYFUNCTION("""COMPUTED_VALUE"""),"CARRERA 5 B NO. 21-31")</f>
        <v>CARRERA 5 B NO. 21-31</v>
      </c>
      <c r="AQ6" s="40"/>
      <c r="AR6" s="40"/>
      <c r="AS6" s="53">
        <f>IFERROR(__xludf.DUMMYFUNCTION("""COMPUTED_VALUE"""),0.0)</f>
        <v>0</v>
      </c>
      <c r="AT6" s="40">
        <f>IFERROR(__xludf.DUMMYFUNCTION("""COMPUTED_VALUE"""),0.0)</f>
        <v>0</v>
      </c>
      <c r="AU6" s="40">
        <f>IFERROR(__xludf.DUMMYFUNCTION("""COMPUTED_VALUE"""),0.0)</f>
        <v>0</v>
      </c>
      <c r="AV6" s="40">
        <f>IFERROR(__xludf.DUMMYFUNCTION("""COMPUTED_VALUE"""),0.0)</f>
        <v>0</v>
      </c>
      <c r="AW6" s="40" t="str">
        <f>IFERROR(__xludf.DUMMYFUNCTION("""COMPUTED_VALUE"""),"NO")</f>
        <v>NO</v>
      </c>
      <c r="AX6" s="40">
        <f>IFERROR(__xludf.DUMMYFUNCTION("""COMPUTED_VALUE"""),0.0)</f>
        <v>0</v>
      </c>
      <c r="AY6" s="40">
        <f>IFERROR(__xludf.DUMMYFUNCTION("""COMPUTED_VALUE"""),0.0)</f>
        <v>0</v>
      </c>
      <c r="AZ6" s="40">
        <f>IFERROR(__xludf.DUMMYFUNCTION("""COMPUTED_VALUE"""),0.0)</f>
        <v>0</v>
      </c>
      <c r="BA6" s="40" t="str">
        <f>IFERROR(__xludf.DUMMYFUNCTION("""COMPUTED_VALUE"""),"X")</f>
        <v>X</v>
      </c>
      <c r="BB6" s="40">
        <f>IFERROR(__xludf.DUMMYFUNCTION("""COMPUTED_VALUE"""),0.0)</f>
        <v>0</v>
      </c>
      <c r="BC6" s="53"/>
      <c r="BD6" s="48"/>
      <c r="BE6" s="48"/>
      <c r="BF6" s="48" t="str">
        <f>IFERROR(__xludf.DUMMYFUNCTION("""COMPUTED_VALUE"""),"❌ Error: HTTP 404 para: https://photos.google.com/share/AF1QipPawSbNB9VDr7unrUk6mOMjTi-KhXmb-saTz_Kx8D0ns6KyZTpWeJutjM2WgS8-jQ?key=eWljS09zUVFacFoyRk1fYndRbDlPNHkyUDBWcjZB")</f>
        <v>❌ Error: HTTP 404 para: https://photos.google.com/share/AF1QipPawSbNB9VDr7unrUk6mOMjTi-KhXmb-saTz_Kx8D0ns6KyZTpWeJutjM2WgS8-jQ?key=eWljS09zUVFacFoyRk1fYndRbDlPNHkyUDBWcjZB</v>
      </c>
    </row>
    <row r="7">
      <c r="A7" s="39" t="str">
        <f>IFERROR(__xludf.DUMMYFUNCTION("""COMPUTED_VALUE"""),"3409")</f>
        <v>3409</v>
      </c>
      <c r="B7" s="40" t="str">
        <f>IFERROR(__xludf.DUMMYFUNCTION("""COMPUTED_VALUE"""),"Casa en barrio Sevilla")</f>
        <v>Casa en barrio Sevilla</v>
      </c>
      <c r="C7" s="40" t="str">
        <f>IFERROR(__xludf.DUMMYFUNCTION("""COMPUTED_VALUE"""),"Casa")</f>
        <v>Casa</v>
      </c>
      <c r="D7" s="40" t="str">
        <f>IFERROR(__xludf.DUMMYFUNCTION("""COMPUTED_VALUE"""),"Sevilla")</f>
        <v>Sevilla</v>
      </c>
      <c r="E7" s="40"/>
      <c r="F7" s="42">
        <f>IFERROR(__xludf.DUMMYFUNCTION("""COMPUTED_VALUE"""),6.5E8)</f>
        <v>650000000</v>
      </c>
      <c r="G7" s="40" t="str">
        <f>IFERROR(__xludf.DUMMYFUNCTION("""COMPUTED_VALUE"""),"$500'000.000 a $1.000'000.000")</f>
        <v>$500'000.000 a $1.000'000.000</v>
      </c>
      <c r="H7" s="40"/>
      <c r="I7" s="40"/>
      <c r="J7" s="40" t="str">
        <f>IFERROR(__xludf.DUMMYFUNCTION("""COMPUTED_VALUE"""),"Centro")</f>
        <v>Centro</v>
      </c>
      <c r="K7" s="39" t="str">
        <f>IFERROR(__xludf.DUMMYFUNCTION("""COMPUTED_VALUE"""),"3")</f>
        <v>3</v>
      </c>
      <c r="L7" s="40">
        <f>IFERROR(__xludf.DUMMYFUNCTION("""COMPUTED_VALUE"""),4.0)</f>
        <v>4</v>
      </c>
      <c r="M7" s="40"/>
      <c r="N7" s="40">
        <f>IFERROR(__xludf.DUMMYFUNCTION("""COMPUTED_VALUE"""),6.0)</f>
        <v>6</v>
      </c>
      <c r="O7" s="40">
        <f>IFERROR(__xludf.DUMMYFUNCTION("""COMPUTED_VALUE"""),1.0)</f>
        <v>1</v>
      </c>
      <c r="P7" s="40">
        <f>IFERROR(__xludf.DUMMYFUNCTION("""COMPUTED_VALUE"""),1.0)</f>
        <v>1</v>
      </c>
      <c r="Q7" s="48">
        <f>IFERROR(__xludf.DUMMYFUNCTION("""COMPUTED_VALUE"""),238.0)</f>
        <v>238</v>
      </c>
      <c r="R7" s="48">
        <f>IFERROR(__xludf.DUMMYFUNCTION("""COMPUTED_VALUE"""),368.0)</f>
        <v>368</v>
      </c>
      <c r="S7" s="39" t="str">
        <f>IFERROR(__xludf.DUMMYFUNCTION("""COMPUTED_VALUE""")," ")</f>
        <v> </v>
      </c>
      <c r="T7" s="40" t="str">
        <f>IFERROR(__xludf.DUMMYFUNCTION("""COMPUTED_VALUE"""),"Neiva")</f>
        <v>Neiva</v>
      </c>
      <c r="U7" s="39" t="str">
        <f>IFERROR(__xludf.DUMMYFUNCTION("""COMPUTED_VALUE"""),"4")</f>
        <v>4</v>
      </c>
      <c r="V7" s="40" t="str">
        <f>IFERROR(__xludf.DUMMYFUNCTION("""COMPUTED_VALUE"""),"Medianera")</f>
        <v>Medianera</v>
      </c>
      <c r="W7" s="46"/>
      <c r="X7" s="46">
        <f>IFERROR(__xludf.DUMMYFUNCTION("""COMPUTED_VALUE"""),3.0)</f>
        <v>3</v>
      </c>
      <c r="Y7" s="40" t="str">
        <f>IFERROR(__xludf.DUMMYFUNCTION("""COMPUTED_VALUE"""),"No tiene")</f>
        <v>No tiene</v>
      </c>
      <c r="Z7" s="42" t="str">
        <f>IFERROR(__xludf.DUMMYFUNCTION("""COMPUTED_VALUE"""),"No aplica")</f>
        <v>No aplica</v>
      </c>
      <c r="AA7" s="49" t="str">
        <f>IFERROR(__xludf.DUMMYFUNCTION("""COMPUTED_VALUE"""),"No aplica")</f>
        <v>No aplica</v>
      </c>
      <c r="AB7" s="66" t="str">
        <f>IFERROR(__xludf.DUMMYFUNCTION("""COMPUTED_VALUE"""),"https://photos.app.goo.gl/GhkCaFHqVtsvqh766")</f>
        <v>https://photos.app.goo.gl/GhkCaFHqVtsvqh766</v>
      </c>
      <c r="AC7" s="40"/>
      <c r="AD7" s="40"/>
      <c r="AE7" s="40"/>
      <c r="AF7" s="40" t="str">
        <f>IFERROR(__xludf.DUMMYFUNCTION("""COMPUTED_VALUE"""),"integral")</f>
        <v>integral</v>
      </c>
      <c r="AG7" s="40"/>
      <c r="AH7" s="40" t="str">
        <f>IFERROR(__xludf.DUMMYFUNCTION("""COMPUTED_VALUE"""),"Inventario")</f>
        <v>Inventario</v>
      </c>
      <c r="AI7" s="40"/>
      <c r="AJ7" s="40" t="str">
        <f>IFERROR(__xludf.DUMMYFUNCTION("""COMPUTED_VALUE"""),"B-Inventario Sevilla")</f>
        <v>B-Inventario Sevilla</v>
      </c>
      <c r="AK7" s="40"/>
      <c r="AL7" s="40" t="str">
        <f>IFERROR(__xludf.DUMMYFUNCTION("""COMPUTED_VALUE"""),"TIENE FOTOS")</f>
        <v>TIENE FOTOS</v>
      </c>
      <c r="AM7" s="40">
        <f>IFERROR(__xludf.DUMMYFUNCTION("""COMPUTED_VALUE"""),3.212323681E9)</f>
        <v>3212323681</v>
      </c>
      <c r="AN7" s="40">
        <f>IFERROR(__xludf.DUMMYFUNCTION("""COMPUTED_VALUE"""),3.135781638E9)</f>
        <v>3135781638</v>
      </c>
      <c r="AO7" s="40"/>
      <c r="AP7" s="40" t="str">
        <f>IFERROR(__xludf.DUMMYFUNCTION("""COMPUTED_VALUE"""),"CARRERA 5 A BIS NO. 21 A - 37")</f>
        <v>CARRERA 5 A BIS NO. 21 A - 37</v>
      </c>
      <c r="AQ7" s="40"/>
      <c r="AR7" s="40"/>
      <c r="AS7" s="53">
        <f>IFERROR(__xludf.DUMMYFUNCTION("""COMPUTED_VALUE"""),0.0)</f>
        <v>0</v>
      </c>
      <c r="AT7" s="40">
        <f>IFERROR(__xludf.DUMMYFUNCTION("""COMPUTED_VALUE"""),0.0)</f>
        <v>0</v>
      </c>
      <c r="AU7" s="40">
        <f>IFERROR(__xludf.DUMMYFUNCTION("""COMPUTED_VALUE"""),0.0)</f>
        <v>0</v>
      </c>
      <c r="AV7" s="40">
        <f>IFERROR(__xludf.DUMMYFUNCTION("""COMPUTED_VALUE"""),0.0)</f>
        <v>0</v>
      </c>
      <c r="AW7" s="40" t="str">
        <f>IFERROR(__xludf.DUMMYFUNCTION("""COMPUTED_VALUE"""),"NO")</f>
        <v>NO</v>
      </c>
      <c r="AX7" s="40">
        <f>IFERROR(__xludf.DUMMYFUNCTION("""COMPUTED_VALUE"""),0.0)</f>
        <v>0</v>
      </c>
      <c r="AY7" s="40">
        <f>IFERROR(__xludf.DUMMYFUNCTION("""COMPUTED_VALUE"""),0.0)</f>
        <v>0</v>
      </c>
      <c r="AZ7" s="40">
        <f>IFERROR(__xludf.DUMMYFUNCTION("""COMPUTED_VALUE"""),0.0)</f>
        <v>0</v>
      </c>
      <c r="BA7" s="40" t="str">
        <f>IFERROR(__xludf.DUMMYFUNCTION("""COMPUTED_VALUE"""),"X")</f>
        <v>X</v>
      </c>
      <c r="BB7" s="40">
        <f>IFERROR(__xludf.DUMMYFUNCTION("""COMPUTED_VALUE"""),0.0)</f>
        <v>0</v>
      </c>
      <c r="BC7" s="53"/>
      <c r="BD7" s="48"/>
      <c r="BE7" s="48"/>
      <c r="BF7" s="48" t="str">
        <f>IFERROR(__xludf.DUMMYFUNCTION("""COMPUTED_VALUE"""),"https://lh3.googleusercontent.com/pw/AP1GczMzEDjCEw8SMQVCdxTzafrdBNIcYAYbW2lGTsEvzw5_-toafpnNSrbQushkcQcLwIgar8IOscTdsT2G3wn4gVj3V8GTLBPQ1PlXhTpqdpRYFD1-pjXY=w1200|https://lh3.googleusercontent.com/pw/AP1GczOvMDh2gK0fgoRNYCz7Bk_CnmU2uzYBBXlZ9StIFtBbsaO0BG"&amp;"Ymjqo0kHIZouk1YvOYVHXmVYkxPLwu3WyLeGK5HmrKUiSHbEoC-s1kGebqdsQh8OhL=w1200|https://lh3.googleusercontent.com/pw/AP1GczPdU1XSk6f7ykDqHVbtndsgky9cGG5k0Olqucb-rPtQloArXociKLFVi7pKPlcfUcSkmN5SlXswMp_N9ImkfUraUxYoHO-HqJkawZheeJFX8duDwk0y=w1200|https://lh3.google"&amp;"usercontent.com/pw/AP1GczMuYW-Eh7AgDKdkzx7RjZPzCXE9Gb9f7T2DseQ5YOi3fzJHYg7j-1WoErPxyOJ-fQZfw8YHtJo97hcPUxG2tZUxztYzcnNe6tifGTWUyQWSUquntQ9R=w1200|https://lh3.googleusercontent.com/pw/AP1GczO5SJBJPD_JeQrpNmOYa4XaykqTfcBjMW8nZvBlHvh8pvbF53XZjTSTVRqUwBSfBGvR"&amp;"4EhhazQvk20pTusv67Tquk3BpDO9oxBE8hmqDNfj4xkKBQUm=w1200|https://lh3.googleusercontent.com/pw/AP1GczP8hg9hz1B9APKZtAjwmMom0wULQkqf3pidsUnJjRDoJJ4iepq0noAhI2OlVKMIXf6FDl5Pjj6J_xYqgd6i2PwtEjw3ETAdm78xr3qMAHp8mh3kp3WF=w1200|https://lh3.googleusercontent.com/pw"&amp;"/AP1GczO5utEMDDyXA9_nHtl9BIgVINrfmpI85i2QmqGq1M5ZGptDCTBEX9Xk6XhbtiKFTeWHuMEZXQJ3CFO05yCEG_lekv0Q9PuBtuiA8tUSQNP53vs4R0eQ=w1200|https://lh3.googleusercontent.com/pw/AP1GczMwzHNOlX067I9zX5WZPjxBcPlfjIiZSSmebd5zqCk63PVnR6KBS4aW8cwmww-L9HOAesG0VfNAXly-gSCYdL"&amp;"4G0N0QvqLyrD6V7PMGtrjm9eD0kfr8=w1200|https://lh3.googleusercontent.com/pw/AP1GczMWa1dmVg9BSuheqnllvaPrQ31DC_JyqgAF56UTEkXdbx1TAwQDMEnHoaiFH1WOZS4fIL5VBzk1rwvCFazeWF1U5CSi_ixTNXtuMhckN9_9bnTLykP0=w1200|https://lh3.googleusercontent.com/pw/AP1GczOa5qIAgzZIC"&amp;"au4PMGXquDYTMYlOyzmBqTashklgRDgJjaIuCsgC0Kg57TRXY5tgD6lp-9OYo536t_zPXA3FkDgVM2wDHVv7H0SJB5xS7lOBBtZ3tU4=w1200|https://lh3.googleusercontent.com/pw/AP1GczNw3xRR-zJsJb71vY9PYz2M0JgiorlRKjfo83VjeJ9nrwClg76NjiyygiPMolPGvGwl9kV1G6w4URXR-jP_1hy0ql6d93FcokO7O1o4"&amp;"ks4_jwRFeNN4=w1200|https://lh3.googleusercontent.com/pw/AP1GczMUzKUZd2LC-ZMXNmD3wWYWVYdoIVgU7yeLjAL3sXMPUp3ADzLk-Ga75ZE_unpFIONvem7gHp2bzt-BiD4kfzciLvT45K_-OphSyI1RTSFBe972zSiz=w1200|https://lh3.googleusercontent.com/pw/AP1GczOgsYC1x150MdPbL-9NAjHI58d1g9H"&amp;"mDg3PZd68HzcmGGQhdbeFZA6nzKmVDFaxsZ2O143fgJKjob25f47ppQbVw_En1e3dUemh-NnIBzZOdgVuP8hd=w1200|https://lh3.googleusercontent.com/pw/AP1GczPVjyO8ScIeqa4zs51VuFPPVTXxdMSvEzVwQHnsFekqLhwEP560BOV8BB2tosFeUVn42Au1ZIq1w1-U-V9VoIpwgWr93iXgSL5zFOEByhyFwWknqBDm=w1200"&amp;"|https://lh3.googleusercontent.com/pw/AP1GczP5TH5BnAytftEvPtBVSny0kuJMuTuv-gG8_FniQyopXOmR9sONGAZMvTaW-XaK-9lFiGP4hdfyF2SBnegAxSsgtpiEzlXjYzDyDWZQnOkBPr546JAX=w1200|https://lh3.googleusercontent.com/pw/AP1GczNF3ixtO3TFG_UykEru8Azin6lXVKaoLjMV3IC5-AO3xdpFQ"&amp;"KJPLL3f0bXL6aFQQmWF6Ug84SJo6jd33VoPVgZq1B_war_m1i6s35OG9d9V9M5DGz-I=w1200|https://lh3.googleusercontent.com/pw/AP1GczNDem5zKzf8FV-oNlmGmL6WRZXu_uM71aWlPTY8jlx3zXfqq88Z2nwip_cQW6C4QoQeeKY6kspPFDhShsyM8ZJ0bvfgX1HbPcq8zlEPeu16mbL62Nea=w1200|https://lh3.googl"&amp;"eusercontent.com/pw/AP1GczNPr9drSiKdvzRBCbAgK2kX_lMSM30goRA1NJeDLKae8qBEa3qRkjSxT0L8pS7eQYCyM0ywa3YBy6ewcxYicYBSZasw7Zd8wR1QNflMOrH6ypmJ3rbx=w1200|https://lh3.googleusercontent.com/pw/AP1GczPnBriqpqiFY4PKfxgIL95euomZYxsr12KyFs4KU4SLfQ9yaNMwM3bzgxEnyGLnV5f"&amp;"_A_K0BAxWywTjRsJ-KSbO3ET8tQLjxuW2f72eiw9FjpESWd75=w1200|https://lh3.googleusercontent.com/pw/AP1GczN5r6u5anUn2RRZowG-girQSEevAYQfZV4X1HoyomM3KHrRy1fCAWmxpzYZACZsWTAS78pASSw-FkYpxiCuYl2YjNlgj849jiSh367ke_7BhQKEi9d7=w1200|https://lh3.googleusercontent.com/p"&amp;"w/AP1GczNkeDxQm7F-Zf4BEFxIdIY-I4EaxjBP7pNUBrnm28CK9feVVE_xrjlXMYqjsUjT7Sj6DB2tViOhf0FdVQxZctxjWFrjBeEng1CDk-j36YhaWB6RMOlC=w1200|https://lh3.googleusercontent.com/pw/AP1GczPcGl4xinsdQd1ITp7LdUuz-DS9UsB5o6DbYe_eQhBdMF4bI0jDlZsVPGpzFeOvtWX8AnZWS3qZCj3PBCBG9"&amp;"QJhwE5EwFt7MlbESiTrklf3t6dRydrx=w1200|https://lh3.googleusercontent.com/pw/AP1GczNgldRkzt4InnqZxNfGJPrq--R6h932k4Z5UMQ-NY1hbuFr4TnOoqz_5Q5oET5jpqAwMWxQOsZ2Va8YJjI8W18nbzHkiPrlOqnw1ZS_LnxuyUqIA4aG=w1200|https://lh3.googleusercontent.com/pw/AP1GczNrAk7NETXn"&amp;"-_ivwajpoRw24YJU9L49wTWm7R0junjQu1aKVQA49dB1VFTTTCTCvN-V6Ug0EySojhVUJcNMEU_nEhxEBKGuQb8OPrMPPngCj8XwZW3o=w1200|https://lh3.googleusercontent.com/pw/AP1GczO7jjNlISrYkuw59DMMg2cX9JvfcUQdOMeefQs_olQsymLKVQ3UfoNjOZxTdV5LEi3g_G4la9JHYNCnbEAMF8hF1CIxeQBjcqE-8Lg"&amp;"_gWUGpqrqj9fx=w1200|https://lh3.googleusercontent.com/pw/AP1GczM25UNyYzCHPXnB5nv4pTPPB2EgplBKucxeV4bshcsxxb_6-4ojj-SSq7FBLKzZNgOxWSl0uF__zbrB6LYeZTa5hCh6djy694awkN6hOplewEfL6sUz=w1200|https://lh3.googleusercontent.com/pw/AP1GczO4IijvDyY7vItRArSPzXqycKENCc"&amp;"uf3PYJfvGcoDRPW9w-al_9PzMmO7Wf91fUTqIq2-NbShnigGypOtyyZjERi_WUiTib1AOF_KNDm02k2546dA5s=w1200|https://lh3.googleusercontent.com/pw/AP1GczMhOFVEmNcis0AdyDUSQljS37trUzp_iMqQ0bH8_eOcrQmdjYWFddk6yrIC2lvzwDJq1-ARWfh3aCRJAb0S7-My_dwju8HctstMeVCvctfuy44thhXi=w120"&amp;"0|https://lh3.googleusercontent.com/pw/AP1GczM8bNkmiT_roXSQXU7LKj82cpyILgt6ciY5hdnBIk6wGBo7j_SPBvEKZHqrNrasrQbQ8Qece458bJczWYhjCeKBvhBKvf-evGuSdpLc35Yh1Kjgr3LV=w1200|https://lh3.googleusercontent.com/pw/AP1GczPOml5G9dHoJzLlaXCbVyzQWUIZYaF9yOmasvIk3gJnTVQk"&amp;"T2IRGuBaiB1z4u26wfekdGoWh7ugIdFtyppzH2bixr_fJTZDoP2jMSAHH1KzTD6EbXhO=w1200|https://lh3.googleusercontent.com/pw/AP1GczPW05CT4PQxt_H1XTC2MQrv6KwFMaipJI3W-5V6dHxkSDdh6C0fYDrPv2bL2u46-pyxDj7Sk7WRJGi9hae8Fm8SgWruU7WrHYDT2dlC0VGGJnASXDi6=w1200|https://lh3.goog"&amp;"leusercontent.com/pw/AP1GczNK4sQwfeCR4JeozS3nnnPpAqWAZLwBF97fmRZJVxIJjoWK6ybJDUCqVtjtgPuJ112c5t3wmdhCtPECxF4lz0gAaevlLFAi34Z2glxq0CNeaIO8pckg=w1200")</f>
        <v>https://lh3.googleusercontent.com/pw/AP1GczMzEDjCEw8SMQVCdxTzafrdBNIcYAYbW2lGTsEvzw5_-toafpnNSrbQushkcQcLwIgar8IOscTdsT2G3wn4gVj3V8GTLBPQ1PlXhTpqdpRYFD1-pjXY=w1200|https://lh3.googleusercontent.com/pw/AP1GczOvMDh2gK0fgoRNYCz7Bk_CnmU2uzYBBXlZ9StIFtBbsaO0BGYmjqo0kHIZouk1YvOYVHXmVYkxPLwu3WyLeGK5HmrKUiSHbEoC-s1kGebqdsQh8OhL=w1200|https://lh3.googleusercontent.com/pw/AP1GczPdU1XSk6f7ykDqHVbtndsgky9cGG5k0Olqucb-rPtQloArXociKLFVi7pKPlcfUcSkmN5SlXswMp_N9ImkfUraUxYoHO-HqJkawZheeJFX8duDwk0y=w1200|https://lh3.googleusercontent.com/pw/AP1GczMuYW-Eh7AgDKdkzx7RjZPzCXE9Gb9f7T2DseQ5YOi3fzJHYg7j-1WoErPxyOJ-fQZfw8YHtJo97hcPUxG2tZUxztYzcnNe6tifGTWUyQWSUquntQ9R=w1200|https://lh3.googleusercontent.com/pw/AP1GczO5SJBJPD_JeQrpNmOYa4XaykqTfcBjMW8nZvBlHvh8pvbF53XZjTSTVRqUwBSfBGvR4EhhazQvk20pTusv67Tquk3BpDO9oxBE8hmqDNfj4xkKBQUm=w1200|https://lh3.googleusercontent.com/pw/AP1GczP8hg9hz1B9APKZtAjwmMom0wULQkqf3pidsUnJjRDoJJ4iepq0noAhI2OlVKMIXf6FDl5Pjj6J_xYqgd6i2PwtEjw3ETAdm78xr3qMAHp8mh3kp3WF=w1200|https://lh3.googleusercontent.com/pw/AP1GczO5utEMDDyXA9_nHtl9BIgVINrfmpI85i2QmqGq1M5ZGptDCTBEX9Xk6XhbtiKFTeWHuMEZXQJ3CFO05yCEG_lekv0Q9PuBtuiA8tUSQNP53vs4R0eQ=w1200|https://lh3.googleusercontent.com/pw/AP1GczMwzHNOlX067I9zX5WZPjxBcPlfjIiZSSmebd5zqCk63PVnR6KBS4aW8cwmww-L9HOAesG0VfNAXly-gSCYdL4G0N0QvqLyrD6V7PMGtrjm9eD0kfr8=w1200|https://lh3.googleusercontent.com/pw/AP1GczMWa1dmVg9BSuheqnllvaPrQ31DC_JyqgAF56UTEkXdbx1TAwQDMEnHoaiFH1WOZS4fIL5VBzk1rwvCFazeWF1U5CSi_ixTNXtuMhckN9_9bnTLykP0=w1200|https://lh3.googleusercontent.com/pw/AP1GczOa5qIAgzZICau4PMGXquDYTMYlOyzmBqTashklgRDgJjaIuCsgC0Kg57TRXY5tgD6lp-9OYo536t_zPXA3FkDgVM2wDHVv7H0SJB5xS7lOBBtZ3tU4=w1200|https://lh3.googleusercontent.com/pw/AP1GczNw3xRR-zJsJb71vY9PYz2M0JgiorlRKjfo83VjeJ9nrwClg76NjiyygiPMolPGvGwl9kV1G6w4URXR-jP_1hy0ql6d93FcokO7O1o4ks4_jwRFeNN4=w1200|https://lh3.googleusercontent.com/pw/AP1GczMUzKUZd2LC-ZMXNmD3wWYWVYdoIVgU7yeLjAL3sXMPUp3ADzLk-Ga75ZE_unpFIONvem7gHp2bzt-BiD4kfzciLvT45K_-OphSyI1RTSFBe972zSiz=w1200|https://lh3.googleusercontent.com/pw/AP1GczOgsYC1x150MdPbL-9NAjHI58d1g9HmDg3PZd68HzcmGGQhdbeFZA6nzKmVDFaxsZ2O143fgJKjob25f47ppQbVw_En1e3dUemh-NnIBzZOdgVuP8hd=w1200|https://lh3.googleusercontent.com/pw/AP1GczPVjyO8ScIeqa4zs51VuFPPVTXxdMSvEzVwQHnsFekqLhwEP560BOV8BB2tosFeUVn42Au1ZIq1w1-U-V9VoIpwgWr93iXgSL5zFOEByhyFwWknqBDm=w1200|https://lh3.googleusercontent.com/pw/AP1GczP5TH5BnAytftEvPtBVSny0kuJMuTuv-gG8_FniQyopXOmR9sONGAZMvTaW-XaK-9lFiGP4hdfyF2SBnegAxSsgtpiEzlXjYzDyDWZQnOkBPr546JAX=w1200|https://lh3.googleusercontent.com/pw/AP1GczNF3ixtO3TFG_UykEru8Azin6lXVKaoLjMV3IC5-AO3xdpFQKJPLL3f0bXL6aFQQmWF6Ug84SJo6jd33VoPVgZq1B_war_m1i6s35OG9d9V9M5DGz-I=w1200|https://lh3.googleusercontent.com/pw/AP1GczNDem5zKzf8FV-oNlmGmL6WRZXu_uM71aWlPTY8jlx3zXfqq88Z2nwip_cQW6C4QoQeeKY6kspPFDhShsyM8ZJ0bvfgX1HbPcq8zlEPeu16mbL62Nea=w1200|https://lh3.googleusercontent.com/pw/AP1GczNPr9drSiKdvzRBCbAgK2kX_lMSM30goRA1NJeDLKae8qBEa3qRkjSxT0L8pS7eQYCyM0ywa3YBy6ewcxYicYBSZasw7Zd8wR1QNflMOrH6ypmJ3rbx=w1200|https://lh3.googleusercontent.com/pw/AP1GczPnBriqpqiFY4PKfxgIL95euomZYxsr12KyFs4KU4SLfQ9yaNMwM3bzgxEnyGLnV5f_A_K0BAxWywTjRsJ-KSbO3ET8tQLjxuW2f72eiw9FjpESWd75=w1200|https://lh3.googleusercontent.com/pw/AP1GczN5r6u5anUn2RRZowG-girQSEevAYQfZV4X1HoyomM3KHrRy1fCAWmxpzYZACZsWTAS78pASSw-FkYpxiCuYl2YjNlgj849jiSh367ke_7BhQKEi9d7=w1200|https://lh3.googleusercontent.com/pw/AP1GczNkeDxQm7F-Zf4BEFxIdIY-I4EaxjBP7pNUBrnm28CK9feVVE_xrjlXMYqjsUjT7Sj6DB2tViOhf0FdVQxZctxjWFrjBeEng1CDk-j36YhaWB6RMOlC=w1200|https://lh3.googleusercontent.com/pw/AP1GczPcGl4xinsdQd1ITp7LdUuz-DS9UsB5o6DbYe_eQhBdMF4bI0jDlZsVPGpzFeOvtWX8AnZWS3qZCj3PBCBG9QJhwE5EwFt7MlbESiTrklf3t6dRydrx=w1200|https://lh3.googleusercontent.com/pw/AP1GczNgldRkzt4InnqZxNfGJPrq--R6h932k4Z5UMQ-NY1hbuFr4TnOoqz_5Q5oET5jpqAwMWxQOsZ2Va8YJjI8W18nbzHkiPrlOqnw1ZS_LnxuyUqIA4aG=w1200|https://lh3.googleusercontent.com/pw/AP1GczNrAk7NETXn-_ivwajpoRw24YJU9L49wTWm7R0junjQu1aKVQA49dB1VFTTTCTCvN-V6Ug0EySojhVUJcNMEU_nEhxEBKGuQb8OPrMPPngCj8XwZW3o=w1200|https://lh3.googleusercontent.com/pw/AP1GczO7jjNlISrYkuw59DMMg2cX9JvfcUQdOMeefQs_olQsymLKVQ3UfoNjOZxTdV5LEi3g_G4la9JHYNCnbEAMF8hF1CIxeQBjcqE-8Lg_gWUGpqrqj9fx=w1200|https://lh3.googleusercontent.com/pw/AP1GczM25UNyYzCHPXnB5nv4pTPPB2EgplBKucxeV4bshcsxxb_6-4ojj-SSq7FBLKzZNgOxWSl0uF__zbrB6LYeZTa5hCh6djy694awkN6hOplewEfL6sUz=w1200|https://lh3.googleusercontent.com/pw/AP1GczO4IijvDyY7vItRArSPzXqycKENCcuf3PYJfvGcoDRPW9w-al_9PzMmO7Wf91fUTqIq2-NbShnigGypOtyyZjERi_WUiTib1AOF_KNDm02k2546dA5s=w1200|https://lh3.googleusercontent.com/pw/AP1GczMhOFVEmNcis0AdyDUSQljS37trUzp_iMqQ0bH8_eOcrQmdjYWFddk6yrIC2lvzwDJq1-ARWfh3aCRJAb0S7-My_dwju8HctstMeVCvctfuy44thhXi=w1200|https://lh3.googleusercontent.com/pw/AP1GczM8bNkmiT_roXSQXU7LKj82cpyILgt6ciY5hdnBIk6wGBo7j_SPBvEKZHqrNrasrQbQ8Qece458bJczWYhjCeKBvhBKvf-evGuSdpLc35Yh1Kjgr3LV=w1200|https://lh3.googleusercontent.com/pw/AP1GczPOml5G9dHoJzLlaXCbVyzQWUIZYaF9yOmasvIk3gJnTVQkT2IRGuBaiB1z4u26wfekdGoWh7ugIdFtyppzH2bixr_fJTZDoP2jMSAHH1KzTD6EbXhO=w1200|https://lh3.googleusercontent.com/pw/AP1GczPW05CT4PQxt_H1XTC2MQrv6KwFMaipJI3W-5V6dHxkSDdh6C0fYDrPv2bL2u46-pyxDj7Sk7WRJGi9hae8Fm8SgWruU7WrHYDT2dlC0VGGJnASXDi6=w1200|https://lh3.googleusercontent.com/pw/AP1GczNK4sQwfeCR4JeozS3nnnPpAqWAZLwBF97fmRZJVxIJjoWK6ybJDUCqVtjtgPuJ112c5t3wmdhCtPECxF4lz0gAaevlLFAi34Z2glxq0CNeaIO8pckg=w1200</v>
      </c>
    </row>
    <row r="8">
      <c r="A8" s="39" t="str">
        <f>IFERROR(__xludf.DUMMYFUNCTION("""COMPUTED_VALUE"""),"1823")</f>
        <v>1823</v>
      </c>
      <c r="B8" s="40" t="str">
        <f>IFERROR(__xludf.DUMMYFUNCTION("""COMPUTED_VALUE"""),"Casa en barrio Sevilla")</f>
        <v>Casa en barrio Sevilla</v>
      </c>
      <c r="C8" s="40" t="str">
        <f>IFERROR(__xludf.DUMMYFUNCTION("""COMPUTED_VALUE"""),"Casa")</f>
        <v>Casa</v>
      </c>
      <c r="D8" s="40" t="str">
        <f>IFERROR(__xludf.DUMMYFUNCTION("""COMPUTED_VALUE"""),"Sevilla")</f>
        <v>Sevilla</v>
      </c>
      <c r="E8" s="42" t="str">
        <f>IFERROR(__xludf.DUMMYFUNCTION("""COMPUTED_VALUE""")," ")</f>
        <v> </v>
      </c>
      <c r="F8" s="42">
        <f>IFERROR(__xludf.DUMMYFUNCTION("""COMPUTED_VALUE"""),4.5E8)</f>
        <v>450000000</v>
      </c>
      <c r="G8" s="40" t="str">
        <f>IFERROR(__xludf.DUMMYFUNCTION("""COMPUTED_VALUE"""),"$400'000.000 a $500'000.000")</f>
        <v>$400'000.000 a $500'000.000</v>
      </c>
      <c r="H8" s="40"/>
      <c r="I8" s="40"/>
      <c r="J8" s="40" t="str">
        <f>IFERROR(__xludf.DUMMYFUNCTION("""COMPUTED_VALUE"""),"Centro")</f>
        <v>Centro</v>
      </c>
      <c r="K8" s="39" t="str">
        <f>IFERROR(__xludf.DUMMYFUNCTION("""COMPUTED_VALUE"""),"3")</f>
        <v>3</v>
      </c>
      <c r="L8" s="40">
        <f>IFERROR(__xludf.DUMMYFUNCTION("""COMPUTED_VALUE"""),4.0)</f>
        <v>4</v>
      </c>
      <c r="M8" s="40"/>
      <c r="N8" s="40">
        <f>IFERROR(__xludf.DUMMYFUNCTION("""COMPUTED_VALUE"""),4.0)</f>
        <v>4</v>
      </c>
      <c r="O8" s="40">
        <f>IFERROR(__xludf.DUMMYFUNCTION("""COMPUTED_VALUE"""),3.0)</f>
        <v>3</v>
      </c>
      <c r="P8" s="40">
        <f>IFERROR(__xludf.DUMMYFUNCTION("""COMPUTED_VALUE"""),2.0)</f>
        <v>2</v>
      </c>
      <c r="Q8" s="48"/>
      <c r="R8" s="48">
        <f>IFERROR(__xludf.DUMMYFUNCTION("""COMPUTED_VALUE"""),225.0)</f>
        <v>225</v>
      </c>
      <c r="S8" s="39" t="str">
        <f>IFERROR(__xludf.DUMMYFUNCTION("""COMPUTED_VALUE""")," ")</f>
        <v> </v>
      </c>
      <c r="T8" s="40" t="str">
        <f>IFERROR(__xludf.DUMMYFUNCTION("""COMPUTED_VALUE"""),"Neiva")</f>
        <v>Neiva</v>
      </c>
      <c r="U8" s="39" t="str">
        <f>IFERROR(__xludf.DUMMYFUNCTION("""COMPUTED_VALUE"""),"4")</f>
        <v>4</v>
      </c>
      <c r="V8" s="40" t="str">
        <f>IFERROR(__xludf.DUMMYFUNCTION("""COMPUTED_VALUE"""),"Esquinera")</f>
        <v>Esquinera</v>
      </c>
      <c r="W8" s="46"/>
      <c r="X8" s="46">
        <f>IFERROR(__xludf.DUMMYFUNCTION("""COMPUTED_VALUE"""),4.0)</f>
        <v>4</v>
      </c>
      <c r="Y8" s="40" t="str">
        <f>IFERROR(__xludf.DUMMYFUNCTION("""COMPUTED_VALUE"""),"No tiene")</f>
        <v>No tiene</v>
      </c>
      <c r="Z8" s="42" t="str">
        <f>IFERROR(__xludf.DUMMYFUNCTION("""COMPUTED_VALUE"""),"No aplica")</f>
        <v>No aplica</v>
      </c>
      <c r="AA8" s="49" t="str">
        <f>IFERROR(__xludf.DUMMYFUNCTION("""COMPUTED_VALUE"""),"No aplica")</f>
        <v>No aplica</v>
      </c>
      <c r="AB8" s="66" t="str">
        <f>IFERROR(__xludf.DUMMYFUNCTION("""COMPUTED_VALUE"""),"https://photos.app.goo.gl/QreDSVBcWGaTgydG6")</f>
        <v>https://photos.app.goo.gl/QreDSVBcWGaTgydG6</v>
      </c>
      <c r="AC8" s="40"/>
      <c r="AD8" s="40"/>
      <c r="AE8" s="40"/>
      <c r="AF8" s="40" t="str">
        <f>IFERROR(__xludf.DUMMYFUNCTION("""COMPUTED_VALUE"""),"integral")</f>
        <v>integral</v>
      </c>
      <c r="AG8" s="40"/>
      <c r="AH8" s="40" t="str">
        <f>IFERROR(__xludf.DUMMYFUNCTION("""COMPUTED_VALUE"""),"Inventario")</f>
        <v>Inventario</v>
      </c>
      <c r="AI8" s="40"/>
      <c r="AJ8" s="40" t="str">
        <f>IFERROR(__xludf.DUMMYFUNCTION("""COMPUTED_VALUE"""),"B-Inventario Sevilla")</f>
        <v>B-Inventario Sevilla</v>
      </c>
      <c r="AK8" s="40"/>
      <c r="AL8" s="40" t="str">
        <f>IFERROR(__xludf.DUMMYFUNCTION("""COMPUTED_VALUE"""),"TIENE FOTOS")</f>
        <v>TIENE FOTOS</v>
      </c>
      <c r="AM8" s="40">
        <f>IFERROR(__xludf.DUMMYFUNCTION("""COMPUTED_VALUE"""),3.212323681E9)</f>
        <v>3212323681</v>
      </c>
      <c r="AN8" s="40">
        <f>IFERROR(__xludf.DUMMYFUNCTION("""COMPUTED_VALUE"""),3.135781638E9)</f>
        <v>3135781638</v>
      </c>
      <c r="AO8" s="40"/>
      <c r="AP8" s="40" t="str">
        <f>IFERROR(__xludf.DUMMYFUNCTION("""COMPUTED_VALUE"""),"CALLE 23 NO. 5-55")</f>
        <v>CALLE 23 NO. 5-55</v>
      </c>
      <c r="AQ8" s="40"/>
      <c r="AR8" s="40"/>
      <c r="AS8" s="53">
        <f>IFERROR(__xludf.DUMMYFUNCTION("""COMPUTED_VALUE"""),0.0)</f>
        <v>0</v>
      </c>
      <c r="AT8" s="40">
        <f>IFERROR(__xludf.DUMMYFUNCTION("""COMPUTED_VALUE"""),0.0)</f>
        <v>0</v>
      </c>
      <c r="AU8" s="40">
        <f>IFERROR(__xludf.DUMMYFUNCTION("""COMPUTED_VALUE"""),0.0)</f>
        <v>0</v>
      </c>
      <c r="AV8" s="40">
        <f>IFERROR(__xludf.DUMMYFUNCTION("""COMPUTED_VALUE"""),0.0)</f>
        <v>0</v>
      </c>
      <c r="AW8" s="40" t="str">
        <f>IFERROR(__xludf.DUMMYFUNCTION("""COMPUTED_VALUE"""),"NO")</f>
        <v>NO</v>
      </c>
      <c r="AX8" s="40">
        <f>IFERROR(__xludf.DUMMYFUNCTION("""COMPUTED_VALUE"""),0.0)</f>
        <v>0</v>
      </c>
      <c r="AY8" s="40">
        <f>IFERROR(__xludf.DUMMYFUNCTION("""COMPUTED_VALUE"""),0.0)</f>
        <v>0</v>
      </c>
      <c r="AZ8" s="40">
        <f>IFERROR(__xludf.DUMMYFUNCTION("""COMPUTED_VALUE"""),0.0)</f>
        <v>0</v>
      </c>
      <c r="BA8" s="40" t="str">
        <f>IFERROR(__xludf.DUMMYFUNCTION("""COMPUTED_VALUE"""),"X")</f>
        <v>X</v>
      </c>
      <c r="BB8" s="40">
        <f>IFERROR(__xludf.DUMMYFUNCTION("""COMPUTED_VALUE"""),0.0)</f>
        <v>0</v>
      </c>
      <c r="BC8" s="53" t="str">
        <f>IFERROR(__xludf.DUMMYFUNCTION("""COMPUTED_VALUE"""),"26 - NINI CASTAÑO, SR. ACOSTA, 43 - SR. ACOSTA")</f>
        <v>26 - NINI CASTAÑO, SR. ACOSTA, 43 - SR. ACOSTA</v>
      </c>
      <c r="BD8" s="48"/>
      <c r="BE8" s="48"/>
      <c r="BF8" s="48" t="str">
        <f>IFERROR(__xludf.DUMMYFUNCTION("""COMPUTED_VALUE"""),"https://lh3.googleusercontent.com/pw/AP1GczNF5B1o7mG5pLj_U6832cyl4DHmAUiTG2qT2j9T2GNMVFmFEigioZ9tF0dK583VkMc4wJdLSJeUFiEMGbk0gZJa557VMXV6Q5szhc2sh1PJyydqWYF8=w1200|https://lh3.googleusercontent.com/pw/AP1GczP6qLTQRwIsJ-mn-9rXtcRzHIpYNVmcEmE5uToS-tSXmY7lHN"&amp;"2LRTekqcBkS9xmdHp_YK4jlkgC-OUV2HC0CGQMO6o1OpRIeFg76JeWVdoGqznNlLrb=w1200|https://lh3.googleusercontent.com/pw/AP1GczNfDSL2jtfI9kFq9dlL7-z5jDXADOzODe4wcDfvmJ79iyG6nmzQhAwOnp98EhukHJ-WYBJw4cJj8EiC4pS5_KcbYs6HySza3GQB0Mnyse--aiZcHRN3=w1200|https://lh3.google"&amp;"usercontent.com/pw/AP1GczOsvpwC8-agjpBQPbLQ6YmTZ_99Tn4_vMYbi1hmv2Ht97-ib6aufhQSQ1dHB3zUJfFCgIARMLHymv18gZtYVrvDuTc-TTZJj3XoeeXUdjUcjgiLXRFx=w1200|https://lh3.googleusercontent.com/pw/AP1GczPyOTBqsYtd4P300B0J6Zrf_nh-RmG2tey9-SRrcmgCnrLebf4N-NQi3c00VXJPTG-J"&amp;"6fQ8GmTbvlolnb-U4wRyjLdfKmFr5o4ruXCGoZK3WvV1z_46=w1200|https://lh3.googleusercontent.com/pw/AP1GczNT9lQPQtNG17-aVjaMtc9sUOglgAQtPx17c_X2q9SWAyp7CUVP9e8cseEbBvokjqfGcmRLwagvUgqrqVGrpLYPHlFj319taUoom9fTI8KRNeb3GzGn=w1200|https://lh3.googleusercontent.com/pw"&amp;"/AP1GczPAJ2rI3PYneVL5XoUyPi-jGfVVYGZNr4__ad2taJ8mU_NmiDDNlgkLzM6FjSsxyeZpkc2kCDTAam8M3FD_HVEyVT8AUBWJLQhFtr1kat_8fQVUYCpl=w1200|https://lh3.googleusercontent.com/pw/AP1GczOpZJLCkrIXYXV1eMzLRcvodRFfgYXxmhkN0dWXvla29k94fc2heSHGln65QQWhP-KMydnyBCAEMgbXy6h-WT"&amp;"BDtNs8h-WVCcWXDiC0JU8rES5lI2Q9=w1200|https://lh3.googleusercontent.com/pw/AP1GczMlUNnSNm-0c_8IKAzOSxVUc9S3ZDYSagFJW9sBKgjvXowdMiw-sjNU44hkpUw24Tg2sN-dyHH0AT948YshrFIHjfpRqoVwDvfUbyH-0txyPwiSRyW5=w1200|https://lh3.googleusercontent.com/pw/AP1GczOp0HcmokKne"&amp;"Zc-n9ISfYHH7qY7Ciw2kuEh6_-Y572IE4Z31ZiY6o3Duhr4G5i-o2DTx3r-2d9X5FliPftBTdS4LQQefPeyvXl_GOrztvxBvoYOxSal=w1200|https://lh3.googleusercontent.com/pw/AP1GczPivV754D--M2jTpTt58OVDGbZvjB7VsTf78WC-a9I93RbPW13jtT4ayaGqw56Y_g03Dv21g63IQC-EINvRNoHaC6U3Zq9a6oHxE_z5"&amp;"j0KlHPcRMrPQ=w1200|https://lh3.googleusercontent.com/pw/AP1GczPtT4ikowQ7HDPsGEnl0vlF89eqTtruSoY64OYbRGac7eUj33FuSchSTRhBwD31DTP5RbStSO-Md8I-PTPGbPTQxUmTgDwx3mRAH81WMlvx_yM1iMTP=w1200|https://lh3.googleusercontent.com/pw/AP1GczNSRgdXPTYgQCVVPFO9XmPlDgrmxj9"&amp;"hlPEdGGjJ3bhsdG-XRzREBeyf90SCddUMouYtWhY14nqz4_siWrrOEeJO3HdnzJZ2fP1TMzencL6l7hwopjSC=w1200")</f>
        <v>https://lh3.googleusercontent.com/pw/AP1GczNF5B1o7mG5pLj_U6832cyl4DHmAUiTG2qT2j9T2GNMVFmFEigioZ9tF0dK583VkMc4wJdLSJeUFiEMGbk0gZJa557VMXV6Q5szhc2sh1PJyydqWYF8=w1200|https://lh3.googleusercontent.com/pw/AP1GczP6qLTQRwIsJ-mn-9rXtcRzHIpYNVmcEmE5uToS-tSXmY7lHN2LRTekqcBkS9xmdHp_YK4jlkgC-OUV2HC0CGQMO6o1OpRIeFg76JeWVdoGqznNlLrb=w1200|https://lh3.googleusercontent.com/pw/AP1GczNfDSL2jtfI9kFq9dlL7-z5jDXADOzODe4wcDfvmJ79iyG6nmzQhAwOnp98EhukHJ-WYBJw4cJj8EiC4pS5_KcbYs6HySza3GQB0Mnyse--aiZcHRN3=w1200|https://lh3.googleusercontent.com/pw/AP1GczOsvpwC8-agjpBQPbLQ6YmTZ_99Tn4_vMYbi1hmv2Ht97-ib6aufhQSQ1dHB3zUJfFCgIARMLHymv18gZtYVrvDuTc-TTZJj3XoeeXUdjUcjgiLXRFx=w1200|https://lh3.googleusercontent.com/pw/AP1GczPyOTBqsYtd4P300B0J6Zrf_nh-RmG2tey9-SRrcmgCnrLebf4N-NQi3c00VXJPTG-J6fQ8GmTbvlolnb-U4wRyjLdfKmFr5o4ruXCGoZK3WvV1z_46=w1200|https://lh3.googleusercontent.com/pw/AP1GczNT9lQPQtNG17-aVjaMtc9sUOglgAQtPx17c_X2q9SWAyp7CUVP9e8cseEbBvokjqfGcmRLwagvUgqrqVGrpLYPHlFj319taUoom9fTI8KRNeb3GzGn=w1200|https://lh3.googleusercontent.com/pw/AP1GczPAJ2rI3PYneVL5XoUyPi-jGfVVYGZNr4__ad2taJ8mU_NmiDDNlgkLzM6FjSsxyeZpkc2kCDTAam8M3FD_HVEyVT8AUBWJLQhFtr1kat_8fQVUYCpl=w1200|https://lh3.googleusercontent.com/pw/AP1GczOpZJLCkrIXYXV1eMzLRcvodRFfgYXxmhkN0dWXvla29k94fc2heSHGln65QQWhP-KMydnyBCAEMgbXy6h-WTBDtNs8h-WVCcWXDiC0JU8rES5lI2Q9=w1200|https://lh3.googleusercontent.com/pw/AP1GczMlUNnSNm-0c_8IKAzOSxVUc9S3ZDYSagFJW9sBKgjvXowdMiw-sjNU44hkpUw24Tg2sN-dyHH0AT948YshrFIHjfpRqoVwDvfUbyH-0txyPwiSRyW5=w1200|https://lh3.googleusercontent.com/pw/AP1GczOp0HcmokKneZc-n9ISfYHH7qY7Ciw2kuEh6_-Y572IE4Z31ZiY6o3Duhr4G5i-o2DTx3r-2d9X5FliPftBTdS4LQQefPeyvXl_GOrztvxBvoYOxSal=w1200|https://lh3.googleusercontent.com/pw/AP1GczPivV754D--M2jTpTt58OVDGbZvjB7VsTf78WC-a9I93RbPW13jtT4ayaGqw56Y_g03Dv21g63IQC-EINvRNoHaC6U3Zq9a6oHxE_z5j0KlHPcRMrPQ=w1200|https://lh3.googleusercontent.com/pw/AP1GczPtT4ikowQ7HDPsGEnl0vlF89eqTtruSoY64OYbRGac7eUj33FuSchSTRhBwD31DTP5RbStSO-Md8I-PTPGbPTQxUmTgDwx3mRAH81WMlvx_yM1iMTP=w1200|https://lh3.googleusercontent.com/pw/AP1GczNSRgdXPTYgQCVVPFO9XmPlDgrmxj9hlPEdGGjJ3bhsdG-XRzREBeyf90SCddUMouYtWhY14nqz4_siWrrOEeJO3HdnzJZ2fP1TMzencL6l7hwopjSC=w1200</v>
      </c>
    </row>
    <row r="9">
      <c r="A9" s="39" t="str">
        <f>IFERROR(__xludf.DUMMYFUNCTION("""COMPUTED_VALUE"""),"3708")</f>
        <v>3708</v>
      </c>
      <c r="B9" s="40" t="str">
        <f>IFERROR(__xludf.DUMMYFUNCTION("""COMPUTED_VALUE"""),"Casa en barrio Sevilla")</f>
        <v>Casa en barrio Sevilla</v>
      </c>
      <c r="C9" s="40" t="str">
        <f>IFERROR(__xludf.DUMMYFUNCTION("""COMPUTED_VALUE"""),"Casa")</f>
        <v>Casa</v>
      </c>
      <c r="D9" s="40" t="str">
        <f>IFERROR(__xludf.DUMMYFUNCTION("""COMPUTED_VALUE"""),"Sevilla")</f>
        <v>Sevilla</v>
      </c>
      <c r="E9" s="40"/>
      <c r="F9" s="42">
        <f>IFERROR(__xludf.DUMMYFUNCTION("""COMPUTED_VALUE"""),3.1E8)</f>
        <v>310000000</v>
      </c>
      <c r="G9" s="40" t="str">
        <f>IFERROR(__xludf.DUMMYFUNCTION("""COMPUTED_VALUE"""),"$300'000.000 a $400'000.000")</f>
        <v>$300'000.000 a $400'000.000</v>
      </c>
      <c r="H9" s="40"/>
      <c r="I9" s="40"/>
      <c r="J9" s="40" t="str">
        <f>IFERROR(__xludf.DUMMYFUNCTION("""COMPUTED_VALUE"""),"Centro")</f>
        <v>Centro</v>
      </c>
      <c r="K9" s="39" t="str">
        <f>IFERROR(__xludf.DUMMYFUNCTION("""COMPUTED_VALUE"""),"3")</f>
        <v>3</v>
      </c>
      <c r="L9" s="40">
        <f>IFERROR(__xludf.DUMMYFUNCTION("""COMPUTED_VALUE"""),4.0)</f>
        <v>4</v>
      </c>
      <c r="M9" s="40"/>
      <c r="N9" s="40">
        <f>IFERROR(__xludf.DUMMYFUNCTION("""COMPUTED_VALUE"""),3.0)</f>
        <v>3</v>
      </c>
      <c r="O9" s="40">
        <f>IFERROR(__xludf.DUMMYFUNCTION("""COMPUTED_VALUE"""),1.0)</f>
        <v>1</v>
      </c>
      <c r="P9" s="40">
        <f>IFERROR(__xludf.DUMMYFUNCTION("""COMPUTED_VALUE"""),2.0)</f>
        <v>2</v>
      </c>
      <c r="Q9" s="48"/>
      <c r="R9" s="48">
        <f>IFERROR(__xludf.DUMMYFUNCTION("""COMPUTED_VALUE"""),113.0)</f>
        <v>113</v>
      </c>
      <c r="S9" s="39" t="str">
        <f>IFERROR(__xludf.DUMMYFUNCTION("""COMPUTED_VALUE""")," ")</f>
        <v> </v>
      </c>
      <c r="T9" s="40" t="str">
        <f>IFERROR(__xludf.DUMMYFUNCTION("""COMPUTED_VALUE"""),"Neiva")</f>
        <v>Neiva</v>
      </c>
      <c r="U9" s="39" t="str">
        <f>IFERROR(__xludf.DUMMYFUNCTION("""COMPUTED_VALUE"""),"3")</f>
        <v>3</v>
      </c>
      <c r="V9" s="40" t="str">
        <f>IFERROR(__xludf.DUMMYFUNCTION("""COMPUTED_VALUE"""),"Medianera")</f>
        <v>Medianera</v>
      </c>
      <c r="W9" s="46"/>
      <c r="X9" s="46">
        <f>IFERROR(__xludf.DUMMYFUNCTION("""COMPUTED_VALUE"""),4.0)</f>
        <v>4</v>
      </c>
      <c r="Y9" s="40" t="str">
        <f>IFERROR(__xludf.DUMMYFUNCTION("""COMPUTED_VALUE"""),"No tiene")</f>
        <v>No tiene</v>
      </c>
      <c r="Z9" s="42" t="str">
        <f>IFERROR(__xludf.DUMMYFUNCTION("""COMPUTED_VALUE"""),"No aplica")</f>
        <v>No aplica</v>
      </c>
      <c r="AA9" s="49" t="str">
        <f>IFERROR(__xludf.DUMMYFUNCTION("""COMPUTED_VALUE"""),"No aplica")</f>
        <v>No aplica</v>
      </c>
      <c r="AB9" s="66" t="str">
        <f>IFERROR(__xludf.DUMMYFUNCTION("""COMPUTED_VALUE"""),"https://photos.app.goo.gl/J7BteKbURmw1SYqA6")</f>
        <v>https://photos.app.goo.gl/J7BteKbURmw1SYqA6</v>
      </c>
      <c r="AC9" s="40"/>
      <c r="AD9" s="40"/>
      <c r="AE9" s="40"/>
      <c r="AF9" s="40" t="str">
        <f>IFERROR(__xludf.DUMMYFUNCTION("""COMPUTED_VALUE"""),"integral")</f>
        <v>integral</v>
      </c>
      <c r="AG9" s="40"/>
      <c r="AH9" s="40" t="str">
        <f>IFERROR(__xludf.DUMMYFUNCTION("""COMPUTED_VALUE"""),"Inventario")</f>
        <v>Inventario</v>
      </c>
      <c r="AI9" s="40"/>
      <c r="AJ9" s="40" t="str">
        <f>IFERROR(__xludf.DUMMYFUNCTION("""COMPUTED_VALUE"""),"B-Inventario Sevilla")</f>
        <v>B-Inventario Sevilla</v>
      </c>
      <c r="AK9" s="40"/>
      <c r="AL9" s="40" t="str">
        <f>IFERROR(__xludf.DUMMYFUNCTION("""COMPUTED_VALUE"""),"TIENE FOTOS")</f>
        <v>TIENE FOTOS</v>
      </c>
      <c r="AM9" s="40">
        <f>IFERROR(__xludf.DUMMYFUNCTION("""COMPUTED_VALUE"""),3.212323681E9)</f>
        <v>3212323681</v>
      </c>
      <c r="AN9" s="40" t="str">
        <f>IFERROR(__xludf.DUMMYFUNCTION("""COMPUTED_VALUE"""),"prop. 3153119443-3158910074")</f>
        <v>prop. 3153119443-3158910074</v>
      </c>
      <c r="AO9" s="40"/>
      <c r="AP9" s="40" t="str">
        <f>IFERROR(__xludf.DUMMYFUNCTION("""COMPUTED_VALUE"""),"CARRERA 5 B No. 24 - 15")</f>
        <v>CARRERA 5 B No. 24 - 15</v>
      </c>
      <c r="AQ9" s="40"/>
      <c r="AR9" s="40"/>
      <c r="AS9" s="53">
        <f>IFERROR(__xludf.DUMMYFUNCTION("""COMPUTED_VALUE"""),0.0)</f>
        <v>0</v>
      </c>
      <c r="AT9" s="40">
        <f>IFERROR(__xludf.DUMMYFUNCTION("""COMPUTED_VALUE"""),0.0)</f>
        <v>0</v>
      </c>
      <c r="AU9" s="40">
        <f>IFERROR(__xludf.DUMMYFUNCTION("""COMPUTED_VALUE"""),0.0)</f>
        <v>0</v>
      </c>
      <c r="AV9" s="40">
        <f>IFERROR(__xludf.DUMMYFUNCTION("""COMPUTED_VALUE"""),0.0)</f>
        <v>0</v>
      </c>
      <c r="AW9" s="40" t="str">
        <f>IFERROR(__xludf.DUMMYFUNCTION("""COMPUTED_VALUE"""),"NO")</f>
        <v>NO</v>
      </c>
      <c r="AX9" s="40">
        <f>IFERROR(__xludf.DUMMYFUNCTION("""COMPUTED_VALUE"""),0.0)</f>
        <v>0</v>
      </c>
      <c r="AY9" s="40" t="str">
        <f>IFERROR(__xludf.DUMMYFUNCTION("""COMPUTED_VALUE"""),"P")</f>
        <v>P</v>
      </c>
      <c r="AZ9" s="40">
        <f>IFERROR(__xludf.DUMMYFUNCTION("""COMPUTED_VALUE"""),0.0)</f>
        <v>0</v>
      </c>
      <c r="BA9" s="40" t="str">
        <f>IFERROR(__xludf.DUMMYFUNCTION("""COMPUTED_VALUE"""),"X")</f>
        <v>X</v>
      </c>
      <c r="BB9" s="40">
        <f>IFERROR(__xludf.DUMMYFUNCTION("""COMPUTED_VALUE"""),0.0)</f>
        <v>0</v>
      </c>
      <c r="BC9" s="53"/>
      <c r="BD9" s="48"/>
      <c r="BE9" s="48"/>
      <c r="BF9" s="48" t="str">
        <f>IFERROR(__xludf.DUMMYFUNCTION("""COMPUTED_VALUE"""),"https://lh3.googleusercontent.com/pw/AP1GczNKgOnMUoohoLWqxYQEsazpwvXJw_p2vuCJXuLSzwDrxEE18isZPNhQaVnW-13K57TtZjd3bpaNj9YZQR0guySVtoITTFZ9RMvepXItAqYPSqpL-GSN=w1200|https://lh3.googleusercontent.com/pw/AP1GczMOyeG8ioop6PcwBxnG40frrn5uyaASpV4BVmHPld7s1gxNyK"&amp;"ei0bEcDxBGoycEvfaaPOkOHpLQrJw9MaYlxWPHxIe7Fk4Id_gNAmZr0js3M4Jk6UID=w1200|https://lh3.googleusercontent.com/pw/AP1GczNwz912P1QA-9JHBAzUuzxvnvBolj1XLx1-l7wmtHSWgHx0JwhfUlv1WAwwgHcjztVhO0Gz2m-xBcpQ28jITcIq3NmuKT3YF4BviB38pAM3Ux3VX6Jg=w1200|https://lh3.google"&amp;"usercontent.com/pw/AP1GczOr_8PReQYN21gnB4fCqmD3fAgHKXF9hfiZvwsI_WUDZ9R5VzK_6mRY6aaPUeQ7gqgqm2sVEOo6pXdd6m1KtSZGtL5M10wHhl8pAUFz2vkXBD7XvQGj=w1200|https://lh3.googleusercontent.com/pw/AP1GczOO3ilV55qIFXfYuc9dHJkitsPij488jVv72kVsd5BXH_WXwfJbO9ymjZ2NkK_BhXj9"&amp;"rQKmdX0rJwg6EVU8PIC3Y9iWV0lFFel3qBQWf62sukiAuRlv=w1200|https://lh3.googleusercontent.com/pw/AP1GczOYE5YBWG-k7Emd4XbtQXUPJ3zkNyco2JNUwPpfYz38xe0JNcur5Jryyw93buQp37qdCbGW_vgcO_4yvr3CG8GWCSGeJ-QD2JtTt86X55Dq0pW5w9am=w1200|https://lh3.googleusercontent.com/pw"&amp;"/AP1GczPw6PBE1Hdd3-5pYs83PhjedJiKlsRS-RjSrMu-GDW5AwK5wsc0THu-lA4tp7RT-QzozOwsNk-u18bBKDfdR5h5ISPbefpYsbd8UrWOBcRFndralFIf=w1200|https://lh3.googleusercontent.com/pw/AP1GczPl22eUZq6-Y4G0sK8tXZfxcyCwwoSmZCisQrD_r8h2CV95lCFZfAd-5RZTg8VcwXVTfqD9grRf7VdhRWUOli"&amp;"7wvDg-N3cvQwCMc6dDVY0Xy3_r9cJL=w1200|https://lh3.googleusercontent.com/pw/AP1GczNkgZGr-fYrvx41UYOKo-gQO-O3xK1qaJBMU_dDqvD00AA2WbEhoVjmsd1plc5pLG6kcSSxI1iQ10NUxBaqYs6PPhlyQWoaBVJpCFiLIOukx1CQF2N2=w1200|https://lh3.googleusercontent.com/pw/AP1GczNVhRYKQOIlb"&amp;"WYwWqb8xwjBiEEDQfp6iBWPMdFBdyY4BpMnb9sj6LiS9PmokDjFYHy8uIFV2ja3ndvza_vrFGglOQsx-bTsw3dFS31VA8WXcvGSK5ws=w1200")</f>
        <v>https://lh3.googleusercontent.com/pw/AP1GczNKgOnMUoohoLWqxYQEsazpwvXJw_p2vuCJXuLSzwDrxEE18isZPNhQaVnW-13K57TtZjd3bpaNj9YZQR0guySVtoITTFZ9RMvepXItAqYPSqpL-GSN=w1200|https://lh3.googleusercontent.com/pw/AP1GczMOyeG8ioop6PcwBxnG40frrn5uyaASpV4BVmHPld7s1gxNyKei0bEcDxBGoycEvfaaPOkOHpLQrJw9MaYlxWPHxIe7Fk4Id_gNAmZr0js3M4Jk6UID=w1200|https://lh3.googleusercontent.com/pw/AP1GczNwz912P1QA-9JHBAzUuzxvnvBolj1XLx1-l7wmtHSWgHx0JwhfUlv1WAwwgHcjztVhO0Gz2m-xBcpQ28jITcIq3NmuKT3YF4BviB38pAM3Ux3VX6Jg=w1200|https://lh3.googleusercontent.com/pw/AP1GczOr_8PReQYN21gnB4fCqmD3fAgHKXF9hfiZvwsI_WUDZ9R5VzK_6mRY6aaPUeQ7gqgqm2sVEOo6pXdd6m1KtSZGtL5M10wHhl8pAUFz2vkXBD7XvQGj=w1200|https://lh3.googleusercontent.com/pw/AP1GczOO3ilV55qIFXfYuc9dHJkitsPij488jVv72kVsd5BXH_WXwfJbO9ymjZ2NkK_BhXj9rQKmdX0rJwg6EVU8PIC3Y9iWV0lFFel3qBQWf62sukiAuRlv=w1200|https://lh3.googleusercontent.com/pw/AP1GczOYE5YBWG-k7Emd4XbtQXUPJ3zkNyco2JNUwPpfYz38xe0JNcur5Jryyw93buQp37qdCbGW_vgcO_4yvr3CG8GWCSGeJ-QD2JtTt86X55Dq0pW5w9am=w1200|https://lh3.googleusercontent.com/pw/AP1GczPw6PBE1Hdd3-5pYs83PhjedJiKlsRS-RjSrMu-GDW5AwK5wsc0THu-lA4tp7RT-QzozOwsNk-u18bBKDfdR5h5ISPbefpYsbd8UrWOBcRFndralFIf=w1200|https://lh3.googleusercontent.com/pw/AP1GczPl22eUZq6-Y4G0sK8tXZfxcyCwwoSmZCisQrD_r8h2CV95lCFZfAd-5RZTg8VcwXVTfqD9grRf7VdhRWUOli7wvDg-N3cvQwCMc6dDVY0Xy3_r9cJL=w1200|https://lh3.googleusercontent.com/pw/AP1GczNkgZGr-fYrvx41UYOKo-gQO-O3xK1qaJBMU_dDqvD00AA2WbEhoVjmsd1plc5pLG6kcSSxI1iQ10NUxBaqYs6PPhlyQWoaBVJpCFiLIOukx1CQF2N2=w1200|https://lh3.googleusercontent.com/pw/AP1GczNVhRYKQOIlbWYwWqb8xwjBiEEDQfp6iBWPMdFBdyY4BpMnb9sj6LiS9PmokDjFYHy8uIFV2ja3ndvza_vrFGglOQsx-bTsw3dFS31VA8WXcvGSK5ws=w1200</v>
      </c>
    </row>
    <row r="10">
      <c r="A10" s="39" t="str">
        <f>IFERROR(__xludf.DUMMYFUNCTION("""COMPUTED_VALUE"""),"3781")</f>
        <v>3781</v>
      </c>
      <c r="B10" s="40" t="str">
        <f>IFERROR(__xludf.DUMMYFUNCTION("""COMPUTED_VALUE"""),"Casa en barrio Villa Carolina")</f>
        <v>Casa en barrio Villa Carolina</v>
      </c>
      <c r="C10" s="40" t="str">
        <f>IFERROR(__xludf.DUMMYFUNCTION("""COMPUTED_VALUE"""),"Casa")</f>
        <v>Casa</v>
      </c>
      <c r="D10" s="40" t="str">
        <f>IFERROR(__xludf.DUMMYFUNCTION("""COMPUTED_VALUE"""),"Villa Carolina")</f>
        <v>Villa Carolina</v>
      </c>
      <c r="E10" s="40"/>
      <c r="F10" s="42">
        <f>IFERROR(__xludf.DUMMYFUNCTION("""COMPUTED_VALUE"""),3.4E8)</f>
        <v>340000000</v>
      </c>
      <c r="G10" s="40" t="str">
        <f>IFERROR(__xludf.DUMMYFUNCTION("""COMPUTED_VALUE"""),"$300'000.000 a $400'000.000")</f>
        <v>$300'000.000 a $400'000.000</v>
      </c>
      <c r="H10" s="40"/>
      <c r="I10" s="40"/>
      <c r="J10" s="40" t="str">
        <f>IFERROR(__xludf.DUMMYFUNCTION("""COMPUTED_VALUE"""),"Norte")</f>
        <v>Norte</v>
      </c>
      <c r="K10" s="39" t="str">
        <f>IFERROR(__xludf.DUMMYFUNCTION("""COMPUTED_VALUE"""),"2")</f>
        <v>2</v>
      </c>
      <c r="L10" s="40">
        <f>IFERROR(__xludf.DUMMYFUNCTION("""COMPUTED_VALUE"""),4.0)</f>
        <v>4</v>
      </c>
      <c r="M10" s="40"/>
      <c r="N10" s="40">
        <f>IFERROR(__xludf.DUMMYFUNCTION("""COMPUTED_VALUE"""),3.0)</f>
        <v>3</v>
      </c>
      <c r="O10" s="40">
        <f>IFERROR(__xludf.DUMMYFUNCTION("""COMPUTED_VALUE"""),1.0)</f>
        <v>1</v>
      </c>
      <c r="P10" s="40">
        <f>IFERROR(__xludf.DUMMYFUNCTION("""COMPUTED_VALUE"""),2.0)</f>
        <v>2</v>
      </c>
      <c r="Q10" s="48">
        <f>IFERROR(__xludf.DUMMYFUNCTION("""COMPUTED_VALUE"""),150.0)</f>
        <v>150</v>
      </c>
      <c r="R10" s="48">
        <f>IFERROR(__xludf.DUMMYFUNCTION("""COMPUTED_VALUE"""),84.0)</f>
        <v>84</v>
      </c>
      <c r="S10" s="39" t="str">
        <f>IFERROR(__xludf.DUMMYFUNCTION("""COMPUTED_VALUE""")," ")</f>
        <v> </v>
      </c>
      <c r="T10" s="40" t="str">
        <f>IFERROR(__xludf.DUMMYFUNCTION("""COMPUTED_VALUE"""),"Neiva")</f>
        <v>Neiva</v>
      </c>
      <c r="U10" s="39" t="str">
        <f>IFERROR(__xludf.DUMMYFUNCTION("""COMPUTED_VALUE"""),"3")</f>
        <v>3</v>
      </c>
      <c r="V10" s="40" t="str">
        <f>IFERROR(__xludf.DUMMYFUNCTION("""COMPUTED_VALUE"""),"Esquinera")</f>
        <v>Esquinera</v>
      </c>
      <c r="W10" s="46"/>
      <c r="X10" s="46">
        <f>IFERROR(__xludf.DUMMYFUNCTION("""COMPUTED_VALUE"""),4.0)</f>
        <v>4</v>
      </c>
      <c r="Y10" s="40" t="str">
        <f>IFERROR(__xludf.DUMMYFUNCTION("""COMPUTED_VALUE"""),"No tiene")</f>
        <v>No tiene</v>
      </c>
      <c r="Z10" s="42" t="str">
        <f>IFERROR(__xludf.DUMMYFUNCTION("""COMPUTED_VALUE"""),"No aplica")</f>
        <v>No aplica</v>
      </c>
      <c r="AA10" s="49" t="str">
        <f>IFERROR(__xludf.DUMMYFUNCTION("""COMPUTED_VALUE"""),"No aplica")</f>
        <v>No aplica</v>
      </c>
      <c r="AB10" s="66" t="str">
        <f>IFERROR(__xludf.DUMMYFUNCTION("""COMPUTED_VALUE"""),"https://photos.app.goo.gl/BeHTDzEhVihhPL939")</f>
        <v>https://photos.app.goo.gl/BeHTDzEhVihhPL939</v>
      </c>
      <c r="AC10" s="40"/>
      <c r="AD10" s="40"/>
      <c r="AE10" s="40"/>
      <c r="AF10" s="40" t="str">
        <f>IFERROR(__xludf.DUMMYFUNCTION("""COMPUTED_VALUE"""),"integral")</f>
        <v>integral</v>
      </c>
      <c r="AG10" s="40"/>
      <c r="AH10" s="40" t="str">
        <f>IFERROR(__xludf.DUMMYFUNCTION("""COMPUTED_VALUE"""),"Inventario")</f>
        <v>Inventario</v>
      </c>
      <c r="AI10" s="40"/>
      <c r="AJ10" s="40" t="str">
        <f>IFERROR(__xludf.DUMMYFUNCTION("""COMPUTED_VALUE"""),"B-Inventario Villa Carolina")</f>
        <v>B-Inventario Villa Carolina</v>
      </c>
      <c r="AK10" s="40"/>
      <c r="AL10" s="40" t="str">
        <f>IFERROR(__xludf.DUMMYFUNCTION("""COMPUTED_VALUE"""),"TIENE FOTOS")</f>
        <v>TIENE FOTOS</v>
      </c>
      <c r="AM10" s="40">
        <f>IFERROR(__xludf.DUMMYFUNCTION("""COMPUTED_VALUE"""),3.212323681E9)</f>
        <v>3212323681</v>
      </c>
      <c r="AN10" s="40">
        <f>IFERROR(__xludf.DUMMYFUNCTION("""COMPUTED_VALUE"""),3.135781638E9)</f>
        <v>3135781638</v>
      </c>
      <c r="AO10" s="40"/>
      <c r="AP10" s="40" t="str">
        <f>IFERROR(__xludf.DUMMYFUNCTION("""COMPUTED_VALUE"""),"CALLE 57 A No. 19 - 58")</f>
        <v>CALLE 57 A No. 19 - 58</v>
      </c>
      <c r="AQ10" s="40"/>
      <c r="AR10" s="40"/>
      <c r="AS10" s="53">
        <f>IFERROR(__xludf.DUMMYFUNCTION("""COMPUTED_VALUE"""),0.0)</f>
        <v>0</v>
      </c>
      <c r="AT10" s="40">
        <f>IFERROR(__xludf.DUMMYFUNCTION("""COMPUTED_VALUE"""),0.0)</f>
        <v>0</v>
      </c>
      <c r="AU10" s="40">
        <f>IFERROR(__xludf.DUMMYFUNCTION("""COMPUTED_VALUE"""),0.0)</f>
        <v>0</v>
      </c>
      <c r="AV10" s="40">
        <f>IFERROR(__xludf.DUMMYFUNCTION("""COMPUTED_VALUE"""),0.0)</f>
        <v>0</v>
      </c>
      <c r="AW10" s="40" t="str">
        <f>IFERROR(__xludf.DUMMYFUNCTION("""COMPUTED_VALUE"""),"NO")</f>
        <v>NO</v>
      </c>
      <c r="AX10" s="40">
        <f>IFERROR(__xludf.DUMMYFUNCTION("""COMPUTED_VALUE"""),0.0)</f>
        <v>0</v>
      </c>
      <c r="AY10" s="40">
        <f>IFERROR(__xludf.DUMMYFUNCTION("""COMPUTED_VALUE"""),0.0)</f>
        <v>0</v>
      </c>
      <c r="AZ10" s="40">
        <f>IFERROR(__xludf.DUMMYFUNCTION("""COMPUTED_VALUE"""),0.0)</f>
        <v>0</v>
      </c>
      <c r="BA10" s="40" t="str">
        <f>IFERROR(__xludf.DUMMYFUNCTION("""COMPUTED_VALUE"""),"X")</f>
        <v>X</v>
      </c>
      <c r="BB10" s="40">
        <f>IFERROR(__xludf.DUMMYFUNCTION("""COMPUTED_VALUE"""),0.0)</f>
        <v>0</v>
      </c>
      <c r="BC10" s="53"/>
      <c r="BD10" s="48"/>
      <c r="BE10" s="48"/>
      <c r="BF10" s="48" t="str">
        <f>IFERROR(__xludf.DUMMYFUNCTION("""COMPUTED_VALUE"""),"https://lh3.googleusercontent.com/pw/AP1GczNbZI_lSYLTL-CrUJ9U8PEl4ZvAcSMW3aoRrlKpsMsftPe390opxMC_L9jdX4v8092eMISww4KJQTW-4AKIzP7uw2UmQMbTOlqJhR4GMeh2GemZbN7m=w1200|https://lh3.googleusercontent.com/pw/AP1GczNLsRhuKz24_WrvJ08qr4rP93ZxHEO-iYPsY7lJsK8sEG4qZe"&amp;"4Vb4t1LjyOJBDxzEE6Qf6QJCddhfg7idaWQtIfq9pxUBne4rTIfTgTELSv3BDo2Mew=w1200|https://lh3.googleusercontent.com/pw/AP1GczP_lRJ645jxrxRav7ulLog4JHKQs1eWkczZSPN6E-VZT8fRO83kVf1dju6LHU0_3HB2eUkKtTNTmcnVi5NMtEQmf2gxs3v64gj1idn1PlkoKxOT0wgi=w1200|https://lh3.google"&amp;"usercontent.com/pw/AP1GczMucjKnk2USZ0kXDpOgCs6iH2pbu0QTlMPDy2npE1ap5JWDw9t3CGyaiSxk-JgYAtyv9VOWazSSO2hkn980vXuJ-THCfWQ1PFV6bZ5wH5HqolCkjHPa=w1200|https://lh3.googleusercontent.com/pw/AP1GczN0_amNhR8E9CUV_HT0URsqrYsRJsrNgeZIaAAB_-HoNnJI8h7-7yqd_R5RBisQniyk"&amp;"PTJwwtQJgWpUUwrIIAvozqTuSB98xb70tUOOvdAXWpkhLu6x=w1200|https://lh3.googleusercontent.com/pw/AP1GczMyEg02Eh2U-DlRcCQ83a5eF4FHuaSa5iUEQbGiG4ajp8ytuDQ5X9s8FpiGhJySjg_1g097ME5XMITFvJrZhlxW40hJedY2hMmceah7AgszVnCNI1Js=w1200|https://lh3.googleusercontent.com/pw"&amp;"/AP1GczMCzAKGdZWGOVK_uwEVnbyhWvt0Obu-ErBVmSwsi_bt1-gyX18GSFIMjN9Qz4FHIJQ3ztKcCO5vfHC8tt2s9d5Lq8IweFqerkkfD7dz-D4jUpFfwdy_=w1200|https://lh3.googleusercontent.com/pw/AP1GczP3Hw1OmvKOmus55fkpD6dQEORerMPhawjKqz-9g9sQWj3oD9HdbMsU8dcjmuND65qh1syo04BagQrd8Jqbro"&amp;"xr5ifmdgc0h-MASt9nG9LVlVwrRNrW=w1200|https://lh3.googleusercontent.com/pw/AP1GczPlszP9FYaEcQFAzCUFJ5AuTz_ncpzmqWXOAgl3JKqF3TWkb6MnbBe_ogXI-d_QwUXAKLfg1FO3yr4vLvtvYrVqplq29NQmpdlvx71SpaBK2ujoDQ-W=w1200|https://lh3.googleusercontent.com/pw/AP1GczPpzdwX9-0OO"&amp;"Hg6R4g771924PdGEfS8gNDM5mLKhzHS8AzM5lgz_fEkg6HQUmoNMXeUMDq35QY9ZObclPbYplAxpbUZ86frDG38fulGaS2xXNOd_sEf=w1200|https://lh3.googleusercontent.com/pw/AP1GczNn27UY_7yLkj5PkDTuTf1Le3wWD6guFF1b13MBfVKLTvoiRiH9fYsdzLb9hwsjgO9jgBCs6PBIF6lN89N517PZIoQWBpuYu2XXZWoX"&amp;"MsmZKz6hU8dW=w1200|https://lh3.googleusercontent.com/pw/AP1GczMFT0E1G9qJITpQyWoIir2Vr12j8qqgPDSW5-suOr49NMa9CxI05mII8WBmKHCAYz8xNFvYqV4zUHDxtidtrKCry_bALVX9zg1yAVzGi_aA1Iood_MM=w1200|https://lh3.googleusercontent.com/pw/AP1GczNWtu_vBMfy5G-yncRKwF2DFzxY0z2"&amp;"Cp_3a0aY6vlGU0BWBlOrlnMoo5MRx2XIu3XwnB9UdtEeaKWZaiYFK32Wv04Z-f0ufZm5kTrebHeewyAnuypYe=w1200|https://lh3.googleusercontent.com/pw/AP1GczN7bsYcnsC3xEXQl7Sh2zjiROOJ25RYDocmKmW1t3bOeFy4wDVPdtF6ULSBrQFDbxKw70XknCDm3w6IkdSeUDj4OaeZ_hDLbOrWOTYxqyG-mxJ4cDvo=w1200"&amp;"|https://lh3.googleusercontent.com/pw/AP1GczOySQgh-0DuDeYRh93vzQzIJUH_8uz62tqJsNcjqnTAT9vmfs3t93tFs_Nyq7Xl1u2KfBVi16o3pXG3nmPjGy8CsJFq2sv7KKUvCK1SvzvOQ9hbilMV=w1200|https://lh3.googleusercontent.com/pw/AP1GczMR4cm9rOHzKKtMKz6KRu-x7GMthWFi2JNb_TzfTeRNEEebR"&amp;"1iqDwhO1hF-LFqIHOTOpGIFwG2Th9vuMzu0Z6e0htYZjSGfcOfavYInxqpyCXIY_7BR=w1200|https://lh3.googleusercontent.com/pw/AP1GczOs2lwPpJ1CrBPjigAdhi-lHfmDtU3Smh3FlA2HotQRcIqtxopMqGByZVS6F2HyiFeM0jvagGy6Ja3g_cbTYier2rKvKOGfkWT8mfLttH4zapJ4fG1x=w1200|https://lh3.googl"&amp;"eusercontent.com/pw/AP1GczMy2QYjL2G_BoWM0IxjFGSCZ_JcXT7IV7LD1c2UKMk-W90VkqYgGGNCS5ycKaeXq1QOjjG0cXvSfsd5B9hbLGu_M6h9roTAX3-tTuZ-yFA1WYrWX2sd=w1200|https://lh3.googleusercontent.com/pw/AP1GczOJwvm-GGhWENxgFqXjNOZ2AU5cXwuBWLfSaZsR9suHFRc3B7JwUzp0zGdcFw8RAfj"&amp;"85ZQxP_M0V2582CQrMivNt871Y8TpSaLRTChy6dmTTQ6kCvWC=w1200")</f>
        <v>https://lh3.googleusercontent.com/pw/AP1GczNbZI_lSYLTL-CrUJ9U8PEl4ZvAcSMW3aoRrlKpsMsftPe390opxMC_L9jdX4v8092eMISww4KJQTW-4AKIzP7uw2UmQMbTOlqJhR4GMeh2GemZbN7m=w1200|https://lh3.googleusercontent.com/pw/AP1GczNLsRhuKz24_WrvJ08qr4rP93ZxHEO-iYPsY7lJsK8sEG4qZe4Vb4t1LjyOJBDxzEE6Qf6QJCddhfg7idaWQtIfq9pxUBne4rTIfTgTELSv3BDo2Mew=w1200|https://lh3.googleusercontent.com/pw/AP1GczP_lRJ645jxrxRav7ulLog4JHKQs1eWkczZSPN6E-VZT8fRO83kVf1dju6LHU0_3HB2eUkKtTNTmcnVi5NMtEQmf2gxs3v64gj1idn1PlkoKxOT0wgi=w1200|https://lh3.googleusercontent.com/pw/AP1GczMucjKnk2USZ0kXDpOgCs6iH2pbu0QTlMPDy2npE1ap5JWDw9t3CGyaiSxk-JgYAtyv9VOWazSSO2hkn980vXuJ-THCfWQ1PFV6bZ5wH5HqolCkjHPa=w1200|https://lh3.googleusercontent.com/pw/AP1GczN0_amNhR8E9CUV_HT0URsqrYsRJsrNgeZIaAAB_-HoNnJI8h7-7yqd_R5RBisQniykPTJwwtQJgWpUUwrIIAvozqTuSB98xb70tUOOvdAXWpkhLu6x=w1200|https://lh3.googleusercontent.com/pw/AP1GczMyEg02Eh2U-DlRcCQ83a5eF4FHuaSa5iUEQbGiG4ajp8ytuDQ5X9s8FpiGhJySjg_1g097ME5XMITFvJrZhlxW40hJedY2hMmceah7AgszVnCNI1Js=w1200|https://lh3.googleusercontent.com/pw/AP1GczMCzAKGdZWGOVK_uwEVnbyhWvt0Obu-ErBVmSwsi_bt1-gyX18GSFIMjN9Qz4FHIJQ3ztKcCO5vfHC8tt2s9d5Lq8IweFqerkkfD7dz-D4jUpFfwdy_=w1200|https://lh3.googleusercontent.com/pw/AP1GczP3Hw1OmvKOmus55fkpD6dQEORerMPhawjKqz-9g9sQWj3oD9HdbMsU8dcjmuND65qh1syo04BagQrd8Jqbroxr5ifmdgc0h-MASt9nG9LVlVwrRNrW=w1200|https://lh3.googleusercontent.com/pw/AP1GczPlszP9FYaEcQFAzCUFJ5AuTz_ncpzmqWXOAgl3JKqF3TWkb6MnbBe_ogXI-d_QwUXAKLfg1FO3yr4vLvtvYrVqplq29NQmpdlvx71SpaBK2ujoDQ-W=w1200|https://lh3.googleusercontent.com/pw/AP1GczPpzdwX9-0OOHg6R4g771924PdGEfS8gNDM5mLKhzHS8AzM5lgz_fEkg6HQUmoNMXeUMDq35QY9ZObclPbYplAxpbUZ86frDG38fulGaS2xXNOd_sEf=w1200|https://lh3.googleusercontent.com/pw/AP1GczNn27UY_7yLkj5PkDTuTf1Le3wWD6guFF1b13MBfVKLTvoiRiH9fYsdzLb9hwsjgO9jgBCs6PBIF6lN89N517PZIoQWBpuYu2XXZWoXMsmZKz6hU8dW=w1200|https://lh3.googleusercontent.com/pw/AP1GczMFT0E1G9qJITpQyWoIir2Vr12j8qqgPDSW5-suOr49NMa9CxI05mII8WBmKHCAYz8xNFvYqV4zUHDxtidtrKCry_bALVX9zg1yAVzGi_aA1Iood_MM=w1200|https://lh3.googleusercontent.com/pw/AP1GczNWtu_vBMfy5G-yncRKwF2DFzxY0z2Cp_3a0aY6vlGU0BWBlOrlnMoo5MRx2XIu3XwnB9UdtEeaKWZaiYFK32Wv04Z-f0ufZm5kTrebHeewyAnuypYe=w1200|https://lh3.googleusercontent.com/pw/AP1GczN7bsYcnsC3xEXQl7Sh2zjiROOJ25RYDocmKmW1t3bOeFy4wDVPdtF6ULSBrQFDbxKw70XknCDm3w6IkdSeUDj4OaeZ_hDLbOrWOTYxqyG-mxJ4cDvo=w1200|https://lh3.googleusercontent.com/pw/AP1GczOySQgh-0DuDeYRh93vzQzIJUH_8uz62tqJsNcjqnTAT9vmfs3t93tFs_Nyq7Xl1u2KfBVi16o3pXG3nmPjGy8CsJFq2sv7KKUvCK1SvzvOQ9hbilMV=w1200|https://lh3.googleusercontent.com/pw/AP1GczMR4cm9rOHzKKtMKz6KRu-x7GMthWFi2JNb_TzfTeRNEEebR1iqDwhO1hF-LFqIHOTOpGIFwG2Th9vuMzu0Z6e0htYZjSGfcOfavYInxqpyCXIY_7BR=w1200|https://lh3.googleusercontent.com/pw/AP1GczOs2lwPpJ1CrBPjigAdhi-lHfmDtU3Smh3FlA2HotQRcIqtxopMqGByZVS6F2HyiFeM0jvagGy6Ja3g_cbTYier2rKvKOGfkWT8mfLttH4zapJ4fG1x=w1200|https://lh3.googleusercontent.com/pw/AP1GczMy2QYjL2G_BoWM0IxjFGSCZ_JcXT7IV7LD1c2UKMk-W90VkqYgGGNCS5ycKaeXq1QOjjG0cXvSfsd5B9hbLGu_M6h9roTAX3-tTuZ-yFA1WYrWX2sd=w1200|https://lh3.googleusercontent.com/pw/AP1GczOJwvm-GGhWENxgFqXjNOZ2AU5cXwuBWLfSaZsR9suHFRc3B7JwUzp0zGdcFw8RAfj85ZQxP_M0V2582CQrMivNt871Y8TpSaLRTChy6dmTTQ6kCvWC=w1200</v>
      </c>
    </row>
    <row r="11">
      <c r="A11" s="39" t="str">
        <f>IFERROR(__xludf.DUMMYFUNCTION("""COMPUTED_VALUE"""),"4094")</f>
        <v>4094</v>
      </c>
      <c r="B11" s="40" t="str">
        <f>IFERROR(__xludf.DUMMYFUNCTION("""COMPUTED_VALUE"""),"Casa en barrio Las Granjas")</f>
        <v>Casa en barrio Las Granjas</v>
      </c>
      <c r="C11" s="40" t="str">
        <f>IFERROR(__xludf.DUMMYFUNCTION("""COMPUTED_VALUE"""),"Casa")</f>
        <v>Casa</v>
      </c>
      <c r="D11" s="40" t="str">
        <f>IFERROR(__xludf.DUMMYFUNCTION("""COMPUTED_VALUE"""),"Las Granjas")</f>
        <v>Las Granjas</v>
      </c>
      <c r="E11" s="42"/>
      <c r="F11" s="42">
        <f>IFERROR(__xludf.DUMMYFUNCTION("""COMPUTED_VALUE"""),3.5E8)</f>
        <v>350000000</v>
      </c>
      <c r="G11" s="40" t="str">
        <f>IFERROR(__xludf.DUMMYFUNCTION("""COMPUTED_VALUE"""),"$300'000.000 a $400'000.000")</f>
        <v>$300'000.000 a $400'000.000</v>
      </c>
      <c r="H11" s="40"/>
      <c r="I11" s="40"/>
      <c r="J11" s="40" t="str">
        <f>IFERROR(__xludf.DUMMYFUNCTION("""COMPUTED_VALUE"""),"Norte")</f>
        <v>Norte</v>
      </c>
      <c r="K11" s="39" t="str">
        <f>IFERROR(__xludf.DUMMYFUNCTION("""COMPUTED_VALUE"""),"2")</f>
        <v>2</v>
      </c>
      <c r="L11" s="40">
        <f>IFERROR(__xludf.DUMMYFUNCTION("""COMPUTED_VALUE"""),6.0)</f>
        <v>6</v>
      </c>
      <c r="M11" s="40"/>
      <c r="N11" s="40">
        <f>IFERROR(__xludf.DUMMYFUNCTION("""COMPUTED_VALUE"""),2.0)</f>
        <v>2</v>
      </c>
      <c r="O11" s="40">
        <f>IFERROR(__xludf.DUMMYFUNCTION("""COMPUTED_VALUE"""),1.0)</f>
        <v>1</v>
      </c>
      <c r="P11" s="40">
        <f>IFERROR(__xludf.DUMMYFUNCTION("""COMPUTED_VALUE"""),1.0)</f>
        <v>1</v>
      </c>
      <c r="Q11" s="48"/>
      <c r="R11" s="48">
        <f>IFERROR(__xludf.DUMMYFUNCTION("""COMPUTED_VALUE"""),202.24)</f>
        <v>202.24</v>
      </c>
      <c r="S11" s="39" t="str">
        <f>IFERROR(__xludf.DUMMYFUNCTION("""COMPUTED_VALUE""")," ")</f>
        <v> </v>
      </c>
      <c r="T11" s="40" t="str">
        <f>IFERROR(__xludf.DUMMYFUNCTION("""COMPUTED_VALUE"""),"Neiva")</f>
        <v>Neiva</v>
      </c>
      <c r="U11" s="39" t="str">
        <f>IFERROR(__xludf.DUMMYFUNCTION("""COMPUTED_VALUE"""),"2")</f>
        <v>2</v>
      </c>
      <c r="V11" s="40" t="str">
        <f>IFERROR(__xludf.DUMMYFUNCTION("""COMPUTED_VALUE"""),"Esquinera")</f>
        <v>Esquinera</v>
      </c>
      <c r="W11" s="46"/>
      <c r="X11" s="46">
        <f>IFERROR(__xludf.DUMMYFUNCTION("""COMPUTED_VALUE"""),0.0)</f>
        <v>0</v>
      </c>
      <c r="Y11" s="40" t="str">
        <f>IFERROR(__xludf.DUMMYFUNCTION("""COMPUTED_VALUE"""),"No tiene")</f>
        <v>No tiene</v>
      </c>
      <c r="Z11" s="42" t="str">
        <f>IFERROR(__xludf.DUMMYFUNCTION("""COMPUTED_VALUE"""),"No aplica")</f>
        <v>No aplica</v>
      </c>
      <c r="AA11" s="49" t="str">
        <f>IFERROR(__xludf.DUMMYFUNCTION("""COMPUTED_VALUE"""),"No aplica")</f>
        <v>No aplica</v>
      </c>
      <c r="AB11" s="40"/>
      <c r="AC11" s="40"/>
      <c r="AD11" s="40"/>
      <c r="AE11" s="40"/>
      <c r="AF11" s="40" t="str">
        <f>IFERROR(__xludf.DUMMYFUNCTION("""COMPUTED_VALUE"""),"semi-integral")</f>
        <v>semi-integral</v>
      </c>
      <c r="AG11" s="40"/>
      <c r="AH11" s="40" t="str">
        <f>IFERROR(__xludf.DUMMYFUNCTION("""COMPUTED_VALUE"""),"Inventario")</f>
        <v>Inventario</v>
      </c>
      <c r="AI11" s="40"/>
      <c r="AJ11" s="40" t="str">
        <f>IFERROR(__xludf.DUMMYFUNCTION("""COMPUTED_VALUE"""),"Buriticá")</f>
        <v>Buriticá</v>
      </c>
      <c r="AK11" s="40" t="str">
        <f>IFERROR(__xludf.DUMMYFUNCTION("""COMPUTED_VALUE"""),"No aplica")</f>
        <v>No aplica</v>
      </c>
      <c r="AL11" s="40"/>
      <c r="AM11" s="40">
        <f>IFERROR(__xludf.DUMMYFUNCTION("""COMPUTED_VALUE"""),3.204643026E9)</f>
        <v>3204643026</v>
      </c>
      <c r="AN11" s="40">
        <f>IFERROR(__xludf.DUMMYFUNCTION("""COMPUTED_VALUE"""),3.165286933E9)</f>
        <v>3165286933</v>
      </c>
      <c r="AO11" s="40"/>
      <c r="AP11" s="40" t="str">
        <f>IFERROR(__xludf.DUMMYFUNCTION("""COMPUTED_VALUE"""),"Calle 38 # 8-04")</f>
        <v>Calle 38 # 8-04</v>
      </c>
      <c r="AQ11" s="40"/>
      <c r="AR11" s="40"/>
      <c r="AS11" s="53">
        <f>IFERROR(__xludf.DUMMYFUNCTION("""COMPUTED_VALUE"""),0.0)</f>
        <v>0</v>
      </c>
      <c r="AT11" s="40">
        <f>IFERROR(__xludf.DUMMYFUNCTION("""COMPUTED_VALUE"""),0.0)</f>
        <v>0</v>
      </c>
      <c r="AU11" s="40">
        <f>IFERROR(__xludf.DUMMYFUNCTION("""COMPUTED_VALUE"""),0.0)</f>
        <v>0</v>
      </c>
      <c r="AV11" s="40">
        <f>IFERROR(__xludf.DUMMYFUNCTION("""COMPUTED_VALUE"""),0.0)</f>
        <v>0</v>
      </c>
      <c r="AW11" s="40" t="str">
        <f>IFERROR(__xludf.DUMMYFUNCTION("""COMPUTED_VALUE"""),"NO")</f>
        <v>NO</v>
      </c>
      <c r="AX11" s="40">
        <f>IFERROR(__xludf.DUMMYFUNCTION("""COMPUTED_VALUE"""),0.0)</f>
        <v>0</v>
      </c>
      <c r="AY11" s="40" t="str">
        <f>IFERROR(__xludf.DUMMYFUNCTION("""COMPUTED_VALUE"""),"P")</f>
        <v>P</v>
      </c>
      <c r="AZ11" s="40"/>
      <c r="BA11" s="40" t="str">
        <f>IFERROR(__xludf.DUMMYFUNCTION("""COMPUTED_VALUE"""),"X")</f>
        <v>X</v>
      </c>
      <c r="BB11" s="40"/>
      <c r="BC11" s="53" t="str">
        <f>IFERROR(__xludf.DUMMYFUNCTION("""COMPUTED_VALUE"""),"12 - LEIDY YULIETH")</f>
        <v>12 - LEIDY YULIETH</v>
      </c>
      <c r="BD11" s="40"/>
      <c r="BE11" s="48"/>
      <c r="BF11" s="48"/>
    </row>
    <row r="12">
      <c r="A12" s="39" t="str">
        <f>IFERROR(__xludf.DUMMYFUNCTION("""COMPUTED_VALUE"""),"3997")</f>
        <v>3997</v>
      </c>
      <c r="B12" s="40" t="str">
        <f>IFERROR(__xludf.DUMMYFUNCTION("""COMPUTED_VALUE"""),"Casa en barrio Los Cámbulos II")</f>
        <v>Casa en barrio Los Cámbulos II</v>
      </c>
      <c r="C12" s="40" t="str">
        <f>IFERROR(__xludf.DUMMYFUNCTION("""COMPUTED_VALUE"""),"Casa")</f>
        <v>Casa</v>
      </c>
      <c r="D12" s="40" t="str">
        <f>IFERROR(__xludf.DUMMYFUNCTION("""COMPUTED_VALUE"""),"Los Cámbulos II")</f>
        <v>Los Cámbulos II</v>
      </c>
      <c r="E12" s="42"/>
      <c r="F12" s="42">
        <f>IFERROR(__xludf.DUMMYFUNCTION("""COMPUTED_VALUE"""),3.2E8)</f>
        <v>320000000</v>
      </c>
      <c r="G12" s="40" t="str">
        <f>IFERROR(__xludf.DUMMYFUNCTION("""COMPUTED_VALUE"""),"$300'000.000 a $400'000.000")</f>
        <v>$300'000.000 a $400'000.000</v>
      </c>
      <c r="H12" s="40"/>
      <c r="I12" s="40"/>
      <c r="J12" s="40" t="str">
        <f>IFERROR(__xludf.DUMMYFUNCTION("""COMPUTED_VALUE"""),"Norte")</f>
        <v>Norte</v>
      </c>
      <c r="K12" s="39" t="str">
        <f>IFERROR(__xludf.DUMMYFUNCTION("""COMPUTED_VALUE"""),"2")</f>
        <v>2</v>
      </c>
      <c r="L12" s="40">
        <f>IFERROR(__xludf.DUMMYFUNCTION("""COMPUTED_VALUE"""),4.0)</f>
        <v>4</v>
      </c>
      <c r="M12" s="40"/>
      <c r="N12" s="40">
        <f>IFERROR(__xludf.DUMMYFUNCTION("""COMPUTED_VALUE"""),2.0)</f>
        <v>2</v>
      </c>
      <c r="O12" s="40">
        <f>IFERROR(__xludf.DUMMYFUNCTION("""COMPUTED_VALUE"""),1.0)</f>
        <v>1</v>
      </c>
      <c r="P12" s="40">
        <f>IFERROR(__xludf.DUMMYFUNCTION("""COMPUTED_VALUE"""),2.0)</f>
        <v>2</v>
      </c>
      <c r="Q12" s="48"/>
      <c r="R12" s="48">
        <f>IFERROR(__xludf.DUMMYFUNCTION("""COMPUTED_VALUE"""),84.0)</f>
        <v>84</v>
      </c>
      <c r="S12" s="39" t="str">
        <f>IFERROR(__xludf.DUMMYFUNCTION("""COMPUTED_VALUE""")," ")</f>
        <v> </v>
      </c>
      <c r="T12" s="40" t="str">
        <f>IFERROR(__xludf.DUMMYFUNCTION("""COMPUTED_VALUE"""),"Neiva")</f>
        <v>Neiva</v>
      </c>
      <c r="U12" s="39" t="str">
        <f>IFERROR(__xludf.DUMMYFUNCTION("""COMPUTED_VALUE"""),"3")</f>
        <v>3</v>
      </c>
      <c r="V12" s="40" t="str">
        <f>IFERROR(__xludf.DUMMYFUNCTION("""COMPUTED_VALUE"""),"Medianera")</f>
        <v>Medianera</v>
      </c>
      <c r="W12" s="46"/>
      <c r="X12" s="46">
        <f>IFERROR(__xludf.DUMMYFUNCTION("""COMPUTED_VALUE"""),3.0)</f>
        <v>3</v>
      </c>
      <c r="Y12" s="40" t="str">
        <f>IFERROR(__xludf.DUMMYFUNCTION("""COMPUTED_VALUE"""),"No tiene")</f>
        <v>No tiene</v>
      </c>
      <c r="Z12" s="42" t="str">
        <f>IFERROR(__xludf.DUMMYFUNCTION("""COMPUTED_VALUE"""),"No aplica")</f>
        <v>No aplica</v>
      </c>
      <c r="AA12" s="49" t="str">
        <f>IFERROR(__xludf.DUMMYFUNCTION("""COMPUTED_VALUE"""),"No aplica")</f>
        <v>No aplica</v>
      </c>
      <c r="AB12" s="40"/>
      <c r="AC12" s="40"/>
      <c r="AD12" s="40"/>
      <c r="AE12" s="40"/>
      <c r="AF12" s="40" t="str">
        <f>IFERROR(__xludf.DUMMYFUNCTION("""COMPUTED_VALUE"""),"integral")</f>
        <v>integral</v>
      </c>
      <c r="AG12" s="40"/>
      <c r="AH12" s="40" t="str">
        <f>IFERROR(__xludf.DUMMYFUNCTION("""COMPUTED_VALUE"""),"Inventario")</f>
        <v>Inventario</v>
      </c>
      <c r="AI12" s="40"/>
      <c r="AJ12" s="40" t="str">
        <f>IFERROR(__xludf.DUMMYFUNCTION("""COMPUTED_VALUE"""),"Buriticá")</f>
        <v>Buriticá</v>
      </c>
      <c r="AK12" s="40" t="str">
        <f>IFERROR(__xludf.DUMMYFUNCTION("""COMPUTED_VALUE"""),"No aplica")</f>
        <v>No aplica</v>
      </c>
      <c r="AL12" s="40"/>
      <c r="AM12" s="40">
        <f>IFERROR(__xludf.DUMMYFUNCTION("""COMPUTED_VALUE"""),3.204643026E9)</f>
        <v>3204643026</v>
      </c>
      <c r="AN12" s="40">
        <f>IFERROR(__xludf.DUMMYFUNCTION("""COMPUTED_VALUE"""),3.165286933E9)</f>
        <v>3165286933</v>
      </c>
      <c r="AO12" s="40"/>
      <c r="AP12" s="40" t="str">
        <f>IFERROR(__xludf.DUMMYFUNCTION("""COMPUTED_VALUE"""),"Carrera 12 # 27-38")</f>
        <v>Carrera 12 # 27-38</v>
      </c>
      <c r="AQ12" s="40"/>
      <c r="AR12" s="40"/>
      <c r="AS12" s="53"/>
      <c r="AT12" s="40">
        <f>IFERROR(__xludf.DUMMYFUNCTION("""COMPUTED_VALUE"""),0.0)</f>
        <v>0</v>
      </c>
      <c r="AU12" s="40">
        <f>IFERROR(__xludf.DUMMYFUNCTION("""COMPUTED_VALUE"""),0.0)</f>
        <v>0</v>
      </c>
      <c r="AV12" s="40">
        <f>IFERROR(__xludf.DUMMYFUNCTION("""COMPUTED_VALUE"""),0.0)</f>
        <v>0</v>
      </c>
      <c r="AW12" s="40" t="str">
        <f>IFERROR(__xludf.DUMMYFUNCTION("""COMPUTED_VALUE"""),"SI")</f>
        <v>SI</v>
      </c>
      <c r="AX12" s="40">
        <f>IFERROR(__xludf.DUMMYFUNCTION("""COMPUTED_VALUE"""),0.0)</f>
        <v>0</v>
      </c>
      <c r="AY12" s="40" t="str">
        <f>IFERROR(__xludf.DUMMYFUNCTION("""COMPUTED_VALUE"""),"P")</f>
        <v>P</v>
      </c>
      <c r="AZ12" s="40"/>
      <c r="BA12" s="40" t="str">
        <f>IFERROR(__xludf.DUMMYFUNCTION("""COMPUTED_VALUE"""),"X")</f>
        <v>X</v>
      </c>
      <c r="BB12" s="40"/>
      <c r="BC12" s="53"/>
      <c r="BD12" s="48"/>
      <c r="BE12" s="48"/>
      <c r="BF12" s="48"/>
    </row>
    <row r="13">
      <c r="A13" s="39" t="str">
        <f>IFERROR(__xludf.DUMMYFUNCTION("""COMPUTED_VALUE"""),"3384")</f>
        <v>3384</v>
      </c>
      <c r="B13" s="40" t="str">
        <f>IFERROR(__xludf.DUMMYFUNCTION("""COMPUTED_VALUE"""),"Casa en barrio Los Molinos")</f>
        <v>Casa en barrio Los Molinos</v>
      </c>
      <c r="C13" s="40" t="str">
        <f>IFERROR(__xludf.DUMMYFUNCTION("""COMPUTED_VALUE"""),"Casa")</f>
        <v>Casa</v>
      </c>
      <c r="D13" s="40" t="str">
        <f>IFERROR(__xludf.DUMMYFUNCTION("""COMPUTED_VALUE"""),"Los Molinos")</f>
        <v>Los Molinos</v>
      </c>
      <c r="E13" s="40"/>
      <c r="F13" s="42">
        <f>IFERROR(__xludf.DUMMYFUNCTION("""COMPUTED_VALUE"""),2.6E8)</f>
        <v>260000000</v>
      </c>
      <c r="G13" s="40" t="str">
        <f>IFERROR(__xludf.DUMMYFUNCTION("""COMPUTED_VALUE"""),"$200'000.000 a $300'000.000")</f>
        <v>$200'000.000 a $300'000.000</v>
      </c>
      <c r="H13" s="40"/>
      <c r="I13" s="40"/>
      <c r="J13" s="40" t="str">
        <f>IFERROR(__xludf.DUMMYFUNCTION("""COMPUTED_VALUE"""),"Norte")</f>
        <v>Norte</v>
      </c>
      <c r="K13" s="39" t="str">
        <f>IFERROR(__xludf.DUMMYFUNCTION("""COMPUTED_VALUE"""),"2")</f>
        <v>2</v>
      </c>
      <c r="L13" s="40">
        <f>IFERROR(__xludf.DUMMYFUNCTION("""COMPUTED_VALUE"""),3.0)</f>
        <v>3</v>
      </c>
      <c r="M13" s="40"/>
      <c r="N13" s="40">
        <f>IFERROR(__xludf.DUMMYFUNCTION("""COMPUTED_VALUE"""),3.0)</f>
        <v>3</v>
      </c>
      <c r="O13" s="40">
        <f>IFERROR(__xludf.DUMMYFUNCTION("""COMPUTED_VALUE"""),1.0)</f>
        <v>1</v>
      </c>
      <c r="P13" s="40">
        <f>IFERROR(__xludf.DUMMYFUNCTION("""COMPUTED_VALUE"""),2.0)</f>
        <v>2</v>
      </c>
      <c r="Q13" s="48">
        <f>IFERROR(__xludf.DUMMYFUNCTION("""COMPUTED_VALUE"""),155.0)</f>
        <v>155</v>
      </c>
      <c r="R13" s="48">
        <f>IFERROR(__xludf.DUMMYFUNCTION("""COMPUTED_VALUE"""),90.0)</f>
        <v>90</v>
      </c>
      <c r="S13" s="39" t="str">
        <f>IFERROR(__xludf.DUMMYFUNCTION("""COMPUTED_VALUE""")," ")</f>
        <v> </v>
      </c>
      <c r="T13" s="40" t="str">
        <f>IFERROR(__xludf.DUMMYFUNCTION("""COMPUTED_VALUE"""),"Neiva")</f>
        <v>Neiva</v>
      </c>
      <c r="U13" s="39" t="str">
        <f>IFERROR(__xludf.DUMMYFUNCTION("""COMPUTED_VALUE"""),"4")</f>
        <v>4</v>
      </c>
      <c r="V13" s="40" t="str">
        <f>IFERROR(__xludf.DUMMYFUNCTION("""COMPUTED_VALUE"""),"Medianera")</f>
        <v>Medianera</v>
      </c>
      <c r="W13" s="46"/>
      <c r="X13" s="46">
        <f>IFERROR(__xludf.DUMMYFUNCTION("""COMPUTED_VALUE"""),3.0)</f>
        <v>3</v>
      </c>
      <c r="Y13" s="40" t="str">
        <f>IFERROR(__xludf.DUMMYFUNCTION("""COMPUTED_VALUE"""),"No tiene")</f>
        <v>No tiene</v>
      </c>
      <c r="Z13" s="42" t="str">
        <f>IFERROR(__xludf.DUMMYFUNCTION("""COMPUTED_VALUE"""),"No aplica")</f>
        <v>No aplica</v>
      </c>
      <c r="AA13" s="49" t="str">
        <f>IFERROR(__xludf.DUMMYFUNCTION("""COMPUTED_VALUE"""),"No aplica")</f>
        <v>No aplica</v>
      </c>
      <c r="AB13" s="40"/>
      <c r="AC13" s="40"/>
      <c r="AD13" s="40"/>
      <c r="AE13" s="40"/>
      <c r="AF13" s="40" t="str">
        <f>IFERROR(__xludf.DUMMYFUNCTION("""COMPUTED_VALUE"""),"integral")</f>
        <v>integral</v>
      </c>
      <c r="AG13" s="40"/>
      <c r="AH13" s="40" t="str">
        <f>IFERROR(__xludf.DUMMYFUNCTION("""COMPUTED_VALUE"""),"Inventario")</f>
        <v>Inventario</v>
      </c>
      <c r="AI13" s="40"/>
      <c r="AJ13" s="40" t="str">
        <f>IFERROR(__xludf.DUMMYFUNCTION("""COMPUTED_VALUE"""),"Buriticá")</f>
        <v>Buriticá</v>
      </c>
      <c r="AK13" s="40"/>
      <c r="AL13" s="40" t="str">
        <f>IFERROR(__xludf.DUMMYFUNCTION("""COMPUTED_VALUE"""),"TIENE FOTOS")</f>
        <v>TIENE FOTOS</v>
      </c>
      <c r="AM13" s="40">
        <f>IFERROR(__xludf.DUMMYFUNCTION("""COMPUTED_VALUE"""),3.212323681E9)</f>
        <v>3212323681</v>
      </c>
      <c r="AN13" s="40">
        <f>IFERROR(__xludf.DUMMYFUNCTION("""COMPUTED_VALUE"""),3.135781638E9)</f>
        <v>3135781638</v>
      </c>
      <c r="AO13" s="40"/>
      <c r="AP13" s="40" t="str">
        <f>IFERROR(__xludf.DUMMYFUNCTION("""COMPUTED_VALUE"""),"CALLE 36 No. 8F - 90")</f>
        <v>CALLE 36 No. 8F - 90</v>
      </c>
      <c r="AQ13" s="40"/>
      <c r="AR13" s="40"/>
      <c r="AS13" s="53">
        <f>IFERROR(__xludf.DUMMYFUNCTION("""COMPUTED_VALUE"""),0.0)</f>
        <v>0</v>
      </c>
      <c r="AT13" s="40">
        <f>IFERROR(__xludf.DUMMYFUNCTION("""COMPUTED_VALUE"""),0.0)</f>
        <v>0</v>
      </c>
      <c r="AU13" s="40">
        <f>IFERROR(__xludf.DUMMYFUNCTION("""COMPUTED_VALUE"""),0.0)</f>
        <v>0</v>
      </c>
      <c r="AV13" s="40">
        <f>IFERROR(__xludf.DUMMYFUNCTION("""COMPUTED_VALUE"""),0.0)</f>
        <v>0</v>
      </c>
      <c r="AW13" s="40" t="str">
        <f>IFERROR(__xludf.DUMMYFUNCTION("""COMPUTED_VALUE"""),"NO")</f>
        <v>NO</v>
      </c>
      <c r="AX13" s="40">
        <f>IFERROR(__xludf.DUMMYFUNCTION("""COMPUTED_VALUE"""),0.0)</f>
        <v>0</v>
      </c>
      <c r="AY13" s="40">
        <f>IFERROR(__xludf.DUMMYFUNCTION("""COMPUTED_VALUE"""),0.0)</f>
        <v>0</v>
      </c>
      <c r="AZ13" s="40">
        <f>IFERROR(__xludf.DUMMYFUNCTION("""COMPUTED_VALUE"""),0.0)</f>
        <v>0</v>
      </c>
      <c r="BA13" s="40" t="str">
        <f>IFERROR(__xludf.DUMMYFUNCTION("""COMPUTED_VALUE"""),"X")</f>
        <v>X</v>
      </c>
      <c r="BB13" s="40">
        <f>IFERROR(__xludf.DUMMYFUNCTION("""COMPUTED_VALUE"""),0.0)</f>
        <v>0</v>
      </c>
      <c r="BC13" s="53" t="str">
        <f>IFERROR(__xludf.DUMMYFUNCTION("""COMPUTED_VALUE"""),"35 - LUIS ANGEL VARGAS")</f>
        <v>35 - LUIS ANGEL VARGAS</v>
      </c>
      <c r="BD13" s="48"/>
      <c r="BE13" s="48"/>
      <c r="BF13" s="48"/>
    </row>
    <row r="14">
      <c r="A14" s="39" t="str">
        <f>IFERROR(__xludf.DUMMYFUNCTION("""COMPUTED_VALUE"""),"1246")</f>
        <v>1246</v>
      </c>
      <c r="B14" s="40" t="str">
        <f>IFERROR(__xludf.DUMMYFUNCTION("""COMPUTED_VALUE"""),"Casa con dos apartamentos y tres oficinas en barrio La Toma")</f>
        <v>Casa con dos apartamentos y tres oficinas en barrio La Toma</v>
      </c>
      <c r="C14" s="40" t="str">
        <f>IFERROR(__xludf.DUMMYFUNCTION("""COMPUTED_VALUE"""),"Casa rentable")</f>
        <v>Casa rentable</v>
      </c>
      <c r="D14" s="40" t="str">
        <f>IFERROR(__xludf.DUMMYFUNCTION("""COMPUTED_VALUE"""),"La Toma")</f>
        <v>La Toma</v>
      </c>
      <c r="E14" s="42" t="str">
        <f>IFERROR(__xludf.DUMMYFUNCTION("""COMPUTED_VALUE""")," ")</f>
        <v> </v>
      </c>
      <c r="F14" s="42">
        <f>IFERROR(__xludf.DUMMYFUNCTION("""COMPUTED_VALUE"""),8.0E8)</f>
        <v>800000000</v>
      </c>
      <c r="G14" s="40" t="str">
        <f>IFERROR(__xludf.DUMMYFUNCTION("""COMPUTED_VALUE"""),"$500'000.000 a $1.000'000.000")</f>
        <v>$500'000.000 a $1.000'000.000</v>
      </c>
      <c r="H14" s="40"/>
      <c r="I14" s="40"/>
      <c r="J14" s="40" t="str">
        <f>IFERROR(__xludf.DUMMYFUNCTION("""COMPUTED_VALUE"""),"Centro")</f>
        <v>Centro</v>
      </c>
      <c r="K14" s="39" t="str">
        <f>IFERROR(__xludf.DUMMYFUNCTION("""COMPUTED_VALUE"""),"3")</f>
        <v>3</v>
      </c>
      <c r="L14" s="40">
        <f>IFERROR(__xludf.DUMMYFUNCTION("""COMPUTED_VALUE"""),9.0)</f>
        <v>9</v>
      </c>
      <c r="M14" s="40"/>
      <c r="N14" s="40">
        <f>IFERROR(__xludf.DUMMYFUNCTION("""COMPUTED_VALUE"""),5.0)</f>
        <v>5</v>
      </c>
      <c r="O14" s="40">
        <f>IFERROR(__xludf.DUMMYFUNCTION("""COMPUTED_VALUE"""),3.0)</f>
        <v>3</v>
      </c>
      <c r="P14" s="40">
        <f>IFERROR(__xludf.DUMMYFUNCTION("""COMPUTED_VALUE"""),3.0)</f>
        <v>3</v>
      </c>
      <c r="Q14" s="48"/>
      <c r="R14" s="48">
        <f>IFERROR(__xludf.DUMMYFUNCTION("""COMPUTED_VALUE"""),121.0)</f>
        <v>121</v>
      </c>
      <c r="S14" s="39" t="str">
        <f>IFERROR(__xludf.DUMMYFUNCTION("""COMPUTED_VALUE"""),"Rentabilidad $2,300,000")</f>
        <v>Rentabilidad $2,300,000</v>
      </c>
      <c r="T14" s="40" t="str">
        <f>IFERROR(__xludf.DUMMYFUNCTION("""COMPUTED_VALUE"""),"Neiva")</f>
        <v>Neiva</v>
      </c>
      <c r="U14" s="39" t="str">
        <f>IFERROR(__xludf.DUMMYFUNCTION("""COMPUTED_VALUE"""),"3")</f>
        <v>3</v>
      </c>
      <c r="V14" s="40" t="str">
        <f>IFERROR(__xludf.DUMMYFUNCTION("""COMPUTED_VALUE"""),"Medianera")</f>
        <v>Medianera</v>
      </c>
      <c r="W14" s="46"/>
      <c r="X14" s="46">
        <f>IFERROR(__xludf.DUMMYFUNCTION("""COMPUTED_VALUE"""),6.0)</f>
        <v>6</v>
      </c>
      <c r="Y14" s="40" t="str">
        <f>IFERROR(__xludf.DUMMYFUNCTION("""COMPUTED_VALUE"""),"No tiene")</f>
        <v>No tiene</v>
      </c>
      <c r="Z14" s="42" t="str">
        <f>IFERROR(__xludf.DUMMYFUNCTION("""COMPUTED_VALUE"""),"No aplica")</f>
        <v>No aplica</v>
      </c>
      <c r="AA14" s="49" t="str">
        <f>IFERROR(__xludf.DUMMYFUNCTION("""COMPUTED_VALUE"""),"29 años")</f>
        <v>29 años</v>
      </c>
      <c r="AB14" s="66" t="str">
        <f>IFERROR(__xludf.DUMMYFUNCTION("""COMPUTED_VALUE"""),"https://photos.app.goo.gl/ifKcNM57JsW8PTto8")</f>
        <v>https://photos.app.goo.gl/ifKcNM57JsW8PTto8</v>
      </c>
      <c r="AC14" s="40" t="str">
        <f>IFERROR(__xludf.DUMMYFUNCTION("""COMPUTED_VALUE"""),"Se Vende casa de 3 pisos con un área de 121 m2 consta:                  Primer piso: 3 oficinas, baño privado, baño auxiliar, 3 parqueaderos.           Segundo piso: 3 habitaciones, baño privado, baño auxiliar, 3 closets de madera, 2 A.A, cocina integral,"&amp;" la divisiones de los baños son en vidrios, sala comedor, patio de ropas, zona de lavandería.       Tercer piso: 3 habitaciones, sala comedor, baño privado, baño auxiliar, 3 closets de madera, 1 A.A, cocina semiintegral, el baño auxiliar tiene divisiones "&amp;"en vidrio,patio de ropas, zona de lavandería, garaje.")</f>
        <v>Se Vende casa de 3 pisos con un área de 121 m2 consta:                  Primer piso: 3 oficinas, baño privado, baño auxiliar, 3 parqueaderos.           Segundo piso: 3 habitaciones, baño privado, baño auxiliar, 3 closets de madera, 2 A.A, cocina integral, la divisiones de los baños son en vidrios, sala comedor, patio de ropas, zona de lavandería.       Tercer piso: 3 habitaciones, sala comedor, baño privado, baño auxiliar, 3 closets de madera, 1 A.A, cocina semiintegral, el baño auxiliar tiene divisiones en vidrio,patio de ropas, zona de lavandería, garaje.</v>
      </c>
      <c r="AD14" s="40"/>
      <c r="AE14" s="40"/>
      <c r="AF14" s="40" t="str">
        <f>IFERROR(__xludf.DUMMYFUNCTION("""COMPUTED_VALUE"""),"semi-integral")</f>
        <v>semi-integral</v>
      </c>
      <c r="AG14" s="40" t="str">
        <f>IFERROR(__xludf.DUMMYFUNCTION("""COMPUTED_VALUE"""),"SI")</f>
        <v>SI</v>
      </c>
      <c r="AH14" s="40" t="str">
        <f>IFERROR(__xludf.DUMMYFUNCTION("""COMPUTED_VALUE"""),"Inventario")</f>
        <v>Inventario</v>
      </c>
      <c r="AI14" s="40" t="str">
        <f>IFERROR(__xludf.DUMMYFUNCTION("""COMPUTED_VALUE"""),"Aliado")</f>
        <v>Aliado</v>
      </c>
      <c r="AJ14" s="40" t="str">
        <f>IFERROR(__xludf.DUMMYFUNCTION("""COMPUTED_VALUE"""),"C&amp;C")</f>
        <v>C&amp;C</v>
      </c>
      <c r="AK14" s="40" t="str">
        <f>IFERROR(__xludf.DUMMYFUNCTION("""COMPUTED_VALUE"""),"No aplica")</f>
        <v>No aplica</v>
      </c>
      <c r="AL14" s="40" t="str">
        <f>IFERROR(__xludf.DUMMYFUNCTION("""COMPUTED_VALUE"""),"TIENE FOTOS")</f>
        <v>TIENE FOTOS</v>
      </c>
      <c r="AM14" s="40">
        <f>IFERROR(__xludf.DUMMYFUNCTION("""COMPUTED_VALUE"""),3.13351965E9)</f>
        <v>3133519650</v>
      </c>
      <c r="AN14" s="40">
        <f>IFERROR(__xludf.DUMMYFUNCTION("""COMPUTED_VALUE"""),0.0)</f>
        <v>0</v>
      </c>
      <c r="AO14" s="40"/>
      <c r="AP14" s="40" t="str">
        <f>IFERROR(__xludf.DUMMYFUNCTION("""COMPUTED_VALUE"""),"CARRERA 7A No. 13-27")</f>
        <v>CARRERA 7A No. 13-27</v>
      </c>
      <c r="AQ14" s="40">
        <f>IFERROR(__xludf.DUMMYFUNCTION("""COMPUTED_VALUE"""),2.9323784)</f>
        <v>2.9323784</v>
      </c>
      <c r="AR14" s="40">
        <f>IFERROR(__xludf.DUMMYFUNCTION("""COMPUTED_VALUE"""),-75.2875936)</f>
        <v>-75.2875936</v>
      </c>
      <c r="AS14" s="53">
        <f>IFERROR(__xludf.DUMMYFUNCTION("""COMPUTED_VALUE"""),2300000.0)</f>
        <v>2300000</v>
      </c>
      <c r="AT14" s="40">
        <f>IFERROR(__xludf.DUMMYFUNCTION("""COMPUTED_VALUE"""),0.0)</f>
        <v>0</v>
      </c>
      <c r="AU14" s="40" t="str">
        <f>IFERROR(__xludf.DUMMYFUNCTION("""COMPUTED_VALUE"""),"NO")</f>
        <v>NO</v>
      </c>
      <c r="AV14" s="40">
        <f>IFERROR(__xludf.DUMMYFUNCTION("""COMPUTED_VALUE"""),0.0)</f>
        <v>0</v>
      </c>
      <c r="AW14" s="40" t="str">
        <f>IFERROR(__xludf.DUMMYFUNCTION("""COMPUTED_VALUE"""),"SI")</f>
        <v>SI</v>
      </c>
      <c r="AX14" s="40">
        <f>IFERROR(__xludf.DUMMYFUNCTION("""COMPUTED_VALUE"""),0.0)</f>
        <v>0</v>
      </c>
      <c r="AY14" s="40" t="str">
        <f>IFERROR(__xludf.DUMMYFUNCTION("""COMPUTED_VALUE"""),"P")</f>
        <v>P</v>
      </c>
      <c r="AZ14" s="40">
        <f>IFERROR(__xludf.DUMMYFUNCTION("""COMPUTED_VALUE"""),0.0)</f>
        <v>0</v>
      </c>
      <c r="BA14" s="40" t="str">
        <f>IFERROR(__xludf.DUMMYFUNCTION("""COMPUTED_VALUE"""),"X")</f>
        <v>X</v>
      </c>
      <c r="BB14" s="40">
        <f>IFERROR(__xludf.DUMMYFUNCTION("""COMPUTED_VALUE"""),0.0)</f>
        <v>0</v>
      </c>
      <c r="BC14" s="53" t="str">
        <f>IFERROR(__xludf.DUMMYFUNCTION("""COMPUTED_VALUE"""),"2 - JAIRO DIAZ, 7 - ROCIO YAGUARA VELA, NUBIA DIAZ, 22 - JOSE LUIS OYOLA, 12 - LEIDY YULIETH")</f>
        <v>2 - JAIRO DIAZ, 7 - ROCIO YAGUARA VELA, NUBIA DIAZ, 22 - JOSE LUIS OYOLA, 12 - LEIDY YULIETH</v>
      </c>
      <c r="BD14" s="48"/>
      <c r="BE14" s="48"/>
      <c r="BF14" s="48" t="str">
        <f>IFERROR(__xludf.DUMMYFUNCTION("""COMPUTED_VALUE"""),"https://lh3.googleusercontent.com/pw/AP1GczNc9V_zOX1I5Vo0-TJMJZPQnsUyo5dHvS45ar1gHQNmgLOlf9BhkBu3Jsu1u0vgPqSthU61tk05uH31jOQmKRu-yj2IzIxmSTPYkfV90qard0F76CqE=w1200|https://lh3.googleusercontent.com/pw/AP1GczM_vrVuds_4Xn5s3EpZn8nTSbiMN_4xRJoHK6syWY70YPjIjw"&amp;"lpvpTe76VHFeK0qETMjXytkFdvwfR05rsjCN96-ML0zUXec5iJzPtBv6C23oncxzvU=w1200|https://lh3.googleusercontent.com/pw/AP1GczMUzsCUU7xlyTPUE1LU0gpMjepnJnAbDPPhbHkA09QQqrJrwXb3RiOdCOmHd6cZuClMtt8NC5Gqtio_-sB5BMXuDm7ivwoaYs1wQPHNz_bam4bReEJA=w1200|https://lh3.google"&amp;"usercontent.com/pw/AP1GczMG_jbiCM-pEj1_r1dED_h5qgbv-L88KdTckPSZxGLqYErGnkZNwhorjnVtGUHOdLfePzuLWDFNtWVqByTngNfhCrWsmK3NSLqZ_BUwZiGfEKZfLAWX=w1200|https://lh3.googleusercontent.com/pw/AP1GczNQ_--b9jbZcGUMSMwpunX1kMZiVWTFCpjQNf2nrlrN4NQkJaxLGvGMwU0GC1P1bQpC"&amp;"m0bxaEy4ep9cV2ulkPuHRNn_efD4oUA430rKsvJIrgLSDfUh=w1200|https://lh3.googleusercontent.com/pw/AP1GczMplg7WAe0RcdAP1bRlXkUQCqtSXhNjGxitCWZa9C6h0ZzyawNPVWbPuE_1hdGQisevnhGFL415SKQaepPlxNqHZBOdzFi8PFeORk0__fvKWLyVYAJ7=w1200|https://lh3.googleusercontent.com/pw"&amp;"/AP1GczP0E9UY-jzh_i78FjIkoRZBR867FOFLPVuhcuT4ZFQqTk4WEYlQ5vFO6GuZWCkkCfW8B9TFQA64urTDyp34TC8k5S-20OweQl831p6ZODOnfaukyKXX=w1200|https://lh3.googleusercontent.com/pw/AP1GczMFbDWi4BgICAdAA0d0FHvli9abwy7ywGe4DyS1XD5vosYRLynBVN9gszL43_qoZMJCSRlzu4yrrzyCJmtxb9"&amp;"NF575p8TGgH7o9VhXbnHpG4E0b6I3D=w1200|https://lh3.googleusercontent.com/pw/AP1GczMwa7vZzb-Mxdgu6HoBFK4ygSbpV6Y_ayUqLtl8p_7B17YIQNy9zNRQTBAvR4JQN3_SCDuafRgRx7pFLmE5V2sDHGSUnC4LVrAZ2zi3raCUkZH29n7J=w1200|https://lh3.googleusercontent.com/pw/AP1GczMflwtWuopM4"&amp;"VI_5Y4XJIJd9ujybfsQ62s1yGWETEqHw6YtPqRglcdUEc8hF9znUFzbp6mWKRfyu5D4uynB_XzR27k9Wd4krAJJQKvPFJGKSN87pI9N=w1200|https://lh3.googleusercontent.com/pw/AP1GczN6f3RS_tBt_Kf__y8_w76R_ftRx_CwDxIh8eGaHg_NjxQ1SIdDS3jhBRcQ9bsWxG1IGbkz1WRzF3HxpBrWTRNfVouwpse4OE7-HiwQ"&amp;"ozHlF4Var59h=w1200|https://lh3.googleusercontent.com/pw/AP1GczOuouHUYqJwV0L9gxYqtpcrkF1JduK2jLDwbtk0YU7Fqc4evxhyIqTnqte60OaPGYOSC32EmiCbuLmwB4FBLHIbTajCQFEliTzQosltAJWFpurOnITX=w1200|https://lh3.googleusercontent.com/pw/AP1GczPem6fsrEpGb_X-JjtyEQcO6GPnDNp"&amp;"COy5jGkk4ci25kpe9dkN4sDfcDopOznjC9k9SokVvTpbjs1iytJuXqSYO8HFtUi3YWF2BMgR0UwwqMNSidzrS=w1200|https://lh3.googleusercontent.com/pw/AP1GczOF6MAvHp0jVYty0uT3aJNB0l9XY9ViwzL0qOC__EvWo1RSLf8OIameA1ANqvybKLJX_5heRrJwwA3-MpXs8zvj-vQK5rtOx7KU0RN1_pea_uZjkq0G=w1200"&amp;"|https://lh3.googleusercontent.com/pw/AP1GczNp7EiaFXurdX_5uAH2lfQ02jNx8dnoyZbDjaBpircYno1zwUWquYElLpV1qm93KclVLIyUCqHom5hOoKG-GwCzuH1Ln8TjsuEzdNhJ6IWydxlQxNQo=w1200|https://lh3.googleusercontent.com/pw/AP1GczPovAuwPGGGIzZKBthzoSEzjILGa0MGcjZ1GUkY3hauqngeT"&amp;"bCl9PUae5LCRGUzLQmIj0rGSu_dAhz9EFdoRHfwFJUZTe-sTt6ZrJOdZRtMZ4xhDyXW=w1200|https://lh3.googleusercontent.com/pw/AP1GczOL-Ie6Xbiz10NvOowR1bmi5z_CUHoyqlRLTpdcFNvIAoz8x0YRsway8K9IdILkn3UMLWhn-Hub2FZeDhhcnhGZ_Xx6QUrjA8IsaT-nC546gejDUsdg=w1200|https://lh3.googl"&amp;"eusercontent.com/pw/AP1GczNcc-36TgCoeHjDnsGuXqetTZrAV6tpF2jCcPdPqPPKmT5gliiQ6JwTmKTDV7JyihQL--F_FGtW1iTi6SnI9D9ZGr2j82DIiW-d_IS5-PaXhgx_NOhz=w1200|https://lh3.googleusercontent.com/pw/AP1GczPWxRZ-b5U9MZ8x4eyJ2PQy_jDQWFZ86n_DeP_CRtOu-CvGewMSP5Ka2tGT192_A2r"&amp;"_sO9cdcOgdGaNUGoxH9-_nDxFEo7_a0u-QhPa2l558IOUsHri=w1200")</f>
        <v>https://lh3.googleusercontent.com/pw/AP1GczNc9V_zOX1I5Vo0-TJMJZPQnsUyo5dHvS45ar1gHQNmgLOlf9BhkBu3Jsu1u0vgPqSthU61tk05uH31jOQmKRu-yj2IzIxmSTPYkfV90qard0F76CqE=w1200|https://lh3.googleusercontent.com/pw/AP1GczM_vrVuds_4Xn5s3EpZn8nTSbiMN_4xRJoHK6syWY70YPjIjwlpvpTe76VHFeK0qETMjXytkFdvwfR05rsjCN96-ML0zUXec5iJzPtBv6C23oncxzvU=w1200|https://lh3.googleusercontent.com/pw/AP1GczMUzsCUU7xlyTPUE1LU0gpMjepnJnAbDPPhbHkA09QQqrJrwXb3RiOdCOmHd6cZuClMtt8NC5Gqtio_-sB5BMXuDm7ivwoaYs1wQPHNz_bam4bReEJA=w1200|https://lh3.googleusercontent.com/pw/AP1GczMG_jbiCM-pEj1_r1dED_h5qgbv-L88KdTckPSZxGLqYErGnkZNwhorjnVtGUHOdLfePzuLWDFNtWVqByTngNfhCrWsmK3NSLqZ_BUwZiGfEKZfLAWX=w1200|https://lh3.googleusercontent.com/pw/AP1GczNQ_--b9jbZcGUMSMwpunX1kMZiVWTFCpjQNf2nrlrN4NQkJaxLGvGMwU0GC1P1bQpCm0bxaEy4ep9cV2ulkPuHRNn_efD4oUA430rKsvJIrgLSDfUh=w1200|https://lh3.googleusercontent.com/pw/AP1GczMplg7WAe0RcdAP1bRlXkUQCqtSXhNjGxitCWZa9C6h0ZzyawNPVWbPuE_1hdGQisevnhGFL415SKQaepPlxNqHZBOdzFi8PFeORk0__fvKWLyVYAJ7=w1200|https://lh3.googleusercontent.com/pw/AP1GczP0E9UY-jzh_i78FjIkoRZBR867FOFLPVuhcuT4ZFQqTk4WEYlQ5vFO6GuZWCkkCfW8B9TFQA64urTDyp34TC8k5S-20OweQl831p6ZODOnfaukyKXX=w1200|https://lh3.googleusercontent.com/pw/AP1GczMFbDWi4BgICAdAA0d0FHvli9abwy7ywGe4DyS1XD5vosYRLynBVN9gszL43_qoZMJCSRlzu4yrrzyCJmtxb9NF575p8TGgH7o9VhXbnHpG4E0b6I3D=w1200|https://lh3.googleusercontent.com/pw/AP1GczMwa7vZzb-Mxdgu6HoBFK4ygSbpV6Y_ayUqLtl8p_7B17YIQNy9zNRQTBAvR4JQN3_SCDuafRgRx7pFLmE5V2sDHGSUnC4LVrAZ2zi3raCUkZH29n7J=w1200|https://lh3.googleusercontent.com/pw/AP1GczMflwtWuopM4VI_5Y4XJIJd9ujybfsQ62s1yGWETEqHw6YtPqRglcdUEc8hF9znUFzbp6mWKRfyu5D4uynB_XzR27k9Wd4krAJJQKvPFJGKSN87pI9N=w1200|https://lh3.googleusercontent.com/pw/AP1GczN6f3RS_tBt_Kf__y8_w76R_ftRx_CwDxIh8eGaHg_NjxQ1SIdDS3jhBRcQ9bsWxG1IGbkz1WRzF3HxpBrWTRNfVouwpse4OE7-HiwQozHlF4Var59h=w1200|https://lh3.googleusercontent.com/pw/AP1GczOuouHUYqJwV0L9gxYqtpcrkF1JduK2jLDwbtk0YU7Fqc4evxhyIqTnqte60OaPGYOSC32EmiCbuLmwB4FBLHIbTajCQFEliTzQosltAJWFpurOnITX=w1200|https://lh3.googleusercontent.com/pw/AP1GczPem6fsrEpGb_X-JjtyEQcO6GPnDNpCOy5jGkk4ci25kpe9dkN4sDfcDopOznjC9k9SokVvTpbjs1iytJuXqSYO8HFtUi3YWF2BMgR0UwwqMNSidzrS=w1200|https://lh3.googleusercontent.com/pw/AP1GczOF6MAvHp0jVYty0uT3aJNB0l9XY9ViwzL0qOC__EvWo1RSLf8OIameA1ANqvybKLJX_5heRrJwwA3-MpXs8zvj-vQK5rtOx7KU0RN1_pea_uZjkq0G=w1200|https://lh3.googleusercontent.com/pw/AP1GczNp7EiaFXurdX_5uAH2lfQ02jNx8dnoyZbDjaBpircYno1zwUWquYElLpV1qm93KclVLIyUCqHom5hOoKG-GwCzuH1Ln8TjsuEzdNhJ6IWydxlQxNQo=w1200|https://lh3.googleusercontent.com/pw/AP1GczPovAuwPGGGIzZKBthzoSEzjILGa0MGcjZ1GUkY3hauqngeTbCl9PUae5LCRGUzLQmIj0rGSu_dAhz9EFdoRHfwFJUZTe-sTt6ZrJOdZRtMZ4xhDyXW=w1200|https://lh3.googleusercontent.com/pw/AP1GczOL-Ie6Xbiz10NvOowR1bmi5z_CUHoyqlRLTpdcFNvIAoz8x0YRsway8K9IdILkn3UMLWhn-Hub2FZeDhhcnhGZ_Xx6QUrjA8IsaT-nC546gejDUsdg=w1200|https://lh3.googleusercontent.com/pw/AP1GczNcc-36TgCoeHjDnsGuXqetTZrAV6tpF2jCcPdPqPPKmT5gliiQ6JwTmKTDV7JyihQL--F_FGtW1iTi6SnI9D9ZGr2j82DIiW-d_IS5-PaXhgx_NOhz=w1200|https://lh3.googleusercontent.com/pw/AP1GczPWxRZ-b5U9MZ8x4eyJ2PQy_jDQWFZ86n_DeP_CRtOu-CvGewMSP5Ka2tGT192_A2r_sO9cdcOgdGaNUGoxH9-_nDxFEo7_a0u-QhPa2l558IOUsHri=w1200</v>
      </c>
    </row>
    <row r="15">
      <c r="A15" s="39" t="str">
        <f>IFERROR(__xludf.DUMMYFUNCTION("""COMPUTED_VALUE"""),"912")</f>
        <v>912</v>
      </c>
      <c r="B15" s="40" t="str">
        <f>IFERROR(__xludf.DUMMYFUNCTION("""COMPUTED_VALUE"""),"Casa con un apartaestudio y dos locales en barrio Sevilla")</f>
        <v>Casa con un apartaestudio y dos locales en barrio Sevilla</v>
      </c>
      <c r="C15" s="40" t="str">
        <f>IFERROR(__xludf.DUMMYFUNCTION("""COMPUTED_VALUE"""),"Casa rentable")</f>
        <v>Casa rentable</v>
      </c>
      <c r="D15" s="40" t="str">
        <f>IFERROR(__xludf.DUMMYFUNCTION("""COMPUTED_VALUE"""),"Sevilla")</f>
        <v>Sevilla</v>
      </c>
      <c r="E15" s="40"/>
      <c r="F15" s="42">
        <f>IFERROR(__xludf.DUMMYFUNCTION("""COMPUTED_VALUE"""),6.3E8)</f>
        <v>630000000</v>
      </c>
      <c r="G15" s="40" t="str">
        <f>IFERROR(__xludf.DUMMYFUNCTION("""COMPUTED_VALUE"""),"$500'000.000 a $1.000'000.000")</f>
        <v>$500'000.000 a $1.000'000.000</v>
      </c>
      <c r="H15" s="40"/>
      <c r="I15" s="40"/>
      <c r="J15" s="40" t="str">
        <f>IFERROR(__xludf.DUMMYFUNCTION("""COMPUTED_VALUE"""),"Centro")</f>
        <v>Centro</v>
      </c>
      <c r="K15" s="39" t="str">
        <f>IFERROR(__xludf.DUMMYFUNCTION("""COMPUTED_VALUE"""),"3")</f>
        <v>3</v>
      </c>
      <c r="L15" s="40">
        <f>IFERROR(__xludf.DUMMYFUNCTION("""COMPUTED_VALUE"""),6.0)</f>
        <v>6</v>
      </c>
      <c r="M15" s="40"/>
      <c r="N15" s="40">
        <f>IFERROR(__xludf.DUMMYFUNCTION("""COMPUTED_VALUE"""),4.0)</f>
        <v>4</v>
      </c>
      <c r="O15" s="40">
        <f>IFERROR(__xludf.DUMMYFUNCTION("""COMPUTED_VALUE"""),1.0)</f>
        <v>1</v>
      </c>
      <c r="P15" s="40">
        <f>IFERROR(__xludf.DUMMYFUNCTION("""COMPUTED_VALUE"""),1.0)</f>
        <v>1</v>
      </c>
      <c r="Q15" s="48">
        <f>IFERROR(__xludf.DUMMYFUNCTION("""COMPUTED_VALUE"""),171.0)</f>
        <v>171</v>
      </c>
      <c r="R15" s="48">
        <f>IFERROR(__xludf.DUMMYFUNCTION("""COMPUTED_VALUE"""),171.0)</f>
        <v>171</v>
      </c>
      <c r="S15" s="39" t="str">
        <f>IFERROR(__xludf.DUMMYFUNCTION("""COMPUTED_VALUE"""),"Rentabilidad $1,500,000")</f>
        <v>Rentabilidad $1,500,000</v>
      </c>
      <c r="T15" s="40" t="str">
        <f>IFERROR(__xludf.DUMMYFUNCTION("""COMPUTED_VALUE"""),"Neiva")</f>
        <v>Neiva</v>
      </c>
      <c r="U15" s="39" t="str">
        <f>IFERROR(__xludf.DUMMYFUNCTION("""COMPUTED_VALUE"""),"4")</f>
        <v>4</v>
      </c>
      <c r="V15" s="40" t="str">
        <f>IFERROR(__xludf.DUMMYFUNCTION("""COMPUTED_VALUE"""),"Esquinera")</f>
        <v>Esquinera</v>
      </c>
      <c r="W15" s="46"/>
      <c r="X15" s="46">
        <f>IFERROR(__xludf.DUMMYFUNCTION("""COMPUTED_VALUE"""),4.0)</f>
        <v>4</v>
      </c>
      <c r="Y15" s="40" t="str">
        <f>IFERROR(__xludf.DUMMYFUNCTION("""COMPUTED_VALUE"""),"No tiene")</f>
        <v>No tiene</v>
      </c>
      <c r="Z15" s="42" t="str">
        <f>IFERROR(__xludf.DUMMYFUNCTION("""COMPUTED_VALUE"""),"No aplica")</f>
        <v>No aplica</v>
      </c>
      <c r="AA15" s="49" t="str">
        <f>IFERROR(__xludf.DUMMYFUNCTION("""COMPUTED_VALUE"""),"35 años")</f>
        <v>35 años</v>
      </c>
      <c r="AB15" s="105" t="str">
        <f>IFERROR(__xludf.DUMMYFUNCTION("""COMPUTED_VALUE"""),"https://photos.app.goo.gl/xZQqFfPcjaiK5Ky9A")</f>
        <v>https://photos.app.goo.gl/xZQqFfPcjaiK5Ky9A</v>
      </c>
      <c r="AC15" s="40" t="str">
        <f>IFERROR(__xludf.DUMMYFUNCTION("""COMPUTED_VALUE"""),"Casa esquinera con 171 mts2 estrato 2 consta de: 3 habitaciones 2 con baño, sala comedor, cocina semi-integral, zona de lavandería, patio, baño social, garaje, cuenta con 2 locales, 1 Aparta estudio con entrada independiente, pisos en cerámica, techo en M"&amp;"achimbre tipo español.")</f>
        <v>Casa esquinera con 171 mts2 estrato 2 consta de: 3 habitaciones 2 con baño, sala comedor, cocina semi-integral, zona de lavandería, patio, baño social, garaje, cuenta con 2 locales, 1 Aparta estudio con entrada independiente, pisos en cerámica, techo en Machimbre tipo español.</v>
      </c>
      <c r="AD15" s="40" t="str">
        <f>IFERROR(__xludf.DUMMYFUNCTION("""COMPUTED_VALUE"""),"Esquinera")</f>
        <v>Esquinera</v>
      </c>
      <c r="AE15" s="40"/>
      <c r="AF15" s="40" t="str">
        <f>IFERROR(__xludf.DUMMYFUNCTION("""COMPUTED_VALUE"""),"semi-integral")</f>
        <v>semi-integral</v>
      </c>
      <c r="AG15" s="40" t="str">
        <f>IFERROR(__xludf.DUMMYFUNCTION("""COMPUTED_VALUE"""),"SI")</f>
        <v>SI</v>
      </c>
      <c r="AH15" s="40" t="str">
        <f>IFERROR(__xludf.DUMMYFUNCTION("""COMPUTED_VALUE"""),"Inventario")</f>
        <v>Inventario</v>
      </c>
      <c r="AI15" s="40" t="str">
        <f>IFERROR(__xludf.DUMMYFUNCTION("""COMPUTED_VALUE"""),"Aliado")</f>
        <v>Aliado</v>
      </c>
      <c r="AJ15" s="40" t="str">
        <f>IFERROR(__xludf.DUMMYFUNCTION("""COMPUTED_VALUE"""),"C&amp;C")</f>
        <v>C&amp;C</v>
      </c>
      <c r="AK15" s="40" t="str">
        <f>IFERROR(__xludf.DUMMYFUNCTION("""COMPUTED_VALUE"""),"No aplica")</f>
        <v>No aplica</v>
      </c>
      <c r="AL15" s="40" t="str">
        <f>IFERROR(__xludf.DUMMYFUNCTION("""COMPUTED_VALUE"""),"TIENE FOTOS")</f>
        <v>TIENE FOTOS</v>
      </c>
      <c r="AM15" s="40">
        <f>IFERROR(__xludf.DUMMYFUNCTION("""COMPUTED_VALUE"""),3.13351965E9)</f>
        <v>3133519650</v>
      </c>
      <c r="AN15" s="40" t="str">
        <f>IFERROR(__xludf.DUMMYFUNCTION("""COMPUTED_VALUE"""),"3012305496-3172307994 PROPIETARIO")</f>
        <v>3012305496-3172307994 PROPIETARIO</v>
      </c>
      <c r="AO15" s="40" t="str">
        <f>IFERROR(__xludf.DUMMYFUNCTION("""COMPUTED_VALUE"""),"PROPIETARIO IRMA - BRANT MILLER- INMOBILIARIA CASA &amp; CASA")</f>
        <v>PROPIETARIO IRMA - BRANT MILLER- INMOBILIARIA CASA &amp; CASA</v>
      </c>
      <c r="AP15" s="40" t="str">
        <f>IFERROR(__xludf.DUMMYFUNCTION("""COMPUTED_VALUE"""),"CARRERA 6 NO.XXX-22")</f>
        <v>CARRERA 6 NO.XXX-22</v>
      </c>
      <c r="AQ15" s="40">
        <f>IFERROR(__xludf.DUMMYFUNCTION("""COMPUTED_VALUE"""),2.9386909)</f>
        <v>2.9386909</v>
      </c>
      <c r="AR15" s="40">
        <f>IFERROR(__xludf.DUMMYFUNCTION("""COMPUTED_VALUE"""),-75.2902595)</f>
        <v>-75.2902595</v>
      </c>
      <c r="AS15" s="53">
        <f>IFERROR(__xludf.DUMMYFUNCTION("""COMPUTED_VALUE"""),1500000.0)</f>
        <v>1500000</v>
      </c>
      <c r="AT15" s="40">
        <f>IFERROR(__xludf.DUMMYFUNCTION("""COMPUTED_VALUE"""),0.0)</f>
        <v>0</v>
      </c>
      <c r="AU15" s="40">
        <f>IFERROR(__xludf.DUMMYFUNCTION("""COMPUTED_VALUE"""),0.0)</f>
        <v>0</v>
      </c>
      <c r="AV15" s="40">
        <f>IFERROR(__xludf.DUMMYFUNCTION("""COMPUTED_VALUE"""),0.0)</f>
        <v>0</v>
      </c>
      <c r="AW15" s="40" t="str">
        <f>IFERROR(__xludf.DUMMYFUNCTION("""COMPUTED_VALUE"""),"NO")</f>
        <v>NO</v>
      </c>
      <c r="AX15" s="40">
        <f>IFERROR(__xludf.DUMMYFUNCTION("""COMPUTED_VALUE"""),0.0)</f>
        <v>0</v>
      </c>
      <c r="AY15" s="40" t="str">
        <f>IFERROR(__xludf.DUMMYFUNCTION("""COMPUTED_VALUE"""),"P")</f>
        <v>P</v>
      </c>
      <c r="AZ15" s="40">
        <f>IFERROR(__xludf.DUMMYFUNCTION("""COMPUTED_VALUE"""),0.0)</f>
        <v>0</v>
      </c>
      <c r="BA15" s="40" t="str">
        <f>IFERROR(__xludf.DUMMYFUNCTION("""COMPUTED_VALUE"""),"X")</f>
        <v>X</v>
      </c>
      <c r="BB15" s="40">
        <f>IFERROR(__xludf.DUMMYFUNCTION("""COMPUTED_VALUE"""),0.0)</f>
        <v>0</v>
      </c>
      <c r="BC15" s="53"/>
      <c r="BD15" s="48"/>
      <c r="BE15" s="48"/>
      <c r="BF15" s="48" t="str">
        <f>IFERROR(__xludf.DUMMYFUNCTION("""COMPUTED_VALUE"""),"https://lh3.googleusercontent.com/pw/AP1GczPLo5Q331sbe9YG4Mi9fH1FRORONzn-SYT9WOZuzs8S_AnhXRZAnas2vvJ2-Cx-cJqXSip1IyVUFFYXZi3r8TYeT4PgJNuSMmGFwnJGcXzTjN85o7Ll=w1200|https://lh3.googleusercontent.com/pw/AP1GczP7RUimfVxtA8SwNEEyyiAOEZMOgc-P9GWfe7EPd6Rer-kIg5"&amp;"Et8H3dgSAmh1aCc21NjD9t9QWkW-1FiYgLEe4roKnr1lx5eCEl_zfNAaDnFQGYJ-MT=w1200|https://lh3.googleusercontent.com/pw/AP1GczPAWVx-YXXte2ohAua27OF9xoNwuYtvsBh5e7dE13ZOUeDjASRIoMMpgw91afZNOHjdfgWxofu1Plq4OrwhP4618hrQE_ICi3vohT7ftFWavClT1dPV=w1200|https://lh3.google"&amp;"usercontent.com/pw/AP1GczOvplp8R-dFJezR_PQtWm9wvej6FKIpzN87K7G6w6brXY9vh4J8qb6K4guoItjiMgh9fFEJA_dr98LlU_mCneE7QXhv39whocvE1P19wJuin82EufRX=w1200|https://lh3.googleusercontent.com/pw/AP1GczMZEZtkDpokxw_lkKWcpXkF2-fE-7RI1ndpiLL0-RYbIyp4_foURK_3qFlp6212tuv4"&amp;"VyX9LWXYYI1pihV4z1yN98vAe6QARQ6AyeSu0A2YM9oIBV7K=w1200|https://lh3.googleusercontent.com/pw/AP1GczMAM1xM-bigovV0DlpXOzN-CouhQ79PEeXUfG8lvJgdOXBvdvZzEpcUEfG5bMPVrHwzKqXlF3Wz-KRbwIitrD7AT2dLfhNSPNAM9ALyXEJe1S59hC3a=w1200|https://lh3.googleusercontent.com/pw"&amp;"/AP1GczMor3UuszLYfqiNjv_APOI3sRvVO_LslUxZSLCfRv7z7aVfuHghdqQPLVEPQUqlA8Ww7MCQZn6LJX6slLUE1dpiNNsWCIkdF6KhRvDpvVTHW1ZBOCTq=w1200|https://lh3.googleusercontent.com/pw/AP1GczPG4-s_mtE200Yz8sZ77rKG7b91UISwlgRfimhRWis3OQSezQbqaYPh9UTTu7EdhS9Lk826wWwO7bX576LECh"&amp;"p7ReoObfjam0OiAejHl59Je49C4hi9=w1200|https://lh3.googleusercontent.com/pw/AP1GczM99CMa7dz5ftA62NOypiZPcPHzqUphhqxQG4k57tmwrROhK7zhVkaq6WaHyrrBwg6JDwPYe1yLCFafJa_WFykfLVMUvwIY_GWxP8t39tXUhKfAda4u=w1200|https://lh3.googleusercontent.com/pw/AP1GczOWCJ5EiqHWn"&amp;"Cy_dIdH8uEvJHIzpYZFAYa3oNHBjzVgjD6vD7n28ZKx3hGGrzzt-11wxfGl_pcIkEJpNr2PUl_T7cvNuWwQOLkOcw321nx18hOfs1m0=w1200|https://lh3.googleusercontent.com/pw/AP1GczMOYHgbVKyq5RG8FE_aIKqSjYHOVNRjVaGi-67dCqv6_UPvH7blVrb9IdnxR4a3MZJRFO6ofwGYxemS6cdG39xNwW_XkOZb7QvdFdft"&amp;"jkPjx_mnIA5U=w1200|https://lh3.googleusercontent.com/pw/AP1GczPiyJsd-COrwrZqBML6LWopMzpMntBfcTNSNEqY0zT-RnhvzMALpTf3wWpyLmt1R3qbZPAJd7YsKju05j5RgWdHWa-C4Rs9ZgHrNdozdnkWNSvHpbh9=w1200|https://lh3.googleusercontent.com/pw/AP1GczM0Ol29TITRNr5VKEcln0GYxFSzXm5"&amp;"HJlcsLaij0fZaK3eSUEXuIx6onFR0gktiVsrUmZX5iYrw-3z121_PvDVOGx9qbM5kQHvGVkFVugA0WsI647Gz=w1200|https://lh3.googleusercontent.com/pw/AP1GczOaypFfuKRnXcwGkJHp-wSPS5hDbAitmei5SDoivWUZPwFaYiUWc0LQONOjs-vnKBqzqqLyes2WqRzhLv_Rg5iygpYI4Y2he5t014h6xjJOMPpqVMaO=w1200"&amp;"|https://lh3.googleusercontent.com/pw/AP1GczPh9kCZTs0ETIivaf9A9j9R6ULr4GN7sBuIXgYAKAAg7yGv130hTnlhUaTr1ZWu7dkx_PR-xN26kNMBjB4Kmb5KWk43GjDqezhoz2-49uln-VJkYpQK=w1200|https://lh3.googleusercontent.com/pw/AP1GczMFuqWI85fNTkt_Du0pqUs2JNjiIS_yT_NEC8FtXi2FdqkSy"&amp;"gbkE8l7vI3tec2II2Beg9ouXr4V6UWO8ctOCjabpbAlK-QbVKrJ05itLF5fEGOl_wxh=w1200|https://lh3.googleusercontent.com/pw/AP1GczOXNdihgP9MKOPhFtIyMWYoBe8XfyVMvgEGcxsP8WHHZ3Ab8eowAWc0B746pLmv0K2VTe_gtFcFjoCey1PkxejFEjT-pJMAPV8cbKcKxWxVyfkeb92G=w1200|https://lh3.googl"&amp;"eusercontent.com/pw/AP1GczOYpFGbR14CZgHmzP06j8ej12S2XXwahgwyRmPT474vV08ERgUuPyShfeblYiIYPSeISBqDXdRNvE-0TfffC8uYJfIgzeHw3jsLpNZuinwukDMZKKDa=w1200|https://lh3.googleusercontent.com/pw/AP1GczPeN9rAVe2LV8rvEYXS7Zq9MNslS61ehRlal-R0i6bp1G6pl4Ch6Eup4MK-bT7eCqS"&amp;"vlk9fOucRHUW6UV8xN6pDLqNGtwcOfBAherC6m3LVJ9BkAXyL=w1200|https://lh3.googleusercontent.com/pw/AP1GczP1C8nX63LKbiysSCIKT-FnhOlvzlsNxORwvGHYQaKVNLOu3g4AhTUOxeTrEkUQdt6mSgRjNvv3bIi9C8C7Puh3fbJWTLfQevsDx2YTR4g-YmbXoZWd=w1200|https://lh3.googleusercontent.com/p"&amp;"w/AP1GczNK7a_A771EH67_Vpq3Slp1NSzStYCR_QmSPCAKMIeG534LL0djnI-QwSmymTqMwfePk8YtBpumh0fElA6gZ-UC5242PtnTYmhfONNTe9Br94liEkia=w1200|https://lh3.googleusercontent.com/pw/AP1GczOtzu6qHKbOJxGGg5THp8KtEjtuBDT-xgVb9kem0Ym7MWi-m4bm2vIySPtcXDGARLm0XdMDqiTzH4aT5Nzii"&amp;"qMLV4Vh6q78ptNMUiq7uvurvvjp0B_b=w1200|https://lh3.googleusercontent.com/pw/AP1GczOm5GJNFmsbeCHTZi2XL-uE6354gpyyQyrcvsaceollez0U_5_HrXdDa1-oHwjqDj_ZHsosqqZtmfXZHwexZ2-Z4yOOj2uPGQJFrcDEUE4sTKVGYop8=w1200|https://lh3.googleusercontent.com/pw/AP1GczO6siIkWK6u"&amp;"sxCTXyihif5jsqJRlhw8VasJvP8PiO21rShiG6pFH-KFGPNg8m3ruskFWHJNLL45JkSEwwVfydhPes3qOmiuI4talxzy07aCQToVZKhZ=w1200|https://lh3.googleusercontent.com/pw/AP1GczOhSbRP1QzrrLq-uuTD99ZoKxlWXPKIZ4WskWhFFuicctbdvFwoL91JDfF5ppaQSb9p-BnTRHLh0rDvkJOwxTURV5H43WT1UcAQX5e"&amp;"0ovSVIjgR1M5P=w1200|https://lh3.googleusercontent.com/pw/AP1GczN63pws2TgN-g9KUuc0T8sX-nz-_kaWnOUH30TvN6ueZBtRnxvmMUSPSbH2fAVIrafXsmlQ2xYxwx-w7i9dsUUWsvKw7UtUkUN3SBdPI_rFMyh9S3Rr=w1200|https://lh3.googleusercontent.com/pw/AP1GczPr6x1xGJJXf3_HllcuVuEcuzkLCw"&amp;"UO4EiYHq5oR0i8H6INp6T1YYutbl42GrGanFQk-Iiyx6M4BBT6eAthfMYwXyVbgIzbYzUhjZe3XSjLwvIG15iZ=w1200")</f>
        <v>https://lh3.googleusercontent.com/pw/AP1GczPLo5Q331sbe9YG4Mi9fH1FRORONzn-SYT9WOZuzs8S_AnhXRZAnas2vvJ2-Cx-cJqXSip1IyVUFFYXZi3r8TYeT4PgJNuSMmGFwnJGcXzTjN85o7Ll=w1200|https://lh3.googleusercontent.com/pw/AP1GczP7RUimfVxtA8SwNEEyyiAOEZMOgc-P9GWfe7EPd6Rer-kIg5Et8H3dgSAmh1aCc21NjD9t9QWkW-1FiYgLEe4roKnr1lx5eCEl_zfNAaDnFQGYJ-MT=w1200|https://lh3.googleusercontent.com/pw/AP1GczPAWVx-YXXte2ohAua27OF9xoNwuYtvsBh5e7dE13ZOUeDjASRIoMMpgw91afZNOHjdfgWxofu1Plq4OrwhP4618hrQE_ICi3vohT7ftFWavClT1dPV=w1200|https://lh3.googleusercontent.com/pw/AP1GczOvplp8R-dFJezR_PQtWm9wvej6FKIpzN87K7G6w6brXY9vh4J8qb6K4guoItjiMgh9fFEJA_dr98LlU_mCneE7QXhv39whocvE1P19wJuin82EufRX=w1200|https://lh3.googleusercontent.com/pw/AP1GczMZEZtkDpokxw_lkKWcpXkF2-fE-7RI1ndpiLL0-RYbIyp4_foURK_3qFlp6212tuv4VyX9LWXYYI1pihV4z1yN98vAe6QARQ6AyeSu0A2YM9oIBV7K=w1200|https://lh3.googleusercontent.com/pw/AP1GczMAM1xM-bigovV0DlpXOzN-CouhQ79PEeXUfG8lvJgdOXBvdvZzEpcUEfG5bMPVrHwzKqXlF3Wz-KRbwIitrD7AT2dLfhNSPNAM9ALyXEJe1S59hC3a=w1200|https://lh3.googleusercontent.com/pw/AP1GczMor3UuszLYfqiNjv_APOI3sRvVO_LslUxZSLCfRv7z7aVfuHghdqQPLVEPQUqlA8Ww7MCQZn6LJX6slLUE1dpiNNsWCIkdF6KhRvDpvVTHW1ZBOCTq=w1200|https://lh3.googleusercontent.com/pw/AP1GczPG4-s_mtE200Yz8sZ77rKG7b91UISwlgRfimhRWis3OQSezQbqaYPh9UTTu7EdhS9Lk826wWwO7bX576LEChp7ReoObfjam0OiAejHl59Je49C4hi9=w1200|https://lh3.googleusercontent.com/pw/AP1GczM99CMa7dz5ftA62NOypiZPcPHzqUphhqxQG4k57tmwrROhK7zhVkaq6WaHyrrBwg6JDwPYe1yLCFafJa_WFykfLVMUvwIY_GWxP8t39tXUhKfAda4u=w1200|https://lh3.googleusercontent.com/pw/AP1GczOWCJ5EiqHWnCy_dIdH8uEvJHIzpYZFAYa3oNHBjzVgjD6vD7n28ZKx3hGGrzzt-11wxfGl_pcIkEJpNr2PUl_T7cvNuWwQOLkOcw321nx18hOfs1m0=w1200|https://lh3.googleusercontent.com/pw/AP1GczMOYHgbVKyq5RG8FE_aIKqSjYHOVNRjVaGi-67dCqv6_UPvH7blVrb9IdnxR4a3MZJRFO6ofwGYxemS6cdG39xNwW_XkOZb7QvdFdftjkPjx_mnIA5U=w1200|https://lh3.googleusercontent.com/pw/AP1GczPiyJsd-COrwrZqBML6LWopMzpMntBfcTNSNEqY0zT-RnhvzMALpTf3wWpyLmt1R3qbZPAJd7YsKju05j5RgWdHWa-C4Rs9ZgHrNdozdnkWNSvHpbh9=w1200|https://lh3.googleusercontent.com/pw/AP1GczM0Ol29TITRNr5VKEcln0GYxFSzXm5HJlcsLaij0fZaK3eSUEXuIx6onFR0gktiVsrUmZX5iYrw-3z121_PvDVOGx9qbM5kQHvGVkFVugA0WsI647Gz=w1200|https://lh3.googleusercontent.com/pw/AP1GczOaypFfuKRnXcwGkJHp-wSPS5hDbAitmei5SDoivWUZPwFaYiUWc0LQONOjs-vnKBqzqqLyes2WqRzhLv_Rg5iygpYI4Y2he5t014h6xjJOMPpqVMaO=w1200|https://lh3.googleusercontent.com/pw/AP1GczPh9kCZTs0ETIivaf9A9j9R6ULr4GN7sBuIXgYAKAAg7yGv130hTnlhUaTr1ZWu7dkx_PR-xN26kNMBjB4Kmb5KWk43GjDqezhoz2-49uln-VJkYpQK=w1200|https://lh3.googleusercontent.com/pw/AP1GczMFuqWI85fNTkt_Du0pqUs2JNjiIS_yT_NEC8FtXi2FdqkSygbkE8l7vI3tec2II2Beg9ouXr4V6UWO8ctOCjabpbAlK-QbVKrJ05itLF5fEGOl_wxh=w1200|https://lh3.googleusercontent.com/pw/AP1GczOXNdihgP9MKOPhFtIyMWYoBe8XfyVMvgEGcxsP8WHHZ3Ab8eowAWc0B746pLmv0K2VTe_gtFcFjoCey1PkxejFEjT-pJMAPV8cbKcKxWxVyfkeb92G=w1200|https://lh3.googleusercontent.com/pw/AP1GczOYpFGbR14CZgHmzP06j8ej12S2XXwahgwyRmPT474vV08ERgUuPyShfeblYiIYPSeISBqDXdRNvE-0TfffC8uYJfIgzeHw3jsLpNZuinwukDMZKKDa=w1200|https://lh3.googleusercontent.com/pw/AP1GczPeN9rAVe2LV8rvEYXS7Zq9MNslS61ehRlal-R0i6bp1G6pl4Ch6Eup4MK-bT7eCqSvlk9fOucRHUW6UV8xN6pDLqNGtwcOfBAherC6m3LVJ9BkAXyL=w1200|https://lh3.googleusercontent.com/pw/AP1GczP1C8nX63LKbiysSCIKT-FnhOlvzlsNxORwvGHYQaKVNLOu3g4AhTUOxeTrEkUQdt6mSgRjNvv3bIi9C8C7Puh3fbJWTLfQevsDx2YTR4g-YmbXoZWd=w1200|https://lh3.googleusercontent.com/pw/AP1GczNK7a_A771EH67_Vpq3Slp1NSzStYCR_QmSPCAKMIeG534LL0djnI-QwSmymTqMwfePk8YtBpumh0fElA6gZ-UC5242PtnTYmhfONNTe9Br94liEkia=w1200|https://lh3.googleusercontent.com/pw/AP1GczOtzu6qHKbOJxGGg5THp8KtEjtuBDT-xgVb9kem0Ym7MWi-m4bm2vIySPtcXDGARLm0XdMDqiTzH4aT5NziiqMLV4Vh6q78ptNMUiq7uvurvvjp0B_b=w1200|https://lh3.googleusercontent.com/pw/AP1GczOm5GJNFmsbeCHTZi2XL-uE6354gpyyQyrcvsaceollez0U_5_HrXdDa1-oHwjqDj_ZHsosqqZtmfXZHwexZ2-Z4yOOj2uPGQJFrcDEUE4sTKVGYop8=w1200|https://lh3.googleusercontent.com/pw/AP1GczO6siIkWK6usxCTXyihif5jsqJRlhw8VasJvP8PiO21rShiG6pFH-KFGPNg8m3ruskFWHJNLL45JkSEwwVfydhPes3qOmiuI4talxzy07aCQToVZKhZ=w1200|https://lh3.googleusercontent.com/pw/AP1GczOhSbRP1QzrrLq-uuTD99ZoKxlWXPKIZ4WskWhFFuicctbdvFwoL91JDfF5ppaQSb9p-BnTRHLh0rDvkJOwxTURV5H43WT1UcAQX5e0ovSVIjgR1M5P=w1200|https://lh3.googleusercontent.com/pw/AP1GczN63pws2TgN-g9KUuc0T8sX-nz-_kaWnOUH30TvN6ueZBtRnxvmMUSPSbH2fAVIrafXsmlQ2xYxwx-w7i9dsUUWsvKw7UtUkUN3SBdPI_rFMyh9S3Rr=w1200|https://lh3.googleusercontent.com/pw/AP1GczPr6x1xGJJXf3_HllcuVuEcuzkLCwUO4EiYHq5oR0i8H6INp6T1YYutbl42GrGanFQk-Iiyx6M4BBT6eAthfMYwXyVbgIzbYzUhjZe3XSjLwvIG15iZ=w1200</v>
      </c>
    </row>
    <row r="16">
      <c r="A16" s="39" t="str">
        <f>IFERROR(__xludf.DUMMYFUNCTION("""COMPUTED_VALUE"""),"1648")</f>
        <v>1648</v>
      </c>
      <c r="B16" s="40" t="str">
        <f>IFERROR(__xludf.DUMMYFUNCTION("""COMPUTED_VALUE"""),"Casa con local en barrio Santa Clara - Cámbulos II")</f>
        <v>Casa con local en barrio Santa Clara - Cámbulos II</v>
      </c>
      <c r="C16" s="40" t="str">
        <f>IFERROR(__xludf.DUMMYFUNCTION("""COMPUTED_VALUE"""),"Casa rentable")</f>
        <v>Casa rentable</v>
      </c>
      <c r="D16" s="40" t="str">
        <f>IFERROR(__xludf.DUMMYFUNCTION("""COMPUTED_VALUE"""),"Santa Clara")</f>
        <v>Santa Clara</v>
      </c>
      <c r="E16" s="40"/>
      <c r="F16" s="42">
        <f>IFERROR(__xludf.DUMMYFUNCTION("""COMPUTED_VALUE"""),3.8E8)</f>
        <v>380000000</v>
      </c>
      <c r="G16" s="40" t="str">
        <f>IFERROR(__xludf.DUMMYFUNCTION("""COMPUTED_VALUE"""),"$300'000.000 a $400'000.000")</f>
        <v>$300'000.000 a $400'000.000</v>
      </c>
      <c r="H16" s="40"/>
      <c r="I16" s="40"/>
      <c r="J16" s="40" t="str">
        <f>IFERROR(__xludf.DUMMYFUNCTION("""COMPUTED_VALUE"""),"Norte")</f>
        <v>Norte</v>
      </c>
      <c r="K16" s="39" t="str">
        <f>IFERROR(__xludf.DUMMYFUNCTION("""COMPUTED_VALUE"""),"2")</f>
        <v>2</v>
      </c>
      <c r="L16" s="40">
        <f>IFERROR(__xludf.DUMMYFUNCTION("""COMPUTED_VALUE"""),3.0)</f>
        <v>3</v>
      </c>
      <c r="M16" s="40"/>
      <c r="N16" s="40">
        <f>IFERROR(__xludf.DUMMYFUNCTION("""COMPUTED_VALUE"""),3.0)</f>
        <v>3</v>
      </c>
      <c r="O16" s="40">
        <f>IFERROR(__xludf.DUMMYFUNCTION("""COMPUTED_VALUE"""),1.0)</f>
        <v>1</v>
      </c>
      <c r="P16" s="40">
        <f>IFERROR(__xludf.DUMMYFUNCTION("""COMPUTED_VALUE"""),2.0)</f>
        <v>2</v>
      </c>
      <c r="Q16" s="48">
        <f>IFERROR(__xludf.DUMMYFUNCTION("""COMPUTED_VALUE"""),0.0)</f>
        <v>0</v>
      </c>
      <c r="R16" s="48">
        <f>IFERROR(__xludf.DUMMYFUNCTION("""COMPUTED_VALUE"""),97.0)</f>
        <v>97</v>
      </c>
      <c r="S16" s="39" t="str">
        <f>IFERROR(__xludf.DUMMYFUNCTION("""COMPUTED_VALUE""")," ")</f>
        <v> </v>
      </c>
      <c r="T16" s="40" t="str">
        <f>IFERROR(__xludf.DUMMYFUNCTION("""COMPUTED_VALUE"""),"Neiva")</f>
        <v>Neiva</v>
      </c>
      <c r="U16" s="39" t="str">
        <f>IFERROR(__xludf.DUMMYFUNCTION("""COMPUTED_VALUE"""),"3")</f>
        <v>3</v>
      </c>
      <c r="V16" s="40" t="str">
        <f>IFERROR(__xludf.DUMMYFUNCTION("""COMPUTED_VALUE"""),"Medianera")</f>
        <v>Medianera</v>
      </c>
      <c r="W16" s="46"/>
      <c r="X16" s="46">
        <f>IFERROR(__xludf.DUMMYFUNCTION("""COMPUTED_VALUE"""),3.0)</f>
        <v>3</v>
      </c>
      <c r="Y16" s="40" t="str">
        <f>IFERROR(__xludf.DUMMYFUNCTION("""COMPUTED_VALUE"""),"No tiene")</f>
        <v>No tiene</v>
      </c>
      <c r="Z16" s="42" t="str">
        <f>IFERROR(__xludf.DUMMYFUNCTION("""COMPUTED_VALUE"""),"No aplica")</f>
        <v>No aplica</v>
      </c>
      <c r="AA16" s="49" t="str">
        <f>IFERROR(__xludf.DUMMYFUNCTION("""COMPUTED_VALUE"""),"No aplica")</f>
        <v>No aplica</v>
      </c>
      <c r="AB16" s="105" t="str">
        <f>IFERROR(__xludf.DUMMYFUNCTION("""COMPUTED_VALUE"""),"https://photos.app.goo.gl/fSaSXTFLumJN5a7h9")</f>
        <v>https://photos.app.goo.gl/fSaSXTFLumJN5a7h9</v>
      </c>
      <c r="AC16" s="40" t="str">
        <f>IFERROR(__xludf.DUMMYFUNCTION("""COMPUTED_VALUE"""),"Casa de 2 pisos por toda la Avenida 26, para uso comercial o de vivienda. B/ Santa Clara, con un área de 97 mts 2, estrato 3 consta de: Primer Piso: Sala amplia, comedor, cocina integral, garaje interno, patio de ropas, baño auxiliar, pisos en baldosa, y "&amp;"techo en PVC, paredes decorativas. Segundo Piso: 3 habitaciones, la principal con Amplio baño con tina, closets en madera y baño auxiliar.")</f>
        <v>Casa de 2 pisos por toda la Avenida 26, para uso comercial o de vivienda. B/ Santa Clara, con un área de 97 mts 2, estrato 3 consta de: Primer Piso: Sala amplia, comedor, cocina integral, garaje interno, patio de ropas, baño auxiliar, pisos en baldosa, y techo en PVC, paredes decorativas. Segundo Piso: 3 habitaciones, la principal con Amplio baño con tina, closets en madera y baño auxiliar.</v>
      </c>
      <c r="AD16" s="40"/>
      <c r="AE16" s="40"/>
      <c r="AF16" s="40" t="str">
        <f>IFERROR(__xludf.DUMMYFUNCTION("""COMPUTED_VALUE"""),"integral")</f>
        <v>integral</v>
      </c>
      <c r="AG16" s="40" t="str">
        <f>IFERROR(__xludf.DUMMYFUNCTION("""COMPUTED_VALUE"""),"SI")</f>
        <v>SI</v>
      </c>
      <c r="AH16" s="40" t="str">
        <f>IFERROR(__xludf.DUMMYFUNCTION("""COMPUTED_VALUE"""),"Inventario")</f>
        <v>Inventario</v>
      </c>
      <c r="AI16" s="40" t="str">
        <f>IFERROR(__xludf.DUMMYFUNCTION("""COMPUTED_VALUE"""),"Aliado")</f>
        <v>Aliado</v>
      </c>
      <c r="AJ16" s="40" t="str">
        <f>IFERROR(__xludf.DUMMYFUNCTION("""COMPUTED_VALUE"""),"C&amp;C")</f>
        <v>C&amp;C</v>
      </c>
      <c r="AK16" s="42" t="str">
        <f>IFERROR(__xludf.DUMMYFUNCTION("""COMPUTED_VALUE"""),"No aplica")</f>
        <v>No aplica</v>
      </c>
      <c r="AL16" s="40" t="str">
        <f>IFERROR(__xludf.DUMMYFUNCTION("""COMPUTED_VALUE"""),"TIENE FOTOS")</f>
        <v>TIENE FOTOS</v>
      </c>
      <c r="AM16" s="40">
        <f>IFERROR(__xludf.DUMMYFUNCTION("""COMPUTED_VALUE"""),3.13351965E9)</f>
        <v>3133519650</v>
      </c>
      <c r="AN16" s="40"/>
      <c r="AO16" s="40"/>
      <c r="AP16" s="40" t="str">
        <f>IFERROR(__xludf.DUMMYFUNCTION("""COMPUTED_VALUE"""),"AV. 26 # 33-38 B7")</f>
        <v>AV. 26 # 33-38 B7</v>
      </c>
      <c r="AQ16" s="40">
        <f>IFERROR(__xludf.DUMMYFUNCTION("""COMPUTED_VALUE"""),2.9464325)</f>
        <v>2.9464325</v>
      </c>
      <c r="AR16" s="40">
        <f>IFERROR(__xludf.DUMMYFUNCTION("""COMPUTED_VALUE"""),-75.2882221)</f>
        <v>-75.2882221</v>
      </c>
      <c r="AS16" s="53"/>
      <c r="AT16" s="40">
        <f>IFERROR(__xludf.DUMMYFUNCTION("""COMPUTED_VALUE"""),0.0)</f>
        <v>0</v>
      </c>
      <c r="AU16" s="40">
        <f>IFERROR(__xludf.DUMMYFUNCTION("""COMPUTED_VALUE"""),0.0)</f>
        <v>0</v>
      </c>
      <c r="AV16" s="40">
        <f>IFERROR(__xludf.DUMMYFUNCTION("""COMPUTED_VALUE"""),0.0)</f>
        <v>0</v>
      </c>
      <c r="AW16" s="40" t="str">
        <f>IFERROR(__xludf.DUMMYFUNCTION("""COMPUTED_VALUE"""),"SI")</f>
        <v>SI</v>
      </c>
      <c r="AX16" s="40"/>
      <c r="AY16" s="40" t="str">
        <f>IFERROR(__xludf.DUMMYFUNCTION("""COMPUTED_VALUE"""),"P")</f>
        <v>P</v>
      </c>
      <c r="AZ16" s="40"/>
      <c r="BA16" s="40" t="str">
        <f>IFERROR(__xludf.DUMMYFUNCTION("""COMPUTED_VALUE"""),"X")</f>
        <v>X</v>
      </c>
      <c r="BB16" s="40"/>
      <c r="BC16" s="53"/>
      <c r="BD16" s="48"/>
      <c r="BE16" s="48"/>
      <c r="BF16" s="48" t="str">
        <f>IFERROR(__xludf.DUMMYFUNCTION("""COMPUTED_VALUE"""),"https://lh3.googleusercontent.com/pw/AP1GczPi4K_xNvS8GWiFu_kSPaJ4uusK1Q00n13ZP4BsfOTeGeQgjJVDdLegQBRUYBTLT3nlHNXH80rzOePhtJDLnTSapxfU94JNTshhl1vAgnm4GATAfXHq=w1200|https://lh3.googleusercontent.com/pw/AP1GczNKwHJ3NxA0XB1NcB9V1OSgc7lgaKZerxpKf_czyEoTc4qAtT"&amp;"LXDkW88GM3q-Lb2wLcpJ8K_e59q2Tfx9EpBQ8ANdSJQ2vJCbX5Pm2HOjYxp22mPB9X=w1200|https://lh3.googleusercontent.com/pw/AP1GczP6pbccvz7xrQrLQFFmnAJSNIebMNR7ssrdB8FEioB1HqvWHKBAMdgCz-gxjvtKtV7PXiV8sPhc1APElF1RId92WGjwLDFeppXje7eFlY4_kP3h6a76=w1200|https://lh3.google"&amp;"usercontent.com/pw/AP1GczNZrFKe3QROQlxsPKYgFkhCs0YuVdMADTH2eHtgIc_kwnNW5n8lT7QvghnAEQSi2tKtYYhx04atglUF7C4ROznN5bfNG2_wpHwsJ6tNMcSIJ5yqnb9T=w1200|https://lh3.googleusercontent.com/pw/AP1GczNxvONgYW_XGpnzwZcYnTCj5cqCziri_XsgtAjhOVXEVVRwU2ymq6Nn2-fPrZ0YLacm"&amp;"c-2bY8CX8j9-LYs1iUZEArtlHpzDda5u6Hge4WoJAa6XbBCB=w1200|https://lh3.googleusercontent.com/pw/AP1GczPtlwqN6-1u5eWyQihKnFEf23fe81dvqeJ-ST_rTENddWTQ1dBpry8qOQz9JNDil9lTLIbpc8twVJnBmXL_MCOFj7R46A89Xv6rl22WJJqSvTmo0XeF=w1200|https://lh3.googleusercontent.com/pw"&amp;"/AP1GczPQCoNnAL0aDTvfAmyRYbq2FLkK0fbMHexl4yuj2LZjc8HOJpqKE-qumRQlVV0n-G0LRYP24pNlek2cSuzSBylqI6H2siUIbscBqmBrrYwpokPRBst3=w1200|https://lh3.googleusercontent.com/pw/AP1GczOp-h0e6boiu6ufq7r27Rf89lv_QWKET7duqZWkVHNchD3OZY62hGCDkfIBkxB-3dTgMU-7p0QFUNuj9ubE55"&amp;"6QSPnbWtCyem6D5ry-WMzmOpiQlWOs=w1200|https://lh3.googleusercontent.com/pw/AP1GczPJKOXx-z9Lncw-Tx0nKeL0GpYk0aJF2AZqqeA_I3CS69anqH2dWD4W5qYoQuED3mStl3EGxTS0qnJnNHca2Dp6k0p6UgOjwqS88Asb9DzY4O7X7Z7f=w1200|https://lh3.googleusercontent.com/pw/AP1GczPc8mmtgLq2o"&amp;"XYKnbdCuHlQMHHblvHeAhNfFlPQuQ-ewcxR9eXzDXhIKsIU9FC3Lib2Gd1ABp1Ch4PrHdUZoaap8-iLtrhrV1dQf6bMZAq_XYyDiWOI=w1200|https://lh3.googleusercontent.com/pw/AP1GczOjHifDb_xrUs9Vl7HBMk_ilfuI4d7IKQaT2QmXfTg2MrS5KXLSQX8_ZpSMCsY4xg8IHEQvCeYLxSFavtRqOzERd6eCKaQeGZiqgQRC"&amp;"XRxd2lKOVFT3=w1200|https://lh3.googleusercontent.com/pw/AP1GczP2qeNunU-A6rw8EH_YNjn_E6itU1_drnZefEsbfstltzOlTx0E_AzNUH4Qi31jFYa2K4pYyYwRi2Vav1Qn-DUXUYlOP5C2NLfr_i9Sj3h7ZdN1XO7k=w1200|https://lh3.googleusercontent.com/pw/AP1GczMQ2-ZOS4BzHOtOzyy-hYwKgEOJ0ae"&amp;"Vr_PqFV0kWevqi9nkDTs6lzbo2cp6BGmg9-MLBOcnA55JSrqbnKKIeomUVIxM7tqfADIOW8zbdJ6gZxAhXfsF=w1200|https://lh3.googleusercontent.com/pw/AP1GczMMUMvEGWhdxD5gZlx52JjJF3MmVrP_xpmJ3Gm95rmZ60cZKdLgWSaluePKeY1TI1qzFpzGF5t3gZj-1tJQ_aTH8ucpjxw3iH87BgpILbBZLY_02z5F=w1200"&amp;"|https://lh3.googleusercontent.com/pw/AP1GczP0vKvyTlxkt6PjgbcpbYvSZD60XuLfGQgRgai9Q4Fv72L7m1xWkIiaATTHmWuhH7MT7dXzIBS7aYPIv7z1koI3jAfWIBtxFTYRIHYvNxopWjryg5Ly=w1200|https://lh3.googleusercontent.com/pw/AP1GczOm3tO6sFBZP7Mzm7pcnorpLtYZYEalT5Uowr1cy7--bogu3"&amp;"OdtfuO_rOmQxkqocsPA7UQ2pp8JyNn2seJTtXClAAESip6Sjwlld-v1syDHLyx_8auy=w1200|https://lh3.googleusercontent.com/pw/AP1GczPBLhVqZQH4an7SCigjBmioQGN2IljzChPa4fZQnDoXa-r2i5OP1YNJ8VANCD8byVB9iNYbOmtcxxtBcQvf3QCTnt7R4BwTQkxDNQh2RGVSYUEQ3jQA=w1200|https://lh3.googl"&amp;"eusercontent.com/pw/AP1GczOqAvHUtmoVc5_X_WbVT2ETCeSIDMrd-I9zIYY7oWNqFLz8gOY8-M4auHw9ytoh0MjQGRMDgeRe2Q-o52WZ76KEyIHJvQaoUwyLQpcEwga8D6ji6y72=w1200|https://lh3.googleusercontent.com/pw/AP1GczNc-pBFpuIygrNGzKojepQVZv7lEyHa5miQGCIqsySJ8yDeYqPixGX-ms2VwUPIbjz"&amp;"M8BZy0bVG60uhMY0D2hY0VKcmHBnbCTRCs9VoMTHOoYaojYat=w1200")</f>
        <v>https://lh3.googleusercontent.com/pw/AP1GczPi4K_xNvS8GWiFu_kSPaJ4uusK1Q00n13ZP4BsfOTeGeQgjJVDdLegQBRUYBTLT3nlHNXH80rzOePhtJDLnTSapxfU94JNTshhl1vAgnm4GATAfXHq=w1200|https://lh3.googleusercontent.com/pw/AP1GczNKwHJ3NxA0XB1NcB9V1OSgc7lgaKZerxpKf_czyEoTc4qAtTLXDkW88GM3q-Lb2wLcpJ8K_e59q2Tfx9EpBQ8ANdSJQ2vJCbX5Pm2HOjYxp22mPB9X=w1200|https://lh3.googleusercontent.com/pw/AP1GczP6pbccvz7xrQrLQFFmnAJSNIebMNR7ssrdB8FEioB1HqvWHKBAMdgCz-gxjvtKtV7PXiV8sPhc1APElF1RId92WGjwLDFeppXje7eFlY4_kP3h6a76=w1200|https://lh3.googleusercontent.com/pw/AP1GczNZrFKe3QROQlxsPKYgFkhCs0YuVdMADTH2eHtgIc_kwnNW5n8lT7QvghnAEQSi2tKtYYhx04atglUF7C4ROznN5bfNG2_wpHwsJ6tNMcSIJ5yqnb9T=w1200|https://lh3.googleusercontent.com/pw/AP1GczNxvONgYW_XGpnzwZcYnTCj5cqCziri_XsgtAjhOVXEVVRwU2ymq6Nn2-fPrZ0YLacmc-2bY8CX8j9-LYs1iUZEArtlHpzDda5u6Hge4WoJAa6XbBCB=w1200|https://lh3.googleusercontent.com/pw/AP1GczPtlwqN6-1u5eWyQihKnFEf23fe81dvqeJ-ST_rTENddWTQ1dBpry8qOQz9JNDil9lTLIbpc8twVJnBmXL_MCOFj7R46A89Xv6rl22WJJqSvTmo0XeF=w1200|https://lh3.googleusercontent.com/pw/AP1GczPQCoNnAL0aDTvfAmyRYbq2FLkK0fbMHexl4yuj2LZjc8HOJpqKE-qumRQlVV0n-G0LRYP24pNlek2cSuzSBylqI6H2siUIbscBqmBrrYwpokPRBst3=w1200|https://lh3.googleusercontent.com/pw/AP1GczOp-h0e6boiu6ufq7r27Rf89lv_QWKET7duqZWkVHNchD3OZY62hGCDkfIBkxB-3dTgMU-7p0QFUNuj9ubE556QSPnbWtCyem6D5ry-WMzmOpiQlWOs=w1200|https://lh3.googleusercontent.com/pw/AP1GczPJKOXx-z9Lncw-Tx0nKeL0GpYk0aJF2AZqqeA_I3CS69anqH2dWD4W5qYoQuED3mStl3EGxTS0qnJnNHca2Dp6k0p6UgOjwqS88Asb9DzY4O7X7Z7f=w1200|https://lh3.googleusercontent.com/pw/AP1GczPc8mmtgLq2oXYKnbdCuHlQMHHblvHeAhNfFlPQuQ-ewcxR9eXzDXhIKsIU9FC3Lib2Gd1ABp1Ch4PrHdUZoaap8-iLtrhrV1dQf6bMZAq_XYyDiWOI=w1200|https://lh3.googleusercontent.com/pw/AP1GczOjHifDb_xrUs9Vl7HBMk_ilfuI4d7IKQaT2QmXfTg2MrS5KXLSQX8_ZpSMCsY4xg8IHEQvCeYLxSFavtRqOzERd6eCKaQeGZiqgQRCXRxd2lKOVFT3=w1200|https://lh3.googleusercontent.com/pw/AP1GczP2qeNunU-A6rw8EH_YNjn_E6itU1_drnZefEsbfstltzOlTx0E_AzNUH4Qi31jFYa2K4pYyYwRi2Vav1Qn-DUXUYlOP5C2NLfr_i9Sj3h7ZdN1XO7k=w1200|https://lh3.googleusercontent.com/pw/AP1GczMQ2-ZOS4BzHOtOzyy-hYwKgEOJ0aeVr_PqFV0kWevqi9nkDTs6lzbo2cp6BGmg9-MLBOcnA55JSrqbnKKIeomUVIxM7tqfADIOW8zbdJ6gZxAhXfsF=w1200|https://lh3.googleusercontent.com/pw/AP1GczMMUMvEGWhdxD5gZlx52JjJF3MmVrP_xpmJ3Gm95rmZ60cZKdLgWSaluePKeY1TI1qzFpzGF5t3gZj-1tJQ_aTH8ucpjxw3iH87BgpILbBZLY_02z5F=w1200|https://lh3.googleusercontent.com/pw/AP1GczP0vKvyTlxkt6PjgbcpbYvSZD60XuLfGQgRgai9Q4Fv72L7m1xWkIiaATTHmWuhH7MT7dXzIBS7aYPIv7z1koI3jAfWIBtxFTYRIHYvNxopWjryg5Ly=w1200|https://lh3.googleusercontent.com/pw/AP1GczOm3tO6sFBZP7Mzm7pcnorpLtYZYEalT5Uowr1cy7--bogu3OdtfuO_rOmQxkqocsPA7UQ2pp8JyNn2seJTtXClAAESip6Sjwlld-v1syDHLyx_8auy=w1200|https://lh3.googleusercontent.com/pw/AP1GczPBLhVqZQH4an7SCigjBmioQGN2IljzChPa4fZQnDoXa-r2i5OP1YNJ8VANCD8byVB9iNYbOmtcxxtBcQvf3QCTnt7R4BwTQkxDNQh2RGVSYUEQ3jQA=w1200|https://lh3.googleusercontent.com/pw/AP1GczOqAvHUtmoVc5_X_WbVT2ETCeSIDMrd-I9zIYY7oWNqFLz8gOY8-M4auHw9ytoh0MjQGRMDgeRe2Q-o52WZ76KEyIHJvQaoUwyLQpcEwga8D6ji6y72=w1200|https://lh3.googleusercontent.com/pw/AP1GczNc-pBFpuIygrNGzKojepQVZv7lEyHa5miQGCIqsySJ8yDeYqPixGX-ms2VwUPIbjzM8BZy0bVG60uhMY0D2hY0VKcmHBnbCTRCs9VoMTHOoYaojYat=w1200</v>
      </c>
    </row>
    <row r="17">
      <c r="A17" s="39" t="str">
        <f>IFERROR(__xludf.DUMMYFUNCTION("""COMPUTED_VALUE"""),"179")</f>
        <v>179</v>
      </c>
      <c r="B17" s="40" t="str">
        <f>IFERROR(__xludf.DUMMYFUNCTION("""COMPUTED_VALUE"""),"Casa con local y dos apartamentos en barrio Las Granjas")</f>
        <v>Casa con local y dos apartamentos en barrio Las Granjas</v>
      </c>
      <c r="C17" s="40" t="str">
        <f>IFERROR(__xludf.DUMMYFUNCTION("""COMPUTED_VALUE"""),"Casa rentable")</f>
        <v>Casa rentable</v>
      </c>
      <c r="D17" s="40" t="str">
        <f>IFERROR(__xludf.DUMMYFUNCTION("""COMPUTED_VALUE"""),"Las Granjas")</f>
        <v>Las Granjas</v>
      </c>
      <c r="E17" s="42" t="str">
        <f>IFERROR(__xludf.DUMMYFUNCTION("""COMPUTED_VALUE""")," ")</f>
        <v> </v>
      </c>
      <c r="F17" s="42">
        <f>IFERROR(__xludf.DUMMYFUNCTION("""COMPUTED_VALUE"""),3.2E8)</f>
        <v>320000000</v>
      </c>
      <c r="G17" s="40" t="str">
        <f>IFERROR(__xludf.DUMMYFUNCTION("""COMPUTED_VALUE"""),"$300'000.000 a $400'000.000")</f>
        <v>$300'000.000 a $400'000.000</v>
      </c>
      <c r="H17" s="40"/>
      <c r="I17" s="40"/>
      <c r="J17" s="40" t="str">
        <f>IFERROR(__xludf.DUMMYFUNCTION("""COMPUTED_VALUE"""),"Norte")</f>
        <v>Norte</v>
      </c>
      <c r="K17" s="39" t="str">
        <f>IFERROR(__xludf.DUMMYFUNCTION("""COMPUTED_VALUE"""),"2")</f>
        <v>2</v>
      </c>
      <c r="L17" s="40">
        <f>IFERROR(__xludf.DUMMYFUNCTION("""COMPUTED_VALUE"""),5.0)</f>
        <v>5</v>
      </c>
      <c r="M17" s="40"/>
      <c r="N17" s="40">
        <f>IFERROR(__xludf.DUMMYFUNCTION("""COMPUTED_VALUE"""),3.0)</f>
        <v>3</v>
      </c>
      <c r="O17" s="40">
        <f>IFERROR(__xludf.DUMMYFUNCTION("""COMPUTED_VALUE"""),0.0)</f>
        <v>0</v>
      </c>
      <c r="P17" s="40">
        <f>IFERROR(__xludf.DUMMYFUNCTION("""COMPUTED_VALUE"""),1.0)</f>
        <v>1</v>
      </c>
      <c r="Q17" s="48">
        <f>IFERROR(__xludf.DUMMYFUNCTION("""COMPUTED_VALUE"""),180.0)</f>
        <v>180</v>
      </c>
      <c r="R17" s="48">
        <f>IFERROR(__xludf.DUMMYFUNCTION("""COMPUTED_VALUE"""),180.0)</f>
        <v>180</v>
      </c>
      <c r="S17" s="39" t="str">
        <f>IFERROR(__xludf.DUMMYFUNCTION("""COMPUTED_VALUE"""),"Rentabilidad $1,500,000")</f>
        <v>Rentabilidad $1,500,000</v>
      </c>
      <c r="T17" s="40" t="str">
        <f>IFERROR(__xludf.DUMMYFUNCTION("""COMPUTED_VALUE"""),"Neiva")</f>
        <v>Neiva</v>
      </c>
      <c r="U17" s="39" t="str">
        <f>IFERROR(__xludf.DUMMYFUNCTION("""COMPUTED_VALUE"""),"2")</f>
        <v>2</v>
      </c>
      <c r="V17" s="40" t="str">
        <f>IFERROR(__xludf.DUMMYFUNCTION("""COMPUTED_VALUE"""),"Medianera")</f>
        <v>Medianera</v>
      </c>
      <c r="W17" s="46"/>
      <c r="X17" s="46">
        <f>IFERROR(__xludf.DUMMYFUNCTION("""COMPUTED_VALUE"""),0.0)</f>
        <v>0</v>
      </c>
      <c r="Y17" s="53" t="str">
        <f>IFERROR(__xludf.DUMMYFUNCTION("""COMPUTED_VALUE"""),"No tiene")</f>
        <v>No tiene</v>
      </c>
      <c r="Z17" s="42" t="str">
        <f>IFERROR(__xludf.DUMMYFUNCTION("""COMPUTED_VALUE"""),"No aplica")</f>
        <v>No aplica</v>
      </c>
      <c r="AA17" s="49" t="str">
        <f>IFERROR(__xludf.DUMMYFUNCTION("""COMPUTED_VALUE"""),"18 años")</f>
        <v>18 años</v>
      </c>
      <c r="AB17" s="105" t="str">
        <f>IFERROR(__xludf.DUMMYFUNCTION("""COMPUTED_VALUE"""),"https://photos.app.goo.gl/cuREDmpg6MZf8hSS9")</f>
        <v>https://photos.app.goo.gl/cuREDmpg6MZf8hSS9</v>
      </c>
      <c r="AC17" s="40"/>
      <c r="AD17" s="40"/>
      <c r="AE17" s="40"/>
      <c r="AF17" s="40" t="str">
        <f>IFERROR(__xludf.DUMMYFUNCTION("""COMPUTED_VALUE"""),"básica")</f>
        <v>básica</v>
      </c>
      <c r="AG17" s="40" t="str">
        <f>IFERROR(__xludf.DUMMYFUNCTION("""COMPUTED_VALUE"""),"SI")</f>
        <v>SI</v>
      </c>
      <c r="AH17" s="40" t="str">
        <f>IFERROR(__xludf.DUMMYFUNCTION("""COMPUTED_VALUE"""),"Inventario")</f>
        <v>Inventario</v>
      </c>
      <c r="AI17" s="40" t="str">
        <f>IFERROR(__xludf.DUMMYFUNCTION("""COMPUTED_VALUE"""),"Aliado")</f>
        <v>Aliado</v>
      </c>
      <c r="AJ17" s="40" t="str">
        <f>IFERROR(__xludf.DUMMYFUNCTION("""COMPUTED_VALUE"""),"C&amp;C")</f>
        <v>C&amp;C</v>
      </c>
      <c r="AK17" s="40" t="str">
        <f>IFERROR(__xludf.DUMMYFUNCTION("""COMPUTED_VALUE"""),"No aplica")</f>
        <v>No aplica</v>
      </c>
      <c r="AL17" s="40" t="str">
        <f>IFERROR(__xludf.DUMMYFUNCTION("""COMPUTED_VALUE"""),"TIENE FOTOS")</f>
        <v>TIENE FOTOS</v>
      </c>
      <c r="AM17" s="40">
        <f>IFERROR(__xludf.DUMMYFUNCTION("""COMPUTED_VALUE"""),3.13351965E9)</f>
        <v>3133519650</v>
      </c>
      <c r="AN17" s="40">
        <f>IFERROR(__xludf.DUMMYFUNCTION("""COMPUTED_VALUE"""),0.0)</f>
        <v>0</v>
      </c>
      <c r="AO17" s="40"/>
      <c r="AP17" s="40" t="str">
        <f>IFERROR(__xludf.DUMMYFUNCTION("""COMPUTED_VALUE"""),"Carrera 7 No. 45- 27")</f>
        <v>Carrera 7 No. 45- 27</v>
      </c>
      <c r="AQ17" s="40">
        <f>IFERROR(__xludf.DUMMYFUNCTION("""COMPUTED_VALUE"""),2.952564)</f>
        <v>2.952564</v>
      </c>
      <c r="AR17" s="40">
        <f>IFERROR(__xludf.DUMMYFUNCTION("""COMPUTED_VALUE"""),-75.2908635)</f>
        <v>-75.2908635</v>
      </c>
      <c r="AS17" s="53">
        <f>IFERROR(__xludf.DUMMYFUNCTION("""COMPUTED_VALUE"""),1500000.0)</f>
        <v>1500000</v>
      </c>
      <c r="AT17" s="40">
        <f>IFERROR(__xludf.DUMMYFUNCTION("""COMPUTED_VALUE"""),0.0)</f>
        <v>0</v>
      </c>
      <c r="AU17" s="40">
        <f>IFERROR(__xludf.DUMMYFUNCTION("""COMPUTED_VALUE"""),0.0)</f>
        <v>0</v>
      </c>
      <c r="AV17" s="40">
        <f>IFERROR(__xludf.DUMMYFUNCTION("""COMPUTED_VALUE"""),0.0)</f>
        <v>0</v>
      </c>
      <c r="AW17" s="40" t="str">
        <f>IFERROR(__xludf.DUMMYFUNCTION("""COMPUTED_VALUE"""),"NO")</f>
        <v>NO</v>
      </c>
      <c r="AX17" s="40">
        <f>IFERROR(__xludf.DUMMYFUNCTION("""COMPUTED_VALUE"""),0.0)</f>
        <v>0</v>
      </c>
      <c r="AY17" s="40">
        <f>IFERROR(__xludf.DUMMYFUNCTION("""COMPUTED_VALUE"""),0.0)</f>
        <v>0</v>
      </c>
      <c r="AZ17" s="40">
        <f>IFERROR(__xludf.DUMMYFUNCTION("""COMPUTED_VALUE"""),0.0)</f>
        <v>0</v>
      </c>
      <c r="BA17" s="40" t="str">
        <f>IFERROR(__xludf.DUMMYFUNCTION("""COMPUTED_VALUE"""),"X")</f>
        <v>X</v>
      </c>
      <c r="BB17" s="40">
        <f>IFERROR(__xludf.DUMMYFUNCTION("""COMPUTED_VALUE"""),0.0)</f>
        <v>0</v>
      </c>
      <c r="BC17" s="53" t="str">
        <f>IFERROR(__xludf.DUMMYFUNCTION("""COMPUTED_VALUE"""),"41 - NORMA MEDINA")</f>
        <v>41 - NORMA MEDINA</v>
      </c>
      <c r="BD17" s="40"/>
      <c r="BE17" s="40"/>
      <c r="BF17" s="40" t="str">
        <f>IFERROR(__xludf.DUMMYFUNCTION("""COMPUTED_VALUE"""),"https://lh3.googleusercontent.com/pw/AP1GczNYfpCn1VcCWoDriiCb6r5dRQvs5kLb4EMmNQWkJpuP29eFHcTUTvsY_hl0V3ILCvh8OkXJtburnDeO-9ta-9jyakurlkSrkMnFkSkIRGOw37WXUHm8=w1200|https://lh3.googleusercontent.com/pw/AP1GczNPZOL_1pzM8MKfVALYdJ4-bWGrCrSPTUzdbpeC5IsGDlZwB5"&amp;"dj_8NcMzFZEhXQHnQk1IJ2tI2-s5QgSESciMDWpG05vxX28lx5-aSR-9zcwyS7Uw4D=w1200|https://lh3.googleusercontent.com/pw/AP1GczMQVVNABH3mjuUN0HgyTVxHCYdlryszoEdYL9-gqbKY-u8oiye_slvT206pwts2BXSsQfkpdn72K4Q6zs1xOABKZVMvptxJkU2KaqAoYMxa_M9thza3=w1200|https://lh3.google"&amp;"usercontent.com/pw/AP1GczMXI0fMUyQpcTenMmTbsk8ZP_j70CW_-F4C6OpaIdHFKWGWrZKvUc-tsSm98SxqBnlUJ9cQoycvNsbG9dZFWD0BfkHtU54p0kIDIrIOSrdkKum6Tfft=w1200|https://lh3.googleusercontent.com/pw/AP1GczMZShn4JWpMN1_bxukU44S77sx9T3fweAk3Y3jfPjZqSr4vvAKluXfEEclgfyeXesZz"&amp;"agBFytpvOCCBptu-45LTwIz852Qz0gRsC1naEJ4ygvmKRrCx=w1200|https://lh3.googleusercontent.com/pw/AP1GczNAmGz1idZSwpFcAbWQNcKyCQycb1SvxRn3FwXStvNE0oUQvne38eiz_UWCJN32hCqABd1uAmzwa1E3RSO0GZsa_2jNqQQFaI7qd0iwmiUqFKuYsmwv=w1200")</f>
        <v>https://lh3.googleusercontent.com/pw/AP1GczNYfpCn1VcCWoDriiCb6r5dRQvs5kLb4EMmNQWkJpuP29eFHcTUTvsY_hl0V3ILCvh8OkXJtburnDeO-9ta-9jyakurlkSrkMnFkSkIRGOw37WXUHm8=w1200|https://lh3.googleusercontent.com/pw/AP1GczNPZOL_1pzM8MKfVALYdJ4-bWGrCrSPTUzdbpeC5IsGDlZwB5dj_8NcMzFZEhXQHnQk1IJ2tI2-s5QgSESciMDWpG05vxX28lx5-aSR-9zcwyS7Uw4D=w1200|https://lh3.googleusercontent.com/pw/AP1GczMQVVNABH3mjuUN0HgyTVxHCYdlryszoEdYL9-gqbKY-u8oiye_slvT206pwts2BXSsQfkpdn72K4Q6zs1xOABKZVMvptxJkU2KaqAoYMxa_M9thza3=w1200|https://lh3.googleusercontent.com/pw/AP1GczMXI0fMUyQpcTenMmTbsk8ZP_j70CW_-F4C6OpaIdHFKWGWrZKvUc-tsSm98SxqBnlUJ9cQoycvNsbG9dZFWD0BfkHtU54p0kIDIrIOSrdkKum6Tfft=w1200|https://lh3.googleusercontent.com/pw/AP1GczMZShn4JWpMN1_bxukU44S77sx9T3fweAk3Y3jfPjZqSr4vvAKluXfEEclgfyeXesZzagBFytpvOCCBptu-45LTwIz852Qz0gRsC1naEJ4ygvmKRrCx=w1200|https://lh3.googleusercontent.com/pw/AP1GczNAmGz1idZSwpFcAbWQNcKyCQycb1SvxRn3FwXStvNE0oUQvne38eiz_UWCJN32hCqABd1uAmzwa1E3RSO0GZsa_2jNqQQFaI7qd0iwmiUqFKuYsmwv=w1200</v>
      </c>
    </row>
    <row r="18">
      <c r="A18" s="39" t="str">
        <f>IFERROR(__xludf.DUMMYFUNCTION("""COMPUTED_VALUE"""),"998")</f>
        <v>998</v>
      </c>
      <c r="B18" s="40" t="str">
        <f>IFERROR(__xludf.DUMMYFUNCTION("""COMPUTED_VALUE"""),"Casa en barrio Villa Carolina")</f>
        <v>Casa en barrio Villa Carolina</v>
      </c>
      <c r="C18" s="40" t="str">
        <f>IFERROR(__xludf.DUMMYFUNCTION("""COMPUTED_VALUE"""),"Casa")</f>
        <v>Casa</v>
      </c>
      <c r="D18" s="40" t="str">
        <f>IFERROR(__xludf.DUMMYFUNCTION("""COMPUTED_VALUE"""),"Villa Carolina")</f>
        <v>Villa Carolina</v>
      </c>
      <c r="E18" s="40"/>
      <c r="F18" s="42">
        <f>IFERROR(__xludf.DUMMYFUNCTION("""COMPUTED_VALUE"""),2.9E8)</f>
        <v>290000000</v>
      </c>
      <c r="G18" s="40" t="str">
        <f>IFERROR(__xludf.DUMMYFUNCTION("""COMPUTED_VALUE"""),"$200'000.000 a $300'000.000")</f>
        <v>$200'000.000 a $300'000.000</v>
      </c>
      <c r="H18" s="40"/>
      <c r="I18" s="40"/>
      <c r="J18" s="40" t="str">
        <f>IFERROR(__xludf.DUMMYFUNCTION("""COMPUTED_VALUE"""),"Norte")</f>
        <v>Norte</v>
      </c>
      <c r="K18" s="39" t="str">
        <f>IFERROR(__xludf.DUMMYFUNCTION("""COMPUTED_VALUE"""),"2")</f>
        <v>2</v>
      </c>
      <c r="L18" s="40">
        <f>IFERROR(__xludf.DUMMYFUNCTION("""COMPUTED_VALUE"""),4.0)</f>
        <v>4</v>
      </c>
      <c r="M18" s="40"/>
      <c r="N18" s="40">
        <f>IFERROR(__xludf.DUMMYFUNCTION("""COMPUTED_VALUE"""),3.0)</f>
        <v>3</v>
      </c>
      <c r="O18" s="40">
        <f>IFERROR(__xludf.DUMMYFUNCTION("""COMPUTED_VALUE"""),1.0)</f>
        <v>1</v>
      </c>
      <c r="P18" s="40">
        <f>IFERROR(__xludf.DUMMYFUNCTION("""COMPUTED_VALUE"""),2.0)</f>
        <v>2</v>
      </c>
      <c r="Q18" s="48"/>
      <c r="R18" s="48">
        <f>IFERROR(__xludf.DUMMYFUNCTION("""COMPUTED_VALUE"""),120.0)</f>
        <v>120</v>
      </c>
      <c r="S18" s="39" t="str">
        <f>IFERROR(__xludf.DUMMYFUNCTION("""COMPUTED_VALUE""")," ")</f>
        <v> </v>
      </c>
      <c r="T18" s="40" t="str">
        <f>IFERROR(__xludf.DUMMYFUNCTION("""COMPUTED_VALUE"""),"Neiva")</f>
        <v>Neiva</v>
      </c>
      <c r="U18" s="39" t="str">
        <f>IFERROR(__xludf.DUMMYFUNCTION("""COMPUTED_VALUE"""),"3")</f>
        <v>3</v>
      </c>
      <c r="V18" s="40" t="str">
        <f>IFERROR(__xludf.DUMMYFUNCTION("""COMPUTED_VALUE"""),"Medianera")</f>
        <v>Medianera</v>
      </c>
      <c r="W18" s="46"/>
      <c r="X18" s="46">
        <f>IFERROR(__xludf.DUMMYFUNCTION("""COMPUTED_VALUE"""),3.0)</f>
        <v>3</v>
      </c>
      <c r="Y18" s="40" t="str">
        <f>IFERROR(__xludf.DUMMYFUNCTION("""COMPUTED_VALUE"""),"No tiene")</f>
        <v>No tiene</v>
      </c>
      <c r="Z18" s="42" t="str">
        <f>IFERROR(__xludf.DUMMYFUNCTION("""COMPUTED_VALUE"""),"No aplica")</f>
        <v>No aplica</v>
      </c>
      <c r="AA18" s="49" t="str">
        <f>IFERROR(__xludf.DUMMYFUNCTION("""COMPUTED_VALUE"""),"No aplica")</f>
        <v>No aplica</v>
      </c>
      <c r="AB18" s="40"/>
      <c r="AC18" s="40"/>
      <c r="AD18" s="40"/>
      <c r="AE18" s="40"/>
      <c r="AF18" s="40" t="str">
        <f>IFERROR(__xludf.DUMMYFUNCTION("""COMPUTED_VALUE"""),"integral")</f>
        <v>integral</v>
      </c>
      <c r="AG18" s="40"/>
      <c r="AH18" s="40" t="str">
        <f>IFERROR(__xludf.DUMMYFUNCTION("""COMPUTED_VALUE"""),"Inventario")</f>
        <v>Inventario</v>
      </c>
      <c r="AI18" s="40" t="str">
        <f>IFERROR(__xludf.DUMMYFUNCTION("""COMPUTED_VALUE"""),"Aliado")</f>
        <v>Aliado</v>
      </c>
      <c r="AJ18" s="40" t="str">
        <f>IFERROR(__xludf.DUMMYFUNCTION("""COMPUTED_VALUE"""),"C&amp;C")</f>
        <v>C&amp;C</v>
      </c>
      <c r="AK18" s="40" t="str">
        <f>IFERROR(__xludf.DUMMYFUNCTION("""COMPUTED_VALUE"""),"No aplica")</f>
        <v>No aplica</v>
      </c>
      <c r="AL18" s="40" t="str">
        <f>IFERROR(__xludf.DUMMYFUNCTION("""COMPUTED_VALUE"""),"TIENE FOTOS")</f>
        <v>TIENE FOTOS</v>
      </c>
      <c r="AM18" s="40">
        <f>IFERROR(__xludf.DUMMYFUNCTION("""COMPUTED_VALUE"""),3.13351965E9)</f>
        <v>3133519650</v>
      </c>
      <c r="AN18" s="40"/>
      <c r="AO18" s="40"/>
      <c r="AP18" s="40" t="str">
        <f>IFERROR(__xludf.DUMMYFUNCTION("""COMPUTED_VALUE"""),"CALLE 56 NO. 17C-12")</f>
        <v>CALLE 56 NO. 17C-12</v>
      </c>
      <c r="AQ18" s="40"/>
      <c r="AR18" s="40"/>
      <c r="AS18" s="53">
        <f>IFERROR(__xludf.DUMMYFUNCTION("""COMPUTED_VALUE"""),0.0)</f>
        <v>0</v>
      </c>
      <c r="AT18" s="40">
        <f>IFERROR(__xludf.DUMMYFUNCTION("""COMPUTED_VALUE"""),0.0)</f>
        <v>0</v>
      </c>
      <c r="AU18" s="40">
        <f>IFERROR(__xludf.DUMMYFUNCTION("""COMPUTED_VALUE"""),0.0)</f>
        <v>0</v>
      </c>
      <c r="AV18" s="40">
        <f>IFERROR(__xludf.DUMMYFUNCTION("""COMPUTED_VALUE"""),0.0)</f>
        <v>0</v>
      </c>
      <c r="AW18" s="40" t="str">
        <f>IFERROR(__xludf.DUMMYFUNCTION("""COMPUTED_VALUE"""),"NO")</f>
        <v>NO</v>
      </c>
      <c r="AX18" s="40">
        <f>IFERROR(__xludf.DUMMYFUNCTION("""COMPUTED_VALUE"""),0.0)</f>
        <v>0</v>
      </c>
      <c r="AY18" s="40">
        <f>IFERROR(__xludf.DUMMYFUNCTION("""COMPUTED_VALUE"""),0.0)</f>
        <v>0</v>
      </c>
      <c r="AZ18" s="40">
        <f>IFERROR(__xludf.DUMMYFUNCTION("""COMPUTED_VALUE"""),0.0)</f>
        <v>0</v>
      </c>
      <c r="BA18" s="40" t="str">
        <f>IFERROR(__xludf.DUMMYFUNCTION("""COMPUTED_VALUE"""),"X")</f>
        <v>X</v>
      </c>
      <c r="BB18" s="40">
        <f>IFERROR(__xludf.DUMMYFUNCTION("""COMPUTED_VALUE"""),0.0)</f>
        <v>0</v>
      </c>
      <c r="BC18" s="53"/>
      <c r="BD18" s="48"/>
      <c r="BE18" s="48"/>
      <c r="BF18" s="48"/>
    </row>
    <row r="19">
      <c r="A19" s="39" t="str">
        <f>IFERROR(__xludf.DUMMYFUNCTION("""COMPUTED_VALUE"""),"768")</f>
        <v>768</v>
      </c>
      <c r="B19" s="40" t="str">
        <f>IFERROR(__xludf.DUMMYFUNCTION("""COMPUTED_VALUE"""),"Casa con dos apartamentos en barrio Santa Librada")</f>
        <v>Casa con dos apartamentos en barrio Santa Librada</v>
      </c>
      <c r="C19" s="40" t="str">
        <f>IFERROR(__xludf.DUMMYFUNCTION("""COMPUTED_VALUE"""),"Casa rentable")</f>
        <v>Casa rentable</v>
      </c>
      <c r="D19" s="40" t="str">
        <f>IFERROR(__xludf.DUMMYFUNCTION("""COMPUTED_VALUE"""),"Santa Librada")</f>
        <v>Santa Librada</v>
      </c>
      <c r="E19" s="40"/>
      <c r="F19" s="42">
        <f>IFERROR(__xludf.DUMMYFUNCTION("""COMPUTED_VALUE"""),5.0E8)</f>
        <v>500000000</v>
      </c>
      <c r="G19" s="40" t="str">
        <f>IFERROR(__xludf.DUMMYFUNCTION("""COMPUTED_VALUE"""),"$500'000.000 a $1.000'000.000")</f>
        <v>$500'000.000 a $1.000'000.000</v>
      </c>
      <c r="H19" s="40"/>
      <c r="I19" s="40"/>
      <c r="J19" s="40" t="str">
        <f>IFERROR(__xludf.DUMMYFUNCTION("""COMPUTED_VALUE"""),"Centro")</f>
        <v>Centro</v>
      </c>
      <c r="K19" s="39" t="str">
        <f>IFERROR(__xludf.DUMMYFUNCTION("""COMPUTED_VALUE"""),"3")</f>
        <v>3</v>
      </c>
      <c r="L19" s="40">
        <f>IFERROR(__xludf.DUMMYFUNCTION("""COMPUTED_VALUE"""),7.0)</f>
        <v>7</v>
      </c>
      <c r="M19" s="40"/>
      <c r="N19" s="40">
        <f>IFERROR(__xludf.DUMMYFUNCTION("""COMPUTED_VALUE"""),5.0)</f>
        <v>5</v>
      </c>
      <c r="O19" s="40">
        <f>IFERROR(__xludf.DUMMYFUNCTION("""COMPUTED_VALUE"""),1.0)</f>
        <v>1</v>
      </c>
      <c r="P19" s="40">
        <f>IFERROR(__xludf.DUMMYFUNCTION("""COMPUTED_VALUE"""),2.0)</f>
        <v>2</v>
      </c>
      <c r="Q19" s="48"/>
      <c r="R19" s="48">
        <f>IFERROR(__xludf.DUMMYFUNCTION("""COMPUTED_VALUE"""),250.0)</f>
        <v>250</v>
      </c>
      <c r="S19" s="39" t="str">
        <f>IFERROR(__xludf.DUMMYFUNCTION("""COMPUTED_VALUE"""),"Rentabilidad $1,500,000")</f>
        <v>Rentabilidad $1,500,000</v>
      </c>
      <c r="T19" s="40" t="str">
        <f>IFERROR(__xludf.DUMMYFUNCTION("""COMPUTED_VALUE"""),"Neiva")</f>
        <v>Neiva</v>
      </c>
      <c r="U19" s="39" t="str">
        <f>IFERROR(__xludf.DUMMYFUNCTION("""COMPUTED_VALUE"""),"2")</f>
        <v>2</v>
      </c>
      <c r="V19" s="40" t="str">
        <f>IFERROR(__xludf.DUMMYFUNCTION("""COMPUTED_VALUE"""),"Medianera")</f>
        <v>Medianera</v>
      </c>
      <c r="W19" s="46"/>
      <c r="X19" s="46">
        <f>IFERROR(__xludf.DUMMYFUNCTION("""COMPUTED_VALUE"""),2.0)</f>
        <v>2</v>
      </c>
      <c r="Y19" s="40" t="str">
        <f>IFERROR(__xludf.DUMMYFUNCTION("""COMPUTED_VALUE"""),"No tiene")</f>
        <v>No tiene</v>
      </c>
      <c r="Z19" s="42" t="str">
        <f>IFERROR(__xludf.DUMMYFUNCTION("""COMPUTED_VALUE"""),"No aplica")</f>
        <v>No aplica</v>
      </c>
      <c r="AA19" s="49" t="str">
        <f>IFERROR(__xludf.DUMMYFUNCTION("""COMPUTED_VALUE"""),"28 años")</f>
        <v>28 años</v>
      </c>
      <c r="AB19" s="105" t="str">
        <f>IFERROR(__xludf.DUMMYFUNCTION("""COMPUTED_VALUE"""),"https://photos.app.goo.gl/Vreh7uUdMUXAhqUG6")</f>
        <v>https://photos.app.goo.gl/Vreh7uUdMUXAhqUG6</v>
      </c>
      <c r="AC19" s="40"/>
      <c r="AD19" s="40"/>
      <c r="AE19" s="40"/>
      <c r="AF19" s="40" t="str">
        <f>IFERROR(__xludf.DUMMYFUNCTION("""COMPUTED_VALUE"""),"básica")</f>
        <v>básica</v>
      </c>
      <c r="AG19" s="40"/>
      <c r="AH19" s="40" t="str">
        <f>IFERROR(__xludf.DUMMYFUNCTION("""COMPUTED_VALUE"""),"Inventario")</f>
        <v>Inventario</v>
      </c>
      <c r="AI19" s="40"/>
      <c r="AJ19" s="40" t="str">
        <f>IFERROR(__xludf.DUMMYFUNCTION("""COMPUTED_VALUE"""),"C&amp;C")</f>
        <v>C&amp;C</v>
      </c>
      <c r="AK19" s="40" t="str">
        <f>IFERROR(__xludf.DUMMYFUNCTION("""COMPUTED_VALUE"""),"No aplica")</f>
        <v>No aplica</v>
      </c>
      <c r="AL19" s="40" t="str">
        <f>IFERROR(__xludf.DUMMYFUNCTION("""COMPUTED_VALUE"""),"TIENE FOTOS")</f>
        <v>TIENE FOTOS</v>
      </c>
      <c r="AM19" s="40">
        <f>IFERROR(__xludf.DUMMYFUNCTION("""COMPUTED_VALUE"""),3.13351965E9)</f>
        <v>3133519650</v>
      </c>
      <c r="AN19" s="40">
        <f>IFERROR(__xludf.DUMMYFUNCTION("""COMPUTED_VALUE"""),0.0)</f>
        <v>0</v>
      </c>
      <c r="AO19" s="40"/>
      <c r="AP19" s="40" t="str">
        <f>IFERROR(__xludf.DUMMYFUNCTION("""COMPUTED_VALUE"""),"CARRERA 16 NO. 16 - 113")</f>
        <v>CARRERA 16 NO. 16 - 113</v>
      </c>
      <c r="AQ19" s="40"/>
      <c r="AR19" s="40"/>
      <c r="AS19" s="53">
        <f>IFERROR(__xludf.DUMMYFUNCTION("""COMPUTED_VALUE"""),1500000.0)</f>
        <v>1500000</v>
      </c>
      <c r="AT19" s="40">
        <f>IFERROR(__xludf.DUMMYFUNCTION("""COMPUTED_VALUE"""),0.0)</f>
        <v>0</v>
      </c>
      <c r="AU19" s="40">
        <f>IFERROR(__xludf.DUMMYFUNCTION("""COMPUTED_VALUE"""),0.0)</f>
        <v>0</v>
      </c>
      <c r="AV19" s="40">
        <f>IFERROR(__xludf.DUMMYFUNCTION("""COMPUTED_VALUE"""),0.0)</f>
        <v>0</v>
      </c>
      <c r="AW19" s="40" t="str">
        <f>IFERROR(__xludf.DUMMYFUNCTION("""COMPUTED_VALUE"""),"NO")</f>
        <v>NO</v>
      </c>
      <c r="AX19" s="40">
        <f>IFERROR(__xludf.DUMMYFUNCTION("""COMPUTED_VALUE"""),0.0)</f>
        <v>0</v>
      </c>
      <c r="AY19" s="40">
        <f>IFERROR(__xludf.DUMMYFUNCTION("""COMPUTED_VALUE"""),0.0)</f>
        <v>0</v>
      </c>
      <c r="AZ19" s="40">
        <f>IFERROR(__xludf.DUMMYFUNCTION("""COMPUTED_VALUE"""),10.0)</f>
        <v>10</v>
      </c>
      <c r="BA19" s="40" t="str">
        <f>IFERROR(__xludf.DUMMYFUNCTION("""COMPUTED_VALUE"""),"X")</f>
        <v>X</v>
      </c>
      <c r="BB19" s="40">
        <f>IFERROR(__xludf.DUMMYFUNCTION("""COMPUTED_VALUE"""),25.0)</f>
        <v>25</v>
      </c>
      <c r="BC19" s="53"/>
      <c r="BD19" s="48"/>
      <c r="BE19" s="48"/>
      <c r="BF19" s="48" t="str">
        <f>IFERROR(__xludf.DUMMYFUNCTION("""COMPUTED_VALUE"""),"https://lh3.googleusercontent.com/pw/AP1GczPlKurr9Lpt5kb2OilFzw_2P8VcV2UUDUzNMM7A6w9v10hh9d7b4UIyMk3GFilXzJkOgg5WTtq8-XUVx70IqHaUkSDQIjIhx6GvNW7UGPrcvtt8pAmy=w1200|https://lh3.googleusercontent.com/pw/AP1GczN8aCfzmr739AAXSkSJoAX7dGBa-jbKJLUtSoUwDJivJ301cN"&amp;"_Qp3OPHovKC0NS3xLd5JXAzVTK3TGZwwhZWXYHaBrX3TSwH_QwVXhWtqjPwI47FGyi=w1200|https://lh3.googleusercontent.com/pw/AP1GczNttCNWpyuWU6n66uQgzocQcSMHAj_YkfVL-lqZcZ9ibi-3vGlzZFGPOUWHBBQlLg5urp0GqdGPP149WgtT6g5CDZ7OxqC_cdpOQk-z2rsC_TYkLEQ1=w1200|https://lh3.google"&amp;"usercontent.com/pw/AP1GczOhZo1NwxYm4nY4SgoP0q8-Iz38sEhBjRNtmLDxrCI_qdH3KNTXvmbTaNrAHjMI4cU6bhnb4Qhi9VsMD6m3Eg8GOBqrkXzVnbcnh2C8qKPbD1x64OvH=w1200|https://lh3.googleusercontent.com/pw/AP1GczNSqHVUXLdoRggxQ0O9RJqkhU-5viczJr300UiVAE5jAU8cAqYSCyStMqfodomIF1Kl"&amp;"cRg8Jsy9rvOOKWQ9KtEeVifSLQtNgbK9obVFaM4HlDhb6Z-x=w1200|https://lh3.googleusercontent.com/pw/AP1GczPKPwApzx2budgvWUIHQGU-Op1ATBYPKn1i3fsYXvb3-d-m4yPZCYjp-sWbwCD5q_kxW8VZAm04oCHFV5KRHtvKCI0DKVGZK8SkPFCXfSv2Weib7awp=w1200|https://lh3.googleusercontent.com/pw"&amp;"/AP1GczNfu-fovI41Me97OoeIuhfHv5WB2kjY5AvIsO_0SB5gqJHj2zRXcV0pSoWgYTCpNWPlmG0l46IuPHsJ-M9p-oEJumMKf5z5hdr3CQuWYE844IZPTiUH=w1200|https://lh3.googleusercontent.com/pw/AP1GczNBp_bd6rfWUzFVeMcQLy-97ljbr-inhAZpR1Nqgh2Iis-8-jt9NF1Y4zevgamFXadJ50bcZEBc-XVUMVP8nD"&amp;"tkWgFveOLg-YUcLZ6ZWIUFIF6QCYhu=w1200|https://lh3.googleusercontent.com/pw/AP1GczO8FJu4KM529tzAmWQ8q_bn5mCRzmY-FhRVAhFzf_aZVE8OVSjwXei4fXakWtHg0pRpsYfIB-hgCTDxCNKhc_j6ypZfTL1NsbudawVNTY5GRPdZmbSV=w1200|https://lh3.googleusercontent.com/pw/AP1GczNyDvVmbndJr"&amp;"m8ppIMPl2SWJu4st4gRdlqTqCuPKuah8CMmUoFZhhYdyQq4GAhmjH-yrzmLAsj1CiC2yfhTO4f4zY5VnYnplMNonQvehxBcY5EVxAfg=w1200|https://lh3.googleusercontent.com/pw/AP1GczP0XG6Tnn75_YCu8HgpVi0twRWzWsww9kFAoK4Q_mde98VMnQrUEKX86_8_KG6Oe48jBUvERZw6qvgtMzVSDCKU3-FwmPn_1A-J7AKK"&amp;"hcFULZEIctJO=w1200|https://lh3.googleusercontent.com/pw/AP1GczPOD2BjEmUccDHcQpYJrNhoWqrL3aU9Y59uqnZTUbdQBD6i199DdZtz47W3qeetF4aPB9IOnfw6LxSKvvx35wruuYRAKyxw8VguV3rQIgjpfOG5pOV1=w1200|https://lh3.googleusercontent.com/pw/AP1GczNSh2VWMLaKJYmUIulevTJL54Cb8su"&amp;"Q4Q9Pg20Ab1-iOlJm3hqY4m-IOwCyCkBB8XUHh5_QaGOOHiSmwyoF3qKpkNh53jTGcRuRXM1FUrn3LIiNk-3d=w1200|https://lh3.googleusercontent.com/pw/AP1GczM554VOX0OvaMC6w_YJXglVdJRfATneaECyCt5QVClSkGnUkzMj1Pd6E0voI5CZ5PXA3Kugk_zd2vrO9yOMapqXlxGBXoWs7P0C2WQrOMWH6lgbTheD=w1200")</f>
        <v>https://lh3.googleusercontent.com/pw/AP1GczPlKurr9Lpt5kb2OilFzw_2P8VcV2UUDUzNMM7A6w9v10hh9d7b4UIyMk3GFilXzJkOgg5WTtq8-XUVx70IqHaUkSDQIjIhx6GvNW7UGPrcvtt8pAmy=w1200|https://lh3.googleusercontent.com/pw/AP1GczN8aCfzmr739AAXSkSJoAX7dGBa-jbKJLUtSoUwDJivJ301cN_Qp3OPHovKC0NS3xLd5JXAzVTK3TGZwwhZWXYHaBrX3TSwH_QwVXhWtqjPwI47FGyi=w1200|https://lh3.googleusercontent.com/pw/AP1GczNttCNWpyuWU6n66uQgzocQcSMHAj_YkfVL-lqZcZ9ibi-3vGlzZFGPOUWHBBQlLg5urp0GqdGPP149WgtT6g5CDZ7OxqC_cdpOQk-z2rsC_TYkLEQ1=w1200|https://lh3.googleusercontent.com/pw/AP1GczOhZo1NwxYm4nY4SgoP0q8-Iz38sEhBjRNtmLDxrCI_qdH3KNTXvmbTaNrAHjMI4cU6bhnb4Qhi9VsMD6m3Eg8GOBqrkXzVnbcnh2C8qKPbD1x64OvH=w1200|https://lh3.googleusercontent.com/pw/AP1GczNSqHVUXLdoRggxQ0O9RJqkhU-5viczJr300UiVAE5jAU8cAqYSCyStMqfodomIF1KlcRg8Jsy9rvOOKWQ9KtEeVifSLQtNgbK9obVFaM4HlDhb6Z-x=w1200|https://lh3.googleusercontent.com/pw/AP1GczPKPwApzx2budgvWUIHQGU-Op1ATBYPKn1i3fsYXvb3-d-m4yPZCYjp-sWbwCD5q_kxW8VZAm04oCHFV5KRHtvKCI0DKVGZK8SkPFCXfSv2Weib7awp=w1200|https://lh3.googleusercontent.com/pw/AP1GczNfu-fovI41Me97OoeIuhfHv5WB2kjY5AvIsO_0SB5gqJHj2zRXcV0pSoWgYTCpNWPlmG0l46IuPHsJ-M9p-oEJumMKf5z5hdr3CQuWYE844IZPTiUH=w1200|https://lh3.googleusercontent.com/pw/AP1GczNBp_bd6rfWUzFVeMcQLy-97ljbr-inhAZpR1Nqgh2Iis-8-jt9NF1Y4zevgamFXadJ50bcZEBc-XVUMVP8nDtkWgFveOLg-YUcLZ6ZWIUFIF6QCYhu=w1200|https://lh3.googleusercontent.com/pw/AP1GczO8FJu4KM529tzAmWQ8q_bn5mCRzmY-FhRVAhFzf_aZVE8OVSjwXei4fXakWtHg0pRpsYfIB-hgCTDxCNKhc_j6ypZfTL1NsbudawVNTY5GRPdZmbSV=w1200|https://lh3.googleusercontent.com/pw/AP1GczNyDvVmbndJrm8ppIMPl2SWJu4st4gRdlqTqCuPKuah8CMmUoFZhhYdyQq4GAhmjH-yrzmLAsj1CiC2yfhTO4f4zY5VnYnplMNonQvehxBcY5EVxAfg=w1200|https://lh3.googleusercontent.com/pw/AP1GczP0XG6Tnn75_YCu8HgpVi0twRWzWsww9kFAoK4Q_mde98VMnQrUEKX86_8_KG6Oe48jBUvERZw6qvgtMzVSDCKU3-FwmPn_1A-J7AKKhcFULZEIctJO=w1200|https://lh3.googleusercontent.com/pw/AP1GczPOD2BjEmUccDHcQpYJrNhoWqrL3aU9Y59uqnZTUbdQBD6i199DdZtz47W3qeetF4aPB9IOnfw6LxSKvvx35wruuYRAKyxw8VguV3rQIgjpfOG5pOV1=w1200|https://lh3.googleusercontent.com/pw/AP1GczNSh2VWMLaKJYmUIulevTJL54Cb8suQ4Q9Pg20Ab1-iOlJm3hqY4m-IOwCyCkBB8XUHh5_QaGOOHiSmwyoF3qKpkNh53jTGcRuRXM1FUrn3LIiNk-3d=w1200|https://lh3.googleusercontent.com/pw/AP1GczM554VOX0OvaMC6w_YJXglVdJRfATneaECyCt5QVClSkGnUkzMj1Pd6E0voI5CZ5PXA3Kugk_zd2vrO9yOMapqXlxGBXoWs7P0C2WQrOMWH6lgbTheD=w1200</v>
      </c>
    </row>
    <row r="20">
      <c r="A20" s="39" t="str">
        <f>IFERROR(__xludf.DUMMYFUNCTION("""COMPUTED_VALUE"""),"1534")</f>
        <v>1534</v>
      </c>
      <c r="B20" s="40" t="str">
        <f>IFERROR(__xludf.DUMMYFUNCTION("""COMPUTED_VALUE"""),"Casa con dos apartaestudios en barrio Alamos Norte")</f>
        <v>Casa con dos apartaestudios en barrio Alamos Norte</v>
      </c>
      <c r="C20" s="40" t="str">
        <f>IFERROR(__xludf.DUMMYFUNCTION("""COMPUTED_VALUE"""),"Casa rentable")</f>
        <v>Casa rentable</v>
      </c>
      <c r="D20" s="40" t="str">
        <f>IFERROR(__xludf.DUMMYFUNCTION("""COMPUTED_VALUE"""),"Alamos Norte")</f>
        <v>Alamos Norte</v>
      </c>
      <c r="E20" s="42" t="str">
        <f>IFERROR(__xludf.DUMMYFUNCTION("""COMPUTED_VALUE""")," ")</f>
        <v> </v>
      </c>
      <c r="F20" s="42">
        <f>IFERROR(__xludf.DUMMYFUNCTION("""COMPUTED_VALUE"""),1.4E8)</f>
        <v>140000000</v>
      </c>
      <c r="G20" s="40" t="str">
        <f>IFERROR(__xludf.DUMMYFUNCTION("""COMPUTED_VALUE"""),"$100'000.000 a $200'000.000")</f>
        <v>$100'000.000 a $200'000.000</v>
      </c>
      <c r="H20" s="40"/>
      <c r="I20" s="40"/>
      <c r="J20" s="40" t="str">
        <f>IFERROR(__xludf.DUMMYFUNCTION("""COMPUTED_VALUE"""),"Norte")</f>
        <v>Norte</v>
      </c>
      <c r="K20" s="39"/>
      <c r="L20" s="40">
        <f>IFERROR(__xludf.DUMMYFUNCTION("""COMPUTED_VALUE"""),2.0)</f>
        <v>2</v>
      </c>
      <c r="M20" s="40"/>
      <c r="N20" s="40">
        <f>IFERROR(__xludf.DUMMYFUNCTION("""COMPUTED_VALUE"""),2.0)</f>
        <v>2</v>
      </c>
      <c r="O20" s="40">
        <f>IFERROR(__xludf.DUMMYFUNCTION("""COMPUTED_VALUE"""),0.0)</f>
        <v>0</v>
      </c>
      <c r="P20" s="40">
        <f>IFERROR(__xludf.DUMMYFUNCTION("""COMPUTED_VALUE"""),2.0)</f>
        <v>2</v>
      </c>
      <c r="Q20" s="48">
        <f>IFERROR(__xludf.DUMMYFUNCTION("""COMPUTED_VALUE"""),92.0)</f>
        <v>92</v>
      </c>
      <c r="R20" s="48">
        <f>IFERROR(__xludf.DUMMYFUNCTION("""COMPUTED_VALUE"""),92.0)</f>
        <v>92</v>
      </c>
      <c r="S20" s="39" t="str">
        <f>IFERROR(__xludf.DUMMYFUNCTION("""COMPUTED_VALUE"""),"Rentabilidad $1,000,000")</f>
        <v>Rentabilidad $1,000,000</v>
      </c>
      <c r="T20" s="40" t="str">
        <f>IFERROR(__xludf.DUMMYFUNCTION("""COMPUTED_VALUE"""),"Neiva")</f>
        <v>Neiva</v>
      </c>
      <c r="U20" s="39" t="str">
        <f>IFERROR(__xludf.DUMMYFUNCTION("""COMPUTED_VALUE"""),"2")</f>
        <v>2</v>
      </c>
      <c r="V20" s="40" t="str">
        <f>IFERROR(__xludf.DUMMYFUNCTION("""COMPUTED_VALUE"""),"Medianera")</f>
        <v>Medianera</v>
      </c>
      <c r="W20" s="46"/>
      <c r="X20" s="46">
        <f>IFERROR(__xludf.DUMMYFUNCTION("""COMPUTED_VALUE"""),2.0)</f>
        <v>2</v>
      </c>
      <c r="Y20" s="40" t="str">
        <f>IFERROR(__xludf.DUMMYFUNCTION("""COMPUTED_VALUE"""),"No tiene")</f>
        <v>No tiene</v>
      </c>
      <c r="Z20" s="42" t="str">
        <f>IFERROR(__xludf.DUMMYFUNCTION("""COMPUTED_VALUE"""),"No aplica")</f>
        <v>No aplica</v>
      </c>
      <c r="AA20" s="49" t="str">
        <f>IFERROR(__xludf.DUMMYFUNCTION("""COMPUTED_VALUE"""),"12 años")</f>
        <v>12 años</v>
      </c>
      <c r="AB20" s="40"/>
      <c r="AC20" s="40"/>
      <c r="AD20" s="40"/>
      <c r="AE20" s="40"/>
      <c r="AF20" s="40" t="str">
        <f>IFERROR(__xludf.DUMMYFUNCTION("""COMPUTED_VALUE"""),"semi-integral")</f>
        <v>semi-integral</v>
      </c>
      <c r="AG20" s="40"/>
      <c r="AH20" s="40" t="str">
        <f>IFERROR(__xludf.DUMMYFUNCTION("""COMPUTED_VALUE"""),"Inventario")</f>
        <v>Inventario</v>
      </c>
      <c r="AI20" s="40"/>
      <c r="AJ20" s="40" t="str">
        <f>IFERROR(__xludf.DUMMYFUNCTION("""COMPUTED_VALUE"""),"C&amp;C")</f>
        <v>C&amp;C</v>
      </c>
      <c r="AK20" s="40" t="str">
        <f>IFERROR(__xludf.DUMMYFUNCTION("""COMPUTED_VALUE"""),"No aplica")</f>
        <v>No aplica</v>
      </c>
      <c r="AL20" s="40" t="str">
        <f>IFERROR(__xludf.DUMMYFUNCTION("""COMPUTED_VALUE"""),"TIENE FOTOS")</f>
        <v>TIENE FOTOS</v>
      </c>
      <c r="AM20" s="40">
        <f>IFERROR(__xludf.DUMMYFUNCTION("""COMPUTED_VALUE"""),3.13351965E9)</f>
        <v>3133519650</v>
      </c>
      <c r="AN20" s="40"/>
      <c r="AO20" s="40"/>
      <c r="AP20" s="40" t="str">
        <f>IFERROR(__xludf.DUMMYFUNCTION("""COMPUTED_VALUE"""),"CALLE 49 No. 20-17")</f>
        <v>CALLE 49 No. 20-17</v>
      </c>
      <c r="AQ20" s="40"/>
      <c r="AR20" s="40"/>
      <c r="AS20" s="53">
        <f>IFERROR(__xludf.DUMMYFUNCTION("""COMPUTED_VALUE"""),1000000.0)</f>
        <v>1000000</v>
      </c>
      <c r="AT20" s="40">
        <f>IFERROR(__xludf.DUMMYFUNCTION("""COMPUTED_VALUE"""),0.0)</f>
        <v>0</v>
      </c>
      <c r="AU20" s="40">
        <f>IFERROR(__xludf.DUMMYFUNCTION("""COMPUTED_VALUE"""),0.0)</f>
        <v>0</v>
      </c>
      <c r="AV20" s="40">
        <f>IFERROR(__xludf.DUMMYFUNCTION("""COMPUTED_VALUE"""),0.0)</f>
        <v>0</v>
      </c>
      <c r="AW20" s="40" t="str">
        <f>IFERROR(__xludf.DUMMYFUNCTION("""COMPUTED_VALUE"""),"NO")</f>
        <v>NO</v>
      </c>
      <c r="AX20" s="40">
        <f>IFERROR(__xludf.DUMMYFUNCTION("""COMPUTED_VALUE"""),0.0)</f>
        <v>0</v>
      </c>
      <c r="AY20" s="40">
        <f>IFERROR(__xludf.DUMMYFUNCTION("""COMPUTED_VALUE"""),0.0)</f>
        <v>0</v>
      </c>
      <c r="AZ20" s="40">
        <f>IFERROR(__xludf.DUMMYFUNCTION("""COMPUTED_VALUE"""),0.0)</f>
        <v>0</v>
      </c>
      <c r="BA20" s="40" t="str">
        <f>IFERROR(__xludf.DUMMYFUNCTION("""COMPUTED_VALUE"""),"X")</f>
        <v>X</v>
      </c>
      <c r="BB20" s="40">
        <f>IFERROR(__xludf.DUMMYFUNCTION("""COMPUTED_VALUE"""),0.0)</f>
        <v>0</v>
      </c>
      <c r="BC20" s="53"/>
      <c r="BD20" s="48"/>
      <c r="BE20" s="48"/>
      <c r="BF20" s="48"/>
    </row>
    <row r="21">
      <c r="A21" s="39" t="str">
        <f>IFERROR(__xludf.DUMMYFUNCTION("""COMPUTED_VALUE"""),"239")</f>
        <v>239</v>
      </c>
      <c r="B21" s="40"/>
      <c r="C21" s="40" t="str">
        <f>IFERROR(__xludf.DUMMYFUNCTION("""COMPUTED_VALUE"""),"Casa rentable")</f>
        <v>Casa rentable</v>
      </c>
      <c r="D21" s="40" t="str">
        <f>IFERROR(__xludf.DUMMYFUNCTION("""COMPUTED_VALUE"""),"Campo Nuñez")</f>
        <v>Campo Nuñez</v>
      </c>
      <c r="E21" s="40"/>
      <c r="F21" s="42">
        <f>IFERROR(__xludf.DUMMYFUNCTION("""COMPUTED_VALUE"""),6.2E8)</f>
        <v>620000000</v>
      </c>
      <c r="G21" s="40" t="str">
        <f>IFERROR(__xludf.DUMMYFUNCTION("""COMPUTED_VALUE"""),"$500'000.000 a $1.000'000.000")</f>
        <v>$500'000.000 a $1.000'000.000</v>
      </c>
      <c r="H21" s="40"/>
      <c r="I21" s="40"/>
      <c r="J21" s="40" t="str">
        <f>IFERROR(__xludf.DUMMYFUNCTION("""COMPUTED_VALUE"""),"Centro")</f>
        <v>Centro</v>
      </c>
      <c r="K21" s="39"/>
      <c r="L21" s="40">
        <f>IFERROR(__xludf.DUMMYFUNCTION("""COMPUTED_VALUE"""),4.0)</f>
        <v>4</v>
      </c>
      <c r="M21" s="40"/>
      <c r="N21" s="40">
        <f>IFERROR(__xludf.DUMMYFUNCTION("""COMPUTED_VALUE"""),3.0)</f>
        <v>3</v>
      </c>
      <c r="O21" s="40">
        <f>IFERROR(__xludf.DUMMYFUNCTION("""COMPUTED_VALUE"""),0.0)</f>
        <v>0</v>
      </c>
      <c r="P21" s="40">
        <f>IFERROR(__xludf.DUMMYFUNCTION("""COMPUTED_VALUE"""),3.0)</f>
        <v>3</v>
      </c>
      <c r="Q21" s="48">
        <f>IFERROR(__xludf.DUMMYFUNCTION("""COMPUTED_VALUE"""),334.0)</f>
        <v>334</v>
      </c>
      <c r="R21" s="48">
        <f>IFERROR(__xludf.DUMMYFUNCTION("""COMPUTED_VALUE"""),170.0)</f>
        <v>170</v>
      </c>
      <c r="S21" s="39" t="str">
        <f>IFERROR(__xludf.DUMMYFUNCTION("""COMPUTED_VALUE""")," ")</f>
        <v> </v>
      </c>
      <c r="T21" s="40"/>
      <c r="U21" s="39"/>
      <c r="V21" s="40" t="str">
        <f>IFERROR(__xludf.DUMMYFUNCTION("""COMPUTED_VALUE"""),"Esquinera")</f>
        <v>Esquinera</v>
      </c>
      <c r="W21" s="46"/>
      <c r="X21" s="46">
        <f>IFERROR(__xludf.DUMMYFUNCTION("""COMPUTED_VALUE"""),3.0)</f>
        <v>3</v>
      </c>
      <c r="Y21" s="40" t="str">
        <f>IFERROR(__xludf.DUMMYFUNCTION("""COMPUTED_VALUE"""),"No tiene")</f>
        <v>No tiene</v>
      </c>
      <c r="Z21" s="42" t="str">
        <f>IFERROR(__xludf.DUMMYFUNCTION("""COMPUTED_VALUE"""),"No aplica")</f>
        <v>No aplica</v>
      </c>
      <c r="AA21" s="49" t="str">
        <f>IFERROR(__xludf.DUMMYFUNCTION("""COMPUTED_VALUE"""),"No aplica")</f>
        <v>No aplica</v>
      </c>
      <c r="AB21" s="48"/>
      <c r="AC21" s="40"/>
      <c r="AD21" s="40"/>
      <c r="AE21" s="40"/>
      <c r="AF21" s="40" t="str">
        <f>IFERROR(__xludf.DUMMYFUNCTION("""COMPUTED_VALUE"""),"semi-integral")</f>
        <v>semi-integral</v>
      </c>
      <c r="AG21" s="40"/>
      <c r="AH21" s="40" t="str">
        <f>IFERROR(__xludf.DUMMYFUNCTION("""COMPUTED_VALUE"""),"Inventario")</f>
        <v>Inventario</v>
      </c>
      <c r="AI21" s="40"/>
      <c r="AJ21" s="40" t="str">
        <f>IFERROR(__xludf.DUMMYFUNCTION("""COMPUTED_VALUE"""),"CAMPO NUÑEZ")</f>
        <v>CAMPO NUÑEZ</v>
      </c>
      <c r="AK21" s="40"/>
      <c r="AL21" s="40" t="str">
        <f>IFERROR(__xludf.DUMMYFUNCTION("""COMPUTED_VALUE"""),"NO FOTOS + DESCRIPCION")</f>
        <v>NO FOTOS + DESCRIPCION</v>
      </c>
      <c r="AM21" s="40" t="str">
        <f>IFERROR(__xludf.DUMMYFUNCTION("""COMPUTED_VALUE"""),"?????")</f>
        <v>?????</v>
      </c>
      <c r="AN21" s="40"/>
      <c r="AO21" s="40"/>
      <c r="AP21" s="40"/>
      <c r="AQ21" s="40"/>
      <c r="AR21" s="40"/>
      <c r="AS21" s="53">
        <f>IFERROR(__xludf.DUMMYFUNCTION("""COMPUTED_VALUE"""),0.0)</f>
        <v>0</v>
      </c>
      <c r="AT21" s="40">
        <f>IFERROR(__xludf.DUMMYFUNCTION("""COMPUTED_VALUE"""),0.0)</f>
        <v>0</v>
      </c>
      <c r="AU21" s="40">
        <f>IFERROR(__xludf.DUMMYFUNCTION("""COMPUTED_VALUE"""),0.0)</f>
        <v>0</v>
      </c>
      <c r="AV21" s="40">
        <f>IFERROR(__xludf.DUMMYFUNCTION("""COMPUTED_VALUE"""),0.0)</f>
        <v>0</v>
      </c>
      <c r="AW21" s="40" t="str">
        <f>IFERROR(__xludf.DUMMYFUNCTION("""COMPUTED_VALUE"""),"NO")</f>
        <v>NO</v>
      </c>
      <c r="AX21" s="40">
        <f>IFERROR(__xludf.DUMMYFUNCTION("""COMPUTED_VALUE"""),0.0)</f>
        <v>0</v>
      </c>
      <c r="AY21" s="40">
        <f>IFERROR(__xludf.DUMMYFUNCTION("""COMPUTED_VALUE"""),0.0)</f>
        <v>0</v>
      </c>
      <c r="AZ21" s="40">
        <f>IFERROR(__xludf.DUMMYFUNCTION("""COMPUTED_VALUE"""),0.0)</f>
        <v>0</v>
      </c>
      <c r="BA21" s="40" t="str">
        <f>IFERROR(__xludf.DUMMYFUNCTION("""COMPUTED_VALUE"""),"X")</f>
        <v>X</v>
      </c>
      <c r="BB21" s="40">
        <f>IFERROR(__xludf.DUMMYFUNCTION("""COMPUTED_VALUE"""),0.0)</f>
        <v>0</v>
      </c>
      <c r="BC21" s="53"/>
      <c r="BD21" s="48"/>
      <c r="BE21" s="48"/>
      <c r="BF21" s="48"/>
    </row>
    <row r="22">
      <c r="A22" s="39" t="str">
        <f>IFERROR(__xludf.DUMMYFUNCTION("""COMPUTED_VALUE"""),"556")</f>
        <v>556</v>
      </c>
      <c r="B22" s="40" t="str">
        <f>IFERROR(__xludf.DUMMYFUNCTION("""COMPUTED_VALUE"""),"Camponuñez.")</f>
        <v>Camponuñez.</v>
      </c>
      <c r="C22" s="40"/>
      <c r="D22" s="40" t="str">
        <f>IFERROR(__xludf.DUMMYFUNCTION("""COMPUTED_VALUE"""),"")</f>
        <v/>
      </c>
      <c r="E22" s="40"/>
      <c r="F22" s="42">
        <f>IFERROR(__xludf.DUMMYFUNCTION("""COMPUTED_VALUE"""),0.0)</f>
        <v>0</v>
      </c>
      <c r="G22" s="40" t="str">
        <f>IFERROR(__xludf.DUMMYFUNCTION("""COMPUTED_VALUE"""),"$0 a $100'000.000")</f>
        <v>$0 a $100'000.000</v>
      </c>
      <c r="H22" s="40"/>
      <c r="I22" s="40"/>
      <c r="J22" s="40"/>
      <c r="K22" s="39"/>
      <c r="L22" s="40"/>
      <c r="M22" s="40"/>
      <c r="N22" s="40"/>
      <c r="O22" s="40"/>
      <c r="P22" s="40"/>
      <c r="Q22" s="48">
        <f>IFERROR(__xludf.DUMMYFUNCTION("""COMPUTED_VALUE"""),0.0)</f>
        <v>0</v>
      </c>
      <c r="R22" s="48">
        <f>IFERROR(__xludf.DUMMYFUNCTION("""COMPUTED_VALUE"""),0.0)</f>
        <v>0</v>
      </c>
      <c r="S22" s="39" t="str">
        <f>IFERROR(__xludf.DUMMYFUNCTION("""COMPUTED_VALUE""")," ")</f>
        <v> </v>
      </c>
      <c r="T22" s="40"/>
      <c r="U22" s="39"/>
      <c r="V22" s="40"/>
      <c r="W22" s="46"/>
      <c r="X22" s="46"/>
      <c r="Y22" s="40"/>
      <c r="Z22" s="42"/>
      <c r="AA22" s="49" t="str">
        <f>IFERROR(__xludf.DUMMYFUNCTION("""COMPUTED_VALUE"""),"No aplica")</f>
        <v>No aplica</v>
      </c>
      <c r="AB22" s="48"/>
      <c r="AC22" s="40"/>
      <c r="AD22" s="40"/>
      <c r="AE22" s="40"/>
      <c r="AF22" s="40" t="str">
        <f>IFERROR(__xludf.DUMMYFUNCTION("""COMPUTED_VALUE"""),"")</f>
        <v/>
      </c>
      <c r="AG22" s="40"/>
      <c r="AH22" s="40" t="str">
        <f>IFERROR(__xludf.DUMMYFUNCTION("""COMPUTED_VALUE"""),"Inventario")</f>
        <v>Inventario</v>
      </c>
      <c r="AI22" s="40"/>
      <c r="AJ22" s="40" t="str">
        <f>IFERROR(__xludf.DUMMYFUNCTION("""COMPUTED_VALUE"""),"CAMPO NUÑEZ - CASA + LOCAL")</f>
        <v>CAMPO NUÑEZ - CASA + LOCAL</v>
      </c>
      <c r="AK22" s="40"/>
      <c r="AL22" s="40" t="str">
        <f>IFERROR(__xludf.DUMMYFUNCTION("""COMPUTED_VALUE"""),"NO FOTOS + DESCRIPCION")</f>
        <v>NO FOTOS + DESCRIPCION</v>
      </c>
      <c r="AM22" s="40">
        <f>IFERROR(__xludf.DUMMYFUNCTION("""COMPUTED_VALUE"""),3.152454767E9)</f>
        <v>3152454767</v>
      </c>
      <c r="AN22" s="40"/>
      <c r="AO22" s="40"/>
      <c r="AP22" s="40"/>
      <c r="AQ22" s="40"/>
      <c r="AR22" s="40"/>
      <c r="AS22" s="53">
        <f>IFERROR(__xludf.DUMMYFUNCTION("""COMPUTED_VALUE"""),0.0)</f>
        <v>0</v>
      </c>
      <c r="AT22" s="40"/>
      <c r="AU22" s="40"/>
      <c r="AV22" s="40"/>
      <c r="AW22" s="40"/>
      <c r="AX22" s="40"/>
      <c r="AY22" s="40"/>
      <c r="AZ22" s="40"/>
      <c r="BA22" s="40" t="str">
        <f>IFERROR(__xludf.DUMMYFUNCTION("""COMPUTED_VALUE"""),"X")</f>
        <v>X</v>
      </c>
      <c r="BB22" s="40"/>
      <c r="BC22" s="53" t="str">
        <f>IFERROR(__xludf.DUMMYFUNCTION("""COMPUTED_VALUE"""),"19 - PRUEBA v, 15 - SINDY MARCELA")</f>
        <v>19 - PRUEBA v, 15 - SINDY MARCELA</v>
      </c>
      <c r="BD22" s="48"/>
      <c r="BE22" s="48"/>
      <c r="BF22" s="48"/>
    </row>
    <row r="23">
      <c r="A23" s="39" t="str">
        <f>IFERROR(__xludf.DUMMYFUNCTION("""COMPUTED_VALUE"""),"041")</f>
        <v>041</v>
      </c>
      <c r="B23" s="40" t="str">
        <f>IFERROR(__xludf.DUMMYFUNCTION("""COMPUTED_VALUE"""),"Casa en barrio Los Cámbulos II")</f>
        <v>Casa en barrio Los Cámbulos II</v>
      </c>
      <c r="C23" s="40" t="str">
        <f>IFERROR(__xludf.DUMMYFUNCTION("""COMPUTED_VALUE"""),"Casa")</f>
        <v>Casa</v>
      </c>
      <c r="D23" s="40" t="str">
        <f>IFERROR(__xludf.DUMMYFUNCTION("""COMPUTED_VALUE"""),"Los Cámbulos II")</f>
        <v>Los Cámbulos II</v>
      </c>
      <c r="E23" s="42" t="str">
        <f>IFERROR(__xludf.DUMMYFUNCTION("""COMPUTED_VALUE""")," ")</f>
        <v> </v>
      </c>
      <c r="F23" s="42">
        <f>IFERROR(__xludf.DUMMYFUNCTION("""COMPUTED_VALUE"""),3.4E8)</f>
        <v>340000000</v>
      </c>
      <c r="G23" s="40" t="str">
        <f>IFERROR(__xludf.DUMMYFUNCTION("""COMPUTED_VALUE"""),"$300'000.000 a $400'000.000")</f>
        <v>$300'000.000 a $400'000.000</v>
      </c>
      <c r="H23" s="40"/>
      <c r="I23" s="40"/>
      <c r="J23" s="40" t="str">
        <f>IFERROR(__xludf.DUMMYFUNCTION("""COMPUTED_VALUE"""),"Norte")</f>
        <v>Norte</v>
      </c>
      <c r="K23" s="39" t="str">
        <f>IFERROR(__xludf.DUMMYFUNCTION("""COMPUTED_VALUE"""),"2")</f>
        <v>2</v>
      </c>
      <c r="L23" s="40">
        <f>IFERROR(__xludf.DUMMYFUNCTION("""COMPUTED_VALUE"""),4.0)</f>
        <v>4</v>
      </c>
      <c r="M23" s="40"/>
      <c r="N23" s="40">
        <f>IFERROR(__xludf.DUMMYFUNCTION("""COMPUTED_VALUE"""),3.0)</f>
        <v>3</v>
      </c>
      <c r="O23" s="40">
        <f>IFERROR(__xludf.DUMMYFUNCTION("""COMPUTED_VALUE"""),1.0)</f>
        <v>1</v>
      </c>
      <c r="P23" s="40">
        <f>IFERROR(__xludf.DUMMYFUNCTION("""COMPUTED_VALUE"""),3.0)</f>
        <v>3</v>
      </c>
      <c r="Q23" s="48"/>
      <c r="R23" s="48">
        <f>IFERROR(__xludf.DUMMYFUNCTION("""COMPUTED_VALUE"""),112.0)</f>
        <v>112</v>
      </c>
      <c r="S23" s="39" t="str">
        <f>IFERROR(__xludf.DUMMYFUNCTION("""COMPUTED_VALUE"""),"Rentabilidad $1,200,000")</f>
        <v>Rentabilidad $1,200,000</v>
      </c>
      <c r="T23" s="40" t="str">
        <f>IFERROR(__xludf.DUMMYFUNCTION("""COMPUTED_VALUE"""),"Neiva")</f>
        <v>Neiva</v>
      </c>
      <c r="U23" s="39" t="str">
        <f>IFERROR(__xludf.DUMMYFUNCTION("""COMPUTED_VALUE"""),"3")</f>
        <v>3</v>
      </c>
      <c r="V23" s="40" t="str">
        <f>IFERROR(__xludf.DUMMYFUNCTION("""COMPUTED_VALUE"""),"Medianera")</f>
        <v>Medianera</v>
      </c>
      <c r="W23" s="46"/>
      <c r="X23" s="46">
        <f>IFERROR(__xludf.DUMMYFUNCTION("""COMPUTED_VALUE"""),0.0)</f>
        <v>0</v>
      </c>
      <c r="Y23" s="40" t="str">
        <f>IFERROR(__xludf.DUMMYFUNCTION("""COMPUTED_VALUE"""),"No tiene")</f>
        <v>No tiene</v>
      </c>
      <c r="Z23" s="42" t="str">
        <f>IFERROR(__xludf.DUMMYFUNCTION("""COMPUTED_VALUE"""),"No aplica")</f>
        <v>No aplica</v>
      </c>
      <c r="AA23" s="49" t="str">
        <f>IFERROR(__xludf.DUMMYFUNCTION("""COMPUTED_VALUE"""),"24 años")</f>
        <v>24 años</v>
      </c>
      <c r="AB23" s="48"/>
      <c r="AC23" s="40"/>
      <c r="AD23" s="40"/>
      <c r="AE23" s="40"/>
      <c r="AF23" s="40" t="str">
        <f>IFERROR(__xludf.DUMMYFUNCTION("""COMPUTED_VALUE"""),"integral")</f>
        <v>integral</v>
      </c>
      <c r="AG23" s="40"/>
      <c r="AH23" s="40" t="str">
        <f>IFERROR(__xludf.DUMMYFUNCTION("""COMPUTED_VALUE"""),"Inventario")</f>
        <v>Inventario</v>
      </c>
      <c r="AI23" s="40"/>
      <c r="AJ23" s="40" t="str">
        <f>IFERROR(__xludf.DUMMYFUNCTION("""COMPUTED_VALUE"""),"Casa Blanca-Inventario Los Cambulos")</f>
        <v>Casa Blanca-Inventario Los Cambulos</v>
      </c>
      <c r="AK23" s="40"/>
      <c r="AL23" s="40" t="str">
        <f>IFERROR(__xludf.DUMMYFUNCTION("""COMPUTED_VALUE"""),"NO FOTOS INT.")</f>
        <v>NO FOTOS INT.</v>
      </c>
      <c r="AM23" s="40">
        <f>IFERROR(__xludf.DUMMYFUNCTION("""COMPUTED_VALUE"""),3.203296936E9)</f>
        <v>3203296936</v>
      </c>
      <c r="AN23" s="40">
        <f>IFERROR(__xludf.DUMMYFUNCTION("""COMPUTED_VALUE"""),3.123874356E9)</f>
        <v>3123874356</v>
      </c>
      <c r="AO23" s="40" t="str">
        <f>IFERROR(__xludf.DUMMYFUNCTION("""COMPUTED_VALUE"""),"MARCELA SANCHEZ-INMOBILIARIA CASA BLANCA")</f>
        <v>MARCELA SANCHEZ-INMOBILIARIA CASA BLANCA</v>
      </c>
      <c r="AP23" s="40" t="str">
        <f>IFERROR(__xludf.DUMMYFUNCTION("""COMPUTED_VALUE"""),"No. 27-46")</f>
        <v>No. 27-46</v>
      </c>
      <c r="AQ23" s="40"/>
      <c r="AR23" s="40"/>
      <c r="AS23" s="53">
        <f>IFERROR(__xludf.DUMMYFUNCTION("""COMPUTED_VALUE"""),1200000.0)</f>
        <v>1200000</v>
      </c>
      <c r="AT23" s="40">
        <f>IFERROR(__xludf.DUMMYFUNCTION("""COMPUTED_VALUE"""),0.0)</f>
        <v>0</v>
      </c>
      <c r="AU23" s="40">
        <f>IFERROR(__xludf.DUMMYFUNCTION("""COMPUTED_VALUE"""),0.0)</f>
        <v>0</v>
      </c>
      <c r="AV23" s="40">
        <f>IFERROR(__xludf.DUMMYFUNCTION("""COMPUTED_VALUE"""),0.0)</f>
        <v>0</v>
      </c>
      <c r="AW23" s="40" t="str">
        <f>IFERROR(__xludf.DUMMYFUNCTION("""COMPUTED_VALUE"""),"NO")</f>
        <v>NO</v>
      </c>
      <c r="AX23" s="40">
        <f>IFERROR(__xludf.DUMMYFUNCTION("""COMPUTED_VALUE"""),0.0)</f>
        <v>0</v>
      </c>
      <c r="AY23" s="40">
        <f>IFERROR(__xludf.DUMMYFUNCTION("""COMPUTED_VALUE"""),0.0)</f>
        <v>0</v>
      </c>
      <c r="AZ23" s="40">
        <f>IFERROR(__xludf.DUMMYFUNCTION("""COMPUTED_VALUE"""),7.0)</f>
        <v>7</v>
      </c>
      <c r="BA23" s="40" t="str">
        <f>IFERROR(__xludf.DUMMYFUNCTION("""COMPUTED_VALUE"""),"X")</f>
        <v>X</v>
      </c>
      <c r="BB23" s="40">
        <f>IFERROR(__xludf.DUMMYFUNCTION("""COMPUTED_VALUE"""),16.0)</f>
        <v>16</v>
      </c>
      <c r="BC23" s="53"/>
      <c r="BD23" s="48"/>
      <c r="BE23" s="48"/>
      <c r="BF23" s="48"/>
    </row>
    <row r="24">
      <c r="A24" s="39" t="str">
        <f>IFERROR(__xludf.DUMMYFUNCTION("""COMPUTED_VALUE"""),"718")</f>
        <v>718</v>
      </c>
      <c r="B24" s="40" t="str">
        <f>IFERROR(__xludf.DUMMYFUNCTION("""COMPUTED_VALUE"""),"Casa + 3 Apartamentos en barrio Chapinero - Centro")</f>
        <v>Casa + 3 Apartamentos en barrio Chapinero - Centro</v>
      </c>
      <c r="C24" s="40" t="str">
        <f>IFERROR(__xludf.DUMMYFUNCTION("""COMPUTED_VALUE"""),"Casa rentable")</f>
        <v>Casa rentable</v>
      </c>
      <c r="D24" s="40" t="str">
        <f>IFERROR(__xludf.DUMMYFUNCTION("""COMPUTED_VALUE"""),"Chapinero")</f>
        <v>Chapinero</v>
      </c>
      <c r="E24" s="40"/>
      <c r="F24" s="42">
        <f>IFERROR(__xludf.DUMMYFUNCTION("""COMPUTED_VALUE"""),9.5E8)</f>
        <v>950000000</v>
      </c>
      <c r="G24" s="40" t="str">
        <f>IFERROR(__xludf.DUMMYFUNCTION("""COMPUTED_VALUE"""),"$500'000.000 a $1.000'000.000")</f>
        <v>$500'000.000 a $1.000'000.000</v>
      </c>
      <c r="H24" s="40"/>
      <c r="I24" s="40"/>
      <c r="J24" s="40" t="str">
        <f>IFERROR(__xludf.DUMMYFUNCTION("""COMPUTED_VALUE"""),"Centro")</f>
        <v>Centro</v>
      </c>
      <c r="K24" s="39" t="str">
        <f>IFERROR(__xludf.DUMMYFUNCTION("""COMPUTED_VALUE"""),"3")</f>
        <v>3</v>
      </c>
      <c r="L24" s="40">
        <f>IFERROR(__xludf.DUMMYFUNCTION("""COMPUTED_VALUE"""),9.0)</f>
        <v>9</v>
      </c>
      <c r="M24" s="40"/>
      <c r="N24" s="40">
        <f>IFERROR(__xludf.DUMMYFUNCTION("""COMPUTED_VALUE"""),4.0)</f>
        <v>4</v>
      </c>
      <c r="O24" s="40">
        <f>IFERROR(__xludf.DUMMYFUNCTION("""COMPUTED_VALUE"""),1.0)</f>
        <v>1</v>
      </c>
      <c r="P24" s="40">
        <f>IFERROR(__xludf.DUMMYFUNCTION("""COMPUTED_VALUE"""),2.0)</f>
        <v>2</v>
      </c>
      <c r="Q24" s="48">
        <f>IFERROR(__xludf.DUMMYFUNCTION("""COMPUTED_VALUE"""),333.0)</f>
        <v>333</v>
      </c>
      <c r="R24" s="48">
        <f>IFERROR(__xludf.DUMMYFUNCTION("""COMPUTED_VALUE"""),150.0)</f>
        <v>150</v>
      </c>
      <c r="S24" s="39" t="str">
        <f>IFERROR(__xludf.DUMMYFUNCTION("""COMPUTED_VALUE"""),"Rentabilidad $2,700,000")</f>
        <v>Rentabilidad $2,700,000</v>
      </c>
      <c r="T24" s="40" t="str">
        <f>IFERROR(__xludf.DUMMYFUNCTION("""COMPUTED_VALUE"""),"Neiva")</f>
        <v>Neiva</v>
      </c>
      <c r="U24" s="39" t="str">
        <f>IFERROR(__xludf.DUMMYFUNCTION("""COMPUTED_VALUE"""),"2")</f>
        <v>2</v>
      </c>
      <c r="V24" s="40" t="str">
        <f>IFERROR(__xludf.DUMMYFUNCTION("""COMPUTED_VALUE"""),"Medianera")</f>
        <v>Medianera</v>
      </c>
      <c r="W24" s="46"/>
      <c r="X24" s="46">
        <f>IFERROR(__xludf.DUMMYFUNCTION("""COMPUTED_VALUE"""),4.0)</f>
        <v>4</v>
      </c>
      <c r="Y24" s="40" t="str">
        <f>IFERROR(__xludf.DUMMYFUNCTION("""COMPUTED_VALUE"""),"No tiene")</f>
        <v>No tiene</v>
      </c>
      <c r="Z24" s="42"/>
      <c r="AA24" s="49" t="str">
        <f>IFERROR(__xludf.DUMMYFUNCTION("""COMPUTED_VALUE"""),"29 años")</f>
        <v>29 años</v>
      </c>
      <c r="AB24" s="105" t="str">
        <f>IFERROR(__xludf.DUMMYFUNCTION("""COMPUTED_VALUE"""),"https://photos.app.goo.gl/2VLZRoS5Y11KNUYm7")</f>
        <v>https://photos.app.goo.gl/2VLZRoS5Y11KNUYm7</v>
      </c>
      <c r="AC24" s="40" t="str">
        <f>IFERROR(__xludf.DUMMYFUNCTION("""COMPUTED_VALUE"""),"Primer piso (3 apartamentos Sala, comedor, 1-  3 habitaciones, cocina integral, 1 baño social, patio de ropa, área de lavado. 2- Sala, comedor, 3 habitaciones, la habitación principal con baño privado, área de lavado, 1 baño social. 3- Se encuentra en obr"&amp;"a gris, ideal para adecuar según las necesidades. + + + Segundo piso: Sala, comedor, 3 habitaciones, 1 baño social, área de lavado, balcón. Excelente ubicación a dos cuadras de la panadería Go Go,restaurante El tinajón, sector altamente valorizado donde e"&amp;"ncontraras jardín infantil, a menos de 5 minutos del centro de la ciudad. Rentabilidad aproximada $2.700.000.")</f>
        <v>Primer piso (3 apartamentos Sala, comedor, 1-  3 habitaciones, cocina integral, 1 baño social, patio de ropa, área de lavado. 2- Sala, comedor, 3 habitaciones, la habitación principal con baño privado, área de lavado, 1 baño social. 3- Se encuentra en obra gris, ideal para adecuar según las necesidades. + + + Segundo piso: Sala, comedor, 3 habitaciones, 1 baño social, área de lavado, balcón. Excelente ubicación a dos cuadras de la panadería Go Go,restaurante El tinajón, sector altamente valorizado donde encontraras jardín infantil, a menos de 5 minutos del centro de la ciudad. Rentabilidad aproximada $2.700.000.</v>
      </c>
      <c r="AD24" s="40" t="str">
        <f>IFERROR(__xludf.DUMMYFUNCTION("""COMPUTED_VALUE"""),"Casa rentable bien ubicada y con proyeccíón para mayor rentabilidad.")</f>
        <v>Casa rentable bien ubicada y con proyeccíón para mayor rentabilidad.</v>
      </c>
      <c r="AE24" s="40"/>
      <c r="AF24" s="40" t="str">
        <f>IFERROR(__xludf.DUMMYFUNCTION("""COMPUTED_VALUE"""),"integral")</f>
        <v>integral</v>
      </c>
      <c r="AG24" s="40"/>
      <c r="AH24" s="40" t="str">
        <f>IFERROR(__xludf.DUMMYFUNCTION("""COMPUTED_VALUE"""),"Inventario")</f>
        <v>Inventario</v>
      </c>
      <c r="AI24" s="40" t="str">
        <f>IFERROR(__xludf.DUMMYFUNCTION("""COMPUTED_VALUE"""),"Aliado")</f>
        <v>Aliado</v>
      </c>
      <c r="AJ24" s="40" t="str">
        <f>IFERROR(__xludf.DUMMYFUNCTION("""COMPUTED_VALUE"""),"Casa Honor")</f>
        <v>Casa Honor</v>
      </c>
      <c r="AK24" s="42" t="str">
        <f>IFERROR(__xludf.DUMMYFUNCTION("""COMPUTED_VALUE"""),"No aplica")</f>
        <v>No aplica</v>
      </c>
      <c r="AL24" s="40" t="str">
        <f>IFERROR(__xludf.DUMMYFUNCTION("""COMPUTED_VALUE"""),"TIENE FOTOS")</f>
        <v>TIENE FOTOS</v>
      </c>
      <c r="AM24" s="40">
        <f>IFERROR(__xludf.DUMMYFUNCTION("""COMPUTED_VALUE"""),3.136442894E9)</f>
        <v>3136442894</v>
      </c>
      <c r="AN24" s="40"/>
      <c r="AO24" s="40" t="str">
        <f>IFERROR(__xludf.DUMMYFUNCTION("""COMPUTED_VALUE"""),"Prop. 3028035444")</f>
        <v>Prop. 3028035444</v>
      </c>
      <c r="AP24" s="40"/>
      <c r="AQ24" s="40"/>
      <c r="AR24" s="40"/>
      <c r="AS24" s="53">
        <f>IFERROR(__xludf.DUMMYFUNCTION("""COMPUTED_VALUE"""),2700000.0)</f>
        <v>2700000</v>
      </c>
      <c r="AT24" s="40">
        <f>IFERROR(__xludf.DUMMYFUNCTION("""COMPUTED_VALUE"""),0.0)</f>
        <v>0</v>
      </c>
      <c r="AU24" s="40">
        <f>IFERROR(__xludf.DUMMYFUNCTION("""COMPUTED_VALUE"""),0.0)</f>
        <v>0</v>
      </c>
      <c r="AV24" s="40">
        <f>IFERROR(__xludf.DUMMYFUNCTION("""COMPUTED_VALUE"""),0.0)</f>
        <v>0</v>
      </c>
      <c r="AW24" s="40" t="str">
        <f>IFERROR(__xludf.DUMMYFUNCTION("""COMPUTED_VALUE"""),"NO")</f>
        <v>NO</v>
      </c>
      <c r="AX24" s="40">
        <f>IFERROR(__xludf.DUMMYFUNCTION("""COMPUTED_VALUE"""),0.0)</f>
        <v>0</v>
      </c>
      <c r="AY24" s="40" t="str">
        <f>IFERROR(__xludf.DUMMYFUNCTION("""COMPUTED_VALUE"""),"P")</f>
        <v>P</v>
      </c>
      <c r="AZ24" s="40">
        <f>IFERROR(__xludf.DUMMYFUNCTION("""COMPUTED_VALUE"""),0.0)</f>
        <v>0</v>
      </c>
      <c r="BA24" s="40" t="str">
        <f>IFERROR(__xludf.DUMMYFUNCTION("""COMPUTED_VALUE"""),"X")</f>
        <v>X</v>
      </c>
      <c r="BB24" s="40">
        <f>IFERROR(__xludf.DUMMYFUNCTION("""COMPUTED_VALUE"""),0.0)</f>
        <v>0</v>
      </c>
      <c r="BC24" s="53" t="str">
        <f>IFERROR(__xludf.DUMMYFUNCTION("""COMPUTED_VALUE"""),"12 - LEIDY YULIETH, 41 - NORMA MEDINA")</f>
        <v>12 - LEIDY YULIETH, 41 - NORMA MEDINA</v>
      </c>
      <c r="BD24" s="48"/>
      <c r="BE24" s="48"/>
      <c r="BF24" s="48" t="str">
        <f>IFERROR(__xludf.DUMMYFUNCTION("""COMPUTED_VALUE"""),"https://lh3.googleusercontent.com/pw/AP1GczMHcqtoM0uJYGrQG45Ia14RqoC7eWoMfidOzEc-k8OxblxMGqbTg2ZAJRIA1zMK4qZab2ym75H_7VZVy13fZY2vnChXIhnKcvlQU-pM7OYfn7KiQh5y=w1200|https://lh3.googleusercontent.com/pw/AP1GczMXwIw2ywytBKnrl_ghNcek8hgnhboCs-CY6UQYIHQR_2qjsT"&amp;"onElNVjIQ-2SAtnaDXGm1n5WIuB4muAk1qOi6n7zcVNIsJ-ue1vBwsmYR9iquA2c52=w1200")</f>
        <v>https://lh3.googleusercontent.com/pw/AP1GczMHcqtoM0uJYGrQG45Ia14RqoC7eWoMfidOzEc-k8OxblxMGqbTg2ZAJRIA1zMK4qZab2ym75H_7VZVy13fZY2vnChXIhnKcvlQU-pM7OYfn7KiQh5y=w1200|https://lh3.googleusercontent.com/pw/AP1GczMXwIw2ywytBKnrl_ghNcek8hgnhboCs-CY6UQYIHQR_2qjsTonElNVjIQ-2SAtnaDXGm1n5WIuB4muAk1qOi6n7zcVNIsJ-ue1vBwsmYR9iquA2c52=w1200</v>
      </c>
    </row>
    <row r="25">
      <c r="A25" s="39" t="str">
        <f>IFERROR(__xludf.DUMMYFUNCTION("""COMPUTED_VALUE"""),"373")</f>
        <v>373</v>
      </c>
      <c r="B25" s="40" t="str">
        <f>IFERROR(__xludf.DUMMYFUNCTION("""COMPUTED_VALUE"""),"Apartamento en edificio Quirinal  - Centro")</f>
        <v>Apartamento en edificio Quirinal  - Centro</v>
      </c>
      <c r="C25" s="40" t="str">
        <f>IFERROR(__xludf.DUMMYFUNCTION("""COMPUTED_VALUE"""),"Apartamento")</f>
        <v>Apartamento</v>
      </c>
      <c r="D25" s="40" t="str">
        <f>IFERROR(__xludf.DUMMYFUNCTION("""COMPUTED_VALUE"""),"Quirinal")</f>
        <v>Quirinal</v>
      </c>
      <c r="E25" s="40"/>
      <c r="F25" s="42">
        <f>IFERROR(__xludf.DUMMYFUNCTION("""COMPUTED_VALUE"""),3.35E8)</f>
        <v>335000000</v>
      </c>
      <c r="G25" s="40" t="str">
        <f>IFERROR(__xludf.DUMMYFUNCTION("""COMPUTED_VALUE"""),"$300'000.000 a $400'000.000")</f>
        <v>$300'000.000 a $400'000.000</v>
      </c>
      <c r="H25" s="40"/>
      <c r="I25" s="40"/>
      <c r="J25" s="40" t="str">
        <f>IFERROR(__xludf.DUMMYFUNCTION("""COMPUTED_VALUE"""),"Centro")</f>
        <v>Centro</v>
      </c>
      <c r="K25" s="39" t="str">
        <f>IFERROR(__xludf.DUMMYFUNCTION("""COMPUTED_VALUE"""),"3")</f>
        <v>3</v>
      </c>
      <c r="L25" s="40">
        <f>IFERROR(__xludf.DUMMYFUNCTION("""COMPUTED_VALUE"""),3.0)</f>
        <v>3</v>
      </c>
      <c r="M25" s="40"/>
      <c r="N25" s="40">
        <f>IFERROR(__xludf.DUMMYFUNCTION("""COMPUTED_VALUE"""),3.0)</f>
        <v>3</v>
      </c>
      <c r="O25" s="40">
        <f>IFERROR(__xludf.DUMMYFUNCTION("""COMPUTED_VALUE"""),1.0)</f>
        <v>1</v>
      </c>
      <c r="P25" s="40">
        <f>IFERROR(__xludf.DUMMYFUNCTION("""COMPUTED_VALUE"""),1.0)</f>
        <v>1</v>
      </c>
      <c r="Q25" s="48">
        <f>IFERROR(__xludf.DUMMYFUNCTION("""COMPUTED_VALUE"""),143.0)</f>
        <v>143</v>
      </c>
      <c r="R25" s="48">
        <f>IFERROR(__xludf.DUMMYFUNCTION("""COMPUTED_VALUE"""),143.0)</f>
        <v>143</v>
      </c>
      <c r="S25" s="39" t="str">
        <f>IFERROR(__xludf.DUMMYFUNCTION("""COMPUTED_VALUE""")," ")</f>
        <v> </v>
      </c>
      <c r="T25" s="40" t="str">
        <f>IFERROR(__xludf.DUMMYFUNCTION("""COMPUTED_VALUE"""),"Neiva")</f>
        <v>Neiva</v>
      </c>
      <c r="U25" s="39" t="str">
        <f>IFERROR(__xludf.DUMMYFUNCTION("""COMPUTED_VALUE"""),"5")</f>
        <v>5</v>
      </c>
      <c r="V25" s="40"/>
      <c r="W25" s="46"/>
      <c r="X25" s="46">
        <f>IFERROR(__xludf.DUMMYFUNCTION("""COMPUTED_VALUE"""),3.0)</f>
        <v>3</v>
      </c>
      <c r="Y25" s="40" t="str">
        <f>IFERROR(__xludf.DUMMYFUNCTION("""COMPUTED_VALUE"""),"No tiene")</f>
        <v>No tiene</v>
      </c>
      <c r="Z25" s="42">
        <f>IFERROR(__xludf.DUMMYFUNCTION("""COMPUTED_VALUE"""),300000.0)</f>
        <v>300000</v>
      </c>
      <c r="AA25" s="49" t="str">
        <f>IFERROR(__xludf.DUMMYFUNCTION("""COMPUTED_VALUE"""),"No aplica")</f>
        <v>No aplica</v>
      </c>
      <c r="AB25" s="105" t="str">
        <f>IFERROR(__xludf.DUMMYFUNCTION("""COMPUTED_VALUE"""),"https://photos.app.goo.gl/8accad79tcZRBSST7")</f>
        <v>https://photos.app.goo.gl/8accad79tcZRBSST7</v>
      </c>
      <c r="AC25" s="40"/>
      <c r="AD25" s="40" t="str">
        <f>IFERROR(__xludf.DUMMYFUNCTION("""COMPUTED_VALUE"""),"Apartamento central y remodelado, ubicado en tercer piso. Con ascensor. Edificio de 6 pisos,  2 apartamentos por piso. Ubicado cerca del Sena, Av. La toma, Carrera 5ta. Buenos acabados. Escritura al día.")</f>
        <v>Apartamento central y remodelado, ubicado en tercer piso. Con ascensor. Edificio de 6 pisos,  2 apartamentos por piso. Ubicado cerca del Sena, Av. La toma, Carrera 5ta. Buenos acabados. Escritura al día.</v>
      </c>
      <c r="AE25" s="40"/>
      <c r="AF25" s="40" t="str">
        <f>IFERROR(__xludf.DUMMYFUNCTION("""COMPUTED_VALUE"""),"integral")</f>
        <v>integral</v>
      </c>
      <c r="AG25" s="40" t="str">
        <f>IFERROR(__xludf.DUMMYFUNCTION("""COMPUTED_VALUE"""),"SI")</f>
        <v>SI</v>
      </c>
      <c r="AH25" s="40" t="str">
        <f>IFERROR(__xludf.DUMMYFUNCTION("""COMPUTED_VALUE"""),"Inventario")</f>
        <v>Inventario</v>
      </c>
      <c r="AI25" s="40" t="str">
        <f>IFERROR(__xludf.DUMMYFUNCTION("""COMPUTED_VALUE"""),"Aliado")</f>
        <v>Aliado</v>
      </c>
      <c r="AJ25" s="40" t="str">
        <f>IFERROR(__xludf.DUMMYFUNCTION("""COMPUTED_VALUE"""),"Comis. Sandra BBVA - 50%")</f>
        <v>Comis. Sandra BBVA - 50%</v>
      </c>
      <c r="AK25" s="40" t="str">
        <f>IFERROR(__xludf.DUMMYFUNCTION("""COMPUTED_VALUE"""),"No aplica")</f>
        <v>No aplica</v>
      </c>
      <c r="AL25" s="40" t="str">
        <f>IFERROR(__xludf.DUMMYFUNCTION("""COMPUTED_VALUE"""),"TIENE FOTOS")</f>
        <v>TIENE FOTOS</v>
      </c>
      <c r="AM25" s="40">
        <f>IFERROR(__xludf.DUMMYFUNCTION("""COMPUTED_VALUE"""),3.138797028E9)</f>
        <v>3138797028</v>
      </c>
      <c r="AN25" s="40">
        <f>IFERROR(__xludf.DUMMYFUNCTION("""COMPUTED_VALUE"""),0.0)</f>
        <v>0</v>
      </c>
      <c r="AO25" s="40"/>
      <c r="AP25" s="40" t="str">
        <f>IFERROR(__xludf.DUMMYFUNCTION("""COMPUTED_VALUE"""),"CARRERA 5 - 3ER")</f>
        <v>CARRERA 5 - 3ER</v>
      </c>
      <c r="AQ25" s="40">
        <f>IFERROR(__xludf.DUMMYFUNCTION("""COMPUTED_VALUE"""),2.934327)</f>
        <v>2.934327</v>
      </c>
      <c r="AR25" s="40">
        <f>IFERROR(__xludf.DUMMYFUNCTION("""COMPUTED_VALUE"""),-75.2901673)</f>
        <v>-75.2901673</v>
      </c>
      <c r="AS25" s="53">
        <f>IFERROR(__xludf.DUMMYFUNCTION("""COMPUTED_VALUE"""),0.0)</f>
        <v>0</v>
      </c>
      <c r="AT25" s="40" t="str">
        <f>IFERROR(__xludf.DUMMYFUNCTION("""COMPUTED_VALUE"""),"SI")</f>
        <v>SI</v>
      </c>
      <c r="AU25" s="40" t="str">
        <f>IFERROR(__xludf.DUMMYFUNCTION("""COMPUTED_VALUE"""),"SI")</f>
        <v>SI</v>
      </c>
      <c r="AV25" s="40" t="str">
        <f>IFERROR(__xludf.DUMMYFUNCTION("""COMPUTED_VALUE"""),"SI")</f>
        <v>SI</v>
      </c>
      <c r="AW25" s="40" t="str">
        <f>IFERROR(__xludf.DUMMYFUNCTION("""COMPUTED_VALUE"""),"NO")</f>
        <v>NO</v>
      </c>
      <c r="AX25" s="40">
        <f>IFERROR(__xludf.DUMMYFUNCTION("""COMPUTED_VALUE"""),0.0)</f>
        <v>0</v>
      </c>
      <c r="AY25" s="40" t="str">
        <f>IFERROR(__xludf.DUMMYFUNCTION("""COMPUTED_VALUE"""),"P")</f>
        <v>P</v>
      </c>
      <c r="AZ25" s="40">
        <f>IFERROR(__xludf.DUMMYFUNCTION("""COMPUTED_VALUE"""),0.0)</f>
        <v>0</v>
      </c>
      <c r="BA25" s="40" t="str">
        <f>IFERROR(__xludf.DUMMYFUNCTION("""COMPUTED_VALUE"""),"X")</f>
        <v>X</v>
      </c>
      <c r="BB25" s="40">
        <f>IFERROR(__xludf.DUMMYFUNCTION("""COMPUTED_VALUE"""),0.0)</f>
        <v>0</v>
      </c>
      <c r="BC25" s="53"/>
      <c r="BD25" s="48"/>
      <c r="BE25" s="48"/>
      <c r="BF25" s="48" t="str">
        <f>IFERROR(__xludf.DUMMYFUNCTION("""COMPUTED_VALUE"""),"https://lh3.googleusercontent.com/pw/AP1GczPD_HD_FyU0oyZT_SNj3l0Bt6dAm4-h-4752u9Tr0ruReSizSCz2z65DmKJhOB5bStldHhMXICCw2ncPDI6xXDYElhinchiKRk7mZz0II1bsu-HAGUb=w1200|https://lh3.googleusercontent.com/pw/AP1GczNGIVNVcMXahGPWcVyMeoCeDfqXQSbEAC65WZncVLJl3FFksi"&amp;"PV4KmTFV-GBLun51l2DhGM6ONgvRotGzbsJ6nusNmLnGM4R_f0svORVpEXlt4vmxHJ=w1200|https://lh3.googleusercontent.com/pw/AP1GczOJGYIHwFxRjcqfyFQfoSpWX4YsAYUv9JbEhAD9h92x6ZJzqHNI6TIt_wMWABbyOjBDPxLHib6TjSHsvmdgrXMfwuF2-oouZFPt-Xu-mBhRb57XgrGv=w1200|https://lh3.google"&amp;"usercontent.com/pw/AP1GczMCD1ru5I_bCImeOINajKWwB6YiBqc5QCqLD0Aa5yGYCjIxDBhn1KEVtCDZldU4I012U3QmBT_QUrkzTHA0Kw5ClvNJFK_5pvwPZMiE9cBdQL2RyOmk=w1200|https://lh3.googleusercontent.com/pw/AP1GczP2JfPYyBh7AKdxrs3j3W5vu-xMsRLm7ggnVIWBCAZZgz1JnkXvDwSw9NAJo4W00CLw"&amp;"1ol3snQFLCgXp4bzqwBr1tbn_9jtobJvd8TzOYtuH3ntCN2b=w1200|https://lh3.googleusercontent.com/pw/AP1GczNe1_zr6D1GP5o8F2GVzwUxP7QJuP9IVlBngTmUP0yAlEe5GXdWMDBGYv84SdfGUqup9THtnKh0zup8V06JbKZuVh6ywvFkSeOnDvE8henr0HPurh6Q=w1200|https://lh3.googleusercontent.com/pw"&amp;"/AP1GczMLxLzT6UXvMDguGZ-c0TEIj8cJ9hOGDFrOX0ZbEy2OuCMqUEMAKKsiFn261NoYLuIQJhmxjqZK7za_i5BIG6D7IEme0KCNeVzesXCcxgi9wEjuUaw8=w1200|https://lh3.googleusercontent.com/pw/AP1GczNqnhf4UQ1atyvhIqKT-g7GPK4BZpGenUIonpKdj93k6FGz409UATHZ70qF1mo9uraRv6Olpu9aU5bvUNGbwJ"&amp;"KbtbrwCLONtn3S-PsDbFW6_RtKlLN_=w1200|https://lh3.googleusercontent.com/pw/AP1GczNRWBDqz2FRPYGmRgfaewlbFlMhG-Qa-AUVx2ku_qDA8IKBosVwr08VULGIzF_DekIbAk35vFOFRvFJ1cP8RztcZHBA61iAgK01qizPNNDhMt1jXYTE=w1200|https://lh3.googleusercontent.com/pw/AP1GczNCAV2tKoY4t"&amp;"8n3erLNM6etkngPi0pqmo0CpDSaM8lpQcHUyW20cjTwSv1AeKxf4_hUXeSX7Eq8CBm9Ra6YBWcep7RkTQ7YhwnjzNQQv3PcfMPvW-07=w1200|https://lh3.googleusercontent.com/pw/AP1GczMwEGEQrkVpm2bnY_cgQcBA0j0DwBeHdG8eLc1IwmKnll_S7Ht-X5-XhGHz-O3gD9AHedIbLjLUgDN7PAarmXhHKS8vUyxrUAeFTPzF"&amp;"-MHHr-vdyws9=w1200|https://lh3.googleusercontent.com/pw/AP1GczNCRqQC4Q1VxWy-9BL5x2oh0ndD-ZHGxjNVxR00pbcIMV1nfEMT3fT8kD7gigGQWdQxfjae9dn0RUOMUBtjBBVCWwggvk8qH1kxpQdtPY3b_6bUPBQC=w1200|https://lh3.googleusercontent.com/pw/AP1GczOTis9_RSRPBylIPkFrPlSpvUOku-E"&amp;"v8TyCMRKN3dmW3AwtsRV8qbCnvDSmiLnM3JMmXCTSecfofDBjlnToL-N9E9d_kb0pXuyWCXPW4LfF1Eg-U2ya=w1200|https://lh3.googleusercontent.com/pw/AP1GczOM4JuNMwPR1NY3cyzH8yzjBNNEEUY6RlI5KXB8Tm4yJr5Nzto4LjOEPypy0OY8GwpP8G1LqBMfktWjS7kjCWpOBv-RmW0eOoCcT6PNikNy_WATlvNV=w1200"&amp;"|https://lh3.googleusercontent.com/pw/AP1GczOCMARXwsVXV3Y8nzbfBtJcqrIzku33pmitkaP8Mk8n0tf0m2RNbr9EYNtAKJ_MTiEeVovWS_8utODNIL43YzHmZoRjYuLtH7xzpZJeP6DInRgaZe4M=w1200|https://lh3.googleusercontent.com/pw/AP1GczMA31H60Pp-QcgSqtWPR0abbsadRdx4MdoSM3glmiiroj04i"&amp;"44PdixMWTyNLghgtGcseRRlZlFss8yYX2dxdso57Kpeo7v-1LujwWLwL2E3HTISm_Sl=w1200|https://lh3.googleusercontent.com/pw/AP1GczPasxHSGWC1Pz1V8sCdeIz6ppkSshMTH7OoSwHFl0CqtigzJ-CnTlGa_ngKUk16rHIHgqu2LLM2czBS6YNF4fC-ebnr_kDNzCadMJZrqwm1I-GUjPCP=w1200")</f>
        <v>https://lh3.googleusercontent.com/pw/AP1GczPD_HD_FyU0oyZT_SNj3l0Bt6dAm4-h-4752u9Tr0ruReSizSCz2z65DmKJhOB5bStldHhMXICCw2ncPDI6xXDYElhinchiKRk7mZz0II1bsu-HAGUb=w1200|https://lh3.googleusercontent.com/pw/AP1GczNGIVNVcMXahGPWcVyMeoCeDfqXQSbEAC65WZncVLJl3FFksiPV4KmTFV-GBLun51l2DhGM6ONgvRotGzbsJ6nusNmLnGM4R_f0svORVpEXlt4vmxHJ=w1200|https://lh3.googleusercontent.com/pw/AP1GczOJGYIHwFxRjcqfyFQfoSpWX4YsAYUv9JbEhAD9h92x6ZJzqHNI6TIt_wMWABbyOjBDPxLHib6TjSHsvmdgrXMfwuF2-oouZFPt-Xu-mBhRb57XgrGv=w1200|https://lh3.googleusercontent.com/pw/AP1GczMCD1ru5I_bCImeOINajKWwB6YiBqc5QCqLD0Aa5yGYCjIxDBhn1KEVtCDZldU4I012U3QmBT_QUrkzTHA0Kw5ClvNJFK_5pvwPZMiE9cBdQL2RyOmk=w1200|https://lh3.googleusercontent.com/pw/AP1GczP2JfPYyBh7AKdxrs3j3W5vu-xMsRLm7ggnVIWBCAZZgz1JnkXvDwSw9NAJo4W00CLw1ol3snQFLCgXp4bzqwBr1tbn_9jtobJvd8TzOYtuH3ntCN2b=w1200|https://lh3.googleusercontent.com/pw/AP1GczNe1_zr6D1GP5o8F2GVzwUxP7QJuP9IVlBngTmUP0yAlEe5GXdWMDBGYv84SdfGUqup9THtnKh0zup8V06JbKZuVh6ywvFkSeOnDvE8henr0HPurh6Q=w1200|https://lh3.googleusercontent.com/pw/AP1GczMLxLzT6UXvMDguGZ-c0TEIj8cJ9hOGDFrOX0ZbEy2OuCMqUEMAKKsiFn261NoYLuIQJhmxjqZK7za_i5BIG6D7IEme0KCNeVzesXCcxgi9wEjuUaw8=w1200|https://lh3.googleusercontent.com/pw/AP1GczNqnhf4UQ1atyvhIqKT-g7GPK4BZpGenUIonpKdj93k6FGz409UATHZ70qF1mo9uraRv6Olpu9aU5bvUNGbwJKbtbrwCLONtn3S-PsDbFW6_RtKlLN_=w1200|https://lh3.googleusercontent.com/pw/AP1GczNRWBDqz2FRPYGmRgfaewlbFlMhG-Qa-AUVx2ku_qDA8IKBosVwr08VULGIzF_DekIbAk35vFOFRvFJ1cP8RztcZHBA61iAgK01qizPNNDhMt1jXYTE=w1200|https://lh3.googleusercontent.com/pw/AP1GczNCAV2tKoY4t8n3erLNM6etkngPi0pqmo0CpDSaM8lpQcHUyW20cjTwSv1AeKxf4_hUXeSX7Eq8CBm9Ra6YBWcep7RkTQ7YhwnjzNQQv3PcfMPvW-07=w1200|https://lh3.googleusercontent.com/pw/AP1GczMwEGEQrkVpm2bnY_cgQcBA0j0DwBeHdG8eLc1IwmKnll_S7Ht-X5-XhGHz-O3gD9AHedIbLjLUgDN7PAarmXhHKS8vUyxrUAeFTPzF-MHHr-vdyws9=w1200|https://lh3.googleusercontent.com/pw/AP1GczNCRqQC4Q1VxWy-9BL5x2oh0ndD-ZHGxjNVxR00pbcIMV1nfEMT3fT8kD7gigGQWdQxfjae9dn0RUOMUBtjBBVCWwggvk8qH1kxpQdtPY3b_6bUPBQC=w1200|https://lh3.googleusercontent.com/pw/AP1GczOTis9_RSRPBylIPkFrPlSpvUOku-Ev8TyCMRKN3dmW3AwtsRV8qbCnvDSmiLnM3JMmXCTSecfofDBjlnToL-N9E9d_kb0pXuyWCXPW4LfF1Eg-U2ya=w1200|https://lh3.googleusercontent.com/pw/AP1GczOM4JuNMwPR1NY3cyzH8yzjBNNEEUY6RlI5KXB8Tm4yJr5Nzto4LjOEPypy0OY8GwpP8G1LqBMfktWjS7kjCWpOBv-RmW0eOoCcT6PNikNy_WATlvNV=w1200|https://lh3.googleusercontent.com/pw/AP1GczOCMARXwsVXV3Y8nzbfBtJcqrIzku33pmitkaP8Mk8n0tf0m2RNbr9EYNtAKJ_MTiEeVovWS_8utODNIL43YzHmZoRjYuLtH7xzpZJeP6DInRgaZe4M=w1200|https://lh3.googleusercontent.com/pw/AP1GczMA31H60Pp-QcgSqtWPR0abbsadRdx4MdoSM3glmiiroj04i44PdixMWTyNLghgtGcseRRlZlFss8yYX2dxdso57Kpeo7v-1LujwWLwL2E3HTISm_Sl=w1200|https://lh3.googleusercontent.com/pw/AP1GczPasxHSGWC1Pz1V8sCdeIz6ppkSshMTH7OoSwHFl0CqtigzJ-CnTlGa_ngKUk16rHIHgqu2LLM2czBS6YNF4fC-ebnr_kDNzCadMJZrqwm1I-GUjPCP=w1200</v>
      </c>
    </row>
    <row r="26">
      <c r="A26" s="39" t="str">
        <f>IFERROR(__xludf.DUMMYFUNCTION("""COMPUTED_VALUE"""),"279")</f>
        <v>279</v>
      </c>
      <c r="B26" s="40" t="str">
        <f>IFERROR(__xludf.DUMMYFUNCTION("""COMPUTED_VALUE"""),"Casa en barrio Quirinal - IPS")</f>
        <v>Casa en barrio Quirinal - IPS</v>
      </c>
      <c r="C26" s="40" t="str">
        <f>IFERROR(__xludf.DUMMYFUNCTION("""COMPUTED_VALUE"""),"Casa")</f>
        <v>Casa</v>
      </c>
      <c r="D26" s="40" t="str">
        <f>IFERROR(__xludf.DUMMYFUNCTION("""COMPUTED_VALUE"""),"Quirinal")</f>
        <v>Quirinal</v>
      </c>
      <c r="E26" s="40"/>
      <c r="F26" s="42">
        <f>IFERROR(__xludf.DUMMYFUNCTION("""COMPUTED_VALUE"""),7.5E8)</f>
        <v>750000000</v>
      </c>
      <c r="G26" s="40" t="str">
        <f>IFERROR(__xludf.DUMMYFUNCTION("""COMPUTED_VALUE"""),"$500'000.000 a $1.000'000.000")</f>
        <v>$500'000.000 a $1.000'000.000</v>
      </c>
      <c r="H26" s="40"/>
      <c r="I26" s="40"/>
      <c r="J26" s="40" t="str">
        <f>IFERROR(__xludf.DUMMYFUNCTION("""COMPUTED_VALUE"""),"Centro")</f>
        <v>Centro</v>
      </c>
      <c r="K26" s="39"/>
      <c r="L26" s="40">
        <f>IFERROR(__xludf.DUMMYFUNCTION("""COMPUTED_VALUE"""),6.0)</f>
        <v>6</v>
      </c>
      <c r="M26" s="40"/>
      <c r="N26" s="40">
        <f>IFERROR(__xludf.DUMMYFUNCTION("""COMPUTED_VALUE"""),3.0)</f>
        <v>3</v>
      </c>
      <c r="O26" s="40">
        <f>IFERROR(__xludf.DUMMYFUNCTION("""COMPUTED_VALUE"""),1.0)</f>
        <v>1</v>
      </c>
      <c r="P26" s="40">
        <f>IFERROR(__xludf.DUMMYFUNCTION("""COMPUTED_VALUE"""),1.0)</f>
        <v>1</v>
      </c>
      <c r="Q26" s="48">
        <f>IFERROR(__xludf.DUMMYFUNCTION("""COMPUTED_VALUE"""),240.0)</f>
        <v>240</v>
      </c>
      <c r="R26" s="48">
        <f>IFERROR(__xludf.DUMMYFUNCTION("""COMPUTED_VALUE"""),240.0)</f>
        <v>240</v>
      </c>
      <c r="S26" s="39" t="str">
        <f>IFERROR(__xludf.DUMMYFUNCTION("""COMPUTED_VALUE""")," ")</f>
        <v> </v>
      </c>
      <c r="T26" s="40" t="str">
        <f>IFERROR(__xludf.DUMMYFUNCTION("""COMPUTED_VALUE"""),"Neiva")</f>
        <v>Neiva</v>
      </c>
      <c r="U26" s="39" t="str">
        <f>IFERROR(__xludf.DUMMYFUNCTION("""COMPUTED_VALUE"""),"4")</f>
        <v>4</v>
      </c>
      <c r="V26" s="40" t="str">
        <f>IFERROR(__xludf.DUMMYFUNCTION("""COMPUTED_VALUE"""),"Medianera")</f>
        <v>Medianera</v>
      </c>
      <c r="W26" s="46"/>
      <c r="X26" s="46">
        <f>IFERROR(__xludf.DUMMYFUNCTION("""COMPUTED_VALUE"""),4.0)</f>
        <v>4</v>
      </c>
      <c r="Y26" s="40" t="str">
        <f>IFERROR(__xludf.DUMMYFUNCTION("""COMPUTED_VALUE"""),"No tiene")</f>
        <v>No tiene</v>
      </c>
      <c r="Z26" s="42" t="str">
        <f>IFERROR(__xludf.DUMMYFUNCTION("""COMPUTED_VALUE"""),"No aplica")</f>
        <v>No aplica</v>
      </c>
      <c r="AA26" s="49" t="str">
        <f>IFERROR(__xludf.DUMMYFUNCTION("""COMPUTED_VALUE"""),"No aplica")</f>
        <v>No aplica</v>
      </c>
      <c r="AB26" s="105" t="str">
        <f>IFERROR(__xludf.DUMMYFUNCTION("""COMPUTED_VALUE"""),"https://photos.app.goo.gl/kJppqsoaVfU6tNoB6")</f>
        <v>https://photos.app.goo.gl/kJppqsoaVfU6tNoB6</v>
      </c>
      <c r="AC26" s="40"/>
      <c r="AD26" s="40"/>
      <c r="AE26" s="40"/>
      <c r="AF26" s="40" t="str">
        <f>IFERROR(__xludf.DUMMYFUNCTION("""COMPUTED_VALUE"""),"semi-integral")</f>
        <v>semi-integral</v>
      </c>
      <c r="AG26" s="40" t="str">
        <f>IFERROR(__xludf.DUMMYFUNCTION("""COMPUTED_VALUE"""),"SI")</f>
        <v>SI</v>
      </c>
      <c r="AH26" s="40" t="str">
        <f>IFERROR(__xludf.DUMMYFUNCTION("""COMPUTED_VALUE"""),"Inventario")</f>
        <v>Inventario</v>
      </c>
      <c r="AI26" s="40" t="str">
        <f>IFERROR(__xludf.DUMMYFUNCTION("""COMPUTED_VALUE"""),"Aliado")</f>
        <v>Aliado</v>
      </c>
      <c r="AJ26" s="40" t="str">
        <f>IFERROR(__xludf.DUMMYFUNCTION("""COMPUTED_VALUE"""),"Comis. Santiago alto nivel 50%")</f>
        <v>Comis. Santiago alto nivel 50%</v>
      </c>
      <c r="AK26" s="40" t="str">
        <f>IFERROR(__xludf.DUMMYFUNCTION("""COMPUTED_VALUE"""),"No aplica")</f>
        <v>No aplica</v>
      </c>
      <c r="AL26" s="40" t="str">
        <f>IFERROR(__xludf.DUMMYFUNCTION("""COMPUTED_VALUE"""),"TIENE FOTOS")</f>
        <v>TIENE FOTOS</v>
      </c>
      <c r="AM26" s="40">
        <f>IFERROR(__xludf.DUMMYFUNCTION("""COMPUTED_VALUE"""),3.166963569E9)</f>
        <v>3166963569</v>
      </c>
      <c r="AN26" s="40">
        <f>IFERROR(__xludf.DUMMYFUNCTION("""COMPUTED_VALUE"""),0.0)</f>
        <v>0</v>
      </c>
      <c r="AO26" s="40"/>
      <c r="AP26" s="40"/>
      <c r="AQ26" s="40">
        <f>IFERROR(__xludf.DUMMYFUNCTION("""COMPUTED_VALUE"""),2.9387055)</f>
        <v>2.9387055</v>
      </c>
      <c r="AR26" s="40">
        <f>IFERROR(__xludf.DUMMYFUNCTION("""COMPUTED_VALUE"""),-75.2863258)</f>
        <v>-75.2863258</v>
      </c>
      <c r="AS26" s="53">
        <f>IFERROR(__xludf.DUMMYFUNCTION("""COMPUTED_VALUE"""),0.0)</f>
        <v>0</v>
      </c>
      <c r="AT26" s="40">
        <f>IFERROR(__xludf.DUMMYFUNCTION("""COMPUTED_VALUE"""),0.0)</f>
        <v>0</v>
      </c>
      <c r="AU26" s="40">
        <f>IFERROR(__xludf.DUMMYFUNCTION("""COMPUTED_VALUE"""),0.0)</f>
        <v>0</v>
      </c>
      <c r="AV26" s="40">
        <f>IFERROR(__xludf.DUMMYFUNCTION("""COMPUTED_VALUE"""),0.0)</f>
        <v>0</v>
      </c>
      <c r="AW26" s="40" t="str">
        <f>IFERROR(__xludf.DUMMYFUNCTION("""COMPUTED_VALUE"""),"SI")</f>
        <v>SI</v>
      </c>
      <c r="AX26" s="40">
        <f>IFERROR(__xludf.DUMMYFUNCTION("""COMPUTED_VALUE"""),0.0)</f>
        <v>0</v>
      </c>
      <c r="AY26" s="40" t="str">
        <f>IFERROR(__xludf.DUMMYFUNCTION("""COMPUTED_VALUE"""),"p")</f>
        <v>p</v>
      </c>
      <c r="AZ26" s="40">
        <f>IFERROR(__xludf.DUMMYFUNCTION("""COMPUTED_VALUE"""),0.0)</f>
        <v>0</v>
      </c>
      <c r="BA26" s="40" t="str">
        <f>IFERROR(__xludf.DUMMYFUNCTION("""COMPUTED_VALUE"""),"X")</f>
        <v>X</v>
      </c>
      <c r="BB26" s="40">
        <f>IFERROR(__xludf.DUMMYFUNCTION("""COMPUTED_VALUE"""),0.0)</f>
        <v>0</v>
      </c>
      <c r="BC26" s="53" t="str">
        <f>IFERROR(__xludf.DUMMYFUNCTION("""COMPUTED_VALUE"""),"35 - LUIS ANGEL VARGAS")</f>
        <v>35 - LUIS ANGEL VARGAS</v>
      </c>
      <c r="BD26" s="48"/>
      <c r="BE26" s="48"/>
      <c r="BF26" s="48" t="str">
        <f>IFERROR(__xludf.DUMMYFUNCTION("""COMPUTED_VALUE"""),"https://lh3.googleusercontent.com/pw/AP1GczPbR1W_jWsyP1Mc-YLcP-qk8CZxjuvr4Cr1cLaVGp5aDYpz3ZmgT5tXsw1MUDg-keh3FDjLqvkox3rPgb2ICo0PCn0IGQfF4hTMc4R3w2sRB4JJzfnT=w1200|https://lh3.googleusercontent.com/pw/AP1GczNvxKIMGC0HZaU1Ont8AzkZ3IA_ANaqmfhFkDSlyaHciGqada"&amp;"_SSGR3hetGgcNBEcNQPQuojkPzFIuojocp9MpUxhaDdc35tvvjOA3LdZJRqTCmCpil=w1200|https://lh3.googleusercontent.com/pw/AP1GczNhk6mo0raM3dovaMa3MhBESiOqNhf6P5ieGBdnQoyFbFL52hX33-qJN97-BqgF0eyviFSRz_P-OITGbCChSOwphI-URllvTZqjuyzfjtr0oHYIgh3m=w1200|https://lh3.google"&amp;"usercontent.com/pw/AP1GczN_R-r3S-OjC0BEkCDgHJnNvAXrTKt6MlXjgSgwW68wCxVWJ8IFuQsdgxxM1St8GCVxYKrudcVR9kcdeRbi82xjF1x38oTErGKztUzGM_PZFWOyg7-2=w1200|https://lh3.googleusercontent.com/pw/AP1GczP6NKLLVcUKWo4W54C5DmqUoefPlokx3cU37BJbZCw1w6iIauukWgphZGtZO_XJRJwR"&amp;"oinCI5on_pYCERKWflCkAVTvdRdVc-RFhBK6VfLVwlwytoUD=w1200|https://lh3.googleusercontent.com/pw/AP1GczMrzqNEFtWbT47tdmO86P2vcRRhimoBvjRfpi7qjyCqUXkvXqmFjc_LsQdF-uqCWDBGl6FNv1UGThG9uJzjR4KRuK8qWqNRXszZp_jKL00cZpuQZ5ZH=w1200")</f>
        <v>https://lh3.googleusercontent.com/pw/AP1GczPbR1W_jWsyP1Mc-YLcP-qk8CZxjuvr4Cr1cLaVGp5aDYpz3ZmgT5tXsw1MUDg-keh3FDjLqvkox3rPgb2ICo0PCn0IGQfF4hTMc4R3w2sRB4JJzfnT=w1200|https://lh3.googleusercontent.com/pw/AP1GczNvxKIMGC0HZaU1Ont8AzkZ3IA_ANaqmfhFkDSlyaHciGqada_SSGR3hetGgcNBEcNQPQuojkPzFIuojocp9MpUxhaDdc35tvvjOA3LdZJRqTCmCpil=w1200|https://lh3.googleusercontent.com/pw/AP1GczNhk6mo0raM3dovaMa3MhBESiOqNhf6P5ieGBdnQoyFbFL52hX33-qJN97-BqgF0eyviFSRz_P-OITGbCChSOwphI-URllvTZqjuyzfjtr0oHYIgh3m=w1200|https://lh3.googleusercontent.com/pw/AP1GczN_R-r3S-OjC0BEkCDgHJnNvAXrTKt6MlXjgSgwW68wCxVWJ8IFuQsdgxxM1St8GCVxYKrudcVR9kcdeRbi82xjF1x38oTErGKztUzGM_PZFWOyg7-2=w1200|https://lh3.googleusercontent.com/pw/AP1GczP6NKLLVcUKWo4W54C5DmqUoefPlokx3cU37BJbZCw1w6iIauukWgphZGtZO_XJRJwRoinCI5on_pYCERKWflCkAVTvdRdVc-RFhBK6VfLVwlwytoUD=w1200|https://lh3.googleusercontent.com/pw/AP1GczMrzqNEFtWbT47tdmO86P2vcRRhimoBvjRfpi7qjyCqUXkvXqmFjc_LsQdF-uqCWDBGl6FNv1UGThG9uJzjR4KRuK8qWqNRXszZp_jKL00cZpuQZ5ZH=w1200</v>
      </c>
    </row>
    <row r="27">
      <c r="A27" s="39" t="str">
        <f>IFERROR(__xludf.DUMMYFUNCTION("""COMPUTED_VALUE"""),"155")</f>
        <v>155</v>
      </c>
      <c r="B27" s="40" t="str">
        <f>IFERROR(__xludf.DUMMYFUNCTION("""COMPUTED_VALUE"""),"Casa con dos apartamentos en barrio La Toma")</f>
        <v>Casa con dos apartamentos en barrio La Toma</v>
      </c>
      <c r="C27" s="40" t="str">
        <f>IFERROR(__xludf.DUMMYFUNCTION("""COMPUTED_VALUE"""),"Casa rentable")</f>
        <v>Casa rentable</v>
      </c>
      <c r="D27" s="40" t="str">
        <f>IFERROR(__xludf.DUMMYFUNCTION("""COMPUTED_VALUE"""),"La Toma")</f>
        <v>La Toma</v>
      </c>
      <c r="E27" s="40"/>
      <c r="F27" s="42">
        <f>IFERROR(__xludf.DUMMYFUNCTION("""COMPUTED_VALUE"""),6.4E8)</f>
        <v>640000000</v>
      </c>
      <c r="G27" s="40" t="str">
        <f>IFERROR(__xludf.DUMMYFUNCTION("""COMPUTED_VALUE"""),"$500'000.000 a $1.000'000.000")</f>
        <v>$500'000.000 a $1.000'000.000</v>
      </c>
      <c r="H27" s="40"/>
      <c r="I27" s="40"/>
      <c r="J27" s="40" t="str">
        <f>IFERROR(__xludf.DUMMYFUNCTION("""COMPUTED_VALUE"""),"Centro")</f>
        <v>Centro</v>
      </c>
      <c r="K27" s="39" t="str">
        <f>IFERROR(__xludf.DUMMYFUNCTION("""COMPUTED_VALUE"""),"3")</f>
        <v>3</v>
      </c>
      <c r="L27" s="40">
        <f>IFERROR(__xludf.DUMMYFUNCTION("""COMPUTED_VALUE"""),6.0)</f>
        <v>6</v>
      </c>
      <c r="M27" s="40"/>
      <c r="N27" s="40">
        <f>IFERROR(__xludf.DUMMYFUNCTION("""COMPUTED_VALUE"""),4.0)</f>
        <v>4</v>
      </c>
      <c r="O27" s="40">
        <f>IFERROR(__xludf.DUMMYFUNCTION("""COMPUTED_VALUE"""),0.0)</f>
        <v>0</v>
      </c>
      <c r="P27" s="40">
        <f>IFERROR(__xludf.DUMMYFUNCTION("""COMPUTED_VALUE"""),2.0)</f>
        <v>2</v>
      </c>
      <c r="Q27" s="48">
        <f>IFERROR(__xludf.DUMMYFUNCTION("""COMPUTED_VALUE"""),489.0)</f>
        <v>489</v>
      </c>
      <c r="R27" s="48">
        <f>IFERROR(__xludf.DUMMYFUNCTION("""COMPUTED_VALUE"""),0.0)</f>
        <v>0</v>
      </c>
      <c r="S27" s="39" t="str">
        <f>IFERROR(__xludf.DUMMYFUNCTION("""COMPUTED_VALUE"""),"Rentabilidad $1,100,000")</f>
        <v>Rentabilidad $1,100,000</v>
      </c>
      <c r="T27" s="40" t="str">
        <f>IFERROR(__xludf.DUMMYFUNCTION("""COMPUTED_VALUE"""),"Neiva")</f>
        <v>Neiva</v>
      </c>
      <c r="U27" s="39" t="str">
        <f>IFERROR(__xludf.DUMMYFUNCTION("""COMPUTED_VALUE"""),"3")</f>
        <v>3</v>
      </c>
      <c r="V27" s="40" t="str">
        <f>IFERROR(__xludf.DUMMYFUNCTION("""COMPUTED_VALUE"""),"Medianera")</f>
        <v>Medianera</v>
      </c>
      <c r="W27" s="46"/>
      <c r="X27" s="46">
        <f>IFERROR(__xludf.DUMMYFUNCTION("""COMPUTED_VALUE"""),4.0)</f>
        <v>4</v>
      </c>
      <c r="Y27" s="40" t="str">
        <f>IFERROR(__xludf.DUMMYFUNCTION("""COMPUTED_VALUE"""),"No tiene")</f>
        <v>No tiene</v>
      </c>
      <c r="Z27" s="42" t="str">
        <f>IFERROR(__xludf.DUMMYFUNCTION("""COMPUTED_VALUE"""),"No aplica")</f>
        <v>No aplica</v>
      </c>
      <c r="AA27" s="49" t="str">
        <f>IFERROR(__xludf.DUMMYFUNCTION("""COMPUTED_VALUE"""),"48 años")</f>
        <v>48 años</v>
      </c>
      <c r="AB27" s="105" t="str">
        <f>IFERROR(__xludf.DUMMYFUNCTION("""COMPUTED_VALUE"""),"https://photos.app.goo.gl/KQV17NGjgUXDxUjr5")</f>
        <v>https://photos.app.goo.gl/KQV17NGjgUXDxUjr5</v>
      </c>
      <c r="AC27" s="40" t="str">
        <f>IFERROR(__xludf.DUMMYFUNCTION("""COMPUTED_VALUE"""),"Se VENDE Casa rentable con excelente ubicación cuenta con un área de terreno de 224.40 m2. Primer piso: Aparta estudio que consta de una habitación, baño, cocina integral, zona de lavandería, y parqueadero para moto. Casa primer piso: sala, comedor, baño "&amp;"social, 4 habitaciones con closets en madera, habitación principal con baño privado, zona de lavandería y patio de ropas, cocina integral, habitación de servicio con baño privado, y parqueadero cubierto. Segundo piso Apto con sala-comedor, cocina integral"&amp;", 4 habitaciones baño social y baño privado, zona de patio, estudio y parqueadero cubierto en el primer piso.")</f>
        <v>Se VENDE Casa rentable con excelente ubicación cuenta con un área de terreno de 224.40 m2. Primer piso: Aparta estudio que consta de una habitación, baño, cocina integral, zona de lavandería, y parqueadero para moto. Casa primer piso: sala, comedor, baño social, 4 habitaciones con closets en madera, habitación principal con baño privado, zona de lavandería y patio de ropas, cocina integral, habitación de servicio con baño privado, y parqueadero cubierto. Segundo piso Apto con sala-comedor, cocina integral, 4 habitaciones baño social y baño privado, zona de patio, estudio y parqueadero cubierto en el primer piso.</v>
      </c>
      <c r="AD27" s="40"/>
      <c r="AE27" s="40"/>
      <c r="AF27" s="40" t="str">
        <f>IFERROR(__xludf.DUMMYFUNCTION("""COMPUTED_VALUE"""),"semi-integral")</f>
        <v>semi-integral</v>
      </c>
      <c r="AG27" s="40" t="str">
        <f>IFERROR(__xludf.DUMMYFUNCTION("""COMPUTED_VALUE"""),"SI")</f>
        <v>SI</v>
      </c>
      <c r="AH27" s="40" t="str">
        <f>IFERROR(__xludf.DUMMYFUNCTION("""COMPUTED_VALUE"""),"Inventario")</f>
        <v>Inventario</v>
      </c>
      <c r="AI27" s="40" t="str">
        <f>IFERROR(__xludf.DUMMYFUNCTION("""COMPUTED_VALUE"""),"Verbal")</f>
        <v>Verbal</v>
      </c>
      <c r="AJ27" s="40" t="str">
        <f>IFERROR(__xludf.DUMMYFUNCTION("""COMPUTED_VALUE"""),"F Cod. 5340 $640 - ICDE cod.155 - $780-PROPIETARIO")</f>
        <v>F Cod. 5340 $640 - ICDE cod.155 - $780-PROPIETARIO</v>
      </c>
      <c r="AK27" s="40" t="str">
        <f>IFERROR(__xludf.DUMMYFUNCTION("""COMPUTED_VALUE"""),"SIN CONTRATO")</f>
        <v>SIN CONTRATO</v>
      </c>
      <c r="AL27" s="40" t="str">
        <f>IFERROR(__xludf.DUMMYFUNCTION("""COMPUTED_VALUE"""),"TIENE FOTOS")</f>
        <v>TIENE FOTOS</v>
      </c>
      <c r="AM27" s="40">
        <f>IFERROR(__xludf.DUMMYFUNCTION("""COMPUTED_VALUE"""),3.104888552E9)</f>
        <v>3104888552</v>
      </c>
      <c r="AN27" s="40" t="str">
        <f>IFERROR(__xludf.DUMMYFUNCTION("""COMPUTED_VALUE"""),"3153231246-3108520936 - ")</f>
        <v>3153231246-3108520936 - </v>
      </c>
      <c r="AO27" s="40"/>
      <c r="AP27" s="40" t="str">
        <f>IFERROR(__xludf.DUMMYFUNCTION("""COMPUTED_VALUE"""),"CALLE 14 No.  8 -36")</f>
        <v>CALLE 14 No.  8 -36</v>
      </c>
      <c r="AQ27" s="40">
        <f>IFERROR(__xludf.DUMMYFUNCTION("""COMPUTED_VALUE"""),2.9329403)</f>
        <v>2.9329403</v>
      </c>
      <c r="AR27" s="40">
        <f>IFERROR(__xludf.DUMMYFUNCTION("""COMPUTED_VALUE"""),-75.2863334)</f>
        <v>-75.2863334</v>
      </c>
      <c r="AS27" s="53">
        <f>IFERROR(__xludf.DUMMYFUNCTION("""COMPUTED_VALUE"""),1100000.0)</f>
        <v>1100000</v>
      </c>
      <c r="AT27" s="40">
        <f>IFERROR(__xludf.DUMMYFUNCTION("""COMPUTED_VALUE"""),0.0)</f>
        <v>0</v>
      </c>
      <c r="AU27" s="40">
        <f>IFERROR(__xludf.DUMMYFUNCTION("""COMPUTED_VALUE"""),0.0)</f>
        <v>0</v>
      </c>
      <c r="AV27" s="40">
        <f>IFERROR(__xludf.DUMMYFUNCTION("""COMPUTED_VALUE"""),0.0)</f>
        <v>0</v>
      </c>
      <c r="AW27" s="40" t="str">
        <f>IFERROR(__xludf.DUMMYFUNCTION("""COMPUTED_VALUE"""),"NO")</f>
        <v>NO</v>
      </c>
      <c r="AX27" s="40">
        <f>IFERROR(__xludf.DUMMYFUNCTION("""COMPUTED_VALUE"""),0.0)</f>
        <v>0</v>
      </c>
      <c r="AY27" s="40" t="str">
        <f>IFERROR(__xludf.DUMMYFUNCTION("""COMPUTED_VALUE"""),"P")</f>
        <v>P</v>
      </c>
      <c r="AZ27" s="40">
        <f>IFERROR(__xludf.DUMMYFUNCTION("""COMPUTED_VALUE"""),0.0)</f>
        <v>0</v>
      </c>
      <c r="BA27" s="40" t="str">
        <f>IFERROR(__xludf.DUMMYFUNCTION("""COMPUTED_VALUE"""),"X")</f>
        <v>X</v>
      </c>
      <c r="BB27" s="40">
        <f>IFERROR(__xludf.DUMMYFUNCTION("""COMPUTED_VALUE"""),0.0)</f>
        <v>0</v>
      </c>
      <c r="BC27" s="53"/>
      <c r="BD27" s="48"/>
      <c r="BE27" s="48"/>
      <c r="BF27" s="48" t="str">
        <f>IFERROR(__xludf.DUMMYFUNCTION("""COMPUTED_VALUE"""),"https://lh3.googleusercontent.com/pw/AP1GczNhXKIwoImf1JdG3sOdWkMrmZfwYdeIg6xXUr8WErNWHKwehSpxxlxfBCPoEaKh95iCwwuUepo356SyPvXh2yTFMcD9m6l_-_YMORZpWfIdp40JVXbD=w1200|https://lh3.googleusercontent.com/pw/AP1GczOiGE-iCNduC9QfmCh3KZ_kLAVww5mDmm32FeqPS_mFHWFodc"&amp;"-Dr9NhDvb-UXwEwbOsT9diT-B2j72UPFo4jqRogYhMhnBiT0lPo2t6smuPZHPWVvjb=w1200|https://lh3.googleusercontent.com/pw/AP1GczNNFzWqb9CKj7JmA5sK4ETj-IOKcomkDQx414DCQp69MipHNCbF06eUjAvPxpvqC1Liu2u5p_26ZDDisfZiF41HQoE9p4O50lDQLX0ndWz_tbPfG6hx=w1200|https://lh3.google"&amp;"usercontent.com/pw/AP1GczNFVccI3kLVh8LzwkzOdL6CUyQVQHDU7Cj2nJgPZGxYl7WvCkmJsO9Dusdt0hwGRfiTDhL7O3iYYOj4KZ5bjuraqHHOyzLN5B8QOzh7iHJHBL6IyvM3=w1200|https://lh3.googleusercontent.com/pw/AP1GczMW77Ms3LqU3w7RKbp_ilwwyOxjyA_BVcooyB-9pJbKF2zpgf0YPFiFgtfYbMG9B4jK"&amp;"j31yF9IvBqxY7m_dYWz754kL0SfW0ezKKTRzouRGRj0c7DVd=w1200|https://lh3.googleusercontent.com/pw/AP1GczM8O4UfG35TYH-MAEn8ZCjJ8B0iOH_iURL6ynRHUCtiPUcXjuxT2BgBAKAXyi2I7CWy0AdnAmA6tNmsw_-GJH1W2lKDUsbgFur6JAnJdFVhfpW9tH8w=w1200|https://lh3.googleusercontent.com/pw"&amp;"/AP1GczOCvkrmQROuNZSVRJJYbEURuNMyPiEXrSwSKSt9ogs7u_N4Lj_bp6eTeucW1G-WYwGGH8YZgxDois8Il9BVdEFNdZdrnkUqQv0LxE22Hv3j_16HVqka=w1200|https://lh3.googleusercontent.com/pw/AP1GczM4h8VFf2nRvpU6xT3Akx_T6besaAr73oI8px61C869RXCZ1MWrrgjNAeLfifKVxhYEMc_aTJcFc0ABqEV11q"&amp;"fYdnr4uIg5VsUrrWhScSx9Qv-63B0k=w1200|https://lh3.googleusercontent.com/pw/AP1GczNIN1FEhWagAetWbG0wKWzOmq1jQuwn6u2zH1HapS68CKFG0o9_PFrUK831vXXB-1zjFcvrdb-TwJNheYoRyj9-yDLl-v0mhu_RnMDthSUBBDUaSB3E=w1200|https://lh3.googleusercontent.com/pw/AP1GczNIjjz97QVCd"&amp;"zFcpQC5RVVo3SWmnsu4x8JojB6AWEYdDLfXk_wWdyJdevjAxYthNqSGe_kn7XfPUxyqrBAUAon_wB23oOR4rzqDegG7DEGwc9Q0LnlJ=w1200|https://lh3.googleusercontent.com/pw/AP1GczPk9-hc5QxjHn0ndJr3zYSCIuPw1sOnOXgqHoHLO23ZWbTGUhri7hl-yyPyvTDaIS9sepnveCqKDszMFELdNaqVIlwnbrlVpgLE1AGf"&amp;"oBWdovdOXIPb=w1200|https://lh3.googleusercontent.com/pw/AP1GczPELbtDKPB4WGtEWAXN_hiSyrgfwXYsPdx6O6FBdmXJPNQSXfeB-_F9HK44R5sNAR2rSmUw8-a8Bf_iN7oYN87tYT6KmNFEbzTGG2Tb94MlG6HSbfwT=w1200|https://lh3.googleusercontent.com/pw/AP1GczPuHSeHuOaFEcCxfebLgFjE6x5nlfi"&amp;"6_UOWNZsAqSRblOCUhvaEhTOJXsYXxu5avAy3CWAYhDn3pcDtXke8VtOxdXYNw_I2yqjnvDG3MN9agaBLUVnn=w1200|https://lh3.googleusercontent.com/pw/AP1GczP2J9vTKjrAeqlN7UgpDSbkYdj043mvUvUcVIqUmpTS7dHfSc1pAhX3o8P2ATLedBGvGNPtR52dM4h21-syAy4Qx8O_qb7bKZhPl0iGSL29dQVlU7c-=w1200"&amp;"|https://lh3.googleusercontent.com/pw/AP1GczPkJgszUWR0xhREhGFTob8GNDMTpFpaya-Ce0X60TCwmeaB_SwKnxOO_QRUM5RDcvyYpDztS_rCCxL5Mkp7cw6wuioaSyEVsJG6tEWr_artbH3Ke-gV=w1200|https://lh3.googleusercontent.com/pw/AP1GczPAW3BTAyIxdOo0RiTEE4QqR4QBftGv3CTy5YmVcIekvjOZt"&amp;"Di0kHL4oRi6Y0qjLXsef4TofRjRizVWKcvl_daY_2Ry2DoT0aX5j7sLVN9ocrDJp_94=w1200")</f>
        <v>https://lh3.googleusercontent.com/pw/AP1GczNhXKIwoImf1JdG3sOdWkMrmZfwYdeIg6xXUr8WErNWHKwehSpxxlxfBCPoEaKh95iCwwuUepo356SyPvXh2yTFMcD9m6l_-_YMORZpWfIdp40JVXbD=w1200|https://lh3.googleusercontent.com/pw/AP1GczOiGE-iCNduC9QfmCh3KZ_kLAVww5mDmm32FeqPS_mFHWFodc-Dr9NhDvb-UXwEwbOsT9diT-B2j72UPFo4jqRogYhMhnBiT0lPo2t6smuPZHPWVvjb=w1200|https://lh3.googleusercontent.com/pw/AP1GczNNFzWqb9CKj7JmA5sK4ETj-IOKcomkDQx414DCQp69MipHNCbF06eUjAvPxpvqC1Liu2u5p_26ZDDisfZiF41HQoE9p4O50lDQLX0ndWz_tbPfG6hx=w1200|https://lh3.googleusercontent.com/pw/AP1GczNFVccI3kLVh8LzwkzOdL6CUyQVQHDU7Cj2nJgPZGxYl7WvCkmJsO9Dusdt0hwGRfiTDhL7O3iYYOj4KZ5bjuraqHHOyzLN5B8QOzh7iHJHBL6IyvM3=w1200|https://lh3.googleusercontent.com/pw/AP1GczMW77Ms3LqU3w7RKbp_ilwwyOxjyA_BVcooyB-9pJbKF2zpgf0YPFiFgtfYbMG9B4jKj31yF9IvBqxY7m_dYWz754kL0SfW0ezKKTRzouRGRj0c7DVd=w1200|https://lh3.googleusercontent.com/pw/AP1GczM8O4UfG35TYH-MAEn8ZCjJ8B0iOH_iURL6ynRHUCtiPUcXjuxT2BgBAKAXyi2I7CWy0AdnAmA6tNmsw_-GJH1W2lKDUsbgFur6JAnJdFVhfpW9tH8w=w1200|https://lh3.googleusercontent.com/pw/AP1GczOCvkrmQROuNZSVRJJYbEURuNMyPiEXrSwSKSt9ogs7u_N4Lj_bp6eTeucW1G-WYwGGH8YZgxDois8Il9BVdEFNdZdrnkUqQv0LxE22Hv3j_16HVqka=w1200|https://lh3.googleusercontent.com/pw/AP1GczM4h8VFf2nRvpU6xT3Akx_T6besaAr73oI8px61C869RXCZ1MWrrgjNAeLfifKVxhYEMc_aTJcFc0ABqEV11qfYdnr4uIg5VsUrrWhScSx9Qv-63B0k=w1200|https://lh3.googleusercontent.com/pw/AP1GczNIN1FEhWagAetWbG0wKWzOmq1jQuwn6u2zH1HapS68CKFG0o9_PFrUK831vXXB-1zjFcvrdb-TwJNheYoRyj9-yDLl-v0mhu_RnMDthSUBBDUaSB3E=w1200|https://lh3.googleusercontent.com/pw/AP1GczNIjjz97QVCdzFcpQC5RVVo3SWmnsu4x8JojB6AWEYdDLfXk_wWdyJdevjAxYthNqSGe_kn7XfPUxyqrBAUAon_wB23oOR4rzqDegG7DEGwc9Q0LnlJ=w1200|https://lh3.googleusercontent.com/pw/AP1GczPk9-hc5QxjHn0ndJr3zYSCIuPw1sOnOXgqHoHLO23ZWbTGUhri7hl-yyPyvTDaIS9sepnveCqKDszMFELdNaqVIlwnbrlVpgLE1AGfoBWdovdOXIPb=w1200|https://lh3.googleusercontent.com/pw/AP1GczPELbtDKPB4WGtEWAXN_hiSyrgfwXYsPdx6O6FBdmXJPNQSXfeB-_F9HK44R5sNAR2rSmUw8-a8Bf_iN7oYN87tYT6KmNFEbzTGG2Tb94MlG6HSbfwT=w1200|https://lh3.googleusercontent.com/pw/AP1GczPuHSeHuOaFEcCxfebLgFjE6x5nlfi6_UOWNZsAqSRblOCUhvaEhTOJXsYXxu5avAy3CWAYhDn3pcDtXke8VtOxdXYNw_I2yqjnvDG3MN9agaBLUVnn=w1200|https://lh3.googleusercontent.com/pw/AP1GczP2J9vTKjrAeqlN7UgpDSbkYdj043mvUvUcVIqUmpTS7dHfSc1pAhX3o8P2ATLedBGvGNPtR52dM4h21-syAy4Qx8O_qb7bKZhPl0iGSL29dQVlU7c-=w1200|https://lh3.googleusercontent.com/pw/AP1GczPkJgszUWR0xhREhGFTob8GNDMTpFpaya-Ce0X60TCwmeaB_SwKnxOO_QRUM5RDcvyYpDztS_rCCxL5Mkp7cw6wuioaSyEVsJG6tEWr_artbH3Ke-gV=w1200|https://lh3.googleusercontent.com/pw/AP1GczPAW3BTAyIxdOo0RiTEE4QqR4QBftGv3CTy5YmVcIekvjOZtDi0kHL4oRi6Y0qjLXsef4TofRjRizVWKcvl_daY_2Ry2DoT0aX5j7sLVN9ocrDJp_94=w1200</v>
      </c>
    </row>
    <row r="28">
      <c r="A28" s="39" t="str">
        <f>IFERROR(__xludf.DUMMYFUNCTION("""COMPUTED_VALUE"""),"419")</f>
        <v>419</v>
      </c>
      <c r="B28" s="40" t="str">
        <f>IFERROR(__xludf.DUMMYFUNCTION("""COMPUTED_VALUE"""),"Casa en barrio Quirinal")</f>
        <v>Casa en barrio Quirinal</v>
      </c>
      <c r="C28" s="40" t="str">
        <f>IFERROR(__xludf.DUMMYFUNCTION("""COMPUTED_VALUE"""),"Casa")</f>
        <v>Casa</v>
      </c>
      <c r="D28" s="40" t="str">
        <f>IFERROR(__xludf.DUMMYFUNCTION("""COMPUTED_VALUE"""),"Quirinal")</f>
        <v>Quirinal</v>
      </c>
      <c r="E28" s="40"/>
      <c r="F28" s="42">
        <f>IFERROR(__xludf.DUMMYFUNCTION("""COMPUTED_VALUE"""),1.0E9)</f>
        <v>1000000000</v>
      </c>
      <c r="G28" s="40" t="str">
        <f>IFERROR(__xludf.DUMMYFUNCTION("""COMPUTED_VALUE"""),"Más de $1.000'000.000")</f>
        <v>Más de $1.000'000.000</v>
      </c>
      <c r="H28" s="40"/>
      <c r="I28" s="40"/>
      <c r="J28" s="40" t="str">
        <f>IFERROR(__xludf.DUMMYFUNCTION("""COMPUTED_VALUE"""),"Centro")</f>
        <v>Centro</v>
      </c>
      <c r="K28" s="39" t="str">
        <f>IFERROR(__xludf.DUMMYFUNCTION("""COMPUTED_VALUE"""),"3")</f>
        <v>3</v>
      </c>
      <c r="L28" s="40">
        <f>IFERROR(__xludf.DUMMYFUNCTION("""COMPUTED_VALUE"""),4.0)</f>
        <v>4</v>
      </c>
      <c r="M28" s="40"/>
      <c r="N28" s="40">
        <f>IFERROR(__xludf.DUMMYFUNCTION("""COMPUTED_VALUE"""),5.0)</f>
        <v>5</v>
      </c>
      <c r="O28" s="40">
        <f>IFERROR(__xludf.DUMMYFUNCTION("""COMPUTED_VALUE"""),2.0)</f>
        <v>2</v>
      </c>
      <c r="P28" s="40">
        <f>IFERROR(__xludf.DUMMYFUNCTION("""COMPUTED_VALUE"""),2.0)</f>
        <v>2</v>
      </c>
      <c r="Q28" s="48"/>
      <c r="R28" s="48">
        <f>IFERROR(__xludf.DUMMYFUNCTION("""COMPUTED_VALUE"""),331.0)</f>
        <v>331</v>
      </c>
      <c r="S28" s="39" t="str">
        <f>IFERROR(__xludf.DUMMYFUNCTION("""COMPUTED_VALUE""")," ")</f>
        <v> </v>
      </c>
      <c r="T28" s="40" t="str">
        <f>IFERROR(__xludf.DUMMYFUNCTION("""COMPUTED_VALUE"""),"Neiva")</f>
        <v>Neiva</v>
      </c>
      <c r="U28" s="39" t="str">
        <f>IFERROR(__xludf.DUMMYFUNCTION("""COMPUTED_VALUE"""),"Comerial")</f>
        <v>Comerial</v>
      </c>
      <c r="V28" s="40" t="str">
        <f>IFERROR(__xludf.DUMMYFUNCTION("""COMPUTED_VALUE"""),"Medianera")</f>
        <v>Medianera</v>
      </c>
      <c r="W28" s="46"/>
      <c r="X28" s="46">
        <f>IFERROR(__xludf.DUMMYFUNCTION("""COMPUTED_VALUE"""),4.0)</f>
        <v>4</v>
      </c>
      <c r="Y28" s="40" t="str">
        <f>IFERROR(__xludf.DUMMYFUNCTION("""COMPUTED_VALUE"""),"No tiene")</f>
        <v>No tiene</v>
      </c>
      <c r="Z28" s="42" t="str">
        <f>IFERROR(__xludf.DUMMYFUNCTION("""COMPUTED_VALUE"""),"No aplica")</f>
        <v>No aplica</v>
      </c>
      <c r="AA28" s="49" t="str">
        <f>IFERROR(__xludf.DUMMYFUNCTION("""COMPUTED_VALUE"""),"No aplica")</f>
        <v>No aplica</v>
      </c>
      <c r="AB28" s="105" t="str">
        <f>IFERROR(__xludf.DUMMYFUNCTION("""COMPUTED_VALUE"""),"https://photos.app.goo.gl/wjTd6tvFMvXCK9qF7")</f>
        <v>https://photos.app.goo.gl/wjTd6tvFMvXCK9qF7</v>
      </c>
      <c r="AC28" s="40"/>
      <c r="AD28" s="40"/>
      <c r="AE28" s="40"/>
      <c r="AF28" s="40" t="str">
        <f>IFERROR(__xludf.DUMMYFUNCTION("""COMPUTED_VALUE"""),"integral")</f>
        <v>integral</v>
      </c>
      <c r="AG28" s="40"/>
      <c r="AH28" s="40" t="str">
        <f>IFERROR(__xludf.DUMMYFUNCTION("""COMPUTED_VALUE"""),"Inventario")</f>
        <v>Inventario</v>
      </c>
      <c r="AI28" s="40"/>
      <c r="AJ28" s="40" t="str">
        <f>IFERROR(__xludf.DUMMYFUNCTION("""COMPUTED_VALUE"""),"F Codgs 419 Y 6525 - PROPIETARIO")</f>
        <v>F Codgs 419 Y 6525 - PROPIETARIO</v>
      </c>
      <c r="AK28" s="40"/>
      <c r="AL28" s="40" t="str">
        <f>IFERROR(__xludf.DUMMYFUNCTION("""COMPUTED_VALUE"""),"TIENE FOTOS")</f>
        <v>TIENE FOTOS</v>
      </c>
      <c r="AM28" s="40">
        <f>IFERROR(__xludf.DUMMYFUNCTION("""COMPUTED_VALUE"""),3.152718282E9)</f>
        <v>3152718282</v>
      </c>
      <c r="AN28" s="40">
        <f>IFERROR(__xludf.DUMMYFUNCTION("""COMPUTED_VALUE"""),0.0)</f>
        <v>0</v>
      </c>
      <c r="AO28" s="40" t="str">
        <f>IFERROR(__xludf.DUMMYFUNCTION("""COMPUTED_VALUE"""),"PROPIETARIO-INMOBILIARIA FELIX")</f>
        <v>PROPIETARIO-INMOBILIARIA FELIX</v>
      </c>
      <c r="AP28" s="40" t="str">
        <f>IFERROR(__xludf.DUMMYFUNCTION("""COMPUTED_VALUE"""),"CALLE 23 NO. 5 BIS 1-30")</f>
        <v>CALLE 23 NO. 5 BIS 1-30</v>
      </c>
      <c r="AQ28" s="40"/>
      <c r="AR28" s="40"/>
      <c r="AS28" s="53">
        <f>IFERROR(__xludf.DUMMYFUNCTION("""COMPUTED_VALUE"""),0.0)</f>
        <v>0</v>
      </c>
      <c r="AT28" s="40">
        <f>IFERROR(__xludf.DUMMYFUNCTION("""COMPUTED_VALUE"""),0.0)</f>
        <v>0</v>
      </c>
      <c r="AU28" s="40">
        <f>IFERROR(__xludf.DUMMYFUNCTION("""COMPUTED_VALUE"""),0.0)</f>
        <v>0</v>
      </c>
      <c r="AV28" s="40">
        <f>IFERROR(__xludf.DUMMYFUNCTION("""COMPUTED_VALUE"""),0.0)</f>
        <v>0</v>
      </c>
      <c r="AW28" s="40" t="str">
        <f>IFERROR(__xludf.DUMMYFUNCTION("""COMPUTED_VALUE"""),"NO")</f>
        <v>NO</v>
      </c>
      <c r="AX28" s="40">
        <f>IFERROR(__xludf.DUMMYFUNCTION("""COMPUTED_VALUE"""),0.0)</f>
        <v>0</v>
      </c>
      <c r="AY28" s="40" t="str">
        <f>IFERROR(__xludf.DUMMYFUNCTION("""COMPUTED_VALUE"""),"A")</f>
        <v>A</v>
      </c>
      <c r="AZ28" s="40">
        <f>IFERROR(__xludf.DUMMYFUNCTION("""COMPUTED_VALUE"""),0.0)</f>
        <v>0</v>
      </c>
      <c r="BA28" s="40" t="str">
        <f>IFERROR(__xludf.DUMMYFUNCTION("""COMPUTED_VALUE"""),"X")</f>
        <v>X</v>
      </c>
      <c r="BB28" s="40">
        <f>IFERROR(__xludf.DUMMYFUNCTION("""COMPUTED_VALUE"""),0.0)</f>
        <v>0</v>
      </c>
      <c r="BC28" s="53" t="str">
        <f>IFERROR(__xludf.DUMMYFUNCTION("""COMPUTED_VALUE"""),"27 - Valentina Renza, 29 - FELIPE PERDOMO")</f>
        <v>27 - Valentina Renza, 29 - FELIPE PERDOMO</v>
      </c>
      <c r="BD28" s="48"/>
      <c r="BE28" s="48"/>
      <c r="BF28" s="48" t="str">
        <f>IFERROR(__xludf.DUMMYFUNCTION("""COMPUTED_VALUE"""),"https://lh3.googleusercontent.com/pw/AP1GczMby1gzs2IBvDKzq03cDISgb5xYvULNl-s9KRjiKeUzeZ11pKxTQ_58uzR59voPxOV_t2e5xnlgBubzODuiWSASqMDCcL2CGPI5erFoPnYzWe2EHD1_=w1200|https://lh3.googleusercontent.com/pw/AP1GczMp808Z1xN4Kt7qbZmLQUueo1K9XmzoxK4OWVvLVGxWAMo6JW"&amp;"wbzgK32BIXSksa31Dz8xZfGgdbFtHw3OgpQzjd5YqqNRFuhd3MF-k2OH9R8199gzSy=w1200|https://lh3.googleusercontent.com/pw/AP1GczMX5tDOVNFbun_z1zivbq4ULdLgAtN2uw0SdNx9NCXYX3Qd-ebBkCOYtOrlRfC3nAjCelIupMBowIJfUST5xiTOSfoqR_iILm1jmrjV-rLERfSn53Od=w1200|https://lh3.google"&amp;"usercontent.com/pw/AP1GczO9k5RdSSFI12tvujxYAnhu15-8oNP_tpvgZmhY9PWpuQIf8MYigt1_-NPWHakcPb4C42Ean5GV-nsdOD-FQT8oV5M69pVYSrj-7dN9NSJJady_TcnM=w1200|https://lh3.googleusercontent.com/pw/AP1GczNT0TiveYdYyJ7DUxBAiHOSbbK4mhw4weQyoQ3g44XJwatAVemUR9TRaK2pmLtOs7YN"&amp;"aHt8x9TJPAp36WpeAfqOGM96ERj8RfaR6lKbUHCjiI-7YS0Q=w1200|https://lh3.googleusercontent.com/pw/AP1GczPwt2XAFdsjKBW1oJLX5o9GNxYcRh_1gM7SqBc-JOYC1ZWjo_qg-REU8zHKa14-89o7qoHX4RaSDTrb2W97rfXun0bTTlvl7f6ADrNHxys5g-3plKfQ=w1200|https://lh3.googleusercontent.com/pw"&amp;"/AP1GczOmTY0TJDwMtnadSWVI14qMD83ZrmIFIPrbc4gok7tr8X1tgAoLl-95RTn7R-BJAuGJ9gNGbuw7O9ZB3Jm9Un6Pmal90vDOW7voZP7AINlbEplHTbTB=w1200|https://lh3.googleusercontent.com/pw/AP1GczPxl5Mz02ZTIYjmoUBvELci3W8SCuuYwojr6oDbt-9e48BWSbBfZIRGhKRj35p2UY43JVmkJi71xpdj39nx6n"&amp;"N1GA7jbCETs83xDdyzCgzvUP0yyLn3=w1200|https://lh3.googleusercontent.com/pw/AP1GczOXOtoJwkkMHzeDU4ewUGLpbO_CtP8yzWj8yU-YmgyUxI32EB3FlJSrS0Jsinp_b5EhJ_MEwDYVd31iRUeqEjCxEZ1Bz7LmcXwHgCyNHuAdeH2DEUc9=w1200|https://lh3.googleusercontent.com/pw/AP1GczM0isFX364wm"&amp;"QMerRaoGxCiROF_bJs7wfbcWCXZlDtWMRIOj54OzTQyxp9hW8dHKd0V7wIOeOuehuFZ9fWrK9qMhnMYmaZr6LJauy4PDLuGzZZ09Dgp=w1200|https://lh3.googleusercontent.com/pw/AP1GczMazak2tXrU5d6mvVUSnAGibqEDqgDYFvvmFO1jz9ejLFF5-M9OG7MgvwbDTfmpMLhoKjRK2_WkFaZ2yLfpxwkqyVVbUKUBDXapychI"&amp;"j9At852pWdxC=w1200|https://lh3.googleusercontent.com/pw/AP1GczOXXUPiwZZuW_t77LtxD9h90xs9pGIqIcugVE04sOB4JNgidJQd6Vf52_yYt2U5J3kvlQvQN5Ul_d8Vp4h82GP3pyJf7h4u0RK3B3utA-ldvfJ2PcVK=w1200|https://lh3.googleusercontent.com/pw/AP1GczP7tQflKl2M6nJFUoSsdwaIxeu9CYa"&amp;"n9e6jftyBzHC07CErwpsk_KCHrhqCb1On6tDjqspqiweU1TSo77ZeRy87rOp2yo3DX5e0zdvByrp5E3ZQ8CU1=w1200")</f>
        <v>https://lh3.googleusercontent.com/pw/AP1GczMby1gzs2IBvDKzq03cDISgb5xYvULNl-s9KRjiKeUzeZ11pKxTQ_58uzR59voPxOV_t2e5xnlgBubzODuiWSASqMDCcL2CGPI5erFoPnYzWe2EHD1_=w1200|https://lh3.googleusercontent.com/pw/AP1GczMp808Z1xN4Kt7qbZmLQUueo1K9XmzoxK4OWVvLVGxWAMo6JWwbzgK32BIXSksa31Dz8xZfGgdbFtHw3OgpQzjd5YqqNRFuhd3MF-k2OH9R8199gzSy=w1200|https://lh3.googleusercontent.com/pw/AP1GczMX5tDOVNFbun_z1zivbq4ULdLgAtN2uw0SdNx9NCXYX3Qd-ebBkCOYtOrlRfC3nAjCelIupMBowIJfUST5xiTOSfoqR_iILm1jmrjV-rLERfSn53Od=w1200|https://lh3.googleusercontent.com/pw/AP1GczO9k5RdSSFI12tvujxYAnhu15-8oNP_tpvgZmhY9PWpuQIf8MYigt1_-NPWHakcPb4C42Ean5GV-nsdOD-FQT8oV5M69pVYSrj-7dN9NSJJady_TcnM=w1200|https://lh3.googleusercontent.com/pw/AP1GczNT0TiveYdYyJ7DUxBAiHOSbbK4mhw4weQyoQ3g44XJwatAVemUR9TRaK2pmLtOs7YNaHt8x9TJPAp36WpeAfqOGM96ERj8RfaR6lKbUHCjiI-7YS0Q=w1200|https://lh3.googleusercontent.com/pw/AP1GczPwt2XAFdsjKBW1oJLX5o9GNxYcRh_1gM7SqBc-JOYC1ZWjo_qg-REU8zHKa14-89o7qoHX4RaSDTrb2W97rfXun0bTTlvl7f6ADrNHxys5g-3plKfQ=w1200|https://lh3.googleusercontent.com/pw/AP1GczOmTY0TJDwMtnadSWVI14qMD83ZrmIFIPrbc4gok7tr8X1tgAoLl-95RTn7R-BJAuGJ9gNGbuw7O9ZB3Jm9Un6Pmal90vDOW7voZP7AINlbEplHTbTB=w1200|https://lh3.googleusercontent.com/pw/AP1GczPxl5Mz02ZTIYjmoUBvELci3W8SCuuYwojr6oDbt-9e48BWSbBfZIRGhKRj35p2UY43JVmkJi71xpdj39nx6nN1GA7jbCETs83xDdyzCgzvUP0yyLn3=w1200|https://lh3.googleusercontent.com/pw/AP1GczOXOtoJwkkMHzeDU4ewUGLpbO_CtP8yzWj8yU-YmgyUxI32EB3FlJSrS0Jsinp_b5EhJ_MEwDYVd31iRUeqEjCxEZ1Bz7LmcXwHgCyNHuAdeH2DEUc9=w1200|https://lh3.googleusercontent.com/pw/AP1GczM0isFX364wmQMerRaoGxCiROF_bJs7wfbcWCXZlDtWMRIOj54OzTQyxp9hW8dHKd0V7wIOeOuehuFZ9fWrK9qMhnMYmaZr6LJauy4PDLuGzZZ09Dgp=w1200|https://lh3.googleusercontent.com/pw/AP1GczMazak2tXrU5d6mvVUSnAGibqEDqgDYFvvmFO1jz9ejLFF5-M9OG7MgvwbDTfmpMLhoKjRK2_WkFaZ2yLfpxwkqyVVbUKUBDXapychIj9At852pWdxC=w1200|https://lh3.googleusercontent.com/pw/AP1GczOXXUPiwZZuW_t77LtxD9h90xs9pGIqIcugVE04sOB4JNgidJQd6Vf52_yYt2U5J3kvlQvQN5Ul_d8Vp4h82GP3pyJf7h4u0RK3B3utA-ldvfJ2PcVK=w1200|https://lh3.googleusercontent.com/pw/AP1GczP7tQflKl2M6nJFUoSsdwaIxeu9CYan9e6jftyBzHC07CErwpsk_KCHrhqCb1On6tDjqspqiweU1TSo77ZeRy87rOp2yo3DX5e0zdvByrp5E3ZQ8CU1=w1200</v>
      </c>
    </row>
    <row r="29">
      <c r="A29" s="39" t="str">
        <f>IFERROR(__xludf.DUMMYFUNCTION("""COMPUTED_VALUE"""),"6620")</f>
        <v>6620</v>
      </c>
      <c r="B29" s="40" t="str">
        <f>IFERROR(__xludf.DUMMYFUNCTION("""COMPUTED_VALUE"""),"Casa con local en barrio  Quirinal")</f>
        <v>Casa con local en barrio  Quirinal</v>
      </c>
      <c r="C29" s="40" t="str">
        <f>IFERROR(__xludf.DUMMYFUNCTION("""COMPUTED_VALUE"""),"Casa rentable")</f>
        <v>Casa rentable</v>
      </c>
      <c r="D29" s="40" t="str">
        <f>IFERROR(__xludf.DUMMYFUNCTION("""COMPUTED_VALUE"""),"Quirinal")</f>
        <v>Quirinal</v>
      </c>
      <c r="E29" s="40"/>
      <c r="F29" s="42">
        <f>IFERROR(__xludf.DUMMYFUNCTION("""COMPUTED_VALUE"""),8.0E8)</f>
        <v>800000000</v>
      </c>
      <c r="G29" s="40" t="str">
        <f>IFERROR(__xludf.DUMMYFUNCTION("""COMPUTED_VALUE"""),"$500'000.000 a $1.000'000.000")</f>
        <v>$500'000.000 a $1.000'000.000</v>
      </c>
      <c r="H29" s="40"/>
      <c r="I29" s="40"/>
      <c r="J29" s="40" t="str">
        <f>IFERROR(__xludf.DUMMYFUNCTION("""COMPUTED_VALUE"""),"Centro")</f>
        <v>Centro</v>
      </c>
      <c r="K29" s="39" t="str">
        <f>IFERROR(__xludf.DUMMYFUNCTION("""COMPUTED_VALUE"""),"0")</f>
        <v>0</v>
      </c>
      <c r="L29" s="40">
        <f>IFERROR(__xludf.DUMMYFUNCTION("""COMPUTED_VALUE"""),4.0)</f>
        <v>4</v>
      </c>
      <c r="M29" s="40"/>
      <c r="N29" s="40">
        <f>IFERROR(__xludf.DUMMYFUNCTION("""COMPUTED_VALUE"""),3.0)</f>
        <v>3</v>
      </c>
      <c r="O29" s="40">
        <f>IFERROR(__xludf.DUMMYFUNCTION("""COMPUTED_VALUE"""),0.0)</f>
        <v>0</v>
      </c>
      <c r="P29" s="40">
        <f>IFERROR(__xludf.DUMMYFUNCTION("""COMPUTED_VALUE"""),2.0)</f>
        <v>2</v>
      </c>
      <c r="Q29" s="48"/>
      <c r="R29" s="48">
        <f>IFERROR(__xludf.DUMMYFUNCTION("""COMPUTED_VALUE"""),182.17)</f>
        <v>182.17</v>
      </c>
      <c r="S29" s="39" t="str">
        <f>IFERROR(__xludf.DUMMYFUNCTION("""COMPUTED_VALUE"""),"Rentabilidad $1,500,000")</f>
        <v>Rentabilidad $1,500,000</v>
      </c>
      <c r="T29" s="40" t="str">
        <f>IFERROR(__xludf.DUMMYFUNCTION("""COMPUTED_VALUE"""),"Neiva")</f>
        <v>Neiva</v>
      </c>
      <c r="U29" s="39" t="str">
        <f>IFERROR(__xludf.DUMMYFUNCTION("""COMPUTED_VALUE"""),"4")</f>
        <v>4</v>
      </c>
      <c r="V29" s="40" t="str">
        <f>IFERROR(__xludf.DUMMYFUNCTION("""COMPUTED_VALUE"""),"Medianera")</f>
        <v>Medianera</v>
      </c>
      <c r="W29" s="46"/>
      <c r="X29" s="46">
        <f>IFERROR(__xludf.DUMMYFUNCTION("""COMPUTED_VALUE"""),4.0)</f>
        <v>4</v>
      </c>
      <c r="Y29" s="40" t="str">
        <f>IFERROR(__xludf.DUMMYFUNCTION("""COMPUTED_VALUE"""),"No tiene")</f>
        <v>No tiene</v>
      </c>
      <c r="Z29" s="42" t="str">
        <f>IFERROR(__xludf.DUMMYFUNCTION("""COMPUTED_VALUE"""),"No aplica")</f>
        <v>No aplica</v>
      </c>
      <c r="AA29" s="49" t="str">
        <f>IFERROR(__xludf.DUMMYFUNCTION("""COMPUTED_VALUE"""),"44 años")</f>
        <v>44 años</v>
      </c>
      <c r="AB29" s="105" t="str">
        <f>IFERROR(__xludf.DUMMYFUNCTION("""COMPUTED_VALUE"""),"https://photos.app.goo.gl/LjQ8rQ4SVY4j6Vw37")</f>
        <v>https://photos.app.goo.gl/LjQ8rQ4SVY4j6Vw37</v>
      </c>
      <c r="AC29" s="40"/>
      <c r="AD29" s="40"/>
      <c r="AE29" s="40"/>
      <c r="AF29" s="40" t="str">
        <f>IFERROR(__xludf.DUMMYFUNCTION("""COMPUTED_VALUE"""),"integral")</f>
        <v>integral</v>
      </c>
      <c r="AG29" s="40"/>
      <c r="AH29" s="40" t="str">
        <f>IFERROR(__xludf.DUMMYFUNCTION("""COMPUTED_VALUE"""),"Inventario")</f>
        <v>Inventario</v>
      </c>
      <c r="AI29" s="40"/>
      <c r="AJ29" s="40" t="str">
        <f>IFERROR(__xludf.DUMMYFUNCTION("""COMPUTED_VALUE"""),"F-6610-$800 / B-")</f>
        <v>F-6610-$800 / B-</v>
      </c>
      <c r="AK29" s="40" t="str">
        <f>IFERROR(__xludf.DUMMYFUNCTION("""COMPUTED_VALUE"""),"No aplica")</f>
        <v>No aplica</v>
      </c>
      <c r="AL29" s="40" t="str">
        <f>IFERROR(__xludf.DUMMYFUNCTION("""COMPUTED_VALUE"""),"TIENE FOTOS")</f>
        <v>TIENE FOTOS</v>
      </c>
      <c r="AM29" s="40">
        <f>IFERROR(__xludf.DUMMYFUNCTION("""COMPUTED_VALUE"""),3.104888552E9)</f>
        <v>3104888552</v>
      </c>
      <c r="AN29" s="40">
        <f>IFERROR(__xludf.DUMMYFUNCTION("""COMPUTED_VALUE"""),3.183955563E9)</f>
        <v>3183955563</v>
      </c>
      <c r="AO29" s="40"/>
      <c r="AP29" s="40" t="str">
        <f>IFERROR(__xludf.DUMMYFUNCTION("""COMPUTED_VALUE"""),"CALLE 16 A No. 6 - 59")</f>
        <v>CALLE 16 A No. 6 - 59</v>
      </c>
      <c r="AQ29" s="40"/>
      <c r="AR29" s="40"/>
      <c r="AS29" s="53">
        <f>IFERROR(__xludf.DUMMYFUNCTION("""COMPUTED_VALUE"""),1500000.0)</f>
        <v>1500000</v>
      </c>
      <c r="AT29" s="40">
        <f>IFERROR(__xludf.DUMMYFUNCTION("""COMPUTED_VALUE"""),0.0)</f>
        <v>0</v>
      </c>
      <c r="AU29" s="40">
        <f>IFERROR(__xludf.DUMMYFUNCTION("""COMPUTED_VALUE"""),0.0)</f>
        <v>0</v>
      </c>
      <c r="AV29" s="40">
        <f>IFERROR(__xludf.DUMMYFUNCTION("""COMPUTED_VALUE"""),0.0)</f>
        <v>0</v>
      </c>
      <c r="AW29" s="40" t="str">
        <f>IFERROR(__xludf.DUMMYFUNCTION("""COMPUTED_VALUE"""),"SI")</f>
        <v>SI</v>
      </c>
      <c r="AX29" s="40">
        <f>IFERROR(__xludf.DUMMYFUNCTION("""COMPUTED_VALUE"""),0.0)</f>
        <v>0</v>
      </c>
      <c r="AY29" s="40" t="str">
        <f>IFERROR(__xludf.DUMMYFUNCTION("""COMPUTED_VALUE"""),"M")</f>
        <v>M</v>
      </c>
      <c r="AZ29" s="40">
        <f>IFERROR(__xludf.DUMMYFUNCTION("""COMPUTED_VALUE"""),0.0)</f>
        <v>0</v>
      </c>
      <c r="BA29" s="40" t="str">
        <f>IFERROR(__xludf.DUMMYFUNCTION("""COMPUTED_VALUE"""),"X")</f>
        <v>X</v>
      </c>
      <c r="BB29" s="40">
        <f>IFERROR(__xludf.DUMMYFUNCTION("""COMPUTED_VALUE"""),0.0)</f>
        <v>0</v>
      </c>
      <c r="BC29" s="53"/>
      <c r="BD29" s="48"/>
      <c r="BE29" s="48"/>
      <c r="BF29" s="48" t="str">
        <f>IFERROR(__xludf.DUMMYFUNCTION("""COMPUTED_VALUE"""),"❌ Error: HTTP 404 para: https://photos.google.com/share/AF1QipMxyO13ibxDnmiaMpa76FUjogaj8QmWwpfvgu14JEmvfJ9x_TNgs5RC6sqiBLD99g?key=UjFYUENkSnMwTjdFVWZGaW9EMFo5UUlCdmFGaTBn")</f>
        <v>❌ Error: HTTP 404 para: https://photos.google.com/share/AF1QipMxyO13ibxDnmiaMpa76FUjogaj8QmWwpfvgu14JEmvfJ9x_TNgs5RC6sqiBLD99g?key=UjFYUENkSnMwTjdFVWZGaW9EMFo5UUlCdmFGaTBn</v>
      </c>
    </row>
    <row r="30">
      <c r="A30" s="39" t="str">
        <f>IFERROR(__xludf.DUMMYFUNCTION("""COMPUTED_VALUE"""),"6818")</f>
        <v>6818</v>
      </c>
      <c r="B30" s="40" t="str">
        <f>IFERROR(__xludf.DUMMYFUNCTION("""COMPUTED_VALUE"""),"Casa rentable en barrio Quirinal")</f>
        <v>Casa rentable en barrio Quirinal</v>
      </c>
      <c r="C30" s="40" t="str">
        <f>IFERROR(__xludf.DUMMYFUNCTION("""COMPUTED_VALUE"""),"Casa rentable")</f>
        <v>Casa rentable</v>
      </c>
      <c r="D30" s="40" t="str">
        <f>IFERROR(__xludf.DUMMYFUNCTION("""COMPUTED_VALUE"""),"Quirinal")</f>
        <v>Quirinal</v>
      </c>
      <c r="E30" s="40"/>
      <c r="F30" s="42">
        <f>IFERROR(__xludf.DUMMYFUNCTION("""COMPUTED_VALUE"""),6.5E8)</f>
        <v>650000000</v>
      </c>
      <c r="G30" s="40" t="str">
        <f>IFERROR(__xludf.DUMMYFUNCTION("""COMPUTED_VALUE"""),"$500'000.000 a $1.000'000.000")</f>
        <v>$500'000.000 a $1.000'000.000</v>
      </c>
      <c r="H30" s="40"/>
      <c r="I30" s="40"/>
      <c r="J30" s="40" t="str">
        <f>IFERROR(__xludf.DUMMYFUNCTION("""COMPUTED_VALUE"""),"Centro")</f>
        <v>Centro</v>
      </c>
      <c r="K30" s="39" t="str">
        <f>IFERROR(__xludf.DUMMYFUNCTION("""COMPUTED_VALUE"""),"3")</f>
        <v>3</v>
      </c>
      <c r="L30" s="40">
        <f>IFERROR(__xludf.DUMMYFUNCTION("""COMPUTED_VALUE"""),6.0)</f>
        <v>6</v>
      </c>
      <c r="M30" s="40"/>
      <c r="N30" s="40">
        <f>IFERROR(__xludf.DUMMYFUNCTION("""COMPUTED_VALUE"""),6.0)</f>
        <v>6</v>
      </c>
      <c r="O30" s="40">
        <f>IFERROR(__xludf.DUMMYFUNCTION("""COMPUTED_VALUE"""),0.0)</f>
        <v>0</v>
      </c>
      <c r="P30" s="40">
        <f>IFERROR(__xludf.DUMMYFUNCTION("""COMPUTED_VALUE"""),2.0)</f>
        <v>2</v>
      </c>
      <c r="Q30" s="48">
        <f>IFERROR(__xludf.DUMMYFUNCTION("""COMPUTED_VALUE"""),204.66)</f>
        <v>204.66</v>
      </c>
      <c r="R30" s="48">
        <f>IFERROR(__xludf.DUMMYFUNCTION("""COMPUTED_VALUE"""),125.53)</f>
        <v>125.53</v>
      </c>
      <c r="S30" s="39" t="str">
        <f>IFERROR(__xludf.DUMMYFUNCTION("""COMPUTED_VALUE""")," ")</f>
        <v> </v>
      </c>
      <c r="T30" s="40" t="str">
        <f>IFERROR(__xludf.DUMMYFUNCTION("""COMPUTED_VALUE"""),"Neiva")</f>
        <v>Neiva</v>
      </c>
      <c r="U30" s="39" t="str">
        <f>IFERROR(__xludf.DUMMYFUNCTION("""COMPUTED_VALUE"""),"Comercial")</f>
        <v>Comercial</v>
      </c>
      <c r="V30" s="40" t="str">
        <f>IFERROR(__xludf.DUMMYFUNCTION("""COMPUTED_VALUE"""),"Medianera")</f>
        <v>Medianera</v>
      </c>
      <c r="W30" s="46"/>
      <c r="X30" s="46">
        <f>IFERROR(__xludf.DUMMYFUNCTION("""COMPUTED_VALUE"""),4.0)</f>
        <v>4</v>
      </c>
      <c r="Y30" s="40" t="str">
        <f>IFERROR(__xludf.DUMMYFUNCTION("""COMPUTED_VALUE"""),"No tiene")</f>
        <v>No tiene</v>
      </c>
      <c r="Z30" s="42" t="str">
        <f>IFERROR(__xludf.DUMMYFUNCTION("""COMPUTED_VALUE"""),"No aplica")</f>
        <v>No aplica</v>
      </c>
      <c r="AA30" s="49" t="str">
        <f>IFERROR(__xludf.DUMMYFUNCTION("""COMPUTED_VALUE"""),"No aplica")</f>
        <v>No aplica</v>
      </c>
      <c r="AB30" s="48"/>
      <c r="AC30" s="40"/>
      <c r="AD30" s="40"/>
      <c r="AE30" s="40"/>
      <c r="AF30" s="40" t="str">
        <f>IFERROR(__xludf.DUMMYFUNCTION("""COMPUTED_VALUE"""),"cafetin")</f>
        <v>cafetin</v>
      </c>
      <c r="AG30" s="40"/>
      <c r="AH30" s="40" t="str">
        <f>IFERROR(__xludf.DUMMYFUNCTION("""COMPUTED_VALUE"""),"Inventario")</f>
        <v>Inventario</v>
      </c>
      <c r="AI30" s="40"/>
      <c r="AJ30" s="40" t="str">
        <f>IFERROR(__xludf.DUMMYFUNCTION("""COMPUTED_VALUE"""),"F-Codg 6818- $650---B-Codg-3628-$650")</f>
        <v>F-Codg 6818- $650---B-Codg-3628-$650</v>
      </c>
      <c r="AK30" s="40" t="str">
        <f>IFERROR(__xludf.DUMMYFUNCTION("""COMPUTED_VALUE"""),"No aplica")</f>
        <v>No aplica</v>
      </c>
      <c r="AL30" s="40" t="str">
        <f>IFERROR(__xludf.DUMMYFUNCTION("""COMPUTED_VALUE"""),"TIENE FOTOS")</f>
        <v>TIENE FOTOS</v>
      </c>
      <c r="AM30" s="40">
        <f>IFERROR(__xludf.DUMMYFUNCTION("""COMPUTED_VALUE"""),3.104888552E9)</f>
        <v>3104888552</v>
      </c>
      <c r="AN30" s="40">
        <f>IFERROR(__xludf.DUMMYFUNCTION("""COMPUTED_VALUE"""),3.183955563E9)</f>
        <v>3183955563</v>
      </c>
      <c r="AO30" s="40"/>
      <c r="AP30" s="40" t="str">
        <f>IFERROR(__xludf.DUMMYFUNCTION("""COMPUTED_VALUE"""),"CARRERA 7 No. 15-23")</f>
        <v>CARRERA 7 No. 15-23</v>
      </c>
      <c r="AQ30" s="40"/>
      <c r="AR30" s="40"/>
      <c r="AS30" s="53">
        <f>IFERROR(__xludf.DUMMYFUNCTION("""COMPUTED_VALUE"""),0.0)</f>
        <v>0</v>
      </c>
      <c r="AT30" s="40">
        <f>IFERROR(__xludf.DUMMYFUNCTION("""COMPUTED_VALUE"""),0.0)</f>
        <v>0</v>
      </c>
      <c r="AU30" s="40">
        <f>IFERROR(__xludf.DUMMYFUNCTION("""COMPUTED_VALUE"""),0.0)</f>
        <v>0</v>
      </c>
      <c r="AV30" s="40">
        <f>IFERROR(__xludf.DUMMYFUNCTION("""COMPUTED_VALUE"""),0.0)</f>
        <v>0</v>
      </c>
      <c r="AW30" s="40" t="str">
        <f>IFERROR(__xludf.DUMMYFUNCTION("""COMPUTED_VALUE"""),"NO")</f>
        <v>NO</v>
      </c>
      <c r="AX30" s="40">
        <f>IFERROR(__xludf.DUMMYFUNCTION("""COMPUTED_VALUE"""),0.0)</f>
        <v>0</v>
      </c>
      <c r="AY30" s="40">
        <f>IFERROR(__xludf.DUMMYFUNCTION("""COMPUTED_VALUE"""),0.0)</f>
        <v>0</v>
      </c>
      <c r="AZ30" s="40">
        <f>IFERROR(__xludf.DUMMYFUNCTION("""COMPUTED_VALUE"""),0.0)</f>
        <v>0</v>
      </c>
      <c r="BA30" s="40" t="str">
        <f>IFERROR(__xludf.DUMMYFUNCTION("""COMPUTED_VALUE"""),"X")</f>
        <v>X</v>
      </c>
      <c r="BB30" s="40">
        <f>IFERROR(__xludf.DUMMYFUNCTION("""COMPUTED_VALUE"""),0.0)</f>
        <v>0</v>
      </c>
      <c r="BC30" s="53"/>
      <c r="BD30" s="48"/>
      <c r="BE30" s="48"/>
      <c r="BF30" s="48"/>
    </row>
    <row r="31">
      <c r="A31" s="39" t="str">
        <f>IFERROR(__xludf.DUMMYFUNCTION("""COMPUTED_VALUE"""),"5891")</f>
        <v>5891</v>
      </c>
      <c r="B31" s="40" t="str">
        <f>IFERROR(__xludf.DUMMYFUNCTION("""COMPUTED_VALUE"""),"Casa en barrio Campo Nuñez")</f>
        <v>Casa en barrio Campo Nuñez</v>
      </c>
      <c r="C31" s="40" t="str">
        <f>IFERROR(__xludf.DUMMYFUNCTION("""COMPUTED_VALUE"""),"Casa")</f>
        <v>Casa</v>
      </c>
      <c r="D31" s="40" t="str">
        <f>IFERROR(__xludf.DUMMYFUNCTION("""COMPUTED_VALUE"""),"Campo Nuñez")</f>
        <v>Campo Nuñez</v>
      </c>
      <c r="E31" s="40"/>
      <c r="F31" s="42">
        <f>IFERROR(__xludf.DUMMYFUNCTION("""COMPUTED_VALUE"""),4.8E8)</f>
        <v>480000000</v>
      </c>
      <c r="G31" s="40" t="str">
        <f>IFERROR(__xludf.DUMMYFUNCTION("""COMPUTED_VALUE"""),"$400'000.000 a $500'000.000")</f>
        <v>$400'000.000 a $500'000.000</v>
      </c>
      <c r="H31" s="40"/>
      <c r="I31" s="40"/>
      <c r="J31" s="40" t="str">
        <f>IFERROR(__xludf.DUMMYFUNCTION("""COMPUTED_VALUE"""),"Centro")</f>
        <v>Centro</v>
      </c>
      <c r="K31" s="39" t="str">
        <f>IFERROR(__xludf.DUMMYFUNCTION("""COMPUTED_VALUE"""),"3")</f>
        <v>3</v>
      </c>
      <c r="L31" s="40">
        <f>IFERROR(__xludf.DUMMYFUNCTION("""COMPUTED_VALUE"""),3.0)</f>
        <v>3</v>
      </c>
      <c r="M31" s="40"/>
      <c r="N31" s="40">
        <f>IFERROR(__xludf.DUMMYFUNCTION("""COMPUTED_VALUE"""),4.0)</f>
        <v>4</v>
      </c>
      <c r="O31" s="40">
        <f>IFERROR(__xludf.DUMMYFUNCTION("""COMPUTED_VALUE"""),1.0)</f>
        <v>1</v>
      </c>
      <c r="P31" s="40">
        <f>IFERROR(__xludf.DUMMYFUNCTION("""COMPUTED_VALUE"""),3.0)</f>
        <v>3</v>
      </c>
      <c r="Q31" s="40">
        <f>IFERROR(__xludf.DUMMYFUNCTION("""COMPUTED_VALUE"""),255.0)</f>
        <v>255</v>
      </c>
      <c r="R31" s="48">
        <f>IFERROR(__xludf.DUMMYFUNCTION("""COMPUTED_VALUE"""),86.52)</f>
        <v>86.52</v>
      </c>
      <c r="S31" s="39" t="str">
        <f>IFERROR(__xludf.DUMMYFUNCTION("""COMPUTED_VALUE""")," ")</f>
        <v> </v>
      </c>
      <c r="T31" s="40" t="str">
        <f>IFERROR(__xludf.DUMMYFUNCTION("""COMPUTED_VALUE"""),"Neiva")</f>
        <v>Neiva</v>
      </c>
      <c r="U31" s="39" t="str">
        <f>IFERROR(__xludf.DUMMYFUNCTION("""COMPUTED_VALUE"""),"4")</f>
        <v>4</v>
      </c>
      <c r="V31" s="40" t="str">
        <f>IFERROR(__xludf.DUMMYFUNCTION("""COMPUTED_VALUE"""),"Medianera")</f>
        <v>Medianera</v>
      </c>
      <c r="W31" s="46"/>
      <c r="X31" s="46">
        <f>IFERROR(__xludf.DUMMYFUNCTION("""COMPUTED_VALUE"""),3.0)</f>
        <v>3</v>
      </c>
      <c r="Y31" s="40" t="str">
        <f>IFERROR(__xludf.DUMMYFUNCTION("""COMPUTED_VALUE"""),"No tiene")</f>
        <v>No tiene</v>
      </c>
      <c r="Z31" s="42" t="str">
        <f>IFERROR(__xludf.DUMMYFUNCTION("""COMPUTED_VALUE"""),"No aplica")</f>
        <v>No aplica</v>
      </c>
      <c r="AA31" s="49" t="str">
        <f>IFERROR(__xludf.DUMMYFUNCTION("""COMPUTED_VALUE"""),"No aplica")</f>
        <v>No aplica</v>
      </c>
      <c r="AB31" s="66" t="str">
        <f>IFERROR(__xludf.DUMMYFUNCTION("""COMPUTED_VALUE"""),"https://photos.app.goo.gl/v5NhaMsT1txHqUAZ8")</f>
        <v>https://photos.app.goo.gl/v5NhaMsT1txHqUAZ8</v>
      </c>
      <c r="AC31" s="40"/>
      <c r="AD31" s="40"/>
      <c r="AE31" s="40"/>
      <c r="AF31" s="40" t="str">
        <f>IFERROR(__xludf.DUMMYFUNCTION("""COMPUTED_VALUE"""),"integral")</f>
        <v>integral</v>
      </c>
      <c r="AG31" s="40"/>
      <c r="AH31" s="40" t="str">
        <f>IFERROR(__xludf.DUMMYFUNCTION("""COMPUTED_VALUE"""),"Inventario")</f>
        <v>Inventario</v>
      </c>
      <c r="AI31" s="40"/>
      <c r="AJ31" s="40" t="str">
        <f>IFERROR(__xludf.DUMMYFUNCTION("""COMPUTED_VALUE"""),"F-Inventario Campo Nuñez")</f>
        <v>F-Inventario Campo Nuñez</v>
      </c>
      <c r="AK31" s="40" t="str">
        <f>IFERROR(__xludf.DUMMYFUNCTION("""COMPUTED_VALUE"""),"No aplica")</f>
        <v>No aplica</v>
      </c>
      <c r="AL31" s="40" t="str">
        <f>IFERROR(__xludf.DUMMYFUNCTION("""COMPUTED_VALUE"""),"TIENE FOTOS")</f>
        <v>TIENE FOTOS</v>
      </c>
      <c r="AM31" s="40"/>
      <c r="AN31" s="40"/>
      <c r="AO31" s="40"/>
      <c r="AP31" s="40" t="str">
        <f>IFERROR(__xludf.DUMMYFUNCTION("""COMPUTED_VALUE"""),"Calle 17 NO. 7A-63")</f>
        <v>Calle 17 NO. 7A-63</v>
      </c>
      <c r="AQ31" s="40"/>
      <c r="AR31" s="40"/>
      <c r="AS31" s="40">
        <f>IFERROR(__xludf.DUMMYFUNCTION("""COMPUTED_VALUE"""),0.0)</f>
        <v>0</v>
      </c>
      <c r="AT31" s="40">
        <f>IFERROR(__xludf.DUMMYFUNCTION("""COMPUTED_VALUE"""),0.0)</f>
        <v>0</v>
      </c>
      <c r="AU31" s="40">
        <f>IFERROR(__xludf.DUMMYFUNCTION("""COMPUTED_VALUE"""),3.0)</f>
        <v>3</v>
      </c>
      <c r="AV31" s="40">
        <f>IFERROR(__xludf.DUMMYFUNCTION("""COMPUTED_VALUE"""),0.0)</f>
        <v>0</v>
      </c>
      <c r="AW31" s="40" t="str">
        <f>IFERROR(__xludf.DUMMYFUNCTION("""COMPUTED_VALUE"""),"NO")</f>
        <v>NO</v>
      </c>
      <c r="AX31" s="40">
        <f>IFERROR(__xludf.DUMMYFUNCTION("""COMPUTED_VALUE"""),0.0)</f>
        <v>0</v>
      </c>
      <c r="AY31" s="40">
        <f>IFERROR(__xludf.DUMMYFUNCTION("""COMPUTED_VALUE"""),0.0)</f>
        <v>0</v>
      </c>
      <c r="AZ31" s="40">
        <f>IFERROR(__xludf.DUMMYFUNCTION("""COMPUTED_VALUE"""),0.0)</f>
        <v>0</v>
      </c>
      <c r="BA31" s="40" t="str">
        <f>IFERROR(__xludf.DUMMYFUNCTION("""COMPUTED_VALUE"""),"X")</f>
        <v>X</v>
      </c>
      <c r="BB31" s="40">
        <f>IFERROR(__xludf.DUMMYFUNCTION("""COMPUTED_VALUE"""),0.0)</f>
        <v>0</v>
      </c>
      <c r="BC31" s="53"/>
      <c r="BD31" s="48"/>
      <c r="BE31" s="48"/>
      <c r="BF31" s="48" t="str">
        <f>IFERROR(__xludf.DUMMYFUNCTION("""COMPUTED_VALUE"""),"https://lh3.googleusercontent.com/pw/AP1GczOMVjEyLoVHCMNGQ-CbfLr6tjPCf06fVXtv_iMNj_fUIkSEqcCqfWA1xybbKnj_WTq1B4fZdQiP2iSXeON1Ux5BKAiEBOkbXp4esALXmp8x-AxIwNRa=w1200|https://lh3.googleusercontent.com/pw/AP1GczNDjKyrK9BbIL5knZYBZ434BfG41l69rGB8nP5VWhhtLp42YT"&amp;"YlGgPyJptak5uRy2x63Rgx9pJZzMNwABHLS5zBXSegbDdyS99GQRenAyEewU_pR21l=w1200|https://lh3.googleusercontent.com/pw/AP1GczMi8IVAfURuR2yPu1EXr3DpkjvazCfDFZ6UIKPm3BFTrpkq3LmVNsJk9FmhnXZP7uwt0_APv1S44H3xWpf069HCL14vIiLWPH1kPdNeT4F-im9ZYs7i=w1200|https://lh3.google"&amp;"usercontent.com/pw/AP1GczOdy6t92HIupmLXacSwyVA1Wkx0bPqUNSUVhaBYkTyedRgqyrpeHU-EyeUxi3JW-FpDOFPwVICxY6Qv5WAMkxayOdsVpC-6_LkjGQsw5c3Lyz18VR-n=w1200|https://lh3.googleusercontent.com/pw/AP1GczO5gnybnDNXwfwG7gtNJ9Q5WGPJyyaSlZYDpJ7sfz7FBEg2mXxalMe6vP2JQQtRtQl2"&amp;"j9MWxf3ozQHEipluRucQq1X1e9jdr4wkFgXyqEG4rpBTYZge=w1200")</f>
        <v>https://lh3.googleusercontent.com/pw/AP1GczOMVjEyLoVHCMNGQ-CbfLr6tjPCf06fVXtv_iMNj_fUIkSEqcCqfWA1xybbKnj_WTq1B4fZdQiP2iSXeON1Ux5BKAiEBOkbXp4esALXmp8x-AxIwNRa=w1200|https://lh3.googleusercontent.com/pw/AP1GczNDjKyrK9BbIL5knZYBZ434BfG41l69rGB8nP5VWhhtLp42YTYlGgPyJptak5uRy2x63Rgx9pJZzMNwABHLS5zBXSegbDdyS99GQRenAyEewU_pR21l=w1200|https://lh3.googleusercontent.com/pw/AP1GczMi8IVAfURuR2yPu1EXr3DpkjvazCfDFZ6UIKPm3BFTrpkq3LmVNsJk9FmhnXZP7uwt0_APv1S44H3xWpf069HCL14vIiLWPH1kPdNeT4F-im9ZYs7i=w1200|https://lh3.googleusercontent.com/pw/AP1GczOdy6t92HIupmLXacSwyVA1Wkx0bPqUNSUVhaBYkTyedRgqyrpeHU-EyeUxi3JW-FpDOFPwVICxY6Qv5WAMkxayOdsVpC-6_LkjGQsw5c3Lyz18VR-n=w1200|https://lh3.googleusercontent.com/pw/AP1GczO5gnybnDNXwfwG7gtNJ9Q5WGPJyyaSlZYDpJ7sfz7FBEg2mXxalMe6vP2JQQtRtQl2j9MWxf3ozQHEipluRucQq1X1e9jdr4wkFgXyqEG4rpBTYZge=w1200</v>
      </c>
    </row>
    <row r="32">
      <c r="A32" s="39" t="str">
        <f>IFERROR(__xludf.DUMMYFUNCTION("""COMPUTED_VALUE"""),"7014")</f>
        <v>7014</v>
      </c>
      <c r="B32" s="40" t="str">
        <f>IFERROR(__xludf.DUMMYFUNCTION("""COMPUTED_VALUE"""),"Casa con dos apartamentos en barrio Las Granjas")</f>
        <v>Casa con dos apartamentos en barrio Las Granjas</v>
      </c>
      <c r="C32" s="40" t="str">
        <f>IFERROR(__xludf.DUMMYFUNCTION("""COMPUTED_VALUE"""),"Casa rentable")</f>
        <v>Casa rentable</v>
      </c>
      <c r="D32" s="40" t="str">
        <f>IFERROR(__xludf.DUMMYFUNCTION("""COMPUTED_VALUE"""),"Las Granjas")</f>
        <v>Las Granjas</v>
      </c>
      <c r="E32" s="40"/>
      <c r="F32" s="42">
        <f>IFERROR(__xludf.DUMMYFUNCTION("""COMPUTED_VALUE"""),4.8E8)</f>
        <v>480000000</v>
      </c>
      <c r="G32" s="40" t="str">
        <f>IFERROR(__xludf.DUMMYFUNCTION("""COMPUTED_VALUE"""),"$400'000.000 a $500'000.000")</f>
        <v>$400'000.000 a $500'000.000</v>
      </c>
      <c r="H32" s="40"/>
      <c r="I32" s="40"/>
      <c r="J32" s="40" t="str">
        <f>IFERROR(__xludf.DUMMYFUNCTION("""COMPUTED_VALUE"""),"Norte")</f>
        <v>Norte</v>
      </c>
      <c r="K32" s="39" t="str">
        <f>IFERROR(__xludf.DUMMYFUNCTION("""COMPUTED_VALUE"""),"2")</f>
        <v>2</v>
      </c>
      <c r="L32" s="40">
        <f>IFERROR(__xludf.DUMMYFUNCTION("""COMPUTED_VALUE"""),9.0)</f>
        <v>9</v>
      </c>
      <c r="M32" s="40"/>
      <c r="N32" s="40">
        <f>IFERROR(__xludf.DUMMYFUNCTION("""COMPUTED_VALUE"""),6.0)</f>
        <v>6</v>
      </c>
      <c r="O32" s="40">
        <f>IFERROR(__xludf.DUMMYFUNCTION("""COMPUTED_VALUE"""),1.0)</f>
        <v>1</v>
      </c>
      <c r="P32" s="40">
        <f>IFERROR(__xludf.DUMMYFUNCTION("""COMPUTED_VALUE"""),2.0)</f>
        <v>2</v>
      </c>
      <c r="Q32" s="48">
        <f>IFERROR(__xludf.DUMMYFUNCTION("""COMPUTED_VALUE"""),392.0)</f>
        <v>392</v>
      </c>
      <c r="R32" s="48">
        <f>IFERROR(__xludf.DUMMYFUNCTION("""COMPUTED_VALUE"""),180.0)</f>
        <v>180</v>
      </c>
      <c r="S32" s="39" t="str">
        <f>IFERROR(__xludf.DUMMYFUNCTION("""COMPUTED_VALUE"""),"Rentabilidad $1,600,000")</f>
        <v>Rentabilidad $1,600,000</v>
      </c>
      <c r="T32" s="40" t="str">
        <f>IFERROR(__xludf.DUMMYFUNCTION("""COMPUTED_VALUE"""),"Neiva")</f>
        <v>Neiva</v>
      </c>
      <c r="U32" s="39" t="str">
        <f>IFERROR(__xludf.DUMMYFUNCTION("""COMPUTED_VALUE"""),"2")</f>
        <v>2</v>
      </c>
      <c r="V32" s="40" t="str">
        <f>IFERROR(__xludf.DUMMYFUNCTION("""COMPUTED_VALUE"""),"Medianera")</f>
        <v>Medianera</v>
      </c>
      <c r="W32" s="46"/>
      <c r="X32" s="46">
        <f>IFERROR(__xludf.DUMMYFUNCTION("""COMPUTED_VALUE"""),6.0)</f>
        <v>6</v>
      </c>
      <c r="Y32" s="53" t="str">
        <f>IFERROR(__xludf.DUMMYFUNCTION("""COMPUTED_VALUE"""),"No tiene")</f>
        <v>No tiene</v>
      </c>
      <c r="Z32" s="42" t="str">
        <f>IFERROR(__xludf.DUMMYFUNCTION("""COMPUTED_VALUE"""),"No aplica")</f>
        <v>No aplica</v>
      </c>
      <c r="AA32" s="49" t="str">
        <f>IFERROR(__xludf.DUMMYFUNCTION("""COMPUTED_VALUE"""),"25 años")</f>
        <v>25 años</v>
      </c>
      <c r="AB32" s="105" t="str">
        <f>IFERROR(__xludf.DUMMYFUNCTION("""COMPUTED_VALUE"""),"https://photos.app.goo.gl/JaJXFytqFTjEUTbG6")</f>
        <v>https://photos.app.goo.gl/JaJXFytqFTjEUTbG6</v>
      </c>
      <c r="AC32" s="40"/>
      <c r="AD32" s="40"/>
      <c r="AE32" s="40"/>
      <c r="AF32" s="40" t="str">
        <f>IFERROR(__xludf.DUMMYFUNCTION("""COMPUTED_VALUE"""),"semi-integral")</f>
        <v>semi-integral</v>
      </c>
      <c r="AG32" s="40"/>
      <c r="AH32" s="40" t="str">
        <f>IFERROR(__xludf.DUMMYFUNCTION("""COMPUTED_VALUE"""),"Inventario")</f>
        <v>Inventario</v>
      </c>
      <c r="AI32" s="40"/>
      <c r="AJ32" s="40" t="str">
        <f>IFERROR(__xludf.DUMMYFUNCTION("""COMPUTED_VALUE"""),"F-Inventario Las Granjas")</f>
        <v>F-Inventario Las Granjas</v>
      </c>
      <c r="AK32" s="40" t="str">
        <f>IFERROR(__xludf.DUMMYFUNCTION("""COMPUTED_VALUE"""),"No aplica")</f>
        <v>No aplica</v>
      </c>
      <c r="AL32" s="40" t="str">
        <f>IFERROR(__xludf.DUMMYFUNCTION("""COMPUTED_VALUE"""),"TIENE FOTOS")</f>
        <v>TIENE FOTOS</v>
      </c>
      <c r="AM32" s="40">
        <f>IFERROR(__xludf.DUMMYFUNCTION("""COMPUTED_VALUE"""),0.0)</f>
        <v>0</v>
      </c>
      <c r="AN32" s="40">
        <f>IFERROR(__xludf.DUMMYFUNCTION("""COMPUTED_VALUE"""),0.0)</f>
        <v>0</v>
      </c>
      <c r="AO32" s="40"/>
      <c r="AP32" s="40">
        <f>IFERROR(__xludf.DUMMYFUNCTION("""COMPUTED_VALUE"""),0.0)</f>
        <v>0</v>
      </c>
      <c r="AQ32" s="40"/>
      <c r="AR32" s="40"/>
      <c r="AS32" s="53">
        <f>IFERROR(__xludf.DUMMYFUNCTION("""COMPUTED_VALUE"""),1600000.0)</f>
        <v>1600000</v>
      </c>
      <c r="AT32" s="40">
        <f>IFERROR(__xludf.DUMMYFUNCTION("""COMPUTED_VALUE"""),0.0)</f>
        <v>0</v>
      </c>
      <c r="AU32" s="40">
        <f>IFERROR(__xludf.DUMMYFUNCTION("""COMPUTED_VALUE"""),0.0)</f>
        <v>0</v>
      </c>
      <c r="AV32" s="40">
        <f>IFERROR(__xludf.DUMMYFUNCTION("""COMPUTED_VALUE"""),0.0)</f>
        <v>0</v>
      </c>
      <c r="AW32" s="40" t="str">
        <f>IFERROR(__xludf.DUMMYFUNCTION("""COMPUTED_VALUE"""),"NO")</f>
        <v>NO</v>
      </c>
      <c r="AX32" s="40">
        <f>IFERROR(__xludf.DUMMYFUNCTION("""COMPUTED_VALUE"""),0.0)</f>
        <v>0</v>
      </c>
      <c r="AY32" s="40">
        <f>IFERROR(__xludf.DUMMYFUNCTION("""COMPUTED_VALUE"""),0.0)</f>
        <v>0</v>
      </c>
      <c r="AZ32" s="40">
        <f>IFERROR(__xludf.DUMMYFUNCTION("""COMPUTED_VALUE"""),9.0)</f>
        <v>9</v>
      </c>
      <c r="BA32" s="40" t="str">
        <f>IFERROR(__xludf.DUMMYFUNCTION("""COMPUTED_VALUE"""),"X")</f>
        <v>X</v>
      </c>
      <c r="BB32" s="40">
        <f>IFERROR(__xludf.DUMMYFUNCTION("""COMPUTED_VALUE"""),20.0)</f>
        <v>20</v>
      </c>
      <c r="BC32" s="40" t="str">
        <f>IFERROR(__xludf.DUMMYFUNCTION("""COMPUTED_VALUE"""),"8 - ERNESTO POLANCO, 19 - PRUEBA v, 12 - LEIDY YULIETH, 23 - DANIEL RODRIGUEZ GAVILAN")</f>
        <v>8 - ERNESTO POLANCO, 19 - PRUEBA v, 12 - LEIDY YULIETH, 23 - DANIEL RODRIGUEZ GAVILAN</v>
      </c>
      <c r="BD32" s="48"/>
      <c r="BE32" s="48"/>
      <c r="BF32" s="48" t="str">
        <f>IFERROR(__xludf.DUMMYFUNCTION("""COMPUTED_VALUE"""),"https://lh3.googleusercontent.com/pw/AP1GczMZGlRXc_0a0jLnh7ljxJR9IGtXBfWTbNZVEDRZVYWOmp3eCPTBat9tok4Mky6dy4SlOqrvPMqqHF02hVUkfpNF6XWEpi1OgnHRGLT8QzMpcBgYGIPA=w1200|https://lh3.googleusercontent.com/pw/AP1GczOz8G_bHHpYGqMLuK6rp7Tw6GIuu7VnnzQ_CfdvLERRVpNuKN"&amp;"8RKndmcOyozpDUHbsnmKjlP3hGXReGjsGWVSCtqaVgTcPUc0o4jMa_YkWzlwpItt9i=w1200|https://lh3.googleusercontent.com/pw/AP1GczMEw2567iwCqmvRIlVBbaUl7upIo_3AOXe_pZn7Jpcj_JmS4I-Hu8LhdNtBXBo_MPFPafMfsVHUMdMcNND_cJUE-VTS9GamL9MNAy2ZrVL1L-jnYqOL=w1200|https://lh3.google"&amp;"usercontent.com/pw/AP1GczO7oSX90u3P0ha5hpj7xYAaoHr19e9CbvZpynQ_54hPTqFHA3TdJDadoWWpd6NAUN0iu2ul6_cX0sRvcfVpoImfSP-XIVa0yVVqMjF4T6l8ssl6BtHr=w1200|https://lh3.googleusercontent.com/pw/AP1GczMOtHQxArT3POItielVpCOU7lzXQ30g8o8aKlVS-KGs9VX_LIfCzfIIQa2Dcp8hoQ-E"&amp;"9Uipz4o8b5RDLsAxONp0aM_okzv3TKEMpymK5st_UUxh1fOr=w1200|https://lh3.googleusercontent.com/pw/AP1GczNIHFknQsO3ek2Ywxiel8GlBj1f_Yo3uz82flYJzOqFbulXD_Y7luwwnWA_FFG72V1Xub4llemzjpAeuarM7-pNcpVp_DsaAjHafEcSGXe-jf-L2x20=w1200|https://lh3.googleusercontent.com/pw"&amp;"/AP1GczOfasCv6-dnq2XxRDarGeI6TVbAjZZoY5w1AjpR3hIpCaBFBBpH5L0dIfTvAGlKmnQuOcVL_gAAnuyrZngg-wK0JjWm_YpE2gGWwY0OaZrCV7W7Twgz=w1200|https://lh3.googleusercontent.com/pw/AP1GczOyTNak7M_5tE_cZveAoIKuPhY-bOsKDrDa8w-KbUSQ34xwTKJC7Qo4aH3whvYV6VbEpyBdxqCiR2ZDuychZ3"&amp;"xqUO5d9BFFvOyTLptLrAOnW1L7Ijui=w1200|https://lh3.googleusercontent.com/pw/AP1GczOxSuXp-FjKuXpLT24WjOftDvAfUYt1eC8iOBX1NQ46mxbEraysk3rj6Gpi3TKlhrBmjBh6ouziJjsDJUBOr24vrwah93RcI5Qx0PSzh6g6b90_ZYXA=w1200|https://lh3.googleusercontent.com/pw/AP1GczPJK7g7hx_WS"&amp;"_qkm4UGmdK_6iU32JkD-WSpClOr-0l2gW9seGODqC0Prk7a85ICSRf2CjwHTvXoD-L9V68TGX4WM1llfYylzmk56yDUQPU0A10p4VCp=w1200|https://lh3.googleusercontent.com/pw/AP1GczPKwDES6HsdCu5eRIOfEb1avA8xhxbfLajvJ3lOX2VGpyLK_Mqur2UYTeqEp9-qbOMqosl60jnZfmWno7N3ReMsxGaUS361Lg06WAR9"&amp;"fs6NysfMtnfX=w1200")</f>
        <v>https://lh3.googleusercontent.com/pw/AP1GczMZGlRXc_0a0jLnh7ljxJR9IGtXBfWTbNZVEDRZVYWOmp3eCPTBat9tok4Mky6dy4SlOqrvPMqqHF02hVUkfpNF6XWEpi1OgnHRGLT8QzMpcBgYGIPA=w1200|https://lh3.googleusercontent.com/pw/AP1GczOz8G_bHHpYGqMLuK6rp7Tw6GIuu7VnnzQ_CfdvLERRVpNuKN8RKndmcOyozpDUHbsnmKjlP3hGXReGjsGWVSCtqaVgTcPUc0o4jMa_YkWzlwpItt9i=w1200|https://lh3.googleusercontent.com/pw/AP1GczMEw2567iwCqmvRIlVBbaUl7upIo_3AOXe_pZn7Jpcj_JmS4I-Hu8LhdNtBXBo_MPFPafMfsVHUMdMcNND_cJUE-VTS9GamL9MNAy2ZrVL1L-jnYqOL=w1200|https://lh3.googleusercontent.com/pw/AP1GczO7oSX90u3P0ha5hpj7xYAaoHr19e9CbvZpynQ_54hPTqFHA3TdJDadoWWpd6NAUN0iu2ul6_cX0sRvcfVpoImfSP-XIVa0yVVqMjF4T6l8ssl6BtHr=w1200|https://lh3.googleusercontent.com/pw/AP1GczMOtHQxArT3POItielVpCOU7lzXQ30g8o8aKlVS-KGs9VX_LIfCzfIIQa2Dcp8hoQ-E9Uipz4o8b5RDLsAxONp0aM_okzv3TKEMpymK5st_UUxh1fOr=w1200|https://lh3.googleusercontent.com/pw/AP1GczNIHFknQsO3ek2Ywxiel8GlBj1f_Yo3uz82flYJzOqFbulXD_Y7luwwnWA_FFG72V1Xub4llemzjpAeuarM7-pNcpVp_DsaAjHafEcSGXe-jf-L2x20=w1200|https://lh3.googleusercontent.com/pw/AP1GczOfasCv6-dnq2XxRDarGeI6TVbAjZZoY5w1AjpR3hIpCaBFBBpH5L0dIfTvAGlKmnQuOcVL_gAAnuyrZngg-wK0JjWm_YpE2gGWwY0OaZrCV7W7Twgz=w1200|https://lh3.googleusercontent.com/pw/AP1GczOyTNak7M_5tE_cZveAoIKuPhY-bOsKDrDa8w-KbUSQ34xwTKJC7Qo4aH3whvYV6VbEpyBdxqCiR2ZDuychZ3xqUO5d9BFFvOyTLptLrAOnW1L7Ijui=w1200|https://lh3.googleusercontent.com/pw/AP1GczOxSuXp-FjKuXpLT24WjOftDvAfUYt1eC8iOBX1NQ46mxbEraysk3rj6Gpi3TKlhrBmjBh6ouziJjsDJUBOr24vrwah93RcI5Qx0PSzh6g6b90_ZYXA=w1200|https://lh3.googleusercontent.com/pw/AP1GczPJK7g7hx_WS_qkm4UGmdK_6iU32JkD-WSpClOr-0l2gW9seGODqC0Prk7a85ICSRf2CjwHTvXoD-L9V68TGX4WM1llfYylzmk56yDUQPU0A10p4VCp=w1200|https://lh3.googleusercontent.com/pw/AP1GczPKwDES6HsdCu5eRIOfEb1avA8xhxbfLajvJ3lOX2VGpyLK_Mqur2UYTeqEp9-qbOMqosl60jnZfmWno7N3ReMsxGaUS361Lg06WAR9fs6NysfMtnfX=w1200</v>
      </c>
    </row>
    <row r="33">
      <c r="A33" s="39" t="str">
        <f>IFERROR(__xludf.DUMMYFUNCTION("""COMPUTED_VALUE"""),"7070")</f>
        <v>7070</v>
      </c>
      <c r="B33" s="40" t="str">
        <f>IFERROR(__xludf.DUMMYFUNCTION("""COMPUTED_VALUE"""),"Casa rentable en barrio Quirinal")</f>
        <v>Casa rentable en barrio Quirinal</v>
      </c>
      <c r="C33" s="40" t="str">
        <f>IFERROR(__xludf.DUMMYFUNCTION("""COMPUTED_VALUE"""),"Casa rentable")</f>
        <v>Casa rentable</v>
      </c>
      <c r="D33" s="40" t="str">
        <f>IFERROR(__xludf.DUMMYFUNCTION("""COMPUTED_VALUE"""),"Quirinal")</f>
        <v>Quirinal</v>
      </c>
      <c r="E33" s="40"/>
      <c r="F33" s="42">
        <f>IFERROR(__xludf.DUMMYFUNCTION("""COMPUTED_VALUE"""),1.0E9)</f>
        <v>1000000000</v>
      </c>
      <c r="G33" s="40" t="str">
        <f>IFERROR(__xludf.DUMMYFUNCTION("""COMPUTED_VALUE"""),"Más de $1.000'000.000")</f>
        <v>Más de $1.000'000.000</v>
      </c>
      <c r="H33" s="40"/>
      <c r="I33" s="40"/>
      <c r="J33" s="40" t="str">
        <f>IFERROR(__xludf.DUMMYFUNCTION("""COMPUTED_VALUE"""),"Centro")</f>
        <v>Centro</v>
      </c>
      <c r="K33" s="39" t="str">
        <f>IFERROR(__xludf.DUMMYFUNCTION("""COMPUTED_VALUE"""),"3")</f>
        <v>3</v>
      </c>
      <c r="L33" s="40">
        <f>IFERROR(__xludf.DUMMYFUNCTION("""COMPUTED_VALUE"""),4.0)</f>
        <v>4</v>
      </c>
      <c r="M33" s="40"/>
      <c r="N33" s="40">
        <f>IFERROR(__xludf.DUMMYFUNCTION("""COMPUTED_VALUE"""),4.0)</f>
        <v>4</v>
      </c>
      <c r="O33" s="40">
        <f>IFERROR(__xludf.DUMMYFUNCTION("""COMPUTED_VALUE"""),1.0)</f>
        <v>1</v>
      </c>
      <c r="P33" s="40">
        <f>IFERROR(__xludf.DUMMYFUNCTION("""COMPUTED_VALUE"""),2.0)</f>
        <v>2</v>
      </c>
      <c r="Q33" s="48">
        <f>IFERROR(__xludf.DUMMYFUNCTION("""COMPUTED_VALUE"""),0.0)</f>
        <v>0</v>
      </c>
      <c r="R33" s="48">
        <f>IFERROR(__xludf.DUMMYFUNCTION("""COMPUTED_VALUE"""),262.0)</f>
        <v>262</v>
      </c>
      <c r="S33" s="39" t="str">
        <f>IFERROR(__xludf.DUMMYFUNCTION("""COMPUTED_VALUE""")," ")</f>
        <v> </v>
      </c>
      <c r="T33" s="40" t="str">
        <f>IFERROR(__xludf.DUMMYFUNCTION("""COMPUTED_VALUE"""),"Neiva")</f>
        <v>Neiva</v>
      </c>
      <c r="U33" s="39" t="str">
        <f>IFERROR(__xludf.DUMMYFUNCTION("""COMPUTED_VALUE"""),"4")</f>
        <v>4</v>
      </c>
      <c r="V33" s="40" t="str">
        <f>IFERROR(__xludf.DUMMYFUNCTION("""COMPUTED_VALUE"""),"Medianera")</f>
        <v>Medianera</v>
      </c>
      <c r="W33" s="46"/>
      <c r="X33" s="46">
        <f>IFERROR(__xludf.DUMMYFUNCTION("""COMPUTED_VALUE"""),1.0)</f>
        <v>1</v>
      </c>
      <c r="Y33" s="40" t="str">
        <f>IFERROR(__xludf.DUMMYFUNCTION("""COMPUTED_VALUE"""),"No tiene")</f>
        <v>No tiene</v>
      </c>
      <c r="Z33" s="42" t="str">
        <f>IFERROR(__xludf.DUMMYFUNCTION("""COMPUTED_VALUE"""),"No aplica")</f>
        <v>No aplica</v>
      </c>
      <c r="AA33" s="49" t="str">
        <f>IFERROR(__xludf.DUMMYFUNCTION("""COMPUTED_VALUE"""),"No aplica")</f>
        <v>No aplica</v>
      </c>
      <c r="AB33" s="66" t="str">
        <f>IFERROR(__xludf.DUMMYFUNCTION("""COMPUTED_VALUE"""),"https://photos.app.goo.gl/adSnzJ7EwRNpfcaZ9")</f>
        <v>https://photos.app.goo.gl/adSnzJ7EwRNpfcaZ9</v>
      </c>
      <c r="AC33" s="40"/>
      <c r="AD33" s="40"/>
      <c r="AE33" s="40"/>
      <c r="AF33" s="40" t="str">
        <f>IFERROR(__xludf.DUMMYFUNCTION("""COMPUTED_VALUE"""),"integral")</f>
        <v>integral</v>
      </c>
      <c r="AG33" s="40"/>
      <c r="AH33" s="40" t="str">
        <f>IFERROR(__xludf.DUMMYFUNCTION("""COMPUTED_VALUE"""),"Inventario")</f>
        <v>Inventario</v>
      </c>
      <c r="AI33" s="40"/>
      <c r="AJ33" s="40" t="str">
        <f>IFERROR(__xludf.DUMMYFUNCTION("""COMPUTED_VALUE"""),"F-Inventario Quirinal")</f>
        <v>F-Inventario Quirinal</v>
      </c>
      <c r="AK33" s="42" t="str">
        <f>IFERROR(__xludf.DUMMYFUNCTION("""COMPUTED_VALUE"""),"No aplica")</f>
        <v>No aplica</v>
      </c>
      <c r="AL33" s="40" t="str">
        <f>IFERROR(__xludf.DUMMYFUNCTION("""COMPUTED_VALUE"""),"TIENE FOTOS")</f>
        <v>TIENE FOTOS</v>
      </c>
      <c r="AM33" s="40">
        <f>IFERROR(__xludf.DUMMYFUNCTION("""COMPUTED_VALUE"""),3.104888552E9)</f>
        <v>3104888552</v>
      </c>
      <c r="AN33" s="40">
        <f>IFERROR(__xludf.DUMMYFUNCTION("""COMPUTED_VALUE"""),3.183955563E9)</f>
        <v>3183955563</v>
      </c>
      <c r="AO33" s="40"/>
      <c r="AP33" s="40" t="str">
        <f>IFERROR(__xludf.DUMMYFUNCTION("""COMPUTED_VALUE"""),"CALLE 21 No. 5A-58")</f>
        <v>CALLE 21 No. 5A-58</v>
      </c>
      <c r="AQ33" s="40"/>
      <c r="AR33" s="40"/>
      <c r="AS33" s="42">
        <f>IFERROR(__xludf.DUMMYFUNCTION("""COMPUTED_VALUE"""),0.0)</f>
        <v>0</v>
      </c>
      <c r="AT33" s="40">
        <f>IFERROR(__xludf.DUMMYFUNCTION("""COMPUTED_VALUE"""),0.0)</f>
        <v>0</v>
      </c>
      <c r="AU33" s="40">
        <f>IFERROR(__xludf.DUMMYFUNCTION("""COMPUTED_VALUE"""),0.0)</f>
        <v>0</v>
      </c>
      <c r="AV33" s="40">
        <f>IFERROR(__xludf.DUMMYFUNCTION("""COMPUTED_VALUE"""),0.0)</f>
        <v>0</v>
      </c>
      <c r="AW33" s="40" t="str">
        <f>IFERROR(__xludf.DUMMYFUNCTION("""COMPUTED_VALUE"""),"NO")</f>
        <v>NO</v>
      </c>
      <c r="AX33" s="40">
        <f>IFERROR(__xludf.DUMMYFUNCTION("""COMPUTED_VALUE"""),0.0)</f>
        <v>0</v>
      </c>
      <c r="AY33" s="40" t="str">
        <f>IFERROR(__xludf.DUMMYFUNCTION("""COMPUTED_VALUE"""),"P")</f>
        <v>P</v>
      </c>
      <c r="AZ33" s="40">
        <f>IFERROR(__xludf.DUMMYFUNCTION("""COMPUTED_VALUE"""),0.0)</f>
        <v>0</v>
      </c>
      <c r="BA33" s="40" t="str">
        <f>IFERROR(__xludf.DUMMYFUNCTION("""COMPUTED_VALUE"""),"X")</f>
        <v>X</v>
      </c>
      <c r="BB33" s="40">
        <f>IFERROR(__xludf.DUMMYFUNCTION("""COMPUTED_VALUE"""),0.0)</f>
        <v>0</v>
      </c>
      <c r="BC33" s="53"/>
      <c r="BD33" s="48"/>
      <c r="BE33" s="48"/>
      <c r="BF33" s="48" t="str">
        <f>IFERROR(__xludf.DUMMYFUNCTION("""COMPUTED_VALUE"""),"https://lh3.googleusercontent.com/pw/AP1GczOW2Xvpjl5dyIJrdmcB8KfB8c1V8tIgOUm0IDd6e7mGYogFZpazJ0Y3waCzQZ76lqttoq4qTgbS8xuL2GL1gcXk1gTwfegd2l0LQh9T6q15mr3anQFC=w1200|https://lh3.googleusercontent.com/pw/AP1GczMq9AzIDcaxJVeG9swlDRnH1181fF_CsAid9IaH4Ly5HslxN8"&amp;"RNilpbmkzlR1qbMYq7CoadKBYfeVjRu9eSFWvbVHJcKOSof2HaVNf1ORkoYAM_M26D=w1200|https://lh3.googleusercontent.com/pw/AP1GczMbul4oSdqDv2akjBlhZpqlTqIrOoNQLGaho2PstZnphJ5fpdhLQ-ztQn_Yzkz3PS4pHi_4jVl5FzzRfBw61DJxcXN9sO8N4A5vI6oQhIDuAwP84H6L=w1200|https://lh3.google"&amp;"usercontent.com/pw/AP1GczNYwrRk5zkxvzFFFkPAOW2Vs50JSGLEiDaaKF8tuCF7O7kBG_TsAoBOAwlFGRF-FJi_7Y6Ze7ykopHZq5W3pvWhWS1C4RK2q4jd7xEenTl15qqLtrMF=w1200|https://lh3.googleusercontent.com/pw/AP1GczORJ-QY6qG-5zVzq9DGDblFVtyr15o280XgjuA6uD1_V_H6-5sbvqkRAQbA_w67CdPy"&amp;"4LXoV_K9Hr2IyTX8ZqZ7T_n91NCxsH1JcqBVyvmn9bgm1NP6=w1200|https://lh3.googleusercontent.com/pw/AP1GczPeLSEaUvbAiU5NIo9WIDNvV23muGNB49zfk9_sfYijWWQ6t6hB2-dq_TrustIzLQK1Sfoxbm_XVu7fc9xRs05KtLF7uCuAV5yN1_hrIRelhDFk45k1=w1200|https://lh3.googleusercontent.com/pw"&amp;"/AP1GczOJbkHGAQlPr0ySPiYf5GQrl7-TyJKKVrw5Y_2D7XE6ZsK-Sm0X3SWFYzlXmiRbW6GRiVTOPqP6rYWaQzmIPfoGHcr-cgDAFZ5l4LXc0jVXKVsTENUf=w1200")</f>
        <v>https://lh3.googleusercontent.com/pw/AP1GczOW2Xvpjl5dyIJrdmcB8KfB8c1V8tIgOUm0IDd6e7mGYogFZpazJ0Y3waCzQZ76lqttoq4qTgbS8xuL2GL1gcXk1gTwfegd2l0LQh9T6q15mr3anQFC=w1200|https://lh3.googleusercontent.com/pw/AP1GczMq9AzIDcaxJVeG9swlDRnH1181fF_CsAid9IaH4Ly5HslxN8RNilpbmkzlR1qbMYq7CoadKBYfeVjRu9eSFWvbVHJcKOSof2HaVNf1ORkoYAM_M26D=w1200|https://lh3.googleusercontent.com/pw/AP1GczMbul4oSdqDv2akjBlhZpqlTqIrOoNQLGaho2PstZnphJ5fpdhLQ-ztQn_Yzkz3PS4pHi_4jVl5FzzRfBw61DJxcXN9sO8N4A5vI6oQhIDuAwP84H6L=w1200|https://lh3.googleusercontent.com/pw/AP1GczNYwrRk5zkxvzFFFkPAOW2Vs50JSGLEiDaaKF8tuCF7O7kBG_TsAoBOAwlFGRF-FJi_7Y6Ze7ykopHZq5W3pvWhWS1C4RK2q4jd7xEenTl15qqLtrMF=w1200|https://lh3.googleusercontent.com/pw/AP1GczORJ-QY6qG-5zVzq9DGDblFVtyr15o280XgjuA6uD1_V_H6-5sbvqkRAQbA_w67CdPy4LXoV_K9Hr2IyTX8ZqZ7T_n91NCxsH1JcqBVyvmn9bgm1NP6=w1200|https://lh3.googleusercontent.com/pw/AP1GczPeLSEaUvbAiU5NIo9WIDNvV23muGNB49zfk9_sfYijWWQ6t6hB2-dq_TrustIzLQK1Sfoxbm_XVu7fc9xRs05KtLF7uCuAV5yN1_hrIRelhDFk45k1=w1200|https://lh3.googleusercontent.com/pw/AP1GczOJbkHGAQlPr0ySPiYf5GQrl7-TyJKKVrw5Y_2D7XE6ZsK-Sm0X3SWFYzlXmiRbW6GRiVTOPqP6rYWaQzmIPfoGHcr-cgDAFZ5l4LXc0jVXKVsTENUf=w1200</v>
      </c>
    </row>
    <row r="34">
      <c r="A34" s="39" t="str">
        <f>IFERROR(__xludf.DUMMYFUNCTION("""COMPUTED_VALUE"""),"6847")</f>
        <v>6847</v>
      </c>
      <c r="B34" s="40" t="str">
        <f>IFERROR(__xludf.DUMMYFUNCTION("""COMPUTED_VALUE"""),"Casa rentable en barrio Quirinal")</f>
        <v>Casa rentable en barrio Quirinal</v>
      </c>
      <c r="C34" s="40" t="str">
        <f>IFERROR(__xludf.DUMMYFUNCTION("""COMPUTED_VALUE"""),"Casa rentable")</f>
        <v>Casa rentable</v>
      </c>
      <c r="D34" s="40" t="str">
        <f>IFERROR(__xludf.DUMMYFUNCTION("""COMPUTED_VALUE"""),"Quirinal")</f>
        <v>Quirinal</v>
      </c>
      <c r="E34" s="40"/>
      <c r="F34" s="42">
        <f>IFERROR(__xludf.DUMMYFUNCTION("""COMPUTED_VALUE"""),7.5E8)</f>
        <v>750000000</v>
      </c>
      <c r="G34" s="40" t="str">
        <f>IFERROR(__xludf.DUMMYFUNCTION("""COMPUTED_VALUE"""),"$500'000.000 a $1.000'000.000")</f>
        <v>$500'000.000 a $1.000'000.000</v>
      </c>
      <c r="H34" s="40"/>
      <c r="I34" s="40"/>
      <c r="J34" s="40" t="str">
        <f>IFERROR(__xludf.DUMMYFUNCTION("""COMPUTED_VALUE"""),"Centro")</f>
        <v>Centro</v>
      </c>
      <c r="K34" s="39" t="str">
        <f>IFERROR(__xludf.DUMMYFUNCTION("""COMPUTED_VALUE"""),"3")</f>
        <v>3</v>
      </c>
      <c r="L34" s="40">
        <f>IFERROR(__xludf.DUMMYFUNCTION("""COMPUTED_VALUE"""),23.0)</f>
        <v>23</v>
      </c>
      <c r="M34" s="40"/>
      <c r="N34" s="40">
        <f>IFERROR(__xludf.DUMMYFUNCTION("""COMPUTED_VALUE"""),8.0)</f>
        <v>8</v>
      </c>
      <c r="O34" s="40">
        <f>IFERROR(__xludf.DUMMYFUNCTION("""COMPUTED_VALUE"""),0.0)</f>
        <v>0</v>
      </c>
      <c r="P34" s="40">
        <f>IFERROR(__xludf.DUMMYFUNCTION("""COMPUTED_VALUE"""),2.0)</f>
        <v>2</v>
      </c>
      <c r="Q34" s="48">
        <f>IFERROR(__xludf.DUMMYFUNCTION("""COMPUTED_VALUE"""),285.0)</f>
        <v>285</v>
      </c>
      <c r="R34" s="48">
        <f>IFERROR(__xludf.DUMMYFUNCTION("""COMPUTED_VALUE"""),163.0)</f>
        <v>163</v>
      </c>
      <c r="S34" s="39" t="str">
        <f>IFERROR(__xludf.DUMMYFUNCTION("""COMPUTED_VALUE""")," ")</f>
        <v> </v>
      </c>
      <c r="T34" s="40" t="str">
        <f>IFERROR(__xludf.DUMMYFUNCTION("""COMPUTED_VALUE"""),"Neiva")</f>
        <v>Neiva</v>
      </c>
      <c r="U34" s="39" t="str">
        <f>IFERROR(__xludf.DUMMYFUNCTION("""COMPUTED_VALUE"""),"Comercial")</f>
        <v>Comercial</v>
      </c>
      <c r="V34" s="40" t="str">
        <f>IFERROR(__xludf.DUMMYFUNCTION("""COMPUTED_VALUE"""),"Medianera")</f>
        <v>Medianera</v>
      </c>
      <c r="W34" s="46"/>
      <c r="X34" s="46">
        <f>IFERROR(__xludf.DUMMYFUNCTION("""COMPUTED_VALUE"""),6.0)</f>
        <v>6</v>
      </c>
      <c r="Y34" s="40" t="str">
        <f>IFERROR(__xludf.DUMMYFUNCTION("""COMPUTED_VALUE"""),"No tiene")</f>
        <v>No tiene</v>
      </c>
      <c r="Z34" s="42" t="str">
        <f>IFERROR(__xludf.DUMMYFUNCTION("""COMPUTED_VALUE"""),"No aplica")</f>
        <v>No aplica</v>
      </c>
      <c r="AA34" s="49"/>
      <c r="AB34" s="105" t="str">
        <f>IFERROR(__xludf.DUMMYFUNCTION("""COMPUTED_VALUE"""),"https://photos.app.goo.gl/RYRFmN4gLJK1sNKD6")</f>
        <v>https://photos.app.goo.gl/RYRFmN4gLJK1sNKD6</v>
      </c>
      <c r="AC34" s="40"/>
      <c r="AD34" s="40"/>
      <c r="AE34" s="40"/>
      <c r="AF34" s="40" t="str">
        <f>IFERROR(__xludf.DUMMYFUNCTION("""COMPUTED_VALUE"""),"cafetin")</f>
        <v>cafetin</v>
      </c>
      <c r="AG34" s="40"/>
      <c r="AH34" s="40" t="str">
        <f>IFERROR(__xludf.DUMMYFUNCTION("""COMPUTED_VALUE"""),"Inventario")</f>
        <v>Inventario</v>
      </c>
      <c r="AI34" s="40"/>
      <c r="AJ34" s="40" t="str">
        <f>IFERROR(__xludf.DUMMYFUNCTION("""COMPUTED_VALUE"""),"F-Inventario Quirinal")</f>
        <v>F-Inventario Quirinal</v>
      </c>
      <c r="AK34" s="42" t="str">
        <f>IFERROR(__xludf.DUMMYFUNCTION("""COMPUTED_VALUE"""),"No aplica")</f>
        <v>No aplica</v>
      </c>
      <c r="AL34" s="40" t="str">
        <f>IFERROR(__xludf.DUMMYFUNCTION("""COMPUTED_VALUE"""),"TIENE FOTOS")</f>
        <v>TIENE FOTOS</v>
      </c>
      <c r="AM34" s="40">
        <f>IFERROR(__xludf.DUMMYFUNCTION("""COMPUTED_VALUE"""),3.104888552E9)</f>
        <v>3104888552</v>
      </c>
      <c r="AN34" s="40">
        <f>IFERROR(__xludf.DUMMYFUNCTION("""COMPUTED_VALUE"""),3.183955563E9)</f>
        <v>3183955563</v>
      </c>
      <c r="AO34" s="40"/>
      <c r="AP34" s="40" t="str">
        <f>IFERROR(__xludf.DUMMYFUNCTION("""COMPUTED_VALUE"""),"CALLE 17 A No. 5 A - 61")</f>
        <v>CALLE 17 A No. 5 A - 61</v>
      </c>
      <c r="AQ34" s="40"/>
      <c r="AR34" s="40"/>
      <c r="AS34" s="42">
        <f>IFERROR(__xludf.DUMMYFUNCTION("""COMPUTED_VALUE"""),0.0)</f>
        <v>0</v>
      </c>
      <c r="AT34" s="40">
        <f>IFERROR(__xludf.DUMMYFUNCTION("""COMPUTED_VALUE"""),0.0)</f>
        <v>0</v>
      </c>
      <c r="AU34" s="40">
        <f>IFERROR(__xludf.DUMMYFUNCTION("""COMPUTED_VALUE"""),0.0)</f>
        <v>0</v>
      </c>
      <c r="AV34" s="40">
        <f>IFERROR(__xludf.DUMMYFUNCTION("""COMPUTED_VALUE"""),0.0)</f>
        <v>0</v>
      </c>
      <c r="AW34" s="40" t="str">
        <f>IFERROR(__xludf.DUMMYFUNCTION("""COMPUTED_VALUE"""),"NO")</f>
        <v>NO</v>
      </c>
      <c r="AX34" s="40">
        <f>IFERROR(__xludf.DUMMYFUNCTION("""COMPUTED_VALUE"""),0.0)</f>
        <v>0</v>
      </c>
      <c r="AY34" s="40">
        <f>IFERROR(__xludf.DUMMYFUNCTION("""COMPUTED_VALUE"""),0.0)</f>
        <v>0</v>
      </c>
      <c r="AZ34" s="40">
        <f>IFERROR(__xludf.DUMMYFUNCTION("""COMPUTED_VALUE"""),0.0)</f>
        <v>0</v>
      </c>
      <c r="BA34" s="40" t="str">
        <f>IFERROR(__xludf.DUMMYFUNCTION("""COMPUTED_VALUE"""),"X")</f>
        <v>X</v>
      </c>
      <c r="BB34" s="40">
        <f>IFERROR(__xludf.DUMMYFUNCTION("""COMPUTED_VALUE"""),0.0)</f>
        <v>0</v>
      </c>
      <c r="BC34" s="53" t="str">
        <f>IFERROR(__xludf.DUMMYFUNCTION("""COMPUTED_VALUE"""),"15 - SINDY MARCELA")</f>
        <v>15 - SINDY MARCELA</v>
      </c>
      <c r="BD34" s="48"/>
      <c r="BE34" s="48"/>
      <c r="BF34" s="48" t="str">
        <f>IFERROR(__xludf.DUMMYFUNCTION("""COMPUTED_VALUE"""),"https://lh3.googleusercontent.com/pw/AP1GczPJZCM6uwNnWEEKPDY1afm_HeCNV7ifwMirWDfHl1_h_41dMBWlINnDRxXyMtG4d0-N4jEzL7_4eCZkfAdejN6zyFBQxbtsqim_SGsXDlzWBuWkFUDI=w1200|https://lh3.googleusercontent.com/pw/AP1GczNtzwvQBmbr_3py-nUrhcj-G02WH-uILXIoF2LUQr52sxpeQc"&amp;"eG-JRlytLhukM5lbJnakaaDfllZphyRQzR3njm4O3OF_94PmYqV0nSiO4bLaL3l2iC=w1200|https://lh3.googleusercontent.com/pw/AP1GczPMSVHan-jvbQINN0pEKqt0ao6cHkHWK7ZfWmb9SfaSYXTeo9RlQb-k7pAQmoeYppblnBk6fyiSCoomtSJ0Jf0zVhK7WindlUM74gF07mWLfuoUDEQu=w1200|https://lh3.google"&amp;"usercontent.com/pw/AP1GczOiHXR7_4cfrwI8NXqKAHe9mei2KzqDiKsjheXa6E0EYU867RioacMrP2JSTwcv8QTZvD8PlEyqIuZyA3OEL838vDZL24ij2gVd4oqotB7PXl1iofwN=w1200|https://lh3.googleusercontent.com/pw/AP1GczPXpWMawuREohs2sc-Mc9Tk_rP6cwi7gWoC0RiIcaJJbxS18_y2fzEnPgw89rLXb2yV"&amp;"y2C5KBbu95MmKXhfWYucNZ1rFsufFOfdoK-kl_RB9DKX0wEY=w1200|https://lh3.googleusercontent.com/pw/AP1GczOPfYb_P_3X9NwEKZvTl4k1Uskr-Lxa6F_j63zK-LKUlffAUN0tSjLeKgCRuRc6XOzaKm4839DhtqwqcvrT7aflxpxQuz5CbrYZ2EffRNgvqyu_p9j_=w1200")</f>
        <v>https://lh3.googleusercontent.com/pw/AP1GczPJZCM6uwNnWEEKPDY1afm_HeCNV7ifwMirWDfHl1_h_41dMBWlINnDRxXyMtG4d0-N4jEzL7_4eCZkfAdejN6zyFBQxbtsqim_SGsXDlzWBuWkFUDI=w1200|https://lh3.googleusercontent.com/pw/AP1GczNtzwvQBmbr_3py-nUrhcj-G02WH-uILXIoF2LUQr52sxpeQceG-JRlytLhukM5lbJnakaaDfllZphyRQzR3njm4O3OF_94PmYqV0nSiO4bLaL3l2iC=w1200|https://lh3.googleusercontent.com/pw/AP1GczPMSVHan-jvbQINN0pEKqt0ao6cHkHWK7ZfWmb9SfaSYXTeo9RlQb-k7pAQmoeYppblnBk6fyiSCoomtSJ0Jf0zVhK7WindlUM74gF07mWLfuoUDEQu=w1200|https://lh3.googleusercontent.com/pw/AP1GczOiHXR7_4cfrwI8NXqKAHe9mei2KzqDiKsjheXa6E0EYU867RioacMrP2JSTwcv8QTZvD8PlEyqIuZyA3OEL838vDZL24ij2gVd4oqotB7PXl1iofwN=w1200|https://lh3.googleusercontent.com/pw/AP1GczPXpWMawuREohs2sc-Mc9Tk_rP6cwi7gWoC0RiIcaJJbxS18_y2fzEnPgw89rLXb2yVy2C5KBbu95MmKXhfWYucNZ1rFsufFOfdoK-kl_RB9DKX0wEY=w1200|https://lh3.googleusercontent.com/pw/AP1GczOPfYb_P_3X9NwEKZvTl4k1Uskr-Lxa6F_j63zK-LKUlffAUN0tSjLeKgCRuRc6XOzaKm4839DhtqwqcvrT7aflxpxQuz5CbrYZ2EffRNgvqyu_p9j_=w1200</v>
      </c>
    </row>
    <row r="35">
      <c r="A35" s="39" t="str">
        <f>IFERROR(__xludf.DUMMYFUNCTION("""COMPUTED_VALUE"""),"6883")</f>
        <v>6883</v>
      </c>
      <c r="B35" s="40" t="str">
        <f>IFERROR(__xludf.DUMMYFUNCTION("""COMPUTED_VALUE"""),"Casa con un local, un apartamento, tres apartaestudios y un semi-sotano en barrio Santa Librada")</f>
        <v>Casa con un local, un apartamento, tres apartaestudios y un semi-sotano en barrio Santa Librada</v>
      </c>
      <c r="C35" s="40" t="str">
        <f>IFERROR(__xludf.DUMMYFUNCTION("""COMPUTED_VALUE"""),"Casa rentable")</f>
        <v>Casa rentable</v>
      </c>
      <c r="D35" s="40" t="str">
        <f>IFERROR(__xludf.DUMMYFUNCTION("""COMPUTED_VALUE"""),"Santa Librada")</f>
        <v>Santa Librada</v>
      </c>
      <c r="E35" s="40"/>
      <c r="F35" s="42">
        <f>IFERROR(__xludf.DUMMYFUNCTION("""COMPUTED_VALUE"""),6.0E8)</f>
        <v>600000000</v>
      </c>
      <c r="G35" s="40" t="str">
        <f>IFERROR(__xludf.DUMMYFUNCTION("""COMPUTED_VALUE"""),"$500'000.000 a $1.000'000.000")</f>
        <v>$500'000.000 a $1.000'000.000</v>
      </c>
      <c r="H35" s="40"/>
      <c r="I35" s="40"/>
      <c r="J35" s="40" t="str">
        <f>IFERROR(__xludf.DUMMYFUNCTION("""COMPUTED_VALUE"""),"Centro")</f>
        <v>Centro</v>
      </c>
      <c r="K35" s="39" t="str">
        <f>IFERROR(__xludf.DUMMYFUNCTION("""COMPUTED_VALUE"""),"3")</f>
        <v>3</v>
      </c>
      <c r="L35" s="40">
        <f>IFERROR(__xludf.DUMMYFUNCTION("""COMPUTED_VALUE"""),7.0)</f>
        <v>7</v>
      </c>
      <c r="M35" s="40"/>
      <c r="N35" s="40">
        <f>IFERROR(__xludf.DUMMYFUNCTION("""COMPUTED_VALUE"""),7.0)</f>
        <v>7</v>
      </c>
      <c r="O35" s="40">
        <f>IFERROR(__xludf.DUMMYFUNCTION("""COMPUTED_VALUE"""),0.0)</f>
        <v>0</v>
      </c>
      <c r="P35" s="40">
        <f>IFERROR(__xludf.DUMMYFUNCTION("""COMPUTED_VALUE"""),2.0)</f>
        <v>2</v>
      </c>
      <c r="Q35" s="48">
        <f>IFERROR(__xludf.DUMMYFUNCTION("""COMPUTED_VALUE"""),585.0)</f>
        <v>585</v>
      </c>
      <c r="R35" s="48">
        <f>IFERROR(__xludf.DUMMYFUNCTION("""COMPUTED_VALUE"""),315.0)</f>
        <v>315</v>
      </c>
      <c r="S35" s="39" t="str">
        <f>IFERROR(__xludf.DUMMYFUNCTION("""COMPUTED_VALUE"""),"Rentabilidad $3,500,000")</f>
        <v>Rentabilidad $3,500,000</v>
      </c>
      <c r="T35" s="40" t="str">
        <f>IFERROR(__xludf.DUMMYFUNCTION("""COMPUTED_VALUE"""),"Neiva")</f>
        <v>Neiva</v>
      </c>
      <c r="U35" s="39" t="str">
        <f>IFERROR(__xludf.DUMMYFUNCTION("""COMPUTED_VALUE"""),"2")</f>
        <v>2</v>
      </c>
      <c r="V35" s="40" t="str">
        <f>IFERROR(__xludf.DUMMYFUNCTION("""COMPUTED_VALUE"""),"Medianera")</f>
        <v>Medianera</v>
      </c>
      <c r="W35" s="46"/>
      <c r="X35" s="46">
        <f>IFERROR(__xludf.DUMMYFUNCTION("""COMPUTED_VALUE"""),4.0)</f>
        <v>4</v>
      </c>
      <c r="Y35" s="40" t="str">
        <f>IFERROR(__xludf.DUMMYFUNCTION("""COMPUTED_VALUE"""),"No tiene")</f>
        <v>No tiene</v>
      </c>
      <c r="Z35" s="42" t="str">
        <f>IFERROR(__xludf.DUMMYFUNCTION("""COMPUTED_VALUE"""),"No aplica")</f>
        <v>No aplica</v>
      </c>
      <c r="AA35" s="49"/>
      <c r="AB35" s="66" t="str">
        <f>IFERROR(__xludf.DUMMYFUNCTION("""COMPUTED_VALUE"""),"https://photos.app.goo.gl/DptS89CmnWEW7h938")</f>
        <v>https://photos.app.goo.gl/DptS89CmnWEW7h938</v>
      </c>
      <c r="AC35" s="40"/>
      <c r="AD35" s="40"/>
      <c r="AE35" s="40"/>
      <c r="AF35" s="40" t="str">
        <f>IFERROR(__xludf.DUMMYFUNCTION("""COMPUTED_VALUE"""),"semi-indust.")</f>
        <v>semi-indust.</v>
      </c>
      <c r="AG35" s="40"/>
      <c r="AH35" s="40" t="str">
        <f>IFERROR(__xludf.DUMMYFUNCTION("""COMPUTED_VALUE"""),"Inventario")</f>
        <v>Inventario</v>
      </c>
      <c r="AI35" s="40"/>
      <c r="AJ35" s="40" t="str">
        <f>IFERROR(__xludf.DUMMYFUNCTION("""COMPUTED_VALUE"""),"F-Inventario Santa Librada")</f>
        <v>F-Inventario Santa Librada</v>
      </c>
      <c r="AK35" s="42" t="str">
        <f>IFERROR(__xludf.DUMMYFUNCTION("""COMPUTED_VALUE"""),"No aplica")</f>
        <v>No aplica</v>
      </c>
      <c r="AL35" s="40" t="str">
        <f>IFERROR(__xludf.DUMMYFUNCTION("""COMPUTED_VALUE"""),"TIENE FOTOS")</f>
        <v>TIENE FOTOS</v>
      </c>
      <c r="AM35" s="40">
        <f>IFERROR(__xludf.DUMMYFUNCTION("""COMPUTED_VALUE"""),3.104888552E9)</f>
        <v>3104888552</v>
      </c>
      <c r="AN35" s="40">
        <f>IFERROR(__xludf.DUMMYFUNCTION("""COMPUTED_VALUE"""),3.183955563E9)</f>
        <v>3183955563</v>
      </c>
      <c r="AO35" s="40"/>
      <c r="AP35" s="40" t="str">
        <f>IFERROR(__xludf.DUMMYFUNCTION("""COMPUTED_VALUE"""),"CARRERA 12 No. 14 - 56")</f>
        <v>CARRERA 12 No. 14 - 56</v>
      </c>
      <c r="AQ35" s="40"/>
      <c r="AR35" s="40"/>
      <c r="AS35" s="42">
        <f>IFERROR(__xludf.DUMMYFUNCTION("""COMPUTED_VALUE"""),3500000.0)</f>
        <v>3500000</v>
      </c>
      <c r="AT35" s="40">
        <f>IFERROR(__xludf.DUMMYFUNCTION("""COMPUTED_VALUE"""),0.0)</f>
        <v>0</v>
      </c>
      <c r="AU35" s="40">
        <f>IFERROR(__xludf.DUMMYFUNCTION("""COMPUTED_VALUE"""),0.0)</f>
        <v>0</v>
      </c>
      <c r="AV35" s="40">
        <f>IFERROR(__xludf.DUMMYFUNCTION("""COMPUTED_VALUE"""),0.0)</f>
        <v>0</v>
      </c>
      <c r="AW35" s="40" t="str">
        <f>IFERROR(__xludf.DUMMYFUNCTION("""COMPUTED_VALUE"""),"NO")</f>
        <v>NO</v>
      </c>
      <c r="AX35" s="40">
        <f>IFERROR(__xludf.DUMMYFUNCTION("""COMPUTED_VALUE"""),0.0)</f>
        <v>0</v>
      </c>
      <c r="AY35" s="40">
        <f>IFERROR(__xludf.DUMMYFUNCTION("""COMPUTED_VALUE"""),0.0)</f>
        <v>0</v>
      </c>
      <c r="AZ35" s="40">
        <f>IFERROR(__xludf.DUMMYFUNCTION("""COMPUTED_VALUE"""),0.0)</f>
        <v>0</v>
      </c>
      <c r="BA35" s="40" t="str">
        <f>IFERROR(__xludf.DUMMYFUNCTION("""COMPUTED_VALUE"""),"X")</f>
        <v>X</v>
      </c>
      <c r="BB35" s="40">
        <f>IFERROR(__xludf.DUMMYFUNCTION("""COMPUTED_VALUE"""),0.0)</f>
        <v>0</v>
      </c>
      <c r="BC35" s="53"/>
      <c r="BD35" s="48"/>
      <c r="BE35" s="48"/>
      <c r="BF35" s="48" t="str">
        <f>IFERROR(__xludf.DUMMYFUNCTION("""COMPUTED_VALUE"""),"https://lh3.googleusercontent.com/pw/AP1GczMAk39zNBVE5JJwssBmriRt0z9odzJjFfAocjzH8qlv5qujphAOBc-pF8txunyhhWH5XP4FIEDqNWKK_o1DMb6hHUP_uO81K6vXvB_LiTkMRa052tT9=w1200|https://lh3.googleusercontent.com/pw/AP1GczOY19i1d-pG01vQn6dvJ2rbqkMMkDDVX7p_UcQxythPuNmU3p"&amp;"iMNjXL7MEhxDTIWwenjdyNioErQxYlhGzdH8mh9DaweyM0AMoI7v2IUb2Q7jO8LCSY=w1200|https://lh3.googleusercontent.com/pw/AP1GczOYCPOl-oBSjt2iyTQedEumIHeUILDZMbM_XPOBPARDYHA0vLiMweKt18JJXFf6aBHwNFR2OPGCSYk0lRwJDV5k0_tRybAS1kl6H9h-BYYPG3pPdH1_=w1200|https://lh3.google"&amp;"usercontent.com/pw/AP1GczMe3eCJlX3IoMzCUr4Thsf_Agz8OFEIwZUQh4F6rN8Ci7RQVvsskc_eoK-7IxAxygOPrHBSVrqoW9_7iq14bjIkQqy6QCLCNPX1ZcG0Z7rHKeGVuMAK=w1200|https://lh3.googleusercontent.com/pw/AP1GczMhb2qNXYFTNoxjbHgde3fWpktcSadn9fWts7P67dR5-RtkcZoWxmWbSVsgPwSSNyYy"&amp;"X6zeTAXmx_TcpACKGfA_jzgRc5lhOryhv8C6VEJ8RIFSkWmc=w1200|https://lh3.googleusercontent.com/pw/AP1GczOJ_pYVsR13_LmLc0OcskyQoEli-uuV-l7Xj7PRe6H-rJU11RAvG1bU7bdYmuYFGFvUtpKJ_zzgl38QhZ4nkxuOyEswSjwa0YZIu_6MxfwzH3ijHkmc=w1200|https://lh3.googleusercontent.com/pw"&amp;"/AP1GczN6cx9NfXQwi1V8oaVmwbWnHmTWrwUfbhdZTwjZAnZSIbmXRHaVsGmM2nxMMW3Vi9mGpJQIJ250aJb6F_p338hE1XtUnbVrkkQR9FAcPcWt3xOE7FuE=w1200|https://lh3.googleusercontent.com/pw/AP1GczN2pWNSE04TMhcha8sKGL2LlfC6xnMjtpxNONTwbSeVTlhRK0TmvxnQtVH2fEFmY_FB5wlA-OGFJ67N_XsGjT"&amp;"4iH1ldQF2EB7TIT3zB2nhOiDAAo_P-=w1200|https://lh3.googleusercontent.com/pw/AP1GczMuYzJ5JOxCwvRwnHIhyXpokUO7BoDOqafctN0E_drguaXEqYMf5rze8t4aqFF-E8JBri8OCZS9YO08cBWdgAq7HTr3Nka4pyRAtvSyQ7PaeXPvQAZG=w1200|https://lh3.googleusercontent.com/pw/AP1GczOmAr5SlcXAp"&amp;"AlW1cLuq5P9QinSmrZKPKxDrXg-bOYsG5rYhrLPP6sb39OTzA0PyvAeagR-pTFzBh86o9_8CyWa9qkHMjzwjik_1Ws3__O4q3zYM83c=w1200|https://lh3.googleusercontent.com/pw/AP1GczOM-55HuYyakzPRBbYgryrCcvNGAsXmibvVWBidV_4FMbzGXjT4riAyePrdsFewxgxLtPezoxQFcREeuErRfbK1Q75U5DpdnaHd5X7r"&amp;"-2GUiuLGGjQ9=w1200|https://lh3.googleusercontent.com/pw/AP1GczOdpy0dkzBORAs4e9EAHMJOmeatRfmEr7Q8aSZ9RURH4YfQqQNGbyR0vAFMFxBnuHVkMbLfme0xCpPrQ1Mm9NQSvPueQAVd7bFSipWgDbMZbnirS-_a=w1200|https://lh3.googleusercontent.com/pw/AP1GczN-pgx75PhgrqCjESMwAn4xT3wRmv7"&amp;"OzY05v3ED0W2iI3qGK7ZYdLEp1UueTnaOxXnO_7cSquuDcRsXTnCvIkzQQDnR5Mcdoso5aCHP6Kc2Eb9TOsUQ=w1200")</f>
        <v>https://lh3.googleusercontent.com/pw/AP1GczMAk39zNBVE5JJwssBmriRt0z9odzJjFfAocjzH8qlv5qujphAOBc-pF8txunyhhWH5XP4FIEDqNWKK_o1DMb6hHUP_uO81K6vXvB_LiTkMRa052tT9=w1200|https://lh3.googleusercontent.com/pw/AP1GczOY19i1d-pG01vQn6dvJ2rbqkMMkDDVX7p_UcQxythPuNmU3piMNjXL7MEhxDTIWwenjdyNioErQxYlhGzdH8mh9DaweyM0AMoI7v2IUb2Q7jO8LCSY=w1200|https://lh3.googleusercontent.com/pw/AP1GczOYCPOl-oBSjt2iyTQedEumIHeUILDZMbM_XPOBPARDYHA0vLiMweKt18JJXFf6aBHwNFR2OPGCSYk0lRwJDV5k0_tRybAS1kl6H9h-BYYPG3pPdH1_=w1200|https://lh3.googleusercontent.com/pw/AP1GczMe3eCJlX3IoMzCUr4Thsf_Agz8OFEIwZUQh4F6rN8Ci7RQVvsskc_eoK-7IxAxygOPrHBSVrqoW9_7iq14bjIkQqy6QCLCNPX1ZcG0Z7rHKeGVuMAK=w1200|https://lh3.googleusercontent.com/pw/AP1GczMhb2qNXYFTNoxjbHgde3fWpktcSadn9fWts7P67dR5-RtkcZoWxmWbSVsgPwSSNyYyX6zeTAXmx_TcpACKGfA_jzgRc5lhOryhv8C6VEJ8RIFSkWmc=w1200|https://lh3.googleusercontent.com/pw/AP1GczOJ_pYVsR13_LmLc0OcskyQoEli-uuV-l7Xj7PRe6H-rJU11RAvG1bU7bdYmuYFGFvUtpKJ_zzgl38QhZ4nkxuOyEswSjwa0YZIu_6MxfwzH3ijHkmc=w1200|https://lh3.googleusercontent.com/pw/AP1GczN6cx9NfXQwi1V8oaVmwbWnHmTWrwUfbhdZTwjZAnZSIbmXRHaVsGmM2nxMMW3Vi9mGpJQIJ250aJb6F_p338hE1XtUnbVrkkQR9FAcPcWt3xOE7FuE=w1200|https://lh3.googleusercontent.com/pw/AP1GczN2pWNSE04TMhcha8sKGL2LlfC6xnMjtpxNONTwbSeVTlhRK0TmvxnQtVH2fEFmY_FB5wlA-OGFJ67N_XsGjT4iH1ldQF2EB7TIT3zB2nhOiDAAo_P-=w1200|https://lh3.googleusercontent.com/pw/AP1GczMuYzJ5JOxCwvRwnHIhyXpokUO7BoDOqafctN0E_drguaXEqYMf5rze8t4aqFF-E8JBri8OCZS9YO08cBWdgAq7HTr3Nka4pyRAtvSyQ7PaeXPvQAZG=w1200|https://lh3.googleusercontent.com/pw/AP1GczOmAr5SlcXApAlW1cLuq5P9QinSmrZKPKxDrXg-bOYsG5rYhrLPP6sb39OTzA0PyvAeagR-pTFzBh86o9_8CyWa9qkHMjzwjik_1Ws3__O4q3zYM83c=w1200|https://lh3.googleusercontent.com/pw/AP1GczOM-55HuYyakzPRBbYgryrCcvNGAsXmibvVWBidV_4FMbzGXjT4riAyePrdsFewxgxLtPezoxQFcREeuErRfbK1Q75U5DpdnaHd5X7r-2GUiuLGGjQ9=w1200|https://lh3.googleusercontent.com/pw/AP1GczOdpy0dkzBORAs4e9EAHMJOmeatRfmEr7Q8aSZ9RURH4YfQqQNGbyR0vAFMFxBnuHVkMbLfme0xCpPrQ1Mm9NQSvPueQAVd7bFSipWgDbMZbnirS-_a=w1200|https://lh3.googleusercontent.com/pw/AP1GczN-pgx75PhgrqCjESMwAn4xT3wRmv7OzY05v3ED0W2iI3qGK7ZYdLEp1UueTnaOxXnO_7cSquuDcRsXTnCvIkzQQDnR5Mcdoso5aCHP6Kc2Eb9TOsUQ=w1200</v>
      </c>
    </row>
    <row r="36">
      <c r="A36" s="39" t="str">
        <f>IFERROR(__xludf.DUMMYFUNCTION("""COMPUTED_VALUE"""),"7201")</f>
        <v>7201</v>
      </c>
      <c r="B36" s="40" t="str">
        <f>IFERROR(__xludf.DUMMYFUNCTION("""COMPUTED_VALUE"""),"Lote en barrio Sevilla")</f>
        <v>Lote en barrio Sevilla</v>
      </c>
      <c r="C36" s="40" t="str">
        <f>IFERROR(__xludf.DUMMYFUNCTION("""COMPUTED_VALUE"""),"Lote")</f>
        <v>Lote</v>
      </c>
      <c r="D36" s="40" t="str">
        <f>IFERROR(__xludf.DUMMYFUNCTION("""COMPUTED_VALUE"""),"Sevilla")</f>
        <v>Sevilla</v>
      </c>
      <c r="E36" s="40"/>
      <c r="F36" s="42">
        <f>IFERROR(__xludf.DUMMYFUNCTION("""COMPUTED_VALUE"""),1.5E9)</f>
        <v>1500000000</v>
      </c>
      <c r="G36" s="40" t="str">
        <f>IFERROR(__xludf.DUMMYFUNCTION("""COMPUTED_VALUE"""),"Más de $1.000'000.000")</f>
        <v>Más de $1.000'000.000</v>
      </c>
      <c r="H36" s="40"/>
      <c r="I36" s="40"/>
      <c r="J36" s="40" t="str">
        <f>IFERROR(__xludf.DUMMYFUNCTION("""COMPUTED_VALUE"""),"Centro")</f>
        <v>Centro</v>
      </c>
      <c r="K36" s="39" t="str">
        <f>IFERROR(__xludf.DUMMYFUNCTION("""COMPUTED_VALUE"""),"3")</f>
        <v>3</v>
      </c>
      <c r="L36" s="40">
        <f>IFERROR(__xludf.DUMMYFUNCTION("""COMPUTED_VALUE"""),0.0)</f>
        <v>0</v>
      </c>
      <c r="M36" s="40"/>
      <c r="N36" s="40">
        <f>IFERROR(__xludf.DUMMYFUNCTION("""COMPUTED_VALUE"""),0.0)</f>
        <v>0</v>
      </c>
      <c r="O36" s="40">
        <f>IFERROR(__xludf.DUMMYFUNCTION("""COMPUTED_VALUE"""),0.0)</f>
        <v>0</v>
      </c>
      <c r="P36" s="40">
        <f>IFERROR(__xludf.DUMMYFUNCTION("""COMPUTED_VALUE"""),0.0)</f>
        <v>0</v>
      </c>
      <c r="Q36" s="48">
        <f>IFERROR(__xludf.DUMMYFUNCTION("""COMPUTED_VALUE"""),0.0)</f>
        <v>0</v>
      </c>
      <c r="R36" s="48">
        <f>IFERROR(__xludf.DUMMYFUNCTION("""COMPUTED_VALUE"""),1400.0)</f>
        <v>1400</v>
      </c>
      <c r="S36" s="39" t="str">
        <f>IFERROR(__xludf.DUMMYFUNCTION("""COMPUTED_VALUE""")," ")</f>
        <v> </v>
      </c>
      <c r="T36" s="40" t="str">
        <f>IFERROR(__xludf.DUMMYFUNCTION("""COMPUTED_VALUE"""),"Neiva")</f>
        <v>Neiva</v>
      </c>
      <c r="U36" s="39" t="str">
        <f>IFERROR(__xludf.DUMMYFUNCTION("""COMPUTED_VALUE"""),"3")</f>
        <v>3</v>
      </c>
      <c r="V36" s="40" t="str">
        <f>IFERROR(__xludf.DUMMYFUNCTION("""COMPUTED_VALUE"""),"Esquinera")</f>
        <v>Esquinera</v>
      </c>
      <c r="W36" s="46"/>
      <c r="X36" s="46">
        <f>IFERROR(__xludf.DUMMYFUNCTION("""COMPUTED_VALUE"""),0.0)</f>
        <v>0</v>
      </c>
      <c r="Y36" s="40" t="str">
        <f>IFERROR(__xludf.DUMMYFUNCTION("""COMPUTED_VALUE"""),"No tiene")</f>
        <v>No tiene</v>
      </c>
      <c r="Z36" s="53">
        <f>IFERROR(__xludf.DUMMYFUNCTION("""COMPUTED_VALUE"""),0.0)</f>
        <v>0</v>
      </c>
      <c r="AA36" s="49"/>
      <c r="AB36" s="105" t="str">
        <f>IFERROR(__xludf.DUMMYFUNCTION("""COMPUTED_VALUE"""),"https://photos.app.goo.gl/aMWeEoAPbUDNSTSRA")</f>
        <v>https://photos.app.goo.gl/aMWeEoAPbUDNSTSRA</v>
      </c>
      <c r="AC36" s="40"/>
      <c r="AD36" s="40"/>
      <c r="AE36" s="40"/>
      <c r="AF36" s="40" t="str">
        <f>IFERROR(__xludf.DUMMYFUNCTION("""COMPUTED_VALUE"""),"0")</f>
        <v>0</v>
      </c>
      <c r="AG36" s="40"/>
      <c r="AH36" s="40" t="str">
        <f>IFERROR(__xludf.DUMMYFUNCTION("""COMPUTED_VALUE"""),"Inventario")</f>
        <v>Inventario</v>
      </c>
      <c r="AI36" s="40"/>
      <c r="AJ36" s="40" t="str">
        <f>IFERROR(__xludf.DUMMYFUNCTION("""COMPUTED_VALUE"""),"F-Inventario Sevilla")</f>
        <v>F-Inventario Sevilla</v>
      </c>
      <c r="AK36" s="42"/>
      <c r="AL36" s="40" t="str">
        <f>IFERROR(__xludf.DUMMYFUNCTION("""COMPUTED_VALUE"""),"TIENE FOTOS")</f>
        <v>TIENE FOTOS</v>
      </c>
      <c r="AM36" s="40">
        <f>IFERROR(__xludf.DUMMYFUNCTION("""COMPUTED_VALUE"""),3.104888552E9)</f>
        <v>3104888552</v>
      </c>
      <c r="AN36" s="40">
        <f>IFERROR(__xludf.DUMMYFUNCTION("""COMPUTED_VALUE"""),3.183955563E9)</f>
        <v>3183955563</v>
      </c>
      <c r="AO36" s="40"/>
      <c r="AP36" s="40" t="str">
        <f>IFERROR(__xludf.DUMMYFUNCTION("""COMPUTED_VALUE"""),"CALLE 25 No. 5A - 23")</f>
        <v>CALLE 25 No. 5A - 23</v>
      </c>
      <c r="AQ36" s="40"/>
      <c r="AR36" s="40"/>
      <c r="AS36" s="42">
        <f>IFERROR(__xludf.DUMMYFUNCTION("""COMPUTED_VALUE"""),0.0)</f>
        <v>0</v>
      </c>
      <c r="AT36" s="40">
        <f>IFERROR(__xludf.DUMMYFUNCTION("""COMPUTED_VALUE"""),0.0)</f>
        <v>0</v>
      </c>
      <c r="AU36" s="40">
        <f>IFERROR(__xludf.DUMMYFUNCTION("""COMPUTED_VALUE"""),0.0)</f>
        <v>0</v>
      </c>
      <c r="AV36" s="40">
        <f>IFERROR(__xludf.DUMMYFUNCTION("""COMPUTED_VALUE"""),0.0)</f>
        <v>0</v>
      </c>
      <c r="AW36" s="40" t="str">
        <f>IFERROR(__xludf.DUMMYFUNCTION("""COMPUTED_VALUE"""),"NO")</f>
        <v>NO</v>
      </c>
      <c r="AX36" s="40">
        <f>IFERROR(__xludf.DUMMYFUNCTION("""COMPUTED_VALUE"""),0.0)</f>
        <v>0</v>
      </c>
      <c r="AY36" s="40">
        <f>IFERROR(__xludf.DUMMYFUNCTION("""COMPUTED_VALUE"""),0.0)</f>
        <v>0</v>
      </c>
      <c r="AZ36" s="40">
        <f>IFERROR(__xludf.DUMMYFUNCTION("""COMPUTED_VALUE"""),0.0)</f>
        <v>0</v>
      </c>
      <c r="BA36" s="40" t="str">
        <f>IFERROR(__xludf.DUMMYFUNCTION("""COMPUTED_VALUE"""),"X")</f>
        <v>X</v>
      </c>
      <c r="BB36" s="40">
        <f>IFERROR(__xludf.DUMMYFUNCTION("""COMPUTED_VALUE"""),0.0)</f>
        <v>0</v>
      </c>
      <c r="BC36" s="53"/>
      <c r="BD36" s="48"/>
      <c r="BE36" s="48"/>
      <c r="BF36" s="48" t="str">
        <f>IFERROR(__xludf.DUMMYFUNCTION("""COMPUTED_VALUE"""),"https://lh3.googleusercontent.com/pw/AP1GczOfXmlICUtgT-RpCkglNa8VyKcdKENkIzv-fNmbWWuEGndOb23MGGpMwa6X4HuMYaz5W29sR3whipHbd9tfbCtvKjnZg270jXOXzA3M-KJ6YR9PJDRY=w1200|https://lh3.googleusercontent.com/pw/AP1GczNp7GDmXIvJ4mnJ5pr5iPQCS3htCZnCfQoQBesebHgA2Z7yuE"&amp;"6xyHYWlSfwIvJUxzpDftGBtr3eNKLyvybOwYk3LL4XGELuZzY4QqznBfRCcXiqSiBY=w1200|https://lh3.googleusercontent.com/pw/AP1GczP3PDotsg1qxozS-ap6-CAkFXi4grAAQ10A_PuZI8c4w2OrUHHsWzOetNqfhyjMW1y1Lt-jgyImaDJBxJfdT-BjCjUYhPrFepD1NqUfjYAuHylAQvCb=w1200|https://lh3.google"&amp;"usercontent.com/pw/AP1GczOo42IlFgomPEu7Z-S2LSsMRIPhKWT2KjFJyML_mOjqJygf_cgTvDi15MIiVfG3kfyhbb0ZxwtaKVCTLCGcb_eeWvWBSBIrqZsiD4M0HN7fPVQiZuh9=w1200")</f>
        <v>https://lh3.googleusercontent.com/pw/AP1GczOfXmlICUtgT-RpCkglNa8VyKcdKENkIzv-fNmbWWuEGndOb23MGGpMwa6X4HuMYaz5W29sR3whipHbd9tfbCtvKjnZg270jXOXzA3M-KJ6YR9PJDRY=w1200|https://lh3.googleusercontent.com/pw/AP1GczNp7GDmXIvJ4mnJ5pr5iPQCS3htCZnCfQoQBesebHgA2Z7yuE6xyHYWlSfwIvJUxzpDftGBtr3eNKLyvybOwYk3LL4XGELuZzY4QqznBfRCcXiqSiBY=w1200|https://lh3.googleusercontent.com/pw/AP1GczP3PDotsg1qxozS-ap6-CAkFXi4grAAQ10A_PuZI8c4w2OrUHHsWzOetNqfhyjMW1y1Lt-jgyImaDJBxJfdT-BjCjUYhPrFepD1NqUfjYAuHylAQvCb=w1200|https://lh3.googleusercontent.com/pw/AP1GczOo42IlFgomPEu7Z-S2LSsMRIPhKWT2KjFJyML_mOjqJygf_cgTvDi15MIiVfG3kfyhbb0ZxwtaKVCTLCGcb_eeWvWBSBIrqZsiD4M0HN7fPVQiZuh9=w1200</v>
      </c>
    </row>
    <row r="37">
      <c r="A37" s="39" t="str">
        <f>IFERROR(__xludf.DUMMYFUNCTION("""COMPUTED_VALUE"""),"7088")</f>
        <v>7088</v>
      </c>
      <c r="B37" s="40" t="str">
        <f>IFERROR(__xludf.DUMMYFUNCTION("""COMPUTED_VALUE"""),"Casa rentable en barrio Sevilla")</f>
        <v>Casa rentable en barrio Sevilla</v>
      </c>
      <c r="C37" s="40" t="str">
        <f>IFERROR(__xludf.DUMMYFUNCTION("""COMPUTED_VALUE"""),"Casa rentable")</f>
        <v>Casa rentable</v>
      </c>
      <c r="D37" s="40" t="str">
        <f>IFERROR(__xludf.DUMMYFUNCTION("""COMPUTED_VALUE"""),"Sevilla")</f>
        <v>Sevilla</v>
      </c>
      <c r="E37" s="40"/>
      <c r="F37" s="42">
        <f>IFERROR(__xludf.DUMMYFUNCTION("""COMPUTED_VALUE"""),1.0E9)</f>
        <v>1000000000</v>
      </c>
      <c r="G37" s="40" t="str">
        <f>IFERROR(__xludf.DUMMYFUNCTION("""COMPUTED_VALUE"""),"Más de $1.000'000.000")</f>
        <v>Más de $1.000'000.000</v>
      </c>
      <c r="H37" s="40"/>
      <c r="I37" s="40"/>
      <c r="J37" s="40" t="str">
        <f>IFERROR(__xludf.DUMMYFUNCTION("""COMPUTED_VALUE"""),"Centro")</f>
        <v>Centro</v>
      </c>
      <c r="K37" s="39" t="str">
        <f>IFERROR(__xludf.DUMMYFUNCTION("""COMPUTED_VALUE"""),"3")</f>
        <v>3</v>
      </c>
      <c r="L37" s="40">
        <f>IFERROR(__xludf.DUMMYFUNCTION("""COMPUTED_VALUE"""),6.0)</f>
        <v>6</v>
      </c>
      <c r="M37" s="40"/>
      <c r="N37" s="40">
        <f>IFERROR(__xludf.DUMMYFUNCTION("""COMPUTED_VALUE"""),8.0)</f>
        <v>8</v>
      </c>
      <c r="O37" s="40">
        <f>IFERROR(__xludf.DUMMYFUNCTION("""COMPUTED_VALUE"""),1.0)</f>
        <v>1</v>
      </c>
      <c r="P37" s="40">
        <f>IFERROR(__xludf.DUMMYFUNCTION("""COMPUTED_VALUE"""),2.0)</f>
        <v>2</v>
      </c>
      <c r="Q37" s="48">
        <f>IFERROR(__xludf.DUMMYFUNCTION("""COMPUTED_VALUE"""),500.0)</f>
        <v>500</v>
      </c>
      <c r="R37" s="48">
        <f>IFERROR(__xludf.DUMMYFUNCTION("""COMPUTED_VALUE"""),369.0)</f>
        <v>369</v>
      </c>
      <c r="S37" s="39" t="str">
        <f>IFERROR(__xludf.DUMMYFUNCTION("""COMPUTED_VALUE""")," ")</f>
        <v> </v>
      </c>
      <c r="T37" s="40" t="str">
        <f>IFERROR(__xludf.DUMMYFUNCTION("""COMPUTED_VALUE"""),"Neiva")</f>
        <v>Neiva</v>
      </c>
      <c r="U37" s="39" t="str">
        <f>IFERROR(__xludf.DUMMYFUNCTION("""COMPUTED_VALUE"""),"4")</f>
        <v>4</v>
      </c>
      <c r="V37" s="40" t="str">
        <f>IFERROR(__xludf.DUMMYFUNCTION("""COMPUTED_VALUE"""),"Medianera")</f>
        <v>Medianera</v>
      </c>
      <c r="W37" s="46"/>
      <c r="X37" s="46">
        <f>IFERROR(__xludf.DUMMYFUNCTION("""COMPUTED_VALUE"""),5.0)</f>
        <v>5</v>
      </c>
      <c r="Y37" s="40" t="str">
        <f>IFERROR(__xludf.DUMMYFUNCTION("""COMPUTED_VALUE"""),"No tiene")</f>
        <v>No tiene</v>
      </c>
      <c r="Z37" s="42" t="str">
        <f>IFERROR(__xludf.DUMMYFUNCTION("""COMPUTED_VALUE"""),"No aplica")</f>
        <v>No aplica</v>
      </c>
      <c r="AA37" s="49" t="str">
        <f>IFERROR(__xludf.DUMMYFUNCTION("""COMPUTED_VALUE"""),"No aplica")</f>
        <v>No aplica</v>
      </c>
      <c r="AB37" s="40"/>
      <c r="AC37" s="40"/>
      <c r="AD37" s="40"/>
      <c r="AE37" s="40"/>
      <c r="AF37" s="40" t="str">
        <f>IFERROR(__xludf.DUMMYFUNCTION("""COMPUTED_VALUE"""),"semi-integral")</f>
        <v>semi-integral</v>
      </c>
      <c r="AG37" s="40"/>
      <c r="AH37" s="40" t="str">
        <f>IFERROR(__xludf.DUMMYFUNCTION("""COMPUTED_VALUE"""),"Inventario")</f>
        <v>Inventario</v>
      </c>
      <c r="AI37" s="40"/>
      <c r="AJ37" s="40" t="str">
        <f>IFERROR(__xludf.DUMMYFUNCTION("""COMPUTED_VALUE"""),"F-Inventario Sevilla")</f>
        <v>F-Inventario Sevilla</v>
      </c>
      <c r="AK37" s="42" t="str">
        <f>IFERROR(__xludf.DUMMYFUNCTION("""COMPUTED_VALUE"""),"No aplica")</f>
        <v>No aplica</v>
      </c>
      <c r="AL37" s="40" t="str">
        <f>IFERROR(__xludf.DUMMYFUNCTION("""COMPUTED_VALUE"""),"TIENE FOTOS")</f>
        <v>TIENE FOTOS</v>
      </c>
      <c r="AM37" s="40">
        <f>IFERROR(__xludf.DUMMYFUNCTION("""COMPUTED_VALUE"""),3.104888552E9)</f>
        <v>3104888552</v>
      </c>
      <c r="AN37" s="40">
        <f>IFERROR(__xludf.DUMMYFUNCTION("""COMPUTED_VALUE"""),3.183955563E9)</f>
        <v>3183955563</v>
      </c>
      <c r="AO37" s="40"/>
      <c r="AP37" s="40" t="str">
        <f>IFERROR(__xludf.DUMMYFUNCTION("""COMPUTED_VALUE"""),"CARRERA 5 C No. 21-71")</f>
        <v>CARRERA 5 C No. 21-71</v>
      </c>
      <c r="AQ37" s="40"/>
      <c r="AR37" s="40"/>
      <c r="AS37" s="42">
        <f>IFERROR(__xludf.DUMMYFUNCTION("""COMPUTED_VALUE"""),0.0)</f>
        <v>0</v>
      </c>
      <c r="AT37" s="40">
        <f>IFERROR(__xludf.DUMMYFUNCTION("""COMPUTED_VALUE"""),0.0)</f>
        <v>0</v>
      </c>
      <c r="AU37" s="40">
        <f>IFERROR(__xludf.DUMMYFUNCTION("""COMPUTED_VALUE"""),0.0)</f>
        <v>0</v>
      </c>
      <c r="AV37" s="40">
        <f>IFERROR(__xludf.DUMMYFUNCTION("""COMPUTED_VALUE"""),0.0)</f>
        <v>0</v>
      </c>
      <c r="AW37" s="40" t="str">
        <f>IFERROR(__xludf.DUMMYFUNCTION("""COMPUTED_VALUE"""),"SI")</f>
        <v>SI</v>
      </c>
      <c r="AX37" s="40">
        <f>IFERROR(__xludf.DUMMYFUNCTION("""COMPUTED_VALUE"""),0.0)</f>
        <v>0</v>
      </c>
      <c r="AY37" s="40" t="str">
        <f>IFERROR(__xludf.DUMMYFUNCTION("""COMPUTED_VALUE"""),"P")</f>
        <v>P</v>
      </c>
      <c r="AZ37" s="40">
        <f>IFERROR(__xludf.DUMMYFUNCTION("""COMPUTED_VALUE"""),0.0)</f>
        <v>0</v>
      </c>
      <c r="BA37" s="40" t="str">
        <f>IFERROR(__xludf.DUMMYFUNCTION("""COMPUTED_VALUE"""),"X")</f>
        <v>X</v>
      </c>
      <c r="BB37" s="40">
        <f>IFERROR(__xludf.DUMMYFUNCTION("""COMPUTED_VALUE"""),0.0)</f>
        <v>0</v>
      </c>
      <c r="BC37" s="53"/>
      <c r="BD37" s="48"/>
      <c r="BE37" s="48"/>
      <c r="BF37" s="48"/>
    </row>
    <row r="38">
      <c r="A38" s="39" t="str">
        <f>IFERROR(__xludf.DUMMYFUNCTION("""COMPUTED_VALUE"""),"183")</f>
        <v>183</v>
      </c>
      <c r="B38" s="40" t="str">
        <f>IFERROR(__xludf.DUMMYFUNCTION("""COMPUTED_VALUE"""),"Apartamento en edificio La Toma")</f>
        <v>Apartamento en edificio La Toma</v>
      </c>
      <c r="C38" s="40" t="str">
        <f>IFERROR(__xludf.DUMMYFUNCTION("""COMPUTED_VALUE"""),"Apartamento")</f>
        <v>Apartamento</v>
      </c>
      <c r="D38" s="40" t="str">
        <f>IFERROR(__xludf.DUMMYFUNCTION("""COMPUTED_VALUE"""),"La Toma")</f>
        <v>La Toma</v>
      </c>
      <c r="E38" s="42" t="str">
        <f>IFERROR(__xludf.DUMMYFUNCTION("""COMPUTED_VALUE""")," ")</f>
        <v> </v>
      </c>
      <c r="F38" s="42">
        <f>IFERROR(__xludf.DUMMYFUNCTION("""COMPUTED_VALUE"""),2.2E8)</f>
        <v>220000000</v>
      </c>
      <c r="G38" s="40" t="str">
        <f>IFERROR(__xludf.DUMMYFUNCTION("""COMPUTED_VALUE"""),"$200'000.000 a $300'000.000")</f>
        <v>$200'000.000 a $300'000.000</v>
      </c>
      <c r="H38" s="40"/>
      <c r="I38" s="40"/>
      <c r="J38" s="40" t="str">
        <f>IFERROR(__xludf.DUMMYFUNCTION("""COMPUTED_VALUE"""),"Centro")</f>
        <v>Centro</v>
      </c>
      <c r="K38" s="39" t="str">
        <f>IFERROR(__xludf.DUMMYFUNCTION("""COMPUTED_VALUE"""),"3")</f>
        <v>3</v>
      </c>
      <c r="L38" s="40">
        <f>IFERROR(__xludf.DUMMYFUNCTION("""COMPUTED_VALUE"""),4.0)</f>
        <v>4</v>
      </c>
      <c r="M38" s="40"/>
      <c r="N38" s="40">
        <f>IFERROR(__xludf.DUMMYFUNCTION("""COMPUTED_VALUE"""),2.0)</f>
        <v>2</v>
      </c>
      <c r="O38" s="40">
        <f>IFERROR(__xludf.DUMMYFUNCTION("""COMPUTED_VALUE"""),0.0)</f>
        <v>0</v>
      </c>
      <c r="P38" s="40">
        <f>IFERROR(__xludf.DUMMYFUNCTION("""COMPUTED_VALUE"""),1.0)</f>
        <v>1</v>
      </c>
      <c r="Q38" s="48">
        <f>IFERROR(__xludf.DUMMYFUNCTION("""COMPUTED_VALUE"""),120.0)</f>
        <v>120</v>
      </c>
      <c r="R38" s="48">
        <f>IFERROR(__xludf.DUMMYFUNCTION("""COMPUTED_VALUE"""),135.0)</f>
        <v>135</v>
      </c>
      <c r="S38" s="39" t="str">
        <f>IFERROR(__xludf.DUMMYFUNCTION("""COMPUTED_VALUE"""),"Rentabilidad $1,000,000")</f>
        <v>Rentabilidad $1,000,000</v>
      </c>
      <c r="T38" s="40" t="str">
        <f>IFERROR(__xludf.DUMMYFUNCTION("""COMPUTED_VALUE"""),"Neiva")</f>
        <v>Neiva</v>
      </c>
      <c r="U38" s="39" t="str">
        <f>IFERROR(__xludf.DUMMYFUNCTION("""COMPUTED_VALUE"""),"4")</f>
        <v>4</v>
      </c>
      <c r="V38" s="40"/>
      <c r="W38" s="46"/>
      <c r="X38" s="46">
        <f>IFERROR(__xludf.DUMMYFUNCTION("""COMPUTED_VALUE"""),3.0)</f>
        <v>3</v>
      </c>
      <c r="Y38" s="40" t="str">
        <f>IFERROR(__xludf.DUMMYFUNCTION("""COMPUTED_VALUE"""),"No tiene")</f>
        <v>No tiene</v>
      </c>
      <c r="Z38" s="42" t="str">
        <f>IFERROR(__xludf.DUMMYFUNCTION("""COMPUTED_VALUE"""),"No aplica")</f>
        <v>No aplica</v>
      </c>
      <c r="AA38" s="49" t="str">
        <f>IFERROR(__xludf.DUMMYFUNCTION("""COMPUTED_VALUE"""),"18 años")</f>
        <v>18 años</v>
      </c>
      <c r="AB38" s="48"/>
      <c r="AC38" s="40" t="str">
        <f>IFERROR(__xludf.DUMMYFUNCTION("""COMPUTED_VALUE"""),"Ubicado en el segundo piso")</f>
        <v>Ubicado en el segundo piso</v>
      </c>
      <c r="AD38" s="40"/>
      <c r="AE38" s="40"/>
      <c r="AF38" s="40" t="str">
        <f>IFERROR(__xludf.DUMMYFUNCTION("""COMPUTED_VALUE"""),"integral")</f>
        <v>integral</v>
      </c>
      <c r="AG38" s="40"/>
      <c r="AH38" s="40" t="str">
        <f>IFERROR(__xludf.DUMMYFUNCTION("""COMPUTED_VALUE"""),"Inventario")</f>
        <v>Inventario</v>
      </c>
      <c r="AI38" s="40"/>
      <c r="AJ38" s="40" t="str">
        <f>IFERROR(__xludf.DUMMYFUNCTION("""COMPUTED_VALUE"""),"IC-F/codg 5794")</f>
        <v>IC-F/codg 5794</v>
      </c>
      <c r="AK38" s="40"/>
      <c r="AL38" s="40" t="str">
        <f>IFERROR(__xludf.DUMMYFUNCTION("""COMPUTED_VALUE"""),"NO FOTOS + DESCRIPCION")</f>
        <v>NO FOTOS + DESCRIPCION</v>
      </c>
      <c r="AM38" s="40">
        <f>IFERROR(__xludf.DUMMYFUNCTION("""COMPUTED_VALUE"""),3.136779748E9)</f>
        <v>3136779748</v>
      </c>
      <c r="AN38" s="40">
        <f>IFERROR(__xludf.DUMMYFUNCTION("""COMPUTED_VALUE"""),3.104366006E9)</f>
        <v>3104366006</v>
      </c>
      <c r="AO38" s="40" t="str">
        <f>IFERROR(__xludf.DUMMYFUNCTION("""COMPUTED_VALUE"""),"MIGUEL")</f>
        <v>MIGUEL</v>
      </c>
      <c r="AP38" s="40" t="str">
        <f>IFERROR(__xludf.DUMMYFUNCTION("""COMPUTED_VALUE"""),"CALLE 15 NO. 7 - 60")</f>
        <v>CALLE 15 NO. 7 - 60</v>
      </c>
      <c r="AQ38" s="40"/>
      <c r="AR38" s="40"/>
      <c r="AS38" s="53">
        <f>IFERROR(__xludf.DUMMYFUNCTION("""COMPUTED_VALUE"""),1000000.0)</f>
        <v>1000000</v>
      </c>
      <c r="AT38" s="40">
        <f>IFERROR(__xludf.DUMMYFUNCTION("""COMPUTED_VALUE"""),0.0)</f>
        <v>0</v>
      </c>
      <c r="AU38" s="40">
        <f>IFERROR(__xludf.DUMMYFUNCTION("""COMPUTED_VALUE"""),0.0)</f>
        <v>0</v>
      </c>
      <c r="AV38" s="40">
        <f>IFERROR(__xludf.DUMMYFUNCTION("""COMPUTED_VALUE"""),0.0)</f>
        <v>0</v>
      </c>
      <c r="AW38" s="40" t="str">
        <f>IFERROR(__xludf.DUMMYFUNCTION("""COMPUTED_VALUE"""),"NO")</f>
        <v>NO</v>
      </c>
      <c r="AX38" s="40">
        <f>IFERROR(__xludf.DUMMYFUNCTION("""COMPUTED_VALUE"""),0.0)</f>
        <v>0</v>
      </c>
      <c r="AY38" s="40">
        <f>IFERROR(__xludf.DUMMYFUNCTION("""COMPUTED_VALUE"""),0.0)</f>
        <v>0</v>
      </c>
      <c r="AZ38" s="40">
        <f>IFERROR(__xludf.DUMMYFUNCTION("""COMPUTED_VALUE"""),0.0)</f>
        <v>0</v>
      </c>
      <c r="BA38" s="40" t="str">
        <f>IFERROR(__xludf.DUMMYFUNCTION("""COMPUTED_VALUE"""),"X")</f>
        <v>X</v>
      </c>
      <c r="BB38" s="40">
        <f>IFERROR(__xludf.DUMMYFUNCTION("""COMPUTED_VALUE"""),0.0)</f>
        <v>0</v>
      </c>
      <c r="BC38" s="53"/>
      <c r="BD38" s="48"/>
      <c r="BE38" s="48"/>
      <c r="BF38" s="48"/>
    </row>
    <row r="39">
      <c r="A39" s="39" t="str">
        <f>IFERROR(__xludf.DUMMYFUNCTION("""COMPUTED_VALUE"""),"034")</f>
        <v>034</v>
      </c>
      <c r="B39" s="40" t="str">
        <f>IFERROR(__xludf.DUMMYFUNCTION("""COMPUTED_VALUE"""),"Apartamento en Condominio Capri")</f>
        <v>Apartamento en Condominio Capri</v>
      </c>
      <c r="C39" s="40" t="str">
        <f>IFERROR(__xludf.DUMMYFUNCTION("""COMPUTED_VALUE"""),"Apartamento en conjunto")</f>
        <v>Apartamento en conjunto</v>
      </c>
      <c r="D39" s="40" t="str">
        <f>IFERROR(__xludf.DUMMYFUNCTION("""COMPUTED_VALUE"""),"Las Granjas")</f>
        <v>Las Granjas</v>
      </c>
      <c r="E39" s="42" t="str">
        <f>IFERROR(__xludf.DUMMYFUNCTION("""COMPUTED_VALUE""")," ")</f>
        <v> </v>
      </c>
      <c r="F39" s="42">
        <f>IFERROR(__xludf.DUMMYFUNCTION("""COMPUTED_VALUE"""),1.3E8)</f>
        <v>130000000</v>
      </c>
      <c r="G39" s="40" t="str">
        <f>IFERROR(__xludf.DUMMYFUNCTION("""COMPUTED_VALUE"""),"$100'000.000 a $200'000.000")</f>
        <v>$100'000.000 a $200'000.000</v>
      </c>
      <c r="H39" s="40"/>
      <c r="I39" s="40"/>
      <c r="J39" s="40" t="str">
        <f>IFERROR(__xludf.DUMMYFUNCTION("""COMPUTED_VALUE"""),"Norte")</f>
        <v>Norte</v>
      </c>
      <c r="K39" s="39" t="str">
        <f>IFERROR(__xludf.DUMMYFUNCTION("""COMPUTED_VALUE"""),"2")</f>
        <v>2</v>
      </c>
      <c r="L39" s="40">
        <f>IFERROR(__xludf.DUMMYFUNCTION("""COMPUTED_VALUE"""),3.0)</f>
        <v>3</v>
      </c>
      <c r="M39" s="40"/>
      <c r="N39" s="40">
        <f>IFERROR(__xludf.DUMMYFUNCTION("""COMPUTED_VALUE"""),2.0)</f>
        <v>2</v>
      </c>
      <c r="O39" s="40">
        <f>IFERROR(__xludf.DUMMYFUNCTION("""COMPUTED_VALUE"""),1.0)</f>
        <v>1</v>
      </c>
      <c r="P39" s="40">
        <f>IFERROR(__xludf.DUMMYFUNCTION("""COMPUTED_VALUE"""),1.0)</f>
        <v>1</v>
      </c>
      <c r="Q39" s="48">
        <f>IFERROR(__xludf.DUMMYFUNCTION("""COMPUTED_VALUE"""),83.0)</f>
        <v>83</v>
      </c>
      <c r="R39" s="48">
        <f>IFERROR(__xludf.DUMMYFUNCTION("""COMPUTED_VALUE"""),83.0)</f>
        <v>83</v>
      </c>
      <c r="S39" s="39" t="str">
        <f>IFERROR(__xludf.DUMMYFUNCTION("""COMPUTED_VALUE"""),"Rentabilidad $850,000")</f>
        <v>Rentabilidad $850,000</v>
      </c>
      <c r="T39" s="40" t="str">
        <f>IFERROR(__xludf.DUMMYFUNCTION("""COMPUTED_VALUE"""),"Neiva")</f>
        <v>Neiva</v>
      </c>
      <c r="U39" s="39" t="str">
        <f>IFERROR(__xludf.DUMMYFUNCTION("""COMPUTED_VALUE"""),"3")</f>
        <v>3</v>
      </c>
      <c r="V39" s="40"/>
      <c r="W39" s="46"/>
      <c r="X39" s="46">
        <f>IFERROR(__xludf.DUMMYFUNCTION("""COMPUTED_VALUE"""),3.0)</f>
        <v>3</v>
      </c>
      <c r="Y39" s="40" t="str">
        <f>IFERROR(__xludf.DUMMYFUNCTION("""COMPUTED_VALUE"""),"No tiene")</f>
        <v>No tiene</v>
      </c>
      <c r="Z39" s="42">
        <f>IFERROR(__xludf.DUMMYFUNCTION("""COMPUTED_VALUE"""),185000.0)</f>
        <v>185000</v>
      </c>
      <c r="AA39" s="49" t="str">
        <f>IFERROR(__xludf.DUMMYFUNCTION("""COMPUTED_VALUE"""),"13 años")</f>
        <v>13 años</v>
      </c>
      <c r="AB39" s="48"/>
      <c r="AC39" s="40" t="str">
        <f>IFERROR(__xludf.DUMMYFUNCTION("""COMPUTED_VALUE"""),"Ubicada en el quinto piso")</f>
        <v>Ubicada en el quinto piso</v>
      </c>
      <c r="AD39" s="40"/>
      <c r="AE39" s="40"/>
      <c r="AF39" s="40" t="str">
        <f>IFERROR(__xludf.DUMMYFUNCTION("""COMPUTED_VALUE"""),"semi-integral")</f>
        <v>semi-integral</v>
      </c>
      <c r="AG39" s="40"/>
      <c r="AH39" s="40" t="str">
        <f>IFERROR(__xludf.DUMMYFUNCTION("""COMPUTED_VALUE"""),"Inventario")</f>
        <v>Inventario</v>
      </c>
      <c r="AI39" s="40"/>
      <c r="AJ39" s="40" t="str">
        <f>IFERROR(__xludf.DUMMYFUNCTION("""COMPUTED_VALUE"""),"IC-YATRANA")</f>
        <v>IC-YATRANA</v>
      </c>
      <c r="AK39" s="40" t="str">
        <f>IFERROR(__xludf.DUMMYFUNCTION("""COMPUTED_VALUE"""),"No aplica")</f>
        <v>No aplica</v>
      </c>
      <c r="AL39" s="40" t="str">
        <f>IFERROR(__xludf.DUMMYFUNCTION("""COMPUTED_VALUE"""),"NO FOTOS + DESCRIPCION")</f>
        <v>NO FOTOS + DESCRIPCION</v>
      </c>
      <c r="AM39" s="40">
        <f>IFERROR(__xludf.DUMMYFUNCTION("""COMPUTED_VALUE"""),3.017559995E9)</f>
        <v>3017559995</v>
      </c>
      <c r="AN39" s="40"/>
      <c r="AO39" s="40" t="str">
        <f>IFERROR(__xludf.DUMMYFUNCTION("""COMPUTED_VALUE"""),"PATRICIA - INMOBILIARIA YATRANA")</f>
        <v>PATRICIA - INMOBILIARIA YATRANA</v>
      </c>
      <c r="AP39" s="40" t="str">
        <f>IFERROR(__xludf.DUMMYFUNCTION("""COMPUTED_VALUE"""),"AV. 26 CON CALLE 40")</f>
        <v>AV. 26 CON CALLE 40</v>
      </c>
      <c r="AQ39" s="40"/>
      <c r="AR39" s="40"/>
      <c r="AS39" s="53">
        <f>IFERROR(__xludf.DUMMYFUNCTION("""COMPUTED_VALUE"""),850000.0)</f>
        <v>850000</v>
      </c>
      <c r="AT39" s="40" t="str">
        <f>IFERROR(__xludf.DUMMYFUNCTION("""COMPUTED_VALUE"""),"NO")</f>
        <v>NO</v>
      </c>
      <c r="AU39" s="40">
        <f>IFERROR(__xludf.DUMMYFUNCTION("""COMPUTED_VALUE"""),0.0)</f>
        <v>0</v>
      </c>
      <c r="AV39" s="40">
        <f>IFERROR(__xludf.DUMMYFUNCTION("""COMPUTED_VALUE"""),0.0)</f>
        <v>0</v>
      </c>
      <c r="AW39" s="40" t="str">
        <f>IFERROR(__xludf.DUMMYFUNCTION("""COMPUTED_VALUE"""),"NO")</f>
        <v>NO</v>
      </c>
      <c r="AX39" s="40">
        <f>IFERROR(__xludf.DUMMYFUNCTION("""COMPUTED_VALUE"""),0.0)</f>
        <v>0</v>
      </c>
      <c r="AY39" s="40">
        <f>IFERROR(__xludf.DUMMYFUNCTION("""COMPUTED_VALUE"""),0.0)</f>
        <v>0</v>
      </c>
      <c r="AZ39" s="40">
        <f>IFERROR(__xludf.DUMMYFUNCTION("""COMPUTED_VALUE"""),0.0)</f>
        <v>0</v>
      </c>
      <c r="BA39" s="40" t="str">
        <f>IFERROR(__xludf.DUMMYFUNCTION("""COMPUTED_VALUE"""),"X")</f>
        <v>X</v>
      </c>
      <c r="BB39" s="40">
        <f>IFERROR(__xludf.DUMMYFUNCTION("""COMPUTED_VALUE"""),0.0)</f>
        <v>0</v>
      </c>
      <c r="BC39" s="53"/>
      <c r="BD39" s="48"/>
      <c r="BE39" s="48"/>
      <c r="BF39" s="48"/>
    </row>
    <row r="40">
      <c r="A40" s="39" t="str">
        <f>IFERROR(__xludf.DUMMYFUNCTION("""COMPUTED_VALUE"""),"320")</f>
        <v>320</v>
      </c>
      <c r="B40" s="40" t="str">
        <f>IFERROR(__xludf.DUMMYFUNCTION("""COMPUTED_VALUE"""),"Edificio con tres apartamentos en barrio Campo Nuñez")</f>
        <v>Edificio con tres apartamentos en barrio Campo Nuñez</v>
      </c>
      <c r="C40" s="40" t="str">
        <f>IFERROR(__xludf.DUMMYFUNCTION("""COMPUTED_VALUE"""),"Edificio rentable")</f>
        <v>Edificio rentable</v>
      </c>
      <c r="D40" s="40" t="str">
        <f>IFERROR(__xludf.DUMMYFUNCTION("""COMPUTED_VALUE"""),"Campo Nuñez")</f>
        <v>Campo Nuñez</v>
      </c>
      <c r="E40" s="40"/>
      <c r="F40" s="42">
        <f>IFERROR(__xludf.DUMMYFUNCTION("""COMPUTED_VALUE"""),7.0E8)</f>
        <v>700000000</v>
      </c>
      <c r="G40" s="40" t="str">
        <f>IFERROR(__xludf.DUMMYFUNCTION("""COMPUTED_VALUE"""),"$500'000.000 a $1.000'000.000")</f>
        <v>$500'000.000 a $1.000'000.000</v>
      </c>
      <c r="H40" s="40"/>
      <c r="I40" s="40"/>
      <c r="J40" s="40" t="str">
        <f>IFERROR(__xludf.DUMMYFUNCTION("""COMPUTED_VALUE"""),"Centro")</f>
        <v>Centro</v>
      </c>
      <c r="K40" s="39" t="str">
        <f>IFERROR(__xludf.DUMMYFUNCTION("""COMPUTED_VALUE"""),"3")</f>
        <v>3</v>
      </c>
      <c r="L40" s="40">
        <f>IFERROR(__xludf.DUMMYFUNCTION("""COMPUTED_VALUE"""),9.0)</f>
        <v>9</v>
      </c>
      <c r="M40" s="40"/>
      <c r="N40" s="40">
        <f>IFERROR(__xludf.DUMMYFUNCTION("""COMPUTED_VALUE"""),6.0)</f>
        <v>6</v>
      </c>
      <c r="O40" s="40">
        <f>IFERROR(__xludf.DUMMYFUNCTION("""COMPUTED_VALUE"""),1.0)</f>
        <v>1</v>
      </c>
      <c r="P40" s="40">
        <f>IFERROR(__xludf.DUMMYFUNCTION("""COMPUTED_VALUE"""),3.0)</f>
        <v>3</v>
      </c>
      <c r="Q40" s="48">
        <f>IFERROR(__xludf.DUMMYFUNCTION("""COMPUTED_VALUE"""),260.0)</f>
        <v>260</v>
      </c>
      <c r="R40" s="48">
        <f>IFERROR(__xludf.DUMMYFUNCTION("""COMPUTED_VALUE"""),95.0)</f>
        <v>95</v>
      </c>
      <c r="S40" s="39" t="str">
        <f>IFERROR(__xludf.DUMMYFUNCTION("""COMPUTED_VALUE"""),"Rentabilidad $1,950,000")</f>
        <v>Rentabilidad $1,950,000</v>
      </c>
      <c r="T40" s="40" t="str">
        <f>IFERROR(__xludf.DUMMYFUNCTION("""COMPUTED_VALUE"""),"Neiva")</f>
        <v>Neiva</v>
      </c>
      <c r="U40" s="39" t="str">
        <f>IFERROR(__xludf.DUMMYFUNCTION("""COMPUTED_VALUE"""),"2")</f>
        <v>2</v>
      </c>
      <c r="V40" s="40" t="str">
        <f>IFERROR(__xludf.DUMMYFUNCTION("""COMPUTED_VALUE"""),"Medianera")</f>
        <v>Medianera</v>
      </c>
      <c r="W40" s="46"/>
      <c r="X40" s="46">
        <f>IFERROR(__xludf.DUMMYFUNCTION("""COMPUTED_VALUE"""),6.0)</f>
        <v>6</v>
      </c>
      <c r="Y40" s="40" t="str">
        <f>IFERROR(__xludf.DUMMYFUNCTION("""COMPUTED_VALUE"""),"No tiene")</f>
        <v>No tiene</v>
      </c>
      <c r="Z40" s="42" t="str">
        <f>IFERROR(__xludf.DUMMYFUNCTION("""COMPUTED_VALUE"""),"No aplica")</f>
        <v>No aplica</v>
      </c>
      <c r="AA40" s="49" t="str">
        <f>IFERROR(__xludf.DUMMYFUNCTION("""COMPUTED_VALUE"""),"30 años")</f>
        <v>30 años</v>
      </c>
      <c r="AB40" s="105" t="str">
        <f>IFERROR(__xludf.DUMMYFUNCTION("""COMPUTED_VALUE"""),"https://photos.app.goo.gl/MecKAB4MJ8qoYU1S6")</f>
        <v>https://photos.app.goo.gl/MecKAB4MJ8qoYU1S6</v>
      </c>
      <c r="AC40" s="40" t="str">
        <f>IFERROR(__xludf.DUMMYFUNCTION("""COMPUTED_VALUE"""),"Cuenta con buenos acabados, piso en porcelanato. Cielo raso en Dri Wall, con lámparas led de empotrar. Closet en madera. Carpintería externa en aluminio y la interna en madera.")</f>
        <v>Cuenta con buenos acabados, piso en porcelanato. Cielo raso en Dri Wall, con lámparas led de empotrar. Closet en madera. Carpintería externa en aluminio y la interna en madera.</v>
      </c>
      <c r="AD40" s="40" t="str">
        <f>IFERROR(__xludf.DUMMYFUNCTION("""COMPUTED_VALUE"""),"Edificio con 3 apartamentos. Dimensión del lote 9.50 x 10.0 ml. Bien ubicados, sobre vía vehicular amplia. Escritura al día. No se permuta.")</f>
        <v>Edificio con 3 apartamentos. Dimensión del lote 9.50 x 10.0 ml. Bien ubicados, sobre vía vehicular amplia. Escritura al día. No se permuta.</v>
      </c>
      <c r="AE40" s="40"/>
      <c r="AF40" s="40" t="str">
        <f>IFERROR(__xludf.DUMMYFUNCTION("""COMPUTED_VALUE"""),"integral")</f>
        <v>integral</v>
      </c>
      <c r="AG40" s="40" t="str">
        <f>IFERROR(__xludf.DUMMYFUNCTION("""COMPUTED_VALUE"""),"SI")</f>
        <v>SI</v>
      </c>
      <c r="AH40" s="40" t="str">
        <f>IFERROR(__xludf.DUMMYFUNCTION("""COMPUTED_VALUE"""),"Inventario")</f>
        <v>Inventario</v>
      </c>
      <c r="AI40" s="40" t="str">
        <f>IFERROR(__xludf.DUMMYFUNCTION("""COMPUTED_VALUE"""),"Directo")</f>
        <v>Directo</v>
      </c>
      <c r="AJ40" s="40" t="str">
        <f>IFERROR(__xludf.DUMMYFUNCTION("""COMPUTED_VALUE"""),"ICDE")</f>
        <v>ICDE</v>
      </c>
      <c r="AK40" s="40" t="str">
        <f>IFERROR(__xludf.DUMMYFUNCTION("""COMPUTED_VALUE"""),"FIRMO CONTRATO")</f>
        <v>FIRMO CONTRATO</v>
      </c>
      <c r="AL40" s="40" t="str">
        <f>IFERROR(__xludf.DUMMYFUNCTION("""COMPUTED_VALUE"""),"TIENE FOTOS- FIRMO-HIPOTECADA")</f>
        <v>TIENE FOTOS- FIRMO-HIPOTECADA</v>
      </c>
      <c r="AM40" s="40">
        <f>IFERROR(__xludf.DUMMYFUNCTION("""COMPUTED_VALUE"""),3.105703917E9)</f>
        <v>3105703917</v>
      </c>
      <c r="AN40" s="40">
        <f>IFERROR(__xludf.DUMMYFUNCTION("""COMPUTED_VALUE"""),3.202735035E9)</f>
        <v>3202735035</v>
      </c>
      <c r="AO40" s="40" t="str">
        <f>IFERROR(__xludf.DUMMYFUNCTION("""COMPUTED_VALUE"""),"JOSE EUGENIO-ESPOSA JANNIFER GUZMAN")</f>
        <v>JOSE EUGENIO-ESPOSA JANNIFER GUZMAN</v>
      </c>
      <c r="AP40" s="40" t="str">
        <f>IFERROR(__xludf.DUMMYFUNCTION("""COMPUTED_VALUE"""),"CALLE 19 NO. 8-50")</f>
        <v>CALLE 19 NO. 8-50</v>
      </c>
      <c r="AQ40" s="40">
        <f>IFERROR(__xludf.DUMMYFUNCTION("""COMPUTED_VALUE"""),2.9372698)</f>
        <v>2.9372698</v>
      </c>
      <c r="AR40" s="40">
        <f>IFERROR(__xludf.DUMMYFUNCTION("""COMPUTED_VALUE"""),-75.2868794)</f>
        <v>-75.2868794</v>
      </c>
      <c r="AS40" s="53">
        <f>IFERROR(__xludf.DUMMYFUNCTION("""COMPUTED_VALUE"""),1950000.0)</f>
        <v>1950000</v>
      </c>
      <c r="AT40" s="40">
        <f>IFERROR(__xludf.DUMMYFUNCTION("""COMPUTED_VALUE"""),0.0)</f>
        <v>0</v>
      </c>
      <c r="AU40" s="40">
        <f>IFERROR(__xludf.DUMMYFUNCTION("""COMPUTED_VALUE"""),0.0)</f>
        <v>0</v>
      </c>
      <c r="AV40" s="40">
        <f>IFERROR(__xludf.DUMMYFUNCTION("""COMPUTED_VALUE"""),0.0)</f>
        <v>0</v>
      </c>
      <c r="AW40" s="40" t="str">
        <f>IFERROR(__xludf.DUMMYFUNCTION("""COMPUTED_VALUE"""),"NO")</f>
        <v>NO</v>
      </c>
      <c r="AX40" s="40">
        <f>IFERROR(__xludf.DUMMYFUNCTION("""COMPUTED_VALUE"""),0.0)</f>
        <v>0</v>
      </c>
      <c r="AY40" s="40">
        <f>IFERROR(__xludf.DUMMYFUNCTION("""COMPUTED_VALUE"""),0.0)</f>
        <v>0</v>
      </c>
      <c r="AZ40" s="40">
        <f>IFERROR(__xludf.DUMMYFUNCTION("""COMPUTED_VALUE"""),9.5)</f>
        <v>9.5</v>
      </c>
      <c r="BA40" s="40" t="str">
        <f>IFERROR(__xludf.DUMMYFUNCTION("""COMPUTED_VALUE"""),"X")</f>
        <v>X</v>
      </c>
      <c r="BB40" s="40">
        <f>IFERROR(__xludf.DUMMYFUNCTION("""COMPUTED_VALUE"""),10.0)</f>
        <v>10</v>
      </c>
      <c r="BC40" s="53"/>
      <c r="BD40" s="48"/>
      <c r="BE40" s="48"/>
      <c r="BF40" s="48" t="str">
        <f>IFERROR(__xludf.DUMMYFUNCTION("""COMPUTED_VALUE"""),"https://lh3.googleusercontent.com/pw/AP1GczPizyuWTkl4xh2awCw8Fxl9iKxTUHTBagiECOaEog-XwPz3Z-ENHieo21GeNiw60bhPbxq56LsulIc8gv55-4tU9SaVH1392Mt2PCxqEEEghmEXCfjU=w1200|https://lh3.googleusercontent.com/pw/AP1GczMiwS233g6x3yRuWW2CkqnhuhPUcdsQo9Y_JgQVY5Zy-rxAO_"&amp;"nZQQv1ir9g5ZxvoXixlGt0mc2IzgpcdoxM-ceZrrW6rp_1vQW4hhc9Ifn9CzUufUHz=w1200|https://lh3.googleusercontent.com/pw/AP1GczNftIb1toTBHWm0TC88m7bJtiwMPuq7MTsqepk1hNun0cKDSX5VXLjW6EyclQuScpYQwPOSLYTVtk-0L4j8e1ILEKk9_TJw_xL7kDRhBihFgBnNj_8e=w1200|https://lh3.google"&amp;"usercontent.com/pw/AP1GczN669MZPtzlv2O83ADWWkZbGP8a3BZiypjKH7S1rVuOUfl3rQxw5NMBp0Q-ekmaJqKW30Hqh2JdwjOwjQyRBylR-u4VuMFmVUoZ2NHAbjGVoUAeyjQA=w1200|https://lh3.googleusercontent.com/pw/AP1GczP5EzT4pS9ecRy6jOiqaqeVZTEIroT4uMLQi4nn-zr4hod1A3SM3IsNcQUiT_nf0Oqv"&amp;"spaRWhmaWZwWalkDShSBvyeRtsp_yrrnwhwXr9HUzUNd5N9h=w1200|https://lh3.googleusercontent.com/pw/AP1GczMW7mIdb7vD-QoViwt9XnWyWLOTnpExNQhxscP00iThEn8tCZjjjgWpkZOwpOhveUfWGEUEZjWUWkHRnllExGeiXcU8J7L68t3-EBW39M9GIma5rsci=w1200|https://lh3.googleusercontent.com/pw"&amp;"/AP1GczO6ggv9Do56jUlKiHYCQOaQR0CA5XWjXrd5bqj_bIRvQ7kZ_2V7WteVWRpBaMOLcd3O6DB_w8TGF_5ZeVyf7wueMcDd7d62Zu6qFavHNjRCyhi8CFuB=w1200|https://lh3.googleusercontent.com/pw/AP1GczOmDjUGdT6IyTeSeMdRPe4O17aimya_yBuux4XE7vO1byKnu7KVN7hanSnRRTCHPaXR_gnJolGripgCnJDqQc"&amp;"l4N5e0itiYcQiNbVvsoL7pWWYMviqj=w1200|https://lh3.googleusercontent.com/pw/AP1GczN30h3fYvX71dwgRhzeW7q61jP9mVRa6UiSr2_UT0Q_ZRpLfokXS3ii4odHyRl2v6H0DGz8EkDEb1RN23aYM_bugIJhVg49V8IURwP1B0jt1DPugw5Y=w1200|https://lh3.googleusercontent.com/pw/AP1GczOPFZV6rko8y"&amp;"lr1uOdXngWyFj7Mj5hZWoGnv16793HXgLbf08FpWVn7Px04mybc8_ZGxJJPv8bU_NSFsOqRoL_7jGfDaaut7PrUG1OLe12hbZPJqq5f=w1200|https://lh3.googleusercontent.com/pw/AP1GczPeB3D0umOzlBbBXe32_pFRWYiRBIjtUelGKioye93HnDpV--1kl30P60tpqK5aRSGRmmL9Z7ZeLuIgE-s5YJ4DMXrnHY0OB2-LXegE"&amp;"3mVu3Pv0_IDE=w1200|https://lh3.googleusercontent.com/pw/AP1GczMOYds5iHt94FFigQfe7sgpV499FJZ-rSY9s8gXaYxBzdyrIYO5inzI29DZTgevvHisZxRQKVqcI8gQlZwzF9iKPhno5oFIbxcy05MPnjy3f8NZQlxN=w1200|https://lh3.googleusercontent.com/pw/AP1GczMUZivMqzoIKhN3Sshg4RG7M10XPfa"&amp;"87nWdoRoX7UJ4RFvPlV9TsZYE-k9At6Gp1YBFi3aqCtDSTGqcsrAPYJuVkC2MhwvFCJ3TO1kcaZsIkijQlKEB=w1200|https://lh3.googleusercontent.com/pw/AP1GczMQwNGSaP-cRQESLyO0sTULAK63B9I-L2wKPSbrnuJp4aWxMN_Qdtv35V8cawK8A6d3BBI4m4G3AeCboFqL4mEWP5-1uSZjxwa3qObeneRVc7nWr3tQ=w1200")</f>
        <v>https://lh3.googleusercontent.com/pw/AP1GczPizyuWTkl4xh2awCw8Fxl9iKxTUHTBagiECOaEog-XwPz3Z-ENHieo21GeNiw60bhPbxq56LsulIc8gv55-4tU9SaVH1392Mt2PCxqEEEghmEXCfjU=w1200|https://lh3.googleusercontent.com/pw/AP1GczMiwS233g6x3yRuWW2CkqnhuhPUcdsQo9Y_JgQVY5Zy-rxAO_nZQQv1ir9g5ZxvoXixlGt0mc2IzgpcdoxM-ceZrrW6rp_1vQW4hhc9Ifn9CzUufUHz=w1200|https://lh3.googleusercontent.com/pw/AP1GczNftIb1toTBHWm0TC88m7bJtiwMPuq7MTsqepk1hNun0cKDSX5VXLjW6EyclQuScpYQwPOSLYTVtk-0L4j8e1ILEKk9_TJw_xL7kDRhBihFgBnNj_8e=w1200|https://lh3.googleusercontent.com/pw/AP1GczN669MZPtzlv2O83ADWWkZbGP8a3BZiypjKH7S1rVuOUfl3rQxw5NMBp0Q-ekmaJqKW30Hqh2JdwjOwjQyRBylR-u4VuMFmVUoZ2NHAbjGVoUAeyjQA=w1200|https://lh3.googleusercontent.com/pw/AP1GczP5EzT4pS9ecRy6jOiqaqeVZTEIroT4uMLQi4nn-zr4hod1A3SM3IsNcQUiT_nf0OqvspaRWhmaWZwWalkDShSBvyeRtsp_yrrnwhwXr9HUzUNd5N9h=w1200|https://lh3.googleusercontent.com/pw/AP1GczMW7mIdb7vD-QoViwt9XnWyWLOTnpExNQhxscP00iThEn8tCZjjjgWpkZOwpOhveUfWGEUEZjWUWkHRnllExGeiXcU8J7L68t3-EBW39M9GIma5rsci=w1200|https://lh3.googleusercontent.com/pw/AP1GczO6ggv9Do56jUlKiHYCQOaQR0CA5XWjXrd5bqj_bIRvQ7kZ_2V7WteVWRpBaMOLcd3O6DB_w8TGF_5ZeVyf7wueMcDd7d62Zu6qFavHNjRCyhi8CFuB=w1200|https://lh3.googleusercontent.com/pw/AP1GczOmDjUGdT6IyTeSeMdRPe4O17aimya_yBuux4XE7vO1byKnu7KVN7hanSnRRTCHPaXR_gnJolGripgCnJDqQcl4N5e0itiYcQiNbVvsoL7pWWYMviqj=w1200|https://lh3.googleusercontent.com/pw/AP1GczN30h3fYvX71dwgRhzeW7q61jP9mVRa6UiSr2_UT0Q_ZRpLfokXS3ii4odHyRl2v6H0DGz8EkDEb1RN23aYM_bugIJhVg49V8IURwP1B0jt1DPugw5Y=w1200|https://lh3.googleusercontent.com/pw/AP1GczOPFZV6rko8ylr1uOdXngWyFj7Mj5hZWoGnv16793HXgLbf08FpWVn7Px04mybc8_ZGxJJPv8bU_NSFsOqRoL_7jGfDaaut7PrUG1OLe12hbZPJqq5f=w1200|https://lh3.googleusercontent.com/pw/AP1GczPeB3D0umOzlBbBXe32_pFRWYiRBIjtUelGKioye93HnDpV--1kl30P60tpqK5aRSGRmmL9Z7ZeLuIgE-s5YJ4DMXrnHY0OB2-LXegE3mVu3Pv0_IDE=w1200|https://lh3.googleusercontent.com/pw/AP1GczMOYds5iHt94FFigQfe7sgpV499FJZ-rSY9s8gXaYxBzdyrIYO5inzI29DZTgevvHisZxRQKVqcI8gQlZwzF9iKPhno5oFIbxcy05MPnjy3f8NZQlxN=w1200|https://lh3.googleusercontent.com/pw/AP1GczMUZivMqzoIKhN3Sshg4RG7M10XPfa87nWdoRoX7UJ4RFvPlV9TsZYE-k9At6Gp1YBFi3aqCtDSTGqcsrAPYJuVkC2MhwvFCJ3TO1kcaZsIkijQlKEB=w1200|https://lh3.googleusercontent.com/pw/AP1GczMQwNGSaP-cRQESLyO0sTULAK63B9I-L2wKPSbrnuJp4aWxMN_Qdtv35V8cawK8A6d3BBI4m4G3AeCboFqL4mEWP5-1uSZjxwa3qObeneRVc7nWr3tQ=w1200</v>
      </c>
    </row>
    <row r="41">
      <c r="A41" s="39" t="str">
        <f>IFERROR(__xludf.DUMMYFUNCTION("""COMPUTED_VALUE"""),"220")</f>
        <v>220</v>
      </c>
      <c r="B41" s="40" t="str">
        <f>IFERROR(__xludf.DUMMYFUNCTION("""COMPUTED_VALUE"""),"Casa lote en barrio La Toma")</f>
        <v>Casa lote en barrio La Toma</v>
      </c>
      <c r="C41" s="40" t="str">
        <f>IFERROR(__xludf.DUMMYFUNCTION("""COMPUTED_VALUE"""),"Casa lote")</f>
        <v>Casa lote</v>
      </c>
      <c r="D41" s="40" t="str">
        <f>IFERROR(__xludf.DUMMYFUNCTION("""COMPUTED_VALUE"""),"La Toma")</f>
        <v>La Toma</v>
      </c>
      <c r="E41" s="42" t="str">
        <f>IFERROR(__xludf.DUMMYFUNCTION("""COMPUTED_VALUE""")," ")</f>
        <v> </v>
      </c>
      <c r="F41" s="42">
        <f>IFERROR(__xludf.DUMMYFUNCTION("""COMPUTED_VALUE"""),4.2E8)</f>
        <v>420000000</v>
      </c>
      <c r="G41" s="40" t="str">
        <f>IFERROR(__xludf.DUMMYFUNCTION("""COMPUTED_VALUE"""),"$400'000.000 a $500'000.000")</f>
        <v>$400'000.000 a $500'000.000</v>
      </c>
      <c r="H41" s="40"/>
      <c r="I41" s="40"/>
      <c r="J41" s="40" t="str">
        <f>IFERROR(__xludf.DUMMYFUNCTION("""COMPUTED_VALUE"""),"Centro")</f>
        <v>Centro</v>
      </c>
      <c r="K41" s="39" t="str">
        <f>IFERROR(__xludf.DUMMYFUNCTION("""COMPUTED_VALUE"""),"3")</f>
        <v>3</v>
      </c>
      <c r="L41" s="40">
        <f>IFERROR(__xludf.DUMMYFUNCTION("""COMPUTED_VALUE"""),3.0)</f>
        <v>3</v>
      </c>
      <c r="M41" s="40"/>
      <c r="N41" s="40">
        <f>IFERROR(__xludf.DUMMYFUNCTION("""COMPUTED_VALUE"""),1.0)</f>
        <v>1</v>
      </c>
      <c r="O41" s="40">
        <f>IFERROR(__xludf.DUMMYFUNCTION("""COMPUTED_VALUE"""),0.0)</f>
        <v>0</v>
      </c>
      <c r="P41" s="40">
        <f>IFERROR(__xludf.DUMMYFUNCTION("""COMPUTED_VALUE"""),1.0)</f>
        <v>1</v>
      </c>
      <c r="Q41" s="48">
        <f>IFERROR(__xludf.DUMMYFUNCTION("""COMPUTED_VALUE"""),247.0)</f>
        <v>247</v>
      </c>
      <c r="R41" s="48">
        <f>IFERROR(__xludf.DUMMYFUNCTION("""COMPUTED_VALUE"""),270.0)</f>
        <v>270</v>
      </c>
      <c r="S41" s="39" t="str">
        <f>IFERROR(__xludf.DUMMYFUNCTION("""COMPUTED_VALUE""")," ")</f>
        <v> </v>
      </c>
      <c r="T41" s="40" t="str">
        <f>IFERROR(__xludf.DUMMYFUNCTION("""COMPUTED_VALUE"""),"Neiva")</f>
        <v>Neiva</v>
      </c>
      <c r="U41" s="39" t="str">
        <f>IFERROR(__xludf.DUMMYFUNCTION("""COMPUTED_VALUE"""),"3")</f>
        <v>3</v>
      </c>
      <c r="V41" s="40" t="str">
        <f>IFERROR(__xludf.DUMMYFUNCTION("""COMPUTED_VALUE"""),"Medianera")</f>
        <v>Medianera</v>
      </c>
      <c r="W41" s="46"/>
      <c r="X41" s="46">
        <f>IFERROR(__xludf.DUMMYFUNCTION("""COMPUTED_VALUE"""),0.0)</f>
        <v>0</v>
      </c>
      <c r="Y41" s="40" t="str">
        <f>IFERROR(__xludf.DUMMYFUNCTION("""COMPUTED_VALUE"""),"No tiene")</f>
        <v>No tiene</v>
      </c>
      <c r="Z41" s="42" t="str">
        <f>IFERROR(__xludf.DUMMYFUNCTION("""COMPUTED_VALUE"""),"No aplica")</f>
        <v>No aplica</v>
      </c>
      <c r="AA41" s="49" t="str">
        <f>IFERROR(__xludf.DUMMYFUNCTION("""COMPUTED_VALUE"""),"No aplica")</f>
        <v>No aplica</v>
      </c>
      <c r="AB41" s="105" t="str">
        <f>IFERROR(__xludf.DUMMYFUNCTION("""COMPUTED_VALUE"""),"https://photos.app.goo.gl/VaLvWiBG6zi6BMQX6")</f>
        <v>https://photos.app.goo.gl/VaLvWiBG6zi6BMQX6</v>
      </c>
      <c r="AC41" s="40" t="str">
        <f>IFERROR(__xludf.DUMMYFUNCTION("""COMPUTED_VALUE"""),"Casa lote para remodelar en un 90%. Materiales en conservación. Piso en baldosa, cubierta en teja de zinc, cielo raso,  marcos y puertas en madera.")</f>
        <v>Casa lote para remodelar en un 90%. Materiales en conservación. Piso en baldosa, cubierta en teja de zinc, cielo raso,  marcos y puertas en madera.</v>
      </c>
      <c r="AD41" s="40" t="str">
        <f>IFERROR(__xludf.DUMMYFUNCTION("""COMPUTED_VALUE"""),"Dimensión del lote 9.0 ml x 30.0 ml. Con patio lineal. Sector Central - Barrio la Toma, enseguida de Bomberos y a 3 casas de la carrera 7.  Cerca de  las clínicas Medilaser y Uros. Escritura al día. No se permuta.")</f>
        <v>Dimensión del lote 9.0 ml x 30.0 ml. Con patio lineal. Sector Central - Barrio la Toma, enseguida de Bomberos y a 3 casas de la carrera 7.  Cerca de  las clínicas Medilaser y Uros. Escritura al día. No se permuta.</v>
      </c>
      <c r="AE41" s="40"/>
      <c r="AF41" s="40" t="str">
        <f>IFERROR(__xludf.DUMMYFUNCTION("""COMPUTED_VALUE"""),"básica")</f>
        <v>básica</v>
      </c>
      <c r="AG41" s="40" t="str">
        <f>IFERROR(__xludf.DUMMYFUNCTION("""COMPUTED_VALUE"""),"SI")</f>
        <v>SI</v>
      </c>
      <c r="AH41" s="40" t="str">
        <f>IFERROR(__xludf.DUMMYFUNCTION("""COMPUTED_VALUE"""),"Inventario")</f>
        <v>Inventario</v>
      </c>
      <c r="AI41" s="40" t="str">
        <f>IFERROR(__xludf.DUMMYFUNCTION("""COMPUTED_VALUE"""),"Directo")</f>
        <v>Directo</v>
      </c>
      <c r="AJ41" s="40" t="str">
        <f>IFERROR(__xludf.DUMMYFUNCTION("""COMPUTED_VALUE"""),"ICDE")</f>
        <v>ICDE</v>
      </c>
      <c r="AK41" s="40" t="str">
        <f>IFERROR(__xludf.DUMMYFUNCTION("""COMPUTED_VALUE"""),"FIRMO CONTRATO")</f>
        <v>FIRMO CONTRATO</v>
      </c>
      <c r="AL41" s="40" t="str">
        <f>IFERROR(__xludf.DUMMYFUNCTION("""COMPUTED_VALUE"""),"DESCRIPCION")</f>
        <v>DESCRIPCION</v>
      </c>
      <c r="AM41" s="40">
        <f>IFERROR(__xludf.DUMMYFUNCTION("""COMPUTED_VALUE"""),3.162351704E9)</f>
        <v>3162351704</v>
      </c>
      <c r="AN41" s="40">
        <f>IFERROR(__xludf.DUMMYFUNCTION("""COMPUTED_VALUE"""),3.154062689E9)</f>
        <v>3154062689</v>
      </c>
      <c r="AO41" s="40" t="str">
        <f>IFERROR(__xludf.DUMMYFUNCTION("""COMPUTED_VALUE"""),"JORGE LUIS PULIDO GUTIERREZ-LILIAN PULIDO")</f>
        <v>JORGE LUIS PULIDO GUTIERREZ-LILIAN PULIDO</v>
      </c>
      <c r="AP41" s="40" t="str">
        <f>IFERROR(__xludf.DUMMYFUNCTION("""COMPUTED_VALUE"""),"Calle 14 No. 7-33 / 39/ 7-25")</f>
        <v>Calle 14 No. 7-33 / 39/ 7-25</v>
      </c>
      <c r="AQ41" s="40">
        <f>IFERROR(__xludf.DUMMYFUNCTION("""COMPUTED_VALUE"""),2.9328346)</f>
        <v>2.9328346</v>
      </c>
      <c r="AR41" s="40">
        <f>IFERROR(__xludf.DUMMYFUNCTION("""COMPUTED_VALUE"""),-75.2880653)</f>
        <v>-75.2880653</v>
      </c>
      <c r="AS41" s="53">
        <f>IFERROR(__xludf.DUMMYFUNCTION("""COMPUTED_VALUE"""),0.0)</f>
        <v>0</v>
      </c>
      <c r="AT41" s="40">
        <f>IFERROR(__xludf.DUMMYFUNCTION("""COMPUTED_VALUE"""),0.0)</f>
        <v>0</v>
      </c>
      <c r="AU41" s="40">
        <f>IFERROR(__xludf.DUMMYFUNCTION("""COMPUTED_VALUE"""),0.0)</f>
        <v>0</v>
      </c>
      <c r="AV41" s="40">
        <f>IFERROR(__xludf.DUMMYFUNCTION("""COMPUTED_VALUE"""),0.0)</f>
        <v>0</v>
      </c>
      <c r="AW41" s="40" t="str">
        <f>IFERROR(__xludf.DUMMYFUNCTION("""COMPUTED_VALUE"""),"NO")</f>
        <v>NO</v>
      </c>
      <c r="AX41" s="40">
        <f>IFERROR(__xludf.DUMMYFUNCTION("""COMPUTED_VALUE"""),0.0)</f>
        <v>0</v>
      </c>
      <c r="AY41" s="40">
        <f>IFERROR(__xludf.DUMMYFUNCTION("""COMPUTED_VALUE"""),0.0)</f>
        <v>0</v>
      </c>
      <c r="AZ41" s="40">
        <f>IFERROR(__xludf.DUMMYFUNCTION("""COMPUTED_VALUE"""),0.0)</f>
        <v>0</v>
      </c>
      <c r="BA41" s="40" t="str">
        <f>IFERROR(__xludf.DUMMYFUNCTION("""COMPUTED_VALUE"""),"X")</f>
        <v>X</v>
      </c>
      <c r="BB41" s="40">
        <f>IFERROR(__xludf.DUMMYFUNCTION("""COMPUTED_VALUE"""),0.0)</f>
        <v>0</v>
      </c>
      <c r="BC41" s="53"/>
      <c r="BD41" s="48"/>
      <c r="BE41" s="48"/>
      <c r="BF41" s="48" t="str">
        <f>IFERROR(__xludf.DUMMYFUNCTION("""COMPUTED_VALUE"""),"https://lh3.googleusercontent.com/pw/AP1GczOuGOTgrnv2S4elxCFaS73FL2q7K1NN_BH5NqrOOWe9f5vfluuLR4hlXrk9i5hl6_TbD47Kkg046knfSFZeeoZM2TeanjRt6rEA2vY-VCpfIcYkBhuH=w1200|https://lh3.googleusercontent.com/pw/AP1GczN3oeSDE_Kz8fKADs_5NPLHJcf0AlcnrDEqxGTZCYaqtRQcsK"&amp;"cQSkRm40vhl-TmQOXu0j_F9rIBvcTcHLPouNixoFXrZKEibPEuDMQScL7o_UOCdR1m=w1200|https://lh3.googleusercontent.com/pw/AP1GczOOX8-BIoBnjo2fBSUAzDL1fRLezORjoF1dxBP5kHG3PybR2ZujFHomS0QwXEeouU_f30v1xzNLPc_UALg9xvTk8XCIdaCUQHaPG6v5ytaIBNd22Zd4=w1200|https://lh3.google"&amp;"usercontent.com/pw/AP1GczMkLRYZq_BnlcJxluJTwLIpbHxlb4wR8xOBzlIKltBlB2yxMHS8cwuTXa6p0_f2uTP89lq69Ar1TJtFpnMyibKMkTaFueQavgZLY-gNUeCAXZYveNj4=w1200|https://lh3.googleusercontent.com/pw/AP1GczNK18MyGM7DS4USaJjxy8WZvRJm-rt05yFmrTV-kNUracY06bEbDSt7QNVbgeDBrz4l"&amp;"_o0ry0c4KF0IEY_dFSSv3GO6VF0aXpgbMPnV2wvm1JOVF139=w1200|https://lh3.googleusercontent.com/pw/AP1GczPy8dpNdMRx0Yw6Ht1zroavELJNaTEFGzO6C8ThcjaoZAIE5ZdXTuunOPtrVm-2RIFZIWm14llvIsQwRY6MzzrQxTv_zHZGcSlAmn0I7k8EzwHgBqs1=w1200|https://lh3.googleusercontent.com/pw"&amp;"/AP1GczPXDQ4l0SykPkak-9iFRShWVktf9KrkIpsFYEh0Q05RY1Najs1UrXDyqLdoG9MAE1ewkn4dI6274cM1CGpTz4rir7HMiOLnxDM8wuCDte-n5VYYmtrB=w1200|https://lh3.googleusercontent.com/pw/AP1GczMS6OiH5hMRes0xtJL3975TFrDYWHE9r7YKZ0raPPAQSybGuBo7dq-6tGSGcLoi3DHbcSXbty-uNPgKKGxUVn"&amp;"enWjzp0YAV_2HBKqg2AuE6rcoqrlMz=w1200|https://lh3.googleusercontent.com/pw/AP1GczPW0MO5gAGbaQ89ubUP7rNhU62fVAC8dcyBbEKj0Oz6N0Y3ErlhIFkM2uUsvx6ykiWxif0CpzDZw1mu3bHcTVzB-IJiENhD7zvBDHL8MZ4UXAPqafrY=w1200")</f>
        <v>https://lh3.googleusercontent.com/pw/AP1GczOuGOTgrnv2S4elxCFaS73FL2q7K1NN_BH5NqrOOWe9f5vfluuLR4hlXrk9i5hl6_TbD47Kkg046knfSFZeeoZM2TeanjRt6rEA2vY-VCpfIcYkBhuH=w1200|https://lh3.googleusercontent.com/pw/AP1GczN3oeSDE_Kz8fKADs_5NPLHJcf0AlcnrDEqxGTZCYaqtRQcsKcQSkRm40vhl-TmQOXu0j_F9rIBvcTcHLPouNixoFXrZKEibPEuDMQScL7o_UOCdR1m=w1200|https://lh3.googleusercontent.com/pw/AP1GczOOX8-BIoBnjo2fBSUAzDL1fRLezORjoF1dxBP5kHG3PybR2ZujFHomS0QwXEeouU_f30v1xzNLPc_UALg9xvTk8XCIdaCUQHaPG6v5ytaIBNd22Zd4=w1200|https://lh3.googleusercontent.com/pw/AP1GczMkLRYZq_BnlcJxluJTwLIpbHxlb4wR8xOBzlIKltBlB2yxMHS8cwuTXa6p0_f2uTP89lq69Ar1TJtFpnMyibKMkTaFueQavgZLY-gNUeCAXZYveNj4=w1200|https://lh3.googleusercontent.com/pw/AP1GczNK18MyGM7DS4USaJjxy8WZvRJm-rt05yFmrTV-kNUracY06bEbDSt7QNVbgeDBrz4l_o0ry0c4KF0IEY_dFSSv3GO6VF0aXpgbMPnV2wvm1JOVF139=w1200|https://lh3.googleusercontent.com/pw/AP1GczPy8dpNdMRx0Yw6Ht1zroavELJNaTEFGzO6C8ThcjaoZAIE5ZdXTuunOPtrVm-2RIFZIWm14llvIsQwRY6MzzrQxTv_zHZGcSlAmn0I7k8EzwHgBqs1=w1200|https://lh3.googleusercontent.com/pw/AP1GczPXDQ4l0SykPkak-9iFRShWVktf9KrkIpsFYEh0Q05RY1Najs1UrXDyqLdoG9MAE1ewkn4dI6274cM1CGpTz4rir7HMiOLnxDM8wuCDte-n5VYYmtrB=w1200|https://lh3.googleusercontent.com/pw/AP1GczMS6OiH5hMRes0xtJL3975TFrDYWHE9r7YKZ0raPPAQSybGuBo7dq-6tGSGcLoi3DHbcSXbty-uNPgKKGxUVnenWjzp0YAV_2HBKqg2AuE6rcoqrlMz=w1200|https://lh3.googleusercontent.com/pw/AP1GczPW0MO5gAGbaQ89ubUP7rNhU62fVAC8dcyBbEKj0Oz6N0Y3ErlhIFkM2uUsvx6ykiWxif0CpzDZw1mu3bHcTVzB-IJiENhD7zvBDHL8MZ4UXAPqafrY=w1200</v>
      </c>
    </row>
    <row r="42">
      <c r="A42" s="39" t="str">
        <f>IFERROR(__xludf.DUMMYFUNCTION("""COMPUTED_VALUE"""),"240")</f>
        <v>240</v>
      </c>
      <c r="B42" s="40" t="str">
        <f>IFERROR(__xludf.DUMMYFUNCTION("""COMPUTED_VALUE"""),"Casa más 2 apartamentos y un local en barrio Alamos Norte")</f>
        <v>Casa más 2 apartamentos y un local en barrio Alamos Norte</v>
      </c>
      <c r="C42" s="40" t="str">
        <f>IFERROR(__xludf.DUMMYFUNCTION("""COMPUTED_VALUE"""),"Casa rentable")</f>
        <v>Casa rentable</v>
      </c>
      <c r="D42" s="40" t="str">
        <f>IFERROR(__xludf.DUMMYFUNCTION("""COMPUTED_VALUE"""),"Alamos Norte")</f>
        <v>Alamos Norte</v>
      </c>
      <c r="E42" s="40"/>
      <c r="F42" s="42">
        <f>IFERROR(__xludf.DUMMYFUNCTION("""COMPUTED_VALUE"""),4.0E8)</f>
        <v>400000000</v>
      </c>
      <c r="G42" s="40" t="str">
        <f>IFERROR(__xludf.DUMMYFUNCTION("""COMPUTED_VALUE"""),"$400'000.000 a $500'000.000")</f>
        <v>$400'000.000 a $500'000.000</v>
      </c>
      <c r="H42" s="40"/>
      <c r="I42" s="40"/>
      <c r="J42" s="40" t="str">
        <f>IFERROR(__xludf.DUMMYFUNCTION("""COMPUTED_VALUE"""),"Norte")</f>
        <v>Norte</v>
      </c>
      <c r="K42" s="39"/>
      <c r="L42" s="40">
        <f>IFERROR(__xludf.DUMMYFUNCTION("""COMPUTED_VALUE"""),7.0)</f>
        <v>7</v>
      </c>
      <c r="M42" s="40"/>
      <c r="N42" s="40">
        <f>IFERROR(__xludf.DUMMYFUNCTION("""COMPUTED_VALUE"""),4.0)</f>
        <v>4</v>
      </c>
      <c r="O42" s="40">
        <f>IFERROR(__xludf.DUMMYFUNCTION("""COMPUTED_VALUE"""),1.0)</f>
        <v>1</v>
      </c>
      <c r="P42" s="40">
        <f>IFERROR(__xludf.DUMMYFUNCTION("""COMPUTED_VALUE"""),2.0)</f>
        <v>2</v>
      </c>
      <c r="Q42" s="48">
        <f>IFERROR(__xludf.DUMMYFUNCTION("""COMPUTED_VALUE"""),200.0)</f>
        <v>200</v>
      </c>
      <c r="R42" s="48">
        <f>IFERROR(__xludf.DUMMYFUNCTION("""COMPUTED_VALUE"""),112.0)</f>
        <v>112</v>
      </c>
      <c r="S42" s="39" t="str">
        <f>IFERROR(__xludf.DUMMYFUNCTION("""COMPUTED_VALUE"""),"Rentabilidad $2,800,000")</f>
        <v>Rentabilidad $2,800,000</v>
      </c>
      <c r="T42" s="40" t="str">
        <f>IFERROR(__xludf.DUMMYFUNCTION("""COMPUTED_VALUE"""),"Neiva")</f>
        <v>Neiva</v>
      </c>
      <c r="U42" s="39" t="str">
        <f>IFERROR(__xludf.DUMMYFUNCTION("""COMPUTED_VALUE"""),"2")</f>
        <v>2</v>
      </c>
      <c r="V42" s="40" t="str">
        <f>IFERROR(__xludf.DUMMYFUNCTION("""COMPUTED_VALUE"""),"Medianera")</f>
        <v>Medianera</v>
      </c>
      <c r="W42" s="46"/>
      <c r="X42" s="46">
        <f>IFERROR(__xludf.DUMMYFUNCTION("""COMPUTED_VALUE"""),2.0)</f>
        <v>2</v>
      </c>
      <c r="Y42" s="40" t="str">
        <f>IFERROR(__xludf.DUMMYFUNCTION("""COMPUTED_VALUE"""),"No tiene")</f>
        <v>No tiene</v>
      </c>
      <c r="Z42" s="42" t="str">
        <f>IFERROR(__xludf.DUMMYFUNCTION("""COMPUTED_VALUE"""),"No aplica")</f>
        <v>No aplica</v>
      </c>
      <c r="AA42" s="49" t="str">
        <f>IFERROR(__xludf.DUMMYFUNCTION("""COMPUTED_VALUE"""),"12 años")</f>
        <v>12 años</v>
      </c>
      <c r="AB42" s="105" t="str">
        <f>IFERROR(__xludf.DUMMYFUNCTION("""COMPUTED_VALUE"""),"https://photos.app.goo.gl/9VWPgqFrjRj8vNLw8")</f>
        <v>https://photos.app.goo.gl/9VWPgqFrjRj8vNLw8</v>
      </c>
      <c r="AC42" s="40" t="str">
        <f>IFERROR(__xludf.DUMMYFUNCTION("""COMPUTED_VALUE"""),"Cuenta con buenos acabados, placa de entrepiso en placa fácil, a una altura de 3.0 ml. Piso en cerámica. Carpintería marcos, puertas, closet y muebles empotrados en madera. Cielo raso del segundo piso en icopor, lámparas Led de empotrar.")</f>
        <v>Cuenta con buenos acabados, placa de entrepiso en placa fácil, a una altura de 3.0 ml. Piso en cerámica. Carpintería marcos, puertas, closet y muebles empotrados en madera. Cielo raso del segundo piso en icopor, lámparas Led de empotrar.</v>
      </c>
      <c r="AD42" s="40" t="str">
        <f>IFERROR(__xludf.DUMMYFUNCTION("""COMPUTED_VALUE"""),"Casa  con reja antejardín. Bien ubicada sobre vía vehicular amplia doble calzada con separador calle 50 A, Altura de la casa 3 ml. Apartamentos con buenos acabados. Escritura al día. No se permuta.")</f>
        <v>Casa  con reja antejardín. Bien ubicada sobre vía vehicular amplia doble calzada con separador calle 50 A, Altura de la casa 3 ml. Apartamentos con buenos acabados. Escritura al día. No se permuta.</v>
      </c>
      <c r="AE42" s="40"/>
      <c r="AF42" s="40" t="str">
        <f>IFERROR(__xludf.DUMMYFUNCTION("""COMPUTED_VALUE"""),"semi-integral")</f>
        <v>semi-integral</v>
      </c>
      <c r="AG42" s="40" t="str">
        <f>IFERROR(__xludf.DUMMYFUNCTION("""COMPUTED_VALUE"""),"SI")</f>
        <v>SI</v>
      </c>
      <c r="AH42" s="40" t="str">
        <f>IFERROR(__xludf.DUMMYFUNCTION("""COMPUTED_VALUE"""),"Inventario")</f>
        <v>Inventario</v>
      </c>
      <c r="AI42" s="40" t="str">
        <f>IFERROR(__xludf.DUMMYFUNCTION("""COMPUTED_VALUE"""),"Directo")</f>
        <v>Directo</v>
      </c>
      <c r="AJ42" s="40" t="str">
        <f>IFERROR(__xludf.DUMMYFUNCTION("""COMPUTED_VALUE"""),"ICDE")</f>
        <v>ICDE</v>
      </c>
      <c r="AK42" s="40" t="str">
        <f>IFERROR(__xludf.DUMMYFUNCTION("""COMPUTED_VALUE"""),"FIRMO CONTRATO")</f>
        <v>FIRMO CONTRATO</v>
      </c>
      <c r="AL42" s="40" t="str">
        <f>IFERROR(__xludf.DUMMYFUNCTION("""COMPUTED_VALUE"""),"TIENE FOTOS")</f>
        <v>TIENE FOTOS</v>
      </c>
      <c r="AM42" s="40">
        <f>IFERROR(__xludf.DUMMYFUNCTION("""COMPUTED_VALUE"""),3.123111201E9)</f>
        <v>3123111201</v>
      </c>
      <c r="AN42" s="40">
        <f>IFERROR(__xludf.DUMMYFUNCTION("""COMPUTED_VALUE"""),3.11467475E9)</f>
        <v>3114674750</v>
      </c>
      <c r="AO42" s="40" t="str">
        <f>IFERROR(__xludf.DUMMYFUNCTION("""COMPUTED_VALUE"""),"RUBIELA LOSADA CALDERON - ALEXANDER")</f>
        <v>RUBIELA LOSADA CALDERON - ALEXANDER</v>
      </c>
      <c r="AP42" s="40" t="str">
        <f>IFERROR(__xludf.DUMMYFUNCTION("""COMPUTED_VALUE"""),"CALLE 50A No. 21 A - 22")</f>
        <v>CALLE 50A No. 21 A - 22</v>
      </c>
      <c r="AQ42" s="40">
        <f>IFERROR(__xludf.DUMMYFUNCTION("""COMPUTED_VALUE"""),2.9573684)</f>
        <v>2.9573684</v>
      </c>
      <c r="AR42" s="40">
        <f>IFERROR(__xludf.DUMMYFUNCTION("""COMPUTED_VALUE"""),-75.2816115)</f>
        <v>-75.2816115</v>
      </c>
      <c r="AS42" s="53">
        <f>IFERROR(__xludf.DUMMYFUNCTION("""COMPUTED_VALUE"""),2800000.0)</f>
        <v>2800000</v>
      </c>
      <c r="AT42" s="40">
        <f>IFERROR(__xludf.DUMMYFUNCTION("""COMPUTED_VALUE"""),0.0)</f>
        <v>0</v>
      </c>
      <c r="AU42" s="40">
        <f>IFERROR(__xludf.DUMMYFUNCTION("""COMPUTED_VALUE"""),0.0)</f>
        <v>0</v>
      </c>
      <c r="AV42" s="40">
        <f>IFERROR(__xludf.DUMMYFUNCTION("""COMPUTED_VALUE"""),0.0)</f>
        <v>0</v>
      </c>
      <c r="AW42" s="40" t="str">
        <f>IFERROR(__xludf.DUMMYFUNCTION("""COMPUTED_VALUE"""),"NO")</f>
        <v>NO</v>
      </c>
      <c r="AX42" s="40">
        <f>IFERROR(__xludf.DUMMYFUNCTION("""COMPUTED_VALUE"""),0.0)</f>
        <v>0</v>
      </c>
      <c r="AY42" s="40" t="str">
        <f>IFERROR(__xludf.DUMMYFUNCTION("""COMPUTED_VALUE"""),"P")</f>
        <v>P</v>
      </c>
      <c r="AZ42" s="40">
        <f>IFERROR(__xludf.DUMMYFUNCTION("""COMPUTED_VALUE"""),8.0)</f>
        <v>8</v>
      </c>
      <c r="BA42" s="40" t="str">
        <f>IFERROR(__xludf.DUMMYFUNCTION("""COMPUTED_VALUE"""),"X")</f>
        <v>X</v>
      </c>
      <c r="BB42" s="40">
        <f>IFERROR(__xludf.DUMMYFUNCTION("""COMPUTED_VALUE"""),14.0)</f>
        <v>14</v>
      </c>
      <c r="BC42" s="53"/>
      <c r="BD42" s="48"/>
      <c r="BE42" s="48"/>
      <c r="BF42" s="48" t="str">
        <f>IFERROR(__xludf.DUMMYFUNCTION("""COMPUTED_VALUE"""),"https://lh3.googleusercontent.com/pw/AP1GczNH2L-CqBJkkE7XL5Inh3eIxpwxHGWMa2h3jjb0hfnfjKEH_FCVZYxEYZ5wxyBnVlhyO3Bx8uE_qXM8_y18iKFVp_448Lg9vuphh4J9yUUK7MSOxV_s=w1200|https://lh3.googleusercontent.com/pw/AP1GczOISQHSi--5wbTpSEjdN0L1yPuIWFNNN3xtieWQTp-4SiDjnC"&amp;"H94peDLFXHNdQeFYbQZO4svp_wAAzbp-vihlSBMfhkuhPS_zZ2hJzCb56df4QZZS1-=w1200|https://lh3.googleusercontent.com/pw/AP1GczO6vstkrQ66XzflO7unH6OmninIOeZiTbNMj6GppWY1V2cOUyc9STBOCm_VwmhpsGNuDZAAijJekxc7DZqVcGTuUfwxrIa6qR017aaKP006-p4eDm3n=w1200|https://lh3.google"&amp;"usercontent.com/pw/AP1GczNZbQAZEsClOdbAgYWtL6dbQEGWUTkuisVmgSJgswAIR7OuDpqNeUpLGsc7pdhY6Mzf5o9dM1kMfQhIIe-0uxpazu97FmE1d_6KMcnHmgB_1vow5BFW=w1200|https://lh3.googleusercontent.com/pw/AP1GczPHJGlVobBAvzBhGEzDFVoNq8OADjHJZJVH6To0ISkfRHVT7wjRPxcHG9sWXdB1OoTo"&amp;"xC7m2XilK5rpAp9AnCcj62yIZWUxAYq2cR2qjBqfXf3wsgrR=w1200|https://lh3.googleusercontent.com/pw/AP1GczNLqKgE4s7F0tf2_EmxDPiF4UHHJX_eoAyEHpRtCuRRkt73iXfhbzrycn3T1i6hdbTXPA61f1KuwI2_JdqO_C0WCA6yHR7uHfxtNnAZTQFXqYkY8EYH=w1200|https://lh3.googleusercontent.com/pw"&amp;"/AP1GczMTtm3_LToOusGeoyXnpX8s_QI9ty4NW_fpGZGbZqgE81b0hueJCfEzVysES2Kb58HAHYoQRt0kI82YDP5mr4-RULAQFl3i7CEBpsouPa5YmwmwO1r3=w1200|https://lh3.googleusercontent.com/pw/AP1GczMKQUFRGiOAZk2UIiJgbaLfdAJVeECMLvmRzOJkiTVUf6td-J1_jlQjZTu-ckYnNXb_Kqqr6l6SWvgz_Drly8"&amp;"fTCK9AeNSJYzzUoYKNqYvXr_SB0uW8=w1200|https://lh3.googleusercontent.com/pw/AP1GczNOzcecRFmTTpxbCrIX_4KGU07xNChddZ3bRQN9qPZ9YXHdU-sSSNNx4X9WpVD9bJTLdUTKHtPAUsRZwkqeJ3PCLWG4T-7ou2zKRP2MhZUuEw_ICIgS=w1200|https://lh3.googleusercontent.com/pw/AP1GczOEVI1znChoq"&amp;"W119WnOJh348xyA0vZR8uRrMt85ikrdwU3dCznZ5Wxj-GF-zawPMY9WS-AtLKInewWNTOmStIhjr3AsbLCk7TnOgM4O71LSq5j5Ak1E=w1200|https://lh3.googleusercontent.com/pw/AP1GczNcQWYy8aC1IMy7bInjVOPYGH7Ofrhtb6vTD14cLw-FACeS_SllJONzORC0GsuQMK99Py1IbWpCPZYPwi5oHo49yFmVV1OdIPzHSMdq"&amp;"PPEio7a_xrbl=w1200|https://lh3.googleusercontent.com/pw/AP1GczPpfjh_rW3Hx9tlJ_Jbj5AAShoswUHG4TrQdusYJoTBpYcstYyqBuTBEAFDNtKPbwUrJG1A3MDD0agA6sYhy7uffq5UkJ4CNn4eGcRHygmzY7BcRS3X=w1200|https://lh3.googleusercontent.com/pw/AP1GczNGNLhTYY2YZTXcnp4PoAcYpoFwl5R"&amp;"63kmTE5rXYi6zE_VVXH33Df2wZGemdYSsWGwTYYykIliu7U2xvp6gOA1z1PARusQqqHY0DfZhj2mQpm27O_51=w1200|https://lh3.googleusercontent.com/pw/AP1GczODjmVWj5wTA208qfkMHNxrAEvBnpUJt2Ia8FTBxxEy95iVwhj8YNkIY3OqY_O8vUdeuYtbRePnyrZyQbAv3PsyeYCxV6JwYAQkAAy3NurrueVHcnhL=w1200"&amp;"|https://lh3.googleusercontent.com/pw/AP1GczPrnKzuQBghXhBDPf0i-KcC-BtS_-5RQzMvJ7Kg6UebgGqvcAmu-0dNuxtrOSmF9cFyRHKcd8zoDEhi3XLS_qgPGWbf4pAA4fb0Apq7ynwLbPKQdT49=w1200|https://lh3.googleusercontent.com/pw/AP1GczNajlhO-aUU0GwB1GPs-3zTwlm8HdFcNaQrI5BN9xjmsw7EL"&amp;"KFqbXu9IOX8UCmkOD3dme3HopFs0jwlErJm6vFbmXyj_LAwNek6D4NZJ0MZjw8OToBM=w1200|https://lh3.googleusercontent.com/pw/AP1GczPbsEyksv92_x_m2iWyl9UFoO31MfIRdKThPRR77V3gDVw0tVttQxwwGkS0aMk-6SFEK7T66YeqM1mdzIF-ZztxbuKAKuLjCCapiW2ELGgpg-DPoqYP=w1200|https://lh3.googl"&amp;"eusercontent.com/pw/AP1GczMDedP539uudHaWnE0IHVPxaYGzZygTs7k-USq9lkPRdCJF6_XC7CUwoR6f-TREmyt9DnTftqCgvt4IOKEtvgxQZbazY_-EA1FSvf_oeghEmsJkOekL=w1200|https://lh3.googleusercontent.com/pw/AP1GczPT4FzNTfiW2Od2Wo1CvVS2tbXH4naDwEr8yo544FCvHaBa1w5IBFD_Xl9K7d5nR-U"&amp;"z9rPIH3vAIfZNCmYqUySIp2jHo3nrMcbeiZN8mhWgumD-MLnm=w1200|https://lh3.googleusercontent.com/pw/AP1GczO0mslpU7m8hBlMMDWHgojRjsWHZhGqJNSnQiZhFqgfKiJ5QQST3Gr6efwlPJZzAcNAA0UgqFILd2tLf_0r5vXiNCdAN2aEzgjIHE6CghV8td94jt9K=w1200|https://lh3.googleusercontent.com/p"&amp;"w/AP1GczOAID7xKtVj97lGcudRkUVlLvWzXrFv22CYjAKf3o8M7NSSGfeyXs6zHSut3-5TdBdW2WaqBxEQ1QcDbxcBWoqJhM_9AM9ggsWEbCc_3MzTKJDmAkMh=w1200|https://lh3.googleusercontent.com/pw/AP1GczPSrVx-JI3yF3i06Loi8cO3zD3vI_Aa9a8O7eRrVyeoQrKOi5qDzayG7HG51ECHC3svjSaOVJ03qD0igexRT"&amp;"UUM_HwxObC0WVTx_NgevORP8D3icmJD=w1200|https://lh3.googleusercontent.com/pw/AP1GczPXPu4vnZBR0QbfCcPEBYN-EQI0-PzUjkPwwtfwg6c0WXWSHtPxYFYWZON9XL-BLIhg6TLUlENz-kpwOEiihj-nwUySBEAd2hm4AuojSkgo9v7MhFAD=w1200|https://lh3.googleusercontent.com/pw/AP1GczOomcksRuTk"&amp;"TvN2vaIOZzZ11qrCNQdYNXugnvd89wUAUui7xPrq3Vuj4U8TGbF_TWlxGO3rvE3ddSDWsIuy1YICbV49dPz5UwWjYIOe5H-zYYSRkI3e=w1200|https://lh3.googleusercontent.com/pw/AP1GczPHfcjiMc7einskkSBw92c_KY3CRrVqkWhzhnAaxcLiecLM4yuVSD6vACsXn50wzlqlFNfOo16GlFQXwNG-A57lW19Tfzm6lW25Kf1"&amp;"tfzwQHyk54qvX=w1200|https://lh3.googleusercontent.com/pw/AP1GczO_cmiVAioLrSsc9MbvP7UChPAPvYojPGVr5u6mY1cpbfSQECwmCEB2zSO3ruMI77NSai39ilJkQa37zlqxDsALQo7nQRmpNLJ84Y5TjtcX44G5uaE1=w1200|https://lh3.googleusercontent.com/pw/AP1GczO_Btj2YkhSi_i8iN3sDym1RREyqo"&amp;"nNFCvSiWwC__jZlut5IpEbCdVNBVZJDDO2Sk8ESlBsAOF0eeDMiHWgpsgl8OSRiA3SmAUoHRTrwmccF-PDS34X=w1200|https://lh3.googleusercontent.com/pw/AP1GczN77bO561bAGyPeCaCw0bCmN8KXYOfKc3BZwBL8DO1lcRuJosG9FIrxesy4cimeH4KHeyMAVNuk4aIaq-RohLAduBRSwGftw7YWl6DijfU6NhNovTbq=w120"&amp;"0|https://lh3.googleusercontent.com/pw/AP1GczPoWwPBXZWVPuTWCbCXlLwJ1eeGE0-qzf9tKL72i4lGHsV9vI82B0eL-3UgPlCy2yd4pmU-ZBC8CTvXseoxmfSDMa5Nzmslye8QzjUxS51v7H_uEd9s=w1200|https://lh3.googleusercontent.com/pw/AP1GczMJFWzo9hqQ0TC8xep4FAzxJq6cJHq9ZQBNBBzCaFTAx8fk"&amp;"TtdVv9CnDEGQxaag2IDkSQ2JRIa6V_vhPzMVyxGNzsw9AqTb4o0gyAsly_DUfoXQvJ1l=w1200|https://lh3.googleusercontent.com/pw/AP1GczOCaVWHe6H1XoN-x4xvG3zr1sUH_tUSHPdcgxQptIdVTh8hDUYr29ImXqtaqfhXiCc10ggFsvQQYMDME11gzYbyd3GFh6jsFQn2su1mVPNPiPQqe5hB=w1200|https://lh3.goog"&amp;"leusercontent.com/pw/AP1GczOx1E3RqUe3bc7r8z3RCXVSi0XfwkMStvPX_4-of9zs7gTL3Usfe9hjeFsc6tNIsTL07rP2JHlE4JpLz8GivxrAa_tasvfJPDxM_gXP0TGdRBBj-O9O=w1200|https://lh3.googleusercontent.com/pw/AP1GczNf2EKVBMQfDsDefU6i70yWnQjt_2apymROrQv0S51W_bG1YHBNskHeZfz5vIQGxd"&amp;"5jSI_Pl_Z7bipgdo4mx_1YGu52X_391MAXUSAyKGHrIl8aybmT=w1200")</f>
        <v>https://lh3.googleusercontent.com/pw/AP1GczNH2L-CqBJkkE7XL5Inh3eIxpwxHGWMa2h3jjb0hfnfjKEH_FCVZYxEYZ5wxyBnVlhyO3Bx8uE_qXM8_y18iKFVp_448Lg9vuphh4J9yUUK7MSOxV_s=w1200|https://lh3.googleusercontent.com/pw/AP1GczOISQHSi--5wbTpSEjdN0L1yPuIWFNNN3xtieWQTp-4SiDjnCH94peDLFXHNdQeFYbQZO4svp_wAAzbp-vihlSBMfhkuhPS_zZ2hJzCb56df4QZZS1-=w1200|https://lh3.googleusercontent.com/pw/AP1GczO6vstkrQ66XzflO7unH6OmninIOeZiTbNMj6GppWY1V2cOUyc9STBOCm_VwmhpsGNuDZAAijJekxc7DZqVcGTuUfwxrIa6qR017aaKP006-p4eDm3n=w1200|https://lh3.googleusercontent.com/pw/AP1GczNZbQAZEsClOdbAgYWtL6dbQEGWUTkuisVmgSJgswAIR7OuDpqNeUpLGsc7pdhY6Mzf5o9dM1kMfQhIIe-0uxpazu97FmE1d_6KMcnHmgB_1vow5BFW=w1200|https://lh3.googleusercontent.com/pw/AP1GczPHJGlVobBAvzBhGEzDFVoNq8OADjHJZJVH6To0ISkfRHVT7wjRPxcHG9sWXdB1OoToxC7m2XilK5rpAp9AnCcj62yIZWUxAYq2cR2qjBqfXf3wsgrR=w1200|https://lh3.googleusercontent.com/pw/AP1GczNLqKgE4s7F0tf2_EmxDPiF4UHHJX_eoAyEHpRtCuRRkt73iXfhbzrycn3T1i6hdbTXPA61f1KuwI2_JdqO_C0WCA6yHR7uHfxtNnAZTQFXqYkY8EYH=w1200|https://lh3.googleusercontent.com/pw/AP1GczMTtm3_LToOusGeoyXnpX8s_QI9ty4NW_fpGZGbZqgE81b0hueJCfEzVysES2Kb58HAHYoQRt0kI82YDP5mr4-RULAQFl3i7CEBpsouPa5YmwmwO1r3=w1200|https://lh3.googleusercontent.com/pw/AP1GczMKQUFRGiOAZk2UIiJgbaLfdAJVeECMLvmRzOJkiTVUf6td-J1_jlQjZTu-ckYnNXb_Kqqr6l6SWvgz_Drly8fTCK9AeNSJYzzUoYKNqYvXr_SB0uW8=w1200|https://lh3.googleusercontent.com/pw/AP1GczNOzcecRFmTTpxbCrIX_4KGU07xNChddZ3bRQN9qPZ9YXHdU-sSSNNx4X9WpVD9bJTLdUTKHtPAUsRZwkqeJ3PCLWG4T-7ou2zKRP2MhZUuEw_ICIgS=w1200|https://lh3.googleusercontent.com/pw/AP1GczOEVI1znChoqW119WnOJh348xyA0vZR8uRrMt85ikrdwU3dCznZ5Wxj-GF-zawPMY9WS-AtLKInewWNTOmStIhjr3AsbLCk7TnOgM4O71LSq5j5Ak1E=w1200|https://lh3.googleusercontent.com/pw/AP1GczNcQWYy8aC1IMy7bInjVOPYGH7Ofrhtb6vTD14cLw-FACeS_SllJONzORC0GsuQMK99Py1IbWpCPZYPwi5oHo49yFmVV1OdIPzHSMdqPPEio7a_xrbl=w1200|https://lh3.googleusercontent.com/pw/AP1GczPpfjh_rW3Hx9tlJ_Jbj5AAShoswUHG4TrQdusYJoTBpYcstYyqBuTBEAFDNtKPbwUrJG1A3MDD0agA6sYhy7uffq5UkJ4CNn4eGcRHygmzY7BcRS3X=w1200|https://lh3.googleusercontent.com/pw/AP1GczNGNLhTYY2YZTXcnp4PoAcYpoFwl5R63kmTE5rXYi6zE_VVXH33Df2wZGemdYSsWGwTYYykIliu7U2xvp6gOA1z1PARusQqqHY0DfZhj2mQpm27O_51=w1200|https://lh3.googleusercontent.com/pw/AP1GczODjmVWj5wTA208qfkMHNxrAEvBnpUJt2Ia8FTBxxEy95iVwhj8YNkIY3OqY_O8vUdeuYtbRePnyrZyQbAv3PsyeYCxV6JwYAQkAAy3NurrueVHcnhL=w1200|https://lh3.googleusercontent.com/pw/AP1GczPrnKzuQBghXhBDPf0i-KcC-BtS_-5RQzMvJ7Kg6UebgGqvcAmu-0dNuxtrOSmF9cFyRHKcd8zoDEhi3XLS_qgPGWbf4pAA4fb0Apq7ynwLbPKQdT49=w1200|https://lh3.googleusercontent.com/pw/AP1GczNajlhO-aUU0GwB1GPs-3zTwlm8HdFcNaQrI5BN9xjmsw7ELKFqbXu9IOX8UCmkOD3dme3HopFs0jwlErJm6vFbmXyj_LAwNek6D4NZJ0MZjw8OToBM=w1200|https://lh3.googleusercontent.com/pw/AP1GczPbsEyksv92_x_m2iWyl9UFoO31MfIRdKThPRR77V3gDVw0tVttQxwwGkS0aMk-6SFEK7T66YeqM1mdzIF-ZztxbuKAKuLjCCapiW2ELGgpg-DPoqYP=w1200|https://lh3.googleusercontent.com/pw/AP1GczMDedP539uudHaWnE0IHVPxaYGzZygTs7k-USq9lkPRdCJF6_XC7CUwoR6f-TREmyt9DnTftqCgvt4IOKEtvgxQZbazY_-EA1FSvf_oeghEmsJkOekL=w1200|https://lh3.googleusercontent.com/pw/AP1GczPT4FzNTfiW2Od2Wo1CvVS2tbXH4naDwEr8yo544FCvHaBa1w5IBFD_Xl9K7d5nR-Uz9rPIH3vAIfZNCmYqUySIp2jHo3nrMcbeiZN8mhWgumD-MLnm=w1200|https://lh3.googleusercontent.com/pw/AP1GczO0mslpU7m8hBlMMDWHgojRjsWHZhGqJNSnQiZhFqgfKiJ5QQST3Gr6efwlPJZzAcNAA0UgqFILd2tLf_0r5vXiNCdAN2aEzgjIHE6CghV8td94jt9K=w1200|https://lh3.googleusercontent.com/pw/AP1GczOAID7xKtVj97lGcudRkUVlLvWzXrFv22CYjAKf3o8M7NSSGfeyXs6zHSut3-5TdBdW2WaqBxEQ1QcDbxcBWoqJhM_9AM9ggsWEbCc_3MzTKJDmAkMh=w1200|https://lh3.googleusercontent.com/pw/AP1GczPSrVx-JI3yF3i06Loi8cO3zD3vI_Aa9a8O7eRrVyeoQrKOi5qDzayG7HG51ECHC3svjSaOVJ03qD0igexRTUUM_HwxObC0WVTx_NgevORP8D3icmJD=w1200|https://lh3.googleusercontent.com/pw/AP1GczPXPu4vnZBR0QbfCcPEBYN-EQI0-PzUjkPwwtfwg6c0WXWSHtPxYFYWZON9XL-BLIhg6TLUlENz-kpwOEiihj-nwUySBEAd2hm4AuojSkgo9v7MhFAD=w1200|https://lh3.googleusercontent.com/pw/AP1GczOomcksRuTkTvN2vaIOZzZ11qrCNQdYNXugnvd89wUAUui7xPrq3Vuj4U8TGbF_TWlxGO3rvE3ddSDWsIuy1YICbV49dPz5UwWjYIOe5H-zYYSRkI3e=w1200|https://lh3.googleusercontent.com/pw/AP1GczPHfcjiMc7einskkSBw92c_KY3CRrVqkWhzhnAaxcLiecLM4yuVSD6vACsXn50wzlqlFNfOo16GlFQXwNG-A57lW19Tfzm6lW25Kf1tfzwQHyk54qvX=w1200|https://lh3.googleusercontent.com/pw/AP1GczO_cmiVAioLrSsc9MbvP7UChPAPvYojPGVr5u6mY1cpbfSQECwmCEB2zSO3ruMI77NSai39ilJkQa37zlqxDsALQo7nQRmpNLJ84Y5TjtcX44G5uaE1=w1200|https://lh3.googleusercontent.com/pw/AP1GczO_Btj2YkhSi_i8iN3sDym1RREyqonNFCvSiWwC__jZlut5IpEbCdVNBVZJDDO2Sk8ESlBsAOF0eeDMiHWgpsgl8OSRiA3SmAUoHRTrwmccF-PDS34X=w1200|https://lh3.googleusercontent.com/pw/AP1GczN77bO561bAGyPeCaCw0bCmN8KXYOfKc3BZwBL8DO1lcRuJosG9FIrxesy4cimeH4KHeyMAVNuk4aIaq-RohLAduBRSwGftw7YWl6DijfU6NhNovTbq=w1200|https://lh3.googleusercontent.com/pw/AP1GczPoWwPBXZWVPuTWCbCXlLwJ1eeGE0-qzf9tKL72i4lGHsV9vI82B0eL-3UgPlCy2yd4pmU-ZBC8CTvXseoxmfSDMa5Nzmslye8QzjUxS51v7H_uEd9s=w1200|https://lh3.googleusercontent.com/pw/AP1GczMJFWzo9hqQ0TC8xep4FAzxJq6cJHq9ZQBNBBzCaFTAx8fkTtdVv9CnDEGQxaag2IDkSQ2JRIa6V_vhPzMVyxGNzsw9AqTb4o0gyAsly_DUfoXQvJ1l=w1200|https://lh3.googleusercontent.com/pw/AP1GczOCaVWHe6H1XoN-x4xvG3zr1sUH_tUSHPdcgxQptIdVTh8hDUYr29ImXqtaqfhXiCc10ggFsvQQYMDME11gzYbyd3GFh6jsFQn2su1mVPNPiPQqe5hB=w1200|https://lh3.googleusercontent.com/pw/AP1GczOx1E3RqUe3bc7r8z3RCXVSi0XfwkMStvPX_4-of9zs7gTL3Usfe9hjeFsc6tNIsTL07rP2JHlE4JpLz8GivxrAa_tasvfJPDxM_gXP0TGdRBBj-O9O=w1200|https://lh3.googleusercontent.com/pw/AP1GczNf2EKVBMQfDsDefU6i70yWnQjt_2apymROrQv0S51W_bG1YHBNskHeZfz5vIQGxd5jSI_Pl_Z7bipgdo4mx_1YGu52X_391MAXUSAyKGHrIl8aybmT=w1200</v>
      </c>
    </row>
    <row r="43">
      <c r="A43" s="39" t="str">
        <f>IFERROR(__xludf.DUMMYFUNCTION("""COMPUTED_VALUE"""),"321")</f>
        <v>321</v>
      </c>
      <c r="B43" s="40" t="str">
        <f>IFERROR(__xludf.DUMMYFUNCTION("""COMPUTED_VALUE"""),"Casa con dos apartamentos en barrio Las Granjas")</f>
        <v>Casa con dos apartamentos en barrio Las Granjas</v>
      </c>
      <c r="C43" s="40" t="str">
        <f>IFERROR(__xludf.DUMMYFUNCTION("""COMPUTED_VALUE"""),"Casa rentable")</f>
        <v>Casa rentable</v>
      </c>
      <c r="D43" s="40" t="str">
        <f>IFERROR(__xludf.DUMMYFUNCTION("""COMPUTED_VALUE"""),"Las Granjas")</f>
        <v>Las Granjas</v>
      </c>
      <c r="E43" s="40"/>
      <c r="F43" s="42">
        <f>IFERROR(__xludf.DUMMYFUNCTION("""COMPUTED_VALUE"""),3.0E8)</f>
        <v>300000000</v>
      </c>
      <c r="G43" s="40" t="str">
        <f>IFERROR(__xludf.DUMMYFUNCTION("""COMPUTED_VALUE"""),"$300'000.000 a $400'000.000")</f>
        <v>$300'000.000 a $400'000.000</v>
      </c>
      <c r="H43" s="40"/>
      <c r="I43" s="40"/>
      <c r="J43" s="40" t="str">
        <f>IFERROR(__xludf.DUMMYFUNCTION("""COMPUTED_VALUE"""),"Norte")</f>
        <v>Norte</v>
      </c>
      <c r="K43" s="39" t="str">
        <f>IFERROR(__xludf.DUMMYFUNCTION("""COMPUTED_VALUE"""),"2")</f>
        <v>2</v>
      </c>
      <c r="L43" s="40">
        <f>IFERROR(__xludf.DUMMYFUNCTION("""COMPUTED_VALUE"""),5.0)</f>
        <v>5</v>
      </c>
      <c r="M43" s="40"/>
      <c r="N43" s="40">
        <f>IFERROR(__xludf.DUMMYFUNCTION("""COMPUTED_VALUE"""),2.0)</f>
        <v>2</v>
      </c>
      <c r="O43" s="40">
        <f>IFERROR(__xludf.DUMMYFUNCTION("""COMPUTED_VALUE"""),3.0)</f>
        <v>3</v>
      </c>
      <c r="P43" s="40">
        <f>IFERROR(__xludf.DUMMYFUNCTION("""COMPUTED_VALUE"""),1.0)</f>
        <v>1</v>
      </c>
      <c r="Q43" s="48">
        <f>IFERROR(__xludf.DUMMYFUNCTION("""COMPUTED_VALUE"""),188.0)</f>
        <v>188</v>
      </c>
      <c r="R43" s="48">
        <f>IFERROR(__xludf.DUMMYFUNCTION("""COMPUTED_VALUE"""),288.0)</f>
        <v>288</v>
      </c>
      <c r="S43" s="39" t="str">
        <f>IFERROR(__xludf.DUMMYFUNCTION("""COMPUTED_VALUE"""),"Rentabilidad $1,000,000")</f>
        <v>Rentabilidad $1,000,000</v>
      </c>
      <c r="T43" s="40" t="str">
        <f>IFERROR(__xludf.DUMMYFUNCTION("""COMPUTED_VALUE"""),"Neiva")</f>
        <v>Neiva</v>
      </c>
      <c r="U43" s="39" t="str">
        <f>IFERROR(__xludf.DUMMYFUNCTION("""COMPUTED_VALUE"""),"2")</f>
        <v>2</v>
      </c>
      <c r="V43" s="40" t="str">
        <f>IFERROR(__xludf.DUMMYFUNCTION("""COMPUTED_VALUE"""),"Medianera")</f>
        <v>Medianera</v>
      </c>
      <c r="W43" s="46"/>
      <c r="X43" s="46">
        <f>IFERROR(__xludf.DUMMYFUNCTION("""COMPUTED_VALUE"""),0.0)</f>
        <v>0</v>
      </c>
      <c r="Y43" s="40" t="str">
        <f>IFERROR(__xludf.DUMMYFUNCTION("""COMPUTED_VALUE"""),"No tiene")</f>
        <v>No tiene</v>
      </c>
      <c r="Z43" s="42" t="str">
        <f>IFERROR(__xludf.DUMMYFUNCTION("""COMPUTED_VALUE"""),"No aplica")</f>
        <v>No aplica</v>
      </c>
      <c r="AA43" s="49" t="str">
        <f>IFERROR(__xludf.DUMMYFUNCTION("""COMPUTED_VALUE"""),"25 años")</f>
        <v>25 años</v>
      </c>
      <c r="AB43" s="105" t="str">
        <f>IFERROR(__xludf.DUMMYFUNCTION("""COMPUTED_VALUE"""),"https://photos.app.goo.gl/9z5fRUHiNkwXYUsQ6")</f>
        <v>https://photos.app.goo.gl/9z5fRUHiNkwXYUsQ6</v>
      </c>
      <c r="AC43" s="40" t="str">
        <f>IFERROR(__xludf.DUMMYFUNCTION("""COMPUTED_VALUE"""),"Apartamento con buenos acabados, Cubierta en metaldek y perfil metálico. Piso en cerámica, cielo raso en icopor, área de servicios con cerámica antideslizante. Las habitaciones no cuentan con puertas. La casa para remodelar con materiales de conservación,"&amp;" piso en baldosa, cielo raso en Dri Wall con lámparas Led de empotrar. Patio amplio.")</f>
        <v>Apartamento con buenos acabados, Cubierta en metaldek y perfil metálico. Piso en cerámica, cielo raso en icopor, área de servicios con cerámica antideslizante. Las habitaciones no cuentan con puertas. La casa para remodelar con materiales de conservación, piso en baldosa, cielo raso en Dri Wall con lámparas Led de empotrar. Patio amplio.</v>
      </c>
      <c r="AD43" s="40" t="str">
        <f>IFERROR(__xludf.DUMMYFUNCTION("""COMPUTED_VALUE"""),"Dimensión del lote 12.0 ml x 24.00 ml. Cuenta con reja antejardín. Apartamento remodelado y la casa para remodelar en un 90%. Ubicada a una cuadra de la avenida 26. Escritura al día. Permuta no.")</f>
        <v>Dimensión del lote 12.0 ml x 24.00 ml. Cuenta con reja antejardín. Apartamento remodelado y la casa para remodelar en un 90%. Ubicada a una cuadra de la avenida 26. Escritura al día. Permuta no.</v>
      </c>
      <c r="AE43" s="40"/>
      <c r="AF43" s="40" t="str">
        <f>IFERROR(__xludf.DUMMYFUNCTION("""COMPUTED_VALUE"""),"semi-integral")</f>
        <v>semi-integral</v>
      </c>
      <c r="AG43" s="40" t="str">
        <f>IFERROR(__xludf.DUMMYFUNCTION("""COMPUTED_VALUE"""),"SI")</f>
        <v>SI</v>
      </c>
      <c r="AH43" s="40" t="str">
        <f>IFERROR(__xludf.DUMMYFUNCTION("""COMPUTED_VALUE"""),"Inventario")</f>
        <v>Inventario</v>
      </c>
      <c r="AI43" s="40" t="str">
        <f>IFERROR(__xludf.DUMMYFUNCTION("""COMPUTED_VALUE"""),"Directo")</f>
        <v>Directo</v>
      </c>
      <c r="AJ43" s="40" t="str">
        <f>IFERROR(__xludf.DUMMYFUNCTION("""COMPUTED_VALUE"""),"ICDE")</f>
        <v>ICDE</v>
      </c>
      <c r="AK43" s="40" t="str">
        <f>IFERROR(__xludf.DUMMYFUNCTION("""COMPUTED_VALUE"""),"FIRMO CONTRATO")</f>
        <v>FIRMO CONTRATO</v>
      </c>
      <c r="AL43" s="40" t="str">
        <f>IFERROR(__xludf.DUMMYFUNCTION("""COMPUTED_VALUE"""),"TIENE FOTOS")</f>
        <v>TIENE FOTOS</v>
      </c>
      <c r="AM43" s="40">
        <f>IFERROR(__xludf.DUMMYFUNCTION("""COMPUTED_VALUE"""),3.017419595E9)</f>
        <v>3017419595</v>
      </c>
      <c r="AN43" s="40">
        <f>IFERROR(__xludf.DUMMYFUNCTION("""COMPUTED_VALUE"""),3.195819142E9)</f>
        <v>3195819142</v>
      </c>
      <c r="AO43" s="40" t="str">
        <f>IFERROR(__xludf.DUMMYFUNCTION("""COMPUTED_VALUE"""),"JOVANY ALARCON-HNOS")</f>
        <v>JOVANY ALARCON-HNOS</v>
      </c>
      <c r="AP43" s="40" t="str">
        <f>IFERROR(__xludf.DUMMYFUNCTION("""COMPUTED_VALUE"""),"CALLE 28 No. 7A - 57")</f>
        <v>CALLE 28 No. 7A - 57</v>
      </c>
      <c r="AQ43" s="40">
        <f>IFERROR(__xludf.DUMMYFUNCTION("""COMPUTED_VALUE"""),2.9441587)</f>
        <v>2.9441587</v>
      </c>
      <c r="AR43" s="40">
        <f>IFERROR(__xludf.DUMMYFUNCTION("""COMPUTED_VALUE"""),-75.289707)</f>
        <v>-75.289707</v>
      </c>
      <c r="AS43" s="53">
        <f>IFERROR(__xludf.DUMMYFUNCTION("""COMPUTED_VALUE"""),1000000.0)</f>
        <v>1000000</v>
      </c>
      <c r="AT43" s="40">
        <f>IFERROR(__xludf.DUMMYFUNCTION("""COMPUTED_VALUE"""),0.0)</f>
        <v>0</v>
      </c>
      <c r="AU43" s="40">
        <f>IFERROR(__xludf.DUMMYFUNCTION("""COMPUTED_VALUE"""),0.0)</f>
        <v>0</v>
      </c>
      <c r="AV43" s="40">
        <f>IFERROR(__xludf.DUMMYFUNCTION("""COMPUTED_VALUE"""),0.0)</f>
        <v>0</v>
      </c>
      <c r="AW43" s="40" t="str">
        <f>IFERROR(__xludf.DUMMYFUNCTION("""COMPUTED_VALUE"""),"NO")</f>
        <v>NO</v>
      </c>
      <c r="AX43" s="40">
        <f>IFERROR(__xludf.DUMMYFUNCTION("""COMPUTED_VALUE"""),0.0)</f>
        <v>0</v>
      </c>
      <c r="AY43" s="40" t="str">
        <f>IFERROR(__xludf.DUMMYFUNCTION("""COMPUTED_VALUE"""),"SI")</f>
        <v>SI</v>
      </c>
      <c r="AZ43" s="40">
        <f>IFERROR(__xludf.DUMMYFUNCTION("""COMPUTED_VALUE"""),12.0)</f>
        <v>12</v>
      </c>
      <c r="BA43" s="40" t="str">
        <f>IFERROR(__xludf.DUMMYFUNCTION("""COMPUTED_VALUE"""),"X")</f>
        <v>X</v>
      </c>
      <c r="BB43" s="40">
        <f>IFERROR(__xludf.DUMMYFUNCTION("""COMPUTED_VALUE"""),24.0)</f>
        <v>24</v>
      </c>
      <c r="BC43" s="53" t="str">
        <f>IFERROR(__xludf.DUMMYFUNCTION("""COMPUTED_VALUE"""),"35 - LUIS ANGEL VARGAS")</f>
        <v>35 - LUIS ANGEL VARGAS</v>
      </c>
      <c r="BD43" s="40"/>
      <c r="BE43" s="48"/>
      <c r="BF43" s="48" t="str">
        <f>IFERROR(__xludf.DUMMYFUNCTION("""COMPUTED_VALUE"""),"https://lh3.googleusercontent.com/pw/AP1GczOdtS1Iz2ARgCzOkwylKkxHTfUXRUeY_NSD-2K0ZasVrW40GaW7r5Eo4pYnJhWsm8lp-xTj3nzaatNfGpdI07x2EgS-qgTNT0gm90jR_XfAfjirt24o=w1200|https://lh3.googleusercontent.com/pw/AP1GczPcdBYoPV62QRDdpfDGA7KPgcyLq0KaWmuAtqWY1MLJZEynoG"&amp;"Wn-i5kbKCRv876db8iBsXnb792InKd5JEiRmIwvzPY2dIVTRQZAEVGGcPMQOaI42eb=w1200|https://lh3.googleusercontent.com/pw/AP1GczNw3NME6sR0H6dB1Vckvnmogw19N_mUI1HgveSNklYmyX9cruIv9VoCuBF_KlzuN5tC8jQ961n27U-7urBbdBbOSva32QNoWMjprsbbpDMVq7VoEnng=w1200|https://lh3.google"&amp;"usercontent.com/pw/AP1GczNgdtTYGvyFOaXh4A5Ys5Y0G-8Ocg5eEYojFpHMN3HmERlHqrU2m0qVh-cyBLhOvh4hDXoISP9D5HG0D7NfofBJxCMJSoUFgLa8guv9Y8sBk9gRoThw=w1200|https://lh3.googleusercontent.com/pw/AP1GczMikBBFpUZHRPFgkgyfnxJ1233008Fb-aSU704i8SXFKrLxPmXuhn_vycz1tYImbmnQ"&amp;"wdL4uL8-zyEQGntYbNEs6DJy6y1rOZnbqnPExmtaNaZ81uxt=w1200|https://lh3.googleusercontent.com/pw/AP1GczOJRT8DSY8t_o2ecDUw9NqocWH5Sbd7RDO5UTJFCGr7kOlApuNaDt-eRKJXUjY9h5eAqKQF49UQ4y4-KFHn6L0gBF8s2t_FGIIJHAe9NKwJo6h2zf9S=w1200|https://lh3.googleusercontent.com/pw"&amp;"/AP1GczNQAfZCJZVi2nUh4_yslc2zCdD7cZdgePqlbqhg_9oJ74dxQsjrD29I7mC1e4hztHsmRD7_9rMm4ijs0tAFIq7ExbW1xBzpf7KESu-7kFaUPUC3YYyo=w1200|https://lh3.googleusercontent.com/pw/AP1GczM78sGLxB3lWguT6tzG6JpZ5GMoQZBm0cKbfudiIqBdEQb-blyUtTTuLuypwYYnY45j8gRMkirmisTEoDQAsu"&amp;"c0ch6pnRFzH9Y1xndzg8N3rdKHM6Kh=w1200|https://lh3.googleusercontent.com/pw/AP1GczMuSfbHumE4lk0OZLZQRFSHfrTMb6suNuN77PfDa1Xx25-ituTTd-Nc-52bdGQAblVunDln7xrD0UByHH3rvBSiYVATc0tKs27MUdTZsFl5tZze2sB_=w1200|https://lh3.googleusercontent.com/pw/AP1GczMCh7GNaO7Qz"&amp;"18EVXu5amBoE8vjnbws7vYvzvd559BKhpKJcNuFCv4RGMvbDcPl_z4p_lclboT-vpvll-VmwriRANuwy6ebahj01g3he-ujysoqoqb1=w1200|https://lh3.googleusercontent.com/pw/AP1GczMYqLCj9um93MDI8h2DETFvgMf1OD2JUITY7o-XeP3extWwhIWK3FIc7iZVcmW6ahZAPBJleBry2EnqRp0BqcnHuqTRlvg7KZDsLVbd"&amp;"EPmVnISOXzkQ=w1200|https://lh3.googleusercontent.com/pw/AP1GczPQwCW6sWXTwL-3eo7Gkj8-BEj4a3F0eI_4W1AeNESzUO8br7Z1SOE0mAuXCx_HojPhxZrYOKFagJgcPnHwl4n_D_sr5wPH5X_-QQD6qpm60zkq2nh6=w1200|https://lh3.googleusercontent.com/pw/AP1GczO-ZIYlQOsy09kMGB9ojAoQHOFiJ5-"&amp;"_mEEXjpj0rxB4RRMKcZP6o1qwQ4aPMRP2MfzDgaPpEtJts-rGeRIzbpA17DIsC0uIKJFHJwpORw_j4t-cC8qC=w1200|https://lh3.googleusercontent.com/pw/AP1GczP2zz6I10iiY_9IeSM5CV_Dp0A_-99vYFFLEFGAPQxWpM3oifhHinHUSl2TnV9Th2A1T5uDyHyXQiDX-KB5g2EoQXgnozYIf1HVuGqU32yQ8em_rkKH=w1200"&amp;"|https://lh3.googleusercontent.com/pw/AP1GczPo_NA1ksT25_e7EXUjgNc-3j9gA0N1biBxrWXP70-pL8VYCcl9SHY6TqdCUhCWqI9zh4vZMu0G4nD7c4oaKx_mRP1LIX4JGFM2Xi4Un1cJbzXiCDHY=w1200|https://lh3.googleusercontent.com/pw/AP1GczM5KWoOvSA2AhVIlsmRGZB-2eEWOw0WeKW0HnsqD50At_jJT"&amp;"sz5hvCwzf6JfBbMzMPLkJgsL3iZh_hCrTBKmSCkVXVVqXFOuWl4xBU8gUQmA2HzBXEm=w1200|https://lh3.googleusercontent.com/pw/AP1GczMhH0Ascvu0qcGSOlEC4EAqQ89SeSgb4t-gKxwho7t-GQ9xyHK1p-30n4pOsxtKOlRlche6yvVOCdFxUXgy_I4b-L8tz8kkBauVP_vKc_28eAOEHIP1=w1200|https://lh3.googl"&amp;"eusercontent.com/pw/AP1GczPPlRq2kuZbqYjelwsACg0Cp2y-W8E7PMTUGuubzbmjQZjiZ2VzY5V5W0aPuQYV5ON-URvzm5EJyu5mZzUUeWWR3mzucRwy0LE6kE2z3YO_GA2oJhFf=w1200|https://lh3.googleusercontent.com/pw/AP1GczNwrjYBrdn14UriJYw_6p-ph0N7Rawc5lnm5OVjmdDAPWjkVooJLOptdqm_2va4CA-"&amp;"r0tfLvuE1PMPnGDQ5XQI48XM3w3wE0Z3xhV-gQXEKx3MbacQ4=w1200")</f>
        <v>https://lh3.googleusercontent.com/pw/AP1GczOdtS1Iz2ARgCzOkwylKkxHTfUXRUeY_NSD-2K0ZasVrW40GaW7r5Eo4pYnJhWsm8lp-xTj3nzaatNfGpdI07x2EgS-qgTNT0gm90jR_XfAfjirt24o=w1200|https://lh3.googleusercontent.com/pw/AP1GczPcdBYoPV62QRDdpfDGA7KPgcyLq0KaWmuAtqWY1MLJZEynoGWn-i5kbKCRv876db8iBsXnb792InKd5JEiRmIwvzPY2dIVTRQZAEVGGcPMQOaI42eb=w1200|https://lh3.googleusercontent.com/pw/AP1GczNw3NME6sR0H6dB1Vckvnmogw19N_mUI1HgveSNklYmyX9cruIv9VoCuBF_KlzuN5tC8jQ961n27U-7urBbdBbOSva32QNoWMjprsbbpDMVq7VoEnng=w1200|https://lh3.googleusercontent.com/pw/AP1GczNgdtTYGvyFOaXh4A5Ys5Y0G-8Ocg5eEYojFpHMN3HmERlHqrU2m0qVh-cyBLhOvh4hDXoISP9D5HG0D7NfofBJxCMJSoUFgLa8guv9Y8sBk9gRoThw=w1200|https://lh3.googleusercontent.com/pw/AP1GczMikBBFpUZHRPFgkgyfnxJ1233008Fb-aSU704i8SXFKrLxPmXuhn_vycz1tYImbmnQwdL4uL8-zyEQGntYbNEs6DJy6y1rOZnbqnPExmtaNaZ81uxt=w1200|https://lh3.googleusercontent.com/pw/AP1GczOJRT8DSY8t_o2ecDUw9NqocWH5Sbd7RDO5UTJFCGr7kOlApuNaDt-eRKJXUjY9h5eAqKQF49UQ4y4-KFHn6L0gBF8s2t_FGIIJHAe9NKwJo6h2zf9S=w1200|https://lh3.googleusercontent.com/pw/AP1GczNQAfZCJZVi2nUh4_yslc2zCdD7cZdgePqlbqhg_9oJ74dxQsjrD29I7mC1e4hztHsmRD7_9rMm4ijs0tAFIq7ExbW1xBzpf7KESu-7kFaUPUC3YYyo=w1200|https://lh3.googleusercontent.com/pw/AP1GczM78sGLxB3lWguT6tzG6JpZ5GMoQZBm0cKbfudiIqBdEQb-blyUtTTuLuypwYYnY45j8gRMkirmisTEoDQAsuc0ch6pnRFzH9Y1xndzg8N3rdKHM6Kh=w1200|https://lh3.googleusercontent.com/pw/AP1GczMuSfbHumE4lk0OZLZQRFSHfrTMb6suNuN77PfDa1Xx25-ituTTd-Nc-52bdGQAblVunDln7xrD0UByHH3rvBSiYVATc0tKs27MUdTZsFl5tZze2sB_=w1200|https://lh3.googleusercontent.com/pw/AP1GczMCh7GNaO7Qz18EVXu5amBoE8vjnbws7vYvzvd559BKhpKJcNuFCv4RGMvbDcPl_z4p_lclboT-vpvll-VmwriRANuwy6ebahj01g3he-ujysoqoqb1=w1200|https://lh3.googleusercontent.com/pw/AP1GczMYqLCj9um93MDI8h2DETFvgMf1OD2JUITY7o-XeP3extWwhIWK3FIc7iZVcmW6ahZAPBJleBry2EnqRp0BqcnHuqTRlvg7KZDsLVbdEPmVnISOXzkQ=w1200|https://lh3.googleusercontent.com/pw/AP1GczPQwCW6sWXTwL-3eo7Gkj8-BEj4a3F0eI_4W1AeNESzUO8br7Z1SOE0mAuXCx_HojPhxZrYOKFagJgcPnHwl4n_D_sr5wPH5X_-QQD6qpm60zkq2nh6=w1200|https://lh3.googleusercontent.com/pw/AP1GczO-ZIYlQOsy09kMGB9ojAoQHOFiJ5-_mEEXjpj0rxB4RRMKcZP6o1qwQ4aPMRP2MfzDgaPpEtJts-rGeRIzbpA17DIsC0uIKJFHJwpORw_j4t-cC8qC=w1200|https://lh3.googleusercontent.com/pw/AP1GczP2zz6I10iiY_9IeSM5CV_Dp0A_-99vYFFLEFGAPQxWpM3oifhHinHUSl2TnV9Th2A1T5uDyHyXQiDX-KB5g2EoQXgnozYIf1HVuGqU32yQ8em_rkKH=w1200|https://lh3.googleusercontent.com/pw/AP1GczPo_NA1ksT25_e7EXUjgNc-3j9gA0N1biBxrWXP70-pL8VYCcl9SHY6TqdCUhCWqI9zh4vZMu0G4nD7c4oaKx_mRP1LIX4JGFM2Xi4Un1cJbzXiCDHY=w1200|https://lh3.googleusercontent.com/pw/AP1GczM5KWoOvSA2AhVIlsmRGZB-2eEWOw0WeKW0HnsqD50At_jJTsz5hvCwzf6JfBbMzMPLkJgsL3iZh_hCrTBKmSCkVXVVqXFOuWl4xBU8gUQmA2HzBXEm=w1200|https://lh3.googleusercontent.com/pw/AP1GczMhH0Ascvu0qcGSOlEC4EAqQ89SeSgb4t-gKxwho7t-GQ9xyHK1p-30n4pOsxtKOlRlche6yvVOCdFxUXgy_I4b-L8tz8kkBauVP_vKc_28eAOEHIP1=w1200|https://lh3.googleusercontent.com/pw/AP1GczPPlRq2kuZbqYjelwsACg0Cp2y-W8E7PMTUGuubzbmjQZjiZ2VzY5V5W0aPuQYV5ON-URvzm5EJyu5mZzUUeWWR3mzucRwy0LE6kE2z3YO_GA2oJhFf=w1200|https://lh3.googleusercontent.com/pw/AP1GczNwrjYBrdn14UriJYw_6p-ph0N7Rawc5lnm5OVjmdDAPWjkVooJLOptdqm_2va4CA-r0tfLvuE1PMPnGDQ5XQI48XM3w3wE0Z3xhV-gQXEKx3MbacQ4=w1200</v>
      </c>
    </row>
    <row r="44">
      <c r="A44" s="39" t="str">
        <f>IFERROR(__xludf.DUMMYFUNCTION("""COMPUTED_VALUE"""),"079")</f>
        <v>079</v>
      </c>
      <c r="B44" s="40" t="str">
        <f>IFERROR(__xludf.DUMMYFUNCTION("""COMPUTED_VALUE"""),"Casa lote en barrio La Toma")</f>
        <v>Casa lote en barrio La Toma</v>
      </c>
      <c r="C44" s="40" t="str">
        <f>IFERROR(__xludf.DUMMYFUNCTION("""COMPUTED_VALUE"""),"Casa lote")</f>
        <v>Casa lote</v>
      </c>
      <c r="D44" s="40" t="str">
        <f>IFERROR(__xludf.DUMMYFUNCTION("""COMPUTED_VALUE"""),"La Toma")</f>
        <v>La Toma</v>
      </c>
      <c r="E44" s="42" t="str">
        <f>IFERROR(__xludf.DUMMYFUNCTION("""COMPUTED_VALUE""")," ")</f>
        <v> </v>
      </c>
      <c r="F44" s="42">
        <f>IFERROR(__xludf.DUMMYFUNCTION("""COMPUTED_VALUE"""),3.0E8)</f>
        <v>300000000</v>
      </c>
      <c r="G44" s="40" t="str">
        <f>IFERROR(__xludf.DUMMYFUNCTION("""COMPUTED_VALUE"""),"$300'000.000 a $400'000.000")</f>
        <v>$300'000.000 a $400'000.000</v>
      </c>
      <c r="H44" s="40"/>
      <c r="I44" s="40"/>
      <c r="J44" s="40" t="str">
        <f>IFERROR(__xludf.DUMMYFUNCTION("""COMPUTED_VALUE"""),"Centro")</f>
        <v>Centro</v>
      </c>
      <c r="K44" s="39" t="str">
        <f>IFERROR(__xludf.DUMMYFUNCTION("""COMPUTED_VALUE"""),"3")</f>
        <v>3</v>
      </c>
      <c r="L44" s="40">
        <f>IFERROR(__xludf.DUMMYFUNCTION("""COMPUTED_VALUE"""),3.0)</f>
        <v>3</v>
      </c>
      <c r="M44" s="40"/>
      <c r="N44" s="40">
        <f>IFERROR(__xludf.DUMMYFUNCTION("""COMPUTED_VALUE"""),1.0)</f>
        <v>1</v>
      </c>
      <c r="O44" s="40">
        <f>IFERROR(__xludf.DUMMYFUNCTION("""COMPUTED_VALUE"""),0.0)</f>
        <v>0</v>
      </c>
      <c r="P44" s="40">
        <f>IFERROR(__xludf.DUMMYFUNCTION("""COMPUTED_VALUE"""),1.0)</f>
        <v>1</v>
      </c>
      <c r="Q44" s="48"/>
      <c r="R44" s="48">
        <f>IFERROR(__xludf.DUMMYFUNCTION("""COMPUTED_VALUE"""),466.0)</f>
        <v>466</v>
      </c>
      <c r="S44" s="39" t="str">
        <f>IFERROR(__xludf.DUMMYFUNCTION("""COMPUTED_VALUE""")," ")</f>
        <v> </v>
      </c>
      <c r="T44" s="40" t="str">
        <f>IFERROR(__xludf.DUMMYFUNCTION("""COMPUTED_VALUE"""),"Neiva")</f>
        <v>Neiva</v>
      </c>
      <c r="U44" s="39" t="str">
        <f>IFERROR(__xludf.DUMMYFUNCTION("""COMPUTED_VALUE"""),"3")</f>
        <v>3</v>
      </c>
      <c r="V44" s="40" t="str">
        <f>IFERROR(__xludf.DUMMYFUNCTION("""COMPUTED_VALUE"""),"Medianera")</f>
        <v>Medianera</v>
      </c>
      <c r="W44" s="46"/>
      <c r="X44" s="46">
        <f>IFERROR(__xludf.DUMMYFUNCTION("""COMPUTED_VALUE"""),0.0)</f>
        <v>0</v>
      </c>
      <c r="Y44" s="40" t="str">
        <f>IFERROR(__xludf.DUMMYFUNCTION("""COMPUTED_VALUE"""),"No tiene")</f>
        <v>No tiene</v>
      </c>
      <c r="Z44" s="42" t="str">
        <f>IFERROR(__xludf.DUMMYFUNCTION("""COMPUTED_VALUE"""),"No aplica")</f>
        <v>No aplica</v>
      </c>
      <c r="AA44" s="49" t="str">
        <f>IFERROR(__xludf.DUMMYFUNCTION("""COMPUTED_VALUE"""),"No aplica")</f>
        <v>No aplica</v>
      </c>
      <c r="AB44" s="105" t="str">
        <f>IFERROR(__xludf.DUMMYFUNCTION("""COMPUTED_VALUE"""),"https://photos.app.goo.gl/nJDWkAWQZzoqhfSN9")</f>
        <v>https://photos.app.goo.gl/nJDWkAWQZzoqhfSN9</v>
      </c>
      <c r="AC44" s="40" t="str">
        <f>IFERROR(__xludf.DUMMYFUNCTION("""COMPUTED_VALUE"""),"Casa antigua con acabados en conservación para remodelar. Cerca de la avenida.")</f>
        <v>Casa antigua con acabados en conservación para remodelar. Cerca de la avenida.</v>
      </c>
      <c r="AD44" s="40" t="str">
        <f>IFERROR(__xludf.DUMMYFUNCTION("""COMPUTED_VALUE"""),"Dimensión aproximada del lote con medidas irregulares 9.050 ml x 49.0 ml. Patio amplio. Ubicado sobre vía amplia destapada. A una cuadra de la  carrera 9. Escritura al día. No se permuta.")</f>
        <v>Dimensión aproximada del lote con medidas irregulares 9.050 ml x 49.0 ml. Patio amplio. Ubicado sobre vía amplia destapada. A una cuadra de la  carrera 9. Escritura al día. No se permuta.</v>
      </c>
      <c r="AE44" s="40"/>
      <c r="AF44" s="40" t="str">
        <f>IFERROR(__xludf.DUMMYFUNCTION("""COMPUTED_VALUE"""),"básica")</f>
        <v>básica</v>
      </c>
      <c r="AG44" s="40" t="str">
        <f>IFERROR(__xludf.DUMMYFUNCTION("""COMPUTED_VALUE"""),"SI")</f>
        <v>SI</v>
      </c>
      <c r="AH44" s="40" t="str">
        <f>IFERROR(__xludf.DUMMYFUNCTION("""COMPUTED_VALUE"""),"Inventario")</f>
        <v>Inventario</v>
      </c>
      <c r="AI44" s="40" t="str">
        <f>IFERROR(__xludf.DUMMYFUNCTION("""COMPUTED_VALUE"""),"Directo")</f>
        <v>Directo</v>
      </c>
      <c r="AJ44" s="40" t="str">
        <f>IFERROR(__xludf.DUMMYFUNCTION("""COMPUTED_VALUE"""),"ICDE")</f>
        <v>ICDE</v>
      </c>
      <c r="AK44" s="40" t="str">
        <f>IFERROR(__xludf.DUMMYFUNCTION("""COMPUTED_VALUE"""),"PERDIDO CONTRATO FIRMADO")</f>
        <v>PERDIDO CONTRATO FIRMADO</v>
      </c>
      <c r="AL44" s="40" t="str">
        <f>IFERROR(__xludf.DUMMYFUNCTION("""COMPUTED_VALUE"""),"NO FOTOS + DESCRIPCION")</f>
        <v>NO FOTOS + DESCRIPCION</v>
      </c>
      <c r="AM44" s="40">
        <f>IFERROR(__xludf.DUMMYFUNCTION("""COMPUTED_VALUE"""),3.168521934E9)</f>
        <v>3168521934</v>
      </c>
      <c r="AN44" s="40" t="str">
        <f>IFERROR(__xludf.DUMMYFUNCTION("""COMPUTED_VALUE"""),"3165218279 - 3177464058")</f>
        <v>3165218279 - 3177464058</v>
      </c>
      <c r="AO44" s="40" t="str">
        <f>IFERROR(__xludf.DUMMYFUNCTION("""COMPUTED_VALUE"""),"CARMEN ESPOSA LUCHO PROPIETARIO Y OTRO HMNO.")</f>
        <v>CARMEN ESPOSA LUCHO PROPIETARIO Y OTRO HMNO.</v>
      </c>
      <c r="AP44" s="40" t="str">
        <f>IFERROR(__xludf.DUMMYFUNCTION("""COMPUTED_VALUE"""),"CARRERA 8 BIS No. 15-59")</f>
        <v>CARRERA 8 BIS No. 15-59</v>
      </c>
      <c r="AQ44" s="40">
        <f>IFERROR(__xludf.DUMMYFUNCTION("""COMPUTED_VALUE"""),2.9343093)</f>
        <v>2.9343093</v>
      </c>
      <c r="AR44" s="40">
        <f>IFERROR(__xludf.DUMMYFUNCTION("""COMPUTED_VALUE"""),-75.2860281)</f>
        <v>-75.2860281</v>
      </c>
      <c r="AS44" s="53">
        <f>IFERROR(__xludf.DUMMYFUNCTION("""COMPUTED_VALUE"""),0.0)</f>
        <v>0</v>
      </c>
      <c r="AT44" s="40">
        <f>IFERROR(__xludf.DUMMYFUNCTION("""COMPUTED_VALUE"""),0.0)</f>
        <v>0</v>
      </c>
      <c r="AU44" s="40">
        <f>IFERROR(__xludf.DUMMYFUNCTION("""COMPUTED_VALUE"""),0.0)</f>
        <v>0</v>
      </c>
      <c r="AV44" s="40">
        <f>IFERROR(__xludf.DUMMYFUNCTION("""COMPUTED_VALUE"""),0.0)</f>
        <v>0</v>
      </c>
      <c r="AW44" s="40" t="str">
        <f>IFERROR(__xludf.DUMMYFUNCTION("""COMPUTED_VALUE"""),"NO")</f>
        <v>NO</v>
      </c>
      <c r="AX44" s="40">
        <f>IFERROR(__xludf.DUMMYFUNCTION("""COMPUTED_VALUE"""),0.0)</f>
        <v>0</v>
      </c>
      <c r="AY44" s="40">
        <f>IFERROR(__xludf.DUMMYFUNCTION("""COMPUTED_VALUE"""),0.0)</f>
        <v>0</v>
      </c>
      <c r="AZ44" s="40">
        <f>IFERROR(__xludf.DUMMYFUNCTION("""COMPUTED_VALUE"""),10.0)</f>
        <v>10</v>
      </c>
      <c r="BA44" s="40" t="str">
        <f>IFERROR(__xludf.DUMMYFUNCTION("""COMPUTED_VALUE"""),"X")</f>
        <v>X</v>
      </c>
      <c r="BB44" s="40">
        <f>IFERROR(__xludf.DUMMYFUNCTION("""COMPUTED_VALUE"""),40.0)</f>
        <v>40</v>
      </c>
      <c r="BC44" s="53"/>
      <c r="BD44" s="48"/>
      <c r="BE44" s="48"/>
      <c r="BF44" s="48" t="str">
        <f>IFERROR(__xludf.DUMMYFUNCTION("""COMPUTED_VALUE"""),"https://lh3.googleusercontent.com/pw/AP1GczP530wlQj0BdBRa9nbsRcfjo9ZbTsbJ1fVhLAx-MR2jKYRJnEsSex8buE1pr7dO4iwXkNkvlOoxrEYWiN5ySkaU_C8kXAoYXG731kFLCJMMcqvH_-mJ=w1200|https://lh3.googleusercontent.com/pw/AP1GczO2wrabDrzvR2fOp_sqzDzi9emtVP9oAgySG-Rz85oe2RroJJ"&amp;"YNLEg8BZqueaN0gK3bIMesAnB-tzoKUK0dJn9ulmaa-gIvg6u56DQFA8jNP-8y0UXy=w1200|https://lh3.googleusercontent.com/pw/AP1GczNOO_ayokD8cmKcdgAlNlgqBpa1--yyqeqPi6M9dcx1cSNWgCn--86sUAeMJIGFGuWDx-NDnN8-QP1VqfYJHiUbC9P5Laez5vGudM_J1PtpBgPzrKOJ=w1200|https://lh3.google"&amp;"usercontent.com/pw/AP1GczM-fSWcKiW1KrXXV2qEVris4Iui6KIWSZ7TJ979wmsHk6kgvifJNOoZU5Vu5f41ciKos6j3ii0GUJMTCEkiBVvC_rmf809u1geJMds77LcyfpdFm24Y=w1200|https://lh3.googleusercontent.com/pw/AP1GczPAFhdc1OjWlXD8tUImagRuHP-5yNnox23KsiMy-NyN4RrKHMbDP01XMKTYzCwHbTKO"&amp;"2lo27j0Nyvo93IZnQh9zbxvI_pSikgebA2F0KanqNpYCuayb=w1200|https://lh3.googleusercontent.com/pw/AP1GczOVdppsTa5tP1-xL7xqfHevOrxhR_tMog-MbEgaxG1jVQGAVkgUPK_qVeVEokM5p6NUpE2G7SJ7UWu4TL6sx0rT4Y9E5YjZjmJp8RdsMyWWCqYHO46C=w1200|https://lh3.googleusercontent.com/pw"&amp;"/AP1GczOp3VYALR4aELyHDSqfhgncdvojIpZAmTmYBvnB2x1wRyV-t72afy6I33LT3VOqfVs4w1rOlQ5uqdiIxcShdKnbIsokGsP5sg2rnJALTC0HKXF3pwP5=w1200|https://lh3.googleusercontent.com/pw/AP1GczPZmpsadJFp6iYESqTdJp77aIOVJkTCjgRqbnCzRVlulH0lGNqK3ZzdPvNw-sKCjQcndhAXqGoqBgXv8Qq1FH"&amp;"Jz55SqJGRV0P54-fulZWjMpSLPh17l=w1200|https://lh3.googleusercontent.com/pw/AP1GczOhKBNA0lo4af8XHhK-wjO45YyZUZYvptEXk6hiygFmyR36oQ4r6S8A-eStg1qg6fwZWG4m3cxDRaQiJcyQ9d5nJyGC5eSoWM2rIGvTFerwZik3h1Pv=w1200|https://lh3.googleusercontent.com/pw/AP1GczN2pDjcG7giI"&amp;"VI4KMx9Zh-9_y5egC0tzu7iDeAamvPK34VDiniS3MwhhKmbz5MbVPyHtHt7xQkz51zXPrPaqVq4JIh_BUofaiONej5lUnEunFzWIxKV=w1200|https://lh3.googleusercontent.com/pw/AP1GczNMB63y-4sx4PuTjE_MrLtPsc5MV31zhN_aUN4C9pHTj0HBW2pQLViKB1VqI46BqPdgHgwty0pgNc20t2BSDVllNq35SxwnmgnrhnL6"&amp;"iR1TG5uXG1Tg=w1200|https://lh3.googleusercontent.com/pw/AP1GczP-h03UdCoxwzK4yEOz7HJRtUFMmLVlsq138Xdf4sUnBFe5VI7HiRzFPDNZXbsiVdQ-yEMtmaH7gSlA0IEbWZtfxLJXd-m_W7LNr3sL96nOxmpNsBSf=w1200|https://lh3.googleusercontent.com/pw/AP1GczOVa08z4K7LOdLAEVDS4wNpYQ_xpwF"&amp;"PPEMtyZDF8468obAEzkUX7hY5DH2KToO82r_k8UmMNE1cVMKTufv5GCK9g02MWqzo9rFYB-j8YlseNFJXRWuI=w1200|https://lh3.googleusercontent.com/pw/AP1GczPY3dawVFp8T0O-DFWq4Ih_L2L5HTky-KKl7g3GG0TC_-jcxMYc-GAssfbtzkWmR40hnajhfnJUza9t1BzVI6-yWWCsjtZdCOJRED-lDiTRiYR8vK9_=w1200"&amp;"|https://lh3.googleusercontent.com/pw/AP1GczOL5xj0ELJuZLNCCJiRR9Rd50WLTmhxVL8iFu0hxnLUS5NJQnQBAKbrsz-bfUfMJU04xKHL73hSg8HYWl2WCZGb98zz7Gr7ivWWRI2t_OAvCkMLVuym=w1200|https://lh3.googleusercontent.com/pw/AP1GczNYjL8KKzVPu7yXCZAcFeRq0Nj--xYly34ImGVE5qr-RxQjP"&amp;"mxfZOUyNF6hxMCkuJOPIuHjTEV1Krnvycwo_n9n8vrvuBChCtc2aONOeDpmtqrAzHgN=w1200|https://lh3.googleusercontent.com/pw/AP1GczO3I9JiYXuwUSstgDryC87fP_UzomkE6fZt2cwR05bFwG4hMDOwwlnFyt-ZibIUVQ2ohnrxSxl-e4xJeqzhSZgZfyLp0xl6fUm1ljdtQkogqYpk6FJl=w1200|https://lh3.googl"&amp;"eusercontent.com/pw/AP1GczOgphN2u2rpp-jUCtvKIQ4KS0n4zXRYLx3CBJGCE0sxNPn7djuWAA4KbbJk8Wtl9IrgPe_p9o0TQeUrt9GoDFessSHLoEMlJXE6rCdfqma6zUtSSmEq=w1200|https://lh3.googleusercontent.com/pw/AP1GczNfiA3TWYY-eOyHl7hlMluf8Asn9hIEnbCafPqzwRteI5CNYt65dtgmKzzwMMxC6Dg"&amp;"vrAr__Y8tpon4Vg4LChu9dBRuKowebgmzu-TmptLl-komDR47=w1200|https://lh3.googleusercontent.com/pw/AP1GczNFLbt979EGVNhqC8jI1noz0SqYBNc6HwN5-JoagGJOVgKUm9Fc5u4Lyv-7HMDktK-6BF7qd82mhLz68U3frI7iVLSJiBSVh1-D12-RBajsE9aiupTh=w1200|https://lh3.googleusercontent.com/p"&amp;"w/AP1GczPjUeE7oLCCCZdfw5ACrpz_-kIax8mjUVOakx4wR9zp27J4V7rYKM55x_79njGRuMpdfGAZvlDr3oWR7nn2aLxkLLuoPVCfw7lf4Ek9IoFoObzGsfvz=w1200|https://lh3.googleusercontent.com/pw/AP1GczPm6fPQxbq4LZBQsdhz07Tly_fBjRmCeLIFbhcSKDBjJFGBxJRxj9sX8z92IXD1WGehyyvl2XUtnVCVPBcCp"&amp;"C-UUUgJqmm0Ly3aJ8uIozuis4BV5bM5=w1200|https://lh3.googleusercontent.com/pw/AP1GczPfhioVnSdJ0JW4AQfkA3ibTF7RntO7TYxTAWj2_88e1REsT0K96gIdfvmP7kE2V1fe54uxyL4bz-uwOpdHqrz1RgVf_Rx5xYytDuJvYEMMRTpHeE8v=w1200|https://lh3.googleusercontent.com/pw/AP1GczOSjS7J_Jkh"&amp;"UPe1hHIzLEzPVHYGP7lDarHwQrab3439y614jOxrI0mpqqS99UMbSv26EmVKqkrYsdEU9r55vt9ARXi5MN3fLSsjWl-OpVyYvUOGQxCe=w1200|https://lh3.googleusercontent.com/pw/AP1GczOgfidLjDspxNN09N8UyVqCFpwux182sO7mNxhu89hAYHAl9CU8SMRtWDq1tqPynCtXkxqkXh36ydQ4BMGYg9P4Kcc3ENZiq7tIvVn"&amp;"CGeWLhF3ZAMxE=w1200|https://lh3.googleusercontent.com/pw/AP1GczNM6mgudIhmy8ooGzhM7wUHO0qb4Kk3_snOw8KK8yHRQnQY9uDmZSq311wL62KTx0NSMhgHEEvk6pn7yH5KmIHzUpDspUD9NScAVJ2YwTcghjtuUEnr=w1200|https://lh3.googleusercontent.com/pw/AP1GczMQZCydEO9YCOZ8nKlJLk2aAwWFF2"&amp;"SmRGRrnN9dGF-aVJ7UyYaoOx9jFUG7O3klcAwWuxNjhmG2-KnZwTPIEFd4TKcS7TkcYoVIunbtrFdL6STterdW=w1200|https://lh3.googleusercontent.com/pw/AP1GczOemeSaRYBco7MaWNRgy5mm4oygqqGP2I1Or-cgjEdGzisnCpQPPxyAW4pv7xwC7r0BBhzPgndaNtFF-nA3gCmSZIHoVnuux4FWBQV113WIYddIjRCn=w120"&amp;"0|https://lh3.googleusercontent.com/pw/AP1GczN2-SLdS7kZFRHsKT7N1pm_LyUqoFI0KZ7eKOwcHaTmjxIg7TlAzuHaXjaLgrCRTOUiWZtraaCZuqJuD6mWGZY9TyDaW5ytoubJt-zBra_R5uLqzLWt=w1200")</f>
        <v>https://lh3.googleusercontent.com/pw/AP1GczP530wlQj0BdBRa9nbsRcfjo9ZbTsbJ1fVhLAx-MR2jKYRJnEsSex8buE1pr7dO4iwXkNkvlOoxrEYWiN5ySkaU_C8kXAoYXG731kFLCJMMcqvH_-mJ=w1200|https://lh3.googleusercontent.com/pw/AP1GczO2wrabDrzvR2fOp_sqzDzi9emtVP9oAgySG-Rz85oe2RroJJYNLEg8BZqueaN0gK3bIMesAnB-tzoKUK0dJn9ulmaa-gIvg6u56DQFA8jNP-8y0UXy=w1200|https://lh3.googleusercontent.com/pw/AP1GczNOO_ayokD8cmKcdgAlNlgqBpa1--yyqeqPi6M9dcx1cSNWgCn--86sUAeMJIGFGuWDx-NDnN8-QP1VqfYJHiUbC9P5Laez5vGudM_J1PtpBgPzrKOJ=w1200|https://lh3.googleusercontent.com/pw/AP1GczM-fSWcKiW1KrXXV2qEVris4Iui6KIWSZ7TJ979wmsHk6kgvifJNOoZU5Vu5f41ciKos6j3ii0GUJMTCEkiBVvC_rmf809u1geJMds77LcyfpdFm24Y=w1200|https://lh3.googleusercontent.com/pw/AP1GczPAFhdc1OjWlXD8tUImagRuHP-5yNnox23KsiMy-NyN4RrKHMbDP01XMKTYzCwHbTKO2lo27j0Nyvo93IZnQh9zbxvI_pSikgebA2F0KanqNpYCuayb=w1200|https://lh3.googleusercontent.com/pw/AP1GczOVdppsTa5tP1-xL7xqfHevOrxhR_tMog-MbEgaxG1jVQGAVkgUPK_qVeVEokM5p6NUpE2G7SJ7UWu4TL6sx0rT4Y9E5YjZjmJp8RdsMyWWCqYHO46C=w1200|https://lh3.googleusercontent.com/pw/AP1GczOp3VYALR4aELyHDSqfhgncdvojIpZAmTmYBvnB2x1wRyV-t72afy6I33LT3VOqfVs4w1rOlQ5uqdiIxcShdKnbIsokGsP5sg2rnJALTC0HKXF3pwP5=w1200|https://lh3.googleusercontent.com/pw/AP1GczPZmpsadJFp6iYESqTdJp77aIOVJkTCjgRqbnCzRVlulH0lGNqK3ZzdPvNw-sKCjQcndhAXqGoqBgXv8Qq1FHJz55SqJGRV0P54-fulZWjMpSLPh17l=w1200|https://lh3.googleusercontent.com/pw/AP1GczOhKBNA0lo4af8XHhK-wjO45YyZUZYvptEXk6hiygFmyR36oQ4r6S8A-eStg1qg6fwZWG4m3cxDRaQiJcyQ9d5nJyGC5eSoWM2rIGvTFerwZik3h1Pv=w1200|https://lh3.googleusercontent.com/pw/AP1GczN2pDjcG7giIVI4KMx9Zh-9_y5egC0tzu7iDeAamvPK34VDiniS3MwhhKmbz5MbVPyHtHt7xQkz51zXPrPaqVq4JIh_BUofaiONej5lUnEunFzWIxKV=w1200|https://lh3.googleusercontent.com/pw/AP1GczNMB63y-4sx4PuTjE_MrLtPsc5MV31zhN_aUN4C9pHTj0HBW2pQLViKB1VqI46BqPdgHgwty0pgNc20t2BSDVllNq35SxwnmgnrhnL6iR1TG5uXG1Tg=w1200|https://lh3.googleusercontent.com/pw/AP1GczP-h03UdCoxwzK4yEOz7HJRtUFMmLVlsq138Xdf4sUnBFe5VI7HiRzFPDNZXbsiVdQ-yEMtmaH7gSlA0IEbWZtfxLJXd-m_W7LNr3sL96nOxmpNsBSf=w1200|https://lh3.googleusercontent.com/pw/AP1GczOVa08z4K7LOdLAEVDS4wNpYQ_xpwFPPEMtyZDF8468obAEzkUX7hY5DH2KToO82r_k8UmMNE1cVMKTufv5GCK9g02MWqzo9rFYB-j8YlseNFJXRWuI=w1200|https://lh3.googleusercontent.com/pw/AP1GczPY3dawVFp8T0O-DFWq4Ih_L2L5HTky-KKl7g3GG0TC_-jcxMYc-GAssfbtzkWmR40hnajhfnJUza9t1BzVI6-yWWCsjtZdCOJRED-lDiTRiYR8vK9_=w1200|https://lh3.googleusercontent.com/pw/AP1GczOL5xj0ELJuZLNCCJiRR9Rd50WLTmhxVL8iFu0hxnLUS5NJQnQBAKbrsz-bfUfMJU04xKHL73hSg8HYWl2WCZGb98zz7Gr7ivWWRI2t_OAvCkMLVuym=w1200|https://lh3.googleusercontent.com/pw/AP1GczNYjL8KKzVPu7yXCZAcFeRq0Nj--xYly34ImGVE5qr-RxQjPmxfZOUyNF6hxMCkuJOPIuHjTEV1Krnvycwo_n9n8vrvuBChCtc2aONOeDpmtqrAzHgN=w1200|https://lh3.googleusercontent.com/pw/AP1GczO3I9JiYXuwUSstgDryC87fP_UzomkE6fZt2cwR05bFwG4hMDOwwlnFyt-ZibIUVQ2ohnrxSxl-e4xJeqzhSZgZfyLp0xl6fUm1ljdtQkogqYpk6FJl=w1200|https://lh3.googleusercontent.com/pw/AP1GczOgphN2u2rpp-jUCtvKIQ4KS0n4zXRYLx3CBJGCE0sxNPn7djuWAA4KbbJk8Wtl9IrgPe_p9o0TQeUrt9GoDFessSHLoEMlJXE6rCdfqma6zUtSSmEq=w1200|https://lh3.googleusercontent.com/pw/AP1GczNfiA3TWYY-eOyHl7hlMluf8Asn9hIEnbCafPqzwRteI5CNYt65dtgmKzzwMMxC6DgvrAr__Y8tpon4Vg4LChu9dBRuKowebgmzu-TmptLl-komDR47=w1200|https://lh3.googleusercontent.com/pw/AP1GczNFLbt979EGVNhqC8jI1noz0SqYBNc6HwN5-JoagGJOVgKUm9Fc5u4Lyv-7HMDktK-6BF7qd82mhLz68U3frI7iVLSJiBSVh1-D12-RBajsE9aiupTh=w1200|https://lh3.googleusercontent.com/pw/AP1GczPjUeE7oLCCCZdfw5ACrpz_-kIax8mjUVOakx4wR9zp27J4V7rYKM55x_79njGRuMpdfGAZvlDr3oWR7nn2aLxkLLuoPVCfw7lf4Ek9IoFoObzGsfvz=w1200|https://lh3.googleusercontent.com/pw/AP1GczPm6fPQxbq4LZBQsdhz07Tly_fBjRmCeLIFbhcSKDBjJFGBxJRxj9sX8z92IXD1WGehyyvl2XUtnVCVPBcCpC-UUUgJqmm0Ly3aJ8uIozuis4BV5bM5=w1200|https://lh3.googleusercontent.com/pw/AP1GczPfhioVnSdJ0JW4AQfkA3ibTF7RntO7TYxTAWj2_88e1REsT0K96gIdfvmP7kE2V1fe54uxyL4bz-uwOpdHqrz1RgVf_Rx5xYytDuJvYEMMRTpHeE8v=w1200|https://lh3.googleusercontent.com/pw/AP1GczOSjS7J_JkhUPe1hHIzLEzPVHYGP7lDarHwQrab3439y614jOxrI0mpqqS99UMbSv26EmVKqkrYsdEU9r55vt9ARXi5MN3fLSsjWl-OpVyYvUOGQxCe=w1200|https://lh3.googleusercontent.com/pw/AP1GczOgfidLjDspxNN09N8UyVqCFpwux182sO7mNxhu89hAYHAl9CU8SMRtWDq1tqPynCtXkxqkXh36ydQ4BMGYg9P4Kcc3ENZiq7tIvVnCGeWLhF3ZAMxE=w1200|https://lh3.googleusercontent.com/pw/AP1GczNM6mgudIhmy8ooGzhM7wUHO0qb4Kk3_snOw8KK8yHRQnQY9uDmZSq311wL62KTx0NSMhgHEEvk6pn7yH5KmIHzUpDspUD9NScAVJ2YwTcghjtuUEnr=w1200|https://lh3.googleusercontent.com/pw/AP1GczMQZCydEO9YCOZ8nKlJLk2aAwWFF2SmRGRrnN9dGF-aVJ7UyYaoOx9jFUG7O3klcAwWuxNjhmG2-KnZwTPIEFd4TKcS7TkcYoVIunbtrFdL6STterdW=w1200|https://lh3.googleusercontent.com/pw/AP1GczOemeSaRYBco7MaWNRgy5mm4oygqqGP2I1Or-cgjEdGzisnCpQPPxyAW4pv7xwC7r0BBhzPgndaNtFF-nA3gCmSZIHoVnuux4FWBQV113WIYddIjRCn=w1200|https://lh3.googleusercontent.com/pw/AP1GczN2-SLdS7kZFRHsKT7N1pm_LyUqoFI0KZ7eKOwcHaTmjxIg7TlAzuHaXjaLgrCRTOUiWZtraaCZuqJuD6mWGZY9TyDaW5ytoubJt-zBra_R5uLqzLWt=w1200</v>
      </c>
    </row>
    <row r="45">
      <c r="A45" s="39" t="str">
        <f>IFERROR(__xludf.DUMMYFUNCTION("""COMPUTED_VALUE"""),"520")</f>
        <v>520</v>
      </c>
      <c r="B45" s="40" t="str">
        <f>IFERROR(__xludf.DUMMYFUNCTION("""COMPUTED_VALUE"""),"Casa con habitación independiente en barrio Las Granjas")</f>
        <v>Casa con habitación independiente en barrio Las Granjas</v>
      </c>
      <c r="C45" s="40" t="str">
        <f>IFERROR(__xludf.DUMMYFUNCTION("""COMPUTED_VALUE"""),"Casa rentable")</f>
        <v>Casa rentable</v>
      </c>
      <c r="D45" s="40" t="str">
        <f>IFERROR(__xludf.DUMMYFUNCTION("""COMPUTED_VALUE"""),"Las Granjas")</f>
        <v>Las Granjas</v>
      </c>
      <c r="E45" s="40"/>
      <c r="F45" s="42">
        <f>IFERROR(__xludf.DUMMYFUNCTION("""COMPUTED_VALUE"""),2.8E8)</f>
        <v>280000000</v>
      </c>
      <c r="G45" s="40" t="str">
        <f>IFERROR(__xludf.DUMMYFUNCTION("""COMPUTED_VALUE"""),"$200'000.000 a $300'000.000")</f>
        <v>$200'000.000 a $300'000.000</v>
      </c>
      <c r="H45" s="40"/>
      <c r="I45" s="40"/>
      <c r="J45" s="40" t="str">
        <f>IFERROR(__xludf.DUMMYFUNCTION("""COMPUTED_VALUE"""),"Norte")</f>
        <v>Norte</v>
      </c>
      <c r="K45" s="39" t="str">
        <f>IFERROR(__xludf.DUMMYFUNCTION("""COMPUTED_VALUE"""),"2")</f>
        <v>2</v>
      </c>
      <c r="L45" s="40">
        <f>IFERROR(__xludf.DUMMYFUNCTION("""COMPUTED_VALUE"""),5.0)</f>
        <v>5</v>
      </c>
      <c r="M45" s="40"/>
      <c r="N45" s="40">
        <f>IFERROR(__xludf.DUMMYFUNCTION("""COMPUTED_VALUE"""),3.0)</f>
        <v>3</v>
      </c>
      <c r="O45" s="40">
        <f>IFERROR(__xludf.DUMMYFUNCTION("""COMPUTED_VALUE"""),1.0)</f>
        <v>1</v>
      </c>
      <c r="P45" s="40">
        <f>IFERROR(__xludf.DUMMYFUNCTION("""COMPUTED_VALUE"""),1.0)</f>
        <v>1</v>
      </c>
      <c r="Q45" s="48">
        <f>IFERROR(__xludf.DUMMYFUNCTION("""COMPUTED_VALUE"""),160.0)</f>
        <v>160</v>
      </c>
      <c r="R45" s="48">
        <f>IFERROR(__xludf.DUMMYFUNCTION("""COMPUTED_VALUE"""),167.0)</f>
        <v>167</v>
      </c>
      <c r="S45" s="39" t="str">
        <f>IFERROR(__xludf.DUMMYFUNCTION("""COMPUTED_VALUE"""),"Rentabilidad $1,100,000")</f>
        <v>Rentabilidad $1,100,000</v>
      </c>
      <c r="T45" s="40" t="str">
        <f>IFERROR(__xludf.DUMMYFUNCTION("""COMPUTED_VALUE"""),"Neiva")</f>
        <v>Neiva</v>
      </c>
      <c r="U45" s="39" t="str">
        <f>IFERROR(__xludf.DUMMYFUNCTION("""COMPUTED_VALUE"""),"2")</f>
        <v>2</v>
      </c>
      <c r="V45" s="40" t="str">
        <f>IFERROR(__xludf.DUMMYFUNCTION("""COMPUTED_VALUE"""),"Medianera")</f>
        <v>Medianera</v>
      </c>
      <c r="W45" s="46"/>
      <c r="X45" s="46">
        <f>IFERROR(__xludf.DUMMYFUNCTION("""COMPUTED_VALUE"""),2.0)</f>
        <v>2</v>
      </c>
      <c r="Y45" s="40" t="str">
        <f>IFERROR(__xludf.DUMMYFUNCTION("""COMPUTED_VALUE"""),"No tiene")</f>
        <v>No tiene</v>
      </c>
      <c r="Z45" s="42" t="str">
        <f>IFERROR(__xludf.DUMMYFUNCTION("""COMPUTED_VALUE"""),"No aplica")</f>
        <v>No aplica</v>
      </c>
      <c r="AA45" s="49" t="str">
        <f>IFERROR(__xludf.DUMMYFUNCTION("""COMPUTED_VALUE"""),"21 años")</f>
        <v>21 años</v>
      </c>
      <c r="AB45" s="105" t="str">
        <f>IFERROR(__xludf.DUMMYFUNCTION("""COMPUTED_VALUE"""),"https://photos.app.goo.gl/waqGKDfe1Bea7d8GA")</f>
        <v>https://photos.app.goo.gl/waqGKDfe1Bea7d8GA</v>
      </c>
      <c r="AC45" s="40" t="str">
        <f>IFERROR(__xludf.DUMMYFUNCTION("""COMPUTED_VALUE"""),"Casa antigua con acabados en conservación, Piso en cerámica, tableta roja, cielo raso en machehembre. Carpintería marcos, puestas, closet, muebles empotrados en madera. Patio pequeño central.")</f>
        <v>Casa antigua con acabados en conservación, Piso en cerámica, tableta roja, cielo raso en machehembre. Carpintería marcos, puestas, closet, muebles empotrados en madera. Patio pequeño central.</v>
      </c>
      <c r="AD45" s="40" t="str">
        <f>IFERROR(__xludf.DUMMYFUNCTION("""COMPUTED_VALUE"""),"Dimensión del lote 10.0 ml  x 16.70 ml.  El alcantarillado fue cambiado en el año 2007. Ubicada cerca a los diferentes equipamientos de apoyo a la familia, colegios, iglesia, Carmen Emilia, Aeropuerto, centros comerciales San Pedro y San Juan plaza. Ubica"&amp;"da a una cuadra de la Avenida 26. Escritura al día. No se permuta.")</f>
        <v>Dimensión del lote 10.0 ml  x 16.70 ml.  El alcantarillado fue cambiado en el año 2007. Ubicada cerca a los diferentes equipamientos de apoyo a la familia, colegios, iglesia, Carmen Emilia, Aeropuerto, centros comerciales San Pedro y San Juan plaza. Ubicada a una cuadra de la Avenida 26. Escritura al día. No se permuta.</v>
      </c>
      <c r="AE45" s="40"/>
      <c r="AF45" s="40" t="str">
        <f>IFERROR(__xludf.DUMMYFUNCTION("""COMPUTED_VALUE"""),"básica")</f>
        <v>básica</v>
      </c>
      <c r="AG45" s="40" t="str">
        <f>IFERROR(__xludf.DUMMYFUNCTION("""COMPUTED_VALUE"""),"SI")</f>
        <v>SI</v>
      </c>
      <c r="AH45" s="40" t="str">
        <f>IFERROR(__xludf.DUMMYFUNCTION("""COMPUTED_VALUE"""),"Inventario")</f>
        <v>Inventario</v>
      </c>
      <c r="AI45" s="40" t="str">
        <f>IFERROR(__xludf.DUMMYFUNCTION("""COMPUTED_VALUE"""),"Directo")</f>
        <v>Directo</v>
      </c>
      <c r="AJ45" s="40" t="str">
        <f>IFERROR(__xludf.DUMMYFUNCTION("""COMPUTED_VALUE"""),"ICDE")</f>
        <v>ICDE</v>
      </c>
      <c r="AK45" s="40" t="str">
        <f>IFERROR(__xludf.DUMMYFUNCTION("""COMPUTED_VALUE"""),"FIRMO CONTRATO")</f>
        <v>FIRMO CONTRATO</v>
      </c>
      <c r="AL45" s="40" t="str">
        <f>IFERROR(__xludf.DUMMYFUNCTION("""COMPUTED_VALUE"""),"TIENE FOTOS")</f>
        <v>TIENE FOTOS</v>
      </c>
      <c r="AM45" s="40">
        <f>IFERROR(__xludf.DUMMYFUNCTION("""COMPUTED_VALUE"""),3.14330626E9)</f>
        <v>3143306260</v>
      </c>
      <c r="AN45" s="40">
        <f>IFERROR(__xludf.DUMMYFUNCTION("""COMPUTED_VALUE"""),3.118444695E9)</f>
        <v>3118444695</v>
      </c>
      <c r="AO45" s="40" t="str">
        <f>IFERROR(__xludf.DUMMYFUNCTION("""COMPUTED_VALUE"""),"JAVIER RAMOS - CARMEN MANRIQUE")</f>
        <v>JAVIER RAMOS - CARMEN MANRIQUE</v>
      </c>
      <c r="AP45" s="40" t="str">
        <f>IFERROR(__xludf.DUMMYFUNCTION("""COMPUTED_VALUE"""),"CARRERA 8 BIS No. 31-32")</f>
        <v>CARRERA 8 BIS No. 31-32</v>
      </c>
      <c r="AQ45" s="40">
        <f>IFERROR(__xludf.DUMMYFUNCTION("""COMPUTED_VALUE"""),2.9457926)</f>
        <v>2.9457926</v>
      </c>
      <c r="AR45" s="40">
        <f>IFERROR(__xludf.DUMMYFUNCTION("""COMPUTED_VALUE"""),-75.2890305)</f>
        <v>-75.2890305</v>
      </c>
      <c r="AS45" s="53">
        <f>IFERROR(__xludf.DUMMYFUNCTION("""COMPUTED_VALUE"""),1100000.0)</f>
        <v>1100000</v>
      </c>
      <c r="AT45" s="40">
        <f>IFERROR(__xludf.DUMMYFUNCTION("""COMPUTED_VALUE"""),0.0)</f>
        <v>0</v>
      </c>
      <c r="AU45" s="40">
        <f>IFERROR(__xludf.DUMMYFUNCTION("""COMPUTED_VALUE"""),0.0)</f>
        <v>0</v>
      </c>
      <c r="AV45" s="40">
        <f>IFERROR(__xludf.DUMMYFUNCTION("""COMPUTED_VALUE"""),0.0)</f>
        <v>0</v>
      </c>
      <c r="AW45" s="40" t="str">
        <f>IFERROR(__xludf.DUMMYFUNCTION("""COMPUTED_VALUE"""),"NO")</f>
        <v>NO</v>
      </c>
      <c r="AX45" s="40">
        <f>IFERROR(__xludf.DUMMYFUNCTION("""COMPUTED_VALUE"""),0.0)</f>
        <v>0</v>
      </c>
      <c r="AY45" s="40" t="str">
        <f>IFERROR(__xludf.DUMMYFUNCTION("""COMPUTED_VALUE"""),"P")</f>
        <v>P</v>
      </c>
      <c r="AZ45" s="40">
        <f>IFERROR(__xludf.DUMMYFUNCTION("""COMPUTED_VALUE"""),10.0)</f>
        <v>10</v>
      </c>
      <c r="BA45" s="40" t="str">
        <f>IFERROR(__xludf.DUMMYFUNCTION("""COMPUTED_VALUE"""),"X")</f>
        <v>X</v>
      </c>
      <c r="BB45" s="40" t="str">
        <f>IFERROR(__xludf.DUMMYFUNCTION("""COMPUTED_VALUE"""),"16,7")</f>
        <v>16,7</v>
      </c>
      <c r="BC45" s="53" t="str">
        <f>IFERROR(__xludf.DUMMYFUNCTION("""COMPUTED_VALUE"""),"12 - LEIDY YULIETH")</f>
        <v>12 - LEIDY YULIETH</v>
      </c>
      <c r="BD45" s="40"/>
      <c r="BE45" s="40"/>
      <c r="BF45" s="40" t="str">
        <f>IFERROR(__xludf.DUMMYFUNCTION("""COMPUTED_VALUE"""),"https://lh3.googleusercontent.com/pw/AP1GczNWRV1Q4BO2Ik8Ls9g4J30aSsb9NPnfsQ2jOxXcKjCWi5uWSN4sV-vSMicjqxaMuG3fpfmYsotPx_gKTsIha2zDy5qWQRitc5Hbsam6MgINU5tH18Gc=w1200|https://lh3.googleusercontent.com/pw/AP1GczNehP9TBi7MGdsYsclA49Q7jwbJF9PpYE0-9LevqP-sm-w-Ak"&amp;"_BTdRQlRkwp3NuiMUXolzPmsNdC6-ovzQ8muXNIP36LtOHMW1BvUVUiM6_6hqWgVF2=w1200|https://lh3.googleusercontent.com/pw/AP1GczMQRSmwyfgwvw7pD4J5wA59gT-we89jyhcg0UT6V0yks0CdtY-go9WIzzWnE9lP_3t0J6DQ0C7y8-IhLa_Vt8tGsyH5YHT2GWzfgiwbjWczN22MC28B=w1200|https://lh3.google"&amp;"usercontent.com/pw/AP1GczNXECQxHRvrEwMZkNDfHR4C6D_6Ia9frSpVaexYerV6S2c7yZXYwdXB3SxJHMv7InykI4kNe08defK0vAvMUSmy_q0J9KLS5bP2mZbw8uWwF4xx9z9A=w1200|https://lh3.googleusercontent.com/pw/AP1GczP6zX4723owUY7r_X8vJmMVU6l_TW_wOI1kWvGN-GfrXJ7WFB7SSc3H1t-DTnbRoPXl"&amp;"Dip3JZ217_lttm8jVp-TWiKomN7lvhwTtq9orzY4Wet23Vbf=w1200|https://lh3.googleusercontent.com/pw/AP1GczPtDY0WcCb1cXe3qRWbvTru5nBP89wbmCqCTR_biPyie5UThwt1XUo0WnSKRIg_1z-q6l5O9bOvCujDAUsK7BkV-vfDN0ed9XTJzMW2MzpCrqnJp9a-=w1200|https://lh3.googleusercontent.com/pw"&amp;"/AP1GczMx01JU398xx9fx--4KgnM3DGdcGIfjlsXb8sJCQXGZqyorSTqtuEwFQGQ-u2slCYcnsTDbQZhV9V046Lj3FkZxczu4HZk3Hb0xAA3XQuFoKnwlgiFW=w1200|https://lh3.googleusercontent.com/pw/AP1GczNLOsc5SNItg5mD2TaYCI41yyfKeMGSAL6j9HYPUnyJWD-u4cGknzcTPHagjZT02Mrol-X_C4XhmvmMVzmcGC"&amp;"6dVPrANjSJkkkjRoXyCE_iT8NPv2Wd=w1200|https://lh3.googleusercontent.com/pw/AP1GczNqhdculsVQ1dPd5XAWmJt95WkV7tEGEEjVj55irqIpwrlx5ooJvbs093SyCrYCmYwh08UQvnlBJOgHcfpoMPOwW5jsW0GjJVgdGMAYAdayhlyd2prZ=w1200|https://lh3.googleusercontent.com/pw/AP1GczPLrzBq-zM76"&amp;"jE2DqoAEE7FvKFCMXZm9tGOPAvlNBVJCnMW_cnQmi9sthpTtimupLBozk-0O4zxbVeiYm6q1vNukEcp-C-LX_Si3i5XyGkUTSAjNWoJ=w1200|https://lh3.googleusercontent.com/pw/AP1GczP_fdnorEeFFzevyldaHHG0kp1lGhyDvctWsmNjsG4_4LBvd_VacMSIlxEcgKT8dMqrXARNg91_8gZUNakhBe2vc6h5Fy0j8I5tHTVE"&amp;"PMStezNc4vOR=w1200|https://lh3.googleusercontent.com/pw/AP1GczOMjkoy6J2owla3s9p6TKPVODEAUH3CwBjJflH8Yn7qQaY2aCns5R9UHy0UwezNurIsNMrdredoWAr2_M1uLnDaJr9x-wxLI9vs_4zZDdvN9a6lhA1P=w1200|https://lh3.googleusercontent.com/pw/AP1GczMR2z9A9sbT7SGV8pKDCCGMtjm0ZXw"&amp;"gcF7hp8zW7dqkQH5Ol4434rCsuGOFSNaRxmOM9ONYc6nmz6R7i5mcVihyy9MH7Zl9pTonnJ57HR1oA988W8zW=w1200|https://lh3.googleusercontent.com/pw/AP1GczMjxFFp6-7OM3ViBmSt9VGG6gaFuq_ZjhrXdbnVDukh_3RQYLKIRiOTWwy0ogN0PIgUKR0aJg2Qv1lf9pxIfpZZWOd-xMDUdVntqpuEuKoySqY_-RTm=w1200"&amp;"|https://lh3.googleusercontent.com/pw/AP1GczPCgz8w16RErUqTLbwFgQR25eGyFtiY2R91zNGE-hZOZ-gyBGgtmN2ZADby8jyONZ9D-8UB4VN59e2i_7QGsou1IIAyr6C0F2B-jvADSX2OYpdVWpaF=w1200|https://lh3.googleusercontent.com/pw/AP1GczM7FmCHGfYsAnvC18W8F6u57xzGDFwWssvGY2HdcEKonHEgv"&amp;"1qSDkI5pEepSrSStNnanglrBORMc8cV2CwaMJO5sVnP40lsO1gj1pUD906y-AMaPLSU=w1200|https://lh3.googleusercontent.com/pw/AP1GczOSyGuUghSO49_5RdTpRwB-5KOLlJNc5GoZmsTza33OpIKnI-zOMBJSW8TGM3uzsCXjX0UKlv1Qv5WhvjIkrRwFMqZL0HKkAh6wiVaM23QWuM-OeTOV=w1200|https://lh3.googl"&amp;"eusercontent.com/pw/AP1GczOoGjJM71g8Nz3x9ZAKqtVJ-kP6c4yA-BLvL70mjGtv-MqUN15c7UxXB5iY04iDGBU18h6g6MsHzVVEFJR7X-6kKZLRjvrctaWN6jKH9pLWz5UbbXKI=w1200|https://lh3.googleusercontent.com/pw/AP1GczPoWLoWjUFO2_-Tx4C0m6it7WWP7rHN23RrIS2L5q2Ixdf1i9Xt6tBaqpbjuM6OsBE"&amp;"HaAFEJgSSxZ98B1ZXgUZb0JzfM8oGu_p40kyiwj79cd1lHdCy=w1200|https://lh3.googleusercontent.com/pw/AP1GczMlj-BtNXFaD--GGs5tNMhKz763AxEeoObiHSPipkcKR_CwKhOR3Q3DqIKVugewTiyTol7tztFquTd8K6zH8M755rGWyFPiszqI8JuVpL86Ap43Xef9=w1200|https://lh3.googleusercontent.com/p"&amp;"w/AP1GczPi35qGp6_kdeQ0pH1qoP4HpmwOMk6ihPjApk3B6T9sh-4AuQjESelc4ohA1end-4hwfPTYwFDppn7nXRDlLu9uvNa4Zwf8-klbBBQs8hjzdWGQ9pR0=w1200|https://lh3.googleusercontent.com/pw/AP1GczOtGJqYcQESeeORYVRty9PFGy75J0K-iDQ_yESL5ZsVSc8nNdDCRlv1Rs6VMJKoXf_bE8z9v3-_1vh-EGfXc"&amp;"-gv03SkZjTf5EumBo83dXRBLY7Zqs6K=w1200|https://lh3.googleusercontent.com/pw/AP1GczNjEj07ONr5Os7ul3Y_f8_cfvieVV_uTrA5cv4KBAfe7H36ZHA6HSW_7FREGmffYiY-jw0p0eTh2xMZpNNnx0DAG7huUvpTGbXa7VLFNx-DFW9IOdE7=w1200|https://lh3.googleusercontent.com/pw/AP1GczNAvxAM87Tm"&amp;"YcLOY26OF11YupOvojhgPwhWXFNvoeSL0sUNlReR32QE3MXPRpdArivo3JgkfDqOw6tNMW4R2tgVbwK_UDIi7EFyfyxOdUVuDNLpmhUD=w1200|https://lh3.googleusercontent.com/pw/AP1GczMGWKheBQdox1QcUp2-ZtMJDx7AuO_Jzib4Zdks4oe6KMZhDFpWhzma4iyu9uBqSh28xUJ223-BwGAaO1X7NX6EVhEHXgQsE19Mesa"&amp;"ApOnEJhzRYF25=w1200|https://lh3.googleusercontent.com/pw/AP1GczNNe8NNfMVysNl2zH8f7DPasOItcyTHTWx1TK-iurpqYewBmm6pGY1I2Pk9wwFhFQgtu-Pa7xz1wyxqY70xzCRMxLahsqjP73wsLCbkEyTvc9kffjiC=w1200|https://lh3.googleusercontent.com/pw/AP1GczO1-ICYrsR32szQ8h_OvWi1Xrb4k6"&amp;"wzc8AvfXuvIaN1A7XyIVl41GmIyuDpM3gsKBOoGBnEjwwnSr44mHFHgMidKLHPD7z0S6sSFOmyXG7sMZ76rRHe=w1200|https://lh3.googleusercontent.com/pw/AP1GczNGrFobkAdTAxPm7xd7tPhOA7x1KwdU41A4F9nnX3TmiB1zU6yTbfiY7NPAbYzlc81qeGq3oVoxebRolsNO9ByyXA8oVaBsZwkP_dTCW4oZ09CjYry_=w120"&amp;"0")</f>
        <v>https://lh3.googleusercontent.com/pw/AP1GczNWRV1Q4BO2Ik8Ls9g4J30aSsb9NPnfsQ2jOxXcKjCWi5uWSN4sV-vSMicjqxaMuG3fpfmYsotPx_gKTsIha2zDy5qWQRitc5Hbsam6MgINU5tH18Gc=w1200|https://lh3.googleusercontent.com/pw/AP1GczNehP9TBi7MGdsYsclA49Q7jwbJF9PpYE0-9LevqP-sm-w-Ak_BTdRQlRkwp3NuiMUXolzPmsNdC6-ovzQ8muXNIP36LtOHMW1BvUVUiM6_6hqWgVF2=w1200|https://lh3.googleusercontent.com/pw/AP1GczMQRSmwyfgwvw7pD4J5wA59gT-we89jyhcg0UT6V0yks0CdtY-go9WIzzWnE9lP_3t0J6DQ0C7y8-IhLa_Vt8tGsyH5YHT2GWzfgiwbjWczN22MC28B=w1200|https://lh3.googleusercontent.com/pw/AP1GczNXECQxHRvrEwMZkNDfHR4C6D_6Ia9frSpVaexYerV6S2c7yZXYwdXB3SxJHMv7InykI4kNe08defK0vAvMUSmy_q0J9KLS5bP2mZbw8uWwF4xx9z9A=w1200|https://lh3.googleusercontent.com/pw/AP1GczP6zX4723owUY7r_X8vJmMVU6l_TW_wOI1kWvGN-GfrXJ7WFB7SSc3H1t-DTnbRoPXlDip3JZ217_lttm8jVp-TWiKomN7lvhwTtq9orzY4Wet23Vbf=w1200|https://lh3.googleusercontent.com/pw/AP1GczPtDY0WcCb1cXe3qRWbvTru5nBP89wbmCqCTR_biPyie5UThwt1XUo0WnSKRIg_1z-q6l5O9bOvCujDAUsK7BkV-vfDN0ed9XTJzMW2MzpCrqnJp9a-=w1200|https://lh3.googleusercontent.com/pw/AP1GczMx01JU398xx9fx--4KgnM3DGdcGIfjlsXb8sJCQXGZqyorSTqtuEwFQGQ-u2slCYcnsTDbQZhV9V046Lj3FkZxczu4HZk3Hb0xAA3XQuFoKnwlgiFW=w1200|https://lh3.googleusercontent.com/pw/AP1GczNLOsc5SNItg5mD2TaYCI41yyfKeMGSAL6j9HYPUnyJWD-u4cGknzcTPHagjZT02Mrol-X_C4XhmvmMVzmcGC6dVPrANjSJkkkjRoXyCE_iT8NPv2Wd=w1200|https://lh3.googleusercontent.com/pw/AP1GczNqhdculsVQ1dPd5XAWmJt95WkV7tEGEEjVj55irqIpwrlx5ooJvbs093SyCrYCmYwh08UQvnlBJOgHcfpoMPOwW5jsW0GjJVgdGMAYAdayhlyd2prZ=w1200|https://lh3.googleusercontent.com/pw/AP1GczPLrzBq-zM76jE2DqoAEE7FvKFCMXZm9tGOPAvlNBVJCnMW_cnQmi9sthpTtimupLBozk-0O4zxbVeiYm6q1vNukEcp-C-LX_Si3i5XyGkUTSAjNWoJ=w1200|https://lh3.googleusercontent.com/pw/AP1GczP_fdnorEeFFzevyldaHHG0kp1lGhyDvctWsmNjsG4_4LBvd_VacMSIlxEcgKT8dMqrXARNg91_8gZUNakhBe2vc6h5Fy0j8I5tHTVEPMStezNc4vOR=w1200|https://lh3.googleusercontent.com/pw/AP1GczOMjkoy6J2owla3s9p6TKPVODEAUH3CwBjJflH8Yn7qQaY2aCns5R9UHy0UwezNurIsNMrdredoWAr2_M1uLnDaJr9x-wxLI9vs_4zZDdvN9a6lhA1P=w1200|https://lh3.googleusercontent.com/pw/AP1GczMR2z9A9sbT7SGV8pKDCCGMtjm0ZXwgcF7hp8zW7dqkQH5Ol4434rCsuGOFSNaRxmOM9ONYc6nmz6R7i5mcVihyy9MH7Zl9pTonnJ57HR1oA988W8zW=w1200|https://lh3.googleusercontent.com/pw/AP1GczMjxFFp6-7OM3ViBmSt9VGG6gaFuq_ZjhrXdbnVDukh_3RQYLKIRiOTWwy0ogN0PIgUKR0aJg2Qv1lf9pxIfpZZWOd-xMDUdVntqpuEuKoySqY_-RTm=w1200|https://lh3.googleusercontent.com/pw/AP1GczPCgz8w16RErUqTLbwFgQR25eGyFtiY2R91zNGE-hZOZ-gyBGgtmN2ZADby8jyONZ9D-8UB4VN59e2i_7QGsou1IIAyr6C0F2B-jvADSX2OYpdVWpaF=w1200|https://lh3.googleusercontent.com/pw/AP1GczM7FmCHGfYsAnvC18W8F6u57xzGDFwWssvGY2HdcEKonHEgv1qSDkI5pEepSrSStNnanglrBORMc8cV2CwaMJO5sVnP40lsO1gj1pUD906y-AMaPLSU=w1200|https://lh3.googleusercontent.com/pw/AP1GczOSyGuUghSO49_5RdTpRwB-5KOLlJNc5GoZmsTza33OpIKnI-zOMBJSW8TGM3uzsCXjX0UKlv1Qv5WhvjIkrRwFMqZL0HKkAh6wiVaM23QWuM-OeTOV=w1200|https://lh3.googleusercontent.com/pw/AP1GczOoGjJM71g8Nz3x9ZAKqtVJ-kP6c4yA-BLvL70mjGtv-MqUN15c7UxXB5iY04iDGBU18h6g6MsHzVVEFJR7X-6kKZLRjvrctaWN6jKH9pLWz5UbbXKI=w1200|https://lh3.googleusercontent.com/pw/AP1GczPoWLoWjUFO2_-Tx4C0m6it7WWP7rHN23RrIS2L5q2Ixdf1i9Xt6tBaqpbjuM6OsBEHaAFEJgSSxZ98B1ZXgUZb0JzfM8oGu_p40kyiwj79cd1lHdCy=w1200|https://lh3.googleusercontent.com/pw/AP1GczMlj-BtNXFaD--GGs5tNMhKz763AxEeoObiHSPipkcKR_CwKhOR3Q3DqIKVugewTiyTol7tztFquTd8K6zH8M755rGWyFPiszqI8JuVpL86Ap43Xef9=w1200|https://lh3.googleusercontent.com/pw/AP1GczPi35qGp6_kdeQ0pH1qoP4HpmwOMk6ihPjApk3B6T9sh-4AuQjESelc4ohA1end-4hwfPTYwFDppn7nXRDlLu9uvNa4Zwf8-klbBBQs8hjzdWGQ9pR0=w1200|https://lh3.googleusercontent.com/pw/AP1GczOtGJqYcQESeeORYVRty9PFGy75J0K-iDQ_yESL5ZsVSc8nNdDCRlv1Rs6VMJKoXf_bE8z9v3-_1vh-EGfXc-gv03SkZjTf5EumBo83dXRBLY7Zqs6K=w1200|https://lh3.googleusercontent.com/pw/AP1GczNjEj07ONr5Os7ul3Y_f8_cfvieVV_uTrA5cv4KBAfe7H36ZHA6HSW_7FREGmffYiY-jw0p0eTh2xMZpNNnx0DAG7huUvpTGbXa7VLFNx-DFW9IOdE7=w1200|https://lh3.googleusercontent.com/pw/AP1GczNAvxAM87TmYcLOY26OF11YupOvojhgPwhWXFNvoeSL0sUNlReR32QE3MXPRpdArivo3JgkfDqOw6tNMW4R2tgVbwK_UDIi7EFyfyxOdUVuDNLpmhUD=w1200|https://lh3.googleusercontent.com/pw/AP1GczMGWKheBQdox1QcUp2-ZtMJDx7AuO_Jzib4Zdks4oe6KMZhDFpWhzma4iyu9uBqSh28xUJ223-BwGAaO1X7NX6EVhEHXgQsE19MesaApOnEJhzRYF25=w1200|https://lh3.googleusercontent.com/pw/AP1GczNNe8NNfMVysNl2zH8f7DPasOItcyTHTWx1TK-iurpqYewBmm6pGY1I2Pk9wwFhFQgtu-Pa7xz1wyxqY70xzCRMxLahsqjP73wsLCbkEyTvc9kffjiC=w1200|https://lh3.googleusercontent.com/pw/AP1GczO1-ICYrsR32szQ8h_OvWi1Xrb4k6wzc8AvfXuvIaN1A7XyIVl41GmIyuDpM3gsKBOoGBnEjwwnSr44mHFHgMidKLHPD7z0S6sSFOmyXG7sMZ76rRHe=w1200|https://lh3.googleusercontent.com/pw/AP1GczNGrFobkAdTAxPm7xd7tPhOA7x1KwdU41A4F9nnX3TmiB1zU6yTbfiY7NPAbYzlc81qeGq3oVoxebRolsNO9ByyXA8oVaBsZwkP_dTCW4oZ09CjYry_=w1200</v>
      </c>
    </row>
    <row r="46">
      <c r="A46" s="39" t="str">
        <f>IFERROR(__xludf.DUMMYFUNCTION("""COMPUTED_VALUE"""),"096")</f>
        <v>096</v>
      </c>
      <c r="B46" s="40" t="str">
        <f>IFERROR(__xludf.DUMMYFUNCTION("""COMPUTED_VALUE"""),"Dos apartaestudios  en barrio La Toma")</f>
        <v>Dos apartaestudios  en barrio La Toma</v>
      </c>
      <c r="C46" s="40" t="str">
        <f>IFERROR(__xludf.DUMMYFUNCTION("""COMPUTED_VALUE"""),"Casa rentable")</f>
        <v>Casa rentable</v>
      </c>
      <c r="D46" s="40" t="str">
        <f>IFERROR(__xludf.DUMMYFUNCTION("""COMPUTED_VALUE"""),"La Toma")</f>
        <v>La Toma</v>
      </c>
      <c r="E46" s="40"/>
      <c r="F46" s="42">
        <f>IFERROR(__xludf.DUMMYFUNCTION("""COMPUTED_VALUE"""),1.4E8)</f>
        <v>140000000</v>
      </c>
      <c r="G46" s="40" t="str">
        <f>IFERROR(__xludf.DUMMYFUNCTION("""COMPUTED_VALUE"""),"$100'000.000 a $200'000.000")</f>
        <v>$100'000.000 a $200'000.000</v>
      </c>
      <c r="H46" s="40"/>
      <c r="I46" s="40"/>
      <c r="J46" s="40" t="str">
        <f>IFERROR(__xludf.DUMMYFUNCTION("""COMPUTED_VALUE"""),"Centro")</f>
        <v>Centro</v>
      </c>
      <c r="K46" s="39" t="str">
        <f>IFERROR(__xludf.DUMMYFUNCTION("""COMPUTED_VALUE"""),"3")</f>
        <v>3</v>
      </c>
      <c r="L46" s="40">
        <f>IFERROR(__xludf.DUMMYFUNCTION("""COMPUTED_VALUE"""),2.0)</f>
        <v>2</v>
      </c>
      <c r="M46" s="40"/>
      <c r="N46" s="40">
        <f>IFERROR(__xludf.DUMMYFUNCTION("""COMPUTED_VALUE"""),2.0)</f>
        <v>2</v>
      </c>
      <c r="O46" s="40">
        <f>IFERROR(__xludf.DUMMYFUNCTION("""COMPUTED_VALUE"""),0.0)</f>
        <v>0</v>
      </c>
      <c r="P46" s="40">
        <f>IFERROR(__xludf.DUMMYFUNCTION("""COMPUTED_VALUE"""),2.0)</f>
        <v>2</v>
      </c>
      <c r="Q46" s="48">
        <f>IFERROR(__xludf.DUMMYFUNCTION("""COMPUTED_VALUE"""),98.0)</f>
        <v>98</v>
      </c>
      <c r="R46" s="48">
        <f>IFERROR(__xludf.DUMMYFUNCTION("""COMPUTED_VALUE"""),39.0)</f>
        <v>39</v>
      </c>
      <c r="S46" s="39" t="str">
        <f>IFERROR(__xludf.DUMMYFUNCTION("""COMPUTED_VALUE"""),"Rentabilidad $1,400,000")</f>
        <v>Rentabilidad $1,400,000</v>
      </c>
      <c r="T46" s="40" t="str">
        <f>IFERROR(__xludf.DUMMYFUNCTION("""COMPUTED_VALUE"""),"Neiva")</f>
        <v>Neiva</v>
      </c>
      <c r="U46" s="39" t="str">
        <f>IFERROR(__xludf.DUMMYFUNCTION("""COMPUTED_VALUE"""),"3")</f>
        <v>3</v>
      </c>
      <c r="V46" s="40" t="str">
        <f>IFERROR(__xludf.DUMMYFUNCTION("""COMPUTED_VALUE"""),"Medianera")</f>
        <v>Medianera</v>
      </c>
      <c r="W46" s="46"/>
      <c r="X46" s="46">
        <f>IFERROR(__xludf.DUMMYFUNCTION("""COMPUTED_VALUE"""),1.0)</f>
        <v>1</v>
      </c>
      <c r="Y46" s="40" t="str">
        <f>IFERROR(__xludf.DUMMYFUNCTION("""COMPUTED_VALUE"""),"No tiene")</f>
        <v>No tiene</v>
      </c>
      <c r="Z46" s="42" t="str">
        <f>IFERROR(__xludf.DUMMYFUNCTION("""COMPUTED_VALUE"""),"No aplica")</f>
        <v>No aplica</v>
      </c>
      <c r="AA46" s="49" t="str">
        <f>IFERROR(__xludf.DUMMYFUNCTION("""COMPUTED_VALUE"""),"8 años")</f>
        <v>8 años</v>
      </c>
      <c r="AB46" s="105" t="str">
        <f>IFERROR(__xludf.DUMMYFUNCTION("""COMPUTED_VALUE"""),"https://photos.app.goo.gl/YMQdDMhXVhQt2m2u6")</f>
        <v>https://photos.app.goo.gl/YMQdDMhXVhQt2m2u6</v>
      </c>
      <c r="AC46" s="40" t="str">
        <f>IFERROR(__xludf.DUMMYFUNCTION("""COMPUTED_VALUE"""),"Aparta estudios: Cuenta con un hall de distribución al primer y segundo piso. Primer aparta estudio, tipo ejecutivo, remodelado con bueno acabados, piso en cerámica, carpintería metálica, madera, escalera metálica con pasamanos en hierro forjado. Segundo "&amp;"aparta estudio, con acabados básicos. Piso en cerámica, cielo raso en machehembre,")</f>
        <v>Aparta estudios: Cuenta con un hall de distribución al primer y segundo piso. Primer aparta estudio, tipo ejecutivo, remodelado con bueno acabados, piso en cerámica, carpintería metálica, madera, escalera metálica con pasamanos en hierro forjado. Segundo aparta estudio, con acabados básicos. Piso en cerámica, cielo raso en machehembre,</v>
      </c>
      <c r="AD46" s="40" t="str">
        <f>IFERROR(__xludf.DUMMYFUNCTION("""COMPUTED_VALUE"""),"Apartaestudios bien ubicados en el sector institucional de la carrera 7,  barrio la Toma, Quirinal y  Avenida la Toma.  Baja inversión – Alta rentabilidad. Escritura: Al día. (2 escrituras). No permuta.")</f>
        <v>Apartaestudios bien ubicados en el sector institucional de la carrera 7,  barrio la Toma, Quirinal y  Avenida la Toma.  Baja inversión – Alta rentabilidad. Escritura: Al día. (2 escrituras). No permuta.</v>
      </c>
      <c r="AE46" s="40"/>
      <c r="AF46" s="40" t="str">
        <f>IFERROR(__xludf.DUMMYFUNCTION("""COMPUTED_VALUE"""),"básica")</f>
        <v>básica</v>
      </c>
      <c r="AG46" s="40"/>
      <c r="AH46" s="40" t="str">
        <f>IFERROR(__xludf.DUMMYFUNCTION("""COMPUTED_VALUE"""),"Inventario")</f>
        <v>Inventario</v>
      </c>
      <c r="AI46" s="40" t="str">
        <f>IFERROR(__xludf.DUMMYFUNCTION("""COMPUTED_VALUE"""),"Directo")</f>
        <v>Directo</v>
      </c>
      <c r="AJ46" s="40" t="str">
        <f>IFERROR(__xludf.DUMMYFUNCTION("""COMPUTED_VALUE"""),"ICDE")</f>
        <v>ICDE</v>
      </c>
      <c r="AK46" s="40" t="str">
        <f>IFERROR(__xludf.DUMMYFUNCTION("""COMPUTED_VALUE"""),"FIRMO CONTRATO")</f>
        <v>FIRMO CONTRATO</v>
      </c>
      <c r="AL46" s="40" t="str">
        <f>IFERROR(__xludf.DUMMYFUNCTION("""COMPUTED_VALUE"""),"TIENE FOTOS-DESCRIP")</f>
        <v>TIENE FOTOS-DESCRIP</v>
      </c>
      <c r="AM46" s="40">
        <f>IFERROR(__xludf.DUMMYFUNCTION("""COMPUTED_VALUE"""),3.156840789E9)</f>
        <v>3156840789</v>
      </c>
      <c r="AN46" s="40"/>
      <c r="AO46" s="40" t="str">
        <f>IFERROR(__xludf.DUMMYFUNCTION("""COMPUTED_VALUE"""),"EFRAIN PENAGOS MEDINA")</f>
        <v>EFRAIN PENAGOS MEDINA</v>
      </c>
      <c r="AP46" s="40" t="str">
        <f>IFERROR(__xludf.DUMMYFUNCTION("""COMPUTED_VALUE"""),"Carrera 7A No. 14 - 33")</f>
        <v>Carrera 7A No. 14 - 33</v>
      </c>
      <c r="AQ46" s="40"/>
      <c r="AR46" s="40"/>
      <c r="AS46" s="53">
        <f>IFERROR(__xludf.DUMMYFUNCTION("""COMPUTED_VALUE"""),1400000.0)</f>
        <v>1400000</v>
      </c>
      <c r="AT46" s="40">
        <f>IFERROR(__xludf.DUMMYFUNCTION("""COMPUTED_VALUE"""),0.0)</f>
        <v>0</v>
      </c>
      <c r="AU46" s="40">
        <f>IFERROR(__xludf.DUMMYFUNCTION("""COMPUTED_VALUE"""),0.0)</f>
        <v>0</v>
      </c>
      <c r="AV46" s="40">
        <f>IFERROR(__xludf.DUMMYFUNCTION("""COMPUTED_VALUE"""),0.0)</f>
        <v>0</v>
      </c>
      <c r="AW46" s="40" t="str">
        <f>IFERROR(__xludf.DUMMYFUNCTION("""COMPUTED_VALUE"""),"NO")</f>
        <v>NO</v>
      </c>
      <c r="AX46" s="40">
        <f>IFERROR(__xludf.DUMMYFUNCTION("""COMPUTED_VALUE"""),0.0)</f>
        <v>0</v>
      </c>
      <c r="AY46" s="40">
        <f>IFERROR(__xludf.DUMMYFUNCTION("""COMPUTED_VALUE"""),0.0)</f>
        <v>0</v>
      </c>
      <c r="AZ46" s="40">
        <f>IFERROR(__xludf.DUMMYFUNCTION("""COMPUTED_VALUE"""),4.0)</f>
        <v>4</v>
      </c>
      <c r="BA46" s="40" t="str">
        <f>IFERROR(__xludf.DUMMYFUNCTION("""COMPUTED_VALUE"""),"X")</f>
        <v>X</v>
      </c>
      <c r="BB46" s="40">
        <f>IFERROR(__xludf.DUMMYFUNCTION("""COMPUTED_VALUE"""),9.0)</f>
        <v>9</v>
      </c>
      <c r="BC46" s="53"/>
      <c r="BD46" s="48"/>
      <c r="BE46" s="48"/>
      <c r="BF46" s="48" t="str">
        <f>IFERROR(__xludf.DUMMYFUNCTION("""COMPUTED_VALUE"""),"https://lh3.googleusercontent.com/pw/AP1GczNwpp2XrGVLkXxrSmubvhZCqCAC9iOb5agDiYxn_9GIc8qGxqx5WXg1cT-IEtR1yiz7xnStMgv7qBVyaWXeWarK0yVawjPHbZ4Sp68YbocuhCGDGy4=w1200|https://lh3.googleusercontent.com/pw/AP1GczOLTUgfJ2B8PlcknrSw4_6SK47_-DTxjYjKhsoI0cr94ldY8bd"&amp;"lPAsRqeMhqzRvsmNBZj1ARr_IIkjY_77RoPsMbx2L6e4lvtLs85LnKwBSknnLN0W4=w1200|https://lh3.googleusercontent.com/pw/AP1GczP52LvpcPkDmY704i5HduEWukCdFKGHMhX1_InTn1DJuro_7M1VK_hvxLaq29x5SuREzVbXHgY2Nb6_9xDtCpbUJv7NSHgvdKw2it9RCIM9vhBGSo8=w1200|https://lh3.googleus"&amp;"ercontent.com/pw/AP1GczO6vioQCpk2UqhI4S8Lfz988JVSU4ibGF97EAX3Pj3HfF3d_pS_eS3nwB-Joq7to3lYb_-1EdiMjkkYPAfqSfc5INuiLil2j26njpWD6L1rWuoASBE=w1200|https://lh3.googleusercontent.com/pw/AP1GczN_MbWXFV9JyAgnZBhRIGCyfVt27mecHyPPt0-YmvLLY-QGj1LwLFCD8ExT8DLqOCi-u6q"&amp;"XzbvBwO4c6yuvOgIa30favr8f9DKkCr0okDzSXRDZ6KY=w1200|https://lh3.googleusercontent.com/pw/AP1GczMCAPiuHHKmqSdKXAJCHsQRgsPXkv6sh88zETZXbrPbse1p6rRvy7QSfXm4WllFnKMQTG2INvVSHTh9mPX4mNRs8o-K05VU7n_tp7L08XX1fIWg7Hc=w1200|https://lh3.googleusercontent.com/pw/AP1G"&amp;"czN7yL7UCSBQACwsq-2tMHW4gRa9fb3EgGGQZoCF64HvYR7-cANxp_nz6RiUJpZtC-6mXZh4nz2FHyiXMzhmpa1reAIzDptusBufGC04qsc6rkWkzYo=w1200|https://lh3.googleusercontent.com/pw/AP1GczMuouVogZcpa1EYyFFzB51QNtZFpq8Mix3a4xIsl2ad-MHTtO1zdISenFmSQbQa0lCg4u1yVLr8TOo7wHLz6GBWBiYP"&amp;"AxJdJ8CEXbi2JkowF3exrPw=w1200|https://lh3.googleusercontent.com/pw/AP1GczNtxEfBLGSB1vtBcNv1Sfk5XqHagxRvXBaSbmVUhq_qL3dMsAF1FpjX2BSvAtsE7gFyc0WdvlD-1Zj_KAHziPeA8sWkxS-x1VQMXFI4vHs9aa_zwtU=w1200|https://lh3.googleusercontent.com/pw/AP1GczOxFIfxPXQw6OqaNx2Hi"&amp;"-G1_aIt0uxwJoxGkBv5CfJhpEC1E0ndyHD48pTOa8-RRco_DNqGMKAnqlOy08q6WAWBSENR9WClLaaY6NbvFAnP1zX1hk8=w1200|https://lh3.googleusercontent.com/pw/AP1GczOsP_nfghFtZnx2WqutZGif7qV2xIK4RwLHswZDNo7P3_X0odh_hU_p8tIiOlXVddsqfOEIjKnDLi-aHj-4Uunlt98aZonoGLxwW4Au6KMA4TvRU"&amp;"vU=w1200|https://lh3.googleusercontent.com/pw/AP1GczNuTXEnPdpUI49gmpPCFbC3C6yW8Xk9BS9IH-JaoPzfz4Jyjf_Bsz9CMJzOfsmFjP5I9ea34hkS73SgKe5qpXpbhfEmRp9McYL7RnD9bua84_7D4YI=w1200|https://lh3.googleusercontent.com/pw/AP1GczM3r6urzA8nsGAK2__YBzMVpoSJ5OHPJ3OC6Oj4Qw"&amp;"Mdj7cTTc9vcDrs_Jhr1WWM-NH9I4iSPjc9KcrfAfFJ9qX0hdPnYw-v8p-34lk4Qo9M0WY3XhE=w1200|https://lh3.googleusercontent.com/pw/AP1GczMMq7QogItJy-q5PgFss7uQonqXedOJXUODDokePZrRZ7hSnoNf2EYvfw0sHVtpz38mooDXzbYqDErayVg3GkHAj1dEl6Xk4KoE8fxrmYFTwiajx80=w1200|https://lh3."&amp;"googleusercontent.com/pw/AP1GczOPE4apRVpIIf4PRF_ckPOpwT5Ds86yuNgLsHbR-UvUH23ynxG7ThG8LTNduGk3HtQ8SW_84Jhp6NhniweygXLgJeLDzqka1RwhUS7A7eTR24-N0ao=w1200|https://lh3.googleusercontent.com/pw/AP1GczMkfSd29iPM5d2SzZgBKgRfSTM3S7BKHIYSJBkvogqKPZ67cB3V_72QoewLK9A"&amp;"8JQ7lv2sSlWlJxrR8W5Ppz9J2w1n3c-CnSWC_CN3mkeMefXT5Htc=w1200|https://lh3.googleusercontent.com/pw/AP1GczMQqNf6H9TRzsJhLyx2t1Y6gh79VFHyHOpMPUcNOW1ZvAniDDS_L46-uMI_JZ0N8ZeyDjZrgVQGAdP-wm71BMki-SgEGyQJXFK6EmfI_8qDqN0n7qU=w1200|https://lh3.googleusercontent.com"&amp;"/pw/AP1GczP-Aw4wTxFVPoGmR3KYgYbZDmTXm_0UstFCPEDd7jqevXYVg3sIi2x5zmHNppBaQHAOF9EkJLSnPrF2c3IVIgSQ4HWgseJuvfz-UAi8hhH1SS-iujo=w1200|https://lh3.googleusercontent.com/pw/AP1GczNhkrQhu9QBNwCKVDW0V7qEXJUgdRdBGLl3Jzy2lpTaUJCJbr4kp8kbjB3lTa6p_5FqpTh4o-V-w9vI2TuZ"&amp;"hJnYKoufRFVuAaoDnVFf8RpIfsWkmjM=w1200|https://lh3.googleusercontent.com/pw/AP1GczPwdJvj1uFp_Qqs0ra6zjHrFvR5PdzPXEKY46MWTQFL_2yK6Zq9mX9njyb-CkSS_BjZz615ZfnND1IqG7hbrV30sVV_UExB4EoAsqp2KTvesV95EnA=w1200|https://lh3.googleusercontent.com/pw/AP1GczNxMEiideyW3"&amp;"Ei8W6B4Koq6cSGsj5ZPLBRqBm1yOcEZvZJl9CsBfXd8_b2epaRE-dLrFMe4jP0mGEn-QyxYhnjaP_uA7CPiVHrKtK435j8EpSHZI48=w1200|https://lh3.googleusercontent.com/pw/AP1GczMpnnOvLccUfrXrJk23a-1Co9UC2bG6RbKaPK2nUkNzi5Uj5fu4scTw0r4NL1IkPfaBgioMezrg6Qefj1p6b83jO28vGlDQ9dNfv0JGd"&amp;"qkUWgEMJEg=w1200|https://lh3.googleusercontent.com/pw/AP1GczOYacDcK6GU0HL2tjAJSSmlr0V1sliavgJaB4NbrnFwLBHTvjHd58XzzcIOOFfDVVYWmhrxg6J7YA1Zh_d4ZB6MiYBF-GTsgSp_VDXirq4kjeHBzp8=w1200|https://lh3.googleusercontent.com/pw/AP1GczMPXJnMbH-CLsL7SuwU69J45537hJFXDn"&amp;"eandD10RnAcwGYfQAQKEdxGzxyxIWVyid8dQXy6ypD_THGwu2N9Ul488eUJSq_gHou4ui-dZJNv0-8F2U=w1200|https://lh3.googleusercontent.com/pw/AP1GczMqzwxN9omMOnR8x0WkrPVqEY93p7Z3XlHfQvDhHUEo-GD8uF8zT21-MB8qlyU9VNyvsL-lMK2NaX8GIF8s8ckgFzlTo1TirOekK_wOzwCw_-en534=w1200|http"&amp;"s://lh3.googleusercontent.com/pw/AP1GczNliFhYPI6vNdkPMk-FD8kQBc9DtheHfJL1fFb-UEO34mtN6ObKhJeqqVbJpSG1px4FSWPipDVHReRu-8jjkU3FbiGFwrX_OXEx-NqWuAWR8QVKJu8=w1200|https://lh3.googleusercontent.com/pw/AP1GczO0KeggyBM6JFmTGfo-4EIlRNwwyOPE3RrQLZxioKv35H1ZpC3Um0t"&amp;"TiQ2w8x3zL-Hn_gS9Uy1d7zGsCC6FHKYqF5IQcaTD7As13cJQVIXXINILuPE=w1200|https://lh3.googleusercontent.com/pw/AP1GczN2rkIf53_cvS_WXmfg3TfZZfYeKIZs2xJWJXChYsU4nHDVpMt5RNUYx0WgNARjqRE6GaWwnhgmMX2xpn1gywqycsXC_kStCGYVWLIX3UYvzu7hfSs-=w1200")</f>
        <v>https://lh3.googleusercontent.com/pw/AP1GczNwpp2XrGVLkXxrSmubvhZCqCAC9iOb5agDiYxn_9GIc8qGxqx5WXg1cT-IEtR1yiz7xnStMgv7qBVyaWXeWarK0yVawjPHbZ4Sp68YbocuhCGDGy4=w1200|https://lh3.googleusercontent.com/pw/AP1GczOLTUgfJ2B8PlcknrSw4_6SK47_-DTxjYjKhsoI0cr94ldY8bdlPAsRqeMhqzRvsmNBZj1ARr_IIkjY_77RoPsMbx2L6e4lvtLs85LnKwBSknnLN0W4=w1200|https://lh3.googleusercontent.com/pw/AP1GczP52LvpcPkDmY704i5HduEWukCdFKGHMhX1_InTn1DJuro_7M1VK_hvxLaq29x5SuREzVbXHgY2Nb6_9xDtCpbUJv7NSHgvdKw2it9RCIM9vhBGSo8=w1200|https://lh3.googleusercontent.com/pw/AP1GczO6vioQCpk2UqhI4S8Lfz988JVSU4ibGF97EAX3Pj3HfF3d_pS_eS3nwB-Joq7to3lYb_-1EdiMjkkYPAfqSfc5INuiLil2j26njpWD6L1rWuoASBE=w1200|https://lh3.googleusercontent.com/pw/AP1GczN_MbWXFV9JyAgnZBhRIGCyfVt27mecHyPPt0-YmvLLY-QGj1LwLFCD8ExT8DLqOCi-u6qXzbvBwO4c6yuvOgIa30favr8f9DKkCr0okDzSXRDZ6KY=w1200|https://lh3.googleusercontent.com/pw/AP1GczMCAPiuHHKmqSdKXAJCHsQRgsPXkv6sh88zETZXbrPbse1p6rRvy7QSfXm4WllFnKMQTG2INvVSHTh9mPX4mNRs8o-K05VU7n_tp7L08XX1fIWg7Hc=w1200|https://lh3.googleusercontent.com/pw/AP1GczN7yL7UCSBQACwsq-2tMHW4gRa9fb3EgGGQZoCF64HvYR7-cANxp_nz6RiUJpZtC-6mXZh4nz2FHyiXMzhmpa1reAIzDptusBufGC04qsc6rkWkzYo=w1200|https://lh3.googleusercontent.com/pw/AP1GczMuouVogZcpa1EYyFFzB51QNtZFpq8Mix3a4xIsl2ad-MHTtO1zdISenFmSQbQa0lCg4u1yVLr8TOo7wHLz6GBWBiYPAxJdJ8CEXbi2JkowF3exrPw=w1200|https://lh3.googleusercontent.com/pw/AP1GczNtxEfBLGSB1vtBcNv1Sfk5XqHagxRvXBaSbmVUhq_qL3dMsAF1FpjX2BSvAtsE7gFyc0WdvlD-1Zj_KAHziPeA8sWkxS-x1VQMXFI4vHs9aa_zwtU=w1200|https://lh3.googleusercontent.com/pw/AP1GczOxFIfxPXQw6OqaNx2Hi-G1_aIt0uxwJoxGkBv5CfJhpEC1E0ndyHD48pTOa8-RRco_DNqGMKAnqlOy08q6WAWBSENR9WClLaaY6NbvFAnP1zX1hk8=w1200|https://lh3.googleusercontent.com/pw/AP1GczOsP_nfghFtZnx2WqutZGif7qV2xIK4RwLHswZDNo7P3_X0odh_hU_p8tIiOlXVddsqfOEIjKnDLi-aHj-4Uunlt98aZonoGLxwW4Au6KMA4TvRUvU=w1200|https://lh3.googleusercontent.com/pw/AP1GczNuTXEnPdpUI49gmpPCFbC3C6yW8Xk9BS9IH-JaoPzfz4Jyjf_Bsz9CMJzOfsmFjP5I9ea34hkS73SgKe5qpXpbhfEmRp9McYL7RnD9bua84_7D4YI=w1200|https://lh3.googleusercontent.com/pw/AP1GczM3r6urzA8nsGAK2__YBzMVpoSJ5OHPJ3OC6Oj4QwMdj7cTTc9vcDrs_Jhr1WWM-NH9I4iSPjc9KcrfAfFJ9qX0hdPnYw-v8p-34lk4Qo9M0WY3XhE=w1200|https://lh3.googleusercontent.com/pw/AP1GczMMq7QogItJy-q5PgFss7uQonqXedOJXUODDokePZrRZ7hSnoNf2EYvfw0sHVtpz38mooDXzbYqDErayVg3GkHAj1dEl6Xk4KoE8fxrmYFTwiajx80=w1200|https://lh3.googleusercontent.com/pw/AP1GczOPE4apRVpIIf4PRF_ckPOpwT5Ds86yuNgLsHbR-UvUH23ynxG7ThG8LTNduGk3HtQ8SW_84Jhp6NhniweygXLgJeLDzqka1RwhUS7A7eTR24-N0ao=w1200|https://lh3.googleusercontent.com/pw/AP1GczMkfSd29iPM5d2SzZgBKgRfSTM3S7BKHIYSJBkvogqKPZ67cB3V_72QoewLK9A8JQ7lv2sSlWlJxrR8W5Ppz9J2w1n3c-CnSWC_CN3mkeMefXT5Htc=w1200|https://lh3.googleusercontent.com/pw/AP1GczMQqNf6H9TRzsJhLyx2t1Y6gh79VFHyHOpMPUcNOW1ZvAniDDS_L46-uMI_JZ0N8ZeyDjZrgVQGAdP-wm71BMki-SgEGyQJXFK6EmfI_8qDqN0n7qU=w1200|https://lh3.googleusercontent.com/pw/AP1GczP-Aw4wTxFVPoGmR3KYgYbZDmTXm_0UstFCPEDd7jqevXYVg3sIi2x5zmHNppBaQHAOF9EkJLSnPrF2c3IVIgSQ4HWgseJuvfz-UAi8hhH1SS-iujo=w1200|https://lh3.googleusercontent.com/pw/AP1GczNhkrQhu9QBNwCKVDW0V7qEXJUgdRdBGLl3Jzy2lpTaUJCJbr4kp8kbjB3lTa6p_5FqpTh4o-V-w9vI2TuZhJnYKoufRFVuAaoDnVFf8RpIfsWkmjM=w1200|https://lh3.googleusercontent.com/pw/AP1GczPwdJvj1uFp_Qqs0ra6zjHrFvR5PdzPXEKY46MWTQFL_2yK6Zq9mX9njyb-CkSS_BjZz615ZfnND1IqG7hbrV30sVV_UExB4EoAsqp2KTvesV95EnA=w1200|https://lh3.googleusercontent.com/pw/AP1GczNxMEiideyW3Ei8W6B4Koq6cSGsj5ZPLBRqBm1yOcEZvZJl9CsBfXd8_b2epaRE-dLrFMe4jP0mGEn-QyxYhnjaP_uA7CPiVHrKtK435j8EpSHZI48=w1200|https://lh3.googleusercontent.com/pw/AP1GczMpnnOvLccUfrXrJk23a-1Co9UC2bG6RbKaPK2nUkNzi5Uj5fu4scTw0r4NL1IkPfaBgioMezrg6Qefj1p6b83jO28vGlDQ9dNfv0JGdqkUWgEMJEg=w1200|https://lh3.googleusercontent.com/pw/AP1GczOYacDcK6GU0HL2tjAJSSmlr0V1sliavgJaB4NbrnFwLBHTvjHd58XzzcIOOFfDVVYWmhrxg6J7YA1Zh_d4ZB6MiYBF-GTsgSp_VDXirq4kjeHBzp8=w1200|https://lh3.googleusercontent.com/pw/AP1GczMPXJnMbH-CLsL7SuwU69J45537hJFXDneandD10RnAcwGYfQAQKEdxGzxyxIWVyid8dQXy6ypD_THGwu2N9Ul488eUJSq_gHou4ui-dZJNv0-8F2U=w1200|https://lh3.googleusercontent.com/pw/AP1GczMqzwxN9omMOnR8x0WkrPVqEY93p7Z3XlHfQvDhHUEo-GD8uF8zT21-MB8qlyU9VNyvsL-lMK2NaX8GIF8s8ckgFzlTo1TirOekK_wOzwCw_-en534=w1200|https://lh3.googleusercontent.com/pw/AP1GczNliFhYPI6vNdkPMk-FD8kQBc9DtheHfJL1fFb-UEO34mtN6ObKhJeqqVbJpSG1px4FSWPipDVHReRu-8jjkU3FbiGFwrX_OXEx-NqWuAWR8QVKJu8=w1200|https://lh3.googleusercontent.com/pw/AP1GczO0KeggyBM6JFmTGfo-4EIlRNwwyOPE3RrQLZxioKv35H1ZpC3Um0tTiQ2w8x3zL-Hn_gS9Uy1d7zGsCC6FHKYqF5IQcaTD7As13cJQVIXXINILuPE=w1200|https://lh3.googleusercontent.com/pw/AP1GczN2rkIf53_cvS_WXmfg3TfZZfYeKIZs2xJWJXChYsU4nHDVpMt5RNUYx0WgNARjqRE6GaWwnhgmMX2xpn1gywqycsXC_kStCGYVWLIX3UYvzu7hfSs-=w1200</v>
      </c>
    </row>
    <row r="47">
      <c r="A47" s="39" t="str">
        <f>IFERROR(__xludf.DUMMYFUNCTION("""COMPUTED_VALUE"""),"352")</f>
        <v>352</v>
      </c>
      <c r="B47" s="40" t="str">
        <f>IFERROR(__xludf.DUMMYFUNCTION("""COMPUTED_VALUE"""),"Edificio rentable con 31 habitaciones y local  en barrio Las Granjas")</f>
        <v>Edificio rentable con 31 habitaciones y local  en barrio Las Granjas</v>
      </c>
      <c r="C47" s="40" t="str">
        <f>IFERROR(__xludf.DUMMYFUNCTION("""COMPUTED_VALUE"""),"Edificio rentable")</f>
        <v>Edificio rentable</v>
      </c>
      <c r="D47" s="42" t="str">
        <f>IFERROR(__xludf.DUMMYFUNCTION("""COMPUTED_VALUE"""),"Las Granjas")</f>
        <v>Las Granjas</v>
      </c>
      <c r="E47" s="40"/>
      <c r="F47" s="42">
        <f>IFERROR(__xludf.DUMMYFUNCTION("""COMPUTED_VALUE"""),6.8E9)</f>
        <v>6800000000</v>
      </c>
      <c r="G47" s="40" t="str">
        <f>IFERROR(__xludf.DUMMYFUNCTION("""COMPUTED_VALUE"""),"Más de $1.000'000.000")</f>
        <v>Más de $1.000'000.000</v>
      </c>
      <c r="H47" s="40"/>
      <c r="I47" s="40"/>
      <c r="J47" s="40" t="str">
        <f>IFERROR(__xludf.DUMMYFUNCTION("""COMPUTED_VALUE"""),"Norte")</f>
        <v>Norte</v>
      </c>
      <c r="K47" s="39" t="str">
        <f>IFERROR(__xludf.DUMMYFUNCTION("""COMPUTED_VALUE"""),"2")</f>
        <v>2</v>
      </c>
      <c r="L47" s="40">
        <f>IFERROR(__xludf.DUMMYFUNCTION("""COMPUTED_VALUE"""),31.0)</f>
        <v>31</v>
      </c>
      <c r="M47" s="40"/>
      <c r="N47" s="40">
        <f>IFERROR(__xludf.DUMMYFUNCTION("""COMPUTED_VALUE"""),35.0)</f>
        <v>35</v>
      </c>
      <c r="O47" s="40">
        <f>IFERROR(__xludf.DUMMYFUNCTION("""COMPUTED_VALUE"""),0.0)</f>
        <v>0</v>
      </c>
      <c r="P47" s="40">
        <f>IFERROR(__xludf.DUMMYFUNCTION("""COMPUTED_VALUE"""),5.0)</f>
        <v>5</v>
      </c>
      <c r="Q47" s="48">
        <f>IFERROR(__xludf.DUMMYFUNCTION("""COMPUTED_VALUE"""),1800.0)</f>
        <v>1800</v>
      </c>
      <c r="R47" s="48">
        <f>IFERROR(__xludf.DUMMYFUNCTION("""COMPUTED_VALUE"""),360.0)</f>
        <v>360</v>
      </c>
      <c r="S47" s="39" t="str">
        <f>IFERROR(__xludf.DUMMYFUNCTION("""COMPUTED_VALUE""")," ")</f>
        <v> </v>
      </c>
      <c r="T47" s="40" t="str">
        <f>IFERROR(__xludf.DUMMYFUNCTION("""COMPUTED_VALUE"""),"Neiva")</f>
        <v>Neiva</v>
      </c>
      <c r="U47" s="39" t="str">
        <f>IFERROR(__xludf.DUMMYFUNCTION("""COMPUTED_VALUE"""),"3")</f>
        <v>3</v>
      </c>
      <c r="V47" s="40" t="str">
        <f>IFERROR(__xludf.DUMMYFUNCTION("""COMPUTED_VALUE"""),"Medianera")</f>
        <v>Medianera</v>
      </c>
      <c r="W47" s="46"/>
      <c r="X47" s="46">
        <f>IFERROR(__xludf.DUMMYFUNCTION("""COMPUTED_VALUE"""),31.0)</f>
        <v>31</v>
      </c>
      <c r="Y47" s="40" t="str">
        <f>IFERROR(__xludf.DUMMYFUNCTION("""COMPUTED_VALUE"""),"No tiene")</f>
        <v>No tiene</v>
      </c>
      <c r="Z47" s="42" t="str">
        <f>IFERROR(__xludf.DUMMYFUNCTION("""COMPUTED_VALUE"""),"No aplica")</f>
        <v>No aplica</v>
      </c>
      <c r="AA47" s="49" t="str">
        <f>IFERROR(__xludf.DUMMYFUNCTION("""COMPUTED_VALUE"""),"No aplica")</f>
        <v>No aplica</v>
      </c>
      <c r="AB47" s="105" t="str">
        <f>IFERROR(__xludf.DUMMYFUNCTION("""COMPUTED_VALUE"""),"https://photos.app.goo.gl/5uKvQGabQK1sdntd7")</f>
        <v>https://photos.app.goo.gl/5uKvQGabQK1sdntd7</v>
      </c>
      <c r="AC47" s="40" t="str">
        <f>IFERROR(__xludf.DUMMYFUNCTION("""COMPUTED_VALUE"""),"Cuentas con buenos acabados. De las 31 habitaciones, 4 cuentan con cocina integral.Pisos en cerámica, carpinteria en aluminio, metálica y madera.")</f>
        <v>Cuentas con buenos acabados. De las 31 habitaciones, 4 cuentan con cocina integral.Pisos en cerámica, carpinteria en aluminio, metálica y madera.</v>
      </c>
      <c r="AD47" s="40" t="str">
        <f>IFERROR(__xludf.DUMMYFUNCTION("""COMPUTED_VALUE"""),"Ubicado cerca al Aeropuerto, San Juan y San Pedro plaza. Cuenta con salón de eventos para 40 personas, bar, restaurante, area de lavanderia y terraza.")</f>
        <v>Ubicado cerca al Aeropuerto, San Juan y San Pedro plaza. Cuenta con salón de eventos para 40 personas, bar, restaurante, area de lavanderia y terraza.</v>
      </c>
      <c r="AE47" s="40"/>
      <c r="AF47" s="40" t="str">
        <f>IFERROR(__xludf.DUMMYFUNCTION("""COMPUTED_VALUE"""),"integral")</f>
        <v>integral</v>
      </c>
      <c r="AG47" s="40" t="str">
        <f>IFERROR(__xludf.DUMMYFUNCTION("""COMPUTED_VALUE"""),"SI")</f>
        <v>SI</v>
      </c>
      <c r="AH47" s="40" t="str">
        <f>IFERROR(__xludf.DUMMYFUNCTION("""COMPUTED_VALUE"""),"Inventario")</f>
        <v>Inventario</v>
      </c>
      <c r="AI47" s="40" t="str">
        <f>IFERROR(__xludf.DUMMYFUNCTION("""COMPUTED_VALUE"""),"Verbal")</f>
        <v>Verbal</v>
      </c>
      <c r="AJ47" s="40" t="str">
        <f>IFERROR(__xludf.DUMMYFUNCTION("""COMPUTED_VALUE"""),"ICDE")</f>
        <v>ICDE</v>
      </c>
      <c r="AK47" s="40" t="str">
        <f>IFERROR(__xludf.DUMMYFUNCTION("""COMPUTED_VALUE"""),"SIN CONTRATO")</f>
        <v>SIN CONTRATO</v>
      </c>
      <c r="AL47" s="40" t="str">
        <f>IFERROR(__xludf.DUMMYFUNCTION("""COMPUTED_VALUE"""),"TIENE FOTOS")</f>
        <v>TIENE FOTOS</v>
      </c>
      <c r="AM47" s="40">
        <f>IFERROR(__xludf.DUMMYFUNCTION("""COMPUTED_VALUE"""),3.102933265E9)</f>
        <v>3102933265</v>
      </c>
      <c r="AN47" s="40">
        <f>IFERROR(__xludf.DUMMYFUNCTION("""COMPUTED_VALUE"""),0.0)</f>
        <v>0</v>
      </c>
      <c r="AO47" s="40" t="str">
        <f>IFERROR(__xludf.DUMMYFUNCTION("""COMPUTED_VALUE"""),"HERIBERTO TRUJILLO - AGUA LA CASCADA")</f>
        <v>HERIBERTO TRUJILLO - AGUA LA CASCADA</v>
      </c>
      <c r="AP47" s="40" t="str">
        <f>IFERROR(__xludf.DUMMYFUNCTION("""COMPUTED_VALUE"""),"CARRERA 6  ENTRE CL 28 Y 29")</f>
        <v>CARRERA 6  ENTRE CL 28 Y 29</v>
      </c>
      <c r="AQ47" s="40">
        <f>IFERROR(__xludf.DUMMYFUNCTION("""COMPUTED_VALUE"""),2.94460655051564)</f>
        <v>2.944606551</v>
      </c>
      <c r="AR47" s="40">
        <f>IFERROR(__xludf.DUMMYFUNCTION("""COMPUTED_VALUE"""),-75.2918380760286)</f>
        <v>-75.29183808</v>
      </c>
      <c r="AS47" s="53">
        <f>IFERROR(__xludf.DUMMYFUNCTION("""COMPUTED_VALUE"""),0.0)</f>
        <v>0</v>
      </c>
      <c r="AT47" s="40" t="str">
        <f>IFERROR(__xludf.DUMMYFUNCTION("""COMPUTED_VALUE"""),"SI")</f>
        <v>SI</v>
      </c>
      <c r="AU47" s="40">
        <f>IFERROR(__xludf.DUMMYFUNCTION("""COMPUTED_VALUE"""),0.0)</f>
        <v>0</v>
      </c>
      <c r="AV47" s="40">
        <f>IFERROR(__xludf.DUMMYFUNCTION("""COMPUTED_VALUE"""),0.0)</f>
        <v>0</v>
      </c>
      <c r="AW47" s="40" t="str">
        <f>IFERROR(__xludf.DUMMYFUNCTION("""COMPUTED_VALUE"""),"NO")</f>
        <v>NO</v>
      </c>
      <c r="AX47" s="40">
        <f>IFERROR(__xludf.DUMMYFUNCTION("""COMPUTED_VALUE"""),0.0)</f>
        <v>0</v>
      </c>
      <c r="AY47" s="40">
        <f>IFERROR(__xludf.DUMMYFUNCTION("""COMPUTED_VALUE"""),0.0)</f>
        <v>0</v>
      </c>
      <c r="AZ47" s="40">
        <f>IFERROR(__xludf.DUMMYFUNCTION("""COMPUTED_VALUE"""),18.0)</f>
        <v>18</v>
      </c>
      <c r="BA47" s="40" t="str">
        <f>IFERROR(__xludf.DUMMYFUNCTION("""COMPUTED_VALUE"""),"X")</f>
        <v>X</v>
      </c>
      <c r="BB47" s="40">
        <f>IFERROR(__xludf.DUMMYFUNCTION("""COMPUTED_VALUE"""),20.0)</f>
        <v>20</v>
      </c>
      <c r="BC47" s="53"/>
      <c r="BD47" s="48"/>
      <c r="BE47" s="48"/>
      <c r="BF47" s="48" t="str">
        <f>IFERROR(__xludf.DUMMYFUNCTION("""COMPUTED_VALUE"""),"https://lh3.googleusercontent.com/pw/AP1GczNCBgGgi2RRZ-VYQdQoSnpdxdZJLLFOCUuQmyx0_ZiQEMSIz_xJdw66tQeyAPKtMldKCFJcG7HIiHNmKrLUiISE4G7acnRguubn76pUGyE5TOrY4nCl=w1200|https://lh3.googleusercontent.com/pw/AP1GczOomR98QadHel2FpNtatI9oNvergqeCfdwv1XK7bvn2Fh0JTh"&amp;"x6lW2lC2uOAhfGmSeJpjdwIpGXxNDYSu-5_ygjGjS1z0Au4D9mNkF2kKGZjPAdUSCP=w1200|https://lh3.googleusercontent.com/pw/AP1GczP1udhUsSZH6pt491K7ZNtmW6-o6ymy2LRPQQlayIjyzrjo_z6IENAmxbJPQ2_yy6AxehAI1toCz_vXBpGaFxs3x92O3ZNHqrUXkvx2ZxznywM2pS5D=w1200|https://lh3.google"&amp;"usercontent.com/pw/AP1GczP2AWUP3EQlePPP6aOkRKfexkHw1W1A26h21Pd-D3MhrXI5zY8J1jylZPTOe8PBsiXV7baoft86_6ah6kZ9DmPIkD_M2oxHwcVBxsHMZD2Vs8en4eGR=w1200")</f>
        <v>https://lh3.googleusercontent.com/pw/AP1GczNCBgGgi2RRZ-VYQdQoSnpdxdZJLLFOCUuQmyx0_ZiQEMSIz_xJdw66tQeyAPKtMldKCFJcG7HIiHNmKrLUiISE4G7acnRguubn76pUGyE5TOrY4nCl=w1200|https://lh3.googleusercontent.com/pw/AP1GczOomR98QadHel2FpNtatI9oNvergqeCfdwv1XK7bvn2Fh0JThx6lW2lC2uOAhfGmSeJpjdwIpGXxNDYSu-5_ygjGjS1z0Au4D9mNkF2kKGZjPAdUSCP=w1200|https://lh3.googleusercontent.com/pw/AP1GczP1udhUsSZH6pt491K7ZNtmW6-o6ymy2LRPQQlayIjyzrjo_z6IENAmxbJPQ2_yy6AxehAI1toCz_vXBpGaFxs3x92O3ZNHqrUXkvx2ZxznywM2pS5D=w1200|https://lh3.googleusercontent.com/pw/AP1GczP2AWUP3EQlePPP6aOkRKfexkHw1W1A26h21Pd-D3MhrXI5zY8J1jylZPTOe8PBsiXV7baoft86_6ah6kZ9DmPIkD_M2oxHwcVBxsHMZD2Vs8en4eGR=w1200</v>
      </c>
    </row>
    <row r="48">
      <c r="A48" s="39" t="str">
        <f>IFERROR(__xludf.DUMMYFUNCTION("""COMPUTED_VALUE"""),"013")</f>
        <v>013</v>
      </c>
      <c r="B48" s="40" t="str">
        <f>IFERROR(__xludf.DUMMYFUNCTION("""COMPUTED_VALUE"""),"2 casas lote seguidos en barrio Las Granjas")</f>
        <v>2 casas lote seguidos en barrio Las Granjas</v>
      </c>
      <c r="C48" s="40" t="str">
        <f>IFERROR(__xludf.DUMMYFUNCTION("""COMPUTED_VALUE"""),"Casa lote")</f>
        <v>Casa lote</v>
      </c>
      <c r="D48" s="40" t="str">
        <f>IFERROR(__xludf.DUMMYFUNCTION("""COMPUTED_VALUE"""),"Las Granjas")</f>
        <v>Las Granjas</v>
      </c>
      <c r="E48" s="42" t="str">
        <f>IFERROR(__xludf.DUMMYFUNCTION("""COMPUTED_VALUE""")," ")</f>
        <v> </v>
      </c>
      <c r="F48" s="42">
        <f>IFERROR(__xludf.DUMMYFUNCTION("""COMPUTED_VALUE"""),7.5E8)</f>
        <v>750000000</v>
      </c>
      <c r="G48" s="40" t="str">
        <f>IFERROR(__xludf.DUMMYFUNCTION("""COMPUTED_VALUE"""),"$500'000.000 a $1.000'000.000")</f>
        <v>$500'000.000 a $1.000'000.000</v>
      </c>
      <c r="H48" s="40"/>
      <c r="I48" s="40"/>
      <c r="J48" s="40" t="str">
        <f>IFERROR(__xludf.DUMMYFUNCTION("""COMPUTED_VALUE"""),"Norte")</f>
        <v>Norte</v>
      </c>
      <c r="K48" s="39" t="str">
        <f>IFERROR(__xludf.DUMMYFUNCTION("""COMPUTED_VALUE"""),"2")</f>
        <v>2</v>
      </c>
      <c r="L48" s="40">
        <f>IFERROR(__xludf.DUMMYFUNCTION("""COMPUTED_VALUE"""),4.0)</f>
        <v>4</v>
      </c>
      <c r="M48" s="40"/>
      <c r="N48" s="40">
        <f>IFERROR(__xludf.DUMMYFUNCTION("""COMPUTED_VALUE"""),2.0)</f>
        <v>2</v>
      </c>
      <c r="O48" s="40">
        <f>IFERROR(__xludf.DUMMYFUNCTION("""COMPUTED_VALUE"""),0.0)</f>
        <v>0</v>
      </c>
      <c r="P48" s="40">
        <f>IFERROR(__xludf.DUMMYFUNCTION("""COMPUTED_VALUE"""),1.0)</f>
        <v>1</v>
      </c>
      <c r="Q48" s="48">
        <f>IFERROR(__xludf.DUMMYFUNCTION("""COMPUTED_VALUE"""),200.0)</f>
        <v>200</v>
      </c>
      <c r="R48" s="48">
        <f>IFERROR(__xludf.DUMMYFUNCTION("""COMPUTED_VALUE"""),431.0)</f>
        <v>431</v>
      </c>
      <c r="S48" s="39" t="str">
        <f>IFERROR(__xludf.DUMMYFUNCTION("""COMPUTED_VALUE"""),"Rentabilidad $600,000")</f>
        <v>Rentabilidad $600,000</v>
      </c>
      <c r="T48" s="40" t="str">
        <f>IFERROR(__xludf.DUMMYFUNCTION("""COMPUTED_VALUE"""),"Neiva")</f>
        <v>Neiva</v>
      </c>
      <c r="U48" s="39" t="str">
        <f>IFERROR(__xludf.DUMMYFUNCTION("""COMPUTED_VALUE"""),"2")</f>
        <v>2</v>
      </c>
      <c r="V48" s="40" t="str">
        <f>IFERROR(__xludf.DUMMYFUNCTION("""COMPUTED_VALUE"""),"Esquinera")</f>
        <v>Esquinera</v>
      </c>
      <c r="W48" s="46"/>
      <c r="X48" s="46">
        <f>IFERROR(__xludf.DUMMYFUNCTION("""COMPUTED_VALUE"""),0.0)</f>
        <v>0</v>
      </c>
      <c r="Y48" s="53" t="str">
        <f>IFERROR(__xludf.DUMMYFUNCTION("""COMPUTED_VALUE"""),"No tiene")</f>
        <v>No tiene</v>
      </c>
      <c r="Z48" s="42" t="str">
        <f>IFERROR(__xludf.DUMMYFUNCTION("""COMPUTED_VALUE"""),"No aplica")</f>
        <v>No aplica</v>
      </c>
      <c r="AA48" s="49" t="str">
        <f>IFERROR(__xludf.DUMMYFUNCTION("""COMPUTED_VALUE"""),"104 años")</f>
        <v>104 años</v>
      </c>
      <c r="AB48" s="105" t="str">
        <f>IFERROR(__xludf.DUMMYFUNCTION("""COMPUTED_VALUE"""),"https://photos.app.goo.gl/Se2rjyd29VEGoztUA")</f>
        <v>https://photos.app.goo.gl/Se2rjyd29VEGoztUA</v>
      </c>
      <c r="AC48" s="40"/>
      <c r="AD48" s="40" t="str">
        <f>IFERROR(__xludf.DUMMYFUNCTION("""COMPUTED_VALUE"""),"Dos casa lotes seguidos, ubicados sobre la Avenida 26. Dimensión del lote aprox.  19.0 ml x 21.34 ml. Con patio amplio. Escrituras al Día. No se permuta.")</f>
        <v>Dos casa lotes seguidos, ubicados sobre la Avenida 26. Dimensión del lote aprox.  19.0 ml x 21.34 ml. Con patio amplio. Escrituras al Día. No se permuta.</v>
      </c>
      <c r="AE48" s="40"/>
      <c r="AF48" s="40" t="str">
        <f>IFERROR(__xludf.DUMMYFUNCTION("""COMPUTED_VALUE"""),"básica")</f>
        <v>básica</v>
      </c>
      <c r="AG48" s="40" t="str">
        <f>IFERROR(__xludf.DUMMYFUNCTION("""COMPUTED_VALUE"""),"SI")</f>
        <v>SI</v>
      </c>
      <c r="AH48" s="40" t="str">
        <f>IFERROR(__xludf.DUMMYFUNCTION("""COMPUTED_VALUE"""),"Inventario")</f>
        <v>Inventario</v>
      </c>
      <c r="AI48" s="40" t="str">
        <f>IFERROR(__xludf.DUMMYFUNCTION("""COMPUTED_VALUE"""),"Verbal")</f>
        <v>Verbal</v>
      </c>
      <c r="AJ48" s="40" t="str">
        <f>IFERROR(__xludf.DUMMYFUNCTION("""COMPUTED_VALUE"""),"ICDE")</f>
        <v>ICDE</v>
      </c>
      <c r="AK48" s="40" t="str">
        <f>IFERROR(__xludf.DUMMYFUNCTION("""COMPUTED_VALUE"""),"SIN CONTRATO")</f>
        <v>SIN CONTRATO</v>
      </c>
      <c r="AL48" s="40" t="str">
        <f>IFERROR(__xludf.DUMMYFUNCTION("""COMPUTED_VALUE"""),"TIENE FOTOS")</f>
        <v>TIENE FOTOS</v>
      </c>
      <c r="AM48" s="40">
        <f>IFERROR(__xludf.DUMMYFUNCTION("""COMPUTED_VALUE"""),3.158726346E9)</f>
        <v>3158726346</v>
      </c>
      <c r="AN48" s="40">
        <f>IFERROR(__xludf.DUMMYFUNCTION("""COMPUTED_VALUE"""),0.0)</f>
        <v>0</v>
      </c>
      <c r="AO48" s="40" t="str">
        <f>IFERROR(__xludf.DUMMYFUNCTION("""COMPUTED_VALUE"""),"JOSE BALMORE ZULUAGA")</f>
        <v>JOSE BALMORE ZULUAGA</v>
      </c>
      <c r="AP48" s="40" t="str">
        <f>IFERROR(__xludf.DUMMYFUNCTION("""COMPUTED_VALUE"""),"Calle 45 No. 26 xxxx")</f>
        <v>Calle 45 No. 26 xxxx</v>
      </c>
      <c r="AQ48" s="40">
        <f>IFERROR(__xludf.DUMMYFUNCTION("""COMPUTED_VALUE"""),2.9524168)</f>
        <v>2.9524168</v>
      </c>
      <c r="AR48" s="40">
        <f>IFERROR(__xludf.DUMMYFUNCTION("""COMPUTED_VALUE"""),-75.2909292)</f>
        <v>-75.2909292</v>
      </c>
      <c r="AS48" s="53">
        <f>IFERROR(__xludf.DUMMYFUNCTION("""COMPUTED_VALUE"""),600000.0)</f>
        <v>600000</v>
      </c>
      <c r="AT48" s="40">
        <f>IFERROR(__xludf.DUMMYFUNCTION("""COMPUTED_VALUE"""),0.0)</f>
        <v>0</v>
      </c>
      <c r="AU48" s="40">
        <f>IFERROR(__xludf.DUMMYFUNCTION("""COMPUTED_VALUE"""),0.0)</f>
        <v>0</v>
      </c>
      <c r="AV48" s="40">
        <f>IFERROR(__xludf.DUMMYFUNCTION("""COMPUTED_VALUE"""),0.0)</f>
        <v>0</v>
      </c>
      <c r="AW48" s="40" t="str">
        <f>IFERROR(__xludf.DUMMYFUNCTION("""COMPUTED_VALUE"""),"NO")</f>
        <v>NO</v>
      </c>
      <c r="AX48" s="40">
        <f>IFERROR(__xludf.DUMMYFUNCTION("""COMPUTED_VALUE"""),0.0)</f>
        <v>0</v>
      </c>
      <c r="AY48" s="40">
        <f>IFERROR(__xludf.DUMMYFUNCTION("""COMPUTED_VALUE"""),0.0)</f>
        <v>0</v>
      </c>
      <c r="AZ48" s="40">
        <f>IFERROR(__xludf.DUMMYFUNCTION("""COMPUTED_VALUE"""),19.0)</f>
        <v>19</v>
      </c>
      <c r="BA48" s="40" t="str">
        <f>IFERROR(__xludf.DUMMYFUNCTION("""COMPUTED_VALUE"""),"X")</f>
        <v>X</v>
      </c>
      <c r="BB48" s="40">
        <f>IFERROR(__xludf.DUMMYFUNCTION("""COMPUTED_VALUE"""),21.34)</f>
        <v>21.34</v>
      </c>
      <c r="BC48" s="53" t="str">
        <f>IFERROR(__xludf.DUMMYFUNCTION("""COMPUTED_VALUE"""),"12 - LEIDY YULIETH, 35 - LUIS ANGEL VARGAS")</f>
        <v>12 - LEIDY YULIETH, 35 - LUIS ANGEL VARGAS</v>
      </c>
      <c r="BD48" s="48"/>
      <c r="BE48" s="48"/>
      <c r="BF48" s="48" t="str">
        <f>IFERROR(__xludf.DUMMYFUNCTION("""COMPUTED_VALUE"""),"https://lh3.googleusercontent.com/pw/AP1GczPjkYHzCuNQzFyB1ttRaQ5akSv5BKYyuXcv7HYVJuEeQV-C39jAn07ahxlSglAn4vicftUb6JwYkIpKireMXPWNWxMWd9b8g-ovzgOkL1xpcin3M88=w1200|https://lh3.googleusercontent.com/pw/AP1GczNR86gqiKTxNRmj8SdMrfzlT0pRemxBqasVOZDuW9NmNPc0bfH"&amp;"CR2TjUCtYkFHgz6CEPvorHtLkq9cHvn73R6d_-G5GiAKlENQTPt_Q7BP0CCNfCa8=w1200|https://lh3.googleusercontent.com/pw/AP1GczPvHcytCLcHPiSZk3xem0YOOOaY3FHehgjq0j--Hn6OOQV4DhOkjbSaWx4GurSLzjwuCpVApE1C-i_-wO4kybD31udsx1Qu_s3c--_SB2RykOugtfY=w1200|https://lh3.googleuse"&amp;"rcontent.com/pw/AP1GczNd-U1rxCJUnby_2ZsUvwKHtGtaCuoyWqbuM_MFVpTshPFgW0TxOtXkuToLkM9fWpJiBvAeh2GdSMZJFWnwZ-FPREzlasZ7ZRRJtFwBhje7_bczHhM=w1200|https://lh3.googleusercontent.com/pw/AP1GczPFXxUicxniey8_2mBqauZRkyOO9td0DkxrX1mKRCRwC9A1XH9RJTHoKMMZOvHychaI6lQ5"&amp;"XLfyxfVBryiVld-JVjA7aazlRSyAljD-JIFbST_cw2g=w1200|https://lh3.googleusercontent.com/pw/AP1GczN8ksIwdmk4VmvSWSXU7MYz5rgAbtRoCk9O7wOKM06gAUBvpi_PnIoaxH2LwnDibLULl75q8mH2f1f54y-SiG98ELs3u_3EbT5FaJsIkfN9pf6rhbA=w1200|https://lh3.googleusercontent.com/pw/AP1Gc"&amp;"zOVz4u0V1EhIPe7GKEmz_S5ly0fKiMoGrS4o2a5cs6iFn49yrl64wst2vu9UlcOfB2X_-2cyfSiosgO62brZjD0sflEVKbuiLT2zH6MM4egOLMWICg=w1200|https://lh3.googleusercontent.com/pw/AP1GczPHs205L9oOiCx8DjXbQiMq5OihOpmlM_fAZWsMLtn919wFR7daBH7MUJYxbUJARBUg001z_R5W-C2MttsE7ulP3tS9x"&amp;"2lVWmvfwOLzPYMvwM3Jx6k=w1200|https://lh3.googleusercontent.com/pw/AP1GczPuj4dFfc3eYCEnVn34wuwzKNAYvB_90nhtuS0mwBB5YLo4r7RUUki2oVQ6dDRHGusRbFyWgYYJM5GFjHcEEnXqvWX2OGUzyuywExB6CVTY1HNTnbQ=w1200|https://lh3.googleusercontent.com/pw/AP1GczOJoyPJZ0ziJmGQP3urBj"&amp;"n-AHeG1ba1oZyuAYybA2OTcBWAccpk3tPGDSZCMKR9s8wP5u_Por0U08A-IAkiJxb_TJ1i7Ma9KUhwgWy34n8rMsyKrNU=w1200|https://lh3.googleusercontent.com/pw/AP1GczOnrevE4lTQWdepBeKXKaX6PAKNuz3AbH2zZGfLt6V41RbKep9K7KJvdmZWBAponbocxKIICGpXdDKKevKP8Ond1V7DqO77_PgrRB4Ha5d3W36scF"&amp;"w=w1200|https://lh3.googleusercontent.com/pw/AP1GczPahZxVG2KMrdEdaPYC4jXaIgxRsO17uASDkq6C3pNT7aZrEGRaUCJHGw5O2QYy5zTiv_5wtFSoA-L8nM_hBepUnEmwo-zxglk_pr-xaUprL7odDrI=w1200|https://lh3.googleusercontent.com/pw/AP1GczM1wwvkns4vHmtQCQ_PG_Xsk8TWYP7JC6XFKfTd43z"&amp;"5Zh4i_8XypH7i61ZQav8rclPiG5Mausj08uzpFKrpiBH18FyLb0I2nyrHl2yvaXslTZUWB6o=w1200|https://lh3.googleusercontent.com/pw/AP1GczPAdZnGsg_mCtP1Zk1gOe2JtvVHkbGFUYbOrCYGB18yjFTzUBkasCNUzAqrmIs13lb65oAD2iJPnUR2lFN6n2A0MthJEKHyXn7Vv7oGYX-WZaVaMKw=w1200|https://lh3.g"&amp;"oogleusercontent.com/pw/AP1GczO1jh45nMW3W4vyFyKKEXm_KyNcqxqKFCE_CukXaxQXldDkY77HhQeCzRuAE9Mf7NAbK8YtTV4M69bnDVPfl5fe_0FjU0QZYSBOJT8tTLROUg9LYbM=w1200|https://lh3.googleusercontent.com/pw/AP1GczOnFCimCnXqL1z7kQDeYGWodKvC2ZeEcuSENA5COzZEYCzrJ-Y4d2NE6wTFll2X"&amp;"SQBnLwsENF4SQMmn73MkrLCAVATrR9upRBMNkY3GmGOWkvTlrkw=w1200|https://lh3.googleusercontent.com/pw/AP1GczMDBkouhJDHyfGEnzAO_iIXlxZPkMhfnEQYmdcuc02fj_sIjim6bxzDDqCcMyTiAnNi0ePrccTmy-eAeKKeNbTKxp5lDhfUyDQ2FmSu5ZmXYoqi9wk=w1200|https://lh3.googleusercontent.com/"&amp;"pw/AP1GczMf_VI1hbi_zDszDpvCp8prUaq--akTlHOVVZNi4TlIfA5YUlKZ4gU6SoHJXAjZTKl9-NW3EuhHfeFTfqgnO0fF7dLYpmzVqwTLn32jtUipYzrz5qE=w1200|https://lh3.googleusercontent.com/pw/AP1GczPMxwAsRFZ54TV83yobdXLhJ50cNgE_-wzOE9L5FPHFZuVK6z4nGgjHx3NumXx9M8C0bVQ8rWStW2boSFUlI"&amp;"WRbT0H8-KgDroDl6mCH__YZk_dcPvk=w1200|https://lh3.googleusercontent.com/pw/AP1GczPurDk1Yc9qRRj0N0xP_-MDR3y46d0hyfF5NFBrgOk4sjoZ9_GYvlYRewj6vQ7aZM8Qqiy3CiW5fX2G5F4ndxhVpCCqE1v-28rjqWYXk7JbqI7x6GA=w1200|https://lh3.googleusercontent.com/pw/AP1GczN2SjayuDvLyt"&amp;"l3-TRqZCtNeDIVAQM3D0FXyRZAGEumljjKf7KQ8bDJH1YMDU7rC0Eoi3X4iklRCvpASuY9QHw9ivvIzXVsur0BiwWRihgAhBv1tf8=w1200|https://lh3.googleusercontent.com/pw/AP1GczMfvjgOgwl4-F7LqOXjL1hEoaeF2Axyief-iSFvpSM84aFCa-8HxSUouphrnvcy7RRbkWUkB9PRYJVBcl-aYMsgDHEXSxs5MJgJ6kyeUz"&amp;"SZKIKObuA=w1200|https://lh3.googleusercontent.com/pw/AP1GczO2WGyOL319b6u1psFHj1xKi7eNPavdEPZTdDgaBGjaORiyBq9qUCi53pjXwJzzdOusLDFbSQ7nMsY8JPz3jN6kOblqNPM6QfmSRNcVCppSW8DiTaE=w1200|https://lh3.googleusercontent.com/pw/AP1GczPsUDJVUPWbQL3ANFYE4AzwxHq5pSEi_KZ"&amp;"NyFeGKG-fUNlXtyodmm6hwoFoSOI_HgylGH9S6sjQ4Puntf1-0pupLvG6kl8I6qpUMF9q4KglDZSUEqI=w1200|https://lh3.googleusercontent.com/pw/AP1GczOaMRh-hsmuS2L5FQKgFZF3cD0sXLBRrPGXcqiA8P7RnaBrihJu6njNoDuxGnVVnp-VGuu5gMhcBPNWL_3zCDf-XluMmHiAF9XpKDhdLQBQ5pxrsH_D=w1200")</f>
        <v>https://lh3.googleusercontent.com/pw/AP1GczPjkYHzCuNQzFyB1ttRaQ5akSv5BKYyuXcv7HYVJuEeQV-C39jAn07ahxlSglAn4vicftUb6JwYkIpKireMXPWNWxMWd9b8g-ovzgOkL1xpcin3M88=w1200|https://lh3.googleusercontent.com/pw/AP1GczNR86gqiKTxNRmj8SdMrfzlT0pRemxBqasVOZDuW9NmNPc0bfHCR2TjUCtYkFHgz6CEPvorHtLkq9cHvn73R6d_-G5GiAKlENQTPt_Q7BP0CCNfCa8=w1200|https://lh3.googleusercontent.com/pw/AP1GczPvHcytCLcHPiSZk3xem0YOOOaY3FHehgjq0j--Hn6OOQV4DhOkjbSaWx4GurSLzjwuCpVApE1C-i_-wO4kybD31udsx1Qu_s3c--_SB2RykOugtfY=w1200|https://lh3.googleusercontent.com/pw/AP1GczNd-U1rxCJUnby_2ZsUvwKHtGtaCuoyWqbuM_MFVpTshPFgW0TxOtXkuToLkM9fWpJiBvAeh2GdSMZJFWnwZ-FPREzlasZ7ZRRJtFwBhje7_bczHhM=w1200|https://lh3.googleusercontent.com/pw/AP1GczPFXxUicxniey8_2mBqauZRkyOO9td0DkxrX1mKRCRwC9A1XH9RJTHoKMMZOvHychaI6lQ5XLfyxfVBryiVld-JVjA7aazlRSyAljD-JIFbST_cw2g=w1200|https://lh3.googleusercontent.com/pw/AP1GczN8ksIwdmk4VmvSWSXU7MYz5rgAbtRoCk9O7wOKM06gAUBvpi_PnIoaxH2LwnDibLULl75q8mH2f1f54y-SiG98ELs3u_3EbT5FaJsIkfN9pf6rhbA=w1200|https://lh3.googleusercontent.com/pw/AP1GczOVz4u0V1EhIPe7GKEmz_S5ly0fKiMoGrS4o2a5cs6iFn49yrl64wst2vu9UlcOfB2X_-2cyfSiosgO62brZjD0sflEVKbuiLT2zH6MM4egOLMWICg=w1200|https://lh3.googleusercontent.com/pw/AP1GczPHs205L9oOiCx8DjXbQiMq5OihOpmlM_fAZWsMLtn919wFR7daBH7MUJYxbUJARBUg001z_R5W-C2MttsE7ulP3tS9x2lVWmvfwOLzPYMvwM3Jx6k=w1200|https://lh3.googleusercontent.com/pw/AP1GczPuj4dFfc3eYCEnVn34wuwzKNAYvB_90nhtuS0mwBB5YLo4r7RUUki2oVQ6dDRHGusRbFyWgYYJM5GFjHcEEnXqvWX2OGUzyuywExB6CVTY1HNTnbQ=w1200|https://lh3.googleusercontent.com/pw/AP1GczOJoyPJZ0ziJmGQP3urBjn-AHeG1ba1oZyuAYybA2OTcBWAccpk3tPGDSZCMKR9s8wP5u_Por0U08A-IAkiJxb_TJ1i7Ma9KUhwgWy34n8rMsyKrNU=w1200|https://lh3.googleusercontent.com/pw/AP1GczOnrevE4lTQWdepBeKXKaX6PAKNuz3AbH2zZGfLt6V41RbKep9K7KJvdmZWBAponbocxKIICGpXdDKKevKP8Ond1V7DqO77_PgrRB4Ha5d3W36scFw=w1200|https://lh3.googleusercontent.com/pw/AP1GczPahZxVG2KMrdEdaPYC4jXaIgxRsO17uASDkq6C3pNT7aZrEGRaUCJHGw5O2QYy5zTiv_5wtFSoA-L8nM_hBepUnEmwo-zxglk_pr-xaUprL7odDrI=w1200|https://lh3.googleusercontent.com/pw/AP1GczM1wwvkns4vHmtQCQ_PG_Xsk8TWYP7JC6XFKfTd43z5Zh4i_8XypH7i61ZQav8rclPiG5Mausj08uzpFKrpiBH18FyLb0I2nyrHl2yvaXslTZUWB6o=w1200|https://lh3.googleusercontent.com/pw/AP1GczPAdZnGsg_mCtP1Zk1gOe2JtvVHkbGFUYbOrCYGB18yjFTzUBkasCNUzAqrmIs13lb65oAD2iJPnUR2lFN6n2A0MthJEKHyXn7Vv7oGYX-WZaVaMKw=w1200|https://lh3.googleusercontent.com/pw/AP1GczO1jh45nMW3W4vyFyKKEXm_KyNcqxqKFCE_CukXaxQXldDkY77HhQeCzRuAE9Mf7NAbK8YtTV4M69bnDVPfl5fe_0FjU0QZYSBOJT8tTLROUg9LYbM=w1200|https://lh3.googleusercontent.com/pw/AP1GczOnFCimCnXqL1z7kQDeYGWodKvC2ZeEcuSENA5COzZEYCzrJ-Y4d2NE6wTFll2XSQBnLwsENF4SQMmn73MkrLCAVATrR9upRBMNkY3GmGOWkvTlrkw=w1200|https://lh3.googleusercontent.com/pw/AP1GczMDBkouhJDHyfGEnzAO_iIXlxZPkMhfnEQYmdcuc02fj_sIjim6bxzDDqCcMyTiAnNi0ePrccTmy-eAeKKeNbTKxp5lDhfUyDQ2FmSu5ZmXYoqi9wk=w1200|https://lh3.googleusercontent.com/pw/AP1GczMf_VI1hbi_zDszDpvCp8prUaq--akTlHOVVZNi4TlIfA5YUlKZ4gU6SoHJXAjZTKl9-NW3EuhHfeFTfqgnO0fF7dLYpmzVqwTLn32jtUipYzrz5qE=w1200|https://lh3.googleusercontent.com/pw/AP1GczPMxwAsRFZ54TV83yobdXLhJ50cNgE_-wzOE9L5FPHFZuVK6z4nGgjHx3NumXx9M8C0bVQ8rWStW2boSFUlIWRbT0H8-KgDroDl6mCH__YZk_dcPvk=w1200|https://lh3.googleusercontent.com/pw/AP1GczPurDk1Yc9qRRj0N0xP_-MDR3y46d0hyfF5NFBrgOk4sjoZ9_GYvlYRewj6vQ7aZM8Qqiy3CiW5fX2G5F4ndxhVpCCqE1v-28rjqWYXk7JbqI7x6GA=w1200|https://lh3.googleusercontent.com/pw/AP1GczN2SjayuDvLytl3-TRqZCtNeDIVAQM3D0FXyRZAGEumljjKf7KQ8bDJH1YMDU7rC0Eoi3X4iklRCvpASuY9QHw9ivvIzXVsur0BiwWRihgAhBv1tf8=w1200|https://lh3.googleusercontent.com/pw/AP1GczMfvjgOgwl4-F7LqOXjL1hEoaeF2Axyief-iSFvpSM84aFCa-8HxSUouphrnvcy7RRbkWUkB9PRYJVBcl-aYMsgDHEXSxs5MJgJ6kyeUzSZKIKObuA=w1200|https://lh3.googleusercontent.com/pw/AP1GczO2WGyOL319b6u1psFHj1xKi7eNPavdEPZTdDgaBGjaORiyBq9qUCi53pjXwJzzdOusLDFbSQ7nMsY8JPz3jN6kOblqNPM6QfmSRNcVCppSW8DiTaE=w1200|https://lh3.googleusercontent.com/pw/AP1GczPsUDJVUPWbQL3ANFYE4AzwxHq5pSEi_KZNyFeGKG-fUNlXtyodmm6hwoFoSOI_HgylGH9S6sjQ4Puntf1-0pupLvG6kl8I6qpUMF9q4KglDZSUEqI=w1200|https://lh3.googleusercontent.com/pw/AP1GczOaMRh-hsmuS2L5FQKgFZF3cD0sXLBRrPGXcqiA8P7RnaBrihJu6njNoDuxGnVVnp-VGuu5gMhcBPNWL_3zCDf-XluMmHiAF9XpKDhdLQBQ5pxrsH_D=w1200</v>
      </c>
    </row>
    <row r="49">
      <c r="A49" s="39" t="str">
        <f>IFERROR(__xludf.DUMMYFUNCTION("""COMPUTED_VALUE"""),"277")</f>
        <v>277</v>
      </c>
      <c r="B49" s="40" t="str">
        <f>IFERROR(__xludf.DUMMYFUNCTION("""COMPUTED_VALUE"""),"Casa en barrio Las Granjas ")</f>
        <v>Casa en barrio Las Granjas </v>
      </c>
      <c r="C49" s="40" t="str">
        <f>IFERROR(__xludf.DUMMYFUNCTION("""COMPUTED_VALUE"""),"Casa")</f>
        <v>Casa</v>
      </c>
      <c r="D49" s="40" t="str">
        <f>IFERROR(__xludf.DUMMYFUNCTION("""COMPUTED_VALUE"""),"Las Granjas")</f>
        <v>Las Granjas</v>
      </c>
      <c r="E49" s="40"/>
      <c r="F49" s="42">
        <f>IFERROR(__xludf.DUMMYFUNCTION("""COMPUTED_VALUE"""),7.2E8)</f>
        <v>720000000</v>
      </c>
      <c r="G49" s="40" t="str">
        <f>IFERROR(__xludf.DUMMYFUNCTION("""COMPUTED_VALUE"""),"$500'000.000 a $1.000'000.000")</f>
        <v>$500'000.000 a $1.000'000.000</v>
      </c>
      <c r="H49" s="40"/>
      <c r="I49" s="40"/>
      <c r="J49" s="40" t="str">
        <f>IFERROR(__xludf.DUMMYFUNCTION("""COMPUTED_VALUE"""),"Norte")</f>
        <v>Norte</v>
      </c>
      <c r="K49" s="39" t="str">
        <f>IFERROR(__xludf.DUMMYFUNCTION("""COMPUTED_VALUE"""),"2")</f>
        <v>2</v>
      </c>
      <c r="L49" s="40">
        <f>IFERROR(__xludf.DUMMYFUNCTION("""COMPUTED_VALUE"""),5.0)</f>
        <v>5</v>
      </c>
      <c r="M49" s="40"/>
      <c r="N49" s="40">
        <f>IFERROR(__xludf.DUMMYFUNCTION("""COMPUTED_VALUE"""),1.0)</f>
        <v>1</v>
      </c>
      <c r="O49" s="40">
        <f>IFERROR(__xludf.DUMMYFUNCTION("""COMPUTED_VALUE"""),1.0)</f>
        <v>1</v>
      </c>
      <c r="P49" s="40">
        <f>IFERROR(__xludf.DUMMYFUNCTION("""COMPUTED_VALUE"""),1.0)</f>
        <v>1</v>
      </c>
      <c r="Q49" s="48">
        <f>IFERROR(__xludf.DUMMYFUNCTION("""COMPUTED_VALUE"""),180.0)</f>
        <v>180</v>
      </c>
      <c r="R49" s="48">
        <f>IFERROR(__xludf.DUMMYFUNCTION("""COMPUTED_VALUE"""),180.0)</f>
        <v>180</v>
      </c>
      <c r="S49" s="39" t="str">
        <f>IFERROR(__xludf.DUMMYFUNCTION("""COMPUTED_VALUE"""),"Rentabilidad $2,000,000")</f>
        <v>Rentabilidad $2,000,000</v>
      </c>
      <c r="T49" s="40" t="str">
        <f>IFERROR(__xludf.DUMMYFUNCTION("""COMPUTED_VALUE"""),"Neiva")</f>
        <v>Neiva</v>
      </c>
      <c r="U49" s="39" t="str">
        <f>IFERROR(__xludf.DUMMYFUNCTION("""COMPUTED_VALUE"""),"2")</f>
        <v>2</v>
      </c>
      <c r="V49" s="40" t="str">
        <f>IFERROR(__xludf.DUMMYFUNCTION("""COMPUTED_VALUE"""),"Medianera")</f>
        <v>Medianera</v>
      </c>
      <c r="W49" s="46"/>
      <c r="X49" s="46">
        <f>IFERROR(__xludf.DUMMYFUNCTION("""COMPUTED_VALUE"""),0.0)</f>
        <v>0</v>
      </c>
      <c r="Y49" s="53" t="str">
        <f>IFERROR(__xludf.DUMMYFUNCTION("""COMPUTED_VALUE"""),"No tiene")</f>
        <v>No tiene</v>
      </c>
      <c r="Z49" s="42" t="str">
        <f>IFERROR(__xludf.DUMMYFUNCTION("""COMPUTED_VALUE"""),"No aplica")</f>
        <v>No aplica</v>
      </c>
      <c r="AA49" s="49" t="str">
        <f>IFERROR(__xludf.DUMMYFUNCTION("""COMPUTED_VALUE"""),"30 años")</f>
        <v>30 años</v>
      </c>
      <c r="AB49" s="105" t="str">
        <f>IFERROR(__xludf.DUMMYFUNCTION("""COMPUTED_VALUE"""),"https://photos.app.goo.gl/e2dH5UwKbSdUfcbf7")</f>
        <v>https://photos.app.goo.gl/e2dH5UwKbSdUfcbf7</v>
      </c>
      <c r="AC49" s="40"/>
      <c r="AD49" s="40" t="str">
        <f>IFERROR(__xludf.DUMMYFUNCTION("""COMPUTED_VALUE"""),"Casa antigua para remodelar. Dimensión del lote 9.0 ml x 20.0 ml. Cerca de los centros comerciales San Juan y San Pedro plaza. Escritura al día. No se permuta.")</f>
        <v>Casa antigua para remodelar. Dimensión del lote 9.0 ml x 20.0 ml. Cerca de los centros comerciales San Juan y San Pedro plaza. Escritura al día. No se permuta.</v>
      </c>
      <c r="AE49" s="40"/>
      <c r="AF49" s="40" t="str">
        <f>IFERROR(__xludf.DUMMYFUNCTION("""COMPUTED_VALUE"""),"básica")</f>
        <v>básica</v>
      </c>
      <c r="AG49" s="40" t="str">
        <f>IFERROR(__xludf.DUMMYFUNCTION("""COMPUTED_VALUE"""),"SI")</f>
        <v>SI</v>
      </c>
      <c r="AH49" s="40" t="str">
        <f>IFERROR(__xludf.DUMMYFUNCTION("""COMPUTED_VALUE"""),"Inventario")</f>
        <v>Inventario</v>
      </c>
      <c r="AI49" s="40" t="str">
        <f>IFERROR(__xludf.DUMMYFUNCTION("""COMPUTED_VALUE"""),"Verbal")</f>
        <v>Verbal</v>
      </c>
      <c r="AJ49" s="40" t="str">
        <f>IFERROR(__xludf.DUMMYFUNCTION("""COMPUTED_VALUE"""),"ICDE")</f>
        <v>ICDE</v>
      </c>
      <c r="AK49" s="40" t="str">
        <f>IFERROR(__xludf.DUMMYFUNCTION("""COMPUTED_VALUE"""),"SIN CONTRATO")</f>
        <v>SIN CONTRATO</v>
      </c>
      <c r="AL49" s="40" t="str">
        <f>IFERROR(__xludf.DUMMYFUNCTION("""COMPUTED_VALUE"""),"NO FOTOS-INTER.")</f>
        <v>NO FOTOS-INTER.</v>
      </c>
      <c r="AM49" s="40">
        <f>IFERROR(__xludf.DUMMYFUNCTION("""COMPUTED_VALUE"""),3.163995297E9)</f>
        <v>3163995297</v>
      </c>
      <c r="AN49" s="40">
        <f>IFERROR(__xludf.DUMMYFUNCTION("""COMPUTED_VALUE"""),0.0)</f>
        <v>0</v>
      </c>
      <c r="AO49" s="40" t="str">
        <f>IFERROR(__xludf.DUMMYFUNCTION("""COMPUTED_VALUE"""),"JAMES AMESQUITA-FAMILIAR")</f>
        <v>JAMES AMESQUITA-FAMILIAR</v>
      </c>
      <c r="AP49" s="40" t="str">
        <f>IFERROR(__xludf.DUMMYFUNCTION("""COMPUTED_VALUE"""),"AV. 26 NO. 40 - 18")</f>
        <v>AV. 26 NO. 40 - 18</v>
      </c>
      <c r="AQ49" s="40">
        <f>IFERROR(__xludf.DUMMYFUNCTION("""COMPUTED_VALUE"""),2.9500392)</f>
        <v>2.9500392</v>
      </c>
      <c r="AR49" s="40">
        <f>IFERROR(__xludf.DUMMYFUNCTION("""COMPUTED_VALUE"""),-75.2894659)</f>
        <v>-75.2894659</v>
      </c>
      <c r="AS49" s="53">
        <f>IFERROR(__xludf.DUMMYFUNCTION("""COMPUTED_VALUE"""),2000000.0)</f>
        <v>2000000</v>
      </c>
      <c r="AT49" s="40">
        <f>IFERROR(__xludf.DUMMYFUNCTION("""COMPUTED_VALUE"""),0.0)</f>
        <v>0</v>
      </c>
      <c r="AU49" s="40">
        <f>IFERROR(__xludf.DUMMYFUNCTION("""COMPUTED_VALUE"""),0.0)</f>
        <v>0</v>
      </c>
      <c r="AV49" s="40">
        <f>IFERROR(__xludf.DUMMYFUNCTION("""COMPUTED_VALUE"""),0.0)</f>
        <v>0</v>
      </c>
      <c r="AW49" s="40" t="str">
        <f>IFERROR(__xludf.DUMMYFUNCTION("""COMPUTED_VALUE"""),"NO")</f>
        <v>NO</v>
      </c>
      <c r="AX49" s="40">
        <f>IFERROR(__xludf.DUMMYFUNCTION("""COMPUTED_VALUE"""),0.0)</f>
        <v>0</v>
      </c>
      <c r="AY49" s="40">
        <f>IFERROR(__xludf.DUMMYFUNCTION("""COMPUTED_VALUE"""),0.0)</f>
        <v>0</v>
      </c>
      <c r="AZ49" s="40">
        <f>IFERROR(__xludf.DUMMYFUNCTION("""COMPUTED_VALUE"""),9.0)</f>
        <v>9</v>
      </c>
      <c r="BA49" s="40" t="str">
        <f>IFERROR(__xludf.DUMMYFUNCTION("""COMPUTED_VALUE"""),"X")</f>
        <v>X</v>
      </c>
      <c r="BB49" s="40">
        <f>IFERROR(__xludf.DUMMYFUNCTION("""COMPUTED_VALUE"""),20.0)</f>
        <v>20</v>
      </c>
      <c r="BC49" s="53"/>
      <c r="BD49" s="40"/>
      <c r="BE49" s="48"/>
      <c r="BF49" s="48" t="str">
        <f>IFERROR(__xludf.DUMMYFUNCTION("""COMPUTED_VALUE"""),"https://lh3.googleusercontent.com/pw/AP1GczPOacFCr3hp5trzHTGaCvTHgIX2RFVbB_6a5bXg19Ntw7Qx8_7jVtcnBjRb_ivhd_LdroKTwmtnDPXkVWeBbbGP2tOE0jRTicqXfIlb7HGS1Qznnvms=w1200|https://lh3.googleusercontent.com/pw/AP1GczMbYjjVVAIdNxNv8JiHuKgT5KRsf2ejNtgueJubOZKJUBiPUz"&amp;"Flc7jL2zYQbDAXT3hszVIVGjF0fv9odftfohVfjVY23SOJqOoinYLNHkFO469A3G6a=w1200|https://lh3.googleusercontent.com/pw/AP1GczOfKLHmEGdVCZAEVEifyBFPbIVplMAjBg6kbsrkAr6RARyRIyl3va22GWLgh4RYj4UG47I_CE-_xXMPLg4Nw4Ngh-fL3-INXC_bTD6OBkHn7LJT0sYr=w1200|https://lh3.google"&amp;"usercontent.com/pw/AP1GczPSRrJ5rOkaNlgNiW44nVjAWDRf5w6R0IcO81UomvcymscqAJXYByAd6Ig5PTChoo3BDd61JJUJu7tYDyZGW9Ro3cyMv9J7e2ldd8WJd29scj_7AhDl=w1200|https://lh3.googleusercontent.com/pw/AP1GczMLanvkJTHAPsiVmk-9o5xvKvWDB-hWAtso24JuhLsv0fpwa6GlzoFPj90-Pd3JQzqs"&amp;"SLIBUm07anhXfUvl0nOz0kObcOlT8wVYxkveOLM7CT0K-yee=w1200|https://lh3.googleusercontent.com/pw/AP1GczNtU7_DmzTk3k_M3Trdcxn7nYv9njs7DjUMi7jzJkD7UslKG9t_yUEs3DmI19NkDaThedYIdH1GNDrma40ZH82EXd3PR8AvD5gVrkKykOh4KvrPHzn8=w1200|https://lh3.googleusercontent.com/pw"&amp;"/AP1GczOQUn3KbvWkzGjTp0hAxstx7ZC_d7hr6fCUrCR-woNPPNFtihFJ_f866a7c8bDULtxflhEt8ou5F0CXGjD-eP0i__5K6PQCmsKko5p2hMis4MyvKXlE=w1200|https://lh3.googleusercontent.com/pw/AP1GczNnG_bYsvd5mMEJEHEWDNbcPEARWsi2Rv3bY1_uniQWUAWTUajIsIYGyXoLJuqEVcxP18LcAF9Mwjt2ssnPpT"&amp;"WULhV2eB56q2YwB0Ln2KUUjrG5x7sn=w1200|https://lh3.googleusercontent.com/pw/AP1GczNZFO_WenHvYAlqO_-zLMuTFKJgpde_4wkxMAgV7GALFeKaXDn9WrMAChabiplOsGRZbn-SjQ09t2kuRLK0vgc_7hibJij_VieawA6hnZz3IP5aUzT9=w1200|https://lh3.googleusercontent.com/pw/AP1GczNpSlApB8p7K"&amp;"Ji9t8R47bY44mSHoHSnPn1TMBGFN0nJ-zyypce77gk5H2SbOiekPGxOuAcCASlh-M9vv0hx5iVeqRNiosXffhCazFOeJogVS7bKjQ9_=w1200|https://lh3.googleusercontent.com/pw/AP1GczPi8p4kkbylGos5qWpZSoXupANVb2D57IKHfLIjLficI8LuAHby82jG9lLU_k_1p6MVWUv6QaaeMzAqNBwX84fveriLYudDw-RGqwYC"&amp;"Z6xWL9m5YxBv=w1200|https://lh3.googleusercontent.com/pw/AP1GczMmZ4tWZStYOGKHuYFigxWI4jZHkK2KKv0mHB17bMZIfIxFQ5BeVRE7ZxHGaWvoLQMZgyccb1MOfAWJjPu7V-k7j5_ypBHB28KhHBaN78BOHPHkhmaf=w1200")</f>
        <v>https://lh3.googleusercontent.com/pw/AP1GczPOacFCr3hp5trzHTGaCvTHgIX2RFVbB_6a5bXg19Ntw7Qx8_7jVtcnBjRb_ivhd_LdroKTwmtnDPXkVWeBbbGP2tOE0jRTicqXfIlb7HGS1Qznnvms=w1200|https://lh3.googleusercontent.com/pw/AP1GczMbYjjVVAIdNxNv8JiHuKgT5KRsf2ejNtgueJubOZKJUBiPUzFlc7jL2zYQbDAXT3hszVIVGjF0fv9odftfohVfjVY23SOJqOoinYLNHkFO469A3G6a=w1200|https://lh3.googleusercontent.com/pw/AP1GczOfKLHmEGdVCZAEVEifyBFPbIVplMAjBg6kbsrkAr6RARyRIyl3va22GWLgh4RYj4UG47I_CE-_xXMPLg4Nw4Ngh-fL3-INXC_bTD6OBkHn7LJT0sYr=w1200|https://lh3.googleusercontent.com/pw/AP1GczPSRrJ5rOkaNlgNiW44nVjAWDRf5w6R0IcO81UomvcymscqAJXYByAd6Ig5PTChoo3BDd61JJUJu7tYDyZGW9Ro3cyMv9J7e2ldd8WJd29scj_7AhDl=w1200|https://lh3.googleusercontent.com/pw/AP1GczMLanvkJTHAPsiVmk-9o5xvKvWDB-hWAtso24JuhLsv0fpwa6GlzoFPj90-Pd3JQzqsSLIBUm07anhXfUvl0nOz0kObcOlT8wVYxkveOLM7CT0K-yee=w1200|https://lh3.googleusercontent.com/pw/AP1GczNtU7_DmzTk3k_M3Trdcxn7nYv9njs7DjUMi7jzJkD7UslKG9t_yUEs3DmI19NkDaThedYIdH1GNDrma40ZH82EXd3PR8AvD5gVrkKykOh4KvrPHzn8=w1200|https://lh3.googleusercontent.com/pw/AP1GczOQUn3KbvWkzGjTp0hAxstx7ZC_d7hr6fCUrCR-woNPPNFtihFJ_f866a7c8bDULtxflhEt8ou5F0CXGjD-eP0i__5K6PQCmsKko5p2hMis4MyvKXlE=w1200|https://lh3.googleusercontent.com/pw/AP1GczNnG_bYsvd5mMEJEHEWDNbcPEARWsi2Rv3bY1_uniQWUAWTUajIsIYGyXoLJuqEVcxP18LcAF9Mwjt2ssnPpTWULhV2eB56q2YwB0Ln2KUUjrG5x7sn=w1200|https://lh3.googleusercontent.com/pw/AP1GczNZFO_WenHvYAlqO_-zLMuTFKJgpde_4wkxMAgV7GALFeKaXDn9WrMAChabiplOsGRZbn-SjQ09t2kuRLK0vgc_7hibJij_VieawA6hnZz3IP5aUzT9=w1200|https://lh3.googleusercontent.com/pw/AP1GczNpSlApB8p7KJi9t8R47bY44mSHoHSnPn1TMBGFN0nJ-zyypce77gk5H2SbOiekPGxOuAcCASlh-M9vv0hx5iVeqRNiosXffhCazFOeJogVS7bKjQ9_=w1200|https://lh3.googleusercontent.com/pw/AP1GczPi8p4kkbylGos5qWpZSoXupANVb2D57IKHfLIjLficI8LuAHby82jG9lLU_k_1p6MVWUv6QaaeMzAqNBwX84fveriLYudDw-RGqwYCZ6xWL9m5YxBv=w1200|https://lh3.googleusercontent.com/pw/AP1GczMmZ4tWZStYOGKHuYFigxWI4jZHkK2KKv0mHB17bMZIfIxFQ5BeVRE7ZxHGaWvoLQMZgyccb1MOfAWJjPu7V-k7j5_ypBHB28KhHBaN78BOHPHkhmaf=w1200</v>
      </c>
    </row>
    <row r="50">
      <c r="A50" s="39" t="str">
        <f>IFERROR(__xludf.DUMMYFUNCTION("""COMPUTED_VALUE"""),"506")</f>
        <v>506</v>
      </c>
      <c r="B50" s="40" t="str">
        <f>IFERROR(__xludf.DUMMYFUNCTION("""COMPUTED_VALUE"""),"Edificio con cuatro apartamentos en barrio Alamos Norte")</f>
        <v>Edificio con cuatro apartamentos en barrio Alamos Norte</v>
      </c>
      <c r="C50" s="40" t="str">
        <f>IFERROR(__xludf.DUMMYFUNCTION("""COMPUTED_VALUE"""),"Edificio rentable")</f>
        <v>Edificio rentable</v>
      </c>
      <c r="D50" s="40" t="str">
        <f>IFERROR(__xludf.DUMMYFUNCTION("""COMPUTED_VALUE"""),"Alamos Norte")</f>
        <v>Alamos Norte</v>
      </c>
      <c r="E50" s="40"/>
      <c r="F50" s="42">
        <f>IFERROR(__xludf.DUMMYFUNCTION("""COMPUTED_VALUE"""),6.0E8)</f>
        <v>600000000</v>
      </c>
      <c r="G50" s="40" t="str">
        <f>IFERROR(__xludf.DUMMYFUNCTION("""COMPUTED_VALUE"""),"$500'000.000 a $1.000'000.000")</f>
        <v>$500'000.000 a $1.000'000.000</v>
      </c>
      <c r="H50" s="40"/>
      <c r="I50" s="40"/>
      <c r="J50" s="40" t="str">
        <f>IFERROR(__xludf.DUMMYFUNCTION("""COMPUTED_VALUE"""),"Norte")</f>
        <v>Norte</v>
      </c>
      <c r="K50" s="40"/>
      <c r="L50" s="40">
        <f>IFERROR(__xludf.DUMMYFUNCTION("""COMPUTED_VALUE"""),8.0)</f>
        <v>8</v>
      </c>
      <c r="M50" s="40"/>
      <c r="N50" s="40">
        <f>IFERROR(__xludf.DUMMYFUNCTION("""COMPUTED_VALUE"""),4.0)</f>
        <v>4</v>
      </c>
      <c r="O50" s="40">
        <f>IFERROR(__xludf.DUMMYFUNCTION("""COMPUTED_VALUE"""),1.0)</f>
        <v>1</v>
      </c>
      <c r="P50" s="40">
        <f>IFERROR(__xludf.DUMMYFUNCTION("""COMPUTED_VALUE"""),3.0)</f>
        <v>3</v>
      </c>
      <c r="Q50" s="48"/>
      <c r="R50" s="48">
        <f>IFERROR(__xludf.DUMMYFUNCTION("""COMPUTED_VALUE"""),105.0)</f>
        <v>105</v>
      </c>
      <c r="S50" s="39" t="str">
        <f>IFERROR(__xludf.DUMMYFUNCTION("""COMPUTED_VALUE"""),"Rentabilidad $2,700,000")</f>
        <v>Rentabilidad $2,700,000</v>
      </c>
      <c r="T50" s="40" t="str">
        <f>IFERROR(__xludf.DUMMYFUNCTION("""COMPUTED_VALUE"""),"Neiva")</f>
        <v>Neiva</v>
      </c>
      <c r="U50" s="39" t="str">
        <f>IFERROR(__xludf.DUMMYFUNCTION("""COMPUTED_VALUE"""),"2")</f>
        <v>2</v>
      </c>
      <c r="V50" s="40" t="str">
        <f>IFERROR(__xludf.DUMMYFUNCTION("""COMPUTED_VALUE"""),"Medianera")</f>
        <v>Medianera</v>
      </c>
      <c r="W50" s="46"/>
      <c r="X50" s="46">
        <f>IFERROR(__xludf.DUMMYFUNCTION("""COMPUTED_VALUE"""),8.0)</f>
        <v>8</v>
      </c>
      <c r="Y50" s="40" t="str">
        <f>IFERROR(__xludf.DUMMYFUNCTION("""COMPUTED_VALUE"""),"No tiene")</f>
        <v>No tiene</v>
      </c>
      <c r="Z50" s="42" t="str">
        <f>IFERROR(__xludf.DUMMYFUNCTION("""COMPUTED_VALUE"""),"No aplica")</f>
        <v>No aplica</v>
      </c>
      <c r="AA50" s="49" t="str">
        <f>IFERROR(__xludf.DUMMYFUNCTION("""COMPUTED_VALUE"""),"19 años")</f>
        <v>19 años</v>
      </c>
      <c r="AB50" s="105" t="str">
        <f>IFERROR(__xludf.DUMMYFUNCTION("""COMPUTED_VALUE"""),"https://photos.app.goo.gl/SUhnDFn299R9Lub4A")</f>
        <v>https://photos.app.goo.gl/SUhnDFn299R9Lub4A</v>
      </c>
      <c r="AC50" s="40"/>
      <c r="AD50" s="40" t="str">
        <f>IFERROR(__xludf.DUMMYFUNCTION("""COMPUTED_VALUE"""),"Con servicios  públicos independientes. Bien ubicados. Sobre vía vehicular amplia, a una cuadra de Homecenter y calle 50. Buenos acabados. Construcción nueva. Escritura al día. No se permuta.")</f>
        <v>Con servicios  públicos independientes. Bien ubicados. Sobre vía vehicular amplia, a una cuadra de Homecenter y calle 50. Buenos acabados. Construcción nueva. Escritura al día. No se permuta.</v>
      </c>
      <c r="AE50" s="40"/>
      <c r="AF50" s="40" t="str">
        <f>IFERROR(__xludf.DUMMYFUNCTION("""COMPUTED_VALUE"""),"integral")</f>
        <v>integral</v>
      </c>
      <c r="AG50" s="40" t="str">
        <f>IFERROR(__xludf.DUMMYFUNCTION("""COMPUTED_VALUE"""),"SI")</f>
        <v>SI</v>
      </c>
      <c r="AH50" s="40" t="str">
        <f>IFERROR(__xludf.DUMMYFUNCTION("""COMPUTED_VALUE"""),"Inventario")</f>
        <v>Inventario</v>
      </c>
      <c r="AI50" s="40" t="str">
        <f>IFERROR(__xludf.DUMMYFUNCTION("""COMPUTED_VALUE"""),"Verbal")</f>
        <v>Verbal</v>
      </c>
      <c r="AJ50" s="40" t="str">
        <f>IFERROR(__xludf.DUMMYFUNCTION("""COMPUTED_VALUE"""),"ICDE")</f>
        <v>ICDE</v>
      </c>
      <c r="AK50" s="40" t="str">
        <f>IFERROR(__xludf.DUMMYFUNCTION("""COMPUTED_VALUE"""),"SIN CONTRATO")</f>
        <v>SIN CONTRATO</v>
      </c>
      <c r="AL50" s="40" t="str">
        <f>IFERROR(__xludf.DUMMYFUNCTION("""COMPUTED_VALUE"""),"TIENE FOTOS")</f>
        <v>TIENE FOTOS</v>
      </c>
      <c r="AM50" s="40">
        <f>IFERROR(__xludf.DUMMYFUNCTION("""COMPUTED_VALUE"""),3.144031296E9)</f>
        <v>3144031296</v>
      </c>
      <c r="AN50" s="40">
        <f>IFERROR(__xludf.DUMMYFUNCTION("""COMPUTED_VALUE"""),0.0)</f>
        <v>0</v>
      </c>
      <c r="AO50" s="40" t="str">
        <f>IFERROR(__xludf.DUMMYFUNCTION("""COMPUTED_VALUE"""),"EMILCE")</f>
        <v>EMILCE</v>
      </c>
      <c r="AP50" s="40" t="str">
        <f>IFERROR(__xludf.DUMMYFUNCTION("""COMPUTED_VALUE"""),"CARRERA 17 A No. 50 - 33")</f>
        <v>CARRERA 17 A No. 50 - 33</v>
      </c>
      <c r="AQ50" s="40">
        <f>IFERROR(__xludf.DUMMYFUNCTION("""COMPUTED_VALUE"""),2.9548926)</f>
        <v>2.9548926</v>
      </c>
      <c r="AR50" s="40">
        <f>IFERROR(__xludf.DUMMYFUNCTION("""COMPUTED_VALUE"""),-75.2867847)</f>
        <v>-75.2867847</v>
      </c>
      <c r="AS50" s="53">
        <f>IFERROR(__xludf.DUMMYFUNCTION("""COMPUTED_VALUE"""),2700000.0)</f>
        <v>2700000</v>
      </c>
      <c r="AT50" s="40">
        <f>IFERROR(__xludf.DUMMYFUNCTION("""COMPUTED_VALUE"""),0.0)</f>
        <v>0</v>
      </c>
      <c r="AU50" s="40">
        <f>IFERROR(__xludf.DUMMYFUNCTION("""COMPUTED_VALUE"""),0.0)</f>
        <v>0</v>
      </c>
      <c r="AV50" s="40">
        <f>IFERROR(__xludf.DUMMYFUNCTION("""COMPUTED_VALUE"""),0.0)</f>
        <v>0</v>
      </c>
      <c r="AW50" s="40" t="str">
        <f>IFERROR(__xludf.DUMMYFUNCTION("""COMPUTED_VALUE"""),"NO")</f>
        <v>NO</v>
      </c>
      <c r="AX50" s="40">
        <f>IFERROR(__xludf.DUMMYFUNCTION("""COMPUTED_VALUE"""),0.0)</f>
        <v>0</v>
      </c>
      <c r="AY50" s="40">
        <f>IFERROR(__xludf.DUMMYFUNCTION("""COMPUTED_VALUE"""),0.0)</f>
        <v>0</v>
      </c>
      <c r="AZ50" s="40">
        <f>IFERROR(__xludf.DUMMYFUNCTION("""COMPUTED_VALUE"""),0.0)</f>
        <v>0</v>
      </c>
      <c r="BA50" s="40" t="str">
        <f>IFERROR(__xludf.DUMMYFUNCTION("""COMPUTED_VALUE"""),"X")</f>
        <v>X</v>
      </c>
      <c r="BB50" s="40">
        <f>IFERROR(__xludf.DUMMYFUNCTION("""COMPUTED_VALUE"""),0.0)</f>
        <v>0</v>
      </c>
      <c r="BC50" s="53" t="str">
        <f>IFERROR(__xludf.DUMMYFUNCTION("""COMPUTED_VALUE"""),"19 - PRUEBA, 5 - Inmobiliaria ROCHA - Andrés")</f>
        <v>19 - PRUEBA, 5 - Inmobiliaria ROCHA - Andrés</v>
      </c>
      <c r="BD50" s="48"/>
      <c r="BE50" s="48"/>
      <c r="BF50" s="48" t="str">
        <f>IFERROR(__xludf.DUMMYFUNCTION("""COMPUTED_VALUE"""),"https://lh3.googleusercontent.com/pw/AP1GczNkFdA5lqMsDBjP4mQr_sEHTfG7f8KrL04o3TgFQYIUdp9HvRoFWjfC_FZCtmUl4JDLxh9WPyZhjx4Q72UKZwthVHNrqTqswwt9P23qnmp8tjSZVkVh=w1200|https://lh3.googleusercontent.com/pw/AP1GczMhD0drFwjscVrvjsm7XUFVWbyG20eSIgfddEzN5Nt9vhrjPY"&amp;"3UjFNw91O-QCrPEnuSccQjPvZrn8vVNLJvWmAaDMCZu40jfUBXHWcRiME8j_emJbPH=w1200|https://lh3.googleusercontent.com/pw/AP1GczMuc0O3xug4F1SlW2Fzrcz25tFBysoy3SfnQul_6CGu-S5Grm1PMg-DhfXtL580eki0NLKBpumpb18PPqzb8aLIx6-WYT3r3QT7CGvhJEXD_h68u1oS=w1200|https://lh3.google"&amp;"usercontent.com/pw/AP1GczMHxsZVcw8GW_ZekFZfIRKi4EVjjDQ-y9gYnKZLNoayvLz3KvedoxC7doltqgeDHm1Q3oePb4yMcDDJNbv5L3mBjUOukYbN3PQNwZnWei_WjYbePFEd=w1200|https://lh3.googleusercontent.com/pw/AP1GczPcp75_xD6Vr2ZR7NUZtYvcW6Bevm9RZ8YIdPXFOV4NC2AMvQ4646qHYwkG9ztzDJAp"&amp;"Y6rRNkb40nRtq8EbBJ-fJYyW_Y3tWfcnPOMtkhRAf1xYyehD=w1200|https://lh3.googleusercontent.com/pw/AP1GczOJvpa-hiPI6NXLQHZICCqs0HOHqymqGvXBikYhqbOpDsTPlnbUlxJFbbDG6m8aA-W-hAi0Bq8RgY0WJ5vE6L-jI9pdNQXSLuJzx1fQGSIfOyLOItf-=w1200|https://lh3.googleusercontent.com/pw"&amp;"/AP1GczNn2tkrkfoZv9T96ONrNiliXCmgFWFUA6f_GRshzM8WUKx3iola3kqb0_O9c4xanZ-G0lSnKRLoy0ugscTvcfx3qzat34id61cNY3tFAkA5FyMzBOBb=w1200|https://lh3.googleusercontent.com/pw/AP1GczN-wI4fvYnsu-Ew6eWATjdrwi-_H9Ii7sEIC1f7-NIsY1Ukvxs2iyRBqyWPbkIzJ_pgVljQDMaLIrVdhMLCwo"&amp;"Ffz_PYm7BnFhGKzFWCxRlbwflx4cJO=w1200|https://lh3.googleusercontent.com/pw/AP1GczP1vkRFdHvs37bXxl7ZC99QdLP6Dr1TnIz36GUfN8BTciwY-XnTjzTb_DGo-FTfOZrQPWmLH16Tr-4SYYKOVUFgjz3OgYIIdHkDK5XgNHQcI65Br861=w1200|https://lh3.googleusercontent.com/pw/AP1GczPKE8kezlvDY"&amp;"Wi-Ad_AZPnfj85gVKD4w5uOBROeecJd11dUKCdlmn4PetHdDdn71bDmPW7oCa9GqRrBMOQEnnkCvHrs7-8Nc5WM3-BcAW1gEguH5wvj=w1200")</f>
        <v>https://lh3.googleusercontent.com/pw/AP1GczNkFdA5lqMsDBjP4mQr_sEHTfG7f8KrL04o3TgFQYIUdp9HvRoFWjfC_FZCtmUl4JDLxh9WPyZhjx4Q72UKZwthVHNrqTqswwt9P23qnmp8tjSZVkVh=w1200|https://lh3.googleusercontent.com/pw/AP1GczMhD0drFwjscVrvjsm7XUFVWbyG20eSIgfddEzN5Nt9vhrjPY3UjFNw91O-QCrPEnuSccQjPvZrn8vVNLJvWmAaDMCZu40jfUBXHWcRiME8j_emJbPH=w1200|https://lh3.googleusercontent.com/pw/AP1GczMuc0O3xug4F1SlW2Fzrcz25tFBysoy3SfnQul_6CGu-S5Grm1PMg-DhfXtL580eki0NLKBpumpb18PPqzb8aLIx6-WYT3r3QT7CGvhJEXD_h68u1oS=w1200|https://lh3.googleusercontent.com/pw/AP1GczMHxsZVcw8GW_ZekFZfIRKi4EVjjDQ-y9gYnKZLNoayvLz3KvedoxC7doltqgeDHm1Q3oePb4yMcDDJNbv5L3mBjUOukYbN3PQNwZnWei_WjYbePFEd=w1200|https://lh3.googleusercontent.com/pw/AP1GczPcp75_xD6Vr2ZR7NUZtYvcW6Bevm9RZ8YIdPXFOV4NC2AMvQ4646qHYwkG9ztzDJApY6rRNkb40nRtq8EbBJ-fJYyW_Y3tWfcnPOMtkhRAf1xYyehD=w1200|https://lh3.googleusercontent.com/pw/AP1GczOJvpa-hiPI6NXLQHZICCqs0HOHqymqGvXBikYhqbOpDsTPlnbUlxJFbbDG6m8aA-W-hAi0Bq8RgY0WJ5vE6L-jI9pdNQXSLuJzx1fQGSIfOyLOItf-=w1200|https://lh3.googleusercontent.com/pw/AP1GczNn2tkrkfoZv9T96ONrNiliXCmgFWFUA6f_GRshzM8WUKx3iola3kqb0_O9c4xanZ-G0lSnKRLoy0ugscTvcfx3qzat34id61cNY3tFAkA5FyMzBOBb=w1200|https://lh3.googleusercontent.com/pw/AP1GczN-wI4fvYnsu-Ew6eWATjdrwi-_H9Ii7sEIC1f7-NIsY1Ukvxs2iyRBqyWPbkIzJ_pgVljQDMaLIrVdhMLCwoFfz_PYm7BnFhGKzFWCxRlbwflx4cJO=w1200|https://lh3.googleusercontent.com/pw/AP1GczP1vkRFdHvs37bXxl7ZC99QdLP6Dr1TnIz36GUfN8BTciwY-XnTjzTb_DGo-FTfOZrQPWmLH16Tr-4SYYKOVUFgjz3OgYIIdHkDK5XgNHQcI65Br861=w1200|https://lh3.googleusercontent.com/pw/AP1GczPKE8kezlvDYWi-Ad_AZPnfj85gVKD4w5uOBROeecJd11dUKCdlmn4PetHdDdn71bDmPW7oCa9GqRrBMOQEnnkCvHrs7-8Nc5WM3-BcAW1gEguH5wvj=w1200</v>
      </c>
    </row>
    <row r="51">
      <c r="A51" s="39" t="str">
        <f>IFERROR(__xludf.DUMMYFUNCTION("""COMPUTED_VALUE"""),"080")</f>
        <v>080</v>
      </c>
      <c r="B51" s="40" t="str">
        <f>IFERROR(__xludf.DUMMYFUNCTION("""COMPUTED_VALUE"""),"Edificio con cuatro apartamentos en barrio Las Granjas")</f>
        <v>Edificio con cuatro apartamentos en barrio Las Granjas</v>
      </c>
      <c r="C51" s="40" t="str">
        <f>IFERROR(__xludf.DUMMYFUNCTION("""COMPUTED_VALUE"""),"Edificio rentable")</f>
        <v>Edificio rentable</v>
      </c>
      <c r="D51" s="40" t="str">
        <f>IFERROR(__xludf.DUMMYFUNCTION("""COMPUTED_VALUE"""),"Las Granjas")</f>
        <v>Las Granjas</v>
      </c>
      <c r="E51" s="42" t="str">
        <f>IFERROR(__xludf.DUMMYFUNCTION("""COMPUTED_VALUE""")," ")</f>
        <v> </v>
      </c>
      <c r="F51" s="42">
        <f>IFERROR(__xludf.DUMMYFUNCTION("""COMPUTED_VALUE"""),5.8E8)</f>
        <v>580000000</v>
      </c>
      <c r="G51" s="40" t="str">
        <f>IFERROR(__xludf.DUMMYFUNCTION("""COMPUTED_VALUE"""),"$500'000.000 a $1.000'000.000")</f>
        <v>$500'000.000 a $1.000'000.000</v>
      </c>
      <c r="H51" s="40"/>
      <c r="I51" s="40"/>
      <c r="J51" s="40" t="str">
        <f>IFERROR(__xludf.DUMMYFUNCTION("""COMPUTED_VALUE"""),"Norte")</f>
        <v>Norte</v>
      </c>
      <c r="K51" s="39" t="str">
        <f>IFERROR(__xludf.DUMMYFUNCTION("""COMPUTED_VALUE"""),"2")</f>
        <v>2</v>
      </c>
      <c r="L51" s="40">
        <f>IFERROR(__xludf.DUMMYFUNCTION("""COMPUTED_VALUE"""),14.0)</f>
        <v>14</v>
      </c>
      <c r="M51" s="40"/>
      <c r="N51" s="40">
        <f>IFERROR(__xludf.DUMMYFUNCTION("""COMPUTED_VALUE"""),7.0)</f>
        <v>7</v>
      </c>
      <c r="O51" s="40">
        <f>IFERROR(__xludf.DUMMYFUNCTION("""COMPUTED_VALUE"""),1.0)</f>
        <v>1</v>
      </c>
      <c r="P51" s="40">
        <f>IFERROR(__xludf.DUMMYFUNCTION("""COMPUTED_VALUE"""),3.0)</f>
        <v>3</v>
      </c>
      <c r="Q51" s="48">
        <f>IFERROR(__xludf.DUMMYFUNCTION("""COMPUTED_VALUE"""),12.0)</f>
        <v>12</v>
      </c>
      <c r="R51" s="48">
        <f>IFERROR(__xludf.DUMMYFUNCTION("""COMPUTED_VALUE"""),180.0)</f>
        <v>180</v>
      </c>
      <c r="S51" s="39" t="str">
        <f>IFERROR(__xludf.DUMMYFUNCTION("""COMPUTED_VALUE"""),"Rentabilidad $2,800,000")</f>
        <v>Rentabilidad $2,800,000</v>
      </c>
      <c r="T51" s="40" t="str">
        <f>IFERROR(__xludf.DUMMYFUNCTION("""COMPUTED_VALUE"""),"Neiva")</f>
        <v>Neiva</v>
      </c>
      <c r="U51" s="39" t="str">
        <f>IFERROR(__xludf.DUMMYFUNCTION("""COMPUTED_VALUE"""),"2")</f>
        <v>2</v>
      </c>
      <c r="V51" s="40" t="str">
        <f>IFERROR(__xludf.DUMMYFUNCTION("""COMPUTED_VALUE"""),"Medianera")</f>
        <v>Medianera</v>
      </c>
      <c r="W51" s="46"/>
      <c r="X51" s="46">
        <f>IFERROR(__xludf.DUMMYFUNCTION("""COMPUTED_VALUE"""),6.0)</f>
        <v>6</v>
      </c>
      <c r="Y51" s="53" t="str">
        <f>IFERROR(__xludf.DUMMYFUNCTION("""COMPUTED_VALUE"""),"No tiene")</f>
        <v>No tiene</v>
      </c>
      <c r="Z51" s="42" t="str">
        <f>IFERROR(__xludf.DUMMYFUNCTION("""COMPUTED_VALUE"""),"No aplica")</f>
        <v>No aplica</v>
      </c>
      <c r="AA51" s="49" t="str">
        <f>IFERROR(__xludf.DUMMYFUNCTION("""COMPUTED_VALUE"""),"17 años")</f>
        <v>17 años</v>
      </c>
      <c r="AB51" s="105" t="str">
        <f>IFERROR(__xludf.DUMMYFUNCTION("""COMPUTED_VALUE"""),"https://photos.app.goo.gl/inHTqNdUHAsmNeYx7")</f>
        <v>https://photos.app.goo.gl/inHTqNdUHAsmNeYx7</v>
      </c>
      <c r="AC51" s="40" t="str">
        <f>IFERROR(__xludf.DUMMYFUNCTION("""COMPUTED_VALUE"""),"Con buenos acabados, piso en cerámica, placa de entrepiso en placa fácil, cielo raso en Dri wall, lámparas led de empotrar, carpintería marcos, puertas metálicas.")</f>
        <v>Con buenos acabados, piso en cerámica, placa de entrepiso en placa fácil, cielo raso en Dri wall, lámparas led de empotrar, carpintería marcos, puertas metálicas.</v>
      </c>
      <c r="AD51" s="40" t="str">
        <f>IFERROR(__xludf.DUMMYFUNCTION("""COMPUTED_VALUE"""),"Dimensión del lote 9.0 ml x 20.0 ml. Ubicada en vía vehicular, buenos acabados. A una cuadra de la avenida 26. Cerca de los Centros comerciales San Pedro y San Juan plaza. Con reja antejardín. Escritura al día. No se permuta.")</f>
        <v>Dimensión del lote 9.0 ml x 20.0 ml. Ubicada en vía vehicular, buenos acabados. A una cuadra de la avenida 26. Cerca de los Centros comerciales San Pedro y San Juan plaza. Con reja antejardín. Escritura al día. No se permuta.</v>
      </c>
      <c r="AE51" s="40"/>
      <c r="AF51" s="40" t="str">
        <f>IFERROR(__xludf.DUMMYFUNCTION("""COMPUTED_VALUE"""),"integral")</f>
        <v>integral</v>
      </c>
      <c r="AG51" s="40" t="str">
        <f>IFERROR(__xludf.DUMMYFUNCTION("""COMPUTED_VALUE"""),"SI")</f>
        <v>SI</v>
      </c>
      <c r="AH51" s="40" t="str">
        <f>IFERROR(__xludf.DUMMYFUNCTION("""COMPUTED_VALUE"""),"Inventario")</f>
        <v>Inventario</v>
      </c>
      <c r="AI51" s="40" t="str">
        <f>IFERROR(__xludf.DUMMYFUNCTION("""COMPUTED_VALUE"""),"Verbal")</f>
        <v>Verbal</v>
      </c>
      <c r="AJ51" s="40" t="str">
        <f>IFERROR(__xludf.DUMMYFUNCTION("""COMPUTED_VALUE"""),"ICDE")</f>
        <v>ICDE</v>
      </c>
      <c r="AK51" s="40" t="str">
        <f>IFERROR(__xludf.DUMMYFUNCTION("""COMPUTED_VALUE"""),"PENDIENTE")</f>
        <v>PENDIENTE</v>
      </c>
      <c r="AL51" s="40" t="str">
        <f>IFERROR(__xludf.DUMMYFUNCTION("""COMPUTED_VALUE"""),"TIENE FOTOS")</f>
        <v>TIENE FOTOS</v>
      </c>
      <c r="AM51" s="40"/>
      <c r="AN51" s="40"/>
      <c r="AO51" s="40"/>
      <c r="AP51" s="40" t="str">
        <f>IFERROR(__xludf.DUMMYFUNCTION("""COMPUTED_VALUE"""),"Calle 38 No. 8-17")</f>
        <v>Calle 38 No. 8-17</v>
      </c>
      <c r="AQ51" s="40">
        <f>IFERROR(__xludf.DUMMYFUNCTION("""COMPUTED_VALUE"""),2.9488397)</f>
        <v>2.9488397</v>
      </c>
      <c r="AR51" s="40">
        <f>IFERROR(__xludf.DUMMYFUNCTION("""COMPUTED_VALUE"""),-75.2895589)</f>
        <v>-75.2895589</v>
      </c>
      <c r="AS51" s="53">
        <f>IFERROR(__xludf.DUMMYFUNCTION("""COMPUTED_VALUE"""),2800000.0)</f>
        <v>2800000</v>
      </c>
      <c r="AT51" s="40">
        <f>IFERROR(__xludf.DUMMYFUNCTION("""COMPUTED_VALUE"""),0.0)</f>
        <v>0</v>
      </c>
      <c r="AU51" s="40">
        <f>IFERROR(__xludf.DUMMYFUNCTION("""COMPUTED_VALUE"""),0.0)</f>
        <v>0</v>
      </c>
      <c r="AV51" s="40">
        <f>IFERROR(__xludf.DUMMYFUNCTION("""COMPUTED_VALUE"""),0.0)</f>
        <v>0</v>
      </c>
      <c r="AW51" s="40" t="str">
        <f>IFERROR(__xludf.DUMMYFUNCTION("""COMPUTED_VALUE"""),"NO")</f>
        <v>NO</v>
      </c>
      <c r="AX51" s="40">
        <f>IFERROR(__xludf.DUMMYFUNCTION("""COMPUTED_VALUE"""),0.0)</f>
        <v>0</v>
      </c>
      <c r="AY51" s="40">
        <f>IFERROR(__xludf.DUMMYFUNCTION("""COMPUTED_VALUE"""),0.0)</f>
        <v>0</v>
      </c>
      <c r="AZ51" s="40">
        <f>IFERROR(__xludf.DUMMYFUNCTION("""COMPUTED_VALUE"""),9.0)</f>
        <v>9</v>
      </c>
      <c r="BA51" s="40" t="str">
        <f>IFERROR(__xludf.DUMMYFUNCTION("""COMPUTED_VALUE"""),"X")</f>
        <v>X</v>
      </c>
      <c r="BB51" s="40">
        <f>IFERROR(__xludf.DUMMYFUNCTION("""COMPUTED_VALUE"""),20.0)</f>
        <v>20</v>
      </c>
      <c r="BC51" s="53"/>
      <c r="BD51" s="48"/>
      <c r="BE51" s="48"/>
      <c r="BF51" s="48" t="str">
        <f>IFERROR(__xludf.DUMMYFUNCTION("""COMPUTED_VALUE"""),"https://lh3.googleusercontent.com/pw/AP1GczMfv2sPmo6xGCdYLE3f5RU2dpehGrxW6AKwa8ccPq9FxXo1qLulTqkOp65BeB-p0zai2ctj0tXXXH6VoX3QK67XS7UBP2Lv0gtV2ZZ0aDvd2LBGg7g=w1200|https://lh3.googleusercontent.com/pw/AP1GczMbJhdcaSBqshBWufYzq8vHgfUZmJLwhRaVXIgIB0HQ8DkZ4td"&amp;"RY6J_6g0JQLRyg6vXjDVOpT1QbhEZnUQSchsVtu9pMXxcTYOm9b8SUO7Rg60Ynlg=w1200|https://lh3.googleusercontent.com/pw/AP1GczPqAIFgzWl2TFh9YhTBXlcz6R9oNzvtsYm7xUgDXt_2QoDnYuMW5e_2hVD93_BewuWlO6aC7jejI-3Gub2E1wL8FqkwI9YGrI0oMCPQ_RJ4lmYoOvU=w1200|https://lh3.googleuse"&amp;"rcontent.com/pw/AP1GczMkQlSJfvRdZx20__Rz-PKWWtBAScx1uH90IpRxuuNyzuxsqfrVZvh37kh1e_6IAKSlnAom7TtaCtmb7CTozAV7ofzEbVV84yOCulSb8XO1qSvGT3Y=w1200|https://lh3.googleusercontent.com/pw/AP1GczPQmIGe2StFwnJj-NhHeY2L3qbfsMgT2-kWEeFjdDEHDxnw78OojuaT-fKZV0kdKKL3GG_-"&amp;"qxgryVzPhYvG93bIKDpLD-q5SBppUSdyzX8oaGS5PXg=w1200|https://lh3.googleusercontent.com/pw/AP1GczPQIKWJlRq-NpO4XYdCNx5xW5rxDsm0WL0IdaMUAz53tMrfxqKdQ2Pek29kMsHy-wqcK7wkfbB5vs6849F8uC0YUnprYpk9W_H5hglWUR9Dl3qqN1I=w1200|https://lh3.googleusercontent.com/pw/AP1Gc"&amp;"zM8wkrZHcYqWvhocdN-yFviMYYRjBfcqzQa7VlNl_AXS1aWb0lXX7HxXqfNUREkBndsOZX6TzeAPnNuN4eZSDHvTU70uQCaKEt6HWEnZKvLngw4GbU=w1200|https://lh3.googleusercontent.com/pw/AP1GczMFoFYmVQpNYk6v0C8QCL3OaKTmmxckmwzCVoyLJbLtw_Qf8MWi-T0CyF8u-IU_a39cgOmgR0fl-_WWxeQk2TWt4uKVs"&amp;"OzCi7cyh0RDYX_eku6THvU=w1200|https://lh3.googleusercontent.com/pw/AP1GczMlHfSjvkDMrcAtOihtCvYxIqUNEyLP48VIjBph1BodSUDasQPExN435UPvexoNEDHIDjX3RK8goc0ZHijIjp1lh2VX6idHknsDyA1EtfxkeGg3UL8=w1200|https://lh3.googleusercontent.com/pw/AP1GczN99goZKsPgLXnVvwDN2d"&amp;"t3MV9WAvyXtC2l2mtaa__mXCi-35wh87GhPwDPoPVDyZa4oUj6UDHGNycVifTd3foCLYC2Ybd0y_pu-0UYKW0z-qFkr3Q=w1200|https://lh3.googleusercontent.com/pw/AP1GczMT3_um1DAfbw0AXSEPoJOj9m7byLn9j9kt5VGD1B_2aqX1BWLerzjUECY62lfAwtUChhUhzAnH0596rBwT3RJjaJXv5O24lwgOuUUfTpSeHIbxIV"&amp;"c=w1200|https://lh3.googleusercontent.com/pw/AP1GczOea6Ei386Zyc6XwcTffozDJxOKwG1h0uTf_M33tEpY_kk08JEXLvDh_cOK9Iyn25FG23Sa2229FVEAGun-ws3WF2xPN4zyExQTAkd9suNsYEfFy8M=w1200|https://lh3.googleusercontent.com/pw/AP1GczPUik3SqgMuv4LwspMofh1Yg8XdcJZ1Z5Mo5ONTRGp"&amp;"FTpYDykTjmqQrWLyCzMYLRFhtqtISMh31SoEZRCDFpTZpU96I0AnOzZ0mKlZmHHWtWV74wFw=w1200|https://lh3.googleusercontent.com/pw/AP1GczPKXwQC8hgnCC7Rk0iowm5eWMTLOBzC_hhh6UBHqc4WKv0rAsugOWC2yyPR0mq3YyChHhxr_InHVlvvDL0EwsdUsYU0CupREC_3EH-8iRcm7o6NyY8=w1200|https://lh3.g"&amp;"oogleusercontent.com/pw/AP1GczOgaaNU0uxz6kTTc5pTcRDssbwHB5zsyiGTb6TXv6IIyk5lzHFR_lHwxQj01qYlW_y_wUjYFA6_Ze8rh-28eGMpYzXtOItaCZ7eQssl9ZO4PUwl34c=w1200|https://lh3.googleusercontent.com/pw/AP1GczMD-JyvOqjrFMuwdUFbM4EZCk9CqRxHAHoF-CJXNXPRsJsYUlTACrBSx1GzkJGa"&amp;"Czx9AGDscRBOnJTgv2PurwsFoxvpRNkAcsKAHBwPVIcf8gzeJK0=w1200|https://lh3.googleusercontent.com/pw/AP1GczMZCxiT0u5aIB_YZvrz8cDen3MXPSYBtcvqllO_Q4brJ9ouFllngzKS1NiNnnBBvDtoGgd1W03ov400BhiCelFDARyTZX9DMYIP-8HoXYx7acbkQow=w1200|https://lh3.googleusercontent.com/"&amp;"pw/AP1GczNtzYzqJNvWO7vVj3NSA7upRdUXI0mwW9cR0fl6jdqATRhw38DcR-JNKNVHAWVT8bbiyZqwQIgUbZSkHtccZ-cgRV4n8l8v04cMDzA61ZIixm9QILk=w1200|https://lh3.googleusercontent.com/pw/AP1GczPO88-JgjTNiACpKSaULBZ05pTDSEp8lp-k0rz4C_YzxQwJ5ea5-2hoRjhb6Vxojm7CUuWgXZ1w4X1xo7rmg"&amp;"cjiwQFzHiXXKUyBZxqXvUzCRzSMywM=w1200|https://lh3.googleusercontent.com/pw/AP1GczNghB0OuCFMp0jvTBpjwLo13YXr3p8AWyMJCP4sZ4hux2OCzFWcGPhb7DhG3E0GxrKP2_OfBxjteKWPZuXO6x6nqbgFsRA-kXXfA524nLVVe7Apsgw=w1200|https://lh3.googleusercontent.com/pw/AP1GczNMRfQO32YZrY"&amp;"FnjUpTinzB1KE0ALZmjof8gLsiL-hxnYDkEMpK0X2QWau9iMTvMP_L8E2CROwCAoi1KiFW7HT-5s_gI2EtZgi6ulIZoEUoILQOjRY=w1200|https://lh3.googleusercontent.com/pw/AP1GczMFX7zhd5okNYlb9V7VdGZ8OTv0e23hFYVScHc8Q51wBZWH5avOz4aeAxEoFxSmjJOD8-Y8DOJAp6KG5BsvwGeCjjHlvWm6g2XEkMJ08L"&amp;"msMdYKLxI=w1200|https://lh3.googleusercontent.com/pw/AP1GczMWYayr-x4FrxpO1pX7Uu0swYmPZcMu2FN6E6mibJnQYOjSqXu_ltRrjHrMmktPbKV0qRq78zRki2A1J15gcThCllKqHOeGEL1n25SuPhxcrn-8LuU=w1200|https://lh3.googleusercontent.com/pw/AP1GczMLWnbhWjbBTp0Cgx2rChEWn8iUrJszsJH"&amp;"AGYFje0nwYAAOxrSLbY-_78MEb7WV-cX1HW1oSFQFpne3FEGDp6sqBth7mB29MekPnQYvNy5Ej_EVQhM=w1200|https://lh3.googleusercontent.com/pw/AP1GczMJChXUKXcYBiX2MDU39s8FlCSsG4lTIp8VewePzdpoZJXPGKARDCNeBNOUPsI7qMOMgYwUK1kJzulJAbyVggiEhemp1eXJWDWodKoCmqnE3h0QM4wh=w1200")</f>
        <v>https://lh3.googleusercontent.com/pw/AP1GczMfv2sPmo6xGCdYLE3f5RU2dpehGrxW6AKwa8ccPq9FxXo1qLulTqkOp65BeB-p0zai2ctj0tXXXH6VoX3QK67XS7UBP2Lv0gtV2ZZ0aDvd2LBGg7g=w1200|https://lh3.googleusercontent.com/pw/AP1GczMbJhdcaSBqshBWufYzq8vHgfUZmJLwhRaVXIgIB0HQ8DkZ4tdRY6J_6g0JQLRyg6vXjDVOpT1QbhEZnUQSchsVtu9pMXxcTYOm9b8SUO7Rg60Ynlg=w1200|https://lh3.googleusercontent.com/pw/AP1GczPqAIFgzWl2TFh9YhTBXlcz6R9oNzvtsYm7xUgDXt_2QoDnYuMW5e_2hVD93_BewuWlO6aC7jejI-3Gub2E1wL8FqkwI9YGrI0oMCPQ_RJ4lmYoOvU=w1200|https://lh3.googleusercontent.com/pw/AP1GczMkQlSJfvRdZx20__Rz-PKWWtBAScx1uH90IpRxuuNyzuxsqfrVZvh37kh1e_6IAKSlnAom7TtaCtmb7CTozAV7ofzEbVV84yOCulSb8XO1qSvGT3Y=w1200|https://lh3.googleusercontent.com/pw/AP1GczPQmIGe2StFwnJj-NhHeY2L3qbfsMgT2-kWEeFjdDEHDxnw78OojuaT-fKZV0kdKKL3GG_-qxgryVzPhYvG93bIKDpLD-q5SBppUSdyzX8oaGS5PXg=w1200|https://lh3.googleusercontent.com/pw/AP1GczPQIKWJlRq-NpO4XYdCNx5xW5rxDsm0WL0IdaMUAz53tMrfxqKdQ2Pek29kMsHy-wqcK7wkfbB5vs6849F8uC0YUnprYpk9W_H5hglWUR9Dl3qqN1I=w1200|https://lh3.googleusercontent.com/pw/AP1GczM8wkrZHcYqWvhocdN-yFviMYYRjBfcqzQa7VlNl_AXS1aWb0lXX7HxXqfNUREkBndsOZX6TzeAPnNuN4eZSDHvTU70uQCaKEt6HWEnZKvLngw4GbU=w1200|https://lh3.googleusercontent.com/pw/AP1GczMFoFYmVQpNYk6v0C8QCL3OaKTmmxckmwzCVoyLJbLtw_Qf8MWi-T0CyF8u-IU_a39cgOmgR0fl-_WWxeQk2TWt4uKVsOzCi7cyh0RDYX_eku6THvU=w1200|https://lh3.googleusercontent.com/pw/AP1GczMlHfSjvkDMrcAtOihtCvYxIqUNEyLP48VIjBph1BodSUDasQPExN435UPvexoNEDHIDjX3RK8goc0ZHijIjp1lh2VX6idHknsDyA1EtfxkeGg3UL8=w1200|https://lh3.googleusercontent.com/pw/AP1GczN99goZKsPgLXnVvwDN2dt3MV9WAvyXtC2l2mtaa__mXCi-35wh87GhPwDPoPVDyZa4oUj6UDHGNycVifTd3foCLYC2Ybd0y_pu-0UYKW0z-qFkr3Q=w1200|https://lh3.googleusercontent.com/pw/AP1GczMT3_um1DAfbw0AXSEPoJOj9m7byLn9j9kt5VGD1B_2aqX1BWLerzjUECY62lfAwtUChhUhzAnH0596rBwT3RJjaJXv5O24lwgOuUUfTpSeHIbxIVc=w1200|https://lh3.googleusercontent.com/pw/AP1GczOea6Ei386Zyc6XwcTffozDJxOKwG1h0uTf_M33tEpY_kk08JEXLvDh_cOK9Iyn25FG23Sa2229FVEAGun-ws3WF2xPN4zyExQTAkd9suNsYEfFy8M=w1200|https://lh3.googleusercontent.com/pw/AP1GczPUik3SqgMuv4LwspMofh1Yg8XdcJZ1Z5Mo5ONTRGpFTpYDykTjmqQrWLyCzMYLRFhtqtISMh31SoEZRCDFpTZpU96I0AnOzZ0mKlZmHHWtWV74wFw=w1200|https://lh3.googleusercontent.com/pw/AP1GczPKXwQC8hgnCC7Rk0iowm5eWMTLOBzC_hhh6UBHqc4WKv0rAsugOWC2yyPR0mq3YyChHhxr_InHVlvvDL0EwsdUsYU0CupREC_3EH-8iRcm7o6NyY8=w1200|https://lh3.googleusercontent.com/pw/AP1GczOgaaNU0uxz6kTTc5pTcRDssbwHB5zsyiGTb6TXv6IIyk5lzHFR_lHwxQj01qYlW_y_wUjYFA6_Ze8rh-28eGMpYzXtOItaCZ7eQssl9ZO4PUwl34c=w1200|https://lh3.googleusercontent.com/pw/AP1GczMD-JyvOqjrFMuwdUFbM4EZCk9CqRxHAHoF-CJXNXPRsJsYUlTACrBSx1GzkJGaCzx9AGDscRBOnJTgv2PurwsFoxvpRNkAcsKAHBwPVIcf8gzeJK0=w1200|https://lh3.googleusercontent.com/pw/AP1GczMZCxiT0u5aIB_YZvrz8cDen3MXPSYBtcvqllO_Q4brJ9ouFllngzKS1NiNnnBBvDtoGgd1W03ov400BhiCelFDARyTZX9DMYIP-8HoXYx7acbkQow=w1200|https://lh3.googleusercontent.com/pw/AP1GczNtzYzqJNvWO7vVj3NSA7upRdUXI0mwW9cR0fl6jdqATRhw38DcR-JNKNVHAWVT8bbiyZqwQIgUbZSkHtccZ-cgRV4n8l8v04cMDzA61ZIixm9QILk=w1200|https://lh3.googleusercontent.com/pw/AP1GczPO88-JgjTNiACpKSaULBZ05pTDSEp8lp-k0rz4C_YzxQwJ5ea5-2hoRjhb6Vxojm7CUuWgXZ1w4X1xo7rmgcjiwQFzHiXXKUyBZxqXvUzCRzSMywM=w1200|https://lh3.googleusercontent.com/pw/AP1GczNghB0OuCFMp0jvTBpjwLo13YXr3p8AWyMJCP4sZ4hux2OCzFWcGPhb7DhG3E0GxrKP2_OfBxjteKWPZuXO6x6nqbgFsRA-kXXfA524nLVVe7Apsgw=w1200|https://lh3.googleusercontent.com/pw/AP1GczNMRfQO32YZrYFnjUpTinzB1KE0ALZmjof8gLsiL-hxnYDkEMpK0X2QWau9iMTvMP_L8E2CROwCAoi1KiFW7HT-5s_gI2EtZgi6ulIZoEUoILQOjRY=w1200|https://lh3.googleusercontent.com/pw/AP1GczMFX7zhd5okNYlb9V7VdGZ8OTv0e23hFYVScHc8Q51wBZWH5avOz4aeAxEoFxSmjJOD8-Y8DOJAp6KG5BsvwGeCjjHlvWm6g2XEkMJ08LmsMdYKLxI=w1200|https://lh3.googleusercontent.com/pw/AP1GczMWYayr-x4FrxpO1pX7Uu0swYmPZcMu2FN6E6mibJnQYOjSqXu_ltRrjHrMmktPbKV0qRq78zRki2A1J15gcThCllKqHOeGEL1n25SuPhxcrn-8LuU=w1200|https://lh3.googleusercontent.com/pw/AP1GczMLWnbhWjbBTp0Cgx2rChEWn8iUrJszsJHAGYFje0nwYAAOxrSLbY-_78MEb7WV-cX1HW1oSFQFpne3FEGDp6sqBth7mB29MekPnQYvNy5Ej_EVQhM=w1200|https://lh3.googleusercontent.com/pw/AP1GczMJChXUKXcYBiX2MDU39s8FlCSsG4lTIp8VewePzdpoZJXPGKARDCNeBNOUPsI7qMOMgYwUK1kJzulJAbyVggiEhemp1eXJWDWodKoCmqnE3h0QM4wh=w1200</v>
      </c>
    </row>
    <row r="52">
      <c r="A52" s="39" t="str">
        <f>IFERROR(__xludf.DUMMYFUNCTION("""COMPUTED_VALUE"""),"087")</f>
        <v>087</v>
      </c>
      <c r="B52" s="40" t="str">
        <f>IFERROR(__xludf.DUMMYFUNCTION("""COMPUTED_VALUE"""),"Casa en barrio Las Granjas")</f>
        <v>Casa en barrio Las Granjas</v>
      </c>
      <c r="C52" s="40" t="str">
        <f>IFERROR(__xludf.DUMMYFUNCTION("""COMPUTED_VALUE"""),"Casa")</f>
        <v>Casa</v>
      </c>
      <c r="D52" s="40" t="str">
        <f>IFERROR(__xludf.DUMMYFUNCTION("""COMPUTED_VALUE"""),"Las Granjas")</f>
        <v>Las Granjas</v>
      </c>
      <c r="E52" s="42" t="str">
        <f>IFERROR(__xludf.DUMMYFUNCTION("""COMPUTED_VALUE""")," ")</f>
        <v> </v>
      </c>
      <c r="F52" s="42">
        <f>IFERROR(__xludf.DUMMYFUNCTION("""COMPUTED_VALUE"""),4.0E8)</f>
        <v>400000000</v>
      </c>
      <c r="G52" s="40" t="str">
        <f>IFERROR(__xludf.DUMMYFUNCTION("""COMPUTED_VALUE"""),"$400'000.000 a $500'000.000")</f>
        <v>$400'000.000 a $500'000.000</v>
      </c>
      <c r="H52" s="40"/>
      <c r="I52" s="40"/>
      <c r="J52" s="40" t="str">
        <f>IFERROR(__xludf.DUMMYFUNCTION("""COMPUTED_VALUE"""),"Norte")</f>
        <v>Norte</v>
      </c>
      <c r="K52" s="39" t="str">
        <f>IFERROR(__xludf.DUMMYFUNCTION("""COMPUTED_VALUE"""),"2")</f>
        <v>2</v>
      </c>
      <c r="L52" s="40">
        <f>IFERROR(__xludf.DUMMYFUNCTION("""COMPUTED_VALUE"""),5.0)</f>
        <v>5</v>
      </c>
      <c r="M52" s="40"/>
      <c r="N52" s="40">
        <f>IFERROR(__xludf.DUMMYFUNCTION("""COMPUTED_VALUE"""),2.0)</f>
        <v>2</v>
      </c>
      <c r="O52" s="40">
        <f>IFERROR(__xludf.DUMMYFUNCTION("""COMPUTED_VALUE"""),3.0)</f>
        <v>3</v>
      </c>
      <c r="P52" s="40">
        <f>IFERROR(__xludf.DUMMYFUNCTION("""COMPUTED_VALUE"""),1.0)</f>
        <v>1</v>
      </c>
      <c r="Q52" s="48">
        <f>IFERROR(__xludf.DUMMYFUNCTION("""COMPUTED_VALUE"""),188.0)</f>
        <v>188</v>
      </c>
      <c r="R52" s="48">
        <f>IFERROR(__xludf.DUMMYFUNCTION("""COMPUTED_VALUE"""),188.1)</f>
        <v>188.1</v>
      </c>
      <c r="S52" s="39" t="str">
        <f>IFERROR(__xludf.DUMMYFUNCTION("""COMPUTED_VALUE"""),"Rentabilidad $800,000")</f>
        <v>Rentabilidad $800,000</v>
      </c>
      <c r="T52" s="40" t="str">
        <f>IFERROR(__xludf.DUMMYFUNCTION("""COMPUTED_VALUE"""),"Neiva")</f>
        <v>Neiva</v>
      </c>
      <c r="U52" s="39" t="str">
        <f>IFERROR(__xludf.DUMMYFUNCTION("""COMPUTED_VALUE"""),"2")</f>
        <v>2</v>
      </c>
      <c r="V52" s="40" t="str">
        <f>IFERROR(__xludf.DUMMYFUNCTION("""COMPUTED_VALUE"""),"Esquinera")</f>
        <v>Esquinera</v>
      </c>
      <c r="W52" s="46"/>
      <c r="X52" s="46">
        <f>IFERROR(__xludf.DUMMYFUNCTION("""COMPUTED_VALUE"""),2.0)</f>
        <v>2</v>
      </c>
      <c r="Y52" s="53" t="str">
        <f>IFERROR(__xludf.DUMMYFUNCTION("""COMPUTED_VALUE"""),"No tiene")</f>
        <v>No tiene</v>
      </c>
      <c r="Z52" s="42" t="str">
        <f>IFERROR(__xludf.DUMMYFUNCTION("""COMPUTED_VALUE"""),"No aplica")</f>
        <v>No aplica</v>
      </c>
      <c r="AA52" s="49" t="str">
        <f>IFERROR(__xludf.DUMMYFUNCTION("""COMPUTED_VALUE"""),"42 años")</f>
        <v>42 años</v>
      </c>
      <c r="AB52" s="105" t="str">
        <f>IFERROR(__xludf.DUMMYFUNCTION("""COMPUTED_VALUE"""),"https://photos.app.goo.gl/ckewZJV6TJD1E9vS8")</f>
        <v>https://photos.app.goo.gl/ckewZJV6TJD1E9vS8</v>
      </c>
      <c r="AC52" s="40" t="str">
        <f>IFERROR(__xludf.DUMMYFUNCTION("""COMPUTED_VALUE"""),"Casa en venta en el barrio Las Granjas al norte de Neiva, propiedad esquinera con excelente ubicación sobre vía amplia pavimentada. 5 habitaciones, 2 baños, 3 garajes y cocina integral en 188 m² construidos. Esta casa genera una rentabilidad de $800.000 m"&amp;"ensuales, convirtiéndola en una inversión inmobiliaria en Neiva con retorno en aproximadamente 42 años. Barrio Las Granjas es una de las zonas más consolidadas del norte de Neiva, con alta demanda de arriendo y valorización constante. Reja antejardín, bue"&amp;"nos acabados y escritura al día.")</f>
        <v>Casa en venta en el barrio Las Granjas al norte de Neiva, propiedad esquinera con excelente ubicación sobre vía amplia pavimentada. 5 habitaciones, 2 baños, 3 garajes y cocina integral en 188 m² construidos. Esta casa genera una rentabilidad de $800.000 mensuales, convirtiéndola en una inversión inmobiliaria en Neiva con retorno en aproximadamente 42 años. Barrio Las Granjas es una de las zonas más consolidadas del norte de Neiva, con alta demanda de arriendo y valorización constante. Reja antejardín, buenos acabados y escritura al día.</v>
      </c>
      <c r="AD52" s="40" t="str">
        <f>IFERROR(__xludf.DUMMYFUNCTION("""COMPUTED_VALUE"""),"Casa en venta en barrio Las Granjas, Neiva norte. 5 habitaciones, 2 baños, 3 garajes, cocina integral. Casa esquinera sobre vía amplia pavimentada. Lote 9.50 x 18.80 ml, 188 m². Rentabilidad de $800.000 mensuales. Escritura al día. No se permuta.")</f>
        <v>Casa en venta en barrio Las Granjas, Neiva norte. 5 habitaciones, 2 baños, 3 garajes, cocina integral. Casa esquinera sobre vía amplia pavimentada. Lote 9.50 x 18.80 ml, 188 m². Rentabilidad de $800.000 mensuales. Escritura al día. No se permuta.</v>
      </c>
      <c r="AE52" s="40"/>
      <c r="AF52" s="40" t="str">
        <f>IFERROR(__xludf.DUMMYFUNCTION("""COMPUTED_VALUE"""),"integral")</f>
        <v>integral</v>
      </c>
      <c r="AG52" s="40" t="str">
        <f>IFERROR(__xludf.DUMMYFUNCTION("""COMPUTED_VALUE"""),"SI")</f>
        <v>SI</v>
      </c>
      <c r="AH52" s="40" t="str">
        <f>IFERROR(__xludf.DUMMYFUNCTION("""COMPUTED_VALUE"""),"Inventario")</f>
        <v>Inventario</v>
      </c>
      <c r="AI52" s="40" t="str">
        <f>IFERROR(__xludf.DUMMYFUNCTION("""COMPUTED_VALUE"""),"Verbal")</f>
        <v>Verbal</v>
      </c>
      <c r="AJ52" s="40" t="str">
        <f>IFERROR(__xludf.DUMMYFUNCTION("""COMPUTED_VALUE"""),"ICDE")</f>
        <v>ICDE</v>
      </c>
      <c r="AK52" s="40" t="str">
        <f>IFERROR(__xludf.DUMMYFUNCTION("""COMPUTED_VALUE"""),"PENDIENTE")</f>
        <v>PENDIENTE</v>
      </c>
      <c r="AL52" s="40" t="str">
        <f>IFERROR(__xludf.DUMMYFUNCTION("""COMPUTED_VALUE"""),"TIENE FOTOS")</f>
        <v>TIENE FOTOS</v>
      </c>
      <c r="AM52" s="40">
        <f>IFERROR(__xludf.DUMMYFUNCTION("""COMPUTED_VALUE"""),3.163995297E9)</f>
        <v>3163995297</v>
      </c>
      <c r="AN52" s="40"/>
      <c r="AO52" s="40" t="str">
        <f>IFERROR(__xludf.DUMMYFUNCTION("""COMPUTED_VALUE"""),"FAMILIAR JAMES AMEZQUITA")</f>
        <v>FAMILIAR JAMES AMEZQUITA</v>
      </c>
      <c r="AP52" s="40">
        <f>IFERROR(__xludf.DUMMYFUNCTION("""COMPUTED_VALUE"""),0.0)</f>
        <v>0</v>
      </c>
      <c r="AQ52" s="40">
        <f>IFERROR(__xludf.DUMMYFUNCTION("""COMPUTED_VALUE"""),2.9455331)</f>
        <v>2.9455331</v>
      </c>
      <c r="AR52" s="40">
        <f>IFERROR(__xludf.DUMMYFUNCTION("""COMPUTED_VALUE"""),-75.2898251)</f>
        <v>-75.2898251</v>
      </c>
      <c r="AS52" s="53">
        <f>IFERROR(__xludf.DUMMYFUNCTION("""COMPUTED_VALUE"""),800000.0)</f>
        <v>800000</v>
      </c>
      <c r="AT52" s="40">
        <f>IFERROR(__xludf.DUMMYFUNCTION("""COMPUTED_VALUE"""),0.0)</f>
        <v>0</v>
      </c>
      <c r="AU52" s="40">
        <f>IFERROR(__xludf.DUMMYFUNCTION("""COMPUTED_VALUE"""),0.0)</f>
        <v>0</v>
      </c>
      <c r="AV52" s="40">
        <f>IFERROR(__xludf.DUMMYFUNCTION("""COMPUTED_VALUE"""),0.0)</f>
        <v>0</v>
      </c>
      <c r="AW52" s="40" t="str">
        <f>IFERROR(__xludf.DUMMYFUNCTION("""COMPUTED_VALUE"""),"NO")</f>
        <v>NO</v>
      </c>
      <c r="AX52" s="40">
        <f>IFERROR(__xludf.DUMMYFUNCTION("""COMPUTED_VALUE"""),0.0)</f>
        <v>0</v>
      </c>
      <c r="AY52" s="40">
        <f>IFERROR(__xludf.DUMMYFUNCTION("""COMPUTED_VALUE"""),0.0)</f>
        <v>0</v>
      </c>
      <c r="AZ52" s="40">
        <f>IFERROR(__xludf.DUMMYFUNCTION("""COMPUTED_VALUE"""),9.5)</f>
        <v>9.5</v>
      </c>
      <c r="BA52" s="40" t="str">
        <f>IFERROR(__xludf.DUMMYFUNCTION("""COMPUTED_VALUE"""),"X")</f>
        <v>X</v>
      </c>
      <c r="BB52" s="40">
        <f>IFERROR(__xludf.DUMMYFUNCTION("""COMPUTED_VALUE"""),19.8)</f>
        <v>19.8</v>
      </c>
      <c r="BC52" s="53" t="str">
        <f>IFERROR(__xludf.DUMMYFUNCTION("""COMPUTED_VALUE"""),"12 - LEIDY YULIETH")</f>
        <v>12 - LEIDY YULIETH</v>
      </c>
      <c r="BD52" s="40"/>
      <c r="BE52" s="40"/>
      <c r="BF52" s="40" t="str">
        <f>IFERROR(__xludf.DUMMYFUNCTION("""COMPUTED_VALUE"""),"https://lh3.googleusercontent.com/pw/AP1GczNM5mZXJY-T1OGjKaFs6Wx9klwtHHA2HJX2hTr_cP0KvP_BxX-R8Vbyz6QGZcULb057PkdvPuXmS5srKJv2VpWCyisrH_NVOQw7zLxWvS12vmFRPZF5=w1200|https://lh3.googleusercontent.com/pw/AP1GczMJuYCl80pNh-2cUE1pVrJieU1ZDP4cjGIGVcFY568Rl15cl8"&amp;"V1Hq80mpBeS3-b6AR0JG--pAx_qTsr1LVU4nI6ODsbe60jz30Z6bE5UqORFdBydU8w=w1200|https://lh3.googleusercontent.com/pw/AP1GczPMwMuflB9IxgDM--xLKBz30b5Ynama6CqQw2clAjpUAeXn_lqENUI9hYmBFl8ez5JvWz4448cxAht9ng20dPTy916DzmNm4pGdaZzTZ3SUz2vVjsqF=w1200|https://lh3.google"&amp;"usercontent.com/pw/AP1GczObrKDR_AnZjv6DnhFVxm5kV2A8xBN2OliCSZI6-zIoWZQSXtsgR-FpFZAq43lT5vKut2tSTFdZANZNwV7ZPKVplxHUy4M2cLYK06wdrUaEiaAZb7jm=w1200|https://lh3.googleusercontent.com/pw/AP1GczO48UaprEl2RsT07wrYlsmDCtVT1Qflz7VQDMoCs3zCpQqwLuOTrPqlKPFzBAz9xTZs"&amp;"46c2oZRkwG_lf_j4f6uHM-nhAI7PAi_OGHzFpCtePBoZPjUl=w1200|https://lh3.googleusercontent.com/pw/AP1GczPt6MggSidCqHaaO_HZKueSaW7T_si6ZI7-hu-RJkaKcdAP1ZzQzGaR5dX07rTuTfmUreixjvPFp1CiVCK65pdOG-AAMQ6zyOMJkV2TErau99YY0Tip=w1200|https://lh3.googleusercontent.com/pw"&amp;"/AP1GczPkFVsHY519LJ5KlXT2N9VmRfc27KlJD4qlnFn4z_qXxL4jJObNB1eEIPX2Y-hrDhtT5JNHmIVYA9icWofDK03vmkA_XUad9edBlu7JxOYq7PoLqix7=w1200|https://lh3.googleusercontent.com/pw/AP1GczPxab9F1Tt8W_NZAbDxyjrhOheWRi-vHxWQDoT03_UN47eF6SnmDuKUWza9io7aJ3LBjy-Of4r4wQzzpsQXzF"&amp;"HohadPLmjGBoWp37Oe-7yMy5WKHc7j=w1200|https://lh3.googleusercontent.com/pw/AP1GczPUl31U64gjf4u40f7rgr_AlgM_BUyRBGiBaGAAVHVVJwqXqhAcs46NuC2NSs9eSsBCLPD1ZAS70J87sP8P4VEBDWSVuMbTY0Cbtc58rnw5_-BRLfDF=w1200|https://lh3.googleusercontent.com/pw/AP1GczNTU4ExothJw"&amp;"lX3-zMz3PKU9kEzWAbG-Ml2-2dZeRESXICWXOYlx8BGRXXeXd6Y_bNvC-Oz-v-cJ7jW7KGgrRYd3AACxuhkYRgAyDjRWjFm879Yj6bS=w1200|https://lh3.googleusercontent.com/pw/AP1GczOdj6MDomUysaK_JWmLexzG62SQk2vUfB2RYw_yiBgwQXLzkiuB2Do7PCbq00Yipa8_L6dIhLMHro0-bJ3K15QH8tlb1BkgufX9wXft"&amp;"DEa2H76X8I2S=w1200")</f>
        <v>https://lh3.googleusercontent.com/pw/AP1GczNM5mZXJY-T1OGjKaFs6Wx9klwtHHA2HJX2hTr_cP0KvP_BxX-R8Vbyz6QGZcULb057PkdvPuXmS5srKJv2VpWCyisrH_NVOQw7zLxWvS12vmFRPZF5=w1200|https://lh3.googleusercontent.com/pw/AP1GczMJuYCl80pNh-2cUE1pVrJieU1ZDP4cjGIGVcFY568Rl15cl8V1Hq80mpBeS3-b6AR0JG--pAx_qTsr1LVU4nI6ODsbe60jz30Z6bE5UqORFdBydU8w=w1200|https://lh3.googleusercontent.com/pw/AP1GczPMwMuflB9IxgDM--xLKBz30b5Ynama6CqQw2clAjpUAeXn_lqENUI9hYmBFl8ez5JvWz4448cxAht9ng20dPTy916DzmNm4pGdaZzTZ3SUz2vVjsqF=w1200|https://lh3.googleusercontent.com/pw/AP1GczObrKDR_AnZjv6DnhFVxm5kV2A8xBN2OliCSZI6-zIoWZQSXtsgR-FpFZAq43lT5vKut2tSTFdZANZNwV7ZPKVplxHUy4M2cLYK06wdrUaEiaAZb7jm=w1200|https://lh3.googleusercontent.com/pw/AP1GczO48UaprEl2RsT07wrYlsmDCtVT1Qflz7VQDMoCs3zCpQqwLuOTrPqlKPFzBAz9xTZs46c2oZRkwG_lf_j4f6uHM-nhAI7PAi_OGHzFpCtePBoZPjUl=w1200|https://lh3.googleusercontent.com/pw/AP1GczPt6MggSidCqHaaO_HZKueSaW7T_si6ZI7-hu-RJkaKcdAP1ZzQzGaR5dX07rTuTfmUreixjvPFp1CiVCK65pdOG-AAMQ6zyOMJkV2TErau99YY0Tip=w1200|https://lh3.googleusercontent.com/pw/AP1GczPkFVsHY519LJ5KlXT2N9VmRfc27KlJD4qlnFn4z_qXxL4jJObNB1eEIPX2Y-hrDhtT5JNHmIVYA9icWofDK03vmkA_XUad9edBlu7JxOYq7PoLqix7=w1200|https://lh3.googleusercontent.com/pw/AP1GczPxab9F1Tt8W_NZAbDxyjrhOheWRi-vHxWQDoT03_UN47eF6SnmDuKUWza9io7aJ3LBjy-Of4r4wQzzpsQXzFHohadPLmjGBoWp37Oe-7yMy5WKHc7j=w1200|https://lh3.googleusercontent.com/pw/AP1GczPUl31U64gjf4u40f7rgr_AlgM_BUyRBGiBaGAAVHVVJwqXqhAcs46NuC2NSs9eSsBCLPD1ZAS70J87sP8P4VEBDWSVuMbTY0Cbtc58rnw5_-BRLfDF=w1200|https://lh3.googleusercontent.com/pw/AP1GczNTU4ExothJwlX3-zMz3PKU9kEzWAbG-Ml2-2dZeRESXICWXOYlx8BGRXXeXd6Y_bNvC-Oz-v-cJ7jW7KGgrRYd3AACxuhkYRgAyDjRWjFm879Yj6bS=w1200|https://lh3.googleusercontent.com/pw/AP1GczOdj6MDomUysaK_JWmLexzG62SQk2vUfB2RYw_yiBgwQXLzkiuB2Do7PCbq00Yipa8_L6dIhLMHro0-bJ3K15QH8tlb1BkgufX9wXftDEa2H76X8I2S=w1200</v>
      </c>
    </row>
    <row r="53">
      <c r="A53" s="39" t="str">
        <f>IFERROR(__xludf.DUMMYFUNCTION("""COMPUTED_VALUE"""),"423")</f>
        <v>423</v>
      </c>
      <c r="B53" s="40" t="str">
        <f>IFERROR(__xludf.DUMMYFUNCTION("""COMPUTED_VALUE"""),"Casa con apartaestudio y habitación independientes en barrio Las Granjas")</f>
        <v>Casa con apartaestudio y habitación independientes en barrio Las Granjas</v>
      </c>
      <c r="C53" s="40" t="str">
        <f>IFERROR(__xludf.DUMMYFUNCTION("""COMPUTED_VALUE"""),"Casa rentable")</f>
        <v>Casa rentable</v>
      </c>
      <c r="D53" s="40" t="str">
        <f>IFERROR(__xludf.DUMMYFUNCTION("""COMPUTED_VALUE"""),"Las Granjas")</f>
        <v>Las Granjas</v>
      </c>
      <c r="E53" s="40"/>
      <c r="F53" s="42">
        <f>IFERROR(__xludf.DUMMYFUNCTION("""COMPUTED_VALUE"""),3.8E8)</f>
        <v>380000000</v>
      </c>
      <c r="G53" s="40" t="str">
        <f>IFERROR(__xludf.DUMMYFUNCTION("""COMPUTED_VALUE"""),"$300'000.000 a $400'000.000")</f>
        <v>$300'000.000 a $400'000.000</v>
      </c>
      <c r="H53" s="40"/>
      <c r="I53" s="40"/>
      <c r="J53" s="40" t="str">
        <f>IFERROR(__xludf.DUMMYFUNCTION("""COMPUTED_VALUE"""),"Norte")</f>
        <v>Norte</v>
      </c>
      <c r="K53" s="39" t="str">
        <f>IFERROR(__xludf.DUMMYFUNCTION("""COMPUTED_VALUE"""),"2")</f>
        <v>2</v>
      </c>
      <c r="L53" s="40">
        <f>IFERROR(__xludf.DUMMYFUNCTION("""COMPUTED_VALUE"""),6.0)</f>
        <v>6</v>
      </c>
      <c r="M53" s="40"/>
      <c r="N53" s="40">
        <f>IFERROR(__xludf.DUMMYFUNCTION("""COMPUTED_VALUE"""),4.0)</f>
        <v>4</v>
      </c>
      <c r="O53" s="40">
        <f>IFERROR(__xludf.DUMMYFUNCTION("""COMPUTED_VALUE"""),1.0)</f>
        <v>1</v>
      </c>
      <c r="P53" s="40">
        <f>IFERROR(__xludf.DUMMYFUNCTION("""COMPUTED_VALUE"""),1.0)</f>
        <v>1</v>
      </c>
      <c r="Q53" s="53"/>
      <c r="R53" s="48">
        <f>IFERROR(__xludf.DUMMYFUNCTION("""COMPUTED_VALUE"""),297.0)</f>
        <v>297</v>
      </c>
      <c r="S53" s="39" t="str">
        <f>IFERROR(__xludf.DUMMYFUNCTION("""COMPUTED_VALUE"""),"Rentabilidad $1,915,000")</f>
        <v>Rentabilidad $1,915,000</v>
      </c>
      <c r="T53" s="40" t="str">
        <f>IFERROR(__xludf.DUMMYFUNCTION("""COMPUTED_VALUE"""),"Neiva")</f>
        <v>Neiva</v>
      </c>
      <c r="U53" s="39" t="str">
        <f>IFERROR(__xludf.DUMMYFUNCTION("""COMPUTED_VALUE"""),"2")</f>
        <v>2</v>
      </c>
      <c r="V53" s="40" t="str">
        <f>IFERROR(__xludf.DUMMYFUNCTION("""COMPUTED_VALUE"""),"Medianera")</f>
        <v>Medianera</v>
      </c>
      <c r="W53" s="46"/>
      <c r="X53" s="46" t="str">
        <f>IFERROR(__xludf.DUMMYFUNCTION("""COMPUTED_VALUE"""),"No")</f>
        <v>No</v>
      </c>
      <c r="Y53" s="53" t="str">
        <f>IFERROR(__xludf.DUMMYFUNCTION("""COMPUTED_VALUE"""),"No tiene")</f>
        <v>No tiene</v>
      </c>
      <c r="Z53" s="42" t="str">
        <f>IFERROR(__xludf.DUMMYFUNCTION("""COMPUTED_VALUE"""),"No aplica")</f>
        <v>No aplica</v>
      </c>
      <c r="AA53" s="49" t="str">
        <f>IFERROR(__xludf.DUMMYFUNCTION("""COMPUTED_VALUE"""),"17 años")</f>
        <v>17 años</v>
      </c>
      <c r="AB53" s="105" t="str">
        <f>IFERROR(__xludf.DUMMYFUNCTION("""COMPUTED_VALUE"""),"https://photos.app.goo.gl/VAdNDoM3VY9Lrx4HA")</f>
        <v>https://photos.app.goo.gl/VAdNDoM3VY9Lrx4HA</v>
      </c>
      <c r="AC53" s="40"/>
      <c r="AD53" s="40" t="str">
        <f>IFERROR(__xludf.DUMMYFUNCTION("""COMPUTED_VALUE"""),"Casa  antigua, ubicada sobre vía amplia, pasa  por el frente transporte público. Dimensión del lote 9.0 ml x 33.0 ml es el segundo lote más amplio del barrio. Con reja antejardín  altura antepecho.  Ubicada frente a un parque. Patio central y patio amplio"&amp;" con 2 árboles de naranja agria y breva. Escritura al día. No se permuta.")</f>
        <v>Casa  antigua, ubicada sobre vía amplia, pasa  por el frente transporte público. Dimensión del lote 9.0 ml x 33.0 ml es el segundo lote más amplio del barrio. Con reja antejardín  altura antepecho.  Ubicada frente a un parque. Patio central y patio amplio con 2 árboles de naranja agria y breva. Escritura al día. No se permuta.</v>
      </c>
      <c r="AE53" s="40"/>
      <c r="AF53" s="40" t="str">
        <f>IFERROR(__xludf.DUMMYFUNCTION("""COMPUTED_VALUE"""),"semi-integral")</f>
        <v>semi-integral</v>
      </c>
      <c r="AG53" s="40" t="str">
        <f>IFERROR(__xludf.DUMMYFUNCTION("""COMPUTED_VALUE"""),"SI")</f>
        <v>SI</v>
      </c>
      <c r="AH53" s="40" t="str">
        <f>IFERROR(__xludf.DUMMYFUNCTION("""COMPUTED_VALUE"""),"Inventario")</f>
        <v>Inventario</v>
      </c>
      <c r="AI53" s="40" t="str">
        <f>IFERROR(__xludf.DUMMYFUNCTION("""COMPUTED_VALUE"""),"Verbal")</f>
        <v>Verbal</v>
      </c>
      <c r="AJ53" s="40" t="str">
        <f>IFERROR(__xludf.DUMMYFUNCTION("""COMPUTED_VALUE"""),"ICDE")</f>
        <v>ICDE</v>
      </c>
      <c r="AK53" s="40" t="str">
        <f>IFERROR(__xludf.DUMMYFUNCTION("""COMPUTED_VALUE"""),"SIN CONTRATO")</f>
        <v>SIN CONTRATO</v>
      </c>
      <c r="AL53" s="40" t="str">
        <f>IFERROR(__xludf.DUMMYFUNCTION("""COMPUTED_VALUE"""),"TIENE FOTOS")</f>
        <v>TIENE FOTOS</v>
      </c>
      <c r="AM53" s="40">
        <f>IFERROR(__xludf.DUMMYFUNCTION("""COMPUTED_VALUE"""),3.208515362E9)</f>
        <v>3208515362</v>
      </c>
      <c r="AN53" s="40">
        <f>IFERROR(__xludf.DUMMYFUNCTION("""COMPUTED_VALUE"""),3.1155671E9)</f>
        <v>3115567100</v>
      </c>
      <c r="AO53" s="40" t="str">
        <f>IFERROR(__xludf.DUMMYFUNCTION("""COMPUTED_VALUE"""),"PROP. SILVIA - ANDRES FELIPE")</f>
        <v>PROP. SILVIA - ANDRES FELIPE</v>
      </c>
      <c r="AP53" s="40" t="str">
        <f>IFERROR(__xludf.DUMMYFUNCTION("""COMPUTED_VALUE"""),"CARRERA 7 No. 31-12")</f>
        <v>CARRERA 7 No. 31-12</v>
      </c>
      <c r="AQ53" s="40">
        <f>IFERROR(__xludf.DUMMYFUNCTION("""COMPUTED_VALUE"""),2.9458581)</f>
        <v>2.9458581</v>
      </c>
      <c r="AR53" s="40">
        <f>IFERROR(__xludf.DUMMYFUNCTION("""COMPUTED_VALUE"""),-75.2905102)</f>
        <v>-75.2905102</v>
      </c>
      <c r="AS53" s="53">
        <f>IFERROR(__xludf.DUMMYFUNCTION("""COMPUTED_VALUE"""),1915000.0)</f>
        <v>1915000</v>
      </c>
      <c r="AT53" s="40">
        <f>IFERROR(__xludf.DUMMYFUNCTION("""COMPUTED_VALUE"""),0.0)</f>
        <v>0</v>
      </c>
      <c r="AU53" s="40">
        <f>IFERROR(__xludf.DUMMYFUNCTION("""COMPUTED_VALUE"""),0.0)</f>
        <v>0</v>
      </c>
      <c r="AV53" s="40">
        <f>IFERROR(__xludf.DUMMYFUNCTION("""COMPUTED_VALUE"""),0.0)</f>
        <v>0</v>
      </c>
      <c r="AW53" s="40" t="str">
        <f>IFERROR(__xludf.DUMMYFUNCTION("""COMPUTED_VALUE"""),"SI")</f>
        <v>SI</v>
      </c>
      <c r="AX53" s="40">
        <f>IFERROR(__xludf.DUMMYFUNCTION("""COMPUTED_VALUE"""),0.0)</f>
        <v>0</v>
      </c>
      <c r="AY53" s="40" t="str">
        <f>IFERROR(__xludf.DUMMYFUNCTION("""COMPUTED_VALUE"""),"A")</f>
        <v>A</v>
      </c>
      <c r="AZ53" s="40">
        <f>IFERROR(__xludf.DUMMYFUNCTION("""COMPUTED_VALUE"""),0.0)</f>
        <v>0</v>
      </c>
      <c r="BA53" s="40" t="str">
        <f>IFERROR(__xludf.DUMMYFUNCTION("""COMPUTED_VALUE"""),"X")</f>
        <v>X</v>
      </c>
      <c r="BB53" s="40">
        <f>IFERROR(__xludf.DUMMYFUNCTION("""COMPUTED_VALUE"""),0.0)</f>
        <v>0</v>
      </c>
      <c r="BC53" s="53" t="str">
        <f>IFERROR(__xludf.DUMMYFUNCTION("""COMPUTED_VALUE"""),"19 - PRUEBA v, 11 - AMARA GUTIERREZ, 15 - JOSE LOZANO")</f>
        <v>19 - PRUEBA v, 11 - AMARA GUTIERREZ, 15 - JOSE LOZANO</v>
      </c>
      <c r="BD53" s="48"/>
      <c r="BE53" s="48"/>
      <c r="BF53" s="48" t="str">
        <f>IFERROR(__xludf.DUMMYFUNCTION("""COMPUTED_VALUE"""),"https://lh3.googleusercontent.com/pw/AP1GczOOA_Gh7dU3_R3RnuIUJKafUdT15sXBvClQ3dXNp2uKoq2y4A3Fq_QHWs-RP09aDQlzdjb5og7gtBKv47lFPtECdAxM1NbTDPV0frYOOXiCgOS9IQMy=w1200|https://lh3.googleusercontent.com/pw/AP1GczMU1Pqc_KbnX5E46pD6Fk5-rsQ20KevVCGqE3GpV1P0EauWkL"&amp;"AXOuqyoP6vTp9ybgKpIUSFBe0jj0Bv3bCgFy_zet2RrqbHSyIrfbmuN3nH6MYmH4FW=w1200|https://lh3.googleusercontent.com/pw/AP1GczOkAAAOUHXxLQU-mA_bG4crPElJU7hykJHkxDfv0MsdS4ZUQQlRTdwerB3u7RzSM6yZKSUV9X2B-8Hvz3TPVWUqh8LZ-JVsMaQtoe_yP-5lKvlbluUI=w1200|https://lh3.google"&amp;"usercontent.com/pw/AP1GczN4UNFYOaeUDakC3j1ONnOyKlP82hSa6tQAUQcjmpuZlFg1bwYabdRcoZ733yEeSfiZb7mZfD_XQ4B2zMrdkFcKkInBSwJodqxZlC6ZFqedh5PB5tjv=w1200|https://lh3.googleusercontent.com/pw/AP1GczNVABLodJE04Gl2aDXshLoz18YIKRFSrO5vPHv_vMxI7epsbaFGKWzvpA3LClZBM20G"&amp;"6Zg_E3vOXIYmJedK2tSvHaSTORUSLn9q8L_ue-7JcKvtpvN0=w1200|https://lh3.googleusercontent.com/pw/AP1GczNWNlON4hHK4DYP4KeyUfN52LD98C2hLmKBse-yLhykXiCAZ13_kVbVqvvgajMa2-xTxsew5l3acG0t1j9f71WAL8C_AqcugNDQ6Kb657k2EUA86Pif=w1200|https://lh3.googleusercontent.com/pw"&amp;"/AP1GczPzPdhXUX6qzdygpQw6gtoRMarZ-X8XbUe2TfEylYu-fDXYhaq594hiubL8V6Km1iVnTqsjzX44GgG9As5OITWlX3pH0iXZPOWm42jiSG7Pk35jRzl-=w1200|https://lh3.googleusercontent.com/pw/AP1GczMPj80W7oZaFJDIrny-5blojJOHa7xVyis9K4n50owhKOmNk4_TU6tCat2xq9MoY1N5ZTi_yUfmP81XkL2dQ9"&amp;"rXpreZN9PiUo-lanIz6cm3dHx2ms1v=w1200|https://lh3.googleusercontent.com/pw/AP1GczPViCGgPq3WFoK_xmCCkfbZqsWLSPif-XIUjQd4NF4x1X_21d4CWEG4bZd2s9avGRrTWk6vthj-TRPi-onNu9oLe-ISjIIKwWzKA_TYgTRMGVtFw0KN=w1200|https://lh3.googleusercontent.com/pw/AP1GczPrUC-Bgi4JA"&amp;"12EJ87ZANbYgdmXQl998HLKRFct-q0Sta-8ytR4DNyBbxkR2zzYxn26xImQlD0L9Eahmb3kN4Q43wOz-V4VPHSJaYa5Iko2cWrZRHrW=w1200|https://lh3.googleusercontent.com/pw/AP1GczNuacz3aqpIpshZOeiEoD-8ABIOlbWVMgScOrVfDUoGfdRUDqhVW0gLMxopPXUyejp6eKtH8BNHAusCIGZeJLzs47sSWtmbRJ3aXhi_"&amp;"odUS2wrvcK2R=w1200|https://lh3.googleusercontent.com/pw/AP1GczNrV110nCVjdqP1nZUCo2d5NjhZObd8xFpzbpiD2plVhAbtHrjXj0bhM_VdNtC-gU_Bs_UplR-ns_COH4C4R_UHQlEniSVSC8djH4rzrzprCp4sXaJL=w1200|https://lh3.googleusercontent.com/pw/AP1GczO540Gjvv06l7PJHaY-FH4D-oOHlEz"&amp;"zQ2foFJ5ZcolU7CAJY9rFPhfeZcH_U1PIXVAvw0juKx1unJI-fc1WYks5ENq3Miu3UVoGn3XhfDJC8kUUL1_D=w1200|https://lh3.googleusercontent.com/pw/AP1GczMB4kgTya9d9-vIKQCsLTFZsYk8OzOK2zEjgZ2PzluLAa_WgA2PfTkB6g8mAhlBnxFIKU1hHTHlaZ2loLFyCcOu2_qF4_j_clwlpq-JXsSCJwutts1j=w1200"&amp;"|https://lh3.googleusercontent.com/pw/AP1GczNBn-AAPsQ-0T6rAhWcGE9WqsMvxebKNAmZ6rkQ6aN7uRG5l3hjkjToImaGnw6A5vTKBFHZJHkhN2_LrC3lS6KMXwXg4OYIhQ7mkgUxajH3JuwZwY4g=w1200|https://lh3.googleusercontent.com/pw/AP1GczODMVcoHbnturoWwYNUIMpOQvZahwAddJ18CfoSWC-Giuo8q"&amp;"xesSJkW2P2Yt3_jMgMzGhpFRQ4d-nj5U1zu2ulWNKUM76kJtdUe-Xio4oaq9q7Gc6WP=w1200|https://lh3.googleusercontent.com/pw/AP1GczPX9xiGojxQJPC71iD_DuVeHojOtufAgilNIcV6l7AM7-b7lG4PfEVWHR3kny-kOvmv5ISwHxGIGvDcU3ozElrXeR47384IlDbX7tRu4EOQU3h8Ywvi=w1200|https://lh3.googl"&amp;"eusercontent.com/pw/AP1GczOlOfDpRBbx8l_LOGnFDDpMsugamq5FqarXOL_WwG1R4ISQXXbL-k2tBecAv3VcAIgLkpa6YNVEcaijYRvQPYMebt8nyQgBI3CYhWn3_QjozWn058QY=w1200|https://lh3.googleusercontent.com/pw/AP1GczMIuXuHqHmhwXJ1b2VbKH6pr2tEuP6EQW4XTc2z5m4JfcpF6_tGk8iw2b1rQLaukiW"&amp;"UMxlLdWDNf0K9NA-64ANkkJwS8AWy0KTnaI1nQodugoZvaSW2=w1200|https://lh3.googleusercontent.com/pw/AP1GczO97zxxNB-gb3ZvgP-j5SDm9DG0VauOKZG8DQpaoSKZJUQq2iT4Fqg2wGCxX5MTRDcMyJ_uX-C8TKZpzli4PEuKBjJOfnxlWOZ-RR1eGZGZRgZoCzbB=w1200|https://lh3.googleusercontent.com/p"&amp;"w/AP1GczMoPqMnx60XEEfQyJIJocAXooDWuRAkTeARXRgQq_jj_TbJIYBxPUSTwN28RatPjzJnr3k9F30bLXFxQ28GYyRq5PRhflekyx4GiA3_dCpaoT5HrJz2=w1200|https://lh3.googleusercontent.com/pw/AP1GczMCc97EWH4BdZYH-AHmVa1vBpotPRXNA9lA1SftseuLySi832VaClPKCfxosMPT3bucOAKkEOg-CjWvd1HhA"&amp;"iU9V1lXNlUEWapbrWol1d-ze9ypIreL=w1200|https://lh3.googleusercontent.com/pw/AP1GczOm9NSAcslbd_y442LrTaQb-RClNqX964uakTm4ValWEetdtC8PohtBauWxCNhE5Rn_kR0qM3RYkeAnOovBot-UwL5QgFqAEW1Bc6KMvMWdv1wOk2xv=w1200|https://lh3.googleusercontent.com/pw/AP1GczPe5HzndHw7"&amp;"hWFkRSjNwz_kx259iOSPW-oVbDZog7Yto9QyDaCtV9O5cvjlHwiBCKLqAsA52p2t7E6QHAL5aCQ3lYnvWgAmUGSLCM1Gc0yPdFvq_HvF=w1200|https://lh3.googleusercontent.com/pw/AP1GczOZConiFTBPvyx84Zu2esPUyABfCKNdms3b7IigB2wdUCuef1S_fG2uPC-gAuyitNAY-WxV4j9wn8mAmZz-he0XIDjExXxtJ8v5VHc"&amp;"ixyVjCqz_YiBt=w1200|https://lh3.googleusercontent.com/pw/AP1GczM2jLhVDGQlUOELmEOpVepTTYxI34cdU6ZYDTDCILo4tNVncldSg2KhDlMfXJ2XDtAZ8LcreZpTB19OIDwcSRAuV0NgGsQROwBulNjJKmQe2D3WT6kr=w1200|https://lh3.googleusercontent.com/pw/AP1GczOr0X-ljNd_fC8gCOb1r6wJs6AHIu"&amp;"MV9yCjejD5beH0BsOuD-o6NyIAKfO0auIbfLk3v4qZSBh4qPEKh1z-zwDfaachiLR6l3xlr0iLB8IxkWi0lDAy=w1200|https://lh3.googleusercontent.com/pw/AP1GczOK6Zf2c40kir5QDvTqG7gyUmhRyXq7Xlmt_2uDk_DYYVp-hoVEO5_ZckTO1dYAoQRD2TMVwMjvXLt_DIr6X9Pzg2tQbGArTXZ_yFE5qKY-hyruxSn8=w120"&amp;"0|https://lh3.googleusercontent.com/pw/AP1GczPcbe31-iErCvLVf104ABzgdyLMrs2GEcbLntBJ0A7pnJY16787dXYVl0kvesTx9PHPf26nvCmfFCyQJUHZ1dP2Ld_4AlH7415oYdUXy2HNfQ-g3aeW=w1200|https://lh3.googleusercontent.com/pw/AP1GczNc3tQ6lblCrDwzYuF0U2fYU_i2jncWjdL-aDgaI7r3fktu"&amp;"uJzbZWqkjUQ8SqozWw5a7SX6FYCsZj9eSz4pA-ELVE-dPS7k_dnt3JUyPdUgnKpO6c5V=w1200")</f>
        <v>https://lh3.googleusercontent.com/pw/AP1GczOOA_Gh7dU3_R3RnuIUJKafUdT15sXBvClQ3dXNp2uKoq2y4A3Fq_QHWs-RP09aDQlzdjb5og7gtBKv47lFPtECdAxM1NbTDPV0frYOOXiCgOS9IQMy=w1200|https://lh3.googleusercontent.com/pw/AP1GczMU1Pqc_KbnX5E46pD6Fk5-rsQ20KevVCGqE3GpV1P0EauWkLAXOuqyoP6vTp9ybgKpIUSFBe0jj0Bv3bCgFy_zet2RrqbHSyIrfbmuN3nH6MYmH4FW=w1200|https://lh3.googleusercontent.com/pw/AP1GczOkAAAOUHXxLQU-mA_bG4crPElJU7hykJHkxDfv0MsdS4ZUQQlRTdwerB3u7RzSM6yZKSUV9X2B-8Hvz3TPVWUqh8LZ-JVsMaQtoe_yP-5lKvlbluUI=w1200|https://lh3.googleusercontent.com/pw/AP1GczN4UNFYOaeUDakC3j1ONnOyKlP82hSa6tQAUQcjmpuZlFg1bwYabdRcoZ733yEeSfiZb7mZfD_XQ4B2zMrdkFcKkInBSwJodqxZlC6ZFqedh5PB5tjv=w1200|https://lh3.googleusercontent.com/pw/AP1GczNVABLodJE04Gl2aDXshLoz18YIKRFSrO5vPHv_vMxI7epsbaFGKWzvpA3LClZBM20G6Zg_E3vOXIYmJedK2tSvHaSTORUSLn9q8L_ue-7JcKvtpvN0=w1200|https://lh3.googleusercontent.com/pw/AP1GczNWNlON4hHK4DYP4KeyUfN52LD98C2hLmKBse-yLhykXiCAZ13_kVbVqvvgajMa2-xTxsew5l3acG0t1j9f71WAL8C_AqcugNDQ6Kb657k2EUA86Pif=w1200|https://lh3.googleusercontent.com/pw/AP1GczPzPdhXUX6qzdygpQw6gtoRMarZ-X8XbUe2TfEylYu-fDXYhaq594hiubL8V6Km1iVnTqsjzX44GgG9As5OITWlX3pH0iXZPOWm42jiSG7Pk35jRzl-=w1200|https://lh3.googleusercontent.com/pw/AP1GczMPj80W7oZaFJDIrny-5blojJOHa7xVyis9K4n50owhKOmNk4_TU6tCat2xq9MoY1N5ZTi_yUfmP81XkL2dQ9rXpreZN9PiUo-lanIz6cm3dHx2ms1v=w1200|https://lh3.googleusercontent.com/pw/AP1GczPViCGgPq3WFoK_xmCCkfbZqsWLSPif-XIUjQd4NF4x1X_21d4CWEG4bZd2s9avGRrTWk6vthj-TRPi-onNu9oLe-ISjIIKwWzKA_TYgTRMGVtFw0KN=w1200|https://lh3.googleusercontent.com/pw/AP1GczPrUC-Bgi4JA12EJ87ZANbYgdmXQl998HLKRFct-q0Sta-8ytR4DNyBbxkR2zzYxn26xImQlD0L9Eahmb3kN4Q43wOz-V4VPHSJaYa5Iko2cWrZRHrW=w1200|https://lh3.googleusercontent.com/pw/AP1GczNuacz3aqpIpshZOeiEoD-8ABIOlbWVMgScOrVfDUoGfdRUDqhVW0gLMxopPXUyejp6eKtH8BNHAusCIGZeJLzs47sSWtmbRJ3aXhi_odUS2wrvcK2R=w1200|https://lh3.googleusercontent.com/pw/AP1GczNrV110nCVjdqP1nZUCo2d5NjhZObd8xFpzbpiD2plVhAbtHrjXj0bhM_VdNtC-gU_Bs_UplR-ns_COH4C4R_UHQlEniSVSC8djH4rzrzprCp4sXaJL=w1200|https://lh3.googleusercontent.com/pw/AP1GczO540Gjvv06l7PJHaY-FH4D-oOHlEzzQ2foFJ5ZcolU7CAJY9rFPhfeZcH_U1PIXVAvw0juKx1unJI-fc1WYks5ENq3Miu3UVoGn3XhfDJC8kUUL1_D=w1200|https://lh3.googleusercontent.com/pw/AP1GczMB4kgTya9d9-vIKQCsLTFZsYk8OzOK2zEjgZ2PzluLAa_WgA2PfTkB6g8mAhlBnxFIKU1hHTHlaZ2loLFyCcOu2_qF4_j_clwlpq-JXsSCJwutts1j=w1200|https://lh3.googleusercontent.com/pw/AP1GczNBn-AAPsQ-0T6rAhWcGE9WqsMvxebKNAmZ6rkQ6aN7uRG5l3hjkjToImaGnw6A5vTKBFHZJHkhN2_LrC3lS6KMXwXg4OYIhQ7mkgUxajH3JuwZwY4g=w1200|https://lh3.googleusercontent.com/pw/AP1GczODMVcoHbnturoWwYNUIMpOQvZahwAddJ18CfoSWC-Giuo8qxesSJkW2P2Yt3_jMgMzGhpFRQ4d-nj5U1zu2ulWNKUM76kJtdUe-Xio4oaq9q7Gc6WP=w1200|https://lh3.googleusercontent.com/pw/AP1GczPX9xiGojxQJPC71iD_DuVeHojOtufAgilNIcV6l7AM7-b7lG4PfEVWHR3kny-kOvmv5ISwHxGIGvDcU3ozElrXeR47384IlDbX7tRu4EOQU3h8Ywvi=w1200|https://lh3.googleusercontent.com/pw/AP1GczOlOfDpRBbx8l_LOGnFDDpMsugamq5FqarXOL_WwG1R4ISQXXbL-k2tBecAv3VcAIgLkpa6YNVEcaijYRvQPYMebt8nyQgBI3CYhWn3_QjozWn058QY=w1200|https://lh3.googleusercontent.com/pw/AP1GczMIuXuHqHmhwXJ1b2VbKH6pr2tEuP6EQW4XTc2z5m4JfcpF6_tGk8iw2b1rQLaukiWUMxlLdWDNf0K9NA-64ANkkJwS8AWy0KTnaI1nQodugoZvaSW2=w1200|https://lh3.googleusercontent.com/pw/AP1GczO97zxxNB-gb3ZvgP-j5SDm9DG0VauOKZG8DQpaoSKZJUQq2iT4Fqg2wGCxX5MTRDcMyJ_uX-C8TKZpzli4PEuKBjJOfnxlWOZ-RR1eGZGZRgZoCzbB=w1200|https://lh3.googleusercontent.com/pw/AP1GczMoPqMnx60XEEfQyJIJocAXooDWuRAkTeARXRgQq_jj_TbJIYBxPUSTwN28RatPjzJnr3k9F30bLXFxQ28GYyRq5PRhflekyx4GiA3_dCpaoT5HrJz2=w1200|https://lh3.googleusercontent.com/pw/AP1GczMCc97EWH4BdZYH-AHmVa1vBpotPRXNA9lA1SftseuLySi832VaClPKCfxosMPT3bucOAKkEOg-CjWvd1HhAiU9V1lXNlUEWapbrWol1d-ze9ypIreL=w1200|https://lh3.googleusercontent.com/pw/AP1GczOm9NSAcslbd_y442LrTaQb-RClNqX964uakTm4ValWEetdtC8PohtBauWxCNhE5Rn_kR0qM3RYkeAnOovBot-UwL5QgFqAEW1Bc6KMvMWdv1wOk2xv=w1200|https://lh3.googleusercontent.com/pw/AP1GczPe5HzndHw7hWFkRSjNwz_kx259iOSPW-oVbDZog7Yto9QyDaCtV9O5cvjlHwiBCKLqAsA52p2t7E6QHAL5aCQ3lYnvWgAmUGSLCM1Gc0yPdFvq_HvF=w1200|https://lh3.googleusercontent.com/pw/AP1GczOZConiFTBPvyx84Zu2esPUyABfCKNdms3b7IigB2wdUCuef1S_fG2uPC-gAuyitNAY-WxV4j9wn8mAmZz-he0XIDjExXxtJ8v5VHcixyVjCqz_YiBt=w1200|https://lh3.googleusercontent.com/pw/AP1GczM2jLhVDGQlUOELmEOpVepTTYxI34cdU6ZYDTDCILo4tNVncldSg2KhDlMfXJ2XDtAZ8LcreZpTB19OIDwcSRAuV0NgGsQROwBulNjJKmQe2D3WT6kr=w1200|https://lh3.googleusercontent.com/pw/AP1GczOr0X-ljNd_fC8gCOb1r6wJs6AHIuMV9yCjejD5beH0BsOuD-o6NyIAKfO0auIbfLk3v4qZSBh4qPEKh1z-zwDfaachiLR6l3xlr0iLB8IxkWi0lDAy=w1200|https://lh3.googleusercontent.com/pw/AP1GczOK6Zf2c40kir5QDvTqG7gyUmhRyXq7Xlmt_2uDk_DYYVp-hoVEO5_ZckTO1dYAoQRD2TMVwMjvXLt_DIr6X9Pzg2tQbGArTXZ_yFE5qKY-hyruxSn8=w1200|https://lh3.googleusercontent.com/pw/AP1GczPcbe31-iErCvLVf104ABzgdyLMrs2GEcbLntBJ0A7pnJY16787dXYVl0kvesTx9PHPf26nvCmfFCyQJUHZ1dP2Ld_4AlH7415oYdUXy2HNfQ-g3aeW=w1200|https://lh3.googleusercontent.com/pw/AP1GczNc3tQ6lblCrDwzYuF0U2fYU_i2jncWjdL-aDgaI7r3fktuuJzbZWqkjUQ8SqozWw5a7SX6FYCsZj9eSz4pA-ELVE-dPS7k_dnt3JUyPdUgnKpO6c5V=w1200</v>
      </c>
    </row>
    <row r="54">
      <c r="A54" s="39" t="str">
        <f>IFERROR(__xludf.DUMMYFUNCTION("""COMPUTED_VALUE"""),"290")</f>
        <v>290</v>
      </c>
      <c r="B54" s="40" t="str">
        <f>IFERROR(__xludf.DUMMYFUNCTION("""COMPUTED_VALUE"""),"Casa con apartamento en barrio Los Cámbulos II")</f>
        <v>Casa con apartamento en barrio Los Cámbulos II</v>
      </c>
      <c r="C54" s="40" t="str">
        <f>IFERROR(__xludf.DUMMYFUNCTION("""COMPUTED_VALUE"""),"Casa rentable")</f>
        <v>Casa rentable</v>
      </c>
      <c r="D54" s="40" t="str">
        <f>IFERROR(__xludf.DUMMYFUNCTION("""COMPUTED_VALUE"""),"Los Cámbulos II")</f>
        <v>Los Cámbulos II</v>
      </c>
      <c r="E54" s="40"/>
      <c r="F54" s="42">
        <f>IFERROR(__xludf.DUMMYFUNCTION("""COMPUTED_VALUE"""),3.5E8)</f>
        <v>350000000</v>
      </c>
      <c r="G54" s="40" t="str">
        <f>IFERROR(__xludf.DUMMYFUNCTION("""COMPUTED_VALUE"""),"$300'000.000 a $400'000.000")</f>
        <v>$300'000.000 a $400'000.000</v>
      </c>
      <c r="H54" s="40"/>
      <c r="I54" s="40"/>
      <c r="J54" s="40" t="str">
        <f>IFERROR(__xludf.DUMMYFUNCTION("""COMPUTED_VALUE"""),"Norte")</f>
        <v>Norte</v>
      </c>
      <c r="K54" s="39" t="str">
        <f>IFERROR(__xludf.DUMMYFUNCTION("""COMPUTED_VALUE"""),"2")</f>
        <v>2</v>
      </c>
      <c r="L54" s="40">
        <f>IFERROR(__xludf.DUMMYFUNCTION("""COMPUTED_VALUE"""),6.0)</f>
        <v>6</v>
      </c>
      <c r="M54" s="40"/>
      <c r="N54" s="40">
        <f>IFERROR(__xludf.DUMMYFUNCTION("""COMPUTED_VALUE"""),4.0)</f>
        <v>4</v>
      </c>
      <c r="O54" s="40">
        <f>IFERROR(__xludf.DUMMYFUNCTION("""COMPUTED_VALUE"""),1.0)</f>
        <v>1</v>
      </c>
      <c r="P54" s="40">
        <f>IFERROR(__xludf.DUMMYFUNCTION("""COMPUTED_VALUE"""),2.0)</f>
        <v>2</v>
      </c>
      <c r="Q54" s="48"/>
      <c r="R54" s="48">
        <f>IFERROR(__xludf.DUMMYFUNCTION("""COMPUTED_VALUE"""),96.0)</f>
        <v>96</v>
      </c>
      <c r="S54" s="39" t="str">
        <f>IFERROR(__xludf.DUMMYFUNCTION("""COMPUTED_VALUE"""),"Rentabilidad $1,300,000")</f>
        <v>Rentabilidad $1,300,000</v>
      </c>
      <c r="T54" s="40" t="str">
        <f>IFERROR(__xludf.DUMMYFUNCTION("""COMPUTED_VALUE"""),"Neiva")</f>
        <v>Neiva</v>
      </c>
      <c r="U54" s="39" t="str">
        <f>IFERROR(__xludf.DUMMYFUNCTION("""COMPUTED_VALUE"""),"3")</f>
        <v>3</v>
      </c>
      <c r="V54" s="40" t="str">
        <f>IFERROR(__xludf.DUMMYFUNCTION("""COMPUTED_VALUE"""),"Medianera")</f>
        <v>Medianera</v>
      </c>
      <c r="W54" s="46"/>
      <c r="X54" s="46">
        <f>IFERROR(__xludf.DUMMYFUNCTION("""COMPUTED_VALUE"""),0.0)</f>
        <v>0</v>
      </c>
      <c r="Y54" s="40" t="str">
        <f>IFERROR(__xludf.DUMMYFUNCTION("""COMPUTED_VALUE"""),"No tiene")</f>
        <v>No tiene</v>
      </c>
      <c r="Z54" s="42" t="str">
        <f>IFERROR(__xludf.DUMMYFUNCTION("""COMPUTED_VALUE"""),"No aplica")</f>
        <v>No aplica</v>
      </c>
      <c r="AA54" s="49" t="str">
        <f>IFERROR(__xludf.DUMMYFUNCTION("""COMPUTED_VALUE"""),"22 años")</f>
        <v>22 años</v>
      </c>
      <c r="AB54" s="105" t="str">
        <f>IFERROR(__xludf.DUMMYFUNCTION("""COMPUTED_VALUE"""),"https://photos.app.goo.gl/BScognxLyGwbVcws6")</f>
        <v>https://photos.app.goo.gl/BScognxLyGwbVcws6</v>
      </c>
      <c r="AC54" s="40" t="str">
        <f>IFERROR(__xludf.DUMMYFUNCTION("""COMPUTED_VALUE"""),"Cuenta con buenos acabados, piso en cerámica antideslizante, muro con fachaleta, marcos y puertas metálicas, divisiones en vidrio templado,")</f>
        <v>Cuenta con buenos acabados, piso en cerámica antideslizante, muro con fachaleta, marcos y puertas metálicas, divisiones en vidrio templado,</v>
      </c>
      <c r="AD54" s="40" t="str">
        <f>IFERROR(__xludf.DUMMYFUNCTION("""COMPUTED_VALUE"""),"Casa rentable medianera de dos pisos remodelada, no cuenta con reja antejardín. Ubicada sobre vía amplia. Escritura con hipoteca. No se permuta.")</f>
        <v>Casa rentable medianera de dos pisos remodelada, no cuenta con reja antejardín. Ubicada sobre vía amplia. Escritura con hipoteca. No se permuta.</v>
      </c>
      <c r="AE54" s="40"/>
      <c r="AF54" s="40" t="str">
        <f>IFERROR(__xludf.DUMMYFUNCTION("""COMPUTED_VALUE"""),"integral")</f>
        <v>integral</v>
      </c>
      <c r="AG54" s="40"/>
      <c r="AH54" s="40" t="str">
        <f>IFERROR(__xludf.DUMMYFUNCTION("""COMPUTED_VALUE"""),"Inventario")</f>
        <v>Inventario</v>
      </c>
      <c r="AI54" s="40" t="str">
        <f>IFERROR(__xludf.DUMMYFUNCTION("""COMPUTED_VALUE"""),"Verbal")</f>
        <v>Verbal</v>
      </c>
      <c r="AJ54" s="40" t="str">
        <f>IFERROR(__xludf.DUMMYFUNCTION("""COMPUTED_VALUE"""),"ICDE")</f>
        <v>ICDE</v>
      </c>
      <c r="AK54" s="40" t="str">
        <f>IFERROR(__xludf.DUMMYFUNCTION("""COMPUTED_VALUE"""),"SIN CONTRATO")</f>
        <v>SIN CONTRATO</v>
      </c>
      <c r="AL54" s="40" t="str">
        <f>IFERROR(__xludf.DUMMYFUNCTION("""COMPUTED_VALUE"""),"NO FOTOS INT.")</f>
        <v>NO FOTOS INT.</v>
      </c>
      <c r="AM54" s="40">
        <f>IFERROR(__xludf.DUMMYFUNCTION("""COMPUTED_VALUE"""),3.202368707E9)</f>
        <v>3202368707</v>
      </c>
      <c r="AN54" s="40">
        <f>IFERROR(__xludf.DUMMYFUNCTION("""COMPUTED_VALUE"""),3.113857031E9)</f>
        <v>3113857031</v>
      </c>
      <c r="AO54" s="40" t="str">
        <f>IFERROR(__xludf.DUMMYFUNCTION("""COMPUTED_VALUE"""),"FERNANDO GARCIA")</f>
        <v>FERNANDO GARCIA</v>
      </c>
      <c r="AP54" s="40" t="str">
        <f>IFERROR(__xludf.DUMMYFUNCTION("""COMPUTED_VALUE"""),"Calle28 No. 8F - 18")</f>
        <v>Calle28 No. 8F - 18</v>
      </c>
      <c r="AQ54" s="40"/>
      <c r="AR54" s="40"/>
      <c r="AS54" s="53">
        <f>IFERROR(__xludf.DUMMYFUNCTION("""COMPUTED_VALUE"""),1300000.0)</f>
        <v>1300000</v>
      </c>
      <c r="AT54" s="40">
        <f>IFERROR(__xludf.DUMMYFUNCTION("""COMPUTED_VALUE"""),0.0)</f>
        <v>0</v>
      </c>
      <c r="AU54" s="40">
        <f>IFERROR(__xludf.DUMMYFUNCTION("""COMPUTED_VALUE"""),0.0)</f>
        <v>0</v>
      </c>
      <c r="AV54" s="40">
        <f>IFERROR(__xludf.DUMMYFUNCTION("""COMPUTED_VALUE"""),0.0)</f>
        <v>0</v>
      </c>
      <c r="AW54" s="40" t="str">
        <f>IFERROR(__xludf.DUMMYFUNCTION("""COMPUTED_VALUE"""),"NO")</f>
        <v>NO</v>
      </c>
      <c r="AX54" s="40">
        <f>IFERROR(__xludf.DUMMYFUNCTION("""COMPUTED_VALUE"""),0.0)</f>
        <v>0</v>
      </c>
      <c r="AY54" s="40">
        <f>IFERROR(__xludf.DUMMYFUNCTION("""COMPUTED_VALUE"""),0.0)</f>
        <v>0</v>
      </c>
      <c r="AZ54" s="40">
        <f>IFERROR(__xludf.DUMMYFUNCTION("""COMPUTED_VALUE"""),0.0)</f>
        <v>0</v>
      </c>
      <c r="BA54" s="40" t="str">
        <f>IFERROR(__xludf.DUMMYFUNCTION("""COMPUTED_VALUE"""),"X")</f>
        <v>X</v>
      </c>
      <c r="BB54" s="40">
        <f>IFERROR(__xludf.DUMMYFUNCTION("""COMPUTED_VALUE"""),0.0)</f>
        <v>0</v>
      </c>
      <c r="BC54" s="53"/>
      <c r="BD54" s="48"/>
      <c r="BE54" s="48"/>
      <c r="BF54" s="48" t="str">
        <f>IFERROR(__xludf.DUMMYFUNCTION("""COMPUTED_VALUE"""),"https://lh3.googleusercontent.com/pw/AP1GczMRR_3OtSCv-bpQ-l_UvXSpyO6K1ydpvzm_sL_jAy_9RXp6k2ApHSNd775lS-6b3qhXrxZ3w5z9lQxuc40G861GZO1m6wPSoxPxgT6_t8aF7CoEveYv=w1200|https://lh3.googleusercontent.com/pw/AP1GczOm304Vcsakwa_HMOJDyqsdaZ1qsCVPTLISE10giNpD3djVM4"&amp;"571wPpj_pQYRqwzkg6CTyPrgD_60IDtbJCZp5yDhx_yE1ZoqPrkyDbSrH25mlOx8t1=w1200|https://lh3.googleusercontent.com/pw/AP1GczM0ISAP6e4wel3CJAOYylzPsmo-UAAX0c5Qwnc-GmSEJGhLKf-oOzPmlDb4zheeZp7WqgUOy16sBz2Y1jBU7qRYN4KSprAB7yk06wg7JuhO6LXOpc6w=w1200|https://lh3.google"&amp;"usercontent.com/pw/AP1GczOa33U3s7PRIZVFACr9JfnXBzmOdQavQmDpbAXNpSfw7LNk0zry7xATsxfA_svQMn3eFw7F1pcjQgiSTRwT7PP6sVs00TRCpZ8yLUVUKdzHRCNQWJe7=w1200|https://lh3.googleusercontent.com/pw/AP1GczO88JEhQguDmNGevKzxcG1HOlaM6KrWuEWwwaf1ijDaAIDsEvhFh17C4AcC-Y_cW-7p"&amp;"g2O7Oxf85Gsr0YFRHxADhGQN8WJEfQObi8Ym6JRJxfmGYzlb=w1200|https://lh3.googleusercontent.com/pw/AP1GczOrmGodIOLjb8VWwmrPOA3oQLE7xAShZKJvf4WYGYdNHezqv4poEn_OCULrurEkRUZItIrQnEW27X8tuy1DWgRquXv_s_cuBUVH6NKgoR4nmUAZdL9y=w1200|https://lh3.googleusercontent.com/pw"&amp;"/AP1GczNKrMtwzfc2fe1uucaF6hg5MQ8072ltW8JeYtSFB4TjpZ7IbrBA6-z3kKy04yC_FLburIOQuT7hudalmEcmEeuV93xTyxURMxbx9OHPVT3yCMIWXjIM=w1200|https://lh3.googleusercontent.com/pw/AP1GczN4tzgNdGugECBuVoJGHUn760nvX_1Goo2znjrhfzV3sNizTYfTyxSqzk8CZXvWjIEYEbse3b7aBPCOD3By30"&amp;"FtkPc0fpOVKulS06Iu_FLGGEB5CnRp=w1200|https://lh3.googleusercontent.com/pw/AP1GczMsWtb5vC0f7_C7mLpW4_zs1r0E76vpQsfBPc4Z1PSA5NDXasmprRHyy2s6kAA-YVcVM-ZL_-vwMIFYl4ip28LIl-bXpx_vLPfDTLTXs4xA9QHgDpwX=w1200|https://lh3.googleusercontent.com/pw/AP1GczPHd-ELZaKc2"&amp;"QES1w4gQNJd8gH1FmaWrfWlijReQNMvPO5sijWU2YKe7AWgAKxa0Xe7lAjQykgGnK2fxztW582AyjfGU_mFAL-BK53xqJgPlA-1inQ0=w1200|https://lh3.googleusercontent.com/pw/AP1GczMhF5hfxwvXwvRUqQagKUsuqfUmDrFxFb4fOEUqC1ORNqVOrhNm-Wqm08BS4NHobcA09bh8Vgjd1uadOI3ggB8syc2EzZOAwI3XAiAQ"&amp;"l1V0OXrhc9az=w1200|https://lh3.googleusercontent.com/pw/AP1GczM6sOBhLd5yj4iKmLMJ3vx1h83Qm3o8f2LlR5zo9OBvGQzOVGwUx8SzIJ-12AAU22OILhUJ95Poz3oI4nfHie-BBDBE1YyffyjzbD-nh7NyVBtqbjjN=w1200|https://lh3.googleusercontent.com/pw/AP1GczNWAPwrTrF_TkHaYBTDOPde15GFHL9"&amp;"csbwRvsou4E95iPuAR0ADGtKlkXAET3JK8huwUk1oo8gJq9uiCXgxSqZwliHELX8btshMqd8AnHl1qZ68tWV-=w1200|https://lh3.googleusercontent.com/pw/AP1GczNR_H-UkPhzowQur2Vc6zsM-HdakQWnSC2L7d2x9LjOS_pY8eto6PNGDR3Ivdv3BIrLYVKlPVs9_OSYOhuLz-eCOW18khF2H8Ekj97ni10WJ1r5bUYx=w1200"&amp;"|https://lh3.googleusercontent.com/pw/AP1GczPXVpwx2fzy4OdvH2JyRADVZbNYAz0xUrffM1s6ZHFkOCjoOgYQDsqNRN7pnBNOCsde8ymly9apRNcJ7X3885bWjYL6JvC7lNdl9wu1ROw7ijPeWCQg=w1200|https://lh3.googleusercontent.com/pw/AP1GczPTDnlsN9PQgdKNFvx45vxN8h7scSoTHwBg8UgFDDgijQHRD"&amp;"A4lonsBcP7QGKTC1Lq8Et4rZOKSIUder302rPLr6FyL5P-bQ2gioPYxhCBwQ8ZHvGCb=w1200|https://lh3.googleusercontent.com/pw/AP1GczMo8UlbcX6n7qKr-TqEvnZOm0HPnF6VhlW2AsHDFZeoGb98v_iOas-YQpq1WY6Hx9p0irbSJL7kqjG9ZiKNRDbOzDMfBDm3T8U3tWT-HlhbZhx9n8nM=w1200|https://lh3.googl"&amp;"eusercontent.com/pw/AP1GczPvYNGtCLn9Q7qn3xd7CyMGT8b1FslKBz8sQ1EGoeGkjMZA7fkaOjMd3vz0taQ0VQwhnmzUwmBaXCURVeHBO2vku4aHj-P_aMzRVxRd71nYtsWuYBwi=w1200|https://lh3.googleusercontent.com/pw/AP1GczO1-HQbaHbfRSN_fs-sYlD7-GF8MiZUdt__1Ztj12AMNPQuFXaxLOtTkZjhGOn6li6"&amp;"MBgtm3j-_N2K0T7quxo7JnK3BJ1Ywgh12IYMAmZVVOzx2mPZl=w1200|https://lh3.googleusercontent.com/pw/AP1GczMqfpS_96T3Z4H_E9X3xr6oAB1sgzbX-jl2zNV-PC6TeA4r6_oQFhH1b_-OEvfALYFrBuw-_A2F5gCIBPVJUw_44IWrIJDrAgHfQcHkiiPpWeRg52iM=w1200|https://lh3.googleusercontent.com/p"&amp;"w/AP1GczMPJI6UhqxG-dgzLFbnaTASPP5mRrY3OEjoZ9EwBUfErzi538DDQqBLhUrvUSEauXqqDj0BgX-bv9ptSI7DaOToQftBh02KFYy2No2k9acwqVTzJCpm=w1200|https://lh3.googleusercontent.com/pw/AP1GczNMyrPkl2uPbVXKsUbKfX0I2Ykc3HxxttMNwFYbcGRJtFgvzLFjMWUWt_lthABFKEdmp_AJbamDtsGb0IANm"&amp;"mSCKDbUuOwMnJBZx_Qj3KJk0P-ZHUYq=w1200|https://lh3.googleusercontent.com/pw/AP1GczNoONKaPS9cSYMDjpcZYz-id5RHU9-qf0a4t305Ex1rhjUwY1wsRJrYhC6j9pCwAiSOXKquhOQQrouR3rpVbOG6x-xJwIyZJiNeotBi3_O7CaPlIs5H=w1200|https://lh3.googleusercontent.com/pw/AP1GczOI6vO-L3X3"&amp;"9BapxL99ZlBKJr4Ngz8FQhD0e8Yms81mUCte7N0hQIbb24wl2jP5Xc3-yA3KKIq7w_DDtsXrvz_u916iq6SQ81mPdtJJ1uE-nP68J5V3=w1200|https://lh3.googleusercontent.com/pw/AP1GczPwRTaz3-TyCpKtxQakfweZU0UEP9n0jVisfYrQpIvdqqlzuj8MU7z4ON6QhDEw3RVBKSrHHgFQHApxOis0qlfkpXmz0k_eS_OKJhk"&amp;"vcgO8P8NxJgmh=w1200|https://lh3.googleusercontent.com/pw/AP1GczNkjj0Xbni643DK4HuxlVKzf6BqT9QJFJO-IkVSRLCG3Y2qs_Jmw31aIvnUb8sbwUpgiBJObOsY5BadIqVbO7fXD3nxc2hFp2o8dQozx0u2din-3pzh=w1200|https://lh3.googleusercontent.com/pw/AP1GczPUk9PYqUcQ_j1c96f8Invrl2phJe"&amp;"785bvJFqiImNIPnL8GL4rFZITI_yGIWCBsM1iT8_R3NS7IXqOuudFk05jjQ0O18tYMevhPqqjTb7-jcOEIjuQy=w1200|https://lh3.googleusercontent.com/pw/AP1GczMimjVB7Bwx4t9spVrTkqZhUd3XTgI7h_vi-iDSJBz82JEnk0vFno8SdxV281qBUhT9HKS2dgkAeDQBS2OA99RWitqh1fKmnhr0A2nGoDzexIjGN2_L=w120"&amp;"0|https://lh3.googleusercontent.com/pw/AP1GczPYV1Hd_C9GsIzGmztOFCusk5LCMovxUzsOpfQ4BcQPDJOS_2a3B7K-C73bM492GxiWfo4w8FTx3o7usa6EzBjtVKYHUtfmdGDC_73jWOYBdSXpZwcF=w1200|https://lh3.googleusercontent.com/pw/AP1GczMItkXGJ8iSacopPnK4t5LHrzl2_WpGlDLJ720bfcm50_Bq"&amp;"R-QjJsEtDcMgfoZf3H8knEzYf2VUiGkayrNTinPED_881qZQu6K4qSrkW-MtjLSY-VI4=w1200|https://lh3.googleusercontent.com/pw/AP1GczPhVoxQn9JYadl_-RBUf5pSacgmxSzP7ruOA0kWoToJLdKSgrrauzRarnHtP1nOLb5J_xOcV_VlANfPssD2veIIeuBMQoVeB2OYqQ0KlaYqmbsG5Kf4=w1200|https://lh3.goog"&amp;"leusercontent.com/pw/AP1GczP-X5QgnCJc4tPbksWUwrrLEtgxKFKVUoJoD4mg-78xAMsW4Y6zOLLRYXTSqvtxKG3ZQO_-Y2LLfisdgnrhMgniohfxaTcwrEnwAqSGfA7imy7DF27p=w1200|https://lh3.googleusercontent.com/pw/AP1GczPFlvulk0xm4V_sJ0DNoS6tBk56UDCafVt6MzUX-x0XMUm9ZQ1ZmFxwBqKZ1lXs7F"&amp;"g1m-wWu9Ng8hZvBr5Gsjn_tPk9CORtGfruTygnowEdo9jfWSky=w1200|https://lh3.googleusercontent.com/pw/AP1GczPEoN9Zahx4c5bociRSm3yBbZhgE4m8RZVpoxIjCLS4Wd8ViIHbLpGevHItaipIcYBJjsi3zHOe1KoBXaI8PrOWQA0Ix02MbZJQ-IZcabRa7VjnkGcK=w1200|https://lh3.googleusercontent.com/"&amp;"pw/AP1GczPjW042mmgziiiZkZtNjlnU9orZUWqs3jm2LRW_HEriev-EprYpcY0Um9GSTeyBaKGNZjMjC4-l3jLXRVvtgeGNDHu_DRM3ih0X5kno0k_3yosCuDcL=w1200|https://lh3.googleusercontent.com/pw/AP1GczP_4XxtzTbRFZLU1vX3mBBSTX7bdpXfo0jVN4rQFrFziomw9za-XSGtv8hm2b8eWgnLedH6iU4F5dm2sYsq"&amp;"6MTM6tOzqimeICYicwKHQuNrFOtSBfy8=w1200|https://lh3.googleusercontent.com/pw/AP1GczMoRyOfJimaeBM95ag8X_nRCE-8PIax-0C20U9FWRECOSFgecMefIAQIwrAqhGQ7lC1xi1G8gccIiR88LSHJ04mtzSs6vkmFe4Vl3IZYwQtuuQnYg6f=w1200|https://lh3.googleusercontent.com/pw/AP1GczO5V7GKSDa"&amp;"Tf-90vRkEuXSF61h7ecLE-JkwALQaaPV2uaCVtn6wDfdb_oWbqhHco_D3bZ5SI6YzEyUuv0VbuEu5GkEwj0wx0ME0Zk0qoz9MkKn8Ewx6=w1200|https://lh3.googleusercontent.com/pw/AP1GczMK3aRN--s6-wKEchDBWni3li49NoSlhcP0s8AnzfdqBK7vvuLQu3av-e7X2zM9Yba-Z95KORYx9G6sGK_Ffac-sHr12MQxebJikI"&amp;"cWVsSXq7n0HMey=w1200|https://lh3.googleusercontent.com/pw/AP1GczMp4w9TYtidlORaGA8C6O_gPBi0Q76XZI1qDvGe8CZq8Ko4ZwyYaDc_d0yt8kL0S4W8A1ZjeNqLTIzVYzVkxMOHD23KTo_SGNzNf5R5XUAMEaKd-dZb=w1200")</f>
        <v>https://lh3.googleusercontent.com/pw/AP1GczMRR_3OtSCv-bpQ-l_UvXSpyO6K1ydpvzm_sL_jAy_9RXp6k2ApHSNd775lS-6b3qhXrxZ3w5z9lQxuc40G861GZO1m6wPSoxPxgT6_t8aF7CoEveYv=w1200|https://lh3.googleusercontent.com/pw/AP1GczOm304Vcsakwa_HMOJDyqsdaZ1qsCVPTLISE10giNpD3djVM4571wPpj_pQYRqwzkg6CTyPrgD_60IDtbJCZp5yDhx_yE1ZoqPrkyDbSrH25mlOx8t1=w1200|https://lh3.googleusercontent.com/pw/AP1GczM0ISAP6e4wel3CJAOYylzPsmo-UAAX0c5Qwnc-GmSEJGhLKf-oOzPmlDb4zheeZp7WqgUOy16sBz2Y1jBU7qRYN4KSprAB7yk06wg7JuhO6LXOpc6w=w1200|https://lh3.googleusercontent.com/pw/AP1GczOa33U3s7PRIZVFACr9JfnXBzmOdQavQmDpbAXNpSfw7LNk0zry7xATsxfA_svQMn3eFw7F1pcjQgiSTRwT7PP6sVs00TRCpZ8yLUVUKdzHRCNQWJe7=w1200|https://lh3.googleusercontent.com/pw/AP1GczO88JEhQguDmNGevKzxcG1HOlaM6KrWuEWwwaf1ijDaAIDsEvhFh17C4AcC-Y_cW-7pg2O7Oxf85Gsr0YFRHxADhGQN8WJEfQObi8Ym6JRJxfmGYzlb=w1200|https://lh3.googleusercontent.com/pw/AP1GczOrmGodIOLjb8VWwmrPOA3oQLE7xAShZKJvf4WYGYdNHezqv4poEn_OCULrurEkRUZItIrQnEW27X8tuy1DWgRquXv_s_cuBUVH6NKgoR4nmUAZdL9y=w1200|https://lh3.googleusercontent.com/pw/AP1GczNKrMtwzfc2fe1uucaF6hg5MQ8072ltW8JeYtSFB4TjpZ7IbrBA6-z3kKy04yC_FLburIOQuT7hudalmEcmEeuV93xTyxURMxbx9OHPVT3yCMIWXjIM=w1200|https://lh3.googleusercontent.com/pw/AP1GczN4tzgNdGugECBuVoJGHUn760nvX_1Goo2znjrhfzV3sNizTYfTyxSqzk8CZXvWjIEYEbse3b7aBPCOD3By30FtkPc0fpOVKulS06Iu_FLGGEB5CnRp=w1200|https://lh3.googleusercontent.com/pw/AP1GczMsWtb5vC0f7_C7mLpW4_zs1r0E76vpQsfBPc4Z1PSA5NDXasmprRHyy2s6kAA-YVcVM-ZL_-vwMIFYl4ip28LIl-bXpx_vLPfDTLTXs4xA9QHgDpwX=w1200|https://lh3.googleusercontent.com/pw/AP1GczPHd-ELZaKc2QES1w4gQNJd8gH1FmaWrfWlijReQNMvPO5sijWU2YKe7AWgAKxa0Xe7lAjQykgGnK2fxztW582AyjfGU_mFAL-BK53xqJgPlA-1inQ0=w1200|https://lh3.googleusercontent.com/pw/AP1GczMhF5hfxwvXwvRUqQagKUsuqfUmDrFxFb4fOEUqC1ORNqVOrhNm-Wqm08BS4NHobcA09bh8Vgjd1uadOI3ggB8syc2EzZOAwI3XAiAQl1V0OXrhc9az=w1200|https://lh3.googleusercontent.com/pw/AP1GczM6sOBhLd5yj4iKmLMJ3vx1h83Qm3o8f2LlR5zo9OBvGQzOVGwUx8SzIJ-12AAU22OILhUJ95Poz3oI4nfHie-BBDBE1YyffyjzbD-nh7NyVBtqbjjN=w1200|https://lh3.googleusercontent.com/pw/AP1GczNWAPwrTrF_TkHaYBTDOPde15GFHL9csbwRvsou4E95iPuAR0ADGtKlkXAET3JK8huwUk1oo8gJq9uiCXgxSqZwliHELX8btshMqd8AnHl1qZ68tWV-=w1200|https://lh3.googleusercontent.com/pw/AP1GczNR_H-UkPhzowQur2Vc6zsM-HdakQWnSC2L7d2x9LjOS_pY8eto6PNGDR3Ivdv3BIrLYVKlPVs9_OSYOhuLz-eCOW18khF2H8Ekj97ni10WJ1r5bUYx=w1200|https://lh3.googleusercontent.com/pw/AP1GczPXVpwx2fzy4OdvH2JyRADVZbNYAz0xUrffM1s6ZHFkOCjoOgYQDsqNRN7pnBNOCsde8ymly9apRNcJ7X3885bWjYL6JvC7lNdl9wu1ROw7ijPeWCQg=w1200|https://lh3.googleusercontent.com/pw/AP1GczPTDnlsN9PQgdKNFvx45vxN8h7scSoTHwBg8UgFDDgijQHRDA4lonsBcP7QGKTC1Lq8Et4rZOKSIUder302rPLr6FyL5P-bQ2gioPYxhCBwQ8ZHvGCb=w1200|https://lh3.googleusercontent.com/pw/AP1GczMo8UlbcX6n7qKr-TqEvnZOm0HPnF6VhlW2AsHDFZeoGb98v_iOas-YQpq1WY6Hx9p0irbSJL7kqjG9ZiKNRDbOzDMfBDm3T8U3tWT-HlhbZhx9n8nM=w1200|https://lh3.googleusercontent.com/pw/AP1GczPvYNGtCLn9Q7qn3xd7CyMGT8b1FslKBz8sQ1EGoeGkjMZA7fkaOjMd3vz0taQ0VQwhnmzUwmBaXCURVeHBO2vku4aHj-P_aMzRVxRd71nYtsWuYBwi=w1200|https://lh3.googleusercontent.com/pw/AP1GczO1-HQbaHbfRSN_fs-sYlD7-GF8MiZUdt__1Ztj12AMNPQuFXaxLOtTkZjhGOn6li6MBgtm3j-_N2K0T7quxo7JnK3BJ1Ywgh12IYMAmZVVOzx2mPZl=w1200|https://lh3.googleusercontent.com/pw/AP1GczMqfpS_96T3Z4H_E9X3xr6oAB1sgzbX-jl2zNV-PC6TeA4r6_oQFhH1b_-OEvfALYFrBuw-_A2F5gCIBPVJUw_44IWrIJDrAgHfQcHkiiPpWeRg52iM=w1200|https://lh3.googleusercontent.com/pw/AP1GczMPJI6UhqxG-dgzLFbnaTASPP5mRrY3OEjoZ9EwBUfErzi538DDQqBLhUrvUSEauXqqDj0BgX-bv9ptSI7DaOToQftBh02KFYy2No2k9acwqVTzJCpm=w1200|https://lh3.googleusercontent.com/pw/AP1GczNMyrPkl2uPbVXKsUbKfX0I2Ykc3HxxttMNwFYbcGRJtFgvzLFjMWUWt_lthABFKEdmp_AJbamDtsGb0IANmmSCKDbUuOwMnJBZx_Qj3KJk0P-ZHUYq=w1200|https://lh3.googleusercontent.com/pw/AP1GczNoONKaPS9cSYMDjpcZYz-id5RHU9-qf0a4t305Ex1rhjUwY1wsRJrYhC6j9pCwAiSOXKquhOQQrouR3rpVbOG6x-xJwIyZJiNeotBi3_O7CaPlIs5H=w1200|https://lh3.googleusercontent.com/pw/AP1GczOI6vO-L3X39BapxL99ZlBKJr4Ngz8FQhD0e8Yms81mUCte7N0hQIbb24wl2jP5Xc3-yA3KKIq7w_DDtsXrvz_u916iq6SQ81mPdtJJ1uE-nP68J5V3=w1200|https://lh3.googleusercontent.com/pw/AP1GczPwRTaz3-TyCpKtxQakfweZU0UEP9n0jVisfYrQpIvdqqlzuj8MU7z4ON6QhDEw3RVBKSrHHgFQHApxOis0qlfkpXmz0k_eS_OKJhkvcgO8P8NxJgmh=w1200|https://lh3.googleusercontent.com/pw/AP1GczNkjj0Xbni643DK4HuxlVKzf6BqT9QJFJO-IkVSRLCG3Y2qs_Jmw31aIvnUb8sbwUpgiBJObOsY5BadIqVbO7fXD3nxc2hFp2o8dQozx0u2din-3pzh=w1200|https://lh3.googleusercontent.com/pw/AP1GczPUk9PYqUcQ_j1c96f8Invrl2phJe785bvJFqiImNIPnL8GL4rFZITI_yGIWCBsM1iT8_R3NS7IXqOuudFk05jjQ0O18tYMevhPqqjTb7-jcOEIjuQy=w1200|https://lh3.googleusercontent.com/pw/AP1GczMimjVB7Bwx4t9spVrTkqZhUd3XTgI7h_vi-iDSJBz82JEnk0vFno8SdxV281qBUhT9HKS2dgkAeDQBS2OA99RWitqh1fKmnhr0A2nGoDzexIjGN2_L=w1200|https://lh3.googleusercontent.com/pw/AP1GczPYV1Hd_C9GsIzGmztOFCusk5LCMovxUzsOpfQ4BcQPDJOS_2a3B7K-C73bM492GxiWfo4w8FTx3o7usa6EzBjtVKYHUtfmdGDC_73jWOYBdSXpZwcF=w1200|https://lh3.googleusercontent.com/pw/AP1GczMItkXGJ8iSacopPnK4t5LHrzl2_WpGlDLJ720bfcm50_BqR-QjJsEtDcMgfoZf3H8knEzYf2VUiGkayrNTinPED_881qZQu6K4qSrkW-MtjLSY-VI4=w1200|https://lh3.googleusercontent.com/pw/AP1GczPhVoxQn9JYadl_-RBUf5pSacgmxSzP7ruOA0kWoToJLdKSgrrauzRarnHtP1nOLb5J_xOcV_VlANfPssD2veIIeuBMQoVeB2OYqQ0KlaYqmbsG5Kf4=w1200|https://lh3.googleusercontent.com/pw/AP1GczP-X5QgnCJc4tPbksWUwrrLEtgxKFKVUoJoD4mg-78xAMsW4Y6zOLLRYXTSqvtxKG3ZQO_-Y2LLfisdgnrhMgniohfxaTcwrEnwAqSGfA7imy7DF27p=w1200|https://lh3.googleusercontent.com/pw/AP1GczPFlvulk0xm4V_sJ0DNoS6tBk56UDCafVt6MzUX-x0XMUm9ZQ1ZmFxwBqKZ1lXs7Fg1m-wWu9Ng8hZvBr5Gsjn_tPk9CORtGfruTygnowEdo9jfWSky=w1200|https://lh3.googleusercontent.com/pw/AP1GczPEoN9Zahx4c5bociRSm3yBbZhgE4m8RZVpoxIjCLS4Wd8ViIHbLpGevHItaipIcYBJjsi3zHOe1KoBXaI8PrOWQA0Ix02MbZJQ-IZcabRa7VjnkGcK=w1200|https://lh3.googleusercontent.com/pw/AP1GczPjW042mmgziiiZkZtNjlnU9orZUWqs3jm2LRW_HEriev-EprYpcY0Um9GSTeyBaKGNZjMjC4-l3jLXRVvtgeGNDHu_DRM3ih0X5kno0k_3yosCuDcL=w1200|https://lh3.googleusercontent.com/pw/AP1GczP_4XxtzTbRFZLU1vX3mBBSTX7bdpXfo0jVN4rQFrFziomw9za-XSGtv8hm2b8eWgnLedH6iU4F5dm2sYsq6MTM6tOzqimeICYicwKHQuNrFOtSBfy8=w1200|https://lh3.googleusercontent.com/pw/AP1GczMoRyOfJimaeBM95ag8X_nRCE-8PIax-0C20U9FWRECOSFgecMefIAQIwrAqhGQ7lC1xi1G8gccIiR88LSHJ04mtzSs6vkmFe4Vl3IZYwQtuuQnYg6f=w1200|https://lh3.googleusercontent.com/pw/AP1GczO5V7GKSDaTf-90vRkEuXSF61h7ecLE-JkwALQaaPV2uaCVtn6wDfdb_oWbqhHco_D3bZ5SI6YzEyUuv0VbuEu5GkEwj0wx0ME0Zk0qoz9MkKn8Ewx6=w1200|https://lh3.googleusercontent.com/pw/AP1GczMK3aRN--s6-wKEchDBWni3li49NoSlhcP0s8AnzfdqBK7vvuLQu3av-e7X2zM9Yba-Z95KORYx9G6sGK_Ffac-sHr12MQxebJikIcWVsSXq7n0HMey=w1200|https://lh3.googleusercontent.com/pw/AP1GczMp4w9TYtidlORaGA8C6O_gPBi0Q76XZI1qDvGe8CZq8Ko4ZwyYaDc_d0yt8kL0S4W8A1ZjeNqLTIzVYzVkxMOHD23KTo_SGNzNf5R5XUAMEaKd-dZb=w1200</v>
      </c>
    </row>
    <row r="55">
      <c r="A55" s="39" t="str">
        <f>IFERROR(__xludf.DUMMYFUNCTION("""COMPUTED_VALUE"""),"162")</f>
        <v>162</v>
      </c>
      <c r="B55" s="40" t="str">
        <f>IFERROR(__xludf.DUMMYFUNCTION("""COMPUTED_VALUE"""),"Finca ganadera en Puerto rico - Caquetá")</f>
        <v>Finca ganadera en Puerto rico - Caquetá</v>
      </c>
      <c r="C55" s="40" t="str">
        <f>IFERROR(__xludf.DUMMYFUNCTION("""COMPUTED_VALUE"""),"Finca")</f>
        <v>Finca</v>
      </c>
      <c r="D55" s="40"/>
      <c r="E55" s="40"/>
      <c r="F55" s="42">
        <f>IFERROR(__xludf.DUMMYFUNCTION("""COMPUTED_VALUE"""),3.5E8)</f>
        <v>350000000</v>
      </c>
      <c r="G55" s="40" t="str">
        <f>IFERROR(__xludf.DUMMYFUNCTION("""COMPUTED_VALUE"""),"$300'000.000 a $400'000.000")</f>
        <v>$300'000.000 a $400'000.000</v>
      </c>
      <c r="H55" s="40"/>
      <c r="I55" s="40"/>
      <c r="J55" s="40" t="str">
        <f>IFERROR(__xludf.DUMMYFUNCTION("""COMPUTED_VALUE"""),"Rural")</f>
        <v>Rural</v>
      </c>
      <c r="K55" s="39"/>
      <c r="L55" s="40">
        <f>IFERROR(__xludf.DUMMYFUNCTION("""COMPUTED_VALUE"""),3.0)</f>
        <v>3</v>
      </c>
      <c r="M55" s="40"/>
      <c r="N55" s="40">
        <f>IFERROR(__xludf.DUMMYFUNCTION("""COMPUTED_VALUE"""),2.0)</f>
        <v>2</v>
      </c>
      <c r="O55" s="40">
        <f>IFERROR(__xludf.DUMMYFUNCTION("""COMPUTED_VALUE"""),1.0)</f>
        <v>1</v>
      </c>
      <c r="P55" s="40">
        <f>IFERROR(__xludf.DUMMYFUNCTION("""COMPUTED_VALUE"""),1.0)</f>
        <v>1</v>
      </c>
      <c r="Q55" s="48">
        <f>IFERROR(__xludf.DUMMYFUNCTION("""COMPUTED_VALUE"""),250.0)</f>
        <v>250</v>
      </c>
      <c r="R55" s="48">
        <f>IFERROR(__xludf.DUMMYFUNCTION("""COMPUTED_VALUE"""),480000.0)</f>
        <v>480000</v>
      </c>
      <c r="S55" s="39" t="str">
        <f>IFERROR(__xludf.DUMMYFUNCTION("""COMPUTED_VALUE""")," ")</f>
        <v> </v>
      </c>
      <c r="T55" s="40" t="str">
        <f>IFERROR(__xludf.DUMMYFUNCTION("""COMPUTED_VALUE"""),"Puerto rico")</f>
        <v>Puerto rico</v>
      </c>
      <c r="U55" s="39"/>
      <c r="V55" s="40"/>
      <c r="W55" s="46"/>
      <c r="X55" s="46"/>
      <c r="Y55" s="40" t="str">
        <f>IFERROR(__xludf.DUMMYFUNCTION("""COMPUTED_VALUE"""),"No tiene")</f>
        <v>No tiene</v>
      </c>
      <c r="Z55" s="42" t="str">
        <f>IFERROR(__xludf.DUMMYFUNCTION("""COMPUTED_VALUE"""),"No aplica")</f>
        <v>No aplica</v>
      </c>
      <c r="AA55" s="49" t="str">
        <f>IFERROR(__xludf.DUMMYFUNCTION("""COMPUTED_VALUE"""),"No aplica")</f>
        <v>No aplica</v>
      </c>
      <c r="AB55" s="66" t="str">
        <f>IFERROR(__xludf.DUMMYFUNCTION("""COMPUTED_VALUE"""),"https://photos.app.goo.gl/TXX6msddF9pfSCax5")</f>
        <v>https://photos.app.goo.gl/TXX6msddF9pfSCax5</v>
      </c>
      <c r="AC55" s="40"/>
      <c r="AD55" s="40"/>
      <c r="AE55" s="40"/>
      <c r="AF55" s="40" t="str">
        <f>IFERROR(__xludf.DUMMYFUNCTION("""COMPUTED_VALUE"""),"básica")</f>
        <v>básica</v>
      </c>
      <c r="AG55" s="40" t="str">
        <f>IFERROR(__xludf.DUMMYFUNCTION("""COMPUTED_VALUE"""),"SI")</f>
        <v>SI</v>
      </c>
      <c r="AH55" s="40" t="str">
        <f>IFERROR(__xludf.DUMMYFUNCTION("""COMPUTED_VALUE"""),"Inventario")</f>
        <v>Inventario</v>
      </c>
      <c r="AI55" s="40" t="str">
        <f>IFERROR(__xludf.DUMMYFUNCTION("""COMPUTED_VALUE"""),"Verbal")</f>
        <v>Verbal</v>
      </c>
      <c r="AJ55" s="40" t="str">
        <f>IFERROR(__xludf.DUMMYFUNCTION("""COMPUTED_VALUE"""),"ICDE")</f>
        <v>ICDE</v>
      </c>
      <c r="AK55" s="40" t="str">
        <f>IFERROR(__xludf.DUMMYFUNCTION("""COMPUTED_VALUE"""),"No aplica")</f>
        <v>No aplica</v>
      </c>
      <c r="AL55" s="40" t="str">
        <f>IFERROR(__xludf.DUMMYFUNCTION("""COMPUTED_VALUE"""),"NO FOTOS + DESCRIPCION")</f>
        <v>NO FOTOS + DESCRIPCION</v>
      </c>
      <c r="AM55" s="40">
        <f>IFERROR(__xludf.DUMMYFUNCTION("""COMPUTED_VALUE"""),3.207351538E9)</f>
        <v>3207351538</v>
      </c>
      <c r="AN55" s="40">
        <f>IFERROR(__xludf.DUMMYFUNCTION("""COMPUTED_VALUE"""),0.0)</f>
        <v>0</v>
      </c>
      <c r="AO55" s="40" t="str">
        <f>IFERROR(__xludf.DUMMYFUNCTION("""COMPUTED_VALUE"""),"ELVIA PEREZ")</f>
        <v>ELVIA PEREZ</v>
      </c>
      <c r="AP55" s="40"/>
      <c r="AQ55" s="40">
        <f>IFERROR(__xludf.DUMMYFUNCTION("""COMPUTED_VALUE"""),2.950049)</f>
        <v>2.950049</v>
      </c>
      <c r="AR55" s="40">
        <f>IFERROR(__xludf.DUMMYFUNCTION("""COMPUTED_VALUE"""),-75.2899975)</f>
        <v>-75.2899975</v>
      </c>
      <c r="AS55" s="53">
        <f>IFERROR(__xludf.DUMMYFUNCTION("""COMPUTED_VALUE"""),0.0)</f>
        <v>0</v>
      </c>
      <c r="AT55" s="40">
        <f>IFERROR(__xludf.DUMMYFUNCTION("""COMPUTED_VALUE"""),0.0)</f>
        <v>0</v>
      </c>
      <c r="AU55" s="40">
        <f>IFERROR(__xludf.DUMMYFUNCTION("""COMPUTED_VALUE"""),0.0)</f>
        <v>0</v>
      </c>
      <c r="AV55" s="40">
        <f>IFERROR(__xludf.DUMMYFUNCTION("""COMPUTED_VALUE"""),0.0)</f>
        <v>0</v>
      </c>
      <c r="AW55" s="40" t="str">
        <f>IFERROR(__xludf.DUMMYFUNCTION("""COMPUTED_VALUE"""),"NO")</f>
        <v>NO</v>
      </c>
      <c r="AX55" s="40">
        <f>IFERROR(__xludf.DUMMYFUNCTION("""COMPUTED_VALUE"""),0.0)</f>
        <v>0</v>
      </c>
      <c r="AY55" s="40">
        <f>IFERROR(__xludf.DUMMYFUNCTION("""COMPUTED_VALUE"""),0.0)</f>
        <v>0</v>
      </c>
      <c r="AZ55" s="40">
        <f>IFERROR(__xludf.DUMMYFUNCTION("""COMPUTED_VALUE"""),0.0)</f>
        <v>0</v>
      </c>
      <c r="BA55" s="40" t="str">
        <f>IFERROR(__xludf.DUMMYFUNCTION("""COMPUTED_VALUE"""),"X")</f>
        <v>X</v>
      </c>
      <c r="BB55" s="40">
        <f>IFERROR(__xludf.DUMMYFUNCTION("""COMPUTED_VALUE"""),0.0)</f>
        <v>0</v>
      </c>
      <c r="BC55" s="53" t="str">
        <f>IFERROR(__xludf.DUMMYFUNCTION("""COMPUTED_VALUE"""),"11 - AMARA GUTIERREZ, 15 - JOSE LOZANO")</f>
        <v>11 - AMARA GUTIERREZ, 15 - JOSE LOZANO</v>
      </c>
      <c r="BD55" s="48"/>
      <c r="BE55" s="48"/>
      <c r="BF55" s="48" t="str">
        <f>IFERROR(__xludf.DUMMYFUNCTION("""COMPUTED_VALUE"""),"https://lh3.googleusercontent.com/pw/AP1GczNA8riXnZYtyG0tVOBY9AImWAzihe1Qoc1hSGyVrnaM3BcqyQtlmUFrXUgjFrVo97aMUcFOks1gHLT5k7VC0B09wjTgYdmkW_BHldOn2k19JIA9SuZk=w1200|https://lh3.googleusercontent.com/pw/AP1GczP123wGXWtPB0HnqkSa_b9SlYALBqu8I3zbcsvIRMlK7oghw0"&amp;"dTb2uesbKXC10dm0XtArFWoOWi3iv3a_T28bHHdNoGRIUi4FGLxgMaS-dxAK2Abk4j=w1200|https://lh3.googleusercontent.com/pw/AP1GczMBzbXaIM6nuhxjXav993gUN5gMnjOXLQqctQDXrY_OJgRBbX57XBhnio9viIFXj47aL0XyzsfbkEFh2JwiTZW209hCD1AYTI803ih3ehyXvR2oMhRz=w1200|https://lh3.google"&amp;"usercontent.com/pw/AP1GczPcAMp826epefSoyyBx_44lyc29mQ_d3nZUvy1Etxha4acyfxWhIIg61W9fvRjRegWY_zSAjpXKP9UPVMu2RpUTPCX9zh-XVgldaOC6tOxTHvLimi3t=w1200|https://lh3.googleusercontent.com/pw/AP1GczPP9MXJ5fLS-0C2vVZoJq0kx0p_mcTKlneZElLdM3IDcVcE5eSaTS4s5IAhQs3wahYK"&amp;"dd23qXxeCTEoBrAcFCxPsnHsY84vbkJEci3fqynPycqCAB2F=w1200|https://lh3.googleusercontent.com/pw/AP1GczOOpCBjobw87Fwzn5tHgLQuDBVE9oq5D7ZByPVoa4qViuDALwqoGt-z91ZU8rQDOB6mv5neqcuN3-hqsf8aMqW_SRDs0RlNA011L7DR9L0-fAk4hL9P=w1200|https://lh3.googleusercontent.com/pw"&amp;"/AP1GczPXiZz6eGAtfD1mEMwyi34uZbl52dSKBq2LfD3UENWZ-g4nB1z7OKUyrNOANuJE_jZuaLF_bDq2ASwZWEzKKw9r-JWNqdUEqc_fS2z-2tHL0yOM6Vhb=w1200|https://lh3.googleusercontent.com/pw/AP1GczObzN7OcbfF2YE244MdkPXV8vVviXN83H7sLxy7A6Nq3maMSLEg1i6m1diZSuiNm5WqZ7yFseuaOnNCRl34UY"&amp;"NogfFTDZHgGEdp3I1NqiTFsME2QuQP=w1200|https://lh3.googleusercontent.com/pw/AP1GczNkLSw0-UZVF8JXcio1qNpupwcU7IwKmZyLNUaDBNy1j7sO00GskBN5VZq7t2hlFTJh-mAbzi3wM-m_cKSrs8TuGpDVAPD26p874jQQCPGx3_TZwH-s=w1200|https://lh3.googleusercontent.com/pw/AP1GczNg3ViqQKPF0"&amp;"vqckLKQO3inPU24361H1arOiJPy35qtLV2Vd29rkak0qG7RiKHdxfZyLv3PYNLavjUHsReIKUUqIUrXtA1m7Mm-bZux5mqr2TWMzW4m=w1200|https://lh3.googleusercontent.com/pw/AP1GczOtbqnqx4LbmEOuZap3CVUgoZWewwdA-yZx_T5JjSOKD_E-i2UyRa_GXgIHDpG6sp3BEailz5VhvN0C0WBcO1a5yroxhqJyCSVNKJOe"&amp;"IQ9u5DP3DUEh=w1200|https://lh3.googleusercontent.com/pw/AP1GczO6_rVGvzguDHaBTKJb22O378pNVQbhF7L3TJLboKM2e08tdTSnTV-9cxNRqhjDNchKJCQy981j4YdvXXM53R-jZfHJ17_5hFn3Bv2z4bh93qV-x-QU=w1200|https://lh3.googleusercontent.com/pw/AP1GczO9RZYuE9iEmcwMrgftacnFtraNcEL"&amp;"RsvShuWnBSjaJb-CwOyOGkSIbRGPcuP7dICCc4NiO9cs0J8MoGJnuXx08C6ryLTgoII-qe3BNXLJxKMRQncOW=w1200|https://lh3.googleusercontent.com/pw/AP1GczO27tB5Syx4aJm2cGNOHaZR4l030Sr1iQSQIMH7flImIZnKb0RbbpYe8qPq9lN5cRgfs5QD_D-3W7PQ4xx_FOcgIhqsABMtaPD7C2xtqaB2kTxDkaHu=w1200"&amp;"|https://lh3.googleusercontent.com/pw/AP1GczPfG3Irq56oruRQwMIs4QxpmyGIuFhWKuW_SIhFc-Y9UlZ8qa16wpsnqNS431OOkImqzBAF87EYg3iCMcxiwmb45HQPV2IrB8SfVGdu7Rs61AaALRRK=w1200|https://lh3.googleusercontent.com/pw/AP1GczPUKb3H4OURJHhQNHNx1kqyPtooAb2OW-YOREBQJwBPtorK6"&amp;"jpbUMsu2v83kk61MdXNNPjwpqDt0DyDMzJ8Mp1YuBCLQBHGE1izunOX6hxJR4RQpRGG=w1200|https://lh3.googleusercontent.com/pw/AP1GczOao3eEFRxdUONqWBwijDL3nZhIS-9PhcBYGX0-WGmyWUCBLJ5PEACnErvW-M85iLqd_JuEAOyCtqQKH-WQb5W1ln0byNEvsHZDRG9XXLbMbRUc-Y6C=w1200")</f>
        <v>https://lh3.googleusercontent.com/pw/AP1GczNA8riXnZYtyG0tVOBY9AImWAzihe1Qoc1hSGyVrnaM3BcqyQtlmUFrXUgjFrVo97aMUcFOks1gHLT5k7VC0B09wjTgYdmkW_BHldOn2k19JIA9SuZk=w1200|https://lh3.googleusercontent.com/pw/AP1GczP123wGXWtPB0HnqkSa_b9SlYALBqu8I3zbcsvIRMlK7oghw0dTb2uesbKXC10dm0XtArFWoOWi3iv3a_T28bHHdNoGRIUi4FGLxgMaS-dxAK2Abk4j=w1200|https://lh3.googleusercontent.com/pw/AP1GczMBzbXaIM6nuhxjXav993gUN5gMnjOXLQqctQDXrY_OJgRBbX57XBhnio9viIFXj47aL0XyzsfbkEFh2JwiTZW209hCD1AYTI803ih3ehyXvR2oMhRz=w1200|https://lh3.googleusercontent.com/pw/AP1GczPcAMp826epefSoyyBx_44lyc29mQ_d3nZUvy1Etxha4acyfxWhIIg61W9fvRjRegWY_zSAjpXKP9UPVMu2RpUTPCX9zh-XVgldaOC6tOxTHvLimi3t=w1200|https://lh3.googleusercontent.com/pw/AP1GczPP9MXJ5fLS-0C2vVZoJq0kx0p_mcTKlneZElLdM3IDcVcE5eSaTS4s5IAhQs3wahYKdd23qXxeCTEoBrAcFCxPsnHsY84vbkJEci3fqynPycqCAB2F=w1200|https://lh3.googleusercontent.com/pw/AP1GczOOpCBjobw87Fwzn5tHgLQuDBVE9oq5D7ZByPVoa4qViuDALwqoGt-z91ZU8rQDOB6mv5neqcuN3-hqsf8aMqW_SRDs0RlNA011L7DR9L0-fAk4hL9P=w1200|https://lh3.googleusercontent.com/pw/AP1GczPXiZz6eGAtfD1mEMwyi34uZbl52dSKBq2LfD3UENWZ-g4nB1z7OKUyrNOANuJE_jZuaLF_bDq2ASwZWEzKKw9r-JWNqdUEqc_fS2z-2tHL0yOM6Vhb=w1200|https://lh3.googleusercontent.com/pw/AP1GczObzN7OcbfF2YE244MdkPXV8vVviXN83H7sLxy7A6Nq3maMSLEg1i6m1diZSuiNm5WqZ7yFseuaOnNCRl34UYNogfFTDZHgGEdp3I1NqiTFsME2QuQP=w1200|https://lh3.googleusercontent.com/pw/AP1GczNkLSw0-UZVF8JXcio1qNpupwcU7IwKmZyLNUaDBNy1j7sO00GskBN5VZq7t2hlFTJh-mAbzi3wM-m_cKSrs8TuGpDVAPD26p874jQQCPGx3_TZwH-s=w1200|https://lh3.googleusercontent.com/pw/AP1GczNg3ViqQKPF0vqckLKQO3inPU24361H1arOiJPy35qtLV2Vd29rkak0qG7RiKHdxfZyLv3PYNLavjUHsReIKUUqIUrXtA1m7Mm-bZux5mqr2TWMzW4m=w1200|https://lh3.googleusercontent.com/pw/AP1GczOtbqnqx4LbmEOuZap3CVUgoZWewwdA-yZx_T5JjSOKD_E-i2UyRa_GXgIHDpG6sp3BEailz5VhvN0C0WBcO1a5yroxhqJyCSVNKJOeIQ9u5DP3DUEh=w1200|https://lh3.googleusercontent.com/pw/AP1GczO6_rVGvzguDHaBTKJb22O378pNVQbhF7L3TJLboKM2e08tdTSnTV-9cxNRqhjDNchKJCQy981j4YdvXXM53R-jZfHJ17_5hFn3Bv2z4bh93qV-x-QU=w1200|https://lh3.googleusercontent.com/pw/AP1GczO9RZYuE9iEmcwMrgftacnFtraNcELRsvShuWnBSjaJb-CwOyOGkSIbRGPcuP7dICCc4NiO9cs0J8MoGJnuXx08C6ryLTgoII-qe3BNXLJxKMRQncOW=w1200|https://lh3.googleusercontent.com/pw/AP1GczO27tB5Syx4aJm2cGNOHaZR4l030Sr1iQSQIMH7flImIZnKb0RbbpYe8qPq9lN5cRgfs5QD_D-3W7PQ4xx_FOcgIhqsABMtaPD7C2xtqaB2kTxDkaHu=w1200|https://lh3.googleusercontent.com/pw/AP1GczPfG3Irq56oruRQwMIs4QxpmyGIuFhWKuW_SIhFc-Y9UlZ8qa16wpsnqNS431OOkImqzBAF87EYg3iCMcxiwmb45HQPV2IrB8SfVGdu7Rs61AaALRRK=w1200|https://lh3.googleusercontent.com/pw/AP1GczPUKb3H4OURJHhQNHNx1kqyPtooAb2OW-YOREBQJwBPtorK6jpbUMsu2v83kk61MdXNNPjwpqDt0DyDMzJ8Mp1YuBCLQBHGE1izunOX6hxJR4RQpRGG=w1200|https://lh3.googleusercontent.com/pw/AP1GczOao3eEFRxdUONqWBwijDL3nZhIS-9PhcBYGX0-WGmyWUCBLJ5PEACnErvW-M85iLqd_JuEAOyCtqQKH-WQb5W1ln0byNEvsHZDRG9XXLbMbRUc-Y6C=w1200</v>
      </c>
    </row>
    <row r="56">
      <c r="A56" s="39" t="str">
        <f>IFERROR(__xludf.DUMMYFUNCTION("""COMPUTED_VALUE"""),"014")</f>
        <v>014</v>
      </c>
      <c r="B56" s="40" t="str">
        <f>IFERROR(__xludf.DUMMYFUNCTION("""COMPUTED_VALUE"""),"Casa con apartamento en barrio Las Granjas")</f>
        <v>Casa con apartamento en barrio Las Granjas</v>
      </c>
      <c r="C56" s="40" t="str">
        <f>IFERROR(__xludf.DUMMYFUNCTION("""COMPUTED_VALUE"""),"Casa rentable")</f>
        <v>Casa rentable</v>
      </c>
      <c r="D56" s="40" t="str">
        <f>IFERROR(__xludf.DUMMYFUNCTION("""COMPUTED_VALUE"""),"Las Granjas")</f>
        <v>Las Granjas</v>
      </c>
      <c r="E56" s="42"/>
      <c r="F56" s="42">
        <f>IFERROR(__xludf.DUMMYFUNCTION("""COMPUTED_VALUE"""),3.3E8)</f>
        <v>330000000</v>
      </c>
      <c r="G56" s="40" t="str">
        <f>IFERROR(__xludf.DUMMYFUNCTION("""COMPUTED_VALUE"""),"$300'000.000 a $400'000.000")</f>
        <v>$300'000.000 a $400'000.000</v>
      </c>
      <c r="H56" s="40"/>
      <c r="I56" s="40"/>
      <c r="J56" s="40" t="str">
        <f>IFERROR(__xludf.DUMMYFUNCTION("""COMPUTED_VALUE"""),"Norte")</f>
        <v>Norte</v>
      </c>
      <c r="K56" s="39" t="str">
        <f>IFERROR(__xludf.DUMMYFUNCTION("""COMPUTED_VALUE"""),"2")</f>
        <v>2</v>
      </c>
      <c r="L56" s="40">
        <f>IFERROR(__xludf.DUMMYFUNCTION("""COMPUTED_VALUE"""),6.0)</f>
        <v>6</v>
      </c>
      <c r="M56" s="40"/>
      <c r="N56" s="40">
        <f>IFERROR(__xludf.DUMMYFUNCTION("""COMPUTED_VALUE"""),3.0)</f>
        <v>3</v>
      </c>
      <c r="O56" s="40">
        <f>IFERROR(__xludf.DUMMYFUNCTION("""COMPUTED_VALUE"""),1.0)</f>
        <v>1</v>
      </c>
      <c r="P56" s="40">
        <f>IFERROR(__xludf.DUMMYFUNCTION("""COMPUTED_VALUE"""),1.0)</f>
        <v>1</v>
      </c>
      <c r="Q56" s="48">
        <f>IFERROR(__xludf.DUMMYFUNCTION("""COMPUTED_VALUE"""),170.0)</f>
        <v>170</v>
      </c>
      <c r="R56" s="48">
        <f>IFERROR(__xludf.DUMMYFUNCTION("""COMPUTED_VALUE"""),180.0)</f>
        <v>180</v>
      </c>
      <c r="S56" s="39" t="str">
        <f>IFERROR(__xludf.DUMMYFUNCTION("""COMPUTED_VALUE"""),"Rentabilidad $1,300,000")</f>
        <v>Rentabilidad $1,300,000</v>
      </c>
      <c r="T56" s="40" t="str">
        <f>IFERROR(__xludf.DUMMYFUNCTION("""COMPUTED_VALUE"""),"Neiva")</f>
        <v>Neiva</v>
      </c>
      <c r="U56" s="39" t="str">
        <f>IFERROR(__xludf.DUMMYFUNCTION("""COMPUTED_VALUE"""),"2")</f>
        <v>2</v>
      </c>
      <c r="V56" s="40" t="str">
        <f>IFERROR(__xludf.DUMMYFUNCTION("""COMPUTED_VALUE"""),"Medianera")</f>
        <v>Medianera</v>
      </c>
      <c r="W56" s="46"/>
      <c r="X56" s="46">
        <f>IFERROR(__xludf.DUMMYFUNCTION("""COMPUTED_VALUE"""),2.0)</f>
        <v>2</v>
      </c>
      <c r="Y56" s="53" t="str">
        <f>IFERROR(__xludf.DUMMYFUNCTION("""COMPUTED_VALUE"""),"No tiene")</f>
        <v>No tiene</v>
      </c>
      <c r="Z56" s="42" t="str">
        <f>IFERROR(__xludf.DUMMYFUNCTION("""COMPUTED_VALUE"""),"No aplica")</f>
        <v>No aplica</v>
      </c>
      <c r="AA56" s="49" t="str">
        <f>IFERROR(__xludf.DUMMYFUNCTION("""COMPUTED_VALUE"""),"21 años")</f>
        <v>21 años</v>
      </c>
      <c r="AB56" s="66" t="str">
        <f>IFERROR(__xludf.DUMMYFUNCTION("""COMPUTED_VALUE"""),"https://photos.app.goo.gl/iHhwkVwwHrLyJ1Pm9")</f>
        <v>https://photos.app.goo.gl/iHhwkVwwHrLyJ1Pm9</v>
      </c>
      <c r="AC56" s="40" t="str">
        <f>IFERROR(__xludf.DUMMYFUNCTION("""COMPUTED_VALUE"""),"Casa medianera cerca al c.c. San Pedro plaza, con reja antejardín.")</f>
        <v>Casa medianera cerca al c.c. San Pedro plaza, con reja antejardín.</v>
      </c>
      <c r="AD56" s="40"/>
      <c r="AE56" s="40"/>
      <c r="AF56" s="40" t="str">
        <f>IFERROR(__xludf.DUMMYFUNCTION("""COMPUTED_VALUE"""),"semi-integral")</f>
        <v>semi-integral</v>
      </c>
      <c r="AG56" s="40" t="str">
        <f>IFERROR(__xludf.DUMMYFUNCTION("""COMPUTED_VALUE"""),"SI")</f>
        <v>SI</v>
      </c>
      <c r="AH56" s="40" t="str">
        <f>IFERROR(__xludf.DUMMYFUNCTION("""COMPUTED_VALUE"""),"Inventario")</f>
        <v>Inventario</v>
      </c>
      <c r="AI56" s="40" t="str">
        <f>IFERROR(__xludf.DUMMYFUNCTION("""COMPUTED_VALUE"""),"Verbal")</f>
        <v>Verbal</v>
      </c>
      <c r="AJ56" s="40" t="str">
        <f>IFERROR(__xludf.DUMMYFUNCTION("""COMPUTED_VALUE"""),"ICDE")</f>
        <v>ICDE</v>
      </c>
      <c r="AK56" s="40" t="str">
        <f>IFERROR(__xludf.DUMMYFUNCTION("""COMPUTED_VALUE"""),"SIN CONTRATO")</f>
        <v>SIN CONTRATO</v>
      </c>
      <c r="AL56" s="40" t="str">
        <f>IFERROR(__xludf.DUMMYFUNCTION("""COMPUTED_VALUE"""),"TIENE FOTOS")</f>
        <v>TIENE FOTOS</v>
      </c>
      <c r="AM56" s="40">
        <f>IFERROR(__xludf.DUMMYFUNCTION("""COMPUTED_VALUE"""),3.208027317E9)</f>
        <v>3208027317</v>
      </c>
      <c r="AN56" s="40">
        <f>IFERROR(__xludf.DUMMYFUNCTION("""COMPUTED_VALUE"""),0.0)</f>
        <v>0</v>
      </c>
      <c r="AO56" s="40" t="str">
        <f>IFERROR(__xludf.DUMMYFUNCTION("""COMPUTED_VALUE"""),"MAURICIO")</f>
        <v>MAURICIO</v>
      </c>
      <c r="AP56" s="40">
        <f>IFERROR(__xludf.DUMMYFUNCTION("""COMPUTED_VALUE"""),0.0)</f>
        <v>0</v>
      </c>
      <c r="AQ56" s="40">
        <f>IFERROR(__xludf.DUMMYFUNCTION("""COMPUTED_VALUE"""),2.949793)</f>
        <v>2.949793</v>
      </c>
      <c r="AR56" s="40">
        <f>IFERROR(__xludf.DUMMYFUNCTION("""COMPUTED_VALUE"""),-75.2898824)</f>
        <v>-75.2898824</v>
      </c>
      <c r="AS56" s="53">
        <f>IFERROR(__xludf.DUMMYFUNCTION("""COMPUTED_VALUE"""),1300000.0)</f>
        <v>1300000</v>
      </c>
      <c r="AT56" s="40">
        <f>IFERROR(__xludf.DUMMYFUNCTION("""COMPUTED_VALUE"""),0.0)</f>
        <v>0</v>
      </c>
      <c r="AU56" s="40">
        <f>IFERROR(__xludf.DUMMYFUNCTION("""COMPUTED_VALUE"""),0.0)</f>
        <v>0</v>
      </c>
      <c r="AV56" s="40">
        <f>IFERROR(__xludf.DUMMYFUNCTION("""COMPUTED_VALUE"""),0.0)</f>
        <v>0</v>
      </c>
      <c r="AW56" s="40" t="str">
        <f>IFERROR(__xludf.DUMMYFUNCTION("""COMPUTED_VALUE"""),"SI")</f>
        <v>SI</v>
      </c>
      <c r="AX56" s="40">
        <f>IFERROR(__xludf.DUMMYFUNCTION("""COMPUTED_VALUE"""),0.0)</f>
        <v>0</v>
      </c>
      <c r="AY56" s="40" t="str">
        <f>IFERROR(__xludf.DUMMYFUNCTION("""COMPUTED_VALUE"""),"SI")</f>
        <v>SI</v>
      </c>
      <c r="AZ56" s="40">
        <f>IFERROR(__xludf.DUMMYFUNCTION("""COMPUTED_VALUE"""),9.0)</f>
        <v>9</v>
      </c>
      <c r="BA56" s="40" t="str">
        <f>IFERROR(__xludf.DUMMYFUNCTION("""COMPUTED_VALUE"""),"X")</f>
        <v>X</v>
      </c>
      <c r="BB56" s="40">
        <f>IFERROR(__xludf.DUMMYFUNCTION("""COMPUTED_VALUE"""),20.0)</f>
        <v>20</v>
      </c>
      <c r="BC56" s="53"/>
      <c r="BD56" s="48"/>
      <c r="BE56" s="48"/>
      <c r="BF56" s="48" t="str">
        <f>IFERROR(__xludf.DUMMYFUNCTION("""COMPUTED_VALUE"""),"https://lh3.googleusercontent.com/pw/AP1GczPvCaBBpcosfd_vZFDeug5VKsZIbdCdv3YvY2wUZEzhhbywlFkTrC2t5PMfSp7ryleoVjvTkqw6IEBAf26NTWzhYyoJc8n8dOcZesQtFyen-_Aztyah=w1200|https://lh3.googleusercontent.com/pw/AP1GczOtvZ-A-hWLk0rV-P8stRjy7PQrnMpgNAbfEE_705mqR-j-MF"&amp;"drBN6WaPD-Bsih2IwjdBLcbfHOrDmOWXFj7gANyN2taJAD5-EsTL3VUgJBAebZCX9_=w1200|https://lh3.googleusercontent.com/pw/AP1GczNkgQnbLJQqGOef0pzZAs2Ch-evT2dhgyhrA7ynBHz7EQC9wZf9j40RKW_qVnKBSTA70UFLO5uPuV_EcThTvOjMWUHHnB_XS18svtpmDejqjErVZhsW=w1200|https://lh3.google"&amp;"usercontent.com/pw/AP1GczNPa5n89x1wWoWXNotp-tSK4ACFj6GIY45aNgi99FTovCqgeUerUh0wX5cbsdnnQSdCN4Wx2xdvek3GH8tP9-Xa0TrmpSnlemkMBWFLqEt2dAa4bmC5=w1200|https://lh3.googleusercontent.com/pw/AP1GczMy50qI-wMsXdkkypwDHZ4FtXV_fIMK6J_E8ZNsS9snE0sAS6Y6T8McN8kfsI64jOEm"&amp;"KxfvmGsdaU-XJ4XFW9G58-ytFcXgyjr-7cBA_3Qv7rSFRw0p=w1200|https://lh3.googleusercontent.com/pw/AP1GczOcUCVFPumovjLSU3vzF8UN-0HMAOJnxodldFNHjkIt4fT88aUEcKvRnWgwIFF7bqRJTmFX9m5rGQsJvGcPXWmfWfNY6XqbZjauVtF63kFYG37R0TJR=w1200|https://lh3.googleusercontent.com/pw"&amp;"/AP1GczNU2MY4bmtxUbMUOirIyEiQGrA5cbu38oSzVBW4L_wFMB3XRHCg2e1mB2gE59gGe60Qi2Xu5fSURXhnEsjvZGIlZ9pUBBoU8v--_axLZo7RfO48o7Rp=w1200|https://lh3.googleusercontent.com/pw/AP1GczMjf3t5M6tKCAvaXcSLTwKfJD5MC9Gbtb_9jTmF3vsdwsiFzweDvPDV33ayhHuwO5IdaTk53Tu95yiAylOaaY"&amp;"CguOHRI-jpR3wi34Q8W_BLUYBrk1Kw=w1200|https://lh3.googleusercontent.com/pw/AP1GczNj9pFbByeRS4-J-iJP0kgdfpqEko_WXKy-Fcm2OamVXEO7xdraTzx6fFvgMkhfBcZowsbuDOn4wt4JYDEyiM1zoJMkYtF-kTK1Taxn3bkZulDDsfdy=w1200|https://lh3.googleusercontent.com/pw/AP1GczO03Eq0PZE38"&amp;"G3bmTYmZY-Rh1W-XWjWNxN5r2Aln0DB5a3lZ125mNfVhzI1J7h8kdyHWG6khqX7eAdxuvtvL6JyzCJ08bPDLOmE0hpcDKUDjeF-Dp7N=w1200|https://lh3.googleusercontent.com/pw/AP1GczMGfo8rGa6lq0jY1dC4tPmIGo0wey-O1Dr0ZbGCmBDCMxpTYCp9aY2J_jtcnJNHBjF71f-8GrBFsmPqz1PcYJi6p-eYv68Bj1acl9fQ"&amp;"se794zotushW=w1200|https://lh3.googleusercontent.com/pw/AP1GczOeN8ZC9DUQtzWzlp46f-4ATruWPGr-dEDX2hv694mUdlJ4lLDDE7AXnMFRTZ7fwcFqEYy7rxpGkxudgsRHMFMG9mktEUYlqaaDAA7YTVaf-qdm_iXv=w1200|https://lh3.googleusercontent.com/pw/AP1GczPJ2326hqr75mVJY5VYmB8o_7CEUdY"&amp;"nDrpTFmmWrk7KnuN2yjcXmlR1A21HN0v8SpBO5h1Hhu2QxSePpXWkFMWqzRL0sDHbo9OXxvC5gKECKj9KaiKT=w1200|https://lh3.googleusercontent.com/pw/AP1GczNJ3aBE9aQyJSwdIHrPIjP2mIpHZPKfK5NS_orThUZmZDiouvX76AtWwdDNh5jXkaZExmxwmSUH3N2hJMvnusjueZQNeVUtSHGqq0-V-GzWbjJc-7fI=w1200"&amp;"|https://lh3.googleusercontent.com/pw/AP1GczMpMUddPtzPtSBXFSHMSNe4krrpX_zERjBOat89k0D14Bas7yu0SYKhxax4kFXe0CutvfpjpulHwmBSJseIMCz-E9EjIPEaSG2EKYXNxolUjmZDscLN=w1200|https://lh3.googleusercontent.com/pw/AP1GczOJOYfr5c96CWOh7NyKaPuYkLmj7J6owVOEalwG67-Rl4m52"&amp;"Ky-9_1qed0jd8HeqVRrDuugi0wPbHyfnQ9xTIcjZ-y1J5TtGorhIsOrPb9DRahWs3ee=w1200|https://lh3.googleusercontent.com/pw/AP1GczPvvOPaMtrd9gktMcy4opkYUeDU_BvdoMQMwJkutosswCZ7Gbf-hdkitfJsDKwdAqYqFWwro6VD6kXvLEUp4WqlHdog6oCTDGVRhdGnQG-hw79bJG5_=w1200|https://lh3.googl"&amp;"eusercontent.com/pw/AP1GczPCvCcEBGMTqtVYSpLBvKfPYtqw42SrjAwdLT9SzzvDglUoHTVeLAc6J1kwdgjTO6EhcIXo7wdNySyJpLeUHkzrFSKu-WLY_I5-n3bDszke6v_ELvvF=w1200|https://lh3.googleusercontent.com/pw/AP1GczM-Y9KT_GFnmYl8ceeuYf0kXckfuz4qDkAcchyVq7t8BNT6FtYNFW1cSmlrmgxzJVA"&amp;"HtD0Ko93W4YfPQ1nQi7cWjfMCZGxcPe9TqllgVuDyF4EhZ4Zf=w1200|https://lh3.googleusercontent.com/pw/AP1GczMirUOYWr7U20D9oR-Pk4oniAfAQwrTaEx63lgOqhtYyrHKXRqA8kgjlopL6rrmax__80sNx5dOmUZoJH9gNQ67egOR7e_lQArDzdXmaSVpwhZXjzNb=w1200|https://lh3.googleusercontent.com/p"&amp;"w/AP1GczMvq6JKbQ8omKFT1Sc3PV0Df2ESJWBeWHAyyCdMc5WCUS81vz9qL7PdRyWRAmPoDIcSZP4UpMgcShgtf5q7SnlXYsqy8YeBN7n6zKPQVhRenBbPMEIZ=w1200|https://lh3.googleusercontent.com/pw/AP1GczPn03iwph2XgTvIAIqy9bo_u5VlsQsam0MSoVowRxDjAHylZG_A6iLSBeViduzrRoy-_60aIu7wPEvcHcsuW"&amp;"p3N5ogRZw0RvQVp_gQzuPRltt-w11JK=w1200|https://lh3.googleusercontent.com/pw/AP1GczMhpYO9EIHoDUUQMS8xVEOz7f_L3djRn6RBQVV8Wq-dEBWnAhCByJPk93-A1pYHL7v7aHpWvPeIotE_SI4d1qCZNT_pri6C5GTcL-Vblcp6Y-5eiFAo=w1200|https://lh3.googleusercontent.com/pw/AP1GczMsr1jE9-I6"&amp;"xtHI3wN0yTfSMJDFuhl9OwxXfRh8F00JB8gnXtxhIDfrzrQtHkQBGtUttPLhw8e-a4J8GWVC5_EHAidhoiZ7EAQ-p62uc929wI-Vkwwb=w1200|https://lh3.googleusercontent.com/pw/AP1GczMwpUEziTORz39ryp46cwSQN2mqz0KhlEQFKR9N1SuRngQSWRZZdQL7Y4rfxwyY8H4sEEHCNjKd_5oZSxQ1hqg52LGwVk6tFg9DdJt"&amp;"OWwjOph6H9Xzp=w1200")</f>
        <v>https://lh3.googleusercontent.com/pw/AP1GczPvCaBBpcosfd_vZFDeug5VKsZIbdCdv3YvY2wUZEzhhbywlFkTrC2t5PMfSp7ryleoVjvTkqw6IEBAf26NTWzhYyoJc8n8dOcZesQtFyen-_Aztyah=w1200|https://lh3.googleusercontent.com/pw/AP1GczOtvZ-A-hWLk0rV-P8stRjy7PQrnMpgNAbfEE_705mqR-j-MFdrBN6WaPD-Bsih2IwjdBLcbfHOrDmOWXFj7gANyN2taJAD5-EsTL3VUgJBAebZCX9_=w1200|https://lh3.googleusercontent.com/pw/AP1GczNkgQnbLJQqGOef0pzZAs2Ch-evT2dhgyhrA7ynBHz7EQC9wZf9j40RKW_qVnKBSTA70UFLO5uPuV_EcThTvOjMWUHHnB_XS18svtpmDejqjErVZhsW=w1200|https://lh3.googleusercontent.com/pw/AP1GczNPa5n89x1wWoWXNotp-tSK4ACFj6GIY45aNgi99FTovCqgeUerUh0wX5cbsdnnQSdCN4Wx2xdvek3GH8tP9-Xa0TrmpSnlemkMBWFLqEt2dAa4bmC5=w1200|https://lh3.googleusercontent.com/pw/AP1GczMy50qI-wMsXdkkypwDHZ4FtXV_fIMK6J_E8ZNsS9snE0sAS6Y6T8McN8kfsI64jOEmKxfvmGsdaU-XJ4XFW9G58-ytFcXgyjr-7cBA_3Qv7rSFRw0p=w1200|https://lh3.googleusercontent.com/pw/AP1GczOcUCVFPumovjLSU3vzF8UN-0HMAOJnxodldFNHjkIt4fT88aUEcKvRnWgwIFF7bqRJTmFX9m5rGQsJvGcPXWmfWfNY6XqbZjauVtF63kFYG37R0TJR=w1200|https://lh3.googleusercontent.com/pw/AP1GczNU2MY4bmtxUbMUOirIyEiQGrA5cbu38oSzVBW4L_wFMB3XRHCg2e1mB2gE59gGe60Qi2Xu5fSURXhnEsjvZGIlZ9pUBBoU8v--_axLZo7RfO48o7Rp=w1200|https://lh3.googleusercontent.com/pw/AP1GczMjf3t5M6tKCAvaXcSLTwKfJD5MC9Gbtb_9jTmF3vsdwsiFzweDvPDV33ayhHuwO5IdaTk53Tu95yiAylOaaYCguOHRI-jpR3wi34Q8W_BLUYBrk1Kw=w1200|https://lh3.googleusercontent.com/pw/AP1GczNj9pFbByeRS4-J-iJP0kgdfpqEko_WXKy-Fcm2OamVXEO7xdraTzx6fFvgMkhfBcZowsbuDOn4wt4JYDEyiM1zoJMkYtF-kTK1Taxn3bkZulDDsfdy=w1200|https://lh3.googleusercontent.com/pw/AP1GczO03Eq0PZE38G3bmTYmZY-Rh1W-XWjWNxN5r2Aln0DB5a3lZ125mNfVhzI1J7h8kdyHWG6khqX7eAdxuvtvL6JyzCJ08bPDLOmE0hpcDKUDjeF-Dp7N=w1200|https://lh3.googleusercontent.com/pw/AP1GczMGfo8rGa6lq0jY1dC4tPmIGo0wey-O1Dr0ZbGCmBDCMxpTYCp9aY2J_jtcnJNHBjF71f-8GrBFsmPqz1PcYJi6p-eYv68Bj1acl9fQse794zotushW=w1200|https://lh3.googleusercontent.com/pw/AP1GczOeN8ZC9DUQtzWzlp46f-4ATruWPGr-dEDX2hv694mUdlJ4lLDDE7AXnMFRTZ7fwcFqEYy7rxpGkxudgsRHMFMG9mktEUYlqaaDAA7YTVaf-qdm_iXv=w1200|https://lh3.googleusercontent.com/pw/AP1GczPJ2326hqr75mVJY5VYmB8o_7CEUdYnDrpTFmmWrk7KnuN2yjcXmlR1A21HN0v8SpBO5h1Hhu2QxSePpXWkFMWqzRL0sDHbo9OXxvC5gKECKj9KaiKT=w1200|https://lh3.googleusercontent.com/pw/AP1GczNJ3aBE9aQyJSwdIHrPIjP2mIpHZPKfK5NS_orThUZmZDiouvX76AtWwdDNh5jXkaZExmxwmSUH3N2hJMvnusjueZQNeVUtSHGqq0-V-GzWbjJc-7fI=w1200|https://lh3.googleusercontent.com/pw/AP1GczMpMUddPtzPtSBXFSHMSNe4krrpX_zERjBOat89k0D14Bas7yu0SYKhxax4kFXe0CutvfpjpulHwmBSJseIMCz-E9EjIPEaSG2EKYXNxolUjmZDscLN=w1200|https://lh3.googleusercontent.com/pw/AP1GczOJOYfr5c96CWOh7NyKaPuYkLmj7J6owVOEalwG67-Rl4m52Ky-9_1qed0jd8HeqVRrDuugi0wPbHyfnQ9xTIcjZ-y1J5TtGorhIsOrPb9DRahWs3ee=w1200|https://lh3.googleusercontent.com/pw/AP1GczPvvOPaMtrd9gktMcy4opkYUeDU_BvdoMQMwJkutosswCZ7Gbf-hdkitfJsDKwdAqYqFWwro6VD6kXvLEUp4WqlHdog6oCTDGVRhdGnQG-hw79bJG5_=w1200|https://lh3.googleusercontent.com/pw/AP1GczPCvCcEBGMTqtVYSpLBvKfPYtqw42SrjAwdLT9SzzvDglUoHTVeLAc6J1kwdgjTO6EhcIXo7wdNySyJpLeUHkzrFSKu-WLY_I5-n3bDszke6v_ELvvF=w1200|https://lh3.googleusercontent.com/pw/AP1GczM-Y9KT_GFnmYl8ceeuYf0kXckfuz4qDkAcchyVq7t8BNT6FtYNFW1cSmlrmgxzJVAHtD0Ko93W4YfPQ1nQi7cWjfMCZGxcPe9TqllgVuDyF4EhZ4Zf=w1200|https://lh3.googleusercontent.com/pw/AP1GczMirUOYWr7U20D9oR-Pk4oniAfAQwrTaEx63lgOqhtYyrHKXRqA8kgjlopL6rrmax__80sNx5dOmUZoJH9gNQ67egOR7e_lQArDzdXmaSVpwhZXjzNb=w1200|https://lh3.googleusercontent.com/pw/AP1GczMvq6JKbQ8omKFT1Sc3PV0Df2ESJWBeWHAyyCdMc5WCUS81vz9qL7PdRyWRAmPoDIcSZP4UpMgcShgtf5q7SnlXYsqy8YeBN7n6zKPQVhRenBbPMEIZ=w1200|https://lh3.googleusercontent.com/pw/AP1GczPn03iwph2XgTvIAIqy9bo_u5VlsQsam0MSoVowRxDjAHylZG_A6iLSBeViduzrRoy-_60aIu7wPEvcHcsuWp3N5ogRZw0RvQVp_gQzuPRltt-w11JK=w1200|https://lh3.googleusercontent.com/pw/AP1GczMhpYO9EIHoDUUQMS8xVEOz7f_L3djRn6RBQVV8Wq-dEBWnAhCByJPk93-A1pYHL7v7aHpWvPeIotE_SI4d1qCZNT_pri6C5GTcL-Vblcp6Y-5eiFAo=w1200|https://lh3.googleusercontent.com/pw/AP1GczMsr1jE9-I6xtHI3wN0yTfSMJDFuhl9OwxXfRh8F00JB8gnXtxhIDfrzrQtHkQBGtUttPLhw8e-a4J8GWVC5_EHAidhoiZ7EAQ-p62uc929wI-Vkwwb=w1200|https://lh3.googleusercontent.com/pw/AP1GczMwpUEziTORz39ryp46cwSQN2mqz0KhlEQFKR9N1SuRngQSWRZZdQL7Y4rfxwyY8H4sEEHCNjKd_5oZSxQ1hqg52LGwVk6tFg9DdJtOWwjOph6H9Xzp=w1200</v>
      </c>
    </row>
    <row r="57">
      <c r="A57" s="39" t="str">
        <f>IFERROR(__xludf.DUMMYFUNCTION("""COMPUTED_VALUE"""),"758")</f>
        <v>758</v>
      </c>
      <c r="B57" s="40" t="str">
        <f>IFERROR(__xludf.DUMMYFUNCTION("""COMPUTED_VALUE"""),"Casa con local en barrio Santa Clara")</f>
        <v>Casa con local en barrio Santa Clara</v>
      </c>
      <c r="C57" s="40" t="str">
        <f>IFERROR(__xludf.DUMMYFUNCTION("""COMPUTED_VALUE"""),"Casa rentable")</f>
        <v>Casa rentable</v>
      </c>
      <c r="D57" s="40" t="str">
        <f>IFERROR(__xludf.DUMMYFUNCTION("""COMPUTED_VALUE"""),"Santa Clara")</f>
        <v>Santa Clara</v>
      </c>
      <c r="E57" s="42"/>
      <c r="F57" s="42">
        <f>IFERROR(__xludf.DUMMYFUNCTION("""COMPUTED_VALUE"""),3.2E8)</f>
        <v>320000000</v>
      </c>
      <c r="G57" s="40" t="str">
        <f>IFERROR(__xludf.DUMMYFUNCTION("""COMPUTED_VALUE"""),"$300'000.000 a $400'000.000")</f>
        <v>$300'000.000 a $400'000.000</v>
      </c>
      <c r="H57" s="40"/>
      <c r="I57" s="40"/>
      <c r="J57" s="40" t="str">
        <f>IFERROR(__xludf.DUMMYFUNCTION("""COMPUTED_VALUE"""),"Norte")</f>
        <v>Norte</v>
      </c>
      <c r="K57" s="39" t="str">
        <f>IFERROR(__xludf.DUMMYFUNCTION("""COMPUTED_VALUE"""),"2")</f>
        <v>2</v>
      </c>
      <c r="L57" s="40">
        <f>IFERROR(__xludf.DUMMYFUNCTION("""COMPUTED_VALUE"""),4.0)</f>
        <v>4</v>
      </c>
      <c r="M57" s="40"/>
      <c r="N57" s="40">
        <f>IFERROR(__xludf.DUMMYFUNCTION("""COMPUTED_VALUE"""),2.0)</f>
        <v>2</v>
      </c>
      <c r="O57" s="40">
        <f>IFERROR(__xludf.DUMMYFUNCTION("""COMPUTED_VALUE"""),1.0)</f>
        <v>1</v>
      </c>
      <c r="P57" s="40">
        <f>IFERROR(__xludf.DUMMYFUNCTION("""COMPUTED_VALUE"""),2.0)</f>
        <v>2</v>
      </c>
      <c r="Q57" s="48"/>
      <c r="R57" s="48">
        <f>IFERROR(__xludf.DUMMYFUNCTION("""COMPUTED_VALUE"""),75.0)</f>
        <v>75</v>
      </c>
      <c r="S57" s="39" t="str">
        <f>IFERROR(__xludf.DUMMYFUNCTION("""COMPUTED_VALUE"""),"Rentabilidad $2,000,000")</f>
        <v>Rentabilidad $2,000,000</v>
      </c>
      <c r="T57" s="40" t="str">
        <f>IFERROR(__xludf.DUMMYFUNCTION("""COMPUTED_VALUE"""),"Neiva")</f>
        <v>Neiva</v>
      </c>
      <c r="U57" s="39"/>
      <c r="V57" s="40" t="str">
        <f>IFERROR(__xludf.DUMMYFUNCTION("""COMPUTED_VALUE"""),"Medianera")</f>
        <v>Medianera</v>
      </c>
      <c r="W57" s="46"/>
      <c r="X57" s="46"/>
      <c r="Y57" s="40" t="str">
        <f>IFERROR(__xludf.DUMMYFUNCTION("""COMPUTED_VALUE"""),"No tiene")</f>
        <v>No tiene</v>
      </c>
      <c r="Z57" s="42"/>
      <c r="AA57" s="49"/>
      <c r="AB57" s="66" t="str">
        <f>IFERROR(__xludf.DUMMYFUNCTION("""COMPUTED_VALUE"""),"https://photos.app.goo.gl/8mUQLUfcDcZ9dtnS9")</f>
        <v>https://photos.app.goo.gl/8mUQLUfcDcZ9dtnS9</v>
      </c>
      <c r="AC57" s="40" t="str">
        <f>IFERROR(__xludf.DUMMYFUNCTION("""COMPUTED_VALUE"""),"Casa con reja antejardín.  LOTE 5.0 ml X 15.0  ml. Cuenta con local, 4 habitaciones 3 baños, bodega, cocina básica.")</f>
        <v>Casa con reja antejardín.  LOTE 5.0 ml X 15.0  ml. Cuenta con local, 4 habitaciones 3 baños, bodega, cocina básica.</v>
      </c>
      <c r="AD57" s="40" t="str">
        <f>IFERROR(__xludf.DUMMYFUNCTION("""COMPUTED_VALUE"""),"Excelente ubicación. Sobre la Avenida 26 - Sector comercial. Cerca a los centros comerciales San Pedro Plaza.")</f>
        <v>Excelente ubicación. Sobre la Avenida 26 - Sector comercial. Cerca a los centros comerciales San Pedro Plaza.</v>
      </c>
      <c r="AE57" s="40"/>
      <c r="AF57" s="40" t="str">
        <f>IFERROR(__xludf.DUMMYFUNCTION("""COMPUTED_VALUE"""),"semi-integral")</f>
        <v>semi-integral</v>
      </c>
      <c r="AG57" s="40" t="str">
        <f>IFERROR(__xludf.DUMMYFUNCTION("""COMPUTED_VALUE"""),"SI")</f>
        <v>SI</v>
      </c>
      <c r="AH57" s="40" t="str">
        <f>IFERROR(__xludf.DUMMYFUNCTION("""COMPUTED_VALUE"""),"Inventario")</f>
        <v>Inventario</v>
      </c>
      <c r="AI57" s="40" t="str">
        <f>IFERROR(__xludf.DUMMYFUNCTION("""COMPUTED_VALUE"""),"Verbal")</f>
        <v>Verbal</v>
      </c>
      <c r="AJ57" s="40" t="str">
        <f>IFERROR(__xludf.DUMMYFUNCTION("""COMPUTED_VALUE"""),"ICDE")</f>
        <v>ICDE</v>
      </c>
      <c r="AK57" s="40"/>
      <c r="AL57" s="40" t="str">
        <f>IFERROR(__xludf.DUMMYFUNCTION("""COMPUTED_VALUE"""),"TIENE FOTOS")</f>
        <v>TIENE FOTOS</v>
      </c>
      <c r="AM57" s="40">
        <f>IFERROR(__xludf.DUMMYFUNCTION("""COMPUTED_VALUE"""),3.122953771E9)</f>
        <v>3122953771</v>
      </c>
      <c r="AN57" s="40"/>
      <c r="AO57" s="40" t="str">
        <f>IFERROR(__xludf.DUMMYFUNCTION("""COMPUTED_VALUE"""),"Marco Rubio")</f>
        <v>Marco Rubio</v>
      </c>
      <c r="AP57" s="40" t="str">
        <f>IFERROR(__xludf.DUMMYFUNCTION("""COMPUTED_VALUE"""),"Ave. 26 # 33 - 42")</f>
        <v>Ave. 26 # 33 - 42</v>
      </c>
      <c r="AQ57" s="40">
        <f>IFERROR(__xludf.DUMMYFUNCTION("""COMPUTED_VALUE"""),2.9465062)</f>
        <v>2.9465062</v>
      </c>
      <c r="AR57" s="40">
        <f>IFERROR(__xludf.DUMMYFUNCTION("""COMPUTED_VALUE"""),-75.2882087)</f>
        <v>-75.2882087</v>
      </c>
      <c r="AS57" s="53">
        <f>IFERROR(__xludf.DUMMYFUNCTION("""COMPUTED_VALUE"""),2000000.0)</f>
        <v>2000000</v>
      </c>
      <c r="AT57" s="40">
        <f>IFERROR(__xludf.DUMMYFUNCTION("""COMPUTED_VALUE"""),0.0)</f>
        <v>0</v>
      </c>
      <c r="AU57" s="40">
        <f>IFERROR(__xludf.DUMMYFUNCTION("""COMPUTED_VALUE"""),0.0)</f>
        <v>0</v>
      </c>
      <c r="AV57" s="40">
        <f>IFERROR(__xludf.DUMMYFUNCTION("""COMPUTED_VALUE"""),0.0)</f>
        <v>0</v>
      </c>
      <c r="AW57" s="40" t="str">
        <f>IFERROR(__xludf.DUMMYFUNCTION("""COMPUTED_VALUE"""),"SI")</f>
        <v>SI</v>
      </c>
      <c r="AX57" s="40"/>
      <c r="AY57" s="40">
        <f>IFERROR(__xludf.DUMMYFUNCTION("""COMPUTED_VALUE"""),0.0)</f>
        <v>0</v>
      </c>
      <c r="AZ57" s="40">
        <f>IFERROR(__xludf.DUMMYFUNCTION("""COMPUTED_VALUE"""),5.0)</f>
        <v>5</v>
      </c>
      <c r="BA57" s="40" t="str">
        <f>IFERROR(__xludf.DUMMYFUNCTION("""COMPUTED_VALUE"""),"X")</f>
        <v>X</v>
      </c>
      <c r="BB57" s="40">
        <f>IFERROR(__xludf.DUMMYFUNCTION("""COMPUTED_VALUE"""),15.0)</f>
        <v>15</v>
      </c>
      <c r="BC57" s="53"/>
      <c r="BD57" s="48"/>
      <c r="BE57" s="48"/>
      <c r="BF57" s="48" t="str">
        <f>IFERROR(__xludf.DUMMYFUNCTION("""COMPUTED_VALUE"""),"https://lh3.googleusercontent.com/pw/AP1GczN_irTIIomHCquWx2pK7orBAlgiIXm9PJ-Yg3JJG4f_g_wtiIcc3IekDvjAo4uwFulvIaRvKbM8_F1xxDdHTNmBp5We4pTSkjWubICOBy0C9tDmtgjS=w1200|https://lh3.googleusercontent.com/pw/AP1GczPNbmfMvnKHUwP13cNJXX4czj9tc7-9ZbKmSZau1lfGlrn5Ex"&amp;"mAaAJsp66hqwkJMezWdiqGZXdBjCSfObml04R2chO4_n3_GchnMwbElIsGPR1jSJt3=w1200|https://lh3.googleusercontent.com/pw/AP1GczMhTGHtolCgAFMl8mMNgtnK6BGiUJGeE9fAEEWKljejjRcfcUdpgg7I6EwxXyuxjaG4oLBJ4DX8xl3PI8hd4ktjiQgyGp9j4T3pLC-ZmeD1MLthg1Qv=w1200|https://lh3.google"&amp;"usercontent.com/pw/AP1GczOCFC-3a0U8O3Ib19LaTq1BeA4uXWReWJ0vCYHyYFBP5RIcweGiH9Q5mcsHkp-h382MNQ403msFKS5XlMuf22a9k_bhZ6NbaA67i7hDHZr80Im6-w35=w1200|https://lh3.googleusercontent.com/pw/AP1GczM9ZS6XDXPkbqt1G8CkZthJAFDfsiLYxNh_JwL7yejLL1vRgPgAbkFa_YR-a9l4HwDT"&amp;"Fs3XoQ5ER0ocHnbrqj9VkgE3Dj2rIerSvR0K4kqQh3CcGpOG=w1200|https://lh3.googleusercontent.com/pw/AP1GczOR9l7juLDI5KPZKfNaJN44H9kzujuvlYFXjAQ4SwNUKf3Y5nnDbjR3UbF_kT1g1BzWcgEhHeocTTkcz9aEnPUom9t3Tmy6xJhZ7zgEbybn4pkZtMRU=w1200|https://lh3.googleusercontent.com/pw"&amp;"/AP1GczOLh9-rdG4obzjD6sbDVJKLGhhCRMO5fwIndYazJr0LLG_a8qhSR6kNYHjjFYYDytbKDFPBihCugSjJFZNDKFpL024ykng1OmtTqwBRDhhOytgF_8jI=w1200|https://lh3.googleusercontent.com/pw/AP1GczOiMTDpCHvFj4Ge0xG37eDcU4F4w5EWMlR-jVVtuEo7_Mf17CY1s4kXMJpZqXOyaHwYxfVkqmhPwRH2gsQVEW"&amp;"e_Zox6ArCsHWriBQDHTShw4eWP5Bfe=w1200|https://lh3.googleusercontent.com/pw/AP1GczMHG9a6XceVb4U_LGI1apUb_j0hs0XXcLRPBD-DQKB4KL0pWnNmUhdHAFNfxiaZzhDdaoSu-nrpbYvEVztM53WSqmJ9BO6XOLViMb8gbaP0cNWPo9iT=w1200|https://lh3.googleusercontent.com/pw/AP1GczPJLghpvHAmS"&amp;"_d8ic06OXJWQqva0At-HJYbN4vrRHd1HdHsVdVrw-KUyauOkuFOr7jkXnk8g66MPi7nv4XU2x6pxXkguGInpZljg0_4o27ZisvCc9uD=w1200|https://lh3.googleusercontent.com/pw/AP1GczNFVZPvZXMbvQO33_m0-n9o8JoSCpVHj3lp85R-a9HqvT4r7C5kkEdiIUv4TrDSciE6ZIImYdAGtPUgIw0SvQ9IOITgzgadO5lgSSEk"&amp;"PvMUbFlwa4IC=w1200|https://lh3.googleusercontent.com/pw/AP1GczPPuVck3KPr296lnq-Oxsb-ZPgmkaiM9t8b0Sb1GACYgJLT-zjD8bYgEbnXiVYyCR0j1wy83TweduruAgEpQ3rcUXUVHD0dJVftz_Oj0I94wCUGkWF1=w1200|https://lh3.googleusercontent.com/pw/AP1GczN_2e1vjmmHmxswnFByEJ6DHoL3dn5"&amp;"aP-2s0w4h1bhYnJJl4UC127S-0tEJVnN93hJit_hFSZbYTEGRehR2x1HZu_naEJcB_ih8u-sJ92jZ3HlxSe8d=w1200|https://lh3.googleusercontent.com/pw/AP1GczNzNTzCFwA_rT67lMu6Bfp_FJUYFbEqEKvwg9LEn4BAmTYPjxBr_AsL2MGNPFgXiOvojweOiENPItMV127Clqd0i23Qv18EULx6nbpM05W-Q4Cjg0Xa=w1200"&amp;"|https://lh3.googleusercontent.com/pw/AP1GczMzB_lxR-sdULToeYUbXyNK5wV6znlr-b4Eedu0ZAP4WdOAQ1I0Aap0WLiitVpmt_ow_uAXgCieZxLn7hPgUyw4YsG4dWiI4_Ot_zrwKRarYyTsr9ME=w1200|https://lh3.googleusercontent.com/pw/AP1GczNzX6cWSksAZkfFv3lhfACvikSIFrMiRod27v2dFJQB3Xzbl"&amp;"xd7Dfsl31_JpbtpM-yLs2YdHMBoyGQoWggqj_04iXgOZyHnWL5shwJ0sEmyL1z3Texj=w1200")</f>
        <v>https://lh3.googleusercontent.com/pw/AP1GczN_irTIIomHCquWx2pK7orBAlgiIXm9PJ-Yg3JJG4f_g_wtiIcc3IekDvjAo4uwFulvIaRvKbM8_F1xxDdHTNmBp5We4pTSkjWubICOBy0C9tDmtgjS=w1200|https://lh3.googleusercontent.com/pw/AP1GczPNbmfMvnKHUwP13cNJXX4czj9tc7-9ZbKmSZau1lfGlrn5ExmAaAJsp66hqwkJMezWdiqGZXdBjCSfObml04R2chO4_n3_GchnMwbElIsGPR1jSJt3=w1200|https://lh3.googleusercontent.com/pw/AP1GczMhTGHtolCgAFMl8mMNgtnK6BGiUJGeE9fAEEWKljejjRcfcUdpgg7I6EwxXyuxjaG4oLBJ4DX8xl3PI8hd4ktjiQgyGp9j4T3pLC-ZmeD1MLthg1Qv=w1200|https://lh3.googleusercontent.com/pw/AP1GczOCFC-3a0U8O3Ib19LaTq1BeA4uXWReWJ0vCYHyYFBP5RIcweGiH9Q5mcsHkp-h382MNQ403msFKS5XlMuf22a9k_bhZ6NbaA67i7hDHZr80Im6-w35=w1200|https://lh3.googleusercontent.com/pw/AP1GczM9ZS6XDXPkbqt1G8CkZthJAFDfsiLYxNh_JwL7yejLL1vRgPgAbkFa_YR-a9l4HwDTFs3XoQ5ER0ocHnbrqj9VkgE3Dj2rIerSvR0K4kqQh3CcGpOG=w1200|https://lh3.googleusercontent.com/pw/AP1GczOR9l7juLDI5KPZKfNaJN44H9kzujuvlYFXjAQ4SwNUKf3Y5nnDbjR3UbF_kT1g1BzWcgEhHeocTTkcz9aEnPUom9t3Tmy6xJhZ7zgEbybn4pkZtMRU=w1200|https://lh3.googleusercontent.com/pw/AP1GczOLh9-rdG4obzjD6sbDVJKLGhhCRMO5fwIndYazJr0LLG_a8qhSR6kNYHjjFYYDytbKDFPBihCugSjJFZNDKFpL024ykng1OmtTqwBRDhhOytgF_8jI=w1200|https://lh3.googleusercontent.com/pw/AP1GczOiMTDpCHvFj4Ge0xG37eDcU4F4w5EWMlR-jVVtuEo7_Mf17CY1s4kXMJpZqXOyaHwYxfVkqmhPwRH2gsQVEWe_Zox6ArCsHWriBQDHTShw4eWP5Bfe=w1200|https://lh3.googleusercontent.com/pw/AP1GczMHG9a6XceVb4U_LGI1apUb_j0hs0XXcLRPBD-DQKB4KL0pWnNmUhdHAFNfxiaZzhDdaoSu-nrpbYvEVztM53WSqmJ9BO6XOLViMb8gbaP0cNWPo9iT=w1200|https://lh3.googleusercontent.com/pw/AP1GczPJLghpvHAmS_d8ic06OXJWQqva0At-HJYbN4vrRHd1HdHsVdVrw-KUyauOkuFOr7jkXnk8g66MPi7nv4XU2x6pxXkguGInpZljg0_4o27ZisvCc9uD=w1200|https://lh3.googleusercontent.com/pw/AP1GczNFVZPvZXMbvQO33_m0-n9o8JoSCpVHj3lp85R-a9HqvT4r7C5kkEdiIUv4TrDSciE6ZIImYdAGtPUgIw0SvQ9IOITgzgadO5lgSSEkPvMUbFlwa4IC=w1200|https://lh3.googleusercontent.com/pw/AP1GczPPuVck3KPr296lnq-Oxsb-ZPgmkaiM9t8b0Sb1GACYgJLT-zjD8bYgEbnXiVYyCR0j1wy83TweduruAgEpQ3rcUXUVHD0dJVftz_Oj0I94wCUGkWF1=w1200|https://lh3.googleusercontent.com/pw/AP1GczN_2e1vjmmHmxswnFByEJ6DHoL3dn5aP-2s0w4h1bhYnJJl4UC127S-0tEJVnN93hJit_hFSZbYTEGRehR2x1HZu_naEJcB_ih8u-sJ92jZ3HlxSe8d=w1200|https://lh3.googleusercontent.com/pw/AP1GczNzNTzCFwA_rT67lMu6Bfp_FJUYFbEqEKvwg9LEn4BAmTYPjxBr_AsL2MGNPFgXiOvojweOiENPItMV127Clqd0i23Qv18EULx6nbpM05W-Q4Cjg0Xa=w1200|https://lh3.googleusercontent.com/pw/AP1GczMzB_lxR-sdULToeYUbXyNK5wV6znlr-b4Eedu0ZAP4WdOAQ1I0Aap0WLiitVpmt_ow_uAXgCieZxLn7hPgUyw4YsG4dWiI4_Ot_zrwKRarYyTsr9ME=w1200|https://lh3.googleusercontent.com/pw/AP1GczNzX6cWSksAZkfFv3lhfACvikSIFrMiRod27v2dFJQB3Xzblxd7Dfsl31_JpbtpM-yLs2YdHMBoyGQoWggqj_04iXgOZyHnWL5shwJ0sEmyL1z3Texj=w1200</v>
      </c>
    </row>
    <row r="58">
      <c r="A58" s="39" t="str">
        <f>IFERROR(__xludf.DUMMYFUNCTION("""COMPUTED_VALUE"""),"591")</f>
        <v>591</v>
      </c>
      <c r="B58" s="40" t="str">
        <f>IFERROR(__xludf.DUMMYFUNCTION("""COMPUTED_VALUE"""),"Casa con habitación independiente en barrio Las Granjas")</f>
        <v>Casa con habitación independiente en barrio Las Granjas</v>
      </c>
      <c r="C58" s="40" t="str">
        <f>IFERROR(__xludf.DUMMYFUNCTION("""COMPUTED_VALUE"""),"Casa rentable")</f>
        <v>Casa rentable</v>
      </c>
      <c r="D58" s="40" t="str">
        <f>IFERROR(__xludf.DUMMYFUNCTION("""COMPUTED_VALUE"""),"Las Granjas")</f>
        <v>Las Granjas</v>
      </c>
      <c r="E58" s="40"/>
      <c r="F58" s="42">
        <f>IFERROR(__xludf.DUMMYFUNCTION("""COMPUTED_VALUE"""),3.0E8)</f>
        <v>300000000</v>
      </c>
      <c r="G58" s="40" t="str">
        <f>IFERROR(__xludf.DUMMYFUNCTION("""COMPUTED_VALUE"""),"$300'000.000 a $400'000.000")</f>
        <v>$300'000.000 a $400'000.000</v>
      </c>
      <c r="H58" s="40"/>
      <c r="I58" s="40"/>
      <c r="J58" s="40" t="str">
        <f>IFERROR(__xludf.DUMMYFUNCTION("""COMPUTED_VALUE"""),"Norte")</f>
        <v>Norte</v>
      </c>
      <c r="K58" s="39" t="str">
        <f>IFERROR(__xludf.DUMMYFUNCTION("""COMPUTED_VALUE"""),"2")</f>
        <v>2</v>
      </c>
      <c r="L58" s="40">
        <f>IFERROR(__xludf.DUMMYFUNCTION("""COMPUTED_VALUE"""),6.0)</f>
        <v>6</v>
      </c>
      <c r="M58" s="40"/>
      <c r="N58" s="40">
        <f>IFERROR(__xludf.DUMMYFUNCTION("""COMPUTED_VALUE"""),1.0)</f>
        <v>1</v>
      </c>
      <c r="O58" s="40">
        <f>IFERROR(__xludf.DUMMYFUNCTION("""COMPUTED_VALUE"""),0.0)</f>
        <v>0</v>
      </c>
      <c r="P58" s="40">
        <f>IFERROR(__xludf.DUMMYFUNCTION("""COMPUTED_VALUE"""),1.0)</f>
        <v>1</v>
      </c>
      <c r="Q58" s="48">
        <f>IFERROR(__xludf.DUMMYFUNCTION("""COMPUTED_VALUE"""),180.0)</f>
        <v>180</v>
      </c>
      <c r="R58" s="48">
        <f>IFERROR(__xludf.DUMMYFUNCTION("""COMPUTED_VALUE"""),180.0)</f>
        <v>180</v>
      </c>
      <c r="S58" s="39" t="str">
        <f>IFERROR(__xludf.DUMMYFUNCTION("""COMPUTED_VALUE"""),"Rentabilidad $350,000")</f>
        <v>Rentabilidad $350,000</v>
      </c>
      <c r="T58" s="40" t="str">
        <f>IFERROR(__xludf.DUMMYFUNCTION("""COMPUTED_VALUE"""),"Neiva")</f>
        <v>Neiva</v>
      </c>
      <c r="U58" s="39" t="str">
        <f>IFERROR(__xludf.DUMMYFUNCTION("""COMPUTED_VALUE"""),"2")</f>
        <v>2</v>
      </c>
      <c r="V58" s="40" t="str">
        <f>IFERROR(__xludf.DUMMYFUNCTION("""COMPUTED_VALUE"""),"Medianera")</f>
        <v>Medianera</v>
      </c>
      <c r="W58" s="46"/>
      <c r="X58" s="46">
        <f>IFERROR(__xludf.DUMMYFUNCTION("""COMPUTED_VALUE"""),0.0)</f>
        <v>0</v>
      </c>
      <c r="Y58" s="40" t="str">
        <f>IFERROR(__xludf.DUMMYFUNCTION("""COMPUTED_VALUE"""),"No tiene")</f>
        <v>No tiene</v>
      </c>
      <c r="Z58" s="42" t="str">
        <f>IFERROR(__xludf.DUMMYFUNCTION("""COMPUTED_VALUE"""),"No aplica")</f>
        <v>No aplica</v>
      </c>
      <c r="AA58" s="49" t="str">
        <f>IFERROR(__xludf.DUMMYFUNCTION("""COMPUTED_VALUE"""),"71 años")</f>
        <v>71 años</v>
      </c>
      <c r="AB58" s="66" t="str">
        <f>IFERROR(__xludf.DUMMYFUNCTION("""COMPUTED_VALUE"""),"https://photos.app.goo.gl/u4vTtbfW4BwEi1HS8")</f>
        <v>https://photos.app.goo.gl/u4vTtbfW4BwEi1HS8</v>
      </c>
      <c r="AC58" s="40"/>
      <c r="AD58" s="40" t="str">
        <f>IFERROR(__xludf.DUMMYFUNCTION("""COMPUTED_VALUE"""),"Casa  amplia y antigua. Dimensión del lote 9.0 ml x 20.0 ml. Ubicada sobre vía vehicular. Dimensión del lote 9.0 ml x 20.0 ml.  Cuenta con patio amplio. Cubierta en teja asbesto cemento y perfil en madera. Escritura en proceso de sucesión. No se permuta.")</f>
        <v>Casa  amplia y antigua. Dimensión del lote 9.0 ml x 20.0 ml. Ubicada sobre vía vehicular. Dimensión del lote 9.0 ml x 20.0 ml.  Cuenta con patio amplio. Cubierta en teja asbesto cemento y perfil en madera. Escritura en proceso de sucesión. No se permuta.</v>
      </c>
      <c r="AE58" s="40"/>
      <c r="AF58" s="40" t="str">
        <f>IFERROR(__xludf.DUMMYFUNCTION("""COMPUTED_VALUE"""),"integral")</f>
        <v>integral</v>
      </c>
      <c r="AG58" s="40"/>
      <c r="AH58" s="40" t="str">
        <f>IFERROR(__xludf.DUMMYFUNCTION("""COMPUTED_VALUE"""),"Inventario")</f>
        <v>Inventario</v>
      </c>
      <c r="AI58" s="40" t="str">
        <f>IFERROR(__xludf.DUMMYFUNCTION("""COMPUTED_VALUE"""),"Verbal")</f>
        <v>Verbal</v>
      </c>
      <c r="AJ58" s="40" t="str">
        <f>IFERROR(__xludf.DUMMYFUNCTION("""COMPUTED_VALUE"""),"ICDE")</f>
        <v>ICDE</v>
      </c>
      <c r="AK58" s="40" t="str">
        <f>IFERROR(__xludf.DUMMYFUNCTION("""COMPUTED_VALUE"""),"SIN CONTRATO")</f>
        <v>SIN CONTRATO</v>
      </c>
      <c r="AL58" s="40" t="str">
        <f>IFERROR(__xludf.DUMMYFUNCTION("""COMPUTED_VALUE"""),"TIENE FOTOS")</f>
        <v>TIENE FOTOS</v>
      </c>
      <c r="AM58" s="40">
        <f>IFERROR(__xludf.DUMMYFUNCTION("""COMPUTED_VALUE"""),3.128637022E9)</f>
        <v>3128637022</v>
      </c>
      <c r="AN58" s="40"/>
      <c r="AO58" s="40" t="str">
        <f>IFERROR(__xludf.DUMMYFUNCTION("""COMPUTED_VALUE"""),"GLORIA GAITAN - Paga $2.000.000 comis.")</f>
        <v>GLORIA GAITAN - Paga $2.000.000 comis.</v>
      </c>
      <c r="AP58" s="40" t="str">
        <f>IFERROR(__xludf.DUMMYFUNCTION("""COMPUTED_VALUE"""),"CALLE 29 No. 6 - 53")</f>
        <v>CALLE 29 No. 6 - 53</v>
      </c>
      <c r="AQ58" s="40"/>
      <c r="AR58" s="40"/>
      <c r="AS58" s="53">
        <f>IFERROR(__xludf.DUMMYFUNCTION("""COMPUTED_VALUE"""),350000.0)</f>
        <v>350000</v>
      </c>
      <c r="AT58" s="40">
        <f>IFERROR(__xludf.DUMMYFUNCTION("""COMPUTED_VALUE"""),0.0)</f>
        <v>0</v>
      </c>
      <c r="AU58" s="40">
        <f>IFERROR(__xludf.DUMMYFUNCTION("""COMPUTED_VALUE"""),0.0)</f>
        <v>0</v>
      </c>
      <c r="AV58" s="40">
        <f>IFERROR(__xludf.DUMMYFUNCTION("""COMPUTED_VALUE"""),0.0)</f>
        <v>0</v>
      </c>
      <c r="AW58" s="40" t="str">
        <f>IFERROR(__xludf.DUMMYFUNCTION("""COMPUTED_VALUE"""),"NO")</f>
        <v>NO</v>
      </c>
      <c r="AX58" s="40">
        <f>IFERROR(__xludf.DUMMYFUNCTION("""COMPUTED_VALUE"""),0.0)</f>
        <v>0</v>
      </c>
      <c r="AY58" s="40" t="str">
        <f>IFERROR(__xludf.DUMMYFUNCTION("""COMPUTED_VALUE"""),"P")</f>
        <v>P</v>
      </c>
      <c r="AZ58" s="40">
        <f>IFERROR(__xludf.DUMMYFUNCTION("""COMPUTED_VALUE"""),9.0)</f>
        <v>9</v>
      </c>
      <c r="BA58" s="40" t="str">
        <f>IFERROR(__xludf.DUMMYFUNCTION("""COMPUTED_VALUE"""),"X")</f>
        <v>X</v>
      </c>
      <c r="BB58" s="40">
        <f>IFERROR(__xludf.DUMMYFUNCTION("""COMPUTED_VALUE"""),20.0)</f>
        <v>20</v>
      </c>
      <c r="BC58" s="53" t="str">
        <f>IFERROR(__xludf.DUMMYFUNCTION("""COMPUTED_VALUE"""),"8 - ERNESTO POLANCO, 9 - ALBEIRO TOVAR, 40 - ALEJANDRO ROJAS MARIN, 12 - LEIDY YULIETH")</f>
        <v>8 - ERNESTO POLANCO, 9 - ALBEIRO TOVAR, 40 - ALEJANDRO ROJAS MARIN, 12 - LEIDY YULIETH</v>
      </c>
      <c r="BD58" s="48"/>
      <c r="BE58" s="48"/>
      <c r="BF58" s="48" t="str">
        <f>IFERROR(__xludf.DUMMYFUNCTION("""COMPUTED_VALUE"""),"https://lh3.googleusercontent.com/pw/AP1GczM6MAFjR8BcIivL46TM7L1RKuNSFK2NJ0gZtWORs5sJClCfIj_r8MGqbZUJWon_WQqatOKdXvFkXMauPQApe8lFIyl0q91ugIImO5OQqpNPTpDyr_U4=w1200|https://lh3.googleusercontent.com/pw/AP1GczOk6HwQYY7Lsrduag_jmTrxJdPgvX0Ji7SfDnHRME6kUGYMiN"&amp;"kbVRBQo7Ru9CkOIVpd-w1R91dZBqJBQ-pikMy8hRrciglhNIfyA-nNBIz-L1JZ9Xeu=w1200|https://lh3.googleusercontent.com/pw/AP1GczPaSpTIZTl_gBpdDNizhPy39VuOP21fjcWOwfFfPhgjTcv2ROuT-hVsMzLJyIo19r2wjzReiwMS4kuQqCq_HbIiF80PNWGLqtcU3bPRRGN6eBL3fibh=w1200|https://lh3.google"&amp;"usercontent.com/pw/AP1GczOBN6CKWYCUDl2DU0Nga7HvAfYJwzGfCMJdb9KMWfK7xuPK4jqfGhHkaCSvBbrfYeV361WRZjx3yBqkq5Exze-9TtCHb-Q53ZEgMFjip0vSVoyaGs2v=w1200|https://lh3.googleusercontent.com/pw/AP1GczNl4pjWh9bfGzPLDWOQoulbPMgpg59D4EweiMN6oGApA16DSmmKGuHHKKnoju_ByMY3"&amp;"WCL_QUw26X7-jWM734oVeGftVw4MfvUiU5gk_Kc3tLL_AoWb=w1200|https://lh3.googleusercontent.com/pw/AP1GczN3v9mE6pqcgklEcFDl-7MAIclKSWg25PKxC5xfORlmzxvK-CDV1E5ioyI0GT6CKJkPT76QRahjQKmn-QVtTzNDnSEy0DIoF-06E-iYUzgqxyZ6m2gN=w1200|https://lh3.googleusercontent.com/pw"&amp;"/AP1GczO7f42XhBXRWbhWVBFb1VMecBaU61vLbMuzmb143KRfzu5TGETV5KVehiznqy180cEyIslx7M89bQ1Bla0g7T6lLhvBYdhrKpW-u7A2LmbcXS9pAYU2=w1200|https://lh3.googleusercontent.com/pw/AP1GczPdY92J3w9XqXpzdEPkCjkHQOQo5_mD8MRM38x0g1v_2ar4lJMwGUmMyacIrH6WaDfWxCIXoqviIQq-pTHt5B"&amp;"UcIw5NhMeZBl0hlHMSfy_Qbzu-2NGP=w1200|https://lh3.googleusercontent.com/pw/AP1GczO4qJ5SiT8LI_TZotzBXBO0SkmP2aYZxWy0esOSg4E-fIqDgR1KlxEO7Ul89GJht3cRo_PZHswan4Dg5a8C8ApZK0tA3olJecvphn0euku2_fmFmWBE=w1200|https://lh3.googleusercontent.com/pw/AP1GczOSrco6vIw60"&amp;"Ct3irRbjThkpjaVwyr7vx7MRRqvA5JYSKABgYjH1EVQog1QPtu-S52kE7eOzUMo9PyTynDHJaRLOIoAYDYuO5H-qxTNUhV4buoAebFt=w1200|https://lh3.googleusercontent.com/pw/AP1GczOCofMmYNz7Kf57ZqLLfePkEWn_CgueSSEAa17Eb_7aFpfbB0XtsipnjG8Nor6_AcN6aWV-IIVVI7GvvnIzWp1Wl-FOnyxC2Fy3Kuu9"&amp;"ieCeSxTWWiSL=w1200|https://lh3.googleusercontent.com/pw/AP1GczN0idVxjq_FsF_NBVBAl5uSH4G_XkR0D6oQ6z_CO-Leyf6Qdbo8dIeRbFzeAOu7sPlypMQ7229Xb3QB7Pab27iBvoGjwvJYzxIV5lvsVJpyhArgDGTX=w1200|https://lh3.googleusercontent.com/pw/AP1GczPiQokSqmPFkQ4-9kSxvjdmoJDA9ki"&amp;"vhyp6-bDi293c0EQQh8CRYboETPQaJiOWCoQREHGiaZ3WWH98XxTVu9tGjO0PUcDooWn_dK0DfwtS0y2V0B5D=w1200|https://lh3.googleusercontent.com/pw/AP1GczPzVSHmBxfinYCzn7c7hetcTQ8UZuUf8KJXiE9JqidiomLJvR3ykZctjnTz9OXCfpj8ue-0MKLbC0Ul_bSCSUy57PcD6oEHl7MhnF2HGbhCiYS8udB5=w1200"&amp;"|https://lh3.googleusercontent.com/pw/AP1GczOf3v6XGuhk26EnJmX3UTeua7ICx0ytw9jJIUobN7tVhc9latuUnT3el5zZeTIQLWTYWy_upYWJAljmglAAPHYOrA97OHqHIN9MnBEcog9zaiuec03o=w1200|https://lh3.googleusercontent.com/pw/AP1GczNUam9Qb2jEzK5RitxmnogDdiTy16JsxwvOu2sG7lgfq2oHr"&amp;"bCCX4eCjTiezUcMG0YB9axLzp-htuHAjZIb_L7OPA7AbeaAsMddPcLPt_K4Di93Mc8c=w1200|https://lh3.googleusercontent.com/pw/AP1GczNhxhEETOh_9ntU6pSQ5_AlmdjHV7W7Y-NxoKRlzvQ6qXVw97VVqx03-lG0_Mc5nVAU2fbBkRZgR0qhLuhnfy3aXwNvnpyYPYMWrF-WX1tAw26l5A1i=w1200|https://lh3.googl"&amp;"eusercontent.com/pw/AP1GczNGFokila2H-g4feM_v4gillrS0edu25TFlcdlcu8TOkDYaXHsRa8Vy5Bo1F4U0-L-igKsQEBu8ooxzZcCgPCI2rfDT99zqW-v9V3P59SBBaiuapGU7=w1200")</f>
        <v>https://lh3.googleusercontent.com/pw/AP1GczM6MAFjR8BcIivL46TM7L1RKuNSFK2NJ0gZtWORs5sJClCfIj_r8MGqbZUJWon_WQqatOKdXvFkXMauPQApe8lFIyl0q91ugIImO5OQqpNPTpDyr_U4=w1200|https://lh3.googleusercontent.com/pw/AP1GczOk6HwQYY7Lsrduag_jmTrxJdPgvX0Ji7SfDnHRME6kUGYMiNkbVRBQo7Ru9CkOIVpd-w1R91dZBqJBQ-pikMy8hRrciglhNIfyA-nNBIz-L1JZ9Xeu=w1200|https://lh3.googleusercontent.com/pw/AP1GczPaSpTIZTl_gBpdDNizhPy39VuOP21fjcWOwfFfPhgjTcv2ROuT-hVsMzLJyIo19r2wjzReiwMS4kuQqCq_HbIiF80PNWGLqtcU3bPRRGN6eBL3fibh=w1200|https://lh3.googleusercontent.com/pw/AP1GczOBN6CKWYCUDl2DU0Nga7HvAfYJwzGfCMJdb9KMWfK7xuPK4jqfGhHkaCSvBbrfYeV361WRZjx3yBqkq5Exze-9TtCHb-Q53ZEgMFjip0vSVoyaGs2v=w1200|https://lh3.googleusercontent.com/pw/AP1GczNl4pjWh9bfGzPLDWOQoulbPMgpg59D4EweiMN6oGApA16DSmmKGuHHKKnoju_ByMY3WCL_QUw26X7-jWM734oVeGftVw4MfvUiU5gk_Kc3tLL_AoWb=w1200|https://lh3.googleusercontent.com/pw/AP1GczN3v9mE6pqcgklEcFDl-7MAIclKSWg25PKxC5xfORlmzxvK-CDV1E5ioyI0GT6CKJkPT76QRahjQKmn-QVtTzNDnSEy0DIoF-06E-iYUzgqxyZ6m2gN=w1200|https://lh3.googleusercontent.com/pw/AP1GczO7f42XhBXRWbhWVBFb1VMecBaU61vLbMuzmb143KRfzu5TGETV5KVehiznqy180cEyIslx7M89bQ1Bla0g7T6lLhvBYdhrKpW-u7A2LmbcXS9pAYU2=w1200|https://lh3.googleusercontent.com/pw/AP1GczPdY92J3w9XqXpzdEPkCjkHQOQo5_mD8MRM38x0g1v_2ar4lJMwGUmMyacIrH6WaDfWxCIXoqviIQq-pTHt5BUcIw5NhMeZBl0hlHMSfy_Qbzu-2NGP=w1200|https://lh3.googleusercontent.com/pw/AP1GczO4qJ5SiT8LI_TZotzBXBO0SkmP2aYZxWy0esOSg4E-fIqDgR1KlxEO7Ul89GJht3cRo_PZHswan4Dg5a8C8ApZK0tA3olJecvphn0euku2_fmFmWBE=w1200|https://lh3.googleusercontent.com/pw/AP1GczOSrco6vIw60Ct3irRbjThkpjaVwyr7vx7MRRqvA5JYSKABgYjH1EVQog1QPtu-S52kE7eOzUMo9PyTynDHJaRLOIoAYDYuO5H-qxTNUhV4buoAebFt=w1200|https://lh3.googleusercontent.com/pw/AP1GczOCofMmYNz7Kf57ZqLLfePkEWn_CgueSSEAa17Eb_7aFpfbB0XtsipnjG8Nor6_AcN6aWV-IIVVI7GvvnIzWp1Wl-FOnyxC2Fy3Kuu9ieCeSxTWWiSL=w1200|https://lh3.googleusercontent.com/pw/AP1GczN0idVxjq_FsF_NBVBAl5uSH4G_XkR0D6oQ6z_CO-Leyf6Qdbo8dIeRbFzeAOu7sPlypMQ7229Xb3QB7Pab27iBvoGjwvJYzxIV5lvsVJpyhArgDGTX=w1200|https://lh3.googleusercontent.com/pw/AP1GczPiQokSqmPFkQ4-9kSxvjdmoJDA9kivhyp6-bDi293c0EQQh8CRYboETPQaJiOWCoQREHGiaZ3WWH98XxTVu9tGjO0PUcDooWn_dK0DfwtS0y2V0B5D=w1200|https://lh3.googleusercontent.com/pw/AP1GczPzVSHmBxfinYCzn7c7hetcTQ8UZuUf8KJXiE9JqidiomLJvR3ykZctjnTz9OXCfpj8ue-0MKLbC0Ul_bSCSUy57PcD6oEHl7MhnF2HGbhCiYS8udB5=w1200|https://lh3.googleusercontent.com/pw/AP1GczOf3v6XGuhk26EnJmX3UTeua7ICx0ytw9jJIUobN7tVhc9latuUnT3el5zZeTIQLWTYWy_upYWJAljmglAAPHYOrA97OHqHIN9MnBEcog9zaiuec03o=w1200|https://lh3.googleusercontent.com/pw/AP1GczNUam9Qb2jEzK5RitxmnogDdiTy16JsxwvOu2sG7lgfq2oHrbCCX4eCjTiezUcMG0YB9axLzp-htuHAjZIb_L7OPA7AbeaAsMddPcLPt_K4Di93Mc8c=w1200|https://lh3.googleusercontent.com/pw/AP1GczNhxhEETOh_9ntU6pSQ5_AlmdjHV7W7Y-NxoKRlzvQ6qXVw97VVqx03-lG0_Mc5nVAU2fbBkRZgR0qhLuhnfy3aXwNvnpyYPYMWrF-WX1tAw26l5A1i=w1200|https://lh3.googleusercontent.com/pw/AP1GczNGFokila2H-g4feM_v4gillrS0edu25TFlcdlcu8TOkDYaXHsRa8Vy5Bo1F4U0-L-igKsQEBu8ooxzZcCgPCI2rfDT99zqW-v9V3P59SBBaiuapGU7=w1200</v>
      </c>
    </row>
    <row r="59">
      <c r="A59" s="39" t="str">
        <f>IFERROR(__xludf.DUMMYFUNCTION("""COMPUTED_VALUE"""),"019")</f>
        <v>019</v>
      </c>
      <c r="B59" s="40" t="str">
        <f>IFERROR(__xludf.DUMMYFUNCTION("""COMPUTED_VALUE"""),"Apartamento en edificio Quirinal - Centro")</f>
        <v>Apartamento en edificio Quirinal - Centro</v>
      </c>
      <c r="C59" s="40" t="str">
        <f>IFERROR(__xludf.DUMMYFUNCTION("""COMPUTED_VALUE"""),"Apartamento")</f>
        <v>Apartamento</v>
      </c>
      <c r="D59" s="40" t="str">
        <f>IFERROR(__xludf.DUMMYFUNCTION("""COMPUTED_VALUE"""),"Quirinal")</f>
        <v>Quirinal</v>
      </c>
      <c r="E59" s="42" t="str">
        <f>IFERROR(__xludf.DUMMYFUNCTION("""COMPUTED_VALUE""")," ")</f>
        <v> </v>
      </c>
      <c r="F59" s="42">
        <f>IFERROR(__xludf.DUMMYFUNCTION("""COMPUTED_VALUE"""),3.0E8)</f>
        <v>300000000</v>
      </c>
      <c r="G59" s="40" t="str">
        <f>IFERROR(__xludf.DUMMYFUNCTION("""COMPUTED_VALUE"""),"$300'000.000 a $400'000.000")</f>
        <v>$300'000.000 a $400'000.000</v>
      </c>
      <c r="H59" s="40"/>
      <c r="I59" s="40"/>
      <c r="J59" s="40" t="str">
        <f>IFERROR(__xludf.DUMMYFUNCTION("""COMPUTED_VALUE"""),"Centro")</f>
        <v>Centro</v>
      </c>
      <c r="K59" s="39" t="str">
        <f>IFERROR(__xludf.DUMMYFUNCTION("""COMPUTED_VALUE"""),"3")</f>
        <v>3</v>
      </c>
      <c r="L59" s="40">
        <f>IFERROR(__xludf.DUMMYFUNCTION("""COMPUTED_VALUE"""),3.0)</f>
        <v>3</v>
      </c>
      <c r="M59" s="40"/>
      <c r="N59" s="40">
        <f>IFERROR(__xludf.DUMMYFUNCTION("""COMPUTED_VALUE"""),3.0)</f>
        <v>3</v>
      </c>
      <c r="O59" s="40">
        <f>IFERROR(__xludf.DUMMYFUNCTION("""COMPUTED_VALUE"""),1.0)</f>
        <v>1</v>
      </c>
      <c r="P59" s="40">
        <f>IFERROR(__xludf.DUMMYFUNCTION("""COMPUTED_VALUE"""),3.0)</f>
        <v>3</v>
      </c>
      <c r="Q59" s="48">
        <f>IFERROR(__xludf.DUMMYFUNCTION("""COMPUTED_VALUE"""),100.0)</f>
        <v>100</v>
      </c>
      <c r="R59" s="48">
        <f>IFERROR(__xludf.DUMMYFUNCTION("""COMPUTED_VALUE"""),100.0)</f>
        <v>100</v>
      </c>
      <c r="S59" s="39" t="str">
        <f>IFERROR(__xludf.DUMMYFUNCTION("""COMPUTED_VALUE""")," ")</f>
        <v> </v>
      </c>
      <c r="T59" s="40" t="str">
        <f>IFERROR(__xludf.DUMMYFUNCTION("""COMPUTED_VALUE"""),"Neiva")</f>
        <v>Neiva</v>
      </c>
      <c r="U59" s="39" t="str">
        <f>IFERROR(__xludf.DUMMYFUNCTION("""COMPUTED_VALUE"""),"5")</f>
        <v>5</v>
      </c>
      <c r="V59" s="40" t="str">
        <f>IFERROR(__xludf.DUMMYFUNCTION("""COMPUTED_VALUE"""),"3er.")</f>
        <v>3er.</v>
      </c>
      <c r="W59" s="46"/>
      <c r="X59" s="46">
        <f>IFERROR(__xludf.DUMMYFUNCTION("""COMPUTED_VALUE"""),3.0)</f>
        <v>3</v>
      </c>
      <c r="Y59" s="40" t="str">
        <f>IFERROR(__xludf.DUMMYFUNCTION("""COMPUTED_VALUE"""),"Social")</f>
        <v>Social</v>
      </c>
      <c r="Z59" s="42">
        <f>IFERROR(__xludf.DUMMYFUNCTION("""COMPUTED_VALUE"""),363000.0)</f>
        <v>363000</v>
      </c>
      <c r="AA59" s="49" t="str">
        <f>IFERROR(__xludf.DUMMYFUNCTION("""COMPUTED_VALUE"""),"No aplica")</f>
        <v>No aplica</v>
      </c>
      <c r="AB59" s="105" t="str">
        <f>IFERROR(__xludf.DUMMYFUNCTION("""COMPUTED_VALUE"""),"https://photos.app.goo.gl/Y17QF47eCpuRLgSh8")</f>
        <v>https://photos.app.goo.gl/Y17QF47eCpuRLgSh8</v>
      </c>
      <c r="AC59" s="40" t="str">
        <f>IFERROR(__xludf.DUMMYFUNCTION("""COMPUTED_VALUE"""),"Apartamento en venta en el centro de Neiva, ubicado en el tercer piso del reconocido Edificio Quirinal. Inmueble de estrato 5 con excelentes acabados, ideal para familias que buscan vivir en el corazón de la ciudad con acceso inmediato a bancos, colegios "&amp;"y comercio. Cuenta con zona social con piscina compartida, parqueadero privado cubierto y cocina integral. Una de las mejores opciones de apartamentos en venta en el centro de Neiva con este nivel de especificaciones.")</f>
        <v>Apartamento en venta en el centro de Neiva, ubicado en el tercer piso del reconocido Edificio Quirinal. Inmueble de estrato 5 con excelentes acabados, ideal para familias que buscan vivir en el corazón de la ciudad con acceso inmediato a bancos, colegios y comercio. Cuenta con zona social con piscina compartida, parqueadero privado cubierto y cocina integral. Una de las mejores opciones de apartamentos en venta en el centro de Neiva con este nivel de especificaciones.</v>
      </c>
      <c r="AD59" s="40" t="str">
        <f>IFERROR(__xludf.DUMMYFUNCTION("""COMPUTED_VALUE"""),"Casa en el tercer piso del edificio Quirinal en el centro de Neiva. 3 habitaciones, 3 baños, garaje privado, cocina integral y zona social con piscina. Área construida de 100 m², estrato 5. Escritura al día.")</f>
        <v>Casa en el tercer piso del edificio Quirinal en el centro de Neiva. 3 habitaciones, 3 baños, garaje privado, cocina integral y zona social con piscina. Área construida de 100 m², estrato 5. Escritura al día.</v>
      </c>
      <c r="AE59" s="40"/>
      <c r="AF59" s="40" t="str">
        <f>IFERROR(__xludf.DUMMYFUNCTION("""COMPUTED_VALUE"""),"integral")</f>
        <v>integral</v>
      </c>
      <c r="AG59" s="40" t="str">
        <f>IFERROR(__xludf.DUMMYFUNCTION("""COMPUTED_VALUE"""),"SI")</f>
        <v>SI</v>
      </c>
      <c r="AH59" s="40" t="str">
        <f>IFERROR(__xludf.DUMMYFUNCTION("""COMPUTED_VALUE"""),"Inventario")</f>
        <v>Inventario</v>
      </c>
      <c r="AI59" s="40" t="str">
        <f>IFERROR(__xludf.DUMMYFUNCTION("""COMPUTED_VALUE"""),"Verbal")</f>
        <v>Verbal</v>
      </c>
      <c r="AJ59" s="40" t="str">
        <f>IFERROR(__xludf.DUMMYFUNCTION("""COMPUTED_VALUE"""),"ICDE")</f>
        <v>ICDE</v>
      </c>
      <c r="AK59" s="40" t="str">
        <f>IFERROR(__xludf.DUMMYFUNCTION("""COMPUTED_VALUE"""),"SIN CONTRATO")</f>
        <v>SIN CONTRATO</v>
      </c>
      <c r="AL59" s="40" t="str">
        <f>IFERROR(__xludf.DUMMYFUNCTION("""COMPUTED_VALUE"""),"TIENE FOTOS-DESCRIP")</f>
        <v>TIENE FOTOS-DESCRIP</v>
      </c>
      <c r="AM59" s="40">
        <f>IFERROR(__xludf.DUMMYFUNCTION("""COMPUTED_VALUE"""),3.003250986E9)</f>
        <v>3003250986</v>
      </c>
      <c r="AN59" s="40"/>
      <c r="AO59" s="40" t="str">
        <f>IFERROR(__xludf.DUMMYFUNCTION("""COMPUTED_VALUE"""),"DARIO AREVALO")</f>
        <v>DARIO AREVALO</v>
      </c>
      <c r="AP59" s="40" t="str">
        <f>IFERROR(__xludf.DUMMYFUNCTION("""COMPUTED_VALUE"""),"Carrera 5A NO. 16-53")</f>
        <v>Carrera 5A NO. 16-53</v>
      </c>
      <c r="AQ59" s="40">
        <f>IFERROR(__xludf.DUMMYFUNCTION("""COMPUTED_VALUE"""),2.9345002)</f>
        <v>2.9345002</v>
      </c>
      <c r="AR59" s="40">
        <f>IFERROR(__xludf.DUMMYFUNCTION("""COMPUTED_VALUE"""),-75.2904583)</f>
        <v>-75.2904583</v>
      </c>
      <c r="AS59" s="53">
        <f>IFERROR(__xludf.DUMMYFUNCTION("""COMPUTED_VALUE"""),0.0)</f>
        <v>0</v>
      </c>
      <c r="AT59" s="40">
        <f>IFERROR(__xludf.DUMMYFUNCTION("""COMPUTED_VALUE"""),0.0)</f>
        <v>0</v>
      </c>
      <c r="AU59" s="40">
        <f>IFERROR(__xludf.DUMMYFUNCTION("""COMPUTED_VALUE"""),0.0)</f>
        <v>0</v>
      </c>
      <c r="AV59" s="40">
        <f>IFERROR(__xludf.DUMMYFUNCTION("""COMPUTED_VALUE"""),0.0)</f>
        <v>0</v>
      </c>
      <c r="AW59" s="40" t="str">
        <f>IFERROR(__xludf.DUMMYFUNCTION("""COMPUTED_VALUE"""),"NO")</f>
        <v>NO</v>
      </c>
      <c r="AX59" s="40">
        <f>IFERROR(__xludf.DUMMYFUNCTION("""COMPUTED_VALUE"""),0.0)</f>
        <v>0</v>
      </c>
      <c r="AY59" s="40">
        <f>IFERROR(__xludf.DUMMYFUNCTION("""COMPUTED_VALUE"""),0.0)</f>
        <v>0</v>
      </c>
      <c r="AZ59" s="40">
        <f>IFERROR(__xludf.DUMMYFUNCTION("""COMPUTED_VALUE"""),0.0)</f>
        <v>0</v>
      </c>
      <c r="BA59" s="40" t="str">
        <f>IFERROR(__xludf.DUMMYFUNCTION("""COMPUTED_VALUE"""),"X")</f>
        <v>X</v>
      </c>
      <c r="BB59" s="40">
        <f>IFERROR(__xludf.DUMMYFUNCTION("""COMPUTED_VALUE"""),0.0)</f>
        <v>0</v>
      </c>
      <c r="BC59" s="53"/>
      <c r="BD59" s="48"/>
      <c r="BE59" s="48"/>
      <c r="BF59" s="48" t="str">
        <f>IFERROR(__xludf.DUMMYFUNCTION("""COMPUTED_VALUE"""),"https://lh3.googleusercontent.com/pw/AP1GczOJNmjeCqDVcM_kX_hHvaB6vWlGVY_XlAyHu_PodnNUY8dFgM0YAuoc3JNQ-mls4USUXYPjixiW5FYDfHMYsdNeOIT4MVelp93mG6BlvwHI1vqoUA-8=w1200|https://lh3.googleusercontent.com/pw/AP1GczNUbTnBJGaY8V4Iw-gVoKxQkdWNM2pJRIfKjzaEee5mxav0R5"&amp;"5cj6rluZmVerrog3l9hkFRuRQmFD9mx2z4soxN_5rE8Dp3Wo4fmU4pH7VCSahN8egX=w1200|https://lh3.googleusercontent.com/pw/AP1GczOH_o-xj93sLdZnMBdzlyoMYUqDo4PiyEXuo8roQXIQjOnbROPWvnQWa6AoX3eJf7EqTHNft25Wb5GtS4XibpY53NAVaWScIKICPpeWd7sqUoWr03bU=w1200|https://lh3.google"&amp;"usercontent.com/pw/AP1GczMW_494_mfnr3UlO4bOmsxNELQcOvQtupnNlhTu2R3YF-xt70g1G_xhBl0dtI_2RSRxD50zeuJmzxvi3Fbs6gOIo4haektyxr7kk78TVF9cpqfbrFFT=w1200|https://lh3.googleusercontent.com/pw/AP1GczPH8yeH0I9MPiIR5I4b3r84OuNuWDn9DTVU_tPZVnDLR_U9223keOH5bOlYOMZUwSQT"&amp;"5hQyEAB4oEMtZAO-tclbiRJu0L7mw8RcLjTk3NYQVc5JcbLe=w1200|https://lh3.googleusercontent.com/pw/AP1GczN390-L7e-dhb58CDCokCNgnRhsZAen_5Ko4FDdXOBOqeJIQrJd05oPfGlW9pl_rrSa8Xb4anll7expzVToBbLG_DrHO0CJ_u3j9KEg3CaO2kALcV-Q=w1200|https://lh3.googleusercontent.com/pw"&amp;"/AP1GczMgL3M_emCR7-dMtOD810QIzdKXW9IUlMjvYfMPcT-FLQ1CkJY6YQV5epLYmG8BdjiHNP_IX0LonhUEp7-zYqfoPaORQWc-IyWDcFA5ka7QH1Qqt7m0=w1200|https://lh3.googleusercontent.com/pw/AP1GczPFYtNMEcBgq7yyK1iif9StUdIXvzxWUVaC4QJf-Lm3UPzSC9WzGiZLNtKD-wo8JG6WP4w7uMAdy8Y4ZZhu0X"&amp;"-_vx0ATn3IcYr2v7KRtT6H527jqloy=w1200|https://lh3.googleusercontent.com/pw/AP1GczP-yXMNXfUPN_DwkQjDWBv5r6ON7fRGz0dbh_0IxJib81592ajnfbYndF1dRoUegRYTgmQI3bJNePUT0_o3N-4NWm04VV2gyXbTLWlEGK3Fs1ullR9P=w1200")</f>
        <v>https://lh3.googleusercontent.com/pw/AP1GczOJNmjeCqDVcM_kX_hHvaB6vWlGVY_XlAyHu_PodnNUY8dFgM0YAuoc3JNQ-mls4USUXYPjixiW5FYDfHMYsdNeOIT4MVelp93mG6BlvwHI1vqoUA-8=w1200|https://lh3.googleusercontent.com/pw/AP1GczNUbTnBJGaY8V4Iw-gVoKxQkdWNM2pJRIfKjzaEee5mxav0R55cj6rluZmVerrog3l9hkFRuRQmFD9mx2z4soxN_5rE8Dp3Wo4fmU4pH7VCSahN8egX=w1200|https://lh3.googleusercontent.com/pw/AP1GczOH_o-xj93sLdZnMBdzlyoMYUqDo4PiyEXuo8roQXIQjOnbROPWvnQWa6AoX3eJf7EqTHNft25Wb5GtS4XibpY53NAVaWScIKICPpeWd7sqUoWr03bU=w1200|https://lh3.googleusercontent.com/pw/AP1GczMW_494_mfnr3UlO4bOmsxNELQcOvQtupnNlhTu2R3YF-xt70g1G_xhBl0dtI_2RSRxD50zeuJmzxvi3Fbs6gOIo4haektyxr7kk78TVF9cpqfbrFFT=w1200|https://lh3.googleusercontent.com/pw/AP1GczPH8yeH0I9MPiIR5I4b3r84OuNuWDn9DTVU_tPZVnDLR_U9223keOH5bOlYOMZUwSQT5hQyEAB4oEMtZAO-tclbiRJu0L7mw8RcLjTk3NYQVc5JcbLe=w1200|https://lh3.googleusercontent.com/pw/AP1GczN390-L7e-dhb58CDCokCNgnRhsZAen_5Ko4FDdXOBOqeJIQrJd05oPfGlW9pl_rrSa8Xb4anll7expzVToBbLG_DrHO0CJ_u3j9KEg3CaO2kALcV-Q=w1200|https://lh3.googleusercontent.com/pw/AP1GczMgL3M_emCR7-dMtOD810QIzdKXW9IUlMjvYfMPcT-FLQ1CkJY6YQV5epLYmG8BdjiHNP_IX0LonhUEp7-zYqfoPaORQWc-IyWDcFA5ka7QH1Qqt7m0=w1200|https://lh3.googleusercontent.com/pw/AP1GczPFYtNMEcBgq7yyK1iif9StUdIXvzxWUVaC4QJf-Lm3UPzSC9WzGiZLNtKD-wo8JG6WP4w7uMAdy8Y4ZZhu0X-_vx0ATn3IcYr2v7KRtT6H527jqloy=w1200|https://lh3.googleusercontent.com/pw/AP1GczP-yXMNXfUPN_DwkQjDWBv5r6ON7fRGz0dbh_0IxJib81592ajnfbYndF1dRoUegRYTgmQI3bJNePUT0_o3N-4NWm04VV2gyXbTLWlEGK3Fs1ullR9P=w1200</v>
      </c>
    </row>
    <row r="60">
      <c r="A60" s="39" t="str">
        <f>IFERROR(__xludf.DUMMYFUNCTION("""COMPUTED_VALUE"""),"112")</f>
        <v>112</v>
      </c>
      <c r="B60" s="40" t="str">
        <f>IFERROR(__xludf.DUMMYFUNCTION("""COMPUTED_VALUE"""),"Casa con dos apartamentos y un apartaestudio en barrio Los Cámbulos II")</f>
        <v>Casa con dos apartamentos y un apartaestudio en barrio Los Cámbulos II</v>
      </c>
      <c r="C60" s="40" t="str">
        <f>IFERROR(__xludf.DUMMYFUNCTION("""COMPUTED_VALUE"""),"Casa rentable")</f>
        <v>Casa rentable</v>
      </c>
      <c r="D60" s="40" t="str">
        <f>IFERROR(__xludf.DUMMYFUNCTION("""COMPUTED_VALUE"""),"Los Cámbulos II")</f>
        <v>Los Cámbulos II</v>
      </c>
      <c r="E60" s="42" t="str">
        <f>IFERROR(__xludf.DUMMYFUNCTION("""COMPUTED_VALUE""")," ")</f>
        <v> </v>
      </c>
      <c r="F60" s="42">
        <f>IFERROR(__xludf.DUMMYFUNCTION("""COMPUTED_VALUE"""),2.85E8)</f>
        <v>285000000</v>
      </c>
      <c r="G60" s="40" t="str">
        <f>IFERROR(__xludf.DUMMYFUNCTION("""COMPUTED_VALUE"""),"$200'000.000 a $300'000.000")</f>
        <v>$200'000.000 a $300'000.000</v>
      </c>
      <c r="H60" s="40"/>
      <c r="I60" s="40"/>
      <c r="J60" s="40" t="str">
        <f>IFERROR(__xludf.DUMMYFUNCTION("""COMPUTED_VALUE"""),"Norte")</f>
        <v>Norte</v>
      </c>
      <c r="K60" s="39" t="str">
        <f>IFERROR(__xludf.DUMMYFUNCTION("""COMPUTED_VALUE"""),"2")</f>
        <v>2</v>
      </c>
      <c r="L60" s="40">
        <f>IFERROR(__xludf.DUMMYFUNCTION("""COMPUTED_VALUE"""),5.0)</f>
        <v>5</v>
      </c>
      <c r="M60" s="40"/>
      <c r="N60" s="40">
        <f>IFERROR(__xludf.DUMMYFUNCTION("""COMPUTED_VALUE"""),4.0)</f>
        <v>4</v>
      </c>
      <c r="O60" s="40">
        <f>IFERROR(__xludf.DUMMYFUNCTION("""COMPUTED_VALUE"""),2.0)</f>
        <v>2</v>
      </c>
      <c r="P60" s="40">
        <f>IFERROR(__xludf.DUMMYFUNCTION("""COMPUTED_VALUE"""),2.0)</f>
        <v>2</v>
      </c>
      <c r="Q60" s="48">
        <f>IFERROR(__xludf.DUMMYFUNCTION("""COMPUTED_VALUE"""),15.0)</f>
        <v>15</v>
      </c>
      <c r="R60" s="48">
        <f>IFERROR(__xludf.DUMMYFUNCTION("""COMPUTED_VALUE"""),112.0)</f>
        <v>112</v>
      </c>
      <c r="S60" s="39" t="str">
        <f>IFERROR(__xludf.DUMMYFUNCTION("""COMPUTED_VALUE"""),"Rentabilidad $1,600,000")</f>
        <v>Rentabilidad $1,600,000</v>
      </c>
      <c r="T60" s="40" t="str">
        <f>IFERROR(__xludf.DUMMYFUNCTION("""COMPUTED_VALUE"""),"Neiva")</f>
        <v>Neiva</v>
      </c>
      <c r="U60" s="39" t="str">
        <f>IFERROR(__xludf.DUMMYFUNCTION("""COMPUTED_VALUE"""),"3")</f>
        <v>3</v>
      </c>
      <c r="V60" s="40" t="str">
        <f>IFERROR(__xludf.DUMMYFUNCTION("""COMPUTED_VALUE"""),"Esquinera")</f>
        <v>Esquinera</v>
      </c>
      <c r="W60" s="46"/>
      <c r="X60" s="46">
        <f>IFERROR(__xludf.DUMMYFUNCTION("""COMPUTED_VALUE"""),5.0)</f>
        <v>5</v>
      </c>
      <c r="Y60" s="40" t="str">
        <f>IFERROR(__xludf.DUMMYFUNCTION("""COMPUTED_VALUE"""),"No tiene")</f>
        <v>No tiene</v>
      </c>
      <c r="Z60" s="42" t="str">
        <f>IFERROR(__xludf.DUMMYFUNCTION("""COMPUTED_VALUE"""),"No aplica")</f>
        <v>No aplica</v>
      </c>
      <c r="AA60" s="49" t="str">
        <f>IFERROR(__xludf.DUMMYFUNCTION("""COMPUTED_VALUE"""),"15 años")</f>
        <v>15 años</v>
      </c>
      <c r="AB60" s="105" t="str">
        <f>IFERROR(__xludf.DUMMYFUNCTION("""COMPUTED_VALUE"""),"https://photos.app.goo.gl/crR3aocbxuAfbeoP8")</f>
        <v>https://photos.app.goo.gl/crR3aocbxuAfbeoP8</v>
      </c>
      <c r="AC60" s="40"/>
      <c r="AD60" s="40" t="str">
        <f>IFERROR(__xludf.DUMMYFUNCTION("""COMPUTED_VALUE"""),"Dimensión del lote 7.0 ml x 16.0 ml. Ubicada sobre vía vehicular. Buenos acabados. Escritura al día. No se permuta.")</f>
        <v>Dimensión del lote 7.0 ml x 16.0 ml. Ubicada sobre vía vehicular. Buenos acabados. Escritura al día. No se permuta.</v>
      </c>
      <c r="AE60" s="40"/>
      <c r="AF60" s="40" t="str">
        <f>IFERROR(__xludf.DUMMYFUNCTION("""COMPUTED_VALUE"""),"semi-integral")</f>
        <v>semi-integral</v>
      </c>
      <c r="AG60" s="40"/>
      <c r="AH60" s="40" t="str">
        <f>IFERROR(__xludf.DUMMYFUNCTION("""COMPUTED_VALUE"""),"Inventario")</f>
        <v>Inventario</v>
      </c>
      <c r="AI60" s="40" t="str">
        <f>IFERROR(__xludf.DUMMYFUNCTION("""COMPUTED_VALUE"""),"Verbal")</f>
        <v>Verbal</v>
      </c>
      <c r="AJ60" s="40" t="str">
        <f>IFERROR(__xludf.DUMMYFUNCTION("""COMPUTED_VALUE"""),"ICDE")</f>
        <v>ICDE</v>
      </c>
      <c r="AK60" s="40" t="str">
        <f>IFERROR(__xludf.DUMMYFUNCTION("""COMPUTED_VALUE"""),"YA NO VENDE - Floro")</f>
        <v>YA NO VENDE - Floro</v>
      </c>
      <c r="AL60" s="40" t="str">
        <f>IFERROR(__xludf.DUMMYFUNCTION("""COMPUTED_VALUE"""),"TIENE FOTOS")</f>
        <v>TIENE FOTOS</v>
      </c>
      <c r="AM60" s="40" t="str">
        <f>IFERROR(__xludf.DUMMYFUNCTION("""COMPUTED_VALUE"""),"HIJA - 3166199358 - 3186996192")</f>
        <v>HIJA - 3166199358 - 3186996192</v>
      </c>
      <c r="AN60" s="40" t="str">
        <f>IFERROR(__xludf.DUMMYFUNCTION("""COMPUTED_VALUE"""),"3132414739-8742120")</f>
        <v>3132414739-8742120</v>
      </c>
      <c r="AO60" s="40" t="str">
        <f>IFERROR(__xludf.DUMMYFUNCTION("""COMPUTED_VALUE"""),"Floro 318699 - Rocio 316619")</f>
        <v>Floro 318699 - Rocio 316619</v>
      </c>
      <c r="AP60" s="40" t="str">
        <f>IFERROR(__xludf.DUMMYFUNCTION("""COMPUTED_VALUE"""),"Calle 33A No.9-03")</f>
        <v>Calle 33A No.9-03</v>
      </c>
      <c r="AQ60" s="40"/>
      <c r="AR60" s="40"/>
      <c r="AS60" s="53">
        <f>IFERROR(__xludf.DUMMYFUNCTION("""COMPUTED_VALUE"""),1600000.0)</f>
        <v>1600000</v>
      </c>
      <c r="AT60" s="40">
        <f>IFERROR(__xludf.DUMMYFUNCTION("""COMPUTED_VALUE"""),0.0)</f>
        <v>0</v>
      </c>
      <c r="AU60" s="40">
        <f>IFERROR(__xludf.DUMMYFUNCTION("""COMPUTED_VALUE"""),0.0)</f>
        <v>0</v>
      </c>
      <c r="AV60" s="40">
        <f>IFERROR(__xludf.DUMMYFUNCTION("""COMPUTED_VALUE"""),0.0)</f>
        <v>0</v>
      </c>
      <c r="AW60" s="40" t="str">
        <f>IFERROR(__xludf.DUMMYFUNCTION("""COMPUTED_VALUE"""),"NO")</f>
        <v>NO</v>
      </c>
      <c r="AX60" s="40">
        <f>IFERROR(__xludf.DUMMYFUNCTION("""COMPUTED_VALUE"""),0.0)</f>
        <v>0</v>
      </c>
      <c r="AY60" s="40">
        <f>IFERROR(__xludf.DUMMYFUNCTION("""COMPUTED_VALUE"""),0.0)</f>
        <v>0</v>
      </c>
      <c r="AZ60" s="40">
        <f>IFERROR(__xludf.DUMMYFUNCTION("""COMPUTED_VALUE"""),7.0)</f>
        <v>7</v>
      </c>
      <c r="BA60" s="40" t="str">
        <f>IFERROR(__xludf.DUMMYFUNCTION("""COMPUTED_VALUE"""),"X")</f>
        <v>X</v>
      </c>
      <c r="BB60" s="40">
        <f>IFERROR(__xludf.DUMMYFUNCTION("""COMPUTED_VALUE"""),16.0)</f>
        <v>16</v>
      </c>
      <c r="BC60" s="53"/>
      <c r="BD60" s="48"/>
      <c r="BE60" s="48"/>
      <c r="BF60" s="48" t="str">
        <f>IFERROR(__xludf.DUMMYFUNCTION("""COMPUTED_VALUE"""),"https://lh3.googleusercontent.com/pw/AP1GczOFTT8DNwDiUtQ8JxGWnXzLOyG1pISEE90IK9Vzvw1ahQlR3v9svLPNX74vNdmubYGqRE-D1N0gtctLX3FAhZ1i3hrmPj3fIdF-Rk-5WSoHsHfBN9gK=w1200|https://lh3.googleusercontent.com/pw/AP1GczODRO5zqJyMI89jXjWfwDmr7aLRx836xxTxg7_WIt_x5aFahh"&amp;"O2lndy6SRdSR_-vGwwnyQG4QaNM_wyqvI-FF5d-G9RAF45rHYqRoRvuyjOxX50YreJ=w1200|https://lh3.googleusercontent.com/pw/AP1GczOjcuQMox7HnAPPWyTaBsklTVg70ezbqZvxSe6yBOD_usEZRmhaz9vB_1KmfrHMyYExtRTTDCMmxRHSWAOEeIE9ima4vdvTtYqsAUVjZlFatyyUAjrq=w1200|https://lh3.google"&amp;"usercontent.com/pw/AP1GczOBSlGldjBS2ovwBa_akeFz5uRfduLwj8mmn7UHlawF6shMay7bu8s1q8Zz-S7p2S9owOKRG6DEyxsrXTj0LLL_Z7pG2f7BiTyTy8Ktm_KQC3aWA1jM=w1200|https://lh3.googleusercontent.com/pw/AP1GczNcvWtyLSayeD_OJmeBoTS6la-dL0XSlRJ8Fz5zMg7cYfXCZGIJVkNhLDyNQuLTId_0"&amp;"YX0_KM0JNUBrdxFyRgzH7tB2r2jMCG8S60RHOemg_mSmYqjE=w1200|https://lh3.googleusercontent.com/pw/AP1GczOBIDI2BnEzqiAFyYlo-IsFNNNkWzI0y-Dp4b7xQ5ifYkeV9p1m66OVIsQx7cmLCokNCIeIU05__h2ScYkCDt7fkGEYiwYchZsHsMVVNfK7u_W0xExS=w1200|https://lh3.googleusercontent.com/pw"&amp;"/AP1GczOMgHQFcukN355IAcARYQ5LhHLkHatBANpfz73u1qjExSLYV2K51tPcpZzpjD_GEreu8547UPM3WNSaN6vRpekBlHWCVhrpVoUmeSqvAveapbUyhmRT=w1200|https://lh3.googleusercontent.com/pw/AP1GczOHlqf9QnLKXRXU8Pv-k_Tierkmsm_eF7rrj0BoX9XmPDLO3FkmkIqesQKtql-5Ep-cX2wceBiBx_Nux4NZMW"&amp;"zrkdNwGzfsG9MLSrpOs5eLL7akhsAZ=w1200|https://lh3.googleusercontent.com/pw/AP1GczPJR9-HGL0aV6izGntMOgXNJOHPEjdOoQs0ObVNT4ZCpfnaWxjRwewYwuLJX3zm3cshPVpcGlgWhNydn5bNn4LzxXNZgy9-svFA_oIbfWiFZZ6Rd7o_=w1200|https://lh3.googleusercontent.com/pw/AP1GczP1it4L59ils"&amp;"noFe1KEPjgQ34BrwXaxUuM_E0EngjTVS-7g3_F-aOeDUA9hnJffpR2Ofj6TdkqOpsWPM_2UmD3yZaRlt9WwL5jx2m7t0d89C76K3Kay=w1200|https://lh3.googleusercontent.com/pw/AP1GczNs-YqU4Fp8JSqyRuw31ocz2LgLS_WQ47qLaJsq-hIi57z82eKzGPL5Erj7X_ogY5jr6tZHTq_LUMwX1lHCqR8tkvNzXqcSBFDEKgfS"&amp;"GbHHGjiLveTg=w1200|https://lh3.googleusercontent.com/pw/AP1GczOqjO7fIfzetf_dL1katf0MspoRi5kmmqRqyWFQ-404lP3cNLdafRugysZfdLDI26wqi6dTfJfTcHsMp3nob9NLoGztircd-gwYNUiw2mTid9iaxFqP=w1200|https://lh3.googleusercontent.com/pw/AP1GczN3t7KxyI6-1MXoQZO-0NHDgznkKxn"&amp;"PuBOaUH3c2xyfnDe0gcaWjVDF7w38skboa0wTvb97YNCOs7_P4NwiWVuRsdcGHCu2tjdekobePctUWW101pqW=w1200|https://lh3.googleusercontent.com/pw/AP1GczM-WyrPH_LdS6KnoKw9MIuh11k-iN4jWEfiEWsMGQVJHnA_uwZsA1B79wfPB6tijHWEpVDqWAizfQ8l9rTILekjb5Pn7g8VpAauBfEtuhSuePb0KZBq=w1200"&amp;"|https://lh3.googleusercontent.com/pw/AP1GczMS0ixc6KQ7p0UY6BcYP4eGP1m2ladrEf_7H3k30jZ677nQ9UzaRQzWCq_m3fiiwH8WqkF2Wli2KTh88stoGPOy0u0DD4SFwVsfLItmgGkwOde5ehwh=w1200|https://lh3.googleusercontent.com/pw/AP1GczMSNs1yL--OdEl36BT8tEVpEAm4CV7VdzrFfE4RsFEDqL16s"&amp;"qvVZvUT9CBTdAmx3HdVg8AEWnhy2cMaBtWMu1c5vDqwWf7-oTPx_xmeGjfOhsJtwdVU=w1200|https://lh3.googleusercontent.com/pw/AP1GczP2sTl34H4MkApxDJudVokA-E2RK3Kl-rGcI4hIo1ysjLpFElTponAhthgnYn3AcA5lRndtGN9ffxmaoq1N4mGKyrhV9i6-B9T9VypxB0MxDXed8WgU=w1200|https://lh3.googl"&amp;"eusercontent.com/pw/AP1GczNT4cu-U4F8ZerZ9PFfjqEE7UfLODJqAoTykEfAcU7-txrcCBaybBTVQwBwG2uaNX69adU0HpXJA2TJhljGPxZpiQGZdoaYRZ-x7BLXhLmQxdvN4QM8=w1200")</f>
        <v>https://lh3.googleusercontent.com/pw/AP1GczOFTT8DNwDiUtQ8JxGWnXzLOyG1pISEE90IK9Vzvw1ahQlR3v9svLPNX74vNdmubYGqRE-D1N0gtctLX3FAhZ1i3hrmPj3fIdF-Rk-5WSoHsHfBN9gK=w1200|https://lh3.googleusercontent.com/pw/AP1GczODRO5zqJyMI89jXjWfwDmr7aLRx836xxTxg7_WIt_x5aFahhO2lndy6SRdSR_-vGwwnyQG4QaNM_wyqvI-FF5d-G9RAF45rHYqRoRvuyjOxX50YreJ=w1200|https://lh3.googleusercontent.com/pw/AP1GczOjcuQMox7HnAPPWyTaBsklTVg70ezbqZvxSe6yBOD_usEZRmhaz9vB_1KmfrHMyYExtRTTDCMmxRHSWAOEeIE9ima4vdvTtYqsAUVjZlFatyyUAjrq=w1200|https://lh3.googleusercontent.com/pw/AP1GczOBSlGldjBS2ovwBa_akeFz5uRfduLwj8mmn7UHlawF6shMay7bu8s1q8Zz-S7p2S9owOKRG6DEyxsrXTj0LLL_Z7pG2f7BiTyTy8Ktm_KQC3aWA1jM=w1200|https://lh3.googleusercontent.com/pw/AP1GczNcvWtyLSayeD_OJmeBoTS6la-dL0XSlRJ8Fz5zMg7cYfXCZGIJVkNhLDyNQuLTId_0YX0_KM0JNUBrdxFyRgzH7tB2r2jMCG8S60RHOemg_mSmYqjE=w1200|https://lh3.googleusercontent.com/pw/AP1GczOBIDI2BnEzqiAFyYlo-IsFNNNkWzI0y-Dp4b7xQ5ifYkeV9p1m66OVIsQx7cmLCokNCIeIU05__h2ScYkCDt7fkGEYiwYchZsHsMVVNfK7u_W0xExS=w1200|https://lh3.googleusercontent.com/pw/AP1GczOMgHQFcukN355IAcARYQ5LhHLkHatBANpfz73u1qjExSLYV2K51tPcpZzpjD_GEreu8547UPM3WNSaN6vRpekBlHWCVhrpVoUmeSqvAveapbUyhmRT=w1200|https://lh3.googleusercontent.com/pw/AP1GczOHlqf9QnLKXRXU8Pv-k_Tierkmsm_eF7rrj0BoX9XmPDLO3FkmkIqesQKtql-5Ep-cX2wceBiBx_Nux4NZMWzrkdNwGzfsG9MLSrpOs5eLL7akhsAZ=w1200|https://lh3.googleusercontent.com/pw/AP1GczPJR9-HGL0aV6izGntMOgXNJOHPEjdOoQs0ObVNT4ZCpfnaWxjRwewYwuLJX3zm3cshPVpcGlgWhNydn5bNn4LzxXNZgy9-svFA_oIbfWiFZZ6Rd7o_=w1200|https://lh3.googleusercontent.com/pw/AP1GczP1it4L59ilsnoFe1KEPjgQ34BrwXaxUuM_E0EngjTVS-7g3_F-aOeDUA9hnJffpR2Ofj6TdkqOpsWPM_2UmD3yZaRlt9WwL5jx2m7t0d89C76K3Kay=w1200|https://lh3.googleusercontent.com/pw/AP1GczNs-YqU4Fp8JSqyRuw31ocz2LgLS_WQ47qLaJsq-hIi57z82eKzGPL5Erj7X_ogY5jr6tZHTq_LUMwX1lHCqR8tkvNzXqcSBFDEKgfSGbHHGjiLveTg=w1200|https://lh3.googleusercontent.com/pw/AP1GczOqjO7fIfzetf_dL1katf0MspoRi5kmmqRqyWFQ-404lP3cNLdafRugysZfdLDI26wqi6dTfJfTcHsMp3nob9NLoGztircd-gwYNUiw2mTid9iaxFqP=w1200|https://lh3.googleusercontent.com/pw/AP1GczN3t7KxyI6-1MXoQZO-0NHDgznkKxnPuBOaUH3c2xyfnDe0gcaWjVDF7w38skboa0wTvb97YNCOs7_P4NwiWVuRsdcGHCu2tjdekobePctUWW101pqW=w1200|https://lh3.googleusercontent.com/pw/AP1GczM-WyrPH_LdS6KnoKw9MIuh11k-iN4jWEfiEWsMGQVJHnA_uwZsA1B79wfPB6tijHWEpVDqWAizfQ8l9rTILekjb5Pn7g8VpAauBfEtuhSuePb0KZBq=w1200|https://lh3.googleusercontent.com/pw/AP1GczMS0ixc6KQ7p0UY6BcYP4eGP1m2ladrEf_7H3k30jZ677nQ9UzaRQzWCq_m3fiiwH8WqkF2Wli2KTh88stoGPOy0u0DD4SFwVsfLItmgGkwOde5ehwh=w1200|https://lh3.googleusercontent.com/pw/AP1GczMSNs1yL--OdEl36BT8tEVpEAm4CV7VdzrFfE4RsFEDqL16sqvVZvUT9CBTdAmx3HdVg8AEWnhy2cMaBtWMu1c5vDqwWf7-oTPx_xmeGjfOhsJtwdVU=w1200|https://lh3.googleusercontent.com/pw/AP1GczP2sTl34H4MkApxDJudVokA-E2RK3Kl-rGcI4hIo1ysjLpFElTponAhthgnYn3AcA5lRndtGN9ffxmaoq1N4mGKyrhV9i6-B9T9VypxB0MxDXed8WgU=w1200|https://lh3.googleusercontent.com/pw/AP1GczNT4cu-U4F8ZerZ9PFfjqEE7UfLODJqAoTykEfAcU7-txrcCBaybBTVQwBwG2uaNX69adU0HpXJA2TJhljGPxZpiQGZdoaYRZ-x7BLXhLmQxdvN4QM8=w1200</v>
      </c>
    </row>
    <row r="61">
      <c r="A61" s="39" t="str">
        <f>IFERROR(__xludf.DUMMYFUNCTION("""COMPUTED_VALUE"""),"108")</f>
        <v>108</v>
      </c>
      <c r="B61" s="40" t="str">
        <f>IFERROR(__xludf.DUMMYFUNCTION("""COMPUTED_VALUE"""),"Casa más dos apartaestudios en barrio Las Granjas")</f>
        <v>Casa más dos apartaestudios en barrio Las Granjas</v>
      </c>
      <c r="C61" s="40" t="str">
        <f>IFERROR(__xludf.DUMMYFUNCTION("""COMPUTED_VALUE"""),"Casa rentable")</f>
        <v>Casa rentable</v>
      </c>
      <c r="D61" s="40" t="str">
        <f>IFERROR(__xludf.DUMMYFUNCTION("""COMPUTED_VALUE"""),"Las Granjas")</f>
        <v>Las Granjas</v>
      </c>
      <c r="E61" s="42"/>
      <c r="F61" s="42">
        <f>IFERROR(__xludf.DUMMYFUNCTION("""COMPUTED_VALUE"""),2.8E8)</f>
        <v>280000000</v>
      </c>
      <c r="G61" s="40" t="str">
        <f>IFERROR(__xludf.DUMMYFUNCTION("""COMPUTED_VALUE"""),"$200'000.000 a $300'000.000")</f>
        <v>$200'000.000 a $300'000.000</v>
      </c>
      <c r="H61" s="40"/>
      <c r="I61" s="40"/>
      <c r="J61" s="40" t="str">
        <f>IFERROR(__xludf.DUMMYFUNCTION("""COMPUTED_VALUE"""),"Norte")</f>
        <v>Norte</v>
      </c>
      <c r="K61" s="39" t="str">
        <f>IFERROR(__xludf.DUMMYFUNCTION("""COMPUTED_VALUE"""),"2")</f>
        <v>2</v>
      </c>
      <c r="L61" s="40">
        <f>IFERROR(__xludf.DUMMYFUNCTION("""COMPUTED_VALUE"""),7.0)</f>
        <v>7</v>
      </c>
      <c r="M61" s="40"/>
      <c r="N61" s="40">
        <f>IFERROR(__xludf.DUMMYFUNCTION("""COMPUTED_VALUE"""),4.0)</f>
        <v>4</v>
      </c>
      <c r="O61" s="40">
        <f>IFERROR(__xludf.DUMMYFUNCTION("""COMPUTED_VALUE"""),1.0)</f>
        <v>1</v>
      </c>
      <c r="P61" s="40">
        <f>IFERROR(__xludf.DUMMYFUNCTION("""COMPUTED_VALUE"""),2.0)</f>
        <v>2</v>
      </c>
      <c r="Q61" s="48">
        <f>IFERROR(__xludf.DUMMYFUNCTION("""COMPUTED_VALUE"""),210.0)</f>
        <v>210</v>
      </c>
      <c r="R61" s="48">
        <f>IFERROR(__xludf.DUMMYFUNCTION("""COMPUTED_VALUE"""),180.0)</f>
        <v>180</v>
      </c>
      <c r="S61" s="39" t="str">
        <f>IFERROR(__xludf.DUMMYFUNCTION("""COMPUTED_VALUE"""),"Rentabilidad $1,800,000")</f>
        <v>Rentabilidad $1,800,000</v>
      </c>
      <c r="T61" s="40" t="str">
        <f>IFERROR(__xludf.DUMMYFUNCTION("""COMPUTED_VALUE"""),"Neiva")</f>
        <v>Neiva</v>
      </c>
      <c r="U61" s="39" t="str">
        <f>IFERROR(__xludf.DUMMYFUNCTION("""COMPUTED_VALUE"""),"2")</f>
        <v>2</v>
      </c>
      <c r="V61" s="40" t="str">
        <f>IFERROR(__xludf.DUMMYFUNCTION("""COMPUTED_VALUE"""),"Medianera")</f>
        <v>Medianera</v>
      </c>
      <c r="W61" s="46"/>
      <c r="X61" s="46">
        <f>IFERROR(__xludf.DUMMYFUNCTION("""COMPUTED_VALUE"""),0.0)</f>
        <v>0</v>
      </c>
      <c r="Y61" s="40" t="str">
        <f>IFERROR(__xludf.DUMMYFUNCTION("""COMPUTED_VALUE"""),"No tiene")</f>
        <v>No tiene</v>
      </c>
      <c r="Z61" s="42" t="str">
        <f>IFERROR(__xludf.DUMMYFUNCTION("""COMPUTED_VALUE"""),"No aplica")</f>
        <v>No aplica</v>
      </c>
      <c r="AA61" s="49" t="str">
        <f>IFERROR(__xludf.DUMMYFUNCTION("""COMPUTED_VALUE"""),"13 años")</f>
        <v>13 años</v>
      </c>
      <c r="AB61" s="105" t="str">
        <f>IFERROR(__xludf.DUMMYFUNCTION("""COMPUTED_VALUE"""),"https://photos.app.goo.gl/pwuasSkedRPi1xYPA")</f>
        <v>https://photos.app.goo.gl/pwuasSkedRPi1xYPA</v>
      </c>
      <c r="AC61" s="40"/>
      <c r="AD61" s="40" t="str">
        <f>IFERROR(__xludf.DUMMYFUNCTION("""COMPUTED_VALUE"""),"Alcantarillado se cambio en PVC hace 12 años. Tiene 2 escrituras. Con mezanine.")</f>
        <v>Alcantarillado se cambio en PVC hace 12 años. Tiene 2 escrituras. Con mezanine.</v>
      </c>
      <c r="AE61" s="40"/>
      <c r="AF61" s="40" t="str">
        <f>IFERROR(__xludf.DUMMYFUNCTION("""COMPUTED_VALUE"""),"semi-integral")</f>
        <v>semi-integral</v>
      </c>
      <c r="AG61" s="40" t="str">
        <f>IFERROR(__xludf.DUMMYFUNCTION("""COMPUTED_VALUE"""),"SI")</f>
        <v>SI</v>
      </c>
      <c r="AH61" s="40" t="str">
        <f>IFERROR(__xludf.DUMMYFUNCTION("""COMPUTED_VALUE"""),"Inventario")</f>
        <v>Inventario</v>
      </c>
      <c r="AI61" s="40" t="str">
        <f>IFERROR(__xludf.DUMMYFUNCTION("""COMPUTED_VALUE"""),"Verbal")</f>
        <v>Verbal</v>
      </c>
      <c r="AJ61" s="40" t="str">
        <f>IFERROR(__xludf.DUMMYFUNCTION("""COMPUTED_VALUE"""),"ICDE")</f>
        <v>ICDE</v>
      </c>
      <c r="AK61" s="40" t="str">
        <f>IFERROR(__xludf.DUMMYFUNCTION("""COMPUTED_VALUE"""),"SIN CONTRATO")</f>
        <v>SIN CONTRATO</v>
      </c>
      <c r="AL61" s="40" t="str">
        <f>IFERROR(__xludf.DUMMYFUNCTION("""COMPUTED_VALUE"""),"TIENE FOTOS")</f>
        <v>TIENE FOTOS</v>
      </c>
      <c r="AM61" s="40">
        <f>IFERROR(__xludf.DUMMYFUNCTION("""COMPUTED_VALUE"""),3.153905558E9)</f>
        <v>3153905558</v>
      </c>
      <c r="AN61" s="40"/>
      <c r="AO61" s="40" t="str">
        <f>IFERROR(__xludf.DUMMYFUNCTION("""COMPUTED_VALUE"""),"HUGO - HIJA  - Piñateria")</f>
        <v>HUGO - HIJA  - Piñateria</v>
      </c>
      <c r="AP61" s="40" t="str">
        <f>IFERROR(__xludf.DUMMYFUNCTION("""COMPUTED_VALUE"""),"CALLE 36 No. 7 - 40")</f>
        <v>CALLE 36 No. 7 - 40</v>
      </c>
      <c r="AQ61" s="40">
        <f>IFERROR(__xludf.DUMMYFUNCTION("""COMPUTED_VALUE"""),2.9478407)</f>
        <v>2.9478407</v>
      </c>
      <c r="AR61" s="40">
        <f>IFERROR(__xludf.DUMMYFUNCTION("""COMPUTED_VALUE"""),-75.2900813)</f>
        <v>-75.2900813</v>
      </c>
      <c r="AS61" s="53">
        <f>IFERROR(__xludf.DUMMYFUNCTION("""COMPUTED_VALUE"""),1800000.0)</f>
        <v>1800000</v>
      </c>
      <c r="AT61" s="40">
        <f>IFERROR(__xludf.DUMMYFUNCTION("""COMPUTED_VALUE"""),0.0)</f>
        <v>0</v>
      </c>
      <c r="AU61" s="40">
        <f>IFERROR(__xludf.DUMMYFUNCTION("""COMPUTED_VALUE"""),0.0)</f>
        <v>0</v>
      </c>
      <c r="AV61" s="40">
        <f>IFERROR(__xludf.DUMMYFUNCTION("""COMPUTED_VALUE"""),0.0)</f>
        <v>0</v>
      </c>
      <c r="AW61" s="40" t="str">
        <f>IFERROR(__xludf.DUMMYFUNCTION("""COMPUTED_VALUE"""),"SI")</f>
        <v>SI</v>
      </c>
      <c r="AX61" s="40">
        <f>IFERROR(__xludf.DUMMYFUNCTION("""COMPUTED_VALUE"""),50.0)</f>
        <v>50</v>
      </c>
      <c r="AY61" s="40" t="str">
        <f>IFERROR(__xludf.DUMMYFUNCTION("""COMPUTED_VALUE"""),"P")</f>
        <v>P</v>
      </c>
      <c r="AZ61" s="40">
        <f>IFERROR(__xludf.DUMMYFUNCTION("""COMPUTED_VALUE"""),9.0)</f>
        <v>9</v>
      </c>
      <c r="BA61" s="40" t="str">
        <f>IFERROR(__xludf.DUMMYFUNCTION("""COMPUTED_VALUE"""),"X")</f>
        <v>X</v>
      </c>
      <c r="BB61" s="40">
        <f>IFERROR(__xludf.DUMMYFUNCTION("""COMPUTED_VALUE"""),20.0)</f>
        <v>20</v>
      </c>
      <c r="BC61" s="53" t="str">
        <f>IFERROR(__xludf.DUMMYFUNCTION("""COMPUTED_VALUE"""),"20 - SAMADHI RODRIGUEZ, 19 - PRUEBA v")</f>
        <v>20 - SAMADHI RODRIGUEZ, 19 - PRUEBA v</v>
      </c>
      <c r="BD61" s="48"/>
      <c r="BE61" s="48"/>
      <c r="BF61" s="48" t="str">
        <f>IFERROR(__xludf.DUMMYFUNCTION("""COMPUTED_VALUE"""),"https://lh3.googleusercontent.com/pw/AP1GczOPsDJFK1N1ZNDtmvuq_v2drxfDHXsg0wl-9wDvhmDjWT0IDM7hMxOZR4g9DrOaC8Onh7NJJ5jHUrfpp6mOk1MVw5gc1vrDyqxEHiO-d-KXDesNhvY8=w1200|https://lh3.googleusercontent.com/pw/AP1GczOrpeMbuf_iouI71apDLwpUvvqweIgNwqs85TayR5cvokTXK5"&amp;"MU2inTVLJM8Fl2zAaGYRkRhhfi6WMsoy6tpBOcwiHb2XZyQWopAMfDdZHe8dovBqUy=w1200|https://lh3.googleusercontent.com/pw/AP1GczP66sY-N-H-GAcqslj3qiTSxHsjdsK2jdkilDJHegm0fIyE9ZaQ2SBPlc7xoGr0SVnqJ0HxCThsbUcqVq4dM8k9Va6Hnma1V-RrLtOtuVJPVRXC2JUL=w1200|https://lh3.google"&amp;"usercontent.com/pw/AP1GczNtoDPwfDV3IsaiDIxKZOPopkv576J4nDBeRwUdRSe3eMyZDCRwBerG3poWC4-RkCWTMJEIIJubm0xFJ-krb0LqRtXqesDltdq90Uek5Tgs8CCtUlTJ=w1200|https://lh3.googleusercontent.com/pw/AP1GczMbqPb4c24Sqjwc4wc9iPxf2_8COOOE9bEfdcM-k65mq3LgavH1sl_ZcwFMF0oEHsnl"&amp;"zH9uw2NwWublE29Jr_p7OWqqepm-AhKX-GbnNPLnZ8bVA6TT=w1200|https://lh3.googleusercontent.com/pw/AP1GczM8IE7P_QrIDN-BlVIDemxloIG10a86C1oiT2MpOxW8T6X6oh4WkIxqrSOfa_PbGoSuU9n6ynIoAx8HgYsKMMFA5Qc6_GhmzRkjeWFTabHBTnWQKISG=w1200|https://lh3.googleusercontent.com/pw"&amp;"/AP1GczPJ_58L1teeuAfmynLKpM5LjOD0Ly4C-gRWf9ZwtTlXpwLPkKtIOaVheX-yCQjrmIq5qK_1o3QAF5hyi2KL69y6rFHUuf2hiCOgVucOSJ2rCIn7PzFQ=w1200|https://lh3.googleusercontent.com/pw/AP1GczOtO-yQM1iZqwODxHqPCTO40y4HZAb1u5N1b7oMsC1ucxVNZco2U2q45wNw_ZIW2FEPUE6TmIZY0wr23z47uA"&amp;"L3ptrxmOobO7yoGJkRls8gTGlGgmVY=w1200|https://lh3.googleusercontent.com/pw/AP1GczPPDpYPeTAI-A48VX2L8ysU4M0uJklvA3vLiuqKud2tldPrWFN19RadVU3Fjf4Pih-I0EcKsxYxxzBvaQ1N_Oznl0WQtVPLPhTseFbMzgK1w6kHlcLg=w1200|https://lh3.googleusercontent.com/pw/AP1GczNF7XJ9_bRbO"&amp;"dzyRXRfKWX_GetK8DbPBlJWguTrIb5D1LoIZ6f_HhfRWkpVD7IaRNqsBKxbNrWyMGotM35NbteSd_ylKOhE_U9Z_3PnyFcqLX3L_J_g=w1200|https://lh3.googleusercontent.com/pw/AP1GczMdRw2lxOXtrLPnGyHSndxTHRu7Lj_A5lS1mbQNfdIuV76VC9oWfZ6U83qbBSu2a2smgHgBvlPYug0rPl0GnEsm1wllbyBaQqxIrhvv"&amp;"m2GDLl6SL0oE=w1200|https://lh3.googleusercontent.com/pw/AP1GczNDg4BJ2RzsA-FhJf_hASYlPXN9cuTdgciXoEcLmxlZ7TJeqe4J19cyCYs4cC09DED7Q3IXhahEAvWZ5aoMedNtIW_8gTqeB3NUCWqwpY8h-ivgpzZH=w1200|https://lh3.googleusercontent.com/pw/AP1GczPy-zxycSImAlxXQSaBTcF1ScLbybm"&amp;"wqx3aw0Usanhdbz22ALoEifCGnpVt3rwMYFVJyP260ETS8gNX8pEXCHsttQq1BuDjVHHw730TlLc7XTyF-8JU=w1200|https://lh3.googleusercontent.com/pw/AP1GczOknC0dAMuWxaY8beAodkLvI8-enpwPZtBuTk8L071zHxtUQsKFw9EWPMGIjNinYdIeb22yHlHCtpaLVwS2USi7O0rtqAVT5kLg1yTl3uRMNqnE7FHg=w1200"&amp;"|https://lh3.googleusercontent.com/pw/AP1GczM5cszle01eZgXygmZsryDSZtvgd2sqF5sVy7HLGGWfNQlEEXkC0HfUmcVDSJK6KO6ThXvYaUApH92NgvBQY6fOsPLColqA65f2zwkOHQJg5omLtO-W=w1200|https://lh3.googleusercontent.com/pw/AP1GczOz-9cerhTi5B-h9OXFNqCQq3zIdiz9leGIYgSLl2Gl-ZSmT"&amp;"Q1yRPfjUulvRQkLjFWcWhPU3M_zo5DACFnRbfnyCFZuuXLpmsKtoVeefAPNDyPCYOoz=w1200|https://lh3.googleusercontent.com/pw/AP1GczMwJsmCQFE4oX5qLuFCJRQ_ROYauGh6H-u6U_YmoM0r4XA-F95LPtu-8O6UzxcaxltnjpdheBUel3TKDZDPV-6Faivim8ytMZcGfxe6kJOav1tCk4Ru=w1200|https://lh3.googl"&amp;"eusercontent.com/pw/AP1GczNe9h0vkMAk-RBJyGCxXp3zW6j0PgzMuXKT4vp5UFmxb9ESGZqmIrmeCTdf3InDimhTl7eK0RDAZog_Csd4ShXaR3oPvXCXfaQJTr4qyiloeHpBSuh9=w1200|https://lh3.googleusercontent.com/pw/AP1GczPGt44S07YGu2PcnYhNiZwR5mh0KyST7ajua2V9zfmyFYX8PCep0EWGfyLbhHhtR1y"&amp;"j0ZBdJWNNNUbOWUorDBcOxvW9m2sMoStcAR41FnbXqo4LcCpt=w1200|https://lh3.googleusercontent.com/pw/AP1GczNesz7fwWKHrui1VBFf6yXlsQNq7UwUq7GQuSl2k5-BOJN3Ic2Q7gzdOWrC_Kvqk-kRN83X8RKdV4UMa4vm4qhfBaI-KsMf153OzmEMVs7V78gBW0w7=w1200|https://lh3.googleusercontent.com/p"&amp;"w/AP1GczPad86ZZmerQQZGeas7c1vxGQheaX59iijU3S2rR5h6Gppc7uJxWkSWtjbrDKqfghh7q98DOtbCvasnTl-RyBwNxbEsdZa13clTDisI2zDYo6cVHVeT=w1200")</f>
        <v>https://lh3.googleusercontent.com/pw/AP1GczOPsDJFK1N1ZNDtmvuq_v2drxfDHXsg0wl-9wDvhmDjWT0IDM7hMxOZR4g9DrOaC8Onh7NJJ5jHUrfpp6mOk1MVw5gc1vrDyqxEHiO-d-KXDesNhvY8=w1200|https://lh3.googleusercontent.com/pw/AP1GczOrpeMbuf_iouI71apDLwpUvvqweIgNwqs85TayR5cvokTXK5MU2inTVLJM8Fl2zAaGYRkRhhfi6WMsoy6tpBOcwiHb2XZyQWopAMfDdZHe8dovBqUy=w1200|https://lh3.googleusercontent.com/pw/AP1GczP66sY-N-H-GAcqslj3qiTSxHsjdsK2jdkilDJHegm0fIyE9ZaQ2SBPlc7xoGr0SVnqJ0HxCThsbUcqVq4dM8k9Va6Hnma1V-RrLtOtuVJPVRXC2JUL=w1200|https://lh3.googleusercontent.com/pw/AP1GczNtoDPwfDV3IsaiDIxKZOPopkv576J4nDBeRwUdRSe3eMyZDCRwBerG3poWC4-RkCWTMJEIIJubm0xFJ-krb0LqRtXqesDltdq90Uek5Tgs8CCtUlTJ=w1200|https://lh3.googleusercontent.com/pw/AP1GczMbqPb4c24Sqjwc4wc9iPxf2_8COOOE9bEfdcM-k65mq3LgavH1sl_ZcwFMF0oEHsnlzH9uw2NwWublE29Jr_p7OWqqepm-AhKX-GbnNPLnZ8bVA6TT=w1200|https://lh3.googleusercontent.com/pw/AP1GczM8IE7P_QrIDN-BlVIDemxloIG10a86C1oiT2MpOxW8T6X6oh4WkIxqrSOfa_PbGoSuU9n6ynIoAx8HgYsKMMFA5Qc6_GhmzRkjeWFTabHBTnWQKISG=w1200|https://lh3.googleusercontent.com/pw/AP1GczPJ_58L1teeuAfmynLKpM5LjOD0Ly4C-gRWf9ZwtTlXpwLPkKtIOaVheX-yCQjrmIq5qK_1o3QAF5hyi2KL69y6rFHUuf2hiCOgVucOSJ2rCIn7PzFQ=w1200|https://lh3.googleusercontent.com/pw/AP1GczOtO-yQM1iZqwODxHqPCTO40y4HZAb1u5N1b7oMsC1ucxVNZco2U2q45wNw_ZIW2FEPUE6TmIZY0wr23z47uAL3ptrxmOobO7yoGJkRls8gTGlGgmVY=w1200|https://lh3.googleusercontent.com/pw/AP1GczPPDpYPeTAI-A48VX2L8ysU4M0uJklvA3vLiuqKud2tldPrWFN19RadVU3Fjf4Pih-I0EcKsxYxxzBvaQ1N_Oznl0WQtVPLPhTseFbMzgK1w6kHlcLg=w1200|https://lh3.googleusercontent.com/pw/AP1GczNF7XJ9_bRbOdzyRXRfKWX_GetK8DbPBlJWguTrIb5D1LoIZ6f_HhfRWkpVD7IaRNqsBKxbNrWyMGotM35NbteSd_ylKOhE_U9Z_3PnyFcqLX3L_J_g=w1200|https://lh3.googleusercontent.com/pw/AP1GczMdRw2lxOXtrLPnGyHSndxTHRu7Lj_A5lS1mbQNfdIuV76VC9oWfZ6U83qbBSu2a2smgHgBvlPYug0rPl0GnEsm1wllbyBaQqxIrhvvm2GDLl6SL0oE=w1200|https://lh3.googleusercontent.com/pw/AP1GczNDg4BJ2RzsA-FhJf_hASYlPXN9cuTdgciXoEcLmxlZ7TJeqe4J19cyCYs4cC09DED7Q3IXhahEAvWZ5aoMedNtIW_8gTqeB3NUCWqwpY8h-ivgpzZH=w1200|https://lh3.googleusercontent.com/pw/AP1GczPy-zxycSImAlxXQSaBTcF1ScLbybmwqx3aw0Usanhdbz22ALoEifCGnpVt3rwMYFVJyP260ETS8gNX8pEXCHsttQq1BuDjVHHw730TlLc7XTyF-8JU=w1200|https://lh3.googleusercontent.com/pw/AP1GczOknC0dAMuWxaY8beAodkLvI8-enpwPZtBuTk8L071zHxtUQsKFw9EWPMGIjNinYdIeb22yHlHCtpaLVwS2USi7O0rtqAVT5kLg1yTl3uRMNqnE7FHg=w1200|https://lh3.googleusercontent.com/pw/AP1GczM5cszle01eZgXygmZsryDSZtvgd2sqF5sVy7HLGGWfNQlEEXkC0HfUmcVDSJK6KO6ThXvYaUApH92NgvBQY6fOsPLColqA65f2zwkOHQJg5omLtO-W=w1200|https://lh3.googleusercontent.com/pw/AP1GczOz-9cerhTi5B-h9OXFNqCQq3zIdiz9leGIYgSLl2Gl-ZSmTQ1yRPfjUulvRQkLjFWcWhPU3M_zo5DACFnRbfnyCFZuuXLpmsKtoVeefAPNDyPCYOoz=w1200|https://lh3.googleusercontent.com/pw/AP1GczMwJsmCQFE4oX5qLuFCJRQ_ROYauGh6H-u6U_YmoM0r4XA-F95LPtu-8O6UzxcaxltnjpdheBUel3TKDZDPV-6Faivim8ytMZcGfxe6kJOav1tCk4Ru=w1200|https://lh3.googleusercontent.com/pw/AP1GczNe9h0vkMAk-RBJyGCxXp3zW6j0PgzMuXKT4vp5UFmxb9ESGZqmIrmeCTdf3InDimhTl7eK0RDAZog_Csd4ShXaR3oPvXCXfaQJTr4qyiloeHpBSuh9=w1200|https://lh3.googleusercontent.com/pw/AP1GczPGt44S07YGu2PcnYhNiZwR5mh0KyST7ajua2V9zfmyFYX8PCep0EWGfyLbhHhtR1yj0ZBdJWNNNUbOWUorDBcOxvW9m2sMoStcAR41FnbXqo4LcCpt=w1200|https://lh3.googleusercontent.com/pw/AP1GczNesz7fwWKHrui1VBFf6yXlsQNq7UwUq7GQuSl2k5-BOJN3Ic2Q7gzdOWrC_Kvqk-kRN83X8RKdV4UMa4vm4qhfBaI-KsMf153OzmEMVs7V78gBW0w7=w1200|https://lh3.googleusercontent.com/pw/AP1GczPad86ZZmerQQZGeas7c1vxGQheaX59iijU3S2rR5h6Gppc7uJxWkSWtjbrDKqfghh7q98DOtbCvasnTl-RyBwNxbEsdZa13clTDisI2zDYo6cVHVeT=w1200</v>
      </c>
    </row>
    <row r="62">
      <c r="A62" s="39" t="str">
        <f>IFERROR(__xludf.DUMMYFUNCTION("""COMPUTED_VALUE"""),"038")</f>
        <v>038</v>
      </c>
      <c r="B62" s="40" t="str">
        <f>IFERROR(__xludf.DUMMYFUNCTION("""COMPUTED_VALUE"""),"Casa en barrio Las Granjas")</f>
        <v>Casa en barrio Las Granjas</v>
      </c>
      <c r="C62" s="40" t="str">
        <f>IFERROR(__xludf.DUMMYFUNCTION("""COMPUTED_VALUE"""),"Casa")</f>
        <v>Casa</v>
      </c>
      <c r="D62" s="40" t="str">
        <f>IFERROR(__xludf.DUMMYFUNCTION("""COMPUTED_VALUE"""),"Las Granjas")</f>
        <v>Las Granjas</v>
      </c>
      <c r="E62" s="40"/>
      <c r="F62" s="42">
        <f>IFERROR(__xludf.DUMMYFUNCTION("""COMPUTED_VALUE"""),2.8E8)</f>
        <v>280000000</v>
      </c>
      <c r="G62" s="40" t="str">
        <f>IFERROR(__xludf.DUMMYFUNCTION("""COMPUTED_VALUE"""),"$200'000.000 a $300'000.000")</f>
        <v>$200'000.000 a $300'000.000</v>
      </c>
      <c r="H62" s="40"/>
      <c r="I62" s="40"/>
      <c r="J62" s="40" t="str">
        <f>IFERROR(__xludf.DUMMYFUNCTION("""COMPUTED_VALUE"""),"Norte")</f>
        <v>Norte</v>
      </c>
      <c r="K62" s="39" t="str">
        <f>IFERROR(__xludf.DUMMYFUNCTION("""COMPUTED_VALUE"""),"2")</f>
        <v>2</v>
      </c>
      <c r="L62" s="40">
        <f>IFERROR(__xludf.DUMMYFUNCTION("""COMPUTED_VALUE"""),4.0)</f>
        <v>4</v>
      </c>
      <c r="M62" s="40"/>
      <c r="N62" s="40">
        <f>IFERROR(__xludf.DUMMYFUNCTION("""COMPUTED_VALUE"""),1.0)</f>
        <v>1</v>
      </c>
      <c r="O62" s="40">
        <f>IFERROR(__xludf.DUMMYFUNCTION("""COMPUTED_VALUE"""),0.0)</f>
        <v>0</v>
      </c>
      <c r="P62" s="40">
        <f>IFERROR(__xludf.DUMMYFUNCTION("""COMPUTED_VALUE"""),1.0)</f>
        <v>1</v>
      </c>
      <c r="Q62" s="48">
        <f>IFERROR(__xludf.DUMMYFUNCTION("""COMPUTED_VALUE"""),160.0)</f>
        <v>160</v>
      </c>
      <c r="R62" s="48">
        <f>IFERROR(__xludf.DUMMYFUNCTION("""COMPUTED_VALUE"""),180.0)</f>
        <v>180</v>
      </c>
      <c r="S62" s="39" t="str">
        <f>IFERROR(__xludf.DUMMYFUNCTION("""COMPUTED_VALUE"""),"Rentabilidad $800,000")</f>
        <v>Rentabilidad $800,000</v>
      </c>
      <c r="T62" s="40" t="str">
        <f>IFERROR(__xludf.DUMMYFUNCTION("""COMPUTED_VALUE"""),"Neiva")</f>
        <v>Neiva</v>
      </c>
      <c r="U62" s="39" t="str">
        <f>IFERROR(__xludf.DUMMYFUNCTION("""COMPUTED_VALUE"""),"2")</f>
        <v>2</v>
      </c>
      <c r="V62" s="40" t="str">
        <f>IFERROR(__xludf.DUMMYFUNCTION("""COMPUTED_VALUE"""),"Medianera")</f>
        <v>Medianera</v>
      </c>
      <c r="W62" s="46"/>
      <c r="X62" s="46">
        <f>IFERROR(__xludf.DUMMYFUNCTION("""COMPUTED_VALUE"""),1.0)</f>
        <v>1</v>
      </c>
      <c r="Y62" s="53" t="str">
        <f>IFERROR(__xludf.DUMMYFUNCTION("""COMPUTED_VALUE"""),"No tiene")</f>
        <v>No tiene</v>
      </c>
      <c r="Z62" s="42" t="str">
        <f>IFERROR(__xludf.DUMMYFUNCTION("""COMPUTED_VALUE"""),"No aplica")</f>
        <v>No aplica</v>
      </c>
      <c r="AA62" s="49" t="str">
        <f>IFERROR(__xludf.DUMMYFUNCTION("""COMPUTED_VALUE"""),"29 años")</f>
        <v>29 años</v>
      </c>
      <c r="AB62" s="66" t="str">
        <f>IFERROR(__xludf.DUMMYFUNCTION("""COMPUTED_VALUE"""),"https://photos.app.goo.gl/QraPhs76ino1nDaH6")</f>
        <v>https://photos.app.goo.gl/QraPhs76ino1nDaH6</v>
      </c>
      <c r="AC62" s="40" t="str">
        <f>IFERROR(__xludf.DUMMYFUNCTION("""COMPUTED_VALUE"""),"Casa ubicada en el barrio Las Granjas, cerca de todos los equipamientos necesarios para la familia. Único dueño.
Distribución: Sala, comedor, cocina integral cerrada, 4 habitaciones, una con closet en madera, 3 con puertas en madera. Un baño enchapado, pi"&amp;"so en baldosa y cemento pulido, cielo raso en machihembrado. ")</f>
        <v>Casa ubicada en el barrio Las Granjas, cerca de todos los equipamientos necesarios para la familia. Único dueño.
Distribución: Sala, comedor, cocina integral cerrada, 4 habitaciones, una con closet en madera, 3 con puertas en madera. Un baño enchapado, piso en baldosa y cemento pulido, cielo raso en machihembrado. </v>
      </c>
      <c r="AD62" s="40" t="str">
        <f>IFERROR(__xludf.DUMMYFUNCTION("""COMPUTED_VALUE"""),"Dimensión del lote 9.0 ml x 20.0 ml. Con reja de seguridad. Ubicada en Vía vehicular. Patio amplio con piso en cerámica antideslizante y en el baño, con apoyos metálicos empotrados. Cubierta en asbesto cemento y cielo raso en machehembre. Escritura en pro"&amp;"ceso de sucesión. No se permuta.")</f>
        <v>Dimensión del lote 9.0 ml x 20.0 ml. Con reja de seguridad. Ubicada en Vía vehicular. Patio amplio con piso en cerámica antideslizante y en el baño, con apoyos metálicos empotrados. Cubierta en asbesto cemento y cielo raso en machehembre. Escritura en proceso de sucesión. No se permuta.</v>
      </c>
      <c r="AE62" s="40"/>
      <c r="AF62" s="40" t="str">
        <f>IFERROR(__xludf.DUMMYFUNCTION("""COMPUTED_VALUE"""),"semi-integral")</f>
        <v>semi-integral</v>
      </c>
      <c r="AG62" s="40" t="str">
        <f>IFERROR(__xludf.DUMMYFUNCTION("""COMPUTED_VALUE"""),"SI")</f>
        <v>SI</v>
      </c>
      <c r="AH62" s="40" t="str">
        <f>IFERROR(__xludf.DUMMYFUNCTION("""COMPUTED_VALUE"""),"Inventario")</f>
        <v>Inventario</v>
      </c>
      <c r="AI62" s="40" t="str">
        <f>IFERROR(__xludf.DUMMYFUNCTION("""COMPUTED_VALUE"""),"Verbal")</f>
        <v>Verbal</v>
      </c>
      <c r="AJ62" s="40" t="str">
        <f>IFERROR(__xludf.DUMMYFUNCTION("""COMPUTED_VALUE"""),"ICDE")</f>
        <v>ICDE</v>
      </c>
      <c r="AK62" s="40" t="str">
        <f>IFERROR(__xludf.DUMMYFUNCTION("""COMPUTED_VALUE"""),"SIN CONTRATO")</f>
        <v>SIN CONTRATO</v>
      </c>
      <c r="AL62" s="40" t="str">
        <f>IFERROR(__xludf.DUMMYFUNCTION("""COMPUTED_VALUE"""),"TIENE FOTOS")</f>
        <v>TIENE FOTOS</v>
      </c>
      <c r="AM62" s="40">
        <f>IFERROR(__xludf.DUMMYFUNCTION("""COMPUTED_VALUE"""),3.017595457E9)</f>
        <v>3017595457</v>
      </c>
      <c r="AN62" s="40">
        <f>IFERROR(__xludf.DUMMYFUNCTION("""COMPUTED_VALUE"""),3.152916702E9)</f>
        <v>3152916702</v>
      </c>
      <c r="AO62" s="40" t="str">
        <f>IFERROR(__xludf.DUMMYFUNCTION("""COMPUTED_VALUE"""),"BEATRIZ LOPEZ")</f>
        <v>BEATRIZ LOPEZ</v>
      </c>
      <c r="AP62" s="40" t="str">
        <f>IFERROR(__xludf.DUMMYFUNCTION("""COMPUTED_VALUE"""),"Calle 32 No. 6-67")</f>
        <v>Calle 32 No. 6-67</v>
      </c>
      <c r="AQ62" s="40">
        <f>IFERROR(__xludf.DUMMYFUNCTION("""COMPUTED_VALUE"""),2.9583053)</f>
        <v>2.9583053</v>
      </c>
      <c r="AR62" s="40">
        <f>IFERROR(__xludf.DUMMYFUNCTION("""COMPUTED_VALUE"""),-75.2877913)</f>
        <v>-75.2877913</v>
      </c>
      <c r="AS62" s="53">
        <f>IFERROR(__xludf.DUMMYFUNCTION("""COMPUTED_VALUE"""),800000.0)</f>
        <v>800000</v>
      </c>
      <c r="AT62" s="40">
        <f>IFERROR(__xludf.DUMMYFUNCTION("""COMPUTED_VALUE"""),0.0)</f>
        <v>0</v>
      </c>
      <c r="AU62" s="40">
        <f>IFERROR(__xludf.DUMMYFUNCTION("""COMPUTED_VALUE"""),0.0)</f>
        <v>0</v>
      </c>
      <c r="AV62" s="40">
        <f>IFERROR(__xludf.DUMMYFUNCTION("""COMPUTED_VALUE"""),0.0)</f>
        <v>0</v>
      </c>
      <c r="AW62" s="40" t="str">
        <f>IFERROR(__xludf.DUMMYFUNCTION("""COMPUTED_VALUE"""),"SI")</f>
        <v>SI</v>
      </c>
      <c r="AX62" s="40">
        <f>IFERROR(__xludf.DUMMYFUNCTION("""COMPUTED_VALUE"""),0.0)</f>
        <v>0</v>
      </c>
      <c r="AY62" s="40" t="str">
        <f>IFERROR(__xludf.DUMMYFUNCTION("""COMPUTED_VALUE"""),"M")</f>
        <v>M</v>
      </c>
      <c r="AZ62" s="40">
        <f>IFERROR(__xludf.DUMMYFUNCTION("""COMPUTED_VALUE"""),9.0)</f>
        <v>9</v>
      </c>
      <c r="BA62" s="40" t="str">
        <f>IFERROR(__xludf.DUMMYFUNCTION("""COMPUTED_VALUE"""),"X")</f>
        <v>X</v>
      </c>
      <c r="BB62" s="40">
        <f>IFERROR(__xludf.DUMMYFUNCTION("""COMPUTED_VALUE"""),20.0)</f>
        <v>20</v>
      </c>
      <c r="BC62" s="53"/>
      <c r="BD62" s="48"/>
      <c r="BE62" s="48"/>
      <c r="BF62" s="48" t="str">
        <f>IFERROR(__xludf.DUMMYFUNCTION("""COMPUTED_VALUE"""),"https://lh3.googleusercontent.com/pw/AP1GczPtkG9qT7I0IulSliRhktbWw5vnps0EKSyea1MVQoQtXJnAD-65-_JlU_qSHFxA2gknmx0OKb9LrQbjJW9sP4-GUpur18iU1tRrfYVYczz14xvALEo=w1200|https://lh3.googleusercontent.com/pw/AP1GczO3fAllWMfsNWxAbvvc-R2PXht8JdUjmy3ZJKHzOScxEiS9id9"&amp;"TlyHRkwhx6P7A3zKzYS0gAjg3C-rGE71-uP0YbZrSHCWeP_8SCasJ7jhZnLW2eE0=w1200|https://lh3.googleusercontent.com/pw/AP1GczP_wnmpFjlYWdZFTxWNHKcjm41pe-sdo7GOxpWCr19D7Wa5rr7Yc7ryiITG_rwv31oJ3g65X9yAsH4yStc2riOwp6S1DQeVYeLOJ8_cbu-1KAVny18=w1200|https://lh3.googleuse"&amp;"rcontent.com/pw/AP1GczP7a3dSbwXsH9QO4hcIOo0oYfRjZhmZrHg4xY2bas8I8WeXJ1ccRKYzx-iZNP1aB0MDtKUJP1cQCuBtHVENxbDkAszHAGGDyhs2hEWtOSawc5ESNWc=w1200|https://lh3.googleusercontent.com/pw/AP1GczPVAyuwPjhPSeOT1JV-4KqgrNri9-SzqeZ8Zwc5ILz_gkSA1h3oe_KvgdSvvKa0d3I1JPEb"&amp;"8-23qPsBZtAOXHCp4w8wDwgwsmpTFJuW6sdLmPmRMsg=w1200|https://lh3.googleusercontent.com/pw/AP1GczNUfY8ipnciuBaU6UviyovutGfnFeET_DZ_RzqWdjdplOIHDk8EP0ifbZp73vy-VbpSvCbjlJM-v0jLHUW_j0_hoXBcxHa0Lv_TR-0Q2oUdTOckWVg=w1200|https://lh3.googleusercontent.com/pw/AP1Gc"&amp;"zNHOmyYy3Bs8YOywZIiz2LESTdF4ZoZ4gdlA1dLb0XfroKlQmuNMv_RTDXK-Z2GfWbZ932m6Jw5oIV1qlo-sGv2QGxywWAkFkyyMvbgUj-2KC8wr7E=w1200|https://lh3.googleusercontent.com/pw/AP1GczP1bGDigHuz3je8gwbtVLS1aTg2ni0fPO3gU35_CpdGF8amxaGGMmvyuYWSKGhD3_Art_I4WCoo4JIOnVC4-04ydmccj"&amp;"Es0HNWsw-8Nhozcgb8sfhA=w1200|https://lh3.googleusercontent.com/pw/AP1GczOUajradohpZNnMnZVGlLzkDgqB5TV6Cahtmrs_iHxzOm3rZ2oC6e7tpRSDZjF62ZYUgLvnwsXh05xCkWH96zVyrrZbFOe3FA584215u732-QBRf_M=w1200|https://lh3.googleusercontent.com/pw/AP1GczPN21QtZ10VJiWkjb39fe"&amp;"Yq0P0PlovwJMIsrwGcf6UlpMZGeHBhIblp6mSdazPnmARB2eAU5x2D-Ms8LpntwnE039qvuptOHpRTxkIfKUCR1YWPCxQ=w1200|https://lh3.googleusercontent.com/pw/AP1GczMp1ZZjrOb-ykVJHJepfcoYqG2R5svQXozlgQWwDqX8-wrqgsPwvU4F_rSGZWdcUYzVtmVwGROYDnWHO8vcBvk0sMcYlUKw3Ap0wNL6eA5agMzBMk"&amp;"A=w1200|https://lh3.googleusercontent.com/pw/AP1GczPcTq2GaYWBLTdZReaE23JXqV4HHXu1U3Yo98j5DWNrsUos3cqBPgq396giHKu5VRQMh9B-oQd-Q9JBpOhqqwy9v5SWdbzRH0gKhT7zkN9EttDF0Io=w1200|https://lh3.googleusercontent.com/pw/AP1GczP_TC22vRpHvB_KttOXFrt4c42DGnaBSTAQt3D4-9y"&amp;"dJIXxKu2Ic3fAfcUxBy80EW5eN5TyH7aQjVteZOpY1WAu12zunAqn3wL6Cj4iOTvoO_-bCkk=w1200|https://lh3.googleusercontent.com/pw/AP1GczODPhsn-x_envJAOjpuSJr2RSzhTYpZ_TZzGrqvW8qd4ilmqqCovZNb29i9u1jAtmL3cpxvjo7drS5RLsbAiF5mFPVlH8iFMAv6kNMyiIkEf_x8DIA=w1200|https://lh3.g"&amp;"oogleusercontent.com/pw/AP1GczP1eA0xdyfWrTH6Psmx0FOcYpbnoAXhxk_a1ILUSPO0ijD-4fSZ1I9Z1iw1PSibHg4PrK1ySi1eY0o5gRae3GZ76ozU-2lCsDO9s1xyTFz2Cu36jd4=w1200|https://lh3.googleusercontent.com/pw/AP1GczPSEJgDBfdm1AFdv80RLtK2WVH7s4tsX0lVxHArS77gixyIIlEe2oOcJlFoNEXZ"&amp;"uxgoHL1ZoSQl-qnpxNSfTyDUgKOCfLgqUVVUWb-QCOoc1tYqNEM=w1200|https://lh3.googleusercontent.com/pw/AP1GczPdJrEBaEXDmJ9wuo1T_oL3oPxUkizjo1j5Hj8_Fqf8T1aWEnuyLEenrT_TB0RlESWiEWvV5HYKljgDTEkiSk0-cSOIIur33o36fSmiLBXhUA0UpRE=w1200|https://lh3.googleusercontent.com/"&amp;"pw/AP1GczMBUldpGCFeht0L-IBlCFoPetM-ZmJ5QZWmvYRgrG_5qwetNXCzZKBhRqy8QJVe1oDLblx5ZFeN07QRnCVa8ymIc5vl0a5Pjj-hJ1ARmQtI-HPsspc=w1200|https://lh3.googleusercontent.com/pw/AP1GczOYnuJ0avE9_58XnfzSZocu98lC2JPmKxcHndO_x4cshYtoh0fLFDLog8voBKnB7W9kxmnQwbJZzCM4y_JvQ"&amp;"pHpYHWc7ysgDcEy6VV0CdE6WGYQTpg=w1200|https://lh3.googleusercontent.com/pw/AP1GczNAN9HdXbjwowXMdHKlQ5wMGZvfei55mWsGID-O3oyhgjc5rawrYUpiAamSccqFJpzfImoosGwlSP3ng-ktWEdefh0tB6mcWiRChDeSQVdg1OsU8oQ=w1200|https://lh3.googleusercontent.com/pw/AP1GczMvrl0MpQvwbz"&amp;"OfDkFldBuley6PE0p_NtbJjJu8KGHkG8BO8Y_gg5XHGDKHf9sh_MfxDSkZElxzgKtbJp88GhlxkcTLvAj3qcnxFUYUdtf0Y_WGrzc=w1200|https://lh3.googleusercontent.com/pw/AP1GczN2fW0viW0rCW0996eiTvOhSxTD7U8UsEFY9LPFTOUgpadwyiNi_FmpVlLjFVfToTjUNXx00LJufNpUcwZWDXeRHsZwlX1_0jCVh5FfMU"&amp;"wRCZtlxT4=w1200|https://lh3.googleusercontent.com/pw/AP1GczNmog62_YeObDD86L98GHuQoKNB60CAKJtHGSwLuD_DjtB3KZPELNQv4xNmQhBYc1iFwZ2YkInrDnotV7sxnUMgRuDHjEUbtUlqauceVXZmzIgSV3Wa=w1200")</f>
        <v>https://lh3.googleusercontent.com/pw/AP1GczPtkG9qT7I0IulSliRhktbWw5vnps0EKSyea1MVQoQtXJnAD-65-_JlU_qSHFxA2gknmx0OKb9LrQbjJW9sP4-GUpur18iU1tRrfYVYczz14xvALEo=w1200|https://lh3.googleusercontent.com/pw/AP1GczO3fAllWMfsNWxAbvvc-R2PXht8JdUjmy3ZJKHzOScxEiS9id9TlyHRkwhx6P7A3zKzYS0gAjg3C-rGE71-uP0YbZrSHCWeP_8SCasJ7jhZnLW2eE0=w1200|https://lh3.googleusercontent.com/pw/AP1GczP_wnmpFjlYWdZFTxWNHKcjm41pe-sdo7GOxpWCr19D7Wa5rr7Yc7ryiITG_rwv31oJ3g65X9yAsH4yStc2riOwp6S1DQeVYeLOJ8_cbu-1KAVny18=w1200|https://lh3.googleusercontent.com/pw/AP1GczP7a3dSbwXsH9QO4hcIOo0oYfRjZhmZrHg4xY2bas8I8WeXJ1ccRKYzx-iZNP1aB0MDtKUJP1cQCuBtHVENxbDkAszHAGGDyhs2hEWtOSawc5ESNWc=w1200|https://lh3.googleusercontent.com/pw/AP1GczPVAyuwPjhPSeOT1JV-4KqgrNri9-SzqeZ8Zwc5ILz_gkSA1h3oe_KvgdSvvKa0d3I1JPEb8-23qPsBZtAOXHCp4w8wDwgwsmpTFJuW6sdLmPmRMsg=w1200|https://lh3.googleusercontent.com/pw/AP1GczNUfY8ipnciuBaU6UviyovutGfnFeET_DZ_RzqWdjdplOIHDk8EP0ifbZp73vy-VbpSvCbjlJM-v0jLHUW_j0_hoXBcxHa0Lv_TR-0Q2oUdTOckWVg=w1200|https://lh3.googleusercontent.com/pw/AP1GczNHOmyYy3Bs8YOywZIiz2LESTdF4ZoZ4gdlA1dLb0XfroKlQmuNMv_RTDXK-Z2GfWbZ932m6Jw5oIV1qlo-sGv2QGxywWAkFkyyMvbgUj-2KC8wr7E=w1200|https://lh3.googleusercontent.com/pw/AP1GczP1bGDigHuz3je8gwbtVLS1aTg2ni0fPO3gU35_CpdGF8amxaGGMmvyuYWSKGhD3_Art_I4WCoo4JIOnVC4-04ydmccjEs0HNWsw-8Nhozcgb8sfhA=w1200|https://lh3.googleusercontent.com/pw/AP1GczOUajradohpZNnMnZVGlLzkDgqB5TV6Cahtmrs_iHxzOm3rZ2oC6e7tpRSDZjF62ZYUgLvnwsXh05xCkWH96zVyrrZbFOe3FA584215u732-QBRf_M=w1200|https://lh3.googleusercontent.com/pw/AP1GczPN21QtZ10VJiWkjb39feYq0P0PlovwJMIsrwGcf6UlpMZGeHBhIblp6mSdazPnmARB2eAU5x2D-Ms8LpntwnE039qvuptOHpRTxkIfKUCR1YWPCxQ=w1200|https://lh3.googleusercontent.com/pw/AP1GczMp1ZZjrOb-ykVJHJepfcoYqG2R5svQXozlgQWwDqX8-wrqgsPwvU4F_rSGZWdcUYzVtmVwGROYDnWHO8vcBvk0sMcYlUKw3Ap0wNL6eA5agMzBMkA=w1200|https://lh3.googleusercontent.com/pw/AP1GczPcTq2GaYWBLTdZReaE23JXqV4HHXu1U3Yo98j5DWNrsUos3cqBPgq396giHKu5VRQMh9B-oQd-Q9JBpOhqqwy9v5SWdbzRH0gKhT7zkN9EttDF0Io=w1200|https://lh3.googleusercontent.com/pw/AP1GczP_TC22vRpHvB_KttOXFrt4c42DGnaBSTAQt3D4-9ydJIXxKu2Ic3fAfcUxBy80EW5eN5TyH7aQjVteZOpY1WAu12zunAqn3wL6Cj4iOTvoO_-bCkk=w1200|https://lh3.googleusercontent.com/pw/AP1GczODPhsn-x_envJAOjpuSJr2RSzhTYpZ_TZzGrqvW8qd4ilmqqCovZNb29i9u1jAtmL3cpxvjo7drS5RLsbAiF5mFPVlH8iFMAv6kNMyiIkEf_x8DIA=w1200|https://lh3.googleusercontent.com/pw/AP1GczP1eA0xdyfWrTH6Psmx0FOcYpbnoAXhxk_a1ILUSPO0ijD-4fSZ1I9Z1iw1PSibHg4PrK1ySi1eY0o5gRae3GZ76ozU-2lCsDO9s1xyTFz2Cu36jd4=w1200|https://lh3.googleusercontent.com/pw/AP1GczPSEJgDBfdm1AFdv80RLtK2WVH7s4tsX0lVxHArS77gixyIIlEe2oOcJlFoNEXZuxgoHL1ZoSQl-qnpxNSfTyDUgKOCfLgqUVVUWb-QCOoc1tYqNEM=w1200|https://lh3.googleusercontent.com/pw/AP1GczPdJrEBaEXDmJ9wuo1T_oL3oPxUkizjo1j5Hj8_Fqf8T1aWEnuyLEenrT_TB0RlESWiEWvV5HYKljgDTEkiSk0-cSOIIur33o36fSmiLBXhUA0UpRE=w1200|https://lh3.googleusercontent.com/pw/AP1GczMBUldpGCFeht0L-IBlCFoPetM-ZmJ5QZWmvYRgrG_5qwetNXCzZKBhRqy8QJVe1oDLblx5ZFeN07QRnCVa8ymIc5vl0a5Pjj-hJ1ARmQtI-HPsspc=w1200|https://lh3.googleusercontent.com/pw/AP1GczOYnuJ0avE9_58XnfzSZocu98lC2JPmKxcHndO_x4cshYtoh0fLFDLog8voBKnB7W9kxmnQwbJZzCM4y_JvQpHpYHWc7ysgDcEy6VV0CdE6WGYQTpg=w1200|https://lh3.googleusercontent.com/pw/AP1GczNAN9HdXbjwowXMdHKlQ5wMGZvfei55mWsGID-O3oyhgjc5rawrYUpiAamSccqFJpzfImoosGwlSP3ng-ktWEdefh0tB6mcWiRChDeSQVdg1OsU8oQ=w1200|https://lh3.googleusercontent.com/pw/AP1GczMvrl0MpQvwbzOfDkFldBuley6PE0p_NtbJjJu8KGHkG8BO8Y_gg5XHGDKHf9sh_MfxDSkZElxzgKtbJp88GhlxkcTLvAj3qcnxFUYUdtf0Y_WGrzc=w1200|https://lh3.googleusercontent.com/pw/AP1GczN2fW0viW0rCW0996eiTvOhSxTD7U8UsEFY9LPFTOUgpadwyiNi_FmpVlLjFVfToTjUNXx00LJufNpUcwZWDXeRHsZwlX1_0jCVh5FfMUwRCZtlxT4=w1200|https://lh3.googleusercontent.com/pw/AP1GczNmog62_YeObDD86L98GHuQoKNB60CAKJtHGSwLuD_DjtB3KZPELNQv4xNmQhBYc1iFwZ2YkInrDnotV7sxnUMgRuDHjEUbtUlqauceVXZmzIgSV3Wa=w1200</v>
      </c>
    </row>
    <row r="63">
      <c r="A63" s="39" t="str">
        <f>IFERROR(__xludf.DUMMYFUNCTION("""COMPUTED_VALUE"""),"362")</f>
        <v>362</v>
      </c>
      <c r="B63" s="40" t="str">
        <f>IFERROR(__xludf.DUMMYFUNCTION("""COMPUTED_VALUE"""),"Apartamento en barrio Las Granjas")</f>
        <v>Apartamento en barrio Las Granjas</v>
      </c>
      <c r="C63" s="40" t="str">
        <f>IFERROR(__xludf.DUMMYFUNCTION("""COMPUTED_VALUE"""),"Apartamento")</f>
        <v>Apartamento</v>
      </c>
      <c r="D63" s="40" t="str">
        <f>IFERROR(__xludf.DUMMYFUNCTION("""COMPUTED_VALUE"""),"Las Granjas")</f>
        <v>Las Granjas</v>
      </c>
      <c r="E63" s="40"/>
      <c r="F63" s="42">
        <f>IFERROR(__xludf.DUMMYFUNCTION("""COMPUTED_VALUE"""),1.5E8)</f>
        <v>150000000</v>
      </c>
      <c r="G63" s="40" t="str">
        <f>IFERROR(__xludf.DUMMYFUNCTION("""COMPUTED_VALUE"""),"$100'000.000 a $200'000.000")</f>
        <v>$100'000.000 a $200'000.000</v>
      </c>
      <c r="H63" s="40"/>
      <c r="I63" s="40"/>
      <c r="J63" s="40" t="str">
        <f>IFERROR(__xludf.DUMMYFUNCTION("""COMPUTED_VALUE"""),"Norte")</f>
        <v>Norte</v>
      </c>
      <c r="K63" s="39" t="str">
        <f>IFERROR(__xludf.DUMMYFUNCTION("""COMPUTED_VALUE"""),"2")</f>
        <v>2</v>
      </c>
      <c r="L63" s="40">
        <f>IFERROR(__xludf.DUMMYFUNCTION("""COMPUTED_VALUE"""),3.0)</f>
        <v>3</v>
      </c>
      <c r="M63" s="40"/>
      <c r="N63" s="40">
        <f>IFERROR(__xludf.DUMMYFUNCTION("""COMPUTED_VALUE"""),1.0)</f>
        <v>1</v>
      </c>
      <c r="O63" s="40">
        <f>IFERROR(__xludf.DUMMYFUNCTION("""COMPUTED_VALUE"""),0.0)</f>
        <v>0</v>
      </c>
      <c r="P63" s="40">
        <f>IFERROR(__xludf.DUMMYFUNCTION("""COMPUTED_VALUE"""),1.0)</f>
        <v>1</v>
      </c>
      <c r="Q63" s="48">
        <f>IFERROR(__xludf.DUMMYFUNCTION("""COMPUTED_VALUE"""),68.0)</f>
        <v>68</v>
      </c>
      <c r="R63" s="48">
        <f>IFERROR(__xludf.DUMMYFUNCTION("""COMPUTED_VALUE"""),68.0)</f>
        <v>68</v>
      </c>
      <c r="S63" s="39" t="str">
        <f>IFERROR(__xludf.DUMMYFUNCTION("""COMPUTED_VALUE""")," ")</f>
        <v> </v>
      </c>
      <c r="T63" s="40" t="str">
        <f>IFERROR(__xludf.DUMMYFUNCTION("""COMPUTED_VALUE"""),"Neiva")</f>
        <v>Neiva</v>
      </c>
      <c r="U63" s="39" t="str">
        <f>IFERROR(__xludf.DUMMYFUNCTION("""COMPUTED_VALUE"""),"2")</f>
        <v>2</v>
      </c>
      <c r="V63" s="40" t="str">
        <f>IFERROR(__xludf.DUMMYFUNCTION("""COMPUTED_VALUE"""),"Medianera")</f>
        <v>Medianera</v>
      </c>
      <c r="W63" s="46"/>
      <c r="X63" s="46">
        <f>IFERROR(__xludf.DUMMYFUNCTION("""COMPUTED_VALUE"""),0.0)</f>
        <v>0</v>
      </c>
      <c r="Y63" s="40" t="str">
        <f>IFERROR(__xludf.DUMMYFUNCTION("""COMPUTED_VALUE"""),"No tiene")</f>
        <v>No tiene</v>
      </c>
      <c r="Z63" s="42" t="str">
        <f>IFERROR(__xludf.DUMMYFUNCTION("""COMPUTED_VALUE"""),"No aplica")</f>
        <v>No aplica</v>
      </c>
      <c r="AA63" s="49" t="str">
        <f>IFERROR(__xludf.DUMMYFUNCTION("""COMPUTED_VALUE"""),"No aplica")</f>
        <v>No aplica</v>
      </c>
      <c r="AB63" s="66" t="str">
        <f>IFERROR(__xludf.DUMMYFUNCTION("""COMPUTED_VALUE"""),"https://photos.app.goo.gl/SJMUPeeYXJSxe7dz5")</f>
        <v>https://photos.app.goo.gl/SJMUPeeYXJSxe7dz5</v>
      </c>
      <c r="AC63" s="40"/>
      <c r="AD63" s="40" t="str">
        <f>IFERROR(__xludf.DUMMYFUNCTION("""COMPUTED_VALUE"""),"Apartamento con reja antejardín con garaje para la moto. Dimensión  aprox. del lote 3.8 ml x 20.0 ml. Las habitaciones sin puertas. Patio. La cubierta en asbesto cemento. Piso en cerámica. Escritura independiente y al día. No se permuta.")</f>
        <v>Apartamento con reja antejardín con garaje para la moto. Dimensión  aprox. del lote 3.8 ml x 20.0 ml. Las habitaciones sin puertas. Patio. La cubierta en asbesto cemento. Piso en cerámica. Escritura independiente y al día. No se permuta.</v>
      </c>
      <c r="AE63" s="40"/>
      <c r="AF63" s="40" t="str">
        <f>IFERROR(__xludf.DUMMYFUNCTION("""COMPUTED_VALUE"""),"semi-integral")</f>
        <v>semi-integral</v>
      </c>
      <c r="AG63" s="40"/>
      <c r="AH63" s="40" t="str">
        <f>IFERROR(__xludf.DUMMYFUNCTION("""COMPUTED_VALUE"""),"Inventario")</f>
        <v>Inventario</v>
      </c>
      <c r="AI63" s="40" t="str">
        <f>IFERROR(__xludf.DUMMYFUNCTION("""COMPUTED_VALUE"""),"Verbal")</f>
        <v>Verbal</v>
      </c>
      <c r="AJ63" s="40" t="str">
        <f>IFERROR(__xludf.DUMMYFUNCTION("""COMPUTED_VALUE"""),"ICDE")</f>
        <v>ICDE</v>
      </c>
      <c r="AK63" s="40" t="str">
        <f>IFERROR(__xludf.DUMMYFUNCTION("""COMPUTED_VALUE"""),"SIN CONTRATO")</f>
        <v>SIN CONTRATO</v>
      </c>
      <c r="AL63" s="40" t="str">
        <f>IFERROR(__xludf.DUMMYFUNCTION("""COMPUTED_VALUE"""),"NO FOTOS + DESCRIPCION")</f>
        <v>NO FOTOS + DESCRIPCION</v>
      </c>
      <c r="AM63" s="40">
        <f>IFERROR(__xludf.DUMMYFUNCTION("""COMPUTED_VALUE"""),3.223162389E9)</f>
        <v>3223162389</v>
      </c>
      <c r="AN63" s="40"/>
      <c r="AO63" s="40" t="str">
        <f>IFERROR(__xludf.DUMMYFUNCTION("""COMPUTED_VALUE"""),"MIRIAM SUAZA")</f>
        <v>MIRIAM SUAZA</v>
      </c>
      <c r="AP63" s="40"/>
      <c r="AQ63" s="40">
        <f>IFERROR(__xludf.DUMMYFUNCTION("""COMPUTED_VALUE"""),2.9453573)</f>
        <v>2.9453573</v>
      </c>
      <c r="AR63" s="40">
        <f>IFERROR(__xludf.DUMMYFUNCTION("""COMPUTED_VALUE"""),-75.2913757)</f>
        <v>-75.2913757</v>
      </c>
      <c r="AS63" s="53">
        <f>IFERROR(__xludf.DUMMYFUNCTION("""COMPUTED_VALUE"""),0.0)</f>
        <v>0</v>
      </c>
      <c r="AT63" s="40">
        <f>IFERROR(__xludf.DUMMYFUNCTION("""COMPUTED_VALUE"""),0.0)</f>
        <v>0</v>
      </c>
      <c r="AU63" s="40">
        <f>IFERROR(__xludf.DUMMYFUNCTION("""COMPUTED_VALUE"""),0.0)</f>
        <v>0</v>
      </c>
      <c r="AV63" s="40">
        <f>IFERROR(__xludf.DUMMYFUNCTION("""COMPUTED_VALUE"""),0.0)</f>
        <v>0</v>
      </c>
      <c r="AW63" s="40" t="str">
        <f>IFERROR(__xludf.DUMMYFUNCTION("""COMPUTED_VALUE"""),"SI")</f>
        <v>SI</v>
      </c>
      <c r="AX63" s="40">
        <f>IFERROR(__xludf.DUMMYFUNCTION("""COMPUTED_VALUE"""),0.0)</f>
        <v>0</v>
      </c>
      <c r="AY63" s="40" t="str">
        <f>IFERROR(__xludf.DUMMYFUNCTION("""COMPUTED_VALUE"""),"P")</f>
        <v>P</v>
      </c>
      <c r="AZ63" s="40">
        <f>IFERROR(__xludf.DUMMYFUNCTION("""COMPUTED_VALUE"""),3.4)</f>
        <v>3.4</v>
      </c>
      <c r="BA63" s="40" t="str">
        <f>IFERROR(__xludf.DUMMYFUNCTION("""COMPUTED_VALUE"""),"X")</f>
        <v>X</v>
      </c>
      <c r="BB63" s="40">
        <f>IFERROR(__xludf.DUMMYFUNCTION("""COMPUTED_VALUE"""),18.0)</f>
        <v>18</v>
      </c>
      <c r="BC63" s="53"/>
      <c r="BD63" s="48"/>
      <c r="BE63" s="48"/>
      <c r="BF63" s="48" t="str">
        <f>IFERROR(__xludf.DUMMYFUNCTION("""COMPUTED_VALUE"""),"https://lh3.googleusercontent.com/pw/AP1GczO8zPP5gyF414vCSI4yvfSOSXXsOJ8MnNocvmB6hSTCXgixXKhvpfsCNKN9-f2mVabgGdcydKWk4NxIKJReGQlKqyaKmpOgwiWEyTAHzXKckrGDjMtI=w1200|https://lh3.googleusercontent.com/pw/AP1GczMQsPchgFKIHo4iwHgkf_1eMrgBv-Trqovl7OWARQwxkqdbDK"&amp;"f_vlC9Vz3gEsNhsmq1fo4Gf7NHEPIJ7Uv4dxUeJhAC9wqUJK4YswW8NjSQ34NqvfeZ=w1200|https://lh3.googleusercontent.com/pw/AP1GczMkYWZ4GzHKonSAjiFlvVUDaq-NqdZcL0MyAjTVSFKBweiMr80HWKPRiltaOhWKt-Fv8gxyqfD1Mo_ju-cLfmGzWgeAjCPG8zA1oiJKnP-cLQXpJ2Xi=w1200|https://lh3.google"&amp;"usercontent.com/pw/AP1GczNvH-9BGrKsKCzMhe0ZkeUTRZSjHxV8ILNAHS8dJX1jnwC1Zuu4_ZmvySH40N65j4n8LAn3mjdMWOVsjpku89SozwNWmXpGb1tNtX_NxwXUcqZM-yev=w1200|https://lh3.googleusercontent.com/pw/AP1GczPwn9i59Xa_6Uw4Uj9Yb7G64r9xUw7QrTseJSMo3Z-wXjCJR5CG1oqQTywq5wkhdtUZ"&amp;"krglG6LYmkq6A52heZxnHE2zsjkYY2ymcs0jNPRrp9usAR4O=w1200")</f>
        <v>https://lh3.googleusercontent.com/pw/AP1GczO8zPP5gyF414vCSI4yvfSOSXXsOJ8MnNocvmB6hSTCXgixXKhvpfsCNKN9-f2mVabgGdcydKWk4NxIKJReGQlKqyaKmpOgwiWEyTAHzXKckrGDjMtI=w1200|https://lh3.googleusercontent.com/pw/AP1GczMQsPchgFKIHo4iwHgkf_1eMrgBv-Trqovl7OWARQwxkqdbDKf_vlC9Vz3gEsNhsmq1fo4Gf7NHEPIJ7Uv4dxUeJhAC9wqUJK4YswW8NjSQ34NqvfeZ=w1200|https://lh3.googleusercontent.com/pw/AP1GczMkYWZ4GzHKonSAjiFlvVUDaq-NqdZcL0MyAjTVSFKBweiMr80HWKPRiltaOhWKt-Fv8gxyqfD1Mo_ju-cLfmGzWgeAjCPG8zA1oiJKnP-cLQXpJ2Xi=w1200|https://lh3.googleusercontent.com/pw/AP1GczNvH-9BGrKsKCzMhe0ZkeUTRZSjHxV8ILNAHS8dJX1jnwC1Zuu4_ZmvySH40N65j4n8LAn3mjdMWOVsjpku89SozwNWmXpGb1tNtX_NxwXUcqZM-yev=w1200|https://lh3.googleusercontent.com/pw/AP1GczPwn9i59Xa_6Uw4Uj9Yb7G64r9xUw7QrTseJSMo3Z-wXjCJR5CG1oqQTywq5wkhdtUZkrglG6LYmkq6A52heZxnHE2zsjkYY2ymcs0jNPRrp9usAR4O=w1200</v>
      </c>
    </row>
    <row r="64">
      <c r="A64" s="39" t="str">
        <f>IFERROR(__xludf.DUMMYFUNCTION("""COMPUTED_VALUE"""),"367")</f>
        <v>367</v>
      </c>
      <c r="B64" s="40" t="str">
        <f>IFERROR(__xludf.DUMMYFUNCTION("""COMPUTED_VALUE"""),"Casa en barrio Villa Carolina")</f>
        <v>Casa en barrio Villa Carolina</v>
      </c>
      <c r="C64" s="40" t="str">
        <f>IFERROR(__xludf.DUMMYFUNCTION("""COMPUTED_VALUE"""),"Casa")</f>
        <v>Casa</v>
      </c>
      <c r="D64" s="40" t="str">
        <f>IFERROR(__xludf.DUMMYFUNCTION("""COMPUTED_VALUE"""),"Villa Carolina")</f>
        <v>Villa Carolina</v>
      </c>
      <c r="E64" s="40"/>
      <c r="F64" s="42" t="str">
        <f>IFERROR(__xludf.DUMMYFUNCTION("""COMPUTED_VALUE""")," ")</f>
        <v> </v>
      </c>
      <c r="G64" s="40" t="str">
        <f>IFERROR(__xludf.DUMMYFUNCTION("""COMPUTED_VALUE"""),"Más de $1.000'000.000")</f>
        <v>Más de $1.000'000.000</v>
      </c>
      <c r="H64" s="40"/>
      <c r="I64" s="40"/>
      <c r="J64" s="40" t="str">
        <f>IFERROR(__xludf.DUMMYFUNCTION("""COMPUTED_VALUE"""),"Norte")</f>
        <v>Norte</v>
      </c>
      <c r="K64" s="39" t="str">
        <f>IFERROR(__xludf.DUMMYFUNCTION("""COMPUTED_VALUE"""),"2")</f>
        <v>2</v>
      </c>
      <c r="L64" s="40">
        <f>IFERROR(__xludf.DUMMYFUNCTION("""COMPUTED_VALUE"""),0.0)</f>
        <v>0</v>
      </c>
      <c r="M64" s="40"/>
      <c r="N64" s="40">
        <f>IFERROR(__xludf.DUMMYFUNCTION("""COMPUTED_VALUE"""),0.0)</f>
        <v>0</v>
      </c>
      <c r="O64" s="40">
        <f>IFERROR(__xludf.DUMMYFUNCTION("""COMPUTED_VALUE"""),0.0)</f>
        <v>0</v>
      </c>
      <c r="P64" s="40">
        <f>IFERROR(__xludf.DUMMYFUNCTION("""COMPUTED_VALUE"""),0.0)</f>
        <v>0</v>
      </c>
      <c r="Q64" s="48"/>
      <c r="R64" s="48">
        <f>IFERROR(__xludf.DUMMYFUNCTION("""COMPUTED_VALUE"""),0.0)</f>
        <v>0</v>
      </c>
      <c r="S64" s="39" t="str">
        <f>IFERROR(__xludf.DUMMYFUNCTION("""COMPUTED_VALUE""")," ")</f>
        <v> </v>
      </c>
      <c r="T64" s="40" t="str">
        <f>IFERROR(__xludf.DUMMYFUNCTION("""COMPUTED_VALUE"""),"Neiva")</f>
        <v>Neiva</v>
      </c>
      <c r="U64" s="39" t="str">
        <f>IFERROR(__xludf.DUMMYFUNCTION("""COMPUTED_VALUE"""),"3")</f>
        <v>3</v>
      </c>
      <c r="V64" s="40"/>
      <c r="W64" s="46"/>
      <c r="X64" s="46">
        <f>IFERROR(__xludf.DUMMYFUNCTION("""COMPUTED_VALUE"""),0.0)</f>
        <v>0</v>
      </c>
      <c r="Y64" s="40" t="str">
        <f>IFERROR(__xludf.DUMMYFUNCTION("""COMPUTED_VALUE"""),"No tiene")</f>
        <v>No tiene</v>
      </c>
      <c r="Z64" s="42" t="str">
        <f>IFERROR(__xludf.DUMMYFUNCTION("""COMPUTED_VALUE"""),"No aplica")</f>
        <v>No aplica</v>
      </c>
      <c r="AA64" s="49" t="str">
        <f>IFERROR(__xludf.DUMMYFUNCTION("""COMPUTED_VALUE"""),"No aplica")</f>
        <v>No aplica</v>
      </c>
      <c r="AB64" s="48"/>
      <c r="AC64" s="40"/>
      <c r="AD64" s="40"/>
      <c r="AE64" s="40"/>
      <c r="AF64" s="40" t="str">
        <f>IFERROR(__xludf.DUMMYFUNCTION("""COMPUTED_VALUE"""),"0")</f>
        <v>0</v>
      </c>
      <c r="AG64" s="40"/>
      <c r="AH64" s="40" t="str">
        <f>IFERROR(__xludf.DUMMYFUNCTION("""COMPUTED_VALUE"""),"Inventario")</f>
        <v>Inventario</v>
      </c>
      <c r="AI64" s="40"/>
      <c r="AJ64" s="40" t="str">
        <f>IFERROR(__xludf.DUMMYFUNCTION("""COMPUTED_VALUE"""),"ICDE")</f>
        <v>ICDE</v>
      </c>
      <c r="AK64" s="40"/>
      <c r="AL64" s="40" t="str">
        <f>IFERROR(__xludf.DUMMYFUNCTION("""COMPUTED_VALUE"""),"NO FOTOS + DESCRIPCION")</f>
        <v>NO FOTOS + DESCRIPCION</v>
      </c>
      <c r="AM64" s="40">
        <f>IFERROR(__xludf.DUMMYFUNCTION("""COMPUTED_VALUE"""),3.214533881E9)</f>
        <v>3214533881</v>
      </c>
      <c r="AN64" s="40">
        <f>IFERROR(__xludf.DUMMYFUNCTION("""COMPUTED_VALUE"""),0.0)</f>
        <v>0</v>
      </c>
      <c r="AO64" s="40"/>
      <c r="AP64" s="40" t="str">
        <f>IFERROR(__xludf.DUMMYFUNCTION("""COMPUTED_VALUE"""),"CALLE 56 No. 17 C - 24")</f>
        <v>CALLE 56 No. 17 C - 24</v>
      </c>
      <c r="AQ64" s="40"/>
      <c r="AR64" s="40"/>
      <c r="AS64" s="53">
        <f>IFERROR(__xludf.DUMMYFUNCTION("""COMPUTED_VALUE"""),0.0)</f>
        <v>0</v>
      </c>
      <c r="AT64" s="40">
        <f>IFERROR(__xludf.DUMMYFUNCTION("""COMPUTED_VALUE"""),0.0)</f>
        <v>0</v>
      </c>
      <c r="AU64" s="40">
        <f>IFERROR(__xludf.DUMMYFUNCTION("""COMPUTED_VALUE"""),0.0)</f>
        <v>0</v>
      </c>
      <c r="AV64" s="40">
        <f>IFERROR(__xludf.DUMMYFUNCTION("""COMPUTED_VALUE"""),0.0)</f>
        <v>0</v>
      </c>
      <c r="AW64" s="40" t="str">
        <f>IFERROR(__xludf.DUMMYFUNCTION("""COMPUTED_VALUE"""),"NO")</f>
        <v>NO</v>
      </c>
      <c r="AX64" s="40">
        <f>IFERROR(__xludf.DUMMYFUNCTION("""COMPUTED_VALUE"""),0.0)</f>
        <v>0</v>
      </c>
      <c r="AY64" s="40">
        <f>IFERROR(__xludf.DUMMYFUNCTION("""COMPUTED_VALUE"""),0.0)</f>
        <v>0</v>
      </c>
      <c r="AZ64" s="40">
        <f>IFERROR(__xludf.DUMMYFUNCTION("""COMPUTED_VALUE"""),0.0)</f>
        <v>0</v>
      </c>
      <c r="BA64" s="40" t="str">
        <f>IFERROR(__xludf.DUMMYFUNCTION("""COMPUTED_VALUE"""),"X")</f>
        <v>X</v>
      </c>
      <c r="BB64" s="40">
        <f>IFERROR(__xludf.DUMMYFUNCTION("""COMPUTED_VALUE"""),0.0)</f>
        <v>0</v>
      </c>
      <c r="BC64" s="53"/>
      <c r="BD64" s="48"/>
      <c r="BE64" s="48"/>
      <c r="BF64" s="48"/>
    </row>
    <row r="65">
      <c r="A65" s="39" t="str">
        <f>IFERROR(__xludf.DUMMYFUNCTION("""COMPUTED_VALUE"""),"149")</f>
        <v>149</v>
      </c>
      <c r="B65" s="40" t="str">
        <f>IFERROR(__xludf.DUMMYFUNCTION("""COMPUTED_VALUE"""),"Apartamento en barrio Alamos Norte")</f>
        <v>Apartamento en barrio Alamos Norte</v>
      </c>
      <c r="C65" s="40" t="str">
        <f>IFERROR(__xludf.DUMMYFUNCTION("""COMPUTED_VALUE"""),"Apartamento")</f>
        <v>Apartamento</v>
      </c>
      <c r="D65" s="40" t="str">
        <f>IFERROR(__xludf.DUMMYFUNCTION("""COMPUTED_VALUE"""),"Alamos Norte")</f>
        <v>Alamos Norte</v>
      </c>
      <c r="E65" s="42"/>
      <c r="F65" s="42" t="str">
        <f>IFERROR(__xludf.DUMMYFUNCTION("""COMPUTED_VALUE""")," ")</f>
        <v> </v>
      </c>
      <c r="G65" s="40" t="str">
        <f>IFERROR(__xludf.DUMMYFUNCTION("""COMPUTED_VALUE"""),"Más de $1.000'000.000")</f>
        <v>Más de $1.000'000.000</v>
      </c>
      <c r="H65" s="40"/>
      <c r="I65" s="40"/>
      <c r="J65" s="40" t="str">
        <f>IFERROR(__xludf.DUMMYFUNCTION("""COMPUTED_VALUE"""),"Norte")</f>
        <v>Norte</v>
      </c>
      <c r="K65" s="39"/>
      <c r="L65" s="40">
        <f>IFERROR(__xludf.DUMMYFUNCTION("""COMPUTED_VALUE"""),0.0)</f>
        <v>0</v>
      </c>
      <c r="M65" s="40"/>
      <c r="N65" s="40">
        <f>IFERROR(__xludf.DUMMYFUNCTION("""COMPUTED_VALUE"""),0.0)</f>
        <v>0</v>
      </c>
      <c r="O65" s="40">
        <f>IFERROR(__xludf.DUMMYFUNCTION("""COMPUTED_VALUE"""),0.0)</f>
        <v>0</v>
      </c>
      <c r="P65" s="40">
        <f>IFERROR(__xludf.DUMMYFUNCTION("""COMPUTED_VALUE"""),1.0)</f>
        <v>1</v>
      </c>
      <c r="Q65" s="48"/>
      <c r="R65" s="48">
        <f>IFERROR(__xludf.DUMMYFUNCTION("""COMPUTED_VALUE"""),0.0)</f>
        <v>0</v>
      </c>
      <c r="S65" s="39" t="str">
        <f>IFERROR(__xludf.DUMMYFUNCTION("""COMPUTED_VALUE""")," ")</f>
        <v> </v>
      </c>
      <c r="T65" s="40" t="str">
        <f>IFERROR(__xludf.DUMMYFUNCTION("""COMPUTED_VALUE"""),"Neiva")</f>
        <v>Neiva</v>
      </c>
      <c r="U65" s="39" t="str">
        <f>IFERROR(__xludf.DUMMYFUNCTION("""COMPUTED_VALUE"""),"2")</f>
        <v>2</v>
      </c>
      <c r="V65" s="40"/>
      <c r="W65" s="46"/>
      <c r="X65" s="46">
        <f>IFERROR(__xludf.DUMMYFUNCTION("""COMPUTED_VALUE"""),0.0)</f>
        <v>0</v>
      </c>
      <c r="Y65" s="40" t="str">
        <f>IFERROR(__xludf.DUMMYFUNCTION("""COMPUTED_VALUE"""),"No tiene")</f>
        <v>No tiene</v>
      </c>
      <c r="Z65" s="42" t="str">
        <f>IFERROR(__xludf.DUMMYFUNCTION("""COMPUTED_VALUE"""),"No aplica")</f>
        <v>No aplica</v>
      </c>
      <c r="AA65" s="49" t="str">
        <f>IFERROR(__xludf.DUMMYFUNCTION("""COMPUTED_VALUE"""),"No aplica")</f>
        <v>No aplica</v>
      </c>
      <c r="AB65" s="48"/>
      <c r="AC65" s="40" t="str">
        <f>IFERROR(__xludf.DUMMYFUNCTION("""COMPUTED_VALUE"""),"Ubicada en el segundo piso")</f>
        <v>Ubicada en el segundo piso</v>
      </c>
      <c r="AD65" s="40"/>
      <c r="AE65" s="40"/>
      <c r="AF65" s="40" t="str">
        <f>IFERROR(__xludf.DUMMYFUNCTION("""COMPUTED_VALUE"""),"0")</f>
        <v>0</v>
      </c>
      <c r="AG65" s="40"/>
      <c r="AH65" s="40" t="str">
        <f>IFERROR(__xludf.DUMMYFUNCTION("""COMPUTED_VALUE"""),"Inventario")</f>
        <v>Inventario</v>
      </c>
      <c r="AI65" s="40"/>
      <c r="AJ65" s="40" t="str">
        <f>IFERROR(__xludf.DUMMYFUNCTION("""COMPUTED_VALUE"""),"ICDE")</f>
        <v>ICDE</v>
      </c>
      <c r="AK65" s="40"/>
      <c r="AL65" s="40" t="str">
        <f>IFERROR(__xludf.DUMMYFUNCTION("""COMPUTED_VALUE"""),"NO FOTOS + DESCRIPCION")</f>
        <v>NO FOTOS + DESCRIPCION</v>
      </c>
      <c r="AM65" s="40">
        <f>IFERROR(__xludf.DUMMYFUNCTION("""COMPUTED_VALUE"""),3.124272993E9)</f>
        <v>3124272993</v>
      </c>
      <c r="AN65" s="40">
        <f>IFERROR(__xludf.DUMMYFUNCTION("""COMPUTED_VALUE"""),0.0)</f>
        <v>0</v>
      </c>
      <c r="AO65" s="40"/>
      <c r="AP65" s="40">
        <f>IFERROR(__xludf.DUMMYFUNCTION("""COMPUTED_VALUE"""),0.0)</f>
        <v>0</v>
      </c>
      <c r="AQ65" s="40"/>
      <c r="AR65" s="40"/>
      <c r="AS65" s="53">
        <f>IFERROR(__xludf.DUMMYFUNCTION("""COMPUTED_VALUE"""),0.0)</f>
        <v>0</v>
      </c>
      <c r="AT65" s="40">
        <f>IFERROR(__xludf.DUMMYFUNCTION("""COMPUTED_VALUE"""),0.0)</f>
        <v>0</v>
      </c>
      <c r="AU65" s="40">
        <f>IFERROR(__xludf.DUMMYFUNCTION("""COMPUTED_VALUE"""),0.0)</f>
        <v>0</v>
      </c>
      <c r="AV65" s="40">
        <f>IFERROR(__xludf.DUMMYFUNCTION("""COMPUTED_VALUE"""),0.0)</f>
        <v>0</v>
      </c>
      <c r="AW65" s="40" t="str">
        <f>IFERROR(__xludf.DUMMYFUNCTION("""COMPUTED_VALUE"""),"NO")</f>
        <v>NO</v>
      </c>
      <c r="AX65" s="40">
        <f>IFERROR(__xludf.DUMMYFUNCTION("""COMPUTED_VALUE"""),0.0)</f>
        <v>0</v>
      </c>
      <c r="AY65" s="40">
        <f>IFERROR(__xludf.DUMMYFUNCTION("""COMPUTED_VALUE"""),0.0)</f>
        <v>0</v>
      </c>
      <c r="AZ65" s="40">
        <f>IFERROR(__xludf.DUMMYFUNCTION("""COMPUTED_VALUE"""),0.0)</f>
        <v>0</v>
      </c>
      <c r="BA65" s="40" t="str">
        <f>IFERROR(__xludf.DUMMYFUNCTION("""COMPUTED_VALUE"""),"X")</f>
        <v>X</v>
      </c>
      <c r="BB65" s="40">
        <f>IFERROR(__xludf.DUMMYFUNCTION("""COMPUTED_VALUE"""),0.0)</f>
        <v>0</v>
      </c>
      <c r="BC65" s="53"/>
      <c r="BD65" s="48"/>
      <c r="BE65" s="48"/>
      <c r="BF65" s="48"/>
    </row>
    <row r="66">
      <c r="A66" s="39" t="str">
        <f>IFERROR(__xludf.DUMMYFUNCTION("""COMPUTED_VALUE"""),"123")</f>
        <v>123</v>
      </c>
      <c r="B66" s="40" t="str">
        <f>IFERROR(__xludf.DUMMYFUNCTION("""COMPUTED_VALUE"""),"Casa lote en barrio La Toma")</f>
        <v>Casa lote en barrio La Toma</v>
      </c>
      <c r="C66" s="40" t="str">
        <f>IFERROR(__xludf.DUMMYFUNCTION("""COMPUTED_VALUE"""),"Casa lote")</f>
        <v>Casa lote</v>
      </c>
      <c r="D66" s="40" t="str">
        <f>IFERROR(__xludf.DUMMYFUNCTION("""COMPUTED_VALUE"""),"La Toma")</f>
        <v>La Toma</v>
      </c>
      <c r="E66" s="42" t="str">
        <f>IFERROR(__xludf.DUMMYFUNCTION("""COMPUTED_VALUE""")," ")</f>
        <v> </v>
      </c>
      <c r="F66" s="42">
        <f>IFERROR(__xludf.DUMMYFUNCTION("""COMPUTED_VALUE"""),3.002675357E9)</f>
        <v>3002675357</v>
      </c>
      <c r="G66" s="40" t="str">
        <f>IFERROR(__xludf.DUMMYFUNCTION("""COMPUTED_VALUE"""),"Más de $1.000'000.000")</f>
        <v>Más de $1.000'000.000</v>
      </c>
      <c r="H66" s="40"/>
      <c r="I66" s="40"/>
      <c r="J66" s="40" t="str">
        <f>IFERROR(__xludf.DUMMYFUNCTION("""COMPUTED_VALUE"""),"Centro")</f>
        <v>Centro</v>
      </c>
      <c r="K66" s="39" t="str">
        <f>IFERROR(__xludf.DUMMYFUNCTION("""COMPUTED_VALUE"""),"3")</f>
        <v>3</v>
      </c>
      <c r="L66" s="40">
        <f>IFERROR(__xludf.DUMMYFUNCTION("""COMPUTED_VALUE"""),4.0)</f>
        <v>4</v>
      </c>
      <c r="M66" s="40"/>
      <c r="N66" s="40">
        <f>IFERROR(__xludf.DUMMYFUNCTION("""COMPUTED_VALUE"""),1.0)</f>
        <v>1</v>
      </c>
      <c r="O66" s="40">
        <f>IFERROR(__xludf.DUMMYFUNCTION("""COMPUTED_VALUE"""),0.0)</f>
        <v>0</v>
      </c>
      <c r="P66" s="40">
        <f>IFERROR(__xludf.DUMMYFUNCTION("""COMPUTED_VALUE"""),0.0)</f>
        <v>0</v>
      </c>
      <c r="Q66" s="48"/>
      <c r="R66" s="48">
        <f>IFERROR(__xludf.DUMMYFUNCTION("""COMPUTED_VALUE"""),197.0)</f>
        <v>197</v>
      </c>
      <c r="S66" s="39" t="str">
        <f>IFERROR(__xludf.DUMMYFUNCTION("""COMPUTED_VALUE""")," ")</f>
        <v> </v>
      </c>
      <c r="T66" s="40" t="str">
        <f>IFERROR(__xludf.DUMMYFUNCTION("""COMPUTED_VALUE"""),"Neiva")</f>
        <v>Neiva</v>
      </c>
      <c r="U66" s="39" t="str">
        <f>IFERROR(__xludf.DUMMYFUNCTION("""COMPUTED_VALUE"""),"3")</f>
        <v>3</v>
      </c>
      <c r="V66" s="40" t="str">
        <f>IFERROR(__xludf.DUMMYFUNCTION("""COMPUTED_VALUE"""),"Esquinera")</f>
        <v>Esquinera</v>
      </c>
      <c r="W66" s="46"/>
      <c r="X66" s="46">
        <f>IFERROR(__xludf.DUMMYFUNCTION("""COMPUTED_VALUE"""),0.0)</f>
        <v>0</v>
      </c>
      <c r="Y66" s="40" t="str">
        <f>IFERROR(__xludf.DUMMYFUNCTION("""COMPUTED_VALUE"""),"No tiene")</f>
        <v>No tiene</v>
      </c>
      <c r="Z66" s="42" t="str">
        <f>IFERROR(__xludf.DUMMYFUNCTION("""COMPUTED_VALUE"""),"No aplica")</f>
        <v>No aplica</v>
      </c>
      <c r="AA66" s="49" t="str">
        <f>IFERROR(__xludf.DUMMYFUNCTION("""COMPUTED_VALUE"""),"No aplica")</f>
        <v>No aplica</v>
      </c>
      <c r="AB66" s="48"/>
      <c r="AC66" s="40"/>
      <c r="AD66" s="40"/>
      <c r="AE66" s="40"/>
      <c r="AF66" s="40" t="str">
        <f>IFERROR(__xludf.DUMMYFUNCTION("""COMPUTED_VALUE"""),"básica")</f>
        <v>básica</v>
      </c>
      <c r="AG66" s="40"/>
      <c r="AH66" s="40" t="str">
        <f>IFERROR(__xludf.DUMMYFUNCTION("""COMPUTED_VALUE"""),"Inventario")</f>
        <v>Inventario</v>
      </c>
      <c r="AI66" s="40"/>
      <c r="AJ66" s="40" t="str">
        <f>IFERROR(__xludf.DUMMYFUNCTION("""COMPUTED_VALUE"""),"ICDE")</f>
        <v>ICDE</v>
      </c>
      <c r="AK66" s="40"/>
      <c r="AL66" s="40" t="str">
        <f>IFERROR(__xludf.DUMMYFUNCTION("""COMPUTED_VALUE"""),"NO FOTOS + DESCRIPCION")</f>
        <v>NO FOTOS + DESCRIPCION</v>
      </c>
      <c r="AM66" s="40">
        <f>IFERROR(__xludf.DUMMYFUNCTION("""COMPUTED_VALUE"""),3.002675357E9)</f>
        <v>3002675357</v>
      </c>
      <c r="AN66" s="40">
        <f>IFERROR(__xludf.DUMMYFUNCTION("""COMPUTED_VALUE"""),0.0)</f>
        <v>0</v>
      </c>
      <c r="AO66" s="40" t="str">
        <f>IFERROR(__xludf.DUMMYFUNCTION("""COMPUTED_VALUE"""),"IVON - LAS GRANJAS-3 APTOS HERMES")</f>
        <v>IVON - LAS GRANJAS-3 APTOS HERMES</v>
      </c>
      <c r="AP66" s="40">
        <f>IFERROR(__xludf.DUMMYFUNCTION("""COMPUTED_VALUE"""),0.0)</f>
        <v>0</v>
      </c>
      <c r="AQ66" s="40"/>
      <c r="AR66" s="40"/>
      <c r="AS66" s="53">
        <f>IFERROR(__xludf.DUMMYFUNCTION("""COMPUTED_VALUE"""),0.0)</f>
        <v>0</v>
      </c>
      <c r="AT66" s="40">
        <f>IFERROR(__xludf.DUMMYFUNCTION("""COMPUTED_VALUE"""),0.0)</f>
        <v>0</v>
      </c>
      <c r="AU66" s="40">
        <f>IFERROR(__xludf.DUMMYFUNCTION("""COMPUTED_VALUE"""),0.0)</f>
        <v>0</v>
      </c>
      <c r="AV66" s="40">
        <f>IFERROR(__xludf.DUMMYFUNCTION("""COMPUTED_VALUE"""),0.0)</f>
        <v>0</v>
      </c>
      <c r="AW66" s="40" t="str">
        <f>IFERROR(__xludf.DUMMYFUNCTION("""COMPUTED_VALUE"""),"NO")</f>
        <v>NO</v>
      </c>
      <c r="AX66" s="40">
        <f>IFERROR(__xludf.DUMMYFUNCTION("""COMPUTED_VALUE"""),0.0)</f>
        <v>0</v>
      </c>
      <c r="AY66" s="40">
        <f>IFERROR(__xludf.DUMMYFUNCTION("""COMPUTED_VALUE"""),0.0)</f>
        <v>0</v>
      </c>
      <c r="AZ66" s="40">
        <f>IFERROR(__xludf.DUMMYFUNCTION("""COMPUTED_VALUE"""),0.0)</f>
        <v>0</v>
      </c>
      <c r="BA66" s="40" t="str">
        <f>IFERROR(__xludf.DUMMYFUNCTION("""COMPUTED_VALUE"""),"X")</f>
        <v>X</v>
      </c>
      <c r="BB66" s="40">
        <f>IFERROR(__xludf.DUMMYFUNCTION("""COMPUTED_VALUE"""),0.0)</f>
        <v>0</v>
      </c>
      <c r="BC66" s="53" t="str">
        <f>IFERROR(__xludf.DUMMYFUNCTION("""COMPUTED_VALUE"""),"35 - LUIS ANGEL VARGAS")</f>
        <v>35 - LUIS ANGEL VARGAS</v>
      </c>
      <c r="BD66" s="48"/>
      <c r="BE66" s="48"/>
      <c r="BF66" s="48"/>
    </row>
    <row r="67">
      <c r="A67" s="39" t="str">
        <f>IFERROR(__xludf.DUMMYFUNCTION("""COMPUTED_VALUE"""),"392")</f>
        <v>392</v>
      </c>
      <c r="B67" s="40" t="str">
        <f>IFERROR(__xludf.DUMMYFUNCTION("""COMPUTED_VALUE"""),"Casa con dos apartamentos en barrio La Toma")</f>
        <v>Casa con dos apartamentos en barrio La Toma</v>
      </c>
      <c r="C67" s="40" t="str">
        <f>IFERROR(__xludf.DUMMYFUNCTION("""COMPUTED_VALUE"""),"Casa rentable")</f>
        <v>Casa rentable</v>
      </c>
      <c r="D67" s="40" t="str">
        <f>IFERROR(__xludf.DUMMYFUNCTION("""COMPUTED_VALUE"""),"La Toma")</f>
        <v>La Toma</v>
      </c>
      <c r="E67" s="40"/>
      <c r="F67" s="42">
        <f>IFERROR(__xludf.DUMMYFUNCTION("""COMPUTED_VALUE"""),1.6E9)</f>
        <v>1600000000</v>
      </c>
      <c r="G67" s="40" t="str">
        <f>IFERROR(__xludf.DUMMYFUNCTION("""COMPUTED_VALUE"""),"Más de $1.000'000.000")</f>
        <v>Más de $1.000'000.000</v>
      </c>
      <c r="H67" s="40"/>
      <c r="I67" s="40"/>
      <c r="J67" s="40" t="str">
        <f>IFERROR(__xludf.DUMMYFUNCTION("""COMPUTED_VALUE"""),"Centro")</f>
        <v>Centro</v>
      </c>
      <c r="K67" s="39" t="str">
        <f>IFERROR(__xludf.DUMMYFUNCTION("""COMPUTED_VALUE"""),"3")</f>
        <v>3</v>
      </c>
      <c r="L67" s="40">
        <f>IFERROR(__xludf.DUMMYFUNCTION("""COMPUTED_VALUE"""),8.0)</f>
        <v>8</v>
      </c>
      <c r="M67" s="40"/>
      <c r="N67" s="40">
        <f>IFERROR(__xludf.DUMMYFUNCTION("""COMPUTED_VALUE"""),4.0)</f>
        <v>4</v>
      </c>
      <c r="O67" s="40">
        <f>IFERROR(__xludf.DUMMYFUNCTION("""COMPUTED_VALUE"""),2.0)</f>
        <v>2</v>
      </c>
      <c r="P67" s="40">
        <f>IFERROR(__xludf.DUMMYFUNCTION("""COMPUTED_VALUE"""),2.0)</f>
        <v>2</v>
      </c>
      <c r="Q67" s="48">
        <f>IFERROR(__xludf.DUMMYFUNCTION("""COMPUTED_VALUE"""),250.0)</f>
        <v>250</v>
      </c>
      <c r="R67" s="48">
        <f>IFERROR(__xludf.DUMMYFUNCTION("""COMPUTED_VALUE"""),180.0)</f>
        <v>180</v>
      </c>
      <c r="S67" s="39" t="str">
        <f>IFERROR(__xludf.DUMMYFUNCTION("""COMPUTED_VALUE"""),"Rentabilidad $1,200,000")</f>
        <v>Rentabilidad $1,200,000</v>
      </c>
      <c r="T67" s="40" t="str">
        <f>IFERROR(__xludf.DUMMYFUNCTION("""COMPUTED_VALUE"""),"Neiva")</f>
        <v>Neiva</v>
      </c>
      <c r="U67" s="39" t="str">
        <f>IFERROR(__xludf.DUMMYFUNCTION("""COMPUTED_VALUE"""),"3")</f>
        <v>3</v>
      </c>
      <c r="V67" s="40"/>
      <c r="W67" s="46"/>
      <c r="X67" s="46">
        <f>IFERROR(__xludf.DUMMYFUNCTION("""COMPUTED_VALUE"""),2.0)</f>
        <v>2</v>
      </c>
      <c r="Y67" s="40" t="str">
        <f>IFERROR(__xludf.DUMMYFUNCTION("""COMPUTED_VALUE"""),"No tiene")</f>
        <v>No tiene</v>
      </c>
      <c r="Z67" s="42" t="str">
        <f>IFERROR(__xludf.DUMMYFUNCTION("""COMPUTED_VALUE"""),"No aplica")</f>
        <v>No aplica</v>
      </c>
      <c r="AA67" s="49" t="str">
        <f>IFERROR(__xludf.DUMMYFUNCTION("""COMPUTED_VALUE"""),"111 años")</f>
        <v>111 años</v>
      </c>
      <c r="AB67" s="48"/>
      <c r="AC67" s="40"/>
      <c r="AD67" s="40"/>
      <c r="AE67" s="40"/>
      <c r="AF67" s="40" t="str">
        <f>IFERROR(__xludf.DUMMYFUNCTION("""COMPUTED_VALUE"""),"semi-integral")</f>
        <v>semi-integral</v>
      </c>
      <c r="AG67" s="40"/>
      <c r="AH67" s="40" t="str">
        <f>IFERROR(__xludf.DUMMYFUNCTION("""COMPUTED_VALUE"""),"Inventario")</f>
        <v>Inventario</v>
      </c>
      <c r="AI67" s="40"/>
      <c r="AJ67" s="40" t="str">
        <f>IFERROR(__xludf.DUMMYFUNCTION("""COMPUTED_VALUE"""),"ICDE")</f>
        <v>ICDE</v>
      </c>
      <c r="AK67" s="40"/>
      <c r="AL67" s="40" t="str">
        <f>IFERROR(__xludf.DUMMYFUNCTION("""COMPUTED_VALUE"""),"NO FOTOS + DESCRIPCION")</f>
        <v>NO FOTOS + DESCRIPCION</v>
      </c>
      <c r="AM67" s="40">
        <f>IFERROR(__xludf.DUMMYFUNCTION("""COMPUTED_VALUE"""),3.21211243E9)</f>
        <v>3212112430</v>
      </c>
      <c r="AN67" s="40">
        <f>IFERROR(__xludf.DUMMYFUNCTION("""COMPUTED_VALUE"""),3.21211243E9)</f>
        <v>3212112430</v>
      </c>
      <c r="AO67" s="40" t="str">
        <f>IFERROR(__xludf.DUMMYFUNCTION("""COMPUTED_VALUE"""),"DANIEL - PROP. Frente a don Diogenes")</f>
        <v>DANIEL - PROP. Frente a don Diogenes</v>
      </c>
      <c r="AP67" s="40" t="str">
        <f>IFERROR(__xludf.DUMMYFUNCTION("""COMPUTED_VALUE"""),"CALLE 16 No. 7A - 60")</f>
        <v>CALLE 16 No. 7A - 60</v>
      </c>
      <c r="AQ67" s="40"/>
      <c r="AR67" s="40"/>
      <c r="AS67" s="53">
        <f>IFERROR(__xludf.DUMMYFUNCTION("""COMPUTED_VALUE"""),1200000.0)</f>
        <v>1200000</v>
      </c>
      <c r="AT67" s="40">
        <f>IFERROR(__xludf.DUMMYFUNCTION("""COMPUTED_VALUE"""),0.0)</f>
        <v>0</v>
      </c>
      <c r="AU67" s="40">
        <f>IFERROR(__xludf.DUMMYFUNCTION("""COMPUTED_VALUE"""),0.0)</f>
        <v>0</v>
      </c>
      <c r="AV67" s="40">
        <f>IFERROR(__xludf.DUMMYFUNCTION("""COMPUTED_VALUE"""),0.0)</f>
        <v>0</v>
      </c>
      <c r="AW67" s="40" t="str">
        <f>IFERROR(__xludf.DUMMYFUNCTION("""COMPUTED_VALUE"""),"NO")</f>
        <v>NO</v>
      </c>
      <c r="AX67" s="40">
        <f>IFERROR(__xludf.DUMMYFUNCTION("""COMPUTED_VALUE"""),0.0)</f>
        <v>0</v>
      </c>
      <c r="AY67" s="40" t="str">
        <f>IFERROR(__xludf.DUMMYFUNCTION("""COMPUTED_VALUE"""),"G")</f>
        <v>G</v>
      </c>
      <c r="AZ67" s="40">
        <f>IFERROR(__xludf.DUMMYFUNCTION("""COMPUTED_VALUE"""),0.0)</f>
        <v>0</v>
      </c>
      <c r="BA67" s="40" t="str">
        <f>IFERROR(__xludf.DUMMYFUNCTION("""COMPUTED_VALUE"""),"X")</f>
        <v>X</v>
      </c>
      <c r="BB67" s="40">
        <f>IFERROR(__xludf.DUMMYFUNCTION("""COMPUTED_VALUE"""),0.0)</f>
        <v>0</v>
      </c>
      <c r="BC67" s="53" t="str">
        <f>IFERROR(__xludf.DUMMYFUNCTION("""COMPUTED_VALUE"""),"12 - LEIDY YULIETH")</f>
        <v>12 - LEIDY YULIETH</v>
      </c>
      <c r="BD67" s="40"/>
      <c r="BE67" s="40"/>
      <c r="BF67" s="40"/>
    </row>
    <row r="68">
      <c r="A68" s="39" t="str">
        <f>IFERROR(__xludf.DUMMYFUNCTION("""COMPUTED_VALUE"""),"214")</f>
        <v>214</v>
      </c>
      <c r="B68" s="40" t="str">
        <f>IFERROR(__xludf.DUMMYFUNCTION("""COMPUTED_VALUE"""),"Casa lote en barrio La Toma")</f>
        <v>Casa lote en barrio La Toma</v>
      </c>
      <c r="C68" s="40" t="str">
        <f>IFERROR(__xludf.DUMMYFUNCTION("""COMPUTED_VALUE"""),"Casa lote")</f>
        <v>Casa lote</v>
      </c>
      <c r="D68" s="40" t="str">
        <f>IFERROR(__xludf.DUMMYFUNCTION("""COMPUTED_VALUE"""),"La Toma")</f>
        <v>La Toma</v>
      </c>
      <c r="E68" s="42" t="str">
        <f>IFERROR(__xludf.DUMMYFUNCTION("""COMPUTED_VALUE""")," ")</f>
        <v> </v>
      </c>
      <c r="F68" s="42">
        <f>IFERROR(__xludf.DUMMYFUNCTION("""COMPUTED_VALUE"""),1.512E9)</f>
        <v>1512000000</v>
      </c>
      <c r="G68" s="40" t="str">
        <f>IFERROR(__xludf.DUMMYFUNCTION("""COMPUTED_VALUE"""),"Más de $1.000'000.000")</f>
        <v>Más de $1.000'000.000</v>
      </c>
      <c r="H68" s="40"/>
      <c r="I68" s="40"/>
      <c r="J68" s="40" t="str">
        <f>IFERROR(__xludf.DUMMYFUNCTION("""COMPUTED_VALUE"""),"Centro")</f>
        <v>Centro</v>
      </c>
      <c r="K68" s="39" t="str">
        <f>IFERROR(__xludf.DUMMYFUNCTION("""COMPUTED_VALUE"""),"3")</f>
        <v>3</v>
      </c>
      <c r="L68" s="40">
        <f>IFERROR(__xludf.DUMMYFUNCTION("""COMPUTED_VALUE"""),6.0)</f>
        <v>6</v>
      </c>
      <c r="M68" s="40"/>
      <c r="N68" s="40">
        <f>IFERROR(__xludf.DUMMYFUNCTION("""COMPUTED_VALUE"""),4.0)</f>
        <v>4</v>
      </c>
      <c r="O68" s="40">
        <f>IFERROR(__xludf.DUMMYFUNCTION("""COMPUTED_VALUE"""),0.0)</f>
        <v>0</v>
      </c>
      <c r="P68" s="40">
        <f>IFERROR(__xludf.DUMMYFUNCTION("""COMPUTED_VALUE"""),1.0)</f>
        <v>1</v>
      </c>
      <c r="Q68" s="48">
        <f>IFERROR(__xludf.DUMMYFUNCTION("""COMPUTED_VALUE"""),400.0)</f>
        <v>400</v>
      </c>
      <c r="R68" s="48">
        <f>IFERROR(__xludf.DUMMYFUNCTION("""COMPUTED_VALUE"""),756.0)</f>
        <v>756</v>
      </c>
      <c r="S68" s="39" t="str">
        <f>IFERROR(__xludf.DUMMYFUNCTION("""COMPUTED_VALUE""")," ")</f>
        <v> </v>
      </c>
      <c r="T68" s="40" t="str">
        <f>IFERROR(__xludf.DUMMYFUNCTION("""COMPUTED_VALUE"""),"Neiva")</f>
        <v>Neiva</v>
      </c>
      <c r="U68" s="39" t="str">
        <f>IFERROR(__xludf.DUMMYFUNCTION("""COMPUTED_VALUE"""),"2")</f>
        <v>2</v>
      </c>
      <c r="V68" s="40" t="str">
        <f>IFERROR(__xludf.DUMMYFUNCTION("""COMPUTED_VALUE"""),"Medianera")</f>
        <v>Medianera</v>
      </c>
      <c r="W68" s="46"/>
      <c r="X68" s="46">
        <f>IFERROR(__xludf.DUMMYFUNCTION("""COMPUTED_VALUE"""),0.0)</f>
        <v>0</v>
      </c>
      <c r="Y68" s="40" t="str">
        <f>IFERROR(__xludf.DUMMYFUNCTION("""COMPUTED_VALUE"""),"No tiene")</f>
        <v>No tiene</v>
      </c>
      <c r="Z68" s="42" t="str">
        <f>IFERROR(__xludf.DUMMYFUNCTION("""COMPUTED_VALUE"""),"No aplica")</f>
        <v>No aplica</v>
      </c>
      <c r="AA68" s="49" t="str">
        <f>IFERROR(__xludf.DUMMYFUNCTION("""COMPUTED_VALUE"""),"No aplica")</f>
        <v>No aplica</v>
      </c>
      <c r="AB68" s="40"/>
      <c r="AC68" s="40"/>
      <c r="AD68" s="40"/>
      <c r="AE68" s="40"/>
      <c r="AF68" s="40" t="str">
        <f>IFERROR(__xludf.DUMMYFUNCTION("""COMPUTED_VALUE"""),"básica")</f>
        <v>básica</v>
      </c>
      <c r="AG68" s="40"/>
      <c r="AH68" s="40" t="str">
        <f>IFERROR(__xludf.DUMMYFUNCTION("""COMPUTED_VALUE"""),"Inventario")</f>
        <v>Inventario</v>
      </c>
      <c r="AI68" s="40"/>
      <c r="AJ68" s="40" t="str">
        <f>IFERROR(__xludf.DUMMYFUNCTION("""COMPUTED_VALUE"""),"ICDE")</f>
        <v>ICDE</v>
      </c>
      <c r="AK68" s="40"/>
      <c r="AL68" s="40" t="str">
        <f>IFERROR(__xludf.DUMMYFUNCTION("""COMPUTED_VALUE"""),"NO FOTOS + DESCRIPCION")</f>
        <v>NO FOTOS + DESCRIPCION</v>
      </c>
      <c r="AM68" s="40">
        <f>IFERROR(__xludf.DUMMYFUNCTION("""COMPUTED_VALUE"""),3.174664016E9)</f>
        <v>3174664016</v>
      </c>
      <c r="AN68" s="40">
        <f>IFERROR(__xludf.DUMMYFUNCTION("""COMPUTED_VALUE"""),0.0)</f>
        <v>0</v>
      </c>
      <c r="AO68" s="40" t="str">
        <f>IFERROR(__xludf.DUMMYFUNCTION("""COMPUTED_VALUE"""),"DIANA")</f>
        <v>DIANA</v>
      </c>
      <c r="AP68" s="40" t="str">
        <f>IFERROR(__xludf.DUMMYFUNCTION("""COMPUTED_VALUE"""),"CALLE 15 No. 7A - 60")</f>
        <v>CALLE 15 No. 7A - 60</v>
      </c>
      <c r="AQ68" s="40"/>
      <c r="AR68" s="40"/>
      <c r="AS68" s="53">
        <f>IFERROR(__xludf.DUMMYFUNCTION("""COMPUTED_VALUE"""),0.0)</f>
        <v>0</v>
      </c>
      <c r="AT68" s="40">
        <f>IFERROR(__xludf.DUMMYFUNCTION("""COMPUTED_VALUE"""),0.0)</f>
        <v>0</v>
      </c>
      <c r="AU68" s="40">
        <f>IFERROR(__xludf.DUMMYFUNCTION("""COMPUTED_VALUE"""),0.0)</f>
        <v>0</v>
      </c>
      <c r="AV68" s="40">
        <f>IFERROR(__xludf.DUMMYFUNCTION("""COMPUTED_VALUE"""),0.0)</f>
        <v>0</v>
      </c>
      <c r="AW68" s="40" t="str">
        <f>IFERROR(__xludf.DUMMYFUNCTION("""COMPUTED_VALUE"""),"NO")</f>
        <v>NO</v>
      </c>
      <c r="AX68" s="40">
        <f>IFERROR(__xludf.DUMMYFUNCTION("""COMPUTED_VALUE"""),0.0)</f>
        <v>0</v>
      </c>
      <c r="AY68" s="40" t="str">
        <f>IFERROR(__xludf.DUMMYFUNCTION("""COMPUTED_VALUE"""),"G")</f>
        <v>G</v>
      </c>
      <c r="AZ68" s="40">
        <f>IFERROR(__xludf.DUMMYFUNCTION("""COMPUTED_VALUE"""),16.0)</f>
        <v>16</v>
      </c>
      <c r="BA68" s="40" t="str">
        <f>IFERROR(__xludf.DUMMYFUNCTION("""COMPUTED_VALUE"""),"X")</f>
        <v>X</v>
      </c>
      <c r="BB68" s="40">
        <f>IFERROR(__xludf.DUMMYFUNCTION("""COMPUTED_VALUE"""),47.0)</f>
        <v>47</v>
      </c>
      <c r="BC68" s="53"/>
      <c r="BD68" s="48"/>
      <c r="BE68" s="48"/>
      <c r="BF68" s="48"/>
    </row>
    <row r="69">
      <c r="A69" s="39" t="str">
        <f>IFERROR(__xludf.DUMMYFUNCTION("""COMPUTED_VALUE"""),"095")</f>
        <v>095</v>
      </c>
      <c r="B69" s="40" t="str">
        <f>IFERROR(__xludf.DUMMYFUNCTION("""COMPUTED_VALUE"""),"Casa en barrio La Toma")</f>
        <v>Casa en barrio La Toma</v>
      </c>
      <c r="C69" s="40" t="str">
        <f>IFERROR(__xludf.DUMMYFUNCTION("""COMPUTED_VALUE"""),"Casa")</f>
        <v>Casa</v>
      </c>
      <c r="D69" s="40" t="str">
        <f>IFERROR(__xludf.DUMMYFUNCTION("""COMPUTED_VALUE"""),"La Toma")</f>
        <v>La Toma</v>
      </c>
      <c r="E69" s="42" t="str">
        <f>IFERROR(__xludf.DUMMYFUNCTION("""COMPUTED_VALUE""")," ")</f>
        <v> </v>
      </c>
      <c r="F69" s="42">
        <f>IFERROR(__xludf.DUMMYFUNCTION("""COMPUTED_VALUE"""),1.45E9)</f>
        <v>1450000000</v>
      </c>
      <c r="G69" s="40" t="str">
        <f>IFERROR(__xludf.DUMMYFUNCTION("""COMPUTED_VALUE"""),"Más de $1.000'000.000")</f>
        <v>Más de $1.000'000.000</v>
      </c>
      <c r="H69" s="40"/>
      <c r="I69" s="40"/>
      <c r="J69" s="40" t="str">
        <f>IFERROR(__xludf.DUMMYFUNCTION("""COMPUTED_VALUE"""),"Centro")</f>
        <v>Centro</v>
      </c>
      <c r="K69" s="39" t="str">
        <f>IFERROR(__xludf.DUMMYFUNCTION("""COMPUTED_VALUE"""),"3")</f>
        <v>3</v>
      </c>
      <c r="L69" s="40">
        <f>IFERROR(__xludf.DUMMYFUNCTION("""COMPUTED_VALUE"""),4.0)</f>
        <v>4</v>
      </c>
      <c r="M69" s="40"/>
      <c r="N69" s="40">
        <f>IFERROR(__xludf.DUMMYFUNCTION("""COMPUTED_VALUE"""),2.0)</f>
        <v>2</v>
      </c>
      <c r="O69" s="40">
        <f>IFERROR(__xludf.DUMMYFUNCTION("""COMPUTED_VALUE"""),0.0)</f>
        <v>0</v>
      </c>
      <c r="P69" s="40">
        <f>IFERROR(__xludf.DUMMYFUNCTION("""COMPUTED_VALUE"""),1.0)</f>
        <v>1</v>
      </c>
      <c r="Q69" s="48">
        <f>IFERROR(__xludf.DUMMYFUNCTION("""COMPUTED_VALUE"""),120.0)</f>
        <v>120</v>
      </c>
      <c r="R69" s="48">
        <f>IFERROR(__xludf.DUMMYFUNCTION("""COMPUTED_VALUE"""),532.0)</f>
        <v>532</v>
      </c>
      <c r="S69" s="39" t="str">
        <f>IFERROR(__xludf.DUMMYFUNCTION("""COMPUTED_VALUE""")," ")</f>
        <v> </v>
      </c>
      <c r="T69" s="40" t="str">
        <f>IFERROR(__xludf.DUMMYFUNCTION("""COMPUTED_VALUE"""),"Neiva")</f>
        <v>Neiva</v>
      </c>
      <c r="U69" s="39" t="str">
        <f>IFERROR(__xludf.DUMMYFUNCTION("""COMPUTED_VALUE"""),"3")</f>
        <v>3</v>
      </c>
      <c r="V69" s="40" t="str">
        <f>IFERROR(__xludf.DUMMYFUNCTION("""COMPUTED_VALUE"""),"Medianera")</f>
        <v>Medianera</v>
      </c>
      <c r="W69" s="46"/>
      <c r="X69" s="46">
        <f>IFERROR(__xludf.DUMMYFUNCTION("""COMPUTED_VALUE"""),4.0)</f>
        <v>4</v>
      </c>
      <c r="Y69" s="40" t="str">
        <f>IFERROR(__xludf.DUMMYFUNCTION("""COMPUTED_VALUE"""),"No tiene")</f>
        <v>No tiene</v>
      </c>
      <c r="Z69" s="42" t="str">
        <f>IFERROR(__xludf.DUMMYFUNCTION("""COMPUTED_VALUE"""),"No aplica")</f>
        <v>No aplica</v>
      </c>
      <c r="AA69" s="49" t="str">
        <f>IFERROR(__xludf.DUMMYFUNCTION("""COMPUTED_VALUE"""),"No aplica")</f>
        <v>No aplica</v>
      </c>
      <c r="AB69" s="48"/>
      <c r="AC69" s="40"/>
      <c r="AD69" s="40"/>
      <c r="AE69" s="40"/>
      <c r="AF69" s="40" t="str">
        <f>IFERROR(__xludf.DUMMYFUNCTION("""COMPUTED_VALUE"""),"básica")</f>
        <v>básica</v>
      </c>
      <c r="AG69" s="40"/>
      <c r="AH69" s="40" t="str">
        <f>IFERROR(__xludf.DUMMYFUNCTION("""COMPUTED_VALUE"""),"Inventario")</f>
        <v>Inventario</v>
      </c>
      <c r="AI69" s="40"/>
      <c r="AJ69" s="40" t="str">
        <f>IFERROR(__xludf.DUMMYFUNCTION("""COMPUTED_VALUE"""),"ICDE")</f>
        <v>ICDE</v>
      </c>
      <c r="AK69" s="40"/>
      <c r="AL69" s="40" t="str">
        <f>IFERROR(__xludf.DUMMYFUNCTION("""COMPUTED_VALUE"""),"NO FOTOS + DESCRIPCION")</f>
        <v>NO FOTOS + DESCRIPCION</v>
      </c>
      <c r="AM69" s="40" t="str">
        <f>IFERROR(__xludf.DUMMYFUNCTION("""COMPUTED_VALUE"""),"PROPIETARIO - 3188895176")</f>
        <v>PROPIETARIO - 3188895176</v>
      </c>
      <c r="AN69" s="40">
        <f>IFERROR(__xludf.DUMMYFUNCTION("""COMPUTED_VALUE"""),0.0)</f>
        <v>0</v>
      </c>
      <c r="AO69" s="40" t="str">
        <f>IFERROR(__xludf.DUMMYFUNCTION("""COMPUTED_VALUE"""),"JESUS SALVADOR SUAZA  Propietario - TU JURIDICA")</f>
        <v>JESUS SALVADOR SUAZA  Propietario - TU JURIDICA</v>
      </c>
      <c r="AP69" s="40">
        <f>IFERROR(__xludf.DUMMYFUNCTION("""COMPUTED_VALUE"""),0.0)</f>
        <v>0</v>
      </c>
      <c r="AQ69" s="40"/>
      <c r="AR69" s="40"/>
      <c r="AS69" s="53">
        <f>IFERROR(__xludf.DUMMYFUNCTION("""COMPUTED_VALUE"""),0.0)</f>
        <v>0</v>
      </c>
      <c r="AT69" s="40">
        <f>IFERROR(__xludf.DUMMYFUNCTION("""COMPUTED_VALUE"""),0.0)</f>
        <v>0</v>
      </c>
      <c r="AU69" s="40">
        <f>IFERROR(__xludf.DUMMYFUNCTION("""COMPUTED_VALUE"""),0.0)</f>
        <v>0</v>
      </c>
      <c r="AV69" s="40">
        <f>IFERROR(__xludf.DUMMYFUNCTION("""COMPUTED_VALUE"""),0.0)</f>
        <v>0</v>
      </c>
      <c r="AW69" s="40" t="str">
        <f>IFERROR(__xludf.DUMMYFUNCTION("""COMPUTED_VALUE"""),"NO")</f>
        <v>NO</v>
      </c>
      <c r="AX69" s="40">
        <f>IFERROR(__xludf.DUMMYFUNCTION("""COMPUTED_VALUE"""),0.0)</f>
        <v>0</v>
      </c>
      <c r="AY69" s="40">
        <f>IFERROR(__xludf.DUMMYFUNCTION("""COMPUTED_VALUE"""),0.0)</f>
        <v>0</v>
      </c>
      <c r="AZ69" s="40">
        <f>IFERROR(__xludf.DUMMYFUNCTION("""COMPUTED_VALUE"""),0.0)</f>
        <v>0</v>
      </c>
      <c r="BA69" s="40" t="str">
        <f>IFERROR(__xludf.DUMMYFUNCTION("""COMPUTED_VALUE"""),"X")</f>
        <v>X</v>
      </c>
      <c r="BB69" s="40">
        <f>IFERROR(__xludf.DUMMYFUNCTION("""COMPUTED_VALUE"""),0.0)</f>
        <v>0</v>
      </c>
      <c r="BC69" s="53"/>
      <c r="BD69" s="48"/>
      <c r="BE69" s="48"/>
      <c r="BF69" s="48"/>
    </row>
    <row r="70">
      <c r="A70" s="39" t="str">
        <f>IFERROR(__xludf.DUMMYFUNCTION("""COMPUTED_VALUE"""),"342")</f>
        <v>342</v>
      </c>
      <c r="B70" s="40" t="str">
        <f>IFERROR(__xludf.DUMMYFUNCTION("""COMPUTED_VALUE"""),"Casa rentable con dos apartamentos en barrio La Toma")</f>
        <v>Casa rentable con dos apartamentos en barrio La Toma</v>
      </c>
      <c r="C70" s="40" t="str">
        <f>IFERROR(__xludf.DUMMYFUNCTION("""COMPUTED_VALUE"""),"Casa rentable")</f>
        <v>Casa rentable</v>
      </c>
      <c r="D70" s="40" t="str">
        <f>IFERROR(__xludf.DUMMYFUNCTION("""COMPUTED_VALUE"""),"La Toma")</f>
        <v>La Toma</v>
      </c>
      <c r="E70" s="40"/>
      <c r="F70" s="42">
        <f>IFERROR(__xludf.DUMMYFUNCTION("""COMPUTED_VALUE"""),1.198E9)</f>
        <v>1198000000</v>
      </c>
      <c r="G70" s="40" t="str">
        <f>IFERROR(__xludf.DUMMYFUNCTION("""COMPUTED_VALUE"""),"Más de $1.000'000.000")</f>
        <v>Más de $1.000'000.000</v>
      </c>
      <c r="H70" s="40"/>
      <c r="I70" s="40"/>
      <c r="J70" s="40" t="str">
        <f>IFERROR(__xludf.DUMMYFUNCTION("""COMPUTED_VALUE"""),"Centro")</f>
        <v>Centro</v>
      </c>
      <c r="K70" s="39" t="str">
        <f>IFERROR(__xludf.DUMMYFUNCTION("""COMPUTED_VALUE"""),"3")</f>
        <v>3</v>
      </c>
      <c r="L70" s="40">
        <f>IFERROR(__xludf.DUMMYFUNCTION("""COMPUTED_VALUE"""),4.0)</f>
        <v>4</v>
      </c>
      <c r="M70" s="40"/>
      <c r="N70" s="40">
        <f>IFERROR(__xludf.DUMMYFUNCTION("""COMPUTED_VALUE"""),2.0)</f>
        <v>2</v>
      </c>
      <c r="O70" s="40">
        <f>IFERROR(__xludf.DUMMYFUNCTION("""COMPUTED_VALUE"""),4.0)</f>
        <v>4</v>
      </c>
      <c r="P70" s="40">
        <f>IFERROR(__xludf.DUMMYFUNCTION("""COMPUTED_VALUE"""),3.0)</f>
        <v>3</v>
      </c>
      <c r="Q70" s="48">
        <f>IFERROR(__xludf.DUMMYFUNCTION("""COMPUTED_VALUE"""),492.0)</f>
        <v>492</v>
      </c>
      <c r="R70" s="48">
        <f>IFERROR(__xludf.DUMMYFUNCTION("""COMPUTED_VALUE"""),210.0)</f>
        <v>210</v>
      </c>
      <c r="S70" s="39" t="str">
        <f>IFERROR(__xludf.DUMMYFUNCTION("""COMPUTED_VALUE""")," ")</f>
        <v> </v>
      </c>
      <c r="T70" s="40" t="str">
        <f>IFERROR(__xludf.DUMMYFUNCTION("""COMPUTED_VALUE"""),"Neiva")</f>
        <v>Neiva</v>
      </c>
      <c r="U70" s="39" t="str">
        <f>IFERROR(__xludf.DUMMYFUNCTION("""COMPUTED_VALUE"""),"3")</f>
        <v>3</v>
      </c>
      <c r="V70" s="40" t="str">
        <f>IFERROR(__xludf.DUMMYFUNCTION("""COMPUTED_VALUE"""),"Medianera")</f>
        <v>Medianera</v>
      </c>
      <c r="W70" s="46"/>
      <c r="X70" s="46">
        <f>IFERROR(__xludf.DUMMYFUNCTION("""COMPUTED_VALUE"""),0.0)</f>
        <v>0</v>
      </c>
      <c r="Y70" s="40" t="str">
        <f>IFERROR(__xludf.DUMMYFUNCTION("""COMPUTED_VALUE"""),"No tiene")</f>
        <v>No tiene</v>
      </c>
      <c r="Z70" s="42" t="str">
        <f>IFERROR(__xludf.DUMMYFUNCTION("""COMPUTED_VALUE"""),"No aplica")</f>
        <v>No aplica</v>
      </c>
      <c r="AA70" s="49" t="str">
        <f>IFERROR(__xludf.DUMMYFUNCTION("""COMPUTED_VALUE"""),"No aplica")</f>
        <v>No aplica</v>
      </c>
      <c r="AB70" s="48"/>
      <c r="AC70" s="40"/>
      <c r="AD70" s="40"/>
      <c r="AE70" s="40"/>
      <c r="AF70" s="40" t="str">
        <f>IFERROR(__xludf.DUMMYFUNCTION("""COMPUTED_VALUE"""),"semi-integral")</f>
        <v>semi-integral</v>
      </c>
      <c r="AG70" s="40"/>
      <c r="AH70" s="40" t="str">
        <f>IFERROR(__xludf.DUMMYFUNCTION("""COMPUTED_VALUE"""),"Inventario")</f>
        <v>Inventario</v>
      </c>
      <c r="AI70" s="40"/>
      <c r="AJ70" s="40" t="str">
        <f>IFERROR(__xludf.DUMMYFUNCTION("""COMPUTED_VALUE"""),"ICDE")</f>
        <v>ICDE</v>
      </c>
      <c r="AK70" s="40"/>
      <c r="AL70" s="40" t="str">
        <f>IFERROR(__xludf.DUMMYFUNCTION("""COMPUTED_VALUE"""),"NO FOTOS + DESCRIPCION")</f>
        <v>NO FOTOS + DESCRIPCION</v>
      </c>
      <c r="AM70" s="40" t="str">
        <f>IFERROR(__xludf.DUMMYFUNCTION("""COMPUTED_VALUE"""),"PROPIETARIO-3209788288")</f>
        <v>PROPIETARIO-3209788288</v>
      </c>
      <c r="AN70" s="40">
        <f>IFERROR(__xludf.DUMMYFUNCTION("""COMPUTED_VALUE"""),0.0)</f>
        <v>0</v>
      </c>
      <c r="AO70" s="40"/>
      <c r="AP70" s="40" t="str">
        <f>IFERROR(__xludf.DUMMYFUNCTION("""COMPUTED_VALUE"""),"CARRERA 7 A No. 14 - 21")</f>
        <v>CARRERA 7 A No. 14 - 21</v>
      </c>
      <c r="AQ70" s="40"/>
      <c r="AR70" s="40"/>
      <c r="AS70" s="53">
        <f>IFERROR(__xludf.DUMMYFUNCTION("""COMPUTED_VALUE"""),0.0)</f>
        <v>0</v>
      </c>
      <c r="AT70" s="40">
        <f>IFERROR(__xludf.DUMMYFUNCTION("""COMPUTED_VALUE"""),0.0)</f>
        <v>0</v>
      </c>
      <c r="AU70" s="40">
        <f>IFERROR(__xludf.DUMMYFUNCTION("""COMPUTED_VALUE"""),0.0)</f>
        <v>0</v>
      </c>
      <c r="AV70" s="40">
        <f>IFERROR(__xludf.DUMMYFUNCTION("""COMPUTED_VALUE"""),4.0)</f>
        <v>4</v>
      </c>
      <c r="AW70" s="40" t="str">
        <f>IFERROR(__xludf.DUMMYFUNCTION("""COMPUTED_VALUE"""),"NO")</f>
        <v>NO</v>
      </c>
      <c r="AX70" s="40">
        <f>IFERROR(__xludf.DUMMYFUNCTION("""COMPUTED_VALUE"""),0.0)</f>
        <v>0</v>
      </c>
      <c r="AY70" s="40">
        <f>IFERROR(__xludf.DUMMYFUNCTION("""COMPUTED_VALUE"""),0.0)</f>
        <v>0</v>
      </c>
      <c r="AZ70" s="40">
        <f>IFERROR(__xludf.DUMMYFUNCTION("""COMPUTED_VALUE"""),0.0)</f>
        <v>0</v>
      </c>
      <c r="BA70" s="40" t="str">
        <f>IFERROR(__xludf.DUMMYFUNCTION("""COMPUTED_VALUE"""),"X")</f>
        <v>X</v>
      </c>
      <c r="BB70" s="40">
        <f>IFERROR(__xludf.DUMMYFUNCTION("""COMPUTED_VALUE"""),0.0)</f>
        <v>0</v>
      </c>
      <c r="BC70" s="53"/>
      <c r="BD70" s="48"/>
      <c r="BE70" s="48"/>
      <c r="BF70" s="48"/>
    </row>
    <row r="71">
      <c r="A71" s="39" t="str">
        <f>IFERROR(__xludf.DUMMYFUNCTION("""COMPUTED_VALUE"""),"500")</f>
        <v>500</v>
      </c>
      <c r="B71" s="40" t="str">
        <f>IFERROR(__xludf.DUMMYFUNCTION("""COMPUTED_VALUE"""),"Casa lote en barrio Chapinero")</f>
        <v>Casa lote en barrio Chapinero</v>
      </c>
      <c r="C71" s="40" t="str">
        <f>IFERROR(__xludf.DUMMYFUNCTION("""COMPUTED_VALUE"""),"Casa lote")</f>
        <v>Casa lote</v>
      </c>
      <c r="D71" s="40" t="str">
        <f>IFERROR(__xludf.DUMMYFUNCTION("""COMPUTED_VALUE"""),"Chapinero")</f>
        <v>Chapinero</v>
      </c>
      <c r="E71" s="40"/>
      <c r="F71" s="42">
        <f>IFERROR(__xludf.DUMMYFUNCTION("""COMPUTED_VALUE"""),1.0E9)</f>
        <v>1000000000</v>
      </c>
      <c r="G71" s="40" t="str">
        <f>IFERROR(__xludf.DUMMYFUNCTION("""COMPUTED_VALUE"""),"Más de $1.000'000.000")</f>
        <v>Más de $1.000'000.000</v>
      </c>
      <c r="H71" s="40"/>
      <c r="I71" s="40"/>
      <c r="J71" s="40" t="str">
        <f>IFERROR(__xludf.DUMMYFUNCTION("""COMPUTED_VALUE"""),"Centro")</f>
        <v>Centro</v>
      </c>
      <c r="K71" s="39" t="str">
        <f>IFERROR(__xludf.DUMMYFUNCTION("""COMPUTED_VALUE"""),"3")</f>
        <v>3</v>
      </c>
      <c r="L71" s="40">
        <f>IFERROR(__xludf.DUMMYFUNCTION("""COMPUTED_VALUE"""),0.0)</f>
        <v>0</v>
      </c>
      <c r="M71" s="40"/>
      <c r="N71" s="40">
        <f>IFERROR(__xludf.DUMMYFUNCTION("""COMPUTED_VALUE"""),0.0)</f>
        <v>0</v>
      </c>
      <c r="O71" s="40">
        <f>IFERROR(__xludf.DUMMYFUNCTION("""COMPUTED_VALUE"""),0.0)</f>
        <v>0</v>
      </c>
      <c r="P71" s="40">
        <f>IFERROR(__xludf.DUMMYFUNCTION("""COMPUTED_VALUE"""),1.0)</f>
        <v>1</v>
      </c>
      <c r="Q71" s="48">
        <f>IFERROR(__xludf.DUMMYFUNCTION("""COMPUTED_VALUE"""),458.0)</f>
        <v>458</v>
      </c>
      <c r="R71" s="48">
        <f>IFERROR(__xludf.DUMMYFUNCTION("""COMPUTED_VALUE"""),458.0)</f>
        <v>458</v>
      </c>
      <c r="S71" s="39" t="str">
        <f>IFERROR(__xludf.DUMMYFUNCTION("""COMPUTED_VALUE""")," ")</f>
        <v> </v>
      </c>
      <c r="T71" s="40" t="str">
        <f>IFERROR(__xludf.DUMMYFUNCTION("""COMPUTED_VALUE"""),"Neiva")</f>
        <v>Neiva</v>
      </c>
      <c r="U71" s="39" t="str">
        <f>IFERROR(__xludf.DUMMYFUNCTION("""COMPUTED_VALUE"""),"2")</f>
        <v>2</v>
      </c>
      <c r="V71" s="40" t="str">
        <f>IFERROR(__xludf.DUMMYFUNCTION("""COMPUTED_VALUE"""),"Medianera")</f>
        <v>Medianera</v>
      </c>
      <c r="W71" s="46"/>
      <c r="X71" s="46">
        <f>IFERROR(__xludf.DUMMYFUNCTION("""COMPUTED_VALUE"""),0.0)</f>
        <v>0</v>
      </c>
      <c r="Y71" s="40" t="str">
        <f>IFERROR(__xludf.DUMMYFUNCTION("""COMPUTED_VALUE"""),"No tiene")</f>
        <v>No tiene</v>
      </c>
      <c r="Z71" s="42" t="str">
        <f>IFERROR(__xludf.DUMMYFUNCTION("""COMPUTED_VALUE"""),"No aplica")</f>
        <v>No aplica</v>
      </c>
      <c r="AA71" s="49" t="str">
        <f>IFERROR(__xludf.DUMMYFUNCTION("""COMPUTED_VALUE"""),"No aplica")</f>
        <v>No aplica</v>
      </c>
      <c r="AB71" s="48"/>
      <c r="AC71" s="40"/>
      <c r="AD71" s="40"/>
      <c r="AE71" s="40"/>
      <c r="AF71" s="40" t="str">
        <f>IFERROR(__xludf.DUMMYFUNCTION("""COMPUTED_VALUE"""),"0")</f>
        <v>0</v>
      </c>
      <c r="AG71" s="40"/>
      <c r="AH71" s="40" t="str">
        <f>IFERROR(__xludf.DUMMYFUNCTION("""COMPUTED_VALUE"""),"Inventario")</f>
        <v>Inventario</v>
      </c>
      <c r="AI71" s="40"/>
      <c r="AJ71" s="40" t="str">
        <f>IFERROR(__xludf.DUMMYFUNCTION("""COMPUTED_VALUE"""),"ICDE")</f>
        <v>ICDE</v>
      </c>
      <c r="AK71" s="40"/>
      <c r="AL71" s="40" t="str">
        <f>IFERROR(__xludf.DUMMYFUNCTION("""COMPUTED_VALUE"""),"NO FOTOS + DESCRIPCION")</f>
        <v>NO FOTOS + DESCRIPCION</v>
      </c>
      <c r="AM71" s="40">
        <f>IFERROR(__xludf.DUMMYFUNCTION("""COMPUTED_VALUE"""),3.138315786E9)</f>
        <v>3138315786</v>
      </c>
      <c r="AN71" s="40">
        <f>IFERROR(__xludf.DUMMYFUNCTION("""COMPUTED_VALUE"""),3.165449349E9)</f>
        <v>3165449349</v>
      </c>
      <c r="AO71" s="40" t="str">
        <f>IFERROR(__xludf.DUMMYFUNCTION("""COMPUTED_VALUE"""),"SANDRA")</f>
        <v>SANDRA</v>
      </c>
      <c r="AP71" s="40" t="str">
        <f>IFERROR(__xludf.DUMMYFUNCTION("""COMPUTED_VALUE"""),"CALLE 11 No. 9 - 29")</f>
        <v>CALLE 11 No. 9 - 29</v>
      </c>
      <c r="AQ71" s="40"/>
      <c r="AR71" s="40"/>
      <c r="AS71" s="53">
        <f>IFERROR(__xludf.DUMMYFUNCTION("""COMPUTED_VALUE"""),0.0)</f>
        <v>0</v>
      </c>
      <c r="AT71" s="40">
        <f>IFERROR(__xludf.DUMMYFUNCTION("""COMPUTED_VALUE"""),0.0)</f>
        <v>0</v>
      </c>
      <c r="AU71" s="40">
        <f>IFERROR(__xludf.DUMMYFUNCTION("""COMPUTED_VALUE"""),0.0)</f>
        <v>0</v>
      </c>
      <c r="AV71" s="40">
        <f>IFERROR(__xludf.DUMMYFUNCTION("""COMPUTED_VALUE"""),0.0)</f>
        <v>0</v>
      </c>
      <c r="AW71" s="40" t="str">
        <f>IFERROR(__xludf.DUMMYFUNCTION("""COMPUTED_VALUE"""),"NO")</f>
        <v>NO</v>
      </c>
      <c r="AX71" s="40">
        <f>IFERROR(__xludf.DUMMYFUNCTION("""COMPUTED_VALUE"""),0.0)</f>
        <v>0</v>
      </c>
      <c r="AY71" s="40">
        <f>IFERROR(__xludf.DUMMYFUNCTION("""COMPUTED_VALUE"""),0.0)</f>
        <v>0</v>
      </c>
      <c r="AZ71" s="40">
        <f>IFERROR(__xludf.DUMMYFUNCTION("""COMPUTED_VALUE"""),12.0)</f>
        <v>12</v>
      </c>
      <c r="BA71" s="40" t="str">
        <f>IFERROR(__xludf.DUMMYFUNCTION("""COMPUTED_VALUE"""),"X")</f>
        <v>X</v>
      </c>
      <c r="BB71" s="40">
        <f>IFERROR(__xludf.DUMMYFUNCTION("""COMPUTED_VALUE"""),38.0)</f>
        <v>38</v>
      </c>
      <c r="BC71" s="53" t="str">
        <f>IFERROR(__xludf.DUMMYFUNCTION("""COMPUTED_VALUE"""),"12 - LEIDY YULIETH, 33 - MARIA ALEJANDRA MONTES R.")</f>
        <v>12 - LEIDY YULIETH, 33 - MARIA ALEJANDRA MONTES R.</v>
      </c>
      <c r="BD71" s="48"/>
      <c r="BE71" s="48"/>
      <c r="BF71" s="48"/>
    </row>
    <row r="72">
      <c r="A72" s="39" t="str">
        <f>IFERROR(__xludf.DUMMYFUNCTION("""COMPUTED_VALUE"""),"383")</f>
        <v>383</v>
      </c>
      <c r="B72" s="40" t="str">
        <f>IFERROR(__xludf.DUMMYFUNCTION("""COMPUTED_VALUE"""),"Casa con apartamento en barrio La Toma")</f>
        <v>Casa con apartamento en barrio La Toma</v>
      </c>
      <c r="C72" s="40" t="str">
        <f>IFERROR(__xludf.DUMMYFUNCTION("""COMPUTED_VALUE"""),"Casa rentable")</f>
        <v>Casa rentable</v>
      </c>
      <c r="D72" s="40" t="str">
        <f>IFERROR(__xludf.DUMMYFUNCTION("""COMPUTED_VALUE"""),"La Toma")</f>
        <v>La Toma</v>
      </c>
      <c r="E72" s="40"/>
      <c r="F72" s="42">
        <f>IFERROR(__xludf.DUMMYFUNCTION("""COMPUTED_VALUE"""),1.0E9)</f>
        <v>1000000000</v>
      </c>
      <c r="G72" s="40" t="str">
        <f>IFERROR(__xludf.DUMMYFUNCTION("""COMPUTED_VALUE"""),"Más de $1.000'000.000")</f>
        <v>Más de $1.000'000.000</v>
      </c>
      <c r="H72" s="40"/>
      <c r="I72" s="40"/>
      <c r="J72" s="40" t="str">
        <f>IFERROR(__xludf.DUMMYFUNCTION("""COMPUTED_VALUE"""),"Centro")</f>
        <v>Centro</v>
      </c>
      <c r="K72" s="39" t="str">
        <f>IFERROR(__xludf.DUMMYFUNCTION("""COMPUTED_VALUE"""),"3")</f>
        <v>3</v>
      </c>
      <c r="L72" s="40">
        <f>IFERROR(__xludf.DUMMYFUNCTION("""COMPUTED_VALUE"""),7.0)</f>
        <v>7</v>
      </c>
      <c r="M72" s="40"/>
      <c r="N72" s="40">
        <f>IFERROR(__xludf.DUMMYFUNCTION("""COMPUTED_VALUE"""),3.0)</f>
        <v>3</v>
      </c>
      <c r="O72" s="40">
        <f>IFERROR(__xludf.DUMMYFUNCTION("""COMPUTED_VALUE"""),1.0)</f>
        <v>1</v>
      </c>
      <c r="P72" s="40">
        <f>IFERROR(__xludf.DUMMYFUNCTION("""COMPUTED_VALUE"""),1.0)</f>
        <v>1</v>
      </c>
      <c r="Q72" s="48"/>
      <c r="R72" s="48">
        <f>IFERROR(__xludf.DUMMYFUNCTION("""COMPUTED_VALUE"""),900.0)</f>
        <v>900</v>
      </c>
      <c r="S72" s="39" t="str">
        <f>IFERROR(__xludf.DUMMYFUNCTION("""COMPUTED_VALUE"""),"Rentabilidad $2,000,000")</f>
        <v>Rentabilidad $2,000,000</v>
      </c>
      <c r="T72" s="40" t="str">
        <f>IFERROR(__xludf.DUMMYFUNCTION("""COMPUTED_VALUE"""),"Neiva")</f>
        <v>Neiva</v>
      </c>
      <c r="U72" s="39" t="str">
        <f>IFERROR(__xludf.DUMMYFUNCTION("""COMPUTED_VALUE"""),"4")</f>
        <v>4</v>
      </c>
      <c r="V72" s="40" t="str">
        <f>IFERROR(__xludf.DUMMYFUNCTION("""COMPUTED_VALUE"""),"Medianera")</f>
        <v>Medianera</v>
      </c>
      <c r="W72" s="46"/>
      <c r="X72" s="46">
        <f>IFERROR(__xludf.DUMMYFUNCTION("""COMPUTED_VALUE"""),4.0)</f>
        <v>4</v>
      </c>
      <c r="Y72" s="40" t="str">
        <f>IFERROR(__xludf.DUMMYFUNCTION("""COMPUTED_VALUE"""),"No tiene")</f>
        <v>No tiene</v>
      </c>
      <c r="Z72" s="42" t="str">
        <f>IFERROR(__xludf.DUMMYFUNCTION("""COMPUTED_VALUE"""),"No aplica")</f>
        <v>No aplica</v>
      </c>
      <c r="AA72" s="49" t="str">
        <f>IFERROR(__xludf.DUMMYFUNCTION("""COMPUTED_VALUE"""),"42 años")</f>
        <v>42 años</v>
      </c>
      <c r="AB72" s="48"/>
      <c r="AC72" s="40"/>
      <c r="AD72" s="40"/>
      <c r="AE72" s="40"/>
      <c r="AF72" s="40" t="str">
        <f>IFERROR(__xludf.DUMMYFUNCTION("""COMPUTED_VALUE"""),"semi-integral")</f>
        <v>semi-integral</v>
      </c>
      <c r="AG72" s="40"/>
      <c r="AH72" s="40" t="str">
        <f>IFERROR(__xludf.DUMMYFUNCTION("""COMPUTED_VALUE"""),"Inventario")</f>
        <v>Inventario</v>
      </c>
      <c r="AI72" s="40"/>
      <c r="AJ72" s="40" t="str">
        <f>IFERROR(__xludf.DUMMYFUNCTION("""COMPUTED_VALUE"""),"ICDE")</f>
        <v>ICDE</v>
      </c>
      <c r="AK72" s="40"/>
      <c r="AL72" s="40" t="str">
        <f>IFERROR(__xludf.DUMMYFUNCTION("""COMPUTED_VALUE"""),"NO INT + DESCRIPCION")</f>
        <v>NO INT + DESCRIPCION</v>
      </c>
      <c r="AM72" s="40">
        <f>IFERROR(__xludf.DUMMYFUNCTION("""COMPUTED_VALUE"""),6.088746409E9)</f>
        <v>6088746409</v>
      </c>
      <c r="AN72" s="40">
        <f>IFERROR(__xludf.DUMMYFUNCTION("""COMPUTED_VALUE"""),0.0)</f>
        <v>0</v>
      </c>
      <c r="AO72" s="40" t="str">
        <f>IFERROR(__xludf.DUMMYFUNCTION("""COMPUTED_VALUE"""),"EDGAR - NO PROPIETARIO")</f>
        <v>EDGAR - NO PROPIETARIO</v>
      </c>
      <c r="AP72" s="40" t="str">
        <f>IFERROR(__xludf.DUMMYFUNCTION("""COMPUTED_VALUE"""),"CARRERA 7 A No. 13 - 33")</f>
        <v>CARRERA 7 A No. 13 - 33</v>
      </c>
      <c r="AQ72" s="40"/>
      <c r="AR72" s="40"/>
      <c r="AS72" s="53">
        <f>IFERROR(__xludf.DUMMYFUNCTION("""COMPUTED_VALUE"""),2000000.0)</f>
        <v>2000000</v>
      </c>
      <c r="AT72" s="40">
        <f>IFERROR(__xludf.DUMMYFUNCTION("""COMPUTED_VALUE"""),0.0)</f>
        <v>0</v>
      </c>
      <c r="AU72" s="40">
        <f>IFERROR(__xludf.DUMMYFUNCTION("""COMPUTED_VALUE"""),0.0)</f>
        <v>0</v>
      </c>
      <c r="AV72" s="40">
        <f>IFERROR(__xludf.DUMMYFUNCTION("""COMPUTED_VALUE"""),0.0)</f>
        <v>0</v>
      </c>
      <c r="AW72" s="40" t="str">
        <f>IFERROR(__xludf.DUMMYFUNCTION("""COMPUTED_VALUE"""),"NO")</f>
        <v>NO</v>
      </c>
      <c r="AX72" s="40">
        <f>IFERROR(__xludf.DUMMYFUNCTION("""COMPUTED_VALUE"""),0.0)</f>
        <v>0</v>
      </c>
      <c r="AY72" s="40">
        <f>IFERROR(__xludf.DUMMYFUNCTION("""COMPUTED_VALUE"""),0.0)</f>
        <v>0</v>
      </c>
      <c r="AZ72" s="40">
        <f>IFERROR(__xludf.DUMMYFUNCTION("""COMPUTED_VALUE"""),0.0)</f>
        <v>0</v>
      </c>
      <c r="BA72" s="40" t="str">
        <f>IFERROR(__xludf.DUMMYFUNCTION("""COMPUTED_VALUE"""),"X")</f>
        <v>X</v>
      </c>
      <c r="BB72" s="40">
        <f>IFERROR(__xludf.DUMMYFUNCTION("""COMPUTED_VALUE"""),0.0)</f>
        <v>0</v>
      </c>
      <c r="BC72" s="53"/>
      <c r="BD72" s="48"/>
      <c r="BE72" s="48"/>
      <c r="BF72" s="48"/>
    </row>
    <row r="73">
      <c r="A73" s="39" t="str">
        <f>IFERROR(__xludf.DUMMYFUNCTION("""COMPUTED_VALUE"""),"099")</f>
        <v>099</v>
      </c>
      <c r="B73" s="40" t="str">
        <f>IFERROR(__xludf.DUMMYFUNCTION("""COMPUTED_VALUE"""),"Casa con dos locales en barrio Las Granjas")</f>
        <v>Casa con dos locales en barrio Las Granjas</v>
      </c>
      <c r="C73" s="40" t="str">
        <f>IFERROR(__xludf.DUMMYFUNCTION("""COMPUTED_VALUE"""),"Casa rentable")</f>
        <v>Casa rentable</v>
      </c>
      <c r="D73" s="40" t="str">
        <f>IFERROR(__xludf.DUMMYFUNCTION("""COMPUTED_VALUE"""),"Las Granjas")</f>
        <v>Las Granjas</v>
      </c>
      <c r="E73" s="42" t="str">
        <f>IFERROR(__xludf.DUMMYFUNCTION("""COMPUTED_VALUE""")," ")</f>
        <v> </v>
      </c>
      <c r="F73" s="42">
        <f>IFERROR(__xludf.DUMMYFUNCTION("""COMPUTED_VALUE"""),9.5E8)</f>
        <v>950000000</v>
      </c>
      <c r="G73" s="40" t="str">
        <f>IFERROR(__xludf.DUMMYFUNCTION("""COMPUTED_VALUE"""),"$500'000.000 a $1.000'000.000")</f>
        <v>$500'000.000 a $1.000'000.000</v>
      </c>
      <c r="H73" s="40"/>
      <c r="I73" s="40"/>
      <c r="J73" s="40" t="str">
        <f>IFERROR(__xludf.DUMMYFUNCTION("""COMPUTED_VALUE"""),"Norte")</f>
        <v>Norte</v>
      </c>
      <c r="K73" s="39" t="str">
        <f>IFERROR(__xludf.DUMMYFUNCTION("""COMPUTED_VALUE"""),"2")</f>
        <v>2</v>
      </c>
      <c r="L73" s="40">
        <f>IFERROR(__xludf.DUMMYFUNCTION("""COMPUTED_VALUE"""),3.0)</f>
        <v>3</v>
      </c>
      <c r="M73" s="40"/>
      <c r="N73" s="40">
        <f>IFERROR(__xludf.DUMMYFUNCTION("""COMPUTED_VALUE"""),3.0)</f>
        <v>3</v>
      </c>
      <c r="O73" s="40">
        <f>IFERROR(__xludf.DUMMYFUNCTION("""COMPUTED_VALUE"""),1.0)</f>
        <v>1</v>
      </c>
      <c r="P73" s="40">
        <f>IFERROR(__xludf.DUMMYFUNCTION("""COMPUTED_VALUE"""),2.0)</f>
        <v>2</v>
      </c>
      <c r="Q73" s="48">
        <f>IFERROR(__xludf.DUMMYFUNCTION("""COMPUTED_VALUE"""),360.0)</f>
        <v>360</v>
      </c>
      <c r="R73" s="48">
        <f>IFERROR(__xludf.DUMMYFUNCTION("""COMPUTED_VALUE"""),190.0)</f>
        <v>190</v>
      </c>
      <c r="S73" s="39" t="str">
        <f>IFERROR(__xludf.DUMMYFUNCTION("""COMPUTED_VALUE"""),"Rentabilidad $6,000,000")</f>
        <v>Rentabilidad $6,000,000</v>
      </c>
      <c r="T73" s="40" t="str">
        <f>IFERROR(__xludf.DUMMYFUNCTION("""COMPUTED_VALUE"""),"Neiva")</f>
        <v>Neiva</v>
      </c>
      <c r="U73" s="39" t="str">
        <f>IFERROR(__xludf.DUMMYFUNCTION("""COMPUTED_VALUE"""),"2")</f>
        <v>2</v>
      </c>
      <c r="V73" s="40" t="str">
        <f>IFERROR(__xludf.DUMMYFUNCTION("""COMPUTED_VALUE"""),"Medianera")</f>
        <v>Medianera</v>
      </c>
      <c r="W73" s="46"/>
      <c r="X73" s="46">
        <f>IFERROR(__xludf.DUMMYFUNCTION("""COMPUTED_VALUE"""),0.0)</f>
        <v>0</v>
      </c>
      <c r="Y73" s="53" t="str">
        <f>IFERROR(__xludf.DUMMYFUNCTION("""COMPUTED_VALUE"""),"No tiene")</f>
        <v>No tiene</v>
      </c>
      <c r="Z73" s="42" t="str">
        <f>IFERROR(__xludf.DUMMYFUNCTION("""COMPUTED_VALUE"""),"No aplica")</f>
        <v>No aplica</v>
      </c>
      <c r="AA73" s="49" t="str">
        <f>IFERROR(__xludf.DUMMYFUNCTION("""COMPUTED_VALUE"""),"13 años")</f>
        <v>13 años</v>
      </c>
      <c r="AB73" s="48"/>
      <c r="AC73" s="40"/>
      <c r="AD73" s="40"/>
      <c r="AE73" s="40"/>
      <c r="AF73" s="40" t="str">
        <f>IFERROR(__xludf.DUMMYFUNCTION("""COMPUTED_VALUE"""),"semi-integral")</f>
        <v>semi-integral</v>
      </c>
      <c r="AG73" s="40"/>
      <c r="AH73" s="40" t="str">
        <f>IFERROR(__xludf.DUMMYFUNCTION("""COMPUTED_VALUE"""),"Inventario")</f>
        <v>Inventario</v>
      </c>
      <c r="AI73" s="40"/>
      <c r="AJ73" s="40" t="str">
        <f>IFERROR(__xludf.DUMMYFUNCTION("""COMPUTED_VALUE"""),"ICDE")</f>
        <v>ICDE</v>
      </c>
      <c r="AK73" s="40"/>
      <c r="AL73" s="40" t="str">
        <f>IFERROR(__xludf.DUMMYFUNCTION("""COMPUTED_VALUE"""),"ENVIARA FOTOS")</f>
        <v>ENVIARA FOTOS</v>
      </c>
      <c r="AM73" s="40">
        <f>IFERROR(__xludf.DUMMYFUNCTION("""COMPUTED_VALUE"""),3.182141803E9)</f>
        <v>3182141803</v>
      </c>
      <c r="AN73" s="40">
        <f>IFERROR(__xludf.DUMMYFUNCTION("""COMPUTED_VALUE"""),3.123787119E9)</f>
        <v>3123787119</v>
      </c>
      <c r="AO73" s="40" t="str">
        <f>IFERROR(__xludf.DUMMYFUNCTION("""COMPUTED_VALUE"""),"LILIANA VASQUEZ")</f>
        <v>LILIANA VASQUEZ</v>
      </c>
      <c r="AP73" s="40" t="str">
        <f>IFERROR(__xludf.DUMMYFUNCTION("""COMPUTED_VALUE"""),"AV. 26 NO. 35 - 23")</f>
        <v>AV. 26 NO. 35 - 23</v>
      </c>
      <c r="AQ73" s="40"/>
      <c r="AR73" s="40"/>
      <c r="AS73" s="53">
        <f>IFERROR(__xludf.DUMMYFUNCTION("""COMPUTED_VALUE"""),6000000.0)</f>
        <v>6000000</v>
      </c>
      <c r="AT73" s="40">
        <f>IFERROR(__xludf.DUMMYFUNCTION("""COMPUTED_VALUE"""),0.0)</f>
        <v>0</v>
      </c>
      <c r="AU73" s="40">
        <f>IFERROR(__xludf.DUMMYFUNCTION("""COMPUTED_VALUE"""),0.0)</f>
        <v>0</v>
      </c>
      <c r="AV73" s="40">
        <f>IFERROR(__xludf.DUMMYFUNCTION("""COMPUTED_VALUE"""),0.0)</f>
        <v>0</v>
      </c>
      <c r="AW73" s="40" t="str">
        <f>IFERROR(__xludf.DUMMYFUNCTION("""COMPUTED_VALUE"""),"NO")</f>
        <v>NO</v>
      </c>
      <c r="AX73" s="40">
        <f>IFERROR(__xludf.DUMMYFUNCTION("""COMPUTED_VALUE"""),0.0)</f>
        <v>0</v>
      </c>
      <c r="AY73" s="40">
        <f>IFERROR(__xludf.DUMMYFUNCTION("""COMPUTED_VALUE"""),0.0)</f>
        <v>0</v>
      </c>
      <c r="AZ73" s="40">
        <f>IFERROR(__xludf.DUMMYFUNCTION("""COMPUTED_VALUE"""),9.5)</f>
        <v>9.5</v>
      </c>
      <c r="BA73" s="40" t="str">
        <f>IFERROR(__xludf.DUMMYFUNCTION("""COMPUTED_VALUE"""),"X")</f>
        <v>X</v>
      </c>
      <c r="BB73" s="40">
        <f>IFERROR(__xludf.DUMMYFUNCTION("""COMPUTED_VALUE"""),20.0)</f>
        <v>20</v>
      </c>
      <c r="BC73" s="53" t="str">
        <f>IFERROR(__xludf.DUMMYFUNCTION("""COMPUTED_VALUE"""),"19 - PRUEBA v, 20 - SAMADHI RODRIGUEZ, 35 - LUIS ANGEL VARGAS")</f>
        <v>19 - PRUEBA v, 20 - SAMADHI RODRIGUEZ, 35 - LUIS ANGEL VARGAS</v>
      </c>
      <c r="BD73" s="48"/>
      <c r="BE73" s="48"/>
      <c r="BF73" s="48"/>
    </row>
    <row r="74">
      <c r="A74" s="39" t="str">
        <f>IFERROR(__xludf.DUMMYFUNCTION("""COMPUTED_VALUE"""),"065")</f>
        <v>065</v>
      </c>
      <c r="B74" s="40" t="str">
        <f>IFERROR(__xludf.DUMMYFUNCTION("""COMPUTED_VALUE"""),"Casa lote en barrio La Toma")</f>
        <v>Casa lote en barrio La Toma</v>
      </c>
      <c r="C74" s="40" t="str">
        <f>IFERROR(__xludf.DUMMYFUNCTION("""COMPUTED_VALUE"""),"Casa lote")</f>
        <v>Casa lote</v>
      </c>
      <c r="D74" s="40" t="str">
        <f>IFERROR(__xludf.DUMMYFUNCTION("""COMPUTED_VALUE"""),"La Toma")</f>
        <v>La Toma</v>
      </c>
      <c r="E74" s="42" t="str">
        <f>IFERROR(__xludf.DUMMYFUNCTION("""COMPUTED_VALUE""")," ")</f>
        <v> </v>
      </c>
      <c r="F74" s="42">
        <f>IFERROR(__xludf.DUMMYFUNCTION("""COMPUTED_VALUE"""),9.5E8)</f>
        <v>950000000</v>
      </c>
      <c r="G74" s="40" t="str">
        <f>IFERROR(__xludf.DUMMYFUNCTION("""COMPUTED_VALUE"""),"$500'000.000 a $1.000'000.000")</f>
        <v>$500'000.000 a $1.000'000.000</v>
      </c>
      <c r="H74" s="40"/>
      <c r="I74" s="40"/>
      <c r="J74" s="40" t="str">
        <f>IFERROR(__xludf.DUMMYFUNCTION("""COMPUTED_VALUE"""),"Centro")</f>
        <v>Centro</v>
      </c>
      <c r="K74" s="39" t="str">
        <f>IFERROR(__xludf.DUMMYFUNCTION("""COMPUTED_VALUE"""),"3")</f>
        <v>3</v>
      </c>
      <c r="L74" s="40">
        <f>IFERROR(__xludf.DUMMYFUNCTION("""COMPUTED_VALUE"""),0.0)</f>
        <v>0</v>
      </c>
      <c r="M74" s="40"/>
      <c r="N74" s="40">
        <f>IFERROR(__xludf.DUMMYFUNCTION("""COMPUTED_VALUE"""),0.0)</f>
        <v>0</v>
      </c>
      <c r="O74" s="40">
        <f>IFERROR(__xludf.DUMMYFUNCTION("""COMPUTED_VALUE"""),0.0)</f>
        <v>0</v>
      </c>
      <c r="P74" s="40">
        <f>IFERROR(__xludf.DUMMYFUNCTION("""COMPUTED_VALUE"""),1.0)</f>
        <v>1</v>
      </c>
      <c r="Q74" s="48">
        <f>IFERROR(__xludf.DUMMYFUNCTION("""COMPUTED_VALUE"""),443.0)</f>
        <v>443</v>
      </c>
      <c r="R74" s="48">
        <f>IFERROR(__xludf.DUMMYFUNCTION("""COMPUTED_VALUE"""),443.0)</f>
        <v>443</v>
      </c>
      <c r="S74" s="39" t="str">
        <f>IFERROR(__xludf.DUMMYFUNCTION("""COMPUTED_VALUE""")," ")</f>
        <v> </v>
      </c>
      <c r="T74" s="40" t="str">
        <f>IFERROR(__xludf.DUMMYFUNCTION("""COMPUTED_VALUE"""),"Neiva")</f>
        <v>Neiva</v>
      </c>
      <c r="U74" s="39" t="str">
        <f>IFERROR(__xludf.DUMMYFUNCTION("""COMPUTED_VALUE"""),"3")</f>
        <v>3</v>
      </c>
      <c r="V74" s="40" t="str">
        <f>IFERROR(__xludf.DUMMYFUNCTION("""COMPUTED_VALUE"""),"Medianera")</f>
        <v>Medianera</v>
      </c>
      <c r="W74" s="46"/>
      <c r="X74" s="46" t="str">
        <f>IFERROR(__xludf.DUMMYFUNCTION("""COMPUTED_VALUE"""),"NO")</f>
        <v>NO</v>
      </c>
      <c r="Y74" s="40" t="str">
        <f>IFERROR(__xludf.DUMMYFUNCTION("""COMPUTED_VALUE"""),"No tiene")</f>
        <v>No tiene</v>
      </c>
      <c r="Z74" s="42" t="str">
        <f>IFERROR(__xludf.DUMMYFUNCTION("""COMPUTED_VALUE"""),"No aplica")</f>
        <v>No aplica</v>
      </c>
      <c r="AA74" s="49" t="str">
        <f>IFERROR(__xludf.DUMMYFUNCTION("""COMPUTED_VALUE"""),"No aplica")</f>
        <v>No aplica</v>
      </c>
      <c r="AB74" s="48"/>
      <c r="AC74" s="40"/>
      <c r="AD74" s="40"/>
      <c r="AE74" s="40"/>
      <c r="AF74" s="40" t="str">
        <f>IFERROR(__xludf.DUMMYFUNCTION("""COMPUTED_VALUE"""),"no")</f>
        <v>no</v>
      </c>
      <c r="AG74" s="40"/>
      <c r="AH74" s="40" t="str">
        <f>IFERROR(__xludf.DUMMYFUNCTION("""COMPUTED_VALUE"""),"Inventario")</f>
        <v>Inventario</v>
      </c>
      <c r="AI74" s="40"/>
      <c r="AJ74" s="40" t="str">
        <f>IFERROR(__xludf.DUMMYFUNCTION("""COMPUTED_VALUE"""),"ICDE")</f>
        <v>ICDE</v>
      </c>
      <c r="AK74" s="40"/>
      <c r="AL74" s="40" t="str">
        <f>IFERROR(__xludf.DUMMYFUNCTION("""COMPUTED_VALUE"""),"NO FOTOS + DESCRIPCION")</f>
        <v>NO FOTOS + DESCRIPCION</v>
      </c>
      <c r="AM74" s="40">
        <f>IFERROR(__xludf.DUMMYFUNCTION("""COMPUTED_VALUE"""),3.222823167E9)</f>
        <v>3222823167</v>
      </c>
      <c r="AN74" s="40">
        <f>IFERROR(__xludf.DUMMYFUNCTION("""COMPUTED_VALUE"""),0.0)</f>
        <v>0</v>
      </c>
      <c r="AO74" s="40" t="str">
        <f>IFERROR(__xludf.DUMMYFUNCTION("""COMPUTED_VALUE"""),"RAFAEL PATARROLLO")</f>
        <v>RAFAEL PATARROLLO</v>
      </c>
      <c r="AP74" s="40" t="str">
        <f>IFERROR(__xludf.DUMMYFUNCTION("""COMPUTED_VALUE"""),"CALLE 14 NO 7A - 47")</f>
        <v>CALLE 14 NO 7A - 47</v>
      </c>
      <c r="AQ74" s="40"/>
      <c r="AR74" s="40"/>
      <c r="AS74" s="53">
        <f>IFERROR(__xludf.DUMMYFUNCTION("""COMPUTED_VALUE"""),0.0)</f>
        <v>0</v>
      </c>
      <c r="AT74" s="40">
        <f>IFERROR(__xludf.DUMMYFUNCTION("""COMPUTED_VALUE"""),0.0)</f>
        <v>0</v>
      </c>
      <c r="AU74" s="40">
        <f>IFERROR(__xludf.DUMMYFUNCTION("""COMPUTED_VALUE"""),0.0)</f>
        <v>0</v>
      </c>
      <c r="AV74" s="40">
        <f>IFERROR(__xludf.DUMMYFUNCTION("""COMPUTED_VALUE"""),0.0)</f>
        <v>0</v>
      </c>
      <c r="AW74" s="40" t="str">
        <f>IFERROR(__xludf.DUMMYFUNCTION("""COMPUTED_VALUE"""),"NO")</f>
        <v>NO</v>
      </c>
      <c r="AX74" s="40">
        <f>IFERROR(__xludf.DUMMYFUNCTION("""COMPUTED_VALUE"""),0.0)</f>
        <v>0</v>
      </c>
      <c r="AY74" s="40">
        <f>IFERROR(__xludf.DUMMYFUNCTION("""COMPUTED_VALUE"""),0.0)</f>
        <v>0</v>
      </c>
      <c r="AZ74" s="40">
        <f>IFERROR(__xludf.DUMMYFUNCTION("""COMPUTED_VALUE"""),23.0)</f>
        <v>23</v>
      </c>
      <c r="BA74" s="40" t="str">
        <f>IFERROR(__xludf.DUMMYFUNCTION("""COMPUTED_VALUE"""),"X")</f>
        <v>X</v>
      </c>
      <c r="BB74" s="40">
        <f>IFERROR(__xludf.DUMMYFUNCTION("""COMPUTED_VALUE"""),28.1)</f>
        <v>28.1</v>
      </c>
      <c r="BC74" s="53" t="str">
        <f>IFERROR(__xludf.DUMMYFUNCTION("""COMPUTED_VALUE"""),"12 - LEIDY YULIETH")</f>
        <v>12 - LEIDY YULIETH</v>
      </c>
      <c r="BD74" s="48"/>
      <c r="BE74" s="48"/>
      <c r="BF74" s="48"/>
    </row>
    <row r="75">
      <c r="A75" s="39" t="str">
        <f>IFERROR(__xludf.DUMMYFUNCTION("""COMPUTED_VALUE"""),"056")</f>
        <v>056</v>
      </c>
      <c r="B75" s="40" t="str">
        <f>IFERROR(__xludf.DUMMYFUNCTION("""COMPUTED_VALUE"""),"Casa en barrio La Toma")</f>
        <v>Casa en barrio La Toma</v>
      </c>
      <c r="C75" s="40" t="str">
        <f>IFERROR(__xludf.DUMMYFUNCTION("""COMPUTED_VALUE"""),"Casa")</f>
        <v>Casa</v>
      </c>
      <c r="D75" s="40" t="str">
        <f>IFERROR(__xludf.DUMMYFUNCTION("""COMPUTED_VALUE"""),"La Toma")</f>
        <v>La Toma</v>
      </c>
      <c r="E75" s="42" t="str">
        <f>IFERROR(__xludf.DUMMYFUNCTION("""COMPUTED_VALUE""")," ")</f>
        <v> </v>
      </c>
      <c r="F75" s="42">
        <f>IFERROR(__xludf.DUMMYFUNCTION("""COMPUTED_VALUE"""),8.8E8)</f>
        <v>880000000</v>
      </c>
      <c r="G75" s="40" t="str">
        <f>IFERROR(__xludf.DUMMYFUNCTION("""COMPUTED_VALUE"""),"$500'000.000 a $1.000'000.000")</f>
        <v>$500'000.000 a $1.000'000.000</v>
      </c>
      <c r="H75" s="40"/>
      <c r="I75" s="40"/>
      <c r="J75" s="40" t="str">
        <f>IFERROR(__xludf.DUMMYFUNCTION("""COMPUTED_VALUE"""),"Centro")</f>
        <v>Centro</v>
      </c>
      <c r="K75" s="39" t="str">
        <f>IFERROR(__xludf.DUMMYFUNCTION("""COMPUTED_VALUE"""),"3")</f>
        <v>3</v>
      </c>
      <c r="L75" s="40">
        <f>IFERROR(__xludf.DUMMYFUNCTION("""COMPUTED_VALUE"""),9.0)</f>
        <v>9</v>
      </c>
      <c r="M75" s="40"/>
      <c r="N75" s="40">
        <f>IFERROR(__xludf.DUMMYFUNCTION("""COMPUTED_VALUE"""),2.0)</f>
        <v>2</v>
      </c>
      <c r="O75" s="40">
        <f>IFERROR(__xludf.DUMMYFUNCTION("""COMPUTED_VALUE"""),10.0)</f>
        <v>10</v>
      </c>
      <c r="P75" s="40">
        <f>IFERROR(__xludf.DUMMYFUNCTION("""COMPUTED_VALUE"""),1.0)</f>
        <v>1</v>
      </c>
      <c r="Q75" s="48"/>
      <c r="R75" s="48">
        <f>IFERROR(__xludf.DUMMYFUNCTION("""COMPUTED_VALUE"""),409.0)</f>
        <v>409</v>
      </c>
      <c r="S75" s="39" t="str">
        <f>IFERROR(__xludf.DUMMYFUNCTION("""COMPUTED_VALUE"""),"Rentabilidad $2,000,000")</f>
        <v>Rentabilidad $2,000,000</v>
      </c>
      <c r="T75" s="40" t="str">
        <f>IFERROR(__xludf.DUMMYFUNCTION("""COMPUTED_VALUE"""),"Neiva")</f>
        <v>Neiva</v>
      </c>
      <c r="U75" s="39" t="str">
        <f>IFERROR(__xludf.DUMMYFUNCTION("""COMPUTED_VALUE"""),"2")</f>
        <v>2</v>
      </c>
      <c r="V75" s="40" t="str">
        <f>IFERROR(__xludf.DUMMYFUNCTION("""COMPUTED_VALUE"""),"Medianera")</f>
        <v>Medianera</v>
      </c>
      <c r="W75" s="46"/>
      <c r="X75" s="46">
        <f>IFERROR(__xludf.DUMMYFUNCTION("""COMPUTED_VALUE"""),0.0)</f>
        <v>0</v>
      </c>
      <c r="Y75" s="40" t="str">
        <f>IFERROR(__xludf.DUMMYFUNCTION("""COMPUTED_VALUE"""),"No tiene")</f>
        <v>No tiene</v>
      </c>
      <c r="Z75" s="42" t="str">
        <f>IFERROR(__xludf.DUMMYFUNCTION("""COMPUTED_VALUE"""),"No aplica")</f>
        <v>No aplica</v>
      </c>
      <c r="AA75" s="49" t="str">
        <f>IFERROR(__xludf.DUMMYFUNCTION("""COMPUTED_VALUE"""),"37 años")</f>
        <v>37 años</v>
      </c>
      <c r="AB75" s="48"/>
      <c r="AC75" s="40" t="str">
        <f>IFERROR(__xludf.DUMMYFUNCTION("""COMPUTED_VALUE"""),"Para remodelar")</f>
        <v>Para remodelar</v>
      </c>
      <c r="AD75" s="40"/>
      <c r="AE75" s="40"/>
      <c r="AF75" s="40" t="str">
        <f>IFERROR(__xludf.DUMMYFUNCTION("""COMPUTED_VALUE"""),"básica")</f>
        <v>básica</v>
      </c>
      <c r="AG75" s="40"/>
      <c r="AH75" s="40" t="str">
        <f>IFERROR(__xludf.DUMMYFUNCTION("""COMPUTED_VALUE"""),"Inventario")</f>
        <v>Inventario</v>
      </c>
      <c r="AI75" s="40"/>
      <c r="AJ75" s="40" t="str">
        <f>IFERROR(__xludf.DUMMYFUNCTION("""COMPUTED_VALUE"""),"ICDE")</f>
        <v>ICDE</v>
      </c>
      <c r="AK75" s="40"/>
      <c r="AL75" s="40" t="str">
        <f>IFERROR(__xludf.DUMMYFUNCTION("""COMPUTED_VALUE"""),"NO FOTOS + DESCRIPCION")</f>
        <v>NO FOTOS + DESCRIPCION</v>
      </c>
      <c r="AM75" s="40">
        <f>IFERROR(__xludf.DUMMYFUNCTION("""COMPUTED_VALUE"""),3.163989812E9)</f>
        <v>3163989812</v>
      </c>
      <c r="AN75" s="40">
        <f>IFERROR(__xludf.DUMMYFUNCTION("""COMPUTED_VALUE"""),3.186135992E9)</f>
        <v>3186135992</v>
      </c>
      <c r="AO75" s="40" t="str">
        <f>IFERROR(__xludf.DUMMYFUNCTION("""COMPUTED_VALUE"""),"REINALDO PASCUAS")</f>
        <v>REINALDO PASCUAS</v>
      </c>
      <c r="AP75" s="40" t="str">
        <f>IFERROR(__xludf.DUMMYFUNCTION("""COMPUTED_VALUE"""),"CALLE 14 NO. 8 -77")</f>
        <v>CALLE 14 NO. 8 -77</v>
      </c>
      <c r="AQ75" s="40"/>
      <c r="AR75" s="40"/>
      <c r="AS75" s="53">
        <f>IFERROR(__xludf.DUMMYFUNCTION("""COMPUTED_VALUE"""),2000000.0)</f>
        <v>2000000</v>
      </c>
      <c r="AT75" s="40">
        <f>IFERROR(__xludf.DUMMYFUNCTION("""COMPUTED_VALUE"""),0.0)</f>
        <v>0</v>
      </c>
      <c r="AU75" s="40">
        <f>IFERROR(__xludf.DUMMYFUNCTION("""COMPUTED_VALUE"""),0.0)</f>
        <v>0</v>
      </c>
      <c r="AV75" s="40">
        <f>IFERROR(__xludf.DUMMYFUNCTION("""COMPUTED_VALUE"""),0.0)</f>
        <v>0</v>
      </c>
      <c r="AW75" s="40" t="str">
        <f>IFERROR(__xludf.DUMMYFUNCTION("""COMPUTED_VALUE"""),"NO")</f>
        <v>NO</v>
      </c>
      <c r="AX75" s="40">
        <f>IFERROR(__xludf.DUMMYFUNCTION("""COMPUTED_VALUE"""),0.0)</f>
        <v>0</v>
      </c>
      <c r="AY75" s="40">
        <f>IFERROR(__xludf.DUMMYFUNCTION("""COMPUTED_VALUE"""),0.0)</f>
        <v>0</v>
      </c>
      <c r="AZ75" s="40">
        <f>IFERROR(__xludf.DUMMYFUNCTION("""COMPUTED_VALUE"""),0.0)</f>
        <v>0</v>
      </c>
      <c r="BA75" s="40" t="str">
        <f>IFERROR(__xludf.DUMMYFUNCTION("""COMPUTED_VALUE"""),"X")</f>
        <v>X</v>
      </c>
      <c r="BB75" s="40">
        <f>IFERROR(__xludf.DUMMYFUNCTION("""COMPUTED_VALUE"""),0.0)</f>
        <v>0</v>
      </c>
      <c r="BC75" s="53" t="str">
        <f>IFERROR(__xludf.DUMMYFUNCTION("""COMPUTED_VALUE"""),"41 - NORMA MEDINA")</f>
        <v>41 - NORMA MEDINA</v>
      </c>
      <c r="BD75" s="48"/>
      <c r="BE75" s="48"/>
      <c r="BF75" s="48"/>
    </row>
    <row r="76">
      <c r="A76" s="39" t="str">
        <f>IFERROR(__xludf.DUMMYFUNCTION("""COMPUTED_VALUE"""),"786")</f>
        <v>786</v>
      </c>
      <c r="B76" s="40" t="str">
        <f>IFERROR(__xludf.DUMMYFUNCTION("""COMPUTED_VALUE"""),"Casa en barrio Sevilla")</f>
        <v>Casa en barrio Sevilla</v>
      </c>
      <c r="C76" s="40" t="str">
        <f>IFERROR(__xludf.DUMMYFUNCTION("""COMPUTED_VALUE"""),"Casa")</f>
        <v>Casa</v>
      </c>
      <c r="D76" s="40" t="str">
        <f>IFERROR(__xludf.DUMMYFUNCTION("""COMPUTED_VALUE"""),"Sevilla")</f>
        <v>Sevilla</v>
      </c>
      <c r="E76" s="42" t="str">
        <f>IFERROR(__xludf.DUMMYFUNCTION("""COMPUTED_VALUE""")," ")</f>
        <v> </v>
      </c>
      <c r="F76" s="42">
        <f>IFERROR(__xludf.DUMMYFUNCTION("""COMPUTED_VALUE"""),8.0E8)</f>
        <v>800000000</v>
      </c>
      <c r="G76" s="40" t="str">
        <f>IFERROR(__xludf.DUMMYFUNCTION("""COMPUTED_VALUE"""),"$500'000.000 a $1.000'000.000")</f>
        <v>$500'000.000 a $1.000'000.000</v>
      </c>
      <c r="H76" s="40"/>
      <c r="I76" s="40"/>
      <c r="J76" s="40" t="str">
        <f>IFERROR(__xludf.DUMMYFUNCTION("""COMPUTED_VALUE"""),"Centro")</f>
        <v>Centro</v>
      </c>
      <c r="K76" s="39" t="str">
        <f>IFERROR(__xludf.DUMMYFUNCTION("""COMPUTED_VALUE"""),"3")</f>
        <v>3</v>
      </c>
      <c r="L76" s="40">
        <f>IFERROR(__xludf.DUMMYFUNCTION("""COMPUTED_VALUE"""),6.0)</f>
        <v>6</v>
      </c>
      <c r="M76" s="40"/>
      <c r="N76" s="40">
        <f>IFERROR(__xludf.DUMMYFUNCTION("""COMPUTED_VALUE"""),5.0)</f>
        <v>5</v>
      </c>
      <c r="O76" s="40">
        <f>IFERROR(__xludf.DUMMYFUNCTION("""COMPUTED_VALUE"""),2.0)</f>
        <v>2</v>
      </c>
      <c r="P76" s="40">
        <f>IFERROR(__xludf.DUMMYFUNCTION("""COMPUTED_VALUE"""),2.0)</f>
        <v>2</v>
      </c>
      <c r="Q76" s="48"/>
      <c r="R76" s="48">
        <f>IFERROR(__xludf.DUMMYFUNCTION("""COMPUTED_VALUE"""),340.0)</f>
        <v>340</v>
      </c>
      <c r="S76" s="39" t="str">
        <f>IFERROR(__xludf.DUMMYFUNCTION("""COMPUTED_VALUE""")," ")</f>
        <v> </v>
      </c>
      <c r="T76" s="40" t="str">
        <f>IFERROR(__xludf.DUMMYFUNCTION("""COMPUTED_VALUE"""),"Neiva")</f>
        <v>Neiva</v>
      </c>
      <c r="U76" s="39" t="str">
        <f>IFERROR(__xludf.DUMMYFUNCTION("""COMPUTED_VALUE"""),"5")</f>
        <v>5</v>
      </c>
      <c r="V76" s="40" t="str">
        <f>IFERROR(__xludf.DUMMYFUNCTION("""COMPUTED_VALUE"""),"Medianera")</f>
        <v>Medianera</v>
      </c>
      <c r="W76" s="46"/>
      <c r="X76" s="46">
        <f>IFERROR(__xludf.DUMMYFUNCTION("""COMPUTED_VALUE"""),0.0)</f>
        <v>0</v>
      </c>
      <c r="Y76" s="40" t="str">
        <f>IFERROR(__xludf.DUMMYFUNCTION("""COMPUTED_VALUE"""),"No tiene")</f>
        <v>No tiene</v>
      </c>
      <c r="Z76" s="42" t="str">
        <f>IFERROR(__xludf.DUMMYFUNCTION("""COMPUTED_VALUE"""),"No aplica")</f>
        <v>No aplica</v>
      </c>
      <c r="AA76" s="49" t="str">
        <f>IFERROR(__xludf.DUMMYFUNCTION("""COMPUTED_VALUE"""),"No aplica")</f>
        <v>No aplica</v>
      </c>
      <c r="AB76" s="40"/>
      <c r="AC76" s="40"/>
      <c r="AD76" s="40"/>
      <c r="AE76" s="40"/>
      <c r="AF76" s="40" t="str">
        <f>IFERROR(__xludf.DUMMYFUNCTION("""COMPUTED_VALUE"""),"básica")</f>
        <v>básica</v>
      </c>
      <c r="AG76" s="40"/>
      <c r="AH76" s="40" t="str">
        <f>IFERROR(__xludf.DUMMYFUNCTION("""COMPUTED_VALUE"""),"Inventario")</f>
        <v>Inventario</v>
      </c>
      <c r="AI76" s="40"/>
      <c r="AJ76" s="40" t="str">
        <f>IFERROR(__xludf.DUMMYFUNCTION("""COMPUTED_VALUE"""),"ICDE")</f>
        <v>ICDE</v>
      </c>
      <c r="AK76" s="40"/>
      <c r="AL76" s="40" t="str">
        <f>IFERROR(__xludf.DUMMYFUNCTION("""COMPUTED_VALUE"""),"NO TIENE FOTOS")</f>
        <v>NO TIENE FOTOS</v>
      </c>
      <c r="AM76" s="40">
        <f>IFERROR(__xludf.DUMMYFUNCTION("""COMPUTED_VALUE"""),3.125458794E9)</f>
        <v>3125458794</v>
      </c>
      <c r="AN76" s="40" t="str">
        <f>IFERROR(__xludf.DUMMYFUNCTION("""COMPUTED_VALUE"""),"3162397941-3202513702")</f>
        <v>3162397941-3202513702</v>
      </c>
      <c r="AO76" s="40" t="str">
        <f>IFERROR(__xludf.DUMMYFUNCTION("""COMPUTED_VALUE"""),"OSCAR FERNANDEZ - 3 HERMANOS")</f>
        <v>OSCAR FERNANDEZ - 3 HERMANOS</v>
      </c>
      <c r="AP76" s="40" t="str">
        <f>IFERROR(__xludf.DUMMYFUNCTION("""COMPUTED_VALUE"""),"CALLE 21 A No.5-54")</f>
        <v>CALLE 21 A No.5-54</v>
      </c>
      <c r="AQ76" s="40"/>
      <c r="AR76" s="40"/>
      <c r="AS76" s="53">
        <f>IFERROR(__xludf.DUMMYFUNCTION("""COMPUTED_VALUE"""),0.0)</f>
        <v>0</v>
      </c>
      <c r="AT76" s="40">
        <f>IFERROR(__xludf.DUMMYFUNCTION("""COMPUTED_VALUE"""),0.0)</f>
        <v>0</v>
      </c>
      <c r="AU76" s="40">
        <f>IFERROR(__xludf.DUMMYFUNCTION("""COMPUTED_VALUE"""),0.0)</f>
        <v>0</v>
      </c>
      <c r="AV76" s="40">
        <f>IFERROR(__xludf.DUMMYFUNCTION("""COMPUTED_VALUE"""),0.0)</f>
        <v>0</v>
      </c>
      <c r="AW76" s="40" t="str">
        <f>IFERROR(__xludf.DUMMYFUNCTION("""COMPUTED_VALUE"""),"NO")</f>
        <v>NO</v>
      </c>
      <c r="AX76" s="40">
        <f>IFERROR(__xludf.DUMMYFUNCTION("""COMPUTED_VALUE"""),0.0)</f>
        <v>0</v>
      </c>
      <c r="AY76" s="40">
        <f>IFERROR(__xludf.DUMMYFUNCTION("""COMPUTED_VALUE"""),0.0)</f>
        <v>0</v>
      </c>
      <c r="AZ76" s="40">
        <f>IFERROR(__xludf.DUMMYFUNCTION("""COMPUTED_VALUE"""),0.0)</f>
        <v>0</v>
      </c>
      <c r="BA76" s="40" t="str">
        <f>IFERROR(__xludf.DUMMYFUNCTION("""COMPUTED_VALUE"""),"X")</f>
        <v>X</v>
      </c>
      <c r="BB76" s="40">
        <f>IFERROR(__xludf.DUMMYFUNCTION("""COMPUTED_VALUE"""),0.0)</f>
        <v>0</v>
      </c>
      <c r="BC76" s="53"/>
      <c r="BD76" s="48"/>
      <c r="BE76" s="48"/>
      <c r="BF76" s="48"/>
    </row>
    <row r="77">
      <c r="A77" s="39" t="str">
        <f>IFERROR(__xludf.DUMMYFUNCTION("""COMPUTED_VALUE"""),"458")</f>
        <v>458</v>
      </c>
      <c r="B77" s="40" t="str">
        <f>IFERROR(__xludf.DUMMYFUNCTION("""COMPUTED_VALUE"""),"Casa con dos apartamentos en barrio Las Granjas")</f>
        <v>Casa con dos apartamentos en barrio Las Granjas</v>
      </c>
      <c r="C77" s="40" t="str">
        <f>IFERROR(__xludf.DUMMYFUNCTION("""COMPUTED_VALUE"""),"Casa rentable")</f>
        <v>Casa rentable</v>
      </c>
      <c r="D77" s="40" t="str">
        <f>IFERROR(__xludf.DUMMYFUNCTION("""COMPUTED_VALUE"""),"Las Granjas ")</f>
        <v>Las Granjas </v>
      </c>
      <c r="E77" s="40"/>
      <c r="F77" s="42">
        <f>IFERROR(__xludf.DUMMYFUNCTION("""COMPUTED_VALUE"""),8.0E8)</f>
        <v>800000000</v>
      </c>
      <c r="G77" s="40" t="str">
        <f>IFERROR(__xludf.DUMMYFUNCTION("""COMPUTED_VALUE"""),"$500'000.000 a $1.000'000.000")</f>
        <v>$500'000.000 a $1.000'000.000</v>
      </c>
      <c r="H77" s="40"/>
      <c r="I77" s="40"/>
      <c r="J77" s="40" t="str">
        <f>IFERROR(__xludf.DUMMYFUNCTION("""COMPUTED_VALUE"""),"Norte")</f>
        <v>Norte</v>
      </c>
      <c r="K77" s="39" t="str">
        <f>IFERROR(__xludf.DUMMYFUNCTION("""COMPUTED_VALUE"""),"2")</f>
        <v>2</v>
      </c>
      <c r="L77" s="40">
        <f>IFERROR(__xludf.DUMMYFUNCTION("""COMPUTED_VALUE"""),10.0)</f>
        <v>10</v>
      </c>
      <c r="M77" s="40"/>
      <c r="N77" s="40">
        <f>IFERROR(__xludf.DUMMYFUNCTION("""COMPUTED_VALUE"""),4.0)</f>
        <v>4</v>
      </c>
      <c r="O77" s="40">
        <f>IFERROR(__xludf.DUMMYFUNCTION("""COMPUTED_VALUE"""),1.0)</f>
        <v>1</v>
      </c>
      <c r="P77" s="40">
        <f>IFERROR(__xludf.DUMMYFUNCTION("""COMPUTED_VALUE"""),2.0)</f>
        <v>2</v>
      </c>
      <c r="Q77" s="48">
        <f>IFERROR(__xludf.DUMMYFUNCTION("""COMPUTED_VALUE"""),250.0)</f>
        <v>250</v>
      </c>
      <c r="R77" s="48">
        <f>IFERROR(__xludf.DUMMYFUNCTION("""COMPUTED_VALUE"""),180.0)</f>
        <v>180</v>
      </c>
      <c r="S77" s="39" t="str">
        <f>IFERROR(__xludf.DUMMYFUNCTION("""COMPUTED_VALUE"""),"Rentabilidad $2,000,000")</f>
        <v>Rentabilidad $2,000,000</v>
      </c>
      <c r="T77" s="40" t="str">
        <f>IFERROR(__xludf.DUMMYFUNCTION("""COMPUTED_VALUE"""),"Neiva")</f>
        <v>Neiva</v>
      </c>
      <c r="U77" s="39" t="str">
        <f>IFERROR(__xludf.DUMMYFUNCTION("""COMPUTED_VALUE"""),"2")</f>
        <v>2</v>
      </c>
      <c r="V77" s="40" t="str">
        <f>IFERROR(__xludf.DUMMYFUNCTION("""COMPUTED_VALUE"""),"Medianera")</f>
        <v>Medianera</v>
      </c>
      <c r="W77" s="46"/>
      <c r="X77" s="46">
        <f>IFERROR(__xludf.DUMMYFUNCTION("""COMPUTED_VALUE"""),8.0)</f>
        <v>8</v>
      </c>
      <c r="Y77" s="53" t="str">
        <f>IFERROR(__xludf.DUMMYFUNCTION("""COMPUTED_VALUE"""),"No tiene")</f>
        <v>No tiene</v>
      </c>
      <c r="Z77" s="42" t="str">
        <f>IFERROR(__xludf.DUMMYFUNCTION("""COMPUTED_VALUE"""),"No aplica")</f>
        <v>No aplica</v>
      </c>
      <c r="AA77" s="49" t="str">
        <f>IFERROR(__xludf.DUMMYFUNCTION("""COMPUTED_VALUE"""),"33 años")</f>
        <v>33 años</v>
      </c>
      <c r="AB77" s="48"/>
      <c r="AC77" s="40"/>
      <c r="AD77" s="40"/>
      <c r="AE77" s="40"/>
      <c r="AF77" s="40" t="str">
        <f>IFERROR(__xludf.DUMMYFUNCTION("""COMPUTED_VALUE"""),"integral")</f>
        <v>integral</v>
      </c>
      <c r="AG77" s="40"/>
      <c r="AH77" s="40" t="str">
        <f>IFERROR(__xludf.DUMMYFUNCTION("""COMPUTED_VALUE"""),"Inventario")</f>
        <v>Inventario</v>
      </c>
      <c r="AI77" s="40"/>
      <c r="AJ77" s="40" t="str">
        <f>IFERROR(__xludf.DUMMYFUNCTION("""COMPUTED_VALUE"""),"ICDE")</f>
        <v>ICDE</v>
      </c>
      <c r="AK77" s="40"/>
      <c r="AL77" s="40" t="str">
        <f>IFERROR(__xludf.DUMMYFUNCTION("""COMPUTED_VALUE"""),"NO FOTOS-INTER.")</f>
        <v>NO FOTOS-INTER.</v>
      </c>
      <c r="AM77" s="40">
        <f>IFERROR(__xludf.DUMMYFUNCTION("""COMPUTED_VALUE"""),3.168735402E9)</f>
        <v>3168735402</v>
      </c>
      <c r="AN77" s="40">
        <f>IFERROR(__xludf.DUMMYFUNCTION("""COMPUTED_VALUE"""),0.0)</f>
        <v>0</v>
      </c>
      <c r="AO77" s="40" t="str">
        <f>IFERROR(__xludf.DUMMYFUNCTION("""COMPUTED_VALUE"""),"EDWING RAMIREZ")</f>
        <v>EDWING RAMIREZ</v>
      </c>
      <c r="AP77" s="40" t="str">
        <f>IFERROR(__xludf.DUMMYFUNCTION("""COMPUTED_VALUE"""),"CALLE 39 No. 7 - 115")</f>
        <v>CALLE 39 No. 7 - 115</v>
      </c>
      <c r="AQ77" s="40"/>
      <c r="AR77" s="40"/>
      <c r="AS77" s="53">
        <f>IFERROR(__xludf.DUMMYFUNCTION("""COMPUTED_VALUE"""),2000000.0)</f>
        <v>2000000</v>
      </c>
      <c r="AT77" s="40">
        <f>IFERROR(__xludf.DUMMYFUNCTION("""COMPUTED_VALUE"""),0.0)</f>
        <v>0</v>
      </c>
      <c r="AU77" s="40">
        <f>IFERROR(__xludf.DUMMYFUNCTION("""COMPUTED_VALUE"""),0.0)</f>
        <v>0</v>
      </c>
      <c r="AV77" s="40">
        <f>IFERROR(__xludf.DUMMYFUNCTION("""COMPUTED_VALUE"""),0.0)</f>
        <v>0</v>
      </c>
      <c r="AW77" s="40" t="str">
        <f>IFERROR(__xludf.DUMMYFUNCTION("""COMPUTED_VALUE"""),"NO")</f>
        <v>NO</v>
      </c>
      <c r="AX77" s="40">
        <f>IFERROR(__xludf.DUMMYFUNCTION("""COMPUTED_VALUE"""),0.0)</f>
        <v>0</v>
      </c>
      <c r="AY77" s="40">
        <f>IFERROR(__xludf.DUMMYFUNCTION("""COMPUTED_VALUE"""),0.0)</f>
        <v>0</v>
      </c>
      <c r="AZ77" s="40">
        <f>IFERROR(__xludf.DUMMYFUNCTION("""COMPUTED_VALUE"""),0.0)</f>
        <v>0</v>
      </c>
      <c r="BA77" s="40" t="str">
        <f>IFERROR(__xludf.DUMMYFUNCTION("""COMPUTED_VALUE"""),"X")</f>
        <v>X</v>
      </c>
      <c r="BB77" s="40">
        <f>IFERROR(__xludf.DUMMYFUNCTION("""COMPUTED_VALUE"""),0.0)</f>
        <v>0</v>
      </c>
      <c r="BC77" s="53" t="str">
        <f>IFERROR(__xludf.DUMMYFUNCTION("""COMPUTED_VALUE"""),"12 - LEIDY YULIETH")</f>
        <v>12 - LEIDY YULIETH</v>
      </c>
      <c r="BD77" s="48"/>
      <c r="BE77" s="48"/>
      <c r="BF77" s="48"/>
    </row>
    <row r="78">
      <c r="A78" s="39" t="str">
        <f>IFERROR(__xludf.DUMMYFUNCTION("""COMPUTED_VALUE"""),"104")</f>
        <v>104</v>
      </c>
      <c r="B78" s="40" t="str">
        <f>IFERROR(__xludf.DUMMYFUNCTION("""COMPUTED_VALUE"""),"Casa con cuatro apartamentos y un local en barrio La Toma")</f>
        <v>Casa con cuatro apartamentos y un local en barrio La Toma</v>
      </c>
      <c r="C78" s="40" t="str">
        <f>IFERROR(__xludf.DUMMYFUNCTION("""COMPUTED_VALUE"""),"Casa rentable")</f>
        <v>Casa rentable</v>
      </c>
      <c r="D78" s="40" t="str">
        <f>IFERROR(__xludf.DUMMYFUNCTION("""COMPUTED_VALUE"""),"La Toma")</f>
        <v>La Toma</v>
      </c>
      <c r="E78" s="42" t="str">
        <f>IFERROR(__xludf.DUMMYFUNCTION("""COMPUTED_VALUE""")," ")</f>
        <v> </v>
      </c>
      <c r="F78" s="42">
        <f>IFERROR(__xludf.DUMMYFUNCTION("""COMPUTED_VALUE"""),8.0E8)</f>
        <v>800000000</v>
      </c>
      <c r="G78" s="40" t="str">
        <f>IFERROR(__xludf.DUMMYFUNCTION("""COMPUTED_VALUE"""),"$500'000.000 a $1.000'000.000")</f>
        <v>$500'000.000 a $1.000'000.000</v>
      </c>
      <c r="H78" s="40"/>
      <c r="I78" s="40"/>
      <c r="J78" s="40" t="str">
        <f>IFERROR(__xludf.DUMMYFUNCTION("""COMPUTED_VALUE"""),"Centro")</f>
        <v>Centro</v>
      </c>
      <c r="K78" s="39" t="str">
        <f>IFERROR(__xludf.DUMMYFUNCTION("""COMPUTED_VALUE"""),"3")</f>
        <v>3</v>
      </c>
      <c r="L78" s="40">
        <f>IFERROR(__xludf.DUMMYFUNCTION("""COMPUTED_VALUE"""),3.0)</f>
        <v>3</v>
      </c>
      <c r="M78" s="40"/>
      <c r="N78" s="40">
        <f>IFERROR(__xludf.DUMMYFUNCTION("""COMPUTED_VALUE"""),4.0)</f>
        <v>4</v>
      </c>
      <c r="O78" s="40">
        <f>IFERROR(__xludf.DUMMYFUNCTION("""COMPUTED_VALUE"""),0.0)</f>
        <v>0</v>
      </c>
      <c r="P78" s="40">
        <f>IFERROR(__xludf.DUMMYFUNCTION("""COMPUTED_VALUE"""),3.0)</f>
        <v>3</v>
      </c>
      <c r="Q78" s="48"/>
      <c r="R78" s="48">
        <f>IFERROR(__xludf.DUMMYFUNCTION("""COMPUTED_VALUE"""),496.0)</f>
        <v>496</v>
      </c>
      <c r="S78" s="39" t="str">
        <f>IFERROR(__xludf.DUMMYFUNCTION("""COMPUTED_VALUE"""),"Rentabilidad $5,500,000")</f>
        <v>Rentabilidad $5,500,000</v>
      </c>
      <c r="T78" s="40" t="str">
        <f>IFERROR(__xludf.DUMMYFUNCTION("""COMPUTED_VALUE"""),"Neiva")</f>
        <v>Neiva</v>
      </c>
      <c r="U78" s="39" t="str">
        <f>IFERROR(__xludf.DUMMYFUNCTION("""COMPUTED_VALUE"""),"3")</f>
        <v>3</v>
      </c>
      <c r="V78" s="40" t="str">
        <f>IFERROR(__xludf.DUMMYFUNCTION("""COMPUTED_VALUE"""),"Esquinera")</f>
        <v>Esquinera</v>
      </c>
      <c r="W78" s="46"/>
      <c r="X78" s="46">
        <f>IFERROR(__xludf.DUMMYFUNCTION("""COMPUTED_VALUE"""),3.0)</f>
        <v>3</v>
      </c>
      <c r="Y78" s="40" t="str">
        <f>IFERROR(__xludf.DUMMYFUNCTION("""COMPUTED_VALUE"""),"No tiene")</f>
        <v>No tiene</v>
      </c>
      <c r="Z78" s="42" t="str">
        <f>IFERROR(__xludf.DUMMYFUNCTION("""COMPUTED_VALUE"""),"No aplica")</f>
        <v>No aplica</v>
      </c>
      <c r="AA78" s="49" t="str">
        <f>IFERROR(__xludf.DUMMYFUNCTION("""COMPUTED_VALUE"""),"12 años")</f>
        <v>12 años</v>
      </c>
      <c r="AB78" s="48"/>
      <c r="AC78" s="40"/>
      <c r="AD78" s="40"/>
      <c r="AE78" s="40"/>
      <c r="AF78" s="40" t="str">
        <f>IFERROR(__xludf.DUMMYFUNCTION("""COMPUTED_VALUE"""),"semi-integral")</f>
        <v>semi-integral</v>
      </c>
      <c r="AG78" s="40"/>
      <c r="AH78" s="40" t="str">
        <f>IFERROR(__xludf.DUMMYFUNCTION("""COMPUTED_VALUE"""),"Inventario")</f>
        <v>Inventario</v>
      </c>
      <c r="AI78" s="40"/>
      <c r="AJ78" s="40" t="str">
        <f>IFERROR(__xludf.DUMMYFUNCTION("""COMPUTED_VALUE"""),"ICDE")</f>
        <v>ICDE</v>
      </c>
      <c r="AK78" s="40"/>
      <c r="AL78" s="40" t="str">
        <f>IFERROR(__xludf.DUMMYFUNCTION("""COMPUTED_VALUE"""),"NO FOTOS + DESCRIPCION")</f>
        <v>NO FOTOS + DESCRIPCION</v>
      </c>
      <c r="AM78" s="40">
        <f>IFERROR(__xludf.DUMMYFUNCTION("""COMPUTED_VALUE"""),3.165379791E9)</f>
        <v>3165379791</v>
      </c>
      <c r="AN78" s="40">
        <f>IFERROR(__xludf.DUMMYFUNCTION("""COMPUTED_VALUE"""),0.0)</f>
        <v>0</v>
      </c>
      <c r="AO78" s="40" t="str">
        <f>IFERROR(__xludf.DUMMYFUNCTION("""COMPUTED_VALUE"""),"Inmobiliaria - Esperanza")</f>
        <v>Inmobiliaria - Esperanza</v>
      </c>
      <c r="AP78" s="40" t="str">
        <f>IFERROR(__xludf.DUMMYFUNCTION("""COMPUTED_VALUE"""),"AV LA TOMA NO. 7A - 39")</f>
        <v>AV LA TOMA NO. 7A - 39</v>
      </c>
      <c r="AQ78" s="40"/>
      <c r="AR78" s="40"/>
      <c r="AS78" s="53">
        <f>IFERROR(__xludf.DUMMYFUNCTION("""COMPUTED_VALUE"""),5500000.0)</f>
        <v>5500000</v>
      </c>
      <c r="AT78" s="40">
        <f>IFERROR(__xludf.DUMMYFUNCTION("""COMPUTED_VALUE"""),0.0)</f>
        <v>0</v>
      </c>
      <c r="AU78" s="40">
        <f>IFERROR(__xludf.DUMMYFUNCTION("""COMPUTED_VALUE"""),0.0)</f>
        <v>0</v>
      </c>
      <c r="AV78" s="40">
        <f>IFERROR(__xludf.DUMMYFUNCTION("""COMPUTED_VALUE"""),0.0)</f>
        <v>0</v>
      </c>
      <c r="AW78" s="40" t="str">
        <f>IFERROR(__xludf.DUMMYFUNCTION("""COMPUTED_VALUE"""),"NO")</f>
        <v>NO</v>
      </c>
      <c r="AX78" s="40">
        <f>IFERROR(__xludf.DUMMYFUNCTION("""COMPUTED_VALUE"""),0.0)</f>
        <v>0</v>
      </c>
      <c r="AY78" s="40">
        <f>IFERROR(__xludf.DUMMYFUNCTION("""COMPUTED_VALUE"""),0.0)</f>
        <v>0</v>
      </c>
      <c r="AZ78" s="40">
        <f>IFERROR(__xludf.DUMMYFUNCTION("""COMPUTED_VALUE"""),0.0)</f>
        <v>0</v>
      </c>
      <c r="BA78" s="40" t="str">
        <f>IFERROR(__xludf.DUMMYFUNCTION("""COMPUTED_VALUE"""),"X")</f>
        <v>X</v>
      </c>
      <c r="BB78" s="40">
        <f>IFERROR(__xludf.DUMMYFUNCTION("""COMPUTED_VALUE"""),0.0)</f>
        <v>0</v>
      </c>
      <c r="BC78" s="53" t="str">
        <f>IFERROR(__xludf.DUMMYFUNCTION("""COMPUTED_VALUE"""),"40 - Ing. ALEJANDRO ROJAS MARIN")</f>
        <v>40 - Ing. ALEJANDRO ROJAS MARIN</v>
      </c>
      <c r="BD78" s="48"/>
      <c r="BE78" s="48"/>
      <c r="BF78" s="48"/>
    </row>
    <row r="79">
      <c r="A79" s="39" t="str">
        <f>IFERROR(__xludf.DUMMYFUNCTION("""COMPUTED_VALUE"""),"344")</f>
        <v>344</v>
      </c>
      <c r="B79" s="40" t="str">
        <f>IFERROR(__xludf.DUMMYFUNCTION("""COMPUTED_VALUE"""),"Casa con seis apartamentos y tres locales en barrio Chapinero")</f>
        <v>Casa con seis apartamentos y tres locales en barrio Chapinero</v>
      </c>
      <c r="C79" s="40" t="str">
        <f>IFERROR(__xludf.DUMMYFUNCTION("""COMPUTED_VALUE"""),"Casa rentable")</f>
        <v>Casa rentable</v>
      </c>
      <c r="D79" s="40" t="str">
        <f>IFERROR(__xludf.DUMMYFUNCTION("""COMPUTED_VALUE"""),"Chapinero")</f>
        <v>Chapinero</v>
      </c>
      <c r="E79" s="40"/>
      <c r="F79" s="42">
        <f>IFERROR(__xludf.DUMMYFUNCTION("""COMPUTED_VALUE"""),7.8E8)</f>
        <v>780000000</v>
      </c>
      <c r="G79" s="40" t="str">
        <f>IFERROR(__xludf.DUMMYFUNCTION("""COMPUTED_VALUE"""),"$500'000.000 a $1.000'000.000")</f>
        <v>$500'000.000 a $1.000'000.000</v>
      </c>
      <c r="H79" s="40"/>
      <c r="I79" s="40"/>
      <c r="J79" s="40" t="str">
        <f>IFERROR(__xludf.DUMMYFUNCTION("""COMPUTED_VALUE"""),"Centro")</f>
        <v>Centro</v>
      </c>
      <c r="K79" s="39" t="str">
        <f>IFERROR(__xludf.DUMMYFUNCTION("""COMPUTED_VALUE"""),"3")</f>
        <v>3</v>
      </c>
      <c r="L79" s="40">
        <f>IFERROR(__xludf.DUMMYFUNCTION("""COMPUTED_VALUE"""),12.0)</f>
        <v>12</v>
      </c>
      <c r="M79" s="40"/>
      <c r="N79" s="40">
        <f>IFERROR(__xludf.DUMMYFUNCTION("""COMPUTED_VALUE"""),9.0)</f>
        <v>9</v>
      </c>
      <c r="O79" s="40">
        <f>IFERROR(__xludf.DUMMYFUNCTION("""COMPUTED_VALUE"""),0.0)</f>
        <v>0</v>
      </c>
      <c r="P79" s="40">
        <f>IFERROR(__xludf.DUMMYFUNCTION("""COMPUTED_VALUE"""),2.0)</f>
        <v>2</v>
      </c>
      <c r="Q79" s="48">
        <f>IFERROR(__xludf.DUMMYFUNCTION("""COMPUTED_VALUE"""),500.0)</f>
        <v>500</v>
      </c>
      <c r="R79" s="48">
        <f>IFERROR(__xludf.DUMMYFUNCTION("""COMPUTED_VALUE"""),280.0)</f>
        <v>280</v>
      </c>
      <c r="S79" s="39" t="str">
        <f>IFERROR(__xludf.DUMMYFUNCTION("""COMPUTED_VALUE"""),"Rentabilidad $5,000,000")</f>
        <v>Rentabilidad $5,000,000</v>
      </c>
      <c r="T79" s="40" t="str">
        <f>IFERROR(__xludf.DUMMYFUNCTION("""COMPUTED_VALUE"""),"Neiva")</f>
        <v>Neiva</v>
      </c>
      <c r="U79" s="39" t="str">
        <f>IFERROR(__xludf.DUMMYFUNCTION("""COMPUTED_VALUE"""),"2")</f>
        <v>2</v>
      </c>
      <c r="V79" s="40" t="str">
        <f>IFERROR(__xludf.DUMMYFUNCTION("""COMPUTED_VALUE"""),"Medianera")</f>
        <v>Medianera</v>
      </c>
      <c r="W79" s="46"/>
      <c r="X79" s="46">
        <f>IFERROR(__xludf.DUMMYFUNCTION("""COMPUTED_VALUE"""),12.0)</f>
        <v>12</v>
      </c>
      <c r="Y79" s="40" t="str">
        <f>IFERROR(__xludf.DUMMYFUNCTION("""COMPUTED_VALUE"""),"No tiene")</f>
        <v>No tiene</v>
      </c>
      <c r="Z79" s="42" t="str">
        <f>IFERROR(__xludf.DUMMYFUNCTION("""COMPUTED_VALUE"""),"No aplica")</f>
        <v>No aplica</v>
      </c>
      <c r="AA79" s="49" t="str">
        <f>IFERROR(__xludf.DUMMYFUNCTION("""COMPUTED_VALUE"""),"13 años")</f>
        <v>13 años</v>
      </c>
      <c r="AB79" s="48"/>
      <c r="AC79" s="40"/>
      <c r="AD79" s="40"/>
      <c r="AE79" s="40"/>
      <c r="AF79" s="40" t="str">
        <f>IFERROR(__xludf.DUMMYFUNCTION("""COMPUTED_VALUE"""),"semi-integral")</f>
        <v>semi-integral</v>
      </c>
      <c r="AG79" s="40"/>
      <c r="AH79" s="40" t="str">
        <f>IFERROR(__xludf.DUMMYFUNCTION("""COMPUTED_VALUE"""),"Inventario")</f>
        <v>Inventario</v>
      </c>
      <c r="AI79" s="40"/>
      <c r="AJ79" s="40" t="str">
        <f>IFERROR(__xludf.DUMMYFUNCTION("""COMPUTED_VALUE"""),"ICDE")</f>
        <v>ICDE</v>
      </c>
      <c r="AK79" s="40"/>
      <c r="AL79" s="40" t="str">
        <f>IFERROR(__xludf.DUMMYFUNCTION("""COMPUTED_VALUE"""),"NO FOTOS + DESCRIPCION")</f>
        <v>NO FOTOS + DESCRIPCION</v>
      </c>
      <c r="AM79" s="40">
        <f>IFERROR(__xludf.DUMMYFUNCTION("""COMPUTED_VALUE"""),3.108120032E9)</f>
        <v>3108120032</v>
      </c>
      <c r="AN79" s="40">
        <f>IFERROR(__xludf.DUMMYFUNCTION("""COMPUTED_VALUE"""),3.108120032E9)</f>
        <v>3108120032</v>
      </c>
      <c r="AO79" s="40" t="str">
        <f>IFERROR(__xludf.DUMMYFUNCTION("""COMPUTED_VALUE"""),"NELCY - PROPIETARIA - INMOBILIARIA JURIDICA")</f>
        <v>NELCY - PROPIETARIA - INMOBILIARIA JURIDICA</v>
      </c>
      <c r="AP79" s="40" t="str">
        <f>IFERROR(__xludf.DUMMYFUNCTION("""COMPUTED_VALUE"""),"CARRERA 9 No. 17 - 30")</f>
        <v>CARRERA 9 No. 17 - 30</v>
      </c>
      <c r="AQ79" s="40"/>
      <c r="AR79" s="40"/>
      <c r="AS79" s="53">
        <f>IFERROR(__xludf.DUMMYFUNCTION("""COMPUTED_VALUE"""),5000000.0)</f>
        <v>5000000</v>
      </c>
      <c r="AT79" s="40">
        <f>IFERROR(__xludf.DUMMYFUNCTION("""COMPUTED_VALUE"""),0.0)</f>
        <v>0</v>
      </c>
      <c r="AU79" s="40">
        <f>IFERROR(__xludf.DUMMYFUNCTION("""COMPUTED_VALUE"""),0.0)</f>
        <v>0</v>
      </c>
      <c r="AV79" s="40">
        <f>IFERROR(__xludf.DUMMYFUNCTION("""COMPUTED_VALUE"""),0.0)</f>
        <v>0</v>
      </c>
      <c r="AW79" s="40" t="str">
        <f>IFERROR(__xludf.DUMMYFUNCTION("""COMPUTED_VALUE"""),"NO")</f>
        <v>NO</v>
      </c>
      <c r="AX79" s="40">
        <f>IFERROR(__xludf.DUMMYFUNCTION("""COMPUTED_VALUE"""),0.0)</f>
        <v>0</v>
      </c>
      <c r="AY79" s="40">
        <f>IFERROR(__xludf.DUMMYFUNCTION("""COMPUTED_VALUE"""),0.0)</f>
        <v>0</v>
      </c>
      <c r="AZ79" s="40">
        <f>IFERROR(__xludf.DUMMYFUNCTION("""COMPUTED_VALUE"""),14.0)</f>
        <v>14</v>
      </c>
      <c r="BA79" s="40" t="str">
        <f>IFERROR(__xludf.DUMMYFUNCTION("""COMPUTED_VALUE"""),"X")</f>
        <v>X</v>
      </c>
      <c r="BB79" s="40">
        <f>IFERROR(__xludf.DUMMYFUNCTION("""COMPUTED_VALUE"""),21.0)</f>
        <v>21</v>
      </c>
      <c r="BC79" s="53"/>
      <c r="BD79" s="48"/>
      <c r="BE79" s="48"/>
      <c r="BF79" s="48"/>
    </row>
    <row r="80">
      <c r="A80" s="39" t="str">
        <f>IFERROR(__xludf.DUMMYFUNCTION("""COMPUTED_VALUE"""),"434")</f>
        <v>434</v>
      </c>
      <c r="B80" s="40" t="str">
        <f>IFERROR(__xludf.DUMMYFUNCTION("""COMPUTED_VALUE"""),"Casa con cuatro apartamentos en barrio Alamos Norte")</f>
        <v>Casa con cuatro apartamentos en barrio Alamos Norte</v>
      </c>
      <c r="C80" s="40" t="str">
        <f>IFERROR(__xludf.DUMMYFUNCTION("""COMPUTED_VALUE"""),"Casa rentable")</f>
        <v>Casa rentable</v>
      </c>
      <c r="D80" s="40" t="str">
        <f>IFERROR(__xludf.DUMMYFUNCTION("""COMPUTED_VALUE"""),"Alamos Norte")</f>
        <v>Alamos Norte</v>
      </c>
      <c r="E80" s="40"/>
      <c r="F80" s="42">
        <f>IFERROR(__xludf.DUMMYFUNCTION("""COMPUTED_VALUE"""),7.5E8)</f>
        <v>750000000</v>
      </c>
      <c r="G80" s="40" t="str">
        <f>IFERROR(__xludf.DUMMYFUNCTION("""COMPUTED_VALUE"""),"$500'000.000 a $1.000'000.000")</f>
        <v>$500'000.000 a $1.000'000.000</v>
      </c>
      <c r="H80" s="40"/>
      <c r="I80" s="40"/>
      <c r="J80" s="40" t="str">
        <f>IFERROR(__xludf.DUMMYFUNCTION("""COMPUTED_VALUE"""),"Norte")</f>
        <v>Norte</v>
      </c>
      <c r="K80" s="39"/>
      <c r="L80" s="40">
        <f>IFERROR(__xludf.DUMMYFUNCTION("""COMPUTED_VALUE"""),12.0)</f>
        <v>12</v>
      </c>
      <c r="M80" s="40"/>
      <c r="N80" s="40">
        <f>IFERROR(__xludf.DUMMYFUNCTION("""COMPUTED_VALUE"""),9.0)</f>
        <v>9</v>
      </c>
      <c r="O80" s="40">
        <f>IFERROR(__xludf.DUMMYFUNCTION("""COMPUTED_VALUE"""),0.0)</f>
        <v>0</v>
      </c>
      <c r="P80" s="40">
        <f>IFERROR(__xludf.DUMMYFUNCTION("""COMPUTED_VALUE"""),3.0)</f>
        <v>3</v>
      </c>
      <c r="Q80" s="48">
        <f>IFERROR(__xludf.DUMMYFUNCTION("""COMPUTED_VALUE"""),450.0)</f>
        <v>450</v>
      </c>
      <c r="R80" s="48">
        <f>IFERROR(__xludf.DUMMYFUNCTION("""COMPUTED_VALUE"""),153.0)</f>
        <v>153</v>
      </c>
      <c r="S80" s="39" t="str">
        <f>IFERROR(__xludf.DUMMYFUNCTION("""COMPUTED_VALUE"""),"Rentabilidad $1,950,000")</f>
        <v>Rentabilidad $1,950,000</v>
      </c>
      <c r="T80" s="40" t="str">
        <f>IFERROR(__xludf.DUMMYFUNCTION("""COMPUTED_VALUE"""),"Neiva")</f>
        <v>Neiva</v>
      </c>
      <c r="U80" s="39" t="str">
        <f>IFERROR(__xludf.DUMMYFUNCTION("""COMPUTED_VALUE"""),"2")</f>
        <v>2</v>
      </c>
      <c r="V80" s="40" t="str">
        <f>IFERROR(__xludf.DUMMYFUNCTION("""COMPUTED_VALUE"""),"Esquinera")</f>
        <v>Esquinera</v>
      </c>
      <c r="W80" s="46"/>
      <c r="X80" s="46">
        <f>IFERROR(__xludf.DUMMYFUNCTION("""COMPUTED_VALUE"""),2.0)</f>
        <v>2</v>
      </c>
      <c r="Y80" s="40" t="str">
        <f>IFERROR(__xludf.DUMMYFUNCTION("""COMPUTED_VALUE"""),"No tiene")</f>
        <v>No tiene</v>
      </c>
      <c r="Z80" s="42" t="str">
        <f>IFERROR(__xludf.DUMMYFUNCTION("""COMPUTED_VALUE"""),"No aplica")</f>
        <v>No aplica</v>
      </c>
      <c r="AA80" s="49" t="str">
        <f>IFERROR(__xludf.DUMMYFUNCTION("""COMPUTED_VALUE"""),"32 años")</f>
        <v>32 años</v>
      </c>
      <c r="AB80" s="48"/>
      <c r="AC80" s="40"/>
      <c r="AD80" s="40"/>
      <c r="AE80" s="40"/>
      <c r="AF80" s="40" t="str">
        <f>IFERROR(__xludf.DUMMYFUNCTION("""COMPUTED_VALUE"""),"básica")</f>
        <v>básica</v>
      </c>
      <c r="AG80" s="40"/>
      <c r="AH80" s="40" t="str">
        <f>IFERROR(__xludf.DUMMYFUNCTION("""COMPUTED_VALUE"""),"Inventario")</f>
        <v>Inventario</v>
      </c>
      <c r="AI80" s="40"/>
      <c r="AJ80" s="40" t="str">
        <f>IFERROR(__xludf.DUMMYFUNCTION("""COMPUTED_VALUE"""),"ICDE")</f>
        <v>ICDE</v>
      </c>
      <c r="AK80" s="40" t="str">
        <f>IFERROR(__xludf.DUMMYFUNCTION("""COMPUTED_VALUE"""),"NUEVO")</f>
        <v>NUEVO</v>
      </c>
      <c r="AL80" s="40" t="str">
        <f>IFERROR(__xludf.DUMMYFUNCTION("""COMPUTED_VALUE"""),"NO FOTOS + DESCRIPCION")</f>
        <v>NO FOTOS + DESCRIPCION</v>
      </c>
      <c r="AM80" s="40">
        <f>IFERROR(__xludf.DUMMYFUNCTION("""COMPUTED_VALUE"""),3.112806477E9)</f>
        <v>3112806477</v>
      </c>
      <c r="AN80" s="40">
        <f>IFERROR(__xludf.DUMMYFUNCTION("""COMPUTED_VALUE"""),0.0)</f>
        <v>0</v>
      </c>
      <c r="AO80" s="40" t="str">
        <f>IFERROR(__xludf.DUMMYFUNCTION("""COMPUTED_VALUE"""),"LUCILA CONDE")</f>
        <v>LUCILA CONDE</v>
      </c>
      <c r="AP80" s="40" t="str">
        <f>IFERROR(__xludf.DUMMYFUNCTION("""COMPUTED_VALUE"""),"CALLE 50  A No. 18 C - 22")</f>
        <v>CALLE 50  A No. 18 C - 22</v>
      </c>
      <c r="AQ80" s="40"/>
      <c r="AR80" s="40"/>
      <c r="AS80" s="53">
        <f>IFERROR(__xludf.DUMMYFUNCTION("""COMPUTED_VALUE"""),1950000.0)</f>
        <v>1950000</v>
      </c>
      <c r="AT80" s="40">
        <f>IFERROR(__xludf.DUMMYFUNCTION("""COMPUTED_VALUE"""),0.0)</f>
        <v>0</v>
      </c>
      <c r="AU80" s="40">
        <f>IFERROR(__xludf.DUMMYFUNCTION("""COMPUTED_VALUE"""),0.0)</f>
        <v>0</v>
      </c>
      <c r="AV80" s="40">
        <f>IFERROR(__xludf.DUMMYFUNCTION("""COMPUTED_VALUE"""),0.0)</f>
        <v>0</v>
      </c>
      <c r="AW80" s="40" t="str">
        <f>IFERROR(__xludf.DUMMYFUNCTION("""COMPUTED_VALUE"""),"NO")</f>
        <v>NO</v>
      </c>
      <c r="AX80" s="40">
        <f>IFERROR(__xludf.DUMMYFUNCTION("""COMPUTED_VALUE"""),0.0)</f>
        <v>0</v>
      </c>
      <c r="AY80" s="40">
        <f>IFERROR(__xludf.DUMMYFUNCTION("""COMPUTED_VALUE"""),0.0)</f>
        <v>0</v>
      </c>
      <c r="AZ80" s="40">
        <f>IFERROR(__xludf.DUMMYFUNCTION("""COMPUTED_VALUE"""),9.0)</f>
        <v>9</v>
      </c>
      <c r="BA80" s="40" t="str">
        <f>IFERROR(__xludf.DUMMYFUNCTION("""COMPUTED_VALUE"""),"X")</f>
        <v>X</v>
      </c>
      <c r="BB80" s="40">
        <f>IFERROR(__xludf.DUMMYFUNCTION("""COMPUTED_VALUE"""),17.0)</f>
        <v>17</v>
      </c>
      <c r="BC80" s="53"/>
      <c r="BD80" s="48"/>
      <c r="BE80" s="48"/>
      <c r="BF80" s="48"/>
    </row>
    <row r="81">
      <c r="A81" s="39" t="str">
        <f>IFERROR(__xludf.DUMMYFUNCTION("""COMPUTED_VALUE"""),"353")</f>
        <v>353</v>
      </c>
      <c r="B81" s="40" t="str">
        <f>IFERROR(__xludf.DUMMYFUNCTION("""COMPUTED_VALUE"""),"Casa con dos apartamentos en barrio La Toma")</f>
        <v>Casa con dos apartamentos en barrio La Toma</v>
      </c>
      <c r="C81" s="40" t="str">
        <f>IFERROR(__xludf.DUMMYFUNCTION("""COMPUTED_VALUE"""),"Casa rentable")</f>
        <v>Casa rentable</v>
      </c>
      <c r="D81" s="40" t="str">
        <f>IFERROR(__xludf.DUMMYFUNCTION("""COMPUTED_VALUE"""),"La Toma")</f>
        <v>La Toma</v>
      </c>
      <c r="E81" s="42" t="str">
        <f>IFERROR(__xludf.DUMMYFUNCTION("""COMPUTED_VALUE""")," ")</f>
        <v> </v>
      </c>
      <c r="F81" s="42">
        <f>IFERROR(__xludf.DUMMYFUNCTION("""COMPUTED_VALUE"""),7.5E8)</f>
        <v>750000000</v>
      </c>
      <c r="G81" s="40" t="str">
        <f>IFERROR(__xludf.DUMMYFUNCTION("""COMPUTED_VALUE"""),"$500'000.000 a $1.000'000.000")</f>
        <v>$500'000.000 a $1.000'000.000</v>
      </c>
      <c r="H81" s="40"/>
      <c r="I81" s="40"/>
      <c r="J81" s="40" t="str">
        <f>IFERROR(__xludf.DUMMYFUNCTION("""COMPUTED_VALUE"""),"Centro")</f>
        <v>Centro</v>
      </c>
      <c r="K81" s="39" t="str">
        <f>IFERROR(__xludf.DUMMYFUNCTION("""COMPUTED_VALUE"""),"3")</f>
        <v>3</v>
      </c>
      <c r="L81" s="40">
        <f>IFERROR(__xludf.DUMMYFUNCTION("""COMPUTED_VALUE"""),5.0)</f>
        <v>5</v>
      </c>
      <c r="M81" s="40"/>
      <c r="N81" s="40">
        <f>IFERROR(__xludf.DUMMYFUNCTION("""COMPUTED_VALUE"""),2.0)</f>
        <v>2</v>
      </c>
      <c r="O81" s="40">
        <f>IFERROR(__xludf.DUMMYFUNCTION("""COMPUTED_VALUE"""),0.0)</f>
        <v>0</v>
      </c>
      <c r="P81" s="40">
        <f>IFERROR(__xludf.DUMMYFUNCTION("""COMPUTED_VALUE"""),1.0)</f>
        <v>1</v>
      </c>
      <c r="Q81" s="48">
        <f>IFERROR(__xludf.DUMMYFUNCTION("""COMPUTED_VALUE"""),300.0)</f>
        <v>300</v>
      </c>
      <c r="R81" s="48">
        <f>IFERROR(__xludf.DUMMYFUNCTION("""COMPUTED_VALUE"""),370.0)</f>
        <v>370</v>
      </c>
      <c r="S81" s="39" t="str">
        <f>IFERROR(__xludf.DUMMYFUNCTION("""COMPUTED_VALUE"""),"Rentabilidad $1,600,000")</f>
        <v>Rentabilidad $1,600,000</v>
      </c>
      <c r="T81" s="40" t="str">
        <f>IFERROR(__xludf.DUMMYFUNCTION("""COMPUTED_VALUE"""),"Neiva")</f>
        <v>Neiva</v>
      </c>
      <c r="U81" s="39" t="str">
        <f>IFERROR(__xludf.DUMMYFUNCTION("""COMPUTED_VALUE"""),"3")</f>
        <v>3</v>
      </c>
      <c r="V81" s="40" t="str">
        <f>IFERROR(__xludf.DUMMYFUNCTION("""COMPUTED_VALUE"""),"Medianera")</f>
        <v>Medianera</v>
      </c>
      <c r="W81" s="46"/>
      <c r="X81" s="46">
        <f>IFERROR(__xludf.DUMMYFUNCTION("""COMPUTED_VALUE"""),0.0)</f>
        <v>0</v>
      </c>
      <c r="Y81" s="40" t="str">
        <f>IFERROR(__xludf.DUMMYFUNCTION("""COMPUTED_VALUE"""),"No tiene")</f>
        <v>No tiene</v>
      </c>
      <c r="Z81" s="42" t="str">
        <f>IFERROR(__xludf.DUMMYFUNCTION("""COMPUTED_VALUE"""),"No aplica")</f>
        <v>No aplica</v>
      </c>
      <c r="AA81" s="49" t="str">
        <f>IFERROR(__xludf.DUMMYFUNCTION("""COMPUTED_VALUE"""),"39 años")</f>
        <v>39 años</v>
      </c>
      <c r="AB81" s="48"/>
      <c r="AC81" s="40"/>
      <c r="AD81" s="40"/>
      <c r="AE81" s="40"/>
      <c r="AF81" s="40" t="str">
        <f>IFERROR(__xludf.DUMMYFUNCTION("""COMPUTED_VALUE"""),"básica")</f>
        <v>básica</v>
      </c>
      <c r="AG81" s="40"/>
      <c r="AH81" s="40" t="str">
        <f>IFERROR(__xludf.DUMMYFUNCTION("""COMPUTED_VALUE"""),"Inventario")</f>
        <v>Inventario</v>
      </c>
      <c r="AI81" s="40"/>
      <c r="AJ81" s="40" t="str">
        <f>IFERROR(__xludf.DUMMYFUNCTION("""COMPUTED_VALUE"""),"ICDE")</f>
        <v>ICDE</v>
      </c>
      <c r="AK81" s="40"/>
      <c r="AL81" s="40" t="str">
        <f>IFERROR(__xludf.DUMMYFUNCTION("""COMPUTED_VALUE"""),"NO FOTOS FACHADA ")</f>
        <v>NO FOTOS FACHADA </v>
      </c>
      <c r="AM81" s="40">
        <f>IFERROR(__xludf.DUMMYFUNCTION("""COMPUTED_VALUE"""),3.212167289E9)</f>
        <v>3212167289</v>
      </c>
      <c r="AN81" s="40">
        <f>IFERROR(__xludf.DUMMYFUNCTION("""COMPUTED_VALUE"""),3.017620368E9)</f>
        <v>3017620368</v>
      </c>
      <c r="AO81" s="40" t="str">
        <f>IFERROR(__xludf.DUMMYFUNCTION("""COMPUTED_VALUE"""),"GLORIA")</f>
        <v>GLORIA</v>
      </c>
      <c r="AP81" s="40" t="str">
        <f>IFERROR(__xludf.DUMMYFUNCTION("""COMPUTED_VALUE"""),"CALLE 15 NO. 7 - 61")</f>
        <v>CALLE 15 NO. 7 - 61</v>
      </c>
      <c r="AQ81" s="40"/>
      <c r="AR81" s="40"/>
      <c r="AS81" s="53">
        <f>IFERROR(__xludf.DUMMYFUNCTION("""COMPUTED_VALUE"""),1600000.0)</f>
        <v>1600000</v>
      </c>
      <c r="AT81" s="40">
        <f>IFERROR(__xludf.DUMMYFUNCTION("""COMPUTED_VALUE"""),0.0)</f>
        <v>0</v>
      </c>
      <c r="AU81" s="40">
        <f>IFERROR(__xludf.DUMMYFUNCTION("""COMPUTED_VALUE"""),0.0)</f>
        <v>0</v>
      </c>
      <c r="AV81" s="40">
        <f>IFERROR(__xludf.DUMMYFUNCTION("""COMPUTED_VALUE"""),0.0)</f>
        <v>0</v>
      </c>
      <c r="AW81" s="40" t="str">
        <f>IFERROR(__xludf.DUMMYFUNCTION("""COMPUTED_VALUE"""),"NO")</f>
        <v>NO</v>
      </c>
      <c r="AX81" s="40">
        <f>IFERROR(__xludf.DUMMYFUNCTION("""COMPUTED_VALUE"""),0.0)</f>
        <v>0</v>
      </c>
      <c r="AY81" s="40">
        <f>IFERROR(__xludf.DUMMYFUNCTION("""COMPUTED_VALUE"""),0.0)</f>
        <v>0</v>
      </c>
      <c r="AZ81" s="40">
        <f>IFERROR(__xludf.DUMMYFUNCTION("""COMPUTED_VALUE"""),10.0)</f>
        <v>10</v>
      </c>
      <c r="BA81" s="40" t="str">
        <f>IFERROR(__xludf.DUMMYFUNCTION("""COMPUTED_VALUE"""),"X")</f>
        <v>X</v>
      </c>
      <c r="BB81" s="40">
        <f>IFERROR(__xludf.DUMMYFUNCTION("""COMPUTED_VALUE"""),37.0)</f>
        <v>37</v>
      </c>
      <c r="BC81" s="53" t="str">
        <f>IFERROR(__xludf.DUMMYFUNCTION("""COMPUTED_VALUE"""),"19 - PRUEBA v")</f>
        <v>19 - PRUEBA v</v>
      </c>
      <c r="BD81" s="48"/>
      <c r="BE81" s="48"/>
      <c r="BF81" s="48"/>
    </row>
    <row r="82">
      <c r="A82" s="39" t="str">
        <f>IFERROR(__xludf.DUMMYFUNCTION("""COMPUTED_VALUE"""),"196")</f>
        <v>196</v>
      </c>
      <c r="B82" s="40" t="str">
        <f>IFERROR(__xludf.DUMMYFUNCTION("""COMPUTED_VALUE"""),"Casa con habitación independiente en barrio Campo Nuñez")</f>
        <v>Casa con habitación independiente en barrio Campo Nuñez</v>
      </c>
      <c r="C82" s="40" t="str">
        <f>IFERROR(__xludf.DUMMYFUNCTION("""COMPUTED_VALUE"""),"Casa rentable")</f>
        <v>Casa rentable</v>
      </c>
      <c r="D82" s="40" t="str">
        <f>IFERROR(__xludf.DUMMYFUNCTION("""COMPUTED_VALUE"""),"Campo Nuñez")</f>
        <v>Campo Nuñez</v>
      </c>
      <c r="E82" s="42" t="str">
        <f>IFERROR(__xludf.DUMMYFUNCTION("""COMPUTED_VALUE""")," ")</f>
        <v> </v>
      </c>
      <c r="F82" s="42">
        <f>IFERROR(__xludf.DUMMYFUNCTION("""COMPUTED_VALUE"""),7.5E8)</f>
        <v>750000000</v>
      </c>
      <c r="G82" s="40" t="str">
        <f>IFERROR(__xludf.DUMMYFUNCTION("""COMPUTED_VALUE"""),"$500'000.000 a $1.000'000.000")</f>
        <v>$500'000.000 a $1.000'000.000</v>
      </c>
      <c r="H82" s="40"/>
      <c r="I82" s="40"/>
      <c r="J82" s="40" t="str">
        <f>IFERROR(__xludf.DUMMYFUNCTION("""COMPUTED_VALUE"""),"Centro")</f>
        <v>Centro</v>
      </c>
      <c r="K82" s="39" t="str">
        <f>IFERROR(__xludf.DUMMYFUNCTION("""COMPUTED_VALUE"""),"3")</f>
        <v>3</v>
      </c>
      <c r="L82" s="40">
        <f>IFERROR(__xludf.DUMMYFUNCTION("""COMPUTED_VALUE"""),5.0)</f>
        <v>5</v>
      </c>
      <c r="M82" s="40"/>
      <c r="N82" s="40">
        <f>IFERROR(__xludf.DUMMYFUNCTION("""COMPUTED_VALUE"""),3.0)</f>
        <v>3</v>
      </c>
      <c r="O82" s="40">
        <f>IFERROR(__xludf.DUMMYFUNCTION("""COMPUTED_VALUE"""),1.0)</f>
        <v>1</v>
      </c>
      <c r="P82" s="40">
        <f>IFERROR(__xludf.DUMMYFUNCTION("""COMPUTED_VALUE"""),2.0)</f>
        <v>2</v>
      </c>
      <c r="Q82" s="48"/>
      <c r="R82" s="48">
        <f>IFERROR(__xludf.DUMMYFUNCTION("""COMPUTED_VALUE"""),343.0)</f>
        <v>343</v>
      </c>
      <c r="S82" s="39" t="str">
        <f>IFERROR(__xludf.DUMMYFUNCTION("""COMPUTED_VALUE"""),"Rentabilidad $5,000,000")</f>
        <v>Rentabilidad $5,000,000</v>
      </c>
      <c r="T82" s="40" t="str">
        <f>IFERROR(__xludf.DUMMYFUNCTION("""COMPUTED_VALUE"""),"Neiva")</f>
        <v>Neiva</v>
      </c>
      <c r="U82" s="39" t="str">
        <f>IFERROR(__xludf.DUMMYFUNCTION("""COMPUTED_VALUE"""),"4")</f>
        <v>4</v>
      </c>
      <c r="V82" s="40" t="str">
        <f>IFERROR(__xludf.DUMMYFUNCTION("""COMPUTED_VALUE"""),"Medianera")</f>
        <v>Medianera</v>
      </c>
      <c r="W82" s="46"/>
      <c r="X82" s="46">
        <f>IFERROR(__xludf.DUMMYFUNCTION("""COMPUTED_VALUE"""),4.0)</f>
        <v>4</v>
      </c>
      <c r="Y82" s="40" t="str">
        <f>IFERROR(__xludf.DUMMYFUNCTION("""COMPUTED_VALUE"""),"No tiene")</f>
        <v>No tiene</v>
      </c>
      <c r="Z82" s="42" t="str">
        <f>IFERROR(__xludf.DUMMYFUNCTION("""COMPUTED_VALUE"""),"No aplica")</f>
        <v>No aplica</v>
      </c>
      <c r="AA82" s="49" t="str">
        <f>IFERROR(__xludf.DUMMYFUNCTION("""COMPUTED_VALUE"""),"13 años")</f>
        <v>13 años</v>
      </c>
      <c r="AB82" s="48"/>
      <c r="AC82" s="40"/>
      <c r="AD82" s="40"/>
      <c r="AE82" s="40"/>
      <c r="AF82" s="40" t="str">
        <f>IFERROR(__xludf.DUMMYFUNCTION("""COMPUTED_VALUE"""),"básica")</f>
        <v>básica</v>
      </c>
      <c r="AG82" s="40"/>
      <c r="AH82" s="40" t="str">
        <f>IFERROR(__xludf.DUMMYFUNCTION("""COMPUTED_VALUE"""),"Inventario")</f>
        <v>Inventario</v>
      </c>
      <c r="AI82" s="40"/>
      <c r="AJ82" s="40" t="str">
        <f>IFERROR(__xludf.DUMMYFUNCTION("""COMPUTED_VALUE"""),"ICDE")</f>
        <v>ICDE</v>
      </c>
      <c r="AK82" s="40"/>
      <c r="AL82" s="40" t="str">
        <f>IFERROR(__xludf.DUMMYFUNCTION("""COMPUTED_VALUE"""),"NO INT + DESCRIPCION")</f>
        <v>NO INT + DESCRIPCION</v>
      </c>
      <c r="AM82" s="40">
        <f>IFERROR(__xludf.DUMMYFUNCTION("""COMPUTED_VALUE"""),3.10452982E9)</f>
        <v>3104529820</v>
      </c>
      <c r="AN82" s="40">
        <f>IFERROR(__xludf.DUMMYFUNCTION("""COMPUTED_VALUE"""),0.0)</f>
        <v>0</v>
      </c>
      <c r="AO82" s="40" t="str">
        <f>IFERROR(__xludf.DUMMYFUNCTION("""COMPUTED_VALUE"""),"HENRRY CAMACHO")</f>
        <v>HENRRY CAMACHO</v>
      </c>
      <c r="AP82" s="40" t="str">
        <f>IFERROR(__xludf.DUMMYFUNCTION("""COMPUTED_VALUE"""),"CARRERA 7A  No.19 - 60 ")</f>
        <v>CARRERA 7A  No.19 - 60 </v>
      </c>
      <c r="AQ82" s="40"/>
      <c r="AR82" s="40"/>
      <c r="AS82" s="53">
        <f>IFERROR(__xludf.DUMMYFUNCTION("""COMPUTED_VALUE"""),5000000.0)</f>
        <v>5000000</v>
      </c>
      <c r="AT82" s="40">
        <f>IFERROR(__xludf.DUMMYFUNCTION("""COMPUTED_VALUE"""),0.0)</f>
        <v>0</v>
      </c>
      <c r="AU82" s="40">
        <f>IFERROR(__xludf.DUMMYFUNCTION("""COMPUTED_VALUE"""),0.0)</f>
        <v>0</v>
      </c>
      <c r="AV82" s="40">
        <f>IFERROR(__xludf.DUMMYFUNCTION("""COMPUTED_VALUE"""),0.0)</f>
        <v>0</v>
      </c>
      <c r="AW82" s="40" t="str">
        <f>IFERROR(__xludf.DUMMYFUNCTION("""COMPUTED_VALUE"""),"NO")</f>
        <v>NO</v>
      </c>
      <c r="AX82" s="40">
        <f>IFERROR(__xludf.DUMMYFUNCTION("""COMPUTED_VALUE"""),0.0)</f>
        <v>0</v>
      </c>
      <c r="AY82" s="40">
        <f>IFERROR(__xludf.DUMMYFUNCTION("""COMPUTED_VALUE"""),0.0)</f>
        <v>0</v>
      </c>
      <c r="AZ82" s="40">
        <f>IFERROR(__xludf.DUMMYFUNCTION("""COMPUTED_VALUE"""),7.0)</f>
        <v>7</v>
      </c>
      <c r="BA82" s="40" t="str">
        <f>IFERROR(__xludf.DUMMYFUNCTION("""COMPUTED_VALUE"""),"X")</f>
        <v>X</v>
      </c>
      <c r="BB82" s="40">
        <f>IFERROR(__xludf.DUMMYFUNCTION("""COMPUTED_VALUE"""),49.0)</f>
        <v>49</v>
      </c>
      <c r="BC82" s="53"/>
      <c r="BD82" s="48"/>
      <c r="BE82" s="48"/>
      <c r="BF82" s="48"/>
    </row>
    <row r="83">
      <c r="A83" s="39" t="str">
        <f>IFERROR(__xludf.DUMMYFUNCTION("""COMPUTED_VALUE"""),"151")</f>
        <v>151</v>
      </c>
      <c r="B83" s="40" t="str">
        <f>IFERROR(__xludf.DUMMYFUNCTION("""COMPUTED_VALUE"""),"Casa en barrio Chapinero")</f>
        <v>Casa en barrio Chapinero</v>
      </c>
      <c r="C83" s="40" t="str">
        <f>IFERROR(__xludf.DUMMYFUNCTION("""COMPUTED_VALUE"""),"Casa")</f>
        <v>Casa</v>
      </c>
      <c r="D83" s="40" t="str">
        <f>IFERROR(__xludf.DUMMYFUNCTION("""COMPUTED_VALUE"""),"Chapinero")</f>
        <v>Chapinero</v>
      </c>
      <c r="E83" s="42" t="str">
        <f>IFERROR(__xludf.DUMMYFUNCTION("""COMPUTED_VALUE""")," ")</f>
        <v> </v>
      </c>
      <c r="F83" s="42">
        <f>IFERROR(__xludf.DUMMYFUNCTION("""COMPUTED_VALUE"""),7.5E8)</f>
        <v>750000000</v>
      </c>
      <c r="G83" s="40" t="str">
        <f>IFERROR(__xludf.DUMMYFUNCTION("""COMPUTED_VALUE"""),"$500'000.000 a $1.000'000.000")</f>
        <v>$500'000.000 a $1.000'000.000</v>
      </c>
      <c r="H83" s="40"/>
      <c r="I83" s="40"/>
      <c r="J83" s="40" t="str">
        <f>IFERROR(__xludf.DUMMYFUNCTION("""COMPUTED_VALUE"""),"Centro")</f>
        <v>Centro</v>
      </c>
      <c r="K83" s="39" t="str">
        <f>IFERROR(__xludf.DUMMYFUNCTION("""COMPUTED_VALUE"""),"3")</f>
        <v>3</v>
      </c>
      <c r="L83" s="40">
        <f>IFERROR(__xludf.DUMMYFUNCTION("""COMPUTED_VALUE"""),5.0)</f>
        <v>5</v>
      </c>
      <c r="M83" s="40"/>
      <c r="N83" s="40">
        <f>IFERROR(__xludf.DUMMYFUNCTION("""COMPUTED_VALUE"""),3.0)</f>
        <v>3</v>
      </c>
      <c r="O83" s="40">
        <f>IFERROR(__xludf.DUMMYFUNCTION("""COMPUTED_VALUE"""),3.0)</f>
        <v>3</v>
      </c>
      <c r="P83" s="40">
        <f>IFERROR(__xludf.DUMMYFUNCTION("""COMPUTED_VALUE"""),1.0)</f>
        <v>1</v>
      </c>
      <c r="Q83" s="48">
        <f>IFERROR(__xludf.DUMMYFUNCTION("""COMPUTED_VALUE"""),235.0)</f>
        <v>235</v>
      </c>
      <c r="R83" s="48">
        <f>IFERROR(__xludf.DUMMYFUNCTION("""COMPUTED_VALUE"""),315.0)</f>
        <v>315</v>
      </c>
      <c r="S83" s="39" t="str">
        <f>IFERROR(__xludf.DUMMYFUNCTION("""COMPUTED_VALUE"""),"Rentabilidad $1,500,000")</f>
        <v>Rentabilidad $1,500,000</v>
      </c>
      <c r="T83" s="40" t="str">
        <f>IFERROR(__xludf.DUMMYFUNCTION("""COMPUTED_VALUE"""),"Neiva")</f>
        <v>Neiva</v>
      </c>
      <c r="U83" s="39" t="str">
        <f>IFERROR(__xludf.DUMMYFUNCTION("""COMPUTED_VALUE"""),"2")</f>
        <v>2</v>
      </c>
      <c r="V83" s="40" t="str">
        <f>IFERROR(__xludf.DUMMYFUNCTION("""COMPUTED_VALUE"""),"Medianera")</f>
        <v>Medianera</v>
      </c>
      <c r="W83" s="46"/>
      <c r="X83" s="46">
        <f>IFERROR(__xludf.DUMMYFUNCTION("""COMPUTED_VALUE"""),3.0)</f>
        <v>3</v>
      </c>
      <c r="Y83" s="40" t="str">
        <f>IFERROR(__xludf.DUMMYFUNCTION("""COMPUTED_VALUE"""),"No tiene")</f>
        <v>No tiene</v>
      </c>
      <c r="Z83" s="42" t="str">
        <f>IFERROR(__xludf.DUMMYFUNCTION("""COMPUTED_VALUE"""),"No aplica")</f>
        <v>No aplica</v>
      </c>
      <c r="AA83" s="49" t="str">
        <f>IFERROR(__xludf.DUMMYFUNCTION("""COMPUTED_VALUE"""),"42 años")</f>
        <v>42 años</v>
      </c>
      <c r="AB83" s="48"/>
      <c r="AC83" s="40"/>
      <c r="AD83" s="40"/>
      <c r="AE83" s="40"/>
      <c r="AF83" s="40" t="str">
        <f>IFERROR(__xludf.DUMMYFUNCTION("""COMPUTED_VALUE"""),"integral")</f>
        <v>integral</v>
      </c>
      <c r="AG83" s="40"/>
      <c r="AH83" s="40" t="str">
        <f>IFERROR(__xludf.DUMMYFUNCTION("""COMPUTED_VALUE"""),"Inventario")</f>
        <v>Inventario</v>
      </c>
      <c r="AI83" s="40"/>
      <c r="AJ83" s="40" t="str">
        <f>IFERROR(__xludf.DUMMYFUNCTION("""COMPUTED_VALUE"""),"ICDE")</f>
        <v>ICDE</v>
      </c>
      <c r="AK83" s="40"/>
      <c r="AL83" s="40" t="str">
        <f>IFERROR(__xludf.DUMMYFUNCTION("""COMPUTED_VALUE"""),"FOTOS INTERIORES+ DESCRIPCION")</f>
        <v>FOTOS INTERIORES+ DESCRIPCION</v>
      </c>
      <c r="AM83" s="40">
        <f>IFERROR(__xludf.DUMMYFUNCTION("""COMPUTED_VALUE"""),3.044088455E9)</f>
        <v>3044088455</v>
      </c>
      <c r="AN83" s="40">
        <f>IFERROR(__xludf.DUMMYFUNCTION("""COMPUTED_VALUE"""),3.105172139E9)</f>
        <v>3105172139</v>
      </c>
      <c r="AO83" s="40" t="str">
        <f>IFERROR(__xludf.DUMMYFUNCTION("""COMPUTED_VALUE"""),"LUZ MIRIAM")</f>
        <v>LUZ MIRIAM</v>
      </c>
      <c r="AP83" s="40" t="str">
        <f>IFERROR(__xludf.DUMMYFUNCTION("""COMPUTED_VALUE"""),"CARRERA 9 NO. 20-36")</f>
        <v>CARRERA 9 NO. 20-36</v>
      </c>
      <c r="AQ83" s="40"/>
      <c r="AR83" s="40"/>
      <c r="AS83" s="53">
        <f>IFERROR(__xludf.DUMMYFUNCTION("""COMPUTED_VALUE"""),1500000.0)</f>
        <v>1500000</v>
      </c>
      <c r="AT83" s="40">
        <f>IFERROR(__xludf.DUMMYFUNCTION("""COMPUTED_VALUE"""),0.0)</f>
        <v>0</v>
      </c>
      <c r="AU83" s="40">
        <f>IFERROR(__xludf.DUMMYFUNCTION("""COMPUTED_VALUE"""),0.0)</f>
        <v>0</v>
      </c>
      <c r="AV83" s="40">
        <f>IFERROR(__xludf.DUMMYFUNCTION("""COMPUTED_VALUE"""),0.0)</f>
        <v>0</v>
      </c>
      <c r="AW83" s="40" t="str">
        <f>IFERROR(__xludf.DUMMYFUNCTION("""COMPUTED_VALUE"""),"NO")</f>
        <v>NO</v>
      </c>
      <c r="AX83" s="40">
        <f>IFERROR(__xludf.DUMMYFUNCTION("""COMPUTED_VALUE"""),0.0)</f>
        <v>0</v>
      </c>
      <c r="AY83" s="40">
        <f>IFERROR(__xludf.DUMMYFUNCTION("""COMPUTED_VALUE"""),0.0)</f>
        <v>0</v>
      </c>
      <c r="AZ83" s="40">
        <f>IFERROR(__xludf.DUMMYFUNCTION("""COMPUTED_VALUE"""),14.0)</f>
        <v>14</v>
      </c>
      <c r="BA83" s="40" t="str">
        <f>IFERROR(__xludf.DUMMYFUNCTION("""COMPUTED_VALUE"""),"X")</f>
        <v>X</v>
      </c>
      <c r="BB83" s="40">
        <f>IFERROR(__xludf.DUMMYFUNCTION("""COMPUTED_VALUE"""),24.0)</f>
        <v>24</v>
      </c>
      <c r="BC83" s="53" t="str">
        <f>IFERROR(__xludf.DUMMYFUNCTION("""COMPUTED_VALUE"""),"15 - JOSE LOZANO, 19 - PRUEBA v")</f>
        <v>15 - JOSE LOZANO, 19 - PRUEBA v</v>
      </c>
      <c r="BD83" s="48"/>
      <c r="BE83" s="48"/>
      <c r="BF83" s="48"/>
    </row>
    <row r="84">
      <c r="A84" s="39" t="str">
        <f>IFERROR(__xludf.DUMMYFUNCTION("""COMPUTED_VALUE"""),"1308")</f>
        <v>1308</v>
      </c>
      <c r="B84" s="40" t="str">
        <f>IFERROR(__xludf.DUMMYFUNCTION("""COMPUTED_VALUE"""),"Casa lote en barrio Las Granjas")</f>
        <v>Casa lote en barrio Las Granjas</v>
      </c>
      <c r="C84" s="40" t="str">
        <f>IFERROR(__xludf.DUMMYFUNCTION("""COMPUTED_VALUE"""),"Casa lote")</f>
        <v>Casa lote</v>
      </c>
      <c r="D84" s="40" t="str">
        <f>IFERROR(__xludf.DUMMYFUNCTION("""COMPUTED_VALUE"""),"Las Granjas")</f>
        <v>Las Granjas</v>
      </c>
      <c r="E84" s="42" t="str">
        <f>IFERROR(__xludf.DUMMYFUNCTION("""COMPUTED_VALUE""")," ")</f>
        <v> </v>
      </c>
      <c r="F84" s="42">
        <f>IFERROR(__xludf.DUMMYFUNCTION("""COMPUTED_VALUE"""),7.5E8)</f>
        <v>750000000</v>
      </c>
      <c r="G84" s="40" t="str">
        <f>IFERROR(__xludf.DUMMYFUNCTION("""COMPUTED_VALUE"""),"$500'000.000 a $1.000'000.000")</f>
        <v>$500'000.000 a $1.000'000.000</v>
      </c>
      <c r="H84" s="40"/>
      <c r="I84" s="40"/>
      <c r="J84" s="40" t="str">
        <f>IFERROR(__xludf.DUMMYFUNCTION("""COMPUTED_VALUE"""),"Norte")</f>
        <v>Norte</v>
      </c>
      <c r="K84" s="39" t="str">
        <f>IFERROR(__xludf.DUMMYFUNCTION("""COMPUTED_VALUE"""),"2")</f>
        <v>2</v>
      </c>
      <c r="L84" s="40">
        <f>IFERROR(__xludf.DUMMYFUNCTION("""COMPUTED_VALUE"""),0.0)</f>
        <v>0</v>
      </c>
      <c r="M84" s="40"/>
      <c r="N84" s="40">
        <f>IFERROR(__xludf.DUMMYFUNCTION("""COMPUTED_VALUE"""),0.0)</f>
        <v>0</v>
      </c>
      <c r="O84" s="40">
        <f>IFERROR(__xludf.DUMMYFUNCTION("""COMPUTED_VALUE"""),0.0)</f>
        <v>0</v>
      </c>
      <c r="P84" s="40">
        <f>IFERROR(__xludf.DUMMYFUNCTION("""COMPUTED_VALUE"""),1.0)</f>
        <v>1</v>
      </c>
      <c r="Q84" s="48">
        <f>IFERROR(__xludf.DUMMYFUNCTION("""COMPUTED_VALUE"""),191.0)</f>
        <v>191</v>
      </c>
      <c r="R84" s="48">
        <f>IFERROR(__xludf.DUMMYFUNCTION("""COMPUTED_VALUE"""),425.0)</f>
        <v>425</v>
      </c>
      <c r="S84" s="39" t="str">
        <f>IFERROR(__xludf.DUMMYFUNCTION("""COMPUTED_VALUE""")," ")</f>
        <v> </v>
      </c>
      <c r="T84" s="40" t="str">
        <f>IFERROR(__xludf.DUMMYFUNCTION("""COMPUTED_VALUE"""),"Neiva")</f>
        <v>Neiva</v>
      </c>
      <c r="U84" s="39" t="str">
        <f>IFERROR(__xludf.DUMMYFUNCTION("""COMPUTED_VALUE"""),"2")</f>
        <v>2</v>
      </c>
      <c r="V84" s="40" t="str">
        <f>IFERROR(__xludf.DUMMYFUNCTION("""COMPUTED_VALUE"""),"Medianera")</f>
        <v>Medianera</v>
      </c>
      <c r="W84" s="46"/>
      <c r="X84" s="46">
        <f>IFERROR(__xludf.DUMMYFUNCTION("""COMPUTED_VALUE"""),0.0)</f>
        <v>0</v>
      </c>
      <c r="Y84" s="53" t="str">
        <f>IFERROR(__xludf.DUMMYFUNCTION("""COMPUTED_VALUE"""),"No tiene")</f>
        <v>No tiene</v>
      </c>
      <c r="Z84" s="42" t="str">
        <f>IFERROR(__xludf.DUMMYFUNCTION("""COMPUTED_VALUE"""),"No aplica")</f>
        <v>No aplica</v>
      </c>
      <c r="AA84" s="49" t="str">
        <f>IFERROR(__xludf.DUMMYFUNCTION("""COMPUTED_VALUE"""),"No aplica")</f>
        <v>No aplica</v>
      </c>
      <c r="AB84" s="48"/>
      <c r="AC84" s="40"/>
      <c r="AD84" s="40"/>
      <c r="AE84" s="40"/>
      <c r="AF84" s="40" t="str">
        <f>IFERROR(__xludf.DUMMYFUNCTION("""COMPUTED_VALUE"""),"0")</f>
        <v>0</v>
      </c>
      <c r="AG84" s="40"/>
      <c r="AH84" s="40" t="str">
        <f>IFERROR(__xludf.DUMMYFUNCTION("""COMPUTED_VALUE"""),"Inventario")</f>
        <v>Inventario</v>
      </c>
      <c r="AI84" s="40"/>
      <c r="AJ84" s="40" t="str">
        <f>IFERROR(__xludf.DUMMYFUNCTION("""COMPUTED_VALUE"""),"ICDE")</f>
        <v>ICDE</v>
      </c>
      <c r="AK84" s="40"/>
      <c r="AL84" s="40" t="str">
        <f>IFERROR(__xludf.DUMMYFUNCTION("""COMPUTED_VALUE"""),"NO FOTOS + DESCRIPCION")</f>
        <v>NO FOTOS + DESCRIPCION</v>
      </c>
      <c r="AM84" s="40">
        <f>IFERROR(__xludf.DUMMYFUNCTION("""COMPUTED_VALUE"""),3.158726346E9)</f>
        <v>3158726346</v>
      </c>
      <c r="AN84" s="40">
        <f>IFERROR(__xludf.DUMMYFUNCTION("""COMPUTED_VALUE"""),0.0)</f>
        <v>0</v>
      </c>
      <c r="AO84" s="40" t="str">
        <f>IFERROR(__xludf.DUMMYFUNCTION("""COMPUTED_VALUE"""),"JOSE BALMORE")</f>
        <v>JOSE BALMORE</v>
      </c>
      <c r="AP84" s="40" t="str">
        <f>IFERROR(__xludf.DUMMYFUNCTION("""COMPUTED_VALUE"""),"CALLE 45 No. 6-35")</f>
        <v>CALLE 45 No. 6-35</v>
      </c>
      <c r="AQ84" s="40"/>
      <c r="AR84" s="40"/>
      <c r="AS84" s="53">
        <f>IFERROR(__xludf.DUMMYFUNCTION("""COMPUTED_VALUE"""),0.0)</f>
        <v>0</v>
      </c>
      <c r="AT84" s="40">
        <f>IFERROR(__xludf.DUMMYFUNCTION("""COMPUTED_VALUE"""),0.0)</f>
        <v>0</v>
      </c>
      <c r="AU84" s="40">
        <f>IFERROR(__xludf.DUMMYFUNCTION("""COMPUTED_VALUE"""),0.0)</f>
        <v>0</v>
      </c>
      <c r="AV84" s="40">
        <f>IFERROR(__xludf.DUMMYFUNCTION("""COMPUTED_VALUE"""),0.0)</f>
        <v>0</v>
      </c>
      <c r="AW84" s="40" t="str">
        <f>IFERROR(__xludf.DUMMYFUNCTION("""COMPUTED_VALUE"""),"NO")</f>
        <v>NO</v>
      </c>
      <c r="AX84" s="40">
        <f>IFERROR(__xludf.DUMMYFUNCTION("""COMPUTED_VALUE"""),0.0)</f>
        <v>0</v>
      </c>
      <c r="AY84" s="40">
        <f>IFERROR(__xludf.DUMMYFUNCTION("""COMPUTED_VALUE"""),0.0)</f>
        <v>0</v>
      </c>
      <c r="AZ84" s="40">
        <f>IFERROR(__xludf.DUMMYFUNCTION("""COMPUTED_VALUE"""),19.0)</f>
        <v>19</v>
      </c>
      <c r="BA84" s="40" t="str">
        <f>IFERROR(__xludf.DUMMYFUNCTION("""COMPUTED_VALUE"""),"X")</f>
        <v>X</v>
      </c>
      <c r="BB84" s="40">
        <f>IFERROR(__xludf.DUMMYFUNCTION("""COMPUTED_VALUE"""),21.34)</f>
        <v>21.34</v>
      </c>
      <c r="BC84" s="53" t="str">
        <f>IFERROR(__xludf.DUMMYFUNCTION("""COMPUTED_VALUE"""),"26 - NINI CASTAÑO, 40 - Ing. ALEJANDRO ROJAS MARIN")</f>
        <v>26 - NINI CASTAÑO, 40 - Ing. ALEJANDRO ROJAS MARIN</v>
      </c>
      <c r="BD84" s="48"/>
      <c r="BE84" s="48"/>
      <c r="BF84" s="48"/>
    </row>
    <row r="85">
      <c r="A85" s="39" t="str">
        <f>IFERROR(__xludf.DUMMYFUNCTION("""COMPUTED_VALUE"""),"233")</f>
        <v>233</v>
      </c>
      <c r="B85" s="40" t="str">
        <f>IFERROR(__xludf.DUMMYFUNCTION("""COMPUTED_VALUE"""),"Casa lote en barrio La Toma")</f>
        <v>Casa lote en barrio La Toma</v>
      </c>
      <c r="C85" s="40" t="str">
        <f>IFERROR(__xludf.DUMMYFUNCTION("""COMPUTED_VALUE"""),"Casa lote")</f>
        <v>Casa lote</v>
      </c>
      <c r="D85" s="40" t="str">
        <f>IFERROR(__xludf.DUMMYFUNCTION("""COMPUTED_VALUE"""),"La Toma")</f>
        <v>La Toma</v>
      </c>
      <c r="E85" s="42" t="str">
        <f>IFERROR(__xludf.DUMMYFUNCTION("""COMPUTED_VALUE""")," ")</f>
        <v> </v>
      </c>
      <c r="F85" s="42">
        <f>IFERROR(__xludf.DUMMYFUNCTION("""COMPUTED_VALUE"""),7.47E8)</f>
        <v>747000000</v>
      </c>
      <c r="G85" s="40" t="str">
        <f>IFERROR(__xludf.DUMMYFUNCTION("""COMPUTED_VALUE"""),"$500'000.000 a $1.000'000.000")</f>
        <v>$500'000.000 a $1.000'000.000</v>
      </c>
      <c r="H85" s="40"/>
      <c r="I85" s="40"/>
      <c r="J85" s="40" t="str">
        <f>IFERROR(__xludf.DUMMYFUNCTION("""COMPUTED_VALUE"""),"Centro")</f>
        <v>Centro</v>
      </c>
      <c r="K85" s="39" t="str">
        <f>IFERROR(__xludf.DUMMYFUNCTION("""COMPUTED_VALUE"""),"3")</f>
        <v>3</v>
      </c>
      <c r="L85" s="40">
        <f>IFERROR(__xludf.DUMMYFUNCTION("""COMPUTED_VALUE"""),0.0)</f>
        <v>0</v>
      </c>
      <c r="M85" s="40"/>
      <c r="N85" s="40">
        <f>IFERROR(__xludf.DUMMYFUNCTION("""COMPUTED_VALUE"""),0.0)</f>
        <v>0</v>
      </c>
      <c r="O85" s="40">
        <f>IFERROR(__xludf.DUMMYFUNCTION("""COMPUTED_VALUE"""),0.0)</f>
        <v>0</v>
      </c>
      <c r="P85" s="40">
        <f>IFERROR(__xludf.DUMMYFUNCTION("""COMPUTED_VALUE"""),0.0)</f>
        <v>0</v>
      </c>
      <c r="Q85" s="48">
        <f>IFERROR(__xludf.DUMMYFUNCTION("""COMPUTED_VALUE"""),534.0)</f>
        <v>534</v>
      </c>
      <c r="R85" s="48">
        <f>IFERROR(__xludf.DUMMYFUNCTION("""COMPUTED_VALUE"""),534.0)</f>
        <v>534</v>
      </c>
      <c r="S85" s="39" t="str">
        <f>IFERROR(__xludf.DUMMYFUNCTION("""COMPUTED_VALUE""")," ")</f>
        <v> </v>
      </c>
      <c r="T85" s="40" t="str">
        <f>IFERROR(__xludf.DUMMYFUNCTION("""COMPUTED_VALUE"""),"Neiva")</f>
        <v>Neiva</v>
      </c>
      <c r="U85" s="39" t="str">
        <f>IFERROR(__xludf.DUMMYFUNCTION("""COMPUTED_VALUE"""),"3")</f>
        <v>3</v>
      </c>
      <c r="V85" s="40" t="str">
        <f>IFERROR(__xludf.DUMMYFUNCTION("""COMPUTED_VALUE"""),"Medianera")</f>
        <v>Medianera</v>
      </c>
      <c r="W85" s="46"/>
      <c r="X85" s="46">
        <f>IFERROR(__xludf.DUMMYFUNCTION("""COMPUTED_VALUE"""),0.0)</f>
        <v>0</v>
      </c>
      <c r="Y85" s="40" t="str">
        <f>IFERROR(__xludf.DUMMYFUNCTION("""COMPUTED_VALUE"""),"No tiene")</f>
        <v>No tiene</v>
      </c>
      <c r="Z85" s="42" t="str">
        <f>IFERROR(__xludf.DUMMYFUNCTION("""COMPUTED_VALUE"""),"No aplica")</f>
        <v>No aplica</v>
      </c>
      <c r="AA85" s="49" t="str">
        <f>IFERROR(__xludf.DUMMYFUNCTION("""COMPUTED_VALUE"""),"No aplica")</f>
        <v>No aplica</v>
      </c>
      <c r="AB85" s="48"/>
      <c r="AC85" s="40"/>
      <c r="AD85" s="40"/>
      <c r="AE85" s="40"/>
      <c r="AF85" s="40" t="str">
        <f>IFERROR(__xludf.DUMMYFUNCTION("""COMPUTED_VALUE"""),"0")</f>
        <v>0</v>
      </c>
      <c r="AG85" s="40"/>
      <c r="AH85" s="40" t="str">
        <f>IFERROR(__xludf.DUMMYFUNCTION("""COMPUTED_VALUE"""),"Inventario")</f>
        <v>Inventario</v>
      </c>
      <c r="AI85" s="40"/>
      <c r="AJ85" s="40" t="str">
        <f>IFERROR(__xludf.DUMMYFUNCTION("""COMPUTED_VALUE"""),"ICDE")</f>
        <v>ICDE</v>
      </c>
      <c r="AK85" s="40"/>
      <c r="AL85" s="40" t="str">
        <f>IFERROR(__xludf.DUMMYFUNCTION("""COMPUTED_VALUE"""),"NO FOTOS + DESCRIPCION")</f>
        <v>NO FOTOS + DESCRIPCION</v>
      </c>
      <c r="AM85" s="40">
        <f>IFERROR(__xludf.DUMMYFUNCTION("""COMPUTED_VALUE"""),3.153201082E9)</f>
        <v>3153201082</v>
      </c>
      <c r="AN85" s="40">
        <f>IFERROR(__xludf.DUMMYFUNCTION("""COMPUTED_VALUE"""),0.0)</f>
        <v>0</v>
      </c>
      <c r="AO85" s="40" t="str">
        <f>IFERROR(__xludf.DUMMYFUNCTION("""COMPUTED_VALUE"""),"NO CONTESTAN")</f>
        <v>NO CONTESTAN</v>
      </c>
      <c r="AP85" s="40" t="str">
        <f>IFERROR(__xludf.DUMMYFUNCTION("""COMPUTED_VALUE"""),"XXXXXX  NO. 16 - 39")</f>
        <v>XXXXXX  NO. 16 - 39</v>
      </c>
      <c r="AQ85" s="40"/>
      <c r="AR85" s="40"/>
      <c r="AS85" s="53">
        <f>IFERROR(__xludf.DUMMYFUNCTION("""COMPUTED_VALUE"""),0.0)</f>
        <v>0</v>
      </c>
      <c r="AT85" s="40">
        <f>IFERROR(__xludf.DUMMYFUNCTION("""COMPUTED_VALUE"""),0.0)</f>
        <v>0</v>
      </c>
      <c r="AU85" s="40">
        <f>IFERROR(__xludf.DUMMYFUNCTION("""COMPUTED_VALUE"""),0.0)</f>
        <v>0</v>
      </c>
      <c r="AV85" s="40">
        <f>IFERROR(__xludf.DUMMYFUNCTION("""COMPUTED_VALUE"""),0.0)</f>
        <v>0</v>
      </c>
      <c r="AW85" s="40" t="str">
        <f>IFERROR(__xludf.DUMMYFUNCTION("""COMPUTED_VALUE"""),"NO")</f>
        <v>NO</v>
      </c>
      <c r="AX85" s="40">
        <f>IFERROR(__xludf.DUMMYFUNCTION("""COMPUTED_VALUE"""),0.0)</f>
        <v>0</v>
      </c>
      <c r="AY85" s="40">
        <f>IFERROR(__xludf.DUMMYFUNCTION("""COMPUTED_VALUE"""),0.0)</f>
        <v>0</v>
      </c>
      <c r="AZ85" s="40">
        <f>IFERROR(__xludf.DUMMYFUNCTION("""COMPUTED_VALUE"""),0.0)</f>
        <v>0</v>
      </c>
      <c r="BA85" s="40" t="str">
        <f>IFERROR(__xludf.DUMMYFUNCTION("""COMPUTED_VALUE"""),"X")</f>
        <v>X</v>
      </c>
      <c r="BB85" s="40">
        <f>IFERROR(__xludf.DUMMYFUNCTION("""COMPUTED_VALUE"""),0.0)</f>
        <v>0</v>
      </c>
      <c r="BC85" s="53" t="str">
        <f>IFERROR(__xludf.DUMMYFUNCTION("""COMPUTED_VALUE"""),"24 - FERNEY PIÑEROS Y LEIDY")</f>
        <v>24 - FERNEY PIÑEROS Y LEIDY</v>
      </c>
      <c r="BD85" s="40"/>
      <c r="BE85" s="48"/>
      <c r="BF85" s="48"/>
    </row>
    <row r="86">
      <c r="A86" s="39" t="str">
        <f>IFERROR(__xludf.DUMMYFUNCTION("""COMPUTED_VALUE"""),"351")</f>
        <v>351</v>
      </c>
      <c r="B86" s="40" t="str">
        <f>IFERROR(__xludf.DUMMYFUNCTION("""COMPUTED_VALUE"""),"Casa lote en barrio Campo Nuñez")</f>
        <v>Casa lote en barrio Campo Nuñez</v>
      </c>
      <c r="C86" s="40" t="str">
        <f>IFERROR(__xludf.DUMMYFUNCTION("""COMPUTED_VALUE"""),"Casa lote")</f>
        <v>Casa lote</v>
      </c>
      <c r="D86" s="40" t="str">
        <f>IFERROR(__xludf.DUMMYFUNCTION("""COMPUTED_VALUE"""),"Campo Nuñez")</f>
        <v>Campo Nuñez</v>
      </c>
      <c r="E86" s="40"/>
      <c r="F86" s="42">
        <f>IFERROR(__xludf.DUMMYFUNCTION("""COMPUTED_VALUE"""),7.0E8)</f>
        <v>700000000</v>
      </c>
      <c r="G86" s="40" t="str">
        <f>IFERROR(__xludf.DUMMYFUNCTION("""COMPUTED_VALUE"""),"$500'000.000 a $1.000'000.000")</f>
        <v>$500'000.000 a $1.000'000.000</v>
      </c>
      <c r="H86" s="40"/>
      <c r="I86" s="40"/>
      <c r="J86" s="40" t="str">
        <f>IFERROR(__xludf.DUMMYFUNCTION("""COMPUTED_VALUE"""),"Centro")</f>
        <v>Centro</v>
      </c>
      <c r="K86" s="39" t="str">
        <f>IFERROR(__xludf.DUMMYFUNCTION("""COMPUTED_VALUE"""),"3")</f>
        <v>3</v>
      </c>
      <c r="L86" s="40">
        <f>IFERROR(__xludf.DUMMYFUNCTION("""COMPUTED_VALUE"""),5.0)</f>
        <v>5</v>
      </c>
      <c r="M86" s="40"/>
      <c r="N86" s="40">
        <f>IFERROR(__xludf.DUMMYFUNCTION("""COMPUTED_VALUE"""),1.0)</f>
        <v>1</v>
      </c>
      <c r="O86" s="40">
        <f>IFERROR(__xludf.DUMMYFUNCTION("""COMPUTED_VALUE"""),1.0)</f>
        <v>1</v>
      </c>
      <c r="P86" s="40">
        <f>IFERROR(__xludf.DUMMYFUNCTION("""COMPUTED_VALUE"""),1.0)</f>
        <v>1</v>
      </c>
      <c r="Q86" s="48" t="str">
        <f>IFERROR(__xludf.DUMMYFUNCTION("""COMPUTED_VALUE"""),"193,40")</f>
        <v>193,40</v>
      </c>
      <c r="R86" s="48">
        <f>IFERROR(__xludf.DUMMYFUNCTION("""COMPUTED_VALUE"""),200.0)</f>
        <v>200</v>
      </c>
      <c r="S86" s="39" t="str">
        <f>IFERROR(__xludf.DUMMYFUNCTION("""COMPUTED_VALUE""")," ")</f>
        <v> </v>
      </c>
      <c r="T86" s="40" t="str">
        <f>IFERROR(__xludf.DUMMYFUNCTION("""COMPUTED_VALUE"""),"Neiva")</f>
        <v>Neiva</v>
      </c>
      <c r="U86" s="39" t="str">
        <f>IFERROR(__xludf.DUMMYFUNCTION("""COMPUTED_VALUE"""),"2")</f>
        <v>2</v>
      </c>
      <c r="V86" s="40" t="str">
        <f>IFERROR(__xludf.DUMMYFUNCTION("""COMPUTED_VALUE"""),"Esquinera")</f>
        <v>Esquinera</v>
      </c>
      <c r="W86" s="46"/>
      <c r="X86" s="46">
        <f>IFERROR(__xludf.DUMMYFUNCTION("""COMPUTED_VALUE"""),0.0)</f>
        <v>0</v>
      </c>
      <c r="Y86" s="40" t="str">
        <f>IFERROR(__xludf.DUMMYFUNCTION("""COMPUTED_VALUE"""),"No tiene")</f>
        <v>No tiene</v>
      </c>
      <c r="Z86" s="42" t="str">
        <f>IFERROR(__xludf.DUMMYFUNCTION("""COMPUTED_VALUE"""),"No aplica")</f>
        <v>No aplica</v>
      </c>
      <c r="AA86" s="49" t="str">
        <f>IFERROR(__xludf.DUMMYFUNCTION("""COMPUTED_VALUE"""),"No aplica")</f>
        <v>No aplica</v>
      </c>
      <c r="AB86" s="48"/>
      <c r="AC86" s="40"/>
      <c r="AD86" s="40"/>
      <c r="AE86" s="40"/>
      <c r="AF86" s="40" t="str">
        <f>IFERROR(__xludf.DUMMYFUNCTION("""COMPUTED_VALUE"""),"básica")</f>
        <v>básica</v>
      </c>
      <c r="AG86" s="40"/>
      <c r="AH86" s="40" t="str">
        <f>IFERROR(__xludf.DUMMYFUNCTION("""COMPUTED_VALUE"""),"Inventario")</f>
        <v>Inventario</v>
      </c>
      <c r="AI86" s="40"/>
      <c r="AJ86" s="40" t="str">
        <f>IFERROR(__xludf.DUMMYFUNCTION("""COMPUTED_VALUE"""),"ICDE")</f>
        <v>ICDE</v>
      </c>
      <c r="AK86" s="40"/>
      <c r="AL86" s="40" t="str">
        <f>IFERROR(__xludf.DUMMYFUNCTION("""COMPUTED_VALUE"""),"NO FOTOS + DESCRIPCION")</f>
        <v>NO FOTOS + DESCRIPCION</v>
      </c>
      <c r="AM86" s="40">
        <f>IFERROR(__xludf.DUMMYFUNCTION("""COMPUTED_VALUE"""),3.153080484E9)</f>
        <v>3153080484</v>
      </c>
      <c r="AN86" s="40">
        <f>IFERROR(__xludf.DUMMYFUNCTION("""COMPUTED_VALUE"""),0.0)</f>
        <v>0</v>
      </c>
      <c r="AO86" s="40" t="str">
        <f>IFERROR(__xludf.DUMMYFUNCTION("""COMPUTED_VALUE"""),"HECTOR MANUEL - Propietario")</f>
        <v>HECTOR MANUEL - Propietario</v>
      </c>
      <c r="AP86" s="40" t="str">
        <f>IFERROR(__xludf.DUMMYFUNCTION("""COMPUTED_VALUE"""),"CARRERA 8 No. 16 - 01")</f>
        <v>CARRERA 8 No. 16 - 01</v>
      </c>
      <c r="AQ86" s="40"/>
      <c r="AR86" s="40"/>
      <c r="AS86" s="53">
        <f>IFERROR(__xludf.DUMMYFUNCTION("""COMPUTED_VALUE"""),0.0)</f>
        <v>0</v>
      </c>
      <c r="AT86" s="40">
        <f>IFERROR(__xludf.DUMMYFUNCTION("""COMPUTED_VALUE"""),0.0)</f>
        <v>0</v>
      </c>
      <c r="AU86" s="40">
        <f>IFERROR(__xludf.DUMMYFUNCTION("""COMPUTED_VALUE"""),0.0)</f>
        <v>0</v>
      </c>
      <c r="AV86" s="40">
        <f>IFERROR(__xludf.DUMMYFUNCTION("""COMPUTED_VALUE"""),0.0)</f>
        <v>0</v>
      </c>
      <c r="AW86" s="40" t="str">
        <f>IFERROR(__xludf.DUMMYFUNCTION("""COMPUTED_VALUE"""),"NO")</f>
        <v>NO</v>
      </c>
      <c r="AX86" s="40">
        <f>IFERROR(__xludf.DUMMYFUNCTION("""COMPUTED_VALUE"""),0.0)</f>
        <v>0</v>
      </c>
      <c r="AY86" s="40">
        <f>IFERROR(__xludf.DUMMYFUNCTION("""COMPUTED_VALUE"""),0.0)</f>
        <v>0</v>
      </c>
      <c r="AZ86" s="40">
        <f>IFERROR(__xludf.DUMMYFUNCTION("""COMPUTED_VALUE"""),10.0)</f>
        <v>10</v>
      </c>
      <c r="BA86" s="40" t="str">
        <f>IFERROR(__xludf.DUMMYFUNCTION("""COMPUTED_VALUE"""),"X")</f>
        <v>X</v>
      </c>
      <c r="BB86" s="40">
        <f>IFERROR(__xludf.DUMMYFUNCTION("""COMPUTED_VALUE"""),20.0)</f>
        <v>20</v>
      </c>
      <c r="BC86" s="53" t="str">
        <f>IFERROR(__xludf.DUMMYFUNCTION("""COMPUTED_VALUE"""),"9 - ALBEIRO TOVAR")</f>
        <v>9 - ALBEIRO TOVAR</v>
      </c>
      <c r="BD86" s="48"/>
      <c r="BE86" s="48"/>
      <c r="BF86" s="48"/>
    </row>
    <row r="87">
      <c r="A87" s="39" t="str">
        <f>IFERROR(__xludf.DUMMYFUNCTION("""COMPUTED_VALUE"""),"295")</f>
        <v>295</v>
      </c>
      <c r="B87" s="40" t="str">
        <f>IFERROR(__xludf.DUMMYFUNCTION("""COMPUTED_VALUE"""),"Penthouse en edificio Quirinal")</f>
        <v>Penthouse en edificio Quirinal</v>
      </c>
      <c r="C87" s="40" t="str">
        <f>IFERROR(__xludf.DUMMYFUNCTION("""COMPUTED_VALUE"""),"Apartamento")</f>
        <v>Apartamento</v>
      </c>
      <c r="D87" s="40" t="str">
        <f>IFERROR(__xludf.DUMMYFUNCTION("""COMPUTED_VALUE"""),"Quirinal")</f>
        <v>Quirinal</v>
      </c>
      <c r="E87" s="40"/>
      <c r="F87" s="42">
        <f>IFERROR(__xludf.DUMMYFUNCTION("""COMPUTED_VALUE"""),7.0E8)</f>
        <v>700000000</v>
      </c>
      <c r="G87" s="40" t="str">
        <f>IFERROR(__xludf.DUMMYFUNCTION("""COMPUTED_VALUE"""),"$500'000.000 a $1.000'000.000")</f>
        <v>$500'000.000 a $1.000'000.000</v>
      </c>
      <c r="H87" s="40"/>
      <c r="I87" s="40"/>
      <c r="J87" s="40" t="str">
        <f>IFERROR(__xludf.DUMMYFUNCTION("""COMPUTED_VALUE"""),"Centro")</f>
        <v>Centro</v>
      </c>
      <c r="K87" s="39" t="str">
        <f>IFERROR(__xludf.DUMMYFUNCTION("""COMPUTED_VALUE"""),"3")</f>
        <v>3</v>
      </c>
      <c r="L87" s="40">
        <f>IFERROR(__xludf.DUMMYFUNCTION("""COMPUTED_VALUE"""),3.0)</f>
        <v>3</v>
      </c>
      <c r="M87" s="40"/>
      <c r="N87" s="40">
        <f>IFERROR(__xludf.DUMMYFUNCTION("""COMPUTED_VALUE"""),3.0)</f>
        <v>3</v>
      </c>
      <c r="O87" s="40">
        <f>IFERROR(__xludf.DUMMYFUNCTION("""COMPUTED_VALUE"""),2.0)</f>
        <v>2</v>
      </c>
      <c r="P87" s="40">
        <f>IFERROR(__xludf.DUMMYFUNCTION("""COMPUTED_VALUE"""),2.0)</f>
        <v>2</v>
      </c>
      <c r="Q87" s="48">
        <f>IFERROR(__xludf.DUMMYFUNCTION("""COMPUTED_VALUE"""),206.0)</f>
        <v>206</v>
      </c>
      <c r="R87" s="48">
        <f>IFERROR(__xludf.DUMMYFUNCTION("""COMPUTED_VALUE"""),206.0)</f>
        <v>206</v>
      </c>
      <c r="S87" s="39" t="str">
        <f>IFERROR(__xludf.DUMMYFUNCTION("""COMPUTED_VALUE""")," ")</f>
        <v> </v>
      </c>
      <c r="T87" s="40" t="str">
        <f>IFERROR(__xludf.DUMMYFUNCTION("""COMPUTED_VALUE"""),"Neiva")</f>
        <v>Neiva</v>
      </c>
      <c r="U87" s="39" t="str">
        <f>IFERROR(__xludf.DUMMYFUNCTION("""COMPUTED_VALUE"""),"4")</f>
        <v>4</v>
      </c>
      <c r="V87" s="40"/>
      <c r="W87" s="46"/>
      <c r="X87" s="46">
        <f>IFERROR(__xludf.DUMMYFUNCTION("""COMPUTED_VALUE"""),3.0)</f>
        <v>3</v>
      </c>
      <c r="Y87" s="40" t="str">
        <f>IFERROR(__xludf.DUMMYFUNCTION("""COMPUTED_VALUE"""),"No tiene")</f>
        <v>No tiene</v>
      </c>
      <c r="Z87" s="42" t="str">
        <f>IFERROR(__xludf.DUMMYFUNCTION("""COMPUTED_VALUE"""),"No aplica")</f>
        <v>No aplica</v>
      </c>
      <c r="AA87" s="49" t="str">
        <f>IFERROR(__xludf.DUMMYFUNCTION("""COMPUTED_VALUE"""),"No aplica")</f>
        <v>No aplica</v>
      </c>
      <c r="AB87" s="105" t="str">
        <f>IFERROR(__xludf.DUMMYFUNCTION("""COMPUTED_VALUE"""),"https://photos.app.goo.gl/ZsxjJVGp7uJorD948")</f>
        <v>https://photos.app.goo.gl/ZsxjJVGp7uJorD948</v>
      </c>
      <c r="AC87" s="40" t="str">
        <f>IFERROR(__xludf.DUMMYFUNCTION("""COMPUTED_VALUE"""),"Ubicado en el sexto piso")</f>
        <v>Ubicado en el sexto piso</v>
      </c>
      <c r="AD87" s="40"/>
      <c r="AE87" s="40"/>
      <c r="AF87" s="40" t="str">
        <f>IFERROR(__xludf.DUMMYFUNCTION("""COMPUTED_VALUE"""),"integral")</f>
        <v>integral</v>
      </c>
      <c r="AG87" s="40"/>
      <c r="AH87" s="40" t="str">
        <f>IFERROR(__xludf.DUMMYFUNCTION("""COMPUTED_VALUE"""),"Inventario")</f>
        <v>Inventario</v>
      </c>
      <c r="AI87" s="40"/>
      <c r="AJ87" s="40" t="str">
        <f>IFERROR(__xludf.DUMMYFUNCTION("""COMPUTED_VALUE"""),"ICDE")</f>
        <v>ICDE</v>
      </c>
      <c r="AK87" s="40"/>
      <c r="AL87" s="40" t="str">
        <f>IFERROR(__xludf.DUMMYFUNCTION("""COMPUTED_VALUE"""),"NO FOTOS FACHADA")</f>
        <v>NO FOTOS FACHADA</v>
      </c>
      <c r="AM87" s="40">
        <f>IFERROR(__xludf.DUMMYFUNCTION("""COMPUTED_VALUE"""),3.175638922E9)</f>
        <v>3175638922</v>
      </c>
      <c r="AN87" s="40">
        <f>IFERROR(__xludf.DUMMYFUNCTION("""COMPUTED_VALUE"""),3.107774465E9)</f>
        <v>3107774465</v>
      </c>
      <c r="AO87" s="40" t="str">
        <f>IFERROR(__xludf.DUMMYFUNCTION("""COMPUTED_VALUE"""),"WILBERTO")</f>
        <v>WILBERTO</v>
      </c>
      <c r="AP87" s="40" t="str">
        <f>IFERROR(__xludf.DUMMYFUNCTION("""COMPUTED_VALUE"""),"Carrera 5A NO. 16 - 58")</f>
        <v>Carrera 5A NO. 16 - 58</v>
      </c>
      <c r="AQ87" s="40"/>
      <c r="AR87" s="40"/>
      <c r="AS87" s="53">
        <f>IFERROR(__xludf.DUMMYFUNCTION("""COMPUTED_VALUE"""),0.0)</f>
        <v>0</v>
      </c>
      <c r="AT87" s="40">
        <f>IFERROR(__xludf.DUMMYFUNCTION("""COMPUTED_VALUE"""),0.0)</f>
        <v>0</v>
      </c>
      <c r="AU87" s="40">
        <f>IFERROR(__xludf.DUMMYFUNCTION("""COMPUTED_VALUE"""),0.0)</f>
        <v>0</v>
      </c>
      <c r="AV87" s="40">
        <f>IFERROR(__xludf.DUMMYFUNCTION("""COMPUTED_VALUE"""),0.0)</f>
        <v>0</v>
      </c>
      <c r="AW87" s="40" t="str">
        <f>IFERROR(__xludf.DUMMYFUNCTION("""COMPUTED_VALUE"""),"NO")</f>
        <v>NO</v>
      </c>
      <c r="AX87" s="40">
        <f>IFERROR(__xludf.DUMMYFUNCTION("""COMPUTED_VALUE"""),0.0)</f>
        <v>0</v>
      </c>
      <c r="AY87" s="40">
        <f>IFERROR(__xludf.DUMMYFUNCTION("""COMPUTED_VALUE"""),0.0)</f>
        <v>0</v>
      </c>
      <c r="AZ87" s="40">
        <f>IFERROR(__xludf.DUMMYFUNCTION("""COMPUTED_VALUE"""),0.0)</f>
        <v>0</v>
      </c>
      <c r="BA87" s="40" t="str">
        <f>IFERROR(__xludf.DUMMYFUNCTION("""COMPUTED_VALUE"""),"X")</f>
        <v>X</v>
      </c>
      <c r="BB87" s="40">
        <f>IFERROR(__xludf.DUMMYFUNCTION("""COMPUTED_VALUE"""),0.0)</f>
        <v>0</v>
      </c>
      <c r="BC87" s="53" t="str">
        <f>IFERROR(__xludf.DUMMYFUNCTION("""COMPUTED_VALUE"""),"40 - ALEJANDRO ROJAS MARIN, 26 - NINI CASTAÑO")</f>
        <v>40 - ALEJANDRO ROJAS MARIN, 26 - NINI CASTAÑO</v>
      </c>
      <c r="BD87" s="48"/>
      <c r="BE87" s="48"/>
      <c r="BF87" s="48" t="str">
        <f>IFERROR(__xludf.DUMMYFUNCTION("""COMPUTED_VALUE"""),"https://lh3.googleusercontent.com/pw/AP1GczMVKxFKX2WLwWWvK9Bb3oPbdmF6g4771xVGVcX-EU5NhM3awTHzqzcZQ79yu2F0GSlYKrtUL3R0UbovhHtuLPk6rkDo6eXjge5gusnblvXmPWETUUaf=w1200|https://lh3.googleusercontent.com/pw/AP1GczMy4WqeCRFUWQCDGStM6hWoFaM8CnK6Ts5tDPW2o6EP_VOU-e"&amp;"YjwE90cE3OIi27WToqorWRdcWyYUj7i_vs3YMRPydJalfdsW-PI7p7F7GCIaLLFMeV=w1200|https://lh3.googleusercontent.com/pw/AP1GczPlku3_bRQqhGtKkOQk4CForInjWuxRiqW060NoNMex_FHh_ZJCBe0U6aRrl8zRLxBRpVtNClfVZ2B4GXDeJ680WEKLM-pDfneSfnZlbUPHzdlOvpdO=w1200|https://lh3.google"&amp;"usercontent.com/pw/AP1GczNcXNsCaPq5IcAJ5irzhEPC0nVE6UtUGp4AgkB8IPY8Bn4QUSRhutPMb8qn_Mbwru_1Te8rT5lBTbHH3hpEeiXUW4Ae01LarsI4izV5T4_2WyWgMP9a=w1200|https://lh3.googleusercontent.com/pw/AP1GczN0RHlRXM9GdtLqC1y8v5y8nwkfk33Fby1Ji6UONRHPWUWlJ2yxm_IpGsExIWbkCvVR"&amp;"k1HYdCYn1_kG4Dh93B3K2DWw9voR7sq8IDJGSuez3DSdVEjj=w1200|https://lh3.googleusercontent.com/pw/AP1GczPQPC78Yks3K4a9PCdQXQWm76X3MHamU2IXc39MWWQxHu2HVwDUxqaqZDhp8gTtz9bR82SrXYb9n1UhkGFSPc6xowXcFb17A_x-f5OimG9grn_wPk1B=w1200|https://lh3.googleusercontent.com/pw"&amp;"/AP1GczOonQsvYWLc_uhCOd1pCquSohFTImgmKX4_ZygOVKD0LkUQXvhh9ipfyXbLNkYuVvXgDbvMr17yLi3k567ZTW1tadDZ3A-gzOICH1q8TMlG2jO7ePxu=w1200|https://lh3.googleusercontent.com/pw/AP1GczOuPtDLX1q7vl3vDU59u20Izbqq_fPAOYDcq9EddziiNxabkQ3Ae-rjcPBZN1uIK6wjXA3MM4J2IqeRJbxgTU"&amp;"zwZ_0eH8DM_S9I0iupFOF2-kMStM1v=w1200|https://lh3.googleusercontent.com/pw/AP1GczP9ZbVMgKrG8kudHbzAX9UzhnfJDcYMDokVqYfwMguhHW_9cpPsA26d1ftSdR_KI_GZcnfgmPDsLbeDpsI6rwObXx_TTYAKChmNaZdWT7Kv-cPEpNJ2=w1200|https://lh3.googleusercontent.com/pw/AP1GczOfsXJgw-1Eg"&amp;"oYBrltmrIBFPiwKMPlIe-v-20Ieefq3VVwuYoX7BsLIvpm66tjr1BWy9n0ydkcxPayEJ-IzWZpWzXuHe5HcEZUTZU05oDZaylh8TIXs=w1200|https://lh3.googleusercontent.com/pw/AP1GczNTwAemTlH0qdXqj0rU3_R8HbEh_phY9NDolp786af3YAKkA14oifpQWFcNxSDO8KW7O7KPd2398obh9OHS33uS1A89O_POAJ2jdjju"&amp;"VUqfu4MJGh14=w1200|https://lh3.googleusercontent.com/pw/AP1GczMQBcZdrECKf53a3IJNUb7fv2mZWivppYAGS6TpAMC4Fln5xQX_S8PSdZqP6pJY07CETcOJV8L4ZTXW96IEjrDX1OsoKdjinMpW-91j_D8kL7L2ldah=w1200|https://lh3.googleusercontent.com/pw/AP1GczNe-WtYCtDrqFZFe4KXvP_UGwiYNkG"&amp;"K2ufdASNH3sQIbNk5efXxypRimCsQthvjeVw-FdIfaPDkS1JiYdloBMoSFQ9d-qD8tpUhEhJZppoo5tU-ywXW=w1200")</f>
        <v>https://lh3.googleusercontent.com/pw/AP1GczMVKxFKX2WLwWWvK9Bb3oPbdmF6g4771xVGVcX-EU5NhM3awTHzqzcZQ79yu2F0GSlYKrtUL3R0UbovhHtuLPk6rkDo6eXjge5gusnblvXmPWETUUaf=w1200|https://lh3.googleusercontent.com/pw/AP1GczMy4WqeCRFUWQCDGStM6hWoFaM8CnK6Ts5tDPW2o6EP_VOU-eYjwE90cE3OIi27WToqorWRdcWyYUj7i_vs3YMRPydJalfdsW-PI7p7F7GCIaLLFMeV=w1200|https://lh3.googleusercontent.com/pw/AP1GczPlku3_bRQqhGtKkOQk4CForInjWuxRiqW060NoNMex_FHh_ZJCBe0U6aRrl8zRLxBRpVtNClfVZ2B4GXDeJ680WEKLM-pDfneSfnZlbUPHzdlOvpdO=w1200|https://lh3.googleusercontent.com/pw/AP1GczNcXNsCaPq5IcAJ5irzhEPC0nVE6UtUGp4AgkB8IPY8Bn4QUSRhutPMb8qn_Mbwru_1Te8rT5lBTbHH3hpEeiXUW4Ae01LarsI4izV5T4_2WyWgMP9a=w1200|https://lh3.googleusercontent.com/pw/AP1GczN0RHlRXM9GdtLqC1y8v5y8nwkfk33Fby1Ji6UONRHPWUWlJ2yxm_IpGsExIWbkCvVRk1HYdCYn1_kG4Dh93B3K2DWw9voR7sq8IDJGSuez3DSdVEjj=w1200|https://lh3.googleusercontent.com/pw/AP1GczPQPC78Yks3K4a9PCdQXQWm76X3MHamU2IXc39MWWQxHu2HVwDUxqaqZDhp8gTtz9bR82SrXYb9n1UhkGFSPc6xowXcFb17A_x-f5OimG9grn_wPk1B=w1200|https://lh3.googleusercontent.com/pw/AP1GczOonQsvYWLc_uhCOd1pCquSohFTImgmKX4_ZygOVKD0LkUQXvhh9ipfyXbLNkYuVvXgDbvMr17yLi3k567ZTW1tadDZ3A-gzOICH1q8TMlG2jO7ePxu=w1200|https://lh3.googleusercontent.com/pw/AP1GczOuPtDLX1q7vl3vDU59u20Izbqq_fPAOYDcq9EddziiNxabkQ3Ae-rjcPBZN1uIK6wjXA3MM4J2IqeRJbxgTUzwZ_0eH8DM_S9I0iupFOF2-kMStM1v=w1200|https://lh3.googleusercontent.com/pw/AP1GczP9ZbVMgKrG8kudHbzAX9UzhnfJDcYMDokVqYfwMguhHW_9cpPsA26d1ftSdR_KI_GZcnfgmPDsLbeDpsI6rwObXx_TTYAKChmNaZdWT7Kv-cPEpNJ2=w1200|https://lh3.googleusercontent.com/pw/AP1GczOfsXJgw-1EgoYBrltmrIBFPiwKMPlIe-v-20Ieefq3VVwuYoX7BsLIvpm66tjr1BWy9n0ydkcxPayEJ-IzWZpWzXuHe5HcEZUTZU05oDZaylh8TIXs=w1200|https://lh3.googleusercontent.com/pw/AP1GczNTwAemTlH0qdXqj0rU3_R8HbEh_phY9NDolp786af3YAKkA14oifpQWFcNxSDO8KW7O7KPd2398obh9OHS33uS1A89O_POAJ2jdjjuVUqfu4MJGh14=w1200|https://lh3.googleusercontent.com/pw/AP1GczMQBcZdrECKf53a3IJNUb7fv2mZWivppYAGS6TpAMC4Fln5xQX_S8PSdZqP6pJY07CETcOJV8L4ZTXW96IEjrDX1OsoKdjinMpW-91j_D8kL7L2ldah=w1200|https://lh3.googleusercontent.com/pw/AP1GczNe-WtYCtDrqFZFe4KXvP_UGwiYNkGK2ufdASNH3sQIbNk5efXxypRimCsQthvjeVw-FdIfaPDkS1JiYdloBMoSFQ9d-qD8tpUhEhJZppoo5tU-ywXW=w1200</v>
      </c>
    </row>
    <row r="88">
      <c r="A88" s="39" t="str">
        <f>IFERROR(__xludf.DUMMYFUNCTION("""COMPUTED_VALUE"""),"274")</f>
        <v>274</v>
      </c>
      <c r="B88" s="40" t="str">
        <f>IFERROR(__xludf.DUMMYFUNCTION("""COMPUTED_VALUE"""),"Casa con tres locales en barrio Chapinero")</f>
        <v>Casa con tres locales en barrio Chapinero</v>
      </c>
      <c r="C88" s="40" t="str">
        <f>IFERROR(__xludf.DUMMYFUNCTION("""COMPUTED_VALUE"""),"Casa rentable")</f>
        <v>Casa rentable</v>
      </c>
      <c r="D88" s="40" t="str">
        <f>IFERROR(__xludf.DUMMYFUNCTION("""COMPUTED_VALUE"""),"Chapinero")</f>
        <v>Chapinero</v>
      </c>
      <c r="E88" s="40"/>
      <c r="F88" s="42">
        <f>IFERROR(__xludf.DUMMYFUNCTION("""COMPUTED_VALUE"""),7.0E8)</f>
        <v>700000000</v>
      </c>
      <c r="G88" s="40" t="str">
        <f>IFERROR(__xludf.DUMMYFUNCTION("""COMPUTED_VALUE"""),"$500'000.000 a $1.000'000.000")</f>
        <v>$500'000.000 a $1.000'000.000</v>
      </c>
      <c r="H88" s="40"/>
      <c r="I88" s="40"/>
      <c r="J88" s="40" t="str">
        <f>IFERROR(__xludf.DUMMYFUNCTION("""COMPUTED_VALUE"""),"Centro")</f>
        <v>Centro</v>
      </c>
      <c r="K88" s="39" t="str">
        <f>IFERROR(__xludf.DUMMYFUNCTION("""COMPUTED_VALUE"""),"3")</f>
        <v>3</v>
      </c>
      <c r="L88" s="40">
        <f>IFERROR(__xludf.DUMMYFUNCTION("""COMPUTED_VALUE"""),2.0)</f>
        <v>2</v>
      </c>
      <c r="M88" s="40"/>
      <c r="N88" s="40">
        <f>IFERROR(__xludf.DUMMYFUNCTION("""COMPUTED_VALUE"""),7.0)</f>
        <v>7</v>
      </c>
      <c r="O88" s="40">
        <f>IFERROR(__xludf.DUMMYFUNCTION("""COMPUTED_VALUE"""),1.0)</f>
        <v>1</v>
      </c>
      <c r="P88" s="40">
        <f>IFERROR(__xludf.DUMMYFUNCTION("""COMPUTED_VALUE"""),1.0)</f>
        <v>1</v>
      </c>
      <c r="Q88" s="48"/>
      <c r="R88" s="48"/>
      <c r="S88" s="39" t="str">
        <f>IFERROR(__xludf.DUMMYFUNCTION("""COMPUTED_VALUE"""),"Rentabilidad $3,300,000")</f>
        <v>Rentabilidad $3,300,000</v>
      </c>
      <c r="T88" s="40" t="str">
        <f>IFERROR(__xludf.DUMMYFUNCTION("""COMPUTED_VALUE"""),"Neiva")</f>
        <v>Neiva</v>
      </c>
      <c r="U88" s="39" t="str">
        <f>IFERROR(__xludf.DUMMYFUNCTION("""COMPUTED_VALUE"""),"2")</f>
        <v>2</v>
      </c>
      <c r="V88" s="40" t="str">
        <f>IFERROR(__xludf.DUMMYFUNCTION("""COMPUTED_VALUE"""),"Medianera")</f>
        <v>Medianera</v>
      </c>
      <c r="W88" s="46"/>
      <c r="X88" s="46">
        <f>IFERROR(__xludf.DUMMYFUNCTION("""COMPUTED_VALUE"""),2.0)</f>
        <v>2</v>
      </c>
      <c r="Y88" s="40" t="str">
        <f>IFERROR(__xludf.DUMMYFUNCTION("""COMPUTED_VALUE"""),"No tiene")</f>
        <v>No tiene</v>
      </c>
      <c r="Z88" s="42" t="str">
        <f>IFERROR(__xludf.DUMMYFUNCTION("""COMPUTED_VALUE"""),"No aplica")</f>
        <v>No aplica</v>
      </c>
      <c r="AA88" s="49" t="str">
        <f>IFERROR(__xludf.DUMMYFUNCTION("""COMPUTED_VALUE"""),"18 años")</f>
        <v>18 años</v>
      </c>
      <c r="AB88" s="48"/>
      <c r="AC88" s="40"/>
      <c r="AD88" s="40"/>
      <c r="AE88" s="40"/>
      <c r="AF88" s="40" t="str">
        <f>IFERROR(__xludf.DUMMYFUNCTION("""COMPUTED_VALUE"""),"básica")</f>
        <v>básica</v>
      </c>
      <c r="AG88" s="40"/>
      <c r="AH88" s="40" t="str">
        <f>IFERROR(__xludf.DUMMYFUNCTION("""COMPUTED_VALUE"""),"Inventario")</f>
        <v>Inventario</v>
      </c>
      <c r="AI88" s="40"/>
      <c r="AJ88" s="40" t="str">
        <f>IFERROR(__xludf.DUMMYFUNCTION("""COMPUTED_VALUE"""),"ICDE")</f>
        <v>ICDE</v>
      </c>
      <c r="AK88" s="40"/>
      <c r="AL88" s="40" t="str">
        <f>IFERROR(__xludf.DUMMYFUNCTION("""COMPUTED_VALUE"""),"NO FOTOS")</f>
        <v>NO FOTOS</v>
      </c>
      <c r="AM88" s="40">
        <f>IFERROR(__xludf.DUMMYFUNCTION("""COMPUTED_VALUE"""),3.13337868E9)</f>
        <v>3133378680</v>
      </c>
      <c r="AN88" s="40" t="str">
        <f>IFERROR(__xludf.DUMMYFUNCTION("""COMPUTED_VALUE"""),"PROP - 3168123209")</f>
        <v>PROP - 3168123209</v>
      </c>
      <c r="AO88" s="40" t="str">
        <f>IFERROR(__xludf.DUMMYFUNCTION("""COMPUTED_VALUE"""),"CAROLINA")</f>
        <v>CAROLINA</v>
      </c>
      <c r="AP88" s="40" t="str">
        <f>IFERROR(__xludf.DUMMYFUNCTION("""COMPUTED_VALUE"""),"CARRERA 9 CON CALL12")</f>
        <v>CARRERA 9 CON CALL12</v>
      </c>
      <c r="AQ88" s="40"/>
      <c r="AR88" s="40"/>
      <c r="AS88" s="53">
        <f>IFERROR(__xludf.DUMMYFUNCTION("""COMPUTED_VALUE"""),3300000.0)</f>
        <v>3300000</v>
      </c>
      <c r="AT88" s="40">
        <f>IFERROR(__xludf.DUMMYFUNCTION("""COMPUTED_VALUE"""),0.0)</f>
        <v>0</v>
      </c>
      <c r="AU88" s="40">
        <f>IFERROR(__xludf.DUMMYFUNCTION("""COMPUTED_VALUE"""),0.0)</f>
        <v>0</v>
      </c>
      <c r="AV88" s="40">
        <f>IFERROR(__xludf.DUMMYFUNCTION("""COMPUTED_VALUE"""),0.0)</f>
        <v>0</v>
      </c>
      <c r="AW88" s="40" t="str">
        <f>IFERROR(__xludf.DUMMYFUNCTION("""COMPUTED_VALUE"""),"NO")</f>
        <v>NO</v>
      </c>
      <c r="AX88" s="40">
        <f>IFERROR(__xludf.DUMMYFUNCTION("""COMPUTED_VALUE"""),0.0)</f>
        <v>0</v>
      </c>
      <c r="AY88" s="40">
        <f>IFERROR(__xludf.DUMMYFUNCTION("""COMPUTED_VALUE"""),0.0)</f>
        <v>0</v>
      </c>
      <c r="AZ88" s="40">
        <f>IFERROR(__xludf.DUMMYFUNCTION("""COMPUTED_VALUE"""),0.0)</f>
        <v>0</v>
      </c>
      <c r="BA88" s="40" t="str">
        <f>IFERROR(__xludf.DUMMYFUNCTION("""COMPUTED_VALUE"""),"X")</f>
        <v>X</v>
      </c>
      <c r="BB88" s="40">
        <f>IFERROR(__xludf.DUMMYFUNCTION("""COMPUTED_VALUE"""),0.0)</f>
        <v>0</v>
      </c>
      <c r="BC88" s="53"/>
      <c r="BD88" s="48"/>
      <c r="BE88" s="48"/>
      <c r="BF88" s="48"/>
    </row>
    <row r="89">
      <c r="A89" s="39" t="str">
        <f>IFERROR(__xludf.DUMMYFUNCTION("""COMPUTED_VALUE"""),"195")</f>
        <v>195</v>
      </c>
      <c r="B89" s="40" t="str">
        <f>IFERROR(__xludf.DUMMYFUNCTION("""COMPUTED_VALUE"""),"Casa con dos apartamentos en barrio Campo Nuñez")</f>
        <v>Casa con dos apartamentos en barrio Campo Nuñez</v>
      </c>
      <c r="C89" s="40" t="str">
        <f>IFERROR(__xludf.DUMMYFUNCTION("""COMPUTED_VALUE"""),"Casa rentable")</f>
        <v>Casa rentable</v>
      </c>
      <c r="D89" s="40" t="str">
        <f>IFERROR(__xludf.DUMMYFUNCTION("""COMPUTED_VALUE"""),"Campo Nuñez")</f>
        <v>Campo Nuñez</v>
      </c>
      <c r="E89" s="42" t="str">
        <f>IFERROR(__xludf.DUMMYFUNCTION("""COMPUTED_VALUE""")," ")</f>
        <v> </v>
      </c>
      <c r="F89" s="42">
        <f>IFERROR(__xludf.DUMMYFUNCTION("""COMPUTED_VALUE"""),7.0E8)</f>
        <v>700000000</v>
      </c>
      <c r="G89" s="40" t="str">
        <f>IFERROR(__xludf.DUMMYFUNCTION("""COMPUTED_VALUE"""),"$500'000.000 a $1.000'000.000")</f>
        <v>$500'000.000 a $1.000'000.000</v>
      </c>
      <c r="H89" s="40"/>
      <c r="I89" s="40"/>
      <c r="J89" s="40" t="str">
        <f>IFERROR(__xludf.DUMMYFUNCTION("""COMPUTED_VALUE"""),"Centro")</f>
        <v>Centro</v>
      </c>
      <c r="K89" s="39" t="str">
        <f>IFERROR(__xludf.DUMMYFUNCTION("""COMPUTED_VALUE"""),"3")</f>
        <v>3</v>
      </c>
      <c r="L89" s="40">
        <f>IFERROR(__xludf.DUMMYFUNCTION("""COMPUTED_VALUE"""),5.0)</f>
        <v>5</v>
      </c>
      <c r="M89" s="40"/>
      <c r="N89" s="40">
        <f>IFERROR(__xludf.DUMMYFUNCTION("""COMPUTED_VALUE"""),4.0)</f>
        <v>4</v>
      </c>
      <c r="O89" s="40">
        <f>IFERROR(__xludf.DUMMYFUNCTION("""COMPUTED_VALUE"""),0.0)</f>
        <v>0</v>
      </c>
      <c r="P89" s="40">
        <f>IFERROR(__xludf.DUMMYFUNCTION("""COMPUTED_VALUE"""),1.0)</f>
        <v>1</v>
      </c>
      <c r="Q89" s="48">
        <f>IFERROR(__xludf.DUMMYFUNCTION("""COMPUTED_VALUE"""),266.0)</f>
        <v>266</v>
      </c>
      <c r="R89" s="48">
        <f>IFERROR(__xludf.DUMMYFUNCTION("""COMPUTED_VALUE"""),266.0)</f>
        <v>266</v>
      </c>
      <c r="S89" s="39" t="str">
        <f>IFERROR(__xludf.DUMMYFUNCTION("""COMPUTED_VALUE"""),"Rentabilidad $2,000,000")</f>
        <v>Rentabilidad $2,000,000</v>
      </c>
      <c r="T89" s="40" t="str">
        <f>IFERROR(__xludf.DUMMYFUNCTION("""COMPUTED_VALUE"""),"Neiva")</f>
        <v>Neiva</v>
      </c>
      <c r="U89" s="39" t="str">
        <f>IFERROR(__xludf.DUMMYFUNCTION("""COMPUTED_VALUE"""),"3")</f>
        <v>3</v>
      </c>
      <c r="V89" s="40" t="str">
        <f>IFERROR(__xludf.DUMMYFUNCTION("""COMPUTED_VALUE"""),"Medianera")</f>
        <v>Medianera</v>
      </c>
      <c r="W89" s="46"/>
      <c r="X89" s="46">
        <f>IFERROR(__xludf.DUMMYFUNCTION("""COMPUTED_VALUE"""),0.0)</f>
        <v>0</v>
      </c>
      <c r="Y89" s="40" t="str">
        <f>IFERROR(__xludf.DUMMYFUNCTION("""COMPUTED_VALUE"""),"No tiene")</f>
        <v>No tiene</v>
      </c>
      <c r="Z89" s="42" t="str">
        <f>IFERROR(__xludf.DUMMYFUNCTION("""COMPUTED_VALUE"""),"No aplica")</f>
        <v>No aplica</v>
      </c>
      <c r="AA89" s="49" t="str">
        <f>IFERROR(__xludf.DUMMYFUNCTION("""COMPUTED_VALUE"""),"29 años")</f>
        <v>29 años</v>
      </c>
      <c r="AB89" s="48"/>
      <c r="AC89" s="40"/>
      <c r="AD89" s="40"/>
      <c r="AE89" s="40"/>
      <c r="AF89" s="40" t="str">
        <f>IFERROR(__xludf.DUMMYFUNCTION("""COMPUTED_VALUE"""),"integral")</f>
        <v>integral</v>
      </c>
      <c r="AG89" s="40"/>
      <c r="AH89" s="40" t="str">
        <f>IFERROR(__xludf.DUMMYFUNCTION("""COMPUTED_VALUE"""),"Inventario")</f>
        <v>Inventario</v>
      </c>
      <c r="AI89" s="40"/>
      <c r="AJ89" s="40" t="str">
        <f>IFERROR(__xludf.DUMMYFUNCTION("""COMPUTED_VALUE"""),"ICDE")</f>
        <v>ICDE</v>
      </c>
      <c r="AK89" s="40"/>
      <c r="AL89" s="40" t="str">
        <f>IFERROR(__xludf.DUMMYFUNCTION("""COMPUTED_VALUE"""),"NO INT+ DESCRIPCION")</f>
        <v>NO INT+ DESCRIPCION</v>
      </c>
      <c r="AM89" s="40">
        <f>IFERROR(__xludf.DUMMYFUNCTION("""COMPUTED_VALUE"""),3.12451407E9)</f>
        <v>3124514070</v>
      </c>
      <c r="AN89" s="40">
        <f>IFERROR(__xludf.DUMMYFUNCTION("""COMPUTED_VALUE"""),3.023749655E9)</f>
        <v>3023749655</v>
      </c>
      <c r="AO89" s="40" t="str">
        <f>IFERROR(__xludf.DUMMYFUNCTION("""COMPUTED_VALUE"""),"DEICY")</f>
        <v>DEICY</v>
      </c>
      <c r="AP89" s="40" t="str">
        <f>IFERROR(__xludf.DUMMYFUNCTION("""COMPUTED_VALUE"""),"CARRERA 7 A NO. 18 -88")</f>
        <v>CARRERA 7 A NO. 18 -88</v>
      </c>
      <c r="AQ89" s="40"/>
      <c r="AR89" s="40"/>
      <c r="AS89" s="53">
        <f>IFERROR(__xludf.DUMMYFUNCTION("""COMPUTED_VALUE"""),2000000.0)</f>
        <v>2000000</v>
      </c>
      <c r="AT89" s="40">
        <f>IFERROR(__xludf.DUMMYFUNCTION("""COMPUTED_VALUE"""),0.0)</f>
        <v>0</v>
      </c>
      <c r="AU89" s="40">
        <f>IFERROR(__xludf.DUMMYFUNCTION("""COMPUTED_VALUE"""),0.0)</f>
        <v>0</v>
      </c>
      <c r="AV89" s="40">
        <f>IFERROR(__xludf.DUMMYFUNCTION("""COMPUTED_VALUE"""),0.0)</f>
        <v>0</v>
      </c>
      <c r="AW89" s="40" t="str">
        <f>IFERROR(__xludf.DUMMYFUNCTION("""COMPUTED_VALUE"""),"NO")</f>
        <v>NO</v>
      </c>
      <c r="AX89" s="40">
        <f>IFERROR(__xludf.DUMMYFUNCTION("""COMPUTED_VALUE"""),0.0)</f>
        <v>0</v>
      </c>
      <c r="AY89" s="40">
        <f>IFERROR(__xludf.DUMMYFUNCTION("""COMPUTED_VALUE"""),0.0)</f>
        <v>0</v>
      </c>
      <c r="AZ89" s="40">
        <f>IFERROR(__xludf.DUMMYFUNCTION("""COMPUTED_VALUE"""),9.5)</f>
        <v>9.5</v>
      </c>
      <c r="BA89" s="40" t="str">
        <f>IFERROR(__xludf.DUMMYFUNCTION("""COMPUTED_VALUE"""),"X")</f>
        <v>X</v>
      </c>
      <c r="BB89" s="40">
        <f>IFERROR(__xludf.DUMMYFUNCTION("""COMPUTED_VALUE"""),28.0)</f>
        <v>28</v>
      </c>
      <c r="BC89" s="53"/>
      <c r="BD89" s="48"/>
      <c r="BE89" s="48"/>
      <c r="BF89" s="48"/>
    </row>
    <row r="90">
      <c r="A90" s="39" t="str">
        <f>IFERROR(__xludf.DUMMYFUNCTION("""COMPUTED_VALUE"""),"097")</f>
        <v>097</v>
      </c>
      <c r="B90" s="40" t="str">
        <f>IFERROR(__xludf.DUMMYFUNCTION("""COMPUTED_VALUE"""),"Casa con dos locales y un apartaestudio en barrio Las Granjas")</f>
        <v>Casa con dos locales y un apartaestudio en barrio Las Granjas</v>
      </c>
      <c r="C90" s="40" t="str">
        <f>IFERROR(__xludf.DUMMYFUNCTION("""COMPUTED_VALUE"""),"Casa rentable")</f>
        <v>Casa rentable</v>
      </c>
      <c r="D90" s="40" t="str">
        <f>IFERROR(__xludf.DUMMYFUNCTION("""COMPUTED_VALUE"""),"Las Granjas")</f>
        <v>Las Granjas</v>
      </c>
      <c r="E90" s="42" t="str">
        <f>IFERROR(__xludf.DUMMYFUNCTION("""COMPUTED_VALUE""")," ")</f>
        <v> </v>
      </c>
      <c r="F90" s="42">
        <f>IFERROR(__xludf.DUMMYFUNCTION("""COMPUTED_VALUE"""),7.0E8)</f>
        <v>700000000</v>
      </c>
      <c r="G90" s="40" t="str">
        <f>IFERROR(__xludf.DUMMYFUNCTION("""COMPUTED_VALUE"""),"$500'000.000 a $1.000'000.000")</f>
        <v>$500'000.000 a $1.000'000.000</v>
      </c>
      <c r="H90" s="40"/>
      <c r="I90" s="40"/>
      <c r="J90" s="40" t="str">
        <f>IFERROR(__xludf.DUMMYFUNCTION("""COMPUTED_VALUE"""),"Norte")</f>
        <v>Norte</v>
      </c>
      <c r="K90" s="39" t="str">
        <f>IFERROR(__xludf.DUMMYFUNCTION("""COMPUTED_VALUE"""),"2")</f>
        <v>2</v>
      </c>
      <c r="L90" s="40">
        <f>IFERROR(__xludf.DUMMYFUNCTION("""COMPUTED_VALUE"""),6.0)</f>
        <v>6</v>
      </c>
      <c r="M90" s="40"/>
      <c r="N90" s="40">
        <f>IFERROR(__xludf.DUMMYFUNCTION("""COMPUTED_VALUE"""),3.0)</f>
        <v>3</v>
      </c>
      <c r="O90" s="40">
        <f>IFERROR(__xludf.DUMMYFUNCTION("""COMPUTED_VALUE"""),0.0)</f>
        <v>0</v>
      </c>
      <c r="P90" s="40">
        <f>IFERROR(__xludf.DUMMYFUNCTION("""COMPUTED_VALUE"""),1.0)</f>
        <v>1</v>
      </c>
      <c r="Q90" s="48">
        <f>IFERROR(__xludf.DUMMYFUNCTION("""COMPUTED_VALUE"""),240.0)</f>
        <v>240</v>
      </c>
      <c r="R90" s="48">
        <f>IFERROR(__xludf.DUMMYFUNCTION("""COMPUTED_VALUE"""),240.0)</f>
        <v>240</v>
      </c>
      <c r="S90" s="39" t="str">
        <f>IFERROR(__xludf.DUMMYFUNCTION("""COMPUTED_VALUE"""),"Rentabilidad $2,500,000")</f>
        <v>Rentabilidad $2,500,000</v>
      </c>
      <c r="T90" s="40" t="str">
        <f>IFERROR(__xludf.DUMMYFUNCTION("""COMPUTED_VALUE"""),"Neiva")</f>
        <v>Neiva</v>
      </c>
      <c r="U90" s="39" t="str">
        <f>IFERROR(__xludf.DUMMYFUNCTION("""COMPUTED_VALUE"""),"2")</f>
        <v>2</v>
      </c>
      <c r="V90" s="40" t="str">
        <f>IFERROR(__xludf.DUMMYFUNCTION("""COMPUTED_VALUE"""),"Esquinera")</f>
        <v>Esquinera</v>
      </c>
      <c r="W90" s="46"/>
      <c r="X90" s="46">
        <f>IFERROR(__xludf.DUMMYFUNCTION("""COMPUTED_VALUE"""),2.0)</f>
        <v>2</v>
      </c>
      <c r="Y90" s="53" t="str">
        <f>IFERROR(__xludf.DUMMYFUNCTION("""COMPUTED_VALUE"""),"No tiene")</f>
        <v>No tiene</v>
      </c>
      <c r="Z90" s="42" t="str">
        <f>IFERROR(__xludf.DUMMYFUNCTION("""COMPUTED_VALUE"""),"No aplica")</f>
        <v>No aplica</v>
      </c>
      <c r="AA90" s="49" t="str">
        <f>IFERROR(__xludf.DUMMYFUNCTION("""COMPUTED_VALUE"""),"23 años")</f>
        <v>23 años</v>
      </c>
      <c r="AB90" s="48"/>
      <c r="AC90" s="40"/>
      <c r="AD90" s="40"/>
      <c r="AE90" s="40"/>
      <c r="AF90" s="40" t="str">
        <f>IFERROR(__xludf.DUMMYFUNCTION("""COMPUTED_VALUE"""),"semi-integral")</f>
        <v>semi-integral</v>
      </c>
      <c r="AG90" s="40"/>
      <c r="AH90" s="40" t="str">
        <f>IFERROR(__xludf.DUMMYFUNCTION("""COMPUTED_VALUE"""),"Inventario")</f>
        <v>Inventario</v>
      </c>
      <c r="AI90" s="40"/>
      <c r="AJ90" s="40" t="str">
        <f>IFERROR(__xludf.DUMMYFUNCTION("""COMPUTED_VALUE"""),"ICDE")</f>
        <v>ICDE</v>
      </c>
      <c r="AK90" s="40"/>
      <c r="AL90" s="40" t="str">
        <f>IFERROR(__xludf.DUMMYFUNCTION("""COMPUTED_VALUE"""),"NO FOTOS + DESCRIPCION")</f>
        <v>NO FOTOS + DESCRIPCION</v>
      </c>
      <c r="AM90" s="40">
        <f>IFERROR(__xludf.DUMMYFUNCTION("""COMPUTED_VALUE"""),3.204089254E9)</f>
        <v>3204089254</v>
      </c>
      <c r="AN90" s="40">
        <f>IFERROR(__xludf.DUMMYFUNCTION("""COMPUTED_VALUE"""),3.204089254E9)</f>
        <v>3204089254</v>
      </c>
      <c r="AO90" s="40" t="str">
        <f>IFERROR(__xludf.DUMMYFUNCTION("""COMPUTED_VALUE"""),"Claudia")</f>
        <v>Claudia</v>
      </c>
      <c r="AP90" s="40" t="str">
        <f>IFERROR(__xludf.DUMMYFUNCTION("""COMPUTED_VALUE"""),"AV.  26 No. 37-29")</f>
        <v>AV.  26 No. 37-29</v>
      </c>
      <c r="AQ90" s="40"/>
      <c r="AR90" s="40"/>
      <c r="AS90" s="53">
        <f>IFERROR(__xludf.DUMMYFUNCTION("""COMPUTED_VALUE"""),2500000.0)</f>
        <v>2500000</v>
      </c>
      <c r="AT90" s="40">
        <f>IFERROR(__xludf.DUMMYFUNCTION("""COMPUTED_VALUE"""),0.0)</f>
        <v>0</v>
      </c>
      <c r="AU90" s="40">
        <f>IFERROR(__xludf.DUMMYFUNCTION("""COMPUTED_VALUE"""),0.0)</f>
        <v>0</v>
      </c>
      <c r="AV90" s="40">
        <f>IFERROR(__xludf.DUMMYFUNCTION("""COMPUTED_VALUE"""),0.0)</f>
        <v>0</v>
      </c>
      <c r="AW90" s="40" t="str">
        <f>IFERROR(__xludf.DUMMYFUNCTION("""COMPUTED_VALUE"""),"NO")</f>
        <v>NO</v>
      </c>
      <c r="AX90" s="40">
        <f>IFERROR(__xludf.DUMMYFUNCTION("""COMPUTED_VALUE"""),0.0)</f>
        <v>0</v>
      </c>
      <c r="AY90" s="40">
        <f>IFERROR(__xludf.DUMMYFUNCTION("""COMPUTED_VALUE"""),0.0)</f>
        <v>0</v>
      </c>
      <c r="AZ90" s="40">
        <f>IFERROR(__xludf.DUMMYFUNCTION("""COMPUTED_VALUE"""),10.0)</f>
        <v>10</v>
      </c>
      <c r="BA90" s="40" t="str">
        <f>IFERROR(__xludf.DUMMYFUNCTION("""COMPUTED_VALUE"""),"X")</f>
        <v>X</v>
      </c>
      <c r="BB90" s="40">
        <f>IFERROR(__xludf.DUMMYFUNCTION("""COMPUTED_VALUE"""),24.0)</f>
        <v>24</v>
      </c>
      <c r="BC90" s="53" t="str">
        <f>IFERROR(__xludf.DUMMYFUNCTION("""COMPUTED_VALUE"""),"15 - SINDY MARCELA")</f>
        <v>15 - SINDY MARCELA</v>
      </c>
      <c r="BD90" s="48"/>
      <c r="BE90" s="48"/>
      <c r="BF90" s="48"/>
    </row>
    <row r="91">
      <c r="A91" s="39" t="str">
        <f>IFERROR(__xludf.DUMMYFUNCTION("""COMPUTED_VALUE"""),"536")</f>
        <v>536</v>
      </c>
      <c r="B91" s="40" t="str">
        <f>IFERROR(__xludf.DUMMYFUNCTION("""COMPUTED_VALUE"""),"Casa con apartamento en barrio Campo Nuñez")</f>
        <v>Casa con apartamento en barrio Campo Nuñez</v>
      </c>
      <c r="C91" s="40" t="str">
        <f>IFERROR(__xludf.DUMMYFUNCTION("""COMPUTED_VALUE"""),"Casa rentable")</f>
        <v>Casa rentable</v>
      </c>
      <c r="D91" s="40" t="str">
        <f>IFERROR(__xludf.DUMMYFUNCTION("""COMPUTED_VALUE"""),"Campo Nuñez")</f>
        <v>Campo Nuñez</v>
      </c>
      <c r="E91" s="40"/>
      <c r="F91" s="42">
        <f>IFERROR(__xludf.DUMMYFUNCTION("""COMPUTED_VALUE"""),6.5E8)</f>
        <v>650000000</v>
      </c>
      <c r="G91" s="40" t="str">
        <f>IFERROR(__xludf.DUMMYFUNCTION("""COMPUTED_VALUE"""),"$500'000.000 a $1.000'000.000")</f>
        <v>$500'000.000 a $1.000'000.000</v>
      </c>
      <c r="H91" s="40"/>
      <c r="I91" s="40"/>
      <c r="J91" s="40" t="str">
        <f>IFERROR(__xludf.DUMMYFUNCTION("""COMPUTED_VALUE"""),"Centro")</f>
        <v>Centro</v>
      </c>
      <c r="K91" s="39" t="str">
        <f>IFERROR(__xludf.DUMMYFUNCTION("""COMPUTED_VALUE"""),"3")</f>
        <v>3</v>
      </c>
      <c r="L91" s="40">
        <f>IFERROR(__xludf.DUMMYFUNCTION("""COMPUTED_VALUE"""),5.0)</f>
        <v>5</v>
      </c>
      <c r="M91" s="40"/>
      <c r="N91" s="40">
        <f>IFERROR(__xludf.DUMMYFUNCTION("""COMPUTED_VALUE"""),2.0)</f>
        <v>2</v>
      </c>
      <c r="O91" s="40">
        <f>IFERROR(__xludf.DUMMYFUNCTION("""COMPUTED_VALUE"""),1.0)</f>
        <v>1</v>
      </c>
      <c r="P91" s="40">
        <f>IFERROR(__xludf.DUMMYFUNCTION("""COMPUTED_VALUE"""),1.0)</f>
        <v>1</v>
      </c>
      <c r="Q91" s="48"/>
      <c r="R91" s="48">
        <f>IFERROR(__xludf.DUMMYFUNCTION("""COMPUTED_VALUE"""),508.0)</f>
        <v>508</v>
      </c>
      <c r="S91" s="39" t="str">
        <f>IFERROR(__xludf.DUMMYFUNCTION("""COMPUTED_VALUE""")," ")</f>
        <v> </v>
      </c>
      <c r="T91" s="40" t="str">
        <f>IFERROR(__xludf.DUMMYFUNCTION("""COMPUTED_VALUE"""),"Neiva")</f>
        <v>Neiva</v>
      </c>
      <c r="U91" s="39"/>
      <c r="V91" s="40" t="str">
        <f>IFERROR(__xludf.DUMMYFUNCTION("""COMPUTED_VALUE"""),"Medianera")</f>
        <v>Medianera</v>
      </c>
      <c r="W91" s="46"/>
      <c r="X91" s="46"/>
      <c r="Y91" s="40" t="str">
        <f>IFERROR(__xludf.DUMMYFUNCTION("""COMPUTED_VALUE"""),"No tiene")</f>
        <v>No tiene</v>
      </c>
      <c r="Z91" s="42" t="str">
        <f>IFERROR(__xludf.DUMMYFUNCTION("""COMPUTED_VALUE"""),"No aplica")</f>
        <v>No aplica</v>
      </c>
      <c r="AA91" s="49" t="str">
        <f>IFERROR(__xludf.DUMMYFUNCTION("""COMPUTED_VALUE"""),"No aplica")</f>
        <v>No aplica</v>
      </c>
      <c r="AB91" s="40"/>
      <c r="AC91" s="40"/>
      <c r="AD91" s="40"/>
      <c r="AE91" s="40"/>
      <c r="AF91" s="40" t="str">
        <f>IFERROR(__xludf.DUMMYFUNCTION("""COMPUTED_VALUE"""),"")</f>
        <v/>
      </c>
      <c r="AG91" s="40"/>
      <c r="AH91" s="40" t="str">
        <f>IFERROR(__xludf.DUMMYFUNCTION("""COMPUTED_VALUE"""),"Inventario")</f>
        <v>Inventario</v>
      </c>
      <c r="AI91" s="40"/>
      <c r="AJ91" s="40" t="str">
        <f>IFERROR(__xludf.DUMMYFUNCTION("""COMPUTED_VALUE"""),"ICDE")</f>
        <v>ICDE</v>
      </c>
      <c r="AK91" s="40"/>
      <c r="AL91" s="40" t="str">
        <f>IFERROR(__xludf.DUMMYFUNCTION("""COMPUTED_VALUE"""),"NO FOTOS + DESCRIPCION")</f>
        <v>NO FOTOS + DESCRIPCION</v>
      </c>
      <c r="AM91" s="40">
        <f>IFERROR(__xludf.DUMMYFUNCTION("""COMPUTED_VALUE"""),3.17481679E9)</f>
        <v>3174816790</v>
      </c>
      <c r="AN91" s="40">
        <f>IFERROR(__xludf.DUMMYFUNCTION("""COMPUTED_VALUE"""),3.112834552E9)</f>
        <v>3112834552</v>
      </c>
      <c r="AO91" s="40"/>
      <c r="AP91" s="40"/>
      <c r="AQ91" s="40"/>
      <c r="AR91" s="40"/>
      <c r="AS91" s="53">
        <f>IFERROR(__xludf.DUMMYFUNCTION("""COMPUTED_VALUE"""),0.0)</f>
        <v>0</v>
      </c>
      <c r="AT91" s="40"/>
      <c r="AU91" s="40"/>
      <c r="AV91" s="40"/>
      <c r="AW91" s="40"/>
      <c r="AX91" s="40"/>
      <c r="AY91" s="40"/>
      <c r="AZ91" s="40"/>
      <c r="BA91" s="40" t="str">
        <f>IFERROR(__xludf.DUMMYFUNCTION("""COMPUTED_VALUE"""),"X")</f>
        <v>X</v>
      </c>
      <c r="BB91" s="40"/>
      <c r="BC91" s="53"/>
      <c r="BD91" s="48"/>
      <c r="BE91" s="48"/>
      <c r="BF91" s="48"/>
    </row>
    <row r="92">
      <c r="A92" s="39" t="str">
        <f>IFERROR(__xludf.DUMMYFUNCTION("""COMPUTED_VALUE"""),"129")</f>
        <v>129</v>
      </c>
      <c r="B92" s="40" t="str">
        <f>IFERROR(__xludf.DUMMYFUNCTION("""COMPUTED_VALUE"""),"Casa en barrio Chapinero")</f>
        <v>Casa en barrio Chapinero</v>
      </c>
      <c r="C92" s="40" t="str">
        <f>IFERROR(__xludf.DUMMYFUNCTION("""COMPUTED_VALUE"""),"Casa")</f>
        <v>Casa</v>
      </c>
      <c r="D92" s="40" t="str">
        <f>IFERROR(__xludf.DUMMYFUNCTION("""COMPUTED_VALUE"""),"Chapinero")</f>
        <v>Chapinero</v>
      </c>
      <c r="E92" s="42" t="str">
        <f>IFERROR(__xludf.DUMMYFUNCTION("""COMPUTED_VALUE""")," ")</f>
        <v> </v>
      </c>
      <c r="F92" s="42">
        <f>IFERROR(__xludf.DUMMYFUNCTION("""COMPUTED_VALUE"""),6.5E8)</f>
        <v>650000000</v>
      </c>
      <c r="G92" s="40" t="str">
        <f>IFERROR(__xludf.DUMMYFUNCTION("""COMPUTED_VALUE"""),"$500'000.000 a $1.000'000.000")</f>
        <v>$500'000.000 a $1.000'000.000</v>
      </c>
      <c r="H92" s="40"/>
      <c r="I92" s="40"/>
      <c r="J92" s="40" t="str">
        <f>IFERROR(__xludf.DUMMYFUNCTION("""COMPUTED_VALUE"""),"Centro")</f>
        <v>Centro</v>
      </c>
      <c r="K92" s="39" t="str">
        <f>IFERROR(__xludf.DUMMYFUNCTION("""COMPUTED_VALUE"""),"3")</f>
        <v>3</v>
      </c>
      <c r="L92" s="40">
        <f>IFERROR(__xludf.DUMMYFUNCTION("""COMPUTED_VALUE"""),5.0)</f>
        <v>5</v>
      </c>
      <c r="M92" s="40"/>
      <c r="N92" s="40">
        <f>IFERROR(__xludf.DUMMYFUNCTION("""COMPUTED_VALUE"""),2.0)</f>
        <v>2</v>
      </c>
      <c r="O92" s="40">
        <f>IFERROR(__xludf.DUMMYFUNCTION("""COMPUTED_VALUE"""),1.0)</f>
        <v>1</v>
      </c>
      <c r="P92" s="40">
        <f>IFERROR(__xludf.DUMMYFUNCTION("""COMPUTED_VALUE"""),1.0)</f>
        <v>1</v>
      </c>
      <c r="Q92" s="48"/>
      <c r="R92" s="48">
        <f>IFERROR(__xludf.DUMMYFUNCTION("""COMPUTED_VALUE"""),400.0)</f>
        <v>400</v>
      </c>
      <c r="S92" s="39" t="str">
        <f>IFERROR(__xludf.DUMMYFUNCTION("""COMPUTED_VALUE"""),"Rentabilidad $950,000")</f>
        <v>Rentabilidad $950,000</v>
      </c>
      <c r="T92" s="40" t="str">
        <f>IFERROR(__xludf.DUMMYFUNCTION("""COMPUTED_VALUE"""),"Neiva")</f>
        <v>Neiva</v>
      </c>
      <c r="U92" s="39" t="str">
        <f>IFERROR(__xludf.DUMMYFUNCTION("""COMPUTED_VALUE"""),"3")</f>
        <v>3</v>
      </c>
      <c r="V92" s="40" t="str">
        <f>IFERROR(__xludf.DUMMYFUNCTION("""COMPUTED_VALUE"""),"Medianera")</f>
        <v>Medianera</v>
      </c>
      <c r="W92" s="46"/>
      <c r="X92" s="46">
        <f>IFERROR(__xludf.DUMMYFUNCTION("""COMPUTED_VALUE"""),0.0)</f>
        <v>0</v>
      </c>
      <c r="Y92" s="40" t="str">
        <f>IFERROR(__xludf.DUMMYFUNCTION("""COMPUTED_VALUE"""),"No tiene")</f>
        <v>No tiene</v>
      </c>
      <c r="Z92" s="42" t="str">
        <f>IFERROR(__xludf.DUMMYFUNCTION("""COMPUTED_VALUE"""),"No aplica")</f>
        <v>No aplica</v>
      </c>
      <c r="AA92" s="49" t="str">
        <f>IFERROR(__xludf.DUMMYFUNCTION("""COMPUTED_VALUE"""),"57 años")</f>
        <v>57 años</v>
      </c>
      <c r="AB92" s="48"/>
      <c r="AC92" s="40"/>
      <c r="AD92" s="40"/>
      <c r="AE92" s="40"/>
      <c r="AF92" s="40" t="str">
        <f>IFERROR(__xludf.DUMMYFUNCTION("""COMPUTED_VALUE"""),"básica")</f>
        <v>básica</v>
      </c>
      <c r="AG92" s="40"/>
      <c r="AH92" s="40" t="str">
        <f>IFERROR(__xludf.DUMMYFUNCTION("""COMPUTED_VALUE"""),"Inventario")</f>
        <v>Inventario</v>
      </c>
      <c r="AI92" s="40"/>
      <c r="AJ92" s="40" t="str">
        <f>IFERROR(__xludf.DUMMYFUNCTION("""COMPUTED_VALUE"""),"ICDE")</f>
        <v>ICDE</v>
      </c>
      <c r="AK92" s="40"/>
      <c r="AL92" s="40" t="str">
        <f>IFERROR(__xludf.DUMMYFUNCTION("""COMPUTED_VALUE"""),"NO FOTOS + DESCRIPCION")</f>
        <v>NO FOTOS + DESCRIPCION</v>
      </c>
      <c r="AM92" s="40">
        <f>IFERROR(__xludf.DUMMYFUNCTION("""COMPUTED_VALUE"""),3.232820815E9)</f>
        <v>3232820815</v>
      </c>
      <c r="AN92" s="40">
        <f>IFERROR(__xludf.DUMMYFUNCTION("""COMPUTED_VALUE"""),3.158959388E9)</f>
        <v>3158959388</v>
      </c>
      <c r="AO92" s="40" t="str">
        <f>IFERROR(__xludf.DUMMYFUNCTION("""COMPUTED_VALUE"""),"RODRIGO GUTIERREZ/ PROP-BEATRIZ MAMA")</f>
        <v>RODRIGO GUTIERREZ/ PROP-BEATRIZ MAMA</v>
      </c>
      <c r="AP92" s="40" t="str">
        <f>IFERROR(__xludf.DUMMYFUNCTION("""COMPUTED_VALUE"""),"CARRERA 12 NO. 17 - 25")</f>
        <v>CARRERA 12 NO. 17 - 25</v>
      </c>
      <c r="AQ92" s="40"/>
      <c r="AR92" s="40"/>
      <c r="AS92" s="53">
        <f>IFERROR(__xludf.DUMMYFUNCTION("""COMPUTED_VALUE"""),950000.0)</f>
        <v>950000</v>
      </c>
      <c r="AT92" s="40">
        <f>IFERROR(__xludf.DUMMYFUNCTION("""COMPUTED_VALUE"""),0.0)</f>
        <v>0</v>
      </c>
      <c r="AU92" s="40">
        <f>IFERROR(__xludf.DUMMYFUNCTION("""COMPUTED_VALUE"""),0.0)</f>
        <v>0</v>
      </c>
      <c r="AV92" s="40">
        <f>IFERROR(__xludf.DUMMYFUNCTION("""COMPUTED_VALUE"""),0.0)</f>
        <v>0</v>
      </c>
      <c r="AW92" s="40" t="str">
        <f>IFERROR(__xludf.DUMMYFUNCTION("""COMPUTED_VALUE"""),"NO")</f>
        <v>NO</v>
      </c>
      <c r="AX92" s="40">
        <f>IFERROR(__xludf.DUMMYFUNCTION("""COMPUTED_VALUE"""),0.0)</f>
        <v>0</v>
      </c>
      <c r="AY92" s="40">
        <f>IFERROR(__xludf.DUMMYFUNCTION("""COMPUTED_VALUE"""),0.0)</f>
        <v>0</v>
      </c>
      <c r="AZ92" s="40">
        <f>IFERROR(__xludf.DUMMYFUNCTION("""COMPUTED_VALUE"""),20.0)</f>
        <v>20</v>
      </c>
      <c r="BA92" s="40" t="str">
        <f>IFERROR(__xludf.DUMMYFUNCTION("""COMPUTED_VALUE"""),"X")</f>
        <v>X</v>
      </c>
      <c r="BB92" s="40">
        <f>IFERROR(__xludf.DUMMYFUNCTION("""COMPUTED_VALUE"""),20.0)</f>
        <v>20</v>
      </c>
      <c r="BC92" s="53"/>
      <c r="BD92" s="48"/>
      <c r="BE92" s="48"/>
      <c r="BF92" s="48"/>
    </row>
    <row r="93">
      <c r="A93" s="39" t="str">
        <f>IFERROR(__xludf.DUMMYFUNCTION("""COMPUTED_VALUE"""),"060")</f>
        <v>060</v>
      </c>
      <c r="B93" s="40" t="str">
        <f>IFERROR(__xludf.DUMMYFUNCTION("""COMPUTED_VALUE"""),"Lote en barrio La Toma")</f>
        <v>Lote en barrio La Toma</v>
      </c>
      <c r="C93" s="40" t="str">
        <f>IFERROR(__xludf.DUMMYFUNCTION("""COMPUTED_VALUE"""),"Lote")</f>
        <v>Lote</v>
      </c>
      <c r="D93" s="40" t="str">
        <f>IFERROR(__xludf.DUMMYFUNCTION("""COMPUTED_VALUE"""),"La Toma")</f>
        <v>La Toma</v>
      </c>
      <c r="E93" s="42" t="str">
        <f>IFERROR(__xludf.DUMMYFUNCTION("""COMPUTED_VALUE""")," ")</f>
        <v> </v>
      </c>
      <c r="F93" s="42">
        <f>IFERROR(__xludf.DUMMYFUNCTION("""COMPUTED_VALUE"""),6.5E8)</f>
        <v>650000000</v>
      </c>
      <c r="G93" s="40" t="str">
        <f>IFERROR(__xludf.DUMMYFUNCTION("""COMPUTED_VALUE"""),"$500'000.000 a $1.000'000.000")</f>
        <v>$500'000.000 a $1.000'000.000</v>
      </c>
      <c r="H93" s="40"/>
      <c r="I93" s="40"/>
      <c r="J93" s="40" t="str">
        <f>IFERROR(__xludf.DUMMYFUNCTION("""COMPUTED_VALUE"""),"Centro")</f>
        <v>Centro</v>
      </c>
      <c r="K93" s="39" t="str">
        <f>IFERROR(__xludf.DUMMYFUNCTION("""COMPUTED_VALUE"""),"3")</f>
        <v>3</v>
      </c>
      <c r="L93" s="40">
        <f>IFERROR(__xludf.DUMMYFUNCTION("""COMPUTED_VALUE"""),0.0)</f>
        <v>0</v>
      </c>
      <c r="M93" s="40"/>
      <c r="N93" s="40">
        <f>IFERROR(__xludf.DUMMYFUNCTION("""COMPUTED_VALUE"""),0.0)</f>
        <v>0</v>
      </c>
      <c r="O93" s="40">
        <f>IFERROR(__xludf.DUMMYFUNCTION("""COMPUTED_VALUE"""),0.0)</f>
        <v>0</v>
      </c>
      <c r="P93" s="40">
        <f>IFERROR(__xludf.DUMMYFUNCTION("""COMPUTED_VALUE"""),0.0)</f>
        <v>0</v>
      </c>
      <c r="Q93" s="48"/>
      <c r="R93" s="48">
        <f>IFERROR(__xludf.DUMMYFUNCTION("""COMPUTED_VALUE"""),504.0)</f>
        <v>504</v>
      </c>
      <c r="S93" s="39" t="str">
        <f>IFERROR(__xludf.DUMMYFUNCTION("""COMPUTED_VALUE""")," ")</f>
        <v> </v>
      </c>
      <c r="T93" s="40" t="str">
        <f>IFERROR(__xludf.DUMMYFUNCTION("""COMPUTED_VALUE"""),"Neiva")</f>
        <v>Neiva</v>
      </c>
      <c r="U93" s="39" t="str">
        <f>IFERROR(__xludf.DUMMYFUNCTION("""COMPUTED_VALUE"""),"3")</f>
        <v>3</v>
      </c>
      <c r="V93" s="40" t="str">
        <f>IFERROR(__xludf.DUMMYFUNCTION("""COMPUTED_VALUE"""),"Medianera")</f>
        <v>Medianera</v>
      </c>
      <c r="W93" s="46"/>
      <c r="X93" s="46">
        <f>IFERROR(__xludf.DUMMYFUNCTION("""COMPUTED_VALUE"""),0.0)</f>
        <v>0</v>
      </c>
      <c r="Y93" s="40" t="str">
        <f>IFERROR(__xludf.DUMMYFUNCTION("""COMPUTED_VALUE"""),"No tiene")</f>
        <v>No tiene</v>
      </c>
      <c r="Z93" s="42" t="str">
        <f>IFERROR(__xludf.DUMMYFUNCTION("""COMPUTED_VALUE"""),"No aplica")</f>
        <v>No aplica</v>
      </c>
      <c r="AA93" s="49" t="str">
        <f>IFERROR(__xludf.DUMMYFUNCTION("""COMPUTED_VALUE"""),"No aplica")</f>
        <v>No aplica</v>
      </c>
      <c r="AB93" s="48"/>
      <c r="AC93" s="40"/>
      <c r="AD93" s="40"/>
      <c r="AE93" s="40"/>
      <c r="AF93" s="40" t="str">
        <f>IFERROR(__xludf.DUMMYFUNCTION("""COMPUTED_VALUE"""),"no")</f>
        <v>no</v>
      </c>
      <c r="AG93" s="40"/>
      <c r="AH93" s="40" t="str">
        <f>IFERROR(__xludf.DUMMYFUNCTION("""COMPUTED_VALUE"""),"Inventario")</f>
        <v>Inventario</v>
      </c>
      <c r="AI93" s="40"/>
      <c r="AJ93" s="40" t="str">
        <f>IFERROR(__xludf.DUMMYFUNCTION("""COMPUTED_VALUE"""),"ICDE")</f>
        <v>ICDE</v>
      </c>
      <c r="AK93" s="40"/>
      <c r="AL93" s="40" t="str">
        <f>IFERROR(__xludf.DUMMYFUNCTION("""COMPUTED_VALUE"""),"NO FOTOS")</f>
        <v>NO FOTOS</v>
      </c>
      <c r="AM93" s="40">
        <f>IFERROR(__xludf.DUMMYFUNCTION("""COMPUTED_VALUE"""),3.162638205E9)</f>
        <v>3162638205</v>
      </c>
      <c r="AN93" s="40">
        <f>IFERROR(__xludf.DUMMYFUNCTION("""COMPUTED_VALUE"""),3.152628295E9)</f>
        <v>3152628295</v>
      </c>
      <c r="AO93" s="40" t="str">
        <f>IFERROR(__xludf.DUMMYFUNCTION("""COMPUTED_VALUE"""),"SARO-AURA")</f>
        <v>SARO-AURA</v>
      </c>
      <c r="AP93" s="40" t="str">
        <f>IFERROR(__xludf.DUMMYFUNCTION("""COMPUTED_VALUE"""),"CALLE 13 NO. 8 - 51")</f>
        <v>CALLE 13 NO. 8 - 51</v>
      </c>
      <c r="AQ93" s="40"/>
      <c r="AR93" s="40"/>
      <c r="AS93" s="53">
        <f>IFERROR(__xludf.DUMMYFUNCTION("""COMPUTED_VALUE"""),0.0)</f>
        <v>0</v>
      </c>
      <c r="AT93" s="40">
        <f>IFERROR(__xludf.DUMMYFUNCTION("""COMPUTED_VALUE"""),0.0)</f>
        <v>0</v>
      </c>
      <c r="AU93" s="40">
        <f>IFERROR(__xludf.DUMMYFUNCTION("""COMPUTED_VALUE"""),0.0)</f>
        <v>0</v>
      </c>
      <c r="AV93" s="40">
        <f>IFERROR(__xludf.DUMMYFUNCTION("""COMPUTED_VALUE"""),0.0)</f>
        <v>0</v>
      </c>
      <c r="AW93" s="40" t="str">
        <f>IFERROR(__xludf.DUMMYFUNCTION("""COMPUTED_VALUE"""),"NO")</f>
        <v>NO</v>
      </c>
      <c r="AX93" s="40">
        <f>IFERROR(__xludf.DUMMYFUNCTION("""COMPUTED_VALUE"""),0.0)</f>
        <v>0</v>
      </c>
      <c r="AY93" s="40">
        <f>IFERROR(__xludf.DUMMYFUNCTION("""COMPUTED_VALUE"""),0.0)</f>
        <v>0</v>
      </c>
      <c r="AZ93" s="40">
        <f>IFERROR(__xludf.DUMMYFUNCTION("""COMPUTED_VALUE"""),18.0)</f>
        <v>18</v>
      </c>
      <c r="BA93" s="40" t="str">
        <f>IFERROR(__xludf.DUMMYFUNCTION("""COMPUTED_VALUE"""),"X")</f>
        <v>X</v>
      </c>
      <c r="BB93" s="40">
        <f>IFERROR(__xludf.DUMMYFUNCTION("""COMPUTED_VALUE"""),28.0)</f>
        <v>28</v>
      </c>
      <c r="BC93" s="53" t="str">
        <f>IFERROR(__xludf.DUMMYFUNCTION("""COMPUTED_VALUE"""),"5 - Inmobiliaria ROCHA - Andrés, 33 - MARIA ALEJANDRA MONTES R.")</f>
        <v>5 - Inmobiliaria ROCHA - Andrés, 33 - MARIA ALEJANDRA MONTES R.</v>
      </c>
      <c r="BD93" s="48"/>
      <c r="BE93" s="48"/>
      <c r="BF93" s="48"/>
    </row>
    <row r="94">
      <c r="A94" s="39" t="str">
        <f>IFERROR(__xludf.DUMMYFUNCTION("""COMPUTED_VALUE"""),"021")</f>
        <v>021</v>
      </c>
      <c r="B94" s="40" t="str">
        <f>IFERROR(__xludf.DUMMYFUNCTION("""COMPUTED_VALUE"""),"Casa con apartamento en barrio Las Granjas")</f>
        <v>Casa con apartamento en barrio Las Granjas</v>
      </c>
      <c r="C94" s="40" t="str">
        <f>IFERROR(__xludf.DUMMYFUNCTION("""COMPUTED_VALUE"""),"Casa rentable")</f>
        <v>Casa rentable</v>
      </c>
      <c r="D94" s="40" t="str">
        <f>IFERROR(__xludf.DUMMYFUNCTION("""COMPUTED_VALUE"""),"Las Granjas")</f>
        <v>Las Granjas</v>
      </c>
      <c r="E94" s="42" t="str">
        <f>IFERROR(__xludf.DUMMYFUNCTION("""COMPUTED_VALUE""")," ")</f>
        <v> </v>
      </c>
      <c r="F94" s="42">
        <f>IFERROR(__xludf.DUMMYFUNCTION("""COMPUTED_VALUE"""),6.5E8)</f>
        <v>650000000</v>
      </c>
      <c r="G94" s="40" t="str">
        <f>IFERROR(__xludf.DUMMYFUNCTION("""COMPUTED_VALUE"""),"$500'000.000 a $1.000'000.000")</f>
        <v>$500'000.000 a $1.000'000.000</v>
      </c>
      <c r="H94" s="40"/>
      <c r="I94" s="40"/>
      <c r="J94" s="40" t="str">
        <f>IFERROR(__xludf.DUMMYFUNCTION("""COMPUTED_VALUE"""),"Norte")</f>
        <v>Norte</v>
      </c>
      <c r="K94" s="39" t="str">
        <f>IFERROR(__xludf.DUMMYFUNCTION("""COMPUTED_VALUE"""),"2")</f>
        <v>2</v>
      </c>
      <c r="L94" s="40">
        <f>IFERROR(__xludf.DUMMYFUNCTION("""COMPUTED_VALUE"""),6.0)</f>
        <v>6</v>
      </c>
      <c r="M94" s="40"/>
      <c r="N94" s="40">
        <f>IFERROR(__xludf.DUMMYFUNCTION("""COMPUTED_VALUE"""),2.0)</f>
        <v>2</v>
      </c>
      <c r="O94" s="40">
        <f>IFERROR(__xludf.DUMMYFUNCTION("""COMPUTED_VALUE"""),0.0)</f>
        <v>0</v>
      </c>
      <c r="P94" s="40">
        <f>IFERROR(__xludf.DUMMYFUNCTION("""COMPUTED_VALUE"""),1.0)</f>
        <v>1</v>
      </c>
      <c r="Q94" s="48">
        <f>IFERROR(__xludf.DUMMYFUNCTION("""COMPUTED_VALUE"""),246.0)</f>
        <v>246</v>
      </c>
      <c r="R94" s="48">
        <f>IFERROR(__xludf.DUMMYFUNCTION("""COMPUTED_VALUE"""),246.0)</f>
        <v>246</v>
      </c>
      <c r="S94" s="39" t="str">
        <f>IFERROR(__xludf.DUMMYFUNCTION("""COMPUTED_VALUE"""),"Rentabilidad $1,400,000")</f>
        <v>Rentabilidad $1,400,000</v>
      </c>
      <c r="T94" s="40" t="str">
        <f>IFERROR(__xludf.DUMMYFUNCTION("""COMPUTED_VALUE"""),"Neiva")</f>
        <v>Neiva</v>
      </c>
      <c r="U94" s="39" t="str">
        <f>IFERROR(__xludf.DUMMYFUNCTION("""COMPUTED_VALUE"""),"2")</f>
        <v>2</v>
      </c>
      <c r="V94" s="40" t="str">
        <f>IFERROR(__xludf.DUMMYFUNCTION("""COMPUTED_VALUE"""),"Medianera")</f>
        <v>Medianera</v>
      </c>
      <c r="W94" s="46"/>
      <c r="X94" s="46">
        <f>IFERROR(__xludf.DUMMYFUNCTION("""COMPUTED_VALUE"""),1.0)</f>
        <v>1</v>
      </c>
      <c r="Y94" s="40" t="str">
        <f>IFERROR(__xludf.DUMMYFUNCTION("""COMPUTED_VALUE"""),"No tiene")</f>
        <v>No tiene</v>
      </c>
      <c r="Z94" s="42" t="str">
        <f>IFERROR(__xludf.DUMMYFUNCTION("""COMPUTED_VALUE"""),"No aplica")</f>
        <v>No aplica</v>
      </c>
      <c r="AA94" s="49" t="str">
        <f>IFERROR(__xludf.DUMMYFUNCTION("""COMPUTED_VALUE"""),"39 años")</f>
        <v>39 años</v>
      </c>
      <c r="AB94" s="105" t="str">
        <f>IFERROR(__xludf.DUMMYFUNCTION("""COMPUTED_VALUE"""),"https://photos.app.goo.gl/xnKaAo1zMB4uBUjJ8")</f>
        <v>https://photos.app.goo.gl/xnKaAo1zMB4uBUjJ8</v>
      </c>
      <c r="AC94" s="40"/>
      <c r="AD94" s="40"/>
      <c r="AE94" s="40"/>
      <c r="AF94" s="40" t="str">
        <f>IFERROR(__xludf.DUMMYFUNCTION("""COMPUTED_VALUE"""),"básica")</f>
        <v>básica</v>
      </c>
      <c r="AG94" s="40"/>
      <c r="AH94" s="40" t="str">
        <f>IFERROR(__xludf.DUMMYFUNCTION("""COMPUTED_VALUE"""),"Inventario")</f>
        <v>Inventario</v>
      </c>
      <c r="AI94" s="40"/>
      <c r="AJ94" s="40" t="str">
        <f>IFERROR(__xludf.DUMMYFUNCTION("""COMPUTED_VALUE"""),"ICDE")</f>
        <v>ICDE</v>
      </c>
      <c r="AK94" s="40"/>
      <c r="AL94" s="40" t="str">
        <f>IFERROR(__xludf.DUMMYFUNCTION("""COMPUTED_VALUE"""),"NO FOTOS + DESCRIPCION")</f>
        <v>NO FOTOS + DESCRIPCION</v>
      </c>
      <c r="AM94" s="40">
        <f>IFERROR(__xludf.DUMMYFUNCTION("""COMPUTED_VALUE"""),3.186719668E9)</f>
        <v>3186719668</v>
      </c>
      <c r="AN94" s="40">
        <f>IFERROR(__xludf.DUMMYFUNCTION("""COMPUTED_VALUE"""),3.219056849E9)</f>
        <v>3219056849</v>
      </c>
      <c r="AO94" s="40" t="str">
        <f>IFERROR(__xludf.DUMMYFUNCTION("""COMPUTED_VALUE"""),"MILLER - GRACIA-MAMA DE PROPIETARIA")</f>
        <v>MILLER - GRACIA-MAMA DE PROPIETARIA</v>
      </c>
      <c r="AP94" s="40">
        <f>IFERROR(__xludf.DUMMYFUNCTION("""COMPUTED_VALUE"""),0.0)</f>
        <v>0</v>
      </c>
      <c r="AQ94" s="40"/>
      <c r="AR94" s="40"/>
      <c r="AS94" s="53">
        <f>IFERROR(__xludf.DUMMYFUNCTION("""COMPUTED_VALUE"""),1400000.0)</f>
        <v>1400000</v>
      </c>
      <c r="AT94" s="40">
        <f>IFERROR(__xludf.DUMMYFUNCTION("""COMPUTED_VALUE"""),0.0)</f>
        <v>0</v>
      </c>
      <c r="AU94" s="40">
        <f>IFERROR(__xludf.DUMMYFUNCTION("""COMPUTED_VALUE"""),0.0)</f>
        <v>0</v>
      </c>
      <c r="AV94" s="40">
        <f>IFERROR(__xludf.DUMMYFUNCTION("""COMPUTED_VALUE"""),0.0)</f>
        <v>0</v>
      </c>
      <c r="AW94" s="40" t="str">
        <f>IFERROR(__xludf.DUMMYFUNCTION("""COMPUTED_VALUE"""),"SI")</f>
        <v>SI</v>
      </c>
      <c r="AX94" s="40">
        <f>IFERROR(__xludf.DUMMYFUNCTION("""COMPUTED_VALUE"""),0.0)</f>
        <v>0</v>
      </c>
      <c r="AY94" s="40">
        <f>IFERROR(__xludf.DUMMYFUNCTION("""COMPUTED_VALUE"""),0.0)</f>
        <v>0</v>
      </c>
      <c r="AZ94" s="40">
        <f>IFERROR(__xludf.DUMMYFUNCTION("""COMPUTED_VALUE"""),13.5)</f>
        <v>13.5</v>
      </c>
      <c r="BA94" s="40" t="str">
        <f>IFERROR(__xludf.DUMMYFUNCTION("""COMPUTED_VALUE"""),"X")</f>
        <v>X</v>
      </c>
      <c r="BB94" s="40">
        <f>IFERROR(__xludf.DUMMYFUNCTION("""COMPUTED_VALUE"""),18.0)</f>
        <v>18</v>
      </c>
      <c r="BC94" s="53"/>
      <c r="BD94" s="48"/>
      <c r="BE94" s="48"/>
      <c r="BF94" s="48" t="str">
        <f>IFERROR(__xludf.DUMMYFUNCTION("""COMPUTED_VALUE"""),"https://lh3.googleusercontent.com/pw/AP1GczMzHz67XwXsYJngg4Tfk-em5kWXyuzYAiFqUVF3o3Fp4ep0a8Py5sZtO13HX2j9BsQLDJTKOQtQV4ubE3-13CFOu851XuGWY_3Yydh9GwHRm-oAi_qN=w1200|https://lh3.googleusercontent.com/pw/AP1GczO8vWtseZr18OMzwRYZ1g8kaKKGAguQh2aE4r2DGZGjdQ6yKf"&amp;"vx4MryFz6shcac-SprxBDHBCj7tMlHLb3OsY5k_0VhUx9eyqr_BSltSVOLLOTDn9o3=w1200|https://lh3.googleusercontent.com/pw/AP1GczP0Vz1XcnFflsdaoUui4glH-XDWWaW4w7gISZaIPjdJhOiKv6c1_Htb1mE-eqZAJkrJAA9OVJlEv-GG3RYgCwNBJaTqxWT0Rv0BPL94Zyrbg6R4qMFf=w1200|https://lh3.google"&amp;"usercontent.com/pw/AP1GczNXbfBlsVMGRvF_wPDtPuCg_bD8CoDXa9cYh5yCKEgJpa19kINU4wnZd9ALhGNL52NBECJcCULYlI8KzZj4J4DuiThOw9pT3-bGMAbPeu9T1TNEDz8S=w1200|https://lh3.googleusercontent.com/pw/AP1GczOHF7xCdpvUJBEoA06-7Cn5fNPLF28LTrLjWfoZD07hZ5KsLNBRV-_YH511MzAE7YzK"&amp;"HCJzgHysyYlTubyZTezGtQrl5T2esi9Uqnw2Tnd1Nt0n1HfY=w1200|https://lh3.googleusercontent.com/pw/AP1GczOO7HUAQdlQMlp62gaCnzBxHxKkkm8K6fjTyNda6bVYshvObMwnMKvuJ4h3gdxGs7N6BJMN1blL4C7BypV0ia_RqhM2AdidhzwCEo5uN4zdULtXOHx1=w1200|https://lh3.googleusercontent.com/pw"&amp;"/AP1GczObm4dk9e3o3As4iPvGlAdv2wLYMrGkhWwSco2FpxuA6VBNiATfphbbXKvdYD4pUw6uZtlhbcdO-oRJNOU4hesJK4Up6E34q7_m7hVBZO6oFd2aE5UM=w1200|https://lh3.googleusercontent.com/pw/AP1GczNLbabcmkXfmoM9CR0GuLZcw-cF42Yd9-yUGgeWLGm1AySByToVkVrkZKrUecVoJ8CRIPWtNH29_Enp00DbSk"&amp;"_lLE4rrqrtqVe-2NdZ5hY_F-z1W0qC=w1200")</f>
        <v>https://lh3.googleusercontent.com/pw/AP1GczMzHz67XwXsYJngg4Tfk-em5kWXyuzYAiFqUVF3o3Fp4ep0a8Py5sZtO13HX2j9BsQLDJTKOQtQV4ubE3-13CFOu851XuGWY_3Yydh9GwHRm-oAi_qN=w1200|https://lh3.googleusercontent.com/pw/AP1GczO8vWtseZr18OMzwRYZ1g8kaKKGAguQh2aE4r2DGZGjdQ6yKfvx4MryFz6shcac-SprxBDHBCj7tMlHLb3OsY5k_0VhUx9eyqr_BSltSVOLLOTDn9o3=w1200|https://lh3.googleusercontent.com/pw/AP1GczP0Vz1XcnFflsdaoUui4glH-XDWWaW4w7gISZaIPjdJhOiKv6c1_Htb1mE-eqZAJkrJAA9OVJlEv-GG3RYgCwNBJaTqxWT0Rv0BPL94Zyrbg6R4qMFf=w1200|https://lh3.googleusercontent.com/pw/AP1GczNXbfBlsVMGRvF_wPDtPuCg_bD8CoDXa9cYh5yCKEgJpa19kINU4wnZd9ALhGNL52NBECJcCULYlI8KzZj4J4DuiThOw9pT3-bGMAbPeu9T1TNEDz8S=w1200|https://lh3.googleusercontent.com/pw/AP1GczOHF7xCdpvUJBEoA06-7Cn5fNPLF28LTrLjWfoZD07hZ5KsLNBRV-_YH511MzAE7YzKHCJzgHysyYlTubyZTezGtQrl5T2esi9Uqnw2Tnd1Nt0n1HfY=w1200|https://lh3.googleusercontent.com/pw/AP1GczOO7HUAQdlQMlp62gaCnzBxHxKkkm8K6fjTyNda6bVYshvObMwnMKvuJ4h3gdxGs7N6BJMN1blL4C7BypV0ia_RqhM2AdidhzwCEo5uN4zdULtXOHx1=w1200|https://lh3.googleusercontent.com/pw/AP1GczObm4dk9e3o3As4iPvGlAdv2wLYMrGkhWwSco2FpxuA6VBNiATfphbbXKvdYD4pUw6uZtlhbcdO-oRJNOU4hesJK4Up6E34q7_m7hVBZO6oFd2aE5UM=w1200|https://lh3.googleusercontent.com/pw/AP1GczNLbabcmkXfmoM9CR0GuLZcw-cF42Yd9-yUGgeWLGm1AySByToVkVrkZKrUecVoJ8CRIPWtNH29_Enp00DbSk_lLE4rrqrtqVe-2NdZ5hY_F-z1W0qC=w1200</v>
      </c>
    </row>
    <row r="95">
      <c r="A95" s="39" t="str">
        <f>IFERROR(__xludf.DUMMYFUNCTION("""COMPUTED_VALUE"""),"359")</f>
        <v>359</v>
      </c>
      <c r="B95" s="40" t="str">
        <f>IFERROR(__xludf.DUMMYFUNCTION("""COMPUTED_VALUE"""),"Casa con dos locales en barrio Chapinero")</f>
        <v>Casa con dos locales en barrio Chapinero</v>
      </c>
      <c r="C95" s="40" t="str">
        <f>IFERROR(__xludf.DUMMYFUNCTION("""COMPUTED_VALUE"""),"Casa rentable")</f>
        <v>Casa rentable</v>
      </c>
      <c r="D95" s="40" t="str">
        <f>IFERROR(__xludf.DUMMYFUNCTION("""COMPUTED_VALUE"""),"Chapinero")</f>
        <v>Chapinero</v>
      </c>
      <c r="E95" s="40"/>
      <c r="F95" s="42">
        <f>IFERROR(__xludf.DUMMYFUNCTION("""COMPUTED_VALUE"""),6.0E8)</f>
        <v>600000000</v>
      </c>
      <c r="G95" s="40" t="str">
        <f>IFERROR(__xludf.DUMMYFUNCTION("""COMPUTED_VALUE"""),"$500'000.000 a $1.000'000.000")</f>
        <v>$500'000.000 a $1.000'000.000</v>
      </c>
      <c r="H95" s="40"/>
      <c r="I95" s="40"/>
      <c r="J95" s="40" t="str">
        <f>IFERROR(__xludf.DUMMYFUNCTION("""COMPUTED_VALUE"""),"Centro")</f>
        <v>Centro</v>
      </c>
      <c r="K95" s="39" t="str">
        <f>IFERROR(__xludf.DUMMYFUNCTION("""COMPUTED_VALUE"""),"3")</f>
        <v>3</v>
      </c>
      <c r="L95" s="40">
        <f>IFERROR(__xludf.DUMMYFUNCTION("""COMPUTED_VALUE"""),6.0)</f>
        <v>6</v>
      </c>
      <c r="M95" s="40"/>
      <c r="N95" s="40">
        <f>IFERROR(__xludf.DUMMYFUNCTION("""COMPUTED_VALUE"""),2.0)</f>
        <v>2</v>
      </c>
      <c r="O95" s="40">
        <f>IFERROR(__xludf.DUMMYFUNCTION("""COMPUTED_VALUE"""),1.0)</f>
        <v>1</v>
      </c>
      <c r="P95" s="40">
        <f>IFERROR(__xludf.DUMMYFUNCTION("""COMPUTED_VALUE"""),2.0)</f>
        <v>2</v>
      </c>
      <c r="Q95" s="48">
        <f>IFERROR(__xludf.DUMMYFUNCTION("""COMPUTED_VALUE"""),232.0)</f>
        <v>232</v>
      </c>
      <c r="R95" s="48">
        <f>IFERROR(__xludf.DUMMYFUNCTION("""COMPUTED_VALUE"""),141.0)</f>
        <v>141</v>
      </c>
      <c r="S95" s="39" t="str">
        <f>IFERROR(__xludf.DUMMYFUNCTION("""COMPUTED_VALUE"""),"Rentabilidad $2,000,000")</f>
        <v>Rentabilidad $2,000,000</v>
      </c>
      <c r="T95" s="40" t="str">
        <f>IFERROR(__xludf.DUMMYFUNCTION("""COMPUTED_VALUE"""),"Neiva")</f>
        <v>Neiva</v>
      </c>
      <c r="U95" s="39" t="str">
        <f>IFERROR(__xludf.DUMMYFUNCTION("""COMPUTED_VALUE"""),"2")</f>
        <v>2</v>
      </c>
      <c r="V95" s="40" t="str">
        <f>IFERROR(__xludf.DUMMYFUNCTION("""COMPUTED_VALUE"""),"Medianera")</f>
        <v>Medianera</v>
      </c>
      <c r="W95" s="46"/>
      <c r="X95" s="46" t="str">
        <f>IFERROR(__xludf.DUMMYFUNCTION("""COMPUTED_VALUE"""),"NO")</f>
        <v>NO</v>
      </c>
      <c r="Y95" s="40" t="str">
        <f>IFERROR(__xludf.DUMMYFUNCTION("""COMPUTED_VALUE"""),"No tiene")</f>
        <v>No tiene</v>
      </c>
      <c r="Z95" s="42" t="str">
        <f>IFERROR(__xludf.DUMMYFUNCTION("""COMPUTED_VALUE"""),"No aplica")</f>
        <v>No aplica</v>
      </c>
      <c r="AA95" s="49" t="str">
        <f>IFERROR(__xludf.DUMMYFUNCTION("""COMPUTED_VALUE"""),"25 años")</f>
        <v>25 años</v>
      </c>
      <c r="AB95" s="48"/>
      <c r="AC95" s="40"/>
      <c r="AD95" s="40"/>
      <c r="AE95" s="40"/>
      <c r="AF95" s="40" t="str">
        <f>IFERROR(__xludf.DUMMYFUNCTION("""COMPUTED_VALUE"""),"básica")</f>
        <v>básica</v>
      </c>
      <c r="AG95" s="40"/>
      <c r="AH95" s="40" t="str">
        <f>IFERROR(__xludf.DUMMYFUNCTION("""COMPUTED_VALUE"""),"Inventario")</f>
        <v>Inventario</v>
      </c>
      <c r="AI95" s="40"/>
      <c r="AJ95" s="40" t="str">
        <f>IFERROR(__xludf.DUMMYFUNCTION("""COMPUTED_VALUE"""),"ICDE")</f>
        <v>ICDE</v>
      </c>
      <c r="AK95" s="40"/>
      <c r="AL95" s="40" t="str">
        <f>IFERROR(__xludf.DUMMYFUNCTION("""COMPUTED_VALUE"""),"NO INTER + DESCRIPCION")</f>
        <v>NO INTER + DESCRIPCION</v>
      </c>
      <c r="AM95" s="40">
        <f>IFERROR(__xludf.DUMMYFUNCTION("""COMPUTED_VALUE"""),6.088717341E9)</f>
        <v>6088717341</v>
      </c>
      <c r="AN95" s="40">
        <f>IFERROR(__xludf.DUMMYFUNCTION("""COMPUTED_VALUE"""),3.160468224E9)</f>
        <v>3160468224</v>
      </c>
      <c r="AO95" s="40" t="str">
        <f>IFERROR(__xludf.DUMMYFUNCTION("""COMPUTED_VALUE"""),"RAFAEL MARTINEZ LOSADA-CESAR HERMANOS-INMOB. ELKIN FIGUEROA")</f>
        <v>RAFAEL MARTINEZ LOSADA-CESAR HERMANOS-INMOB. ELKIN FIGUEROA</v>
      </c>
      <c r="AP95" s="40" t="str">
        <f>IFERROR(__xludf.DUMMYFUNCTION("""COMPUTED_VALUE"""),"CARRERA 9 No. 17 - 40")</f>
        <v>CARRERA 9 No. 17 - 40</v>
      </c>
      <c r="AQ95" s="40"/>
      <c r="AR95" s="40"/>
      <c r="AS95" s="53">
        <f>IFERROR(__xludf.DUMMYFUNCTION("""COMPUTED_VALUE"""),2000000.0)</f>
        <v>2000000</v>
      </c>
      <c r="AT95" s="40">
        <f>IFERROR(__xludf.DUMMYFUNCTION("""COMPUTED_VALUE"""),0.0)</f>
        <v>0</v>
      </c>
      <c r="AU95" s="40">
        <f>IFERROR(__xludf.DUMMYFUNCTION("""COMPUTED_VALUE"""),0.0)</f>
        <v>0</v>
      </c>
      <c r="AV95" s="40">
        <f>IFERROR(__xludf.DUMMYFUNCTION("""COMPUTED_VALUE"""),0.0)</f>
        <v>0</v>
      </c>
      <c r="AW95" s="40" t="str">
        <f>IFERROR(__xludf.DUMMYFUNCTION("""COMPUTED_VALUE"""),"NO")</f>
        <v>NO</v>
      </c>
      <c r="AX95" s="40">
        <f>IFERROR(__xludf.DUMMYFUNCTION("""COMPUTED_VALUE"""),0.0)</f>
        <v>0</v>
      </c>
      <c r="AY95" s="40">
        <f>IFERROR(__xludf.DUMMYFUNCTION("""COMPUTED_VALUE"""),0.0)</f>
        <v>0</v>
      </c>
      <c r="AZ95" s="40">
        <f>IFERROR(__xludf.DUMMYFUNCTION("""COMPUTED_VALUE"""),0.0)</f>
        <v>0</v>
      </c>
      <c r="BA95" s="40" t="str">
        <f>IFERROR(__xludf.DUMMYFUNCTION("""COMPUTED_VALUE"""),"X")</f>
        <v>X</v>
      </c>
      <c r="BB95" s="40">
        <f>IFERROR(__xludf.DUMMYFUNCTION("""COMPUTED_VALUE"""),0.0)</f>
        <v>0</v>
      </c>
      <c r="BC95" s="53"/>
      <c r="BD95" s="48"/>
      <c r="BE95" s="48"/>
      <c r="BF95" s="48"/>
    </row>
    <row r="96">
      <c r="A96" s="39" t="str">
        <f>IFERROR(__xludf.DUMMYFUNCTION("""COMPUTED_VALUE"""),"349")</f>
        <v>349</v>
      </c>
      <c r="B96" s="40" t="str">
        <f>IFERROR(__xludf.DUMMYFUNCTION("""COMPUTED_VALUE"""),"Casa con dos apartamentos y una bodega en barrio Campo Nuñez")</f>
        <v>Casa con dos apartamentos y una bodega en barrio Campo Nuñez</v>
      </c>
      <c r="C96" s="40" t="str">
        <f>IFERROR(__xludf.DUMMYFUNCTION("""COMPUTED_VALUE"""),"Casa rentable")</f>
        <v>Casa rentable</v>
      </c>
      <c r="D96" s="40" t="str">
        <f>IFERROR(__xludf.DUMMYFUNCTION("""COMPUTED_VALUE"""),"Campo Nuñez")</f>
        <v>Campo Nuñez</v>
      </c>
      <c r="E96" s="40"/>
      <c r="F96" s="42">
        <f>IFERROR(__xludf.DUMMYFUNCTION("""COMPUTED_VALUE"""),6.0E8)</f>
        <v>600000000</v>
      </c>
      <c r="G96" s="40" t="str">
        <f>IFERROR(__xludf.DUMMYFUNCTION("""COMPUTED_VALUE"""),"$500'000.000 a $1.000'000.000")</f>
        <v>$500'000.000 a $1.000'000.000</v>
      </c>
      <c r="H96" s="40"/>
      <c r="I96" s="40"/>
      <c r="J96" s="40" t="str">
        <f>IFERROR(__xludf.DUMMYFUNCTION("""COMPUTED_VALUE"""),"Centro")</f>
        <v>Centro</v>
      </c>
      <c r="K96" s="39" t="str">
        <f>IFERROR(__xludf.DUMMYFUNCTION("""COMPUTED_VALUE"""),"3")</f>
        <v>3</v>
      </c>
      <c r="L96" s="40">
        <f>IFERROR(__xludf.DUMMYFUNCTION("""COMPUTED_VALUE"""),8.0)</f>
        <v>8</v>
      </c>
      <c r="M96" s="40"/>
      <c r="N96" s="40">
        <f>IFERROR(__xludf.DUMMYFUNCTION("""COMPUTED_VALUE"""),3.0)</f>
        <v>3</v>
      </c>
      <c r="O96" s="40">
        <f>IFERROR(__xludf.DUMMYFUNCTION("""COMPUTED_VALUE"""),1.0)</f>
        <v>1</v>
      </c>
      <c r="P96" s="40">
        <f>IFERROR(__xludf.DUMMYFUNCTION("""COMPUTED_VALUE"""),0.0)</f>
        <v>0</v>
      </c>
      <c r="Q96" s="48"/>
      <c r="R96" s="48">
        <f>IFERROR(__xludf.DUMMYFUNCTION("""COMPUTED_VALUE"""),282.15)</f>
        <v>282.15</v>
      </c>
      <c r="S96" s="39" t="str">
        <f>IFERROR(__xludf.DUMMYFUNCTION("""COMPUTED_VALUE"""),"Rentabilidad $3,450,000")</f>
        <v>Rentabilidad $3,450,000</v>
      </c>
      <c r="T96" s="40" t="str">
        <f>IFERROR(__xludf.DUMMYFUNCTION("""COMPUTED_VALUE"""),"Neiva")</f>
        <v>Neiva</v>
      </c>
      <c r="U96" s="39" t="str">
        <f>IFERROR(__xludf.DUMMYFUNCTION("""COMPUTED_VALUE"""),"2")</f>
        <v>2</v>
      </c>
      <c r="V96" s="40" t="str">
        <f>IFERROR(__xludf.DUMMYFUNCTION("""COMPUTED_VALUE"""),"Medianera")</f>
        <v>Medianera</v>
      </c>
      <c r="W96" s="46"/>
      <c r="X96" s="46">
        <f>IFERROR(__xludf.DUMMYFUNCTION("""COMPUTED_VALUE"""),0.0)</f>
        <v>0</v>
      </c>
      <c r="Y96" s="40" t="str">
        <f>IFERROR(__xludf.DUMMYFUNCTION("""COMPUTED_VALUE"""),"No tiene")</f>
        <v>No tiene</v>
      </c>
      <c r="Z96" s="42" t="str">
        <f>IFERROR(__xludf.DUMMYFUNCTION("""COMPUTED_VALUE"""),"No aplica")</f>
        <v>No aplica</v>
      </c>
      <c r="AA96" s="49" t="str">
        <f>IFERROR(__xludf.DUMMYFUNCTION("""COMPUTED_VALUE"""),"14 años")</f>
        <v>14 años</v>
      </c>
      <c r="AB96" s="40"/>
      <c r="AC96" s="40"/>
      <c r="AD96" s="40"/>
      <c r="AE96" s="40"/>
      <c r="AF96" s="40" t="str">
        <f>IFERROR(__xludf.DUMMYFUNCTION("""COMPUTED_VALUE"""),"semi-integral")</f>
        <v>semi-integral</v>
      </c>
      <c r="AG96" s="40"/>
      <c r="AH96" s="40" t="str">
        <f>IFERROR(__xludf.DUMMYFUNCTION("""COMPUTED_VALUE"""),"Inventario")</f>
        <v>Inventario</v>
      </c>
      <c r="AI96" s="40"/>
      <c r="AJ96" s="40" t="str">
        <f>IFERROR(__xludf.DUMMYFUNCTION("""COMPUTED_VALUE"""),"ICDE")</f>
        <v>ICDE</v>
      </c>
      <c r="AK96" s="40"/>
      <c r="AL96" s="40" t="str">
        <f>IFERROR(__xludf.DUMMYFUNCTION("""COMPUTED_VALUE"""),"NO FOTOS + DESCRIPCION")</f>
        <v>NO FOTOS + DESCRIPCION</v>
      </c>
      <c r="AM96" s="40">
        <f>IFERROR(__xludf.DUMMYFUNCTION("""COMPUTED_VALUE"""),3.17639092E9)</f>
        <v>3176390920</v>
      </c>
      <c r="AN96" s="40">
        <f>IFERROR(__xludf.DUMMYFUNCTION("""COMPUTED_VALUE"""),3.156824858E9)</f>
        <v>3156824858</v>
      </c>
      <c r="AO96" s="40" t="str">
        <f>IFERROR(__xludf.DUMMYFUNCTION("""COMPUTED_VALUE"""),"ARMANDO - HERMANA SANDRA -  NO DESEA INTERMEDIARIOS")</f>
        <v>ARMANDO - HERMANA SANDRA -  NO DESEA INTERMEDIARIOS</v>
      </c>
      <c r="AP96" s="40">
        <f>IFERROR(__xludf.DUMMYFUNCTION("""COMPUTED_VALUE"""),0.0)</f>
        <v>0</v>
      </c>
      <c r="AQ96" s="40"/>
      <c r="AR96" s="40"/>
      <c r="AS96" s="53">
        <f>IFERROR(__xludf.DUMMYFUNCTION("""COMPUTED_VALUE"""),3450000.0)</f>
        <v>3450000</v>
      </c>
      <c r="AT96" s="40">
        <f>IFERROR(__xludf.DUMMYFUNCTION("""COMPUTED_VALUE"""),0.0)</f>
        <v>0</v>
      </c>
      <c r="AU96" s="40">
        <f>IFERROR(__xludf.DUMMYFUNCTION("""COMPUTED_VALUE"""),0.0)</f>
        <v>0</v>
      </c>
      <c r="AV96" s="40">
        <f>IFERROR(__xludf.DUMMYFUNCTION("""COMPUTED_VALUE"""),0.0)</f>
        <v>0</v>
      </c>
      <c r="AW96" s="40" t="str">
        <f>IFERROR(__xludf.DUMMYFUNCTION("""COMPUTED_VALUE"""),"NO")</f>
        <v>NO</v>
      </c>
      <c r="AX96" s="40">
        <f>IFERROR(__xludf.DUMMYFUNCTION("""COMPUTED_VALUE"""),0.0)</f>
        <v>0</v>
      </c>
      <c r="AY96" s="40">
        <f>IFERROR(__xludf.DUMMYFUNCTION("""COMPUTED_VALUE"""),0.0)</f>
        <v>0</v>
      </c>
      <c r="AZ96" s="40">
        <f>IFERROR(__xludf.DUMMYFUNCTION("""COMPUTED_VALUE"""),0.0)</f>
        <v>0</v>
      </c>
      <c r="BA96" s="40" t="str">
        <f>IFERROR(__xludf.DUMMYFUNCTION("""COMPUTED_VALUE"""),"X")</f>
        <v>X</v>
      </c>
      <c r="BB96" s="40">
        <f>IFERROR(__xludf.DUMMYFUNCTION("""COMPUTED_VALUE"""),0.0)</f>
        <v>0</v>
      </c>
      <c r="BC96" s="53"/>
      <c r="BD96" s="48"/>
      <c r="BE96" s="48"/>
      <c r="BF96" s="48"/>
    </row>
    <row r="97">
      <c r="A97" s="39" t="str">
        <f>IFERROR(__xludf.DUMMYFUNCTION("""COMPUTED_VALUE"""),"785")</f>
        <v>785</v>
      </c>
      <c r="B97" s="40" t="str">
        <f>IFERROR(__xludf.DUMMYFUNCTION("""COMPUTED_VALUE"""),"Casa lote en barrio La Toma")</f>
        <v>Casa lote en barrio La Toma</v>
      </c>
      <c r="C97" s="40" t="str">
        <f>IFERROR(__xludf.DUMMYFUNCTION("""COMPUTED_VALUE"""),"Casa lote")</f>
        <v>Casa lote</v>
      </c>
      <c r="D97" s="40" t="str">
        <f>IFERROR(__xludf.DUMMYFUNCTION("""COMPUTED_VALUE"""),"La Toma")</f>
        <v>La Toma</v>
      </c>
      <c r="E97" s="42" t="str">
        <f>IFERROR(__xludf.DUMMYFUNCTION("""COMPUTED_VALUE""")," ")</f>
        <v> </v>
      </c>
      <c r="F97" s="42">
        <f>IFERROR(__xludf.DUMMYFUNCTION("""COMPUTED_VALUE"""),5.6E8)</f>
        <v>560000000</v>
      </c>
      <c r="G97" s="40" t="str">
        <f>IFERROR(__xludf.DUMMYFUNCTION("""COMPUTED_VALUE"""),"$500'000.000 a $1.000'000.000")</f>
        <v>$500'000.000 a $1.000'000.000</v>
      </c>
      <c r="H97" s="40"/>
      <c r="I97" s="40"/>
      <c r="J97" s="40" t="str">
        <f>IFERROR(__xludf.DUMMYFUNCTION("""COMPUTED_VALUE"""),"Centro")</f>
        <v>Centro</v>
      </c>
      <c r="K97" s="39" t="str">
        <f>IFERROR(__xludf.DUMMYFUNCTION("""COMPUTED_VALUE"""),"3")</f>
        <v>3</v>
      </c>
      <c r="L97" s="40">
        <f>IFERROR(__xludf.DUMMYFUNCTION("""COMPUTED_VALUE"""),0.0)</f>
        <v>0</v>
      </c>
      <c r="M97" s="40"/>
      <c r="N97" s="40">
        <f>IFERROR(__xludf.DUMMYFUNCTION("""COMPUTED_VALUE"""),0.0)</f>
        <v>0</v>
      </c>
      <c r="O97" s="40">
        <f>IFERROR(__xludf.DUMMYFUNCTION("""COMPUTED_VALUE"""),0.0)</f>
        <v>0</v>
      </c>
      <c r="P97" s="40">
        <f>IFERROR(__xludf.DUMMYFUNCTION("""COMPUTED_VALUE"""),1.0)</f>
        <v>1</v>
      </c>
      <c r="Q97" s="48" t="str">
        <f>IFERROR(__xludf.DUMMYFUNCTION("""COMPUTED_VALUE"""),"188.03")</f>
        <v>188.03</v>
      </c>
      <c r="R97" s="48">
        <f>IFERROR(__xludf.DUMMYFUNCTION("""COMPUTED_VALUE"""),400.0)</f>
        <v>400</v>
      </c>
      <c r="S97" s="39" t="str">
        <f>IFERROR(__xludf.DUMMYFUNCTION("""COMPUTED_VALUE""")," ")</f>
        <v> </v>
      </c>
      <c r="T97" s="40" t="str">
        <f>IFERROR(__xludf.DUMMYFUNCTION("""COMPUTED_VALUE"""),"Neiva")</f>
        <v>Neiva</v>
      </c>
      <c r="U97" s="39" t="str">
        <f>IFERROR(__xludf.DUMMYFUNCTION("""COMPUTED_VALUE"""),"4")</f>
        <v>4</v>
      </c>
      <c r="V97" s="40" t="str">
        <f>IFERROR(__xludf.DUMMYFUNCTION("""COMPUTED_VALUE"""),"Medianera")</f>
        <v>Medianera</v>
      </c>
      <c r="W97" s="46"/>
      <c r="X97" s="46">
        <f>IFERROR(__xludf.DUMMYFUNCTION("""COMPUTED_VALUE"""),0.0)</f>
        <v>0</v>
      </c>
      <c r="Y97" s="40" t="str">
        <f>IFERROR(__xludf.DUMMYFUNCTION("""COMPUTED_VALUE"""),"No tiene")</f>
        <v>No tiene</v>
      </c>
      <c r="Z97" s="42" t="str">
        <f>IFERROR(__xludf.DUMMYFUNCTION("""COMPUTED_VALUE"""),"No aplica")</f>
        <v>No aplica</v>
      </c>
      <c r="AA97" s="49" t="str">
        <f>IFERROR(__xludf.DUMMYFUNCTION("""COMPUTED_VALUE"""),"No aplica")</f>
        <v>No aplica</v>
      </c>
      <c r="AB97" s="40"/>
      <c r="AC97" s="40"/>
      <c r="AD97" s="40"/>
      <c r="AE97" s="40"/>
      <c r="AF97" s="40" t="str">
        <f>IFERROR(__xludf.DUMMYFUNCTION("""COMPUTED_VALUE"""),"no tiene")</f>
        <v>no tiene</v>
      </c>
      <c r="AG97" s="40"/>
      <c r="AH97" s="40" t="str">
        <f>IFERROR(__xludf.DUMMYFUNCTION("""COMPUTED_VALUE"""),"Inventario")</f>
        <v>Inventario</v>
      </c>
      <c r="AI97" s="40"/>
      <c r="AJ97" s="40" t="str">
        <f>IFERROR(__xludf.DUMMYFUNCTION("""COMPUTED_VALUE"""),"ICDE")</f>
        <v>ICDE</v>
      </c>
      <c r="AK97" s="40"/>
      <c r="AL97" s="40" t="str">
        <f>IFERROR(__xludf.DUMMYFUNCTION("""COMPUTED_VALUE"""),"NO FOTOS INT")</f>
        <v>NO FOTOS INT</v>
      </c>
      <c r="AM97" s="40">
        <f>IFERROR(__xludf.DUMMYFUNCTION("""COMPUTED_VALUE"""),3.153201082E9)</f>
        <v>3153201082</v>
      </c>
      <c r="AN97" s="40">
        <f>IFERROR(__xludf.DUMMYFUNCTION("""COMPUTED_VALUE"""),0.0)</f>
        <v>0</v>
      </c>
      <c r="AO97" s="40" t="str">
        <f>IFERROR(__xludf.DUMMYFUNCTION("""COMPUTED_VALUE"""),"INMOB. LEON CORT")</f>
        <v>INMOB. LEON CORT</v>
      </c>
      <c r="AP97" s="40" t="str">
        <f>IFERROR(__xludf.DUMMYFUNCTION("""COMPUTED_VALUE"""),"LLAMAR..OJO…OJO..SUPER OJO")</f>
        <v>LLAMAR..OJO…OJO..SUPER OJO</v>
      </c>
      <c r="AQ97" s="40"/>
      <c r="AR97" s="40"/>
      <c r="AS97" s="53">
        <f>IFERROR(__xludf.DUMMYFUNCTION("""COMPUTED_VALUE"""),0.0)</f>
        <v>0</v>
      </c>
      <c r="AT97" s="40">
        <f>IFERROR(__xludf.DUMMYFUNCTION("""COMPUTED_VALUE"""),0.0)</f>
        <v>0</v>
      </c>
      <c r="AU97" s="40">
        <f>IFERROR(__xludf.DUMMYFUNCTION("""COMPUTED_VALUE"""),0.0)</f>
        <v>0</v>
      </c>
      <c r="AV97" s="40">
        <f>IFERROR(__xludf.DUMMYFUNCTION("""COMPUTED_VALUE"""),0.0)</f>
        <v>0</v>
      </c>
      <c r="AW97" s="40" t="str">
        <f>IFERROR(__xludf.DUMMYFUNCTION("""COMPUTED_VALUE"""),"NO")</f>
        <v>NO</v>
      </c>
      <c r="AX97" s="40">
        <f>IFERROR(__xludf.DUMMYFUNCTION("""COMPUTED_VALUE"""),0.0)</f>
        <v>0</v>
      </c>
      <c r="AY97" s="40">
        <f>IFERROR(__xludf.DUMMYFUNCTION("""COMPUTED_VALUE"""),0.0)</f>
        <v>0</v>
      </c>
      <c r="AZ97" s="40">
        <f>IFERROR(__xludf.DUMMYFUNCTION("""COMPUTED_VALUE"""),0.0)</f>
        <v>0</v>
      </c>
      <c r="BA97" s="40" t="str">
        <f>IFERROR(__xludf.DUMMYFUNCTION("""COMPUTED_VALUE"""),"X")</f>
        <v>X</v>
      </c>
      <c r="BB97" s="40">
        <f>IFERROR(__xludf.DUMMYFUNCTION("""COMPUTED_VALUE"""),0.0)</f>
        <v>0</v>
      </c>
      <c r="BC97" s="53" t="str">
        <f>IFERROR(__xludf.DUMMYFUNCTION("""COMPUTED_VALUE"""),"12 - LEIDY YULIETH")</f>
        <v>12 - LEIDY YULIETH</v>
      </c>
      <c r="BD97" s="48"/>
      <c r="BE97" s="48"/>
      <c r="BF97" s="48"/>
    </row>
    <row r="98">
      <c r="A98" s="39" t="str">
        <f>IFERROR(__xludf.DUMMYFUNCTION("""COMPUTED_VALUE"""),"732")</f>
        <v>732</v>
      </c>
      <c r="B98" s="40" t="str">
        <f>IFERROR(__xludf.DUMMYFUNCTION("""COMPUTED_VALUE"""),"Casa en barrio La Toma")</f>
        <v>Casa en barrio La Toma</v>
      </c>
      <c r="C98" s="40" t="str">
        <f>IFERROR(__xludf.DUMMYFUNCTION("""COMPUTED_VALUE"""),"Casa")</f>
        <v>Casa</v>
      </c>
      <c r="D98" s="40" t="str">
        <f>IFERROR(__xludf.DUMMYFUNCTION("""COMPUTED_VALUE"""),"La Toma")</f>
        <v>La Toma</v>
      </c>
      <c r="E98" s="42" t="str">
        <f>IFERROR(__xludf.DUMMYFUNCTION("""COMPUTED_VALUE""")," ")</f>
        <v> </v>
      </c>
      <c r="F98" s="42">
        <f>IFERROR(__xludf.DUMMYFUNCTION("""COMPUTED_VALUE"""),5.5E8)</f>
        <v>550000000</v>
      </c>
      <c r="G98" s="40" t="str">
        <f>IFERROR(__xludf.DUMMYFUNCTION("""COMPUTED_VALUE"""),"$500'000.000 a $1.000'000.000")</f>
        <v>$500'000.000 a $1.000'000.000</v>
      </c>
      <c r="H98" s="40"/>
      <c r="I98" s="40"/>
      <c r="J98" s="40" t="str">
        <f>IFERROR(__xludf.DUMMYFUNCTION("""COMPUTED_VALUE"""),"Centro")</f>
        <v>Centro</v>
      </c>
      <c r="K98" s="39" t="str">
        <f>IFERROR(__xludf.DUMMYFUNCTION("""COMPUTED_VALUE"""),"3")</f>
        <v>3</v>
      </c>
      <c r="L98" s="40">
        <f>IFERROR(__xludf.DUMMYFUNCTION("""COMPUTED_VALUE"""),4.0)</f>
        <v>4</v>
      </c>
      <c r="M98" s="40"/>
      <c r="N98" s="40">
        <f>IFERROR(__xludf.DUMMYFUNCTION("""COMPUTED_VALUE"""),2.0)</f>
        <v>2</v>
      </c>
      <c r="O98" s="40">
        <f>IFERROR(__xludf.DUMMYFUNCTION("""COMPUTED_VALUE"""),0.0)</f>
        <v>0</v>
      </c>
      <c r="P98" s="40">
        <f>IFERROR(__xludf.DUMMYFUNCTION("""COMPUTED_VALUE"""),1.0)</f>
        <v>1</v>
      </c>
      <c r="Q98" s="48">
        <f>IFERROR(__xludf.DUMMYFUNCTION("""COMPUTED_VALUE"""),213.0)</f>
        <v>213</v>
      </c>
      <c r="R98" s="48">
        <f>IFERROR(__xludf.DUMMYFUNCTION("""COMPUTED_VALUE"""),231.0)</f>
        <v>231</v>
      </c>
      <c r="S98" s="39" t="str">
        <f>IFERROR(__xludf.DUMMYFUNCTION("""COMPUTED_VALUE"""),"Rentabilidad $3,500,000")</f>
        <v>Rentabilidad $3,500,000</v>
      </c>
      <c r="T98" s="40" t="str">
        <f>IFERROR(__xludf.DUMMYFUNCTION("""COMPUTED_VALUE"""),"Neiva")</f>
        <v>Neiva</v>
      </c>
      <c r="U98" s="39" t="str">
        <f>IFERROR(__xludf.DUMMYFUNCTION("""COMPUTED_VALUE"""),"3")</f>
        <v>3</v>
      </c>
      <c r="V98" s="40" t="str">
        <f>IFERROR(__xludf.DUMMYFUNCTION("""COMPUTED_VALUE"""),"Medianera")</f>
        <v>Medianera</v>
      </c>
      <c r="W98" s="46"/>
      <c r="X98" s="46">
        <f>IFERROR(__xludf.DUMMYFUNCTION("""COMPUTED_VALUE"""),0.0)</f>
        <v>0</v>
      </c>
      <c r="Y98" s="40" t="str">
        <f>IFERROR(__xludf.DUMMYFUNCTION("""COMPUTED_VALUE"""),"No tiene")</f>
        <v>No tiene</v>
      </c>
      <c r="Z98" s="42" t="str">
        <f>IFERROR(__xludf.DUMMYFUNCTION("""COMPUTED_VALUE"""),"No aplica")</f>
        <v>No aplica</v>
      </c>
      <c r="AA98" s="49" t="str">
        <f>IFERROR(__xludf.DUMMYFUNCTION("""COMPUTED_VALUE"""),"13 años")</f>
        <v>13 años</v>
      </c>
      <c r="AB98" s="48"/>
      <c r="AC98" s="40"/>
      <c r="AD98" s="40"/>
      <c r="AE98" s="40"/>
      <c r="AF98" s="40" t="str">
        <f>IFERROR(__xludf.DUMMYFUNCTION("""COMPUTED_VALUE"""),"básica")</f>
        <v>básica</v>
      </c>
      <c r="AG98" s="40"/>
      <c r="AH98" s="40" t="str">
        <f>IFERROR(__xludf.DUMMYFUNCTION("""COMPUTED_VALUE"""),"Inventario")</f>
        <v>Inventario</v>
      </c>
      <c r="AI98" s="40"/>
      <c r="AJ98" s="40" t="str">
        <f>IFERROR(__xludf.DUMMYFUNCTION("""COMPUTED_VALUE"""),"ICDE")</f>
        <v>ICDE</v>
      </c>
      <c r="AK98" s="40"/>
      <c r="AL98" s="40" t="str">
        <f>IFERROR(__xludf.DUMMYFUNCTION("""COMPUTED_VALUE"""),"NO FOTOS-FACHADA")</f>
        <v>NO FOTOS-FACHADA</v>
      </c>
      <c r="AM98" s="40">
        <f>IFERROR(__xludf.DUMMYFUNCTION("""COMPUTED_VALUE"""),3.156605983E9)</f>
        <v>3156605983</v>
      </c>
      <c r="AN98" s="40" t="str">
        <f>IFERROR(__xludf.DUMMYFUNCTION("""COMPUTED_VALUE"""),"3163955267-3192920519")</f>
        <v>3163955267-3192920519</v>
      </c>
      <c r="AO98" s="40" t="str">
        <f>IFERROR(__xludf.DUMMYFUNCTION("""COMPUTED_VALUE"""),"ROSA SOLANO")</f>
        <v>ROSA SOLANO</v>
      </c>
      <c r="AP98" s="40" t="str">
        <f>IFERROR(__xludf.DUMMYFUNCTION("""COMPUTED_VALUE"""),"CALLE 14 NO. 7A - 11")</f>
        <v>CALLE 14 NO. 7A - 11</v>
      </c>
      <c r="AQ98" s="40"/>
      <c r="AR98" s="40"/>
      <c r="AS98" s="53">
        <f>IFERROR(__xludf.DUMMYFUNCTION("""COMPUTED_VALUE"""),3500000.0)</f>
        <v>3500000</v>
      </c>
      <c r="AT98" s="40">
        <f>IFERROR(__xludf.DUMMYFUNCTION("""COMPUTED_VALUE"""),0.0)</f>
        <v>0</v>
      </c>
      <c r="AU98" s="40">
        <f>IFERROR(__xludf.DUMMYFUNCTION("""COMPUTED_VALUE"""),0.0)</f>
        <v>0</v>
      </c>
      <c r="AV98" s="40">
        <f>IFERROR(__xludf.DUMMYFUNCTION("""COMPUTED_VALUE"""),0.0)</f>
        <v>0</v>
      </c>
      <c r="AW98" s="40" t="str">
        <f>IFERROR(__xludf.DUMMYFUNCTION("""COMPUTED_VALUE"""),"NO")</f>
        <v>NO</v>
      </c>
      <c r="AX98" s="40">
        <f>IFERROR(__xludf.DUMMYFUNCTION("""COMPUTED_VALUE"""),0.0)</f>
        <v>0</v>
      </c>
      <c r="AY98" s="40">
        <f>IFERROR(__xludf.DUMMYFUNCTION("""COMPUTED_VALUE"""),0.0)</f>
        <v>0</v>
      </c>
      <c r="AZ98" s="40">
        <f>IFERROR(__xludf.DUMMYFUNCTION("""COMPUTED_VALUE"""),0.0)</f>
        <v>0</v>
      </c>
      <c r="BA98" s="40" t="str">
        <f>IFERROR(__xludf.DUMMYFUNCTION("""COMPUTED_VALUE"""),"X")</f>
        <v>X</v>
      </c>
      <c r="BB98" s="40">
        <f>IFERROR(__xludf.DUMMYFUNCTION("""COMPUTED_VALUE"""),0.0)</f>
        <v>0</v>
      </c>
      <c r="BC98" s="53" t="str">
        <f>IFERROR(__xludf.DUMMYFUNCTION("""COMPUTED_VALUE"""),"19 - PRUEBA v, 35 - LUIS ANGEL VARGAS")</f>
        <v>19 - PRUEBA v, 35 - LUIS ANGEL VARGAS</v>
      </c>
      <c r="BD98" s="48"/>
      <c r="BE98" s="48"/>
      <c r="BF98" s="48"/>
    </row>
    <row r="99">
      <c r="A99" s="39" t="str">
        <f>IFERROR(__xludf.DUMMYFUNCTION("""COMPUTED_VALUE"""),"300")</f>
        <v>300</v>
      </c>
      <c r="B99" s="40" t="str">
        <f>IFERROR(__xludf.DUMMYFUNCTION("""COMPUTED_VALUE"""),"Casa con apartaestudio y un local en barrio Santa Librada")</f>
        <v>Casa con apartaestudio y un local en barrio Santa Librada</v>
      </c>
      <c r="C99" s="40" t="str">
        <f>IFERROR(__xludf.DUMMYFUNCTION("""COMPUTED_VALUE"""),"Casa rentable")</f>
        <v>Casa rentable</v>
      </c>
      <c r="D99" s="40" t="str">
        <f>IFERROR(__xludf.DUMMYFUNCTION("""COMPUTED_VALUE"""),"Santa Librada")</f>
        <v>Santa Librada</v>
      </c>
      <c r="E99" s="40"/>
      <c r="F99" s="42">
        <f>IFERROR(__xludf.DUMMYFUNCTION("""COMPUTED_VALUE"""),5.5E8)</f>
        <v>550000000</v>
      </c>
      <c r="G99" s="40" t="str">
        <f>IFERROR(__xludf.DUMMYFUNCTION("""COMPUTED_VALUE"""),"$500'000.000 a $1.000'000.000")</f>
        <v>$500'000.000 a $1.000'000.000</v>
      </c>
      <c r="H99" s="40"/>
      <c r="I99" s="40"/>
      <c r="J99" s="40" t="str">
        <f>IFERROR(__xludf.DUMMYFUNCTION("""COMPUTED_VALUE"""),"Centro")</f>
        <v>Centro</v>
      </c>
      <c r="K99" s="39" t="str">
        <f>IFERROR(__xludf.DUMMYFUNCTION("""COMPUTED_VALUE"""),"3")</f>
        <v>3</v>
      </c>
      <c r="L99" s="40">
        <f>IFERROR(__xludf.DUMMYFUNCTION("""COMPUTED_VALUE"""),5.0)</f>
        <v>5</v>
      </c>
      <c r="M99" s="40"/>
      <c r="N99" s="40">
        <f>IFERROR(__xludf.DUMMYFUNCTION("""COMPUTED_VALUE"""),3.0)</f>
        <v>3</v>
      </c>
      <c r="O99" s="40">
        <f>IFERROR(__xludf.DUMMYFUNCTION("""COMPUTED_VALUE"""),1.0)</f>
        <v>1</v>
      </c>
      <c r="P99" s="40">
        <f>IFERROR(__xludf.DUMMYFUNCTION("""COMPUTED_VALUE"""),1.0)</f>
        <v>1</v>
      </c>
      <c r="Q99" s="48">
        <f>IFERROR(__xludf.DUMMYFUNCTION("""COMPUTED_VALUE"""),136.0)</f>
        <v>136</v>
      </c>
      <c r="R99" s="48">
        <f>IFERROR(__xludf.DUMMYFUNCTION("""COMPUTED_VALUE"""),136.0)</f>
        <v>136</v>
      </c>
      <c r="S99" s="39" t="str">
        <f>IFERROR(__xludf.DUMMYFUNCTION("""COMPUTED_VALUE"""),"Rentabilidad $1,800,000")</f>
        <v>Rentabilidad $1,800,000</v>
      </c>
      <c r="T99" s="40" t="str">
        <f>IFERROR(__xludf.DUMMYFUNCTION("""COMPUTED_VALUE"""),"Neiva")</f>
        <v>Neiva</v>
      </c>
      <c r="U99" s="39" t="str">
        <f>IFERROR(__xludf.DUMMYFUNCTION("""COMPUTED_VALUE"""),"3")</f>
        <v>3</v>
      </c>
      <c r="V99" s="40" t="str">
        <f>IFERROR(__xludf.DUMMYFUNCTION("""COMPUTED_VALUE"""),"Medianera")</f>
        <v>Medianera</v>
      </c>
      <c r="W99" s="46"/>
      <c r="X99" s="46">
        <f>IFERROR(__xludf.DUMMYFUNCTION("""COMPUTED_VALUE"""),0.0)</f>
        <v>0</v>
      </c>
      <c r="Y99" s="40"/>
      <c r="Z99" s="42" t="str">
        <f>IFERROR(__xludf.DUMMYFUNCTION("""COMPUTED_VALUE"""),"No aplica")</f>
        <v>No aplica</v>
      </c>
      <c r="AA99" s="49" t="str">
        <f>IFERROR(__xludf.DUMMYFUNCTION("""COMPUTED_VALUE"""),"25 años")</f>
        <v>25 años</v>
      </c>
      <c r="AB99" s="48"/>
      <c r="AC99" s="40" t="str">
        <f>IFERROR(__xludf.DUMMYFUNCTION("""COMPUTED_VALUE"""),"Niveles")</f>
        <v>Niveles</v>
      </c>
      <c r="AD99" s="40"/>
      <c r="AE99" s="40"/>
      <c r="AF99" s="40" t="str">
        <f>IFERROR(__xludf.DUMMYFUNCTION("""COMPUTED_VALUE"""),"básica")</f>
        <v>básica</v>
      </c>
      <c r="AG99" s="40"/>
      <c r="AH99" s="40" t="str">
        <f>IFERROR(__xludf.DUMMYFUNCTION("""COMPUTED_VALUE"""),"Inventario")</f>
        <v>Inventario</v>
      </c>
      <c r="AI99" s="40"/>
      <c r="AJ99" s="40" t="str">
        <f>IFERROR(__xludf.DUMMYFUNCTION("""COMPUTED_VALUE"""),"ICDE")</f>
        <v>ICDE</v>
      </c>
      <c r="AK99" s="40"/>
      <c r="AL99" s="40" t="str">
        <f>IFERROR(__xludf.DUMMYFUNCTION("""COMPUTED_VALUE"""),"NO FOTOS + DESCRIPCION")</f>
        <v>NO FOTOS + DESCRIPCION</v>
      </c>
      <c r="AM99" s="40">
        <f>IFERROR(__xludf.DUMMYFUNCTION("""COMPUTED_VALUE"""),3.133423646E9)</f>
        <v>3133423646</v>
      </c>
      <c r="AN99" s="40">
        <f>IFERROR(__xludf.DUMMYFUNCTION("""COMPUTED_VALUE"""),0.0)</f>
        <v>0</v>
      </c>
      <c r="AO99" s="40" t="str">
        <f>IFERROR(__xludf.DUMMYFUNCTION("""COMPUTED_VALUE"""),"FRANK CADENA")</f>
        <v>FRANK CADENA</v>
      </c>
      <c r="AP99" s="40" t="str">
        <f>IFERROR(__xludf.DUMMYFUNCTION("""COMPUTED_VALUE"""),"Calle 13 No. 14 - 21")</f>
        <v>Calle 13 No. 14 - 21</v>
      </c>
      <c r="AQ99" s="40"/>
      <c r="AR99" s="40"/>
      <c r="AS99" s="53">
        <f>IFERROR(__xludf.DUMMYFUNCTION("""COMPUTED_VALUE"""),1800000.0)</f>
        <v>1800000</v>
      </c>
      <c r="AT99" s="40">
        <f>IFERROR(__xludf.DUMMYFUNCTION("""COMPUTED_VALUE"""),0.0)</f>
        <v>0</v>
      </c>
      <c r="AU99" s="40">
        <f>IFERROR(__xludf.DUMMYFUNCTION("""COMPUTED_VALUE"""),0.0)</f>
        <v>0</v>
      </c>
      <c r="AV99" s="40">
        <f>IFERROR(__xludf.DUMMYFUNCTION("""COMPUTED_VALUE"""),0.0)</f>
        <v>0</v>
      </c>
      <c r="AW99" s="40" t="str">
        <f>IFERROR(__xludf.DUMMYFUNCTION("""COMPUTED_VALUE"""),"NO")</f>
        <v>NO</v>
      </c>
      <c r="AX99" s="40">
        <f>IFERROR(__xludf.DUMMYFUNCTION("""COMPUTED_VALUE"""),0.0)</f>
        <v>0</v>
      </c>
      <c r="AY99" s="40">
        <f>IFERROR(__xludf.DUMMYFUNCTION("""COMPUTED_VALUE"""),0.0)</f>
        <v>0</v>
      </c>
      <c r="AZ99" s="40">
        <f>IFERROR(__xludf.DUMMYFUNCTION("""COMPUTED_VALUE"""),0.0)</f>
        <v>0</v>
      </c>
      <c r="BA99" s="40" t="str">
        <f>IFERROR(__xludf.DUMMYFUNCTION("""COMPUTED_VALUE"""),"X")</f>
        <v>X</v>
      </c>
      <c r="BB99" s="40">
        <f>IFERROR(__xludf.DUMMYFUNCTION("""COMPUTED_VALUE"""),0.0)</f>
        <v>0</v>
      </c>
      <c r="BC99" s="53" t="str">
        <f>IFERROR(__xludf.DUMMYFUNCTION("""COMPUTED_VALUE"""),"28 - ALEJO CABRERA")</f>
        <v>28 - ALEJO CABRERA</v>
      </c>
      <c r="BD99" s="48"/>
      <c r="BE99" s="48"/>
      <c r="BF99" s="48"/>
    </row>
    <row r="100">
      <c r="A100" s="39" t="str">
        <f>IFERROR(__xludf.DUMMYFUNCTION("""COMPUTED_VALUE"""),"194")</f>
        <v>194</v>
      </c>
      <c r="B100" s="40" t="str">
        <f>IFERROR(__xludf.DUMMYFUNCTION("""COMPUTED_VALUE"""),"Casa lote en barrio Campo Nuñez ")</f>
        <v>Casa lote en barrio Campo Nuñez </v>
      </c>
      <c r="C100" s="40" t="str">
        <f>IFERROR(__xludf.DUMMYFUNCTION("""COMPUTED_VALUE"""),"Casa lote")</f>
        <v>Casa lote</v>
      </c>
      <c r="D100" s="40" t="str">
        <f>IFERROR(__xludf.DUMMYFUNCTION("""COMPUTED_VALUE"""),"Campo Nuñez ")</f>
        <v>Campo Nuñez </v>
      </c>
      <c r="E100" s="42" t="str">
        <f>IFERROR(__xludf.DUMMYFUNCTION("""COMPUTED_VALUE""")," ")</f>
        <v> </v>
      </c>
      <c r="F100" s="42">
        <f>IFERROR(__xludf.DUMMYFUNCTION("""COMPUTED_VALUE"""),5.5E8)</f>
        <v>550000000</v>
      </c>
      <c r="G100" s="40" t="str">
        <f>IFERROR(__xludf.DUMMYFUNCTION("""COMPUTED_VALUE"""),"$500'000.000 a $1.000'000.000")</f>
        <v>$500'000.000 a $1.000'000.000</v>
      </c>
      <c r="H100" s="40"/>
      <c r="I100" s="40"/>
      <c r="J100" s="40" t="str">
        <f>IFERROR(__xludf.DUMMYFUNCTION("""COMPUTED_VALUE"""),"Centro")</f>
        <v>Centro</v>
      </c>
      <c r="K100" s="39" t="str">
        <f>IFERROR(__xludf.DUMMYFUNCTION("""COMPUTED_VALUE"""),"3")</f>
        <v>3</v>
      </c>
      <c r="L100" s="40">
        <f>IFERROR(__xludf.DUMMYFUNCTION("""COMPUTED_VALUE"""),4.0)</f>
        <v>4</v>
      </c>
      <c r="M100" s="40"/>
      <c r="N100" s="40">
        <f>IFERROR(__xludf.DUMMYFUNCTION("""COMPUTED_VALUE"""),1.0)</f>
        <v>1</v>
      </c>
      <c r="O100" s="40">
        <f>IFERROR(__xludf.DUMMYFUNCTION("""COMPUTED_VALUE"""),1.0)</f>
        <v>1</v>
      </c>
      <c r="P100" s="40">
        <f>IFERROR(__xludf.DUMMYFUNCTION("""COMPUTED_VALUE"""),1.0)</f>
        <v>1</v>
      </c>
      <c r="Q100" s="48">
        <f>IFERROR(__xludf.DUMMYFUNCTION("""COMPUTED_VALUE"""),336.0)</f>
        <v>336</v>
      </c>
      <c r="R100" s="48">
        <f>IFERROR(__xludf.DUMMYFUNCTION("""COMPUTED_VALUE"""),336.0)</f>
        <v>336</v>
      </c>
      <c r="S100" s="39" t="str">
        <f>IFERROR(__xludf.DUMMYFUNCTION("""COMPUTED_VALUE"""),"Rentabilidad $1,500,000")</f>
        <v>Rentabilidad $1,500,000</v>
      </c>
      <c r="T100" s="40" t="str">
        <f>IFERROR(__xludf.DUMMYFUNCTION("""COMPUTED_VALUE"""),"Neiva")</f>
        <v>Neiva</v>
      </c>
      <c r="U100" s="39" t="str">
        <f>IFERROR(__xludf.DUMMYFUNCTION("""COMPUTED_VALUE"""),"4")</f>
        <v>4</v>
      </c>
      <c r="V100" s="40" t="str">
        <f>IFERROR(__xludf.DUMMYFUNCTION("""COMPUTED_VALUE"""),"Medianera")</f>
        <v>Medianera</v>
      </c>
      <c r="W100" s="46"/>
      <c r="X100" s="46">
        <f>IFERROR(__xludf.DUMMYFUNCTION("""COMPUTED_VALUE"""),0.0)</f>
        <v>0</v>
      </c>
      <c r="Y100" s="40" t="str">
        <f>IFERROR(__xludf.DUMMYFUNCTION("""COMPUTED_VALUE"""),"No tiene")</f>
        <v>No tiene</v>
      </c>
      <c r="Z100" s="42" t="str">
        <f>IFERROR(__xludf.DUMMYFUNCTION("""COMPUTED_VALUE"""),"No aplica")</f>
        <v>No aplica</v>
      </c>
      <c r="AA100" s="49" t="str">
        <f>IFERROR(__xludf.DUMMYFUNCTION("""COMPUTED_VALUE"""),"31 años")</f>
        <v>31 años</v>
      </c>
      <c r="AB100" s="48"/>
      <c r="AC100" s="40"/>
      <c r="AD100" s="40"/>
      <c r="AE100" s="40"/>
      <c r="AF100" s="40" t="str">
        <f>IFERROR(__xludf.DUMMYFUNCTION("""COMPUTED_VALUE"""),"básica")</f>
        <v>básica</v>
      </c>
      <c r="AG100" s="40"/>
      <c r="AH100" s="40" t="str">
        <f>IFERROR(__xludf.DUMMYFUNCTION("""COMPUTED_VALUE"""),"Inventario")</f>
        <v>Inventario</v>
      </c>
      <c r="AI100" s="40"/>
      <c r="AJ100" s="40" t="str">
        <f>IFERROR(__xludf.DUMMYFUNCTION("""COMPUTED_VALUE"""),"ICDE")</f>
        <v>ICDE</v>
      </c>
      <c r="AK100" s="40"/>
      <c r="AL100" s="40" t="str">
        <f>IFERROR(__xludf.DUMMYFUNCTION("""COMPUTED_VALUE"""),"NO FOTOS + DESCRIPCION")</f>
        <v>NO FOTOS + DESCRIPCION</v>
      </c>
      <c r="AM100" s="40">
        <f>IFERROR(__xludf.DUMMYFUNCTION("""COMPUTED_VALUE"""),3.167240292E9)</f>
        <v>3167240292</v>
      </c>
      <c r="AN100" s="40">
        <f>IFERROR(__xludf.DUMMYFUNCTION("""COMPUTED_VALUE"""),3.20416513E9)</f>
        <v>3204165130</v>
      </c>
      <c r="AO100" s="40" t="str">
        <f>IFERROR(__xludf.DUMMYFUNCTION("""COMPUTED_VALUE"""),"FERNANDO BEDOYA")</f>
        <v>FERNANDO BEDOYA</v>
      </c>
      <c r="AP100" s="40" t="str">
        <f>IFERROR(__xludf.DUMMYFUNCTION("""COMPUTED_VALUE"""),"CARRERA 7 A NO. 18-52")</f>
        <v>CARRERA 7 A NO. 18-52</v>
      </c>
      <c r="AQ100" s="40"/>
      <c r="AR100" s="40"/>
      <c r="AS100" s="53">
        <f>IFERROR(__xludf.DUMMYFUNCTION("""COMPUTED_VALUE"""),1500000.0)</f>
        <v>1500000</v>
      </c>
      <c r="AT100" s="40">
        <f>IFERROR(__xludf.DUMMYFUNCTION("""COMPUTED_VALUE"""),0.0)</f>
        <v>0</v>
      </c>
      <c r="AU100" s="40">
        <f>IFERROR(__xludf.DUMMYFUNCTION("""COMPUTED_VALUE"""),0.0)</f>
        <v>0</v>
      </c>
      <c r="AV100" s="40">
        <f>IFERROR(__xludf.DUMMYFUNCTION("""COMPUTED_VALUE"""),0.0)</f>
        <v>0</v>
      </c>
      <c r="AW100" s="40" t="str">
        <f>IFERROR(__xludf.DUMMYFUNCTION("""COMPUTED_VALUE"""),"NO")</f>
        <v>NO</v>
      </c>
      <c r="AX100" s="40">
        <f>IFERROR(__xludf.DUMMYFUNCTION("""COMPUTED_VALUE"""),0.0)</f>
        <v>0</v>
      </c>
      <c r="AY100" s="40">
        <f>IFERROR(__xludf.DUMMYFUNCTION("""COMPUTED_VALUE"""),0.0)</f>
        <v>0</v>
      </c>
      <c r="AZ100" s="40">
        <f>IFERROR(__xludf.DUMMYFUNCTION("""COMPUTED_VALUE"""),12.0)</f>
        <v>12</v>
      </c>
      <c r="BA100" s="40" t="str">
        <f>IFERROR(__xludf.DUMMYFUNCTION("""COMPUTED_VALUE"""),"X")</f>
        <v>X</v>
      </c>
      <c r="BB100" s="40">
        <f>IFERROR(__xludf.DUMMYFUNCTION("""COMPUTED_VALUE"""),28.0)</f>
        <v>28</v>
      </c>
      <c r="BC100" s="53" t="str">
        <f>IFERROR(__xludf.DUMMYFUNCTION("""COMPUTED_VALUE"""),"19 - PRUEBA v")</f>
        <v>19 - PRUEBA v</v>
      </c>
      <c r="BD100" s="48"/>
      <c r="BE100" s="48"/>
      <c r="BF100" s="48"/>
    </row>
    <row r="101">
      <c r="A101" s="39" t="str">
        <f>IFERROR(__xludf.DUMMYFUNCTION("""COMPUTED_VALUE"""),"061")</f>
        <v>061</v>
      </c>
      <c r="B101" s="40" t="str">
        <f>IFERROR(__xludf.DUMMYFUNCTION("""COMPUTED_VALUE"""),"Casa con dos apartamentos en barrio La Toma")</f>
        <v>Casa con dos apartamentos en barrio La Toma</v>
      </c>
      <c r="C101" s="40" t="str">
        <f>IFERROR(__xludf.DUMMYFUNCTION("""COMPUTED_VALUE"""),"Casa rentable")</f>
        <v>Casa rentable</v>
      </c>
      <c r="D101" s="40" t="str">
        <f>IFERROR(__xludf.DUMMYFUNCTION("""COMPUTED_VALUE"""),"La Toma")</f>
        <v>La Toma</v>
      </c>
      <c r="E101" s="42" t="str">
        <f>IFERROR(__xludf.DUMMYFUNCTION("""COMPUTED_VALUE""")," ")</f>
        <v> </v>
      </c>
      <c r="F101" s="42">
        <f>IFERROR(__xludf.DUMMYFUNCTION("""COMPUTED_VALUE"""),5.5E8)</f>
        <v>550000000</v>
      </c>
      <c r="G101" s="40" t="str">
        <f>IFERROR(__xludf.DUMMYFUNCTION("""COMPUTED_VALUE"""),"$500'000.000 a $1.000'000.000")</f>
        <v>$500'000.000 a $1.000'000.000</v>
      </c>
      <c r="H101" s="40"/>
      <c r="I101" s="40"/>
      <c r="J101" s="40" t="str">
        <f>IFERROR(__xludf.DUMMYFUNCTION("""COMPUTED_VALUE"""),"Centro")</f>
        <v>Centro</v>
      </c>
      <c r="K101" s="39" t="str">
        <f>IFERROR(__xludf.DUMMYFUNCTION("""COMPUTED_VALUE"""),"3")</f>
        <v>3</v>
      </c>
      <c r="L101" s="40">
        <f>IFERROR(__xludf.DUMMYFUNCTION("""COMPUTED_VALUE"""),8.0)</f>
        <v>8</v>
      </c>
      <c r="M101" s="40"/>
      <c r="N101" s="40">
        <f>IFERROR(__xludf.DUMMYFUNCTION("""COMPUTED_VALUE"""),3.0)</f>
        <v>3</v>
      </c>
      <c r="O101" s="40">
        <f>IFERROR(__xludf.DUMMYFUNCTION("""COMPUTED_VALUE"""),1.0)</f>
        <v>1</v>
      </c>
      <c r="P101" s="40">
        <f>IFERROR(__xludf.DUMMYFUNCTION("""COMPUTED_VALUE"""),2.0)</f>
        <v>2</v>
      </c>
      <c r="Q101" s="48"/>
      <c r="R101" s="48">
        <f>IFERROR(__xludf.DUMMYFUNCTION("""COMPUTED_VALUE"""),300.0)</f>
        <v>300</v>
      </c>
      <c r="S101" s="39" t="str">
        <f>IFERROR(__xludf.DUMMYFUNCTION("""COMPUTED_VALUE"""),"Rentabilidad $1,200,000")</f>
        <v>Rentabilidad $1,200,000</v>
      </c>
      <c r="T101" s="40" t="str">
        <f>IFERROR(__xludf.DUMMYFUNCTION("""COMPUTED_VALUE"""),"Neiva")</f>
        <v>Neiva</v>
      </c>
      <c r="U101" s="39" t="str">
        <f>IFERROR(__xludf.DUMMYFUNCTION("""COMPUTED_VALUE"""),"2")</f>
        <v>2</v>
      </c>
      <c r="V101" s="40" t="str">
        <f>IFERROR(__xludf.DUMMYFUNCTION("""COMPUTED_VALUE"""),"Medianera")</f>
        <v>Medianera</v>
      </c>
      <c r="W101" s="46"/>
      <c r="X101" s="46">
        <f>IFERROR(__xludf.DUMMYFUNCTION("""COMPUTED_VALUE"""),0.0)</f>
        <v>0</v>
      </c>
      <c r="Y101" s="40" t="str">
        <f>IFERROR(__xludf.DUMMYFUNCTION("""COMPUTED_VALUE"""),"No tiene")</f>
        <v>No tiene</v>
      </c>
      <c r="Z101" s="42" t="str">
        <f>IFERROR(__xludf.DUMMYFUNCTION("""COMPUTED_VALUE"""),"No aplica")</f>
        <v>No aplica</v>
      </c>
      <c r="AA101" s="49" t="str">
        <f>IFERROR(__xludf.DUMMYFUNCTION("""COMPUTED_VALUE"""),"38 años")</f>
        <v>38 años</v>
      </c>
      <c r="AB101" s="48"/>
      <c r="AC101" s="40"/>
      <c r="AD101" s="40"/>
      <c r="AE101" s="40"/>
      <c r="AF101" s="40" t="str">
        <f>IFERROR(__xludf.DUMMYFUNCTION("""COMPUTED_VALUE"""),"semi-integral")</f>
        <v>semi-integral</v>
      </c>
      <c r="AG101" s="40"/>
      <c r="AH101" s="40" t="str">
        <f>IFERROR(__xludf.DUMMYFUNCTION("""COMPUTED_VALUE"""),"Inventario")</f>
        <v>Inventario</v>
      </c>
      <c r="AI101" s="40"/>
      <c r="AJ101" s="40" t="str">
        <f>IFERROR(__xludf.DUMMYFUNCTION("""COMPUTED_VALUE"""),"ICDE")</f>
        <v>ICDE</v>
      </c>
      <c r="AK101" s="40"/>
      <c r="AL101" s="40" t="str">
        <f>IFERROR(__xludf.DUMMYFUNCTION("""COMPUTED_VALUE"""),"NO DESEA EL SERVICIO")</f>
        <v>NO DESEA EL SERVICIO</v>
      </c>
      <c r="AM101" s="40">
        <f>IFERROR(__xludf.DUMMYFUNCTION("""COMPUTED_VALUE"""),3.144017157E9)</f>
        <v>3144017157</v>
      </c>
      <c r="AN101" s="40">
        <f>IFERROR(__xludf.DUMMYFUNCTION("""COMPUTED_VALUE"""),8656070.0)</f>
        <v>8656070</v>
      </c>
      <c r="AO101" s="40" t="str">
        <f>IFERROR(__xludf.DUMMYFUNCTION("""COMPUTED_VALUE"""),"MARIA")</f>
        <v>MARIA</v>
      </c>
      <c r="AP101" s="40" t="str">
        <f>IFERROR(__xludf.DUMMYFUNCTION("""COMPUTED_VALUE"""),"CALLE 12 NO. 8 - 21")</f>
        <v>CALLE 12 NO. 8 - 21</v>
      </c>
      <c r="AQ101" s="40"/>
      <c r="AR101" s="40"/>
      <c r="AS101" s="53">
        <f>IFERROR(__xludf.DUMMYFUNCTION("""COMPUTED_VALUE"""),1200000.0)</f>
        <v>1200000</v>
      </c>
      <c r="AT101" s="40">
        <f>IFERROR(__xludf.DUMMYFUNCTION("""COMPUTED_VALUE"""),0.0)</f>
        <v>0</v>
      </c>
      <c r="AU101" s="40">
        <f>IFERROR(__xludf.DUMMYFUNCTION("""COMPUTED_VALUE"""),0.0)</f>
        <v>0</v>
      </c>
      <c r="AV101" s="40">
        <f>IFERROR(__xludf.DUMMYFUNCTION("""COMPUTED_VALUE"""),0.0)</f>
        <v>0</v>
      </c>
      <c r="AW101" s="40" t="str">
        <f>IFERROR(__xludf.DUMMYFUNCTION("""COMPUTED_VALUE"""),"NO")</f>
        <v>NO</v>
      </c>
      <c r="AX101" s="40">
        <f>IFERROR(__xludf.DUMMYFUNCTION("""COMPUTED_VALUE"""),0.0)</f>
        <v>0</v>
      </c>
      <c r="AY101" s="40">
        <f>IFERROR(__xludf.DUMMYFUNCTION("""COMPUTED_VALUE"""),0.0)</f>
        <v>0</v>
      </c>
      <c r="AZ101" s="40">
        <f>IFERROR(__xludf.DUMMYFUNCTION("""COMPUTED_VALUE"""),0.0)</f>
        <v>0</v>
      </c>
      <c r="BA101" s="40" t="str">
        <f>IFERROR(__xludf.DUMMYFUNCTION("""COMPUTED_VALUE"""),"X")</f>
        <v>X</v>
      </c>
      <c r="BB101" s="40">
        <f>IFERROR(__xludf.DUMMYFUNCTION("""COMPUTED_VALUE"""),0.0)</f>
        <v>0</v>
      </c>
      <c r="BC101" s="53"/>
      <c r="BD101" s="48"/>
      <c r="BE101" s="48"/>
      <c r="BF101" s="48"/>
    </row>
    <row r="102">
      <c r="A102" s="39" t="str">
        <f>IFERROR(__xludf.DUMMYFUNCTION("""COMPUTED_VALUE"""),"358")</f>
        <v>358</v>
      </c>
      <c r="B102" s="40" t="str">
        <f>IFERROR(__xludf.DUMMYFUNCTION("""COMPUTED_VALUE"""),"Oficina en barrio Unilago - Chapinero")</f>
        <v>Oficina en barrio Unilago - Chapinero</v>
      </c>
      <c r="C102" s="40" t="str">
        <f>IFERROR(__xludf.DUMMYFUNCTION("""COMPUTED_VALUE"""),"Oficina")</f>
        <v>Oficina</v>
      </c>
      <c r="D102" s="40" t="str">
        <f>IFERROR(__xludf.DUMMYFUNCTION("""COMPUTED_VALUE"""),"Chapinero")</f>
        <v>Chapinero</v>
      </c>
      <c r="E102" s="40"/>
      <c r="F102" s="42">
        <f>IFERROR(__xludf.DUMMYFUNCTION("""COMPUTED_VALUE"""),5.3E8)</f>
        <v>530000000</v>
      </c>
      <c r="G102" s="40" t="str">
        <f>IFERROR(__xludf.DUMMYFUNCTION("""COMPUTED_VALUE"""),"$500'000.000 a $1.000'000.000")</f>
        <v>$500'000.000 a $1.000'000.000</v>
      </c>
      <c r="H102" s="40"/>
      <c r="I102" s="40"/>
      <c r="J102" s="40" t="str">
        <f>IFERROR(__xludf.DUMMYFUNCTION("""COMPUTED_VALUE"""),"Centro")</f>
        <v>Centro</v>
      </c>
      <c r="K102" s="39" t="str">
        <f>IFERROR(__xludf.DUMMYFUNCTION("""COMPUTED_VALUE"""),"3")</f>
        <v>3</v>
      </c>
      <c r="L102" s="40">
        <f>IFERROR(__xludf.DUMMYFUNCTION("""COMPUTED_VALUE"""),1.0)</f>
        <v>1</v>
      </c>
      <c r="M102" s="40"/>
      <c r="N102" s="40">
        <f>IFERROR(__xludf.DUMMYFUNCTION("""COMPUTED_VALUE"""),1.0)</f>
        <v>1</v>
      </c>
      <c r="O102" s="40">
        <f>IFERROR(__xludf.DUMMYFUNCTION("""COMPUTED_VALUE"""),2.0)</f>
        <v>2</v>
      </c>
      <c r="P102" s="40">
        <f>IFERROR(__xludf.DUMMYFUNCTION("""COMPUTED_VALUE"""),3.0)</f>
        <v>3</v>
      </c>
      <c r="Q102" s="48" t="str">
        <f>IFERROR(__xludf.DUMMYFUNCTION("""COMPUTED_VALUE"""),"64,67")</f>
        <v>64,67</v>
      </c>
      <c r="R102" s="48" t="str">
        <f>IFERROR(__xludf.DUMMYFUNCTION("""COMPUTED_VALUE"""),"64,67")</f>
        <v>64,67</v>
      </c>
      <c r="S102" s="39" t="str">
        <f>IFERROR(__xludf.DUMMYFUNCTION("""COMPUTED_VALUE""")," ")</f>
        <v> </v>
      </c>
      <c r="T102" s="40" t="str">
        <f>IFERROR(__xludf.DUMMYFUNCTION("""COMPUTED_VALUE"""),"Neiva")</f>
        <v>Neiva</v>
      </c>
      <c r="U102" s="39" t="str">
        <f>IFERROR(__xludf.DUMMYFUNCTION("""COMPUTED_VALUE"""),"6")</f>
        <v>6</v>
      </c>
      <c r="V102" s="40"/>
      <c r="W102" s="46"/>
      <c r="X102" s="46">
        <f>IFERROR(__xludf.DUMMYFUNCTION("""COMPUTED_VALUE"""),0.0)</f>
        <v>0</v>
      </c>
      <c r="Y102" s="40" t="str">
        <f>IFERROR(__xludf.DUMMYFUNCTION("""COMPUTED_VALUE"""),"No tiene")</f>
        <v>No tiene</v>
      </c>
      <c r="Z102" s="42">
        <f>IFERROR(__xludf.DUMMYFUNCTION("""COMPUTED_VALUE"""),813000.0)</f>
        <v>813000</v>
      </c>
      <c r="AA102" s="49" t="str">
        <f>IFERROR(__xludf.DUMMYFUNCTION("""COMPUTED_VALUE"""),"No aplica")</f>
        <v>No aplica</v>
      </c>
      <c r="AB102" s="40"/>
      <c r="AC102" s="40" t="str">
        <f>IFERROR(__xludf.DUMMYFUNCTION("""COMPUTED_VALUE"""),"Ubicado en el tercer piso")</f>
        <v>Ubicado en el tercer piso</v>
      </c>
      <c r="AD102" s="40"/>
      <c r="AE102" s="40"/>
      <c r="AF102" s="40" t="str">
        <f>IFERROR(__xludf.DUMMYFUNCTION("""COMPUTED_VALUE"""),"no tiene")</f>
        <v>no tiene</v>
      </c>
      <c r="AG102" s="40"/>
      <c r="AH102" s="40" t="str">
        <f>IFERROR(__xludf.DUMMYFUNCTION("""COMPUTED_VALUE"""),"Inventario")</f>
        <v>Inventario</v>
      </c>
      <c r="AI102" s="40"/>
      <c r="AJ102" s="40" t="str">
        <f>IFERROR(__xludf.DUMMYFUNCTION("""COMPUTED_VALUE"""),"ICDE")</f>
        <v>ICDE</v>
      </c>
      <c r="AK102" s="40"/>
      <c r="AL102" s="40" t="str">
        <f>IFERROR(__xludf.DUMMYFUNCTION("""COMPUTED_VALUE"""),"TIENE FOTOS")</f>
        <v>TIENE FOTOS</v>
      </c>
      <c r="AM102" s="40">
        <f>IFERROR(__xludf.DUMMYFUNCTION("""COMPUTED_VALUE"""),3.153961784E9)</f>
        <v>3153961784</v>
      </c>
      <c r="AN102" s="40">
        <f>IFERROR(__xludf.DUMMYFUNCTION("""COMPUTED_VALUE"""),0.0)</f>
        <v>0</v>
      </c>
      <c r="AO102" s="40" t="str">
        <f>IFERROR(__xludf.DUMMYFUNCTION("""COMPUTED_VALUE"""),"GERMAN CASTAÑEDA")</f>
        <v>GERMAN CASTAÑEDA</v>
      </c>
      <c r="AP102" s="40">
        <f>IFERROR(__xludf.DUMMYFUNCTION("""COMPUTED_VALUE"""),0.0)</f>
        <v>0</v>
      </c>
      <c r="AQ102" s="40"/>
      <c r="AR102" s="40"/>
      <c r="AS102" s="53">
        <f>IFERROR(__xludf.DUMMYFUNCTION("""COMPUTED_VALUE"""),0.0)</f>
        <v>0</v>
      </c>
      <c r="AT102" s="40">
        <f>IFERROR(__xludf.DUMMYFUNCTION("""COMPUTED_VALUE"""),2.0)</f>
        <v>2</v>
      </c>
      <c r="AU102" s="40">
        <f>IFERROR(__xludf.DUMMYFUNCTION("""COMPUTED_VALUE"""),0.0)</f>
        <v>0</v>
      </c>
      <c r="AV102" s="40" t="str">
        <f>IFERROR(__xludf.DUMMYFUNCTION("""COMPUTED_VALUE"""),"SI")</f>
        <v>SI</v>
      </c>
      <c r="AW102" s="40" t="str">
        <f>IFERROR(__xludf.DUMMYFUNCTION("""COMPUTED_VALUE"""),"NO")</f>
        <v>NO</v>
      </c>
      <c r="AX102" s="40">
        <f>IFERROR(__xludf.DUMMYFUNCTION("""COMPUTED_VALUE"""),0.0)</f>
        <v>0</v>
      </c>
      <c r="AY102" s="40">
        <f>IFERROR(__xludf.DUMMYFUNCTION("""COMPUTED_VALUE"""),0.0)</f>
        <v>0</v>
      </c>
      <c r="AZ102" s="40">
        <f>IFERROR(__xludf.DUMMYFUNCTION("""COMPUTED_VALUE"""),0.0)</f>
        <v>0</v>
      </c>
      <c r="BA102" s="40" t="str">
        <f>IFERROR(__xludf.DUMMYFUNCTION("""COMPUTED_VALUE"""),"X")</f>
        <v>X</v>
      </c>
      <c r="BB102" s="40">
        <f>IFERROR(__xludf.DUMMYFUNCTION("""COMPUTED_VALUE"""),0.0)</f>
        <v>0</v>
      </c>
      <c r="BC102" s="53" t="str">
        <f>IFERROR(__xludf.DUMMYFUNCTION("""COMPUTED_VALUE"""),"20 - SAMADHI RODRIGUEZ")</f>
        <v>20 - SAMADHI RODRIGUEZ</v>
      </c>
      <c r="BD102" s="48"/>
      <c r="BE102" s="48"/>
      <c r="BF102" s="48"/>
    </row>
    <row r="103">
      <c r="A103" s="39" t="str">
        <f>IFERROR(__xludf.DUMMYFUNCTION("""COMPUTED_VALUE"""),"248")</f>
        <v>248</v>
      </c>
      <c r="B103" s="40" t="str">
        <f>IFERROR(__xludf.DUMMYFUNCTION("""COMPUTED_VALUE"""),"Casa + Local en barrio Campo Nuñez ")</f>
        <v>Casa + Local en barrio Campo Nuñez </v>
      </c>
      <c r="C103" s="40" t="str">
        <f>IFERROR(__xludf.DUMMYFUNCTION("""COMPUTED_VALUE"""),"Casa rentable")</f>
        <v>Casa rentable</v>
      </c>
      <c r="D103" s="40" t="str">
        <f>IFERROR(__xludf.DUMMYFUNCTION("""COMPUTED_VALUE"""),"Campo Nuñez ")</f>
        <v>Campo Nuñez </v>
      </c>
      <c r="E103" s="42" t="str">
        <f>IFERROR(__xludf.DUMMYFUNCTION("""COMPUTED_VALUE""")," ")</f>
        <v> </v>
      </c>
      <c r="F103" s="42">
        <f>IFERROR(__xludf.DUMMYFUNCTION("""COMPUTED_VALUE"""),5.2E8)</f>
        <v>520000000</v>
      </c>
      <c r="G103" s="40" t="str">
        <f>IFERROR(__xludf.DUMMYFUNCTION("""COMPUTED_VALUE"""),"$500'000.000 a $1.000'000.000")</f>
        <v>$500'000.000 a $1.000'000.000</v>
      </c>
      <c r="H103" s="40"/>
      <c r="I103" s="40"/>
      <c r="J103" s="40" t="str">
        <f>IFERROR(__xludf.DUMMYFUNCTION("""COMPUTED_VALUE"""),"Centro")</f>
        <v>Centro</v>
      </c>
      <c r="K103" s="39" t="str">
        <f>IFERROR(__xludf.DUMMYFUNCTION("""COMPUTED_VALUE"""),"3")</f>
        <v>3</v>
      </c>
      <c r="L103" s="40">
        <f>IFERROR(__xludf.DUMMYFUNCTION("""COMPUTED_VALUE"""),3.0)</f>
        <v>3</v>
      </c>
      <c r="M103" s="40"/>
      <c r="N103" s="40">
        <f>IFERROR(__xludf.DUMMYFUNCTION("""COMPUTED_VALUE"""),2.0)</f>
        <v>2</v>
      </c>
      <c r="O103" s="40">
        <f>IFERROR(__xludf.DUMMYFUNCTION("""COMPUTED_VALUE"""),1.0)</f>
        <v>1</v>
      </c>
      <c r="P103" s="40">
        <f>IFERROR(__xludf.DUMMYFUNCTION("""COMPUTED_VALUE"""),1.0)</f>
        <v>1</v>
      </c>
      <c r="Q103" s="48">
        <f>IFERROR(__xludf.DUMMYFUNCTION("""COMPUTED_VALUE"""),278.0)</f>
        <v>278</v>
      </c>
      <c r="R103" s="48">
        <f>IFERROR(__xludf.DUMMYFUNCTION("""COMPUTED_VALUE"""),278.0)</f>
        <v>278</v>
      </c>
      <c r="S103" s="39" t="str">
        <f>IFERROR(__xludf.DUMMYFUNCTION("""COMPUTED_VALUE"""),"Rentabilidad $1,700,000")</f>
        <v>Rentabilidad $1,700,000</v>
      </c>
      <c r="T103" s="40" t="str">
        <f>IFERROR(__xludf.DUMMYFUNCTION("""COMPUTED_VALUE"""),"Neiva")</f>
        <v>Neiva</v>
      </c>
      <c r="U103" s="39" t="str">
        <f>IFERROR(__xludf.DUMMYFUNCTION("""COMPUTED_VALUE"""),"2")</f>
        <v>2</v>
      </c>
      <c r="V103" s="40" t="str">
        <f>IFERROR(__xludf.DUMMYFUNCTION("""COMPUTED_VALUE"""),"Medianera")</f>
        <v>Medianera</v>
      </c>
      <c r="W103" s="46"/>
      <c r="X103" s="46">
        <f>IFERROR(__xludf.DUMMYFUNCTION("""COMPUTED_VALUE"""),1.0)</f>
        <v>1</v>
      </c>
      <c r="Y103" s="40" t="str">
        <f>IFERROR(__xludf.DUMMYFUNCTION("""COMPUTED_VALUE"""),"No tiene")</f>
        <v>No tiene</v>
      </c>
      <c r="Z103" s="42" t="str">
        <f>IFERROR(__xludf.DUMMYFUNCTION("""COMPUTED_VALUE"""),"No aplica")</f>
        <v>No aplica</v>
      </c>
      <c r="AA103" s="49" t="str">
        <f>IFERROR(__xludf.DUMMYFUNCTION("""COMPUTED_VALUE"""),"25 años")</f>
        <v>25 años</v>
      </c>
      <c r="AB103" s="48"/>
      <c r="AC103" s="40" t="str">
        <f>IFERROR(__xludf.DUMMYFUNCTION("""COMPUTED_VALUE""")," - (Con Placa)")</f>
        <v> - (Con Placa)</v>
      </c>
      <c r="AD103" s="40"/>
      <c r="AE103" s="40"/>
      <c r="AF103" s="40" t="str">
        <f>IFERROR(__xludf.DUMMYFUNCTION("""COMPUTED_VALUE"""),"integral")</f>
        <v>integral</v>
      </c>
      <c r="AG103" s="40"/>
      <c r="AH103" s="40" t="str">
        <f>IFERROR(__xludf.DUMMYFUNCTION("""COMPUTED_VALUE"""),"Inventario")</f>
        <v>Inventario</v>
      </c>
      <c r="AI103" s="40"/>
      <c r="AJ103" s="40" t="str">
        <f>IFERROR(__xludf.DUMMYFUNCTION("""COMPUTED_VALUE"""),"ICDE")</f>
        <v>ICDE</v>
      </c>
      <c r="AK103" s="40"/>
      <c r="AL103" s="40" t="str">
        <f>IFERROR(__xludf.DUMMYFUNCTION("""COMPUTED_VALUE"""),"NO FOTOS + DESCRIPCION")</f>
        <v>NO FOTOS + DESCRIPCION</v>
      </c>
      <c r="AM103" s="40">
        <f>IFERROR(__xludf.DUMMYFUNCTION("""COMPUTED_VALUE"""),3.128614651E9)</f>
        <v>3128614651</v>
      </c>
      <c r="AN103" s="40">
        <f>IFERROR(__xludf.DUMMYFUNCTION("""COMPUTED_VALUE"""),3.202395864E9)</f>
        <v>3202395864</v>
      </c>
      <c r="AO103" s="40"/>
      <c r="AP103" s="40" t="str">
        <f>IFERROR(__xludf.DUMMYFUNCTION("""COMPUTED_VALUE"""),"CARRERA 9 NO. 16-51")</f>
        <v>CARRERA 9 NO. 16-51</v>
      </c>
      <c r="AQ103" s="40"/>
      <c r="AR103" s="40"/>
      <c r="AS103" s="53">
        <f>IFERROR(__xludf.DUMMYFUNCTION("""COMPUTED_VALUE"""),1700000.0)</f>
        <v>1700000</v>
      </c>
      <c r="AT103" s="40">
        <f>IFERROR(__xludf.DUMMYFUNCTION("""COMPUTED_VALUE"""),0.0)</f>
        <v>0</v>
      </c>
      <c r="AU103" s="40" t="str">
        <f>IFERROR(__xludf.DUMMYFUNCTION("""COMPUTED_VALUE"""),"NO")</f>
        <v>NO</v>
      </c>
      <c r="AV103" s="40">
        <f>IFERROR(__xludf.DUMMYFUNCTION("""COMPUTED_VALUE"""),0.0)</f>
        <v>0</v>
      </c>
      <c r="AW103" s="40"/>
      <c r="AX103" s="40">
        <f>IFERROR(__xludf.DUMMYFUNCTION("""COMPUTED_VALUE"""),0.0)</f>
        <v>0</v>
      </c>
      <c r="AY103" s="40">
        <f>IFERROR(__xludf.DUMMYFUNCTION("""COMPUTED_VALUE"""),0.0)</f>
        <v>0</v>
      </c>
      <c r="AZ103" s="40">
        <f>IFERROR(__xludf.DUMMYFUNCTION("""COMPUTED_VALUE"""),8.0)</f>
        <v>8</v>
      </c>
      <c r="BA103" s="40" t="str">
        <f>IFERROR(__xludf.DUMMYFUNCTION("""COMPUTED_VALUE"""),"X")</f>
        <v>X</v>
      </c>
      <c r="BB103" s="40">
        <f>IFERROR(__xludf.DUMMYFUNCTION("""COMPUTED_VALUE"""),33.0)</f>
        <v>33</v>
      </c>
      <c r="BC103" s="53"/>
      <c r="BD103" s="48"/>
      <c r="BE103" s="48"/>
      <c r="BF103" s="48"/>
    </row>
    <row r="104">
      <c r="A104" s="39" t="str">
        <f>IFERROR(__xludf.DUMMYFUNCTION("""COMPUTED_VALUE"""),"555")</f>
        <v>555</v>
      </c>
      <c r="B104" s="40" t="str">
        <f>IFERROR(__xludf.DUMMYFUNCTION("""COMPUTED_VALUE"""),"Lote  en barrio Campo Nuñez")</f>
        <v>Lote  en barrio Campo Nuñez</v>
      </c>
      <c r="C104" s="40" t="str">
        <f>IFERROR(__xludf.DUMMYFUNCTION("""COMPUTED_VALUE"""),"Lote")</f>
        <v>Lote</v>
      </c>
      <c r="D104" s="40" t="str">
        <f>IFERROR(__xludf.DUMMYFUNCTION("""COMPUTED_VALUE"""),"Campo Nuñez")</f>
        <v>Campo Nuñez</v>
      </c>
      <c r="E104" s="40"/>
      <c r="F104" s="42">
        <f>IFERROR(__xludf.DUMMYFUNCTION("""COMPUTED_VALUE"""),5.0E8)</f>
        <v>500000000</v>
      </c>
      <c r="G104" s="40" t="str">
        <f>IFERROR(__xludf.DUMMYFUNCTION("""COMPUTED_VALUE"""),"$500'000.000 a $1.000'000.000")</f>
        <v>$500'000.000 a $1.000'000.000</v>
      </c>
      <c r="H104" s="40"/>
      <c r="I104" s="40"/>
      <c r="J104" s="40" t="str">
        <f>IFERROR(__xludf.DUMMYFUNCTION("""COMPUTED_VALUE"""),"Centro")</f>
        <v>Centro</v>
      </c>
      <c r="K104" s="39" t="str">
        <f>IFERROR(__xludf.DUMMYFUNCTION("""COMPUTED_VALUE"""),"3")</f>
        <v>3</v>
      </c>
      <c r="L104" s="40"/>
      <c r="M104" s="40"/>
      <c r="N104" s="40"/>
      <c r="O104" s="40"/>
      <c r="P104" s="40"/>
      <c r="Q104" s="48"/>
      <c r="R104" s="48">
        <f>IFERROR(__xludf.DUMMYFUNCTION("""COMPUTED_VALUE"""),250.0)</f>
        <v>250</v>
      </c>
      <c r="S104" s="39" t="str">
        <f>IFERROR(__xludf.DUMMYFUNCTION("""COMPUTED_VALUE""")," ")</f>
        <v> </v>
      </c>
      <c r="T104" s="40" t="str">
        <f>IFERROR(__xludf.DUMMYFUNCTION("""COMPUTED_VALUE"""),"Neiva")</f>
        <v>Neiva</v>
      </c>
      <c r="U104" s="39" t="str">
        <f>IFERROR(__xludf.DUMMYFUNCTION("""COMPUTED_VALUE"""),"3")</f>
        <v>3</v>
      </c>
      <c r="V104" s="40" t="str">
        <f>IFERROR(__xludf.DUMMYFUNCTION("""COMPUTED_VALUE"""),"Medianera")</f>
        <v>Medianera</v>
      </c>
      <c r="W104" s="46"/>
      <c r="X104" s="46"/>
      <c r="Y104" s="40"/>
      <c r="Z104" s="42"/>
      <c r="AA104" s="49" t="str">
        <f>IFERROR(__xludf.DUMMYFUNCTION("""COMPUTED_VALUE"""),"No aplica")</f>
        <v>No aplica</v>
      </c>
      <c r="AB104" s="48"/>
      <c r="AC104" s="40"/>
      <c r="AD104" s="40"/>
      <c r="AE104" s="40"/>
      <c r="AF104" s="40">
        <f>IFERROR(__xludf.DUMMYFUNCTION("""COMPUTED_VALUE"""),0.0)</f>
        <v>0</v>
      </c>
      <c r="AG104" s="40"/>
      <c r="AH104" s="40" t="str">
        <f>IFERROR(__xludf.DUMMYFUNCTION("""COMPUTED_VALUE"""),"Inventario")</f>
        <v>Inventario</v>
      </c>
      <c r="AI104" s="40"/>
      <c r="AJ104" s="40" t="str">
        <f>IFERROR(__xludf.DUMMYFUNCTION("""COMPUTED_VALUE"""),"ICDE")</f>
        <v>ICDE</v>
      </c>
      <c r="AK104" s="40"/>
      <c r="AL104" s="40" t="str">
        <f>IFERROR(__xludf.DUMMYFUNCTION("""COMPUTED_VALUE"""),"NO FOTOS + DESCRIPCION")</f>
        <v>NO FOTOS + DESCRIPCION</v>
      </c>
      <c r="AM104" s="40"/>
      <c r="AN104" s="40"/>
      <c r="AO104" s="40"/>
      <c r="AP104" s="40"/>
      <c r="AQ104" s="40"/>
      <c r="AR104" s="40"/>
      <c r="AS104" s="53">
        <f>IFERROR(__xludf.DUMMYFUNCTION("""COMPUTED_VALUE"""),0.0)</f>
        <v>0</v>
      </c>
      <c r="AT104" s="40"/>
      <c r="AU104" s="40"/>
      <c r="AV104" s="40"/>
      <c r="AW104" s="40"/>
      <c r="AX104" s="40"/>
      <c r="AY104" s="40"/>
      <c r="AZ104" s="40"/>
      <c r="BA104" s="40" t="str">
        <f>IFERROR(__xludf.DUMMYFUNCTION("""COMPUTED_VALUE"""),"X")</f>
        <v>X</v>
      </c>
      <c r="BB104" s="40"/>
      <c r="BC104" s="53"/>
      <c r="BD104" s="48"/>
      <c r="BE104" s="48"/>
      <c r="BF104" s="48"/>
    </row>
    <row r="105">
      <c r="A105" s="39" t="str">
        <f>IFERROR(__xludf.DUMMYFUNCTION("""COMPUTED_VALUE"""),"408")</f>
        <v>408</v>
      </c>
      <c r="B105" s="40" t="str">
        <f>IFERROR(__xludf.DUMMYFUNCTION("""COMPUTED_VALUE"""),"Casa con apartamento y apartaestudio en barrio Las Granjas")</f>
        <v>Casa con apartamento y apartaestudio en barrio Las Granjas</v>
      </c>
      <c r="C105" s="40" t="str">
        <f>IFERROR(__xludf.DUMMYFUNCTION("""COMPUTED_VALUE"""),"Casa rentable")</f>
        <v>Casa rentable</v>
      </c>
      <c r="D105" s="40" t="str">
        <f>IFERROR(__xludf.DUMMYFUNCTION("""COMPUTED_VALUE"""),"Las Granjas")</f>
        <v>Las Granjas</v>
      </c>
      <c r="E105" s="40"/>
      <c r="F105" s="42">
        <f>IFERROR(__xludf.DUMMYFUNCTION("""COMPUTED_VALUE"""),5.0E8)</f>
        <v>500000000</v>
      </c>
      <c r="G105" s="40" t="str">
        <f>IFERROR(__xludf.DUMMYFUNCTION("""COMPUTED_VALUE"""),"$500'000.000 a $1.000'000.000")</f>
        <v>$500'000.000 a $1.000'000.000</v>
      </c>
      <c r="H105" s="40"/>
      <c r="I105" s="40"/>
      <c r="J105" s="40" t="str">
        <f>IFERROR(__xludf.DUMMYFUNCTION("""COMPUTED_VALUE"""),"Norte")</f>
        <v>Norte</v>
      </c>
      <c r="K105" s="39" t="str">
        <f>IFERROR(__xludf.DUMMYFUNCTION("""COMPUTED_VALUE"""),"2")</f>
        <v>2</v>
      </c>
      <c r="L105" s="40">
        <f>IFERROR(__xludf.DUMMYFUNCTION("""COMPUTED_VALUE"""),7.0)</f>
        <v>7</v>
      </c>
      <c r="M105" s="40"/>
      <c r="N105" s="40">
        <f>IFERROR(__xludf.DUMMYFUNCTION("""COMPUTED_VALUE"""),3.0)</f>
        <v>3</v>
      </c>
      <c r="O105" s="40">
        <f>IFERROR(__xludf.DUMMYFUNCTION("""COMPUTED_VALUE"""),1.0)</f>
        <v>1</v>
      </c>
      <c r="P105" s="40">
        <f>IFERROR(__xludf.DUMMYFUNCTION("""COMPUTED_VALUE"""),1.0)</f>
        <v>1</v>
      </c>
      <c r="Q105" s="48"/>
      <c r="R105" s="48">
        <f>IFERROR(__xludf.DUMMYFUNCTION("""COMPUTED_VALUE"""),180.0)</f>
        <v>180</v>
      </c>
      <c r="S105" s="39" t="str">
        <f>IFERROR(__xludf.DUMMYFUNCTION("""COMPUTED_VALUE"""),"Rentabilidad $1,600,000")</f>
        <v>Rentabilidad $1,600,000</v>
      </c>
      <c r="T105" s="40" t="str">
        <f>IFERROR(__xludf.DUMMYFUNCTION("""COMPUTED_VALUE"""),"Neiva")</f>
        <v>Neiva</v>
      </c>
      <c r="U105" s="39" t="str">
        <f>IFERROR(__xludf.DUMMYFUNCTION("""COMPUTED_VALUE"""),"2")</f>
        <v>2</v>
      </c>
      <c r="V105" s="40" t="str">
        <f>IFERROR(__xludf.DUMMYFUNCTION("""COMPUTED_VALUE"""),"Medianera")</f>
        <v>Medianera</v>
      </c>
      <c r="W105" s="46"/>
      <c r="X105" s="46"/>
      <c r="Y105" s="40" t="str">
        <f>IFERROR(__xludf.DUMMYFUNCTION("""COMPUTED_VALUE"""),"No tiene")</f>
        <v>No tiene</v>
      </c>
      <c r="Z105" s="42" t="str">
        <f>IFERROR(__xludf.DUMMYFUNCTION("""COMPUTED_VALUE"""),"No aplica")</f>
        <v>No aplica</v>
      </c>
      <c r="AA105" s="49" t="str">
        <f>IFERROR(__xludf.DUMMYFUNCTION("""COMPUTED_VALUE"""),"26 años")</f>
        <v>26 años</v>
      </c>
      <c r="AB105" s="48"/>
      <c r="AC105" s="40"/>
      <c r="AD105" s="40"/>
      <c r="AE105" s="40"/>
      <c r="AF105" s="40" t="str">
        <f>IFERROR(__xludf.DUMMYFUNCTION("""COMPUTED_VALUE"""),"semi-integral")</f>
        <v>semi-integral</v>
      </c>
      <c r="AG105" s="40"/>
      <c r="AH105" s="40" t="str">
        <f>IFERROR(__xludf.DUMMYFUNCTION("""COMPUTED_VALUE"""),"Inventario")</f>
        <v>Inventario</v>
      </c>
      <c r="AI105" s="40"/>
      <c r="AJ105" s="40" t="str">
        <f>IFERROR(__xludf.DUMMYFUNCTION("""COMPUTED_VALUE"""),"ICDE")</f>
        <v>ICDE</v>
      </c>
      <c r="AK105" s="40" t="str">
        <f>IFERROR(__xludf.DUMMYFUNCTION("""COMPUTED_VALUE"""),"ver en google maps")</f>
        <v>ver en google maps</v>
      </c>
      <c r="AL105" s="40" t="str">
        <f>IFERROR(__xludf.DUMMYFUNCTION("""COMPUTED_VALUE"""),"NO FOTOS + DESCRIPCION")</f>
        <v>NO FOTOS + DESCRIPCION</v>
      </c>
      <c r="AM105" s="40"/>
      <c r="AN105" s="40">
        <f>IFERROR(__xludf.DUMMYFUNCTION("""COMPUTED_VALUE"""),3.133913052E9)</f>
        <v>3133913052</v>
      </c>
      <c r="AO105" s="40"/>
      <c r="AP105" s="40"/>
      <c r="AQ105" s="40"/>
      <c r="AR105" s="40"/>
      <c r="AS105" s="53">
        <f>IFERROR(__xludf.DUMMYFUNCTION("""COMPUTED_VALUE"""),1600000.0)</f>
        <v>1600000</v>
      </c>
      <c r="AT105" s="40">
        <f>IFERROR(__xludf.DUMMYFUNCTION("""COMPUTED_VALUE"""),0.0)</f>
        <v>0</v>
      </c>
      <c r="AU105" s="40"/>
      <c r="AV105" s="40"/>
      <c r="AW105" s="40"/>
      <c r="AX105" s="40"/>
      <c r="AY105" s="40" t="str">
        <f>IFERROR(__xludf.DUMMYFUNCTION("""COMPUTED_VALUE"""),"P")</f>
        <v>P</v>
      </c>
      <c r="AZ105" s="40"/>
      <c r="BA105" s="40" t="str">
        <f>IFERROR(__xludf.DUMMYFUNCTION("""COMPUTED_VALUE"""),"X")</f>
        <v>X</v>
      </c>
      <c r="BB105" s="40"/>
      <c r="BC105" s="53"/>
      <c r="BD105" s="48"/>
      <c r="BE105" s="48"/>
      <c r="BF105" s="48"/>
    </row>
    <row r="106">
      <c r="A106" s="39" t="str">
        <f>IFERROR(__xludf.DUMMYFUNCTION("""COMPUTED_VALUE"""),"402")</f>
        <v>402</v>
      </c>
      <c r="B106" s="40" t="str">
        <f>IFERROR(__xludf.DUMMYFUNCTION("""COMPUTED_VALUE"""),"Casa con un local y una apartamento en barrio Sevilla")</f>
        <v>Casa con un local y una apartamento en barrio Sevilla</v>
      </c>
      <c r="C106" s="40" t="str">
        <f>IFERROR(__xludf.DUMMYFUNCTION("""COMPUTED_VALUE"""),"Casa rentable")</f>
        <v>Casa rentable</v>
      </c>
      <c r="D106" s="40" t="str">
        <f>IFERROR(__xludf.DUMMYFUNCTION("""COMPUTED_VALUE"""),"Sevilla")</f>
        <v>Sevilla</v>
      </c>
      <c r="E106" s="40"/>
      <c r="F106" s="42">
        <f>IFERROR(__xludf.DUMMYFUNCTION("""COMPUTED_VALUE"""),5.0E8)</f>
        <v>500000000</v>
      </c>
      <c r="G106" s="40" t="str">
        <f>IFERROR(__xludf.DUMMYFUNCTION("""COMPUTED_VALUE"""),"$500'000.000 a $1.000'000.000")</f>
        <v>$500'000.000 a $1.000'000.000</v>
      </c>
      <c r="H106" s="40"/>
      <c r="I106" s="40"/>
      <c r="J106" s="40" t="str">
        <f>IFERROR(__xludf.DUMMYFUNCTION("""COMPUTED_VALUE"""),"Centro")</f>
        <v>Centro</v>
      </c>
      <c r="K106" s="39" t="str">
        <f>IFERROR(__xludf.DUMMYFUNCTION("""COMPUTED_VALUE"""),"3")</f>
        <v>3</v>
      </c>
      <c r="L106" s="40">
        <f>IFERROR(__xludf.DUMMYFUNCTION("""COMPUTED_VALUE"""),3.0)</f>
        <v>3</v>
      </c>
      <c r="M106" s="40"/>
      <c r="N106" s="40">
        <f>IFERROR(__xludf.DUMMYFUNCTION("""COMPUTED_VALUE"""),4.0)</f>
        <v>4</v>
      </c>
      <c r="O106" s="40">
        <f>IFERROR(__xludf.DUMMYFUNCTION("""COMPUTED_VALUE"""),1.0)</f>
        <v>1</v>
      </c>
      <c r="P106" s="40">
        <f>IFERROR(__xludf.DUMMYFUNCTION("""COMPUTED_VALUE"""),2.0)</f>
        <v>2</v>
      </c>
      <c r="Q106" s="48">
        <f>IFERROR(__xludf.DUMMYFUNCTION("""COMPUTED_VALUE"""),190.0)</f>
        <v>190</v>
      </c>
      <c r="R106" s="48">
        <f>IFERROR(__xludf.DUMMYFUNCTION("""COMPUTED_VALUE"""),190.0)</f>
        <v>190</v>
      </c>
      <c r="S106" s="39" t="str">
        <f>IFERROR(__xludf.DUMMYFUNCTION("""COMPUTED_VALUE"""),"Rentabilidad $1,100,000")</f>
        <v>Rentabilidad $1,100,000</v>
      </c>
      <c r="T106" s="40" t="str">
        <f>IFERROR(__xludf.DUMMYFUNCTION("""COMPUTED_VALUE"""),"Neiva")</f>
        <v>Neiva</v>
      </c>
      <c r="U106" s="39" t="str">
        <f>IFERROR(__xludf.DUMMYFUNCTION("""COMPUTED_VALUE"""),"4")</f>
        <v>4</v>
      </c>
      <c r="V106" s="40" t="str">
        <f>IFERROR(__xludf.DUMMYFUNCTION("""COMPUTED_VALUE"""),"Medianera")</f>
        <v>Medianera</v>
      </c>
      <c r="W106" s="46"/>
      <c r="X106" s="46">
        <f>IFERROR(__xludf.DUMMYFUNCTION("""COMPUTED_VALUE"""),2.0)</f>
        <v>2</v>
      </c>
      <c r="Y106" s="40" t="str">
        <f>IFERROR(__xludf.DUMMYFUNCTION("""COMPUTED_VALUE"""),"No tiene")</f>
        <v>No tiene</v>
      </c>
      <c r="Z106" s="42" t="str">
        <f>IFERROR(__xludf.DUMMYFUNCTION("""COMPUTED_VALUE"""),"No aplica")</f>
        <v>No aplica</v>
      </c>
      <c r="AA106" s="49" t="str">
        <f>IFERROR(__xludf.DUMMYFUNCTION("""COMPUTED_VALUE"""),"38 años")</f>
        <v>38 años</v>
      </c>
      <c r="AB106" s="48"/>
      <c r="AC106" s="40"/>
      <c r="AD106" s="40"/>
      <c r="AE106" s="40"/>
      <c r="AF106" s="40" t="str">
        <f>IFERROR(__xludf.DUMMYFUNCTION("""COMPUTED_VALUE"""),"semi-integral")</f>
        <v>semi-integral</v>
      </c>
      <c r="AG106" s="40"/>
      <c r="AH106" s="40" t="str">
        <f>IFERROR(__xludf.DUMMYFUNCTION("""COMPUTED_VALUE"""),"Inventario")</f>
        <v>Inventario</v>
      </c>
      <c r="AI106" s="40"/>
      <c r="AJ106" s="40" t="str">
        <f>IFERROR(__xludf.DUMMYFUNCTION("""COMPUTED_VALUE"""),"ICDE")</f>
        <v>ICDE</v>
      </c>
      <c r="AK106" s="40"/>
      <c r="AL106" s="40" t="str">
        <f>IFERROR(__xludf.DUMMYFUNCTION("""COMPUTED_VALUE"""),"NO FOTOS + DESCRIPCION")</f>
        <v>NO FOTOS + DESCRIPCION</v>
      </c>
      <c r="AM106" s="40" t="str">
        <f>IFERROR(__xludf.DUMMYFUNCTION("""COMPUTED_VALUE"""),"PROPET- 3016675793")</f>
        <v>PROPET- 3016675793</v>
      </c>
      <c r="AN106" s="40">
        <f>IFERROR(__xludf.DUMMYFUNCTION("""COMPUTED_VALUE"""),3.016675793E9)</f>
        <v>3016675793</v>
      </c>
      <c r="AO106" s="40" t="str">
        <f>IFERROR(__xludf.DUMMYFUNCTION("""COMPUTED_VALUE"""),"PROPIETARIA LORENA POLANIA")</f>
        <v>PROPIETARIA LORENA POLANIA</v>
      </c>
      <c r="AP106" s="40">
        <f>IFERROR(__xludf.DUMMYFUNCTION("""COMPUTED_VALUE"""),0.0)</f>
        <v>0</v>
      </c>
      <c r="AQ106" s="40"/>
      <c r="AR106" s="40"/>
      <c r="AS106" s="53">
        <f>IFERROR(__xludf.DUMMYFUNCTION("""COMPUTED_VALUE"""),1100000.0)</f>
        <v>1100000</v>
      </c>
      <c r="AT106" s="40">
        <f>IFERROR(__xludf.DUMMYFUNCTION("""COMPUTED_VALUE"""),0.0)</f>
        <v>0</v>
      </c>
      <c r="AU106" s="40">
        <f>IFERROR(__xludf.DUMMYFUNCTION("""COMPUTED_VALUE"""),0.0)</f>
        <v>0</v>
      </c>
      <c r="AV106" s="40">
        <f>IFERROR(__xludf.DUMMYFUNCTION("""COMPUTED_VALUE"""),0.0)</f>
        <v>0</v>
      </c>
      <c r="AW106" s="40" t="str">
        <f>IFERROR(__xludf.DUMMYFUNCTION("""COMPUTED_VALUE"""),"NO")</f>
        <v>NO</v>
      </c>
      <c r="AX106" s="40">
        <f>IFERROR(__xludf.DUMMYFUNCTION("""COMPUTED_VALUE"""),0.0)</f>
        <v>0</v>
      </c>
      <c r="AY106" s="40" t="str">
        <f>IFERROR(__xludf.DUMMYFUNCTION("""COMPUTED_VALUE"""),"P")</f>
        <v>P</v>
      </c>
      <c r="AZ106" s="40">
        <f>IFERROR(__xludf.DUMMYFUNCTION("""COMPUTED_VALUE"""),0.0)</f>
        <v>0</v>
      </c>
      <c r="BA106" s="40" t="str">
        <f>IFERROR(__xludf.DUMMYFUNCTION("""COMPUTED_VALUE"""),"X")</f>
        <v>X</v>
      </c>
      <c r="BB106" s="40">
        <f>IFERROR(__xludf.DUMMYFUNCTION("""COMPUTED_VALUE"""),0.0)</f>
        <v>0</v>
      </c>
      <c r="BC106" s="53" t="str">
        <f>IFERROR(__xludf.DUMMYFUNCTION("""COMPUTED_VALUE"""),"12 - LEIDY YULIETH, 14 - JOHN")</f>
        <v>12 - LEIDY YULIETH, 14 - JOHN</v>
      </c>
      <c r="BD106" s="48"/>
      <c r="BE106" s="48"/>
      <c r="BF106" s="48"/>
    </row>
    <row r="107">
      <c r="A107" s="39" t="str">
        <f>IFERROR(__xludf.DUMMYFUNCTION("""COMPUTED_VALUE"""),"370")</f>
        <v>370</v>
      </c>
      <c r="B107" s="40" t="str">
        <f>IFERROR(__xludf.DUMMYFUNCTION("""COMPUTED_VALUE"""),"Casa en barrio Campo Nuñez ")</f>
        <v>Casa en barrio Campo Nuñez </v>
      </c>
      <c r="C107" s="40" t="str">
        <f>IFERROR(__xludf.DUMMYFUNCTION("""COMPUTED_VALUE"""),"Casa")</f>
        <v>Casa</v>
      </c>
      <c r="D107" s="40" t="str">
        <f>IFERROR(__xludf.DUMMYFUNCTION("""COMPUTED_VALUE"""),"Campo Nuñez ")</f>
        <v>Campo Nuñez </v>
      </c>
      <c r="E107" s="40"/>
      <c r="F107" s="42">
        <f>IFERROR(__xludf.DUMMYFUNCTION("""COMPUTED_VALUE"""),5.0E8)</f>
        <v>500000000</v>
      </c>
      <c r="G107" s="40" t="str">
        <f>IFERROR(__xludf.DUMMYFUNCTION("""COMPUTED_VALUE"""),"$500'000.000 a $1.000'000.000")</f>
        <v>$500'000.000 a $1.000'000.000</v>
      </c>
      <c r="H107" s="40"/>
      <c r="I107" s="40"/>
      <c r="J107" s="40" t="str">
        <f>IFERROR(__xludf.DUMMYFUNCTION("""COMPUTED_VALUE"""),"Centro")</f>
        <v>Centro</v>
      </c>
      <c r="K107" s="39" t="str">
        <f>IFERROR(__xludf.DUMMYFUNCTION("""COMPUTED_VALUE"""),"3")</f>
        <v>3</v>
      </c>
      <c r="L107" s="40">
        <f>IFERROR(__xludf.DUMMYFUNCTION("""COMPUTED_VALUE"""),3.0)</f>
        <v>3</v>
      </c>
      <c r="M107" s="40"/>
      <c r="N107" s="40">
        <f>IFERROR(__xludf.DUMMYFUNCTION("""COMPUTED_VALUE"""),1.0)</f>
        <v>1</v>
      </c>
      <c r="O107" s="40">
        <f>IFERROR(__xludf.DUMMYFUNCTION("""COMPUTED_VALUE"""),1.0)</f>
        <v>1</v>
      </c>
      <c r="P107" s="40">
        <f>IFERROR(__xludf.DUMMYFUNCTION("""COMPUTED_VALUE"""),1.0)</f>
        <v>1</v>
      </c>
      <c r="Q107" s="48">
        <f>IFERROR(__xludf.DUMMYFUNCTION("""COMPUTED_VALUE"""),324.0)</f>
        <v>324</v>
      </c>
      <c r="R107" s="48">
        <f>IFERROR(__xludf.DUMMYFUNCTION("""COMPUTED_VALUE"""),324.0)</f>
        <v>324</v>
      </c>
      <c r="S107" s="39" t="str">
        <f>IFERROR(__xludf.DUMMYFUNCTION("""COMPUTED_VALUE""")," ")</f>
        <v> </v>
      </c>
      <c r="T107" s="40" t="str">
        <f>IFERROR(__xludf.DUMMYFUNCTION("""COMPUTED_VALUE"""),"Neiva")</f>
        <v>Neiva</v>
      </c>
      <c r="U107" s="39" t="str">
        <f>IFERROR(__xludf.DUMMYFUNCTION("""COMPUTED_VALUE"""),"3")</f>
        <v>3</v>
      </c>
      <c r="V107" s="40" t="str">
        <f>IFERROR(__xludf.DUMMYFUNCTION("""COMPUTED_VALUE"""),"Medianera")</f>
        <v>Medianera</v>
      </c>
      <c r="W107" s="46"/>
      <c r="X107" s="46">
        <f>IFERROR(__xludf.DUMMYFUNCTION("""COMPUTED_VALUE"""),0.0)</f>
        <v>0</v>
      </c>
      <c r="Y107" s="40" t="str">
        <f>IFERROR(__xludf.DUMMYFUNCTION("""COMPUTED_VALUE"""),"No tiene")</f>
        <v>No tiene</v>
      </c>
      <c r="Z107" s="42" t="str">
        <f>IFERROR(__xludf.DUMMYFUNCTION("""COMPUTED_VALUE"""),"No aplica")</f>
        <v>No aplica</v>
      </c>
      <c r="AA107" s="49" t="str">
        <f>IFERROR(__xludf.DUMMYFUNCTION("""COMPUTED_VALUE"""),"No aplica")</f>
        <v>No aplica</v>
      </c>
      <c r="AB107" s="48"/>
      <c r="AC107" s="40"/>
      <c r="AD107" s="40"/>
      <c r="AE107" s="40"/>
      <c r="AF107" s="40" t="str">
        <f>IFERROR(__xludf.DUMMYFUNCTION("""COMPUTED_VALUE"""),"básica")</f>
        <v>básica</v>
      </c>
      <c r="AG107" s="40"/>
      <c r="AH107" s="40" t="str">
        <f>IFERROR(__xludf.DUMMYFUNCTION("""COMPUTED_VALUE"""),"Inventario")</f>
        <v>Inventario</v>
      </c>
      <c r="AI107" s="40"/>
      <c r="AJ107" s="40" t="str">
        <f>IFERROR(__xludf.DUMMYFUNCTION("""COMPUTED_VALUE"""),"ICDE")</f>
        <v>ICDE</v>
      </c>
      <c r="AK107" s="40"/>
      <c r="AL107" s="40" t="str">
        <f>IFERROR(__xludf.DUMMYFUNCTION("""COMPUTED_VALUE"""),"NO FOTOS INT-DESCRIP")</f>
        <v>NO FOTOS INT-DESCRIP</v>
      </c>
      <c r="AM107" s="40">
        <f>IFERROR(__xludf.DUMMYFUNCTION("""COMPUTED_VALUE"""),3.167240292E9)</f>
        <v>3167240292</v>
      </c>
      <c r="AN107" s="40">
        <f>IFERROR(__xludf.DUMMYFUNCTION("""COMPUTED_VALUE"""),0.0)</f>
        <v>0</v>
      </c>
      <c r="AO107" s="40" t="str">
        <f>IFERROR(__xludf.DUMMYFUNCTION("""COMPUTED_VALUE"""),"SIGIFREDO BEDOYA")</f>
        <v>SIGIFREDO BEDOYA</v>
      </c>
      <c r="AP107" s="40" t="str">
        <f>IFERROR(__xludf.DUMMYFUNCTION("""COMPUTED_VALUE"""),"CARRERA 7 A No. 18 - 52")</f>
        <v>CARRERA 7 A No. 18 - 52</v>
      </c>
      <c r="AQ107" s="40"/>
      <c r="AR107" s="40"/>
      <c r="AS107" s="53">
        <f>IFERROR(__xludf.DUMMYFUNCTION("""COMPUTED_VALUE"""),0.0)</f>
        <v>0</v>
      </c>
      <c r="AT107" s="40">
        <f>IFERROR(__xludf.DUMMYFUNCTION("""COMPUTED_VALUE"""),0.0)</f>
        <v>0</v>
      </c>
      <c r="AU107" s="40">
        <f>IFERROR(__xludf.DUMMYFUNCTION("""COMPUTED_VALUE"""),0.0)</f>
        <v>0</v>
      </c>
      <c r="AV107" s="40">
        <f>IFERROR(__xludf.DUMMYFUNCTION("""COMPUTED_VALUE"""),0.0)</f>
        <v>0</v>
      </c>
      <c r="AW107" s="40" t="str">
        <f>IFERROR(__xludf.DUMMYFUNCTION("""COMPUTED_VALUE"""),"SI")</f>
        <v>SI</v>
      </c>
      <c r="AX107" s="40">
        <f>IFERROR(__xludf.DUMMYFUNCTION("""COMPUTED_VALUE"""),0.0)</f>
        <v>0</v>
      </c>
      <c r="AY107" s="40" t="str">
        <f>IFERROR(__xludf.DUMMYFUNCTION("""COMPUTED_VALUE"""),"M")</f>
        <v>M</v>
      </c>
      <c r="AZ107" s="40">
        <f>IFERROR(__xludf.DUMMYFUNCTION("""COMPUTED_VALUE"""),12.0)</f>
        <v>12</v>
      </c>
      <c r="BA107" s="40" t="str">
        <f>IFERROR(__xludf.DUMMYFUNCTION("""COMPUTED_VALUE"""),"X")</f>
        <v>X</v>
      </c>
      <c r="BB107" s="40">
        <f>IFERROR(__xludf.DUMMYFUNCTION("""COMPUTED_VALUE"""),27.0)</f>
        <v>27</v>
      </c>
      <c r="BC107" s="53"/>
      <c r="BD107" s="48"/>
      <c r="BE107" s="48"/>
      <c r="BF107" s="48"/>
    </row>
    <row r="108">
      <c r="A108" s="39" t="str">
        <f>IFERROR(__xludf.DUMMYFUNCTION("""COMPUTED_VALUE"""),"292")</f>
        <v>292</v>
      </c>
      <c r="B108" s="40" t="str">
        <f>IFERROR(__xludf.DUMMYFUNCTION("""COMPUTED_VALUE"""),"Casa con tres apartamentos en barrio La Toma")</f>
        <v>Casa con tres apartamentos en barrio La Toma</v>
      </c>
      <c r="C108" s="40" t="str">
        <f>IFERROR(__xludf.DUMMYFUNCTION("""COMPUTED_VALUE"""),"Casa rentable")</f>
        <v>Casa rentable</v>
      </c>
      <c r="D108" s="40" t="str">
        <f>IFERROR(__xludf.DUMMYFUNCTION("""COMPUTED_VALUE"""),"La Toma")</f>
        <v>La Toma</v>
      </c>
      <c r="E108" s="40"/>
      <c r="F108" s="42">
        <f>IFERROR(__xludf.DUMMYFUNCTION("""COMPUTED_VALUE"""),5.0E8)</f>
        <v>500000000</v>
      </c>
      <c r="G108" s="40" t="str">
        <f>IFERROR(__xludf.DUMMYFUNCTION("""COMPUTED_VALUE"""),"$500'000.000 a $1.000'000.000")</f>
        <v>$500'000.000 a $1.000'000.000</v>
      </c>
      <c r="H108" s="40"/>
      <c r="I108" s="40"/>
      <c r="J108" s="40" t="str">
        <f>IFERROR(__xludf.DUMMYFUNCTION("""COMPUTED_VALUE"""),"Centro")</f>
        <v>Centro</v>
      </c>
      <c r="K108" s="39" t="str">
        <f>IFERROR(__xludf.DUMMYFUNCTION("""COMPUTED_VALUE"""),"3")</f>
        <v>3</v>
      </c>
      <c r="L108" s="40">
        <f>IFERROR(__xludf.DUMMYFUNCTION("""COMPUTED_VALUE"""),7.0)</f>
        <v>7</v>
      </c>
      <c r="M108" s="40"/>
      <c r="N108" s="40">
        <f>IFERROR(__xludf.DUMMYFUNCTION("""COMPUTED_VALUE"""),5.0)</f>
        <v>5</v>
      </c>
      <c r="O108" s="40">
        <f>IFERROR(__xludf.DUMMYFUNCTION("""COMPUTED_VALUE"""),0.0)</f>
        <v>0</v>
      </c>
      <c r="P108" s="40">
        <f>IFERROR(__xludf.DUMMYFUNCTION("""COMPUTED_VALUE"""),2.0)</f>
        <v>2</v>
      </c>
      <c r="Q108" s="48">
        <f>IFERROR(__xludf.DUMMYFUNCTION("""COMPUTED_VALUE"""),380.0)</f>
        <v>380</v>
      </c>
      <c r="R108" s="48">
        <f>IFERROR(__xludf.DUMMYFUNCTION("""COMPUTED_VALUE"""),210.0)</f>
        <v>210</v>
      </c>
      <c r="S108" s="39" t="str">
        <f>IFERROR(__xludf.DUMMYFUNCTION("""COMPUTED_VALUE"""),"Rentabilidad $1,600,000")</f>
        <v>Rentabilidad $1,600,000</v>
      </c>
      <c r="T108" s="40" t="str">
        <f>IFERROR(__xludf.DUMMYFUNCTION("""COMPUTED_VALUE"""),"NEIVA")</f>
        <v>NEIVA</v>
      </c>
      <c r="U108" s="39" t="str">
        <f>IFERROR(__xludf.DUMMYFUNCTION("""COMPUTED_VALUE"""),"2")</f>
        <v>2</v>
      </c>
      <c r="V108" s="40" t="str">
        <f>IFERROR(__xludf.DUMMYFUNCTION("""COMPUTED_VALUE"""),"Medianera")</f>
        <v>Medianera</v>
      </c>
      <c r="W108" s="46"/>
      <c r="X108" s="46">
        <f>IFERROR(__xludf.DUMMYFUNCTION("""COMPUTED_VALUE"""),0.0)</f>
        <v>0</v>
      </c>
      <c r="Y108" s="40" t="str">
        <f>IFERROR(__xludf.DUMMYFUNCTION("""COMPUTED_VALUE"""),"No tiene")</f>
        <v>No tiene</v>
      </c>
      <c r="Z108" s="42" t="str">
        <f>IFERROR(__xludf.DUMMYFUNCTION("""COMPUTED_VALUE"""),"No aplica")</f>
        <v>No aplica</v>
      </c>
      <c r="AA108" s="49" t="str">
        <f>IFERROR(__xludf.DUMMYFUNCTION("""COMPUTED_VALUE"""),"26 años")</f>
        <v>26 años</v>
      </c>
      <c r="AB108" s="40"/>
      <c r="AC108" s="40"/>
      <c r="AD108" s="40"/>
      <c r="AE108" s="40"/>
      <c r="AF108" s="40" t="str">
        <f>IFERROR(__xludf.DUMMYFUNCTION("""COMPUTED_VALUE"""),"semi-integral")</f>
        <v>semi-integral</v>
      </c>
      <c r="AG108" s="40"/>
      <c r="AH108" s="40" t="str">
        <f>IFERROR(__xludf.DUMMYFUNCTION("""COMPUTED_VALUE"""),"Inventario")</f>
        <v>Inventario</v>
      </c>
      <c r="AI108" s="40"/>
      <c r="AJ108" s="40" t="str">
        <f>IFERROR(__xludf.DUMMYFUNCTION("""COMPUTED_VALUE"""),"ICDE")</f>
        <v>ICDE</v>
      </c>
      <c r="AK108" s="40"/>
      <c r="AL108" s="40" t="str">
        <f>IFERROR(__xludf.DUMMYFUNCTION("""COMPUTED_VALUE"""),"NO FOTOS + DESCRIPCION")</f>
        <v>NO FOTOS + DESCRIPCION</v>
      </c>
      <c r="AM108" s="40">
        <f>IFERROR(__xludf.DUMMYFUNCTION("""COMPUTED_VALUE"""),3.138587032E9)</f>
        <v>3138587032</v>
      </c>
      <c r="AN108" s="40">
        <f>IFERROR(__xludf.DUMMYFUNCTION("""COMPUTED_VALUE"""),0.0)</f>
        <v>0</v>
      </c>
      <c r="AO108" s="40" t="str">
        <f>IFERROR(__xludf.DUMMYFUNCTION("""COMPUTED_VALUE"""),"LEYDY - SOBRINA DUEÑA")</f>
        <v>LEYDY - SOBRINA DUEÑA</v>
      </c>
      <c r="AP108" s="40" t="str">
        <f>IFERROR(__xludf.DUMMYFUNCTION("""COMPUTED_VALUE"""),"CALLE 16 No. 8 B-30")</f>
        <v>CALLE 16 No. 8 B-30</v>
      </c>
      <c r="AQ108" s="40"/>
      <c r="AR108" s="40"/>
      <c r="AS108" s="53">
        <f>IFERROR(__xludf.DUMMYFUNCTION("""COMPUTED_VALUE"""),1600000.0)</f>
        <v>1600000</v>
      </c>
      <c r="AT108" s="40" t="str">
        <f>IFERROR(__xludf.DUMMYFUNCTION("""COMPUTED_VALUE"""),"NO")</f>
        <v>NO</v>
      </c>
      <c r="AU108" s="40">
        <f>IFERROR(__xludf.DUMMYFUNCTION("""COMPUTED_VALUE"""),0.0)</f>
        <v>0</v>
      </c>
      <c r="AV108" s="40">
        <f>IFERROR(__xludf.DUMMYFUNCTION("""COMPUTED_VALUE"""),0.0)</f>
        <v>0</v>
      </c>
      <c r="AW108" s="40" t="str">
        <f>IFERROR(__xludf.DUMMYFUNCTION("""COMPUTED_VALUE"""),"NO")</f>
        <v>NO</v>
      </c>
      <c r="AX108" s="40">
        <f>IFERROR(__xludf.DUMMYFUNCTION("""COMPUTED_VALUE"""),0.0)</f>
        <v>0</v>
      </c>
      <c r="AY108" s="40" t="str">
        <f>IFERROR(__xludf.DUMMYFUNCTION("""COMPUTED_VALUE"""),"P")</f>
        <v>P</v>
      </c>
      <c r="AZ108" s="40" t="str">
        <f>IFERROR(__xludf.DUMMYFUNCTION("""COMPUTED_VALUE"""),"7,5")</f>
        <v>7,5</v>
      </c>
      <c r="BA108" s="40" t="str">
        <f>IFERROR(__xludf.DUMMYFUNCTION("""COMPUTED_VALUE"""),"X")</f>
        <v>X</v>
      </c>
      <c r="BB108" s="40">
        <f>IFERROR(__xludf.DUMMYFUNCTION("""COMPUTED_VALUE"""),28.0)</f>
        <v>28</v>
      </c>
      <c r="BC108" s="53"/>
      <c r="BD108" s="48"/>
      <c r="BE108" s="48"/>
      <c r="BF108" s="48"/>
    </row>
    <row r="109">
      <c r="A109" s="39" t="str">
        <f>IFERROR(__xludf.DUMMYFUNCTION("""COMPUTED_VALUE"""),"199")</f>
        <v>199</v>
      </c>
      <c r="B109" s="40" t="str">
        <f>IFERROR(__xludf.DUMMYFUNCTION("""COMPUTED_VALUE"""),"Casa con habitación independiente en barrio Campo Nuñez")</f>
        <v>Casa con habitación independiente en barrio Campo Nuñez</v>
      </c>
      <c r="C109" s="40" t="str">
        <f>IFERROR(__xludf.DUMMYFUNCTION("""COMPUTED_VALUE"""),"Casa rentable")</f>
        <v>Casa rentable</v>
      </c>
      <c r="D109" s="40" t="str">
        <f>IFERROR(__xludf.DUMMYFUNCTION("""COMPUTED_VALUE"""),"Campo Nuñez")</f>
        <v>Campo Nuñez</v>
      </c>
      <c r="E109" s="42" t="str">
        <f>IFERROR(__xludf.DUMMYFUNCTION("""COMPUTED_VALUE""")," ")</f>
        <v> </v>
      </c>
      <c r="F109" s="42">
        <f>IFERROR(__xludf.DUMMYFUNCTION("""COMPUTED_VALUE"""),5.0E8)</f>
        <v>500000000</v>
      </c>
      <c r="G109" s="40" t="str">
        <f>IFERROR(__xludf.DUMMYFUNCTION("""COMPUTED_VALUE"""),"$500'000.000 a $1.000'000.000")</f>
        <v>$500'000.000 a $1.000'000.000</v>
      </c>
      <c r="H109" s="40"/>
      <c r="I109" s="40"/>
      <c r="J109" s="40" t="str">
        <f>IFERROR(__xludf.DUMMYFUNCTION("""COMPUTED_VALUE"""),"Centro")</f>
        <v>Centro</v>
      </c>
      <c r="K109" s="39" t="str">
        <f>IFERROR(__xludf.DUMMYFUNCTION("""COMPUTED_VALUE"""),"3")</f>
        <v>3</v>
      </c>
      <c r="L109" s="40">
        <f>IFERROR(__xludf.DUMMYFUNCTION("""COMPUTED_VALUE"""),3.0)</f>
        <v>3</v>
      </c>
      <c r="M109" s="40"/>
      <c r="N109" s="40">
        <f>IFERROR(__xludf.DUMMYFUNCTION("""COMPUTED_VALUE"""),2.0)</f>
        <v>2</v>
      </c>
      <c r="O109" s="40">
        <f>IFERROR(__xludf.DUMMYFUNCTION("""COMPUTED_VALUE"""),1.0)</f>
        <v>1</v>
      </c>
      <c r="P109" s="40">
        <f>IFERROR(__xludf.DUMMYFUNCTION("""COMPUTED_VALUE"""),1.0)</f>
        <v>1</v>
      </c>
      <c r="Q109" s="48">
        <f>IFERROR(__xludf.DUMMYFUNCTION("""COMPUTED_VALUE"""),200.0)</f>
        <v>200</v>
      </c>
      <c r="R109" s="48">
        <f>IFERROR(__xludf.DUMMYFUNCTION("""COMPUTED_VALUE"""),315.52)</f>
        <v>315.52</v>
      </c>
      <c r="S109" s="39" t="str">
        <f>IFERROR(__xludf.DUMMYFUNCTION("""COMPUTED_VALUE"""),"Rentabilidad $3,000,000")</f>
        <v>Rentabilidad $3,000,000</v>
      </c>
      <c r="T109" s="40" t="str">
        <f>IFERROR(__xludf.DUMMYFUNCTION("""COMPUTED_VALUE"""),"Neiva")</f>
        <v>Neiva</v>
      </c>
      <c r="U109" s="39" t="str">
        <f>IFERROR(__xludf.DUMMYFUNCTION("""COMPUTED_VALUE"""),"2")</f>
        <v>2</v>
      </c>
      <c r="V109" s="40" t="str">
        <f>IFERROR(__xludf.DUMMYFUNCTION("""COMPUTED_VALUE"""),"Medianera")</f>
        <v>Medianera</v>
      </c>
      <c r="W109" s="46"/>
      <c r="X109" s="46">
        <f>IFERROR(__xludf.DUMMYFUNCTION("""COMPUTED_VALUE"""),0.0)</f>
        <v>0</v>
      </c>
      <c r="Y109" s="40" t="str">
        <f>IFERROR(__xludf.DUMMYFUNCTION("""COMPUTED_VALUE"""),"No tiene")</f>
        <v>No tiene</v>
      </c>
      <c r="Z109" s="42" t="str">
        <f>IFERROR(__xludf.DUMMYFUNCTION("""COMPUTED_VALUE"""),"No aplica")</f>
        <v>No aplica</v>
      </c>
      <c r="AA109" s="49" t="str">
        <f>IFERROR(__xludf.DUMMYFUNCTION("""COMPUTED_VALUE"""),"14 años")</f>
        <v>14 años</v>
      </c>
      <c r="AB109" s="48"/>
      <c r="AC109" s="40"/>
      <c r="AD109" s="40"/>
      <c r="AE109" s="40"/>
      <c r="AF109" s="40" t="str">
        <f>IFERROR(__xludf.DUMMYFUNCTION("""COMPUTED_VALUE"""),"básica")</f>
        <v>básica</v>
      </c>
      <c r="AG109" s="40"/>
      <c r="AH109" s="40" t="str">
        <f>IFERROR(__xludf.DUMMYFUNCTION("""COMPUTED_VALUE"""),"Inventario")</f>
        <v>Inventario</v>
      </c>
      <c r="AI109" s="40"/>
      <c r="AJ109" s="40" t="str">
        <f>IFERROR(__xludf.DUMMYFUNCTION("""COMPUTED_VALUE"""),"ICDE")</f>
        <v>ICDE</v>
      </c>
      <c r="AK109" s="40"/>
      <c r="AL109" s="40" t="str">
        <f>IFERROR(__xludf.DUMMYFUNCTION("""COMPUTED_VALUE"""),"NO FOTOS + DESCRIPCION")</f>
        <v>NO FOTOS + DESCRIPCION</v>
      </c>
      <c r="AM109" s="40">
        <f>IFERROR(__xludf.DUMMYFUNCTION("""COMPUTED_VALUE"""),3.134306082E9)</f>
        <v>3134306082</v>
      </c>
      <c r="AN109" s="40">
        <f>IFERROR(__xludf.DUMMYFUNCTION("""COMPUTED_VALUE"""),3.1761795E9)</f>
        <v>3176179500</v>
      </c>
      <c r="AO109" s="40" t="str">
        <f>IFERROR(__xludf.DUMMYFUNCTION("""COMPUTED_VALUE"""),"CICERON")</f>
        <v>CICERON</v>
      </c>
      <c r="AP109" s="40" t="str">
        <f>IFERROR(__xludf.DUMMYFUNCTION("""COMPUTED_VALUE"""),"CALLE 19 NO. 8 - 40")</f>
        <v>CALLE 19 NO. 8 - 40</v>
      </c>
      <c r="AQ109" s="40"/>
      <c r="AR109" s="40"/>
      <c r="AS109" s="53">
        <f>IFERROR(__xludf.DUMMYFUNCTION("""COMPUTED_VALUE"""),3000000.0)</f>
        <v>3000000</v>
      </c>
      <c r="AT109" s="40">
        <f>IFERROR(__xludf.DUMMYFUNCTION("""COMPUTED_VALUE"""),0.0)</f>
        <v>0</v>
      </c>
      <c r="AU109" s="40">
        <f>IFERROR(__xludf.DUMMYFUNCTION("""COMPUTED_VALUE"""),0.0)</f>
        <v>0</v>
      </c>
      <c r="AV109" s="40">
        <f>IFERROR(__xludf.DUMMYFUNCTION("""COMPUTED_VALUE"""),0.0)</f>
        <v>0</v>
      </c>
      <c r="AW109" s="40" t="str">
        <f>IFERROR(__xludf.DUMMYFUNCTION("""COMPUTED_VALUE"""),"NO")</f>
        <v>NO</v>
      </c>
      <c r="AX109" s="40">
        <f>IFERROR(__xludf.DUMMYFUNCTION("""COMPUTED_VALUE"""),0.0)</f>
        <v>0</v>
      </c>
      <c r="AY109" s="40">
        <f>IFERROR(__xludf.DUMMYFUNCTION("""COMPUTED_VALUE"""),0.0)</f>
        <v>0</v>
      </c>
      <c r="AZ109" s="40">
        <f>IFERROR(__xludf.DUMMYFUNCTION("""COMPUTED_VALUE"""),9.86)</f>
        <v>9.86</v>
      </c>
      <c r="BA109" s="40" t="str">
        <f>IFERROR(__xludf.DUMMYFUNCTION("""COMPUTED_VALUE"""),"X")</f>
        <v>X</v>
      </c>
      <c r="BB109" s="40">
        <f>IFERROR(__xludf.DUMMYFUNCTION("""COMPUTED_VALUE"""),32.0)</f>
        <v>32</v>
      </c>
      <c r="BC109" s="53"/>
      <c r="BD109" s="48"/>
      <c r="BE109" s="48"/>
      <c r="BF109" s="48"/>
    </row>
    <row r="110">
      <c r="A110" s="39" t="str">
        <f>IFERROR(__xludf.DUMMYFUNCTION("""COMPUTED_VALUE"""),"386")</f>
        <v>386</v>
      </c>
      <c r="B110" s="40" t="str">
        <f>IFERROR(__xludf.DUMMYFUNCTION("""COMPUTED_VALUE"""),"Casa en barrio Villa Carolina")</f>
        <v>Casa en barrio Villa Carolina</v>
      </c>
      <c r="C110" s="40" t="str">
        <f>IFERROR(__xludf.DUMMYFUNCTION("""COMPUTED_VALUE"""),"Casa")</f>
        <v>Casa</v>
      </c>
      <c r="D110" s="40" t="str">
        <f>IFERROR(__xludf.DUMMYFUNCTION("""COMPUTED_VALUE"""),"Villa Carolina")</f>
        <v>Villa Carolina</v>
      </c>
      <c r="E110" s="40"/>
      <c r="F110" s="42">
        <f>IFERROR(__xludf.DUMMYFUNCTION("""COMPUTED_VALUE"""),4.8E8)</f>
        <v>480000000</v>
      </c>
      <c r="G110" s="40" t="str">
        <f>IFERROR(__xludf.DUMMYFUNCTION("""COMPUTED_VALUE"""),"$400'000.000 a $500'000.000")</f>
        <v>$400'000.000 a $500'000.000</v>
      </c>
      <c r="H110" s="40"/>
      <c r="I110" s="40"/>
      <c r="J110" s="40" t="str">
        <f>IFERROR(__xludf.DUMMYFUNCTION("""COMPUTED_VALUE"""),"Norte")</f>
        <v>Norte</v>
      </c>
      <c r="K110" s="39" t="str">
        <f>IFERROR(__xludf.DUMMYFUNCTION("""COMPUTED_VALUE"""),"2")</f>
        <v>2</v>
      </c>
      <c r="L110" s="40">
        <f>IFERROR(__xludf.DUMMYFUNCTION("""COMPUTED_VALUE"""),4.0)</f>
        <v>4</v>
      </c>
      <c r="M110" s="40"/>
      <c r="N110" s="40">
        <f>IFERROR(__xludf.DUMMYFUNCTION("""COMPUTED_VALUE"""),2.0)</f>
        <v>2</v>
      </c>
      <c r="O110" s="40">
        <f>IFERROR(__xludf.DUMMYFUNCTION("""COMPUTED_VALUE"""),1.0)</f>
        <v>1</v>
      </c>
      <c r="P110" s="40">
        <f>IFERROR(__xludf.DUMMYFUNCTION("""COMPUTED_VALUE"""),2.0)</f>
        <v>2</v>
      </c>
      <c r="Q110" s="48"/>
      <c r="R110" s="48">
        <f>IFERROR(__xludf.DUMMYFUNCTION("""COMPUTED_VALUE"""),98.0)</f>
        <v>98</v>
      </c>
      <c r="S110" s="39" t="str">
        <f>IFERROR(__xludf.DUMMYFUNCTION("""COMPUTED_VALUE""")," ")</f>
        <v> </v>
      </c>
      <c r="T110" s="40" t="str">
        <f>IFERROR(__xludf.DUMMYFUNCTION("""COMPUTED_VALUE"""),"Neiva")</f>
        <v>Neiva</v>
      </c>
      <c r="U110" s="39" t="str">
        <f>IFERROR(__xludf.DUMMYFUNCTION("""COMPUTED_VALUE"""),"3")</f>
        <v>3</v>
      </c>
      <c r="V110" s="40" t="str">
        <f>IFERROR(__xludf.DUMMYFUNCTION("""COMPUTED_VALUE"""),"Medianera")</f>
        <v>Medianera</v>
      </c>
      <c r="W110" s="46"/>
      <c r="X110" s="46">
        <f>IFERROR(__xludf.DUMMYFUNCTION("""COMPUTED_VALUE"""),4.0)</f>
        <v>4</v>
      </c>
      <c r="Y110" s="40" t="str">
        <f>IFERROR(__xludf.DUMMYFUNCTION("""COMPUTED_VALUE"""),"No tiene")</f>
        <v>No tiene</v>
      </c>
      <c r="Z110" s="42" t="str">
        <f>IFERROR(__xludf.DUMMYFUNCTION("""COMPUTED_VALUE"""),"No aplica")</f>
        <v>No aplica</v>
      </c>
      <c r="AA110" s="49" t="str">
        <f>IFERROR(__xludf.DUMMYFUNCTION("""COMPUTED_VALUE"""),"No aplica")</f>
        <v>No aplica</v>
      </c>
      <c r="AB110" s="48"/>
      <c r="AC110" s="40"/>
      <c r="AD110" s="40"/>
      <c r="AE110" s="40"/>
      <c r="AF110" s="40" t="str">
        <f>IFERROR(__xludf.DUMMYFUNCTION("""COMPUTED_VALUE"""),"integral")</f>
        <v>integral</v>
      </c>
      <c r="AG110" s="40"/>
      <c r="AH110" s="40" t="str">
        <f>IFERROR(__xludf.DUMMYFUNCTION("""COMPUTED_VALUE"""),"Inventario")</f>
        <v>Inventario</v>
      </c>
      <c r="AI110" s="40"/>
      <c r="AJ110" s="40" t="str">
        <f>IFERROR(__xludf.DUMMYFUNCTION("""COMPUTED_VALUE"""),"ICDE")</f>
        <v>ICDE</v>
      </c>
      <c r="AK110" s="40"/>
      <c r="AL110" s="40" t="str">
        <f>IFERROR(__xludf.DUMMYFUNCTION("""COMPUTED_VALUE"""),"NO FOTOS + DESCRIPCION")</f>
        <v>NO FOTOS + DESCRIPCION</v>
      </c>
      <c r="AM110" s="40">
        <f>IFERROR(__xludf.DUMMYFUNCTION("""COMPUTED_VALUE"""),3.115229751E9)</f>
        <v>3115229751</v>
      </c>
      <c r="AN110" s="40">
        <f>IFERROR(__xludf.DUMMYFUNCTION("""COMPUTED_VALUE"""),3.212312414E9)</f>
        <v>3212312414</v>
      </c>
      <c r="AO110" s="40" t="str">
        <f>IFERROR(__xludf.DUMMYFUNCTION("""COMPUTED_VALUE"""),"FREDDY RODRIGUEZ")</f>
        <v>FREDDY RODRIGUEZ</v>
      </c>
      <c r="AP110" s="40" t="str">
        <f>IFERROR(__xludf.DUMMYFUNCTION("""COMPUTED_VALUE"""),"CALLE 58 No. 18 C - 24")</f>
        <v>CALLE 58 No. 18 C - 24</v>
      </c>
      <c r="AQ110" s="40"/>
      <c r="AR110" s="40"/>
      <c r="AS110" s="53">
        <f>IFERROR(__xludf.DUMMYFUNCTION("""COMPUTED_VALUE"""),0.0)</f>
        <v>0</v>
      </c>
      <c r="AT110" s="40">
        <f>IFERROR(__xludf.DUMMYFUNCTION("""COMPUTED_VALUE"""),0.0)</f>
        <v>0</v>
      </c>
      <c r="AU110" s="40">
        <f>IFERROR(__xludf.DUMMYFUNCTION("""COMPUTED_VALUE"""),0.0)</f>
        <v>0</v>
      </c>
      <c r="AV110" s="40">
        <f>IFERROR(__xludf.DUMMYFUNCTION("""COMPUTED_VALUE"""),0.0)</f>
        <v>0</v>
      </c>
      <c r="AW110" s="40" t="str">
        <f>IFERROR(__xludf.DUMMYFUNCTION("""COMPUTED_VALUE"""),"NO")</f>
        <v>NO</v>
      </c>
      <c r="AX110" s="40">
        <f>IFERROR(__xludf.DUMMYFUNCTION("""COMPUTED_VALUE"""),0.0)</f>
        <v>0</v>
      </c>
      <c r="AY110" s="40">
        <f>IFERROR(__xludf.DUMMYFUNCTION("""COMPUTED_VALUE"""),0.0)</f>
        <v>0</v>
      </c>
      <c r="AZ110" s="40">
        <f>IFERROR(__xludf.DUMMYFUNCTION("""COMPUTED_VALUE"""),7.0)</f>
        <v>7</v>
      </c>
      <c r="BA110" s="40" t="str">
        <f>IFERROR(__xludf.DUMMYFUNCTION("""COMPUTED_VALUE"""),"X")</f>
        <v>X</v>
      </c>
      <c r="BB110" s="40">
        <f>IFERROR(__xludf.DUMMYFUNCTION("""COMPUTED_VALUE"""),14.0)</f>
        <v>14</v>
      </c>
      <c r="BC110" s="53"/>
      <c r="BD110" s="48"/>
      <c r="BE110" s="48"/>
      <c r="BF110" s="48"/>
    </row>
    <row r="111">
      <c r="A111" s="39" t="str">
        <f>IFERROR(__xludf.DUMMYFUNCTION("""COMPUTED_VALUE"""),"283")</f>
        <v>283</v>
      </c>
      <c r="B111" s="40" t="str">
        <f>IFERROR(__xludf.DUMMYFUNCTION("""COMPUTED_VALUE"""),"Casa con apartamento y un local en barrio La Toma")</f>
        <v>Casa con apartamento y un local en barrio La Toma</v>
      </c>
      <c r="C111" s="40" t="str">
        <f>IFERROR(__xludf.DUMMYFUNCTION("""COMPUTED_VALUE"""),"Casa rentable")</f>
        <v>Casa rentable</v>
      </c>
      <c r="D111" s="40" t="str">
        <f>IFERROR(__xludf.DUMMYFUNCTION("""COMPUTED_VALUE"""),"La Toma")</f>
        <v>La Toma</v>
      </c>
      <c r="E111" s="40"/>
      <c r="F111" s="42">
        <f>IFERROR(__xludf.DUMMYFUNCTION("""COMPUTED_VALUE"""),4.8E8)</f>
        <v>480000000</v>
      </c>
      <c r="G111" s="40" t="str">
        <f>IFERROR(__xludf.DUMMYFUNCTION("""COMPUTED_VALUE"""),"$400'000.000 a $500'000.000")</f>
        <v>$400'000.000 a $500'000.000</v>
      </c>
      <c r="H111" s="40"/>
      <c r="I111" s="40"/>
      <c r="J111" s="40" t="str">
        <f>IFERROR(__xludf.DUMMYFUNCTION("""COMPUTED_VALUE"""),"Centro")</f>
        <v>Centro</v>
      </c>
      <c r="K111" s="39" t="str">
        <f>IFERROR(__xludf.DUMMYFUNCTION("""COMPUTED_VALUE"""),"3")</f>
        <v>3</v>
      </c>
      <c r="L111" s="40">
        <f>IFERROR(__xludf.DUMMYFUNCTION("""COMPUTED_VALUE"""),3.0)</f>
        <v>3</v>
      </c>
      <c r="M111" s="40"/>
      <c r="N111" s="40">
        <f>IFERROR(__xludf.DUMMYFUNCTION("""COMPUTED_VALUE"""),3.0)</f>
        <v>3</v>
      </c>
      <c r="O111" s="40">
        <f>IFERROR(__xludf.DUMMYFUNCTION("""COMPUTED_VALUE"""),0.0)</f>
        <v>0</v>
      </c>
      <c r="P111" s="40">
        <f>IFERROR(__xludf.DUMMYFUNCTION("""COMPUTED_VALUE"""),2.0)</f>
        <v>2</v>
      </c>
      <c r="Q111" s="48"/>
      <c r="R111" s="48">
        <f>IFERROR(__xludf.DUMMYFUNCTION("""COMPUTED_VALUE"""),180.0)</f>
        <v>180</v>
      </c>
      <c r="S111" s="39" t="str">
        <f>IFERROR(__xludf.DUMMYFUNCTION("""COMPUTED_VALUE"""),"Rentabilidad $1,400,000")</f>
        <v>Rentabilidad $1,400,000</v>
      </c>
      <c r="T111" s="40" t="str">
        <f>IFERROR(__xludf.DUMMYFUNCTION("""COMPUTED_VALUE"""),"Neiva")</f>
        <v>Neiva</v>
      </c>
      <c r="U111" s="39" t="str">
        <f>IFERROR(__xludf.DUMMYFUNCTION("""COMPUTED_VALUE"""),"3")</f>
        <v>3</v>
      </c>
      <c r="V111" s="40" t="str">
        <f>IFERROR(__xludf.DUMMYFUNCTION("""COMPUTED_VALUE"""),"Medianera")</f>
        <v>Medianera</v>
      </c>
      <c r="W111" s="46"/>
      <c r="X111" s="46">
        <f>IFERROR(__xludf.DUMMYFUNCTION("""COMPUTED_VALUE"""),0.0)</f>
        <v>0</v>
      </c>
      <c r="Y111" s="40" t="str">
        <f>IFERROR(__xludf.DUMMYFUNCTION("""COMPUTED_VALUE"""),"No tiene")</f>
        <v>No tiene</v>
      </c>
      <c r="Z111" s="42" t="str">
        <f>IFERROR(__xludf.DUMMYFUNCTION("""COMPUTED_VALUE"""),"No aplica")</f>
        <v>No aplica</v>
      </c>
      <c r="AA111" s="49" t="str">
        <f>IFERROR(__xludf.DUMMYFUNCTION("""COMPUTED_VALUE"""),"29 años")</f>
        <v>29 años</v>
      </c>
      <c r="AB111" s="48"/>
      <c r="AC111" s="40"/>
      <c r="AD111" s="40"/>
      <c r="AE111" s="40"/>
      <c r="AF111" s="40" t="str">
        <f>IFERROR(__xludf.DUMMYFUNCTION("""COMPUTED_VALUE"""),"básica")</f>
        <v>básica</v>
      </c>
      <c r="AG111" s="40"/>
      <c r="AH111" s="40" t="str">
        <f>IFERROR(__xludf.DUMMYFUNCTION("""COMPUTED_VALUE"""),"Inventario")</f>
        <v>Inventario</v>
      </c>
      <c r="AI111" s="40"/>
      <c r="AJ111" s="40" t="str">
        <f>IFERROR(__xludf.DUMMYFUNCTION("""COMPUTED_VALUE"""),"ICDE")</f>
        <v>ICDE</v>
      </c>
      <c r="AK111" s="40"/>
      <c r="AL111" s="40" t="str">
        <f>IFERROR(__xludf.DUMMYFUNCTION("""COMPUTED_VALUE"""),"NO FOTOS + DESCRIPCION")</f>
        <v>NO FOTOS + DESCRIPCION</v>
      </c>
      <c r="AM111" s="40">
        <f>IFERROR(__xludf.DUMMYFUNCTION("""COMPUTED_VALUE"""),3.112178192E9)</f>
        <v>3112178192</v>
      </c>
      <c r="AN111" s="40">
        <f>IFERROR(__xludf.DUMMYFUNCTION("""COMPUTED_VALUE"""),0.0)</f>
        <v>0</v>
      </c>
      <c r="AO111" s="40" t="str">
        <f>IFERROR(__xludf.DUMMYFUNCTION("""COMPUTED_VALUE"""),"MARIA EUGENIA")</f>
        <v>MARIA EUGENIA</v>
      </c>
      <c r="AP111" s="40" t="str">
        <f>IFERROR(__xludf.DUMMYFUNCTION("""COMPUTED_VALUE"""),"CALLE 14 No. 7-44")</f>
        <v>CALLE 14 No. 7-44</v>
      </c>
      <c r="AQ111" s="40"/>
      <c r="AR111" s="40"/>
      <c r="AS111" s="53">
        <f>IFERROR(__xludf.DUMMYFUNCTION("""COMPUTED_VALUE"""),1400000.0)</f>
        <v>1400000</v>
      </c>
      <c r="AT111" s="40">
        <f>IFERROR(__xludf.DUMMYFUNCTION("""COMPUTED_VALUE"""),0.0)</f>
        <v>0</v>
      </c>
      <c r="AU111" s="40">
        <f>IFERROR(__xludf.DUMMYFUNCTION("""COMPUTED_VALUE"""),0.0)</f>
        <v>0</v>
      </c>
      <c r="AV111" s="40">
        <f>IFERROR(__xludf.DUMMYFUNCTION("""COMPUTED_VALUE"""),0.0)</f>
        <v>0</v>
      </c>
      <c r="AW111" s="40" t="str">
        <f>IFERROR(__xludf.DUMMYFUNCTION("""COMPUTED_VALUE"""),"NO")</f>
        <v>NO</v>
      </c>
      <c r="AX111" s="40">
        <f>IFERROR(__xludf.DUMMYFUNCTION("""COMPUTED_VALUE"""),0.0)</f>
        <v>0</v>
      </c>
      <c r="AY111" s="40">
        <f>IFERROR(__xludf.DUMMYFUNCTION("""COMPUTED_VALUE"""),0.0)</f>
        <v>0</v>
      </c>
      <c r="AZ111" s="40">
        <f>IFERROR(__xludf.DUMMYFUNCTION("""COMPUTED_VALUE"""),0.0)</f>
        <v>0</v>
      </c>
      <c r="BA111" s="40" t="str">
        <f>IFERROR(__xludf.DUMMYFUNCTION("""COMPUTED_VALUE"""),"X")</f>
        <v>X</v>
      </c>
      <c r="BB111" s="40">
        <f>IFERROR(__xludf.DUMMYFUNCTION("""COMPUTED_VALUE"""),0.0)</f>
        <v>0</v>
      </c>
      <c r="BC111" s="53" t="str">
        <f>IFERROR(__xludf.DUMMYFUNCTION("""COMPUTED_VALUE"""),"24 - FERNEY PIÑEROS Y LEIDY")</f>
        <v>24 - FERNEY PIÑEROS Y LEIDY</v>
      </c>
      <c r="BD111" s="48"/>
      <c r="BE111" s="48"/>
      <c r="BF111" s="48"/>
    </row>
    <row r="112">
      <c r="A112" s="39" t="str">
        <f>IFERROR(__xludf.DUMMYFUNCTION("""COMPUTED_VALUE"""),"217")</f>
        <v>217</v>
      </c>
      <c r="B112" s="40" t="str">
        <f>IFERROR(__xludf.DUMMYFUNCTION("""COMPUTED_VALUE"""),"Casa lote en barrio La Toma")</f>
        <v>Casa lote en barrio La Toma</v>
      </c>
      <c r="C112" s="40" t="str">
        <f>IFERROR(__xludf.DUMMYFUNCTION("""COMPUTED_VALUE"""),"Casa lote")</f>
        <v>Casa lote</v>
      </c>
      <c r="D112" s="40" t="str">
        <f>IFERROR(__xludf.DUMMYFUNCTION("""COMPUTED_VALUE"""),"La Toma")</f>
        <v>La Toma</v>
      </c>
      <c r="E112" s="42" t="str">
        <f>IFERROR(__xludf.DUMMYFUNCTION("""COMPUTED_VALUE""")," ")</f>
        <v> </v>
      </c>
      <c r="F112" s="42">
        <f>IFERROR(__xludf.DUMMYFUNCTION("""COMPUTED_VALUE"""),4.8E8)</f>
        <v>480000000</v>
      </c>
      <c r="G112" s="40" t="str">
        <f>IFERROR(__xludf.DUMMYFUNCTION("""COMPUTED_VALUE"""),"$400'000.000 a $500'000.000")</f>
        <v>$400'000.000 a $500'000.000</v>
      </c>
      <c r="H112" s="40"/>
      <c r="I112" s="40"/>
      <c r="J112" s="40" t="str">
        <f>IFERROR(__xludf.DUMMYFUNCTION("""COMPUTED_VALUE"""),"Centro")</f>
        <v>Centro</v>
      </c>
      <c r="K112" s="39" t="str">
        <f>IFERROR(__xludf.DUMMYFUNCTION("""COMPUTED_VALUE"""),"3")</f>
        <v>3</v>
      </c>
      <c r="L112" s="40">
        <f>IFERROR(__xludf.DUMMYFUNCTION("""COMPUTED_VALUE"""),0.0)</f>
        <v>0</v>
      </c>
      <c r="M112" s="40"/>
      <c r="N112" s="40">
        <f>IFERROR(__xludf.DUMMYFUNCTION("""COMPUTED_VALUE"""),0.0)</f>
        <v>0</v>
      </c>
      <c r="O112" s="40">
        <f>IFERROR(__xludf.DUMMYFUNCTION("""COMPUTED_VALUE"""),0.0)</f>
        <v>0</v>
      </c>
      <c r="P112" s="40">
        <f>IFERROR(__xludf.DUMMYFUNCTION("""COMPUTED_VALUE"""),1.0)</f>
        <v>1</v>
      </c>
      <c r="Q112" s="48"/>
      <c r="R112" s="48">
        <f>IFERROR(__xludf.DUMMYFUNCTION("""COMPUTED_VALUE"""),290.0)</f>
        <v>290</v>
      </c>
      <c r="S112" s="39" t="str">
        <f>IFERROR(__xludf.DUMMYFUNCTION("""COMPUTED_VALUE""")," ")</f>
        <v> </v>
      </c>
      <c r="T112" s="40" t="str">
        <f>IFERROR(__xludf.DUMMYFUNCTION("""COMPUTED_VALUE"""),"Neiva")</f>
        <v>Neiva</v>
      </c>
      <c r="U112" s="39" t="str">
        <f>IFERROR(__xludf.DUMMYFUNCTION("""COMPUTED_VALUE"""),"3")</f>
        <v>3</v>
      </c>
      <c r="V112" s="40" t="str">
        <f>IFERROR(__xludf.DUMMYFUNCTION("""COMPUTED_VALUE"""),"Esquinera")</f>
        <v>Esquinera</v>
      </c>
      <c r="W112" s="46"/>
      <c r="X112" s="46">
        <f>IFERROR(__xludf.DUMMYFUNCTION("""COMPUTED_VALUE"""),0.0)</f>
        <v>0</v>
      </c>
      <c r="Y112" s="40" t="str">
        <f>IFERROR(__xludf.DUMMYFUNCTION("""COMPUTED_VALUE"""),"No tiene")</f>
        <v>No tiene</v>
      </c>
      <c r="Z112" s="42" t="str">
        <f>IFERROR(__xludf.DUMMYFUNCTION("""COMPUTED_VALUE"""),"No aplica")</f>
        <v>No aplica</v>
      </c>
      <c r="AA112" s="49" t="str">
        <f>IFERROR(__xludf.DUMMYFUNCTION("""COMPUTED_VALUE"""),"No aplica")</f>
        <v>No aplica</v>
      </c>
      <c r="AB112" s="48"/>
      <c r="AC112" s="40"/>
      <c r="AD112" s="40"/>
      <c r="AE112" s="40"/>
      <c r="AF112" s="40" t="str">
        <f>IFERROR(__xludf.DUMMYFUNCTION("""COMPUTED_VALUE"""),"0")</f>
        <v>0</v>
      </c>
      <c r="AG112" s="40"/>
      <c r="AH112" s="40" t="str">
        <f>IFERROR(__xludf.DUMMYFUNCTION("""COMPUTED_VALUE"""),"Inventario")</f>
        <v>Inventario</v>
      </c>
      <c r="AI112" s="40"/>
      <c r="AJ112" s="40" t="str">
        <f>IFERROR(__xludf.DUMMYFUNCTION("""COMPUTED_VALUE"""),"ICDE")</f>
        <v>ICDE</v>
      </c>
      <c r="AK112" s="40"/>
      <c r="AL112" s="40" t="str">
        <f>IFERROR(__xludf.DUMMYFUNCTION("""COMPUTED_VALUE"""),"NO FOTOS + DESCRIPCION")</f>
        <v>NO FOTOS + DESCRIPCION</v>
      </c>
      <c r="AM112" s="40">
        <f>IFERROR(__xludf.DUMMYFUNCTION("""COMPUTED_VALUE"""),3.134613668E9)</f>
        <v>3134613668</v>
      </c>
      <c r="AN112" s="40">
        <f>IFERROR(__xludf.DUMMYFUNCTION("""COMPUTED_VALUE"""),0.0)</f>
        <v>0</v>
      </c>
      <c r="AO112" s="40" t="str">
        <f>IFERROR(__xludf.DUMMYFUNCTION("""COMPUTED_VALUE"""),"WILLIAM RUBIANO")</f>
        <v>WILLIAM RUBIANO</v>
      </c>
      <c r="AP112" s="40" t="str">
        <f>IFERROR(__xludf.DUMMYFUNCTION("""COMPUTED_VALUE"""),"CARRERA 8 No. XX")</f>
        <v>CARRERA 8 No. XX</v>
      </c>
      <c r="AQ112" s="40"/>
      <c r="AR112" s="40"/>
      <c r="AS112" s="53">
        <f>IFERROR(__xludf.DUMMYFUNCTION("""COMPUTED_VALUE"""),0.0)</f>
        <v>0</v>
      </c>
      <c r="AT112" s="40">
        <f>IFERROR(__xludf.DUMMYFUNCTION("""COMPUTED_VALUE"""),0.0)</f>
        <v>0</v>
      </c>
      <c r="AU112" s="40">
        <f>IFERROR(__xludf.DUMMYFUNCTION("""COMPUTED_VALUE"""),0.0)</f>
        <v>0</v>
      </c>
      <c r="AV112" s="40">
        <f>IFERROR(__xludf.DUMMYFUNCTION("""COMPUTED_VALUE"""),0.0)</f>
        <v>0</v>
      </c>
      <c r="AW112" s="40" t="str">
        <f>IFERROR(__xludf.DUMMYFUNCTION("""COMPUTED_VALUE"""),"NO")</f>
        <v>NO</v>
      </c>
      <c r="AX112" s="40">
        <f>IFERROR(__xludf.DUMMYFUNCTION("""COMPUTED_VALUE"""),0.0)</f>
        <v>0</v>
      </c>
      <c r="AY112" s="40" t="str">
        <f>IFERROR(__xludf.DUMMYFUNCTION("""COMPUTED_VALUE"""),"G")</f>
        <v>G</v>
      </c>
      <c r="AZ112" s="40">
        <f>IFERROR(__xludf.DUMMYFUNCTION("""COMPUTED_VALUE"""),0.0)</f>
        <v>0</v>
      </c>
      <c r="BA112" s="40" t="str">
        <f>IFERROR(__xludf.DUMMYFUNCTION("""COMPUTED_VALUE"""),"X")</f>
        <v>X</v>
      </c>
      <c r="BB112" s="40">
        <f>IFERROR(__xludf.DUMMYFUNCTION("""COMPUTED_VALUE"""),0.0)</f>
        <v>0</v>
      </c>
      <c r="BC112" s="53" t="str">
        <f>IFERROR(__xludf.DUMMYFUNCTION("""COMPUTED_VALUE"""),"20 - SAMADHI RODRIGUEZ")</f>
        <v>20 - SAMADHI RODRIGUEZ</v>
      </c>
      <c r="BD112" s="48"/>
      <c r="BE112" s="48"/>
      <c r="BF112" s="48"/>
    </row>
    <row r="113">
      <c r="A113" s="39" t="str">
        <f>IFERROR(__xludf.DUMMYFUNCTION("""COMPUTED_VALUE"""),"238")</f>
        <v>238</v>
      </c>
      <c r="B113" s="40" t="str">
        <f>IFERROR(__xludf.DUMMYFUNCTION("""COMPUTED_VALUE"""),"Casa lote en barrio Quirinal")</f>
        <v>Casa lote en barrio Quirinal</v>
      </c>
      <c r="C113" s="40" t="str">
        <f>IFERROR(__xludf.DUMMYFUNCTION("""COMPUTED_VALUE"""),"Casa lote")</f>
        <v>Casa lote</v>
      </c>
      <c r="D113" s="40" t="str">
        <f>IFERROR(__xludf.DUMMYFUNCTION("""COMPUTED_VALUE"""),"Quirinal")</f>
        <v>Quirinal</v>
      </c>
      <c r="E113" s="42" t="str">
        <f>IFERROR(__xludf.DUMMYFUNCTION("""COMPUTED_VALUE""")," ")</f>
        <v> </v>
      </c>
      <c r="F113" s="42">
        <f>IFERROR(__xludf.DUMMYFUNCTION("""COMPUTED_VALUE"""),4.7E8)</f>
        <v>470000000</v>
      </c>
      <c r="G113" s="40" t="str">
        <f>IFERROR(__xludf.DUMMYFUNCTION("""COMPUTED_VALUE"""),"$400'000.000 a $500'000.000")</f>
        <v>$400'000.000 a $500'000.000</v>
      </c>
      <c r="H113" s="40"/>
      <c r="I113" s="40"/>
      <c r="J113" s="40" t="str">
        <f>IFERROR(__xludf.DUMMYFUNCTION("""COMPUTED_VALUE"""),"Centro")</f>
        <v>Centro</v>
      </c>
      <c r="K113" s="39" t="str">
        <f>IFERROR(__xludf.DUMMYFUNCTION("""COMPUTED_VALUE"""),"3")</f>
        <v>3</v>
      </c>
      <c r="L113" s="40">
        <f>IFERROR(__xludf.DUMMYFUNCTION("""COMPUTED_VALUE"""),0.0)</f>
        <v>0</v>
      </c>
      <c r="M113" s="40"/>
      <c r="N113" s="40">
        <f>IFERROR(__xludf.DUMMYFUNCTION("""COMPUTED_VALUE"""),0.0)</f>
        <v>0</v>
      </c>
      <c r="O113" s="40">
        <f>IFERROR(__xludf.DUMMYFUNCTION("""COMPUTED_VALUE"""),0.0)</f>
        <v>0</v>
      </c>
      <c r="P113" s="40">
        <f>IFERROR(__xludf.DUMMYFUNCTION("""COMPUTED_VALUE"""),0.0)</f>
        <v>0</v>
      </c>
      <c r="Q113" s="48"/>
      <c r="R113" s="48">
        <f>IFERROR(__xludf.DUMMYFUNCTION("""COMPUTED_VALUE"""),200.0)</f>
        <v>200</v>
      </c>
      <c r="S113" s="39" t="str">
        <f>IFERROR(__xludf.DUMMYFUNCTION("""COMPUTED_VALUE""")," ")</f>
        <v> </v>
      </c>
      <c r="T113" s="40" t="str">
        <f>IFERROR(__xludf.DUMMYFUNCTION("""COMPUTED_VALUE"""),"Neiva")</f>
        <v>Neiva</v>
      </c>
      <c r="U113" s="39" t="str">
        <f>IFERROR(__xludf.DUMMYFUNCTION("""COMPUTED_VALUE"""),"3")</f>
        <v>3</v>
      </c>
      <c r="V113" s="40" t="str">
        <f>IFERROR(__xludf.DUMMYFUNCTION("""COMPUTED_VALUE"""),"Esquinera")</f>
        <v>Esquinera</v>
      </c>
      <c r="W113" s="46"/>
      <c r="X113" s="46">
        <f>IFERROR(__xludf.DUMMYFUNCTION("""COMPUTED_VALUE"""),0.0)</f>
        <v>0</v>
      </c>
      <c r="Y113" s="40" t="str">
        <f>IFERROR(__xludf.DUMMYFUNCTION("""COMPUTED_VALUE"""),"No tiene")</f>
        <v>No tiene</v>
      </c>
      <c r="Z113" s="42" t="str">
        <f>IFERROR(__xludf.DUMMYFUNCTION("""COMPUTED_VALUE"""),"No aplica")</f>
        <v>No aplica</v>
      </c>
      <c r="AA113" s="49" t="str">
        <f>IFERROR(__xludf.DUMMYFUNCTION("""COMPUTED_VALUE"""),"No aplica")</f>
        <v>No aplica</v>
      </c>
      <c r="AB113" s="48"/>
      <c r="AC113" s="40"/>
      <c r="AD113" s="40"/>
      <c r="AE113" s="40"/>
      <c r="AF113" s="40" t="str">
        <f>IFERROR(__xludf.DUMMYFUNCTION("""COMPUTED_VALUE"""),"0")</f>
        <v>0</v>
      </c>
      <c r="AG113" s="40"/>
      <c r="AH113" s="40" t="str">
        <f>IFERROR(__xludf.DUMMYFUNCTION("""COMPUTED_VALUE"""),"Inventario")</f>
        <v>Inventario</v>
      </c>
      <c r="AI113" s="40"/>
      <c r="AJ113" s="40" t="str">
        <f>IFERROR(__xludf.DUMMYFUNCTION("""COMPUTED_VALUE"""),"ICDE")</f>
        <v>ICDE</v>
      </c>
      <c r="AK113" s="40"/>
      <c r="AL113" s="40" t="str">
        <f>IFERROR(__xludf.DUMMYFUNCTION("""COMPUTED_VALUE"""),"NO INT+ DESCRIPCION")</f>
        <v>NO INT+ DESCRIPCION</v>
      </c>
      <c r="AM113" s="40">
        <f>IFERROR(__xludf.DUMMYFUNCTION("""COMPUTED_VALUE"""),3.153201082E9)</f>
        <v>3153201082</v>
      </c>
      <c r="AN113" s="40">
        <f>IFERROR(__xludf.DUMMYFUNCTION("""COMPUTED_VALUE"""),0.0)</f>
        <v>0</v>
      </c>
      <c r="AO113" s="40" t="str">
        <f>IFERROR(__xludf.DUMMYFUNCTION("""COMPUTED_VALUE"""),"DORYS-INMOBILIARIA ??????")</f>
        <v>DORYS-INMOBILIARIA ??????</v>
      </c>
      <c r="AP113" s="40">
        <f>IFERROR(__xludf.DUMMYFUNCTION("""COMPUTED_VALUE"""),0.0)</f>
        <v>0</v>
      </c>
      <c r="AQ113" s="40"/>
      <c r="AR113" s="40"/>
      <c r="AS113" s="53">
        <f>IFERROR(__xludf.DUMMYFUNCTION("""COMPUTED_VALUE"""),0.0)</f>
        <v>0</v>
      </c>
      <c r="AT113" s="40">
        <f>IFERROR(__xludf.DUMMYFUNCTION("""COMPUTED_VALUE"""),0.0)</f>
        <v>0</v>
      </c>
      <c r="AU113" s="40">
        <f>IFERROR(__xludf.DUMMYFUNCTION("""COMPUTED_VALUE"""),0.0)</f>
        <v>0</v>
      </c>
      <c r="AV113" s="40">
        <f>IFERROR(__xludf.DUMMYFUNCTION("""COMPUTED_VALUE"""),0.0)</f>
        <v>0</v>
      </c>
      <c r="AW113" s="40" t="str">
        <f>IFERROR(__xludf.DUMMYFUNCTION("""COMPUTED_VALUE"""),"NO")</f>
        <v>NO</v>
      </c>
      <c r="AX113" s="40">
        <f>IFERROR(__xludf.DUMMYFUNCTION("""COMPUTED_VALUE"""),0.0)</f>
        <v>0</v>
      </c>
      <c r="AY113" s="40">
        <f>IFERROR(__xludf.DUMMYFUNCTION("""COMPUTED_VALUE"""),0.0)</f>
        <v>0</v>
      </c>
      <c r="AZ113" s="40">
        <f>IFERROR(__xludf.DUMMYFUNCTION("""COMPUTED_VALUE"""),0.0)</f>
        <v>0</v>
      </c>
      <c r="BA113" s="40" t="str">
        <f>IFERROR(__xludf.DUMMYFUNCTION("""COMPUTED_VALUE"""),"X")</f>
        <v>X</v>
      </c>
      <c r="BB113" s="40">
        <f>IFERROR(__xludf.DUMMYFUNCTION("""COMPUTED_VALUE"""),0.0)</f>
        <v>0</v>
      </c>
      <c r="BC113" s="53" t="str">
        <f>IFERROR(__xludf.DUMMYFUNCTION("""COMPUTED_VALUE"""),"MARTHA CECILIA SANDOVAL, 45 - MARTHA CECILIA SANDOVAL")</f>
        <v>MARTHA CECILIA SANDOVAL, 45 - MARTHA CECILIA SANDOVAL</v>
      </c>
      <c r="BD113" s="48"/>
      <c r="BE113" s="48"/>
      <c r="BF113" s="48"/>
    </row>
    <row r="114">
      <c r="A114" s="39" t="str">
        <f>IFERROR(__xludf.DUMMYFUNCTION("""COMPUTED_VALUE"""),"2152")</f>
        <v>2152</v>
      </c>
      <c r="B114" s="40" t="str">
        <f>IFERROR(__xludf.DUMMYFUNCTION("""COMPUTED_VALUE"""),"Casa en barrio Villa Carolina")</f>
        <v>Casa en barrio Villa Carolina</v>
      </c>
      <c r="C114" s="40" t="str">
        <f>IFERROR(__xludf.DUMMYFUNCTION("""COMPUTED_VALUE"""),"Casa")</f>
        <v>Casa</v>
      </c>
      <c r="D114" s="40" t="str">
        <f>IFERROR(__xludf.DUMMYFUNCTION("""COMPUTED_VALUE"""),"Villa Carolina")</f>
        <v>Villa Carolina</v>
      </c>
      <c r="E114" s="42" t="str">
        <f>IFERROR(__xludf.DUMMYFUNCTION("""COMPUTED_VALUE""")," ")</f>
        <v> </v>
      </c>
      <c r="F114" s="42">
        <f>IFERROR(__xludf.DUMMYFUNCTION("""COMPUTED_VALUE"""),4.6E8)</f>
        <v>460000000</v>
      </c>
      <c r="G114" s="40" t="str">
        <f>IFERROR(__xludf.DUMMYFUNCTION("""COMPUTED_VALUE"""),"$400'000.000 a $500'000.000")</f>
        <v>$400'000.000 a $500'000.000</v>
      </c>
      <c r="H114" s="40"/>
      <c r="I114" s="40"/>
      <c r="J114" s="40" t="str">
        <f>IFERROR(__xludf.DUMMYFUNCTION("""COMPUTED_VALUE"""),"Norte")</f>
        <v>Norte</v>
      </c>
      <c r="K114" s="39" t="str">
        <f>IFERROR(__xludf.DUMMYFUNCTION("""COMPUTED_VALUE"""),"2")</f>
        <v>2</v>
      </c>
      <c r="L114" s="40">
        <f>IFERROR(__xludf.DUMMYFUNCTION("""COMPUTED_VALUE"""),4.0)</f>
        <v>4</v>
      </c>
      <c r="M114" s="40"/>
      <c r="N114" s="40">
        <f>IFERROR(__xludf.DUMMYFUNCTION("""COMPUTED_VALUE"""),3.0)</f>
        <v>3</v>
      </c>
      <c r="O114" s="40">
        <f>IFERROR(__xludf.DUMMYFUNCTION("""COMPUTED_VALUE"""),1.0)</f>
        <v>1</v>
      </c>
      <c r="P114" s="40">
        <f>IFERROR(__xludf.DUMMYFUNCTION("""COMPUTED_VALUE"""),2.0)</f>
        <v>2</v>
      </c>
      <c r="Q114" s="48"/>
      <c r="R114" s="48">
        <f>IFERROR(__xludf.DUMMYFUNCTION("""COMPUTED_VALUE"""),120.0)</f>
        <v>120</v>
      </c>
      <c r="S114" s="39" t="str">
        <f>IFERROR(__xludf.DUMMYFUNCTION("""COMPUTED_VALUE""")," ")</f>
        <v> </v>
      </c>
      <c r="T114" s="40" t="str">
        <f>IFERROR(__xludf.DUMMYFUNCTION("""COMPUTED_VALUE"""),"Neiva")</f>
        <v>Neiva</v>
      </c>
      <c r="U114" s="39" t="str">
        <f>IFERROR(__xludf.DUMMYFUNCTION("""COMPUTED_VALUE"""),"3")</f>
        <v>3</v>
      </c>
      <c r="V114" s="40" t="str">
        <f>IFERROR(__xludf.DUMMYFUNCTION("""COMPUTED_VALUE"""),"Esquinera")</f>
        <v>Esquinera</v>
      </c>
      <c r="W114" s="46"/>
      <c r="X114" s="46">
        <f>IFERROR(__xludf.DUMMYFUNCTION("""COMPUTED_VALUE"""),3.0)</f>
        <v>3</v>
      </c>
      <c r="Y114" s="40" t="str">
        <f>IFERROR(__xludf.DUMMYFUNCTION("""COMPUTED_VALUE"""),"No tiene")</f>
        <v>No tiene</v>
      </c>
      <c r="Z114" s="42" t="str">
        <f>IFERROR(__xludf.DUMMYFUNCTION("""COMPUTED_VALUE"""),"No aplica")</f>
        <v>No aplica</v>
      </c>
      <c r="AA114" s="49" t="str">
        <f>IFERROR(__xludf.DUMMYFUNCTION("""COMPUTED_VALUE"""),"No aplica")</f>
        <v>No aplica</v>
      </c>
      <c r="AB114" s="48"/>
      <c r="AC114" s="40"/>
      <c r="AD114" s="40"/>
      <c r="AE114" s="40"/>
      <c r="AF114" s="40" t="str">
        <f>IFERROR(__xludf.DUMMYFUNCTION("""COMPUTED_VALUE"""),"integral")</f>
        <v>integral</v>
      </c>
      <c r="AG114" s="40"/>
      <c r="AH114" s="40" t="str">
        <f>IFERROR(__xludf.DUMMYFUNCTION("""COMPUTED_VALUE"""),"Inventario")</f>
        <v>Inventario</v>
      </c>
      <c r="AI114" s="40"/>
      <c r="AJ114" s="40" t="str">
        <f>IFERROR(__xludf.DUMMYFUNCTION("""COMPUTED_VALUE"""),"ICDE")</f>
        <v>ICDE</v>
      </c>
      <c r="AK114" s="40"/>
      <c r="AL114" s="40" t="str">
        <f>IFERROR(__xludf.DUMMYFUNCTION("""COMPUTED_VALUE"""),"NO FOTOS + DESCRIPCION")</f>
        <v>NO FOTOS + DESCRIPCION</v>
      </c>
      <c r="AM114" s="40">
        <f>IFERROR(__xludf.DUMMYFUNCTION("""COMPUTED_VALUE"""),3.188660075E9)</f>
        <v>3188660075</v>
      </c>
      <c r="AN114" s="40">
        <f>IFERROR(__xludf.DUMMYFUNCTION("""COMPUTED_VALUE"""),0.0)</f>
        <v>0</v>
      </c>
      <c r="AO114" s="40" t="str">
        <f>IFERROR(__xludf.DUMMYFUNCTION("""COMPUTED_VALUE"""),"INMOB. CONSTRUYENDO SUEÑOS INOBILIARIOS")</f>
        <v>INMOB. CONSTRUYENDO SUEÑOS INOBILIARIOS</v>
      </c>
      <c r="AP114" s="40">
        <f>IFERROR(__xludf.DUMMYFUNCTION("""COMPUTED_VALUE"""),0.0)</f>
        <v>0</v>
      </c>
      <c r="AQ114" s="40"/>
      <c r="AR114" s="40"/>
      <c r="AS114" s="53">
        <f>IFERROR(__xludf.DUMMYFUNCTION("""COMPUTED_VALUE"""),0.0)</f>
        <v>0</v>
      </c>
      <c r="AT114" s="40">
        <f>IFERROR(__xludf.DUMMYFUNCTION("""COMPUTED_VALUE"""),0.0)</f>
        <v>0</v>
      </c>
      <c r="AU114" s="40">
        <f>IFERROR(__xludf.DUMMYFUNCTION("""COMPUTED_VALUE"""),0.0)</f>
        <v>0</v>
      </c>
      <c r="AV114" s="40">
        <f>IFERROR(__xludf.DUMMYFUNCTION("""COMPUTED_VALUE"""),0.0)</f>
        <v>0</v>
      </c>
      <c r="AW114" s="40" t="str">
        <f>IFERROR(__xludf.DUMMYFUNCTION("""COMPUTED_VALUE"""),"NO")</f>
        <v>NO</v>
      </c>
      <c r="AX114" s="40">
        <f>IFERROR(__xludf.DUMMYFUNCTION("""COMPUTED_VALUE"""),0.0)</f>
        <v>0</v>
      </c>
      <c r="AY114" s="40">
        <f>IFERROR(__xludf.DUMMYFUNCTION("""COMPUTED_VALUE"""),0.0)</f>
        <v>0</v>
      </c>
      <c r="AZ114" s="40">
        <f>IFERROR(__xludf.DUMMYFUNCTION("""COMPUTED_VALUE"""),0.0)</f>
        <v>0</v>
      </c>
      <c r="BA114" s="40" t="str">
        <f>IFERROR(__xludf.DUMMYFUNCTION("""COMPUTED_VALUE"""),"X")</f>
        <v>X</v>
      </c>
      <c r="BB114" s="40">
        <f>IFERROR(__xludf.DUMMYFUNCTION("""COMPUTED_VALUE"""),0.0)</f>
        <v>0</v>
      </c>
      <c r="BC114" s="53"/>
      <c r="BD114" s="48"/>
      <c r="BE114" s="48"/>
      <c r="BF114" s="48"/>
    </row>
    <row r="115">
      <c r="A115" s="39" t="str">
        <f>IFERROR(__xludf.DUMMYFUNCTION("""COMPUTED_VALUE"""),"399")</f>
        <v>399</v>
      </c>
      <c r="B115" s="40" t="str">
        <f>IFERROR(__xludf.DUMMYFUNCTION("""COMPUTED_VALUE"""),"Casa en barrio Sevilla")</f>
        <v>Casa en barrio Sevilla</v>
      </c>
      <c r="C115" s="40" t="str">
        <f>IFERROR(__xludf.DUMMYFUNCTION("""COMPUTED_VALUE"""),"Casa")</f>
        <v>Casa</v>
      </c>
      <c r="D115" s="40" t="str">
        <f>IFERROR(__xludf.DUMMYFUNCTION("""COMPUTED_VALUE"""),"Sevilla")</f>
        <v>Sevilla</v>
      </c>
      <c r="E115" s="40"/>
      <c r="F115" s="42">
        <f>IFERROR(__xludf.DUMMYFUNCTION("""COMPUTED_VALUE"""),4.5E8)</f>
        <v>450000000</v>
      </c>
      <c r="G115" s="40" t="str">
        <f>IFERROR(__xludf.DUMMYFUNCTION("""COMPUTED_VALUE"""),"$400'000.000 a $500'000.000")</f>
        <v>$400'000.000 a $500'000.000</v>
      </c>
      <c r="H115" s="40"/>
      <c r="I115" s="40"/>
      <c r="J115" s="40" t="str">
        <f>IFERROR(__xludf.DUMMYFUNCTION("""COMPUTED_VALUE"""),"Centro")</f>
        <v>Centro</v>
      </c>
      <c r="K115" s="39" t="str">
        <f>IFERROR(__xludf.DUMMYFUNCTION("""COMPUTED_VALUE"""),"3")</f>
        <v>3</v>
      </c>
      <c r="L115" s="40">
        <f>IFERROR(__xludf.DUMMYFUNCTION("""COMPUTED_VALUE"""),3.0)</f>
        <v>3</v>
      </c>
      <c r="M115" s="40"/>
      <c r="N115" s="40">
        <f>IFERROR(__xludf.DUMMYFUNCTION("""COMPUTED_VALUE"""),1.0)</f>
        <v>1</v>
      </c>
      <c r="O115" s="40">
        <f>IFERROR(__xludf.DUMMYFUNCTION("""COMPUTED_VALUE"""),0.0)</f>
        <v>0</v>
      </c>
      <c r="P115" s="40">
        <f>IFERROR(__xludf.DUMMYFUNCTION("""COMPUTED_VALUE"""),1.0)</f>
        <v>1</v>
      </c>
      <c r="Q115" s="48"/>
      <c r="R115" s="48">
        <f>IFERROR(__xludf.DUMMYFUNCTION("""COMPUTED_VALUE"""),185.0)</f>
        <v>185</v>
      </c>
      <c r="S115" s="39" t="str">
        <f>IFERROR(__xludf.DUMMYFUNCTION("""COMPUTED_VALUE""")," ")</f>
        <v> </v>
      </c>
      <c r="T115" s="40" t="str">
        <f>IFERROR(__xludf.DUMMYFUNCTION("""COMPUTED_VALUE"""),"Neiva")</f>
        <v>Neiva</v>
      </c>
      <c r="U115" s="39" t="str">
        <f>IFERROR(__xludf.DUMMYFUNCTION("""COMPUTED_VALUE"""),"2")</f>
        <v>2</v>
      </c>
      <c r="V115" s="40" t="str">
        <f>IFERROR(__xludf.DUMMYFUNCTION("""COMPUTED_VALUE"""),"Medianera")</f>
        <v>Medianera</v>
      </c>
      <c r="W115" s="46"/>
      <c r="X115" s="46">
        <f>IFERROR(__xludf.DUMMYFUNCTION("""COMPUTED_VALUE"""),3.0)</f>
        <v>3</v>
      </c>
      <c r="Y115" s="40" t="str">
        <f>IFERROR(__xludf.DUMMYFUNCTION("""COMPUTED_VALUE"""),"No tiene")</f>
        <v>No tiene</v>
      </c>
      <c r="Z115" s="42" t="str">
        <f>IFERROR(__xludf.DUMMYFUNCTION("""COMPUTED_VALUE"""),"No aplica")</f>
        <v>No aplica</v>
      </c>
      <c r="AA115" s="49" t="str">
        <f>IFERROR(__xludf.DUMMYFUNCTION("""COMPUTED_VALUE"""),"No aplica")</f>
        <v>No aplica</v>
      </c>
      <c r="AB115" s="48"/>
      <c r="AC115" s="40"/>
      <c r="AD115" s="40"/>
      <c r="AE115" s="40"/>
      <c r="AF115" s="40" t="str">
        <f>IFERROR(__xludf.DUMMYFUNCTION("""COMPUTED_VALUE"""),"semi-integral")</f>
        <v>semi-integral</v>
      </c>
      <c r="AG115" s="40"/>
      <c r="AH115" s="40" t="str">
        <f>IFERROR(__xludf.DUMMYFUNCTION("""COMPUTED_VALUE"""),"Inventario")</f>
        <v>Inventario</v>
      </c>
      <c r="AI115" s="40"/>
      <c r="AJ115" s="40" t="str">
        <f>IFERROR(__xludf.DUMMYFUNCTION("""COMPUTED_VALUE"""),"ICDE")</f>
        <v>ICDE</v>
      </c>
      <c r="AK115" s="40"/>
      <c r="AL115" s="40" t="str">
        <f>IFERROR(__xludf.DUMMYFUNCTION("""COMPUTED_VALUE"""),"NO FOTOS + DESCRIPCION")</f>
        <v>NO FOTOS + DESCRIPCION</v>
      </c>
      <c r="AM115" s="40">
        <f>IFERROR(__xludf.DUMMYFUNCTION("""COMPUTED_VALUE"""),3.112675213E9)</f>
        <v>3112675213</v>
      </c>
      <c r="AN115" s="40">
        <f>IFERROR(__xludf.DUMMYFUNCTION("""COMPUTED_VALUE"""),3.158769073E9)</f>
        <v>3158769073</v>
      </c>
      <c r="AO115" s="40" t="str">
        <f>IFERROR(__xludf.DUMMYFUNCTION("""COMPUTED_VALUE"""),"PROP. LUIS EMILIO")</f>
        <v>PROP. LUIS EMILIO</v>
      </c>
      <c r="AP115" s="40" t="str">
        <f>IFERROR(__xludf.DUMMYFUNCTION("""COMPUTED_VALUE"""),"CALLE 22 NO. 6-39")</f>
        <v>CALLE 22 NO. 6-39</v>
      </c>
      <c r="AQ115" s="40"/>
      <c r="AR115" s="40"/>
      <c r="AS115" s="53">
        <f>IFERROR(__xludf.DUMMYFUNCTION("""COMPUTED_VALUE"""),0.0)</f>
        <v>0</v>
      </c>
      <c r="AT115" s="40">
        <f>IFERROR(__xludf.DUMMYFUNCTION("""COMPUTED_VALUE"""),0.0)</f>
        <v>0</v>
      </c>
      <c r="AU115" s="40">
        <f>IFERROR(__xludf.DUMMYFUNCTION("""COMPUTED_VALUE"""),0.0)</f>
        <v>0</v>
      </c>
      <c r="AV115" s="40">
        <f>IFERROR(__xludf.DUMMYFUNCTION("""COMPUTED_VALUE"""),0.0)</f>
        <v>0</v>
      </c>
      <c r="AW115" s="40" t="str">
        <f>IFERROR(__xludf.DUMMYFUNCTION("""COMPUTED_VALUE"""),"NO")</f>
        <v>NO</v>
      </c>
      <c r="AX115" s="40">
        <f>IFERROR(__xludf.DUMMYFUNCTION("""COMPUTED_VALUE"""),0.0)</f>
        <v>0</v>
      </c>
      <c r="AY115" s="40">
        <f>IFERROR(__xludf.DUMMYFUNCTION("""COMPUTED_VALUE"""),0.0)</f>
        <v>0</v>
      </c>
      <c r="AZ115" s="40">
        <f>IFERROR(__xludf.DUMMYFUNCTION("""COMPUTED_VALUE"""),8.0)</f>
        <v>8</v>
      </c>
      <c r="BA115" s="40" t="str">
        <f>IFERROR(__xludf.DUMMYFUNCTION("""COMPUTED_VALUE"""),"X")</f>
        <v>X</v>
      </c>
      <c r="BB115" s="40">
        <f>IFERROR(__xludf.DUMMYFUNCTION("""COMPUTED_VALUE"""),23.0)</f>
        <v>23</v>
      </c>
      <c r="BC115" s="53"/>
      <c r="BD115" s="48"/>
      <c r="BE115" s="48"/>
      <c r="BF115" s="48"/>
    </row>
    <row r="116">
      <c r="A116" s="39" t="str">
        <f>IFERROR(__xludf.DUMMYFUNCTION("""COMPUTED_VALUE"""),"329")</f>
        <v>329</v>
      </c>
      <c r="B116" s="40" t="str">
        <f>IFERROR(__xludf.DUMMYFUNCTION("""COMPUTED_VALUE"""),"Casa con un local, dos habitaciones independientes y dos apartamentos en barrio Villa Carolina")</f>
        <v>Casa con un local, dos habitaciones independientes y dos apartamentos en barrio Villa Carolina</v>
      </c>
      <c r="C116" s="40" t="str">
        <f>IFERROR(__xludf.DUMMYFUNCTION("""COMPUTED_VALUE"""),"Casa rentable")</f>
        <v>Casa rentable</v>
      </c>
      <c r="D116" s="40" t="str">
        <f>IFERROR(__xludf.DUMMYFUNCTION("""COMPUTED_VALUE"""),"Villa Carolina")</f>
        <v>Villa Carolina</v>
      </c>
      <c r="E116" s="40"/>
      <c r="F116" s="42">
        <f>IFERROR(__xludf.DUMMYFUNCTION("""COMPUTED_VALUE"""),4.5E8)</f>
        <v>450000000</v>
      </c>
      <c r="G116" s="40" t="str">
        <f>IFERROR(__xludf.DUMMYFUNCTION("""COMPUTED_VALUE"""),"$400'000.000 a $500'000.000")</f>
        <v>$400'000.000 a $500'000.000</v>
      </c>
      <c r="H116" s="40"/>
      <c r="I116" s="40"/>
      <c r="J116" s="40" t="str">
        <f>IFERROR(__xludf.DUMMYFUNCTION("""COMPUTED_VALUE"""),"Norte")</f>
        <v>Norte</v>
      </c>
      <c r="K116" s="39" t="str">
        <f>IFERROR(__xludf.DUMMYFUNCTION("""COMPUTED_VALUE"""),"2")</f>
        <v>2</v>
      </c>
      <c r="L116" s="40">
        <f>IFERROR(__xludf.DUMMYFUNCTION("""COMPUTED_VALUE"""),9.0)</f>
        <v>9</v>
      </c>
      <c r="M116" s="40"/>
      <c r="N116" s="40">
        <f>IFERROR(__xludf.DUMMYFUNCTION("""COMPUTED_VALUE"""),7.0)</f>
        <v>7</v>
      </c>
      <c r="O116" s="40">
        <f>IFERROR(__xludf.DUMMYFUNCTION("""COMPUTED_VALUE"""),0.0)</f>
        <v>0</v>
      </c>
      <c r="P116" s="40">
        <f>IFERROR(__xludf.DUMMYFUNCTION("""COMPUTED_VALUE"""),2.0)</f>
        <v>2</v>
      </c>
      <c r="Q116" s="48">
        <f>IFERROR(__xludf.DUMMYFUNCTION("""COMPUTED_VALUE"""),220.0)</f>
        <v>220</v>
      </c>
      <c r="R116" s="48">
        <f>IFERROR(__xludf.DUMMYFUNCTION("""COMPUTED_VALUE"""),120.0)</f>
        <v>120</v>
      </c>
      <c r="S116" s="39" t="str">
        <f>IFERROR(__xludf.DUMMYFUNCTION("""COMPUTED_VALUE"""),"Rentabilidad $2,300,000")</f>
        <v>Rentabilidad $2,300,000</v>
      </c>
      <c r="T116" s="40" t="str">
        <f>IFERROR(__xludf.DUMMYFUNCTION("""COMPUTED_VALUE"""),"Neiva")</f>
        <v>Neiva</v>
      </c>
      <c r="U116" s="39" t="str">
        <f>IFERROR(__xludf.DUMMYFUNCTION("""COMPUTED_VALUE"""),"3")</f>
        <v>3</v>
      </c>
      <c r="V116" s="40" t="str">
        <f>IFERROR(__xludf.DUMMYFUNCTION("""COMPUTED_VALUE"""),"Esquinera")</f>
        <v>Esquinera</v>
      </c>
      <c r="W116" s="46"/>
      <c r="X116" s="46">
        <f>IFERROR(__xludf.DUMMYFUNCTION("""COMPUTED_VALUE"""),9.0)</f>
        <v>9</v>
      </c>
      <c r="Y116" s="40" t="str">
        <f>IFERROR(__xludf.DUMMYFUNCTION("""COMPUTED_VALUE"""),"No tiene")</f>
        <v>No tiene</v>
      </c>
      <c r="Z116" s="42" t="str">
        <f>IFERROR(__xludf.DUMMYFUNCTION("""COMPUTED_VALUE"""),"No aplica")</f>
        <v>No aplica</v>
      </c>
      <c r="AA116" s="49" t="str">
        <f>IFERROR(__xludf.DUMMYFUNCTION("""COMPUTED_VALUE"""),"16 años")</f>
        <v>16 años</v>
      </c>
      <c r="AB116" s="48"/>
      <c r="AC116" s="40"/>
      <c r="AD116" s="40"/>
      <c r="AE116" s="40"/>
      <c r="AF116" s="40" t="str">
        <f>IFERROR(__xludf.DUMMYFUNCTION("""COMPUTED_VALUE"""),"semi-integral")</f>
        <v>semi-integral</v>
      </c>
      <c r="AG116" s="40"/>
      <c r="AH116" s="40" t="str">
        <f>IFERROR(__xludf.DUMMYFUNCTION("""COMPUTED_VALUE"""),"Inventario")</f>
        <v>Inventario</v>
      </c>
      <c r="AI116" s="40"/>
      <c r="AJ116" s="40" t="str">
        <f>IFERROR(__xludf.DUMMYFUNCTION("""COMPUTED_VALUE"""),"ICDE")</f>
        <v>ICDE</v>
      </c>
      <c r="AK116" s="40"/>
      <c r="AL116" s="40" t="str">
        <f>IFERROR(__xludf.DUMMYFUNCTION("""COMPUTED_VALUE"""),"NO FOTOS + DESCRIPCION")</f>
        <v>NO FOTOS + DESCRIPCION</v>
      </c>
      <c r="AM116" s="40">
        <f>IFERROR(__xludf.DUMMYFUNCTION("""COMPUTED_VALUE"""),3.132130029E9)</f>
        <v>3132130029</v>
      </c>
      <c r="AN116" s="40">
        <f>IFERROR(__xludf.DUMMYFUNCTION("""COMPUTED_VALUE"""),3.114696369E9)</f>
        <v>3114696369</v>
      </c>
      <c r="AO116" s="40"/>
      <c r="AP116" s="40" t="str">
        <f>IFERROR(__xludf.DUMMYFUNCTION("""COMPUTED_VALUE"""),"CALLE 57 A No. 20 a - 06")</f>
        <v>CALLE 57 A No. 20 a - 06</v>
      </c>
      <c r="AQ116" s="40"/>
      <c r="AR116" s="40"/>
      <c r="AS116" s="53">
        <f>IFERROR(__xludf.DUMMYFUNCTION("""COMPUTED_VALUE"""),2300000.0)</f>
        <v>2300000</v>
      </c>
      <c r="AT116" s="40">
        <f>IFERROR(__xludf.DUMMYFUNCTION("""COMPUTED_VALUE"""),0.0)</f>
        <v>0</v>
      </c>
      <c r="AU116" s="40">
        <f>IFERROR(__xludf.DUMMYFUNCTION("""COMPUTED_VALUE"""),0.0)</f>
        <v>0</v>
      </c>
      <c r="AV116" s="40">
        <f>IFERROR(__xludf.DUMMYFUNCTION("""COMPUTED_VALUE"""),0.0)</f>
        <v>0</v>
      </c>
      <c r="AW116" s="40" t="str">
        <f>IFERROR(__xludf.DUMMYFUNCTION("""COMPUTED_VALUE"""),"SI")</f>
        <v>SI</v>
      </c>
      <c r="AX116" s="40">
        <f>IFERROR(__xludf.DUMMYFUNCTION("""COMPUTED_VALUE"""),0.0)</f>
        <v>0</v>
      </c>
      <c r="AY116" s="40">
        <f>IFERROR(__xludf.DUMMYFUNCTION("""COMPUTED_VALUE"""),0.0)</f>
        <v>0</v>
      </c>
      <c r="AZ116" s="40">
        <f>IFERROR(__xludf.DUMMYFUNCTION("""COMPUTED_VALUE"""),0.0)</f>
        <v>0</v>
      </c>
      <c r="BA116" s="40" t="str">
        <f>IFERROR(__xludf.DUMMYFUNCTION("""COMPUTED_VALUE"""),"X")</f>
        <v>X</v>
      </c>
      <c r="BB116" s="40">
        <f>IFERROR(__xludf.DUMMYFUNCTION("""COMPUTED_VALUE"""),0.0)</f>
        <v>0</v>
      </c>
      <c r="BC116" s="53"/>
      <c r="BD116" s="48"/>
      <c r="BE116" s="48"/>
      <c r="BF116" s="48"/>
    </row>
    <row r="117">
      <c r="A117" s="39" t="str">
        <f>IFERROR(__xludf.DUMMYFUNCTION("""COMPUTED_VALUE"""),"293")</f>
        <v>293</v>
      </c>
      <c r="B117" s="40" t="str">
        <f>IFERROR(__xludf.DUMMYFUNCTION("""COMPUTED_VALUE"""),"Casa lote en barrio Sevilla")</f>
        <v>Casa lote en barrio Sevilla</v>
      </c>
      <c r="C117" s="40" t="str">
        <f>IFERROR(__xludf.DUMMYFUNCTION("""COMPUTED_VALUE"""),"Casa lote")</f>
        <v>Casa lote</v>
      </c>
      <c r="D117" s="40" t="str">
        <f>IFERROR(__xludf.DUMMYFUNCTION("""COMPUTED_VALUE"""),"Sevilla")</f>
        <v>Sevilla</v>
      </c>
      <c r="E117" s="40"/>
      <c r="F117" s="42">
        <f>IFERROR(__xludf.DUMMYFUNCTION("""COMPUTED_VALUE"""),4.5E8)</f>
        <v>450000000</v>
      </c>
      <c r="G117" s="40" t="str">
        <f>IFERROR(__xludf.DUMMYFUNCTION("""COMPUTED_VALUE"""),"$400'000.000 a $500'000.000")</f>
        <v>$400'000.000 a $500'000.000</v>
      </c>
      <c r="H117" s="40"/>
      <c r="I117" s="40"/>
      <c r="J117" s="40" t="str">
        <f>IFERROR(__xludf.DUMMYFUNCTION("""COMPUTED_VALUE"""),"Centro")</f>
        <v>Centro</v>
      </c>
      <c r="K117" s="39" t="str">
        <f>IFERROR(__xludf.DUMMYFUNCTION("""COMPUTED_VALUE"""),"3")</f>
        <v>3</v>
      </c>
      <c r="L117" s="40">
        <f>IFERROR(__xludf.DUMMYFUNCTION("""COMPUTED_VALUE"""),4.0)</f>
        <v>4</v>
      </c>
      <c r="M117" s="40"/>
      <c r="N117" s="40">
        <f>IFERROR(__xludf.DUMMYFUNCTION("""COMPUTED_VALUE"""),1.0)</f>
        <v>1</v>
      </c>
      <c r="O117" s="40">
        <f>IFERROR(__xludf.DUMMYFUNCTION("""COMPUTED_VALUE"""),2.0)</f>
        <v>2</v>
      </c>
      <c r="P117" s="40">
        <f>IFERROR(__xludf.DUMMYFUNCTION("""COMPUTED_VALUE"""),2.0)</f>
        <v>2</v>
      </c>
      <c r="Q117" s="48"/>
      <c r="R117" s="48">
        <f>IFERROR(__xludf.DUMMYFUNCTION("""COMPUTED_VALUE"""),295.0)</f>
        <v>295</v>
      </c>
      <c r="S117" s="39" t="str">
        <f>IFERROR(__xludf.DUMMYFUNCTION("""COMPUTED_VALUE""")," ")</f>
        <v> </v>
      </c>
      <c r="T117" s="40" t="str">
        <f>IFERROR(__xludf.DUMMYFUNCTION("""COMPUTED_VALUE"""),"Neiva")</f>
        <v>Neiva</v>
      </c>
      <c r="U117" s="39" t="str">
        <f>IFERROR(__xludf.DUMMYFUNCTION("""COMPUTED_VALUE"""),"4")</f>
        <v>4</v>
      </c>
      <c r="V117" s="40" t="str">
        <f>IFERROR(__xludf.DUMMYFUNCTION("""COMPUTED_VALUE"""),"Medianera")</f>
        <v>Medianera</v>
      </c>
      <c r="W117" s="46"/>
      <c r="X117" s="46">
        <f>IFERROR(__xludf.DUMMYFUNCTION("""COMPUTED_VALUE"""),0.0)</f>
        <v>0</v>
      </c>
      <c r="Y117" s="40" t="str">
        <f>IFERROR(__xludf.DUMMYFUNCTION("""COMPUTED_VALUE"""),"No tiene")</f>
        <v>No tiene</v>
      </c>
      <c r="Z117" s="42" t="str">
        <f>IFERROR(__xludf.DUMMYFUNCTION("""COMPUTED_VALUE"""),"No aplica")</f>
        <v>No aplica</v>
      </c>
      <c r="AA117" s="49" t="str">
        <f>IFERROR(__xludf.DUMMYFUNCTION("""COMPUTED_VALUE"""),"No aplica")</f>
        <v>No aplica</v>
      </c>
      <c r="AB117" s="48"/>
      <c r="AC117" s="40"/>
      <c r="AD117" s="40"/>
      <c r="AE117" s="40"/>
      <c r="AF117" s="40" t="str">
        <f>IFERROR(__xludf.DUMMYFUNCTION("""COMPUTED_VALUE"""),"básica")</f>
        <v>básica</v>
      </c>
      <c r="AG117" s="40"/>
      <c r="AH117" s="40" t="str">
        <f>IFERROR(__xludf.DUMMYFUNCTION("""COMPUTED_VALUE"""),"Inventario")</f>
        <v>Inventario</v>
      </c>
      <c r="AI117" s="40"/>
      <c r="AJ117" s="40" t="str">
        <f>IFERROR(__xludf.DUMMYFUNCTION("""COMPUTED_VALUE"""),"ICDE")</f>
        <v>ICDE</v>
      </c>
      <c r="AK117" s="40"/>
      <c r="AL117" s="40" t="str">
        <f>IFERROR(__xludf.DUMMYFUNCTION("""COMPUTED_VALUE"""),"NO FOTOS + DESCRIPCION")</f>
        <v>NO FOTOS + DESCRIPCION</v>
      </c>
      <c r="AM117" s="40">
        <f>IFERROR(__xludf.DUMMYFUNCTION("""COMPUTED_VALUE"""),3.005627475E9)</f>
        <v>3005627475</v>
      </c>
      <c r="AN117" s="40">
        <f>IFERROR(__xludf.DUMMYFUNCTION("""COMPUTED_VALUE"""),3.005575058E9)</f>
        <v>3005575058</v>
      </c>
      <c r="AO117" s="40" t="str">
        <f>IFERROR(__xludf.DUMMYFUNCTION("""COMPUTED_VALUE"""),"MARTHA CAMACHO")</f>
        <v>MARTHA CAMACHO</v>
      </c>
      <c r="AP117" s="40">
        <f>IFERROR(__xludf.DUMMYFUNCTION("""COMPUTED_VALUE"""),0.0)</f>
        <v>0</v>
      </c>
      <c r="AQ117" s="40"/>
      <c r="AR117" s="40"/>
      <c r="AS117" s="53">
        <f>IFERROR(__xludf.DUMMYFUNCTION("""COMPUTED_VALUE"""),0.0)</f>
        <v>0</v>
      </c>
      <c r="AT117" s="40">
        <f>IFERROR(__xludf.DUMMYFUNCTION("""COMPUTED_VALUE"""),0.0)</f>
        <v>0</v>
      </c>
      <c r="AU117" s="40">
        <f>IFERROR(__xludf.DUMMYFUNCTION("""COMPUTED_VALUE"""),0.0)</f>
        <v>0</v>
      </c>
      <c r="AV117" s="40">
        <f>IFERROR(__xludf.DUMMYFUNCTION("""COMPUTED_VALUE"""),0.0)</f>
        <v>0</v>
      </c>
      <c r="AW117" s="40" t="str">
        <f>IFERROR(__xludf.DUMMYFUNCTION("""COMPUTED_VALUE"""),"NO")</f>
        <v>NO</v>
      </c>
      <c r="AX117" s="40">
        <f>IFERROR(__xludf.DUMMYFUNCTION("""COMPUTED_VALUE"""),0.0)</f>
        <v>0</v>
      </c>
      <c r="AY117" s="40">
        <f>IFERROR(__xludf.DUMMYFUNCTION("""COMPUTED_VALUE"""),0.0)</f>
        <v>0</v>
      </c>
      <c r="AZ117" s="40">
        <f>IFERROR(__xludf.DUMMYFUNCTION("""COMPUTED_VALUE"""),0.0)</f>
        <v>0</v>
      </c>
      <c r="BA117" s="40" t="str">
        <f>IFERROR(__xludf.DUMMYFUNCTION("""COMPUTED_VALUE"""),"X")</f>
        <v>X</v>
      </c>
      <c r="BB117" s="40">
        <f>IFERROR(__xludf.DUMMYFUNCTION("""COMPUTED_VALUE"""),0.0)</f>
        <v>0</v>
      </c>
      <c r="BC117" s="53"/>
      <c r="BD117" s="48"/>
      <c r="BE117" s="48"/>
      <c r="BF117" s="48"/>
    </row>
    <row r="118">
      <c r="A118" s="39" t="str">
        <f>IFERROR(__xludf.DUMMYFUNCTION("""COMPUTED_VALUE"""),"191")</f>
        <v>191</v>
      </c>
      <c r="B118" s="40" t="str">
        <f>IFERROR(__xludf.DUMMYFUNCTION("""COMPUTED_VALUE"""),"Lote en barrio La Toma")</f>
        <v>Lote en barrio La Toma</v>
      </c>
      <c r="C118" s="40" t="str">
        <f>IFERROR(__xludf.DUMMYFUNCTION("""COMPUTED_VALUE"""),"Lote")</f>
        <v>Lote</v>
      </c>
      <c r="D118" s="40" t="str">
        <f>IFERROR(__xludf.DUMMYFUNCTION("""COMPUTED_VALUE"""),"La Toma")</f>
        <v>La Toma</v>
      </c>
      <c r="E118" s="42" t="str">
        <f>IFERROR(__xludf.DUMMYFUNCTION("""COMPUTED_VALUE""")," ")</f>
        <v> </v>
      </c>
      <c r="F118" s="42">
        <f>IFERROR(__xludf.DUMMYFUNCTION("""COMPUTED_VALUE"""),4.5E8)</f>
        <v>450000000</v>
      </c>
      <c r="G118" s="40" t="str">
        <f>IFERROR(__xludf.DUMMYFUNCTION("""COMPUTED_VALUE"""),"$400'000.000 a $500'000.000")</f>
        <v>$400'000.000 a $500'000.000</v>
      </c>
      <c r="H118" s="40"/>
      <c r="I118" s="40"/>
      <c r="J118" s="40" t="str">
        <f>IFERROR(__xludf.DUMMYFUNCTION("""COMPUTED_VALUE"""),"Centro")</f>
        <v>Centro</v>
      </c>
      <c r="K118" s="39" t="str">
        <f>IFERROR(__xludf.DUMMYFUNCTION("""COMPUTED_VALUE"""),"3")</f>
        <v>3</v>
      </c>
      <c r="L118" s="40">
        <f>IFERROR(__xludf.DUMMYFUNCTION("""COMPUTED_VALUE"""),0.0)</f>
        <v>0</v>
      </c>
      <c r="M118" s="40"/>
      <c r="N118" s="40">
        <f>IFERROR(__xludf.DUMMYFUNCTION("""COMPUTED_VALUE"""),0.0)</f>
        <v>0</v>
      </c>
      <c r="O118" s="40">
        <f>IFERROR(__xludf.DUMMYFUNCTION("""COMPUTED_VALUE"""),0.0)</f>
        <v>0</v>
      </c>
      <c r="P118" s="40">
        <f>IFERROR(__xludf.DUMMYFUNCTION("""COMPUTED_VALUE"""),0.0)</f>
        <v>0</v>
      </c>
      <c r="Q118" s="48"/>
      <c r="R118" s="48">
        <f>IFERROR(__xludf.DUMMYFUNCTION("""COMPUTED_VALUE"""),120.25)</f>
        <v>120.25</v>
      </c>
      <c r="S118" s="39" t="str">
        <f>IFERROR(__xludf.DUMMYFUNCTION("""COMPUTED_VALUE""")," ")</f>
        <v> </v>
      </c>
      <c r="T118" s="40" t="str">
        <f>IFERROR(__xludf.DUMMYFUNCTION("""COMPUTED_VALUE"""),"Neiva")</f>
        <v>Neiva</v>
      </c>
      <c r="U118" s="39" t="str">
        <f>IFERROR(__xludf.DUMMYFUNCTION("""COMPUTED_VALUE"""),"3")</f>
        <v>3</v>
      </c>
      <c r="V118" s="40" t="str">
        <f>IFERROR(__xludf.DUMMYFUNCTION("""COMPUTED_VALUE"""),"Medianera")</f>
        <v>Medianera</v>
      </c>
      <c r="W118" s="46"/>
      <c r="X118" s="46">
        <f>IFERROR(__xludf.DUMMYFUNCTION("""COMPUTED_VALUE"""),0.0)</f>
        <v>0</v>
      </c>
      <c r="Y118" s="40" t="str">
        <f>IFERROR(__xludf.DUMMYFUNCTION("""COMPUTED_VALUE"""),"No tiene")</f>
        <v>No tiene</v>
      </c>
      <c r="Z118" s="42" t="str">
        <f>IFERROR(__xludf.DUMMYFUNCTION("""COMPUTED_VALUE"""),"No aplica")</f>
        <v>No aplica</v>
      </c>
      <c r="AA118" s="49" t="str">
        <f>IFERROR(__xludf.DUMMYFUNCTION("""COMPUTED_VALUE"""),"No aplica")</f>
        <v>No aplica</v>
      </c>
      <c r="AB118" s="48"/>
      <c r="AC118" s="40"/>
      <c r="AD118" s="40"/>
      <c r="AE118" s="40"/>
      <c r="AF118" s="40" t="str">
        <f>IFERROR(__xludf.DUMMYFUNCTION("""COMPUTED_VALUE"""),"0")</f>
        <v>0</v>
      </c>
      <c r="AG118" s="40"/>
      <c r="AH118" s="40" t="str">
        <f>IFERROR(__xludf.DUMMYFUNCTION("""COMPUTED_VALUE"""),"Inventario")</f>
        <v>Inventario</v>
      </c>
      <c r="AI118" s="40"/>
      <c r="AJ118" s="40" t="str">
        <f>IFERROR(__xludf.DUMMYFUNCTION("""COMPUTED_VALUE"""),"ICDE")</f>
        <v>ICDE</v>
      </c>
      <c r="AK118" s="40"/>
      <c r="AL118" s="40" t="str">
        <f>IFERROR(__xludf.DUMMYFUNCTION("""COMPUTED_VALUE"""),"TIENE FOTOS-DESCRIP")</f>
        <v>TIENE FOTOS-DESCRIP</v>
      </c>
      <c r="AM118" s="40">
        <f>IFERROR(__xludf.DUMMYFUNCTION("""COMPUTED_VALUE"""),3.21491776E9)</f>
        <v>3214917760</v>
      </c>
      <c r="AN118" s="40">
        <f>IFERROR(__xludf.DUMMYFUNCTION("""COMPUTED_VALUE"""),0.0)</f>
        <v>0</v>
      </c>
      <c r="AO118" s="40" t="str">
        <f>IFERROR(__xludf.DUMMYFUNCTION("""COMPUTED_VALUE"""),"CARLOS QUINTERO-PROPIEARIO")</f>
        <v>CARLOS QUINTERO-PROPIEARIO</v>
      </c>
      <c r="AP118" s="40" t="str">
        <f>IFERROR(__xludf.DUMMYFUNCTION("""COMPUTED_VALUE"""),"CALLE 13 NO. 8 - 47")</f>
        <v>CALLE 13 NO. 8 - 47</v>
      </c>
      <c r="AQ118" s="40"/>
      <c r="AR118" s="40"/>
      <c r="AS118" s="53">
        <f>IFERROR(__xludf.DUMMYFUNCTION("""COMPUTED_VALUE"""),0.0)</f>
        <v>0</v>
      </c>
      <c r="AT118" s="40">
        <f>IFERROR(__xludf.DUMMYFUNCTION("""COMPUTED_VALUE"""),0.0)</f>
        <v>0</v>
      </c>
      <c r="AU118" s="40">
        <f>IFERROR(__xludf.DUMMYFUNCTION("""COMPUTED_VALUE"""),0.0)</f>
        <v>0</v>
      </c>
      <c r="AV118" s="40">
        <f>IFERROR(__xludf.DUMMYFUNCTION("""COMPUTED_VALUE"""),0.0)</f>
        <v>0</v>
      </c>
      <c r="AW118" s="40" t="str">
        <f>IFERROR(__xludf.DUMMYFUNCTION("""COMPUTED_VALUE"""),"NO")</f>
        <v>NO</v>
      </c>
      <c r="AX118" s="40">
        <f>IFERROR(__xludf.DUMMYFUNCTION("""COMPUTED_VALUE"""),0.0)</f>
        <v>0</v>
      </c>
      <c r="AY118" s="40">
        <f>IFERROR(__xludf.DUMMYFUNCTION("""COMPUTED_VALUE"""),0.0)</f>
        <v>0</v>
      </c>
      <c r="AZ118" s="40">
        <f>IFERROR(__xludf.DUMMYFUNCTION("""COMPUTED_VALUE"""),12.0)</f>
        <v>12</v>
      </c>
      <c r="BA118" s="40" t="str">
        <f>IFERROR(__xludf.DUMMYFUNCTION("""COMPUTED_VALUE"""),"X")</f>
        <v>X</v>
      </c>
      <c r="BB118" s="40">
        <f>IFERROR(__xludf.DUMMYFUNCTION("""COMPUTED_VALUE"""),31.0)</f>
        <v>31</v>
      </c>
      <c r="BC118" s="53"/>
      <c r="BD118" s="48"/>
      <c r="BE118" s="48"/>
      <c r="BF118" s="48"/>
    </row>
    <row r="119">
      <c r="A119" s="39" t="str">
        <f>IFERROR(__xludf.DUMMYFUNCTION("""COMPUTED_VALUE"""),"189")</f>
        <v>189</v>
      </c>
      <c r="B119" s="40" t="str">
        <f>IFERROR(__xludf.DUMMYFUNCTION("""COMPUTED_VALUE"""),"Casa con dos apartaestudios en barrio Campo Nuñez")</f>
        <v>Casa con dos apartaestudios en barrio Campo Nuñez</v>
      </c>
      <c r="C119" s="40" t="str">
        <f>IFERROR(__xludf.DUMMYFUNCTION("""COMPUTED_VALUE"""),"Casa rentable")</f>
        <v>Casa rentable</v>
      </c>
      <c r="D119" s="40" t="str">
        <f>IFERROR(__xludf.DUMMYFUNCTION("""COMPUTED_VALUE"""),"Campo Nuñez")</f>
        <v>Campo Nuñez</v>
      </c>
      <c r="E119" s="42" t="str">
        <f>IFERROR(__xludf.DUMMYFUNCTION("""COMPUTED_VALUE""")," ")</f>
        <v> </v>
      </c>
      <c r="F119" s="42">
        <f>IFERROR(__xludf.DUMMYFUNCTION("""COMPUTED_VALUE"""),4.5E8)</f>
        <v>450000000</v>
      </c>
      <c r="G119" s="40" t="str">
        <f>IFERROR(__xludf.DUMMYFUNCTION("""COMPUTED_VALUE"""),"$400'000.000 a $500'000.000")</f>
        <v>$400'000.000 a $500'000.000</v>
      </c>
      <c r="H119" s="40"/>
      <c r="I119" s="40"/>
      <c r="J119" s="40" t="str">
        <f>IFERROR(__xludf.DUMMYFUNCTION("""COMPUTED_VALUE"""),"Centro")</f>
        <v>Centro</v>
      </c>
      <c r="K119" s="39" t="str">
        <f>IFERROR(__xludf.DUMMYFUNCTION("""COMPUTED_VALUE"""),"3")</f>
        <v>3</v>
      </c>
      <c r="L119" s="40">
        <f>IFERROR(__xludf.DUMMYFUNCTION("""COMPUTED_VALUE"""),4.0)</f>
        <v>4</v>
      </c>
      <c r="M119" s="40"/>
      <c r="N119" s="40">
        <f>IFERROR(__xludf.DUMMYFUNCTION("""COMPUTED_VALUE"""),2.0)</f>
        <v>2</v>
      </c>
      <c r="O119" s="40">
        <f>IFERROR(__xludf.DUMMYFUNCTION("""COMPUTED_VALUE"""),1.0)</f>
        <v>1</v>
      </c>
      <c r="P119" s="40">
        <f>IFERROR(__xludf.DUMMYFUNCTION("""COMPUTED_VALUE"""),1.0)</f>
        <v>1</v>
      </c>
      <c r="Q119" s="48">
        <f>IFERROR(__xludf.DUMMYFUNCTION("""COMPUTED_VALUE"""),280.0)</f>
        <v>280</v>
      </c>
      <c r="R119" s="48">
        <f>IFERROR(__xludf.DUMMYFUNCTION("""COMPUTED_VALUE"""),300.0)</f>
        <v>300</v>
      </c>
      <c r="S119" s="39" t="str">
        <f>IFERROR(__xludf.DUMMYFUNCTION("""COMPUTED_VALUE"""),"Rentabilidad $1,700,000")</f>
        <v>Rentabilidad $1,700,000</v>
      </c>
      <c r="T119" s="40" t="str">
        <f>IFERROR(__xludf.DUMMYFUNCTION("""COMPUTED_VALUE"""),"Neiva")</f>
        <v>Neiva</v>
      </c>
      <c r="U119" s="39" t="str">
        <f>IFERROR(__xludf.DUMMYFUNCTION("""COMPUTED_VALUE"""),"2")</f>
        <v>2</v>
      </c>
      <c r="V119" s="40" t="str">
        <f>IFERROR(__xludf.DUMMYFUNCTION("""COMPUTED_VALUE"""),"Medianera")</f>
        <v>Medianera</v>
      </c>
      <c r="W119" s="46"/>
      <c r="X119" s="46">
        <f>IFERROR(__xludf.DUMMYFUNCTION("""COMPUTED_VALUE"""),1.0)</f>
        <v>1</v>
      </c>
      <c r="Y119" s="40" t="str">
        <f>IFERROR(__xludf.DUMMYFUNCTION("""COMPUTED_VALUE"""),"No tiene")</f>
        <v>No tiene</v>
      </c>
      <c r="Z119" s="42" t="str">
        <f>IFERROR(__xludf.DUMMYFUNCTION("""COMPUTED_VALUE"""),"No aplica")</f>
        <v>No aplica</v>
      </c>
      <c r="AA119" s="49" t="str">
        <f>IFERROR(__xludf.DUMMYFUNCTION("""COMPUTED_VALUE"""),"22 años")</f>
        <v>22 años</v>
      </c>
      <c r="AB119" s="48"/>
      <c r="AC119" s="40"/>
      <c r="AD119" s="40"/>
      <c r="AE119" s="40"/>
      <c r="AF119" s="40" t="str">
        <f>IFERROR(__xludf.DUMMYFUNCTION("""COMPUTED_VALUE"""),"básica")</f>
        <v>básica</v>
      </c>
      <c r="AG119" s="40"/>
      <c r="AH119" s="40" t="str">
        <f>IFERROR(__xludf.DUMMYFUNCTION("""COMPUTED_VALUE"""),"Inventario")</f>
        <v>Inventario</v>
      </c>
      <c r="AI119" s="40"/>
      <c r="AJ119" s="40" t="str">
        <f>IFERROR(__xludf.DUMMYFUNCTION("""COMPUTED_VALUE"""),"ICDE")</f>
        <v>ICDE</v>
      </c>
      <c r="AK119" s="40"/>
      <c r="AL119" s="40" t="str">
        <f>IFERROR(__xludf.DUMMYFUNCTION("""COMPUTED_VALUE"""),"NO FOTOS")</f>
        <v>NO FOTOS</v>
      </c>
      <c r="AM119" s="40">
        <f>IFERROR(__xludf.DUMMYFUNCTION("""COMPUTED_VALUE"""),3.002852357E9)</f>
        <v>3002852357</v>
      </c>
      <c r="AN119" s="40">
        <f>IFERROR(__xludf.DUMMYFUNCTION("""COMPUTED_VALUE"""),6.0)</f>
        <v>6</v>
      </c>
      <c r="AO119" s="40" t="str">
        <f>IFERROR(__xludf.DUMMYFUNCTION("""COMPUTED_VALUE"""),"DORYS VARGAS")</f>
        <v>DORYS VARGAS</v>
      </c>
      <c r="AP119" s="40" t="str">
        <f>IFERROR(__xludf.DUMMYFUNCTION("""COMPUTED_VALUE"""),"CALLE 18 NO. 3-25")</f>
        <v>CALLE 18 NO. 3-25</v>
      </c>
      <c r="AQ119" s="40"/>
      <c r="AR119" s="40"/>
      <c r="AS119" s="53">
        <f>IFERROR(__xludf.DUMMYFUNCTION("""COMPUTED_VALUE"""),1700000.0)</f>
        <v>1700000</v>
      </c>
      <c r="AT119" s="40">
        <f>IFERROR(__xludf.DUMMYFUNCTION("""COMPUTED_VALUE"""),0.0)</f>
        <v>0</v>
      </c>
      <c r="AU119" s="40">
        <f>IFERROR(__xludf.DUMMYFUNCTION("""COMPUTED_VALUE"""),0.0)</f>
        <v>0</v>
      </c>
      <c r="AV119" s="40">
        <f>IFERROR(__xludf.DUMMYFUNCTION("""COMPUTED_VALUE"""),0.0)</f>
        <v>0</v>
      </c>
      <c r="AW119" s="40" t="str">
        <f>IFERROR(__xludf.DUMMYFUNCTION("""COMPUTED_VALUE"""),"NO")</f>
        <v>NO</v>
      </c>
      <c r="AX119" s="40">
        <f>IFERROR(__xludf.DUMMYFUNCTION("""COMPUTED_VALUE"""),0.0)</f>
        <v>0</v>
      </c>
      <c r="AY119" s="40">
        <f>IFERROR(__xludf.DUMMYFUNCTION("""COMPUTED_VALUE"""),0.0)</f>
        <v>0</v>
      </c>
      <c r="AZ119" s="40">
        <f>IFERROR(__xludf.DUMMYFUNCTION("""COMPUTED_VALUE"""),10.0)</f>
        <v>10</v>
      </c>
      <c r="BA119" s="40" t="str">
        <f>IFERROR(__xludf.DUMMYFUNCTION("""COMPUTED_VALUE"""),"X")</f>
        <v>X</v>
      </c>
      <c r="BB119" s="40">
        <f>IFERROR(__xludf.DUMMYFUNCTION("""COMPUTED_VALUE"""),30.0)</f>
        <v>30</v>
      </c>
      <c r="BC119" s="53"/>
      <c r="BD119" s="48"/>
      <c r="BE119" s="48"/>
      <c r="BF119" s="48"/>
    </row>
    <row r="120">
      <c r="A120" s="39" t="str">
        <f>IFERROR(__xludf.DUMMYFUNCTION("""COMPUTED_VALUE"""),"174")</f>
        <v>174</v>
      </c>
      <c r="B120" s="40" t="str">
        <f>IFERROR(__xludf.DUMMYFUNCTION("""COMPUTED_VALUE"""),"Casa en barrio La Toma")</f>
        <v>Casa en barrio La Toma</v>
      </c>
      <c r="C120" s="40" t="str">
        <f>IFERROR(__xludf.DUMMYFUNCTION("""COMPUTED_VALUE"""),"Casa")</f>
        <v>Casa</v>
      </c>
      <c r="D120" s="40" t="str">
        <f>IFERROR(__xludf.DUMMYFUNCTION("""COMPUTED_VALUE"""),"La Toma")</f>
        <v>La Toma</v>
      </c>
      <c r="E120" s="42" t="str">
        <f>IFERROR(__xludf.DUMMYFUNCTION("""COMPUTED_VALUE""")," ")</f>
        <v> </v>
      </c>
      <c r="F120" s="42">
        <f>IFERROR(__xludf.DUMMYFUNCTION("""COMPUTED_VALUE"""),4.5E8)</f>
        <v>450000000</v>
      </c>
      <c r="G120" s="40" t="str">
        <f>IFERROR(__xludf.DUMMYFUNCTION("""COMPUTED_VALUE"""),"$400'000.000 a $500'000.000")</f>
        <v>$400'000.000 a $500'000.000</v>
      </c>
      <c r="H120" s="40"/>
      <c r="I120" s="40"/>
      <c r="J120" s="40" t="str">
        <f>IFERROR(__xludf.DUMMYFUNCTION("""COMPUTED_VALUE"""),"Centro")</f>
        <v>Centro</v>
      </c>
      <c r="K120" s="39" t="str">
        <f>IFERROR(__xludf.DUMMYFUNCTION("""COMPUTED_VALUE"""),"3")</f>
        <v>3</v>
      </c>
      <c r="L120" s="40">
        <f>IFERROR(__xludf.DUMMYFUNCTION("""COMPUTED_VALUE"""),3.0)</f>
        <v>3</v>
      </c>
      <c r="M120" s="40"/>
      <c r="N120" s="40">
        <f>IFERROR(__xludf.DUMMYFUNCTION("""COMPUTED_VALUE"""),1.0)</f>
        <v>1</v>
      </c>
      <c r="O120" s="40">
        <f>IFERROR(__xludf.DUMMYFUNCTION("""COMPUTED_VALUE"""),0.0)</f>
        <v>0</v>
      </c>
      <c r="P120" s="40">
        <f>IFERROR(__xludf.DUMMYFUNCTION("""COMPUTED_VALUE"""),1.0)</f>
        <v>1</v>
      </c>
      <c r="Q120" s="48"/>
      <c r="R120" s="48">
        <f>IFERROR(__xludf.DUMMYFUNCTION("""COMPUTED_VALUE"""),370.0)</f>
        <v>370</v>
      </c>
      <c r="S120" s="39" t="str">
        <f>IFERROR(__xludf.DUMMYFUNCTION("""COMPUTED_VALUE"""),"Rentabilidad $1,300,000")</f>
        <v>Rentabilidad $1,300,000</v>
      </c>
      <c r="T120" s="40" t="str">
        <f>IFERROR(__xludf.DUMMYFUNCTION("""COMPUTED_VALUE"""),"Neiva")</f>
        <v>Neiva</v>
      </c>
      <c r="U120" s="39" t="str">
        <f>IFERROR(__xludf.DUMMYFUNCTION("""COMPUTED_VALUE"""),"3")</f>
        <v>3</v>
      </c>
      <c r="V120" s="40" t="str">
        <f>IFERROR(__xludf.DUMMYFUNCTION("""COMPUTED_VALUE"""),"Medianera")</f>
        <v>Medianera</v>
      </c>
      <c r="W120" s="46"/>
      <c r="X120" s="46">
        <f>IFERROR(__xludf.DUMMYFUNCTION("""COMPUTED_VALUE"""),0.0)</f>
        <v>0</v>
      </c>
      <c r="Y120" s="40" t="str">
        <f>IFERROR(__xludf.DUMMYFUNCTION("""COMPUTED_VALUE"""),"No tiene")</f>
        <v>No tiene</v>
      </c>
      <c r="Z120" s="42" t="str">
        <f>IFERROR(__xludf.DUMMYFUNCTION("""COMPUTED_VALUE"""),"No aplica")</f>
        <v>No aplica</v>
      </c>
      <c r="AA120" s="49" t="str">
        <f>IFERROR(__xludf.DUMMYFUNCTION("""COMPUTED_VALUE"""),"29 años")</f>
        <v>29 años</v>
      </c>
      <c r="AB120" s="48"/>
      <c r="AC120" s="40"/>
      <c r="AD120" s="40"/>
      <c r="AE120" s="40"/>
      <c r="AF120" s="40" t="str">
        <f>IFERROR(__xludf.DUMMYFUNCTION("""COMPUTED_VALUE"""),"básica")</f>
        <v>básica</v>
      </c>
      <c r="AG120" s="40"/>
      <c r="AH120" s="40" t="str">
        <f>IFERROR(__xludf.DUMMYFUNCTION("""COMPUTED_VALUE"""),"Inventario")</f>
        <v>Inventario</v>
      </c>
      <c r="AI120" s="40"/>
      <c r="AJ120" s="40" t="str">
        <f>IFERROR(__xludf.DUMMYFUNCTION("""COMPUTED_VALUE"""),"ICDE")</f>
        <v>ICDE</v>
      </c>
      <c r="AK120" s="40"/>
      <c r="AL120" s="40" t="str">
        <f>IFERROR(__xludf.DUMMYFUNCTION("""COMPUTED_VALUE"""),"NO FOTOS")</f>
        <v>NO FOTOS</v>
      </c>
      <c r="AM120" s="40">
        <f>IFERROR(__xludf.DUMMYFUNCTION("""COMPUTED_VALUE"""),3.168005531E9)</f>
        <v>3168005531</v>
      </c>
      <c r="AN120" s="40">
        <f>IFERROR(__xludf.DUMMYFUNCTION("""COMPUTED_VALUE"""),8740635.0)</f>
        <v>8740635</v>
      </c>
      <c r="AO120" s="40" t="str">
        <f>IFERROR(__xludf.DUMMYFUNCTION("""COMPUTED_VALUE"""),"ALIRIO LARA")</f>
        <v>ALIRIO LARA</v>
      </c>
      <c r="AP120" s="40" t="str">
        <f>IFERROR(__xludf.DUMMYFUNCTION("""COMPUTED_VALUE"""),"Calle 15 No. 7-22")</f>
        <v>Calle 15 No. 7-22</v>
      </c>
      <c r="AQ120" s="40"/>
      <c r="AR120" s="40"/>
      <c r="AS120" s="53">
        <f>IFERROR(__xludf.DUMMYFUNCTION("""COMPUTED_VALUE"""),1300000.0)</f>
        <v>1300000</v>
      </c>
      <c r="AT120" s="40">
        <f>IFERROR(__xludf.DUMMYFUNCTION("""COMPUTED_VALUE"""),0.0)</f>
        <v>0</v>
      </c>
      <c r="AU120" s="40">
        <f>IFERROR(__xludf.DUMMYFUNCTION("""COMPUTED_VALUE"""),0.0)</f>
        <v>0</v>
      </c>
      <c r="AV120" s="40">
        <f>IFERROR(__xludf.DUMMYFUNCTION("""COMPUTED_VALUE"""),0.0)</f>
        <v>0</v>
      </c>
      <c r="AW120" s="40" t="str">
        <f>IFERROR(__xludf.DUMMYFUNCTION("""COMPUTED_VALUE"""),"NO")</f>
        <v>NO</v>
      </c>
      <c r="AX120" s="40">
        <f>IFERROR(__xludf.DUMMYFUNCTION("""COMPUTED_VALUE"""),0.0)</f>
        <v>0</v>
      </c>
      <c r="AY120" s="40">
        <f>IFERROR(__xludf.DUMMYFUNCTION("""COMPUTED_VALUE"""),0.0)</f>
        <v>0</v>
      </c>
      <c r="AZ120" s="40">
        <f>IFERROR(__xludf.DUMMYFUNCTION("""COMPUTED_VALUE"""),12.0)</f>
        <v>12</v>
      </c>
      <c r="BA120" s="40" t="str">
        <f>IFERROR(__xludf.DUMMYFUNCTION("""COMPUTED_VALUE"""),"X")</f>
        <v>X</v>
      </c>
      <c r="BB120" s="40">
        <f>IFERROR(__xludf.DUMMYFUNCTION("""COMPUTED_VALUE"""),15.0)</f>
        <v>15</v>
      </c>
      <c r="BC120" s="53"/>
      <c r="BD120" s="40"/>
      <c r="BE120" s="48"/>
      <c r="BF120" s="48"/>
    </row>
    <row r="121">
      <c r="A121" s="39" t="str">
        <f>IFERROR(__xludf.DUMMYFUNCTION("""COMPUTED_VALUE"""),"145")</f>
        <v>145</v>
      </c>
      <c r="B121" s="40" t="str">
        <f>IFERROR(__xludf.DUMMYFUNCTION("""COMPUTED_VALUE"""),"Casa con un apartamento, dos apartaestudios y una habitación independiente en barrio Santa Librada")</f>
        <v>Casa con un apartamento, dos apartaestudios y una habitación independiente en barrio Santa Librada</v>
      </c>
      <c r="C121" s="40" t="str">
        <f>IFERROR(__xludf.DUMMYFUNCTION("""COMPUTED_VALUE"""),"Casa rentable")</f>
        <v>Casa rentable</v>
      </c>
      <c r="D121" s="40" t="str">
        <f>IFERROR(__xludf.DUMMYFUNCTION("""COMPUTED_VALUE"""),"Santa Librada")</f>
        <v>Santa Librada</v>
      </c>
      <c r="E121" s="42" t="str">
        <f>IFERROR(__xludf.DUMMYFUNCTION("""COMPUTED_VALUE""")," ")</f>
        <v> </v>
      </c>
      <c r="F121" s="42">
        <f>IFERROR(__xludf.DUMMYFUNCTION("""COMPUTED_VALUE"""),4.5E8)</f>
        <v>450000000</v>
      </c>
      <c r="G121" s="40" t="str">
        <f>IFERROR(__xludf.DUMMYFUNCTION("""COMPUTED_VALUE"""),"$400'000.000 a $500'000.000")</f>
        <v>$400'000.000 a $500'000.000</v>
      </c>
      <c r="H121" s="40"/>
      <c r="I121" s="40"/>
      <c r="J121" s="40" t="str">
        <f>IFERROR(__xludf.DUMMYFUNCTION("""COMPUTED_VALUE"""),"Centro")</f>
        <v>Centro</v>
      </c>
      <c r="K121" s="39" t="str">
        <f>IFERROR(__xludf.DUMMYFUNCTION("""COMPUTED_VALUE"""),"3")</f>
        <v>3</v>
      </c>
      <c r="L121" s="40">
        <f>IFERROR(__xludf.DUMMYFUNCTION("""COMPUTED_VALUE"""),7.0)</f>
        <v>7</v>
      </c>
      <c r="M121" s="40"/>
      <c r="N121" s="40">
        <f>IFERROR(__xludf.DUMMYFUNCTION("""COMPUTED_VALUE"""),5.0)</f>
        <v>5</v>
      </c>
      <c r="O121" s="40">
        <f>IFERROR(__xludf.DUMMYFUNCTION("""COMPUTED_VALUE"""),0.0)</f>
        <v>0</v>
      </c>
      <c r="P121" s="40">
        <f>IFERROR(__xludf.DUMMYFUNCTION("""COMPUTED_VALUE"""),1.0)</f>
        <v>1</v>
      </c>
      <c r="Q121" s="48"/>
      <c r="R121" s="48">
        <f>IFERROR(__xludf.DUMMYFUNCTION("""COMPUTED_VALUE"""),255.0)</f>
        <v>255</v>
      </c>
      <c r="S121" s="39" t="str">
        <f>IFERROR(__xludf.DUMMYFUNCTION("""COMPUTED_VALUE"""),"Rentabilidad $2,000,000")</f>
        <v>Rentabilidad $2,000,000</v>
      </c>
      <c r="T121" s="40" t="str">
        <f>IFERROR(__xludf.DUMMYFUNCTION("""COMPUTED_VALUE"""),"Neiva")</f>
        <v>Neiva</v>
      </c>
      <c r="U121" s="39" t="str">
        <f>IFERROR(__xludf.DUMMYFUNCTION("""COMPUTED_VALUE"""),"2")</f>
        <v>2</v>
      </c>
      <c r="V121" s="40" t="str">
        <f>IFERROR(__xludf.DUMMYFUNCTION("""COMPUTED_VALUE"""),"Medianera")</f>
        <v>Medianera</v>
      </c>
      <c r="W121" s="46"/>
      <c r="X121" s="46">
        <f>IFERROR(__xludf.DUMMYFUNCTION("""COMPUTED_VALUE"""),0.0)</f>
        <v>0</v>
      </c>
      <c r="Y121" s="40" t="str">
        <f>IFERROR(__xludf.DUMMYFUNCTION("""COMPUTED_VALUE"""),"No tiene")</f>
        <v>No tiene</v>
      </c>
      <c r="Z121" s="42" t="str">
        <f>IFERROR(__xludf.DUMMYFUNCTION("""COMPUTED_VALUE"""),"No aplica")</f>
        <v>No aplica</v>
      </c>
      <c r="AA121" s="49" t="str">
        <f>IFERROR(__xludf.DUMMYFUNCTION("""COMPUTED_VALUE"""),"19 años")</f>
        <v>19 años</v>
      </c>
      <c r="AB121" s="48"/>
      <c r="AC121" s="40"/>
      <c r="AD121" s="40"/>
      <c r="AE121" s="40"/>
      <c r="AF121" s="40" t="str">
        <f>IFERROR(__xludf.DUMMYFUNCTION("""COMPUTED_VALUE"""),"básica")</f>
        <v>básica</v>
      </c>
      <c r="AG121" s="40"/>
      <c r="AH121" s="40" t="str">
        <f>IFERROR(__xludf.DUMMYFUNCTION("""COMPUTED_VALUE"""),"Inventario")</f>
        <v>Inventario</v>
      </c>
      <c r="AI121" s="40"/>
      <c r="AJ121" s="40" t="str">
        <f>IFERROR(__xludf.DUMMYFUNCTION("""COMPUTED_VALUE"""),"ICDE")</f>
        <v>ICDE</v>
      </c>
      <c r="AK121" s="40"/>
      <c r="AL121" s="40" t="str">
        <f>IFERROR(__xludf.DUMMYFUNCTION("""COMPUTED_VALUE"""),"NO FOTOS+ DESCRIP")</f>
        <v>NO FOTOS+ DESCRIP</v>
      </c>
      <c r="AM121" s="40">
        <f>IFERROR(__xludf.DUMMYFUNCTION("""COMPUTED_VALUE"""),3.184600261E9)</f>
        <v>3184600261</v>
      </c>
      <c r="AN121" s="40" t="str">
        <f>IFERROR(__xludf.DUMMYFUNCTION("""COMPUTED_VALUE"""),"3213788820-3136278573")</f>
        <v>3213788820-3136278573</v>
      </c>
      <c r="AO121" s="40" t="str">
        <f>IFERROR(__xludf.DUMMYFUNCTION("""COMPUTED_VALUE"""),"MARLENY VALDERRAMA-FABIOLA VALDERRAMA")</f>
        <v>MARLENY VALDERRAMA-FABIOLA VALDERRAMA</v>
      </c>
      <c r="AP121" s="40" t="str">
        <f>IFERROR(__xludf.DUMMYFUNCTION("""COMPUTED_VALUE"""),"CARRERA 16 NO. 16 - 57")</f>
        <v>CARRERA 16 NO. 16 - 57</v>
      </c>
      <c r="AQ121" s="40"/>
      <c r="AR121" s="40"/>
      <c r="AS121" s="53">
        <f>IFERROR(__xludf.DUMMYFUNCTION("""COMPUTED_VALUE"""),2000000.0)</f>
        <v>2000000</v>
      </c>
      <c r="AT121" s="40">
        <f>IFERROR(__xludf.DUMMYFUNCTION("""COMPUTED_VALUE"""),0.0)</f>
        <v>0</v>
      </c>
      <c r="AU121" s="40">
        <f>IFERROR(__xludf.DUMMYFUNCTION("""COMPUTED_VALUE"""),0.0)</f>
        <v>0</v>
      </c>
      <c r="AV121" s="40">
        <f>IFERROR(__xludf.DUMMYFUNCTION("""COMPUTED_VALUE"""),0.0)</f>
        <v>0</v>
      </c>
      <c r="AW121" s="40" t="str">
        <f>IFERROR(__xludf.DUMMYFUNCTION("""COMPUTED_VALUE"""),"NO")</f>
        <v>NO</v>
      </c>
      <c r="AX121" s="40">
        <f>IFERROR(__xludf.DUMMYFUNCTION("""COMPUTED_VALUE"""),0.0)</f>
        <v>0</v>
      </c>
      <c r="AY121" s="40">
        <f>IFERROR(__xludf.DUMMYFUNCTION("""COMPUTED_VALUE"""),0.0)</f>
        <v>0</v>
      </c>
      <c r="AZ121" s="40">
        <f>IFERROR(__xludf.DUMMYFUNCTION("""COMPUTED_VALUE"""),17.0)</f>
        <v>17</v>
      </c>
      <c r="BA121" s="40" t="str">
        <f>IFERROR(__xludf.DUMMYFUNCTION("""COMPUTED_VALUE"""),"X")</f>
        <v>X</v>
      </c>
      <c r="BB121" s="40">
        <f>IFERROR(__xludf.DUMMYFUNCTION("""COMPUTED_VALUE"""),15.0)</f>
        <v>15</v>
      </c>
      <c r="BC121" s="53" t="str">
        <f>IFERROR(__xludf.DUMMYFUNCTION("""COMPUTED_VALUE"""),"19 - PRUEBA v")</f>
        <v>19 - PRUEBA v</v>
      </c>
      <c r="BD121" s="48"/>
      <c r="BE121" s="48"/>
      <c r="BF121" s="48"/>
    </row>
    <row r="122">
      <c r="A122" s="39" t="str">
        <f>IFERROR(__xludf.DUMMYFUNCTION("""COMPUTED_VALUE"""),"053")</f>
        <v>053</v>
      </c>
      <c r="B122" s="40" t="str">
        <f>IFERROR(__xludf.DUMMYFUNCTION("""COMPUTED_VALUE"""),"Casa con apartamento y apartaestudio en barrio Santa Librada")</f>
        <v>Casa con apartamento y apartaestudio en barrio Santa Librada</v>
      </c>
      <c r="C122" s="40" t="str">
        <f>IFERROR(__xludf.DUMMYFUNCTION("""COMPUTED_VALUE"""),"Casa rentable")</f>
        <v>Casa rentable</v>
      </c>
      <c r="D122" s="40" t="str">
        <f>IFERROR(__xludf.DUMMYFUNCTION("""COMPUTED_VALUE"""),"Santa Librada")</f>
        <v>Santa Librada</v>
      </c>
      <c r="E122" s="42" t="str">
        <f>IFERROR(__xludf.DUMMYFUNCTION("""COMPUTED_VALUE""")," ")</f>
        <v> </v>
      </c>
      <c r="F122" s="42">
        <f>IFERROR(__xludf.DUMMYFUNCTION("""COMPUTED_VALUE"""),4.5E8)</f>
        <v>450000000</v>
      </c>
      <c r="G122" s="40" t="str">
        <f>IFERROR(__xludf.DUMMYFUNCTION("""COMPUTED_VALUE"""),"$400'000.000 a $500'000.000")</f>
        <v>$400'000.000 a $500'000.000</v>
      </c>
      <c r="H122" s="40"/>
      <c r="I122" s="40"/>
      <c r="J122" s="40" t="str">
        <f>IFERROR(__xludf.DUMMYFUNCTION("""COMPUTED_VALUE"""),"Centro")</f>
        <v>Centro</v>
      </c>
      <c r="K122" s="39" t="str">
        <f>IFERROR(__xludf.DUMMYFUNCTION("""COMPUTED_VALUE"""),"3")</f>
        <v>3</v>
      </c>
      <c r="L122" s="40">
        <f>IFERROR(__xludf.DUMMYFUNCTION("""COMPUTED_VALUE"""),7.0)</f>
        <v>7</v>
      </c>
      <c r="M122" s="40"/>
      <c r="N122" s="40">
        <f>IFERROR(__xludf.DUMMYFUNCTION("""COMPUTED_VALUE"""),3.0)</f>
        <v>3</v>
      </c>
      <c r="O122" s="40">
        <f>IFERROR(__xludf.DUMMYFUNCTION("""COMPUTED_VALUE"""),1.0)</f>
        <v>1</v>
      </c>
      <c r="P122" s="40">
        <f>IFERROR(__xludf.DUMMYFUNCTION("""COMPUTED_VALUE"""),2.0)</f>
        <v>2</v>
      </c>
      <c r="Q122" s="48"/>
      <c r="R122" s="48">
        <f>IFERROR(__xludf.DUMMYFUNCTION("""COMPUTED_VALUE"""),286.0)</f>
        <v>286</v>
      </c>
      <c r="S122" s="39" t="str">
        <f>IFERROR(__xludf.DUMMYFUNCTION("""COMPUTED_VALUE"""),"Rentabilidad $1,900,000")</f>
        <v>Rentabilidad $1,900,000</v>
      </c>
      <c r="T122" s="40" t="str">
        <f>IFERROR(__xludf.DUMMYFUNCTION("""COMPUTED_VALUE"""),"Neiva")</f>
        <v>Neiva</v>
      </c>
      <c r="U122" s="39" t="str">
        <f>IFERROR(__xludf.DUMMYFUNCTION("""COMPUTED_VALUE"""),"2")</f>
        <v>2</v>
      </c>
      <c r="V122" s="40" t="str">
        <f>IFERROR(__xludf.DUMMYFUNCTION("""COMPUTED_VALUE"""),"Medianera")</f>
        <v>Medianera</v>
      </c>
      <c r="W122" s="46"/>
      <c r="X122" s="46">
        <f>IFERROR(__xludf.DUMMYFUNCTION("""COMPUTED_VALUE"""),0.0)</f>
        <v>0</v>
      </c>
      <c r="Y122" s="40" t="str">
        <f>IFERROR(__xludf.DUMMYFUNCTION("""COMPUTED_VALUE"""),"No tiene")</f>
        <v>No tiene</v>
      </c>
      <c r="Z122" s="42" t="str">
        <f>IFERROR(__xludf.DUMMYFUNCTION("""COMPUTED_VALUE"""),"No aplica")</f>
        <v>No aplica</v>
      </c>
      <c r="AA122" s="49" t="str">
        <f>IFERROR(__xludf.DUMMYFUNCTION("""COMPUTED_VALUE"""),"20 años")</f>
        <v>20 años</v>
      </c>
      <c r="AB122" s="48"/>
      <c r="AC122" s="40"/>
      <c r="AD122" s="40"/>
      <c r="AE122" s="40"/>
      <c r="AF122" s="40" t="str">
        <f>IFERROR(__xludf.DUMMYFUNCTION("""COMPUTED_VALUE"""),"semi-integral")</f>
        <v>semi-integral</v>
      </c>
      <c r="AG122" s="40"/>
      <c r="AH122" s="40" t="str">
        <f>IFERROR(__xludf.DUMMYFUNCTION("""COMPUTED_VALUE"""),"Inventario")</f>
        <v>Inventario</v>
      </c>
      <c r="AI122" s="40"/>
      <c r="AJ122" s="40" t="str">
        <f>IFERROR(__xludf.DUMMYFUNCTION("""COMPUTED_VALUE"""),"ICDE")</f>
        <v>ICDE</v>
      </c>
      <c r="AK122" s="40"/>
      <c r="AL122" s="40" t="str">
        <f>IFERROR(__xludf.DUMMYFUNCTION("""COMPUTED_VALUE"""),"NUEVO - 27 ABRIL 2023")</f>
        <v>NUEVO - 27 ABRIL 2023</v>
      </c>
      <c r="AM122" s="40">
        <f>IFERROR(__xludf.DUMMYFUNCTION("""COMPUTED_VALUE"""),3.132436764E9)</f>
        <v>3132436764</v>
      </c>
      <c r="AN122" s="40">
        <f>IFERROR(__xludf.DUMMYFUNCTION("""COMPUTED_VALUE"""),3.115396708E9)</f>
        <v>3115396708</v>
      </c>
      <c r="AO122" s="40" t="str">
        <f>IFERROR(__xludf.DUMMYFUNCTION("""COMPUTED_VALUE"""),"HERNANDO ROJAS")</f>
        <v>HERNANDO ROJAS</v>
      </c>
      <c r="AP122" s="40" t="str">
        <f>IFERROR(__xludf.DUMMYFUNCTION("""COMPUTED_VALUE"""),"CALLE 16 No. 13A - 80")</f>
        <v>CALLE 16 No. 13A - 80</v>
      </c>
      <c r="AQ122" s="40"/>
      <c r="AR122" s="40"/>
      <c r="AS122" s="53">
        <f>IFERROR(__xludf.DUMMYFUNCTION("""COMPUTED_VALUE"""),1900000.0)</f>
        <v>1900000</v>
      </c>
      <c r="AT122" s="40">
        <f>IFERROR(__xludf.DUMMYFUNCTION("""COMPUTED_VALUE"""),0.0)</f>
        <v>0</v>
      </c>
      <c r="AU122" s="40">
        <f>IFERROR(__xludf.DUMMYFUNCTION("""COMPUTED_VALUE"""),0.0)</f>
        <v>0</v>
      </c>
      <c r="AV122" s="40">
        <f>IFERROR(__xludf.DUMMYFUNCTION("""COMPUTED_VALUE"""),0.0)</f>
        <v>0</v>
      </c>
      <c r="AW122" s="40" t="str">
        <f>IFERROR(__xludf.DUMMYFUNCTION("""COMPUTED_VALUE"""),"NO")</f>
        <v>NO</v>
      </c>
      <c r="AX122" s="40">
        <f>IFERROR(__xludf.DUMMYFUNCTION("""COMPUTED_VALUE"""),0.0)</f>
        <v>0</v>
      </c>
      <c r="AY122" s="40">
        <f>IFERROR(__xludf.DUMMYFUNCTION("""COMPUTED_VALUE"""),0.0)</f>
        <v>0</v>
      </c>
      <c r="AZ122" s="40">
        <f>IFERROR(__xludf.DUMMYFUNCTION("""COMPUTED_VALUE"""),10.0)</f>
        <v>10</v>
      </c>
      <c r="BA122" s="40" t="str">
        <f>IFERROR(__xludf.DUMMYFUNCTION("""COMPUTED_VALUE"""),"X")</f>
        <v>X</v>
      </c>
      <c r="BB122" s="40">
        <f>IFERROR(__xludf.DUMMYFUNCTION("""COMPUTED_VALUE"""),28.6)</f>
        <v>28.6</v>
      </c>
      <c r="BC122" s="53"/>
      <c r="BD122" s="48"/>
      <c r="BE122" s="48"/>
      <c r="BF122" s="48"/>
    </row>
    <row r="123">
      <c r="A123" s="39" t="str">
        <f>IFERROR(__xludf.DUMMYFUNCTION("""COMPUTED_VALUE"""),"022")</f>
        <v>022</v>
      </c>
      <c r="B123" s="40" t="str">
        <f>IFERROR(__xludf.DUMMYFUNCTION("""COMPUTED_VALUE"""),"Casa lote en barrio Chapinero")</f>
        <v>Casa lote en barrio Chapinero</v>
      </c>
      <c r="C123" s="40" t="str">
        <f>IFERROR(__xludf.DUMMYFUNCTION("""COMPUTED_VALUE"""),"Casa lote")</f>
        <v>Casa lote</v>
      </c>
      <c r="D123" s="40" t="str">
        <f>IFERROR(__xludf.DUMMYFUNCTION("""COMPUTED_VALUE"""),"Chapinero")</f>
        <v>Chapinero</v>
      </c>
      <c r="E123" s="42" t="str">
        <f>IFERROR(__xludf.DUMMYFUNCTION("""COMPUTED_VALUE""")," ")</f>
        <v> </v>
      </c>
      <c r="F123" s="42">
        <f>IFERROR(__xludf.DUMMYFUNCTION("""COMPUTED_VALUE"""),4.5E8)</f>
        <v>450000000</v>
      </c>
      <c r="G123" s="40" t="str">
        <f>IFERROR(__xludf.DUMMYFUNCTION("""COMPUTED_VALUE"""),"$400'000.000 a $500'000.000")</f>
        <v>$400'000.000 a $500'000.000</v>
      </c>
      <c r="H123" s="40"/>
      <c r="I123" s="40"/>
      <c r="J123" s="40" t="str">
        <f>IFERROR(__xludf.DUMMYFUNCTION("""COMPUTED_VALUE"""),"Centro")</f>
        <v>Centro</v>
      </c>
      <c r="K123" s="39" t="str">
        <f>IFERROR(__xludf.DUMMYFUNCTION("""COMPUTED_VALUE"""),"3")</f>
        <v>3</v>
      </c>
      <c r="L123" s="40">
        <f>IFERROR(__xludf.DUMMYFUNCTION("""COMPUTED_VALUE"""),3.0)</f>
        <v>3</v>
      </c>
      <c r="M123" s="40"/>
      <c r="N123" s="40">
        <f>IFERROR(__xludf.DUMMYFUNCTION("""COMPUTED_VALUE"""),1.0)</f>
        <v>1</v>
      </c>
      <c r="O123" s="40">
        <f>IFERROR(__xludf.DUMMYFUNCTION("""COMPUTED_VALUE"""),0.0)</f>
        <v>0</v>
      </c>
      <c r="P123" s="40">
        <f>IFERROR(__xludf.DUMMYFUNCTION("""COMPUTED_VALUE"""),1.0)</f>
        <v>1</v>
      </c>
      <c r="Q123" s="48">
        <f>IFERROR(__xludf.DUMMYFUNCTION("""COMPUTED_VALUE"""),180.0)</f>
        <v>180</v>
      </c>
      <c r="R123" s="48">
        <f>IFERROR(__xludf.DUMMYFUNCTION("""COMPUTED_VALUE"""),180.0)</f>
        <v>180</v>
      </c>
      <c r="S123" s="39" t="str">
        <f>IFERROR(__xludf.DUMMYFUNCTION("""COMPUTED_VALUE""")," ")</f>
        <v> </v>
      </c>
      <c r="T123" s="40" t="str">
        <f>IFERROR(__xludf.DUMMYFUNCTION("""COMPUTED_VALUE"""),"Neiva")</f>
        <v>Neiva</v>
      </c>
      <c r="U123" s="39" t="str">
        <f>IFERROR(__xludf.DUMMYFUNCTION("""COMPUTED_VALUE"""),"3")</f>
        <v>3</v>
      </c>
      <c r="V123" s="40" t="str">
        <f>IFERROR(__xludf.DUMMYFUNCTION("""COMPUTED_VALUE"""),"Medianera")</f>
        <v>Medianera</v>
      </c>
      <c r="W123" s="46"/>
      <c r="X123" s="46">
        <f>IFERROR(__xludf.DUMMYFUNCTION("""COMPUTED_VALUE"""),0.0)</f>
        <v>0</v>
      </c>
      <c r="Y123" s="40" t="str">
        <f>IFERROR(__xludf.DUMMYFUNCTION("""COMPUTED_VALUE"""),"No tiene")</f>
        <v>No tiene</v>
      </c>
      <c r="Z123" s="42" t="str">
        <f>IFERROR(__xludf.DUMMYFUNCTION("""COMPUTED_VALUE"""),"No aplica")</f>
        <v>No aplica</v>
      </c>
      <c r="AA123" s="49" t="str">
        <f>IFERROR(__xludf.DUMMYFUNCTION("""COMPUTED_VALUE"""),"No aplica")</f>
        <v>No aplica</v>
      </c>
      <c r="AB123" s="48"/>
      <c r="AC123" s="40"/>
      <c r="AD123" s="40"/>
      <c r="AE123" s="40"/>
      <c r="AF123" s="40" t="str">
        <f>IFERROR(__xludf.DUMMYFUNCTION("""COMPUTED_VALUE"""),"básica")</f>
        <v>básica</v>
      </c>
      <c r="AG123" s="40"/>
      <c r="AH123" s="40" t="str">
        <f>IFERROR(__xludf.DUMMYFUNCTION("""COMPUTED_VALUE"""),"Inventario")</f>
        <v>Inventario</v>
      </c>
      <c r="AI123" s="40"/>
      <c r="AJ123" s="40" t="str">
        <f>IFERROR(__xludf.DUMMYFUNCTION("""COMPUTED_VALUE"""),"ICDE")</f>
        <v>ICDE</v>
      </c>
      <c r="AK123" s="40"/>
      <c r="AL123" s="40" t="str">
        <f>IFERROR(__xludf.DUMMYFUNCTION("""COMPUTED_VALUE"""),"NO FOTOS + DESCRIPCION")</f>
        <v>NO FOTOS + DESCRIPCION</v>
      </c>
      <c r="AM123" s="40">
        <f>IFERROR(__xludf.DUMMYFUNCTION("""COMPUTED_VALUE"""),3.165284273E9)</f>
        <v>3165284273</v>
      </c>
      <c r="AN123" s="40"/>
      <c r="AO123" s="40"/>
      <c r="AP123" s="40" t="str">
        <f>IFERROR(__xludf.DUMMYFUNCTION("""COMPUTED_VALUE"""),"CARRERA 12 No.  14-65")</f>
        <v>CARRERA 12 No.  14-65</v>
      </c>
      <c r="AQ123" s="40"/>
      <c r="AR123" s="40"/>
      <c r="AS123" s="53">
        <f>IFERROR(__xludf.DUMMYFUNCTION("""COMPUTED_VALUE"""),0.0)</f>
        <v>0</v>
      </c>
      <c r="AT123" s="40">
        <f>IFERROR(__xludf.DUMMYFUNCTION("""COMPUTED_VALUE"""),0.0)</f>
        <v>0</v>
      </c>
      <c r="AU123" s="40">
        <f>IFERROR(__xludf.DUMMYFUNCTION("""COMPUTED_VALUE"""),0.0)</f>
        <v>0</v>
      </c>
      <c r="AV123" s="40">
        <f>IFERROR(__xludf.DUMMYFUNCTION("""COMPUTED_VALUE"""),0.0)</f>
        <v>0</v>
      </c>
      <c r="AW123" s="40" t="str">
        <f>IFERROR(__xludf.DUMMYFUNCTION("""COMPUTED_VALUE"""),"NO")</f>
        <v>NO</v>
      </c>
      <c r="AX123" s="40">
        <f>IFERROR(__xludf.DUMMYFUNCTION("""COMPUTED_VALUE"""),0.0)</f>
        <v>0</v>
      </c>
      <c r="AY123" s="40">
        <f>IFERROR(__xludf.DUMMYFUNCTION("""COMPUTED_VALUE"""),0.0)</f>
        <v>0</v>
      </c>
      <c r="AZ123" s="40">
        <f>IFERROR(__xludf.DUMMYFUNCTION("""COMPUTED_VALUE"""),0.0)</f>
        <v>0</v>
      </c>
      <c r="BA123" s="40" t="str">
        <f>IFERROR(__xludf.DUMMYFUNCTION("""COMPUTED_VALUE"""),"X")</f>
        <v>X</v>
      </c>
      <c r="BB123" s="40">
        <f>IFERROR(__xludf.DUMMYFUNCTION("""COMPUTED_VALUE"""),0.0)</f>
        <v>0</v>
      </c>
      <c r="BC123" s="53"/>
      <c r="BD123" s="48"/>
      <c r="BE123" s="48"/>
      <c r="BF123" s="48"/>
    </row>
    <row r="124">
      <c r="A124" s="39" t="str">
        <f>IFERROR(__xludf.DUMMYFUNCTION("""COMPUTED_VALUE"""),"331")</f>
        <v>331</v>
      </c>
      <c r="B124" s="40" t="str">
        <f>IFERROR(__xludf.DUMMYFUNCTION("""COMPUTED_VALUE"""),"Casa en barrio Sevilla")</f>
        <v>Casa en barrio Sevilla</v>
      </c>
      <c r="C124" s="40" t="str">
        <f>IFERROR(__xludf.DUMMYFUNCTION("""COMPUTED_VALUE"""),"Casa")</f>
        <v>Casa</v>
      </c>
      <c r="D124" s="40" t="str">
        <f>IFERROR(__xludf.DUMMYFUNCTION("""COMPUTED_VALUE"""),"Sevilla")</f>
        <v>Sevilla</v>
      </c>
      <c r="E124" s="40"/>
      <c r="F124" s="42">
        <f>IFERROR(__xludf.DUMMYFUNCTION("""COMPUTED_VALUE"""),4.4E8)</f>
        <v>440000000</v>
      </c>
      <c r="G124" s="40"/>
      <c r="H124" s="40"/>
      <c r="I124" s="40"/>
      <c r="J124" s="40" t="str">
        <f>IFERROR(__xludf.DUMMYFUNCTION("""COMPUTED_VALUE"""),"Centro")</f>
        <v>Centro</v>
      </c>
      <c r="K124" s="39" t="str">
        <f>IFERROR(__xludf.DUMMYFUNCTION("""COMPUTED_VALUE"""),"3")</f>
        <v>3</v>
      </c>
      <c r="L124" s="40">
        <f>IFERROR(__xludf.DUMMYFUNCTION("""COMPUTED_VALUE"""),3.0)</f>
        <v>3</v>
      </c>
      <c r="M124" s="40"/>
      <c r="N124" s="40">
        <f>IFERROR(__xludf.DUMMYFUNCTION("""COMPUTED_VALUE"""),3.0)</f>
        <v>3</v>
      </c>
      <c r="O124" s="40">
        <f>IFERROR(__xludf.DUMMYFUNCTION("""COMPUTED_VALUE"""),1.0)</f>
        <v>1</v>
      </c>
      <c r="P124" s="40">
        <f>IFERROR(__xludf.DUMMYFUNCTION("""COMPUTED_VALUE"""),2.0)</f>
        <v>2</v>
      </c>
      <c r="Q124" s="48">
        <f>IFERROR(__xludf.DUMMYFUNCTION("""COMPUTED_VALUE"""),118.0)</f>
        <v>118</v>
      </c>
      <c r="R124" s="48">
        <f>IFERROR(__xludf.DUMMYFUNCTION("""COMPUTED_VALUE"""),124.0)</f>
        <v>124</v>
      </c>
      <c r="S124" s="39" t="str">
        <f>IFERROR(__xludf.DUMMYFUNCTION("""COMPUTED_VALUE""")," ")</f>
        <v> </v>
      </c>
      <c r="T124" s="40" t="str">
        <f>IFERROR(__xludf.DUMMYFUNCTION("""COMPUTED_VALUE"""),"Neiva")</f>
        <v>Neiva</v>
      </c>
      <c r="U124" s="39" t="str">
        <f>IFERROR(__xludf.DUMMYFUNCTION("""COMPUTED_VALUE"""),"5")</f>
        <v>5</v>
      </c>
      <c r="V124" s="40" t="str">
        <f>IFERROR(__xludf.DUMMYFUNCTION("""COMPUTED_VALUE"""),"Medianera")</f>
        <v>Medianera</v>
      </c>
      <c r="W124" s="46"/>
      <c r="X124" s="46">
        <f>IFERROR(__xludf.DUMMYFUNCTION("""COMPUTED_VALUE"""),1.0)</f>
        <v>1</v>
      </c>
      <c r="Y124" s="40" t="str">
        <f>IFERROR(__xludf.DUMMYFUNCTION("""COMPUTED_VALUE"""),"No tiene")</f>
        <v>No tiene</v>
      </c>
      <c r="Z124" s="42" t="str">
        <f>IFERROR(__xludf.DUMMYFUNCTION("""COMPUTED_VALUE"""),"No aplica")</f>
        <v>No aplica</v>
      </c>
      <c r="AA124" s="49" t="str">
        <f>IFERROR(__xludf.DUMMYFUNCTION("""COMPUTED_VALUE"""),"No aplica")</f>
        <v>No aplica</v>
      </c>
      <c r="AB124" s="40"/>
      <c r="AC124" s="40"/>
      <c r="AD124" s="40"/>
      <c r="AE124" s="40"/>
      <c r="AF124" s="40" t="str">
        <f>IFERROR(__xludf.DUMMYFUNCTION("""COMPUTED_VALUE"""),"semi-integral")</f>
        <v>semi-integral</v>
      </c>
      <c r="AG124" s="40"/>
      <c r="AH124" s="40" t="str">
        <f>IFERROR(__xludf.DUMMYFUNCTION("""COMPUTED_VALUE"""),"Inventario")</f>
        <v>Inventario</v>
      </c>
      <c r="AI124" s="40"/>
      <c r="AJ124" s="40" t="str">
        <f>IFERROR(__xludf.DUMMYFUNCTION("""COMPUTED_VALUE"""),"ICDE")</f>
        <v>ICDE</v>
      </c>
      <c r="AK124" s="40"/>
      <c r="AL124" s="40"/>
      <c r="AM124" s="40">
        <f>IFERROR(__xludf.DUMMYFUNCTION("""COMPUTED_VALUE"""),3.044182457E9)</f>
        <v>3044182457</v>
      </c>
      <c r="AN124" s="40"/>
      <c r="AO124" s="40" t="str">
        <f>IFERROR(__xludf.DUMMYFUNCTION("""COMPUTED_VALUE"""),"Andrea Cajiao")</f>
        <v>Andrea Cajiao</v>
      </c>
      <c r="AP124" s="40" t="str">
        <f>IFERROR(__xludf.DUMMYFUNCTION("""COMPUTED_VALUE"""),"calle 22 # 5a - 18")</f>
        <v>calle 22 # 5a - 18</v>
      </c>
      <c r="AQ124" s="40"/>
      <c r="AR124" s="40"/>
      <c r="AS124" s="40"/>
      <c r="AT124" s="40">
        <f>IFERROR(__xludf.DUMMYFUNCTION("""COMPUTED_VALUE"""),0.0)</f>
        <v>0</v>
      </c>
      <c r="AU124" s="40">
        <f>IFERROR(__xludf.DUMMYFUNCTION("""COMPUTED_VALUE"""),0.0)</f>
        <v>0</v>
      </c>
      <c r="AV124" s="40">
        <f>IFERROR(__xludf.DUMMYFUNCTION("""COMPUTED_VALUE"""),0.0)</f>
        <v>0</v>
      </c>
      <c r="AW124" s="40" t="str">
        <f>IFERROR(__xludf.DUMMYFUNCTION("""COMPUTED_VALUE"""),"SI")</f>
        <v>SI</v>
      </c>
      <c r="AX124" s="40"/>
      <c r="AY124" s="40" t="str">
        <f>IFERROR(__xludf.DUMMYFUNCTION("""COMPUTED_VALUE"""),"P")</f>
        <v>P</v>
      </c>
      <c r="AZ124" s="40"/>
      <c r="BA124" s="40" t="str">
        <f>IFERROR(__xludf.DUMMYFUNCTION("""COMPUTED_VALUE"""),"X")</f>
        <v>X</v>
      </c>
      <c r="BB124" s="40"/>
      <c r="BC124" s="53"/>
      <c r="BD124" s="48"/>
      <c r="BE124" s="48"/>
      <c r="BF124" s="48"/>
    </row>
    <row r="125">
      <c r="A125" s="39" t="str">
        <f>IFERROR(__xludf.DUMMYFUNCTION("""COMPUTED_VALUE"""),"110")</f>
        <v>110</v>
      </c>
      <c r="B125" s="40" t="str">
        <f>IFERROR(__xludf.DUMMYFUNCTION("""COMPUTED_VALUE"""),"Casa en barrio Campo Nuñez")</f>
        <v>Casa en barrio Campo Nuñez</v>
      </c>
      <c r="C125" s="40" t="str">
        <f>IFERROR(__xludf.DUMMYFUNCTION("""COMPUTED_VALUE"""),"Casa")</f>
        <v>Casa</v>
      </c>
      <c r="D125" s="40" t="str">
        <f>IFERROR(__xludf.DUMMYFUNCTION("""COMPUTED_VALUE"""),"Campo Nuñez")</f>
        <v>Campo Nuñez</v>
      </c>
      <c r="E125" s="42" t="str">
        <f>IFERROR(__xludf.DUMMYFUNCTION("""COMPUTED_VALUE""")," ")</f>
        <v> </v>
      </c>
      <c r="F125" s="42">
        <f>IFERROR(__xludf.DUMMYFUNCTION("""COMPUTED_VALUE"""),4.3E8)</f>
        <v>430000000</v>
      </c>
      <c r="G125" s="40" t="str">
        <f>IFERROR(__xludf.DUMMYFUNCTION("""COMPUTED_VALUE"""),"$400'000.000 a $500'000.000")</f>
        <v>$400'000.000 a $500'000.000</v>
      </c>
      <c r="H125" s="40"/>
      <c r="I125" s="40"/>
      <c r="J125" s="40" t="str">
        <f>IFERROR(__xludf.DUMMYFUNCTION("""COMPUTED_VALUE"""),"Norte")</f>
        <v>Norte</v>
      </c>
      <c r="K125" s="39" t="str">
        <f>IFERROR(__xludf.DUMMYFUNCTION("""COMPUTED_VALUE"""),"3")</f>
        <v>3</v>
      </c>
      <c r="L125" s="40">
        <f>IFERROR(__xludf.DUMMYFUNCTION("""COMPUTED_VALUE"""),3.0)</f>
        <v>3</v>
      </c>
      <c r="M125" s="40"/>
      <c r="N125" s="40">
        <f>IFERROR(__xludf.DUMMYFUNCTION("""COMPUTED_VALUE"""),3.0)</f>
        <v>3</v>
      </c>
      <c r="O125" s="40">
        <f>IFERROR(__xludf.DUMMYFUNCTION("""COMPUTED_VALUE"""),3.0)</f>
        <v>3</v>
      </c>
      <c r="P125" s="40">
        <f>IFERROR(__xludf.DUMMYFUNCTION("""COMPUTED_VALUE"""),1.0)</f>
        <v>1</v>
      </c>
      <c r="Q125" s="48">
        <f>IFERROR(__xludf.DUMMYFUNCTION("""COMPUTED_VALUE"""),150.0)</f>
        <v>150</v>
      </c>
      <c r="R125" s="48">
        <f>IFERROR(__xludf.DUMMYFUNCTION("""COMPUTED_VALUE"""),189.0)</f>
        <v>189</v>
      </c>
      <c r="S125" s="39" t="str">
        <f>IFERROR(__xludf.DUMMYFUNCTION("""COMPUTED_VALUE""")," ")</f>
        <v> </v>
      </c>
      <c r="T125" s="40" t="str">
        <f>IFERROR(__xludf.DUMMYFUNCTION("""COMPUTED_VALUE"""),"Neiva")</f>
        <v>Neiva</v>
      </c>
      <c r="U125" s="39" t="str">
        <f>IFERROR(__xludf.DUMMYFUNCTION("""COMPUTED_VALUE"""),"3")</f>
        <v>3</v>
      </c>
      <c r="V125" s="40" t="str">
        <f>IFERROR(__xludf.DUMMYFUNCTION("""COMPUTED_VALUE"""),"Esquinera")</f>
        <v>Esquinera</v>
      </c>
      <c r="W125" s="46"/>
      <c r="X125" s="46">
        <f>IFERROR(__xludf.DUMMYFUNCTION("""COMPUTED_VALUE"""),3.0)</f>
        <v>3</v>
      </c>
      <c r="Y125" s="40" t="str">
        <f>IFERROR(__xludf.DUMMYFUNCTION("""COMPUTED_VALUE"""),"No tiene")</f>
        <v>No tiene</v>
      </c>
      <c r="Z125" s="42" t="str">
        <f>IFERROR(__xludf.DUMMYFUNCTION("""COMPUTED_VALUE"""),"No aplica")</f>
        <v>No aplica</v>
      </c>
      <c r="AA125" s="49" t="str">
        <f>IFERROR(__xludf.DUMMYFUNCTION("""COMPUTED_VALUE"""),"No aplica")</f>
        <v>No aplica</v>
      </c>
      <c r="AB125" s="48"/>
      <c r="AC125" s="40"/>
      <c r="AD125" s="40"/>
      <c r="AE125" s="40"/>
      <c r="AF125" s="40" t="str">
        <f>IFERROR(__xludf.DUMMYFUNCTION("""COMPUTED_VALUE"""),"integral")</f>
        <v>integral</v>
      </c>
      <c r="AG125" s="40"/>
      <c r="AH125" s="40" t="str">
        <f>IFERROR(__xludf.DUMMYFUNCTION("""COMPUTED_VALUE"""),"Inventario")</f>
        <v>Inventario</v>
      </c>
      <c r="AI125" s="40"/>
      <c r="AJ125" s="40" t="str">
        <f>IFERROR(__xludf.DUMMYFUNCTION("""COMPUTED_VALUE"""),"ICDE")</f>
        <v>ICDE</v>
      </c>
      <c r="AK125" s="40"/>
      <c r="AL125" s="40" t="str">
        <f>IFERROR(__xludf.DUMMYFUNCTION("""COMPUTED_VALUE"""),"NO FOTOS")</f>
        <v>NO FOTOS</v>
      </c>
      <c r="AM125" s="40">
        <f>IFERROR(__xludf.DUMMYFUNCTION("""COMPUTED_VALUE"""),3.174390599E9)</f>
        <v>3174390599</v>
      </c>
      <c r="AN125" s="40">
        <f>IFERROR(__xludf.DUMMYFUNCTION("""COMPUTED_VALUE"""),3.125062324E9)</f>
        <v>3125062324</v>
      </c>
      <c r="AO125" s="40"/>
      <c r="AP125" s="40">
        <f>IFERROR(__xludf.DUMMYFUNCTION("""COMPUTED_VALUE"""),0.0)</f>
        <v>0</v>
      </c>
      <c r="AQ125" s="40"/>
      <c r="AR125" s="40"/>
      <c r="AS125" s="53">
        <f>IFERROR(__xludf.DUMMYFUNCTION("""COMPUTED_VALUE"""),0.0)</f>
        <v>0</v>
      </c>
      <c r="AT125" s="40">
        <f>IFERROR(__xludf.DUMMYFUNCTION("""COMPUTED_VALUE"""),0.0)</f>
        <v>0</v>
      </c>
      <c r="AU125" s="40">
        <f>IFERROR(__xludf.DUMMYFUNCTION("""COMPUTED_VALUE"""),0.0)</f>
        <v>0</v>
      </c>
      <c r="AV125" s="40">
        <f>IFERROR(__xludf.DUMMYFUNCTION("""COMPUTED_VALUE"""),0.0)</f>
        <v>0</v>
      </c>
      <c r="AW125" s="40" t="str">
        <f>IFERROR(__xludf.DUMMYFUNCTION("""COMPUTED_VALUE"""),"NO")</f>
        <v>NO</v>
      </c>
      <c r="AX125" s="40">
        <f>IFERROR(__xludf.DUMMYFUNCTION("""COMPUTED_VALUE"""),0.0)</f>
        <v>0</v>
      </c>
      <c r="AY125" s="40">
        <f>IFERROR(__xludf.DUMMYFUNCTION("""COMPUTED_VALUE"""),0.0)</f>
        <v>0</v>
      </c>
      <c r="AZ125" s="40">
        <f>IFERROR(__xludf.DUMMYFUNCTION("""COMPUTED_VALUE"""),0.0)</f>
        <v>0</v>
      </c>
      <c r="BA125" s="40" t="str">
        <f>IFERROR(__xludf.DUMMYFUNCTION("""COMPUTED_VALUE"""),"X")</f>
        <v>X</v>
      </c>
      <c r="BB125" s="40">
        <f>IFERROR(__xludf.DUMMYFUNCTION("""COMPUTED_VALUE"""),0.0)</f>
        <v>0</v>
      </c>
      <c r="BC125" s="53" t="str">
        <f>IFERROR(__xludf.DUMMYFUNCTION("""COMPUTED_VALUE"""),"35 - LUIS ANGEL VARGAS")</f>
        <v>35 - LUIS ANGEL VARGAS</v>
      </c>
      <c r="BD125" s="48"/>
      <c r="BE125" s="48"/>
      <c r="BF125" s="48"/>
    </row>
    <row r="126">
      <c r="A126" s="39" t="str">
        <f>IFERROR(__xludf.DUMMYFUNCTION("""COMPUTED_VALUE"""),"438")</f>
        <v>438</v>
      </c>
      <c r="B126" s="40" t="str">
        <f>IFERROR(__xludf.DUMMYFUNCTION("""COMPUTED_VALUE"""),"Casa con dos apartamentos en barrio Alamos Norte")</f>
        <v>Casa con dos apartamentos en barrio Alamos Norte</v>
      </c>
      <c r="C126" s="40" t="str">
        <f>IFERROR(__xludf.DUMMYFUNCTION("""COMPUTED_VALUE"""),"Casa rentable")</f>
        <v>Casa rentable</v>
      </c>
      <c r="D126" s="40" t="str">
        <f>IFERROR(__xludf.DUMMYFUNCTION("""COMPUTED_VALUE"""),"Alamos Norte")</f>
        <v>Alamos Norte</v>
      </c>
      <c r="E126" s="40"/>
      <c r="F126" s="42">
        <f>IFERROR(__xludf.DUMMYFUNCTION("""COMPUTED_VALUE"""),4.2E8)</f>
        <v>420000000</v>
      </c>
      <c r="G126" s="40" t="str">
        <f>IFERROR(__xludf.DUMMYFUNCTION("""COMPUTED_VALUE"""),"$400'000.000 a $500'000.000")</f>
        <v>$400'000.000 a $500'000.000</v>
      </c>
      <c r="H126" s="40"/>
      <c r="I126" s="40"/>
      <c r="J126" s="40" t="str">
        <f>IFERROR(__xludf.DUMMYFUNCTION("""COMPUTED_VALUE"""),"Norte")</f>
        <v>Norte</v>
      </c>
      <c r="K126" s="39"/>
      <c r="L126" s="40">
        <f>IFERROR(__xludf.DUMMYFUNCTION("""COMPUTED_VALUE"""),7.0)</f>
        <v>7</v>
      </c>
      <c r="M126" s="40"/>
      <c r="N126" s="40">
        <f>IFERROR(__xludf.DUMMYFUNCTION("""COMPUTED_VALUE"""),5.0)</f>
        <v>5</v>
      </c>
      <c r="O126" s="40">
        <f>IFERROR(__xludf.DUMMYFUNCTION("""COMPUTED_VALUE"""),1.0)</f>
        <v>1</v>
      </c>
      <c r="P126" s="40">
        <f>IFERROR(__xludf.DUMMYFUNCTION("""COMPUTED_VALUE"""),2.0)</f>
        <v>2</v>
      </c>
      <c r="Q126" s="48">
        <f>IFERROR(__xludf.DUMMYFUNCTION("""COMPUTED_VALUE"""),250.0)</f>
        <v>250</v>
      </c>
      <c r="R126" s="48">
        <f>IFERROR(__xludf.DUMMYFUNCTION("""COMPUTED_VALUE"""),140.0)</f>
        <v>140</v>
      </c>
      <c r="S126" s="39" t="str">
        <f>IFERROR(__xludf.DUMMYFUNCTION("""COMPUTED_VALUE"""),"Rentabilidad $2,100,000")</f>
        <v>Rentabilidad $2,100,000</v>
      </c>
      <c r="T126" s="40" t="str">
        <f>IFERROR(__xludf.DUMMYFUNCTION("""COMPUTED_VALUE"""),"Neiva")</f>
        <v>Neiva</v>
      </c>
      <c r="U126" s="39" t="str">
        <f>IFERROR(__xludf.DUMMYFUNCTION("""COMPUTED_VALUE"""),"2")</f>
        <v>2</v>
      </c>
      <c r="V126" s="40" t="str">
        <f>IFERROR(__xludf.DUMMYFUNCTION("""COMPUTED_VALUE"""),"Esquinera")</f>
        <v>Esquinera</v>
      </c>
      <c r="W126" s="46"/>
      <c r="X126" s="46">
        <f>IFERROR(__xludf.DUMMYFUNCTION("""COMPUTED_VALUE"""),7.0)</f>
        <v>7</v>
      </c>
      <c r="Y126" s="40" t="str">
        <f>IFERROR(__xludf.DUMMYFUNCTION("""COMPUTED_VALUE"""),"No tiene")</f>
        <v>No tiene</v>
      </c>
      <c r="Z126" s="42" t="str">
        <f>IFERROR(__xludf.DUMMYFUNCTION("""COMPUTED_VALUE"""),"No aplica")</f>
        <v>No aplica</v>
      </c>
      <c r="AA126" s="49" t="str">
        <f>IFERROR(__xludf.DUMMYFUNCTION("""COMPUTED_VALUE"""),"17 años")</f>
        <v>17 años</v>
      </c>
      <c r="AB126" s="48"/>
      <c r="AC126" s="40"/>
      <c r="AD126" s="40"/>
      <c r="AE126" s="40"/>
      <c r="AF126" s="40" t="str">
        <f>IFERROR(__xludf.DUMMYFUNCTION("""COMPUTED_VALUE"""),"semi-integral")</f>
        <v>semi-integral</v>
      </c>
      <c r="AG126" s="40"/>
      <c r="AH126" s="40" t="str">
        <f>IFERROR(__xludf.DUMMYFUNCTION("""COMPUTED_VALUE"""),"Inventario")</f>
        <v>Inventario</v>
      </c>
      <c r="AI126" s="40"/>
      <c r="AJ126" s="40" t="str">
        <f>IFERROR(__xludf.DUMMYFUNCTION("""COMPUTED_VALUE"""),"ICDE")</f>
        <v>ICDE</v>
      </c>
      <c r="AK126" s="40" t="str">
        <f>IFERROR(__xludf.DUMMYFUNCTION("""COMPUTED_VALUE"""),"NUEVO")</f>
        <v>NUEVO</v>
      </c>
      <c r="AL126" s="40" t="str">
        <f>IFERROR(__xludf.DUMMYFUNCTION("""COMPUTED_VALUE"""),"NO FOTOS + DESCRIPCION")</f>
        <v>NO FOTOS + DESCRIPCION</v>
      </c>
      <c r="AM126" s="40">
        <f>IFERROR(__xludf.DUMMYFUNCTION("""COMPUTED_VALUE"""),3.163414094E9)</f>
        <v>3163414094</v>
      </c>
      <c r="AN126" s="40">
        <f>IFERROR(__xludf.DUMMYFUNCTION("""COMPUTED_VALUE"""),0.0)</f>
        <v>0</v>
      </c>
      <c r="AO126" s="40" t="str">
        <f>IFERROR(__xludf.DUMMYFUNCTION("""COMPUTED_VALUE"""),"IBETH CABRERA - Contadora")</f>
        <v>IBETH CABRERA - Contadora</v>
      </c>
      <c r="AP126" s="40" t="str">
        <f>IFERROR(__xludf.DUMMYFUNCTION("""COMPUTED_VALUE"""),"CARRERA 21 No. 50 - 49")</f>
        <v>CARRERA 21 No. 50 - 49</v>
      </c>
      <c r="AQ126" s="40"/>
      <c r="AR126" s="40"/>
      <c r="AS126" s="53">
        <f>IFERROR(__xludf.DUMMYFUNCTION("""COMPUTED_VALUE"""),2100000.0)</f>
        <v>2100000</v>
      </c>
      <c r="AT126" s="40">
        <f>IFERROR(__xludf.DUMMYFUNCTION("""COMPUTED_VALUE"""),0.0)</f>
        <v>0</v>
      </c>
      <c r="AU126" s="40">
        <f>IFERROR(__xludf.DUMMYFUNCTION("""COMPUTED_VALUE"""),0.0)</f>
        <v>0</v>
      </c>
      <c r="AV126" s="40">
        <f>IFERROR(__xludf.DUMMYFUNCTION("""COMPUTED_VALUE"""),0.0)</f>
        <v>0</v>
      </c>
      <c r="AW126" s="40" t="str">
        <f>IFERROR(__xludf.DUMMYFUNCTION("""COMPUTED_VALUE"""),"NO")</f>
        <v>NO</v>
      </c>
      <c r="AX126" s="40">
        <f>IFERROR(__xludf.DUMMYFUNCTION("""COMPUTED_VALUE"""),0.0)</f>
        <v>0</v>
      </c>
      <c r="AY126" s="40">
        <f>IFERROR(__xludf.DUMMYFUNCTION("""COMPUTED_VALUE"""),0.0)</f>
        <v>0</v>
      </c>
      <c r="AZ126" s="40">
        <f>IFERROR(__xludf.DUMMYFUNCTION("""COMPUTED_VALUE"""),10.0)</f>
        <v>10</v>
      </c>
      <c r="BA126" s="40" t="str">
        <f>IFERROR(__xludf.DUMMYFUNCTION("""COMPUTED_VALUE"""),"X")</f>
        <v>X</v>
      </c>
      <c r="BB126" s="40">
        <f>IFERROR(__xludf.DUMMYFUNCTION("""COMPUTED_VALUE"""),14.0)</f>
        <v>14</v>
      </c>
      <c r="BC126" s="53"/>
      <c r="BD126" s="40"/>
      <c r="BE126" s="48"/>
      <c r="BF126" s="48"/>
    </row>
    <row r="127">
      <c r="A127" s="39" t="str">
        <f>IFERROR(__xludf.DUMMYFUNCTION("""COMPUTED_VALUE"""),"203")</f>
        <v>203</v>
      </c>
      <c r="B127" s="40" t="str">
        <f>IFERROR(__xludf.DUMMYFUNCTION("""COMPUTED_VALUE"""),"Casa con dos apartaestudios en barrio Sevilla")</f>
        <v>Casa con dos apartaestudios en barrio Sevilla</v>
      </c>
      <c r="C127" s="40" t="str">
        <f>IFERROR(__xludf.DUMMYFUNCTION("""COMPUTED_VALUE"""),"Casa rentable")</f>
        <v>Casa rentable</v>
      </c>
      <c r="D127" s="40" t="str">
        <f>IFERROR(__xludf.DUMMYFUNCTION("""COMPUTED_VALUE"""),"Sevilla")</f>
        <v>Sevilla</v>
      </c>
      <c r="E127" s="42" t="str">
        <f>IFERROR(__xludf.DUMMYFUNCTION("""COMPUTED_VALUE""")," ")</f>
        <v> </v>
      </c>
      <c r="F127" s="42">
        <f>IFERROR(__xludf.DUMMYFUNCTION("""COMPUTED_VALUE"""),4.1E8)</f>
        <v>410000000</v>
      </c>
      <c r="G127" s="40" t="str">
        <f>IFERROR(__xludf.DUMMYFUNCTION("""COMPUTED_VALUE"""),"$400'000.000 a $500'000.000")</f>
        <v>$400'000.000 a $500'000.000</v>
      </c>
      <c r="H127" s="40"/>
      <c r="I127" s="40"/>
      <c r="J127" s="40" t="str">
        <f>IFERROR(__xludf.DUMMYFUNCTION("""COMPUTED_VALUE"""),"Centro")</f>
        <v>Centro</v>
      </c>
      <c r="K127" s="39" t="str">
        <f>IFERROR(__xludf.DUMMYFUNCTION("""COMPUTED_VALUE"""),"3")</f>
        <v>3</v>
      </c>
      <c r="L127" s="40">
        <f>IFERROR(__xludf.DUMMYFUNCTION("""COMPUTED_VALUE"""),9.0)</f>
        <v>9</v>
      </c>
      <c r="M127" s="40"/>
      <c r="N127" s="40">
        <f>IFERROR(__xludf.DUMMYFUNCTION("""COMPUTED_VALUE"""),5.0)</f>
        <v>5</v>
      </c>
      <c r="O127" s="40">
        <f>IFERROR(__xludf.DUMMYFUNCTION("""COMPUTED_VALUE"""),0.0)</f>
        <v>0</v>
      </c>
      <c r="P127" s="40">
        <f>IFERROR(__xludf.DUMMYFUNCTION("""COMPUTED_VALUE"""),2.0)</f>
        <v>2</v>
      </c>
      <c r="Q127" s="48">
        <f>IFERROR(__xludf.DUMMYFUNCTION("""COMPUTED_VALUE"""),330.0)</f>
        <v>330</v>
      </c>
      <c r="R127" s="48">
        <f>IFERROR(__xludf.DUMMYFUNCTION("""COMPUTED_VALUE"""),189.0)</f>
        <v>189</v>
      </c>
      <c r="S127" s="39" t="str">
        <f>IFERROR(__xludf.DUMMYFUNCTION("""COMPUTED_VALUE"""),"Rentabilidad $2,500,000")</f>
        <v>Rentabilidad $2,500,000</v>
      </c>
      <c r="T127" s="40" t="str">
        <f>IFERROR(__xludf.DUMMYFUNCTION("""COMPUTED_VALUE"""),"Neiva")</f>
        <v>Neiva</v>
      </c>
      <c r="U127" s="39" t="str">
        <f>IFERROR(__xludf.DUMMYFUNCTION("""COMPUTED_VALUE"""),"2")</f>
        <v>2</v>
      </c>
      <c r="V127" s="40" t="str">
        <f>IFERROR(__xludf.DUMMYFUNCTION("""COMPUTED_VALUE"""),"Medianera")</f>
        <v>Medianera</v>
      </c>
      <c r="W127" s="46"/>
      <c r="X127" s="46">
        <f>IFERROR(__xludf.DUMMYFUNCTION("""COMPUTED_VALUE"""),2.0)</f>
        <v>2</v>
      </c>
      <c r="Y127" s="40" t="str">
        <f>IFERROR(__xludf.DUMMYFUNCTION("""COMPUTED_VALUE"""),"No tiene")</f>
        <v>No tiene</v>
      </c>
      <c r="Z127" s="42" t="str">
        <f>IFERROR(__xludf.DUMMYFUNCTION("""COMPUTED_VALUE"""),"No aplica")</f>
        <v>No aplica</v>
      </c>
      <c r="AA127" s="49" t="str">
        <f>IFERROR(__xludf.DUMMYFUNCTION("""COMPUTED_VALUE"""),"14 años")</f>
        <v>14 años</v>
      </c>
      <c r="AB127" s="48"/>
      <c r="AC127" s="40"/>
      <c r="AD127" s="40"/>
      <c r="AE127" s="40"/>
      <c r="AF127" s="40" t="str">
        <f>IFERROR(__xludf.DUMMYFUNCTION("""COMPUTED_VALUE"""),"básica")</f>
        <v>básica</v>
      </c>
      <c r="AG127" s="40"/>
      <c r="AH127" s="40" t="str">
        <f>IFERROR(__xludf.DUMMYFUNCTION("""COMPUTED_VALUE"""),"Inventario")</f>
        <v>Inventario</v>
      </c>
      <c r="AI127" s="40"/>
      <c r="AJ127" s="40" t="str">
        <f>IFERROR(__xludf.DUMMYFUNCTION("""COMPUTED_VALUE"""),"ICDE")</f>
        <v>ICDE</v>
      </c>
      <c r="AK127" s="40"/>
      <c r="AL127" s="40" t="str">
        <f>IFERROR(__xludf.DUMMYFUNCTION("""COMPUTED_VALUE"""),"NO FOTOS + DESCRIPCION")</f>
        <v>NO FOTOS + DESCRIPCION</v>
      </c>
      <c r="AM127" s="40">
        <f>IFERROR(__xludf.DUMMYFUNCTION("""COMPUTED_VALUE"""),3.156194476E9)</f>
        <v>3156194476</v>
      </c>
      <c r="AN127" s="40">
        <f>IFERROR(__xludf.DUMMYFUNCTION("""COMPUTED_VALUE"""),3.118956201E9)</f>
        <v>3118956201</v>
      </c>
      <c r="AO127" s="40" t="str">
        <f>IFERROR(__xludf.DUMMYFUNCTION("""COMPUTED_VALUE"""),"RAMON BOLIVAR")</f>
        <v>RAMON BOLIVAR</v>
      </c>
      <c r="AP127" s="40" t="str">
        <f>IFERROR(__xludf.DUMMYFUNCTION("""COMPUTED_VALUE"""),"CALLE 23 NO. 6 - 82")</f>
        <v>CALLE 23 NO. 6 - 82</v>
      </c>
      <c r="AQ127" s="40"/>
      <c r="AR127" s="40"/>
      <c r="AS127" s="53">
        <f>IFERROR(__xludf.DUMMYFUNCTION("""COMPUTED_VALUE"""),2500000.0)</f>
        <v>2500000</v>
      </c>
      <c r="AT127" s="40">
        <f>IFERROR(__xludf.DUMMYFUNCTION("""COMPUTED_VALUE"""),0.0)</f>
        <v>0</v>
      </c>
      <c r="AU127" s="40">
        <f>IFERROR(__xludf.DUMMYFUNCTION("""COMPUTED_VALUE"""),0.0)</f>
        <v>0</v>
      </c>
      <c r="AV127" s="40">
        <f>IFERROR(__xludf.DUMMYFUNCTION("""COMPUTED_VALUE"""),0.0)</f>
        <v>0</v>
      </c>
      <c r="AW127" s="40" t="str">
        <f>IFERROR(__xludf.DUMMYFUNCTION("""COMPUTED_VALUE"""),"NO")</f>
        <v>NO</v>
      </c>
      <c r="AX127" s="40">
        <f>IFERROR(__xludf.DUMMYFUNCTION("""COMPUTED_VALUE"""),0.0)</f>
        <v>0</v>
      </c>
      <c r="AY127" s="40">
        <f>IFERROR(__xludf.DUMMYFUNCTION("""COMPUTED_VALUE"""),0.0)</f>
        <v>0</v>
      </c>
      <c r="AZ127" s="40">
        <f>IFERROR(__xludf.DUMMYFUNCTION("""COMPUTED_VALUE"""),9.0)</f>
        <v>9</v>
      </c>
      <c r="BA127" s="40" t="str">
        <f>IFERROR(__xludf.DUMMYFUNCTION("""COMPUTED_VALUE"""),"X")</f>
        <v>X</v>
      </c>
      <c r="BB127" s="40">
        <f>IFERROR(__xludf.DUMMYFUNCTION("""COMPUTED_VALUE"""),21.0)</f>
        <v>21</v>
      </c>
      <c r="BC127" s="53"/>
      <c r="BD127" s="48"/>
      <c r="BE127" s="48"/>
      <c r="BF127" s="48"/>
    </row>
    <row r="128">
      <c r="A128" s="39" t="str">
        <f>IFERROR(__xludf.DUMMYFUNCTION("""COMPUTED_VALUE"""),"742")</f>
        <v>742</v>
      </c>
      <c r="B128" s="40" t="str">
        <f>IFERROR(__xludf.DUMMYFUNCTION("""COMPUTED_VALUE"""),"Casa en barrio Las Granjas")</f>
        <v>Casa en barrio Las Granjas</v>
      </c>
      <c r="C128" s="40" t="str">
        <f>IFERROR(__xludf.DUMMYFUNCTION("""COMPUTED_VALUE"""),"Casa")</f>
        <v>Casa</v>
      </c>
      <c r="D128" s="40" t="str">
        <f>IFERROR(__xludf.DUMMYFUNCTION("""COMPUTED_VALUE"""),"Las Granjas")</f>
        <v>Las Granjas</v>
      </c>
      <c r="E128" s="42"/>
      <c r="F128" s="42">
        <f>IFERROR(__xludf.DUMMYFUNCTION("""COMPUTED_VALUE"""),4.0E8)</f>
        <v>400000000</v>
      </c>
      <c r="G128" s="40" t="str">
        <f>IFERROR(__xludf.DUMMYFUNCTION("""COMPUTED_VALUE"""),"$400'000.000 a $500'000.000")</f>
        <v>$400'000.000 a $500'000.000</v>
      </c>
      <c r="H128" s="40"/>
      <c r="I128" s="40"/>
      <c r="J128" s="40" t="str">
        <f>IFERROR(__xludf.DUMMYFUNCTION("""COMPUTED_VALUE"""),"Norte")</f>
        <v>Norte</v>
      </c>
      <c r="K128" s="39" t="str">
        <f>IFERROR(__xludf.DUMMYFUNCTION("""COMPUTED_VALUE"""),"2")</f>
        <v>2</v>
      </c>
      <c r="L128" s="40">
        <f>IFERROR(__xludf.DUMMYFUNCTION("""COMPUTED_VALUE"""),5.0)</f>
        <v>5</v>
      </c>
      <c r="M128" s="40"/>
      <c r="N128" s="40">
        <f>IFERROR(__xludf.DUMMYFUNCTION("""COMPUTED_VALUE"""),2.0)</f>
        <v>2</v>
      </c>
      <c r="O128" s="40">
        <f>IFERROR(__xludf.DUMMYFUNCTION("""COMPUTED_VALUE"""),1.0)</f>
        <v>1</v>
      </c>
      <c r="P128" s="40">
        <f>IFERROR(__xludf.DUMMYFUNCTION("""COMPUTED_VALUE"""),1.0)</f>
        <v>1</v>
      </c>
      <c r="Q128" s="48"/>
      <c r="R128" s="48">
        <f>IFERROR(__xludf.DUMMYFUNCTION("""COMPUTED_VALUE"""),200.0)</f>
        <v>200</v>
      </c>
      <c r="S128" s="39" t="str">
        <f>IFERROR(__xludf.DUMMYFUNCTION("""COMPUTED_VALUE""")," ")</f>
        <v> </v>
      </c>
      <c r="T128" s="40" t="str">
        <f>IFERROR(__xludf.DUMMYFUNCTION("""COMPUTED_VALUE"""),"Neiva")</f>
        <v>Neiva</v>
      </c>
      <c r="U128" s="39" t="str">
        <f>IFERROR(__xludf.DUMMYFUNCTION("""COMPUTED_VALUE"""),"2")</f>
        <v>2</v>
      </c>
      <c r="V128" s="40" t="str">
        <f>IFERROR(__xludf.DUMMYFUNCTION("""COMPUTED_VALUE"""),"Medianera")</f>
        <v>Medianera</v>
      </c>
      <c r="W128" s="46"/>
      <c r="X128" s="46">
        <f>IFERROR(__xludf.DUMMYFUNCTION("""COMPUTED_VALUE"""),1.0)</f>
        <v>1</v>
      </c>
      <c r="Y128" s="40" t="str">
        <f>IFERROR(__xludf.DUMMYFUNCTION("""COMPUTED_VALUE"""),"No tiene")</f>
        <v>No tiene</v>
      </c>
      <c r="Z128" s="42" t="str">
        <f>IFERROR(__xludf.DUMMYFUNCTION("""COMPUTED_VALUE"""),"No aplica")</f>
        <v>No aplica</v>
      </c>
      <c r="AA128" s="49"/>
      <c r="AB128" s="40"/>
      <c r="AC128" s="40"/>
      <c r="AD128" s="40"/>
      <c r="AE128" s="40"/>
      <c r="AF128" s="40" t="str">
        <f>IFERROR(__xludf.DUMMYFUNCTION("""COMPUTED_VALUE"""),"semi-integral")</f>
        <v>semi-integral</v>
      </c>
      <c r="AG128" s="40"/>
      <c r="AH128" s="40" t="str">
        <f>IFERROR(__xludf.DUMMYFUNCTION("""COMPUTED_VALUE"""),"Inventario")</f>
        <v>Inventario</v>
      </c>
      <c r="AI128" s="40"/>
      <c r="AJ128" s="40" t="str">
        <f>IFERROR(__xludf.DUMMYFUNCTION("""COMPUTED_VALUE"""),"ICDE")</f>
        <v>ICDE</v>
      </c>
      <c r="AK128" s="40"/>
      <c r="AL128" s="40"/>
      <c r="AM128" s="40">
        <f>IFERROR(__xludf.DUMMYFUNCTION("""COMPUTED_VALUE"""),3.158484959E9)</f>
        <v>3158484959</v>
      </c>
      <c r="AN128" s="40" t="str">
        <f>IFERROR(__xludf.DUMMYFUNCTION("""COMPUTED_VALUE"""),"3157779936-3153906579")</f>
        <v>3157779936-3153906579</v>
      </c>
      <c r="AO128" s="40"/>
      <c r="AP128" s="40" t="str">
        <f>IFERROR(__xludf.DUMMYFUNCTION("""COMPUTED_VALUE"""),"carrera 8 bis # 36 - 11")</f>
        <v>carrera 8 bis # 36 - 11</v>
      </c>
      <c r="AQ128" s="40"/>
      <c r="AR128" s="40"/>
      <c r="AS128" s="53"/>
      <c r="AT128" s="40">
        <f>IFERROR(__xludf.DUMMYFUNCTION("""COMPUTED_VALUE"""),0.0)</f>
        <v>0</v>
      </c>
      <c r="AU128" s="40">
        <f>IFERROR(__xludf.DUMMYFUNCTION("""COMPUTED_VALUE"""),0.0)</f>
        <v>0</v>
      </c>
      <c r="AV128" s="40">
        <f>IFERROR(__xludf.DUMMYFUNCTION("""COMPUTED_VALUE"""),0.0)</f>
        <v>0</v>
      </c>
      <c r="AW128" s="40" t="str">
        <f>IFERROR(__xludf.DUMMYFUNCTION("""COMPUTED_VALUE"""),"SI")</f>
        <v>SI</v>
      </c>
      <c r="AX128" s="40"/>
      <c r="AY128" s="40" t="str">
        <f>IFERROR(__xludf.DUMMYFUNCTION("""COMPUTED_VALUE"""),"M")</f>
        <v>M</v>
      </c>
      <c r="AZ128" s="40">
        <f>IFERROR(__xludf.DUMMYFUNCTION("""COMPUTED_VALUE"""),9.0)</f>
        <v>9</v>
      </c>
      <c r="BA128" s="40" t="str">
        <f>IFERROR(__xludf.DUMMYFUNCTION("""COMPUTED_VALUE"""),"X")</f>
        <v>X</v>
      </c>
      <c r="BB128" s="40">
        <f>IFERROR(__xludf.DUMMYFUNCTION("""COMPUTED_VALUE"""),22.0)</f>
        <v>22</v>
      </c>
      <c r="BC128" s="53"/>
      <c r="BD128" s="48"/>
      <c r="BE128" s="48"/>
      <c r="BF128" s="48"/>
    </row>
    <row r="129">
      <c r="A129" s="39" t="str">
        <f>IFERROR(__xludf.DUMMYFUNCTION("""COMPUTED_VALUE"""),"719")</f>
        <v>719</v>
      </c>
      <c r="B129" s="40" t="str">
        <f>IFERROR(__xludf.DUMMYFUNCTION("""COMPUTED_VALUE"""),"Casa en barrio Chapinero")</f>
        <v>Casa en barrio Chapinero</v>
      </c>
      <c r="C129" s="40" t="str">
        <f>IFERROR(__xludf.DUMMYFUNCTION("""COMPUTED_VALUE"""),"Casa")</f>
        <v>Casa</v>
      </c>
      <c r="D129" s="40" t="str">
        <f>IFERROR(__xludf.DUMMYFUNCTION("""COMPUTED_VALUE"""),"Chapinero")</f>
        <v>Chapinero</v>
      </c>
      <c r="E129" s="40"/>
      <c r="F129" s="42">
        <f>IFERROR(__xludf.DUMMYFUNCTION("""COMPUTED_VALUE"""),4.0E8)</f>
        <v>400000000</v>
      </c>
      <c r="G129" s="40" t="str">
        <f>IFERROR(__xludf.DUMMYFUNCTION("""COMPUTED_VALUE"""),"$400'000.000 a $500'000.000")</f>
        <v>$400'000.000 a $500'000.000</v>
      </c>
      <c r="H129" s="40"/>
      <c r="I129" s="40"/>
      <c r="J129" s="40" t="str">
        <f>IFERROR(__xludf.DUMMYFUNCTION("""COMPUTED_VALUE"""),"Centro")</f>
        <v>Centro</v>
      </c>
      <c r="K129" s="39" t="str">
        <f>IFERROR(__xludf.DUMMYFUNCTION("""COMPUTED_VALUE"""),"4")</f>
        <v>4</v>
      </c>
      <c r="L129" s="40">
        <f>IFERROR(__xludf.DUMMYFUNCTION("""COMPUTED_VALUE"""),3.0)</f>
        <v>3</v>
      </c>
      <c r="M129" s="40"/>
      <c r="N129" s="40">
        <f>IFERROR(__xludf.DUMMYFUNCTION("""COMPUTED_VALUE"""),1.0)</f>
        <v>1</v>
      </c>
      <c r="O129" s="40">
        <f>IFERROR(__xludf.DUMMYFUNCTION("""COMPUTED_VALUE"""),1.0)</f>
        <v>1</v>
      </c>
      <c r="P129" s="40">
        <f>IFERROR(__xludf.DUMMYFUNCTION("""COMPUTED_VALUE"""),1.0)</f>
        <v>1</v>
      </c>
      <c r="Q129" s="48">
        <f>IFERROR(__xludf.DUMMYFUNCTION("""COMPUTED_VALUE"""),240.0)</f>
        <v>240</v>
      </c>
      <c r="R129" s="48">
        <f>IFERROR(__xludf.DUMMYFUNCTION("""COMPUTED_VALUE"""),240.0)</f>
        <v>240</v>
      </c>
      <c r="S129" s="39" t="str">
        <f>IFERROR(__xludf.DUMMYFUNCTION("""COMPUTED_VALUE""")," ")</f>
        <v> </v>
      </c>
      <c r="T129" s="40" t="str">
        <f>IFERROR(__xludf.DUMMYFUNCTION("""COMPUTED_VALUE"""),"Neiva")</f>
        <v>Neiva</v>
      </c>
      <c r="U129" s="39" t="str">
        <f>IFERROR(__xludf.DUMMYFUNCTION("""COMPUTED_VALUE"""),"2")</f>
        <v>2</v>
      </c>
      <c r="V129" s="40" t="str">
        <f>IFERROR(__xludf.DUMMYFUNCTION("""COMPUTED_VALUE"""),"Medianera")</f>
        <v>Medianera</v>
      </c>
      <c r="W129" s="46"/>
      <c r="X129" s="46">
        <f>IFERROR(__xludf.DUMMYFUNCTION("""COMPUTED_VALUE"""),0.0)</f>
        <v>0</v>
      </c>
      <c r="Y129" s="40" t="str">
        <f>IFERROR(__xludf.DUMMYFUNCTION("""COMPUTED_VALUE"""),"No tiene")</f>
        <v>No tiene</v>
      </c>
      <c r="Z129" s="42" t="str">
        <f>IFERROR(__xludf.DUMMYFUNCTION("""COMPUTED_VALUE"""),"No aplica")</f>
        <v>No aplica</v>
      </c>
      <c r="AA129" s="49" t="str">
        <f>IFERROR(__xludf.DUMMYFUNCTION("""COMPUTED_VALUE"""),"No aplica")</f>
        <v>No aplica</v>
      </c>
      <c r="AB129" s="48"/>
      <c r="AC129" s="40" t="str">
        <f>IFERROR(__xludf.DUMMYFUNCTION("""COMPUTED_VALUE"""),"Tiene solar grande, comedor grande. Casa antigua.")</f>
        <v>Tiene solar grande, comedor grande. Casa antigua.</v>
      </c>
      <c r="AD129" s="40"/>
      <c r="AE129" s="40"/>
      <c r="AF129" s="40" t="str">
        <f>IFERROR(__xludf.DUMMYFUNCTION("""COMPUTED_VALUE"""),"semi-integral")</f>
        <v>semi-integral</v>
      </c>
      <c r="AG129" s="40"/>
      <c r="AH129" s="40" t="str">
        <f>IFERROR(__xludf.DUMMYFUNCTION("""COMPUTED_VALUE"""),"Inventario")</f>
        <v>Inventario</v>
      </c>
      <c r="AI129" s="40"/>
      <c r="AJ129" s="40" t="str">
        <f>IFERROR(__xludf.DUMMYFUNCTION("""COMPUTED_VALUE"""),"ICDE")</f>
        <v>ICDE</v>
      </c>
      <c r="AK129" s="40"/>
      <c r="AL129" s="40"/>
      <c r="AM129" s="40">
        <f>IFERROR(__xludf.DUMMYFUNCTION("""COMPUTED_VALUE"""),3.167696862E9)</f>
        <v>3167696862</v>
      </c>
      <c r="AN129" s="40">
        <f>IFERROR(__xludf.DUMMYFUNCTION("""COMPUTED_VALUE"""),3.155007873E9)</f>
        <v>3155007873</v>
      </c>
      <c r="AO129" s="40"/>
      <c r="AP129" s="40" t="str">
        <f>IFERROR(__xludf.DUMMYFUNCTION("""COMPUTED_VALUE"""),"Carrera 10 # 14 - 75")</f>
        <v>Carrera 10 # 14 - 75</v>
      </c>
      <c r="AQ129" s="40"/>
      <c r="AR129" s="40"/>
      <c r="AS129" s="53"/>
      <c r="AT129" s="40"/>
      <c r="AU129" s="40"/>
      <c r="AV129" s="40"/>
      <c r="AW129" s="40"/>
      <c r="AX129" s="40"/>
      <c r="AY129" s="40"/>
      <c r="AZ129" s="40">
        <f>IFERROR(__xludf.DUMMYFUNCTION("""COMPUTED_VALUE"""),8.0)</f>
        <v>8</v>
      </c>
      <c r="BA129" s="40" t="str">
        <f>IFERROR(__xludf.DUMMYFUNCTION("""COMPUTED_VALUE"""),"X")</f>
        <v>X</v>
      </c>
      <c r="BB129" s="40">
        <f>IFERROR(__xludf.DUMMYFUNCTION("""COMPUTED_VALUE"""),30.0)</f>
        <v>30</v>
      </c>
      <c r="BC129" s="53" t="str">
        <f>IFERROR(__xludf.DUMMYFUNCTION("""COMPUTED_VALUE"""),"19 - PRUEBA, 12 - LEIDY YULIETH, 26 - NINI CASTAÑO, 19 - PRUEBA v")</f>
        <v>19 - PRUEBA, 12 - LEIDY YULIETH, 26 - NINI CASTAÑO, 19 - PRUEBA v</v>
      </c>
      <c r="BD129" s="48"/>
      <c r="BE129" s="48"/>
      <c r="BF129" s="48"/>
    </row>
    <row r="130">
      <c r="A130" s="39" t="str">
        <f>IFERROR(__xludf.DUMMYFUNCTION("""COMPUTED_VALUE"""),"685")</f>
        <v>685</v>
      </c>
      <c r="B130" s="40" t="str">
        <f>IFERROR(__xludf.DUMMYFUNCTION("""COMPUTED_VALUE"""),"Casa con apartamento en barrio Las Granjas")</f>
        <v>Casa con apartamento en barrio Las Granjas</v>
      </c>
      <c r="C130" s="40" t="str">
        <f>IFERROR(__xludf.DUMMYFUNCTION("""COMPUTED_VALUE"""),"Casa rentable")</f>
        <v>Casa rentable</v>
      </c>
      <c r="D130" s="40" t="str">
        <f>IFERROR(__xludf.DUMMYFUNCTION("""COMPUTED_VALUE"""),"Las Granjas")</f>
        <v>Las Granjas</v>
      </c>
      <c r="E130" s="42" t="str">
        <f>IFERROR(__xludf.DUMMYFUNCTION("""COMPUTED_VALUE""")," ")</f>
        <v> </v>
      </c>
      <c r="F130" s="42">
        <f>IFERROR(__xludf.DUMMYFUNCTION("""COMPUTED_VALUE"""),4.0E8)</f>
        <v>400000000</v>
      </c>
      <c r="G130" s="40" t="str">
        <f>IFERROR(__xludf.DUMMYFUNCTION("""COMPUTED_VALUE"""),"$400'000.000 a $500'000.000")</f>
        <v>$400'000.000 a $500'000.000</v>
      </c>
      <c r="H130" s="40"/>
      <c r="I130" s="40"/>
      <c r="J130" s="40" t="str">
        <f>IFERROR(__xludf.DUMMYFUNCTION("""COMPUTED_VALUE"""),"Norte")</f>
        <v>Norte</v>
      </c>
      <c r="K130" s="39" t="str">
        <f>IFERROR(__xludf.DUMMYFUNCTION("""COMPUTED_VALUE"""),"2")</f>
        <v>2</v>
      </c>
      <c r="L130" s="40">
        <f>IFERROR(__xludf.DUMMYFUNCTION("""COMPUTED_VALUE"""),4.0)</f>
        <v>4</v>
      </c>
      <c r="M130" s="40"/>
      <c r="N130" s="40">
        <f>IFERROR(__xludf.DUMMYFUNCTION("""COMPUTED_VALUE"""),3.0)</f>
        <v>3</v>
      </c>
      <c r="O130" s="40">
        <f>IFERROR(__xludf.DUMMYFUNCTION("""COMPUTED_VALUE"""),1.0)</f>
        <v>1</v>
      </c>
      <c r="P130" s="40">
        <f>IFERROR(__xludf.DUMMYFUNCTION("""COMPUTED_VALUE"""),1.0)</f>
        <v>1</v>
      </c>
      <c r="Q130" s="48">
        <f>IFERROR(__xludf.DUMMYFUNCTION("""COMPUTED_VALUE"""),220.0)</f>
        <v>220</v>
      </c>
      <c r="R130" s="48">
        <f>IFERROR(__xludf.DUMMYFUNCTION("""COMPUTED_VALUE"""),220.0)</f>
        <v>220</v>
      </c>
      <c r="S130" s="39" t="str">
        <f>IFERROR(__xludf.DUMMYFUNCTION("""COMPUTED_VALUE"""),"Rentabilidad $1,300,000")</f>
        <v>Rentabilidad $1,300,000</v>
      </c>
      <c r="T130" s="40" t="str">
        <f>IFERROR(__xludf.DUMMYFUNCTION("""COMPUTED_VALUE"""),"Neiva")</f>
        <v>Neiva</v>
      </c>
      <c r="U130" s="39" t="str">
        <f>IFERROR(__xludf.DUMMYFUNCTION("""COMPUTED_VALUE"""),"2")</f>
        <v>2</v>
      </c>
      <c r="V130" s="40" t="str">
        <f>IFERROR(__xludf.DUMMYFUNCTION("""COMPUTED_VALUE"""),"Esquinera")</f>
        <v>Esquinera</v>
      </c>
      <c r="W130" s="46"/>
      <c r="X130" s="46">
        <f>IFERROR(__xludf.DUMMYFUNCTION("""COMPUTED_VALUE"""),0.0)</f>
        <v>0</v>
      </c>
      <c r="Y130" s="40" t="str">
        <f>IFERROR(__xludf.DUMMYFUNCTION("""COMPUTED_VALUE"""),"No tiene")</f>
        <v>No tiene</v>
      </c>
      <c r="Z130" s="42" t="str">
        <f>IFERROR(__xludf.DUMMYFUNCTION("""COMPUTED_VALUE"""),"No aplica")</f>
        <v>No aplica</v>
      </c>
      <c r="AA130" s="49" t="str">
        <f>IFERROR(__xludf.DUMMYFUNCTION("""COMPUTED_VALUE"""),"26 años")</f>
        <v>26 años</v>
      </c>
      <c r="AB130" s="48"/>
      <c r="AC130" s="40"/>
      <c r="AD130" s="40"/>
      <c r="AE130" s="40"/>
      <c r="AF130" s="40" t="str">
        <f>IFERROR(__xludf.DUMMYFUNCTION("""COMPUTED_VALUE"""),"0")</f>
        <v>0</v>
      </c>
      <c r="AG130" s="40"/>
      <c r="AH130" s="40" t="str">
        <f>IFERROR(__xludf.DUMMYFUNCTION("""COMPUTED_VALUE"""),"Inventario")</f>
        <v>Inventario</v>
      </c>
      <c r="AI130" s="40"/>
      <c r="AJ130" s="40" t="str">
        <f>IFERROR(__xludf.DUMMYFUNCTION("""COMPUTED_VALUE"""),"ICDE")</f>
        <v>ICDE</v>
      </c>
      <c r="AK130" s="40"/>
      <c r="AL130" s="40" t="str">
        <f>IFERROR(__xludf.DUMMYFUNCTION("""COMPUTED_VALUE"""),"NO FOTOS + DESCRIPCION")</f>
        <v>NO FOTOS + DESCRIPCION</v>
      </c>
      <c r="AM130" s="40">
        <f>IFERROR(__xludf.DUMMYFUNCTION("""COMPUTED_VALUE"""),3.175108345E9)</f>
        <v>3175108345</v>
      </c>
      <c r="AN130" s="40">
        <f>IFERROR(__xludf.DUMMYFUNCTION("""COMPUTED_VALUE"""),0.0)</f>
        <v>0</v>
      </c>
      <c r="AO130" s="40"/>
      <c r="AP130" s="40">
        <f>IFERROR(__xludf.DUMMYFUNCTION("""COMPUTED_VALUE"""),0.0)</f>
        <v>0</v>
      </c>
      <c r="AQ130" s="40"/>
      <c r="AR130" s="40"/>
      <c r="AS130" s="53">
        <f>IFERROR(__xludf.DUMMYFUNCTION("""COMPUTED_VALUE"""),1300000.0)</f>
        <v>1300000</v>
      </c>
      <c r="AT130" s="40">
        <f>IFERROR(__xludf.DUMMYFUNCTION("""COMPUTED_VALUE"""),0.0)</f>
        <v>0</v>
      </c>
      <c r="AU130" s="40">
        <f>IFERROR(__xludf.DUMMYFUNCTION("""COMPUTED_VALUE"""),0.0)</f>
        <v>0</v>
      </c>
      <c r="AV130" s="40">
        <f>IFERROR(__xludf.DUMMYFUNCTION("""COMPUTED_VALUE"""),0.0)</f>
        <v>0</v>
      </c>
      <c r="AW130" s="40" t="str">
        <f>IFERROR(__xludf.DUMMYFUNCTION("""COMPUTED_VALUE"""),"SI")</f>
        <v>SI</v>
      </c>
      <c r="AX130" s="40">
        <f>IFERROR(__xludf.DUMMYFUNCTION("""COMPUTED_VALUE"""),0.0)</f>
        <v>0</v>
      </c>
      <c r="AY130" s="40">
        <f>IFERROR(__xludf.DUMMYFUNCTION("""COMPUTED_VALUE"""),0.0)</f>
        <v>0</v>
      </c>
      <c r="AZ130" s="40">
        <f>IFERROR(__xludf.DUMMYFUNCTION("""COMPUTED_VALUE"""),0.0)</f>
        <v>0</v>
      </c>
      <c r="BA130" s="40" t="str">
        <f>IFERROR(__xludf.DUMMYFUNCTION("""COMPUTED_VALUE"""),"X")</f>
        <v>X</v>
      </c>
      <c r="BB130" s="40">
        <f>IFERROR(__xludf.DUMMYFUNCTION("""COMPUTED_VALUE"""),0.0)</f>
        <v>0</v>
      </c>
      <c r="BC130" s="53"/>
      <c r="BD130" s="48"/>
      <c r="BE130" s="48"/>
      <c r="BF130" s="48"/>
    </row>
    <row r="131">
      <c r="A131" s="39" t="str">
        <f>IFERROR(__xludf.DUMMYFUNCTION("""COMPUTED_VALUE"""),"577")</f>
        <v>577</v>
      </c>
      <c r="B131" s="40" t="str">
        <f>IFERROR(__xludf.DUMMYFUNCTION("""COMPUTED_VALUE"""),"Casa en barrio Chapinero")</f>
        <v>Casa en barrio Chapinero</v>
      </c>
      <c r="C131" s="40" t="str">
        <f>IFERROR(__xludf.DUMMYFUNCTION("""COMPUTED_VALUE"""),"Casa")</f>
        <v>Casa</v>
      </c>
      <c r="D131" s="40" t="str">
        <f>IFERROR(__xludf.DUMMYFUNCTION("""COMPUTED_VALUE"""),"Chapinero")</f>
        <v>Chapinero</v>
      </c>
      <c r="E131" s="40"/>
      <c r="F131" s="42">
        <f>IFERROR(__xludf.DUMMYFUNCTION("""COMPUTED_VALUE"""),4.0E8)</f>
        <v>400000000</v>
      </c>
      <c r="G131" s="40" t="str">
        <f>IFERROR(__xludf.DUMMYFUNCTION("""COMPUTED_VALUE"""),"$400'000.000 a $500'000.000")</f>
        <v>$400'000.000 a $500'000.000</v>
      </c>
      <c r="H131" s="40"/>
      <c r="I131" s="40"/>
      <c r="J131" s="40" t="str">
        <f>IFERROR(__xludf.DUMMYFUNCTION("""COMPUTED_VALUE"""),"Centro")</f>
        <v>Centro</v>
      </c>
      <c r="K131" s="39" t="str">
        <f>IFERROR(__xludf.DUMMYFUNCTION("""COMPUTED_VALUE"""),"3")</f>
        <v>3</v>
      </c>
      <c r="L131" s="40">
        <f>IFERROR(__xludf.DUMMYFUNCTION("""COMPUTED_VALUE"""),5.0)</f>
        <v>5</v>
      </c>
      <c r="M131" s="40"/>
      <c r="N131" s="40">
        <f>IFERROR(__xludf.DUMMYFUNCTION("""COMPUTED_VALUE"""),2.0)</f>
        <v>2</v>
      </c>
      <c r="O131" s="40">
        <f>IFERROR(__xludf.DUMMYFUNCTION("""COMPUTED_VALUE"""),2.0)</f>
        <v>2</v>
      </c>
      <c r="P131" s="40">
        <f>IFERROR(__xludf.DUMMYFUNCTION("""COMPUTED_VALUE"""),1.0)</f>
        <v>1</v>
      </c>
      <c r="Q131" s="48">
        <f>IFERROR(__xludf.DUMMYFUNCTION("""COMPUTED_VALUE"""),247.0)</f>
        <v>247</v>
      </c>
      <c r="R131" s="48">
        <f>IFERROR(__xludf.DUMMYFUNCTION("""COMPUTED_VALUE"""),247.0)</f>
        <v>247</v>
      </c>
      <c r="S131" s="39" t="str">
        <f>IFERROR(__xludf.DUMMYFUNCTION("""COMPUTED_VALUE""")," ")</f>
        <v> </v>
      </c>
      <c r="T131" s="40" t="str">
        <f>IFERROR(__xludf.DUMMYFUNCTION("""COMPUTED_VALUE"""),"Neiva")</f>
        <v>Neiva</v>
      </c>
      <c r="U131" s="39" t="str">
        <f>IFERROR(__xludf.DUMMYFUNCTION("""COMPUTED_VALUE"""),"2")</f>
        <v>2</v>
      </c>
      <c r="V131" s="40" t="str">
        <f>IFERROR(__xludf.DUMMYFUNCTION("""COMPUTED_VALUE"""),"Medianera")</f>
        <v>Medianera</v>
      </c>
      <c r="W131" s="46"/>
      <c r="X131" s="46">
        <f>IFERROR(__xludf.DUMMYFUNCTION("""COMPUTED_VALUE"""),1.0)</f>
        <v>1</v>
      </c>
      <c r="Y131" s="40" t="str">
        <f>IFERROR(__xludf.DUMMYFUNCTION("""COMPUTED_VALUE"""),"No tiene")</f>
        <v>No tiene</v>
      </c>
      <c r="Z131" s="42" t="str">
        <f>IFERROR(__xludf.DUMMYFUNCTION("""COMPUTED_VALUE"""),"No aplica")</f>
        <v>No aplica</v>
      </c>
      <c r="AA131" s="49" t="str">
        <f>IFERROR(__xludf.DUMMYFUNCTION("""COMPUTED_VALUE"""),"No aplica")</f>
        <v>No aplica</v>
      </c>
      <c r="AB131" s="48"/>
      <c r="AC131" s="40" t="str">
        <f>IFERROR(__xludf.DUMMYFUNCTION("""COMPUTED_VALUE"""),"2 Niveles")</f>
        <v>2 Niveles</v>
      </c>
      <c r="AD131" s="40"/>
      <c r="AE131" s="40"/>
      <c r="AF131" s="40" t="str">
        <f>IFERROR(__xludf.DUMMYFUNCTION("""COMPUTED_VALUE"""),"semi-integral")</f>
        <v>semi-integral</v>
      </c>
      <c r="AG131" s="40"/>
      <c r="AH131" s="40" t="str">
        <f>IFERROR(__xludf.DUMMYFUNCTION("""COMPUTED_VALUE"""),"Inventario")</f>
        <v>Inventario</v>
      </c>
      <c r="AI131" s="40"/>
      <c r="AJ131" s="40" t="str">
        <f>IFERROR(__xludf.DUMMYFUNCTION("""COMPUTED_VALUE"""),"ICDE")</f>
        <v>ICDE</v>
      </c>
      <c r="AK131" s="40"/>
      <c r="AL131" s="40" t="str">
        <f>IFERROR(__xludf.DUMMYFUNCTION("""COMPUTED_VALUE"""),"NO FOTOS + DESCRIPCION")</f>
        <v>NO FOTOS + DESCRIPCION</v>
      </c>
      <c r="AM131" s="40">
        <f>IFERROR(__xludf.DUMMYFUNCTION("""COMPUTED_VALUE"""),3.183894226E9)</f>
        <v>3183894226</v>
      </c>
      <c r="AN131" s="40">
        <f>IFERROR(__xludf.DUMMYFUNCTION("""COMPUTED_VALUE"""),0.0)</f>
        <v>0</v>
      </c>
      <c r="AO131" s="40" t="str">
        <f>IFERROR(__xludf.DUMMYFUNCTION("""COMPUTED_VALUE"""),"FABIOLA")</f>
        <v>FABIOLA</v>
      </c>
      <c r="AP131" s="40" t="str">
        <f>IFERROR(__xludf.DUMMYFUNCTION("""COMPUTED_VALUE"""),"CALLE 14 No. 10-80")</f>
        <v>CALLE 14 No. 10-80</v>
      </c>
      <c r="AQ131" s="40"/>
      <c r="AR131" s="40"/>
      <c r="AS131" s="53">
        <f>IFERROR(__xludf.DUMMYFUNCTION("""COMPUTED_VALUE"""),0.0)</f>
        <v>0</v>
      </c>
      <c r="AT131" s="40">
        <f>IFERROR(__xludf.DUMMYFUNCTION("""COMPUTED_VALUE"""),0.0)</f>
        <v>0</v>
      </c>
      <c r="AU131" s="40">
        <f>IFERROR(__xludf.DUMMYFUNCTION("""COMPUTED_VALUE"""),0.0)</f>
        <v>0</v>
      </c>
      <c r="AV131" s="40">
        <f>IFERROR(__xludf.DUMMYFUNCTION("""COMPUTED_VALUE"""),0.0)</f>
        <v>0</v>
      </c>
      <c r="AW131" s="40" t="str">
        <f>IFERROR(__xludf.DUMMYFUNCTION("""COMPUTED_VALUE"""),"NO")</f>
        <v>NO</v>
      </c>
      <c r="AX131" s="40">
        <f>IFERROR(__xludf.DUMMYFUNCTION("""COMPUTED_VALUE"""),0.0)</f>
        <v>0</v>
      </c>
      <c r="AY131" s="40">
        <f>IFERROR(__xludf.DUMMYFUNCTION("""COMPUTED_VALUE"""),0.0)</f>
        <v>0</v>
      </c>
      <c r="AZ131" s="40">
        <f>IFERROR(__xludf.DUMMYFUNCTION("""COMPUTED_VALUE"""),21.0)</f>
        <v>21</v>
      </c>
      <c r="BA131" s="40" t="str">
        <f>IFERROR(__xludf.DUMMYFUNCTION("""COMPUTED_VALUE"""),"X")</f>
        <v>X</v>
      </c>
      <c r="BB131" s="40">
        <f>IFERROR(__xludf.DUMMYFUNCTION("""COMPUTED_VALUE"""),0.0)</f>
        <v>0</v>
      </c>
      <c r="BC131" s="53"/>
      <c r="BD131" s="48"/>
      <c r="BE131" s="48"/>
      <c r="BF131" s="48"/>
    </row>
    <row r="132">
      <c r="A132" s="39" t="str">
        <f>IFERROR(__xludf.DUMMYFUNCTION("""COMPUTED_VALUE"""),"481")</f>
        <v>481</v>
      </c>
      <c r="B132" s="40" t="str">
        <f>IFERROR(__xludf.DUMMYFUNCTION("""COMPUTED_VALUE"""),"Casa con apartamento en barrio Santa Librada")</f>
        <v>Casa con apartamento en barrio Santa Librada</v>
      </c>
      <c r="C132" s="40" t="str">
        <f>IFERROR(__xludf.DUMMYFUNCTION("""COMPUTED_VALUE"""),"Casa rentable")</f>
        <v>Casa rentable</v>
      </c>
      <c r="D132" s="40" t="str">
        <f>IFERROR(__xludf.DUMMYFUNCTION("""COMPUTED_VALUE"""),"Santa Librada")</f>
        <v>Santa Librada</v>
      </c>
      <c r="E132" s="40"/>
      <c r="F132" s="42">
        <f>IFERROR(__xludf.DUMMYFUNCTION("""COMPUTED_VALUE"""),4.0E8)</f>
        <v>400000000</v>
      </c>
      <c r="G132" s="40" t="str">
        <f>IFERROR(__xludf.DUMMYFUNCTION("""COMPUTED_VALUE"""),"$400'000.000 a $500'000.000")</f>
        <v>$400'000.000 a $500'000.000</v>
      </c>
      <c r="H132" s="40"/>
      <c r="I132" s="40"/>
      <c r="J132" s="40" t="str">
        <f>IFERROR(__xludf.DUMMYFUNCTION("""COMPUTED_VALUE"""),"Centro")</f>
        <v>Centro</v>
      </c>
      <c r="K132" s="39" t="str">
        <f>IFERROR(__xludf.DUMMYFUNCTION("""COMPUTED_VALUE"""),"3")</f>
        <v>3</v>
      </c>
      <c r="L132" s="40">
        <f>IFERROR(__xludf.DUMMYFUNCTION("""COMPUTED_VALUE"""),7.0)</f>
        <v>7</v>
      </c>
      <c r="M132" s="40"/>
      <c r="N132" s="40">
        <f>IFERROR(__xludf.DUMMYFUNCTION("""COMPUTED_VALUE"""),4.0)</f>
        <v>4</v>
      </c>
      <c r="O132" s="40">
        <f>IFERROR(__xludf.DUMMYFUNCTION("""COMPUTED_VALUE"""),1.0)</f>
        <v>1</v>
      </c>
      <c r="P132" s="40">
        <f>IFERROR(__xludf.DUMMYFUNCTION("""COMPUTED_VALUE"""),2.0)</f>
        <v>2</v>
      </c>
      <c r="Q132" s="40"/>
      <c r="R132" s="48">
        <f>IFERROR(__xludf.DUMMYFUNCTION("""COMPUTED_VALUE"""),250.0)</f>
        <v>250</v>
      </c>
      <c r="S132" s="39" t="str">
        <f>IFERROR(__xludf.DUMMYFUNCTION("""COMPUTED_VALUE""")," ")</f>
        <v> </v>
      </c>
      <c r="T132" s="40" t="str">
        <f>IFERROR(__xludf.DUMMYFUNCTION("""COMPUTED_VALUE"""),"Neiva")</f>
        <v>Neiva</v>
      </c>
      <c r="U132" s="39" t="str">
        <f>IFERROR(__xludf.DUMMYFUNCTION("""COMPUTED_VALUE"""),"3")</f>
        <v>3</v>
      </c>
      <c r="V132" s="40" t="str">
        <f>IFERROR(__xludf.DUMMYFUNCTION("""COMPUTED_VALUE"""),"Medianera")</f>
        <v>Medianera</v>
      </c>
      <c r="W132" s="46"/>
      <c r="X132" s="46">
        <f>IFERROR(__xludf.DUMMYFUNCTION("""COMPUTED_VALUE"""),0.0)</f>
        <v>0</v>
      </c>
      <c r="Y132" s="40" t="str">
        <f>IFERROR(__xludf.DUMMYFUNCTION("""COMPUTED_VALUE"""),"No tiene")</f>
        <v>No tiene</v>
      </c>
      <c r="Z132" s="42" t="str">
        <f>IFERROR(__xludf.DUMMYFUNCTION("""COMPUTED_VALUE"""),"No aplica")</f>
        <v>No aplica</v>
      </c>
      <c r="AA132" s="49" t="str">
        <f>IFERROR(__xludf.DUMMYFUNCTION("""COMPUTED_VALUE"""),"No aplica")</f>
        <v>No aplica</v>
      </c>
      <c r="AB132" s="48"/>
      <c r="AC132" s="40"/>
      <c r="AD132" s="40"/>
      <c r="AE132" s="40"/>
      <c r="AF132" s="40" t="str">
        <f>IFERROR(__xludf.DUMMYFUNCTION("""COMPUTED_VALUE"""),"semi-integral")</f>
        <v>semi-integral</v>
      </c>
      <c r="AG132" s="40"/>
      <c r="AH132" s="40" t="str">
        <f>IFERROR(__xludf.DUMMYFUNCTION("""COMPUTED_VALUE"""),"Inventario")</f>
        <v>Inventario</v>
      </c>
      <c r="AI132" s="40"/>
      <c r="AJ132" s="40" t="str">
        <f>IFERROR(__xludf.DUMMYFUNCTION("""COMPUTED_VALUE"""),"ICDE")</f>
        <v>ICDE</v>
      </c>
      <c r="AK132" s="40"/>
      <c r="AL132" s="40" t="str">
        <f>IFERROR(__xludf.DUMMYFUNCTION("""COMPUTED_VALUE"""),"NO FOTOS + DESCRIPCION")</f>
        <v>NO FOTOS + DESCRIPCION</v>
      </c>
      <c r="AM132" s="40">
        <f>IFERROR(__xludf.DUMMYFUNCTION("""COMPUTED_VALUE"""),3.18620929E9)</f>
        <v>3186209290</v>
      </c>
      <c r="AN132" s="40">
        <f>IFERROR(__xludf.DUMMYFUNCTION("""COMPUTED_VALUE"""),0.0)</f>
        <v>0</v>
      </c>
      <c r="AO132" s="40"/>
      <c r="AP132" s="40">
        <f>IFERROR(__xludf.DUMMYFUNCTION("""COMPUTED_VALUE"""),0.0)</f>
        <v>0</v>
      </c>
      <c r="AQ132" s="40"/>
      <c r="AR132" s="40"/>
      <c r="AS132" s="40">
        <f>IFERROR(__xludf.DUMMYFUNCTION("""COMPUTED_VALUE"""),0.0)</f>
        <v>0</v>
      </c>
      <c r="AT132" s="40">
        <f>IFERROR(__xludf.DUMMYFUNCTION("""COMPUTED_VALUE"""),0.0)</f>
        <v>0</v>
      </c>
      <c r="AU132" s="40">
        <f>IFERROR(__xludf.DUMMYFUNCTION("""COMPUTED_VALUE"""),0.0)</f>
        <v>0</v>
      </c>
      <c r="AV132" s="40">
        <f>IFERROR(__xludf.DUMMYFUNCTION("""COMPUTED_VALUE"""),0.0)</f>
        <v>0</v>
      </c>
      <c r="AW132" s="40" t="str">
        <f>IFERROR(__xludf.DUMMYFUNCTION("""COMPUTED_VALUE"""),"SI")</f>
        <v>SI</v>
      </c>
      <c r="AX132" s="40">
        <f>IFERROR(__xludf.DUMMYFUNCTION("""COMPUTED_VALUE"""),0.0)</f>
        <v>0</v>
      </c>
      <c r="AY132" s="40">
        <f>IFERROR(__xludf.DUMMYFUNCTION("""COMPUTED_VALUE"""),0.0)</f>
        <v>0</v>
      </c>
      <c r="AZ132" s="40">
        <f>IFERROR(__xludf.DUMMYFUNCTION("""COMPUTED_VALUE"""),0.0)</f>
        <v>0</v>
      </c>
      <c r="BA132" s="40" t="str">
        <f>IFERROR(__xludf.DUMMYFUNCTION("""COMPUTED_VALUE"""),"X")</f>
        <v>X</v>
      </c>
      <c r="BB132" s="40">
        <f>IFERROR(__xludf.DUMMYFUNCTION("""COMPUTED_VALUE"""),0.0)</f>
        <v>0</v>
      </c>
      <c r="BC132" s="53" t="str">
        <f>IFERROR(__xludf.DUMMYFUNCTION("""COMPUTED_VALUE"""),"35 - LUIS ANGEL VARGAS")</f>
        <v>35 - LUIS ANGEL VARGAS</v>
      </c>
      <c r="BD132" s="48"/>
      <c r="BE132" s="48"/>
      <c r="BF132" s="48"/>
    </row>
    <row r="133">
      <c r="A133" s="39" t="str">
        <f>IFERROR(__xludf.DUMMYFUNCTION("""COMPUTED_VALUE"""),"333")</f>
        <v>333</v>
      </c>
      <c r="B133" s="40" t="str">
        <f>IFERROR(__xludf.DUMMYFUNCTION("""COMPUTED_VALUE"""),"Casa con local  en barrio Chapinero")</f>
        <v>Casa con local  en barrio Chapinero</v>
      </c>
      <c r="C133" s="40" t="str">
        <f>IFERROR(__xludf.DUMMYFUNCTION("""COMPUTED_VALUE"""),"Casa rentable")</f>
        <v>Casa rentable</v>
      </c>
      <c r="D133" s="40" t="str">
        <f>IFERROR(__xludf.DUMMYFUNCTION("""COMPUTED_VALUE"""),"Chapinero")</f>
        <v>Chapinero</v>
      </c>
      <c r="E133" s="40"/>
      <c r="F133" s="42">
        <f>IFERROR(__xludf.DUMMYFUNCTION("""COMPUTED_VALUE"""),4.0E8)</f>
        <v>400000000</v>
      </c>
      <c r="G133" s="40" t="str">
        <f>IFERROR(__xludf.DUMMYFUNCTION("""COMPUTED_VALUE"""),"$400'000.000 a $500'000.000")</f>
        <v>$400'000.000 a $500'000.000</v>
      </c>
      <c r="H133" s="40"/>
      <c r="I133" s="40"/>
      <c r="J133" s="40" t="str">
        <f>IFERROR(__xludf.DUMMYFUNCTION("""COMPUTED_VALUE"""),"Centro")</f>
        <v>Centro</v>
      </c>
      <c r="K133" s="39" t="str">
        <f>IFERROR(__xludf.DUMMYFUNCTION("""COMPUTED_VALUE"""),"3")</f>
        <v>3</v>
      </c>
      <c r="L133" s="40">
        <f>IFERROR(__xludf.DUMMYFUNCTION("""COMPUTED_VALUE"""),4.0)</f>
        <v>4</v>
      </c>
      <c r="M133" s="40"/>
      <c r="N133" s="40">
        <f>IFERROR(__xludf.DUMMYFUNCTION("""COMPUTED_VALUE"""),2.0)</f>
        <v>2</v>
      </c>
      <c r="O133" s="40">
        <f>IFERROR(__xludf.DUMMYFUNCTION("""COMPUTED_VALUE"""),1.0)</f>
        <v>1</v>
      </c>
      <c r="P133" s="40">
        <f>IFERROR(__xludf.DUMMYFUNCTION("""COMPUTED_VALUE"""),1.0)</f>
        <v>1</v>
      </c>
      <c r="Q133" s="48">
        <f>IFERROR(__xludf.DUMMYFUNCTION("""COMPUTED_VALUE"""),197.8)</f>
        <v>197.8</v>
      </c>
      <c r="R133" s="48">
        <f>IFERROR(__xludf.DUMMYFUNCTION("""COMPUTED_VALUE"""),197.8)</f>
        <v>197.8</v>
      </c>
      <c r="S133" s="39" t="str">
        <f>IFERROR(__xludf.DUMMYFUNCTION("""COMPUTED_VALUE"""),"Rentabilidad $1,200,000")</f>
        <v>Rentabilidad $1,200,000</v>
      </c>
      <c r="T133" s="40" t="str">
        <f>IFERROR(__xludf.DUMMYFUNCTION("""COMPUTED_VALUE"""),"Neiva")</f>
        <v>Neiva</v>
      </c>
      <c r="U133" s="39" t="str">
        <f>IFERROR(__xludf.DUMMYFUNCTION("""COMPUTED_VALUE"""),"3")</f>
        <v>3</v>
      </c>
      <c r="V133" s="40" t="str">
        <f>IFERROR(__xludf.DUMMYFUNCTION("""COMPUTED_VALUE"""),"Medianera")</f>
        <v>Medianera</v>
      </c>
      <c r="W133" s="46"/>
      <c r="X133" s="46">
        <f>IFERROR(__xludf.DUMMYFUNCTION("""COMPUTED_VALUE"""),0.0)</f>
        <v>0</v>
      </c>
      <c r="Y133" s="40" t="str">
        <f>IFERROR(__xludf.DUMMYFUNCTION("""COMPUTED_VALUE"""),"No tiene")</f>
        <v>No tiene</v>
      </c>
      <c r="Z133" s="42" t="str">
        <f>IFERROR(__xludf.DUMMYFUNCTION("""COMPUTED_VALUE"""),"No aplica")</f>
        <v>No aplica</v>
      </c>
      <c r="AA133" s="49" t="str">
        <f>IFERROR(__xludf.DUMMYFUNCTION("""COMPUTED_VALUE"""),"28 años")</f>
        <v>28 años</v>
      </c>
      <c r="AB133" s="48"/>
      <c r="AC133" s="40"/>
      <c r="AD133" s="40"/>
      <c r="AE133" s="40"/>
      <c r="AF133" s="40" t="str">
        <f>IFERROR(__xludf.DUMMYFUNCTION("""COMPUTED_VALUE"""),"básica")</f>
        <v>básica</v>
      </c>
      <c r="AG133" s="40"/>
      <c r="AH133" s="40" t="str">
        <f>IFERROR(__xludf.DUMMYFUNCTION("""COMPUTED_VALUE"""),"Inventario")</f>
        <v>Inventario</v>
      </c>
      <c r="AI133" s="40"/>
      <c r="AJ133" s="40" t="str">
        <f>IFERROR(__xludf.DUMMYFUNCTION("""COMPUTED_VALUE"""),"ICDE")</f>
        <v>ICDE</v>
      </c>
      <c r="AK133" s="40"/>
      <c r="AL133" s="40" t="str">
        <f>IFERROR(__xludf.DUMMYFUNCTION("""COMPUTED_VALUE"""),"NO FOTOS + DESCRIPCION")</f>
        <v>NO FOTOS + DESCRIPCION</v>
      </c>
      <c r="AM133" s="40">
        <f>IFERROR(__xludf.DUMMYFUNCTION("""COMPUTED_VALUE"""),3.175149903E9)</f>
        <v>3175149903</v>
      </c>
      <c r="AN133" s="40">
        <f>IFERROR(__xludf.DUMMYFUNCTION("""COMPUTED_VALUE"""),0.0)</f>
        <v>0</v>
      </c>
      <c r="AO133" s="40" t="str">
        <f>IFERROR(__xludf.DUMMYFUNCTION("""COMPUTED_VALUE"""),"NANCY")</f>
        <v>NANCY</v>
      </c>
      <c r="AP133" s="40" t="str">
        <f>IFERROR(__xludf.DUMMYFUNCTION("""COMPUTED_VALUE"""),"CARRERA 9 No 19 -08")</f>
        <v>CARRERA 9 No 19 -08</v>
      </c>
      <c r="AQ133" s="40"/>
      <c r="AR133" s="40"/>
      <c r="AS133" s="53">
        <f>IFERROR(__xludf.DUMMYFUNCTION("""COMPUTED_VALUE"""),1200000.0)</f>
        <v>1200000</v>
      </c>
      <c r="AT133" s="40">
        <f>IFERROR(__xludf.DUMMYFUNCTION("""COMPUTED_VALUE"""),0.0)</f>
        <v>0</v>
      </c>
      <c r="AU133" s="40">
        <f>IFERROR(__xludf.DUMMYFUNCTION("""COMPUTED_VALUE"""),0.0)</f>
        <v>0</v>
      </c>
      <c r="AV133" s="40">
        <f>IFERROR(__xludf.DUMMYFUNCTION("""COMPUTED_VALUE"""),0.0)</f>
        <v>0</v>
      </c>
      <c r="AW133" s="40" t="str">
        <f>IFERROR(__xludf.DUMMYFUNCTION("""COMPUTED_VALUE"""),"NO")</f>
        <v>NO</v>
      </c>
      <c r="AX133" s="40">
        <f>IFERROR(__xludf.DUMMYFUNCTION("""COMPUTED_VALUE"""),0.0)</f>
        <v>0</v>
      </c>
      <c r="AY133" s="40">
        <f>IFERROR(__xludf.DUMMYFUNCTION("""COMPUTED_VALUE"""),0.0)</f>
        <v>0</v>
      </c>
      <c r="AZ133" s="40">
        <f>IFERROR(__xludf.DUMMYFUNCTION("""COMPUTED_VALUE"""),8.6)</f>
        <v>8.6</v>
      </c>
      <c r="BA133" s="40" t="str">
        <f>IFERROR(__xludf.DUMMYFUNCTION("""COMPUTED_VALUE"""),"X")</f>
        <v>X</v>
      </c>
      <c r="BB133" s="40">
        <f>IFERROR(__xludf.DUMMYFUNCTION("""COMPUTED_VALUE"""),23.0)</f>
        <v>23</v>
      </c>
      <c r="BC133" s="53"/>
      <c r="BD133" s="48"/>
      <c r="BE133" s="48"/>
      <c r="BF133" s="48"/>
    </row>
    <row r="134">
      <c r="A134" s="39" t="str">
        <f>IFERROR(__xludf.DUMMYFUNCTION("""COMPUTED_VALUE"""),"323")</f>
        <v>323</v>
      </c>
      <c r="B134" s="40" t="str">
        <f>IFERROR(__xludf.DUMMYFUNCTION("""COMPUTED_VALUE"""),"Casa en barrio Los Molinos")</f>
        <v>Casa en barrio Los Molinos</v>
      </c>
      <c r="C134" s="40" t="str">
        <f>IFERROR(__xludf.DUMMYFUNCTION("""COMPUTED_VALUE"""),"Casa")</f>
        <v>Casa</v>
      </c>
      <c r="D134" s="40" t="str">
        <f>IFERROR(__xludf.DUMMYFUNCTION("""COMPUTED_VALUE"""),"Los Molinos")</f>
        <v>Los Molinos</v>
      </c>
      <c r="E134" s="40"/>
      <c r="F134" s="42">
        <f>IFERROR(__xludf.DUMMYFUNCTION("""COMPUTED_VALUE"""),4.0E8)</f>
        <v>400000000</v>
      </c>
      <c r="G134" s="40" t="str">
        <f>IFERROR(__xludf.DUMMYFUNCTION("""COMPUTED_VALUE"""),"$400'000.000 a $500'000.000")</f>
        <v>$400'000.000 a $500'000.000</v>
      </c>
      <c r="H134" s="40"/>
      <c r="I134" s="40"/>
      <c r="J134" s="40" t="str">
        <f>IFERROR(__xludf.DUMMYFUNCTION("""COMPUTED_VALUE"""),"Norte")</f>
        <v>Norte</v>
      </c>
      <c r="K134" s="39" t="str">
        <f>IFERROR(__xludf.DUMMYFUNCTION("""COMPUTED_VALUE"""),"2")</f>
        <v>2</v>
      </c>
      <c r="L134" s="40">
        <f>IFERROR(__xludf.DUMMYFUNCTION("""COMPUTED_VALUE"""),5.0)</f>
        <v>5</v>
      </c>
      <c r="M134" s="40"/>
      <c r="N134" s="40">
        <f>IFERROR(__xludf.DUMMYFUNCTION("""COMPUTED_VALUE"""),4.0)</f>
        <v>4</v>
      </c>
      <c r="O134" s="40">
        <f>IFERROR(__xludf.DUMMYFUNCTION("""COMPUTED_VALUE"""),1.0)</f>
        <v>1</v>
      </c>
      <c r="P134" s="40">
        <f>IFERROR(__xludf.DUMMYFUNCTION("""COMPUTED_VALUE"""),2.0)</f>
        <v>2</v>
      </c>
      <c r="Q134" s="48">
        <f>IFERROR(__xludf.DUMMYFUNCTION("""COMPUTED_VALUE"""),180.0)</f>
        <v>180</v>
      </c>
      <c r="R134" s="48">
        <f>IFERROR(__xludf.DUMMYFUNCTION("""COMPUTED_VALUE"""),98.0)</f>
        <v>98</v>
      </c>
      <c r="S134" s="39" t="str">
        <f>IFERROR(__xludf.DUMMYFUNCTION("""COMPUTED_VALUE""")," ")</f>
        <v> </v>
      </c>
      <c r="T134" s="40" t="str">
        <f>IFERROR(__xludf.DUMMYFUNCTION("""COMPUTED_VALUE"""),"Neiva")</f>
        <v>Neiva</v>
      </c>
      <c r="U134" s="39" t="str">
        <f>IFERROR(__xludf.DUMMYFUNCTION("""COMPUTED_VALUE"""),"3")</f>
        <v>3</v>
      </c>
      <c r="V134" s="40" t="str">
        <f>IFERROR(__xludf.DUMMYFUNCTION("""COMPUTED_VALUE"""),"Medianera")</f>
        <v>Medianera</v>
      </c>
      <c r="W134" s="46"/>
      <c r="X134" s="46">
        <f>IFERROR(__xludf.DUMMYFUNCTION("""COMPUTED_VALUE"""),4.0)</f>
        <v>4</v>
      </c>
      <c r="Y134" s="40" t="str">
        <f>IFERROR(__xludf.DUMMYFUNCTION("""COMPUTED_VALUE"""),"No tiene")</f>
        <v>No tiene</v>
      </c>
      <c r="Z134" s="42" t="str">
        <f>IFERROR(__xludf.DUMMYFUNCTION("""COMPUTED_VALUE"""),"No aplica")</f>
        <v>No aplica</v>
      </c>
      <c r="AA134" s="49" t="str">
        <f>IFERROR(__xludf.DUMMYFUNCTION("""COMPUTED_VALUE"""),"No aplica")</f>
        <v>No aplica</v>
      </c>
      <c r="AB134" s="105" t="str">
        <f>IFERROR(__xludf.DUMMYFUNCTION("""COMPUTED_VALUE"""),"https://photos.app.goo.gl/dZafvs2VqV8t3a9aA")</f>
        <v>https://photos.app.goo.gl/dZafvs2VqV8t3a9aA</v>
      </c>
      <c r="AC134" s="40"/>
      <c r="AD134" s="40"/>
      <c r="AE134" s="40"/>
      <c r="AF134" s="40" t="str">
        <f>IFERROR(__xludf.DUMMYFUNCTION("""COMPUTED_VALUE"""),"integral")</f>
        <v>integral</v>
      </c>
      <c r="AG134" s="40"/>
      <c r="AH134" s="40" t="str">
        <f>IFERROR(__xludf.DUMMYFUNCTION("""COMPUTED_VALUE"""),"Inventario")</f>
        <v>Inventario</v>
      </c>
      <c r="AI134" s="40"/>
      <c r="AJ134" s="40" t="str">
        <f>IFERROR(__xludf.DUMMYFUNCTION("""COMPUTED_VALUE"""),"ICDE")</f>
        <v>ICDE</v>
      </c>
      <c r="AK134" s="40"/>
      <c r="AL134" s="40" t="str">
        <f>IFERROR(__xludf.DUMMYFUNCTION("""COMPUTED_VALUE"""),"NO FOTOS + DESCRIPCION")</f>
        <v>NO FOTOS + DESCRIPCION</v>
      </c>
      <c r="AM134" s="40">
        <f>IFERROR(__xludf.DUMMYFUNCTION("""COMPUTED_VALUE"""),3.114816802E9)</f>
        <v>3114816802</v>
      </c>
      <c r="AN134" s="40"/>
      <c r="AO134" s="40" t="str">
        <f>IFERROR(__xludf.DUMMYFUNCTION("""COMPUTED_VALUE"""),"GINNA PAOLA - Hija propietaria")</f>
        <v>GINNA PAOLA - Hija propietaria</v>
      </c>
      <c r="AP134" s="40" t="str">
        <f>IFERROR(__xludf.DUMMYFUNCTION("""COMPUTED_VALUE"""),"CALLE 36 No. 8 F - 61")</f>
        <v>CALLE 36 No. 8 F - 61</v>
      </c>
      <c r="AQ134" s="40"/>
      <c r="AR134" s="40"/>
      <c r="AS134" s="53">
        <f>IFERROR(__xludf.DUMMYFUNCTION("""COMPUTED_VALUE"""),0.0)</f>
        <v>0</v>
      </c>
      <c r="AT134" s="40">
        <f>IFERROR(__xludf.DUMMYFUNCTION("""COMPUTED_VALUE"""),0.0)</f>
        <v>0</v>
      </c>
      <c r="AU134" s="40">
        <f>IFERROR(__xludf.DUMMYFUNCTION("""COMPUTED_VALUE"""),0.0)</f>
        <v>0</v>
      </c>
      <c r="AV134" s="40">
        <f>IFERROR(__xludf.DUMMYFUNCTION("""COMPUTED_VALUE"""),0.0)</f>
        <v>0</v>
      </c>
      <c r="AW134" s="40" t="str">
        <f>IFERROR(__xludf.DUMMYFUNCTION("""COMPUTED_VALUE"""),"NO")</f>
        <v>NO</v>
      </c>
      <c r="AX134" s="40">
        <f>IFERROR(__xludf.DUMMYFUNCTION("""COMPUTED_VALUE"""),0.0)</f>
        <v>0</v>
      </c>
      <c r="AY134" s="40">
        <f>IFERROR(__xludf.DUMMYFUNCTION("""COMPUTED_VALUE"""),0.0)</f>
        <v>0</v>
      </c>
      <c r="AZ134" s="40">
        <f>IFERROR(__xludf.DUMMYFUNCTION("""COMPUTED_VALUE"""),7.0)</f>
        <v>7</v>
      </c>
      <c r="BA134" s="40" t="str">
        <f>IFERROR(__xludf.DUMMYFUNCTION("""COMPUTED_VALUE"""),"X")</f>
        <v>X</v>
      </c>
      <c r="BB134" s="40">
        <f>IFERROR(__xludf.DUMMYFUNCTION("""COMPUTED_VALUE"""),14.0)</f>
        <v>14</v>
      </c>
      <c r="BC134" s="53"/>
      <c r="BD134" s="48"/>
      <c r="BE134" s="48"/>
      <c r="BF134" s="48" t="str">
        <f>IFERROR(__xludf.DUMMYFUNCTION("""COMPUTED_VALUE"""),"❌ Error: HTTP 404 para: https://photos.google.com/share/AF1QipNr2D3n9H427NkjKyKcE9OAQVrPeSmcP_qR37HDRGgb7drBAkIWflBwMnfZq4tWKQ?key=Q3RMaUxOeFJGR0lxdGpQRzBiT0taeVZMeVRXaXB3")</f>
        <v>❌ Error: HTTP 404 para: https://photos.google.com/share/AF1QipNr2D3n9H427NkjKyKcE9OAQVrPeSmcP_qR37HDRGgb7drBAkIWflBwMnfZq4tWKQ?key=Q3RMaUxOeFJGR0lxdGpQRzBiT0taeVZMeVRXaXB3</v>
      </c>
    </row>
    <row r="135">
      <c r="A135" s="39" t="str">
        <f>IFERROR(__xludf.DUMMYFUNCTION("""COMPUTED_VALUE"""),"311")</f>
        <v>311</v>
      </c>
      <c r="B135" s="40" t="str">
        <f>IFERROR(__xludf.DUMMYFUNCTION("""COMPUTED_VALUE"""),"Casa con dos locales en barrio Las Granjas")</f>
        <v>Casa con dos locales en barrio Las Granjas</v>
      </c>
      <c r="C135" s="40" t="str">
        <f>IFERROR(__xludf.DUMMYFUNCTION("""COMPUTED_VALUE"""),"Casa rentable")</f>
        <v>Casa rentable</v>
      </c>
      <c r="D135" s="40" t="str">
        <f>IFERROR(__xludf.DUMMYFUNCTION("""COMPUTED_VALUE"""),"Las Granjas")</f>
        <v>Las Granjas</v>
      </c>
      <c r="E135" s="40"/>
      <c r="F135" s="42">
        <f>IFERROR(__xludf.DUMMYFUNCTION("""COMPUTED_VALUE"""),4.0E8)</f>
        <v>400000000</v>
      </c>
      <c r="G135" s="40" t="str">
        <f>IFERROR(__xludf.DUMMYFUNCTION("""COMPUTED_VALUE"""),"$400'000.000 a $500'000.000")</f>
        <v>$400'000.000 a $500'000.000</v>
      </c>
      <c r="H135" s="40"/>
      <c r="I135" s="40"/>
      <c r="J135" s="40" t="str">
        <f>IFERROR(__xludf.DUMMYFUNCTION("""COMPUTED_VALUE"""),"Norte")</f>
        <v>Norte</v>
      </c>
      <c r="K135" s="39" t="str">
        <f>IFERROR(__xludf.DUMMYFUNCTION("""COMPUTED_VALUE"""),"2")</f>
        <v>2</v>
      </c>
      <c r="L135" s="40">
        <f>IFERROR(__xludf.DUMMYFUNCTION("""COMPUTED_VALUE"""),4.0)</f>
        <v>4</v>
      </c>
      <c r="M135" s="40"/>
      <c r="N135" s="40">
        <f>IFERROR(__xludf.DUMMYFUNCTION("""COMPUTED_VALUE"""),5.0)</f>
        <v>5</v>
      </c>
      <c r="O135" s="40">
        <f>IFERROR(__xludf.DUMMYFUNCTION("""COMPUTED_VALUE"""),1.0)</f>
        <v>1</v>
      </c>
      <c r="P135" s="40">
        <f>IFERROR(__xludf.DUMMYFUNCTION("""COMPUTED_VALUE"""),1.0)</f>
        <v>1</v>
      </c>
      <c r="Q135" s="48">
        <f>IFERROR(__xludf.DUMMYFUNCTION("""COMPUTED_VALUE"""),380.0)</f>
        <v>380</v>
      </c>
      <c r="R135" s="48">
        <f>IFERROR(__xludf.DUMMYFUNCTION("""COMPUTED_VALUE"""),400.0)</f>
        <v>400</v>
      </c>
      <c r="S135" s="39" t="str">
        <f>IFERROR(__xludf.DUMMYFUNCTION("""COMPUTED_VALUE"""),"Rentabilidad $1,500,000")</f>
        <v>Rentabilidad $1,500,000</v>
      </c>
      <c r="T135" s="40" t="str">
        <f>IFERROR(__xludf.DUMMYFUNCTION("""COMPUTED_VALUE"""),"Neiva")</f>
        <v>Neiva</v>
      </c>
      <c r="U135" s="39" t="str">
        <f>IFERROR(__xludf.DUMMYFUNCTION("""COMPUTED_VALUE"""),"2")</f>
        <v>2</v>
      </c>
      <c r="V135" s="40" t="str">
        <f>IFERROR(__xludf.DUMMYFUNCTION("""COMPUTED_VALUE"""),"Medianera")</f>
        <v>Medianera</v>
      </c>
      <c r="W135" s="46"/>
      <c r="X135" s="46">
        <f>IFERROR(__xludf.DUMMYFUNCTION("""COMPUTED_VALUE"""),0.0)</f>
        <v>0</v>
      </c>
      <c r="Y135" s="40" t="str">
        <f>IFERROR(__xludf.DUMMYFUNCTION("""COMPUTED_VALUE"""),"No tiene")</f>
        <v>No tiene</v>
      </c>
      <c r="Z135" s="42" t="str">
        <f>IFERROR(__xludf.DUMMYFUNCTION("""COMPUTED_VALUE"""),"No aplica")</f>
        <v>No aplica</v>
      </c>
      <c r="AA135" s="49" t="str">
        <f>IFERROR(__xludf.DUMMYFUNCTION("""COMPUTED_VALUE"""),"22 años")</f>
        <v>22 años</v>
      </c>
      <c r="AB135" s="48"/>
      <c r="AC135" s="40"/>
      <c r="AD135" s="40"/>
      <c r="AE135" s="40"/>
      <c r="AF135" s="40" t="str">
        <f>IFERROR(__xludf.DUMMYFUNCTION("""COMPUTED_VALUE"""),"integral")</f>
        <v>integral</v>
      </c>
      <c r="AG135" s="40"/>
      <c r="AH135" s="40" t="str">
        <f>IFERROR(__xludf.DUMMYFUNCTION("""COMPUTED_VALUE"""),"Inventario")</f>
        <v>Inventario</v>
      </c>
      <c r="AI135" s="40"/>
      <c r="AJ135" s="40" t="str">
        <f>IFERROR(__xludf.DUMMYFUNCTION("""COMPUTED_VALUE"""),"ICDE")</f>
        <v>ICDE</v>
      </c>
      <c r="AK135" s="40"/>
      <c r="AL135" s="40" t="str">
        <f>IFERROR(__xludf.DUMMYFUNCTION("""COMPUTED_VALUE"""),"NO FOTOS + DESCRIPCION")</f>
        <v>NO FOTOS + DESCRIPCION</v>
      </c>
      <c r="AM135" s="40">
        <f>IFERROR(__xludf.DUMMYFUNCTION("""COMPUTED_VALUE"""),3.218421304E9)</f>
        <v>3218421304</v>
      </c>
      <c r="AN135" s="40" t="str">
        <f>IFERROR(__xludf.DUMMYFUNCTION("""COMPUTED_VALUE"""),"3124238454 - 3202335251")</f>
        <v>3124238454 - 3202335251</v>
      </c>
      <c r="AO135" s="40" t="str">
        <f>IFERROR(__xludf.DUMMYFUNCTION("""COMPUTED_VALUE"""),"BETZI SALINAS-HIJA DEL PROPIETARIO")</f>
        <v>BETZI SALINAS-HIJA DEL PROPIETARIO</v>
      </c>
      <c r="AP135" s="40" t="str">
        <f>IFERROR(__xludf.DUMMYFUNCTION("""COMPUTED_VALUE"""),"CARRERA 6 No. 42 - 12")</f>
        <v>CARRERA 6 No. 42 - 12</v>
      </c>
      <c r="AQ135" s="40"/>
      <c r="AR135" s="40"/>
      <c r="AS135" s="53">
        <f>IFERROR(__xludf.DUMMYFUNCTION("""COMPUTED_VALUE"""),1500000.0)</f>
        <v>1500000</v>
      </c>
      <c r="AT135" s="40">
        <f>IFERROR(__xludf.DUMMYFUNCTION("""COMPUTED_VALUE"""),0.0)</f>
        <v>0</v>
      </c>
      <c r="AU135" s="40">
        <f>IFERROR(__xludf.DUMMYFUNCTION("""COMPUTED_VALUE"""),0.0)</f>
        <v>0</v>
      </c>
      <c r="AV135" s="40">
        <f>IFERROR(__xludf.DUMMYFUNCTION("""COMPUTED_VALUE"""),0.0)</f>
        <v>0</v>
      </c>
      <c r="AW135" s="40" t="str">
        <f>IFERROR(__xludf.DUMMYFUNCTION("""COMPUTED_VALUE"""),"SI")</f>
        <v>SI</v>
      </c>
      <c r="AX135" s="40">
        <f>IFERROR(__xludf.DUMMYFUNCTION("""COMPUTED_VALUE"""),0.0)</f>
        <v>0</v>
      </c>
      <c r="AY135" s="40" t="str">
        <f>IFERROR(__xludf.DUMMYFUNCTION("""COMPUTED_VALUE"""),"SI")</f>
        <v>SI</v>
      </c>
      <c r="AZ135" s="40">
        <f>IFERROR(__xludf.DUMMYFUNCTION("""COMPUTED_VALUE"""),10.0)</f>
        <v>10</v>
      </c>
      <c r="BA135" s="40" t="str">
        <f>IFERROR(__xludf.DUMMYFUNCTION("""COMPUTED_VALUE"""),"X")</f>
        <v>X</v>
      </c>
      <c r="BB135" s="40">
        <f>IFERROR(__xludf.DUMMYFUNCTION("""COMPUTED_VALUE"""),40.0)</f>
        <v>40</v>
      </c>
      <c r="BC135" s="53" t="str">
        <f>IFERROR(__xludf.DUMMYFUNCTION("""COMPUTED_VALUE"""),"15 - JOSE LOZANO")</f>
        <v>15 - JOSE LOZANO</v>
      </c>
      <c r="BD135" s="48"/>
      <c r="BE135" s="48"/>
      <c r="BF135" s="48"/>
    </row>
    <row r="136">
      <c r="A136" s="39" t="str">
        <f>IFERROR(__xludf.DUMMYFUNCTION("""COMPUTED_VALUE"""),"285")</f>
        <v>285</v>
      </c>
      <c r="B136" s="40" t="str">
        <f>IFERROR(__xludf.DUMMYFUNCTION("""COMPUTED_VALUE"""),"Lote en barrio La Toma")</f>
        <v>Lote en barrio La Toma</v>
      </c>
      <c r="C136" s="40" t="str">
        <f>IFERROR(__xludf.DUMMYFUNCTION("""COMPUTED_VALUE"""),"Lote")</f>
        <v>Lote</v>
      </c>
      <c r="D136" s="40" t="str">
        <f>IFERROR(__xludf.DUMMYFUNCTION("""COMPUTED_VALUE"""),"La Toma")</f>
        <v>La Toma</v>
      </c>
      <c r="E136" s="40"/>
      <c r="F136" s="42">
        <f>IFERROR(__xludf.DUMMYFUNCTION("""COMPUTED_VALUE"""),4.0E8)</f>
        <v>400000000</v>
      </c>
      <c r="G136" s="40" t="str">
        <f>IFERROR(__xludf.DUMMYFUNCTION("""COMPUTED_VALUE"""),"$400'000.000 a $500'000.000")</f>
        <v>$400'000.000 a $500'000.000</v>
      </c>
      <c r="H136" s="40"/>
      <c r="I136" s="40"/>
      <c r="J136" s="40" t="str">
        <f>IFERROR(__xludf.DUMMYFUNCTION("""COMPUTED_VALUE"""),"Centro")</f>
        <v>Centro</v>
      </c>
      <c r="K136" s="39" t="str">
        <f>IFERROR(__xludf.DUMMYFUNCTION("""COMPUTED_VALUE"""),"3")</f>
        <v>3</v>
      </c>
      <c r="L136" s="40">
        <f>IFERROR(__xludf.DUMMYFUNCTION("""COMPUTED_VALUE"""),0.0)</f>
        <v>0</v>
      </c>
      <c r="M136" s="40"/>
      <c r="N136" s="40">
        <f>IFERROR(__xludf.DUMMYFUNCTION("""COMPUTED_VALUE"""),0.0)</f>
        <v>0</v>
      </c>
      <c r="O136" s="40">
        <f>IFERROR(__xludf.DUMMYFUNCTION("""COMPUTED_VALUE"""),0.0)</f>
        <v>0</v>
      </c>
      <c r="P136" s="40">
        <f>IFERROR(__xludf.DUMMYFUNCTION("""COMPUTED_VALUE"""),0.0)</f>
        <v>0</v>
      </c>
      <c r="Q136" s="48"/>
      <c r="R136" s="48">
        <f>IFERROR(__xludf.DUMMYFUNCTION("""COMPUTED_VALUE"""),0.0)</f>
        <v>0</v>
      </c>
      <c r="S136" s="39" t="str">
        <f>IFERROR(__xludf.DUMMYFUNCTION("""COMPUTED_VALUE""")," ")</f>
        <v> </v>
      </c>
      <c r="T136" s="40" t="str">
        <f>IFERROR(__xludf.DUMMYFUNCTION("""COMPUTED_VALUE"""),"Neiva")</f>
        <v>Neiva</v>
      </c>
      <c r="U136" s="39" t="str">
        <f>IFERROR(__xludf.DUMMYFUNCTION("""COMPUTED_VALUE"""),"4")</f>
        <v>4</v>
      </c>
      <c r="V136" s="40" t="str">
        <f>IFERROR(__xludf.DUMMYFUNCTION("""COMPUTED_VALUE"""),"Medianera")</f>
        <v>Medianera</v>
      </c>
      <c r="W136" s="46"/>
      <c r="X136" s="46">
        <f>IFERROR(__xludf.DUMMYFUNCTION("""COMPUTED_VALUE"""),0.0)</f>
        <v>0</v>
      </c>
      <c r="Y136" s="40" t="str">
        <f>IFERROR(__xludf.DUMMYFUNCTION("""COMPUTED_VALUE"""),"No tiene")</f>
        <v>No tiene</v>
      </c>
      <c r="Z136" s="42" t="str">
        <f>IFERROR(__xludf.DUMMYFUNCTION("""COMPUTED_VALUE"""),"No aplica")</f>
        <v>No aplica</v>
      </c>
      <c r="AA136" s="49" t="str">
        <f>IFERROR(__xludf.DUMMYFUNCTION("""COMPUTED_VALUE"""),"No aplica")</f>
        <v>No aplica</v>
      </c>
      <c r="AB136" s="48"/>
      <c r="AC136" s="40"/>
      <c r="AD136" s="40"/>
      <c r="AE136" s="40"/>
      <c r="AF136" s="40" t="str">
        <f>IFERROR(__xludf.DUMMYFUNCTION("""COMPUTED_VALUE"""),"0")</f>
        <v>0</v>
      </c>
      <c r="AG136" s="40"/>
      <c r="AH136" s="40" t="str">
        <f>IFERROR(__xludf.DUMMYFUNCTION("""COMPUTED_VALUE"""),"Inventario")</f>
        <v>Inventario</v>
      </c>
      <c r="AI136" s="40"/>
      <c r="AJ136" s="40" t="str">
        <f>IFERROR(__xludf.DUMMYFUNCTION("""COMPUTED_VALUE"""),"ICDE")</f>
        <v>ICDE</v>
      </c>
      <c r="AK136" s="40"/>
      <c r="AL136" s="40" t="str">
        <f>IFERROR(__xludf.DUMMYFUNCTION("""COMPUTED_VALUE"""),"NO FOTOS + DESCRIPCION")</f>
        <v>NO FOTOS + DESCRIPCION</v>
      </c>
      <c r="AM136" s="40">
        <f>IFERROR(__xludf.DUMMYFUNCTION("""COMPUTED_VALUE"""),3.008598751E9)</f>
        <v>3008598751</v>
      </c>
      <c r="AN136" s="40">
        <f>IFERROR(__xludf.DUMMYFUNCTION("""COMPUTED_VALUE"""),3.219260325E9)</f>
        <v>3219260325</v>
      </c>
      <c r="AO136" s="40" t="str">
        <f>IFERROR(__xludf.DUMMYFUNCTION("""COMPUTED_VALUE"""),"GONZALO Y HERMANOS CANADA")</f>
        <v>GONZALO Y HERMANOS CANADA</v>
      </c>
      <c r="AP136" s="40" t="str">
        <f>IFERROR(__xludf.DUMMYFUNCTION("""COMPUTED_VALUE"""),"Calle 12 NO. 8 B - 29")</f>
        <v>Calle 12 NO. 8 B - 29</v>
      </c>
      <c r="AQ136" s="40"/>
      <c r="AR136" s="40"/>
      <c r="AS136" s="53">
        <f>IFERROR(__xludf.DUMMYFUNCTION("""COMPUTED_VALUE"""),0.0)</f>
        <v>0</v>
      </c>
      <c r="AT136" s="40">
        <f>IFERROR(__xludf.DUMMYFUNCTION("""COMPUTED_VALUE"""),0.0)</f>
        <v>0</v>
      </c>
      <c r="AU136" s="40">
        <f>IFERROR(__xludf.DUMMYFUNCTION("""COMPUTED_VALUE"""),0.0)</f>
        <v>0</v>
      </c>
      <c r="AV136" s="40">
        <f>IFERROR(__xludf.DUMMYFUNCTION("""COMPUTED_VALUE"""),0.0)</f>
        <v>0</v>
      </c>
      <c r="AW136" s="40" t="str">
        <f>IFERROR(__xludf.DUMMYFUNCTION("""COMPUTED_VALUE"""),"NO")</f>
        <v>NO</v>
      </c>
      <c r="AX136" s="40">
        <f>IFERROR(__xludf.DUMMYFUNCTION("""COMPUTED_VALUE"""),0.0)</f>
        <v>0</v>
      </c>
      <c r="AY136" s="40">
        <f>IFERROR(__xludf.DUMMYFUNCTION("""COMPUTED_VALUE"""),0.0)</f>
        <v>0</v>
      </c>
      <c r="AZ136" s="40">
        <f>IFERROR(__xludf.DUMMYFUNCTION("""COMPUTED_VALUE"""),0.0)</f>
        <v>0</v>
      </c>
      <c r="BA136" s="40" t="str">
        <f>IFERROR(__xludf.DUMMYFUNCTION("""COMPUTED_VALUE"""),"X")</f>
        <v>X</v>
      </c>
      <c r="BB136" s="40">
        <f>IFERROR(__xludf.DUMMYFUNCTION("""COMPUTED_VALUE"""),0.0)</f>
        <v>0</v>
      </c>
      <c r="BC136" s="53"/>
      <c r="BD136" s="48"/>
      <c r="BE136" s="48"/>
      <c r="BF136" s="48"/>
    </row>
    <row r="137">
      <c r="A137" s="39" t="str">
        <f>IFERROR(__xludf.DUMMYFUNCTION("""COMPUTED_VALUE"""),"204")</f>
        <v>204</v>
      </c>
      <c r="B137" s="40" t="str">
        <f>IFERROR(__xludf.DUMMYFUNCTION("""COMPUTED_VALUE"""),"Casa con un apartamento y un local en barrio Alamos Norte ")</f>
        <v>Casa con un apartamento y un local en barrio Alamos Norte </v>
      </c>
      <c r="C137" s="40" t="str">
        <f>IFERROR(__xludf.DUMMYFUNCTION("""COMPUTED_VALUE"""),"Casa rentable")</f>
        <v>Casa rentable</v>
      </c>
      <c r="D137" s="40" t="str">
        <f>IFERROR(__xludf.DUMMYFUNCTION("""COMPUTED_VALUE"""),"Alamos Norte ")</f>
        <v>Alamos Norte </v>
      </c>
      <c r="E137" s="42" t="str">
        <f>IFERROR(__xludf.DUMMYFUNCTION("""COMPUTED_VALUE""")," ")</f>
        <v> </v>
      </c>
      <c r="F137" s="42">
        <f>IFERROR(__xludf.DUMMYFUNCTION("""COMPUTED_VALUE"""),4.0E8)</f>
        <v>400000000</v>
      </c>
      <c r="G137" s="40" t="str">
        <f>IFERROR(__xludf.DUMMYFUNCTION("""COMPUTED_VALUE"""),"$400'000.000 a $500'000.000")</f>
        <v>$400'000.000 a $500'000.000</v>
      </c>
      <c r="H137" s="40"/>
      <c r="I137" s="40"/>
      <c r="J137" s="40" t="str">
        <f>IFERROR(__xludf.DUMMYFUNCTION("""COMPUTED_VALUE"""),"Norte")</f>
        <v>Norte</v>
      </c>
      <c r="K137" s="39"/>
      <c r="L137" s="40">
        <f>IFERROR(__xludf.DUMMYFUNCTION("""COMPUTED_VALUE"""),2.0)</f>
        <v>2</v>
      </c>
      <c r="M137" s="40"/>
      <c r="N137" s="40">
        <f>IFERROR(__xludf.DUMMYFUNCTION("""COMPUTED_VALUE"""),3.0)</f>
        <v>3</v>
      </c>
      <c r="O137" s="40">
        <f>IFERROR(__xludf.DUMMYFUNCTION("""COMPUTED_VALUE"""),2.0)</f>
        <v>2</v>
      </c>
      <c r="P137" s="40">
        <f>IFERROR(__xludf.DUMMYFUNCTION("""COMPUTED_VALUE"""),1.0)</f>
        <v>1</v>
      </c>
      <c r="Q137" s="48"/>
      <c r="R137" s="48">
        <f>IFERROR(__xludf.DUMMYFUNCTION("""COMPUTED_VALUE"""),176.0)</f>
        <v>176</v>
      </c>
      <c r="S137" s="39" t="str">
        <f>IFERROR(__xludf.DUMMYFUNCTION("""COMPUTED_VALUE"""),"Rentabilidad $3,000,000")</f>
        <v>Rentabilidad $3,000,000</v>
      </c>
      <c r="T137" s="40" t="str">
        <f>IFERROR(__xludf.DUMMYFUNCTION("""COMPUTED_VALUE"""),"Neiva")</f>
        <v>Neiva</v>
      </c>
      <c r="U137" s="39" t="str">
        <f>IFERROR(__xludf.DUMMYFUNCTION("""COMPUTED_VALUE"""),"2")</f>
        <v>2</v>
      </c>
      <c r="V137" s="40" t="str">
        <f>IFERROR(__xludf.DUMMYFUNCTION("""COMPUTED_VALUE"""),"Medianera")</f>
        <v>Medianera</v>
      </c>
      <c r="W137" s="46"/>
      <c r="X137" s="46">
        <f>IFERROR(__xludf.DUMMYFUNCTION("""COMPUTED_VALUE"""),1.0)</f>
        <v>1</v>
      </c>
      <c r="Y137" s="40" t="str">
        <f>IFERROR(__xludf.DUMMYFUNCTION("""COMPUTED_VALUE"""),"No tiene")</f>
        <v>No tiene</v>
      </c>
      <c r="Z137" s="42" t="str">
        <f>IFERROR(__xludf.DUMMYFUNCTION("""COMPUTED_VALUE"""),"No aplica")</f>
        <v>No aplica</v>
      </c>
      <c r="AA137" s="49" t="str">
        <f>IFERROR(__xludf.DUMMYFUNCTION("""COMPUTED_VALUE"""),"11 años")</f>
        <v>11 años</v>
      </c>
      <c r="AB137" s="48"/>
      <c r="AC137" s="40"/>
      <c r="AD137" s="40"/>
      <c r="AE137" s="40"/>
      <c r="AF137" s="40" t="str">
        <f>IFERROR(__xludf.DUMMYFUNCTION("""COMPUTED_VALUE"""),"integral")</f>
        <v>integral</v>
      </c>
      <c r="AG137" s="40"/>
      <c r="AH137" s="40" t="str">
        <f>IFERROR(__xludf.DUMMYFUNCTION("""COMPUTED_VALUE"""),"Inventario")</f>
        <v>Inventario</v>
      </c>
      <c r="AI137" s="40"/>
      <c r="AJ137" s="40" t="str">
        <f>IFERROR(__xludf.DUMMYFUNCTION("""COMPUTED_VALUE"""),"ICDE")</f>
        <v>ICDE</v>
      </c>
      <c r="AK137" s="40"/>
      <c r="AL137" s="40" t="str">
        <f>IFERROR(__xludf.DUMMYFUNCTION("""COMPUTED_VALUE"""),"NO FOTOS + DESCRIPCION")</f>
        <v>NO FOTOS + DESCRIPCION</v>
      </c>
      <c r="AM137" s="40">
        <f>IFERROR(__xludf.DUMMYFUNCTION("""COMPUTED_VALUE"""),3.187934219E9)</f>
        <v>3187934219</v>
      </c>
      <c r="AN137" s="40">
        <f>IFERROR(__xludf.DUMMYFUNCTION("""COMPUTED_VALUE"""),3.16617518E9)</f>
        <v>3166175180</v>
      </c>
      <c r="AO137" s="40" t="str">
        <f>IFERROR(__xludf.DUMMYFUNCTION("""COMPUTED_VALUE"""),"ANDRES")</f>
        <v>ANDRES</v>
      </c>
      <c r="AP137" s="40" t="str">
        <f>IFERROR(__xludf.DUMMYFUNCTION("""COMPUTED_VALUE"""),"AV. 16 NO. 50 - 33")</f>
        <v>AV. 16 NO. 50 - 33</v>
      </c>
      <c r="AQ137" s="40"/>
      <c r="AR137" s="40"/>
      <c r="AS137" s="53">
        <f>IFERROR(__xludf.DUMMYFUNCTION("""COMPUTED_VALUE"""),3000000.0)</f>
        <v>3000000</v>
      </c>
      <c r="AT137" s="40">
        <f>IFERROR(__xludf.DUMMYFUNCTION("""COMPUTED_VALUE"""),0.0)</f>
        <v>0</v>
      </c>
      <c r="AU137" s="40">
        <f>IFERROR(__xludf.DUMMYFUNCTION("""COMPUTED_VALUE"""),0.0)</f>
        <v>0</v>
      </c>
      <c r="AV137" s="40">
        <f>IFERROR(__xludf.DUMMYFUNCTION("""COMPUTED_VALUE"""),0.0)</f>
        <v>0</v>
      </c>
      <c r="AW137" s="40" t="str">
        <f>IFERROR(__xludf.DUMMYFUNCTION("""COMPUTED_VALUE"""),"NO")</f>
        <v>NO</v>
      </c>
      <c r="AX137" s="40">
        <f>IFERROR(__xludf.DUMMYFUNCTION("""COMPUTED_VALUE"""),0.0)</f>
        <v>0</v>
      </c>
      <c r="AY137" s="40">
        <f>IFERROR(__xludf.DUMMYFUNCTION("""COMPUTED_VALUE"""),0.0)</f>
        <v>0</v>
      </c>
      <c r="AZ137" s="40">
        <f>IFERROR(__xludf.DUMMYFUNCTION("""COMPUTED_VALUE"""),8.0)</f>
        <v>8</v>
      </c>
      <c r="BA137" s="40" t="str">
        <f>IFERROR(__xludf.DUMMYFUNCTION("""COMPUTED_VALUE"""),"X")</f>
        <v>X</v>
      </c>
      <c r="BB137" s="40">
        <f>IFERROR(__xludf.DUMMYFUNCTION("""COMPUTED_VALUE"""),22.0)</f>
        <v>22</v>
      </c>
      <c r="BC137" s="53" t="str">
        <f>IFERROR(__xludf.DUMMYFUNCTION("""COMPUTED_VALUE"""),"3 - INMOBILIARIA JOVEL")</f>
        <v>3 - INMOBILIARIA JOVEL</v>
      </c>
      <c r="BD137" s="48"/>
      <c r="BE137" s="48"/>
      <c r="BF137" s="48"/>
    </row>
    <row r="138">
      <c r="A138" s="39" t="str">
        <f>IFERROR(__xludf.DUMMYFUNCTION("""COMPUTED_VALUE"""),"190")</f>
        <v>190</v>
      </c>
      <c r="B138" s="40" t="str">
        <f>IFERROR(__xludf.DUMMYFUNCTION("""COMPUTED_VALUE"""),"Casa en barrio Campo Nuñez ")</f>
        <v>Casa en barrio Campo Nuñez </v>
      </c>
      <c r="C138" s="40" t="str">
        <f>IFERROR(__xludf.DUMMYFUNCTION("""COMPUTED_VALUE"""),"Casa")</f>
        <v>Casa</v>
      </c>
      <c r="D138" s="40" t="str">
        <f>IFERROR(__xludf.DUMMYFUNCTION("""COMPUTED_VALUE"""),"Campo Nuñez ")</f>
        <v>Campo Nuñez </v>
      </c>
      <c r="E138" s="42" t="str">
        <f>IFERROR(__xludf.DUMMYFUNCTION("""COMPUTED_VALUE""")," ")</f>
        <v> </v>
      </c>
      <c r="F138" s="42">
        <f>IFERROR(__xludf.DUMMYFUNCTION("""COMPUTED_VALUE"""),4.0E8)</f>
        <v>400000000</v>
      </c>
      <c r="G138" s="40" t="str">
        <f>IFERROR(__xludf.DUMMYFUNCTION("""COMPUTED_VALUE"""),"$400'000.000 a $500'000.000")</f>
        <v>$400'000.000 a $500'000.000</v>
      </c>
      <c r="H138" s="40"/>
      <c r="I138" s="40"/>
      <c r="J138" s="40" t="str">
        <f>IFERROR(__xludf.DUMMYFUNCTION("""COMPUTED_VALUE"""),"Centro")</f>
        <v>Centro</v>
      </c>
      <c r="K138" s="39" t="str">
        <f>IFERROR(__xludf.DUMMYFUNCTION("""COMPUTED_VALUE"""),"3")</f>
        <v>3</v>
      </c>
      <c r="L138" s="40">
        <f>IFERROR(__xludf.DUMMYFUNCTION("""COMPUTED_VALUE"""),7.0)</f>
        <v>7</v>
      </c>
      <c r="M138" s="40"/>
      <c r="N138" s="40">
        <f>IFERROR(__xludf.DUMMYFUNCTION("""COMPUTED_VALUE"""),2.0)</f>
        <v>2</v>
      </c>
      <c r="O138" s="40">
        <f>IFERROR(__xludf.DUMMYFUNCTION("""COMPUTED_VALUE"""),1.0)</f>
        <v>1</v>
      </c>
      <c r="P138" s="40">
        <f>IFERROR(__xludf.DUMMYFUNCTION("""COMPUTED_VALUE"""),1.0)</f>
        <v>1</v>
      </c>
      <c r="Q138" s="48">
        <f>IFERROR(__xludf.DUMMYFUNCTION("""COMPUTED_VALUE"""),400.0)</f>
        <v>400</v>
      </c>
      <c r="R138" s="48">
        <f>IFERROR(__xludf.DUMMYFUNCTION("""COMPUTED_VALUE"""),480.0)</f>
        <v>480</v>
      </c>
      <c r="S138" s="39" t="str">
        <f>IFERROR(__xludf.DUMMYFUNCTION("""COMPUTED_VALUE"""),"Rentabilidad $1,000,000")</f>
        <v>Rentabilidad $1,000,000</v>
      </c>
      <c r="T138" s="40" t="str">
        <f>IFERROR(__xludf.DUMMYFUNCTION("""COMPUTED_VALUE"""),"Neiva")</f>
        <v>Neiva</v>
      </c>
      <c r="U138" s="39" t="str">
        <f>IFERROR(__xludf.DUMMYFUNCTION("""COMPUTED_VALUE"""),"2")</f>
        <v>2</v>
      </c>
      <c r="V138" s="40" t="str">
        <f>IFERROR(__xludf.DUMMYFUNCTION("""COMPUTED_VALUE"""),"Medianera")</f>
        <v>Medianera</v>
      </c>
      <c r="W138" s="46"/>
      <c r="X138" s="46">
        <f>IFERROR(__xludf.DUMMYFUNCTION("""COMPUTED_VALUE"""),0.0)</f>
        <v>0</v>
      </c>
      <c r="Y138" s="40" t="str">
        <f>IFERROR(__xludf.DUMMYFUNCTION("""COMPUTED_VALUE"""),"No tiene")</f>
        <v>No tiene</v>
      </c>
      <c r="Z138" s="42" t="str">
        <f>IFERROR(__xludf.DUMMYFUNCTION("""COMPUTED_VALUE"""),"No aplica")</f>
        <v>No aplica</v>
      </c>
      <c r="AA138" s="49" t="str">
        <f>IFERROR(__xludf.DUMMYFUNCTION("""COMPUTED_VALUE"""),"33 años")</f>
        <v>33 años</v>
      </c>
      <c r="AB138" s="105" t="str">
        <f>IFERROR(__xludf.DUMMYFUNCTION("""COMPUTED_VALUE"""),"https://photos.app.goo.gl/inHTqNdUHAsmNeYx7")</f>
        <v>https://photos.app.goo.gl/inHTqNdUHAsmNeYx7</v>
      </c>
      <c r="AC138" s="40"/>
      <c r="AD138" s="40"/>
      <c r="AE138" s="40"/>
      <c r="AF138" s="40" t="str">
        <f>IFERROR(__xludf.DUMMYFUNCTION("""COMPUTED_VALUE"""),"básica")</f>
        <v>básica</v>
      </c>
      <c r="AG138" s="40"/>
      <c r="AH138" s="40" t="str">
        <f>IFERROR(__xludf.DUMMYFUNCTION("""COMPUTED_VALUE"""),"Inventario")</f>
        <v>Inventario</v>
      </c>
      <c r="AI138" s="40"/>
      <c r="AJ138" s="40" t="str">
        <f>IFERROR(__xludf.DUMMYFUNCTION("""COMPUTED_VALUE"""),"ICDE")</f>
        <v>ICDE</v>
      </c>
      <c r="AK138" s="40"/>
      <c r="AL138" s="40" t="str">
        <f>IFERROR(__xludf.DUMMYFUNCTION("""COMPUTED_VALUE"""),"NO FOTOS + DESCRIPCION")</f>
        <v>NO FOTOS + DESCRIPCION</v>
      </c>
      <c r="AM138" s="40">
        <f>IFERROR(__xludf.DUMMYFUNCTION("""COMPUTED_VALUE"""),3.214538234E9)</f>
        <v>3214538234</v>
      </c>
      <c r="AN138" s="40">
        <f>IFERROR(__xludf.DUMMYFUNCTION("""COMPUTED_VALUE"""),0.0)</f>
        <v>0</v>
      </c>
      <c r="AO138" s="40"/>
      <c r="AP138" s="40" t="str">
        <f>IFERROR(__xludf.DUMMYFUNCTION("""COMPUTED_VALUE"""),"CALLE 18 NO. 8 B - 36")</f>
        <v>CALLE 18 NO. 8 B - 36</v>
      </c>
      <c r="AQ138" s="40"/>
      <c r="AR138" s="40"/>
      <c r="AS138" s="53">
        <f>IFERROR(__xludf.DUMMYFUNCTION("""COMPUTED_VALUE"""),1000000.0)</f>
        <v>1000000</v>
      </c>
      <c r="AT138" s="40">
        <f>IFERROR(__xludf.DUMMYFUNCTION("""COMPUTED_VALUE"""),0.0)</f>
        <v>0</v>
      </c>
      <c r="AU138" s="40">
        <f>IFERROR(__xludf.DUMMYFUNCTION("""COMPUTED_VALUE"""),0.0)</f>
        <v>0</v>
      </c>
      <c r="AV138" s="40">
        <f>IFERROR(__xludf.DUMMYFUNCTION("""COMPUTED_VALUE"""),0.0)</f>
        <v>0</v>
      </c>
      <c r="AW138" s="40" t="str">
        <f>IFERROR(__xludf.DUMMYFUNCTION("""COMPUTED_VALUE"""),"NO")</f>
        <v>NO</v>
      </c>
      <c r="AX138" s="40">
        <f>IFERROR(__xludf.DUMMYFUNCTION("""COMPUTED_VALUE"""),0.0)</f>
        <v>0</v>
      </c>
      <c r="AY138" s="40">
        <f>IFERROR(__xludf.DUMMYFUNCTION("""COMPUTED_VALUE"""),0.0)</f>
        <v>0</v>
      </c>
      <c r="AZ138" s="40">
        <f>IFERROR(__xludf.DUMMYFUNCTION("""COMPUTED_VALUE"""),12.0)</f>
        <v>12</v>
      </c>
      <c r="BA138" s="40" t="str">
        <f>IFERROR(__xludf.DUMMYFUNCTION("""COMPUTED_VALUE"""),"X")</f>
        <v>X</v>
      </c>
      <c r="BB138" s="40">
        <f>IFERROR(__xludf.DUMMYFUNCTION("""COMPUTED_VALUE"""),40.0)</f>
        <v>40</v>
      </c>
      <c r="BC138" s="53"/>
      <c r="BD138" s="48"/>
      <c r="BE138" s="48"/>
      <c r="BF138" s="48" t="str">
        <f>IFERROR(__xludf.DUMMYFUNCTION("""COMPUTED_VALUE"""),"https://lh3.googleusercontent.com/pw/AP1GczMfv2sPmo6xGCdYLE3f5RU2dpehGrxW6AKwa8ccPq9FxXo1qLulTqkOp65BeB-p0zai2ctj0tXXXH6VoX3QK67XS7UBP2Lv0gtV2ZZ0aDvd2LBGg7g=w1200|https://lh3.googleusercontent.com/pw/AP1GczMbJhdcaSBqshBWufYzq8vHgfUZmJLwhRaVXIgIB0HQ8DkZ4td"&amp;"RY6J_6g0JQLRyg6vXjDVOpT1QbhEZnUQSchsVtu9pMXxcTYOm9b8SUO7Rg60Ynlg=w1200|https://lh3.googleusercontent.com/pw/AP1GczPqAIFgzWl2TFh9YhTBXlcz6R9oNzvtsYm7xUgDXt_2QoDnYuMW5e_2hVD93_BewuWlO6aC7jejI-3Gub2E1wL8FqkwI9YGrI0oMCPQ_RJ4lmYoOvU=w1200|https://lh3.googleuse"&amp;"rcontent.com/pw/AP1GczMkQlSJfvRdZx20__Rz-PKWWtBAScx1uH90IpRxuuNyzuxsqfrVZvh37kh1e_6IAKSlnAom7TtaCtmb7CTozAV7ofzEbVV84yOCulSb8XO1qSvGT3Y=w1200|https://lh3.googleusercontent.com/pw/AP1GczPQmIGe2StFwnJj-NhHeY2L3qbfsMgT2-kWEeFjdDEHDxnw78OojuaT-fKZV0kdKKL3GG_-"&amp;"qxgryVzPhYvG93bIKDpLD-q5SBppUSdyzX8oaGS5PXg=w1200|https://lh3.googleusercontent.com/pw/AP1GczPQIKWJlRq-NpO4XYdCNx5xW5rxDsm0WL0IdaMUAz53tMrfxqKdQ2Pek29kMsHy-wqcK7wkfbB5vs6849F8uC0YUnprYpk9W_H5hglWUR9Dl3qqN1I=w1200|https://lh3.googleusercontent.com/pw/AP1Gc"&amp;"zM8wkrZHcYqWvhocdN-yFviMYYRjBfcqzQa7VlNl_AXS1aWb0lXX7HxXqfNUREkBndsOZX6TzeAPnNuN4eZSDHvTU70uQCaKEt6HWEnZKvLngw4GbU=w1200|https://lh3.googleusercontent.com/pw/AP1GczMFoFYmVQpNYk6v0C8QCL3OaKTmmxckmwzCVoyLJbLtw_Qf8MWi-T0CyF8u-IU_a39cgOmgR0fl-_WWxeQk2TWt4uKVs"&amp;"OzCi7cyh0RDYX_eku6THvU=w1200|https://lh3.googleusercontent.com/pw/AP1GczMlHfSjvkDMrcAtOihtCvYxIqUNEyLP48VIjBph1BodSUDasQPExN435UPvexoNEDHIDjX3RK8goc0ZHijIjp1lh2VX6idHknsDyA1EtfxkeGg3UL8=w1200|https://lh3.googleusercontent.com/pw/AP1GczN99goZKsPgLXnVvwDN2d"&amp;"t3MV9WAvyXtC2l2mtaa__mXCi-35wh87GhPwDPoPVDyZa4oUj6UDHGNycVifTd3foCLYC2Ybd0y_pu-0UYKW0z-qFkr3Q=w1200|https://lh3.googleusercontent.com/pw/AP1GczMT3_um1DAfbw0AXSEPoJOj9m7byLn9j9kt5VGD1B_2aqX1BWLerzjUECY62lfAwtUChhUhzAnH0596rBwT3RJjaJXv5O24lwgOuUUfTpSeHIbxIV"&amp;"c=w1200|https://lh3.googleusercontent.com/pw/AP1GczOea6Ei386Zyc6XwcTffozDJxOKwG1h0uTf_M33tEpY_kk08JEXLvDh_cOK9Iyn25FG23Sa2229FVEAGun-ws3WF2xPN4zyExQTAkd9suNsYEfFy8M=w1200|https://lh3.googleusercontent.com/pw/AP1GczPUik3SqgMuv4LwspMofh1Yg8XdcJZ1Z5Mo5ONTRGp"&amp;"FTpYDykTjmqQrWLyCzMYLRFhtqtISMh31SoEZRCDFpTZpU96I0AnOzZ0mKlZmHHWtWV74wFw=w1200|https://lh3.googleusercontent.com/pw/AP1GczPKXwQC8hgnCC7Rk0iowm5eWMTLOBzC_hhh6UBHqc4WKv0rAsugOWC2yyPR0mq3YyChHhxr_InHVlvvDL0EwsdUsYU0CupREC_3EH-8iRcm7o6NyY8=w1200|https://lh3.g"&amp;"oogleusercontent.com/pw/AP1GczOgaaNU0uxz6kTTc5pTcRDssbwHB5zsyiGTb6TXv6IIyk5lzHFR_lHwxQj01qYlW_y_wUjYFA6_Ze8rh-28eGMpYzXtOItaCZ7eQssl9ZO4PUwl34c=w1200|https://lh3.googleusercontent.com/pw/AP1GczMD-JyvOqjrFMuwdUFbM4EZCk9CqRxHAHoF-CJXNXPRsJsYUlTACrBSx1GzkJGa"&amp;"Czx9AGDscRBOnJTgv2PurwsFoxvpRNkAcsKAHBwPVIcf8gzeJK0=w1200|https://lh3.googleusercontent.com/pw/AP1GczMZCxiT0u5aIB_YZvrz8cDen3MXPSYBtcvqllO_Q4brJ9ouFllngzKS1NiNnnBBvDtoGgd1W03ov400BhiCelFDARyTZX9DMYIP-8HoXYx7acbkQow=w1200|https://lh3.googleusercontent.com/"&amp;"pw/AP1GczNtzYzqJNvWO7vVj3NSA7upRdUXI0mwW9cR0fl6jdqATRhw38DcR-JNKNVHAWVT8bbiyZqwQIgUbZSkHtccZ-cgRV4n8l8v04cMDzA61ZIixm9QILk=w1200|https://lh3.googleusercontent.com/pw/AP1GczPO88-JgjTNiACpKSaULBZ05pTDSEp8lp-k0rz4C_YzxQwJ5ea5-2hoRjhb6Vxojm7CUuWgXZ1w4X1xo7rmg"&amp;"cjiwQFzHiXXKUyBZxqXvUzCRzSMywM=w1200|https://lh3.googleusercontent.com/pw/AP1GczNghB0OuCFMp0jvTBpjwLo13YXr3p8AWyMJCP4sZ4hux2OCzFWcGPhb7DhG3E0GxrKP2_OfBxjteKWPZuXO6x6nqbgFsRA-kXXfA524nLVVe7Apsgw=w1200|https://lh3.googleusercontent.com/pw/AP1GczNMRfQO32YZrY"&amp;"FnjUpTinzB1KE0ALZmjof8gLsiL-hxnYDkEMpK0X2QWau9iMTvMP_L8E2CROwCAoi1KiFW7HT-5s_gI2EtZgi6ulIZoEUoILQOjRY=w1200|https://lh3.googleusercontent.com/pw/AP1GczMFX7zhd5okNYlb9V7VdGZ8OTv0e23hFYVScHc8Q51wBZWH5avOz4aeAxEoFxSmjJOD8-Y8DOJAp6KG5BsvwGeCjjHlvWm6g2XEkMJ08L"&amp;"msMdYKLxI=w1200|https://lh3.googleusercontent.com/pw/AP1GczMWYayr-x4FrxpO1pX7Uu0swYmPZcMu2FN6E6mibJnQYOjSqXu_ltRrjHrMmktPbKV0qRq78zRki2A1J15gcThCllKqHOeGEL1n25SuPhxcrn-8LuU=w1200|https://lh3.googleusercontent.com/pw/AP1GczMLWnbhWjbBTp0Cgx2rChEWn8iUrJszsJH"&amp;"AGYFje0nwYAAOxrSLbY-_78MEb7WV-cX1HW1oSFQFpne3FEGDp6sqBth7mB29MekPnQYvNy5Ej_EVQhM=w1200|https://lh3.googleusercontent.com/pw/AP1GczMJChXUKXcYBiX2MDU39s8FlCSsG4lTIp8VewePzdpoZJXPGKARDCNeBNOUPsI7qMOMgYwUK1kJzulJAbyVggiEhemp1eXJWDWodKoCmqnE3h0QM4wh=w1200")</f>
        <v>https://lh3.googleusercontent.com/pw/AP1GczMfv2sPmo6xGCdYLE3f5RU2dpehGrxW6AKwa8ccPq9FxXo1qLulTqkOp65BeB-p0zai2ctj0tXXXH6VoX3QK67XS7UBP2Lv0gtV2ZZ0aDvd2LBGg7g=w1200|https://lh3.googleusercontent.com/pw/AP1GczMbJhdcaSBqshBWufYzq8vHgfUZmJLwhRaVXIgIB0HQ8DkZ4tdRY6J_6g0JQLRyg6vXjDVOpT1QbhEZnUQSchsVtu9pMXxcTYOm9b8SUO7Rg60Ynlg=w1200|https://lh3.googleusercontent.com/pw/AP1GczPqAIFgzWl2TFh9YhTBXlcz6R9oNzvtsYm7xUgDXt_2QoDnYuMW5e_2hVD93_BewuWlO6aC7jejI-3Gub2E1wL8FqkwI9YGrI0oMCPQ_RJ4lmYoOvU=w1200|https://lh3.googleusercontent.com/pw/AP1GczMkQlSJfvRdZx20__Rz-PKWWtBAScx1uH90IpRxuuNyzuxsqfrVZvh37kh1e_6IAKSlnAom7TtaCtmb7CTozAV7ofzEbVV84yOCulSb8XO1qSvGT3Y=w1200|https://lh3.googleusercontent.com/pw/AP1GczPQmIGe2StFwnJj-NhHeY2L3qbfsMgT2-kWEeFjdDEHDxnw78OojuaT-fKZV0kdKKL3GG_-qxgryVzPhYvG93bIKDpLD-q5SBppUSdyzX8oaGS5PXg=w1200|https://lh3.googleusercontent.com/pw/AP1GczPQIKWJlRq-NpO4XYdCNx5xW5rxDsm0WL0IdaMUAz53tMrfxqKdQ2Pek29kMsHy-wqcK7wkfbB5vs6849F8uC0YUnprYpk9W_H5hglWUR9Dl3qqN1I=w1200|https://lh3.googleusercontent.com/pw/AP1GczM8wkrZHcYqWvhocdN-yFviMYYRjBfcqzQa7VlNl_AXS1aWb0lXX7HxXqfNUREkBndsOZX6TzeAPnNuN4eZSDHvTU70uQCaKEt6HWEnZKvLngw4GbU=w1200|https://lh3.googleusercontent.com/pw/AP1GczMFoFYmVQpNYk6v0C8QCL3OaKTmmxckmwzCVoyLJbLtw_Qf8MWi-T0CyF8u-IU_a39cgOmgR0fl-_WWxeQk2TWt4uKVsOzCi7cyh0RDYX_eku6THvU=w1200|https://lh3.googleusercontent.com/pw/AP1GczMlHfSjvkDMrcAtOihtCvYxIqUNEyLP48VIjBph1BodSUDasQPExN435UPvexoNEDHIDjX3RK8goc0ZHijIjp1lh2VX6idHknsDyA1EtfxkeGg3UL8=w1200|https://lh3.googleusercontent.com/pw/AP1GczN99goZKsPgLXnVvwDN2dt3MV9WAvyXtC2l2mtaa__mXCi-35wh87GhPwDPoPVDyZa4oUj6UDHGNycVifTd3foCLYC2Ybd0y_pu-0UYKW0z-qFkr3Q=w1200|https://lh3.googleusercontent.com/pw/AP1GczMT3_um1DAfbw0AXSEPoJOj9m7byLn9j9kt5VGD1B_2aqX1BWLerzjUECY62lfAwtUChhUhzAnH0596rBwT3RJjaJXv5O24lwgOuUUfTpSeHIbxIVc=w1200|https://lh3.googleusercontent.com/pw/AP1GczOea6Ei386Zyc6XwcTffozDJxOKwG1h0uTf_M33tEpY_kk08JEXLvDh_cOK9Iyn25FG23Sa2229FVEAGun-ws3WF2xPN4zyExQTAkd9suNsYEfFy8M=w1200|https://lh3.googleusercontent.com/pw/AP1GczPUik3SqgMuv4LwspMofh1Yg8XdcJZ1Z5Mo5ONTRGpFTpYDykTjmqQrWLyCzMYLRFhtqtISMh31SoEZRCDFpTZpU96I0AnOzZ0mKlZmHHWtWV74wFw=w1200|https://lh3.googleusercontent.com/pw/AP1GczPKXwQC8hgnCC7Rk0iowm5eWMTLOBzC_hhh6UBHqc4WKv0rAsugOWC2yyPR0mq3YyChHhxr_InHVlvvDL0EwsdUsYU0CupREC_3EH-8iRcm7o6NyY8=w1200|https://lh3.googleusercontent.com/pw/AP1GczOgaaNU0uxz6kTTc5pTcRDssbwHB5zsyiGTb6TXv6IIyk5lzHFR_lHwxQj01qYlW_y_wUjYFA6_Ze8rh-28eGMpYzXtOItaCZ7eQssl9ZO4PUwl34c=w1200|https://lh3.googleusercontent.com/pw/AP1GczMD-JyvOqjrFMuwdUFbM4EZCk9CqRxHAHoF-CJXNXPRsJsYUlTACrBSx1GzkJGaCzx9AGDscRBOnJTgv2PurwsFoxvpRNkAcsKAHBwPVIcf8gzeJK0=w1200|https://lh3.googleusercontent.com/pw/AP1GczMZCxiT0u5aIB_YZvrz8cDen3MXPSYBtcvqllO_Q4brJ9ouFllngzKS1NiNnnBBvDtoGgd1W03ov400BhiCelFDARyTZX9DMYIP-8HoXYx7acbkQow=w1200|https://lh3.googleusercontent.com/pw/AP1GczNtzYzqJNvWO7vVj3NSA7upRdUXI0mwW9cR0fl6jdqATRhw38DcR-JNKNVHAWVT8bbiyZqwQIgUbZSkHtccZ-cgRV4n8l8v04cMDzA61ZIixm9QILk=w1200|https://lh3.googleusercontent.com/pw/AP1GczPO88-JgjTNiACpKSaULBZ05pTDSEp8lp-k0rz4C_YzxQwJ5ea5-2hoRjhb6Vxojm7CUuWgXZ1w4X1xo7rmgcjiwQFzHiXXKUyBZxqXvUzCRzSMywM=w1200|https://lh3.googleusercontent.com/pw/AP1GczNghB0OuCFMp0jvTBpjwLo13YXr3p8AWyMJCP4sZ4hux2OCzFWcGPhb7DhG3E0GxrKP2_OfBxjteKWPZuXO6x6nqbgFsRA-kXXfA524nLVVe7Apsgw=w1200|https://lh3.googleusercontent.com/pw/AP1GczNMRfQO32YZrYFnjUpTinzB1KE0ALZmjof8gLsiL-hxnYDkEMpK0X2QWau9iMTvMP_L8E2CROwCAoi1KiFW7HT-5s_gI2EtZgi6ulIZoEUoILQOjRY=w1200|https://lh3.googleusercontent.com/pw/AP1GczMFX7zhd5okNYlb9V7VdGZ8OTv0e23hFYVScHc8Q51wBZWH5avOz4aeAxEoFxSmjJOD8-Y8DOJAp6KG5BsvwGeCjjHlvWm6g2XEkMJ08LmsMdYKLxI=w1200|https://lh3.googleusercontent.com/pw/AP1GczMWYayr-x4FrxpO1pX7Uu0swYmPZcMu2FN6E6mibJnQYOjSqXu_ltRrjHrMmktPbKV0qRq78zRki2A1J15gcThCllKqHOeGEL1n25SuPhxcrn-8LuU=w1200|https://lh3.googleusercontent.com/pw/AP1GczMLWnbhWjbBTp0Cgx2rChEWn8iUrJszsJHAGYFje0nwYAAOxrSLbY-_78MEb7WV-cX1HW1oSFQFpne3FEGDp6sqBth7mB29MekPnQYvNy5Ej_EVQhM=w1200|https://lh3.googleusercontent.com/pw/AP1GczMJChXUKXcYBiX2MDU39s8FlCSsG4lTIp8VewePzdpoZJXPGKARDCNeBNOUPsI7qMOMgYwUK1kJzulJAbyVggiEhemp1eXJWDWodKoCmqnE3h0QM4wh=w1200</v>
      </c>
    </row>
    <row r="139">
      <c r="A139" s="39" t="str">
        <f>IFERROR(__xludf.DUMMYFUNCTION("""COMPUTED_VALUE"""),"139")</f>
        <v>139</v>
      </c>
      <c r="B139" s="40" t="str">
        <f>IFERROR(__xludf.DUMMYFUNCTION("""COMPUTED_VALUE"""),"Casa con apartamento en barrio Las Granjas")</f>
        <v>Casa con apartamento en barrio Las Granjas</v>
      </c>
      <c r="C139" s="40" t="str">
        <f>IFERROR(__xludf.DUMMYFUNCTION("""COMPUTED_VALUE"""),"Casa rentable")</f>
        <v>Casa rentable</v>
      </c>
      <c r="D139" s="40" t="str">
        <f>IFERROR(__xludf.DUMMYFUNCTION("""COMPUTED_VALUE"""),"Las Granjas")</f>
        <v>Las Granjas</v>
      </c>
      <c r="E139" s="42" t="str">
        <f>IFERROR(__xludf.DUMMYFUNCTION("""COMPUTED_VALUE""")," ")</f>
        <v> </v>
      </c>
      <c r="F139" s="42">
        <f>IFERROR(__xludf.DUMMYFUNCTION("""COMPUTED_VALUE"""),4.0E8)</f>
        <v>400000000</v>
      </c>
      <c r="G139" s="40" t="str">
        <f>IFERROR(__xludf.DUMMYFUNCTION("""COMPUTED_VALUE"""),"$400'000.000 a $500'000.000")</f>
        <v>$400'000.000 a $500'000.000</v>
      </c>
      <c r="H139" s="40"/>
      <c r="I139" s="40"/>
      <c r="J139" s="40" t="str">
        <f>IFERROR(__xludf.DUMMYFUNCTION("""COMPUTED_VALUE"""),"Norte")</f>
        <v>Norte</v>
      </c>
      <c r="K139" s="39" t="str">
        <f>IFERROR(__xludf.DUMMYFUNCTION("""COMPUTED_VALUE"""),"2")</f>
        <v>2</v>
      </c>
      <c r="L139" s="40">
        <f>IFERROR(__xludf.DUMMYFUNCTION("""COMPUTED_VALUE"""),6.0)</f>
        <v>6</v>
      </c>
      <c r="M139" s="40"/>
      <c r="N139" s="40">
        <f>IFERROR(__xludf.DUMMYFUNCTION("""COMPUTED_VALUE"""),3.0)</f>
        <v>3</v>
      </c>
      <c r="O139" s="40">
        <f>IFERROR(__xludf.DUMMYFUNCTION("""COMPUTED_VALUE"""),5.0)</f>
        <v>5</v>
      </c>
      <c r="P139" s="40">
        <f>IFERROR(__xludf.DUMMYFUNCTION("""COMPUTED_VALUE"""),1.0)</f>
        <v>1</v>
      </c>
      <c r="Q139" s="48">
        <f>IFERROR(__xludf.DUMMYFUNCTION("""COMPUTED_VALUE"""),200.0)</f>
        <v>200</v>
      </c>
      <c r="R139" s="48">
        <f>IFERROR(__xludf.DUMMYFUNCTION("""COMPUTED_VALUE"""),200.0)</f>
        <v>200</v>
      </c>
      <c r="S139" s="39" t="str">
        <f>IFERROR(__xludf.DUMMYFUNCTION("""COMPUTED_VALUE"""),"Rentabilidad $1,900,000")</f>
        <v>Rentabilidad $1,900,000</v>
      </c>
      <c r="T139" s="40" t="str">
        <f>IFERROR(__xludf.DUMMYFUNCTION("""COMPUTED_VALUE"""),"Neiva")</f>
        <v>Neiva</v>
      </c>
      <c r="U139" s="39" t="str">
        <f>IFERROR(__xludf.DUMMYFUNCTION("""COMPUTED_VALUE"""),"2")</f>
        <v>2</v>
      </c>
      <c r="V139" s="40" t="str">
        <f>IFERROR(__xludf.DUMMYFUNCTION("""COMPUTED_VALUE"""),"Esquinera")</f>
        <v>Esquinera</v>
      </c>
      <c r="W139" s="46"/>
      <c r="X139" s="46">
        <f>IFERROR(__xludf.DUMMYFUNCTION("""COMPUTED_VALUE"""),6.0)</f>
        <v>6</v>
      </c>
      <c r="Y139" s="53" t="str">
        <f>IFERROR(__xludf.DUMMYFUNCTION("""COMPUTED_VALUE"""),"No tiene")</f>
        <v>No tiene</v>
      </c>
      <c r="Z139" s="42" t="str">
        <f>IFERROR(__xludf.DUMMYFUNCTION("""COMPUTED_VALUE"""),"No aplica")</f>
        <v>No aplica</v>
      </c>
      <c r="AA139" s="49" t="str">
        <f>IFERROR(__xludf.DUMMYFUNCTION("""COMPUTED_VALUE"""),"18 años")</f>
        <v>18 años</v>
      </c>
      <c r="AB139" s="48"/>
      <c r="AC139" s="40"/>
      <c r="AD139" s="40"/>
      <c r="AE139" s="40"/>
      <c r="AF139" s="40" t="str">
        <f>IFERROR(__xludf.DUMMYFUNCTION("""COMPUTED_VALUE"""),"integral")</f>
        <v>integral</v>
      </c>
      <c r="AG139" s="40"/>
      <c r="AH139" s="40" t="str">
        <f>IFERROR(__xludf.DUMMYFUNCTION("""COMPUTED_VALUE"""),"Inventario")</f>
        <v>Inventario</v>
      </c>
      <c r="AI139" s="40"/>
      <c r="AJ139" s="40" t="str">
        <f>IFERROR(__xludf.DUMMYFUNCTION("""COMPUTED_VALUE"""),"ICDE")</f>
        <v>ICDE</v>
      </c>
      <c r="AK139" s="40"/>
      <c r="AL139" s="40" t="str">
        <f>IFERROR(__xludf.DUMMYFUNCTION("""COMPUTED_VALUE"""),"NO FOTOS-INT.-DESCRIP")</f>
        <v>NO FOTOS-INT.-DESCRIP</v>
      </c>
      <c r="AM139" s="40">
        <f>IFERROR(__xludf.DUMMYFUNCTION("""COMPUTED_VALUE"""),3.178705203E9)</f>
        <v>3178705203</v>
      </c>
      <c r="AN139" s="40">
        <f>IFERROR(__xludf.DUMMYFUNCTION("""COMPUTED_VALUE"""),3.15775292E9)</f>
        <v>3157752920</v>
      </c>
      <c r="AO139" s="40" t="str">
        <f>IFERROR(__xludf.DUMMYFUNCTION("""COMPUTED_VALUE"""),"JORGE VARGAS")</f>
        <v>JORGE VARGAS</v>
      </c>
      <c r="AP139" s="40" t="str">
        <f>IFERROR(__xludf.DUMMYFUNCTION("""COMPUTED_VALUE"""),"Carrera7 CON 38 a la vuelta de movistar.")</f>
        <v>Carrera7 CON 38 a la vuelta de movistar.</v>
      </c>
      <c r="AQ139" s="40"/>
      <c r="AR139" s="40"/>
      <c r="AS139" s="53">
        <f>IFERROR(__xludf.DUMMYFUNCTION("""COMPUTED_VALUE"""),1900000.0)</f>
        <v>1900000</v>
      </c>
      <c r="AT139" s="40">
        <f>IFERROR(__xludf.DUMMYFUNCTION("""COMPUTED_VALUE"""),0.0)</f>
        <v>0</v>
      </c>
      <c r="AU139" s="40">
        <f>IFERROR(__xludf.DUMMYFUNCTION("""COMPUTED_VALUE"""),0.0)</f>
        <v>0</v>
      </c>
      <c r="AV139" s="40">
        <f>IFERROR(__xludf.DUMMYFUNCTION("""COMPUTED_VALUE"""),2.0)</f>
        <v>2</v>
      </c>
      <c r="AW139" s="40" t="str">
        <f>IFERROR(__xludf.DUMMYFUNCTION("""COMPUTED_VALUE"""),"NO")</f>
        <v>NO</v>
      </c>
      <c r="AX139" s="40">
        <f>IFERROR(__xludf.DUMMYFUNCTION("""COMPUTED_VALUE"""),0.0)</f>
        <v>0</v>
      </c>
      <c r="AY139" s="40">
        <f>IFERROR(__xludf.DUMMYFUNCTION("""COMPUTED_VALUE"""),0.0)</f>
        <v>0</v>
      </c>
      <c r="AZ139" s="40">
        <f>IFERROR(__xludf.DUMMYFUNCTION("""COMPUTED_VALUE"""),10.0)</f>
        <v>10</v>
      </c>
      <c r="BA139" s="40" t="str">
        <f>IFERROR(__xludf.DUMMYFUNCTION("""COMPUTED_VALUE"""),"X")</f>
        <v>X</v>
      </c>
      <c r="BB139" s="40">
        <f>IFERROR(__xludf.DUMMYFUNCTION("""COMPUTED_VALUE"""),20.0)</f>
        <v>20</v>
      </c>
      <c r="BC139" s="53" t="str">
        <f>IFERROR(__xludf.DUMMYFUNCTION("""COMPUTED_VALUE"""),"19 - PRUEBA v, 26 - NINI CASTAÑO, 15 - JOSE LOZANO, 40 - Ing. ALEJANDRO ROJAS MARIN, 40 - ALEJANDRO ROJAS MARIN")</f>
        <v>19 - PRUEBA v, 26 - NINI CASTAÑO, 15 - JOSE LOZANO, 40 - Ing. ALEJANDRO ROJAS MARIN, 40 - ALEJANDRO ROJAS MARIN</v>
      </c>
      <c r="BD139" s="48"/>
      <c r="BE139" s="48"/>
      <c r="BF139" s="48"/>
    </row>
    <row r="140">
      <c r="A140" s="39" t="str">
        <f>IFERROR(__xludf.DUMMYFUNCTION("""COMPUTED_VALUE"""),"029")</f>
        <v>029</v>
      </c>
      <c r="B140" s="40" t="str">
        <f>IFERROR(__xludf.DUMMYFUNCTION("""COMPUTED_VALUE"""),"Lote en barrio Campo Nuñez")</f>
        <v>Lote en barrio Campo Nuñez</v>
      </c>
      <c r="C140" s="40" t="str">
        <f>IFERROR(__xludf.DUMMYFUNCTION("""COMPUTED_VALUE"""),"Lote")</f>
        <v>Lote</v>
      </c>
      <c r="D140" s="40" t="str">
        <f>IFERROR(__xludf.DUMMYFUNCTION("""COMPUTED_VALUE"""),"Campo Nuñez")</f>
        <v>Campo Nuñez</v>
      </c>
      <c r="E140" s="42" t="str">
        <f>IFERROR(__xludf.DUMMYFUNCTION("""COMPUTED_VALUE""")," ")</f>
        <v> </v>
      </c>
      <c r="F140" s="42">
        <f>IFERROR(__xludf.DUMMYFUNCTION("""COMPUTED_VALUE"""),4.0E8)</f>
        <v>400000000</v>
      </c>
      <c r="G140" s="40" t="str">
        <f>IFERROR(__xludf.DUMMYFUNCTION("""COMPUTED_VALUE"""),"$400'000.000 a $500'000.000")</f>
        <v>$400'000.000 a $500'000.000</v>
      </c>
      <c r="H140" s="40"/>
      <c r="I140" s="40"/>
      <c r="J140" s="40" t="str">
        <f>IFERROR(__xludf.DUMMYFUNCTION("""COMPUTED_VALUE"""),"Centro")</f>
        <v>Centro</v>
      </c>
      <c r="K140" s="39" t="str">
        <f>IFERROR(__xludf.DUMMYFUNCTION("""COMPUTED_VALUE"""),"3")</f>
        <v>3</v>
      </c>
      <c r="L140" s="40">
        <f>IFERROR(__xludf.DUMMYFUNCTION("""COMPUTED_VALUE"""),0.0)</f>
        <v>0</v>
      </c>
      <c r="M140" s="40"/>
      <c r="N140" s="40">
        <f>IFERROR(__xludf.DUMMYFUNCTION("""COMPUTED_VALUE"""),0.0)</f>
        <v>0</v>
      </c>
      <c r="O140" s="40">
        <f>IFERROR(__xludf.DUMMYFUNCTION("""COMPUTED_VALUE"""),0.0)</f>
        <v>0</v>
      </c>
      <c r="P140" s="40">
        <f>IFERROR(__xludf.DUMMYFUNCTION("""COMPUTED_VALUE"""),1.0)</f>
        <v>1</v>
      </c>
      <c r="Q140" s="48"/>
      <c r="R140" s="48">
        <f>IFERROR(__xludf.DUMMYFUNCTION("""COMPUTED_VALUE"""),250.0)</f>
        <v>250</v>
      </c>
      <c r="S140" s="39" t="str">
        <f>IFERROR(__xludf.DUMMYFUNCTION("""COMPUTED_VALUE""")," ")</f>
        <v> </v>
      </c>
      <c r="T140" s="40" t="str">
        <f>IFERROR(__xludf.DUMMYFUNCTION("""COMPUTED_VALUE"""),"Neiva")</f>
        <v>Neiva</v>
      </c>
      <c r="U140" s="39" t="str">
        <f>IFERROR(__xludf.DUMMYFUNCTION("""COMPUTED_VALUE"""),"3")</f>
        <v>3</v>
      </c>
      <c r="V140" s="40" t="str">
        <f>IFERROR(__xludf.DUMMYFUNCTION("""COMPUTED_VALUE"""),"Medianera")</f>
        <v>Medianera</v>
      </c>
      <c r="W140" s="46"/>
      <c r="X140" s="46">
        <f>IFERROR(__xludf.DUMMYFUNCTION("""COMPUTED_VALUE"""),0.0)</f>
        <v>0</v>
      </c>
      <c r="Y140" s="40" t="str">
        <f>IFERROR(__xludf.DUMMYFUNCTION("""COMPUTED_VALUE"""),"No tiene")</f>
        <v>No tiene</v>
      </c>
      <c r="Z140" s="42" t="str">
        <f>IFERROR(__xludf.DUMMYFUNCTION("""COMPUTED_VALUE"""),"No aplica")</f>
        <v>No aplica</v>
      </c>
      <c r="AA140" s="49" t="str">
        <f>IFERROR(__xludf.DUMMYFUNCTION("""COMPUTED_VALUE"""),"No aplica")</f>
        <v>No aplica</v>
      </c>
      <c r="AB140" s="48"/>
      <c r="AC140" s="40"/>
      <c r="AD140" s="40"/>
      <c r="AE140" s="40"/>
      <c r="AF140" s="40" t="str">
        <f>IFERROR(__xludf.DUMMYFUNCTION("""COMPUTED_VALUE"""),"0")</f>
        <v>0</v>
      </c>
      <c r="AG140" s="40"/>
      <c r="AH140" s="40" t="str">
        <f>IFERROR(__xludf.DUMMYFUNCTION("""COMPUTED_VALUE"""),"Inventario")</f>
        <v>Inventario</v>
      </c>
      <c r="AI140" s="40"/>
      <c r="AJ140" s="40" t="str">
        <f>IFERROR(__xludf.DUMMYFUNCTION("""COMPUTED_VALUE"""),"ICDE")</f>
        <v>ICDE</v>
      </c>
      <c r="AK140" s="40"/>
      <c r="AL140" s="40" t="str">
        <f>IFERROR(__xludf.DUMMYFUNCTION("""COMPUTED_VALUE"""),"NO FOTOS + DESCRIPCION")</f>
        <v>NO FOTOS + DESCRIPCION</v>
      </c>
      <c r="AM140" s="40">
        <f>IFERROR(__xludf.DUMMYFUNCTION("""COMPUTED_VALUE"""),3.102131274E9)</f>
        <v>3102131274</v>
      </c>
      <c r="AN140" s="40">
        <f>IFERROR(__xludf.DUMMYFUNCTION("""COMPUTED_VALUE"""),3.115159413E9)</f>
        <v>3115159413</v>
      </c>
      <c r="AO140" s="40" t="str">
        <f>IFERROR(__xludf.DUMMYFUNCTION("""COMPUTED_VALUE"""),"MAGNOLIA")</f>
        <v>MAGNOLIA</v>
      </c>
      <c r="AP140" s="40" t="str">
        <f>IFERROR(__xludf.DUMMYFUNCTION("""COMPUTED_VALUE"""),"CALLE 16 No. 7A - 57")</f>
        <v>CALLE 16 No. 7A - 57</v>
      </c>
      <c r="AQ140" s="40"/>
      <c r="AR140" s="40"/>
      <c r="AS140" s="53">
        <f>IFERROR(__xludf.DUMMYFUNCTION("""COMPUTED_VALUE"""),0.0)</f>
        <v>0</v>
      </c>
      <c r="AT140" s="40">
        <f>IFERROR(__xludf.DUMMYFUNCTION("""COMPUTED_VALUE"""),0.0)</f>
        <v>0</v>
      </c>
      <c r="AU140" s="40">
        <f>IFERROR(__xludf.DUMMYFUNCTION("""COMPUTED_VALUE"""),0.0)</f>
        <v>0</v>
      </c>
      <c r="AV140" s="40">
        <f>IFERROR(__xludf.DUMMYFUNCTION("""COMPUTED_VALUE"""),0.0)</f>
        <v>0</v>
      </c>
      <c r="AW140" s="40" t="str">
        <f>IFERROR(__xludf.DUMMYFUNCTION("""COMPUTED_VALUE"""),"NO")</f>
        <v>NO</v>
      </c>
      <c r="AX140" s="40">
        <f>IFERROR(__xludf.DUMMYFUNCTION("""COMPUTED_VALUE"""),0.0)</f>
        <v>0</v>
      </c>
      <c r="AY140" s="40">
        <f>IFERROR(__xludf.DUMMYFUNCTION("""COMPUTED_VALUE"""),0.0)</f>
        <v>0</v>
      </c>
      <c r="AZ140" s="40">
        <f>IFERROR(__xludf.DUMMYFUNCTION("""COMPUTED_VALUE"""),0.0)</f>
        <v>0</v>
      </c>
      <c r="BA140" s="40" t="str">
        <f>IFERROR(__xludf.DUMMYFUNCTION("""COMPUTED_VALUE"""),"X")</f>
        <v>X</v>
      </c>
      <c r="BB140" s="40">
        <f>IFERROR(__xludf.DUMMYFUNCTION("""COMPUTED_VALUE"""),0.0)</f>
        <v>0</v>
      </c>
      <c r="BC140" s="53" t="str">
        <f>IFERROR(__xludf.DUMMYFUNCTION("""COMPUTED_VALUE"""),"20 - SAMADHI RODRIGUEZ, 24 - FERNEY PIÑEROS Y LEIDY")</f>
        <v>20 - SAMADHI RODRIGUEZ, 24 - FERNEY PIÑEROS Y LEIDY</v>
      </c>
      <c r="BD140" s="48"/>
      <c r="BE140" s="48"/>
      <c r="BF140" s="48"/>
    </row>
    <row r="141">
      <c r="A141" s="39" t="str">
        <f>IFERROR(__xludf.DUMMYFUNCTION("""COMPUTED_VALUE"""),"028")</f>
        <v>028</v>
      </c>
      <c r="B141" s="40" t="str">
        <f>IFERROR(__xludf.DUMMYFUNCTION("""COMPUTED_VALUE"""),"Casa en barrio Las Granjas")</f>
        <v>Casa en barrio Las Granjas</v>
      </c>
      <c r="C141" s="40" t="str">
        <f>IFERROR(__xludf.DUMMYFUNCTION("""COMPUTED_VALUE"""),"Casa")</f>
        <v>Casa</v>
      </c>
      <c r="D141" s="40" t="str">
        <f>IFERROR(__xludf.DUMMYFUNCTION("""COMPUTED_VALUE"""),"Las Granjas")</f>
        <v>Las Granjas</v>
      </c>
      <c r="E141" s="42"/>
      <c r="F141" s="42">
        <f>IFERROR(__xludf.DUMMYFUNCTION("""COMPUTED_VALUE"""),4.0E8)</f>
        <v>400000000</v>
      </c>
      <c r="G141" s="40" t="str">
        <f>IFERROR(__xludf.DUMMYFUNCTION("""COMPUTED_VALUE"""),"$400'000.000 a $500'000.000")</f>
        <v>$400'000.000 a $500'000.000</v>
      </c>
      <c r="H141" s="40"/>
      <c r="I141" s="40"/>
      <c r="J141" s="40" t="str">
        <f>IFERROR(__xludf.DUMMYFUNCTION("""COMPUTED_VALUE"""),"Norte")</f>
        <v>Norte</v>
      </c>
      <c r="K141" s="39" t="str">
        <f>IFERROR(__xludf.DUMMYFUNCTION("""COMPUTED_VALUE"""),"2")</f>
        <v>2</v>
      </c>
      <c r="L141" s="40">
        <f>IFERROR(__xludf.DUMMYFUNCTION("""COMPUTED_VALUE"""),6.0)</f>
        <v>6</v>
      </c>
      <c r="M141" s="40"/>
      <c r="N141" s="40">
        <f>IFERROR(__xludf.DUMMYFUNCTION("""COMPUTED_VALUE"""),2.0)</f>
        <v>2</v>
      </c>
      <c r="O141" s="40">
        <f>IFERROR(__xludf.DUMMYFUNCTION("""COMPUTED_VALUE"""),1.0)</f>
        <v>1</v>
      </c>
      <c r="P141" s="40">
        <f>IFERROR(__xludf.DUMMYFUNCTION("""COMPUTED_VALUE"""),1.0)</f>
        <v>1</v>
      </c>
      <c r="Q141" s="48"/>
      <c r="R141" s="48">
        <f>IFERROR(__xludf.DUMMYFUNCTION("""COMPUTED_VALUE"""),280.0)</f>
        <v>280</v>
      </c>
      <c r="S141" s="39" t="str">
        <f>IFERROR(__xludf.DUMMYFUNCTION("""COMPUTED_VALUE""")," ")</f>
        <v> </v>
      </c>
      <c r="T141" s="40" t="str">
        <f>IFERROR(__xludf.DUMMYFUNCTION("""COMPUTED_VALUE"""),"Neiva")</f>
        <v>Neiva</v>
      </c>
      <c r="U141" s="39" t="str">
        <f>IFERROR(__xludf.DUMMYFUNCTION("""COMPUTED_VALUE"""),"2")</f>
        <v>2</v>
      </c>
      <c r="V141" s="40" t="str">
        <f>IFERROR(__xludf.DUMMYFUNCTION("""COMPUTED_VALUE"""),"Medianera")</f>
        <v>Medianera</v>
      </c>
      <c r="W141" s="46"/>
      <c r="X141" s="46"/>
      <c r="Y141" s="40" t="str">
        <f>IFERROR(__xludf.DUMMYFUNCTION("""COMPUTED_VALUE"""),"No tiene")</f>
        <v>No tiene</v>
      </c>
      <c r="Z141" s="42" t="str">
        <f>IFERROR(__xludf.DUMMYFUNCTION("""COMPUTED_VALUE"""),"No aplica")</f>
        <v>No aplica</v>
      </c>
      <c r="AA141" s="49" t="str">
        <f>IFERROR(__xludf.DUMMYFUNCTION("""COMPUTED_VALUE"""),"No aplica")</f>
        <v>No aplica</v>
      </c>
      <c r="AB141" s="40"/>
      <c r="AC141" s="40"/>
      <c r="AD141" s="40"/>
      <c r="AE141" s="40"/>
      <c r="AF141" s="40" t="str">
        <f>IFERROR(__xludf.DUMMYFUNCTION("""COMPUTED_VALUE"""),"integral")</f>
        <v>integral</v>
      </c>
      <c r="AG141" s="40"/>
      <c r="AH141" s="40" t="str">
        <f>IFERROR(__xludf.DUMMYFUNCTION("""COMPUTED_VALUE"""),"Inventario")</f>
        <v>Inventario</v>
      </c>
      <c r="AI141" s="40"/>
      <c r="AJ141" s="40" t="str">
        <f>IFERROR(__xludf.DUMMYFUNCTION("""COMPUTED_VALUE"""),"ICDE")</f>
        <v>ICDE</v>
      </c>
      <c r="AK141" s="40"/>
      <c r="AL141" s="40"/>
      <c r="AM141" s="40"/>
      <c r="AN141" s="40"/>
      <c r="AO141" s="40"/>
      <c r="AP141" s="40"/>
      <c r="AQ141" s="40"/>
      <c r="AR141" s="40"/>
      <c r="AS141" s="53"/>
      <c r="AT141" s="40">
        <f>IFERROR(__xludf.DUMMYFUNCTION("""COMPUTED_VALUE"""),0.0)</f>
        <v>0</v>
      </c>
      <c r="AU141" s="40">
        <f>IFERROR(__xludf.DUMMYFUNCTION("""COMPUTED_VALUE"""),0.0)</f>
        <v>0</v>
      </c>
      <c r="AV141" s="40">
        <f>IFERROR(__xludf.DUMMYFUNCTION("""COMPUTED_VALUE"""),0.0)</f>
        <v>0</v>
      </c>
      <c r="AW141" s="40" t="str">
        <f>IFERROR(__xludf.DUMMYFUNCTION("""COMPUTED_VALUE"""),"SI")</f>
        <v>SI</v>
      </c>
      <c r="AX141" s="40"/>
      <c r="AY141" s="40" t="str">
        <f>IFERROR(__xludf.DUMMYFUNCTION("""COMPUTED_VALUE"""),"M")</f>
        <v>M</v>
      </c>
      <c r="AZ141" s="40"/>
      <c r="BA141" s="40" t="str">
        <f>IFERROR(__xludf.DUMMYFUNCTION("""COMPUTED_VALUE"""),"X")</f>
        <v>X</v>
      </c>
      <c r="BB141" s="40"/>
      <c r="BC141" s="53"/>
      <c r="BD141" s="48"/>
      <c r="BE141" s="48"/>
      <c r="BF141" s="48"/>
    </row>
    <row r="142">
      <c r="A142" s="39" t="str">
        <f>IFERROR(__xludf.DUMMYFUNCTION("""COMPUTED_VALUE"""),"299")</f>
        <v>299</v>
      </c>
      <c r="B142" s="40" t="str">
        <f>IFERROR(__xludf.DUMMYFUNCTION("""COMPUTED_VALUE"""),"Apartamento en Edificio Quirinal")</f>
        <v>Apartamento en Edificio Quirinal</v>
      </c>
      <c r="C142" s="40" t="str">
        <f>IFERROR(__xludf.DUMMYFUNCTION("""COMPUTED_VALUE"""),"Apartamento")</f>
        <v>Apartamento</v>
      </c>
      <c r="D142" s="40" t="str">
        <f>IFERROR(__xludf.DUMMYFUNCTION("""COMPUTED_VALUE"""),"Quirinal")</f>
        <v>Quirinal</v>
      </c>
      <c r="E142" s="40"/>
      <c r="F142" s="42">
        <f>IFERROR(__xludf.DUMMYFUNCTION("""COMPUTED_VALUE"""),3.9E8)</f>
        <v>390000000</v>
      </c>
      <c r="G142" s="40" t="str">
        <f>IFERROR(__xludf.DUMMYFUNCTION("""COMPUTED_VALUE"""),"$300'000.000 a $400'000.000")</f>
        <v>$300'000.000 a $400'000.000</v>
      </c>
      <c r="H142" s="40"/>
      <c r="I142" s="40"/>
      <c r="J142" s="40" t="str">
        <f>IFERROR(__xludf.DUMMYFUNCTION("""COMPUTED_VALUE"""),"Centro")</f>
        <v>Centro</v>
      </c>
      <c r="K142" s="39" t="str">
        <f>IFERROR(__xludf.DUMMYFUNCTION("""COMPUTED_VALUE"""),"3")</f>
        <v>3</v>
      </c>
      <c r="L142" s="40">
        <f>IFERROR(__xludf.DUMMYFUNCTION("""COMPUTED_VALUE"""),4.0)</f>
        <v>4</v>
      </c>
      <c r="M142" s="40"/>
      <c r="N142" s="40">
        <f>IFERROR(__xludf.DUMMYFUNCTION("""COMPUTED_VALUE"""),2.0)</f>
        <v>2</v>
      </c>
      <c r="O142" s="40">
        <f>IFERROR(__xludf.DUMMYFUNCTION("""COMPUTED_VALUE"""),2.0)</f>
        <v>2</v>
      </c>
      <c r="P142" s="40">
        <f>IFERROR(__xludf.DUMMYFUNCTION("""COMPUTED_VALUE"""),1.0)</f>
        <v>1</v>
      </c>
      <c r="Q142" s="48">
        <f>IFERROR(__xludf.DUMMYFUNCTION("""COMPUTED_VALUE"""),177.0)</f>
        <v>177</v>
      </c>
      <c r="R142" s="48">
        <f>IFERROR(__xludf.DUMMYFUNCTION("""COMPUTED_VALUE"""),177.0)</f>
        <v>177</v>
      </c>
      <c r="S142" s="39" t="str">
        <f>IFERROR(__xludf.DUMMYFUNCTION("""COMPUTED_VALUE""")," ")</f>
        <v> </v>
      </c>
      <c r="T142" s="40" t="str">
        <f>IFERROR(__xludf.DUMMYFUNCTION("""COMPUTED_VALUE"""),"Neiva")</f>
        <v>Neiva</v>
      </c>
      <c r="U142" s="39" t="str">
        <f>IFERROR(__xludf.DUMMYFUNCTION("""COMPUTED_VALUE"""),"6")</f>
        <v>6</v>
      </c>
      <c r="V142" s="40"/>
      <c r="W142" s="46"/>
      <c r="X142" s="46">
        <f>IFERROR(__xludf.DUMMYFUNCTION("""COMPUTED_VALUE"""),3.0)</f>
        <v>3</v>
      </c>
      <c r="Y142" s="40" t="str">
        <f>IFERROR(__xludf.DUMMYFUNCTION("""COMPUTED_VALUE"""),"Jacuzzi")</f>
        <v>Jacuzzi</v>
      </c>
      <c r="Z142" s="42">
        <f>IFERROR(__xludf.DUMMYFUNCTION("""COMPUTED_VALUE"""),400000.0)</f>
        <v>400000</v>
      </c>
      <c r="AA142" s="49" t="str">
        <f>IFERROR(__xludf.DUMMYFUNCTION("""COMPUTED_VALUE"""),"No aplica")</f>
        <v>No aplica</v>
      </c>
      <c r="AB142" s="48"/>
      <c r="AC142" s="40" t="str">
        <f>IFERROR(__xludf.DUMMYFUNCTION("""COMPUTED_VALUE"""),"Ubicado en el primer piso")</f>
        <v>Ubicado en el primer piso</v>
      </c>
      <c r="AD142" s="40"/>
      <c r="AE142" s="40"/>
      <c r="AF142" s="40" t="str">
        <f>IFERROR(__xludf.DUMMYFUNCTION("""COMPUTED_VALUE"""),"integral")</f>
        <v>integral</v>
      </c>
      <c r="AG142" s="40"/>
      <c r="AH142" s="40" t="str">
        <f>IFERROR(__xludf.DUMMYFUNCTION("""COMPUTED_VALUE"""),"Inventario")</f>
        <v>Inventario</v>
      </c>
      <c r="AI142" s="40"/>
      <c r="AJ142" s="40" t="str">
        <f>IFERROR(__xludf.DUMMYFUNCTION("""COMPUTED_VALUE"""),"ICDE")</f>
        <v>ICDE</v>
      </c>
      <c r="AK142" s="40"/>
      <c r="AL142" s="40" t="str">
        <f>IFERROR(__xludf.DUMMYFUNCTION("""COMPUTED_VALUE"""),"TIENE FOTOS")</f>
        <v>TIENE FOTOS</v>
      </c>
      <c r="AM142" s="40">
        <f>IFERROR(__xludf.DUMMYFUNCTION("""COMPUTED_VALUE"""),3.182817926E9)</f>
        <v>3182817926</v>
      </c>
      <c r="AN142" s="40">
        <f>IFERROR(__xludf.DUMMYFUNCTION("""COMPUTED_VALUE"""),0.0)</f>
        <v>0</v>
      </c>
      <c r="AO142" s="40" t="str">
        <f>IFERROR(__xludf.DUMMYFUNCTION("""COMPUTED_VALUE"""),"CLAUDIA")</f>
        <v>CLAUDIA</v>
      </c>
      <c r="AP142" s="40" t="str">
        <f>IFERROR(__xludf.DUMMYFUNCTION("""COMPUTED_VALUE"""),"Carrera 5 A NO. 16 - 58")</f>
        <v>Carrera 5 A NO. 16 - 58</v>
      </c>
      <c r="AQ142" s="40"/>
      <c r="AR142" s="40"/>
      <c r="AS142" s="53">
        <f>IFERROR(__xludf.DUMMYFUNCTION("""COMPUTED_VALUE"""),0.0)</f>
        <v>0</v>
      </c>
      <c r="AT142" s="40">
        <f>IFERROR(__xludf.DUMMYFUNCTION("""COMPUTED_VALUE"""),0.0)</f>
        <v>0</v>
      </c>
      <c r="AU142" s="40">
        <f>IFERROR(__xludf.DUMMYFUNCTION("""COMPUTED_VALUE"""),0.0)</f>
        <v>0</v>
      </c>
      <c r="AV142" s="40">
        <f>IFERROR(__xludf.DUMMYFUNCTION("""COMPUTED_VALUE"""),0.0)</f>
        <v>0</v>
      </c>
      <c r="AW142" s="40" t="str">
        <f>IFERROR(__xludf.DUMMYFUNCTION("""COMPUTED_VALUE"""),"NO")</f>
        <v>NO</v>
      </c>
      <c r="AX142" s="40">
        <f>IFERROR(__xludf.DUMMYFUNCTION("""COMPUTED_VALUE"""),0.0)</f>
        <v>0</v>
      </c>
      <c r="AY142" s="40">
        <f>IFERROR(__xludf.DUMMYFUNCTION("""COMPUTED_VALUE"""),0.0)</f>
        <v>0</v>
      </c>
      <c r="AZ142" s="40">
        <f>IFERROR(__xludf.DUMMYFUNCTION("""COMPUTED_VALUE"""),0.0)</f>
        <v>0</v>
      </c>
      <c r="BA142" s="40" t="str">
        <f>IFERROR(__xludf.DUMMYFUNCTION("""COMPUTED_VALUE"""),"X")</f>
        <v>X</v>
      </c>
      <c r="BB142" s="40">
        <f>IFERROR(__xludf.DUMMYFUNCTION("""COMPUTED_VALUE"""),0.0)</f>
        <v>0</v>
      </c>
      <c r="BC142" s="53"/>
      <c r="BD142" s="48"/>
      <c r="BE142" s="48"/>
      <c r="BF142" s="48"/>
    </row>
    <row r="143">
      <c r="A143" s="39" t="str">
        <f>IFERROR(__xludf.DUMMYFUNCTION("""COMPUTED_VALUE"""),"1098")</f>
        <v>1098</v>
      </c>
      <c r="B143" s="40" t="str">
        <f>IFERROR(__xludf.DUMMYFUNCTION("""COMPUTED_VALUE"""),"Casa en barrio Villa Carolina")</f>
        <v>Casa en barrio Villa Carolina</v>
      </c>
      <c r="C143" s="40" t="str">
        <f>IFERROR(__xludf.DUMMYFUNCTION("""COMPUTED_VALUE"""),"Casa")</f>
        <v>Casa</v>
      </c>
      <c r="D143" s="40" t="str">
        <f>IFERROR(__xludf.DUMMYFUNCTION("""COMPUTED_VALUE"""),"Villa Carolina")</f>
        <v>Villa Carolina</v>
      </c>
      <c r="E143" s="42" t="str">
        <f>IFERROR(__xludf.DUMMYFUNCTION("""COMPUTED_VALUE""")," ")</f>
        <v> </v>
      </c>
      <c r="F143" s="42">
        <f>IFERROR(__xludf.DUMMYFUNCTION("""COMPUTED_VALUE"""),3.9E8)</f>
        <v>390000000</v>
      </c>
      <c r="G143" s="40" t="str">
        <f>IFERROR(__xludf.DUMMYFUNCTION("""COMPUTED_VALUE"""),"$300'000.000 a $400'000.000")</f>
        <v>$300'000.000 a $400'000.000</v>
      </c>
      <c r="H143" s="40"/>
      <c r="I143" s="40"/>
      <c r="J143" s="40" t="str">
        <f>IFERROR(__xludf.DUMMYFUNCTION("""COMPUTED_VALUE"""),"Norte")</f>
        <v>Norte</v>
      </c>
      <c r="K143" s="39" t="str">
        <f>IFERROR(__xludf.DUMMYFUNCTION("""COMPUTED_VALUE"""),"2")</f>
        <v>2</v>
      </c>
      <c r="L143" s="40">
        <f>IFERROR(__xludf.DUMMYFUNCTION("""COMPUTED_VALUE"""),4.0)</f>
        <v>4</v>
      </c>
      <c r="M143" s="40"/>
      <c r="N143" s="40">
        <f>IFERROR(__xludf.DUMMYFUNCTION("""COMPUTED_VALUE"""),2.0)</f>
        <v>2</v>
      </c>
      <c r="O143" s="40">
        <f>IFERROR(__xludf.DUMMYFUNCTION("""COMPUTED_VALUE"""),4.0)</f>
        <v>4</v>
      </c>
      <c r="P143" s="40">
        <f>IFERROR(__xludf.DUMMYFUNCTION("""COMPUTED_VALUE"""),2.0)</f>
        <v>2</v>
      </c>
      <c r="Q143" s="48"/>
      <c r="R143" s="48">
        <f>IFERROR(__xludf.DUMMYFUNCTION("""COMPUTED_VALUE"""),162.0)</f>
        <v>162</v>
      </c>
      <c r="S143" s="39" t="str">
        <f>IFERROR(__xludf.DUMMYFUNCTION("""COMPUTED_VALUE""")," ")</f>
        <v> </v>
      </c>
      <c r="T143" s="40" t="str">
        <f>IFERROR(__xludf.DUMMYFUNCTION("""COMPUTED_VALUE"""),"Neiva")</f>
        <v>Neiva</v>
      </c>
      <c r="U143" s="39" t="str">
        <f>IFERROR(__xludf.DUMMYFUNCTION("""COMPUTED_VALUE"""),"3")</f>
        <v>3</v>
      </c>
      <c r="V143" s="40" t="str">
        <f>IFERROR(__xludf.DUMMYFUNCTION("""COMPUTED_VALUE"""),"Esquinera")</f>
        <v>Esquinera</v>
      </c>
      <c r="W143" s="46"/>
      <c r="X143" s="46">
        <f>IFERROR(__xludf.DUMMYFUNCTION("""COMPUTED_VALUE"""),0.0)</f>
        <v>0</v>
      </c>
      <c r="Y143" s="40" t="str">
        <f>IFERROR(__xludf.DUMMYFUNCTION("""COMPUTED_VALUE"""),"No tiene")</f>
        <v>No tiene</v>
      </c>
      <c r="Z143" s="42" t="str">
        <f>IFERROR(__xludf.DUMMYFUNCTION("""COMPUTED_VALUE"""),"No aplica")</f>
        <v>No aplica</v>
      </c>
      <c r="AA143" s="49" t="str">
        <f>IFERROR(__xludf.DUMMYFUNCTION("""COMPUTED_VALUE"""),"No aplica")</f>
        <v>No aplica</v>
      </c>
      <c r="AB143" s="48"/>
      <c r="AC143" s="40"/>
      <c r="AD143" s="40"/>
      <c r="AE143" s="40"/>
      <c r="AF143" s="40" t="str">
        <f>IFERROR(__xludf.DUMMYFUNCTION("""COMPUTED_VALUE"""),"integral")</f>
        <v>integral</v>
      </c>
      <c r="AG143" s="40"/>
      <c r="AH143" s="40" t="str">
        <f>IFERROR(__xludf.DUMMYFUNCTION("""COMPUTED_VALUE"""),"Inventario")</f>
        <v>Inventario</v>
      </c>
      <c r="AI143" s="40"/>
      <c r="AJ143" s="40" t="str">
        <f>IFERROR(__xludf.DUMMYFUNCTION("""COMPUTED_VALUE"""),"ICDE")</f>
        <v>ICDE</v>
      </c>
      <c r="AK143" s="40"/>
      <c r="AL143" s="40" t="str">
        <f>IFERROR(__xludf.DUMMYFUNCTION("""COMPUTED_VALUE"""),"TIENE FOTOS")</f>
        <v>TIENE FOTOS</v>
      </c>
      <c r="AM143" s="40">
        <f>IFERROR(__xludf.DUMMYFUNCTION("""COMPUTED_VALUE"""),3.10251239E9)</f>
        <v>3102512390</v>
      </c>
      <c r="AN143" s="40">
        <f>IFERROR(__xludf.DUMMYFUNCTION("""COMPUTED_VALUE"""),0.0)</f>
        <v>0</v>
      </c>
      <c r="AO143" s="40" t="str">
        <f>IFERROR(__xludf.DUMMYFUNCTION("""COMPUTED_VALUE"""),"HERNANDO - Propietario")</f>
        <v>HERNANDO - Propietario</v>
      </c>
      <c r="AP143" s="40" t="str">
        <f>IFERROR(__xludf.DUMMYFUNCTION("""COMPUTED_VALUE"""),"CARRERA 17 A No. XXXX")</f>
        <v>CARRERA 17 A No. XXXX</v>
      </c>
      <c r="AQ143" s="40"/>
      <c r="AR143" s="40"/>
      <c r="AS143" s="53">
        <f>IFERROR(__xludf.DUMMYFUNCTION("""COMPUTED_VALUE"""),0.0)</f>
        <v>0</v>
      </c>
      <c r="AT143" s="40">
        <f>IFERROR(__xludf.DUMMYFUNCTION("""COMPUTED_VALUE"""),0.0)</f>
        <v>0</v>
      </c>
      <c r="AU143" s="40">
        <f>IFERROR(__xludf.DUMMYFUNCTION("""COMPUTED_VALUE"""),0.0)</f>
        <v>0</v>
      </c>
      <c r="AV143" s="40">
        <f>IFERROR(__xludf.DUMMYFUNCTION("""COMPUTED_VALUE"""),0.0)</f>
        <v>0</v>
      </c>
      <c r="AW143" s="40" t="str">
        <f>IFERROR(__xludf.DUMMYFUNCTION("""COMPUTED_VALUE"""),"NO")</f>
        <v>NO</v>
      </c>
      <c r="AX143" s="40">
        <f>IFERROR(__xludf.DUMMYFUNCTION("""COMPUTED_VALUE"""),0.0)</f>
        <v>0</v>
      </c>
      <c r="AY143" s="40">
        <f>IFERROR(__xludf.DUMMYFUNCTION("""COMPUTED_VALUE"""),0.0)</f>
        <v>0</v>
      </c>
      <c r="AZ143" s="40">
        <f>IFERROR(__xludf.DUMMYFUNCTION("""COMPUTED_VALUE"""),0.0)</f>
        <v>0</v>
      </c>
      <c r="BA143" s="40" t="str">
        <f>IFERROR(__xludf.DUMMYFUNCTION("""COMPUTED_VALUE"""),"X")</f>
        <v>X</v>
      </c>
      <c r="BB143" s="40">
        <f>IFERROR(__xludf.DUMMYFUNCTION("""COMPUTED_VALUE"""),0.0)</f>
        <v>0</v>
      </c>
      <c r="BC143" s="53"/>
      <c r="BD143" s="48"/>
      <c r="BE143" s="48"/>
      <c r="BF143" s="48"/>
    </row>
    <row r="144">
      <c r="A144" s="39" t="str">
        <f>IFERROR(__xludf.DUMMYFUNCTION("""COMPUTED_VALUE"""),"403")</f>
        <v>403</v>
      </c>
      <c r="B144" s="40" t="str">
        <f>IFERROR(__xludf.DUMMYFUNCTION("""COMPUTED_VALUE"""),"Casa en barrio Las Granjas ")</f>
        <v>Casa en barrio Las Granjas </v>
      </c>
      <c r="C144" s="40" t="str">
        <f>IFERROR(__xludf.DUMMYFUNCTION("""COMPUTED_VALUE"""),"Casa")</f>
        <v>Casa</v>
      </c>
      <c r="D144" s="40" t="str">
        <f>IFERROR(__xludf.DUMMYFUNCTION("""COMPUTED_VALUE"""),"Las Granjas ")</f>
        <v>Las Granjas </v>
      </c>
      <c r="E144" s="40"/>
      <c r="F144" s="42">
        <f>IFERROR(__xludf.DUMMYFUNCTION("""COMPUTED_VALUE"""),3.8E8)</f>
        <v>380000000</v>
      </c>
      <c r="G144" s="40" t="str">
        <f>IFERROR(__xludf.DUMMYFUNCTION("""COMPUTED_VALUE"""),"$300'000.000 a $400'000.000")</f>
        <v>$300'000.000 a $400'000.000</v>
      </c>
      <c r="H144" s="40"/>
      <c r="I144" s="40"/>
      <c r="J144" s="40" t="str">
        <f>IFERROR(__xludf.DUMMYFUNCTION("""COMPUTED_VALUE"""),"Norte")</f>
        <v>Norte</v>
      </c>
      <c r="K144" s="39" t="str">
        <f>IFERROR(__xludf.DUMMYFUNCTION("""COMPUTED_VALUE"""),"2")</f>
        <v>2</v>
      </c>
      <c r="L144" s="40">
        <f>IFERROR(__xludf.DUMMYFUNCTION("""COMPUTED_VALUE"""),5.0)</f>
        <v>5</v>
      </c>
      <c r="M144" s="40"/>
      <c r="N144" s="40">
        <f>IFERROR(__xludf.DUMMYFUNCTION("""COMPUTED_VALUE"""),3.0)</f>
        <v>3</v>
      </c>
      <c r="O144" s="40">
        <f>IFERROR(__xludf.DUMMYFUNCTION("""COMPUTED_VALUE"""),1.0)</f>
        <v>1</v>
      </c>
      <c r="P144" s="40">
        <f>IFERROR(__xludf.DUMMYFUNCTION("""COMPUTED_VALUE"""),1.0)</f>
        <v>1</v>
      </c>
      <c r="Q144" s="48">
        <f>IFERROR(__xludf.DUMMYFUNCTION("""COMPUTED_VALUE"""),198.0)</f>
        <v>198</v>
      </c>
      <c r="R144" s="48">
        <f>IFERROR(__xludf.DUMMYFUNCTION("""COMPUTED_VALUE"""),198.0)</f>
        <v>198</v>
      </c>
      <c r="S144" s="39" t="str">
        <f>IFERROR(__xludf.DUMMYFUNCTION("""COMPUTED_VALUE""")," ")</f>
        <v> </v>
      </c>
      <c r="T144" s="40" t="str">
        <f>IFERROR(__xludf.DUMMYFUNCTION("""COMPUTED_VALUE"""),"Neiva")</f>
        <v>Neiva</v>
      </c>
      <c r="U144" s="39" t="str">
        <f>IFERROR(__xludf.DUMMYFUNCTION("""COMPUTED_VALUE"""),"2")</f>
        <v>2</v>
      </c>
      <c r="V144" s="40" t="str">
        <f>IFERROR(__xludf.DUMMYFUNCTION("""COMPUTED_VALUE"""),"Medianera")</f>
        <v>Medianera</v>
      </c>
      <c r="W144" s="46"/>
      <c r="X144" s="46">
        <f>IFERROR(__xludf.DUMMYFUNCTION("""COMPUTED_VALUE"""),0.0)</f>
        <v>0</v>
      </c>
      <c r="Y144" s="40" t="str">
        <f>IFERROR(__xludf.DUMMYFUNCTION("""COMPUTED_VALUE"""),"No tiene")</f>
        <v>No tiene</v>
      </c>
      <c r="Z144" s="42" t="str">
        <f>IFERROR(__xludf.DUMMYFUNCTION("""COMPUTED_VALUE"""),"No aplica")</f>
        <v>No aplica</v>
      </c>
      <c r="AA144" s="49" t="str">
        <f>IFERROR(__xludf.DUMMYFUNCTION("""COMPUTED_VALUE"""),"No aplica")</f>
        <v>No aplica</v>
      </c>
      <c r="AB144" s="48"/>
      <c r="AC144" s="40"/>
      <c r="AD144" s="40"/>
      <c r="AE144" s="40"/>
      <c r="AF144" s="40" t="str">
        <f>IFERROR(__xludf.DUMMYFUNCTION("""COMPUTED_VALUE"""),"integral")</f>
        <v>integral</v>
      </c>
      <c r="AG144" s="40"/>
      <c r="AH144" s="40" t="str">
        <f>IFERROR(__xludf.DUMMYFUNCTION("""COMPUTED_VALUE"""),"Inventario")</f>
        <v>Inventario</v>
      </c>
      <c r="AI144" s="40"/>
      <c r="AJ144" s="40" t="str">
        <f>IFERROR(__xludf.DUMMYFUNCTION("""COMPUTED_VALUE"""),"ICDE")</f>
        <v>ICDE</v>
      </c>
      <c r="AK144" s="40"/>
      <c r="AL144" s="40" t="str">
        <f>IFERROR(__xludf.DUMMYFUNCTION("""COMPUTED_VALUE"""),"NUEVO - NOT IENE FOTOS")</f>
        <v>NUEVO - NOT IENE FOTOS</v>
      </c>
      <c r="AM144" s="40">
        <f>IFERROR(__xludf.DUMMYFUNCTION("""COMPUTED_VALUE"""),3.184196396E9)</f>
        <v>3184196396</v>
      </c>
      <c r="AN144" s="40">
        <f>IFERROR(__xludf.DUMMYFUNCTION("""COMPUTED_VALUE"""),0.0)</f>
        <v>0</v>
      </c>
      <c r="AO144" s="40" t="str">
        <f>IFERROR(__xludf.DUMMYFUNCTION("""COMPUTED_VALUE"""),"JHON FREDDY")</f>
        <v>JHON FREDDY</v>
      </c>
      <c r="AP144" s="40" t="str">
        <f>IFERROR(__xludf.DUMMYFUNCTION("""COMPUTED_VALUE"""),"CALLE 39 No. 7-107")</f>
        <v>CALLE 39 No. 7-107</v>
      </c>
      <c r="AQ144" s="40"/>
      <c r="AR144" s="40"/>
      <c r="AS144" s="53">
        <f>IFERROR(__xludf.DUMMYFUNCTION("""COMPUTED_VALUE"""),0.0)</f>
        <v>0</v>
      </c>
      <c r="AT144" s="40">
        <f>IFERROR(__xludf.DUMMYFUNCTION("""COMPUTED_VALUE"""),0.0)</f>
        <v>0</v>
      </c>
      <c r="AU144" s="40">
        <f>IFERROR(__xludf.DUMMYFUNCTION("""COMPUTED_VALUE"""),0.0)</f>
        <v>0</v>
      </c>
      <c r="AV144" s="40">
        <f>IFERROR(__xludf.DUMMYFUNCTION("""COMPUTED_VALUE"""),0.0)</f>
        <v>0</v>
      </c>
      <c r="AW144" s="40" t="str">
        <f>IFERROR(__xludf.DUMMYFUNCTION("""COMPUTED_VALUE"""),"NO")</f>
        <v>NO</v>
      </c>
      <c r="AX144" s="40">
        <f>IFERROR(__xludf.DUMMYFUNCTION("""COMPUTED_VALUE"""),0.0)</f>
        <v>0</v>
      </c>
      <c r="AY144" s="40" t="str">
        <f>IFERROR(__xludf.DUMMYFUNCTION("""COMPUTED_VALUE"""),"M")</f>
        <v>M</v>
      </c>
      <c r="AZ144" s="40">
        <f>IFERROR(__xludf.DUMMYFUNCTION("""COMPUTED_VALUE"""),9.0)</f>
        <v>9</v>
      </c>
      <c r="BA144" s="40" t="str">
        <f>IFERROR(__xludf.DUMMYFUNCTION("""COMPUTED_VALUE"""),"X")</f>
        <v>X</v>
      </c>
      <c r="BB144" s="40">
        <f>IFERROR(__xludf.DUMMYFUNCTION("""COMPUTED_VALUE"""),22.0)</f>
        <v>22</v>
      </c>
      <c r="BC144" s="53" t="str">
        <f>IFERROR(__xludf.DUMMYFUNCTION("""COMPUTED_VALUE"""),"12 - LEIDY YULIETH, 26 - NINI CASTAÑO")</f>
        <v>12 - LEIDY YULIETH, 26 - NINI CASTAÑO</v>
      </c>
      <c r="BD144" s="48"/>
      <c r="BE144" s="48"/>
      <c r="BF144" s="48"/>
    </row>
    <row r="145">
      <c r="A145" s="39" t="str">
        <f>IFERROR(__xludf.DUMMYFUNCTION("""COMPUTED_VALUE"""),"224")</f>
        <v>224</v>
      </c>
      <c r="B145" s="40" t="str">
        <f>IFERROR(__xludf.DUMMYFUNCTION("""COMPUTED_VALUE"""),"Casa con tres apartamentos en barrio Las Granjas")</f>
        <v>Casa con tres apartamentos en barrio Las Granjas</v>
      </c>
      <c r="C145" s="40" t="str">
        <f>IFERROR(__xludf.DUMMYFUNCTION("""COMPUTED_VALUE"""),"Casa rentable")</f>
        <v>Casa rentable</v>
      </c>
      <c r="D145" s="40" t="str">
        <f>IFERROR(__xludf.DUMMYFUNCTION("""COMPUTED_VALUE"""),"Las Granjas ")</f>
        <v>Las Granjas </v>
      </c>
      <c r="E145" s="42" t="str">
        <f>IFERROR(__xludf.DUMMYFUNCTION("""COMPUTED_VALUE""")," ")</f>
        <v> </v>
      </c>
      <c r="F145" s="42">
        <f>IFERROR(__xludf.DUMMYFUNCTION("""COMPUTED_VALUE"""),3.8E8)</f>
        <v>380000000</v>
      </c>
      <c r="G145" s="40" t="str">
        <f>IFERROR(__xludf.DUMMYFUNCTION("""COMPUTED_VALUE"""),"$300'000.000 a $400'000.000")</f>
        <v>$300'000.000 a $400'000.000</v>
      </c>
      <c r="H145" s="40"/>
      <c r="I145" s="40"/>
      <c r="J145" s="40" t="str">
        <f>IFERROR(__xludf.DUMMYFUNCTION("""COMPUTED_VALUE"""),"Norte")</f>
        <v>Norte</v>
      </c>
      <c r="K145" s="39" t="str">
        <f>IFERROR(__xludf.DUMMYFUNCTION("""COMPUTED_VALUE"""),"2")</f>
        <v>2</v>
      </c>
      <c r="L145" s="40">
        <f>IFERROR(__xludf.DUMMYFUNCTION("""COMPUTED_VALUE"""),6.0)</f>
        <v>6</v>
      </c>
      <c r="M145" s="40"/>
      <c r="N145" s="40">
        <f>IFERROR(__xludf.DUMMYFUNCTION("""COMPUTED_VALUE"""),3.0)</f>
        <v>3</v>
      </c>
      <c r="O145" s="40">
        <f>IFERROR(__xludf.DUMMYFUNCTION("""COMPUTED_VALUE"""),1.0)</f>
        <v>1</v>
      </c>
      <c r="P145" s="40">
        <f>IFERROR(__xludf.DUMMYFUNCTION("""COMPUTED_VALUE"""),2.0)</f>
        <v>2</v>
      </c>
      <c r="Q145" s="48"/>
      <c r="R145" s="48">
        <f>IFERROR(__xludf.DUMMYFUNCTION("""COMPUTED_VALUE"""),180.0)</f>
        <v>180</v>
      </c>
      <c r="S145" s="39" t="str">
        <f>IFERROR(__xludf.DUMMYFUNCTION("""COMPUTED_VALUE"""),"Rentabilidad $1,270,000")</f>
        <v>Rentabilidad $1,270,000</v>
      </c>
      <c r="T145" s="40" t="str">
        <f>IFERROR(__xludf.DUMMYFUNCTION("""COMPUTED_VALUE"""),"Neiva")</f>
        <v>Neiva</v>
      </c>
      <c r="U145" s="39" t="str">
        <f>IFERROR(__xludf.DUMMYFUNCTION("""COMPUTED_VALUE"""),"2")</f>
        <v>2</v>
      </c>
      <c r="V145" s="40" t="str">
        <f>IFERROR(__xludf.DUMMYFUNCTION("""COMPUTED_VALUE"""),"Medianera")</f>
        <v>Medianera</v>
      </c>
      <c r="W145" s="46"/>
      <c r="X145" s="46">
        <f>IFERROR(__xludf.DUMMYFUNCTION("""COMPUTED_VALUE"""),4.0)</f>
        <v>4</v>
      </c>
      <c r="Y145" s="53" t="str">
        <f>IFERROR(__xludf.DUMMYFUNCTION("""COMPUTED_VALUE"""),"No tiene")</f>
        <v>No tiene</v>
      </c>
      <c r="Z145" s="42" t="str">
        <f>IFERROR(__xludf.DUMMYFUNCTION("""COMPUTED_VALUE"""),"No aplica")</f>
        <v>No aplica</v>
      </c>
      <c r="AA145" s="49" t="str">
        <f>IFERROR(__xludf.DUMMYFUNCTION("""COMPUTED_VALUE"""),"25 años")</f>
        <v>25 años</v>
      </c>
      <c r="AB145" s="48"/>
      <c r="AC145" s="40"/>
      <c r="AD145" s="40"/>
      <c r="AE145" s="40"/>
      <c r="AF145" s="40" t="str">
        <f>IFERROR(__xludf.DUMMYFUNCTION("""COMPUTED_VALUE"""),"básica")</f>
        <v>básica</v>
      </c>
      <c r="AG145" s="40"/>
      <c r="AH145" s="40" t="str">
        <f>IFERROR(__xludf.DUMMYFUNCTION("""COMPUTED_VALUE"""),"Inventario")</f>
        <v>Inventario</v>
      </c>
      <c r="AI145" s="40"/>
      <c r="AJ145" s="40" t="str">
        <f>IFERROR(__xludf.DUMMYFUNCTION("""COMPUTED_VALUE"""),"ICDE")</f>
        <v>ICDE</v>
      </c>
      <c r="AK145" s="40"/>
      <c r="AL145" s="40" t="str">
        <f>IFERROR(__xludf.DUMMYFUNCTION("""COMPUTED_VALUE"""),"NO FOTOS INT.")</f>
        <v>NO FOTOS INT.</v>
      </c>
      <c r="AM145" s="40">
        <f>IFERROR(__xludf.DUMMYFUNCTION("""COMPUTED_VALUE"""),3.002675357E9)</f>
        <v>3002675357</v>
      </c>
      <c r="AN145" s="40">
        <f>IFERROR(__xludf.DUMMYFUNCTION("""COMPUTED_VALUE"""),0.0)</f>
        <v>0</v>
      </c>
      <c r="AO145" s="40" t="str">
        <f>IFERROR(__xludf.DUMMYFUNCTION("""COMPUTED_VALUE"""),"IVON - HIJA SRA. JULIA")</f>
        <v>IVON - HIJA SRA. JULIA</v>
      </c>
      <c r="AP145" s="40" t="str">
        <f>IFERROR(__xludf.DUMMYFUNCTION("""COMPUTED_VALUE"""),"Calle 32 No. 6 - ")</f>
        <v>Calle 32 No. 6 - </v>
      </c>
      <c r="AQ145" s="40"/>
      <c r="AR145" s="40"/>
      <c r="AS145" s="53">
        <f>IFERROR(__xludf.DUMMYFUNCTION("""COMPUTED_VALUE"""),1270000.0)</f>
        <v>1270000</v>
      </c>
      <c r="AT145" s="40">
        <f>IFERROR(__xludf.DUMMYFUNCTION("""COMPUTED_VALUE"""),0.0)</f>
        <v>0</v>
      </c>
      <c r="AU145" s="40">
        <f>IFERROR(__xludf.DUMMYFUNCTION("""COMPUTED_VALUE"""),0.0)</f>
        <v>0</v>
      </c>
      <c r="AV145" s="40">
        <f>IFERROR(__xludf.DUMMYFUNCTION("""COMPUTED_VALUE"""),0.0)</f>
        <v>0</v>
      </c>
      <c r="AW145" s="40" t="str">
        <f>IFERROR(__xludf.DUMMYFUNCTION("""COMPUTED_VALUE"""),"NO")</f>
        <v>NO</v>
      </c>
      <c r="AX145" s="40">
        <f>IFERROR(__xludf.DUMMYFUNCTION("""COMPUTED_VALUE"""),0.0)</f>
        <v>0</v>
      </c>
      <c r="AY145" s="40">
        <f>IFERROR(__xludf.DUMMYFUNCTION("""COMPUTED_VALUE"""),0.0)</f>
        <v>0</v>
      </c>
      <c r="AZ145" s="40">
        <f>IFERROR(__xludf.DUMMYFUNCTION("""COMPUTED_VALUE"""),9.0)</f>
        <v>9</v>
      </c>
      <c r="BA145" s="40" t="str">
        <f>IFERROR(__xludf.DUMMYFUNCTION("""COMPUTED_VALUE"""),"X")</f>
        <v>X</v>
      </c>
      <c r="BB145" s="40">
        <f>IFERROR(__xludf.DUMMYFUNCTION("""COMPUTED_VALUE"""),20.0)</f>
        <v>20</v>
      </c>
      <c r="BC145" s="53"/>
      <c r="BD145" s="40"/>
      <c r="BE145" s="40"/>
      <c r="BF145" s="40"/>
    </row>
    <row r="146">
      <c r="A146" s="39" t="str">
        <f>IFERROR(__xludf.DUMMYFUNCTION("""COMPUTED_VALUE"""),"170")</f>
        <v>170</v>
      </c>
      <c r="B146" s="40" t="str">
        <f>IFERROR(__xludf.DUMMYFUNCTION("""COMPUTED_VALUE"""),"Casa con apartamento en barrio Chapinero")</f>
        <v>Casa con apartamento en barrio Chapinero</v>
      </c>
      <c r="C146" s="40" t="str">
        <f>IFERROR(__xludf.DUMMYFUNCTION("""COMPUTED_VALUE"""),"Casa rentable")</f>
        <v>Casa rentable</v>
      </c>
      <c r="D146" s="40" t="str">
        <f>IFERROR(__xludf.DUMMYFUNCTION("""COMPUTED_VALUE"""),"Chapinero")</f>
        <v>Chapinero</v>
      </c>
      <c r="E146" s="42" t="str">
        <f>IFERROR(__xludf.DUMMYFUNCTION("""COMPUTED_VALUE""")," ")</f>
        <v> </v>
      </c>
      <c r="F146" s="42">
        <f>IFERROR(__xludf.DUMMYFUNCTION("""COMPUTED_VALUE"""),3.8E8)</f>
        <v>380000000</v>
      </c>
      <c r="G146" s="40" t="str">
        <f>IFERROR(__xludf.DUMMYFUNCTION("""COMPUTED_VALUE"""),"$300'000.000 a $400'000.000")</f>
        <v>$300'000.000 a $400'000.000</v>
      </c>
      <c r="H146" s="40"/>
      <c r="I146" s="40"/>
      <c r="J146" s="40" t="str">
        <f>IFERROR(__xludf.DUMMYFUNCTION("""COMPUTED_VALUE"""),"Centro")</f>
        <v>Centro</v>
      </c>
      <c r="K146" s="39" t="str">
        <f>IFERROR(__xludf.DUMMYFUNCTION("""COMPUTED_VALUE"""),"3")</f>
        <v>3</v>
      </c>
      <c r="L146" s="40">
        <f>IFERROR(__xludf.DUMMYFUNCTION("""COMPUTED_VALUE"""),3.0)</f>
        <v>3</v>
      </c>
      <c r="M146" s="40"/>
      <c r="N146" s="40">
        <f>IFERROR(__xludf.DUMMYFUNCTION("""COMPUTED_VALUE"""),1.0)</f>
        <v>1</v>
      </c>
      <c r="O146" s="40">
        <f>IFERROR(__xludf.DUMMYFUNCTION("""COMPUTED_VALUE"""),0.0)</f>
        <v>0</v>
      </c>
      <c r="P146" s="40">
        <f>IFERROR(__xludf.DUMMYFUNCTION("""COMPUTED_VALUE"""),1.0)</f>
        <v>1</v>
      </c>
      <c r="Q146" s="48"/>
      <c r="R146" s="48">
        <f>IFERROR(__xludf.DUMMYFUNCTION("""COMPUTED_VALUE"""),112.0)</f>
        <v>112</v>
      </c>
      <c r="S146" s="39" t="str">
        <f>IFERROR(__xludf.DUMMYFUNCTION("""COMPUTED_VALUE""")," ")</f>
        <v> </v>
      </c>
      <c r="T146" s="40" t="str">
        <f>IFERROR(__xludf.DUMMYFUNCTION("""COMPUTED_VALUE"""),"Neiva")</f>
        <v>Neiva</v>
      </c>
      <c r="U146" s="39" t="str">
        <f>IFERROR(__xludf.DUMMYFUNCTION("""COMPUTED_VALUE"""),"3")</f>
        <v>3</v>
      </c>
      <c r="V146" s="40" t="str">
        <f>IFERROR(__xludf.DUMMYFUNCTION("""COMPUTED_VALUE"""),"Medianera")</f>
        <v>Medianera</v>
      </c>
      <c r="W146" s="46"/>
      <c r="X146" s="46">
        <f>IFERROR(__xludf.DUMMYFUNCTION("""COMPUTED_VALUE"""),0.0)</f>
        <v>0</v>
      </c>
      <c r="Y146" s="40" t="str">
        <f>IFERROR(__xludf.DUMMYFUNCTION("""COMPUTED_VALUE"""),"No tiene")</f>
        <v>No tiene</v>
      </c>
      <c r="Z146" s="42" t="str">
        <f>IFERROR(__xludf.DUMMYFUNCTION("""COMPUTED_VALUE"""),"No aplica")</f>
        <v>No aplica</v>
      </c>
      <c r="AA146" s="49" t="str">
        <f>IFERROR(__xludf.DUMMYFUNCTION("""COMPUTED_VALUE"""),"No aplica")</f>
        <v>No aplica</v>
      </c>
      <c r="AB146" s="48"/>
      <c r="AC146" s="40"/>
      <c r="AD146" s="40"/>
      <c r="AE146" s="40"/>
      <c r="AF146" s="40" t="str">
        <f>IFERROR(__xludf.DUMMYFUNCTION("""COMPUTED_VALUE"""),"básica")</f>
        <v>básica</v>
      </c>
      <c r="AG146" s="40"/>
      <c r="AH146" s="40" t="str">
        <f>IFERROR(__xludf.DUMMYFUNCTION("""COMPUTED_VALUE"""),"Inventario")</f>
        <v>Inventario</v>
      </c>
      <c r="AI146" s="40"/>
      <c r="AJ146" s="40" t="str">
        <f>IFERROR(__xludf.DUMMYFUNCTION("""COMPUTED_VALUE"""),"ICDE")</f>
        <v>ICDE</v>
      </c>
      <c r="AK146" s="40"/>
      <c r="AL146" s="40" t="str">
        <f>IFERROR(__xludf.DUMMYFUNCTION("""COMPUTED_VALUE"""),"NO FOTOS + DESCRIPCION")</f>
        <v>NO FOTOS + DESCRIPCION</v>
      </c>
      <c r="AM146" s="40">
        <f>IFERROR(__xludf.DUMMYFUNCTION("""COMPUTED_VALUE"""),3.204931589E9)</f>
        <v>3204931589</v>
      </c>
      <c r="AN146" s="40">
        <f>IFERROR(__xludf.DUMMYFUNCTION("""COMPUTED_VALUE"""),3.114264183E9)</f>
        <v>3114264183</v>
      </c>
      <c r="AO146" s="40" t="str">
        <f>IFERROR(__xludf.DUMMYFUNCTION("""COMPUTED_VALUE"""),"DAVID - TIO ALEXANDER - uno de los Herederos")</f>
        <v>DAVID - TIO ALEXANDER - uno de los Herederos</v>
      </c>
      <c r="AP146" s="40" t="str">
        <f>IFERROR(__xludf.DUMMYFUNCTION("""COMPUTED_VALUE"""),"CARRERA 9 No. 11-20")</f>
        <v>CARRERA 9 No. 11-20</v>
      </c>
      <c r="AQ146" s="40"/>
      <c r="AR146" s="40"/>
      <c r="AS146" s="53">
        <f>IFERROR(__xludf.DUMMYFUNCTION("""COMPUTED_VALUE"""),0.0)</f>
        <v>0</v>
      </c>
      <c r="AT146" s="40">
        <f>IFERROR(__xludf.DUMMYFUNCTION("""COMPUTED_VALUE"""),0.0)</f>
        <v>0</v>
      </c>
      <c r="AU146" s="40">
        <f>IFERROR(__xludf.DUMMYFUNCTION("""COMPUTED_VALUE"""),0.0)</f>
        <v>0</v>
      </c>
      <c r="AV146" s="40">
        <f>IFERROR(__xludf.DUMMYFUNCTION("""COMPUTED_VALUE"""),0.0)</f>
        <v>0</v>
      </c>
      <c r="AW146" s="40" t="str">
        <f>IFERROR(__xludf.DUMMYFUNCTION("""COMPUTED_VALUE"""),"NO")</f>
        <v>NO</v>
      </c>
      <c r="AX146" s="40">
        <f>IFERROR(__xludf.DUMMYFUNCTION("""COMPUTED_VALUE"""),0.0)</f>
        <v>0</v>
      </c>
      <c r="AY146" s="40">
        <f>IFERROR(__xludf.DUMMYFUNCTION("""COMPUTED_VALUE"""),0.0)</f>
        <v>0</v>
      </c>
      <c r="AZ146" s="40">
        <f>IFERROR(__xludf.DUMMYFUNCTION("""COMPUTED_VALUE"""),0.0)</f>
        <v>0</v>
      </c>
      <c r="BA146" s="40" t="str">
        <f>IFERROR(__xludf.DUMMYFUNCTION("""COMPUTED_VALUE"""),"X")</f>
        <v>X</v>
      </c>
      <c r="BB146" s="40">
        <f>IFERROR(__xludf.DUMMYFUNCTION("""COMPUTED_VALUE"""),0.0)</f>
        <v>0</v>
      </c>
      <c r="BC146" s="53" t="str">
        <f>IFERROR(__xludf.DUMMYFUNCTION("""COMPUTED_VALUE"""),"5 - Inmobiliaria ROCHA - Andrés")</f>
        <v>5 - Inmobiliaria ROCHA - Andrés</v>
      </c>
      <c r="BD146" s="48"/>
      <c r="BE146" s="48"/>
      <c r="BF146" s="48"/>
    </row>
    <row r="147">
      <c r="A147" s="39" t="str">
        <f>IFERROR(__xludf.DUMMYFUNCTION("""COMPUTED_VALUE"""),"527")</f>
        <v>527</v>
      </c>
      <c r="B147" s="40" t="str">
        <f>IFERROR(__xludf.DUMMYFUNCTION("""COMPUTED_VALUE"""),"Casa en barrio Los Cámbulos II")</f>
        <v>Casa en barrio Los Cámbulos II</v>
      </c>
      <c r="C147" s="40" t="str">
        <f>IFERROR(__xludf.DUMMYFUNCTION("""COMPUTED_VALUE"""),"Casa")</f>
        <v>Casa</v>
      </c>
      <c r="D147" s="40" t="str">
        <f>IFERROR(__xludf.DUMMYFUNCTION("""COMPUTED_VALUE"""),"Los Cámbulos II")</f>
        <v>Los Cámbulos II</v>
      </c>
      <c r="E147" s="40"/>
      <c r="F147" s="42">
        <f>IFERROR(__xludf.DUMMYFUNCTION("""COMPUTED_VALUE"""),3.7E8)</f>
        <v>370000000</v>
      </c>
      <c r="G147" s="40" t="str">
        <f>IFERROR(__xludf.DUMMYFUNCTION("""COMPUTED_VALUE"""),"$300'000.000 a $400'000.000")</f>
        <v>$300'000.000 a $400'000.000</v>
      </c>
      <c r="H147" s="40"/>
      <c r="I147" s="40"/>
      <c r="J147" s="40" t="str">
        <f>IFERROR(__xludf.DUMMYFUNCTION("""COMPUTED_VALUE"""),"Norte")</f>
        <v>Norte</v>
      </c>
      <c r="K147" s="39" t="str">
        <f>IFERROR(__xludf.DUMMYFUNCTION("""COMPUTED_VALUE"""),"2")</f>
        <v>2</v>
      </c>
      <c r="L147" s="40">
        <f>IFERROR(__xludf.DUMMYFUNCTION("""COMPUTED_VALUE"""),3.0)</f>
        <v>3</v>
      </c>
      <c r="M147" s="40"/>
      <c r="N147" s="40">
        <f>IFERROR(__xludf.DUMMYFUNCTION("""COMPUTED_VALUE"""),2.0)</f>
        <v>2</v>
      </c>
      <c r="O147" s="40">
        <f>IFERROR(__xludf.DUMMYFUNCTION("""COMPUTED_VALUE"""),1.0)</f>
        <v>1</v>
      </c>
      <c r="P147" s="40">
        <f>IFERROR(__xludf.DUMMYFUNCTION("""COMPUTED_VALUE"""),2.0)</f>
        <v>2</v>
      </c>
      <c r="Q147" s="48">
        <f>IFERROR(__xludf.DUMMYFUNCTION("""COMPUTED_VALUE"""),150.0)</f>
        <v>150</v>
      </c>
      <c r="R147" s="48">
        <f>IFERROR(__xludf.DUMMYFUNCTION("""COMPUTED_VALUE"""),84.0)</f>
        <v>84</v>
      </c>
      <c r="S147" s="39" t="str">
        <f>IFERROR(__xludf.DUMMYFUNCTION("""COMPUTED_VALUE""")," ")</f>
        <v> </v>
      </c>
      <c r="T147" s="40" t="str">
        <f>IFERROR(__xludf.DUMMYFUNCTION("""COMPUTED_VALUE"""),"Neiva")</f>
        <v>Neiva</v>
      </c>
      <c r="U147" s="39" t="str">
        <f>IFERROR(__xludf.DUMMYFUNCTION("""COMPUTED_VALUE"""),"3")</f>
        <v>3</v>
      </c>
      <c r="V147" s="40" t="str">
        <f>IFERROR(__xludf.DUMMYFUNCTION("""COMPUTED_VALUE"""),"Medianera")</f>
        <v>Medianera</v>
      </c>
      <c r="W147" s="46"/>
      <c r="X147" s="46">
        <f>IFERROR(__xludf.DUMMYFUNCTION("""COMPUTED_VALUE"""),3.0)</f>
        <v>3</v>
      </c>
      <c r="Y147" s="40" t="str">
        <f>IFERROR(__xludf.DUMMYFUNCTION("""COMPUTED_VALUE"""),"No tiene")</f>
        <v>No tiene</v>
      </c>
      <c r="Z147" s="42" t="str">
        <f>IFERROR(__xludf.DUMMYFUNCTION("""COMPUTED_VALUE"""),"No aplica")</f>
        <v>No aplica</v>
      </c>
      <c r="AA147" s="49" t="str">
        <f>IFERROR(__xludf.DUMMYFUNCTION("""COMPUTED_VALUE"""),"No aplica")</f>
        <v>No aplica</v>
      </c>
      <c r="AB147" s="40"/>
      <c r="AC147" s="40"/>
      <c r="AD147" s="40"/>
      <c r="AE147" s="40"/>
      <c r="AF147" s="40" t="str">
        <f>IFERROR(__xludf.DUMMYFUNCTION("""COMPUTED_VALUE"""),"integral")</f>
        <v>integral</v>
      </c>
      <c r="AG147" s="40"/>
      <c r="AH147" s="40" t="str">
        <f>IFERROR(__xludf.DUMMYFUNCTION("""COMPUTED_VALUE"""),"Inventario")</f>
        <v>Inventario</v>
      </c>
      <c r="AI147" s="40"/>
      <c r="AJ147" s="40" t="str">
        <f>IFERROR(__xludf.DUMMYFUNCTION("""COMPUTED_VALUE"""),"ICDE")</f>
        <v>ICDE</v>
      </c>
      <c r="AK147" s="40"/>
      <c r="AL147" s="40" t="str">
        <f>IFERROR(__xludf.DUMMYFUNCTION("""COMPUTED_VALUE"""),"NO FOTOS + DESCRIPCION")</f>
        <v>NO FOTOS + DESCRIPCION</v>
      </c>
      <c r="AM147" s="40">
        <f>IFERROR(__xludf.DUMMYFUNCTION("""COMPUTED_VALUE"""),3.15856928E9)</f>
        <v>3158569280</v>
      </c>
      <c r="AN147" s="40">
        <f>IFERROR(__xludf.DUMMYFUNCTION("""COMPUTED_VALUE"""),0.0)</f>
        <v>0</v>
      </c>
      <c r="AO147" s="40" t="str">
        <f>IFERROR(__xludf.DUMMYFUNCTION("""COMPUTED_VALUE"""),"ALIRIO")</f>
        <v>ALIRIO</v>
      </c>
      <c r="AP147" s="40" t="str">
        <f>IFERROR(__xludf.DUMMYFUNCTION("""COMPUTED_VALUE"""),"CARRERA 9 No. 28-17")</f>
        <v>CARRERA 9 No. 28-17</v>
      </c>
      <c r="AQ147" s="40"/>
      <c r="AR147" s="40"/>
      <c r="AS147" s="53">
        <f>IFERROR(__xludf.DUMMYFUNCTION("""COMPUTED_VALUE"""),0.0)</f>
        <v>0</v>
      </c>
      <c r="AT147" s="40">
        <f>IFERROR(__xludf.DUMMYFUNCTION("""COMPUTED_VALUE"""),0.0)</f>
        <v>0</v>
      </c>
      <c r="AU147" s="40">
        <f>IFERROR(__xludf.DUMMYFUNCTION("""COMPUTED_VALUE"""),0.0)</f>
        <v>0</v>
      </c>
      <c r="AV147" s="40">
        <f>IFERROR(__xludf.DUMMYFUNCTION("""COMPUTED_VALUE"""),0.0)</f>
        <v>0</v>
      </c>
      <c r="AW147" s="40" t="str">
        <f>IFERROR(__xludf.DUMMYFUNCTION("""COMPUTED_VALUE"""),"SI")</f>
        <v>SI</v>
      </c>
      <c r="AX147" s="40">
        <f>IFERROR(__xludf.DUMMYFUNCTION("""COMPUTED_VALUE"""),0.0)</f>
        <v>0</v>
      </c>
      <c r="AY147" s="40" t="str">
        <f>IFERROR(__xludf.DUMMYFUNCTION("""COMPUTED_VALUE"""),"P")</f>
        <v>P</v>
      </c>
      <c r="AZ147" s="40">
        <f>IFERROR(__xludf.DUMMYFUNCTION("""COMPUTED_VALUE"""),6.0)</f>
        <v>6</v>
      </c>
      <c r="BA147" s="40" t="str">
        <f>IFERROR(__xludf.DUMMYFUNCTION("""COMPUTED_VALUE"""),"X")</f>
        <v>X</v>
      </c>
      <c r="BB147" s="40">
        <f>IFERROR(__xludf.DUMMYFUNCTION("""COMPUTED_VALUE"""),14.0)</f>
        <v>14</v>
      </c>
      <c r="BC147" s="53"/>
      <c r="BD147" s="48"/>
      <c r="BE147" s="48"/>
      <c r="BF147" s="48"/>
    </row>
    <row r="148">
      <c r="A148" s="39" t="str">
        <f>IFERROR(__xludf.DUMMYFUNCTION("""COMPUTED_VALUE"""),"437")</f>
        <v>437</v>
      </c>
      <c r="B148" s="40" t="str">
        <f>IFERROR(__xludf.DUMMYFUNCTION("""COMPUTED_VALUE"""),"Casa con tres apartamentos en barrio Alamos Norte")</f>
        <v>Casa con tres apartamentos en barrio Alamos Norte</v>
      </c>
      <c r="C148" s="40" t="str">
        <f>IFERROR(__xludf.DUMMYFUNCTION("""COMPUTED_VALUE"""),"Casa rentable")</f>
        <v>Casa rentable</v>
      </c>
      <c r="D148" s="40" t="str">
        <f>IFERROR(__xludf.DUMMYFUNCTION("""COMPUTED_VALUE"""),"Alamos Norte")</f>
        <v>Alamos Norte</v>
      </c>
      <c r="E148" s="40"/>
      <c r="F148" s="42">
        <f>IFERROR(__xludf.DUMMYFUNCTION("""COMPUTED_VALUE"""),3.6E8)</f>
        <v>360000000</v>
      </c>
      <c r="G148" s="40" t="str">
        <f>IFERROR(__xludf.DUMMYFUNCTION("""COMPUTED_VALUE"""),"$300'000.000 a $400'000.000")</f>
        <v>$300'000.000 a $400'000.000</v>
      </c>
      <c r="H148" s="40"/>
      <c r="I148" s="40"/>
      <c r="J148" s="40" t="str">
        <f>IFERROR(__xludf.DUMMYFUNCTION("""COMPUTED_VALUE"""),"Norte")</f>
        <v>Norte</v>
      </c>
      <c r="K148" s="39"/>
      <c r="L148" s="40">
        <f>IFERROR(__xludf.DUMMYFUNCTION("""COMPUTED_VALUE"""),7.0)</f>
        <v>7</v>
      </c>
      <c r="M148" s="40"/>
      <c r="N148" s="40">
        <f>IFERROR(__xludf.DUMMYFUNCTION("""COMPUTED_VALUE"""),4.0)</f>
        <v>4</v>
      </c>
      <c r="O148" s="40">
        <f>IFERROR(__xludf.DUMMYFUNCTION("""COMPUTED_VALUE"""),1.0)</f>
        <v>1</v>
      </c>
      <c r="P148" s="40">
        <f>IFERROR(__xludf.DUMMYFUNCTION("""COMPUTED_VALUE"""),3.0)</f>
        <v>3</v>
      </c>
      <c r="Q148" s="48"/>
      <c r="R148" s="48">
        <f>IFERROR(__xludf.DUMMYFUNCTION("""COMPUTED_VALUE"""),112.0)</f>
        <v>112</v>
      </c>
      <c r="S148" s="39" t="str">
        <f>IFERROR(__xludf.DUMMYFUNCTION("""COMPUTED_VALUE"""),"Rentabilidad $1,750,000")</f>
        <v>Rentabilidad $1,750,000</v>
      </c>
      <c r="T148" s="40" t="str">
        <f>IFERROR(__xludf.DUMMYFUNCTION("""COMPUTED_VALUE"""),"Neiva")</f>
        <v>Neiva</v>
      </c>
      <c r="U148" s="39" t="str">
        <f>IFERROR(__xludf.DUMMYFUNCTION("""COMPUTED_VALUE"""),"2")</f>
        <v>2</v>
      </c>
      <c r="V148" s="40" t="str">
        <f>IFERROR(__xludf.DUMMYFUNCTION("""COMPUTED_VALUE"""),"Medianera")</f>
        <v>Medianera</v>
      </c>
      <c r="W148" s="46"/>
      <c r="X148" s="46">
        <f>IFERROR(__xludf.DUMMYFUNCTION("""COMPUTED_VALUE"""),7.0)</f>
        <v>7</v>
      </c>
      <c r="Y148" s="40" t="str">
        <f>IFERROR(__xludf.DUMMYFUNCTION("""COMPUTED_VALUE"""),"No tiene")</f>
        <v>No tiene</v>
      </c>
      <c r="Z148" s="42" t="str">
        <f>IFERROR(__xludf.DUMMYFUNCTION("""COMPUTED_VALUE"""),"No aplica")</f>
        <v>No aplica</v>
      </c>
      <c r="AA148" s="49" t="str">
        <f>IFERROR(__xludf.DUMMYFUNCTION("""COMPUTED_VALUE"""),"17 años")</f>
        <v>17 años</v>
      </c>
      <c r="AB148" s="48"/>
      <c r="AC148" s="40"/>
      <c r="AD148" s="40"/>
      <c r="AE148" s="40"/>
      <c r="AF148" s="40" t="str">
        <f>IFERROR(__xludf.DUMMYFUNCTION("""COMPUTED_VALUE"""),"semi-integral")</f>
        <v>semi-integral</v>
      </c>
      <c r="AG148" s="40"/>
      <c r="AH148" s="40" t="str">
        <f>IFERROR(__xludf.DUMMYFUNCTION("""COMPUTED_VALUE"""),"Inventario")</f>
        <v>Inventario</v>
      </c>
      <c r="AI148" s="40"/>
      <c r="AJ148" s="40" t="str">
        <f>IFERROR(__xludf.DUMMYFUNCTION("""COMPUTED_VALUE"""),"ICDE")</f>
        <v>ICDE</v>
      </c>
      <c r="AK148" s="40" t="str">
        <f>IFERROR(__xludf.DUMMYFUNCTION("""COMPUTED_VALUE"""),"NUEVO")</f>
        <v>NUEVO</v>
      </c>
      <c r="AL148" s="40" t="str">
        <f>IFERROR(__xludf.DUMMYFUNCTION("""COMPUTED_VALUE"""),"NO FOTOS-INTE-DESCRIP.")</f>
        <v>NO FOTOS-INTE-DESCRIP.</v>
      </c>
      <c r="AM148" s="40">
        <f>IFERROR(__xludf.DUMMYFUNCTION("""COMPUTED_VALUE"""),3.168652366E9)</f>
        <v>3168652366</v>
      </c>
      <c r="AN148" s="40">
        <f>IFERROR(__xludf.DUMMYFUNCTION("""COMPUTED_VALUE"""),3.162799261E9)</f>
        <v>3162799261</v>
      </c>
      <c r="AO148" s="40" t="str">
        <f>IFERROR(__xludf.DUMMYFUNCTION("""COMPUTED_VALUE"""),"FLORALBA PERDOMO")</f>
        <v>FLORALBA PERDOMO</v>
      </c>
      <c r="AP148" s="40" t="str">
        <f>IFERROR(__xludf.DUMMYFUNCTION("""COMPUTED_VALUE"""),"CARRERA 18 B No. 50 - 65")</f>
        <v>CARRERA 18 B No. 50 - 65</v>
      </c>
      <c r="AQ148" s="40"/>
      <c r="AR148" s="40"/>
      <c r="AS148" s="53">
        <f>IFERROR(__xludf.DUMMYFUNCTION("""COMPUTED_VALUE"""),1750000.0)</f>
        <v>1750000</v>
      </c>
      <c r="AT148" s="40">
        <f>IFERROR(__xludf.DUMMYFUNCTION("""COMPUTED_VALUE"""),0.0)</f>
        <v>0</v>
      </c>
      <c r="AU148" s="40">
        <f>IFERROR(__xludf.DUMMYFUNCTION("""COMPUTED_VALUE"""),0.0)</f>
        <v>0</v>
      </c>
      <c r="AV148" s="40">
        <f>IFERROR(__xludf.DUMMYFUNCTION("""COMPUTED_VALUE"""),0.0)</f>
        <v>0</v>
      </c>
      <c r="AW148" s="40" t="str">
        <f>IFERROR(__xludf.DUMMYFUNCTION("""COMPUTED_VALUE"""),"NO")</f>
        <v>NO</v>
      </c>
      <c r="AX148" s="40">
        <f>IFERROR(__xludf.DUMMYFUNCTION("""COMPUTED_VALUE"""),0.0)</f>
        <v>0</v>
      </c>
      <c r="AY148" s="40">
        <f>IFERROR(__xludf.DUMMYFUNCTION("""COMPUTED_VALUE"""),0.0)</f>
        <v>0</v>
      </c>
      <c r="AZ148" s="40">
        <f>IFERROR(__xludf.DUMMYFUNCTION("""COMPUTED_VALUE"""),8.0)</f>
        <v>8</v>
      </c>
      <c r="BA148" s="40" t="str">
        <f>IFERROR(__xludf.DUMMYFUNCTION("""COMPUTED_VALUE"""),"X")</f>
        <v>X</v>
      </c>
      <c r="BB148" s="40">
        <f>IFERROR(__xludf.DUMMYFUNCTION("""COMPUTED_VALUE"""),14.0)</f>
        <v>14</v>
      </c>
      <c r="BC148" s="53"/>
      <c r="BD148" s="48"/>
      <c r="BE148" s="48"/>
      <c r="BF148" s="48"/>
    </row>
    <row r="149">
      <c r="A149" s="39" t="str">
        <f>IFERROR(__xludf.DUMMYFUNCTION("""COMPUTED_VALUE"""),"150")</f>
        <v>150</v>
      </c>
      <c r="B149" s="40" t="str">
        <f>IFERROR(__xludf.DUMMYFUNCTION("""COMPUTED_VALUE"""),"Casa con cuatro apartamentos y un local en barrio Chapinero")</f>
        <v>Casa con cuatro apartamentos y un local en barrio Chapinero</v>
      </c>
      <c r="C149" s="40" t="str">
        <f>IFERROR(__xludf.DUMMYFUNCTION("""COMPUTED_VALUE"""),"Casa rentable")</f>
        <v>Casa rentable</v>
      </c>
      <c r="D149" s="40" t="str">
        <f>IFERROR(__xludf.DUMMYFUNCTION("""COMPUTED_VALUE"""),"Chapinero")</f>
        <v>Chapinero</v>
      </c>
      <c r="E149" s="42" t="str">
        <f>IFERROR(__xludf.DUMMYFUNCTION("""COMPUTED_VALUE""")," ")</f>
        <v> </v>
      </c>
      <c r="F149" s="42">
        <f>IFERROR(__xludf.DUMMYFUNCTION("""COMPUTED_VALUE"""),3.6E8)</f>
        <v>360000000</v>
      </c>
      <c r="G149" s="40" t="str">
        <f>IFERROR(__xludf.DUMMYFUNCTION("""COMPUTED_VALUE"""),"$300'000.000 a $400'000.000")</f>
        <v>$300'000.000 a $400'000.000</v>
      </c>
      <c r="H149" s="40"/>
      <c r="I149" s="40"/>
      <c r="J149" s="40" t="str">
        <f>IFERROR(__xludf.DUMMYFUNCTION("""COMPUTED_VALUE"""),"Oriente")</f>
        <v>Oriente</v>
      </c>
      <c r="K149" s="39" t="str">
        <f>IFERROR(__xludf.DUMMYFUNCTION("""COMPUTED_VALUE"""),"3")</f>
        <v>3</v>
      </c>
      <c r="L149" s="40">
        <f>IFERROR(__xludf.DUMMYFUNCTION("""COMPUTED_VALUE"""),0.0)</f>
        <v>0</v>
      </c>
      <c r="M149" s="40"/>
      <c r="N149" s="40">
        <f>IFERROR(__xludf.DUMMYFUNCTION("""COMPUTED_VALUE"""),0.0)</f>
        <v>0</v>
      </c>
      <c r="O149" s="40">
        <f>IFERROR(__xludf.DUMMYFUNCTION("""COMPUTED_VALUE"""),0.0)</f>
        <v>0</v>
      </c>
      <c r="P149" s="40">
        <f>IFERROR(__xludf.DUMMYFUNCTION("""COMPUTED_VALUE"""),1.0)</f>
        <v>1</v>
      </c>
      <c r="Q149" s="48">
        <f>IFERROR(__xludf.DUMMYFUNCTION("""COMPUTED_VALUE"""),156.0)</f>
        <v>156</v>
      </c>
      <c r="R149" s="48">
        <f>IFERROR(__xludf.DUMMYFUNCTION("""COMPUTED_VALUE"""),156.0)</f>
        <v>156</v>
      </c>
      <c r="S149" s="39" t="str">
        <f>IFERROR(__xludf.DUMMYFUNCTION("""COMPUTED_VALUE"""),"Rentabilidad $2,500,000")</f>
        <v>Rentabilidad $2,500,000</v>
      </c>
      <c r="T149" s="40" t="str">
        <f>IFERROR(__xludf.DUMMYFUNCTION("""COMPUTED_VALUE"""),"Neiva")</f>
        <v>Neiva</v>
      </c>
      <c r="U149" s="39" t="str">
        <f>IFERROR(__xludf.DUMMYFUNCTION("""COMPUTED_VALUE"""),"4")</f>
        <v>4</v>
      </c>
      <c r="V149" s="40" t="str">
        <f>IFERROR(__xludf.DUMMYFUNCTION("""COMPUTED_VALUE"""),"Esquinera")</f>
        <v>Esquinera</v>
      </c>
      <c r="W149" s="46"/>
      <c r="X149" s="46">
        <f>IFERROR(__xludf.DUMMYFUNCTION("""COMPUTED_VALUE"""),0.0)</f>
        <v>0</v>
      </c>
      <c r="Y149" s="40" t="str">
        <f>IFERROR(__xludf.DUMMYFUNCTION("""COMPUTED_VALUE"""),"No tiene")</f>
        <v>No tiene</v>
      </c>
      <c r="Z149" s="42" t="str">
        <f>IFERROR(__xludf.DUMMYFUNCTION("""COMPUTED_VALUE"""),"No aplica")</f>
        <v>No aplica</v>
      </c>
      <c r="AA149" s="49" t="str">
        <f>IFERROR(__xludf.DUMMYFUNCTION("""COMPUTED_VALUE"""),"12 años")</f>
        <v>12 años</v>
      </c>
      <c r="AB149" s="48"/>
      <c r="AC149" s="40"/>
      <c r="AD149" s="40"/>
      <c r="AE149" s="40"/>
      <c r="AF149" s="40" t="str">
        <f>IFERROR(__xludf.DUMMYFUNCTION("""COMPUTED_VALUE"""),"semi-integral")</f>
        <v>semi-integral</v>
      </c>
      <c r="AG149" s="40"/>
      <c r="AH149" s="40" t="str">
        <f>IFERROR(__xludf.DUMMYFUNCTION("""COMPUTED_VALUE"""),"Inventario")</f>
        <v>Inventario</v>
      </c>
      <c r="AI149" s="40"/>
      <c r="AJ149" s="40" t="str">
        <f>IFERROR(__xludf.DUMMYFUNCTION("""COMPUTED_VALUE"""),"ICDE")</f>
        <v>ICDE</v>
      </c>
      <c r="AK149" s="40"/>
      <c r="AL149" s="40" t="str">
        <f>IFERROR(__xludf.DUMMYFUNCTION("""COMPUTED_VALUE"""),"TIENE FOTOS-FALTA DESCRIPCION")</f>
        <v>TIENE FOTOS-FALTA DESCRIPCION</v>
      </c>
      <c r="AM149" s="40">
        <f>IFERROR(__xludf.DUMMYFUNCTION("""COMPUTED_VALUE"""),3.124986055E9)</f>
        <v>3124986055</v>
      </c>
      <c r="AN149" s="40">
        <f>IFERROR(__xludf.DUMMYFUNCTION("""COMPUTED_VALUE"""),0.0)</f>
        <v>0</v>
      </c>
      <c r="AO149" s="40" t="str">
        <f>IFERROR(__xludf.DUMMYFUNCTION("""COMPUTED_VALUE"""),"RICARDO VARGAS-LUIS DUQUE")</f>
        <v>RICARDO VARGAS-LUIS DUQUE</v>
      </c>
      <c r="AP149" s="40" t="str">
        <f>IFERROR(__xludf.DUMMYFUNCTION("""COMPUTED_VALUE"""),"10-02 Y 14-96")</f>
        <v>10-02 Y 14-96</v>
      </c>
      <c r="AQ149" s="40"/>
      <c r="AR149" s="40"/>
      <c r="AS149" s="53">
        <f>IFERROR(__xludf.DUMMYFUNCTION("""COMPUTED_VALUE"""),2500000.0)</f>
        <v>2500000</v>
      </c>
      <c r="AT149" s="40">
        <f>IFERROR(__xludf.DUMMYFUNCTION("""COMPUTED_VALUE"""),0.0)</f>
        <v>0</v>
      </c>
      <c r="AU149" s="40">
        <f>IFERROR(__xludf.DUMMYFUNCTION("""COMPUTED_VALUE"""),0.0)</f>
        <v>0</v>
      </c>
      <c r="AV149" s="40">
        <f>IFERROR(__xludf.DUMMYFUNCTION("""COMPUTED_VALUE"""),0.0)</f>
        <v>0</v>
      </c>
      <c r="AW149" s="40" t="str">
        <f>IFERROR(__xludf.DUMMYFUNCTION("""COMPUTED_VALUE"""),"NO")</f>
        <v>NO</v>
      </c>
      <c r="AX149" s="40">
        <f>IFERROR(__xludf.DUMMYFUNCTION("""COMPUTED_VALUE"""),0.0)</f>
        <v>0</v>
      </c>
      <c r="AY149" s="40">
        <f>IFERROR(__xludf.DUMMYFUNCTION("""COMPUTED_VALUE"""),0.0)</f>
        <v>0</v>
      </c>
      <c r="AZ149" s="40">
        <f>IFERROR(__xludf.DUMMYFUNCTION("""COMPUTED_VALUE"""),13.0)</f>
        <v>13</v>
      </c>
      <c r="BA149" s="40" t="str">
        <f>IFERROR(__xludf.DUMMYFUNCTION("""COMPUTED_VALUE"""),"X")</f>
        <v>X</v>
      </c>
      <c r="BB149" s="40">
        <f>IFERROR(__xludf.DUMMYFUNCTION("""COMPUTED_VALUE"""),12.0)</f>
        <v>12</v>
      </c>
      <c r="BC149" s="53" t="str">
        <f>IFERROR(__xludf.DUMMYFUNCTION("""COMPUTED_VALUE"""),"15 - JOSE LOZANO, 28 - ALEJO CABRERA")</f>
        <v>15 - JOSE LOZANO, 28 - ALEJO CABRERA</v>
      </c>
      <c r="BD149" s="48"/>
      <c r="BE149" s="48"/>
      <c r="BF149" s="48"/>
    </row>
    <row r="150">
      <c r="A150" s="39" t="str">
        <f>IFERROR(__xludf.DUMMYFUNCTION("""COMPUTED_VALUE"""),"748")</f>
        <v>748</v>
      </c>
      <c r="B150" s="40" t="str">
        <f>IFERROR(__xludf.DUMMYFUNCTION("""COMPUTED_VALUE"""),"Casa en barrio Las Granjas")</f>
        <v>Casa en barrio Las Granjas</v>
      </c>
      <c r="C150" s="40" t="str">
        <f>IFERROR(__xludf.DUMMYFUNCTION("""COMPUTED_VALUE"""),"Casa")</f>
        <v>Casa</v>
      </c>
      <c r="D150" s="40" t="str">
        <f>IFERROR(__xludf.DUMMYFUNCTION("""COMPUTED_VALUE"""),"Las Granjas")</f>
        <v>Las Granjas</v>
      </c>
      <c r="E150" s="42"/>
      <c r="F150" s="42">
        <f>IFERROR(__xludf.DUMMYFUNCTION("""COMPUTED_VALUE"""),3.5E8)</f>
        <v>350000000</v>
      </c>
      <c r="G150" s="40" t="str">
        <f>IFERROR(__xludf.DUMMYFUNCTION("""COMPUTED_VALUE"""),"$300'000.000 a $400'000.000")</f>
        <v>$300'000.000 a $400'000.000</v>
      </c>
      <c r="H150" s="40"/>
      <c r="I150" s="40"/>
      <c r="J150" s="40" t="str">
        <f>IFERROR(__xludf.DUMMYFUNCTION("""COMPUTED_VALUE"""),"Norte")</f>
        <v>Norte</v>
      </c>
      <c r="K150" s="39" t="str">
        <f>IFERROR(__xludf.DUMMYFUNCTION("""COMPUTED_VALUE"""),"2")</f>
        <v>2</v>
      </c>
      <c r="L150" s="40">
        <f>IFERROR(__xludf.DUMMYFUNCTION("""COMPUTED_VALUE"""),6.0)</f>
        <v>6</v>
      </c>
      <c r="M150" s="40"/>
      <c r="N150" s="40">
        <f>IFERROR(__xludf.DUMMYFUNCTION("""COMPUTED_VALUE"""),3.0)</f>
        <v>3</v>
      </c>
      <c r="O150" s="40">
        <f>IFERROR(__xludf.DUMMYFUNCTION("""COMPUTED_VALUE"""),0.0)</f>
        <v>0</v>
      </c>
      <c r="P150" s="40">
        <f>IFERROR(__xludf.DUMMYFUNCTION("""COMPUTED_VALUE"""),1.0)</f>
        <v>1</v>
      </c>
      <c r="Q150" s="48"/>
      <c r="R150" s="48">
        <f>IFERROR(__xludf.DUMMYFUNCTION("""COMPUTED_VALUE"""),162.0)</f>
        <v>162</v>
      </c>
      <c r="S150" s="39" t="str">
        <f>IFERROR(__xludf.DUMMYFUNCTION("""COMPUTED_VALUE"""),"Rentabilidad $1,300,000")</f>
        <v>Rentabilidad $1,300,000</v>
      </c>
      <c r="T150" s="40" t="str">
        <f>IFERROR(__xludf.DUMMYFUNCTION("""COMPUTED_VALUE"""),"Neiva")</f>
        <v>Neiva</v>
      </c>
      <c r="U150" s="39" t="str">
        <f>IFERROR(__xludf.DUMMYFUNCTION("""COMPUTED_VALUE"""),"2")</f>
        <v>2</v>
      </c>
      <c r="V150" s="40" t="str">
        <f>IFERROR(__xludf.DUMMYFUNCTION("""COMPUTED_VALUE"""),"Medianera")</f>
        <v>Medianera</v>
      </c>
      <c r="W150" s="46"/>
      <c r="X150" s="46">
        <f>IFERROR(__xludf.DUMMYFUNCTION("""COMPUTED_VALUE"""),0.0)</f>
        <v>0</v>
      </c>
      <c r="Y150" s="40" t="str">
        <f>IFERROR(__xludf.DUMMYFUNCTION("""COMPUTED_VALUE"""),"No tiene")</f>
        <v>No tiene</v>
      </c>
      <c r="Z150" s="42" t="str">
        <f>IFERROR(__xludf.DUMMYFUNCTION("""COMPUTED_VALUE"""),"No aplica")</f>
        <v>No aplica</v>
      </c>
      <c r="AA150" s="49"/>
      <c r="AB150" s="40"/>
      <c r="AC150" s="40"/>
      <c r="AD150" s="40"/>
      <c r="AE150" s="40"/>
      <c r="AF150" s="40" t="str">
        <f>IFERROR(__xludf.DUMMYFUNCTION("""COMPUTED_VALUE"""),"semi-integral")</f>
        <v>semi-integral</v>
      </c>
      <c r="AG150" s="40"/>
      <c r="AH150" s="40" t="str">
        <f>IFERROR(__xludf.DUMMYFUNCTION("""COMPUTED_VALUE"""),"Inventario")</f>
        <v>Inventario</v>
      </c>
      <c r="AI150" s="40"/>
      <c r="AJ150" s="40" t="str">
        <f>IFERROR(__xludf.DUMMYFUNCTION("""COMPUTED_VALUE"""),"ICDE")</f>
        <v>ICDE</v>
      </c>
      <c r="AK150" s="40"/>
      <c r="AL150" s="40"/>
      <c r="AM150" s="40">
        <f>IFERROR(__xludf.DUMMYFUNCTION("""COMPUTED_VALUE"""),3.228333193E9)</f>
        <v>3228333193</v>
      </c>
      <c r="AN150" s="40">
        <f>IFERROR(__xludf.DUMMYFUNCTION("""COMPUTED_VALUE"""),3.144467663E9)</f>
        <v>3144467663</v>
      </c>
      <c r="AO150" s="40" t="str">
        <f>IFERROR(__xludf.DUMMYFUNCTION("""COMPUTED_VALUE"""),"Wilson Perdomo")</f>
        <v>Wilson Perdomo</v>
      </c>
      <c r="AP150" s="40" t="str">
        <f>IFERROR(__xludf.DUMMYFUNCTION("""COMPUTED_VALUE"""),"calle 36 # 6 - 23")</f>
        <v>calle 36 # 6 - 23</v>
      </c>
      <c r="AQ150" s="40"/>
      <c r="AR150" s="40"/>
      <c r="AS150" s="53">
        <f>IFERROR(__xludf.DUMMYFUNCTION("""COMPUTED_VALUE"""),1300000.0)</f>
        <v>1300000</v>
      </c>
      <c r="AT150" s="40">
        <f>IFERROR(__xludf.DUMMYFUNCTION("""COMPUTED_VALUE"""),0.0)</f>
        <v>0</v>
      </c>
      <c r="AU150" s="40">
        <f>IFERROR(__xludf.DUMMYFUNCTION("""COMPUTED_VALUE"""),0.0)</f>
        <v>0</v>
      </c>
      <c r="AV150" s="40">
        <f>IFERROR(__xludf.DUMMYFUNCTION("""COMPUTED_VALUE"""),0.0)</f>
        <v>0</v>
      </c>
      <c r="AW150" s="40" t="str">
        <f>IFERROR(__xludf.DUMMYFUNCTION("""COMPUTED_VALUE"""),"SI")</f>
        <v>SI</v>
      </c>
      <c r="AX150" s="40"/>
      <c r="AY150" s="40" t="str">
        <f>IFERROR(__xludf.DUMMYFUNCTION("""COMPUTED_VALUE"""),"P")</f>
        <v>P</v>
      </c>
      <c r="AZ150" s="40"/>
      <c r="BA150" s="40" t="str">
        <f>IFERROR(__xludf.DUMMYFUNCTION("""COMPUTED_VALUE"""),"X")</f>
        <v>X</v>
      </c>
      <c r="BB150" s="40"/>
      <c r="BC150" s="53" t="str">
        <f>IFERROR(__xludf.DUMMYFUNCTION("""COMPUTED_VALUE"""),"9 - ALBEIRO TOVAR, 24 - FERNEY PIÑEROS Y LEIDY")</f>
        <v>9 - ALBEIRO TOVAR, 24 - FERNEY PIÑEROS Y LEIDY</v>
      </c>
      <c r="BD150" s="48"/>
      <c r="BE150" s="48"/>
      <c r="BF150" s="48"/>
    </row>
    <row r="151">
      <c r="A151" s="39" t="str">
        <f>IFERROR(__xludf.DUMMYFUNCTION("""COMPUTED_VALUE"""),"515")</f>
        <v>515</v>
      </c>
      <c r="B151" s="40" t="str">
        <f>IFERROR(__xludf.DUMMYFUNCTION("""COMPUTED_VALUE"""),"Casa en barrio Villa Carolina")</f>
        <v>Casa en barrio Villa Carolina</v>
      </c>
      <c r="C151" s="40" t="str">
        <f>IFERROR(__xludf.DUMMYFUNCTION("""COMPUTED_VALUE"""),"Casa")</f>
        <v>Casa</v>
      </c>
      <c r="D151" s="40" t="str">
        <f>IFERROR(__xludf.DUMMYFUNCTION("""COMPUTED_VALUE"""),"Villa Carolina")</f>
        <v>Villa Carolina</v>
      </c>
      <c r="E151" s="40"/>
      <c r="F151" s="42">
        <f>IFERROR(__xludf.DUMMYFUNCTION("""COMPUTED_VALUE"""),3.5E8)</f>
        <v>350000000</v>
      </c>
      <c r="G151" s="40" t="str">
        <f>IFERROR(__xludf.DUMMYFUNCTION("""COMPUTED_VALUE"""),"$300'000.000 a $400'000.000")</f>
        <v>$300'000.000 a $400'000.000</v>
      </c>
      <c r="H151" s="40"/>
      <c r="I151" s="40"/>
      <c r="J151" s="40" t="str">
        <f>IFERROR(__xludf.DUMMYFUNCTION("""COMPUTED_VALUE"""),"Norte")</f>
        <v>Norte</v>
      </c>
      <c r="K151" s="39" t="str">
        <f>IFERROR(__xludf.DUMMYFUNCTION("""COMPUTED_VALUE"""),"2")</f>
        <v>2</v>
      </c>
      <c r="L151" s="40">
        <f>IFERROR(__xludf.DUMMYFUNCTION("""COMPUTED_VALUE"""),5.0)</f>
        <v>5</v>
      </c>
      <c r="M151" s="40"/>
      <c r="N151" s="40">
        <f>IFERROR(__xludf.DUMMYFUNCTION("""COMPUTED_VALUE"""),3.0)</f>
        <v>3</v>
      </c>
      <c r="O151" s="40">
        <f>IFERROR(__xludf.DUMMYFUNCTION("""COMPUTED_VALUE"""),1.0)</f>
        <v>1</v>
      </c>
      <c r="P151" s="40">
        <f>IFERROR(__xludf.DUMMYFUNCTION("""COMPUTED_VALUE"""),2.0)</f>
        <v>2</v>
      </c>
      <c r="Q151" s="48"/>
      <c r="R151" s="48">
        <f>IFERROR(__xludf.DUMMYFUNCTION("""COMPUTED_VALUE"""),0.0)</f>
        <v>0</v>
      </c>
      <c r="S151" s="39" t="str">
        <f>IFERROR(__xludf.DUMMYFUNCTION("""COMPUTED_VALUE""")," ")</f>
        <v> </v>
      </c>
      <c r="T151" s="40" t="str">
        <f>IFERROR(__xludf.DUMMYFUNCTION("""COMPUTED_VALUE"""),"NEIVA")</f>
        <v>NEIVA</v>
      </c>
      <c r="U151" s="39" t="str">
        <f>IFERROR(__xludf.DUMMYFUNCTION("""COMPUTED_VALUE"""),"3")</f>
        <v>3</v>
      </c>
      <c r="V151" s="40" t="str">
        <f>IFERROR(__xludf.DUMMYFUNCTION("""COMPUTED_VALUE"""),"Esquinera")</f>
        <v>Esquinera</v>
      </c>
      <c r="W151" s="46"/>
      <c r="X151" s="46">
        <f>IFERROR(__xludf.DUMMYFUNCTION("""COMPUTED_VALUE"""),2.0)</f>
        <v>2</v>
      </c>
      <c r="Y151" s="40" t="str">
        <f>IFERROR(__xludf.DUMMYFUNCTION("""COMPUTED_VALUE"""),"No tiene")</f>
        <v>No tiene</v>
      </c>
      <c r="Z151" s="42" t="str">
        <f>IFERROR(__xludf.DUMMYFUNCTION("""COMPUTED_VALUE"""),"No aplica")</f>
        <v>No aplica</v>
      </c>
      <c r="AA151" s="49" t="str">
        <f>IFERROR(__xludf.DUMMYFUNCTION("""COMPUTED_VALUE"""),"No aplica")</f>
        <v>No aplica</v>
      </c>
      <c r="AB151" s="40"/>
      <c r="AC151" s="40"/>
      <c r="AD151" s="40"/>
      <c r="AE151" s="40"/>
      <c r="AF151" s="40" t="str">
        <f>IFERROR(__xludf.DUMMYFUNCTION("""COMPUTED_VALUE"""),"integral")</f>
        <v>integral</v>
      </c>
      <c r="AG151" s="40"/>
      <c r="AH151" s="40" t="str">
        <f>IFERROR(__xludf.DUMMYFUNCTION("""COMPUTED_VALUE"""),"Inventario")</f>
        <v>Inventario</v>
      </c>
      <c r="AI151" s="40"/>
      <c r="AJ151" s="40" t="str">
        <f>IFERROR(__xludf.DUMMYFUNCTION("""COMPUTED_VALUE"""),"ICDE")</f>
        <v>ICDE</v>
      </c>
      <c r="AK151" s="40"/>
      <c r="AL151" s="40" t="str">
        <f>IFERROR(__xludf.DUMMYFUNCTION("""COMPUTED_VALUE"""),"NO FOTOS + DESCRIPCION")</f>
        <v>NO FOTOS + DESCRIPCION</v>
      </c>
      <c r="AM151" s="40">
        <f>IFERROR(__xludf.DUMMYFUNCTION("""COMPUTED_VALUE"""),3.173204952E9)</f>
        <v>3173204952</v>
      </c>
      <c r="AN151" s="40">
        <f>IFERROR(__xludf.DUMMYFUNCTION("""COMPUTED_VALUE"""),3.162200309E9)</f>
        <v>3162200309</v>
      </c>
      <c r="AO151" s="40" t="str">
        <f>IFERROR(__xludf.DUMMYFUNCTION("""COMPUTED_VALUE"""),"ANGELA")</f>
        <v>ANGELA</v>
      </c>
      <c r="AP151" s="40" t="str">
        <f>IFERROR(__xludf.DUMMYFUNCTION("""COMPUTED_VALUE"""),"CALLE 57 A No. 19 - 57")</f>
        <v>CALLE 57 A No. 19 - 57</v>
      </c>
      <c r="AQ151" s="40"/>
      <c r="AR151" s="40"/>
      <c r="AS151" s="53">
        <f>IFERROR(__xludf.DUMMYFUNCTION("""COMPUTED_VALUE"""),0.0)</f>
        <v>0</v>
      </c>
      <c r="AT151" s="40">
        <f>IFERROR(__xludf.DUMMYFUNCTION("""COMPUTED_VALUE"""),0.0)</f>
        <v>0</v>
      </c>
      <c r="AU151" s="40">
        <f>IFERROR(__xludf.DUMMYFUNCTION("""COMPUTED_VALUE"""),0.0)</f>
        <v>0</v>
      </c>
      <c r="AV151" s="40">
        <f>IFERROR(__xludf.DUMMYFUNCTION("""COMPUTED_VALUE"""),0.0)</f>
        <v>0</v>
      </c>
      <c r="AW151" s="40" t="str">
        <f>IFERROR(__xludf.DUMMYFUNCTION("""COMPUTED_VALUE"""),"NO")</f>
        <v>NO</v>
      </c>
      <c r="AX151" s="40">
        <f>IFERROR(__xludf.DUMMYFUNCTION("""COMPUTED_VALUE"""),0.0)</f>
        <v>0</v>
      </c>
      <c r="AY151" s="40" t="str">
        <f>IFERROR(__xludf.DUMMYFUNCTION("""COMPUTED_VALUE"""),"P")</f>
        <v>P</v>
      </c>
      <c r="AZ151" s="40">
        <f>IFERROR(__xludf.DUMMYFUNCTION("""COMPUTED_VALUE"""),0.0)</f>
        <v>0</v>
      </c>
      <c r="BA151" s="40" t="str">
        <f>IFERROR(__xludf.DUMMYFUNCTION("""COMPUTED_VALUE"""),"X")</f>
        <v>X</v>
      </c>
      <c r="BB151" s="40">
        <f>IFERROR(__xludf.DUMMYFUNCTION("""COMPUTED_VALUE"""),0.0)</f>
        <v>0</v>
      </c>
      <c r="BC151" s="53" t="str">
        <f>IFERROR(__xludf.DUMMYFUNCTION("""COMPUTED_VALUE"""),"9 - ALBEIRO TOVAR, 15 - SINDY MARCELA")</f>
        <v>9 - ALBEIRO TOVAR, 15 - SINDY MARCELA</v>
      </c>
      <c r="BD151" s="48"/>
      <c r="BE151" s="48"/>
      <c r="BF151" s="48"/>
    </row>
    <row r="152">
      <c r="A152" s="39" t="str">
        <f>IFERROR(__xludf.DUMMYFUNCTION("""COMPUTED_VALUE"""),"310")</f>
        <v>310</v>
      </c>
      <c r="B152" s="40" t="str">
        <f>IFERROR(__xludf.DUMMYFUNCTION("""COMPUTED_VALUE"""),"Casa con dos apartamentos en barrio Alamos Norte ")</f>
        <v>Casa con dos apartamentos en barrio Alamos Norte </v>
      </c>
      <c r="C152" s="40" t="str">
        <f>IFERROR(__xludf.DUMMYFUNCTION("""COMPUTED_VALUE"""),"Casa rentable")</f>
        <v>Casa rentable</v>
      </c>
      <c r="D152" s="40" t="str">
        <f>IFERROR(__xludf.DUMMYFUNCTION("""COMPUTED_VALUE"""),"Alamos Norte ")</f>
        <v>Alamos Norte </v>
      </c>
      <c r="E152" s="40"/>
      <c r="F152" s="42">
        <f>IFERROR(__xludf.DUMMYFUNCTION("""COMPUTED_VALUE"""),3.5E8)</f>
        <v>350000000</v>
      </c>
      <c r="G152" s="40" t="str">
        <f>IFERROR(__xludf.DUMMYFUNCTION("""COMPUTED_VALUE"""),"$300'000.000 a $400'000.000")</f>
        <v>$300'000.000 a $400'000.000</v>
      </c>
      <c r="H152" s="40"/>
      <c r="I152" s="40"/>
      <c r="J152" s="40" t="str">
        <f>IFERROR(__xludf.DUMMYFUNCTION("""COMPUTED_VALUE"""),"Norte")</f>
        <v>Norte</v>
      </c>
      <c r="K152" s="39"/>
      <c r="L152" s="40">
        <f>IFERROR(__xludf.DUMMYFUNCTION("""COMPUTED_VALUE"""),5.0)</f>
        <v>5</v>
      </c>
      <c r="M152" s="40"/>
      <c r="N152" s="40">
        <f>IFERROR(__xludf.DUMMYFUNCTION("""COMPUTED_VALUE"""),3.0)</f>
        <v>3</v>
      </c>
      <c r="O152" s="40">
        <f>IFERROR(__xludf.DUMMYFUNCTION("""COMPUTED_VALUE"""),1.0)</f>
        <v>1</v>
      </c>
      <c r="P152" s="40">
        <f>IFERROR(__xludf.DUMMYFUNCTION("""COMPUTED_VALUE"""),2.0)</f>
        <v>2</v>
      </c>
      <c r="Q152" s="48"/>
      <c r="R152" s="48">
        <f>IFERROR(__xludf.DUMMYFUNCTION("""COMPUTED_VALUE"""),96.0)</f>
        <v>96</v>
      </c>
      <c r="S152" s="39" t="str">
        <f>IFERROR(__xludf.DUMMYFUNCTION("""COMPUTED_VALUE"""),"Rentabilidad $1,200,000")</f>
        <v>Rentabilidad $1,200,000</v>
      </c>
      <c r="T152" s="40" t="str">
        <f>IFERROR(__xludf.DUMMYFUNCTION("""COMPUTED_VALUE"""),"Neiva")</f>
        <v>Neiva</v>
      </c>
      <c r="U152" s="39" t="str">
        <f>IFERROR(__xludf.DUMMYFUNCTION("""COMPUTED_VALUE"""),"2")</f>
        <v>2</v>
      </c>
      <c r="V152" s="40" t="str">
        <f>IFERROR(__xludf.DUMMYFUNCTION("""COMPUTED_VALUE"""),"Medianera")</f>
        <v>Medianera</v>
      </c>
      <c r="W152" s="46"/>
      <c r="X152" s="46">
        <f>IFERROR(__xludf.DUMMYFUNCTION("""COMPUTED_VALUE"""),1.0)</f>
        <v>1</v>
      </c>
      <c r="Y152" s="40" t="str">
        <f>IFERROR(__xludf.DUMMYFUNCTION("""COMPUTED_VALUE"""),"No tiene")</f>
        <v>No tiene</v>
      </c>
      <c r="Z152" s="42" t="str">
        <f>IFERROR(__xludf.DUMMYFUNCTION("""COMPUTED_VALUE"""),"No aplica")</f>
        <v>No aplica</v>
      </c>
      <c r="AA152" s="49" t="str">
        <f>IFERROR(__xludf.DUMMYFUNCTION("""COMPUTED_VALUE"""),"24 años")</f>
        <v>24 años</v>
      </c>
      <c r="AB152" s="48"/>
      <c r="AC152" s="40"/>
      <c r="AD152" s="40"/>
      <c r="AE152" s="40"/>
      <c r="AF152" s="40" t="str">
        <f>IFERROR(__xludf.DUMMYFUNCTION("""COMPUTED_VALUE"""),"integral")</f>
        <v>integral</v>
      </c>
      <c r="AG152" s="40"/>
      <c r="AH152" s="40" t="str">
        <f>IFERROR(__xludf.DUMMYFUNCTION("""COMPUTED_VALUE"""),"Inventario")</f>
        <v>Inventario</v>
      </c>
      <c r="AI152" s="40"/>
      <c r="AJ152" s="40" t="str">
        <f>IFERROR(__xludf.DUMMYFUNCTION("""COMPUTED_VALUE"""),"ICDE")</f>
        <v>ICDE</v>
      </c>
      <c r="AK152" s="40"/>
      <c r="AL152" s="40" t="str">
        <f>IFERROR(__xludf.DUMMYFUNCTION("""COMPUTED_VALUE"""),"TIENE FOTOS")</f>
        <v>TIENE FOTOS</v>
      </c>
      <c r="AM152" s="40">
        <f>IFERROR(__xludf.DUMMYFUNCTION("""COMPUTED_VALUE"""),3.166258772E9)</f>
        <v>3166258772</v>
      </c>
      <c r="AN152" s="40">
        <f>IFERROR(__xludf.DUMMYFUNCTION("""COMPUTED_VALUE"""),3.155225818E9)</f>
        <v>3155225818</v>
      </c>
      <c r="AO152" s="40" t="str">
        <f>IFERROR(__xludf.DUMMYFUNCTION("""COMPUTED_VALUE"""),"MIREYI")</f>
        <v>MIREYI</v>
      </c>
      <c r="AP152" s="40" t="str">
        <f>IFERROR(__xludf.DUMMYFUNCTION("""COMPUTED_VALUE"""),"CALLE 50 B NO. 19 A - 26")</f>
        <v>CALLE 50 B NO. 19 A - 26</v>
      </c>
      <c r="AQ152" s="40"/>
      <c r="AR152" s="40"/>
      <c r="AS152" s="53">
        <f>IFERROR(__xludf.DUMMYFUNCTION("""COMPUTED_VALUE"""),1200000.0)</f>
        <v>1200000</v>
      </c>
      <c r="AT152" s="40">
        <f>IFERROR(__xludf.DUMMYFUNCTION("""COMPUTED_VALUE"""),0.0)</f>
        <v>0</v>
      </c>
      <c r="AU152" s="40">
        <f>IFERROR(__xludf.DUMMYFUNCTION("""COMPUTED_VALUE"""),0.0)</f>
        <v>0</v>
      </c>
      <c r="AV152" s="40">
        <f>IFERROR(__xludf.DUMMYFUNCTION("""COMPUTED_VALUE"""),0.0)</f>
        <v>0</v>
      </c>
      <c r="AW152" s="40" t="str">
        <f>IFERROR(__xludf.DUMMYFUNCTION("""COMPUTED_VALUE"""),"NO")</f>
        <v>NO</v>
      </c>
      <c r="AX152" s="40">
        <f>IFERROR(__xludf.DUMMYFUNCTION("""COMPUTED_VALUE"""),0.0)</f>
        <v>0</v>
      </c>
      <c r="AY152" s="40">
        <f>IFERROR(__xludf.DUMMYFUNCTION("""COMPUTED_VALUE"""),0.0)</f>
        <v>0</v>
      </c>
      <c r="AZ152" s="40">
        <f>IFERROR(__xludf.DUMMYFUNCTION("""COMPUTED_VALUE"""),8.0)</f>
        <v>8</v>
      </c>
      <c r="BA152" s="40" t="str">
        <f>IFERROR(__xludf.DUMMYFUNCTION("""COMPUTED_VALUE"""),"X")</f>
        <v>X</v>
      </c>
      <c r="BB152" s="40">
        <f>IFERROR(__xludf.DUMMYFUNCTION("""COMPUTED_VALUE"""),12.0)</f>
        <v>12</v>
      </c>
      <c r="BC152" s="53" t="str">
        <f>IFERROR(__xludf.DUMMYFUNCTION("""COMPUTED_VALUE"""),"15 - SINDY MARCELA, 24 - FERNEY PIÑEROS Y LEIDY")</f>
        <v>15 - SINDY MARCELA, 24 - FERNEY PIÑEROS Y LEIDY</v>
      </c>
      <c r="BD152" s="48"/>
      <c r="BE152" s="48"/>
      <c r="BF152" s="48"/>
    </row>
    <row r="153">
      <c r="A153" s="39" t="str">
        <f>IFERROR(__xludf.DUMMYFUNCTION("""COMPUTED_VALUE"""),"286")</f>
        <v>286</v>
      </c>
      <c r="B153" s="40" t="str">
        <f>IFERROR(__xludf.DUMMYFUNCTION("""COMPUTED_VALUE"""),"Casa en barrio Campo Nuñez ")</f>
        <v>Casa en barrio Campo Nuñez </v>
      </c>
      <c r="C153" s="40" t="str">
        <f>IFERROR(__xludf.DUMMYFUNCTION("""COMPUTED_VALUE"""),"Casa")</f>
        <v>Casa</v>
      </c>
      <c r="D153" s="40" t="str">
        <f>IFERROR(__xludf.DUMMYFUNCTION("""COMPUTED_VALUE"""),"Campo Nuñez ")</f>
        <v>Campo Nuñez </v>
      </c>
      <c r="E153" s="40"/>
      <c r="F153" s="42">
        <f>IFERROR(__xludf.DUMMYFUNCTION("""COMPUTED_VALUE"""),3.5E8)</f>
        <v>350000000</v>
      </c>
      <c r="G153" s="40" t="str">
        <f>IFERROR(__xludf.DUMMYFUNCTION("""COMPUTED_VALUE"""),"$300'000.000 a $400'000.000")</f>
        <v>$300'000.000 a $400'000.000</v>
      </c>
      <c r="H153" s="40"/>
      <c r="I153" s="40"/>
      <c r="J153" s="40" t="str">
        <f>IFERROR(__xludf.DUMMYFUNCTION("""COMPUTED_VALUE"""),"Centro")</f>
        <v>Centro</v>
      </c>
      <c r="K153" s="39" t="str">
        <f>IFERROR(__xludf.DUMMYFUNCTION("""COMPUTED_VALUE"""),"3")</f>
        <v>3</v>
      </c>
      <c r="L153" s="40">
        <f>IFERROR(__xludf.DUMMYFUNCTION("""COMPUTED_VALUE"""),5.0)</f>
        <v>5</v>
      </c>
      <c r="M153" s="40"/>
      <c r="N153" s="40">
        <f>IFERROR(__xludf.DUMMYFUNCTION("""COMPUTED_VALUE"""),3.0)</f>
        <v>3</v>
      </c>
      <c r="O153" s="40">
        <f>IFERROR(__xludf.DUMMYFUNCTION("""COMPUTED_VALUE"""),1.0)</f>
        <v>1</v>
      </c>
      <c r="P153" s="40">
        <f>IFERROR(__xludf.DUMMYFUNCTION("""COMPUTED_VALUE"""),1.0)</f>
        <v>1</v>
      </c>
      <c r="Q153" s="48">
        <f>IFERROR(__xludf.DUMMYFUNCTION("""COMPUTED_VALUE"""),210.0)</f>
        <v>210</v>
      </c>
      <c r="R153" s="48">
        <f>IFERROR(__xludf.DUMMYFUNCTION("""COMPUTED_VALUE"""),210.0)</f>
        <v>210</v>
      </c>
      <c r="S153" s="39" t="str">
        <f>IFERROR(__xludf.DUMMYFUNCTION("""COMPUTED_VALUE"""),"Rentabilidad $1,500,000")</f>
        <v>Rentabilidad $1,500,000</v>
      </c>
      <c r="T153" s="40" t="str">
        <f>IFERROR(__xludf.DUMMYFUNCTION("""COMPUTED_VALUE"""),"Neiva")</f>
        <v>Neiva</v>
      </c>
      <c r="U153" s="39" t="str">
        <f>IFERROR(__xludf.DUMMYFUNCTION("""COMPUTED_VALUE"""),"2")</f>
        <v>2</v>
      </c>
      <c r="V153" s="40" t="str">
        <f>IFERROR(__xludf.DUMMYFUNCTION("""COMPUTED_VALUE"""),"Medianera")</f>
        <v>Medianera</v>
      </c>
      <c r="W153" s="46"/>
      <c r="X153" s="46">
        <f>IFERROR(__xludf.DUMMYFUNCTION("""COMPUTED_VALUE"""),0.0)</f>
        <v>0</v>
      </c>
      <c r="Y153" s="40" t="str">
        <f>IFERROR(__xludf.DUMMYFUNCTION("""COMPUTED_VALUE"""),"No tiene")</f>
        <v>No tiene</v>
      </c>
      <c r="Z153" s="42" t="str">
        <f>IFERROR(__xludf.DUMMYFUNCTION("""COMPUTED_VALUE"""),"No aplica")</f>
        <v>No aplica</v>
      </c>
      <c r="AA153" s="49" t="str">
        <f>IFERROR(__xludf.DUMMYFUNCTION("""COMPUTED_VALUE"""),"19 años")</f>
        <v>19 años</v>
      </c>
      <c r="AB153" s="48"/>
      <c r="AC153" s="40"/>
      <c r="AD153" s="40"/>
      <c r="AE153" s="40"/>
      <c r="AF153" s="40" t="str">
        <f>IFERROR(__xludf.DUMMYFUNCTION("""COMPUTED_VALUE"""),"básica")</f>
        <v>básica</v>
      </c>
      <c r="AG153" s="40"/>
      <c r="AH153" s="40" t="str">
        <f>IFERROR(__xludf.DUMMYFUNCTION("""COMPUTED_VALUE"""),"Inventario")</f>
        <v>Inventario</v>
      </c>
      <c r="AI153" s="40"/>
      <c r="AJ153" s="40" t="str">
        <f>IFERROR(__xludf.DUMMYFUNCTION("""COMPUTED_VALUE"""),"ICDE")</f>
        <v>ICDE</v>
      </c>
      <c r="AK153" s="40"/>
      <c r="AL153" s="40" t="str">
        <f>IFERROR(__xludf.DUMMYFUNCTION("""COMPUTED_VALUE"""),"NO FOTOS + DESCRIPCION")</f>
        <v>NO FOTOS + DESCRIPCION</v>
      </c>
      <c r="AM153" s="40">
        <f>IFERROR(__xludf.DUMMYFUNCTION("""COMPUTED_VALUE"""),3.16752336E9)</f>
        <v>3167523360</v>
      </c>
      <c r="AN153" s="40">
        <f>IFERROR(__xludf.DUMMYFUNCTION("""COMPUTED_VALUE"""),3.21454805E9)</f>
        <v>3214548050</v>
      </c>
      <c r="AO153" s="40" t="str">
        <f>IFERROR(__xludf.DUMMYFUNCTION("""COMPUTED_VALUE"""),"MARIA NUBIA BENAVIDES")</f>
        <v>MARIA NUBIA BENAVIDES</v>
      </c>
      <c r="AP153" s="40" t="str">
        <f>IFERROR(__xludf.DUMMYFUNCTION("""COMPUTED_VALUE"""),"CARRERA 8 A No. 18 A - 45")</f>
        <v>CARRERA 8 A No. 18 A - 45</v>
      </c>
      <c r="AQ153" s="40"/>
      <c r="AR153" s="40"/>
      <c r="AS153" s="53">
        <f>IFERROR(__xludf.DUMMYFUNCTION("""COMPUTED_VALUE"""),1500000.0)</f>
        <v>1500000</v>
      </c>
      <c r="AT153" s="40">
        <f>IFERROR(__xludf.DUMMYFUNCTION("""COMPUTED_VALUE"""),0.0)</f>
        <v>0</v>
      </c>
      <c r="AU153" s="40">
        <f>IFERROR(__xludf.DUMMYFUNCTION("""COMPUTED_VALUE"""),0.0)</f>
        <v>0</v>
      </c>
      <c r="AV153" s="40">
        <f>IFERROR(__xludf.DUMMYFUNCTION("""COMPUTED_VALUE"""),0.0)</f>
        <v>0</v>
      </c>
      <c r="AW153" s="40" t="str">
        <f>IFERROR(__xludf.DUMMYFUNCTION("""COMPUTED_VALUE"""),"NO")</f>
        <v>NO</v>
      </c>
      <c r="AX153" s="40">
        <f>IFERROR(__xludf.DUMMYFUNCTION("""COMPUTED_VALUE"""),0.0)</f>
        <v>0</v>
      </c>
      <c r="AY153" s="40">
        <f>IFERROR(__xludf.DUMMYFUNCTION("""COMPUTED_VALUE"""),0.0)</f>
        <v>0</v>
      </c>
      <c r="AZ153" s="40">
        <f>IFERROR(__xludf.DUMMYFUNCTION("""COMPUTED_VALUE"""),0.0)</f>
        <v>0</v>
      </c>
      <c r="BA153" s="40" t="str">
        <f>IFERROR(__xludf.DUMMYFUNCTION("""COMPUTED_VALUE"""),"X")</f>
        <v>X</v>
      </c>
      <c r="BB153" s="40">
        <f>IFERROR(__xludf.DUMMYFUNCTION("""COMPUTED_VALUE"""),0.0)</f>
        <v>0</v>
      </c>
      <c r="BC153" s="53"/>
      <c r="BD153" s="48"/>
      <c r="BE153" s="48"/>
      <c r="BF153" s="48"/>
    </row>
    <row r="154">
      <c r="A154" s="39" t="str">
        <f>IFERROR(__xludf.DUMMYFUNCTION("""COMPUTED_VALUE"""),"261")</f>
        <v>261</v>
      </c>
      <c r="B154" s="40" t="str">
        <f>IFERROR(__xludf.DUMMYFUNCTION("""COMPUTED_VALUE"""),"Casa en barrio Los Molinos")</f>
        <v>Casa en barrio Los Molinos</v>
      </c>
      <c r="C154" s="40" t="str">
        <f>IFERROR(__xludf.DUMMYFUNCTION("""COMPUTED_VALUE"""),"Casa")</f>
        <v>Casa</v>
      </c>
      <c r="D154" s="40" t="str">
        <f>IFERROR(__xludf.DUMMYFUNCTION("""COMPUTED_VALUE"""),"Los Molinos")</f>
        <v>Los Molinos</v>
      </c>
      <c r="E154" s="40"/>
      <c r="F154" s="42">
        <f>IFERROR(__xludf.DUMMYFUNCTION("""COMPUTED_VALUE"""),3.5E8)</f>
        <v>350000000</v>
      </c>
      <c r="G154" s="40" t="str">
        <f>IFERROR(__xludf.DUMMYFUNCTION("""COMPUTED_VALUE"""),"$300'000.000 a $400'000.000")</f>
        <v>$300'000.000 a $400'000.000</v>
      </c>
      <c r="H154" s="40"/>
      <c r="I154" s="40"/>
      <c r="J154" s="40" t="str">
        <f>IFERROR(__xludf.DUMMYFUNCTION("""COMPUTED_VALUE"""),"Norte")</f>
        <v>Norte</v>
      </c>
      <c r="K154" s="39" t="str">
        <f>IFERROR(__xludf.DUMMYFUNCTION("""COMPUTED_VALUE"""),"2")</f>
        <v>2</v>
      </c>
      <c r="L154" s="40">
        <f>IFERROR(__xludf.DUMMYFUNCTION("""COMPUTED_VALUE"""),4.0)</f>
        <v>4</v>
      </c>
      <c r="M154" s="40"/>
      <c r="N154" s="40">
        <f>IFERROR(__xludf.DUMMYFUNCTION("""COMPUTED_VALUE"""),3.0)</f>
        <v>3</v>
      </c>
      <c r="O154" s="40">
        <f>IFERROR(__xludf.DUMMYFUNCTION("""COMPUTED_VALUE"""),1.0)</f>
        <v>1</v>
      </c>
      <c r="P154" s="40">
        <f>IFERROR(__xludf.DUMMYFUNCTION("""COMPUTED_VALUE"""),2.0)</f>
        <v>2</v>
      </c>
      <c r="Q154" s="48"/>
      <c r="R154" s="48">
        <f>IFERROR(__xludf.DUMMYFUNCTION("""COMPUTED_VALUE"""),90.0)</f>
        <v>90</v>
      </c>
      <c r="S154" s="39" t="str">
        <f>IFERROR(__xludf.DUMMYFUNCTION("""COMPUTED_VALUE""")," ")</f>
        <v> </v>
      </c>
      <c r="T154" s="40" t="str">
        <f>IFERROR(__xludf.DUMMYFUNCTION("""COMPUTED_VALUE"""),"Neiva")</f>
        <v>Neiva</v>
      </c>
      <c r="U154" s="39" t="str">
        <f>IFERROR(__xludf.DUMMYFUNCTION("""COMPUTED_VALUE"""),"3")</f>
        <v>3</v>
      </c>
      <c r="V154" s="40" t="str">
        <f>IFERROR(__xludf.DUMMYFUNCTION("""COMPUTED_VALUE"""),"Medianera")</f>
        <v>Medianera</v>
      </c>
      <c r="W154" s="46"/>
      <c r="X154" s="46">
        <f>IFERROR(__xludf.DUMMYFUNCTION("""COMPUTED_VALUE"""),4.0)</f>
        <v>4</v>
      </c>
      <c r="Y154" s="40" t="str">
        <f>IFERROR(__xludf.DUMMYFUNCTION("""COMPUTED_VALUE"""),"No tiene")</f>
        <v>No tiene</v>
      </c>
      <c r="Z154" s="42" t="str">
        <f>IFERROR(__xludf.DUMMYFUNCTION("""COMPUTED_VALUE"""),"No aplica")</f>
        <v>No aplica</v>
      </c>
      <c r="AA154" s="49" t="str">
        <f>IFERROR(__xludf.DUMMYFUNCTION("""COMPUTED_VALUE"""),"No aplica")</f>
        <v>No aplica</v>
      </c>
      <c r="AB154" s="48"/>
      <c r="AC154" s="40"/>
      <c r="AD154" s="40"/>
      <c r="AE154" s="40"/>
      <c r="AF154" s="40" t="str">
        <f>IFERROR(__xludf.DUMMYFUNCTION("""COMPUTED_VALUE"""),"integral")</f>
        <v>integral</v>
      </c>
      <c r="AG154" s="40"/>
      <c r="AH154" s="40" t="str">
        <f>IFERROR(__xludf.DUMMYFUNCTION("""COMPUTED_VALUE"""),"Inventario")</f>
        <v>Inventario</v>
      </c>
      <c r="AI154" s="40"/>
      <c r="AJ154" s="40" t="str">
        <f>IFERROR(__xludf.DUMMYFUNCTION("""COMPUTED_VALUE"""),"ICDE")</f>
        <v>ICDE</v>
      </c>
      <c r="AK154" s="40"/>
      <c r="AL154" s="40" t="str">
        <f>IFERROR(__xludf.DUMMYFUNCTION("""COMPUTED_VALUE"""),"NO FOTOS")</f>
        <v>NO FOTOS</v>
      </c>
      <c r="AM154" s="40">
        <f>IFERROR(__xludf.DUMMYFUNCTION("""COMPUTED_VALUE"""),3.213348671E9)</f>
        <v>3213348671</v>
      </c>
      <c r="AN154" s="40">
        <f>IFERROR(__xludf.DUMMYFUNCTION("""COMPUTED_VALUE"""),3.125324537E9)</f>
        <v>3125324537</v>
      </c>
      <c r="AO154" s="40"/>
      <c r="AP154" s="40">
        <f>IFERROR(__xludf.DUMMYFUNCTION("""COMPUTED_VALUE"""),0.0)</f>
        <v>0</v>
      </c>
      <c r="AQ154" s="40"/>
      <c r="AR154" s="40"/>
      <c r="AS154" s="53">
        <f>IFERROR(__xludf.DUMMYFUNCTION("""COMPUTED_VALUE"""),0.0)</f>
        <v>0</v>
      </c>
      <c r="AT154" s="40">
        <f>IFERROR(__xludf.DUMMYFUNCTION("""COMPUTED_VALUE"""),0.0)</f>
        <v>0</v>
      </c>
      <c r="AU154" s="40">
        <f>IFERROR(__xludf.DUMMYFUNCTION("""COMPUTED_VALUE"""),0.0)</f>
        <v>0</v>
      </c>
      <c r="AV154" s="40">
        <f>IFERROR(__xludf.DUMMYFUNCTION("""COMPUTED_VALUE"""),0.0)</f>
        <v>0</v>
      </c>
      <c r="AW154" s="40" t="str">
        <f>IFERROR(__xludf.DUMMYFUNCTION("""COMPUTED_VALUE"""),"NO")</f>
        <v>NO</v>
      </c>
      <c r="AX154" s="40">
        <f>IFERROR(__xludf.DUMMYFUNCTION("""COMPUTED_VALUE"""),0.0)</f>
        <v>0</v>
      </c>
      <c r="AY154" s="40">
        <f>IFERROR(__xludf.DUMMYFUNCTION("""COMPUTED_VALUE"""),0.0)</f>
        <v>0</v>
      </c>
      <c r="AZ154" s="40">
        <f>IFERROR(__xludf.DUMMYFUNCTION("""COMPUTED_VALUE"""),0.0)</f>
        <v>0</v>
      </c>
      <c r="BA154" s="40" t="str">
        <f>IFERROR(__xludf.DUMMYFUNCTION("""COMPUTED_VALUE"""),"X")</f>
        <v>X</v>
      </c>
      <c r="BB154" s="40">
        <f>IFERROR(__xludf.DUMMYFUNCTION("""COMPUTED_VALUE"""),0.0)</f>
        <v>0</v>
      </c>
      <c r="BC154" s="53" t="str">
        <f>IFERROR(__xludf.DUMMYFUNCTION("""COMPUTED_VALUE"""),"12 - LEIDY YULIETH, 19 - PRUEBA, 19 - PRUEBA v")</f>
        <v>12 - LEIDY YULIETH, 19 - PRUEBA, 19 - PRUEBA v</v>
      </c>
      <c r="BD154" s="48"/>
      <c r="BE154" s="48"/>
      <c r="BF154" s="48"/>
    </row>
    <row r="155">
      <c r="A155" s="39" t="str">
        <f>IFERROR(__xludf.DUMMYFUNCTION("""COMPUTED_VALUE"""),"241")</f>
        <v>241</v>
      </c>
      <c r="B155" s="40" t="str">
        <f>IFERROR(__xludf.DUMMYFUNCTION("""COMPUTED_VALUE"""),"Apartamento en Sevilla")</f>
        <v>Apartamento en Sevilla</v>
      </c>
      <c r="C155" s="40" t="str">
        <f>IFERROR(__xludf.DUMMYFUNCTION("""COMPUTED_VALUE"""),"Apartamento")</f>
        <v>Apartamento</v>
      </c>
      <c r="D155" s="40" t="str">
        <f>IFERROR(__xludf.DUMMYFUNCTION("""COMPUTED_VALUE"""),"Sevilla")</f>
        <v>Sevilla</v>
      </c>
      <c r="E155" s="40"/>
      <c r="F155" s="42">
        <f>IFERROR(__xludf.DUMMYFUNCTION("""COMPUTED_VALUE"""),3.5E8)</f>
        <v>350000000</v>
      </c>
      <c r="G155" s="40" t="str">
        <f>IFERROR(__xludf.DUMMYFUNCTION("""COMPUTED_VALUE"""),"$300'000.000 a $400'000.000")</f>
        <v>$300'000.000 a $400'000.000</v>
      </c>
      <c r="H155" s="40"/>
      <c r="I155" s="40"/>
      <c r="J155" s="40" t="str">
        <f>IFERROR(__xludf.DUMMYFUNCTION("""COMPUTED_VALUE"""),"Centro")</f>
        <v>Centro</v>
      </c>
      <c r="K155" s="39" t="str">
        <f>IFERROR(__xludf.DUMMYFUNCTION("""COMPUTED_VALUE"""),"3")</f>
        <v>3</v>
      </c>
      <c r="L155" s="40">
        <f>IFERROR(__xludf.DUMMYFUNCTION("""COMPUTED_VALUE"""),3.0)</f>
        <v>3</v>
      </c>
      <c r="M155" s="40"/>
      <c r="N155" s="40">
        <f>IFERROR(__xludf.DUMMYFUNCTION("""COMPUTED_VALUE"""),4.0)</f>
        <v>4</v>
      </c>
      <c r="O155" s="40">
        <f>IFERROR(__xludf.DUMMYFUNCTION("""COMPUTED_VALUE"""),0.0)</f>
        <v>0</v>
      </c>
      <c r="P155" s="40">
        <f>IFERROR(__xludf.DUMMYFUNCTION("""COMPUTED_VALUE"""),1.0)</f>
        <v>1</v>
      </c>
      <c r="Q155" s="48"/>
      <c r="R155" s="48">
        <f>IFERROR(__xludf.DUMMYFUNCTION("""COMPUTED_VALUE"""),200.0)</f>
        <v>200</v>
      </c>
      <c r="S155" s="39" t="str">
        <f>IFERROR(__xludf.DUMMYFUNCTION("""COMPUTED_VALUE"""),"Rentabilidad $3,000,000")</f>
        <v>Rentabilidad $3,000,000</v>
      </c>
      <c r="T155" s="40" t="str">
        <f>IFERROR(__xludf.DUMMYFUNCTION("""COMPUTED_VALUE"""),"Neiva")</f>
        <v>Neiva</v>
      </c>
      <c r="U155" s="39" t="str">
        <f>IFERROR(__xludf.DUMMYFUNCTION("""COMPUTED_VALUE"""),"5")</f>
        <v>5</v>
      </c>
      <c r="V155" s="40" t="str">
        <f>IFERROR(__xludf.DUMMYFUNCTION("""COMPUTED_VALUE"""),"Esquinera")</f>
        <v>Esquinera</v>
      </c>
      <c r="W155" s="46"/>
      <c r="X155" s="46">
        <f>IFERROR(__xludf.DUMMYFUNCTION("""COMPUTED_VALUE"""),3.0)</f>
        <v>3</v>
      </c>
      <c r="Y155" s="40" t="str">
        <f>IFERROR(__xludf.DUMMYFUNCTION("""COMPUTED_VALUE"""),"No tiene")</f>
        <v>No tiene</v>
      </c>
      <c r="Z155" s="42" t="str">
        <f>IFERROR(__xludf.DUMMYFUNCTION("""COMPUTED_VALUE"""),"No aplica")</f>
        <v>No aplica</v>
      </c>
      <c r="AA155" s="49" t="str">
        <f>IFERROR(__xludf.DUMMYFUNCTION("""COMPUTED_VALUE"""),"10 años")</f>
        <v>10 años</v>
      </c>
      <c r="AB155" s="48"/>
      <c r="AC155" s="40" t="str">
        <f>IFERROR(__xludf.DUMMYFUNCTION("""COMPUTED_VALUE"""),"Ubicado en el segundo piso")</f>
        <v>Ubicado en el segundo piso</v>
      </c>
      <c r="AD155" s="40"/>
      <c r="AE155" s="40"/>
      <c r="AF155" s="40" t="str">
        <f>IFERROR(__xludf.DUMMYFUNCTION("""COMPUTED_VALUE"""),"integral")</f>
        <v>integral</v>
      </c>
      <c r="AG155" s="40"/>
      <c r="AH155" s="40" t="str">
        <f>IFERROR(__xludf.DUMMYFUNCTION("""COMPUTED_VALUE"""),"Inventario")</f>
        <v>Inventario</v>
      </c>
      <c r="AI155" s="40"/>
      <c r="AJ155" s="40" t="str">
        <f>IFERROR(__xludf.DUMMYFUNCTION("""COMPUTED_VALUE"""),"ICDE")</f>
        <v>ICDE</v>
      </c>
      <c r="AK155" s="40"/>
      <c r="AL155" s="40" t="str">
        <f>IFERROR(__xludf.DUMMYFUNCTION("""COMPUTED_VALUE"""),"NO FOTOS-INTE-DESCRIP.")</f>
        <v>NO FOTOS-INTE-DESCRIP.</v>
      </c>
      <c r="AM155" s="40">
        <f>IFERROR(__xludf.DUMMYFUNCTION("""COMPUTED_VALUE"""),3.133759534E9)</f>
        <v>3133759534</v>
      </c>
      <c r="AN155" s="40">
        <f>IFERROR(__xludf.DUMMYFUNCTION("""COMPUTED_VALUE"""),0.0)</f>
        <v>0</v>
      </c>
      <c r="AO155" s="40" t="str">
        <f>IFERROR(__xludf.DUMMYFUNCTION("""COMPUTED_VALUE"""),"ENCARGADA-PATRICIA CORAL")</f>
        <v>ENCARGADA-PATRICIA CORAL</v>
      </c>
      <c r="AP155" s="40" t="str">
        <f>IFERROR(__xludf.DUMMYFUNCTION("""COMPUTED_VALUE"""),"CARRERA 5 No. 21 A - 102")</f>
        <v>CARRERA 5 No. 21 A - 102</v>
      </c>
      <c r="AQ155" s="40"/>
      <c r="AR155" s="40"/>
      <c r="AS155" s="53">
        <f>IFERROR(__xludf.DUMMYFUNCTION("""COMPUTED_VALUE"""),3000000.0)</f>
        <v>3000000</v>
      </c>
      <c r="AT155" s="40">
        <f>IFERROR(__xludf.DUMMYFUNCTION("""COMPUTED_VALUE"""),0.0)</f>
        <v>0</v>
      </c>
      <c r="AU155" s="40">
        <f>IFERROR(__xludf.DUMMYFUNCTION("""COMPUTED_VALUE"""),0.0)</f>
        <v>0</v>
      </c>
      <c r="AV155" s="40">
        <f>IFERROR(__xludf.DUMMYFUNCTION("""COMPUTED_VALUE"""),0.0)</f>
        <v>0</v>
      </c>
      <c r="AW155" s="40" t="str">
        <f>IFERROR(__xludf.DUMMYFUNCTION("""COMPUTED_VALUE"""),"NO")</f>
        <v>NO</v>
      </c>
      <c r="AX155" s="40">
        <f>IFERROR(__xludf.DUMMYFUNCTION("""COMPUTED_VALUE"""),0.0)</f>
        <v>0</v>
      </c>
      <c r="AY155" s="40">
        <f>IFERROR(__xludf.DUMMYFUNCTION("""COMPUTED_VALUE"""),0.0)</f>
        <v>0</v>
      </c>
      <c r="AZ155" s="40">
        <f>IFERROR(__xludf.DUMMYFUNCTION("""COMPUTED_VALUE"""),0.0)</f>
        <v>0</v>
      </c>
      <c r="BA155" s="40" t="str">
        <f>IFERROR(__xludf.DUMMYFUNCTION("""COMPUTED_VALUE"""),"X")</f>
        <v>X</v>
      </c>
      <c r="BB155" s="40">
        <f>IFERROR(__xludf.DUMMYFUNCTION("""COMPUTED_VALUE"""),0.0)</f>
        <v>0</v>
      </c>
      <c r="BC155" s="53" t="str">
        <f>IFERROR(__xludf.DUMMYFUNCTION("""COMPUTED_VALUE"""),"24 - FERNEY PIÑEROS Y LEIDY")</f>
        <v>24 - FERNEY PIÑEROS Y LEIDY</v>
      </c>
      <c r="BD155" s="48"/>
      <c r="BE155" s="48"/>
      <c r="BF155" s="48"/>
    </row>
    <row r="156">
      <c r="A156" s="39" t="str">
        <f>IFERROR(__xludf.DUMMYFUNCTION("""COMPUTED_VALUE"""),"235")</f>
        <v>235</v>
      </c>
      <c r="B156" s="40" t="str">
        <f>IFERROR(__xludf.DUMMYFUNCTION("""COMPUTED_VALUE"""),"Casa con dos apartamentos en barrio Alamos Norte ")</f>
        <v>Casa con dos apartamentos en barrio Alamos Norte </v>
      </c>
      <c r="C156" s="40" t="str">
        <f>IFERROR(__xludf.DUMMYFUNCTION("""COMPUTED_VALUE"""),"Casa rentable")</f>
        <v>Casa rentable</v>
      </c>
      <c r="D156" s="40" t="str">
        <f>IFERROR(__xludf.DUMMYFUNCTION("""COMPUTED_VALUE"""),"Alamos Norte ")</f>
        <v>Alamos Norte </v>
      </c>
      <c r="E156" s="42" t="str">
        <f>IFERROR(__xludf.DUMMYFUNCTION("""COMPUTED_VALUE""")," ")</f>
        <v> </v>
      </c>
      <c r="F156" s="42">
        <f>IFERROR(__xludf.DUMMYFUNCTION("""COMPUTED_VALUE"""),3.5E8)</f>
        <v>350000000</v>
      </c>
      <c r="G156" s="40" t="str">
        <f>IFERROR(__xludf.DUMMYFUNCTION("""COMPUTED_VALUE"""),"$300'000.000 a $400'000.000")</f>
        <v>$300'000.000 a $400'000.000</v>
      </c>
      <c r="H156" s="40"/>
      <c r="I156" s="40"/>
      <c r="J156" s="40" t="str">
        <f>IFERROR(__xludf.DUMMYFUNCTION("""COMPUTED_VALUE"""),"Norte")</f>
        <v>Norte</v>
      </c>
      <c r="K156" s="39"/>
      <c r="L156" s="40">
        <f>IFERROR(__xludf.DUMMYFUNCTION("""COMPUTED_VALUE"""),4.0)</f>
        <v>4</v>
      </c>
      <c r="M156" s="40"/>
      <c r="N156" s="40">
        <f>IFERROR(__xludf.DUMMYFUNCTION("""COMPUTED_VALUE"""),3.0)</f>
        <v>3</v>
      </c>
      <c r="O156" s="40">
        <f>IFERROR(__xludf.DUMMYFUNCTION("""COMPUTED_VALUE"""),2.0)</f>
        <v>2</v>
      </c>
      <c r="P156" s="40">
        <f>IFERROR(__xludf.DUMMYFUNCTION("""COMPUTED_VALUE"""),3.0)</f>
        <v>3</v>
      </c>
      <c r="Q156" s="48"/>
      <c r="R156" s="48">
        <f>IFERROR(__xludf.DUMMYFUNCTION("""COMPUTED_VALUE"""),112.0)</f>
        <v>112</v>
      </c>
      <c r="S156" s="39" t="str">
        <f>IFERROR(__xludf.DUMMYFUNCTION("""COMPUTED_VALUE"""),"Rentabilidad $1,600,000")</f>
        <v>Rentabilidad $1,600,000</v>
      </c>
      <c r="T156" s="40" t="str">
        <f>IFERROR(__xludf.DUMMYFUNCTION("""COMPUTED_VALUE"""),"Neiva")</f>
        <v>Neiva</v>
      </c>
      <c r="U156" s="39" t="str">
        <f>IFERROR(__xludf.DUMMYFUNCTION("""COMPUTED_VALUE"""),"2")</f>
        <v>2</v>
      </c>
      <c r="V156" s="40" t="str">
        <f>IFERROR(__xludf.DUMMYFUNCTION("""COMPUTED_VALUE"""),"Medianera")</f>
        <v>Medianera</v>
      </c>
      <c r="W156" s="46"/>
      <c r="X156" s="46">
        <f>IFERROR(__xludf.DUMMYFUNCTION("""COMPUTED_VALUE"""),2.0)</f>
        <v>2</v>
      </c>
      <c r="Y156" s="40" t="str">
        <f>IFERROR(__xludf.DUMMYFUNCTION("""COMPUTED_VALUE"""),"No tiene")</f>
        <v>No tiene</v>
      </c>
      <c r="Z156" s="42" t="str">
        <f>IFERROR(__xludf.DUMMYFUNCTION("""COMPUTED_VALUE"""),"No aplica")</f>
        <v>No aplica</v>
      </c>
      <c r="AA156" s="49" t="str">
        <f>IFERROR(__xludf.DUMMYFUNCTION("""COMPUTED_VALUE"""),"18 años")</f>
        <v>18 años</v>
      </c>
      <c r="AB156" s="48"/>
      <c r="AC156" s="40"/>
      <c r="AD156" s="40"/>
      <c r="AE156" s="40"/>
      <c r="AF156" s="40" t="str">
        <f>IFERROR(__xludf.DUMMYFUNCTION("""COMPUTED_VALUE"""),"integral")</f>
        <v>integral</v>
      </c>
      <c r="AG156" s="40"/>
      <c r="AH156" s="40" t="str">
        <f>IFERROR(__xludf.DUMMYFUNCTION("""COMPUTED_VALUE"""),"Inventario")</f>
        <v>Inventario</v>
      </c>
      <c r="AI156" s="40"/>
      <c r="AJ156" s="40" t="str">
        <f>IFERROR(__xludf.DUMMYFUNCTION("""COMPUTED_VALUE"""),"ICDE")</f>
        <v>ICDE</v>
      </c>
      <c r="AK156" s="40"/>
      <c r="AL156" s="40" t="str">
        <f>IFERROR(__xludf.DUMMYFUNCTION("""COMPUTED_VALUE"""),"NO FOTOS")</f>
        <v>NO FOTOS</v>
      </c>
      <c r="AM156" s="40">
        <f>IFERROR(__xludf.DUMMYFUNCTION("""COMPUTED_VALUE"""),3.108179657E9)</f>
        <v>3108179657</v>
      </c>
      <c r="AN156" s="40">
        <f>IFERROR(__xludf.DUMMYFUNCTION("""COMPUTED_VALUE"""),3.123692743E9)</f>
        <v>3123692743</v>
      </c>
      <c r="AO156" s="40" t="str">
        <f>IFERROR(__xludf.DUMMYFUNCTION("""COMPUTED_VALUE"""),"CENIA ROJAS")</f>
        <v>CENIA ROJAS</v>
      </c>
      <c r="AP156" s="40" t="str">
        <f>IFERROR(__xludf.DUMMYFUNCTION("""COMPUTED_VALUE"""),"CARRERA16A No. 50-18")</f>
        <v>CARRERA16A No. 50-18</v>
      </c>
      <c r="AQ156" s="40"/>
      <c r="AR156" s="40"/>
      <c r="AS156" s="53">
        <f>IFERROR(__xludf.DUMMYFUNCTION("""COMPUTED_VALUE"""),1600000.0)</f>
        <v>1600000</v>
      </c>
      <c r="AT156" s="40">
        <f>IFERROR(__xludf.DUMMYFUNCTION("""COMPUTED_VALUE"""),0.0)</f>
        <v>0</v>
      </c>
      <c r="AU156" s="40"/>
      <c r="AV156" s="40"/>
      <c r="AW156" s="40"/>
      <c r="AX156" s="40"/>
      <c r="AY156" s="40"/>
      <c r="AZ156" s="40">
        <f>IFERROR(__xludf.DUMMYFUNCTION("""COMPUTED_VALUE"""),8.0)</f>
        <v>8</v>
      </c>
      <c r="BA156" s="40" t="str">
        <f>IFERROR(__xludf.DUMMYFUNCTION("""COMPUTED_VALUE"""),"X")</f>
        <v>X</v>
      </c>
      <c r="BB156" s="40">
        <f>IFERROR(__xludf.DUMMYFUNCTION("""COMPUTED_VALUE"""),14.0)</f>
        <v>14</v>
      </c>
      <c r="BC156" s="53"/>
      <c r="BD156" s="48"/>
      <c r="BE156" s="48"/>
      <c r="BF156" s="48"/>
    </row>
    <row r="157">
      <c r="A157" s="39" t="str">
        <f>IFERROR(__xludf.DUMMYFUNCTION("""COMPUTED_VALUE"""),"232")</f>
        <v>232</v>
      </c>
      <c r="B157" s="40" t="str">
        <f>IFERROR(__xludf.DUMMYFUNCTION("""COMPUTED_VALUE"""),"Casa con dos apartamentos en barrio Alamos Norte")</f>
        <v>Casa con dos apartamentos en barrio Alamos Norte</v>
      </c>
      <c r="C157" s="40" t="str">
        <f>IFERROR(__xludf.DUMMYFUNCTION("""COMPUTED_VALUE"""),"Casa rentable")</f>
        <v>Casa rentable</v>
      </c>
      <c r="D157" s="40" t="str">
        <f>IFERROR(__xludf.DUMMYFUNCTION("""COMPUTED_VALUE"""),"Alamos Norte")</f>
        <v>Alamos Norte</v>
      </c>
      <c r="E157" s="42" t="str">
        <f>IFERROR(__xludf.DUMMYFUNCTION("""COMPUTED_VALUE""")," ")</f>
        <v> </v>
      </c>
      <c r="F157" s="42">
        <f>IFERROR(__xludf.DUMMYFUNCTION("""COMPUTED_VALUE"""),3.5E8)</f>
        <v>350000000</v>
      </c>
      <c r="G157" s="40" t="str">
        <f>IFERROR(__xludf.DUMMYFUNCTION("""COMPUTED_VALUE"""),"$300'000.000 a $400'000.000")</f>
        <v>$300'000.000 a $400'000.000</v>
      </c>
      <c r="H157" s="40"/>
      <c r="I157" s="40"/>
      <c r="J157" s="40" t="str">
        <f>IFERROR(__xludf.DUMMYFUNCTION("""COMPUTED_VALUE"""),"Norte")</f>
        <v>Norte</v>
      </c>
      <c r="K157" s="39"/>
      <c r="L157" s="40">
        <f>IFERROR(__xludf.DUMMYFUNCTION("""COMPUTED_VALUE"""),7.0)</f>
        <v>7</v>
      </c>
      <c r="M157" s="40"/>
      <c r="N157" s="40">
        <f>IFERROR(__xludf.DUMMYFUNCTION("""COMPUTED_VALUE"""),4.0)</f>
        <v>4</v>
      </c>
      <c r="O157" s="40">
        <f>IFERROR(__xludf.DUMMYFUNCTION("""COMPUTED_VALUE"""),2.0)</f>
        <v>2</v>
      </c>
      <c r="P157" s="40">
        <f>IFERROR(__xludf.DUMMYFUNCTION("""COMPUTED_VALUE"""),3.0)</f>
        <v>3</v>
      </c>
      <c r="Q157" s="48"/>
      <c r="R157" s="48">
        <f>IFERROR(__xludf.DUMMYFUNCTION("""COMPUTED_VALUE"""),114.8)</f>
        <v>114.8</v>
      </c>
      <c r="S157" s="39" t="str">
        <f>IFERROR(__xludf.DUMMYFUNCTION("""COMPUTED_VALUE"""),"Rentabilidad $1,300,000")</f>
        <v>Rentabilidad $1,300,000</v>
      </c>
      <c r="T157" s="40" t="str">
        <f>IFERROR(__xludf.DUMMYFUNCTION("""COMPUTED_VALUE"""),"Neiva")</f>
        <v>Neiva</v>
      </c>
      <c r="U157" s="39" t="str">
        <f>IFERROR(__xludf.DUMMYFUNCTION("""COMPUTED_VALUE"""),"2")</f>
        <v>2</v>
      </c>
      <c r="V157" s="40" t="str">
        <f>IFERROR(__xludf.DUMMYFUNCTION("""COMPUTED_VALUE"""),"Medianera")</f>
        <v>Medianera</v>
      </c>
      <c r="W157" s="46"/>
      <c r="X157" s="46">
        <f>IFERROR(__xludf.DUMMYFUNCTION("""COMPUTED_VALUE"""),4.0)</f>
        <v>4</v>
      </c>
      <c r="Y157" s="40" t="str">
        <f>IFERROR(__xludf.DUMMYFUNCTION("""COMPUTED_VALUE"""),"No tiene")</f>
        <v>No tiene</v>
      </c>
      <c r="Z157" s="42" t="str">
        <f>IFERROR(__xludf.DUMMYFUNCTION("""COMPUTED_VALUE"""),"No aplica")</f>
        <v>No aplica</v>
      </c>
      <c r="AA157" s="49" t="str">
        <f>IFERROR(__xludf.DUMMYFUNCTION("""COMPUTED_VALUE"""),"22 años")</f>
        <v>22 años</v>
      </c>
      <c r="AB157" s="48"/>
      <c r="AC157" s="40"/>
      <c r="AD157" s="40"/>
      <c r="AE157" s="40"/>
      <c r="AF157" s="40" t="str">
        <f>IFERROR(__xludf.DUMMYFUNCTION("""COMPUTED_VALUE"""),"semi-integral")</f>
        <v>semi-integral</v>
      </c>
      <c r="AG157" s="40"/>
      <c r="AH157" s="40" t="str">
        <f>IFERROR(__xludf.DUMMYFUNCTION("""COMPUTED_VALUE"""),"Inventario")</f>
        <v>Inventario</v>
      </c>
      <c r="AI157" s="40"/>
      <c r="AJ157" s="40" t="str">
        <f>IFERROR(__xludf.DUMMYFUNCTION("""COMPUTED_VALUE"""),"ICDE")</f>
        <v>ICDE</v>
      </c>
      <c r="AK157" s="40"/>
      <c r="AL157" s="40" t="str">
        <f>IFERROR(__xludf.DUMMYFUNCTION("""COMPUTED_VALUE"""),"NO FOTOS + DESCRIPCION")</f>
        <v>NO FOTOS + DESCRIPCION</v>
      </c>
      <c r="AM157" s="40">
        <f>IFERROR(__xludf.DUMMYFUNCTION("""COMPUTED_VALUE"""),3.173542364E9)</f>
        <v>3173542364</v>
      </c>
      <c r="AN157" s="40">
        <f>IFERROR(__xludf.DUMMYFUNCTION("""COMPUTED_VALUE"""),3.176461556E9)</f>
        <v>3176461556</v>
      </c>
      <c r="AO157" s="40" t="str">
        <f>IFERROR(__xludf.DUMMYFUNCTION("""COMPUTED_VALUE"""),"GLORIA")</f>
        <v>GLORIA</v>
      </c>
      <c r="AP157" s="40" t="str">
        <f>IFERROR(__xludf.DUMMYFUNCTION("""COMPUTED_VALUE"""),"CARRERA 17 C NO. 50 -18")</f>
        <v>CARRERA 17 C NO. 50 -18</v>
      </c>
      <c r="AQ157" s="40"/>
      <c r="AR157" s="40"/>
      <c r="AS157" s="53">
        <f>IFERROR(__xludf.DUMMYFUNCTION("""COMPUTED_VALUE"""),1300000.0)</f>
        <v>1300000</v>
      </c>
      <c r="AT157" s="40">
        <f>IFERROR(__xludf.DUMMYFUNCTION("""COMPUTED_VALUE"""),0.0)</f>
        <v>0</v>
      </c>
      <c r="AU157" s="40">
        <f>IFERROR(__xludf.DUMMYFUNCTION("""COMPUTED_VALUE"""),0.0)</f>
        <v>0</v>
      </c>
      <c r="AV157" s="40">
        <f>IFERROR(__xludf.DUMMYFUNCTION("""COMPUTED_VALUE"""),0.0)</f>
        <v>0</v>
      </c>
      <c r="AW157" s="40" t="str">
        <f>IFERROR(__xludf.DUMMYFUNCTION("""COMPUTED_VALUE"""),"NO")</f>
        <v>NO</v>
      </c>
      <c r="AX157" s="40">
        <f>IFERROR(__xludf.DUMMYFUNCTION("""COMPUTED_VALUE"""),0.0)</f>
        <v>0</v>
      </c>
      <c r="AY157" s="40">
        <f>IFERROR(__xludf.DUMMYFUNCTION("""COMPUTED_VALUE"""),0.0)</f>
        <v>0</v>
      </c>
      <c r="AZ157" s="40">
        <f>IFERROR(__xludf.DUMMYFUNCTION("""COMPUTED_VALUE"""),8.2)</f>
        <v>8.2</v>
      </c>
      <c r="BA157" s="40" t="str">
        <f>IFERROR(__xludf.DUMMYFUNCTION("""COMPUTED_VALUE"""),"X")</f>
        <v>X</v>
      </c>
      <c r="BB157" s="40">
        <f>IFERROR(__xludf.DUMMYFUNCTION("""COMPUTED_VALUE"""),14.0)</f>
        <v>14</v>
      </c>
      <c r="BC157" s="53" t="str">
        <f>IFERROR(__xludf.DUMMYFUNCTION("""COMPUTED_VALUE"""),"12 - LEIDY YULIETH, Sergio Dussan, 41 - Sergio Dussan, 35 - LUIS ANGEL VARGAS")</f>
        <v>12 - LEIDY YULIETH, Sergio Dussan, 41 - Sergio Dussan, 35 - LUIS ANGEL VARGAS</v>
      </c>
      <c r="BD157" s="48"/>
      <c r="BE157" s="48"/>
      <c r="BF157" s="48"/>
    </row>
    <row r="158">
      <c r="A158" s="39" t="str">
        <f>IFERROR(__xludf.DUMMYFUNCTION("""COMPUTED_VALUE"""),"197")</f>
        <v>197</v>
      </c>
      <c r="B158" s="40" t="str">
        <f>IFERROR(__xludf.DUMMYFUNCTION("""COMPUTED_VALUE"""),"Casa con apartaestudio en barrio Campo Nuñez")</f>
        <v>Casa con apartaestudio en barrio Campo Nuñez</v>
      </c>
      <c r="C158" s="40" t="str">
        <f>IFERROR(__xludf.DUMMYFUNCTION("""COMPUTED_VALUE"""),"Casa rentable")</f>
        <v>Casa rentable</v>
      </c>
      <c r="D158" s="40" t="str">
        <f>IFERROR(__xludf.DUMMYFUNCTION("""COMPUTED_VALUE"""),"Campo Nuñez")</f>
        <v>Campo Nuñez</v>
      </c>
      <c r="E158" s="42" t="str">
        <f>IFERROR(__xludf.DUMMYFUNCTION("""COMPUTED_VALUE""")," ")</f>
        <v> </v>
      </c>
      <c r="F158" s="42">
        <f>IFERROR(__xludf.DUMMYFUNCTION("""COMPUTED_VALUE"""),3.5E8)</f>
        <v>350000000</v>
      </c>
      <c r="G158" s="40" t="str">
        <f>IFERROR(__xludf.DUMMYFUNCTION("""COMPUTED_VALUE"""),"$300'000.000 a $400'000.000")</f>
        <v>$300'000.000 a $400'000.000</v>
      </c>
      <c r="H158" s="40"/>
      <c r="I158" s="40"/>
      <c r="J158" s="40" t="str">
        <f>IFERROR(__xludf.DUMMYFUNCTION("""COMPUTED_VALUE"""),"Centro")</f>
        <v>Centro</v>
      </c>
      <c r="K158" s="39" t="str">
        <f>IFERROR(__xludf.DUMMYFUNCTION("""COMPUTED_VALUE"""),"3")</f>
        <v>3</v>
      </c>
      <c r="L158" s="40">
        <f>IFERROR(__xludf.DUMMYFUNCTION("""COMPUTED_VALUE"""),3.0)</f>
        <v>3</v>
      </c>
      <c r="M158" s="40"/>
      <c r="N158" s="40">
        <f>IFERROR(__xludf.DUMMYFUNCTION("""COMPUTED_VALUE"""),1.0)</f>
        <v>1</v>
      </c>
      <c r="O158" s="40">
        <f>IFERROR(__xludf.DUMMYFUNCTION("""COMPUTED_VALUE"""),0.0)</f>
        <v>0</v>
      </c>
      <c r="P158" s="40">
        <f>IFERROR(__xludf.DUMMYFUNCTION("""COMPUTED_VALUE"""),1.0)</f>
        <v>1</v>
      </c>
      <c r="Q158" s="48">
        <f>IFERROR(__xludf.DUMMYFUNCTION("""COMPUTED_VALUE"""),130.0)</f>
        <v>130</v>
      </c>
      <c r="R158" s="48">
        <f>IFERROR(__xludf.DUMMYFUNCTION("""COMPUTED_VALUE"""),129.0)</f>
        <v>129</v>
      </c>
      <c r="S158" s="39" t="str">
        <f>IFERROR(__xludf.DUMMYFUNCTION("""COMPUTED_VALUE"""),"Rentabilidad $800,000")</f>
        <v>Rentabilidad $800,000</v>
      </c>
      <c r="T158" s="40" t="str">
        <f>IFERROR(__xludf.DUMMYFUNCTION("""COMPUTED_VALUE"""),"Neiva")</f>
        <v>Neiva</v>
      </c>
      <c r="U158" s="39" t="str">
        <f>IFERROR(__xludf.DUMMYFUNCTION("""COMPUTED_VALUE"""),"2")</f>
        <v>2</v>
      </c>
      <c r="V158" s="40" t="str">
        <f>IFERROR(__xludf.DUMMYFUNCTION("""COMPUTED_VALUE"""),"Esquinera")</f>
        <v>Esquinera</v>
      </c>
      <c r="W158" s="46"/>
      <c r="X158" s="46">
        <f>IFERROR(__xludf.DUMMYFUNCTION("""COMPUTED_VALUE"""),0.0)</f>
        <v>0</v>
      </c>
      <c r="Y158" s="40" t="str">
        <f>IFERROR(__xludf.DUMMYFUNCTION("""COMPUTED_VALUE"""),"No tiene")</f>
        <v>No tiene</v>
      </c>
      <c r="Z158" s="42" t="str">
        <f>IFERROR(__xludf.DUMMYFUNCTION("""COMPUTED_VALUE"""),"No aplica")</f>
        <v>No aplica</v>
      </c>
      <c r="AA158" s="49" t="str">
        <f>IFERROR(__xludf.DUMMYFUNCTION("""COMPUTED_VALUE"""),"36 años")</f>
        <v>36 años</v>
      </c>
      <c r="AB158" s="105" t="str">
        <f>IFERROR(__xludf.DUMMYFUNCTION("""COMPUTED_VALUE"""),"https://photos.app.goo.gl/vAz1LaGWFkDAac8EA")</f>
        <v>https://photos.app.goo.gl/vAz1LaGWFkDAac8EA</v>
      </c>
      <c r="AC158" s="40"/>
      <c r="AD158" s="40"/>
      <c r="AE158" s="40"/>
      <c r="AF158" s="40" t="str">
        <f>IFERROR(__xludf.DUMMYFUNCTION("""COMPUTED_VALUE"""),"básica")</f>
        <v>básica</v>
      </c>
      <c r="AG158" s="40"/>
      <c r="AH158" s="40" t="str">
        <f>IFERROR(__xludf.DUMMYFUNCTION("""COMPUTED_VALUE"""),"Inventario")</f>
        <v>Inventario</v>
      </c>
      <c r="AI158" s="40"/>
      <c r="AJ158" s="40" t="str">
        <f>IFERROR(__xludf.DUMMYFUNCTION("""COMPUTED_VALUE"""),"ICDE")</f>
        <v>ICDE</v>
      </c>
      <c r="AK158" s="40"/>
      <c r="AL158" s="40" t="str">
        <f>IFERROR(__xludf.DUMMYFUNCTION("""COMPUTED_VALUE"""),"TIENE FOTOS")</f>
        <v>TIENE FOTOS</v>
      </c>
      <c r="AM158" s="40">
        <f>IFERROR(__xludf.DUMMYFUNCTION("""COMPUTED_VALUE"""),3.208603617E9)</f>
        <v>3208603617</v>
      </c>
      <c r="AN158" s="40">
        <f>IFERROR(__xludf.DUMMYFUNCTION("""COMPUTED_VALUE"""),0.0)</f>
        <v>0</v>
      </c>
      <c r="AO158" s="40" t="str">
        <f>IFERROR(__xludf.DUMMYFUNCTION("""COMPUTED_VALUE"""),"NAZARETH CUERVO (Es mujer)")</f>
        <v>NAZARETH CUERVO (Es mujer)</v>
      </c>
      <c r="AP158" s="40" t="str">
        <f>IFERROR(__xludf.DUMMYFUNCTION("""COMPUTED_VALUE"""),"CALLE 19 NO. 7 B - 03")</f>
        <v>CALLE 19 NO. 7 B - 03</v>
      </c>
      <c r="AQ158" s="40"/>
      <c r="AR158" s="40"/>
      <c r="AS158" s="53">
        <f>IFERROR(__xludf.DUMMYFUNCTION("""COMPUTED_VALUE"""),800000.0)</f>
        <v>800000</v>
      </c>
      <c r="AT158" s="40">
        <f>IFERROR(__xludf.DUMMYFUNCTION("""COMPUTED_VALUE"""),0.0)</f>
        <v>0</v>
      </c>
      <c r="AU158" s="40">
        <f>IFERROR(__xludf.DUMMYFUNCTION("""COMPUTED_VALUE"""),0.0)</f>
        <v>0</v>
      </c>
      <c r="AV158" s="40">
        <f>IFERROR(__xludf.DUMMYFUNCTION("""COMPUTED_VALUE"""),0.0)</f>
        <v>0</v>
      </c>
      <c r="AW158" s="40" t="str">
        <f>IFERROR(__xludf.DUMMYFUNCTION("""COMPUTED_VALUE"""),"NO")</f>
        <v>NO</v>
      </c>
      <c r="AX158" s="40">
        <f>IFERROR(__xludf.DUMMYFUNCTION("""COMPUTED_VALUE"""),0.0)</f>
        <v>0</v>
      </c>
      <c r="AY158" s="40">
        <f>IFERROR(__xludf.DUMMYFUNCTION("""COMPUTED_VALUE"""),0.0)</f>
        <v>0</v>
      </c>
      <c r="AZ158" s="40">
        <f>IFERROR(__xludf.DUMMYFUNCTION("""COMPUTED_VALUE"""),8.0)</f>
        <v>8</v>
      </c>
      <c r="BA158" s="40" t="str">
        <f>IFERROR(__xludf.DUMMYFUNCTION("""COMPUTED_VALUE"""),"X")</f>
        <v>X</v>
      </c>
      <c r="BB158" s="40">
        <f>IFERROR(__xludf.DUMMYFUNCTION("""COMPUTED_VALUE"""),13.0)</f>
        <v>13</v>
      </c>
      <c r="BC158" s="53"/>
      <c r="BD158" s="48"/>
      <c r="BE158" s="48"/>
      <c r="BF158" s="48" t="str">
        <f>IFERROR(__xludf.DUMMYFUNCTION("""COMPUTED_VALUE"""),"https://lh3.googleusercontent.com/pw/AP1GczMBI_bsxu_BKnH9qcPMsxbbUFcg31QP5VYeuVYWbyzuIK4PBwgAboFxE5yQLt92Ckle4Z85GF8VWBui6H8OMXdFdWR3UrSmIRTNMhfTpQmpA2FhGLq2=w1200|https://lh3.googleusercontent.com/pw/AP1GczN-woLv5qS4LokWPqh8bacTIpPnG_r0oiMdjuHSLiqfMlBXez"&amp;"dRIb9pjlNLc3qbsY8RbYnVVE1bnozubHv2KWH523HQK1eLjF1emZgSDm4W6xKojGdK=w1200|https://lh3.googleusercontent.com/pw/AP1GczMZFGhNoXkgm293VTgirm1YNuKddBQvTXLlPNuBJGwqP3NHIXlotGMfAwFK5vvfLu8o5eK9MJ6S6S4futudNOBQ10sjizup5ZDeQrdm9FPygpIiHL1m=w1200|https://lh3.google"&amp;"usercontent.com/pw/AP1GczOKIu-HRPJxmSWF_5ylYH98ARA3FTaXHD1t91jUHFQR53yHXjW_v9nCra0fkVMf66lov8srnEHBm9ScnI22ICWD3-qSJ506nqT6-YgSKPcUMvAdDhLj=w1200|https://lh3.googleusercontent.com/pw/AP1GczM4HJt756lA3hk3y8IxabVUxvy3HgJyZqYhZIT5F6wstCm6tyS5a9udPfeaQ6lrir5f"&amp;"Odws1SzrXbuy1SSMUySbmQipSITVMeOlhq7YyIZCB5eUqmDY=w1200|https://lh3.googleusercontent.com/pw/AP1GczNvZI1K12Atx-KcDMSlsTFBg-SKm0WQ36N3rvPTcxXn5efjn6TfbwWfO4hJDV5nJ8Kj_sexZKmW7gsrw73DYQGuY3h9RVgpHJqm9qQvlvyXRl3EsZDV=w1200|https://lh3.googleusercontent.com/pw"&amp;"/AP1GczN66nzorL0sRELG-CkL_t9nA0bTAGLgN8Eo5Ew6TSgM6vszCMT5ps4BMauTRlWam7Fls1kWoxW3q-D2etDlG5M4xpYpzIWFu6guiYpDZbFVR5h_ZMMQ=w1200|https://lh3.googleusercontent.com/pw/AP1GczN-cp1W_wQCNoSeddsQXJZBvr7P3LzkjIM_rjU1GV5obaEdRSp6tQ0Shoh275rFIybRZ-ndK91gXRb2K-WW3Q"&amp;"0T7grgngbgA4Si2z_LA4bqKfZQv4R4=w1200|https://lh3.googleusercontent.com/pw/AP1GczM-P-DJegDPFOChvtWA6591g0wyNO806X-1esB1pkpkDl8OTvsFKDSKdk0gz1OImeJYJO1njZqN1pDT8D814yImdFIrRdRjb0VinteCD0fy62YMz8Ew=w1200|https://lh3.googleusercontent.com/pw/AP1GczNwGCMjXcRoz"&amp;"TW5uljsELeXpe3j38z5AheHhbRbKekLMxdOxBfcw1OUd55DSX8H71Ve6bjO96kT_HIcRnH0cAHQFn-B2qzi8hf0jFnXrcCQ680_PznS=w1200|https://lh3.googleusercontent.com/pw/AP1GczPCOTvki0Dsez2O19i_4W6IxOewf1TZVewwwXE_cvPuoOqP_RQEGabt2JLM8DhZ7lOOxQ-EmYuTHkr2HKJ4BJaJ0eZeClajtnYA2E8s"&amp;"-vEJiKal4g-W=w1200|https://lh3.googleusercontent.com/pw/AP1GczOIpp8QWEbfB6kC0nSX5Ucyq-IBpxz5xmUh3yxlk0oJdZgMHFACqsPdoxQbP5Hv2hTmu6oGJWVDOncCX5s9Kc-FXYccagX4nQ0AmtArvOF0hcCdQH7W=w1200|https://lh3.googleusercontent.com/pw/AP1GczMN_Ki5_-c8hPLzOuVLgpYKqhS587R"&amp;"sF-tcC_aQywiKsfg5fv722cQpxuWGeBVs07Icbp-Wdiipaf95LXLLVCtbH9VfU7ukEkLAqH1-3cwk_Jp8rUu0=w1200|https://lh3.googleusercontent.com/pw/AP1GczNhZ2Jis6lZb5V5LN28xfa9O2md2Q1N5dr6fS66xEte4XoONqTs4_CLH_VuYc7mz430RBRWVCsSbRwuyC_2HJVBVh_01v9R2W9RPnf7NE4Hd-CKNxQr=w1200"&amp;"|https://lh3.googleusercontent.com/pw/AP1GczM_xzQj1lX8EEwXZgWtrO-qCkE0OzWmK54dIPfuPZ5PYWoks0FELukFFBshZfhqbti3uFx5UYT3imTR_OVbSeo_-k4tzpF5CFeGIeRH4cPRjBbChDve=w1200|https://lh3.googleusercontent.com/pw/AP1GczO8Gqi-LpbLURuT0udYuYHnJlYqXIoyxAHiPqJHIAIwpVdYy"&amp;"fT7CY18Y174PzgJOJa2Zc0SXmYUop1w04jZE26Q24W_5-FF_DMwV2nlatlJxj9Q14Tq=w1200")</f>
        <v>https://lh3.googleusercontent.com/pw/AP1GczMBI_bsxu_BKnH9qcPMsxbbUFcg31QP5VYeuVYWbyzuIK4PBwgAboFxE5yQLt92Ckle4Z85GF8VWBui6H8OMXdFdWR3UrSmIRTNMhfTpQmpA2FhGLq2=w1200|https://lh3.googleusercontent.com/pw/AP1GczN-woLv5qS4LokWPqh8bacTIpPnG_r0oiMdjuHSLiqfMlBXezdRIb9pjlNLc3qbsY8RbYnVVE1bnozubHv2KWH523HQK1eLjF1emZgSDm4W6xKojGdK=w1200|https://lh3.googleusercontent.com/pw/AP1GczMZFGhNoXkgm293VTgirm1YNuKddBQvTXLlPNuBJGwqP3NHIXlotGMfAwFK5vvfLu8o5eK9MJ6S6S4futudNOBQ10sjizup5ZDeQrdm9FPygpIiHL1m=w1200|https://lh3.googleusercontent.com/pw/AP1GczOKIu-HRPJxmSWF_5ylYH98ARA3FTaXHD1t91jUHFQR53yHXjW_v9nCra0fkVMf66lov8srnEHBm9ScnI22ICWD3-qSJ506nqT6-YgSKPcUMvAdDhLj=w1200|https://lh3.googleusercontent.com/pw/AP1GczM4HJt756lA3hk3y8IxabVUxvy3HgJyZqYhZIT5F6wstCm6tyS5a9udPfeaQ6lrir5fOdws1SzrXbuy1SSMUySbmQipSITVMeOlhq7YyIZCB5eUqmDY=w1200|https://lh3.googleusercontent.com/pw/AP1GczNvZI1K12Atx-KcDMSlsTFBg-SKm0WQ36N3rvPTcxXn5efjn6TfbwWfO4hJDV5nJ8Kj_sexZKmW7gsrw73DYQGuY3h9RVgpHJqm9qQvlvyXRl3EsZDV=w1200|https://lh3.googleusercontent.com/pw/AP1GczN66nzorL0sRELG-CkL_t9nA0bTAGLgN8Eo5Ew6TSgM6vszCMT5ps4BMauTRlWam7Fls1kWoxW3q-D2etDlG5M4xpYpzIWFu6guiYpDZbFVR5h_ZMMQ=w1200|https://lh3.googleusercontent.com/pw/AP1GczN-cp1W_wQCNoSeddsQXJZBvr7P3LzkjIM_rjU1GV5obaEdRSp6tQ0Shoh275rFIybRZ-ndK91gXRb2K-WW3Q0T7grgngbgA4Si2z_LA4bqKfZQv4R4=w1200|https://lh3.googleusercontent.com/pw/AP1GczM-P-DJegDPFOChvtWA6591g0wyNO806X-1esB1pkpkDl8OTvsFKDSKdk0gz1OImeJYJO1njZqN1pDT8D814yImdFIrRdRjb0VinteCD0fy62YMz8Ew=w1200|https://lh3.googleusercontent.com/pw/AP1GczNwGCMjXcRozTW5uljsELeXpe3j38z5AheHhbRbKekLMxdOxBfcw1OUd55DSX8H71Ve6bjO96kT_HIcRnH0cAHQFn-B2qzi8hf0jFnXrcCQ680_PznS=w1200|https://lh3.googleusercontent.com/pw/AP1GczPCOTvki0Dsez2O19i_4W6IxOewf1TZVewwwXE_cvPuoOqP_RQEGabt2JLM8DhZ7lOOxQ-EmYuTHkr2HKJ4BJaJ0eZeClajtnYA2E8s-vEJiKal4g-W=w1200|https://lh3.googleusercontent.com/pw/AP1GczOIpp8QWEbfB6kC0nSX5Ucyq-IBpxz5xmUh3yxlk0oJdZgMHFACqsPdoxQbP5Hv2hTmu6oGJWVDOncCX5s9Kc-FXYccagX4nQ0AmtArvOF0hcCdQH7W=w1200|https://lh3.googleusercontent.com/pw/AP1GczMN_Ki5_-c8hPLzOuVLgpYKqhS587RsF-tcC_aQywiKsfg5fv722cQpxuWGeBVs07Icbp-Wdiipaf95LXLLVCtbH9VfU7ukEkLAqH1-3cwk_Jp8rUu0=w1200|https://lh3.googleusercontent.com/pw/AP1GczNhZ2Jis6lZb5V5LN28xfa9O2md2Q1N5dr6fS66xEte4XoONqTs4_CLH_VuYc7mz430RBRWVCsSbRwuyC_2HJVBVh_01v9R2W9RPnf7NE4Hd-CKNxQr=w1200|https://lh3.googleusercontent.com/pw/AP1GczM_xzQj1lX8EEwXZgWtrO-qCkE0OzWmK54dIPfuPZ5PYWoks0FELukFFBshZfhqbti3uFx5UYT3imTR_OVbSeo_-k4tzpF5CFeGIeRH4cPRjBbChDve=w1200|https://lh3.googleusercontent.com/pw/AP1GczO8Gqi-LpbLURuT0udYuYHnJlYqXIoyxAHiPqJHIAIwpVdYyfT7CY18Y174PzgJOJa2Zc0SXmYUop1w04jZE26Q24W_5-FF_DMwV2nlatlJxj9Q14Tq=w1200</v>
      </c>
    </row>
    <row r="159">
      <c r="A159" s="39" t="str">
        <f>IFERROR(__xludf.DUMMYFUNCTION("""COMPUTED_VALUE"""),"124")</f>
        <v>124</v>
      </c>
      <c r="B159" s="40" t="str">
        <f>IFERROR(__xludf.DUMMYFUNCTION("""COMPUTED_VALUE"""),"Casa en barrio Los Cámbulos II")</f>
        <v>Casa en barrio Los Cámbulos II</v>
      </c>
      <c r="C159" s="40" t="str">
        <f>IFERROR(__xludf.DUMMYFUNCTION("""COMPUTED_VALUE"""),"Casa")</f>
        <v>Casa</v>
      </c>
      <c r="D159" s="40" t="str">
        <f>IFERROR(__xludf.DUMMYFUNCTION("""COMPUTED_VALUE"""),"Los Cámbulos II")</f>
        <v>Los Cámbulos II</v>
      </c>
      <c r="E159" s="42" t="str">
        <f>IFERROR(__xludf.DUMMYFUNCTION("""COMPUTED_VALUE""")," ")</f>
        <v> </v>
      </c>
      <c r="F159" s="42">
        <f>IFERROR(__xludf.DUMMYFUNCTION("""COMPUTED_VALUE"""),3.5E8)</f>
        <v>350000000</v>
      </c>
      <c r="G159" s="40" t="str">
        <f>IFERROR(__xludf.DUMMYFUNCTION("""COMPUTED_VALUE"""),"$300'000.000 a $400'000.000")</f>
        <v>$300'000.000 a $400'000.000</v>
      </c>
      <c r="H159" s="40"/>
      <c r="I159" s="40"/>
      <c r="J159" s="40" t="str">
        <f>IFERROR(__xludf.DUMMYFUNCTION("""COMPUTED_VALUE"""),"Norte")</f>
        <v>Norte</v>
      </c>
      <c r="K159" s="39" t="str">
        <f>IFERROR(__xludf.DUMMYFUNCTION("""COMPUTED_VALUE"""),"2")</f>
        <v>2</v>
      </c>
      <c r="L159" s="40">
        <f>IFERROR(__xludf.DUMMYFUNCTION("""COMPUTED_VALUE"""),4.0)</f>
        <v>4</v>
      </c>
      <c r="M159" s="40"/>
      <c r="N159" s="40">
        <f>IFERROR(__xludf.DUMMYFUNCTION("""COMPUTED_VALUE"""),2.0)</f>
        <v>2</v>
      </c>
      <c r="O159" s="40">
        <f>IFERROR(__xludf.DUMMYFUNCTION("""COMPUTED_VALUE"""),1.0)</f>
        <v>1</v>
      </c>
      <c r="P159" s="40">
        <f>IFERROR(__xludf.DUMMYFUNCTION("""COMPUTED_VALUE"""),2.0)</f>
        <v>2</v>
      </c>
      <c r="Q159" s="48">
        <f>IFERROR(__xludf.DUMMYFUNCTION("""COMPUTED_VALUE"""),180.0)</f>
        <v>180</v>
      </c>
      <c r="R159" s="48">
        <f>IFERROR(__xludf.DUMMYFUNCTION("""COMPUTED_VALUE"""),180.0)</f>
        <v>180</v>
      </c>
      <c r="S159" s="39" t="str">
        <f>IFERROR(__xludf.DUMMYFUNCTION("""COMPUTED_VALUE"""),"Rentabilidad $1,000,000")</f>
        <v>Rentabilidad $1,000,000</v>
      </c>
      <c r="T159" s="40" t="str">
        <f>IFERROR(__xludf.DUMMYFUNCTION("""COMPUTED_VALUE"""),"Neiva")</f>
        <v>Neiva</v>
      </c>
      <c r="U159" s="39" t="str">
        <f>IFERROR(__xludf.DUMMYFUNCTION("""COMPUTED_VALUE"""),"3")</f>
        <v>3</v>
      </c>
      <c r="V159" s="40" t="str">
        <f>IFERROR(__xludf.DUMMYFUNCTION("""COMPUTED_VALUE"""),"Esquinera")</f>
        <v>Esquinera</v>
      </c>
      <c r="W159" s="46"/>
      <c r="X159" s="46">
        <f>IFERROR(__xludf.DUMMYFUNCTION("""COMPUTED_VALUE"""),0.0)</f>
        <v>0</v>
      </c>
      <c r="Y159" s="40" t="str">
        <f>IFERROR(__xludf.DUMMYFUNCTION("""COMPUTED_VALUE"""),"No tiene")</f>
        <v>No tiene</v>
      </c>
      <c r="Z159" s="42" t="str">
        <f>IFERROR(__xludf.DUMMYFUNCTION("""COMPUTED_VALUE"""),"No aplica")</f>
        <v>No aplica</v>
      </c>
      <c r="AA159" s="49" t="str">
        <f>IFERROR(__xludf.DUMMYFUNCTION("""COMPUTED_VALUE"""),"29 años")</f>
        <v>29 años</v>
      </c>
      <c r="AB159" s="48"/>
      <c r="AC159" s="40"/>
      <c r="AD159" s="40"/>
      <c r="AE159" s="40"/>
      <c r="AF159" s="40" t="str">
        <f>IFERROR(__xludf.DUMMYFUNCTION("""COMPUTED_VALUE"""),"integral")</f>
        <v>integral</v>
      </c>
      <c r="AG159" s="40"/>
      <c r="AH159" s="40" t="str">
        <f>IFERROR(__xludf.DUMMYFUNCTION("""COMPUTED_VALUE"""),"Inventario")</f>
        <v>Inventario</v>
      </c>
      <c r="AI159" s="40"/>
      <c r="AJ159" s="40" t="str">
        <f>IFERROR(__xludf.DUMMYFUNCTION("""COMPUTED_VALUE"""),"ICDE")</f>
        <v>ICDE</v>
      </c>
      <c r="AK159" s="40"/>
      <c r="AL159" s="40" t="str">
        <f>IFERROR(__xludf.DUMMYFUNCTION("""COMPUTED_VALUE"""),"TIENE FOTOS-HACER DESCRIPCION")</f>
        <v>TIENE FOTOS-HACER DESCRIPCION</v>
      </c>
      <c r="AM159" s="40">
        <f>IFERROR(__xludf.DUMMYFUNCTION("""COMPUTED_VALUE"""),3.143863474E9)</f>
        <v>3143863474</v>
      </c>
      <c r="AN159" s="40">
        <f>IFERROR(__xludf.DUMMYFUNCTION("""COMPUTED_VALUE"""),0.0)</f>
        <v>0</v>
      </c>
      <c r="AO159" s="40" t="str">
        <f>IFERROR(__xludf.DUMMYFUNCTION("""COMPUTED_VALUE"""),"FABIO GOMEZ")</f>
        <v>FABIO GOMEZ</v>
      </c>
      <c r="AP159" s="40">
        <f>IFERROR(__xludf.DUMMYFUNCTION("""COMPUTED_VALUE"""),0.0)</f>
        <v>0</v>
      </c>
      <c r="AQ159" s="40"/>
      <c r="AR159" s="40"/>
      <c r="AS159" s="53">
        <f>IFERROR(__xludf.DUMMYFUNCTION("""COMPUTED_VALUE"""),1000000.0)</f>
        <v>1000000</v>
      </c>
      <c r="AT159" s="40">
        <f>IFERROR(__xludf.DUMMYFUNCTION("""COMPUTED_VALUE"""),0.0)</f>
        <v>0</v>
      </c>
      <c r="AU159" s="40">
        <f>IFERROR(__xludf.DUMMYFUNCTION("""COMPUTED_VALUE"""),0.0)</f>
        <v>0</v>
      </c>
      <c r="AV159" s="40">
        <f>IFERROR(__xludf.DUMMYFUNCTION("""COMPUTED_VALUE"""),0.0)</f>
        <v>0</v>
      </c>
      <c r="AW159" s="40" t="str">
        <f>IFERROR(__xludf.DUMMYFUNCTION("""COMPUTED_VALUE"""),"NO")</f>
        <v>NO</v>
      </c>
      <c r="AX159" s="40">
        <f>IFERROR(__xludf.DUMMYFUNCTION("""COMPUTED_VALUE"""),0.0)</f>
        <v>0</v>
      </c>
      <c r="AY159" s="40">
        <f>IFERROR(__xludf.DUMMYFUNCTION("""COMPUTED_VALUE"""),0.0)</f>
        <v>0</v>
      </c>
      <c r="AZ159" s="40">
        <f>IFERROR(__xludf.DUMMYFUNCTION("""COMPUTED_VALUE"""),10.0)</f>
        <v>10</v>
      </c>
      <c r="BA159" s="40" t="str">
        <f>IFERROR(__xludf.DUMMYFUNCTION("""COMPUTED_VALUE"""),"X")</f>
        <v>X</v>
      </c>
      <c r="BB159" s="40">
        <f>IFERROR(__xludf.DUMMYFUNCTION("""COMPUTED_VALUE"""),18.0)</f>
        <v>18</v>
      </c>
      <c r="BC159" s="53"/>
      <c r="BD159" s="48"/>
      <c r="BE159" s="48"/>
      <c r="BF159" s="48"/>
    </row>
    <row r="160">
      <c r="A160" s="39" t="str">
        <f>IFERROR(__xludf.DUMMYFUNCTION("""COMPUTED_VALUE"""),"091")</f>
        <v>091</v>
      </c>
      <c r="B160" s="40" t="str">
        <f>IFERROR(__xludf.DUMMYFUNCTION("""COMPUTED_VALUE"""),"Casa lote en barrio Las Granjas")</f>
        <v>Casa lote en barrio Las Granjas</v>
      </c>
      <c r="C160" s="40" t="str">
        <f>IFERROR(__xludf.DUMMYFUNCTION("""COMPUTED_VALUE"""),"Casa lote")</f>
        <v>Casa lote</v>
      </c>
      <c r="D160" s="40" t="str">
        <f>IFERROR(__xludf.DUMMYFUNCTION("""COMPUTED_VALUE"""),"Las Granjas")</f>
        <v>Las Granjas</v>
      </c>
      <c r="E160" s="42" t="str">
        <f>IFERROR(__xludf.DUMMYFUNCTION("""COMPUTED_VALUE""")," ")</f>
        <v> </v>
      </c>
      <c r="F160" s="42">
        <f>IFERROR(__xludf.DUMMYFUNCTION("""COMPUTED_VALUE"""),3.5E8)</f>
        <v>350000000</v>
      </c>
      <c r="G160" s="40" t="str">
        <f>IFERROR(__xludf.DUMMYFUNCTION("""COMPUTED_VALUE"""),"$300'000.000 a $400'000.000")</f>
        <v>$300'000.000 a $400'000.000</v>
      </c>
      <c r="H160" s="40"/>
      <c r="I160" s="40"/>
      <c r="J160" s="40" t="str">
        <f>IFERROR(__xludf.DUMMYFUNCTION("""COMPUTED_VALUE"""),"Norte")</f>
        <v>Norte</v>
      </c>
      <c r="K160" s="39" t="str">
        <f>IFERROR(__xludf.DUMMYFUNCTION("""COMPUTED_VALUE"""),"2")</f>
        <v>2</v>
      </c>
      <c r="L160" s="40">
        <f>IFERROR(__xludf.DUMMYFUNCTION("""COMPUTED_VALUE"""),4.0)</f>
        <v>4</v>
      </c>
      <c r="M160" s="40"/>
      <c r="N160" s="40">
        <f>IFERROR(__xludf.DUMMYFUNCTION("""COMPUTED_VALUE"""),2.0)</f>
        <v>2</v>
      </c>
      <c r="O160" s="40">
        <f>IFERROR(__xludf.DUMMYFUNCTION("""COMPUTED_VALUE"""),0.0)</f>
        <v>0</v>
      </c>
      <c r="P160" s="40">
        <f>IFERROR(__xludf.DUMMYFUNCTION("""COMPUTED_VALUE"""),1.0)</f>
        <v>1</v>
      </c>
      <c r="Q160" s="48">
        <f>IFERROR(__xludf.DUMMYFUNCTION("""COMPUTED_VALUE"""),131.0)</f>
        <v>131</v>
      </c>
      <c r="R160" s="48">
        <f>IFERROR(__xludf.DUMMYFUNCTION("""COMPUTED_VALUE"""),72.0)</f>
        <v>72</v>
      </c>
      <c r="S160" s="39" t="str">
        <f>IFERROR(__xludf.DUMMYFUNCTION("""COMPUTED_VALUE"""),"Rentabilidad $650,000")</f>
        <v>Rentabilidad $650,000</v>
      </c>
      <c r="T160" s="40" t="str">
        <f>IFERROR(__xludf.DUMMYFUNCTION("""COMPUTED_VALUE"""),"Neiva")</f>
        <v>Neiva</v>
      </c>
      <c r="U160" s="39" t="str">
        <f>IFERROR(__xludf.DUMMYFUNCTION("""COMPUTED_VALUE"""),"2")</f>
        <v>2</v>
      </c>
      <c r="V160" s="40" t="str">
        <f>IFERROR(__xludf.DUMMYFUNCTION("""COMPUTED_VALUE"""),"Medianera")</f>
        <v>Medianera</v>
      </c>
      <c r="W160" s="46"/>
      <c r="X160" s="46">
        <f>IFERROR(__xludf.DUMMYFUNCTION("""COMPUTED_VALUE"""),0.0)</f>
        <v>0</v>
      </c>
      <c r="Y160" s="53" t="str">
        <f>IFERROR(__xludf.DUMMYFUNCTION("""COMPUTED_VALUE"""),"No tiene")</f>
        <v>No tiene</v>
      </c>
      <c r="Z160" s="42" t="str">
        <f>IFERROR(__xludf.DUMMYFUNCTION("""COMPUTED_VALUE"""),"No aplica")</f>
        <v>No aplica</v>
      </c>
      <c r="AA160" s="49" t="str">
        <f>IFERROR(__xludf.DUMMYFUNCTION("""COMPUTED_VALUE"""),"45 años")</f>
        <v>45 años</v>
      </c>
      <c r="AB160" s="48"/>
      <c r="AC160" s="40"/>
      <c r="AD160" s="40"/>
      <c r="AE160" s="40"/>
      <c r="AF160" s="40" t="str">
        <f>IFERROR(__xludf.DUMMYFUNCTION("""COMPUTED_VALUE"""),"básica")</f>
        <v>básica</v>
      </c>
      <c r="AG160" s="40"/>
      <c r="AH160" s="40" t="str">
        <f>IFERROR(__xludf.DUMMYFUNCTION("""COMPUTED_VALUE"""),"Inventario")</f>
        <v>Inventario</v>
      </c>
      <c r="AI160" s="40"/>
      <c r="AJ160" s="40" t="str">
        <f>IFERROR(__xludf.DUMMYFUNCTION("""COMPUTED_VALUE"""),"ICDE")</f>
        <v>ICDE</v>
      </c>
      <c r="AK160" s="40"/>
      <c r="AL160" s="40" t="str">
        <f>IFERROR(__xludf.DUMMYFUNCTION("""COMPUTED_VALUE"""),"TIENE FOTOS")</f>
        <v>TIENE FOTOS</v>
      </c>
      <c r="AM160" s="40">
        <f>IFERROR(__xludf.DUMMYFUNCTION("""COMPUTED_VALUE"""),3.102030568E9)</f>
        <v>3102030568</v>
      </c>
      <c r="AN160" s="40" t="str">
        <f>IFERROR(__xludf.DUMMYFUNCTION("""COMPUTED_VALUE"""),"3146854784 - 3112230028")</f>
        <v>3146854784 - 3112230028</v>
      </c>
      <c r="AO160" s="40" t="str">
        <f>IFERROR(__xludf.DUMMYFUNCTION("""COMPUTED_VALUE"""),"KATERINE CHAVARRO")</f>
        <v>KATERINE CHAVARRO</v>
      </c>
      <c r="AP160" s="40" t="str">
        <f>IFERROR(__xludf.DUMMYFUNCTION("""COMPUTED_VALUE"""),"AV 26 No. 7 - 35")</f>
        <v>AV 26 No. 7 - 35</v>
      </c>
      <c r="AQ160" s="40"/>
      <c r="AR160" s="40"/>
      <c r="AS160" s="53">
        <f>IFERROR(__xludf.DUMMYFUNCTION("""COMPUTED_VALUE"""),650000.0)</f>
        <v>650000</v>
      </c>
      <c r="AT160" s="40">
        <f>IFERROR(__xludf.DUMMYFUNCTION("""COMPUTED_VALUE"""),0.0)</f>
        <v>0</v>
      </c>
      <c r="AU160" s="40">
        <f>IFERROR(__xludf.DUMMYFUNCTION("""COMPUTED_VALUE"""),0.0)</f>
        <v>0</v>
      </c>
      <c r="AV160" s="40">
        <f>IFERROR(__xludf.DUMMYFUNCTION("""COMPUTED_VALUE"""),0.0)</f>
        <v>0</v>
      </c>
      <c r="AW160" s="40" t="str">
        <f>IFERROR(__xludf.DUMMYFUNCTION("""COMPUTED_VALUE"""),"NO")</f>
        <v>NO</v>
      </c>
      <c r="AX160" s="40">
        <f>IFERROR(__xludf.DUMMYFUNCTION("""COMPUTED_VALUE"""),0.0)</f>
        <v>0</v>
      </c>
      <c r="AY160" s="40">
        <f>IFERROR(__xludf.DUMMYFUNCTION("""COMPUTED_VALUE"""),0.0)</f>
        <v>0</v>
      </c>
      <c r="AZ160" s="40">
        <f>IFERROR(__xludf.DUMMYFUNCTION("""COMPUTED_VALUE"""),4.0)</f>
        <v>4</v>
      </c>
      <c r="BA160" s="40" t="str">
        <f>IFERROR(__xludf.DUMMYFUNCTION("""COMPUTED_VALUE"""),"X")</f>
        <v>X</v>
      </c>
      <c r="BB160" s="40">
        <f>IFERROR(__xludf.DUMMYFUNCTION("""COMPUTED_VALUE"""),18.0)</f>
        <v>18</v>
      </c>
      <c r="BC160" s="53" t="str">
        <f>IFERROR(__xludf.DUMMYFUNCTION("""COMPUTED_VALUE"""),"33 - MARIA ALEJANDRA MONTES R.")</f>
        <v>33 - MARIA ALEJANDRA MONTES R.</v>
      </c>
      <c r="BD160" s="48"/>
      <c r="BE160" s="48"/>
      <c r="BF160" s="48"/>
    </row>
    <row r="161">
      <c r="A161" s="39" t="str">
        <f>IFERROR(__xludf.DUMMYFUNCTION("""COMPUTED_VALUE"""),"083")</f>
        <v>083</v>
      </c>
      <c r="B161" s="40" t="str">
        <f>IFERROR(__xludf.DUMMYFUNCTION("""COMPUTED_VALUE"""),"Apartamento en barrio Campo Nuñez")</f>
        <v>Apartamento en barrio Campo Nuñez</v>
      </c>
      <c r="C161" s="40" t="str">
        <f>IFERROR(__xludf.DUMMYFUNCTION("""COMPUTED_VALUE"""),"Apartamento")</f>
        <v>Apartamento</v>
      </c>
      <c r="D161" s="40" t="str">
        <f>IFERROR(__xludf.DUMMYFUNCTION("""COMPUTED_VALUE"""),"Campo Nuñez")</f>
        <v>Campo Nuñez</v>
      </c>
      <c r="E161" s="42" t="str">
        <f>IFERROR(__xludf.DUMMYFUNCTION("""COMPUTED_VALUE""")," ")</f>
        <v> </v>
      </c>
      <c r="F161" s="42">
        <f>IFERROR(__xludf.DUMMYFUNCTION("""COMPUTED_VALUE"""),3.5E8)</f>
        <v>350000000</v>
      </c>
      <c r="G161" s="40" t="str">
        <f>IFERROR(__xludf.DUMMYFUNCTION("""COMPUTED_VALUE"""),"$300'000.000 a $400'000.000")</f>
        <v>$300'000.000 a $400'000.000</v>
      </c>
      <c r="H161" s="40"/>
      <c r="I161" s="40"/>
      <c r="J161" s="40" t="str">
        <f>IFERROR(__xludf.DUMMYFUNCTION("""COMPUTED_VALUE"""),"Centro")</f>
        <v>Centro</v>
      </c>
      <c r="K161" s="39" t="str">
        <f>IFERROR(__xludf.DUMMYFUNCTION("""COMPUTED_VALUE"""),"3")</f>
        <v>3</v>
      </c>
      <c r="L161" s="40">
        <f>IFERROR(__xludf.DUMMYFUNCTION("""COMPUTED_VALUE"""),2.0)</f>
        <v>2</v>
      </c>
      <c r="M161" s="40"/>
      <c r="N161" s="40">
        <f>IFERROR(__xludf.DUMMYFUNCTION("""COMPUTED_VALUE"""),1.0)</f>
        <v>1</v>
      </c>
      <c r="O161" s="40">
        <f>IFERROR(__xludf.DUMMYFUNCTION("""COMPUTED_VALUE"""),0.0)</f>
        <v>0</v>
      </c>
      <c r="P161" s="40">
        <f>IFERROR(__xludf.DUMMYFUNCTION("""COMPUTED_VALUE"""),1.0)</f>
        <v>1</v>
      </c>
      <c r="Q161" s="48">
        <f>IFERROR(__xludf.DUMMYFUNCTION("""COMPUTED_VALUE"""),85.0)</f>
        <v>85</v>
      </c>
      <c r="R161" s="48">
        <f>IFERROR(__xludf.DUMMYFUNCTION("""COMPUTED_VALUE"""),85.0)</f>
        <v>85</v>
      </c>
      <c r="S161" s="39" t="str">
        <f>IFERROR(__xludf.DUMMYFUNCTION("""COMPUTED_VALUE""")," ")</f>
        <v> </v>
      </c>
      <c r="T161" s="40" t="str">
        <f>IFERROR(__xludf.DUMMYFUNCTION("""COMPUTED_VALUE"""),"Neiva")</f>
        <v>Neiva</v>
      </c>
      <c r="U161" s="39" t="str">
        <f>IFERROR(__xludf.DUMMYFUNCTION("""COMPUTED_VALUE"""),"3")</f>
        <v>3</v>
      </c>
      <c r="V161" s="40" t="str">
        <f>IFERROR(__xludf.DUMMYFUNCTION("""COMPUTED_VALUE"""),"Medianera")</f>
        <v>Medianera</v>
      </c>
      <c r="W161" s="46"/>
      <c r="X161" s="46">
        <f>IFERROR(__xludf.DUMMYFUNCTION("""COMPUTED_VALUE"""),0.0)</f>
        <v>0</v>
      </c>
      <c r="Y161" s="53" t="str">
        <f>IFERROR(__xludf.DUMMYFUNCTION("""COMPUTED_VALUE"""),"No tiene")</f>
        <v>No tiene</v>
      </c>
      <c r="Z161" s="42" t="str">
        <f>IFERROR(__xludf.DUMMYFUNCTION("""COMPUTED_VALUE"""),"No aplica")</f>
        <v>No aplica</v>
      </c>
      <c r="AA161" s="49" t="str">
        <f>IFERROR(__xludf.DUMMYFUNCTION("""COMPUTED_VALUE"""),"No aplica")</f>
        <v>No aplica</v>
      </c>
      <c r="AB161" s="48"/>
      <c r="AC161" s="40"/>
      <c r="AD161" s="40"/>
      <c r="AE161" s="40"/>
      <c r="AF161" s="40" t="str">
        <f>IFERROR(__xludf.DUMMYFUNCTION("""COMPUTED_VALUE"""),"básica")</f>
        <v>básica</v>
      </c>
      <c r="AG161" s="40"/>
      <c r="AH161" s="40" t="str">
        <f>IFERROR(__xludf.DUMMYFUNCTION("""COMPUTED_VALUE"""),"Inventario")</f>
        <v>Inventario</v>
      </c>
      <c r="AI161" s="40"/>
      <c r="AJ161" s="40" t="str">
        <f>IFERROR(__xludf.DUMMYFUNCTION("""COMPUTED_VALUE"""),"ICDE")</f>
        <v>ICDE</v>
      </c>
      <c r="AK161" s="40"/>
      <c r="AL161" s="40" t="str">
        <f>IFERROR(__xludf.DUMMYFUNCTION("""COMPUTED_VALUE"""),"NO FOTOS + DESCRIPCION")</f>
        <v>NO FOTOS + DESCRIPCION</v>
      </c>
      <c r="AM161" s="40">
        <f>IFERROR(__xludf.DUMMYFUNCTION("""COMPUTED_VALUE"""),3.133502335E9)</f>
        <v>3133502335</v>
      </c>
      <c r="AN161" s="40">
        <f>IFERROR(__xludf.DUMMYFUNCTION("""COMPUTED_VALUE"""),0.0)</f>
        <v>0</v>
      </c>
      <c r="AO161" s="40" t="str">
        <f>IFERROR(__xludf.DUMMYFUNCTION("""COMPUTED_VALUE"""),"TATIANA - PROPIETARIA")</f>
        <v>TATIANA - PROPIETARIA</v>
      </c>
      <c r="AP161" s="40" t="str">
        <f>IFERROR(__xludf.DUMMYFUNCTION("""COMPUTED_VALUE"""),"CARRERA 7A No. 18 A - 50")</f>
        <v>CARRERA 7A No. 18 A - 50</v>
      </c>
      <c r="AQ161" s="40"/>
      <c r="AR161" s="40"/>
      <c r="AS161" s="53">
        <f>IFERROR(__xludf.DUMMYFUNCTION("""COMPUTED_VALUE"""),0.0)</f>
        <v>0</v>
      </c>
      <c r="AT161" s="40">
        <f>IFERROR(__xludf.DUMMYFUNCTION("""COMPUTED_VALUE"""),0.0)</f>
        <v>0</v>
      </c>
      <c r="AU161" s="40">
        <f>IFERROR(__xludf.DUMMYFUNCTION("""COMPUTED_VALUE"""),0.0)</f>
        <v>0</v>
      </c>
      <c r="AV161" s="40">
        <f>IFERROR(__xludf.DUMMYFUNCTION("""COMPUTED_VALUE"""),0.0)</f>
        <v>0</v>
      </c>
      <c r="AW161" s="40" t="str">
        <f>IFERROR(__xludf.DUMMYFUNCTION("""COMPUTED_VALUE"""),"NO")</f>
        <v>NO</v>
      </c>
      <c r="AX161" s="40">
        <f>IFERROR(__xludf.DUMMYFUNCTION("""COMPUTED_VALUE"""),0.0)</f>
        <v>0</v>
      </c>
      <c r="AY161" s="40">
        <f>IFERROR(__xludf.DUMMYFUNCTION("""COMPUTED_VALUE"""),0.0)</f>
        <v>0</v>
      </c>
      <c r="AZ161" s="40">
        <f>IFERROR(__xludf.DUMMYFUNCTION("""COMPUTED_VALUE"""),5.0)</f>
        <v>5</v>
      </c>
      <c r="BA161" s="40" t="str">
        <f>IFERROR(__xludf.DUMMYFUNCTION("""COMPUTED_VALUE"""),"X")</f>
        <v>X</v>
      </c>
      <c r="BB161" s="40">
        <f>IFERROR(__xludf.DUMMYFUNCTION("""COMPUTED_VALUE"""),17.0)</f>
        <v>17</v>
      </c>
      <c r="BC161" s="53"/>
      <c r="BD161" s="48"/>
      <c r="BE161" s="48"/>
      <c r="BF161" s="48"/>
    </row>
    <row r="162">
      <c r="A162" s="39" t="str">
        <f>IFERROR(__xludf.DUMMYFUNCTION("""COMPUTED_VALUE"""),"561")</f>
        <v>561</v>
      </c>
      <c r="B162" s="40" t="str">
        <f>IFERROR(__xludf.DUMMYFUNCTION("""COMPUTED_VALUE"""),"Casa lote en barrio Las Granjas")</f>
        <v>Casa lote en barrio Las Granjas</v>
      </c>
      <c r="C162" s="40" t="str">
        <f>IFERROR(__xludf.DUMMYFUNCTION("""COMPUTED_VALUE"""),"Casa lote")</f>
        <v>Casa lote</v>
      </c>
      <c r="D162" s="40" t="str">
        <f>IFERROR(__xludf.DUMMYFUNCTION("""COMPUTED_VALUE"""),"Las Granjas")</f>
        <v>Las Granjas</v>
      </c>
      <c r="E162" s="40"/>
      <c r="F162" s="42">
        <f>IFERROR(__xludf.DUMMYFUNCTION("""COMPUTED_VALUE"""),3.45E8)</f>
        <v>345000000</v>
      </c>
      <c r="G162" s="40" t="str">
        <f>IFERROR(__xludf.DUMMYFUNCTION("""COMPUTED_VALUE"""),"$300'000.000 a $400'000.000")</f>
        <v>$300'000.000 a $400'000.000</v>
      </c>
      <c r="H162" s="40"/>
      <c r="I162" s="40"/>
      <c r="J162" s="40" t="str">
        <f>IFERROR(__xludf.DUMMYFUNCTION("""COMPUTED_VALUE"""),"Norte")</f>
        <v>Norte</v>
      </c>
      <c r="K162" s="39" t="str">
        <f>IFERROR(__xludf.DUMMYFUNCTION("""COMPUTED_VALUE"""),"2")</f>
        <v>2</v>
      </c>
      <c r="L162" s="40">
        <f>IFERROR(__xludf.DUMMYFUNCTION("""COMPUTED_VALUE"""),2.0)</f>
        <v>2</v>
      </c>
      <c r="M162" s="40"/>
      <c r="N162" s="40">
        <f>IFERROR(__xludf.DUMMYFUNCTION("""COMPUTED_VALUE"""),1.0)</f>
        <v>1</v>
      </c>
      <c r="O162" s="40">
        <f>IFERROR(__xludf.DUMMYFUNCTION("""COMPUTED_VALUE"""),1.0)</f>
        <v>1</v>
      </c>
      <c r="P162" s="40">
        <f>IFERROR(__xludf.DUMMYFUNCTION("""COMPUTED_VALUE"""),1.0)</f>
        <v>1</v>
      </c>
      <c r="Q162" s="48">
        <f>IFERROR(__xludf.DUMMYFUNCTION("""COMPUTED_VALUE"""),30.0)</f>
        <v>30</v>
      </c>
      <c r="R162" s="48">
        <f>IFERROR(__xludf.DUMMYFUNCTION("""COMPUTED_VALUE"""),3355.0)</f>
        <v>3355</v>
      </c>
      <c r="S162" s="39" t="str">
        <f>IFERROR(__xludf.DUMMYFUNCTION("""COMPUTED_VALUE""")," ")</f>
        <v> </v>
      </c>
      <c r="T162" s="40" t="str">
        <f>IFERROR(__xludf.DUMMYFUNCTION("""COMPUTED_VALUE"""),"Neiva")</f>
        <v>Neiva</v>
      </c>
      <c r="U162" s="39" t="str">
        <f>IFERROR(__xludf.DUMMYFUNCTION("""COMPUTED_VALUE"""),"2")</f>
        <v>2</v>
      </c>
      <c r="V162" s="40" t="str">
        <f>IFERROR(__xludf.DUMMYFUNCTION("""COMPUTED_VALUE"""),"Esquinera")</f>
        <v>Esquinera</v>
      </c>
      <c r="W162" s="46"/>
      <c r="X162" s="46">
        <f>IFERROR(__xludf.DUMMYFUNCTION("""COMPUTED_VALUE"""),0.0)</f>
        <v>0</v>
      </c>
      <c r="Y162" s="40" t="str">
        <f>IFERROR(__xludf.DUMMYFUNCTION("""COMPUTED_VALUE"""),"No tiene")</f>
        <v>No tiene</v>
      </c>
      <c r="Z162" s="42" t="str">
        <f>IFERROR(__xludf.DUMMYFUNCTION("""COMPUTED_VALUE"""),"No aplica")</f>
        <v>No aplica</v>
      </c>
      <c r="AA162" s="49" t="str">
        <f>IFERROR(__xludf.DUMMYFUNCTION("""COMPUTED_VALUE"""),"No aplica")</f>
        <v>No aplica</v>
      </c>
      <c r="AB162" s="40"/>
      <c r="AC162" s="40"/>
      <c r="AD162" s="40"/>
      <c r="AE162" s="40"/>
      <c r="AF162" s="40" t="str">
        <f>IFERROR(__xludf.DUMMYFUNCTION("""COMPUTED_VALUE"""),"semi-integral")</f>
        <v>semi-integral</v>
      </c>
      <c r="AG162" s="40"/>
      <c r="AH162" s="40" t="str">
        <f>IFERROR(__xludf.DUMMYFUNCTION("""COMPUTED_VALUE"""),"Inventario")</f>
        <v>Inventario</v>
      </c>
      <c r="AI162" s="40"/>
      <c r="AJ162" s="40" t="str">
        <f>IFERROR(__xludf.DUMMYFUNCTION("""COMPUTED_VALUE"""),"ICDE")</f>
        <v>ICDE</v>
      </c>
      <c r="AK162" s="40"/>
      <c r="AL162" s="40" t="str">
        <f>IFERROR(__xludf.DUMMYFUNCTION("""COMPUTED_VALUE"""),"NO FOTOS + DESCRIPCION")</f>
        <v>NO FOTOS + DESCRIPCION</v>
      </c>
      <c r="AM162" s="40">
        <f>IFERROR(__xludf.DUMMYFUNCTION("""COMPUTED_VALUE"""),3.213952415E9)</f>
        <v>3213952415</v>
      </c>
      <c r="AN162" s="40">
        <f>IFERROR(__xludf.DUMMYFUNCTION("""COMPUTED_VALUE"""),3.016083166E9)</f>
        <v>3016083166</v>
      </c>
      <c r="AO162" s="40" t="str">
        <f>IFERROR(__xludf.DUMMYFUNCTION("""COMPUTED_VALUE"""),"RAQUEL - DIOSELINA RODRIGUEZ")</f>
        <v>RAQUEL - DIOSELINA RODRIGUEZ</v>
      </c>
      <c r="AP162" s="40" t="str">
        <f>IFERROR(__xludf.DUMMYFUNCTION("""COMPUTED_VALUE"""),"CARRERA 8 B No. 32-05")</f>
        <v>CARRERA 8 B No. 32-05</v>
      </c>
      <c r="AQ162" s="40"/>
      <c r="AR162" s="40"/>
      <c r="AS162" s="53">
        <f>IFERROR(__xludf.DUMMYFUNCTION("""COMPUTED_VALUE"""),0.0)</f>
        <v>0</v>
      </c>
      <c r="AT162" s="40">
        <f>IFERROR(__xludf.DUMMYFUNCTION("""COMPUTED_VALUE"""),0.0)</f>
        <v>0</v>
      </c>
      <c r="AU162" s="40">
        <f>IFERROR(__xludf.DUMMYFUNCTION("""COMPUTED_VALUE"""),0.0)</f>
        <v>0</v>
      </c>
      <c r="AV162" s="40">
        <f>IFERROR(__xludf.DUMMYFUNCTION("""COMPUTED_VALUE"""),0.0)</f>
        <v>0</v>
      </c>
      <c r="AW162" s="40" t="str">
        <f>IFERROR(__xludf.DUMMYFUNCTION("""COMPUTED_VALUE"""),"NO")</f>
        <v>NO</v>
      </c>
      <c r="AX162" s="40">
        <f>IFERROR(__xludf.DUMMYFUNCTION("""COMPUTED_VALUE"""),0.0)</f>
        <v>0</v>
      </c>
      <c r="AY162" s="40" t="str">
        <f>IFERROR(__xludf.DUMMYFUNCTION("""COMPUTED_VALUE"""),"A")</f>
        <v>A</v>
      </c>
      <c r="AZ162" s="40">
        <f>IFERROR(__xludf.DUMMYFUNCTION("""COMPUTED_VALUE"""),0.0)</f>
        <v>0</v>
      </c>
      <c r="BA162" s="40" t="str">
        <f>IFERROR(__xludf.DUMMYFUNCTION("""COMPUTED_VALUE"""),"X")</f>
        <v>X</v>
      </c>
      <c r="BB162" s="40">
        <f>IFERROR(__xludf.DUMMYFUNCTION("""COMPUTED_VALUE"""),0.0)</f>
        <v>0</v>
      </c>
      <c r="BC162" s="53" t="str">
        <f>IFERROR(__xludf.DUMMYFUNCTION("""COMPUTED_VALUE"""),"15 - JOSE LOZANO")</f>
        <v>15 - JOSE LOZANO</v>
      </c>
      <c r="BD162" s="48"/>
      <c r="BE162" s="48"/>
      <c r="BF162" s="48"/>
    </row>
    <row r="163">
      <c r="A163" s="39" t="str">
        <f>IFERROR(__xludf.DUMMYFUNCTION("""COMPUTED_VALUE"""),"741")</f>
        <v>741</v>
      </c>
      <c r="B163" s="40" t="str">
        <f>IFERROR(__xludf.DUMMYFUNCTION("""COMPUTED_VALUE"""),"Casa con 2 habitaciones independientes en barrio Las Granjas")</f>
        <v>Casa con 2 habitaciones independientes en barrio Las Granjas</v>
      </c>
      <c r="C163" s="40" t="str">
        <f>IFERROR(__xludf.DUMMYFUNCTION("""COMPUTED_VALUE"""),"Casa rentable")</f>
        <v>Casa rentable</v>
      </c>
      <c r="D163" s="40" t="str">
        <f>IFERROR(__xludf.DUMMYFUNCTION("""COMPUTED_VALUE"""),"Las Granjas")</f>
        <v>Las Granjas</v>
      </c>
      <c r="E163" s="42"/>
      <c r="F163" s="42">
        <f>IFERROR(__xludf.DUMMYFUNCTION("""COMPUTED_VALUE"""),3.4E8)</f>
        <v>340000000</v>
      </c>
      <c r="G163" s="40" t="str">
        <f>IFERROR(__xludf.DUMMYFUNCTION("""COMPUTED_VALUE"""),"$300'000.000 a $400'000.000")</f>
        <v>$300'000.000 a $400'000.000</v>
      </c>
      <c r="H163" s="40"/>
      <c r="I163" s="40"/>
      <c r="J163" s="40" t="str">
        <f>IFERROR(__xludf.DUMMYFUNCTION("""COMPUTED_VALUE"""),"Norte")</f>
        <v>Norte</v>
      </c>
      <c r="K163" s="39" t="str">
        <f>IFERROR(__xludf.DUMMYFUNCTION("""COMPUTED_VALUE"""),"2")</f>
        <v>2</v>
      </c>
      <c r="L163" s="40">
        <f>IFERROR(__xludf.DUMMYFUNCTION("""COMPUTED_VALUE"""),6.0)</f>
        <v>6</v>
      </c>
      <c r="M163" s="40"/>
      <c r="N163" s="40">
        <f>IFERROR(__xludf.DUMMYFUNCTION("""COMPUTED_VALUE"""),4.0)</f>
        <v>4</v>
      </c>
      <c r="O163" s="40">
        <f>IFERROR(__xludf.DUMMYFUNCTION("""COMPUTED_VALUE"""),1.0)</f>
        <v>1</v>
      </c>
      <c r="P163" s="40">
        <f>IFERROR(__xludf.DUMMYFUNCTION("""COMPUTED_VALUE"""),1.0)</f>
        <v>1</v>
      </c>
      <c r="Q163" s="48"/>
      <c r="R163" s="48">
        <f>IFERROR(__xludf.DUMMYFUNCTION("""COMPUTED_VALUE"""),250.0)</f>
        <v>250</v>
      </c>
      <c r="S163" s="39" t="str">
        <f>IFERROR(__xludf.DUMMYFUNCTION("""COMPUTED_VALUE"""),"Rentabilidad $1,950,000")</f>
        <v>Rentabilidad $1,950,000</v>
      </c>
      <c r="T163" s="40" t="str">
        <f>IFERROR(__xludf.DUMMYFUNCTION("""COMPUTED_VALUE"""),"Neiva")</f>
        <v>Neiva</v>
      </c>
      <c r="U163" s="39" t="str">
        <f>IFERROR(__xludf.DUMMYFUNCTION("""COMPUTED_VALUE"""),"2")</f>
        <v>2</v>
      </c>
      <c r="V163" s="40" t="str">
        <f>IFERROR(__xludf.DUMMYFUNCTION("""COMPUTED_VALUE"""),"Medianera")</f>
        <v>Medianera</v>
      </c>
      <c r="W163" s="46"/>
      <c r="X163" s="46">
        <f>IFERROR(__xludf.DUMMYFUNCTION("""COMPUTED_VALUE"""),0.0)</f>
        <v>0</v>
      </c>
      <c r="Y163" s="40" t="str">
        <f>IFERROR(__xludf.DUMMYFUNCTION("""COMPUTED_VALUE"""),"No tiene")</f>
        <v>No tiene</v>
      </c>
      <c r="Z163" s="42" t="str">
        <f>IFERROR(__xludf.DUMMYFUNCTION("""COMPUTED_VALUE"""),"No aplica")</f>
        <v>No aplica</v>
      </c>
      <c r="AA163" s="49" t="str">
        <f>IFERROR(__xludf.DUMMYFUNCTION("""COMPUTED_VALUE"""),"No aplica")</f>
        <v>No aplica</v>
      </c>
      <c r="AB163" s="40"/>
      <c r="AC163" s="40"/>
      <c r="AD163" s="40"/>
      <c r="AE163" s="40"/>
      <c r="AF163" s="40" t="str">
        <f>IFERROR(__xludf.DUMMYFUNCTION("""COMPUTED_VALUE"""),"semi-integral")</f>
        <v>semi-integral</v>
      </c>
      <c r="AG163" s="40"/>
      <c r="AH163" s="40" t="str">
        <f>IFERROR(__xludf.DUMMYFUNCTION("""COMPUTED_VALUE"""),"Inventario")</f>
        <v>Inventario</v>
      </c>
      <c r="AI163" s="40"/>
      <c r="AJ163" s="40" t="str">
        <f>IFERROR(__xludf.DUMMYFUNCTION("""COMPUTED_VALUE"""),"ICDE")</f>
        <v>ICDE</v>
      </c>
      <c r="AK163" s="40"/>
      <c r="AL163" s="40"/>
      <c r="AM163" s="40">
        <f>IFERROR(__xludf.DUMMYFUNCTION("""COMPUTED_VALUE"""),3.105604358E9)</f>
        <v>3105604358</v>
      </c>
      <c r="AN163" s="40">
        <f>IFERROR(__xludf.DUMMYFUNCTION("""COMPUTED_VALUE"""),3.20254083E9)</f>
        <v>3202540830</v>
      </c>
      <c r="AO163" s="40" t="str">
        <f>IFERROR(__xludf.DUMMYFUNCTION("""COMPUTED_VALUE"""),"Jose")</f>
        <v>Jose</v>
      </c>
      <c r="AP163" s="40" t="str">
        <f>IFERROR(__xludf.DUMMYFUNCTION("""COMPUTED_VALUE"""),"calle 33 # ")</f>
        <v>calle 33 # </v>
      </c>
      <c r="AQ163" s="40">
        <f>IFERROR(__xludf.DUMMYFUNCTION("""COMPUTED_VALUE"""),2.946515)</f>
        <v>2.946515</v>
      </c>
      <c r="AR163" s="40">
        <f>IFERROR(__xludf.DUMMYFUNCTION("""COMPUTED_VALUE"""),-75.2915012)</f>
        <v>-75.2915012</v>
      </c>
      <c r="AS163" s="53">
        <f>IFERROR(__xludf.DUMMYFUNCTION("""COMPUTED_VALUE"""),1950000.0)</f>
        <v>1950000</v>
      </c>
      <c r="AT163" s="40">
        <f>IFERROR(__xludf.DUMMYFUNCTION("""COMPUTED_VALUE"""),0.0)</f>
        <v>0</v>
      </c>
      <c r="AU163" s="40">
        <f>IFERROR(__xludf.DUMMYFUNCTION("""COMPUTED_VALUE"""),0.0)</f>
        <v>0</v>
      </c>
      <c r="AV163" s="40">
        <f>IFERROR(__xludf.DUMMYFUNCTION("""COMPUTED_VALUE"""),0.0)</f>
        <v>0</v>
      </c>
      <c r="AW163" s="40" t="str">
        <f>IFERROR(__xludf.DUMMYFUNCTION("""COMPUTED_VALUE"""),"SI")</f>
        <v>SI</v>
      </c>
      <c r="AX163" s="40"/>
      <c r="AY163" s="40" t="str">
        <f>IFERROR(__xludf.DUMMYFUNCTION("""COMPUTED_VALUE"""),"M")</f>
        <v>M</v>
      </c>
      <c r="AZ163" s="40">
        <f>IFERROR(__xludf.DUMMYFUNCTION("""COMPUTED_VALUE"""),10.0)</f>
        <v>10</v>
      </c>
      <c r="BA163" s="40" t="str">
        <f>IFERROR(__xludf.DUMMYFUNCTION("""COMPUTED_VALUE"""),"X")</f>
        <v>X</v>
      </c>
      <c r="BB163" s="40">
        <f>IFERROR(__xludf.DUMMYFUNCTION("""COMPUTED_VALUE"""),25.0)</f>
        <v>25</v>
      </c>
      <c r="BC163" s="53" t="str">
        <f>IFERROR(__xludf.DUMMYFUNCTION("""COMPUTED_VALUE"""),"26 - NINI CASTAÑO")</f>
        <v>26 - NINI CASTAÑO</v>
      </c>
      <c r="BD163" s="48"/>
      <c r="BE163" s="48"/>
      <c r="BF163" s="48"/>
    </row>
    <row r="164">
      <c r="A164" s="39" t="str">
        <f>IFERROR(__xludf.DUMMYFUNCTION("""COMPUTED_VALUE"""),"251")</f>
        <v>251</v>
      </c>
      <c r="B164" s="40" t="str">
        <f>IFERROR(__xludf.DUMMYFUNCTION("""COMPUTED_VALUE"""),"Casa con dos apartamentos en barrio Las Granjas")</f>
        <v>Casa con dos apartamentos en barrio Las Granjas</v>
      </c>
      <c r="C164" s="40" t="str">
        <f>IFERROR(__xludf.DUMMYFUNCTION("""COMPUTED_VALUE"""),"Casa rentable")</f>
        <v>Casa rentable</v>
      </c>
      <c r="D164" s="40" t="str">
        <f>IFERROR(__xludf.DUMMYFUNCTION("""COMPUTED_VALUE"""),"Las Granjas")</f>
        <v>Las Granjas</v>
      </c>
      <c r="E164" s="42" t="str">
        <f>IFERROR(__xludf.DUMMYFUNCTION("""COMPUTED_VALUE""")," ")</f>
        <v> </v>
      </c>
      <c r="F164" s="42">
        <f>IFERROR(__xludf.DUMMYFUNCTION("""COMPUTED_VALUE"""),3.4E8)</f>
        <v>340000000</v>
      </c>
      <c r="G164" s="40" t="str">
        <f>IFERROR(__xludf.DUMMYFUNCTION("""COMPUTED_VALUE"""),"$300'000.000 a $400'000.000")</f>
        <v>$300'000.000 a $400'000.000</v>
      </c>
      <c r="H164" s="40"/>
      <c r="I164" s="40"/>
      <c r="J164" s="40" t="str">
        <f>IFERROR(__xludf.DUMMYFUNCTION("""COMPUTED_VALUE"""),"Norte")</f>
        <v>Norte</v>
      </c>
      <c r="K164" s="39" t="str">
        <f>IFERROR(__xludf.DUMMYFUNCTION("""COMPUTED_VALUE"""),"2")</f>
        <v>2</v>
      </c>
      <c r="L164" s="40">
        <f>IFERROR(__xludf.DUMMYFUNCTION("""COMPUTED_VALUE"""),5.0)</f>
        <v>5</v>
      </c>
      <c r="M164" s="40"/>
      <c r="N164" s="40">
        <f>IFERROR(__xludf.DUMMYFUNCTION("""COMPUTED_VALUE"""),3.0)</f>
        <v>3</v>
      </c>
      <c r="O164" s="40">
        <f>IFERROR(__xludf.DUMMYFUNCTION("""COMPUTED_VALUE"""),2.0)</f>
        <v>2</v>
      </c>
      <c r="P164" s="40">
        <f>IFERROR(__xludf.DUMMYFUNCTION("""COMPUTED_VALUE"""),1.0)</f>
        <v>1</v>
      </c>
      <c r="Q164" s="48">
        <f>IFERROR(__xludf.DUMMYFUNCTION("""COMPUTED_VALUE"""),255.0)</f>
        <v>255</v>
      </c>
      <c r="R164" s="48">
        <f>IFERROR(__xludf.DUMMYFUNCTION("""COMPUTED_VALUE"""),255.0)</f>
        <v>255</v>
      </c>
      <c r="S164" s="39" t="str">
        <f>IFERROR(__xludf.DUMMYFUNCTION("""COMPUTED_VALUE"""),"Rentabilidad $1,700,000")</f>
        <v>Rentabilidad $1,700,000</v>
      </c>
      <c r="T164" s="40" t="str">
        <f>IFERROR(__xludf.DUMMYFUNCTION("""COMPUTED_VALUE"""),"Neiva")</f>
        <v>Neiva</v>
      </c>
      <c r="U164" s="39" t="str">
        <f>IFERROR(__xludf.DUMMYFUNCTION("""COMPUTED_VALUE"""),"2")</f>
        <v>2</v>
      </c>
      <c r="V164" s="40" t="str">
        <f>IFERROR(__xludf.DUMMYFUNCTION("""COMPUTED_VALUE"""),"Medianera")</f>
        <v>Medianera</v>
      </c>
      <c r="W164" s="46"/>
      <c r="X164" s="46">
        <f>IFERROR(__xludf.DUMMYFUNCTION("""COMPUTED_VALUE"""),0.0)</f>
        <v>0</v>
      </c>
      <c r="Y164" s="40" t="str">
        <f>IFERROR(__xludf.DUMMYFUNCTION("""COMPUTED_VALUE"""),"No tiene")</f>
        <v>No tiene</v>
      </c>
      <c r="Z164" s="42" t="str">
        <f>IFERROR(__xludf.DUMMYFUNCTION("""COMPUTED_VALUE"""),"No aplica")</f>
        <v>No aplica</v>
      </c>
      <c r="AA164" s="49" t="str">
        <f>IFERROR(__xludf.DUMMYFUNCTION("""COMPUTED_VALUE"""),"17 años")</f>
        <v>17 años</v>
      </c>
      <c r="AB164" s="48"/>
      <c r="AC164" s="40"/>
      <c r="AD164" s="40"/>
      <c r="AE164" s="40"/>
      <c r="AF164" s="40" t="str">
        <f>IFERROR(__xludf.DUMMYFUNCTION("""COMPUTED_VALUE"""),"básica")</f>
        <v>básica</v>
      </c>
      <c r="AG164" s="40"/>
      <c r="AH164" s="40" t="str">
        <f>IFERROR(__xludf.DUMMYFUNCTION("""COMPUTED_VALUE"""),"Inventario")</f>
        <v>Inventario</v>
      </c>
      <c r="AI164" s="40"/>
      <c r="AJ164" s="40" t="str">
        <f>IFERROR(__xludf.DUMMYFUNCTION("""COMPUTED_VALUE"""),"ICDE")</f>
        <v>ICDE</v>
      </c>
      <c r="AK164" s="40"/>
      <c r="AL164" s="40" t="str">
        <f>IFERROR(__xludf.DUMMYFUNCTION("""COMPUTED_VALUE"""),"NO FOTOS + DESCRIPCION")</f>
        <v>NO FOTOS + DESCRIPCION</v>
      </c>
      <c r="AM164" s="40">
        <f>IFERROR(__xludf.DUMMYFUNCTION("""COMPUTED_VALUE"""),3.154881105E9)</f>
        <v>3154881105</v>
      </c>
      <c r="AN164" s="40">
        <f>IFERROR(__xludf.DUMMYFUNCTION("""COMPUTED_VALUE"""),3.107649581E9)</f>
        <v>3107649581</v>
      </c>
      <c r="AO164" s="40" t="str">
        <f>IFERROR(__xludf.DUMMYFUNCTION("""COMPUTED_VALUE"""),"MARIA JUDITH")</f>
        <v>MARIA JUDITH</v>
      </c>
      <c r="AP164" s="40" t="str">
        <f>IFERROR(__xludf.DUMMYFUNCTION("""COMPUTED_VALUE"""),"CARRERA 7A No. 40 -33")</f>
        <v>CARRERA 7A No. 40 -33</v>
      </c>
      <c r="AQ164" s="40"/>
      <c r="AR164" s="40"/>
      <c r="AS164" s="53">
        <f>IFERROR(__xludf.DUMMYFUNCTION("""COMPUTED_VALUE"""),1700000.0)</f>
        <v>1700000</v>
      </c>
      <c r="AT164" s="40">
        <f>IFERROR(__xludf.DUMMYFUNCTION("""COMPUTED_VALUE"""),0.0)</f>
        <v>0</v>
      </c>
      <c r="AU164" s="40">
        <f>IFERROR(__xludf.DUMMYFUNCTION("""COMPUTED_VALUE"""),0.0)</f>
        <v>0</v>
      </c>
      <c r="AV164" s="40">
        <f>IFERROR(__xludf.DUMMYFUNCTION("""COMPUTED_VALUE"""),0.0)</f>
        <v>0</v>
      </c>
      <c r="AW164" s="40" t="str">
        <f>IFERROR(__xludf.DUMMYFUNCTION("""COMPUTED_VALUE"""),"NO")</f>
        <v>NO</v>
      </c>
      <c r="AX164" s="40">
        <f>IFERROR(__xludf.DUMMYFUNCTION("""COMPUTED_VALUE"""),0.0)</f>
        <v>0</v>
      </c>
      <c r="AY164" s="40" t="str">
        <f>IFERROR(__xludf.DUMMYFUNCTION("""COMPUTED_VALUE"""),"M")</f>
        <v>M</v>
      </c>
      <c r="AZ164" s="40">
        <f>IFERROR(__xludf.DUMMYFUNCTION("""COMPUTED_VALUE"""),0.0)</f>
        <v>0</v>
      </c>
      <c r="BA164" s="40" t="str">
        <f>IFERROR(__xludf.DUMMYFUNCTION("""COMPUTED_VALUE"""),"X")</f>
        <v>X</v>
      </c>
      <c r="BB164" s="40">
        <f>IFERROR(__xludf.DUMMYFUNCTION("""COMPUTED_VALUE"""),0.0)</f>
        <v>0</v>
      </c>
      <c r="BC164" s="53" t="str">
        <f>IFERROR(__xludf.DUMMYFUNCTION("""COMPUTED_VALUE"""),"19 - PRUEBA v, 26 - NINI CASTAÑO")</f>
        <v>19 - PRUEBA v, 26 - NINI CASTAÑO</v>
      </c>
      <c r="BD164" s="48"/>
      <c r="BE164" s="48"/>
      <c r="BF164" s="48"/>
    </row>
    <row r="165">
      <c r="A165" s="39" t="str">
        <f>IFERROR(__xludf.DUMMYFUNCTION("""COMPUTED_VALUE"""),"371")</f>
        <v>371</v>
      </c>
      <c r="B165" s="40" t="str">
        <f>IFERROR(__xludf.DUMMYFUNCTION("""COMPUTED_VALUE"""),"Casa en barrio Campo Nuñez")</f>
        <v>Casa en barrio Campo Nuñez</v>
      </c>
      <c r="C165" s="40" t="str">
        <f>IFERROR(__xludf.DUMMYFUNCTION("""COMPUTED_VALUE"""),"Casa")</f>
        <v>Casa</v>
      </c>
      <c r="D165" s="40" t="str">
        <f>IFERROR(__xludf.DUMMYFUNCTION("""COMPUTED_VALUE"""),"Campo Nuñez")</f>
        <v>Campo Nuñez</v>
      </c>
      <c r="E165" s="40"/>
      <c r="F165" s="42">
        <f>IFERROR(__xludf.DUMMYFUNCTION("""COMPUTED_VALUE"""),3.3E8)</f>
        <v>330000000</v>
      </c>
      <c r="G165" s="40" t="str">
        <f>IFERROR(__xludf.DUMMYFUNCTION("""COMPUTED_VALUE"""),"$300'000.000 a $400'000.000")</f>
        <v>$300'000.000 a $400'000.000</v>
      </c>
      <c r="H165" s="40"/>
      <c r="I165" s="40"/>
      <c r="J165" s="40" t="str">
        <f>IFERROR(__xludf.DUMMYFUNCTION("""COMPUTED_VALUE"""),"Centro")</f>
        <v>Centro</v>
      </c>
      <c r="K165" s="39" t="str">
        <f>IFERROR(__xludf.DUMMYFUNCTION("""COMPUTED_VALUE"""),"3")</f>
        <v>3</v>
      </c>
      <c r="L165" s="40">
        <f>IFERROR(__xludf.DUMMYFUNCTION("""COMPUTED_VALUE"""),5.0)</f>
        <v>5</v>
      </c>
      <c r="M165" s="40"/>
      <c r="N165" s="40">
        <f>IFERROR(__xludf.DUMMYFUNCTION("""COMPUTED_VALUE"""),4.0)</f>
        <v>4</v>
      </c>
      <c r="O165" s="40">
        <f>IFERROR(__xludf.DUMMYFUNCTION("""COMPUTED_VALUE"""),2.0)</f>
        <v>2</v>
      </c>
      <c r="P165" s="40">
        <f>IFERROR(__xludf.DUMMYFUNCTION("""COMPUTED_VALUE"""),2.0)</f>
        <v>2</v>
      </c>
      <c r="Q165" s="48">
        <f>IFERROR(__xludf.DUMMYFUNCTION("""COMPUTED_VALUE"""),280.0)</f>
        <v>280</v>
      </c>
      <c r="R165" s="48">
        <f>IFERROR(__xludf.DUMMYFUNCTION("""COMPUTED_VALUE"""),154.0)</f>
        <v>154</v>
      </c>
      <c r="S165" s="39" t="str">
        <f>IFERROR(__xludf.DUMMYFUNCTION("""COMPUTED_VALUE""")," ")</f>
        <v> </v>
      </c>
      <c r="T165" s="40" t="str">
        <f>IFERROR(__xludf.DUMMYFUNCTION("""COMPUTED_VALUE"""),"Neiva")</f>
        <v>Neiva</v>
      </c>
      <c r="U165" s="39" t="str">
        <f>IFERROR(__xludf.DUMMYFUNCTION("""COMPUTED_VALUE"""),"3")</f>
        <v>3</v>
      </c>
      <c r="V165" s="40" t="str">
        <f>IFERROR(__xludf.DUMMYFUNCTION("""COMPUTED_VALUE"""),"Medianera")</f>
        <v>Medianera</v>
      </c>
      <c r="W165" s="46"/>
      <c r="X165" s="46">
        <f>IFERROR(__xludf.DUMMYFUNCTION("""COMPUTED_VALUE"""),4.0)</f>
        <v>4</v>
      </c>
      <c r="Y165" s="40" t="str">
        <f>IFERROR(__xludf.DUMMYFUNCTION("""COMPUTED_VALUE"""),"No tiene")</f>
        <v>No tiene</v>
      </c>
      <c r="Z165" s="42" t="str">
        <f>IFERROR(__xludf.DUMMYFUNCTION("""COMPUTED_VALUE"""),"No aplica")</f>
        <v>No aplica</v>
      </c>
      <c r="AA165" s="49" t="str">
        <f>IFERROR(__xludf.DUMMYFUNCTION("""COMPUTED_VALUE"""),"No aplica")</f>
        <v>No aplica</v>
      </c>
      <c r="AB165" s="48"/>
      <c r="AC165" s="40"/>
      <c r="AD165" s="40"/>
      <c r="AE165" s="40"/>
      <c r="AF165" s="40" t="str">
        <f>IFERROR(__xludf.DUMMYFUNCTION("""COMPUTED_VALUE"""),"integral")</f>
        <v>integral</v>
      </c>
      <c r="AG165" s="40"/>
      <c r="AH165" s="40" t="str">
        <f>IFERROR(__xludf.DUMMYFUNCTION("""COMPUTED_VALUE"""),"Inventario")</f>
        <v>Inventario</v>
      </c>
      <c r="AI165" s="40"/>
      <c r="AJ165" s="40" t="str">
        <f>IFERROR(__xludf.DUMMYFUNCTION("""COMPUTED_VALUE"""),"ICDE")</f>
        <v>ICDE</v>
      </c>
      <c r="AK165" s="40"/>
      <c r="AL165" s="40" t="str">
        <f>IFERROR(__xludf.DUMMYFUNCTION("""COMPUTED_VALUE"""),"NUEVO - NOT IENE FOTOS")</f>
        <v>NUEVO - NOT IENE FOTOS</v>
      </c>
      <c r="AM165" s="40">
        <f>IFERROR(__xludf.DUMMYFUNCTION("""COMPUTED_VALUE"""),3.142395685E9)</f>
        <v>3142395685</v>
      </c>
      <c r="AN165" s="40">
        <f>IFERROR(__xludf.DUMMYFUNCTION("""COMPUTED_VALUE"""),0.0)</f>
        <v>0</v>
      </c>
      <c r="AO165" s="40" t="str">
        <f>IFERROR(__xludf.DUMMYFUNCTION("""COMPUTED_VALUE"""),"MARLEN - COMISIONISTA")</f>
        <v>MARLEN - COMISIONISTA</v>
      </c>
      <c r="AP165" s="40" t="str">
        <f>IFERROR(__xludf.DUMMYFUNCTION("""COMPUTED_VALUE"""),"CALLE 16 No. 8A-xx")</f>
        <v>CALLE 16 No. 8A-xx</v>
      </c>
      <c r="AQ165" s="40"/>
      <c r="AR165" s="40"/>
      <c r="AS165" s="53">
        <f>IFERROR(__xludf.DUMMYFUNCTION("""COMPUTED_VALUE"""),0.0)</f>
        <v>0</v>
      </c>
      <c r="AT165" s="40">
        <f>IFERROR(__xludf.DUMMYFUNCTION("""COMPUTED_VALUE"""),0.0)</f>
        <v>0</v>
      </c>
      <c r="AU165" s="40">
        <f>IFERROR(__xludf.DUMMYFUNCTION("""COMPUTED_VALUE"""),0.0)</f>
        <v>0</v>
      </c>
      <c r="AV165" s="40">
        <f>IFERROR(__xludf.DUMMYFUNCTION("""COMPUTED_VALUE"""),0.0)</f>
        <v>0</v>
      </c>
      <c r="AW165" s="40" t="str">
        <f>IFERROR(__xludf.DUMMYFUNCTION("""COMPUTED_VALUE"""),"SI")</f>
        <v>SI</v>
      </c>
      <c r="AX165" s="40">
        <f>IFERROR(__xludf.DUMMYFUNCTION("""COMPUTED_VALUE"""),0.0)</f>
        <v>0</v>
      </c>
      <c r="AY165" s="40">
        <f>IFERROR(__xludf.DUMMYFUNCTION("""COMPUTED_VALUE"""),0.0)</f>
        <v>0</v>
      </c>
      <c r="AZ165" s="40">
        <f>IFERROR(__xludf.DUMMYFUNCTION("""COMPUTED_VALUE"""),9.0)</f>
        <v>9</v>
      </c>
      <c r="BA165" s="40" t="str">
        <f>IFERROR(__xludf.DUMMYFUNCTION("""COMPUTED_VALUE"""),"X")</f>
        <v>X</v>
      </c>
      <c r="BB165" s="40">
        <f>IFERROR(__xludf.DUMMYFUNCTION("""COMPUTED_VALUE"""),0.0)</f>
        <v>0</v>
      </c>
      <c r="BC165" s="53"/>
      <c r="BD165" s="48"/>
      <c r="BE165" s="48"/>
      <c r="BF165" s="48"/>
    </row>
    <row r="166">
      <c r="A166" s="39" t="str">
        <f>IFERROR(__xludf.DUMMYFUNCTION("""COMPUTED_VALUE"""),"318")</f>
        <v>318</v>
      </c>
      <c r="B166" s="40" t="str">
        <f>IFERROR(__xludf.DUMMYFUNCTION("""COMPUTED_VALUE"""),"Casa en barrio Los Molinos")</f>
        <v>Casa en barrio Los Molinos</v>
      </c>
      <c r="C166" s="40" t="str">
        <f>IFERROR(__xludf.DUMMYFUNCTION("""COMPUTED_VALUE"""),"Casa")</f>
        <v>Casa</v>
      </c>
      <c r="D166" s="40" t="str">
        <f>IFERROR(__xludf.DUMMYFUNCTION("""COMPUTED_VALUE"""),"Los Molinos")</f>
        <v>Los Molinos</v>
      </c>
      <c r="E166" s="40"/>
      <c r="F166" s="42">
        <f>IFERROR(__xludf.DUMMYFUNCTION("""COMPUTED_VALUE"""),3.3E8)</f>
        <v>330000000</v>
      </c>
      <c r="G166" s="40" t="str">
        <f>IFERROR(__xludf.DUMMYFUNCTION("""COMPUTED_VALUE"""),"$300'000.000 a $400'000.000")</f>
        <v>$300'000.000 a $400'000.000</v>
      </c>
      <c r="H166" s="40"/>
      <c r="I166" s="40"/>
      <c r="J166" s="40" t="str">
        <f>IFERROR(__xludf.DUMMYFUNCTION("""COMPUTED_VALUE"""),"Norte")</f>
        <v>Norte</v>
      </c>
      <c r="K166" s="39" t="str">
        <f>IFERROR(__xludf.DUMMYFUNCTION("""COMPUTED_VALUE"""),"2")</f>
        <v>2</v>
      </c>
      <c r="L166" s="40">
        <f>IFERROR(__xludf.DUMMYFUNCTION("""COMPUTED_VALUE"""),4.0)</f>
        <v>4</v>
      </c>
      <c r="M166" s="40"/>
      <c r="N166" s="40">
        <f>IFERROR(__xludf.DUMMYFUNCTION("""COMPUTED_VALUE"""),3.0)</f>
        <v>3</v>
      </c>
      <c r="O166" s="40">
        <f>IFERROR(__xludf.DUMMYFUNCTION("""COMPUTED_VALUE"""),1.0)</f>
        <v>1</v>
      </c>
      <c r="P166" s="40">
        <f>IFERROR(__xludf.DUMMYFUNCTION("""COMPUTED_VALUE"""),2.0)</f>
        <v>2</v>
      </c>
      <c r="Q166" s="48">
        <f>IFERROR(__xludf.DUMMYFUNCTION("""COMPUTED_VALUE"""),140.0)</f>
        <v>140</v>
      </c>
      <c r="R166" s="48">
        <f>IFERROR(__xludf.DUMMYFUNCTION("""COMPUTED_VALUE"""),209.0)</f>
        <v>209</v>
      </c>
      <c r="S166" s="39" t="str">
        <f>IFERROR(__xludf.DUMMYFUNCTION("""COMPUTED_VALUE""")," ")</f>
        <v> </v>
      </c>
      <c r="T166" s="40" t="str">
        <f>IFERROR(__xludf.DUMMYFUNCTION("""COMPUTED_VALUE"""),"Neiva")</f>
        <v>Neiva</v>
      </c>
      <c r="U166" s="39" t="str">
        <f>IFERROR(__xludf.DUMMYFUNCTION("""COMPUTED_VALUE"""),"3")</f>
        <v>3</v>
      </c>
      <c r="V166" s="40" t="str">
        <f>IFERROR(__xludf.DUMMYFUNCTION("""COMPUTED_VALUE"""),"Esquinera")</f>
        <v>Esquinera</v>
      </c>
      <c r="W166" s="46"/>
      <c r="X166" s="46">
        <f>IFERROR(__xludf.DUMMYFUNCTION("""COMPUTED_VALUE"""),3.0)</f>
        <v>3</v>
      </c>
      <c r="Y166" s="40" t="str">
        <f>IFERROR(__xludf.DUMMYFUNCTION("""COMPUTED_VALUE"""),"No tiene")</f>
        <v>No tiene</v>
      </c>
      <c r="Z166" s="42" t="str">
        <f>IFERROR(__xludf.DUMMYFUNCTION("""COMPUTED_VALUE"""),"No aplica")</f>
        <v>No aplica</v>
      </c>
      <c r="AA166" s="49" t="str">
        <f>IFERROR(__xludf.DUMMYFUNCTION("""COMPUTED_VALUE"""),"No aplica")</f>
        <v>No aplica</v>
      </c>
      <c r="AB166" s="40"/>
      <c r="AC166" s="40"/>
      <c r="AD166" s="40"/>
      <c r="AE166" s="40"/>
      <c r="AF166" s="40" t="str">
        <f>IFERROR(__xludf.DUMMYFUNCTION("""COMPUTED_VALUE"""),"integral")</f>
        <v>integral</v>
      </c>
      <c r="AG166" s="40"/>
      <c r="AH166" s="40" t="str">
        <f>IFERROR(__xludf.DUMMYFUNCTION("""COMPUTED_VALUE"""),"Inventario")</f>
        <v>Inventario</v>
      </c>
      <c r="AI166" s="40"/>
      <c r="AJ166" s="40" t="str">
        <f>IFERROR(__xludf.DUMMYFUNCTION("""COMPUTED_VALUE"""),"ICDE")</f>
        <v>ICDE</v>
      </c>
      <c r="AK166" s="40"/>
      <c r="AL166" s="40" t="str">
        <f>IFERROR(__xludf.DUMMYFUNCTION("""COMPUTED_VALUE"""),"TIENE FOTOS")</f>
        <v>TIENE FOTOS</v>
      </c>
      <c r="AM166" s="40">
        <f>IFERROR(__xludf.DUMMYFUNCTION("""COMPUTED_VALUE"""),3.118389887E9)</f>
        <v>3118389887</v>
      </c>
      <c r="AN166" s="40">
        <f>IFERROR(__xludf.DUMMYFUNCTION("""COMPUTED_VALUE"""),0.0)</f>
        <v>0</v>
      </c>
      <c r="AO166" s="40" t="str">
        <f>IFERROR(__xludf.DUMMYFUNCTION("""COMPUTED_VALUE"""),"VICTOR")</f>
        <v>VICTOR</v>
      </c>
      <c r="AP166" s="40" t="str">
        <f>IFERROR(__xludf.DUMMYFUNCTION("""COMPUTED_VALUE"""),"CALLE 36 No. 8C - 11")</f>
        <v>CALLE 36 No. 8C - 11</v>
      </c>
      <c r="AQ166" s="40"/>
      <c r="AR166" s="40"/>
      <c r="AS166" s="53">
        <f>IFERROR(__xludf.DUMMYFUNCTION("""COMPUTED_VALUE"""),0.0)</f>
        <v>0</v>
      </c>
      <c r="AT166" s="40">
        <f>IFERROR(__xludf.DUMMYFUNCTION("""COMPUTED_VALUE"""),0.0)</f>
        <v>0</v>
      </c>
      <c r="AU166" s="40">
        <f>IFERROR(__xludf.DUMMYFUNCTION("""COMPUTED_VALUE"""),0.0)</f>
        <v>0</v>
      </c>
      <c r="AV166" s="40">
        <f>IFERROR(__xludf.DUMMYFUNCTION("""COMPUTED_VALUE"""),0.0)</f>
        <v>0</v>
      </c>
      <c r="AW166" s="40" t="str">
        <f>IFERROR(__xludf.DUMMYFUNCTION("""COMPUTED_VALUE"""),"NO")</f>
        <v>NO</v>
      </c>
      <c r="AX166" s="40">
        <f>IFERROR(__xludf.DUMMYFUNCTION("""COMPUTED_VALUE"""),0.0)</f>
        <v>0</v>
      </c>
      <c r="AY166" s="40">
        <f>IFERROR(__xludf.DUMMYFUNCTION("""COMPUTED_VALUE"""),0.0)</f>
        <v>0</v>
      </c>
      <c r="AZ166" s="40">
        <f>IFERROR(__xludf.DUMMYFUNCTION("""COMPUTED_VALUE"""),0.0)</f>
        <v>0</v>
      </c>
      <c r="BA166" s="40" t="str">
        <f>IFERROR(__xludf.DUMMYFUNCTION("""COMPUTED_VALUE"""),"X")</f>
        <v>X</v>
      </c>
      <c r="BB166" s="40">
        <f>IFERROR(__xludf.DUMMYFUNCTION("""COMPUTED_VALUE"""),0.0)</f>
        <v>0</v>
      </c>
      <c r="BC166" s="53" t="str">
        <f>IFERROR(__xludf.DUMMYFUNCTION("""COMPUTED_VALUE"""),"35 - LUIS ANGEL VARGAS")</f>
        <v>35 - LUIS ANGEL VARGAS</v>
      </c>
      <c r="BD166" s="48"/>
      <c r="BE166" s="48"/>
      <c r="BF166" s="48"/>
    </row>
    <row r="167">
      <c r="A167" s="39" t="str">
        <f>IFERROR(__xludf.DUMMYFUNCTION("""COMPUTED_VALUE"""),"231")</f>
        <v>231</v>
      </c>
      <c r="B167" s="40" t="str">
        <f>IFERROR(__xludf.DUMMYFUNCTION("""COMPUTED_VALUE""")," Casa con apartamento en barrio Alamos Norte")</f>
        <v> Casa con apartamento en barrio Alamos Norte</v>
      </c>
      <c r="C167" s="40" t="str">
        <f>IFERROR(__xludf.DUMMYFUNCTION("""COMPUTED_VALUE"""),"Casa rentable")</f>
        <v>Casa rentable</v>
      </c>
      <c r="D167" s="40" t="str">
        <f>IFERROR(__xludf.DUMMYFUNCTION("""COMPUTED_VALUE"""),"Alamos Norte")</f>
        <v>Alamos Norte</v>
      </c>
      <c r="E167" s="42" t="str">
        <f>IFERROR(__xludf.DUMMYFUNCTION("""COMPUTED_VALUE""")," ")</f>
        <v> </v>
      </c>
      <c r="F167" s="42">
        <f>IFERROR(__xludf.DUMMYFUNCTION("""COMPUTED_VALUE"""),3.3E8)</f>
        <v>330000000</v>
      </c>
      <c r="G167" s="40" t="str">
        <f>IFERROR(__xludf.DUMMYFUNCTION("""COMPUTED_VALUE"""),"$300'000.000 a $400'000.000")</f>
        <v>$300'000.000 a $400'000.000</v>
      </c>
      <c r="H167" s="40"/>
      <c r="I167" s="40"/>
      <c r="J167" s="40" t="str">
        <f>IFERROR(__xludf.DUMMYFUNCTION("""COMPUTED_VALUE"""),"Norte")</f>
        <v>Norte</v>
      </c>
      <c r="K167" s="39"/>
      <c r="L167" s="40">
        <f>IFERROR(__xludf.DUMMYFUNCTION("""COMPUTED_VALUE"""),6.0)</f>
        <v>6</v>
      </c>
      <c r="M167" s="40"/>
      <c r="N167" s="40">
        <f>IFERROR(__xludf.DUMMYFUNCTION("""COMPUTED_VALUE"""),4.0)</f>
        <v>4</v>
      </c>
      <c r="O167" s="40">
        <f>IFERROR(__xludf.DUMMYFUNCTION("""COMPUTED_VALUE"""),1.0)</f>
        <v>1</v>
      </c>
      <c r="P167" s="40">
        <f>IFERROR(__xludf.DUMMYFUNCTION("""COMPUTED_VALUE"""),2.0)</f>
        <v>2</v>
      </c>
      <c r="Q167" s="48"/>
      <c r="R167" s="48">
        <f>IFERROR(__xludf.DUMMYFUNCTION("""COMPUTED_VALUE"""),112.0)</f>
        <v>112</v>
      </c>
      <c r="S167" s="39" t="str">
        <f>IFERROR(__xludf.DUMMYFUNCTION("""COMPUTED_VALUE"""),"Rentabilidad $1,200,000")</f>
        <v>Rentabilidad $1,200,000</v>
      </c>
      <c r="T167" s="40" t="str">
        <f>IFERROR(__xludf.DUMMYFUNCTION("""COMPUTED_VALUE"""),"Neiva")</f>
        <v>Neiva</v>
      </c>
      <c r="U167" s="39" t="str">
        <f>IFERROR(__xludf.DUMMYFUNCTION("""COMPUTED_VALUE"""),"2")</f>
        <v>2</v>
      </c>
      <c r="V167" s="40" t="str">
        <f>IFERROR(__xludf.DUMMYFUNCTION("""COMPUTED_VALUE"""),"Medianera")</f>
        <v>Medianera</v>
      </c>
      <c r="W167" s="46"/>
      <c r="X167" s="46">
        <f>IFERROR(__xludf.DUMMYFUNCTION("""COMPUTED_VALUE"""),2.0)</f>
        <v>2</v>
      </c>
      <c r="Y167" s="40" t="str">
        <f>IFERROR(__xludf.DUMMYFUNCTION("""COMPUTED_VALUE"""),"No tiene")</f>
        <v>No tiene</v>
      </c>
      <c r="Z167" s="42" t="str">
        <f>IFERROR(__xludf.DUMMYFUNCTION("""COMPUTED_VALUE"""),"No aplica")</f>
        <v>No aplica</v>
      </c>
      <c r="AA167" s="49" t="str">
        <f>IFERROR(__xludf.DUMMYFUNCTION("""COMPUTED_VALUE"""),"23 años")</f>
        <v>23 años</v>
      </c>
      <c r="AB167" s="48"/>
      <c r="AC167" s="40"/>
      <c r="AD167" s="40"/>
      <c r="AE167" s="40"/>
      <c r="AF167" s="40" t="str">
        <f>IFERROR(__xludf.DUMMYFUNCTION("""COMPUTED_VALUE"""),"integral")</f>
        <v>integral</v>
      </c>
      <c r="AG167" s="40"/>
      <c r="AH167" s="40" t="str">
        <f>IFERROR(__xludf.DUMMYFUNCTION("""COMPUTED_VALUE"""),"Inventario")</f>
        <v>Inventario</v>
      </c>
      <c r="AI167" s="40"/>
      <c r="AJ167" s="40" t="str">
        <f>IFERROR(__xludf.DUMMYFUNCTION("""COMPUTED_VALUE"""),"ICDE")</f>
        <v>ICDE</v>
      </c>
      <c r="AK167" s="40"/>
      <c r="AL167" s="40" t="str">
        <f>IFERROR(__xludf.DUMMYFUNCTION("""COMPUTED_VALUE"""),"NO FOTOS + DESCRIPCION")</f>
        <v>NO FOTOS + DESCRIPCION</v>
      </c>
      <c r="AM167" s="40">
        <f>IFERROR(__xludf.DUMMYFUNCTION("""COMPUTED_VALUE"""),3.184720825E9)</f>
        <v>3184720825</v>
      </c>
      <c r="AN167" s="40" t="str">
        <f>IFERROR(__xludf.DUMMYFUNCTION("""COMPUTED_VALUE"""),"3123061020-3178708297")</f>
        <v>3123061020-3178708297</v>
      </c>
      <c r="AO167" s="40" t="str">
        <f>IFERROR(__xludf.DUMMYFUNCTION("""COMPUTED_VALUE"""),"ALEXANDER-ADRIANA CORDOBA ENCARGADA- VARIOS HERMANOS")</f>
        <v>ALEXANDER-ADRIANA CORDOBA ENCARGADA- VARIOS HERMANOS</v>
      </c>
      <c r="AP167" s="40" t="str">
        <f>IFERROR(__xludf.DUMMYFUNCTION("""COMPUTED_VALUE"""),"CARRERA 18 B NO. 50-89")</f>
        <v>CARRERA 18 B NO. 50-89</v>
      </c>
      <c r="AQ167" s="40"/>
      <c r="AR167" s="40"/>
      <c r="AS167" s="53">
        <f>IFERROR(__xludf.DUMMYFUNCTION("""COMPUTED_VALUE"""),1200000.0)</f>
        <v>1200000</v>
      </c>
      <c r="AT167" s="40">
        <f>IFERROR(__xludf.DUMMYFUNCTION("""COMPUTED_VALUE"""),0.0)</f>
        <v>0</v>
      </c>
      <c r="AU167" s="40">
        <f>IFERROR(__xludf.DUMMYFUNCTION("""COMPUTED_VALUE"""),0.0)</f>
        <v>0</v>
      </c>
      <c r="AV167" s="40">
        <f>IFERROR(__xludf.DUMMYFUNCTION("""COMPUTED_VALUE"""),0.0)</f>
        <v>0</v>
      </c>
      <c r="AW167" s="40" t="str">
        <f>IFERROR(__xludf.DUMMYFUNCTION("""COMPUTED_VALUE"""),"NO")</f>
        <v>NO</v>
      </c>
      <c r="AX167" s="40">
        <f>IFERROR(__xludf.DUMMYFUNCTION("""COMPUTED_VALUE"""),0.0)</f>
        <v>0</v>
      </c>
      <c r="AY167" s="40">
        <f>IFERROR(__xludf.DUMMYFUNCTION("""COMPUTED_VALUE"""),0.0)</f>
        <v>0</v>
      </c>
      <c r="AZ167" s="40">
        <f>IFERROR(__xludf.DUMMYFUNCTION("""COMPUTED_VALUE"""),8.0)</f>
        <v>8</v>
      </c>
      <c r="BA167" s="40" t="str">
        <f>IFERROR(__xludf.DUMMYFUNCTION("""COMPUTED_VALUE"""),"X")</f>
        <v>X</v>
      </c>
      <c r="BB167" s="40">
        <f>IFERROR(__xludf.DUMMYFUNCTION("""COMPUTED_VALUE"""),14.0)</f>
        <v>14</v>
      </c>
      <c r="BC167" s="53" t="str">
        <f>IFERROR(__xludf.DUMMYFUNCTION("""COMPUTED_VALUE"""),"12 - LEIDY YULIETH")</f>
        <v>12 - LEIDY YULIETH</v>
      </c>
      <c r="BD167" s="48"/>
      <c r="BE167" s="48"/>
      <c r="BF167" s="48"/>
    </row>
    <row r="168">
      <c r="A168" s="39" t="str">
        <f>IFERROR(__xludf.DUMMYFUNCTION("""COMPUTED_VALUE"""),"717")</f>
        <v>717</v>
      </c>
      <c r="B168" s="40" t="str">
        <f>IFERROR(__xludf.DUMMYFUNCTION("""COMPUTED_VALUE"""),"Casa en barrio Campo Nuñez")</f>
        <v>Casa en barrio Campo Nuñez</v>
      </c>
      <c r="C168" s="40" t="str">
        <f>IFERROR(__xludf.DUMMYFUNCTION("""COMPUTED_VALUE"""),"Casa")</f>
        <v>Casa</v>
      </c>
      <c r="D168" s="40" t="str">
        <f>IFERROR(__xludf.DUMMYFUNCTION("""COMPUTED_VALUE"""),"Campo Nuñez")</f>
        <v>Campo Nuñez</v>
      </c>
      <c r="E168" s="40"/>
      <c r="F168" s="42">
        <f>IFERROR(__xludf.DUMMYFUNCTION("""COMPUTED_VALUE"""),3.2E8)</f>
        <v>320000000</v>
      </c>
      <c r="G168" s="40" t="str">
        <f>IFERROR(__xludf.DUMMYFUNCTION("""COMPUTED_VALUE"""),"$300'000.000 a $400'000.000")</f>
        <v>$300'000.000 a $400'000.000</v>
      </c>
      <c r="H168" s="40"/>
      <c r="I168" s="40"/>
      <c r="J168" s="40" t="str">
        <f>IFERROR(__xludf.DUMMYFUNCTION("""COMPUTED_VALUE"""),"Centro")</f>
        <v>Centro</v>
      </c>
      <c r="K168" s="39" t="str">
        <f>IFERROR(__xludf.DUMMYFUNCTION("""COMPUTED_VALUE"""),"4")</f>
        <v>4</v>
      </c>
      <c r="L168" s="40">
        <f>IFERROR(__xludf.DUMMYFUNCTION("""COMPUTED_VALUE"""),5.0)</f>
        <v>5</v>
      </c>
      <c r="M168" s="40"/>
      <c r="N168" s="40">
        <f>IFERROR(__xludf.DUMMYFUNCTION("""COMPUTED_VALUE"""),1.0)</f>
        <v>1</v>
      </c>
      <c r="O168" s="40">
        <f>IFERROR(__xludf.DUMMYFUNCTION("""COMPUTED_VALUE"""),0.0)</f>
        <v>0</v>
      </c>
      <c r="P168" s="40">
        <f>IFERROR(__xludf.DUMMYFUNCTION("""COMPUTED_VALUE"""),1.0)</f>
        <v>1</v>
      </c>
      <c r="Q168" s="48">
        <f>IFERROR(__xludf.DUMMYFUNCTION("""COMPUTED_VALUE"""),95.0)</f>
        <v>95</v>
      </c>
      <c r="R168" s="48">
        <f>IFERROR(__xludf.DUMMYFUNCTION("""COMPUTED_VALUE"""),117.0)</f>
        <v>117</v>
      </c>
      <c r="S168" s="39" t="str">
        <f>IFERROR(__xludf.DUMMYFUNCTION("""COMPUTED_VALUE""")," ")</f>
        <v> </v>
      </c>
      <c r="T168" s="40" t="str">
        <f>IFERROR(__xludf.DUMMYFUNCTION("""COMPUTED_VALUE"""),"Neiva")</f>
        <v>Neiva</v>
      </c>
      <c r="U168" s="39" t="str">
        <f>IFERROR(__xludf.DUMMYFUNCTION("""COMPUTED_VALUE"""),"2")</f>
        <v>2</v>
      </c>
      <c r="V168" s="40" t="str">
        <f>IFERROR(__xludf.DUMMYFUNCTION("""COMPUTED_VALUE"""),"Medianera")</f>
        <v>Medianera</v>
      </c>
      <c r="W168" s="46"/>
      <c r="X168" s="46">
        <f>IFERROR(__xludf.DUMMYFUNCTION("""COMPUTED_VALUE"""),0.0)</f>
        <v>0</v>
      </c>
      <c r="Y168" s="40" t="str">
        <f>IFERROR(__xludf.DUMMYFUNCTION("""COMPUTED_VALUE"""),"No tiene")</f>
        <v>No tiene</v>
      </c>
      <c r="Z168" s="42" t="str">
        <f>IFERROR(__xludf.DUMMYFUNCTION("""COMPUTED_VALUE"""),"No aplica")</f>
        <v>No aplica</v>
      </c>
      <c r="AA168" s="49" t="str">
        <f>IFERROR(__xludf.DUMMYFUNCTION("""COMPUTED_VALUE"""),"No aplica")</f>
        <v>No aplica</v>
      </c>
      <c r="AB168" s="48"/>
      <c r="AC168" s="40"/>
      <c r="AD168" s="40"/>
      <c r="AE168" s="40"/>
      <c r="AF168" s="40"/>
      <c r="AG168" s="40"/>
      <c r="AH168" s="40" t="str">
        <f>IFERROR(__xludf.DUMMYFUNCTION("""COMPUTED_VALUE"""),"Inventario")</f>
        <v>Inventario</v>
      </c>
      <c r="AI168" s="40"/>
      <c r="AJ168" s="40" t="str">
        <f>IFERROR(__xludf.DUMMYFUNCTION("""COMPUTED_VALUE"""),"ICDE")</f>
        <v>ICDE</v>
      </c>
      <c r="AK168" s="40"/>
      <c r="AL168" s="40"/>
      <c r="AM168" s="40" t="str">
        <f>IFERROR(__xludf.DUMMYFUNCTION("""COMPUTED_VALUE"""),"3184185721-3245249051")</f>
        <v>3184185721-3245249051</v>
      </c>
      <c r="AN168" s="40" t="str">
        <f>IFERROR(__xludf.DUMMYFUNCTION("""COMPUTED_VALUE"""),"3227660169-3203451277")</f>
        <v>3227660169-3203451277</v>
      </c>
      <c r="AO168" s="40" t="str">
        <f>IFERROR(__xludf.DUMMYFUNCTION("""COMPUTED_VALUE"""),"Wilmar Restrepo")</f>
        <v>Wilmar Restrepo</v>
      </c>
      <c r="AP168" s="40" t="str">
        <f>IFERROR(__xludf.DUMMYFUNCTION("""COMPUTED_VALUE"""),"Carrera 8a # 19 - 68")</f>
        <v>Carrera 8a # 19 - 68</v>
      </c>
      <c r="AQ168" s="40"/>
      <c r="AR168" s="40"/>
      <c r="AS168" s="53"/>
      <c r="AT168" s="40">
        <f>IFERROR(__xludf.DUMMYFUNCTION("""COMPUTED_VALUE"""),0.0)</f>
        <v>0</v>
      </c>
      <c r="AU168" s="40">
        <f>IFERROR(__xludf.DUMMYFUNCTION("""COMPUTED_VALUE"""),0.0)</f>
        <v>0</v>
      </c>
      <c r="AV168" s="40">
        <f>IFERROR(__xludf.DUMMYFUNCTION("""COMPUTED_VALUE"""),0.0)</f>
        <v>0</v>
      </c>
      <c r="AW168" s="40" t="str">
        <f>IFERROR(__xludf.DUMMYFUNCTION("""COMPUTED_VALUE"""),"SI")</f>
        <v>SI</v>
      </c>
      <c r="AX168" s="40"/>
      <c r="AY168" s="40" t="str">
        <f>IFERROR(__xludf.DUMMYFUNCTION("""COMPUTED_VALUE"""),"P")</f>
        <v>P</v>
      </c>
      <c r="AZ168" s="40">
        <f>IFERROR(__xludf.DUMMYFUNCTION("""COMPUTED_VALUE"""),9.0)</f>
        <v>9</v>
      </c>
      <c r="BA168" s="40" t="str">
        <f>IFERROR(__xludf.DUMMYFUNCTION("""COMPUTED_VALUE"""),"X")</f>
        <v>X</v>
      </c>
      <c r="BB168" s="40">
        <f>IFERROR(__xludf.DUMMYFUNCTION("""COMPUTED_VALUE"""),13.0)</f>
        <v>13</v>
      </c>
      <c r="BC168" s="53" t="str">
        <f>IFERROR(__xludf.DUMMYFUNCTION("""COMPUTED_VALUE"""),"25 - LAURA DANIELA ALVAREZ, 44 - SEBASTIAN NARVAEZ")</f>
        <v>25 - LAURA DANIELA ALVAREZ, 44 - SEBASTIAN NARVAEZ</v>
      </c>
      <c r="BD168" s="48"/>
      <c r="BE168" s="48"/>
      <c r="BF168" s="48"/>
    </row>
    <row r="169">
      <c r="A169" s="39" t="str">
        <f>IFERROR(__xludf.DUMMYFUNCTION("""COMPUTED_VALUE"""),"542")</f>
        <v>542</v>
      </c>
      <c r="B169" s="40" t="str">
        <f>IFERROR(__xludf.DUMMYFUNCTION("""COMPUTED_VALUE"""),"Casa en barrio Los Molinos")</f>
        <v>Casa en barrio Los Molinos</v>
      </c>
      <c r="C169" s="40" t="str">
        <f>IFERROR(__xludf.DUMMYFUNCTION("""COMPUTED_VALUE"""),"Casa")</f>
        <v>Casa</v>
      </c>
      <c r="D169" s="40" t="str">
        <f>IFERROR(__xludf.DUMMYFUNCTION("""COMPUTED_VALUE"""),"Los Molinos")</f>
        <v>Los Molinos</v>
      </c>
      <c r="E169" s="40"/>
      <c r="F169" s="42">
        <f>IFERROR(__xludf.DUMMYFUNCTION("""COMPUTED_VALUE"""),3.2E8)</f>
        <v>320000000</v>
      </c>
      <c r="G169" s="40" t="str">
        <f>IFERROR(__xludf.DUMMYFUNCTION("""COMPUTED_VALUE"""),"$300'000.000 a $400'000.000")</f>
        <v>$300'000.000 a $400'000.000</v>
      </c>
      <c r="H169" s="40"/>
      <c r="I169" s="40"/>
      <c r="J169" s="40" t="str">
        <f>IFERROR(__xludf.DUMMYFUNCTION("""COMPUTED_VALUE"""),"Norte")</f>
        <v>Norte</v>
      </c>
      <c r="K169" s="39" t="str">
        <f>IFERROR(__xludf.DUMMYFUNCTION("""COMPUTED_VALUE"""),"2")</f>
        <v>2</v>
      </c>
      <c r="L169" s="40">
        <f>IFERROR(__xludf.DUMMYFUNCTION("""COMPUTED_VALUE"""),4.0)</f>
        <v>4</v>
      </c>
      <c r="M169" s="40"/>
      <c r="N169" s="40">
        <f>IFERROR(__xludf.DUMMYFUNCTION("""COMPUTED_VALUE"""),2.0)</f>
        <v>2</v>
      </c>
      <c r="O169" s="40">
        <f>IFERROR(__xludf.DUMMYFUNCTION("""COMPUTED_VALUE"""),1.0)</f>
        <v>1</v>
      </c>
      <c r="P169" s="40">
        <f>IFERROR(__xludf.DUMMYFUNCTION("""COMPUTED_VALUE"""),2.0)</f>
        <v>2</v>
      </c>
      <c r="Q169" s="48"/>
      <c r="R169" s="48">
        <f>IFERROR(__xludf.DUMMYFUNCTION("""COMPUTED_VALUE"""),90.0)</f>
        <v>90</v>
      </c>
      <c r="S169" s="39" t="str">
        <f>IFERROR(__xludf.DUMMYFUNCTION("""COMPUTED_VALUE""")," ")</f>
        <v> </v>
      </c>
      <c r="T169" s="40" t="str">
        <f>IFERROR(__xludf.DUMMYFUNCTION("""COMPUTED_VALUE"""),"Neiva")</f>
        <v>Neiva</v>
      </c>
      <c r="U169" s="39" t="str">
        <f>IFERROR(__xludf.DUMMYFUNCTION("""COMPUTED_VALUE"""),"3")</f>
        <v>3</v>
      </c>
      <c r="V169" s="40" t="str">
        <f>IFERROR(__xludf.DUMMYFUNCTION("""COMPUTED_VALUE"""),"Medianera")</f>
        <v>Medianera</v>
      </c>
      <c r="W169" s="46"/>
      <c r="X169" s="46">
        <f>IFERROR(__xludf.DUMMYFUNCTION("""COMPUTED_VALUE"""),2.0)</f>
        <v>2</v>
      </c>
      <c r="Y169" s="40" t="str">
        <f>IFERROR(__xludf.DUMMYFUNCTION("""COMPUTED_VALUE"""),"No tiene")</f>
        <v>No tiene</v>
      </c>
      <c r="Z169" s="42" t="str">
        <f>IFERROR(__xludf.DUMMYFUNCTION("""COMPUTED_VALUE"""),"No aplica")</f>
        <v>No aplica</v>
      </c>
      <c r="AA169" s="49" t="str">
        <f>IFERROR(__xludf.DUMMYFUNCTION("""COMPUTED_VALUE"""),"No aplica")</f>
        <v>No aplica</v>
      </c>
      <c r="AB169" s="40"/>
      <c r="AC169" s="40"/>
      <c r="AD169" s="40"/>
      <c r="AE169" s="40"/>
      <c r="AF169" s="40">
        <f>IFERROR(__xludf.DUMMYFUNCTION("""COMPUTED_VALUE"""),0.0)</f>
        <v>0</v>
      </c>
      <c r="AG169" s="40"/>
      <c r="AH169" s="40" t="str">
        <f>IFERROR(__xludf.DUMMYFUNCTION("""COMPUTED_VALUE"""),"Inventario")</f>
        <v>Inventario</v>
      </c>
      <c r="AI169" s="40"/>
      <c r="AJ169" s="40" t="str">
        <f>IFERROR(__xludf.DUMMYFUNCTION("""COMPUTED_VALUE"""),"ICDE")</f>
        <v>ICDE</v>
      </c>
      <c r="AK169" s="40"/>
      <c r="AL169" s="40" t="str">
        <f>IFERROR(__xludf.DUMMYFUNCTION("""COMPUTED_VALUE"""),"NO FOTOS + DESCRIPCION")</f>
        <v>NO FOTOS + DESCRIPCION</v>
      </c>
      <c r="AM169" s="40"/>
      <c r="AN169" s="40"/>
      <c r="AO169" s="40"/>
      <c r="AP169" s="40"/>
      <c r="AQ169" s="40"/>
      <c r="AR169" s="40"/>
      <c r="AS169" s="53">
        <f>IFERROR(__xludf.DUMMYFUNCTION("""COMPUTED_VALUE"""),0.0)</f>
        <v>0</v>
      </c>
      <c r="AT169" s="40"/>
      <c r="AU169" s="40"/>
      <c r="AV169" s="40"/>
      <c r="AW169" s="40"/>
      <c r="AX169" s="40"/>
      <c r="AY169" s="40"/>
      <c r="AZ169" s="40"/>
      <c r="BA169" s="40" t="str">
        <f>IFERROR(__xludf.DUMMYFUNCTION("""COMPUTED_VALUE"""),"X")</f>
        <v>X</v>
      </c>
      <c r="BB169" s="40"/>
      <c r="BC169" s="53" t="str">
        <f>IFERROR(__xludf.DUMMYFUNCTION("""COMPUTED_VALUE"""),"24 - FERNEY PIÑEROS Y LEIDY, 19 - PRUEBA v")</f>
        <v>24 - FERNEY PIÑEROS Y LEIDY, 19 - PRUEBA v</v>
      </c>
      <c r="BD169" s="48"/>
      <c r="BE169" s="48"/>
      <c r="BF169" s="48"/>
    </row>
    <row r="170">
      <c r="A170" s="39" t="str">
        <f>IFERROR(__xludf.DUMMYFUNCTION("""COMPUTED_VALUE"""),"484")</f>
        <v>484</v>
      </c>
      <c r="B170" s="40" t="str">
        <f>IFERROR(__xludf.DUMMYFUNCTION("""COMPUTED_VALUE"""),"Casa con dos locales en barrio Villa Urbe")</f>
        <v>Casa con dos locales en barrio Villa Urbe</v>
      </c>
      <c r="C170" s="40" t="str">
        <f>IFERROR(__xludf.DUMMYFUNCTION("""COMPUTED_VALUE"""),"Casa rentable")</f>
        <v>Casa rentable</v>
      </c>
      <c r="D170" s="40" t="str">
        <f>IFERROR(__xludf.DUMMYFUNCTION("""COMPUTED_VALUE"""),"Villa Urbe")</f>
        <v>Villa Urbe</v>
      </c>
      <c r="E170" s="40"/>
      <c r="F170" s="42">
        <f>IFERROR(__xludf.DUMMYFUNCTION("""COMPUTED_VALUE"""),3.2E8)</f>
        <v>320000000</v>
      </c>
      <c r="G170" s="40" t="str">
        <f>IFERROR(__xludf.DUMMYFUNCTION("""COMPUTED_VALUE"""),"$300'000.000 a $400'000.000")</f>
        <v>$300'000.000 a $400'000.000</v>
      </c>
      <c r="H170" s="40"/>
      <c r="I170" s="40"/>
      <c r="J170" s="40" t="str">
        <f>IFERROR(__xludf.DUMMYFUNCTION("""COMPUTED_VALUE"""),"Norte")</f>
        <v>Norte</v>
      </c>
      <c r="K170" s="39" t="str">
        <f>IFERROR(__xludf.DUMMYFUNCTION("""COMPUTED_VALUE"""),"2")</f>
        <v>2</v>
      </c>
      <c r="L170" s="40">
        <f>IFERROR(__xludf.DUMMYFUNCTION("""COMPUTED_VALUE"""),3.0)</f>
        <v>3</v>
      </c>
      <c r="M170" s="40"/>
      <c r="N170" s="40">
        <f>IFERROR(__xludf.DUMMYFUNCTION("""COMPUTED_VALUE"""),4.0)</f>
        <v>4</v>
      </c>
      <c r="O170" s="40">
        <f>IFERROR(__xludf.DUMMYFUNCTION("""COMPUTED_VALUE"""),1.0)</f>
        <v>1</v>
      </c>
      <c r="P170" s="40">
        <f>IFERROR(__xludf.DUMMYFUNCTION("""COMPUTED_VALUE"""),2.0)</f>
        <v>2</v>
      </c>
      <c r="Q170" s="48"/>
      <c r="R170" s="48">
        <f>IFERROR(__xludf.DUMMYFUNCTION("""COMPUTED_VALUE"""),0.0)</f>
        <v>0</v>
      </c>
      <c r="S170" s="39" t="str">
        <f>IFERROR(__xludf.DUMMYFUNCTION("""COMPUTED_VALUE"""),"Rentabilidad $1,330,000")</f>
        <v>Rentabilidad $1,330,000</v>
      </c>
      <c r="T170" s="40" t="str">
        <f>IFERROR(__xludf.DUMMYFUNCTION("""COMPUTED_VALUE"""),"Neiva")</f>
        <v>Neiva</v>
      </c>
      <c r="U170" s="39" t="str">
        <f>IFERROR(__xludf.DUMMYFUNCTION("""COMPUTED_VALUE"""),"2")</f>
        <v>2</v>
      </c>
      <c r="V170" s="40" t="str">
        <f>IFERROR(__xludf.DUMMYFUNCTION("""COMPUTED_VALUE"""),"Esquinera")</f>
        <v>Esquinera</v>
      </c>
      <c r="W170" s="46"/>
      <c r="X170" s="46">
        <f>IFERROR(__xludf.DUMMYFUNCTION("""COMPUTED_VALUE"""),2.0)</f>
        <v>2</v>
      </c>
      <c r="Y170" s="40" t="str">
        <f>IFERROR(__xludf.DUMMYFUNCTION("""COMPUTED_VALUE"""),"No tiene")</f>
        <v>No tiene</v>
      </c>
      <c r="Z170" s="42" t="str">
        <f>IFERROR(__xludf.DUMMYFUNCTION("""COMPUTED_VALUE"""),"No aplica")</f>
        <v>No aplica</v>
      </c>
      <c r="AA170" s="49" t="str">
        <f>IFERROR(__xludf.DUMMYFUNCTION("""COMPUTED_VALUE"""),"20 años")</f>
        <v>20 años</v>
      </c>
      <c r="AB170" s="40"/>
      <c r="AC170" s="40"/>
      <c r="AD170" s="40"/>
      <c r="AE170" s="40"/>
      <c r="AF170" s="40" t="str">
        <f>IFERROR(__xludf.DUMMYFUNCTION("""COMPUTED_VALUE"""),"semi integral")</f>
        <v>semi integral</v>
      </c>
      <c r="AG170" s="40"/>
      <c r="AH170" s="40" t="str">
        <f>IFERROR(__xludf.DUMMYFUNCTION("""COMPUTED_VALUE"""),"Inventario")</f>
        <v>Inventario</v>
      </c>
      <c r="AI170" s="40"/>
      <c r="AJ170" s="40" t="str">
        <f>IFERROR(__xludf.DUMMYFUNCTION("""COMPUTED_VALUE"""),"ICDE")</f>
        <v>ICDE</v>
      </c>
      <c r="AK170" s="40"/>
      <c r="AL170" s="40" t="str">
        <f>IFERROR(__xludf.DUMMYFUNCTION("""COMPUTED_VALUE"""),"NO FOTOS + DESCRIPCION")</f>
        <v>NO FOTOS + DESCRIPCION</v>
      </c>
      <c r="AM170" s="40">
        <f>IFERROR(__xludf.DUMMYFUNCTION("""COMPUTED_VALUE"""),3.153327453E9)</f>
        <v>3153327453</v>
      </c>
      <c r="AN170" s="40">
        <f>IFERROR(__xludf.DUMMYFUNCTION("""COMPUTED_VALUE"""),3.185200394E9)</f>
        <v>3185200394</v>
      </c>
      <c r="AO170" s="40" t="str">
        <f>IFERROR(__xludf.DUMMYFUNCTION("""COMPUTED_VALUE"""),"ANTONIO TRUJILLO")</f>
        <v>ANTONIO TRUJILLO</v>
      </c>
      <c r="AP170" s="40">
        <f>IFERROR(__xludf.DUMMYFUNCTION("""COMPUTED_VALUE"""),0.0)</f>
        <v>0</v>
      </c>
      <c r="AQ170" s="40"/>
      <c r="AR170" s="40"/>
      <c r="AS170" s="53">
        <f>IFERROR(__xludf.DUMMYFUNCTION("""COMPUTED_VALUE"""),1330000.0)</f>
        <v>1330000</v>
      </c>
      <c r="AT170" s="40">
        <f>IFERROR(__xludf.DUMMYFUNCTION("""COMPUTED_VALUE"""),0.0)</f>
        <v>0</v>
      </c>
      <c r="AU170" s="40">
        <f>IFERROR(__xludf.DUMMYFUNCTION("""COMPUTED_VALUE"""),0.0)</f>
        <v>0</v>
      </c>
      <c r="AV170" s="40">
        <f>IFERROR(__xludf.DUMMYFUNCTION("""COMPUTED_VALUE"""),0.0)</f>
        <v>0</v>
      </c>
      <c r="AW170" s="40" t="str">
        <f>IFERROR(__xludf.DUMMYFUNCTION("""COMPUTED_VALUE"""),"NO")</f>
        <v>NO</v>
      </c>
      <c r="AX170" s="40">
        <f>IFERROR(__xludf.DUMMYFUNCTION("""COMPUTED_VALUE"""),0.0)</f>
        <v>0</v>
      </c>
      <c r="AY170" s="40" t="str">
        <f>IFERROR(__xludf.DUMMYFUNCTION("""COMPUTED_VALUE"""),"P")</f>
        <v>P</v>
      </c>
      <c r="AZ170" s="40">
        <f>IFERROR(__xludf.DUMMYFUNCTION("""COMPUTED_VALUE"""),0.0)</f>
        <v>0</v>
      </c>
      <c r="BA170" s="40" t="str">
        <f>IFERROR(__xludf.DUMMYFUNCTION("""COMPUTED_VALUE"""),"X")</f>
        <v>X</v>
      </c>
      <c r="BB170" s="40">
        <f>IFERROR(__xludf.DUMMYFUNCTION("""COMPUTED_VALUE"""),0.0)</f>
        <v>0</v>
      </c>
      <c r="BC170" s="53" t="str">
        <f>IFERROR(__xludf.DUMMYFUNCTION("""COMPUTED_VALUE"""),"8 - ERNESTO POLANCO")</f>
        <v>8 - ERNESTO POLANCO</v>
      </c>
      <c r="BD170" s="48"/>
      <c r="BE170" s="48"/>
      <c r="BF170" s="48"/>
    </row>
    <row r="171">
      <c r="A171" s="39" t="str">
        <f>IFERROR(__xludf.DUMMYFUNCTION("""COMPUTED_VALUE"""),"394")</f>
        <v>394</v>
      </c>
      <c r="B171" s="40" t="str">
        <f>IFERROR(__xludf.DUMMYFUNCTION("""COMPUTED_VALUE"""),"Casa en barrio La Toma")</f>
        <v>Casa en barrio La Toma</v>
      </c>
      <c r="C171" s="40" t="str">
        <f>IFERROR(__xludf.DUMMYFUNCTION("""COMPUTED_VALUE"""),"Casa")</f>
        <v>Casa</v>
      </c>
      <c r="D171" s="40" t="str">
        <f>IFERROR(__xludf.DUMMYFUNCTION("""COMPUTED_VALUE"""),"La Toma")</f>
        <v>La Toma</v>
      </c>
      <c r="E171" s="40"/>
      <c r="F171" s="42">
        <f>IFERROR(__xludf.DUMMYFUNCTION("""COMPUTED_VALUE"""),3.2E8)</f>
        <v>320000000</v>
      </c>
      <c r="G171" s="40" t="str">
        <f>IFERROR(__xludf.DUMMYFUNCTION("""COMPUTED_VALUE"""),"$300'000.000 a $400'000.000")</f>
        <v>$300'000.000 a $400'000.000</v>
      </c>
      <c r="H171" s="40"/>
      <c r="I171" s="40"/>
      <c r="J171" s="40" t="str">
        <f>IFERROR(__xludf.DUMMYFUNCTION("""COMPUTED_VALUE"""),"Centro")</f>
        <v>Centro</v>
      </c>
      <c r="K171" s="39" t="str">
        <f>IFERROR(__xludf.DUMMYFUNCTION("""COMPUTED_VALUE"""),"3")</f>
        <v>3</v>
      </c>
      <c r="L171" s="40">
        <f>IFERROR(__xludf.DUMMYFUNCTION("""COMPUTED_VALUE"""),4.0)</f>
        <v>4</v>
      </c>
      <c r="M171" s="40"/>
      <c r="N171" s="40">
        <f>IFERROR(__xludf.DUMMYFUNCTION("""COMPUTED_VALUE"""),2.0)</f>
        <v>2</v>
      </c>
      <c r="O171" s="40">
        <f>IFERROR(__xludf.DUMMYFUNCTION("""COMPUTED_VALUE"""),1.0)</f>
        <v>1</v>
      </c>
      <c r="P171" s="40">
        <f>IFERROR(__xludf.DUMMYFUNCTION("""COMPUTED_VALUE"""),2.0)</f>
        <v>2</v>
      </c>
      <c r="Q171" s="48">
        <f>IFERROR(__xludf.DUMMYFUNCTION("""COMPUTED_VALUE"""),144.0)</f>
        <v>144</v>
      </c>
      <c r="R171" s="48">
        <f>IFERROR(__xludf.DUMMYFUNCTION("""COMPUTED_VALUE"""),132.0)</f>
        <v>132</v>
      </c>
      <c r="S171" s="39" t="str">
        <f>IFERROR(__xludf.DUMMYFUNCTION("""COMPUTED_VALUE""")," ")</f>
        <v> </v>
      </c>
      <c r="T171" s="40" t="str">
        <f>IFERROR(__xludf.DUMMYFUNCTION("""COMPUTED_VALUE"""),"Neiva")</f>
        <v>Neiva</v>
      </c>
      <c r="U171" s="39" t="str">
        <f>IFERROR(__xludf.DUMMYFUNCTION("""COMPUTED_VALUE"""),"3")</f>
        <v>3</v>
      </c>
      <c r="V171" s="40" t="str">
        <f>IFERROR(__xludf.DUMMYFUNCTION("""COMPUTED_VALUE"""),"Medianera")</f>
        <v>Medianera</v>
      </c>
      <c r="W171" s="46"/>
      <c r="X171" s="46">
        <f>IFERROR(__xludf.DUMMYFUNCTION("""COMPUTED_VALUE"""),4.0)</f>
        <v>4</v>
      </c>
      <c r="Y171" s="40" t="str">
        <f>IFERROR(__xludf.DUMMYFUNCTION("""COMPUTED_VALUE"""),"No tiene")</f>
        <v>No tiene</v>
      </c>
      <c r="Z171" s="42" t="str">
        <f>IFERROR(__xludf.DUMMYFUNCTION("""COMPUTED_VALUE"""),"No aplica")</f>
        <v>No aplica</v>
      </c>
      <c r="AA171" s="49" t="str">
        <f>IFERROR(__xludf.DUMMYFUNCTION("""COMPUTED_VALUE"""),"No aplica")</f>
        <v>No aplica</v>
      </c>
      <c r="AB171" s="48"/>
      <c r="AC171" s="40"/>
      <c r="AD171" s="40"/>
      <c r="AE171" s="40"/>
      <c r="AF171" s="40" t="str">
        <f>IFERROR(__xludf.DUMMYFUNCTION("""COMPUTED_VALUE"""),"integral")</f>
        <v>integral</v>
      </c>
      <c r="AG171" s="40"/>
      <c r="AH171" s="40" t="str">
        <f>IFERROR(__xludf.DUMMYFUNCTION("""COMPUTED_VALUE"""),"Inventario")</f>
        <v>Inventario</v>
      </c>
      <c r="AI171" s="40"/>
      <c r="AJ171" s="40" t="str">
        <f>IFERROR(__xludf.DUMMYFUNCTION("""COMPUTED_VALUE"""),"ICDE")</f>
        <v>ICDE</v>
      </c>
      <c r="AK171" s="40"/>
      <c r="AL171" s="40" t="str">
        <f>IFERROR(__xludf.DUMMYFUNCTION("""COMPUTED_VALUE"""),"NUEVO - NOT IENE FOTOS")</f>
        <v>NUEVO - NOT IENE FOTOS</v>
      </c>
      <c r="AM171" s="40" t="str">
        <f>IFERROR(__xludf.DUMMYFUNCTION("""COMPUTED_VALUE"""),"PROP-3133835739")</f>
        <v>PROP-3133835739</v>
      </c>
      <c r="AN171" s="40" t="str">
        <f>IFERROR(__xludf.DUMMYFUNCTION("""COMPUTED_VALUE"""),"PRO-3108569565")</f>
        <v>PRO-3108569565</v>
      </c>
      <c r="AO171" s="40" t="str">
        <f>IFERROR(__xludf.DUMMYFUNCTION("""COMPUTED_VALUE"""),"PROPIETARIO E INMOBILIARIA JURIDICA")</f>
        <v>PROPIETARIO E INMOBILIARIA JURIDICA</v>
      </c>
      <c r="AP171" s="40" t="str">
        <f>IFERROR(__xludf.DUMMYFUNCTION("""COMPUTED_VALUE"""),"CARRERA 8 con calle 13")</f>
        <v>CARRERA 8 con calle 13</v>
      </c>
      <c r="AQ171" s="40"/>
      <c r="AR171" s="40"/>
      <c r="AS171" s="53">
        <f>IFERROR(__xludf.DUMMYFUNCTION("""COMPUTED_VALUE"""),0.0)</f>
        <v>0</v>
      </c>
      <c r="AT171" s="40">
        <f>IFERROR(__xludf.DUMMYFUNCTION("""COMPUTED_VALUE"""),0.0)</f>
        <v>0</v>
      </c>
      <c r="AU171" s="40">
        <f>IFERROR(__xludf.DUMMYFUNCTION("""COMPUTED_VALUE"""),0.0)</f>
        <v>0</v>
      </c>
      <c r="AV171" s="40">
        <f>IFERROR(__xludf.DUMMYFUNCTION("""COMPUTED_VALUE"""),0.0)</f>
        <v>0</v>
      </c>
      <c r="AW171" s="40" t="str">
        <f>IFERROR(__xludf.DUMMYFUNCTION("""COMPUTED_VALUE"""),"SI")</f>
        <v>SI</v>
      </c>
      <c r="AX171" s="40">
        <f>IFERROR(__xludf.DUMMYFUNCTION("""COMPUTED_VALUE"""),0.0)</f>
        <v>0</v>
      </c>
      <c r="AY171" s="40" t="str">
        <f>IFERROR(__xludf.DUMMYFUNCTION("""COMPUTED_VALUE"""),"M")</f>
        <v>M</v>
      </c>
      <c r="AZ171" s="40">
        <f>IFERROR(__xludf.DUMMYFUNCTION("""COMPUTED_VALUE"""),0.0)</f>
        <v>0</v>
      </c>
      <c r="BA171" s="40" t="str">
        <f>IFERROR(__xludf.DUMMYFUNCTION("""COMPUTED_VALUE"""),"X")</f>
        <v>X</v>
      </c>
      <c r="BB171" s="40">
        <f>IFERROR(__xludf.DUMMYFUNCTION("""COMPUTED_VALUE"""),0.0)</f>
        <v>0</v>
      </c>
      <c r="BC171" s="53" t="str">
        <f>IFERROR(__xludf.DUMMYFUNCTION("""COMPUTED_VALUE"""),"26 - NINI CASTAÑO")</f>
        <v>26 - NINI CASTAÑO</v>
      </c>
      <c r="BD171" s="48"/>
      <c r="BE171" s="48"/>
      <c r="BF171" s="48"/>
    </row>
    <row r="172">
      <c r="A172" s="39" t="str">
        <f>IFERROR(__xludf.DUMMYFUNCTION("""COMPUTED_VALUE"""),"236")</f>
        <v>236</v>
      </c>
      <c r="B172" s="40" t="str">
        <f>IFERROR(__xludf.DUMMYFUNCTION("""COMPUTED_VALUE"""),"Casa en barrio Alamos Norte")</f>
        <v>Casa en barrio Alamos Norte</v>
      </c>
      <c r="C172" s="40" t="str">
        <f>IFERROR(__xludf.DUMMYFUNCTION("""COMPUTED_VALUE"""),"Casa")</f>
        <v>Casa</v>
      </c>
      <c r="D172" s="40" t="str">
        <f>IFERROR(__xludf.DUMMYFUNCTION("""COMPUTED_VALUE"""),"Alamos Norte ")</f>
        <v>Alamos Norte </v>
      </c>
      <c r="E172" s="42" t="str">
        <f>IFERROR(__xludf.DUMMYFUNCTION("""COMPUTED_VALUE""")," ")</f>
        <v> </v>
      </c>
      <c r="F172" s="42">
        <f>IFERROR(__xludf.DUMMYFUNCTION("""COMPUTED_VALUE"""),3.2E8)</f>
        <v>320000000</v>
      </c>
      <c r="G172" s="40" t="str">
        <f>IFERROR(__xludf.DUMMYFUNCTION("""COMPUTED_VALUE"""),"$300'000.000 a $400'000.000")</f>
        <v>$300'000.000 a $400'000.000</v>
      </c>
      <c r="H172" s="40"/>
      <c r="I172" s="40"/>
      <c r="J172" s="40" t="str">
        <f>IFERROR(__xludf.DUMMYFUNCTION("""COMPUTED_VALUE"""),"Norte")</f>
        <v>Norte</v>
      </c>
      <c r="K172" s="39"/>
      <c r="L172" s="40">
        <f>IFERROR(__xludf.DUMMYFUNCTION("""COMPUTED_VALUE"""),2.0)</f>
        <v>2</v>
      </c>
      <c r="M172" s="40"/>
      <c r="N172" s="40">
        <f>IFERROR(__xludf.DUMMYFUNCTION("""COMPUTED_VALUE"""),2.0)</f>
        <v>2</v>
      </c>
      <c r="O172" s="40">
        <f>IFERROR(__xludf.DUMMYFUNCTION("""COMPUTED_VALUE"""),1.0)</f>
        <v>1</v>
      </c>
      <c r="P172" s="40">
        <f>IFERROR(__xludf.DUMMYFUNCTION("""COMPUTED_VALUE"""),1.0)</f>
        <v>1</v>
      </c>
      <c r="Q172" s="48"/>
      <c r="R172" s="48">
        <f>IFERROR(__xludf.DUMMYFUNCTION("""COMPUTED_VALUE"""),112.0)</f>
        <v>112</v>
      </c>
      <c r="S172" s="39" t="str">
        <f>IFERROR(__xludf.DUMMYFUNCTION("""COMPUTED_VALUE"""),"Rentabilidad $2,500,000")</f>
        <v>Rentabilidad $2,500,000</v>
      </c>
      <c r="T172" s="40" t="str">
        <f>IFERROR(__xludf.DUMMYFUNCTION("""COMPUTED_VALUE"""),"Neiva")</f>
        <v>Neiva</v>
      </c>
      <c r="U172" s="39" t="str">
        <f>IFERROR(__xludf.DUMMYFUNCTION("""COMPUTED_VALUE"""),"2")</f>
        <v>2</v>
      </c>
      <c r="V172" s="40" t="str">
        <f>IFERROR(__xludf.DUMMYFUNCTION("""COMPUTED_VALUE"""),"Medianera")</f>
        <v>Medianera</v>
      </c>
      <c r="W172" s="46"/>
      <c r="X172" s="46">
        <f>IFERROR(__xludf.DUMMYFUNCTION("""COMPUTED_VALUE"""),2.0)</f>
        <v>2</v>
      </c>
      <c r="Y172" s="40" t="str">
        <f>IFERROR(__xludf.DUMMYFUNCTION("""COMPUTED_VALUE"""),"No tiene")</f>
        <v>No tiene</v>
      </c>
      <c r="Z172" s="42" t="str">
        <f>IFERROR(__xludf.DUMMYFUNCTION("""COMPUTED_VALUE"""),"No aplica")</f>
        <v>No aplica</v>
      </c>
      <c r="AA172" s="49" t="str">
        <f>IFERROR(__xludf.DUMMYFUNCTION("""COMPUTED_VALUE"""),"11 años")</f>
        <v>11 años</v>
      </c>
      <c r="AB172" s="105" t="str">
        <f>IFERROR(__xludf.DUMMYFUNCTION("""COMPUTED_VALUE"""),"https://photos.app.goo.gl/DEvGzbzvKXXW3xr29")</f>
        <v>https://photos.app.goo.gl/DEvGzbzvKXXW3xr29</v>
      </c>
      <c r="AC172" s="40"/>
      <c r="AD172" s="40"/>
      <c r="AE172" s="40"/>
      <c r="AF172" s="40" t="str">
        <f>IFERROR(__xludf.DUMMYFUNCTION("""COMPUTED_VALUE"""),"semi-integral")</f>
        <v>semi-integral</v>
      </c>
      <c r="AG172" s="40"/>
      <c r="AH172" s="40" t="str">
        <f>IFERROR(__xludf.DUMMYFUNCTION("""COMPUTED_VALUE"""),"Inventario")</f>
        <v>Inventario</v>
      </c>
      <c r="AI172" s="40"/>
      <c r="AJ172" s="40" t="str">
        <f>IFERROR(__xludf.DUMMYFUNCTION("""COMPUTED_VALUE"""),"ICDE")</f>
        <v>ICDE</v>
      </c>
      <c r="AK172" s="40"/>
      <c r="AL172" s="40" t="str">
        <f>IFERROR(__xludf.DUMMYFUNCTION("""COMPUTED_VALUE"""),"TIENE FOTOS")</f>
        <v>TIENE FOTOS</v>
      </c>
      <c r="AM172" s="40">
        <f>IFERROR(__xludf.DUMMYFUNCTION("""COMPUTED_VALUE"""),3.156042332E9)</f>
        <v>3156042332</v>
      </c>
      <c r="AN172" s="40">
        <f>IFERROR(__xludf.DUMMYFUNCTION("""COMPUTED_VALUE"""),3.182282491E9)</f>
        <v>3182282491</v>
      </c>
      <c r="AO172" s="40" t="str">
        <f>IFERROR(__xludf.DUMMYFUNCTION("""COMPUTED_VALUE"""),"MARIA")</f>
        <v>MARIA</v>
      </c>
      <c r="AP172" s="40" t="str">
        <f>IFERROR(__xludf.DUMMYFUNCTION("""COMPUTED_VALUE"""),"CARRERA 16 A NO.  XXX")</f>
        <v>CARRERA 16 A NO.  XXX</v>
      </c>
      <c r="AQ172" s="40"/>
      <c r="AR172" s="40"/>
      <c r="AS172" s="53">
        <f>IFERROR(__xludf.DUMMYFUNCTION("""COMPUTED_VALUE"""),2500000.0)</f>
        <v>2500000</v>
      </c>
      <c r="AT172" s="40">
        <f>IFERROR(__xludf.DUMMYFUNCTION("""COMPUTED_VALUE"""),0.0)</f>
        <v>0</v>
      </c>
      <c r="AU172" s="40">
        <f>IFERROR(__xludf.DUMMYFUNCTION("""COMPUTED_VALUE"""),0.0)</f>
        <v>0</v>
      </c>
      <c r="AV172" s="40">
        <f>IFERROR(__xludf.DUMMYFUNCTION("""COMPUTED_VALUE"""),0.0)</f>
        <v>0</v>
      </c>
      <c r="AW172" s="40" t="str">
        <f>IFERROR(__xludf.DUMMYFUNCTION("""COMPUTED_VALUE"""),"NO")</f>
        <v>NO</v>
      </c>
      <c r="AX172" s="40">
        <f>IFERROR(__xludf.DUMMYFUNCTION("""COMPUTED_VALUE"""),0.0)</f>
        <v>0</v>
      </c>
      <c r="AY172" s="40">
        <f>IFERROR(__xludf.DUMMYFUNCTION("""COMPUTED_VALUE"""),0.0)</f>
        <v>0</v>
      </c>
      <c r="AZ172" s="40">
        <f>IFERROR(__xludf.DUMMYFUNCTION("""COMPUTED_VALUE"""),8.0)</f>
        <v>8</v>
      </c>
      <c r="BA172" s="40" t="str">
        <f>IFERROR(__xludf.DUMMYFUNCTION("""COMPUTED_VALUE"""),"X")</f>
        <v>X</v>
      </c>
      <c r="BB172" s="40">
        <f>IFERROR(__xludf.DUMMYFUNCTION("""COMPUTED_VALUE"""),14.0)</f>
        <v>14</v>
      </c>
      <c r="BC172" s="53" t="str">
        <f>IFERROR(__xludf.DUMMYFUNCTION("""COMPUTED_VALUE"""),"2 - JAIRO DIAZ, 14 - PAOLA DAZA, 8 - ERNESTO POLANCO, 9 - ALBEIRO TOVAR")</f>
        <v>2 - JAIRO DIAZ, 14 - PAOLA DAZA, 8 - ERNESTO POLANCO, 9 - ALBEIRO TOVAR</v>
      </c>
      <c r="BD172" s="48"/>
      <c r="BE172" s="48"/>
      <c r="BF172" s="48" t="str">
        <f>IFERROR(__xludf.DUMMYFUNCTION("""COMPUTED_VALUE"""),"https://lh3.googleusercontent.com/pw/AP1GczMobsnO37tUHEmHRb9O3xN6r42CrbxxT_ttDwXPsDPr5Nt6SqSQaI23MCTCx1UvO1kNgVIDUg_qA0dJsRScqm9lfwQTyBeFuRleZ8zLlxNxlX-g7NB2=w1200|https://lh3.googleusercontent.com/pw/AP1GczN928BqJfRoi7ykWuQi86xT6pSg4iRUn9njfPdZYOus7ZapDv"&amp;"JxualOrQGTpMTDMHTYkXNG2Mx2qcRxR5apq1lPLa29yd-VxYGTOY3eklPZwXxKa3lL=w1200|https://lh3.googleusercontent.com/pw/AP1GczOMqwHY8r8WNUaGmJHv5e0szlhzN5pGC8SZlLCYtMaH_cyXTSDJMmOIi-8136zV8jc2Ie9plaqFf2kgdjZ1RDJt2loCSTWP-PwcR-8IyhXjsaYDXqi_=w1200|https://lh3.google"&amp;"usercontent.com/pw/AP1GczNff4Mzgmd-P09M0b4zqw9c_LHBKoOGw2FNth7gKHS5EmVVUMVBvqsn5QQtmBxuWNjx5Lq7KoFsYNjfZ6FpbxxsO03knyhmGwYOCJwGtlFKT_WFicPw=w1200|https://lh3.googleusercontent.com/pw/AP1GczN1fJJyuSgO8iQBJs-WZ2beVzZAMEW76vNllV63GTyu0ZGAyckFM7SN3uoZqPxtvwkC"&amp;"7Gk1jIrBfFCU0uqQ1mfdxPNnFVLZh0Rh-GZly91MsspXCeV_=w1200|https://lh3.googleusercontent.com/pw/AP1GczMaIIFKHDDY4mQIOZeVagSdPXXYTml2IcXhQpXA0qHDU6gnyDcgATS8_LNxXlainHl5J_kaZiZ6DJmjF3h0SNWvFspJ6DTPN4ein6MOubH371MrB8Fr=w1200|https://lh3.googleusercontent.com/pw"&amp;"/AP1GczOVXHMoYqQz_uWCU2_Vq8KIMDQgYMCy6d9EOFA-VQeEYJIeE5DVLBd9kOvr-QnMbhDNdvc58H8jM7j4IAPyPu82_CiGPE27gc-EJfmBvjxaBSUmc3JC=w1200|https://lh3.googleusercontent.com/pw/AP1GczNCdeR7_NBcF8LAXSqfRVjcXayrQnTcnZMKzjqaSCglTR-jqbXPVQDoSm36hqw_Hsj6K5jM57YgZDR093NtWs"&amp;"qfHZCP9p8gBRjH9nfATxbmJccGXiTG=w1200")</f>
        <v>https://lh3.googleusercontent.com/pw/AP1GczMobsnO37tUHEmHRb9O3xN6r42CrbxxT_ttDwXPsDPr5Nt6SqSQaI23MCTCx1UvO1kNgVIDUg_qA0dJsRScqm9lfwQTyBeFuRleZ8zLlxNxlX-g7NB2=w1200|https://lh3.googleusercontent.com/pw/AP1GczN928BqJfRoi7ykWuQi86xT6pSg4iRUn9njfPdZYOus7ZapDvJxualOrQGTpMTDMHTYkXNG2Mx2qcRxR5apq1lPLa29yd-VxYGTOY3eklPZwXxKa3lL=w1200|https://lh3.googleusercontent.com/pw/AP1GczOMqwHY8r8WNUaGmJHv5e0szlhzN5pGC8SZlLCYtMaH_cyXTSDJMmOIi-8136zV8jc2Ie9plaqFf2kgdjZ1RDJt2loCSTWP-PwcR-8IyhXjsaYDXqi_=w1200|https://lh3.googleusercontent.com/pw/AP1GczNff4Mzgmd-P09M0b4zqw9c_LHBKoOGw2FNth7gKHS5EmVVUMVBvqsn5QQtmBxuWNjx5Lq7KoFsYNjfZ6FpbxxsO03knyhmGwYOCJwGtlFKT_WFicPw=w1200|https://lh3.googleusercontent.com/pw/AP1GczN1fJJyuSgO8iQBJs-WZ2beVzZAMEW76vNllV63GTyu0ZGAyckFM7SN3uoZqPxtvwkC7Gk1jIrBfFCU0uqQ1mfdxPNnFVLZh0Rh-GZly91MsspXCeV_=w1200|https://lh3.googleusercontent.com/pw/AP1GczMaIIFKHDDY4mQIOZeVagSdPXXYTml2IcXhQpXA0qHDU6gnyDcgATS8_LNxXlainHl5J_kaZiZ6DJmjF3h0SNWvFspJ6DTPN4ein6MOubH371MrB8Fr=w1200|https://lh3.googleusercontent.com/pw/AP1GczOVXHMoYqQz_uWCU2_Vq8KIMDQgYMCy6d9EOFA-VQeEYJIeE5DVLBd9kOvr-QnMbhDNdvc58H8jM7j4IAPyPu82_CiGPE27gc-EJfmBvjxaBSUmc3JC=w1200|https://lh3.googleusercontent.com/pw/AP1GczNCdeR7_NBcF8LAXSqfRVjcXayrQnTcnZMKzjqaSCglTR-jqbXPVQDoSm36hqw_Hsj6K5jM57YgZDR093NtWsqfHZCP9p8gBRjH9nfATxbmJccGXiTG=w1200</v>
      </c>
    </row>
    <row r="173">
      <c r="A173" s="39" t="str">
        <f>IFERROR(__xludf.DUMMYFUNCTION("""COMPUTED_VALUE"""),"201")</f>
        <v>201</v>
      </c>
      <c r="B173" s="40" t="str">
        <f>IFERROR(__xludf.DUMMYFUNCTION("""COMPUTED_VALUE"""),"Casa en barrio Campo Nuñez")</f>
        <v>Casa en barrio Campo Nuñez</v>
      </c>
      <c r="C173" s="40" t="str">
        <f>IFERROR(__xludf.DUMMYFUNCTION("""COMPUTED_VALUE"""),"Casa")</f>
        <v>Casa</v>
      </c>
      <c r="D173" s="40" t="str">
        <f>IFERROR(__xludf.DUMMYFUNCTION("""COMPUTED_VALUE"""),"Campo Nuñez")</f>
        <v>Campo Nuñez</v>
      </c>
      <c r="E173" s="42" t="str">
        <f>IFERROR(__xludf.DUMMYFUNCTION("""COMPUTED_VALUE""")," ")</f>
        <v> </v>
      </c>
      <c r="F173" s="42">
        <f>IFERROR(__xludf.DUMMYFUNCTION("""COMPUTED_VALUE"""),3.2E8)</f>
        <v>320000000</v>
      </c>
      <c r="G173" s="40" t="str">
        <f>IFERROR(__xludf.DUMMYFUNCTION("""COMPUTED_VALUE"""),"$300'000.000 a $400'000.000")</f>
        <v>$300'000.000 a $400'000.000</v>
      </c>
      <c r="H173" s="40"/>
      <c r="I173" s="40"/>
      <c r="J173" s="40" t="str">
        <f>IFERROR(__xludf.DUMMYFUNCTION("""COMPUTED_VALUE"""),"Centro")</f>
        <v>Centro</v>
      </c>
      <c r="K173" s="39" t="str">
        <f>IFERROR(__xludf.DUMMYFUNCTION("""COMPUTED_VALUE"""),"3")</f>
        <v>3</v>
      </c>
      <c r="L173" s="40">
        <f>IFERROR(__xludf.DUMMYFUNCTION("""COMPUTED_VALUE"""),8.0)</f>
        <v>8</v>
      </c>
      <c r="M173" s="40"/>
      <c r="N173" s="40">
        <f>IFERROR(__xludf.DUMMYFUNCTION("""COMPUTED_VALUE"""),2.0)</f>
        <v>2</v>
      </c>
      <c r="O173" s="40">
        <f>IFERROR(__xludf.DUMMYFUNCTION("""COMPUTED_VALUE"""),1.0)</f>
        <v>1</v>
      </c>
      <c r="P173" s="40">
        <f>IFERROR(__xludf.DUMMYFUNCTION("""COMPUTED_VALUE"""),1.0)</f>
        <v>1</v>
      </c>
      <c r="Q173" s="48">
        <f>IFERROR(__xludf.DUMMYFUNCTION("""COMPUTED_VALUE"""),336.0)</f>
        <v>336</v>
      </c>
      <c r="R173" s="48">
        <f>IFERROR(__xludf.DUMMYFUNCTION("""COMPUTED_VALUE"""),336.0)</f>
        <v>336</v>
      </c>
      <c r="S173" s="39" t="str">
        <f>IFERROR(__xludf.DUMMYFUNCTION("""COMPUTED_VALUE"""),"Rentabilidad $1,200,000")</f>
        <v>Rentabilidad $1,200,000</v>
      </c>
      <c r="T173" s="40" t="str">
        <f>IFERROR(__xludf.DUMMYFUNCTION("""COMPUTED_VALUE"""),"Neiva")</f>
        <v>Neiva</v>
      </c>
      <c r="U173" s="39" t="str">
        <f>IFERROR(__xludf.DUMMYFUNCTION("""COMPUTED_VALUE"""),"2")</f>
        <v>2</v>
      </c>
      <c r="V173" s="40" t="str">
        <f>IFERROR(__xludf.DUMMYFUNCTION("""COMPUTED_VALUE"""),"Medianera")</f>
        <v>Medianera</v>
      </c>
      <c r="W173" s="46"/>
      <c r="X173" s="46">
        <f>IFERROR(__xludf.DUMMYFUNCTION("""COMPUTED_VALUE"""),0.0)</f>
        <v>0</v>
      </c>
      <c r="Y173" s="40" t="str">
        <f>IFERROR(__xludf.DUMMYFUNCTION("""COMPUTED_VALUE"""),"No tiene")</f>
        <v>No tiene</v>
      </c>
      <c r="Z173" s="42" t="str">
        <f>IFERROR(__xludf.DUMMYFUNCTION("""COMPUTED_VALUE"""),"No aplica")</f>
        <v>No aplica</v>
      </c>
      <c r="AA173" s="49" t="str">
        <f>IFERROR(__xludf.DUMMYFUNCTION("""COMPUTED_VALUE"""),"22 años")</f>
        <v>22 años</v>
      </c>
      <c r="AB173" s="48"/>
      <c r="AC173" s="40"/>
      <c r="AD173" s="40"/>
      <c r="AE173" s="40"/>
      <c r="AF173" s="40" t="str">
        <f>IFERROR(__xludf.DUMMYFUNCTION("""COMPUTED_VALUE"""),"básica")</f>
        <v>básica</v>
      </c>
      <c r="AG173" s="40"/>
      <c r="AH173" s="40" t="str">
        <f>IFERROR(__xludf.DUMMYFUNCTION("""COMPUTED_VALUE"""),"Inventario")</f>
        <v>Inventario</v>
      </c>
      <c r="AI173" s="40"/>
      <c r="AJ173" s="40" t="str">
        <f>IFERROR(__xludf.DUMMYFUNCTION("""COMPUTED_VALUE"""),"ICDE")</f>
        <v>ICDE</v>
      </c>
      <c r="AK173" s="40"/>
      <c r="AL173" s="40" t="str">
        <f>IFERROR(__xludf.DUMMYFUNCTION("""COMPUTED_VALUE"""),"NO FOTOS")</f>
        <v>NO FOTOS</v>
      </c>
      <c r="AM173" s="40">
        <f>IFERROR(__xludf.DUMMYFUNCTION("""COMPUTED_VALUE"""),3.138994897E9)</f>
        <v>3138994897</v>
      </c>
      <c r="AN173" s="40">
        <f>IFERROR(__xludf.DUMMYFUNCTION("""COMPUTED_VALUE"""),3.163380723E9)</f>
        <v>3163380723</v>
      </c>
      <c r="AO173" s="40" t="str">
        <f>IFERROR(__xludf.DUMMYFUNCTION("""COMPUTED_VALUE"""),"VICTOR ALARCON")</f>
        <v>VICTOR ALARCON</v>
      </c>
      <c r="AP173" s="40" t="str">
        <f>IFERROR(__xludf.DUMMYFUNCTION("""COMPUTED_VALUE"""),"CARRERA 8 A NO. 20-40")</f>
        <v>CARRERA 8 A NO. 20-40</v>
      </c>
      <c r="AQ173" s="40"/>
      <c r="AR173" s="40"/>
      <c r="AS173" s="53">
        <f>IFERROR(__xludf.DUMMYFUNCTION("""COMPUTED_VALUE"""),1200000.0)</f>
        <v>1200000</v>
      </c>
      <c r="AT173" s="40">
        <f>IFERROR(__xludf.DUMMYFUNCTION("""COMPUTED_VALUE"""),0.0)</f>
        <v>0</v>
      </c>
      <c r="AU173" s="40">
        <f>IFERROR(__xludf.DUMMYFUNCTION("""COMPUTED_VALUE"""),0.0)</f>
        <v>0</v>
      </c>
      <c r="AV173" s="40">
        <f>IFERROR(__xludf.DUMMYFUNCTION("""COMPUTED_VALUE"""),0.0)</f>
        <v>0</v>
      </c>
      <c r="AW173" s="40" t="str">
        <f>IFERROR(__xludf.DUMMYFUNCTION("""COMPUTED_VALUE"""),"NO")</f>
        <v>NO</v>
      </c>
      <c r="AX173" s="40">
        <f>IFERROR(__xludf.DUMMYFUNCTION("""COMPUTED_VALUE"""),0.0)</f>
        <v>0</v>
      </c>
      <c r="AY173" s="40">
        <f>IFERROR(__xludf.DUMMYFUNCTION("""COMPUTED_VALUE"""),0.0)</f>
        <v>0</v>
      </c>
      <c r="AZ173" s="40">
        <f>IFERROR(__xludf.DUMMYFUNCTION("""COMPUTED_VALUE"""),12.0)</f>
        <v>12</v>
      </c>
      <c r="BA173" s="40" t="str">
        <f>IFERROR(__xludf.DUMMYFUNCTION("""COMPUTED_VALUE"""),"X")</f>
        <v>X</v>
      </c>
      <c r="BB173" s="40">
        <f>IFERROR(__xludf.DUMMYFUNCTION("""COMPUTED_VALUE"""),28.0)</f>
        <v>28</v>
      </c>
      <c r="BC173" s="53"/>
      <c r="BD173" s="48"/>
      <c r="BE173" s="48"/>
      <c r="BF173" s="48"/>
    </row>
    <row r="174">
      <c r="A174" s="39" t="str">
        <f>IFERROR(__xludf.DUMMYFUNCTION("""COMPUTED_VALUE"""),"530")</f>
        <v>530</v>
      </c>
      <c r="B174" s="40" t="str">
        <f>IFERROR(__xludf.DUMMYFUNCTION("""COMPUTED_VALUE"""),"Casa en barrio Los Cámbulos II")</f>
        <v>Casa en barrio Los Cámbulos II</v>
      </c>
      <c r="C174" s="40" t="str">
        <f>IFERROR(__xludf.DUMMYFUNCTION("""COMPUTED_VALUE"""),"Casa")</f>
        <v>Casa</v>
      </c>
      <c r="D174" s="40" t="str">
        <f>IFERROR(__xludf.DUMMYFUNCTION("""COMPUTED_VALUE"""),"Los Cámbulos II")</f>
        <v>Los Cámbulos II</v>
      </c>
      <c r="E174" s="40"/>
      <c r="F174" s="42">
        <f>IFERROR(__xludf.DUMMYFUNCTION("""COMPUTED_VALUE"""),3.0E8)</f>
        <v>300000000</v>
      </c>
      <c r="G174" s="40" t="str">
        <f>IFERROR(__xludf.DUMMYFUNCTION("""COMPUTED_VALUE"""),"$300'000.000 a $400'000.000")</f>
        <v>$300'000.000 a $400'000.000</v>
      </c>
      <c r="H174" s="40"/>
      <c r="I174" s="40"/>
      <c r="J174" s="40" t="str">
        <f>IFERROR(__xludf.DUMMYFUNCTION("""COMPUTED_VALUE"""),"Norte")</f>
        <v>Norte</v>
      </c>
      <c r="K174" s="39" t="str">
        <f>IFERROR(__xludf.DUMMYFUNCTION("""COMPUTED_VALUE"""),"2")</f>
        <v>2</v>
      </c>
      <c r="L174" s="40">
        <f>IFERROR(__xludf.DUMMYFUNCTION("""COMPUTED_VALUE"""),4.0)</f>
        <v>4</v>
      </c>
      <c r="M174" s="40"/>
      <c r="N174" s="40">
        <f>IFERROR(__xludf.DUMMYFUNCTION("""COMPUTED_VALUE"""),4.0)</f>
        <v>4</v>
      </c>
      <c r="O174" s="40">
        <f>IFERROR(__xludf.DUMMYFUNCTION("""COMPUTED_VALUE"""),1.0)</f>
        <v>1</v>
      </c>
      <c r="P174" s="40">
        <f>IFERROR(__xludf.DUMMYFUNCTION("""COMPUTED_VALUE"""),2.0)</f>
        <v>2</v>
      </c>
      <c r="Q174" s="48">
        <f>IFERROR(__xludf.DUMMYFUNCTION("""COMPUTED_VALUE"""),155.0)</f>
        <v>155</v>
      </c>
      <c r="R174" s="48">
        <f>IFERROR(__xludf.DUMMYFUNCTION("""COMPUTED_VALUE"""),84.0)</f>
        <v>84</v>
      </c>
      <c r="S174" s="39" t="str">
        <f>IFERROR(__xludf.DUMMYFUNCTION("""COMPUTED_VALUE""")," ")</f>
        <v> </v>
      </c>
      <c r="T174" s="40" t="str">
        <f>IFERROR(__xludf.DUMMYFUNCTION("""COMPUTED_VALUE"""),"Neiva")</f>
        <v>Neiva</v>
      </c>
      <c r="U174" s="39" t="str">
        <f>IFERROR(__xludf.DUMMYFUNCTION("""COMPUTED_VALUE"""),"3")</f>
        <v>3</v>
      </c>
      <c r="V174" s="40" t="str">
        <f>IFERROR(__xludf.DUMMYFUNCTION("""COMPUTED_VALUE"""),"Medianera")</f>
        <v>Medianera</v>
      </c>
      <c r="W174" s="46"/>
      <c r="X174" s="46">
        <f>IFERROR(__xludf.DUMMYFUNCTION("""COMPUTED_VALUE"""),4.0)</f>
        <v>4</v>
      </c>
      <c r="Y174" s="40" t="str">
        <f>IFERROR(__xludf.DUMMYFUNCTION("""COMPUTED_VALUE"""),"No tiene")</f>
        <v>No tiene</v>
      </c>
      <c r="Z174" s="42" t="str">
        <f>IFERROR(__xludf.DUMMYFUNCTION("""COMPUTED_VALUE"""),"No aplica")</f>
        <v>No aplica</v>
      </c>
      <c r="AA174" s="49" t="str">
        <f>IFERROR(__xludf.DUMMYFUNCTION("""COMPUTED_VALUE"""),"No aplica")</f>
        <v>No aplica</v>
      </c>
      <c r="AB174" s="40"/>
      <c r="AC174" s="40"/>
      <c r="AD174" s="40"/>
      <c r="AE174" s="40"/>
      <c r="AF174" s="40" t="str">
        <f>IFERROR(__xludf.DUMMYFUNCTION("""COMPUTED_VALUE"""),"integral")</f>
        <v>integral</v>
      </c>
      <c r="AG174" s="40"/>
      <c r="AH174" s="40" t="str">
        <f>IFERROR(__xludf.DUMMYFUNCTION("""COMPUTED_VALUE"""),"Inventario")</f>
        <v>Inventario</v>
      </c>
      <c r="AI174" s="40"/>
      <c r="AJ174" s="40" t="str">
        <f>IFERROR(__xludf.DUMMYFUNCTION("""COMPUTED_VALUE"""),"ICDE")</f>
        <v>ICDE</v>
      </c>
      <c r="AK174" s="40"/>
      <c r="AL174" s="40" t="str">
        <f>IFERROR(__xludf.DUMMYFUNCTION("""COMPUTED_VALUE"""),"NO FOTOS + DESCRIPCION")</f>
        <v>NO FOTOS + DESCRIPCION</v>
      </c>
      <c r="AM174" s="40">
        <f>IFERROR(__xludf.DUMMYFUNCTION("""COMPUTED_VALUE"""),3.107622638E9)</f>
        <v>3107622638</v>
      </c>
      <c r="AN174" s="40">
        <f>IFERROR(__xludf.DUMMYFUNCTION("""COMPUTED_VALUE"""),0.0)</f>
        <v>0</v>
      </c>
      <c r="AO174" s="40" t="str">
        <f>IFERROR(__xludf.DUMMYFUNCTION("""COMPUTED_VALUE"""),"ALVARO LOSADA")</f>
        <v>ALVARO LOSADA</v>
      </c>
      <c r="AP174" s="40">
        <f>IFERROR(__xludf.DUMMYFUNCTION("""COMPUTED_VALUE"""),0.0)</f>
        <v>0</v>
      </c>
      <c r="AQ174" s="40"/>
      <c r="AR174" s="40"/>
      <c r="AS174" s="53">
        <f>IFERROR(__xludf.DUMMYFUNCTION("""COMPUTED_VALUE"""),0.0)</f>
        <v>0</v>
      </c>
      <c r="AT174" s="40">
        <f>IFERROR(__xludf.DUMMYFUNCTION("""COMPUTED_VALUE"""),0.0)</f>
        <v>0</v>
      </c>
      <c r="AU174" s="40">
        <f>IFERROR(__xludf.DUMMYFUNCTION("""COMPUTED_VALUE"""),0.0)</f>
        <v>0</v>
      </c>
      <c r="AV174" s="40">
        <f>IFERROR(__xludf.DUMMYFUNCTION("""COMPUTED_VALUE"""),0.0)</f>
        <v>0</v>
      </c>
      <c r="AW174" s="40" t="str">
        <f>IFERROR(__xludf.DUMMYFUNCTION("""COMPUTED_VALUE"""),"NO")</f>
        <v>NO</v>
      </c>
      <c r="AX174" s="40">
        <f>IFERROR(__xludf.DUMMYFUNCTION("""COMPUTED_VALUE"""),0.0)</f>
        <v>0</v>
      </c>
      <c r="AY174" s="40" t="str">
        <f>IFERROR(__xludf.DUMMYFUNCTION("""COMPUTED_VALUE"""),"P")</f>
        <v>P</v>
      </c>
      <c r="AZ174" s="40">
        <f>IFERROR(__xludf.DUMMYFUNCTION("""COMPUTED_VALUE"""),6.0)</f>
        <v>6</v>
      </c>
      <c r="BA174" s="40" t="str">
        <f>IFERROR(__xludf.DUMMYFUNCTION("""COMPUTED_VALUE"""),"X")</f>
        <v>X</v>
      </c>
      <c r="BB174" s="40">
        <f>IFERROR(__xludf.DUMMYFUNCTION("""COMPUTED_VALUE"""),14.0)</f>
        <v>14</v>
      </c>
      <c r="BC174" s="53"/>
      <c r="BD174" s="48"/>
      <c r="BE174" s="48"/>
      <c r="BF174" s="48"/>
    </row>
    <row r="175">
      <c r="A175" s="39" t="str">
        <f>IFERROR(__xludf.DUMMYFUNCTION("""COMPUTED_VALUE"""),"512")</f>
        <v>512</v>
      </c>
      <c r="B175" s="40" t="str">
        <f>IFERROR(__xludf.DUMMYFUNCTION("""COMPUTED_VALUE"""),"Casa en barrio Las Granjas")</f>
        <v>Casa en barrio Las Granjas</v>
      </c>
      <c r="C175" s="40" t="str">
        <f>IFERROR(__xludf.DUMMYFUNCTION("""COMPUTED_VALUE"""),"Casa")</f>
        <v>Casa</v>
      </c>
      <c r="D175" s="40" t="str">
        <f>IFERROR(__xludf.DUMMYFUNCTION("""COMPUTED_VALUE"""),"Las Granjas")</f>
        <v>Las Granjas</v>
      </c>
      <c r="E175" s="40"/>
      <c r="F175" s="42">
        <f>IFERROR(__xludf.DUMMYFUNCTION("""COMPUTED_VALUE"""),3.0E8)</f>
        <v>300000000</v>
      </c>
      <c r="G175" s="40" t="str">
        <f>IFERROR(__xludf.DUMMYFUNCTION("""COMPUTED_VALUE"""),"$300'000.000 a $400'000.000")</f>
        <v>$300'000.000 a $400'000.000</v>
      </c>
      <c r="H175" s="40"/>
      <c r="I175" s="40"/>
      <c r="J175" s="40" t="str">
        <f>IFERROR(__xludf.DUMMYFUNCTION("""COMPUTED_VALUE"""),"Norte")</f>
        <v>Norte</v>
      </c>
      <c r="K175" s="39" t="str">
        <f>IFERROR(__xludf.DUMMYFUNCTION("""COMPUTED_VALUE"""),"2")</f>
        <v>2</v>
      </c>
      <c r="L175" s="40">
        <f>IFERROR(__xludf.DUMMYFUNCTION("""COMPUTED_VALUE"""),3.0)</f>
        <v>3</v>
      </c>
      <c r="M175" s="40"/>
      <c r="N175" s="40">
        <f>IFERROR(__xludf.DUMMYFUNCTION("""COMPUTED_VALUE"""),3.0)</f>
        <v>3</v>
      </c>
      <c r="O175" s="40">
        <f>IFERROR(__xludf.DUMMYFUNCTION("""COMPUTED_VALUE"""),1.0)</f>
        <v>1</v>
      </c>
      <c r="P175" s="40">
        <f>IFERROR(__xludf.DUMMYFUNCTION("""COMPUTED_VALUE"""),1.0)</f>
        <v>1</v>
      </c>
      <c r="Q175" s="48">
        <f>IFERROR(__xludf.DUMMYFUNCTION("""COMPUTED_VALUE"""),180.0)</f>
        <v>180</v>
      </c>
      <c r="R175" s="48">
        <f>IFERROR(__xludf.DUMMYFUNCTION("""COMPUTED_VALUE"""),180.0)</f>
        <v>180</v>
      </c>
      <c r="S175" s="39" t="str">
        <f>IFERROR(__xludf.DUMMYFUNCTION("""COMPUTED_VALUE""")," ")</f>
        <v> </v>
      </c>
      <c r="T175" s="40" t="str">
        <f>IFERROR(__xludf.DUMMYFUNCTION("""COMPUTED_VALUE"""),"Neiva")</f>
        <v>Neiva</v>
      </c>
      <c r="U175" s="39" t="str">
        <f>IFERROR(__xludf.DUMMYFUNCTION("""COMPUTED_VALUE"""),"2")</f>
        <v>2</v>
      </c>
      <c r="V175" s="40" t="str">
        <f>IFERROR(__xludf.DUMMYFUNCTION("""COMPUTED_VALUE"""),"Medianera")</f>
        <v>Medianera</v>
      </c>
      <c r="W175" s="46"/>
      <c r="X175" s="46">
        <f>IFERROR(__xludf.DUMMYFUNCTION("""COMPUTED_VALUE"""),2.0)</f>
        <v>2</v>
      </c>
      <c r="Y175" s="40" t="str">
        <f>IFERROR(__xludf.DUMMYFUNCTION("""COMPUTED_VALUE"""),"No tiene")</f>
        <v>No tiene</v>
      </c>
      <c r="Z175" s="42" t="str">
        <f>IFERROR(__xludf.DUMMYFUNCTION("""COMPUTED_VALUE"""),"No aplica")</f>
        <v>No aplica</v>
      </c>
      <c r="AA175" s="49" t="str">
        <f>IFERROR(__xludf.DUMMYFUNCTION("""COMPUTED_VALUE"""),"No aplica")</f>
        <v>No aplica</v>
      </c>
      <c r="AB175" s="48"/>
      <c r="AC175" s="40"/>
      <c r="AD175" s="40"/>
      <c r="AE175" s="40"/>
      <c r="AF175" s="40" t="str">
        <f>IFERROR(__xludf.DUMMYFUNCTION("""COMPUTED_VALUE"""),"semi-integral")</f>
        <v>semi-integral</v>
      </c>
      <c r="AG175" s="40"/>
      <c r="AH175" s="40" t="str">
        <f>IFERROR(__xludf.DUMMYFUNCTION("""COMPUTED_VALUE"""),"Inventario")</f>
        <v>Inventario</v>
      </c>
      <c r="AI175" s="40"/>
      <c r="AJ175" s="40" t="str">
        <f>IFERROR(__xludf.DUMMYFUNCTION("""COMPUTED_VALUE"""),"ICDE")</f>
        <v>ICDE</v>
      </c>
      <c r="AK175" s="40"/>
      <c r="AL175" s="40" t="str">
        <f>IFERROR(__xludf.DUMMYFUNCTION("""COMPUTED_VALUE"""),"NO FOTOS + DESCRIPCION")</f>
        <v>NO FOTOS + DESCRIPCION</v>
      </c>
      <c r="AM175" s="40">
        <f>IFERROR(__xludf.DUMMYFUNCTION("""COMPUTED_VALUE"""),3.00563377E9)</f>
        <v>3005633770</v>
      </c>
      <c r="AN175" s="40">
        <f>IFERROR(__xludf.DUMMYFUNCTION("""COMPUTED_VALUE"""),3.15827557E9)</f>
        <v>3158275570</v>
      </c>
      <c r="AO175" s="40" t="str">
        <f>IFERROR(__xludf.DUMMYFUNCTION("""COMPUTED_VALUE"""),"JOSE ALVAREZ")</f>
        <v>JOSE ALVAREZ</v>
      </c>
      <c r="AP175" s="40" t="str">
        <f>IFERROR(__xludf.DUMMYFUNCTION("""COMPUTED_VALUE"""),"CALLE 8 BIS No. 32 - 23")</f>
        <v>CALLE 8 BIS No. 32 - 23</v>
      </c>
      <c r="AQ175" s="40"/>
      <c r="AR175" s="40"/>
      <c r="AS175" s="53">
        <f>IFERROR(__xludf.DUMMYFUNCTION("""COMPUTED_VALUE"""),0.0)</f>
        <v>0</v>
      </c>
      <c r="AT175" s="40">
        <f>IFERROR(__xludf.DUMMYFUNCTION("""COMPUTED_VALUE"""),0.0)</f>
        <v>0</v>
      </c>
      <c r="AU175" s="40">
        <f>IFERROR(__xludf.DUMMYFUNCTION("""COMPUTED_VALUE"""),0.0)</f>
        <v>0</v>
      </c>
      <c r="AV175" s="40">
        <f>IFERROR(__xludf.DUMMYFUNCTION("""COMPUTED_VALUE"""),0.0)</f>
        <v>0</v>
      </c>
      <c r="AW175" s="40" t="str">
        <f>IFERROR(__xludf.DUMMYFUNCTION("""COMPUTED_VALUE"""),"SI")</f>
        <v>SI</v>
      </c>
      <c r="AX175" s="40">
        <f>IFERROR(__xludf.DUMMYFUNCTION("""COMPUTED_VALUE"""),0.0)</f>
        <v>0</v>
      </c>
      <c r="AY175" s="40">
        <f>IFERROR(__xludf.DUMMYFUNCTION("""COMPUTED_VALUE"""),0.0)</f>
        <v>0</v>
      </c>
      <c r="AZ175" s="40">
        <f>IFERROR(__xludf.DUMMYFUNCTION("""COMPUTED_VALUE"""),9.0)</f>
        <v>9</v>
      </c>
      <c r="BA175" s="40" t="str">
        <f>IFERROR(__xludf.DUMMYFUNCTION("""COMPUTED_VALUE"""),"X")</f>
        <v>X</v>
      </c>
      <c r="BB175" s="40">
        <f>IFERROR(__xludf.DUMMYFUNCTION("""COMPUTED_VALUE"""),20.0)</f>
        <v>20</v>
      </c>
      <c r="BC175" s="53" t="str">
        <f>IFERROR(__xludf.DUMMYFUNCTION("""COMPUTED_VALUE"""),"12 - LEIDY YULIETH")</f>
        <v>12 - LEIDY YULIETH</v>
      </c>
      <c r="BD175" s="48"/>
      <c r="BE175" s="48"/>
      <c r="BF175" s="48"/>
    </row>
    <row r="176">
      <c r="A176" s="39" t="str">
        <f>IFERROR(__xludf.DUMMYFUNCTION("""COMPUTED_VALUE"""),"502")</f>
        <v>502</v>
      </c>
      <c r="B176" s="40" t="str">
        <f>IFERROR(__xludf.DUMMYFUNCTION("""COMPUTED_VALUE"""),"Casa en barrio Villa Carolina")</f>
        <v>Casa en barrio Villa Carolina</v>
      </c>
      <c r="C176" s="40" t="str">
        <f>IFERROR(__xludf.DUMMYFUNCTION("""COMPUTED_VALUE"""),"Casa")</f>
        <v>Casa</v>
      </c>
      <c r="D176" s="40" t="str">
        <f>IFERROR(__xludf.DUMMYFUNCTION("""COMPUTED_VALUE"""),"Villa Carolina")</f>
        <v>Villa Carolina</v>
      </c>
      <c r="E176" s="40"/>
      <c r="F176" s="42">
        <f>IFERROR(__xludf.DUMMYFUNCTION("""COMPUTED_VALUE"""),3.0E8)</f>
        <v>300000000</v>
      </c>
      <c r="G176" s="40" t="str">
        <f>IFERROR(__xludf.DUMMYFUNCTION("""COMPUTED_VALUE"""),"$300'000.000 a $400'000.000")</f>
        <v>$300'000.000 a $400'000.000</v>
      </c>
      <c r="H176" s="40"/>
      <c r="I176" s="40"/>
      <c r="J176" s="40" t="str">
        <f>IFERROR(__xludf.DUMMYFUNCTION("""COMPUTED_VALUE"""),"Norte")</f>
        <v>Norte</v>
      </c>
      <c r="K176" s="39" t="str">
        <f>IFERROR(__xludf.DUMMYFUNCTION("""COMPUTED_VALUE"""),"2")</f>
        <v>2</v>
      </c>
      <c r="L176" s="40">
        <f>IFERROR(__xludf.DUMMYFUNCTION("""COMPUTED_VALUE"""),4.0)</f>
        <v>4</v>
      </c>
      <c r="M176" s="40"/>
      <c r="N176" s="40">
        <f>IFERROR(__xludf.DUMMYFUNCTION("""COMPUTED_VALUE"""),3.0)</f>
        <v>3</v>
      </c>
      <c r="O176" s="40">
        <f>IFERROR(__xludf.DUMMYFUNCTION("""COMPUTED_VALUE"""),1.0)</f>
        <v>1</v>
      </c>
      <c r="P176" s="40">
        <f>IFERROR(__xludf.DUMMYFUNCTION("""COMPUTED_VALUE"""),2.0)</f>
        <v>2</v>
      </c>
      <c r="Q176" s="48"/>
      <c r="R176" s="48">
        <f>IFERROR(__xludf.DUMMYFUNCTION("""COMPUTED_VALUE"""),120.0)</f>
        <v>120</v>
      </c>
      <c r="S176" s="39" t="str">
        <f>IFERROR(__xludf.DUMMYFUNCTION("""COMPUTED_VALUE""")," ")</f>
        <v> </v>
      </c>
      <c r="T176" s="40" t="str">
        <f>IFERROR(__xludf.DUMMYFUNCTION("""COMPUTED_VALUE"""),"Neiva")</f>
        <v>Neiva</v>
      </c>
      <c r="U176" s="39" t="str">
        <f>IFERROR(__xludf.DUMMYFUNCTION("""COMPUTED_VALUE"""),"3")</f>
        <v>3</v>
      </c>
      <c r="V176" s="40" t="str">
        <f>IFERROR(__xludf.DUMMYFUNCTION("""COMPUTED_VALUE"""),"Medianera")</f>
        <v>Medianera</v>
      </c>
      <c r="W176" s="46"/>
      <c r="X176" s="46">
        <f>IFERROR(__xludf.DUMMYFUNCTION("""COMPUTED_VALUE"""),1.0)</f>
        <v>1</v>
      </c>
      <c r="Y176" s="40" t="str">
        <f>IFERROR(__xludf.DUMMYFUNCTION("""COMPUTED_VALUE"""),"No tiene")</f>
        <v>No tiene</v>
      </c>
      <c r="Z176" s="42" t="str">
        <f>IFERROR(__xludf.DUMMYFUNCTION("""COMPUTED_VALUE"""),"No aplica")</f>
        <v>No aplica</v>
      </c>
      <c r="AA176" s="49" t="str">
        <f>IFERROR(__xludf.DUMMYFUNCTION("""COMPUTED_VALUE"""),"No aplica")</f>
        <v>No aplica</v>
      </c>
      <c r="AB176" s="48"/>
      <c r="AC176" s="40"/>
      <c r="AD176" s="40"/>
      <c r="AE176" s="40"/>
      <c r="AF176" s="40" t="str">
        <f>IFERROR(__xludf.DUMMYFUNCTION("""COMPUTED_VALUE"""),"semi-integral")</f>
        <v>semi-integral</v>
      </c>
      <c r="AG176" s="40"/>
      <c r="AH176" s="40" t="str">
        <f>IFERROR(__xludf.DUMMYFUNCTION("""COMPUTED_VALUE"""),"Inventario")</f>
        <v>Inventario</v>
      </c>
      <c r="AI176" s="40"/>
      <c r="AJ176" s="40" t="str">
        <f>IFERROR(__xludf.DUMMYFUNCTION("""COMPUTED_VALUE"""),"ICDE")</f>
        <v>ICDE</v>
      </c>
      <c r="AK176" s="40"/>
      <c r="AL176" s="40" t="str">
        <f>IFERROR(__xludf.DUMMYFUNCTION("""COMPUTED_VALUE"""),"NO FOTOS + DESCRIPCION")</f>
        <v>NO FOTOS + DESCRIPCION</v>
      </c>
      <c r="AM176" s="40">
        <f>IFERROR(__xludf.DUMMYFUNCTION("""COMPUTED_VALUE"""),3.177772297E9)</f>
        <v>3177772297</v>
      </c>
      <c r="AN176" s="40">
        <f>IFERROR(__xludf.DUMMYFUNCTION("""COMPUTED_VALUE"""),0.0)</f>
        <v>0</v>
      </c>
      <c r="AO176" s="40" t="str">
        <f>IFERROR(__xludf.DUMMYFUNCTION("""COMPUTED_VALUE"""),"ANGELA BONILLA")</f>
        <v>ANGELA BONILLA</v>
      </c>
      <c r="AP176" s="40" t="str">
        <f>IFERROR(__xludf.DUMMYFUNCTION("""COMPUTED_VALUE"""),"CALLE 57 A No. 18 C  - 25")</f>
        <v>CALLE 57 A No. 18 C  - 25</v>
      </c>
      <c r="AQ176" s="40"/>
      <c r="AR176" s="40"/>
      <c r="AS176" s="53">
        <f>IFERROR(__xludf.DUMMYFUNCTION("""COMPUTED_VALUE"""),0.0)</f>
        <v>0</v>
      </c>
      <c r="AT176" s="40">
        <f>IFERROR(__xludf.DUMMYFUNCTION("""COMPUTED_VALUE"""),0.0)</f>
        <v>0</v>
      </c>
      <c r="AU176" s="40">
        <f>IFERROR(__xludf.DUMMYFUNCTION("""COMPUTED_VALUE"""),0.0)</f>
        <v>0</v>
      </c>
      <c r="AV176" s="40">
        <f>IFERROR(__xludf.DUMMYFUNCTION("""COMPUTED_VALUE"""),0.0)</f>
        <v>0</v>
      </c>
      <c r="AW176" s="40" t="str">
        <f>IFERROR(__xludf.DUMMYFUNCTION("""COMPUTED_VALUE"""),"NO")</f>
        <v>NO</v>
      </c>
      <c r="AX176" s="40">
        <f>IFERROR(__xludf.DUMMYFUNCTION("""COMPUTED_VALUE"""),0.0)</f>
        <v>0</v>
      </c>
      <c r="AY176" s="40">
        <f>IFERROR(__xludf.DUMMYFUNCTION("""COMPUTED_VALUE"""),0.0)</f>
        <v>0</v>
      </c>
      <c r="AZ176" s="40">
        <f>IFERROR(__xludf.DUMMYFUNCTION("""COMPUTED_VALUE"""),0.0)</f>
        <v>0</v>
      </c>
      <c r="BA176" s="40" t="str">
        <f>IFERROR(__xludf.DUMMYFUNCTION("""COMPUTED_VALUE"""),"X")</f>
        <v>X</v>
      </c>
      <c r="BB176" s="40">
        <f>IFERROR(__xludf.DUMMYFUNCTION("""COMPUTED_VALUE"""),0.0)</f>
        <v>0</v>
      </c>
      <c r="BC176" s="53" t="str">
        <f>IFERROR(__xludf.DUMMYFUNCTION("""COMPUTED_VALUE"""),"15 - JOSE LOZANO, 24 - FERNEY PIÑEROS Y LEIDY")</f>
        <v>15 - JOSE LOZANO, 24 - FERNEY PIÑEROS Y LEIDY</v>
      </c>
      <c r="BD176" s="48"/>
      <c r="BE176" s="48"/>
      <c r="BF176" s="48"/>
    </row>
    <row r="177">
      <c r="A177" s="39" t="str">
        <f>IFERROR(__xludf.DUMMYFUNCTION("""COMPUTED_VALUE"""),"405")</f>
        <v>405</v>
      </c>
      <c r="B177" s="40" t="str">
        <f>IFERROR(__xludf.DUMMYFUNCTION("""COMPUTED_VALUE"""),"Casa con dos apartamentos y un local en barrio Las Granjas")</f>
        <v>Casa con dos apartamentos y un local en barrio Las Granjas</v>
      </c>
      <c r="C177" s="40" t="str">
        <f>IFERROR(__xludf.DUMMYFUNCTION("""COMPUTED_VALUE"""),"Casa rentable")</f>
        <v>Casa rentable</v>
      </c>
      <c r="D177" s="40" t="str">
        <f>IFERROR(__xludf.DUMMYFUNCTION("""COMPUTED_VALUE"""),"Las Granjas")</f>
        <v>Las Granjas</v>
      </c>
      <c r="E177" s="40"/>
      <c r="F177" s="42">
        <f>IFERROR(__xludf.DUMMYFUNCTION("""COMPUTED_VALUE"""),3.0E8)</f>
        <v>300000000</v>
      </c>
      <c r="G177" s="40" t="str">
        <f>IFERROR(__xludf.DUMMYFUNCTION("""COMPUTED_VALUE"""),"$300'000.000 a $400'000.000")</f>
        <v>$300'000.000 a $400'000.000</v>
      </c>
      <c r="H177" s="40"/>
      <c r="I177" s="40"/>
      <c r="J177" s="40" t="str">
        <f>IFERROR(__xludf.DUMMYFUNCTION("""COMPUTED_VALUE"""),"Norte")</f>
        <v>Norte</v>
      </c>
      <c r="K177" s="39" t="str">
        <f>IFERROR(__xludf.DUMMYFUNCTION("""COMPUTED_VALUE"""),"2")</f>
        <v>2</v>
      </c>
      <c r="L177" s="40">
        <f>IFERROR(__xludf.DUMMYFUNCTION("""COMPUTED_VALUE"""),5.0)</f>
        <v>5</v>
      </c>
      <c r="M177" s="40"/>
      <c r="N177" s="40">
        <f>IFERROR(__xludf.DUMMYFUNCTION("""COMPUTED_VALUE"""),3.0)</f>
        <v>3</v>
      </c>
      <c r="O177" s="40">
        <f>IFERROR(__xludf.DUMMYFUNCTION("""COMPUTED_VALUE"""),0.0)</f>
        <v>0</v>
      </c>
      <c r="P177" s="40">
        <f>IFERROR(__xludf.DUMMYFUNCTION("""COMPUTED_VALUE"""),2.0)</f>
        <v>2</v>
      </c>
      <c r="Q177" s="48">
        <f>IFERROR(__xludf.DUMMYFUNCTION("""COMPUTED_VALUE"""),295.0)</f>
        <v>295</v>
      </c>
      <c r="R177" s="48">
        <f>IFERROR(__xludf.DUMMYFUNCTION("""COMPUTED_VALUE"""),180.0)</f>
        <v>180</v>
      </c>
      <c r="S177" s="39" t="str">
        <f>IFERROR(__xludf.DUMMYFUNCTION("""COMPUTED_VALUE"""),"Rentabilidad $1,400,000")</f>
        <v>Rentabilidad $1,400,000</v>
      </c>
      <c r="T177" s="40" t="str">
        <f>IFERROR(__xludf.DUMMYFUNCTION("""COMPUTED_VALUE"""),"Neiva")</f>
        <v>Neiva</v>
      </c>
      <c r="U177" s="39" t="str">
        <f>IFERROR(__xludf.DUMMYFUNCTION("""COMPUTED_VALUE"""),"2")</f>
        <v>2</v>
      </c>
      <c r="V177" s="40" t="str">
        <f>IFERROR(__xludf.DUMMYFUNCTION("""COMPUTED_VALUE"""),"Esquinera")</f>
        <v>Esquinera</v>
      </c>
      <c r="W177" s="46"/>
      <c r="X177" s="46">
        <f>IFERROR(__xludf.DUMMYFUNCTION("""COMPUTED_VALUE"""),3.0)</f>
        <v>3</v>
      </c>
      <c r="Y177" s="40" t="str">
        <f>IFERROR(__xludf.DUMMYFUNCTION("""COMPUTED_VALUE"""),"No tiene")</f>
        <v>No tiene</v>
      </c>
      <c r="Z177" s="42" t="str">
        <f>IFERROR(__xludf.DUMMYFUNCTION("""COMPUTED_VALUE"""),"No aplica")</f>
        <v>No aplica</v>
      </c>
      <c r="AA177" s="49" t="str">
        <f>IFERROR(__xludf.DUMMYFUNCTION("""COMPUTED_VALUE"""),"18 años")</f>
        <v>18 años</v>
      </c>
      <c r="AB177" s="40"/>
      <c r="AC177" s="40"/>
      <c r="AD177" s="40"/>
      <c r="AE177" s="40"/>
      <c r="AF177" s="40" t="str">
        <f>IFERROR(__xludf.DUMMYFUNCTION("""COMPUTED_VALUE"""),"semi-integral")</f>
        <v>semi-integral</v>
      </c>
      <c r="AG177" s="40"/>
      <c r="AH177" s="40" t="str">
        <f>IFERROR(__xludf.DUMMYFUNCTION("""COMPUTED_VALUE"""),"Inventario")</f>
        <v>Inventario</v>
      </c>
      <c r="AI177" s="40"/>
      <c r="AJ177" s="40" t="str">
        <f>IFERROR(__xludf.DUMMYFUNCTION("""COMPUTED_VALUE"""),"ICDE")</f>
        <v>ICDE</v>
      </c>
      <c r="AK177" s="40"/>
      <c r="AL177" s="40" t="str">
        <f>IFERROR(__xludf.DUMMYFUNCTION("""COMPUTED_VALUE"""),"NUEVO - NOT IENE FOTOS")</f>
        <v>NUEVO - NOT IENE FOTOS</v>
      </c>
      <c r="AM177" s="40">
        <f>IFERROR(__xludf.DUMMYFUNCTION("""COMPUTED_VALUE"""),3.168287737E9)</f>
        <v>3168287737</v>
      </c>
      <c r="AN177" s="40">
        <f>IFERROR(__xludf.DUMMYFUNCTION("""COMPUTED_VALUE"""),3.006254032E9)</f>
        <v>3006254032</v>
      </c>
      <c r="AO177" s="40" t="str">
        <f>IFERROR(__xludf.DUMMYFUNCTION("""COMPUTED_VALUE"""),"SANDRA TOVAR")</f>
        <v>SANDRA TOVAR</v>
      </c>
      <c r="AP177" s="40" t="str">
        <f>IFERROR(__xludf.DUMMYFUNCTION("""COMPUTED_VALUE"""),"CARRERA 7 No. 39 - 40")</f>
        <v>CARRERA 7 No. 39 - 40</v>
      </c>
      <c r="AQ177" s="40"/>
      <c r="AR177" s="40"/>
      <c r="AS177" s="53">
        <f>IFERROR(__xludf.DUMMYFUNCTION("""COMPUTED_VALUE"""),1400000.0)</f>
        <v>1400000</v>
      </c>
      <c r="AT177" s="40">
        <f>IFERROR(__xludf.DUMMYFUNCTION("""COMPUTED_VALUE"""),0.0)</f>
        <v>0</v>
      </c>
      <c r="AU177" s="40">
        <f>IFERROR(__xludf.DUMMYFUNCTION("""COMPUTED_VALUE"""),0.0)</f>
        <v>0</v>
      </c>
      <c r="AV177" s="40">
        <f>IFERROR(__xludf.DUMMYFUNCTION("""COMPUTED_VALUE"""),0.0)</f>
        <v>0</v>
      </c>
      <c r="AW177" s="40" t="str">
        <f>IFERROR(__xludf.DUMMYFUNCTION("""COMPUTED_VALUE"""),"SI")</f>
        <v>SI</v>
      </c>
      <c r="AX177" s="40">
        <f>IFERROR(__xludf.DUMMYFUNCTION("""COMPUTED_VALUE"""),0.0)</f>
        <v>0</v>
      </c>
      <c r="AY177" s="40">
        <f>IFERROR(__xludf.DUMMYFUNCTION("""COMPUTED_VALUE"""),0.0)</f>
        <v>0</v>
      </c>
      <c r="AZ177" s="40">
        <f>IFERROR(__xludf.DUMMYFUNCTION("""COMPUTED_VALUE"""),9.0)</f>
        <v>9</v>
      </c>
      <c r="BA177" s="40" t="str">
        <f>IFERROR(__xludf.DUMMYFUNCTION("""COMPUTED_VALUE"""),"X")</f>
        <v>X</v>
      </c>
      <c r="BB177" s="40">
        <f>IFERROR(__xludf.DUMMYFUNCTION("""COMPUTED_VALUE"""),20.0)</f>
        <v>20</v>
      </c>
      <c r="BC177" s="53"/>
      <c r="BD177" s="48"/>
      <c r="BE177" s="48"/>
      <c r="BF177" s="48"/>
    </row>
    <row r="178">
      <c r="A178" s="39" t="str">
        <f>IFERROR(__xludf.DUMMYFUNCTION("""COMPUTED_VALUE"""),"395")</f>
        <v>395</v>
      </c>
      <c r="B178" s="40" t="str">
        <f>IFERROR(__xludf.DUMMYFUNCTION("""COMPUTED_VALUE"""),"Casa con local  en barrio La Toma")</f>
        <v>Casa con local  en barrio La Toma</v>
      </c>
      <c r="C178" s="40" t="str">
        <f>IFERROR(__xludf.DUMMYFUNCTION("""COMPUTED_VALUE"""),"Casa rentable")</f>
        <v>Casa rentable</v>
      </c>
      <c r="D178" s="40" t="str">
        <f>IFERROR(__xludf.DUMMYFUNCTION("""COMPUTED_VALUE"""),"La Toma")</f>
        <v>La Toma</v>
      </c>
      <c r="E178" s="40"/>
      <c r="F178" s="42">
        <f>IFERROR(__xludf.DUMMYFUNCTION("""COMPUTED_VALUE"""),3.0E8)</f>
        <v>300000000</v>
      </c>
      <c r="G178" s="40" t="str">
        <f>IFERROR(__xludf.DUMMYFUNCTION("""COMPUTED_VALUE"""),"$300'000.000 a $400'000.000")</f>
        <v>$300'000.000 a $400'000.000</v>
      </c>
      <c r="H178" s="40"/>
      <c r="I178" s="40"/>
      <c r="J178" s="40" t="str">
        <f>IFERROR(__xludf.DUMMYFUNCTION("""COMPUTED_VALUE"""),"Centro")</f>
        <v>Centro</v>
      </c>
      <c r="K178" s="39" t="str">
        <f>IFERROR(__xludf.DUMMYFUNCTION("""COMPUTED_VALUE"""),"3")</f>
        <v>3</v>
      </c>
      <c r="L178" s="40">
        <f>IFERROR(__xludf.DUMMYFUNCTION("""COMPUTED_VALUE"""),2.0)</f>
        <v>2</v>
      </c>
      <c r="M178" s="40"/>
      <c r="N178" s="40">
        <f>IFERROR(__xludf.DUMMYFUNCTION("""COMPUTED_VALUE"""),2.0)</f>
        <v>2</v>
      </c>
      <c r="O178" s="40">
        <f>IFERROR(__xludf.DUMMYFUNCTION("""COMPUTED_VALUE"""),1.0)</f>
        <v>1</v>
      </c>
      <c r="P178" s="40">
        <f>IFERROR(__xludf.DUMMYFUNCTION("""COMPUTED_VALUE"""),2.0)</f>
        <v>2</v>
      </c>
      <c r="Q178" s="48">
        <f>IFERROR(__xludf.DUMMYFUNCTION("""COMPUTED_VALUE"""),188.0)</f>
        <v>188</v>
      </c>
      <c r="R178" s="48">
        <f>IFERROR(__xludf.DUMMYFUNCTION("""COMPUTED_VALUE"""),121.0)</f>
        <v>121</v>
      </c>
      <c r="S178" s="39" t="str">
        <f>IFERROR(__xludf.DUMMYFUNCTION("""COMPUTED_VALUE"""),"Rentabilidad $1,200,000")</f>
        <v>Rentabilidad $1,200,000</v>
      </c>
      <c r="T178" s="40" t="str">
        <f>IFERROR(__xludf.DUMMYFUNCTION("""COMPUTED_VALUE"""),"Neiva")</f>
        <v>Neiva</v>
      </c>
      <c r="U178" s="39" t="str">
        <f>IFERROR(__xludf.DUMMYFUNCTION("""COMPUTED_VALUE"""),"4")</f>
        <v>4</v>
      </c>
      <c r="V178" s="40"/>
      <c r="W178" s="46"/>
      <c r="X178" s="46">
        <f>IFERROR(__xludf.DUMMYFUNCTION("""COMPUTED_VALUE"""),2.0)</f>
        <v>2</v>
      </c>
      <c r="Y178" s="40" t="str">
        <f>IFERROR(__xludf.DUMMYFUNCTION("""COMPUTED_VALUE"""),"No tiene")</f>
        <v>No tiene</v>
      </c>
      <c r="Z178" s="42" t="str">
        <f>IFERROR(__xludf.DUMMYFUNCTION("""COMPUTED_VALUE"""),"No aplica")</f>
        <v>No aplica</v>
      </c>
      <c r="AA178" s="49" t="str">
        <f>IFERROR(__xludf.DUMMYFUNCTION("""COMPUTED_VALUE"""),"21 años")</f>
        <v>21 años</v>
      </c>
      <c r="AB178" s="48"/>
      <c r="AC178" s="40"/>
      <c r="AD178" s="40"/>
      <c r="AE178" s="40"/>
      <c r="AF178" s="40" t="str">
        <f>IFERROR(__xludf.DUMMYFUNCTION("""COMPUTED_VALUE"""),"integral")</f>
        <v>integral</v>
      </c>
      <c r="AG178" s="40"/>
      <c r="AH178" s="40" t="str">
        <f>IFERROR(__xludf.DUMMYFUNCTION("""COMPUTED_VALUE"""),"Inventario")</f>
        <v>Inventario</v>
      </c>
      <c r="AI178" s="40"/>
      <c r="AJ178" s="40" t="str">
        <f>IFERROR(__xludf.DUMMYFUNCTION("""COMPUTED_VALUE"""),"ICDE")</f>
        <v>ICDE</v>
      </c>
      <c r="AK178" s="40"/>
      <c r="AL178" s="40" t="str">
        <f>IFERROR(__xludf.DUMMYFUNCTION("""COMPUTED_VALUE"""),"NO FOTOS + DESCRIPCION")</f>
        <v>NO FOTOS + DESCRIPCION</v>
      </c>
      <c r="AM178" s="40">
        <f>IFERROR(__xludf.DUMMYFUNCTION("""COMPUTED_VALUE"""),3.132652076E9)</f>
        <v>3132652076</v>
      </c>
      <c r="AN178" s="40">
        <f>IFERROR(__xludf.DUMMYFUNCTION("""COMPUTED_VALUE"""),3.132652076E9)</f>
        <v>3132652076</v>
      </c>
      <c r="AO178" s="40" t="str">
        <f>IFERROR(__xludf.DUMMYFUNCTION("""COMPUTED_VALUE"""),"Dra. Abogada MARTHA LUCIA - PROP.")</f>
        <v>Dra. Abogada MARTHA LUCIA - PROP.</v>
      </c>
      <c r="AP178" s="40" t="str">
        <f>IFERROR(__xludf.DUMMYFUNCTION("""COMPUTED_VALUE"""),"CARRERA 8 B No. 12 - 11")</f>
        <v>CARRERA 8 B No. 12 - 11</v>
      </c>
      <c r="AQ178" s="40"/>
      <c r="AR178" s="40"/>
      <c r="AS178" s="53">
        <f>IFERROR(__xludf.DUMMYFUNCTION("""COMPUTED_VALUE"""),1200000.0)</f>
        <v>1200000</v>
      </c>
      <c r="AT178" s="40">
        <f>IFERROR(__xludf.DUMMYFUNCTION("""COMPUTED_VALUE"""),0.0)</f>
        <v>0</v>
      </c>
      <c r="AU178" s="40">
        <f>IFERROR(__xludf.DUMMYFUNCTION("""COMPUTED_VALUE"""),0.0)</f>
        <v>0</v>
      </c>
      <c r="AV178" s="40">
        <f>IFERROR(__xludf.DUMMYFUNCTION("""COMPUTED_VALUE"""),0.0)</f>
        <v>0</v>
      </c>
      <c r="AW178" s="40" t="str">
        <f>IFERROR(__xludf.DUMMYFUNCTION("""COMPUTED_VALUE"""),"NO")</f>
        <v>NO</v>
      </c>
      <c r="AX178" s="40">
        <f>IFERROR(__xludf.DUMMYFUNCTION("""COMPUTED_VALUE"""),0.0)</f>
        <v>0</v>
      </c>
      <c r="AY178" s="40">
        <f>IFERROR(__xludf.DUMMYFUNCTION("""COMPUTED_VALUE"""),0.0)</f>
        <v>0</v>
      </c>
      <c r="AZ178" s="40">
        <f>IFERROR(__xludf.DUMMYFUNCTION("""COMPUTED_VALUE"""),0.0)</f>
        <v>0</v>
      </c>
      <c r="BA178" s="40" t="str">
        <f>IFERROR(__xludf.DUMMYFUNCTION("""COMPUTED_VALUE"""),"X")</f>
        <v>X</v>
      </c>
      <c r="BB178" s="40">
        <f>IFERROR(__xludf.DUMMYFUNCTION("""COMPUTED_VALUE"""),0.0)</f>
        <v>0</v>
      </c>
      <c r="BC178" s="53"/>
      <c r="BD178" s="48"/>
      <c r="BE178" s="48"/>
      <c r="BF178" s="48"/>
    </row>
    <row r="179">
      <c r="A179" s="39" t="str">
        <f>IFERROR(__xludf.DUMMYFUNCTION("""COMPUTED_VALUE"""),"334")</f>
        <v>334</v>
      </c>
      <c r="B179" s="40" t="str">
        <f>IFERROR(__xludf.DUMMYFUNCTION("""COMPUTED_VALUE"""),"Casa lote con un apartaestudio en barrio Chapinero")</f>
        <v>Casa lote con un apartaestudio en barrio Chapinero</v>
      </c>
      <c r="C179" s="40" t="str">
        <f>IFERROR(__xludf.DUMMYFUNCTION("""COMPUTED_VALUE"""),"Casa rentable")</f>
        <v>Casa rentable</v>
      </c>
      <c r="D179" s="40" t="str">
        <f>IFERROR(__xludf.DUMMYFUNCTION("""COMPUTED_VALUE"""),"Chapinero")</f>
        <v>Chapinero</v>
      </c>
      <c r="E179" s="40"/>
      <c r="F179" s="42">
        <f>IFERROR(__xludf.DUMMYFUNCTION("""COMPUTED_VALUE"""),3.0E8)</f>
        <v>300000000</v>
      </c>
      <c r="G179" s="40" t="str">
        <f>IFERROR(__xludf.DUMMYFUNCTION("""COMPUTED_VALUE"""),"$300'000.000 a $400'000.000")</f>
        <v>$300'000.000 a $400'000.000</v>
      </c>
      <c r="H179" s="40"/>
      <c r="I179" s="40"/>
      <c r="J179" s="40" t="str">
        <f>IFERROR(__xludf.DUMMYFUNCTION("""COMPUTED_VALUE"""),"Centro")</f>
        <v>Centro</v>
      </c>
      <c r="K179" s="39" t="str">
        <f>IFERROR(__xludf.DUMMYFUNCTION("""COMPUTED_VALUE"""),"3")</f>
        <v>3</v>
      </c>
      <c r="L179" s="40">
        <f>IFERROR(__xludf.DUMMYFUNCTION("""COMPUTED_VALUE"""),4.0)</f>
        <v>4</v>
      </c>
      <c r="M179" s="40"/>
      <c r="N179" s="40">
        <f>IFERROR(__xludf.DUMMYFUNCTION("""COMPUTED_VALUE"""),1.0)</f>
        <v>1</v>
      </c>
      <c r="O179" s="40">
        <f>IFERROR(__xludf.DUMMYFUNCTION("""COMPUTED_VALUE"""),0.0)</f>
        <v>0</v>
      </c>
      <c r="P179" s="40">
        <f>IFERROR(__xludf.DUMMYFUNCTION("""COMPUTED_VALUE"""),1.0)</f>
        <v>1</v>
      </c>
      <c r="Q179" s="48"/>
      <c r="R179" s="48">
        <f>IFERROR(__xludf.DUMMYFUNCTION("""COMPUTED_VALUE"""),184.0)</f>
        <v>184</v>
      </c>
      <c r="S179" s="39" t="str">
        <f>IFERROR(__xludf.DUMMYFUNCTION("""COMPUTED_VALUE"""),"Rentabilidad $1,300,000")</f>
        <v>Rentabilidad $1,300,000</v>
      </c>
      <c r="T179" s="40" t="str">
        <f>IFERROR(__xludf.DUMMYFUNCTION("""COMPUTED_VALUE"""),"Neiva")</f>
        <v>Neiva</v>
      </c>
      <c r="U179" s="39" t="str">
        <f>IFERROR(__xludf.DUMMYFUNCTION("""COMPUTED_VALUE"""),"2")</f>
        <v>2</v>
      </c>
      <c r="V179" s="40" t="str">
        <f>IFERROR(__xludf.DUMMYFUNCTION("""COMPUTED_VALUE"""),"Medianera")</f>
        <v>Medianera</v>
      </c>
      <c r="W179" s="46"/>
      <c r="X179" s="46">
        <f>IFERROR(__xludf.DUMMYFUNCTION("""COMPUTED_VALUE"""),0.0)</f>
        <v>0</v>
      </c>
      <c r="Y179" s="40"/>
      <c r="Z179" s="42" t="str">
        <f>IFERROR(__xludf.DUMMYFUNCTION("""COMPUTED_VALUE"""),"No aplica")</f>
        <v>No aplica</v>
      </c>
      <c r="AA179" s="49" t="str">
        <f>IFERROR(__xludf.DUMMYFUNCTION("""COMPUTED_VALUE"""),"19 años")</f>
        <v>19 años</v>
      </c>
      <c r="AB179" s="48"/>
      <c r="AC179" s="40"/>
      <c r="AD179" s="40"/>
      <c r="AE179" s="40"/>
      <c r="AF179" s="40" t="str">
        <f>IFERROR(__xludf.DUMMYFUNCTION("""COMPUTED_VALUE"""),"básica")</f>
        <v>básica</v>
      </c>
      <c r="AG179" s="40"/>
      <c r="AH179" s="40" t="str">
        <f>IFERROR(__xludf.DUMMYFUNCTION("""COMPUTED_VALUE"""),"Inventario")</f>
        <v>Inventario</v>
      </c>
      <c r="AI179" s="40"/>
      <c r="AJ179" s="40" t="str">
        <f>IFERROR(__xludf.DUMMYFUNCTION("""COMPUTED_VALUE"""),"ICDE")</f>
        <v>ICDE</v>
      </c>
      <c r="AK179" s="40"/>
      <c r="AL179" s="40" t="str">
        <f>IFERROR(__xludf.DUMMYFUNCTION("""COMPUTED_VALUE"""),"NO INT + DESCRIPCION")</f>
        <v>NO INT + DESCRIPCION</v>
      </c>
      <c r="AM179" s="40">
        <f>IFERROR(__xludf.DUMMYFUNCTION("""COMPUTED_VALUE"""),3.15484608E9)</f>
        <v>3154846080</v>
      </c>
      <c r="AN179" s="40">
        <f>IFERROR(__xludf.DUMMYFUNCTION("""COMPUTED_VALUE"""),3.214963691E9)</f>
        <v>3214963691</v>
      </c>
      <c r="AO179" s="40" t="str">
        <f>IFERROR(__xludf.DUMMYFUNCTION("""COMPUTED_VALUE"""),"KEVIN CHACON")</f>
        <v>KEVIN CHACON</v>
      </c>
      <c r="AP179" s="40" t="str">
        <f>IFERROR(__xludf.DUMMYFUNCTION("""COMPUTED_VALUE"""),"CARRERA 10 No. 17 - 18")</f>
        <v>CARRERA 10 No. 17 - 18</v>
      </c>
      <c r="AQ179" s="40"/>
      <c r="AR179" s="40"/>
      <c r="AS179" s="53">
        <f>IFERROR(__xludf.DUMMYFUNCTION("""COMPUTED_VALUE"""),1300000.0)</f>
        <v>1300000</v>
      </c>
      <c r="AT179" s="40">
        <f>IFERROR(__xludf.DUMMYFUNCTION("""COMPUTED_VALUE"""),0.0)</f>
        <v>0</v>
      </c>
      <c r="AU179" s="40">
        <f>IFERROR(__xludf.DUMMYFUNCTION("""COMPUTED_VALUE"""),0.0)</f>
        <v>0</v>
      </c>
      <c r="AV179" s="40">
        <f>IFERROR(__xludf.DUMMYFUNCTION("""COMPUTED_VALUE"""),0.0)</f>
        <v>0</v>
      </c>
      <c r="AW179" s="40" t="str">
        <f>IFERROR(__xludf.DUMMYFUNCTION("""COMPUTED_VALUE"""),"NO")</f>
        <v>NO</v>
      </c>
      <c r="AX179" s="40">
        <f>IFERROR(__xludf.DUMMYFUNCTION("""COMPUTED_VALUE"""),0.0)</f>
        <v>0</v>
      </c>
      <c r="AY179" s="40">
        <f>IFERROR(__xludf.DUMMYFUNCTION("""COMPUTED_VALUE"""),0.0)</f>
        <v>0</v>
      </c>
      <c r="AZ179" s="40">
        <f>IFERROR(__xludf.DUMMYFUNCTION("""COMPUTED_VALUE"""),11.5)</f>
        <v>11.5</v>
      </c>
      <c r="BA179" s="40" t="str">
        <f>IFERROR(__xludf.DUMMYFUNCTION("""COMPUTED_VALUE"""),"X")</f>
        <v>X</v>
      </c>
      <c r="BB179" s="40">
        <f>IFERROR(__xludf.DUMMYFUNCTION("""COMPUTED_VALUE"""),16.0)</f>
        <v>16</v>
      </c>
      <c r="BC179" s="53" t="str">
        <f>IFERROR(__xludf.DUMMYFUNCTION("""COMPUTED_VALUE"""),"12 - LEIDY YULIETH, 33 - MARIA ALEJANDRA MONTES R., 20 - SAMADHI RODRIGUEZ")</f>
        <v>12 - LEIDY YULIETH, 33 - MARIA ALEJANDRA MONTES R., 20 - SAMADHI RODRIGUEZ</v>
      </c>
      <c r="BD179" s="40"/>
      <c r="BE179" s="48"/>
      <c r="BF179" s="48"/>
    </row>
    <row r="180">
      <c r="A180" s="39" t="str">
        <f>IFERROR(__xludf.DUMMYFUNCTION("""COMPUTED_VALUE"""),"319")</f>
        <v>319</v>
      </c>
      <c r="B180" s="40" t="str">
        <f>IFERROR(__xludf.DUMMYFUNCTION("""COMPUTED_VALUE"""),"Casa con dos apartamentos en barrio Las Granjas")</f>
        <v>Casa con dos apartamentos en barrio Las Granjas</v>
      </c>
      <c r="C180" s="40" t="str">
        <f>IFERROR(__xludf.DUMMYFUNCTION("""COMPUTED_VALUE"""),"Casa rentable")</f>
        <v>Casa rentable</v>
      </c>
      <c r="D180" s="40" t="str">
        <f>IFERROR(__xludf.DUMMYFUNCTION("""COMPUTED_VALUE"""),"Las Granjas")</f>
        <v>Las Granjas</v>
      </c>
      <c r="E180" s="40"/>
      <c r="F180" s="42">
        <f>IFERROR(__xludf.DUMMYFUNCTION("""COMPUTED_VALUE"""),3.0E8)</f>
        <v>300000000</v>
      </c>
      <c r="G180" s="40" t="str">
        <f>IFERROR(__xludf.DUMMYFUNCTION("""COMPUTED_VALUE"""),"$300'000.000 a $400'000.000")</f>
        <v>$300'000.000 a $400'000.000</v>
      </c>
      <c r="H180" s="40"/>
      <c r="I180" s="40"/>
      <c r="J180" s="40" t="str">
        <f>IFERROR(__xludf.DUMMYFUNCTION("""COMPUTED_VALUE"""),"Norte")</f>
        <v>Norte</v>
      </c>
      <c r="K180" s="39" t="str">
        <f>IFERROR(__xludf.DUMMYFUNCTION("""COMPUTED_VALUE"""),"2")</f>
        <v>2</v>
      </c>
      <c r="L180" s="40">
        <f>IFERROR(__xludf.DUMMYFUNCTION("""COMPUTED_VALUE"""),6.0)</f>
        <v>6</v>
      </c>
      <c r="M180" s="40"/>
      <c r="N180" s="40">
        <f>IFERROR(__xludf.DUMMYFUNCTION("""COMPUTED_VALUE"""),2.0)</f>
        <v>2</v>
      </c>
      <c r="O180" s="40">
        <f>IFERROR(__xludf.DUMMYFUNCTION("""COMPUTED_VALUE"""),0.0)</f>
        <v>0</v>
      </c>
      <c r="P180" s="40">
        <f>IFERROR(__xludf.DUMMYFUNCTION("""COMPUTED_VALUE"""),1.0)</f>
        <v>1</v>
      </c>
      <c r="Q180" s="48">
        <f>IFERROR(__xludf.DUMMYFUNCTION("""COMPUTED_VALUE"""),170.0)</f>
        <v>170</v>
      </c>
      <c r="R180" s="48">
        <f>IFERROR(__xludf.DUMMYFUNCTION("""COMPUTED_VALUE"""),180.0)</f>
        <v>180</v>
      </c>
      <c r="S180" s="39" t="str">
        <f>IFERROR(__xludf.DUMMYFUNCTION("""COMPUTED_VALUE"""),"Rentabilidad $1,200,000")</f>
        <v>Rentabilidad $1,200,000</v>
      </c>
      <c r="T180" s="40" t="str">
        <f>IFERROR(__xludf.DUMMYFUNCTION("""COMPUTED_VALUE"""),"Neiva")</f>
        <v>Neiva</v>
      </c>
      <c r="U180" s="39" t="str">
        <f>IFERROR(__xludf.DUMMYFUNCTION("""COMPUTED_VALUE"""),"2")</f>
        <v>2</v>
      </c>
      <c r="V180" s="40" t="str">
        <f>IFERROR(__xludf.DUMMYFUNCTION("""COMPUTED_VALUE"""),"Medianera")</f>
        <v>Medianera</v>
      </c>
      <c r="W180" s="46"/>
      <c r="X180" s="46">
        <f>IFERROR(__xludf.DUMMYFUNCTION("""COMPUTED_VALUE"""),0.0)</f>
        <v>0</v>
      </c>
      <c r="Y180" s="40" t="str">
        <f>IFERROR(__xludf.DUMMYFUNCTION("""COMPUTED_VALUE"""),"No tiene")</f>
        <v>No tiene</v>
      </c>
      <c r="Z180" s="42" t="str">
        <f>IFERROR(__xludf.DUMMYFUNCTION("""COMPUTED_VALUE"""),"No aplica")</f>
        <v>No aplica</v>
      </c>
      <c r="AA180" s="49" t="str">
        <f>IFERROR(__xludf.DUMMYFUNCTION("""COMPUTED_VALUE"""),"21 años")</f>
        <v>21 años</v>
      </c>
      <c r="AB180" s="48"/>
      <c r="AC180" s="40"/>
      <c r="AD180" s="40"/>
      <c r="AE180" s="40"/>
      <c r="AF180" s="40" t="str">
        <f>IFERROR(__xludf.DUMMYFUNCTION("""COMPUTED_VALUE"""),"básica")</f>
        <v>básica</v>
      </c>
      <c r="AG180" s="40"/>
      <c r="AH180" s="40" t="str">
        <f>IFERROR(__xludf.DUMMYFUNCTION("""COMPUTED_VALUE"""),"Inventario")</f>
        <v>Inventario</v>
      </c>
      <c r="AI180" s="40"/>
      <c r="AJ180" s="40" t="str">
        <f>IFERROR(__xludf.DUMMYFUNCTION("""COMPUTED_VALUE"""),"ICDE")</f>
        <v>ICDE</v>
      </c>
      <c r="AK180" s="40"/>
      <c r="AL180" s="40" t="str">
        <f>IFERROR(__xludf.DUMMYFUNCTION("""COMPUTED_VALUE"""),"NO FOTOS + DESCRIPCION")</f>
        <v>NO FOTOS + DESCRIPCION</v>
      </c>
      <c r="AM180" s="40">
        <f>IFERROR(__xludf.DUMMYFUNCTION("""COMPUTED_VALUE"""),3.118988138E9)</f>
        <v>3118988138</v>
      </c>
      <c r="AN180" s="40">
        <f>IFERROR(__xludf.DUMMYFUNCTION("""COMPUTED_VALUE"""),0.0)</f>
        <v>0</v>
      </c>
      <c r="AO180" s="40" t="str">
        <f>IFERROR(__xludf.DUMMYFUNCTION("""COMPUTED_VALUE"""),"JORGE CUTIVA")</f>
        <v>JORGE CUTIVA</v>
      </c>
      <c r="AP180" s="40" t="str">
        <f>IFERROR(__xludf.DUMMYFUNCTION("""COMPUTED_VALUE"""),"CALLE 28 No. 6 - 33")</f>
        <v>CALLE 28 No. 6 - 33</v>
      </c>
      <c r="AQ180" s="40"/>
      <c r="AR180" s="40"/>
      <c r="AS180" s="53">
        <f>IFERROR(__xludf.DUMMYFUNCTION("""COMPUTED_VALUE"""),1200000.0)</f>
        <v>1200000</v>
      </c>
      <c r="AT180" s="40">
        <f>IFERROR(__xludf.DUMMYFUNCTION("""COMPUTED_VALUE"""),0.0)</f>
        <v>0</v>
      </c>
      <c r="AU180" s="40">
        <f>IFERROR(__xludf.DUMMYFUNCTION("""COMPUTED_VALUE"""),0.0)</f>
        <v>0</v>
      </c>
      <c r="AV180" s="40">
        <f>IFERROR(__xludf.DUMMYFUNCTION("""COMPUTED_VALUE"""),0.0)</f>
        <v>0</v>
      </c>
      <c r="AW180" s="40" t="str">
        <f>IFERROR(__xludf.DUMMYFUNCTION("""COMPUTED_VALUE"""),"NO")</f>
        <v>NO</v>
      </c>
      <c r="AX180" s="40">
        <f>IFERROR(__xludf.DUMMYFUNCTION("""COMPUTED_VALUE"""),0.0)</f>
        <v>0</v>
      </c>
      <c r="AY180" s="40" t="str">
        <f>IFERROR(__xludf.DUMMYFUNCTION("""COMPUTED_VALUE"""),"SI")</f>
        <v>SI</v>
      </c>
      <c r="AZ180" s="40">
        <f>IFERROR(__xludf.DUMMYFUNCTION("""COMPUTED_VALUE"""),9.0)</f>
        <v>9</v>
      </c>
      <c r="BA180" s="40" t="str">
        <f>IFERROR(__xludf.DUMMYFUNCTION("""COMPUTED_VALUE"""),"X")</f>
        <v>X</v>
      </c>
      <c r="BB180" s="40">
        <f>IFERROR(__xludf.DUMMYFUNCTION("""COMPUTED_VALUE"""),20.0)</f>
        <v>20</v>
      </c>
      <c r="BC180" s="53"/>
      <c r="BD180" s="48"/>
      <c r="BE180" s="48"/>
      <c r="BF180" s="48"/>
    </row>
    <row r="181">
      <c r="A181" s="39" t="str">
        <f>IFERROR(__xludf.DUMMYFUNCTION("""COMPUTED_VALUE"""),"305")</f>
        <v>305</v>
      </c>
      <c r="B181" s="40" t="str">
        <f>IFERROR(__xludf.DUMMYFUNCTION("""COMPUTED_VALUE"""),"Casa en barrio Chapinero")</f>
        <v>Casa en barrio Chapinero</v>
      </c>
      <c r="C181" s="40" t="str">
        <f>IFERROR(__xludf.DUMMYFUNCTION("""COMPUTED_VALUE"""),"Casa")</f>
        <v>Casa</v>
      </c>
      <c r="D181" s="40" t="str">
        <f>IFERROR(__xludf.DUMMYFUNCTION("""COMPUTED_VALUE"""),"Chapinero")</f>
        <v>Chapinero</v>
      </c>
      <c r="E181" s="40"/>
      <c r="F181" s="42">
        <f>IFERROR(__xludf.DUMMYFUNCTION("""COMPUTED_VALUE"""),3.0E8)</f>
        <v>300000000</v>
      </c>
      <c r="G181" s="40" t="str">
        <f>IFERROR(__xludf.DUMMYFUNCTION("""COMPUTED_VALUE"""),"$300'000.000 a $400'000.000")</f>
        <v>$300'000.000 a $400'000.000</v>
      </c>
      <c r="H181" s="40"/>
      <c r="I181" s="40"/>
      <c r="J181" s="40" t="str">
        <f>IFERROR(__xludf.DUMMYFUNCTION("""COMPUTED_VALUE"""),"Centro")</f>
        <v>Centro</v>
      </c>
      <c r="K181" s="39" t="str">
        <f>IFERROR(__xludf.DUMMYFUNCTION("""COMPUTED_VALUE"""),"3")</f>
        <v>3</v>
      </c>
      <c r="L181" s="40">
        <f>IFERROR(__xludf.DUMMYFUNCTION("""COMPUTED_VALUE"""),3.0)</f>
        <v>3</v>
      </c>
      <c r="M181" s="40"/>
      <c r="N181" s="40">
        <f>IFERROR(__xludf.DUMMYFUNCTION("""COMPUTED_VALUE"""),2.0)</f>
        <v>2</v>
      </c>
      <c r="O181" s="40">
        <f>IFERROR(__xludf.DUMMYFUNCTION("""COMPUTED_VALUE"""),0.0)</f>
        <v>0</v>
      </c>
      <c r="P181" s="40">
        <f>IFERROR(__xludf.DUMMYFUNCTION("""COMPUTED_VALUE"""),1.0)</f>
        <v>1</v>
      </c>
      <c r="Q181" s="48">
        <f>IFERROR(__xludf.DUMMYFUNCTION("""COMPUTED_VALUE"""),300.0)</f>
        <v>300</v>
      </c>
      <c r="R181" s="48">
        <f>IFERROR(__xludf.DUMMYFUNCTION("""COMPUTED_VALUE"""),300.0)</f>
        <v>300</v>
      </c>
      <c r="S181" s="39" t="str">
        <f>IFERROR(__xludf.DUMMYFUNCTION("""COMPUTED_VALUE"""),"Rentabilidad $900,000")</f>
        <v>Rentabilidad $900,000</v>
      </c>
      <c r="T181" s="40" t="str">
        <f>IFERROR(__xludf.DUMMYFUNCTION("""COMPUTED_VALUE"""),"Neiva")</f>
        <v>Neiva</v>
      </c>
      <c r="U181" s="39" t="str">
        <f>IFERROR(__xludf.DUMMYFUNCTION("""COMPUTED_VALUE"""),"2")</f>
        <v>2</v>
      </c>
      <c r="V181" s="40" t="str">
        <f>IFERROR(__xludf.DUMMYFUNCTION("""COMPUTED_VALUE"""),"Medianera")</f>
        <v>Medianera</v>
      </c>
      <c r="W181" s="46"/>
      <c r="X181" s="46">
        <f>IFERROR(__xludf.DUMMYFUNCTION("""COMPUTED_VALUE"""),0.0)</f>
        <v>0</v>
      </c>
      <c r="Y181" s="40" t="str">
        <f>IFERROR(__xludf.DUMMYFUNCTION("""COMPUTED_VALUE"""),"No tiene")</f>
        <v>No tiene</v>
      </c>
      <c r="Z181" s="42" t="str">
        <f>IFERROR(__xludf.DUMMYFUNCTION("""COMPUTED_VALUE"""),"No aplica")</f>
        <v>No aplica</v>
      </c>
      <c r="AA181" s="49" t="str">
        <f>IFERROR(__xludf.DUMMYFUNCTION("""COMPUTED_VALUE"""),"28 años")</f>
        <v>28 años</v>
      </c>
      <c r="AB181" s="48"/>
      <c r="AC181" s="40"/>
      <c r="AD181" s="40"/>
      <c r="AE181" s="40"/>
      <c r="AF181" s="40" t="str">
        <f>IFERROR(__xludf.DUMMYFUNCTION("""COMPUTED_VALUE"""),"básica")</f>
        <v>básica</v>
      </c>
      <c r="AG181" s="40"/>
      <c r="AH181" s="40" t="str">
        <f>IFERROR(__xludf.DUMMYFUNCTION("""COMPUTED_VALUE"""),"Inventario")</f>
        <v>Inventario</v>
      </c>
      <c r="AI181" s="40"/>
      <c r="AJ181" s="40" t="str">
        <f>IFERROR(__xludf.DUMMYFUNCTION("""COMPUTED_VALUE"""),"ICDE")</f>
        <v>ICDE</v>
      </c>
      <c r="AK181" s="40"/>
      <c r="AL181" s="40" t="str">
        <f>IFERROR(__xludf.DUMMYFUNCTION("""COMPUTED_VALUE"""),"NO DESEA EL SERVICIO")</f>
        <v>NO DESEA EL SERVICIO</v>
      </c>
      <c r="AM181" s="40">
        <f>IFERROR(__xludf.DUMMYFUNCTION("""COMPUTED_VALUE"""),3.004603597E9)</f>
        <v>3004603597</v>
      </c>
      <c r="AN181" s="40">
        <f>IFERROR(__xludf.DUMMYFUNCTION("""COMPUTED_VALUE"""),0.0)</f>
        <v>0</v>
      </c>
      <c r="AO181" s="40" t="str">
        <f>IFERROR(__xludf.DUMMYFUNCTION("""COMPUTED_VALUE"""),"ALVARO")</f>
        <v>ALVARO</v>
      </c>
      <c r="AP181" s="40" t="str">
        <f>IFERROR(__xludf.DUMMYFUNCTION("""COMPUTED_VALUE"""),"CARRERA 10 No. 12-77")</f>
        <v>CARRERA 10 No. 12-77</v>
      </c>
      <c r="AQ181" s="40"/>
      <c r="AR181" s="40"/>
      <c r="AS181" s="53">
        <f>IFERROR(__xludf.DUMMYFUNCTION("""COMPUTED_VALUE"""),900000.0)</f>
        <v>900000</v>
      </c>
      <c r="AT181" s="40">
        <f>IFERROR(__xludf.DUMMYFUNCTION("""COMPUTED_VALUE"""),0.0)</f>
        <v>0</v>
      </c>
      <c r="AU181" s="40">
        <f>IFERROR(__xludf.DUMMYFUNCTION("""COMPUTED_VALUE"""),0.0)</f>
        <v>0</v>
      </c>
      <c r="AV181" s="40">
        <f>IFERROR(__xludf.DUMMYFUNCTION("""COMPUTED_VALUE"""),0.0)</f>
        <v>0</v>
      </c>
      <c r="AW181" s="40" t="str">
        <f>IFERROR(__xludf.DUMMYFUNCTION("""COMPUTED_VALUE"""),"NO")</f>
        <v>NO</v>
      </c>
      <c r="AX181" s="40">
        <f>IFERROR(__xludf.DUMMYFUNCTION("""COMPUTED_VALUE"""),0.0)</f>
        <v>0</v>
      </c>
      <c r="AY181" s="40">
        <f>IFERROR(__xludf.DUMMYFUNCTION("""COMPUTED_VALUE"""),0.0)</f>
        <v>0</v>
      </c>
      <c r="AZ181" s="40">
        <f>IFERROR(__xludf.DUMMYFUNCTION("""COMPUTED_VALUE"""),0.0)</f>
        <v>0</v>
      </c>
      <c r="BA181" s="40" t="str">
        <f>IFERROR(__xludf.DUMMYFUNCTION("""COMPUTED_VALUE"""),"X")</f>
        <v>X</v>
      </c>
      <c r="BB181" s="40">
        <f>IFERROR(__xludf.DUMMYFUNCTION("""COMPUTED_VALUE"""),0.0)</f>
        <v>0</v>
      </c>
      <c r="BC181" s="53" t="str">
        <f>IFERROR(__xludf.DUMMYFUNCTION("""COMPUTED_VALUE"""),"27 - Valentina Renza, 28 - ALEJO CABRERA")</f>
        <v>27 - Valentina Renza, 28 - ALEJO CABRERA</v>
      </c>
      <c r="BD181" s="48"/>
      <c r="BE181" s="48"/>
      <c r="BF181" s="48"/>
    </row>
    <row r="182">
      <c r="A182" s="39" t="str">
        <f>IFERROR(__xludf.DUMMYFUNCTION("""COMPUTED_VALUE"""),"107")</f>
        <v>107</v>
      </c>
      <c r="B182" s="40" t="str">
        <f>IFERROR(__xludf.DUMMYFUNCTION("""COMPUTED_VALUE"""),"Casa con dos apartaestudios, un apartamento con local y una habitación independiente en barrio La Toma")</f>
        <v>Casa con dos apartaestudios, un apartamento con local y una habitación independiente en barrio La Toma</v>
      </c>
      <c r="C182" s="40" t="str">
        <f>IFERROR(__xludf.DUMMYFUNCTION("""COMPUTED_VALUE"""),"Casa rentable")</f>
        <v>Casa rentable</v>
      </c>
      <c r="D182" s="40" t="str">
        <f>IFERROR(__xludf.DUMMYFUNCTION("""COMPUTED_VALUE"""),"La Toma")</f>
        <v>La Toma</v>
      </c>
      <c r="E182" s="42" t="str">
        <f>IFERROR(__xludf.DUMMYFUNCTION("""COMPUTED_VALUE""")," ")</f>
        <v> </v>
      </c>
      <c r="F182" s="42">
        <f>IFERROR(__xludf.DUMMYFUNCTION("""COMPUTED_VALUE"""),3.0E8)</f>
        <v>300000000</v>
      </c>
      <c r="G182" s="40" t="str">
        <f>IFERROR(__xludf.DUMMYFUNCTION("""COMPUTED_VALUE"""),"$300'000.000 a $400'000.000")</f>
        <v>$300'000.000 a $400'000.000</v>
      </c>
      <c r="H182" s="40"/>
      <c r="I182" s="40"/>
      <c r="J182" s="40" t="str">
        <f>IFERROR(__xludf.DUMMYFUNCTION("""COMPUTED_VALUE"""),"Centro")</f>
        <v>Centro</v>
      </c>
      <c r="K182" s="39" t="str">
        <f>IFERROR(__xludf.DUMMYFUNCTION("""COMPUTED_VALUE"""),"3")</f>
        <v>3</v>
      </c>
      <c r="L182" s="40">
        <f>IFERROR(__xludf.DUMMYFUNCTION("""COMPUTED_VALUE"""),6.0)</f>
        <v>6</v>
      </c>
      <c r="M182" s="40"/>
      <c r="N182" s="40">
        <f>IFERROR(__xludf.DUMMYFUNCTION("""COMPUTED_VALUE"""),4.0)</f>
        <v>4</v>
      </c>
      <c r="O182" s="40">
        <f>IFERROR(__xludf.DUMMYFUNCTION("""COMPUTED_VALUE"""),1.0)</f>
        <v>1</v>
      </c>
      <c r="P182" s="40">
        <f>IFERROR(__xludf.DUMMYFUNCTION("""COMPUTED_VALUE"""),1.0)</f>
        <v>1</v>
      </c>
      <c r="Q182" s="48">
        <f>IFERROR(__xludf.DUMMYFUNCTION("""COMPUTED_VALUE"""),230.0)</f>
        <v>230</v>
      </c>
      <c r="R182" s="48">
        <f>IFERROR(__xludf.DUMMYFUNCTION("""COMPUTED_VALUE"""),150.0)</f>
        <v>150</v>
      </c>
      <c r="S182" s="39" t="str">
        <f>IFERROR(__xludf.DUMMYFUNCTION("""COMPUTED_VALUE"""),"Rentabilidad $2,400,000")</f>
        <v>Rentabilidad $2,400,000</v>
      </c>
      <c r="T182" s="40" t="str">
        <f>IFERROR(__xludf.DUMMYFUNCTION("""COMPUTED_VALUE"""),"Neiva")</f>
        <v>Neiva</v>
      </c>
      <c r="U182" s="39" t="str">
        <f>IFERROR(__xludf.DUMMYFUNCTION("""COMPUTED_VALUE"""),"3")</f>
        <v>3</v>
      </c>
      <c r="V182" s="40" t="str">
        <f>IFERROR(__xludf.DUMMYFUNCTION("""COMPUTED_VALUE"""),"Medianera")</f>
        <v>Medianera</v>
      </c>
      <c r="W182" s="46"/>
      <c r="X182" s="46">
        <f>IFERROR(__xludf.DUMMYFUNCTION("""COMPUTED_VALUE"""),0.0)</f>
        <v>0</v>
      </c>
      <c r="Y182" s="40" t="str">
        <f>IFERROR(__xludf.DUMMYFUNCTION("""COMPUTED_VALUE"""),"No tiene")</f>
        <v>No tiene</v>
      </c>
      <c r="Z182" s="42" t="str">
        <f>IFERROR(__xludf.DUMMYFUNCTION("""COMPUTED_VALUE"""),"No aplica")</f>
        <v>No aplica</v>
      </c>
      <c r="AA182" s="49" t="str">
        <f>IFERROR(__xludf.DUMMYFUNCTION("""COMPUTED_VALUE"""),"10 años")</f>
        <v>10 años</v>
      </c>
      <c r="AB182" s="48"/>
      <c r="AC182" s="40"/>
      <c r="AD182" s="40"/>
      <c r="AE182" s="40"/>
      <c r="AF182" s="40" t="str">
        <f>IFERROR(__xludf.DUMMYFUNCTION("""COMPUTED_VALUE"""),"semi-integral")</f>
        <v>semi-integral</v>
      </c>
      <c r="AG182" s="40"/>
      <c r="AH182" s="40" t="str">
        <f>IFERROR(__xludf.DUMMYFUNCTION("""COMPUTED_VALUE"""),"Inventario")</f>
        <v>Inventario</v>
      </c>
      <c r="AI182" s="40"/>
      <c r="AJ182" s="40" t="str">
        <f>IFERROR(__xludf.DUMMYFUNCTION("""COMPUTED_VALUE"""),"ICDE")</f>
        <v>ICDE</v>
      </c>
      <c r="AK182" s="40"/>
      <c r="AL182" s="40" t="str">
        <f>IFERROR(__xludf.DUMMYFUNCTION("""COMPUTED_VALUE"""),"NO FOTOS + DESCRIPCION")</f>
        <v>NO FOTOS + DESCRIPCION</v>
      </c>
      <c r="AM182" s="40">
        <f>IFERROR(__xludf.DUMMYFUNCTION("""COMPUTED_VALUE"""),3.167701239E9)</f>
        <v>3167701239</v>
      </c>
      <c r="AN182" s="40">
        <f>IFERROR(__xludf.DUMMYFUNCTION("""COMPUTED_VALUE"""),3.163008395E9)</f>
        <v>3163008395</v>
      </c>
      <c r="AO182" s="40" t="str">
        <f>IFERROR(__xludf.DUMMYFUNCTION("""COMPUTED_VALUE"""),"ROBERTO")</f>
        <v>ROBERTO</v>
      </c>
      <c r="AP182" s="40" t="str">
        <f>IFERROR(__xludf.DUMMYFUNCTION("""COMPUTED_VALUE"""),"CALLE 13 No. 7 A - 40")</f>
        <v>CALLE 13 No. 7 A - 40</v>
      </c>
      <c r="AQ182" s="40"/>
      <c r="AR182" s="40"/>
      <c r="AS182" s="53">
        <f>IFERROR(__xludf.DUMMYFUNCTION("""COMPUTED_VALUE"""),2400000.0)</f>
        <v>2400000</v>
      </c>
      <c r="AT182" s="40">
        <f>IFERROR(__xludf.DUMMYFUNCTION("""COMPUTED_VALUE"""),0.0)</f>
        <v>0</v>
      </c>
      <c r="AU182" s="40">
        <f>IFERROR(__xludf.DUMMYFUNCTION("""COMPUTED_VALUE"""),0.0)</f>
        <v>0</v>
      </c>
      <c r="AV182" s="40">
        <f>IFERROR(__xludf.DUMMYFUNCTION("""COMPUTED_VALUE"""),0.0)</f>
        <v>0</v>
      </c>
      <c r="AW182" s="40" t="str">
        <f>IFERROR(__xludf.DUMMYFUNCTION("""COMPUTED_VALUE"""),"NO")</f>
        <v>NO</v>
      </c>
      <c r="AX182" s="40">
        <f>IFERROR(__xludf.DUMMYFUNCTION("""COMPUTED_VALUE"""),0.0)</f>
        <v>0</v>
      </c>
      <c r="AY182" s="40" t="str">
        <f>IFERROR(__xludf.DUMMYFUNCTION("""COMPUTED_VALUE"""),"P")</f>
        <v>P</v>
      </c>
      <c r="AZ182" s="40">
        <f>IFERROR(__xludf.DUMMYFUNCTION("""COMPUTED_VALUE"""),6.0)</f>
        <v>6</v>
      </c>
      <c r="BA182" s="40" t="str">
        <f>IFERROR(__xludf.DUMMYFUNCTION("""COMPUTED_VALUE"""),"X")</f>
        <v>X</v>
      </c>
      <c r="BB182" s="40">
        <f>IFERROR(__xludf.DUMMYFUNCTION("""COMPUTED_VALUE"""),25.0)</f>
        <v>25</v>
      </c>
      <c r="BC182" s="53"/>
      <c r="BD182" s="48"/>
      <c r="BE182" s="48"/>
      <c r="BF182" s="48"/>
    </row>
    <row r="183">
      <c r="A183" s="39" t="str">
        <f>IFERROR(__xludf.DUMMYFUNCTION("""COMPUTED_VALUE"""),"082")</f>
        <v>082</v>
      </c>
      <c r="B183" s="40" t="str">
        <f>IFERROR(__xludf.DUMMYFUNCTION("""COMPUTED_VALUE"""),"Casa con apartamento en barrio Las Granjas")</f>
        <v>Casa con apartamento en barrio Las Granjas</v>
      </c>
      <c r="C183" s="40" t="str">
        <f>IFERROR(__xludf.DUMMYFUNCTION("""COMPUTED_VALUE"""),"Casa rentable")</f>
        <v>Casa rentable</v>
      </c>
      <c r="D183" s="40" t="str">
        <f>IFERROR(__xludf.DUMMYFUNCTION("""COMPUTED_VALUE"""),"Las Granjas")</f>
        <v>Las Granjas</v>
      </c>
      <c r="E183" s="42" t="str">
        <f>IFERROR(__xludf.DUMMYFUNCTION("""COMPUTED_VALUE""")," ")</f>
        <v> </v>
      </c>
      <c r="F183" s="42">
        <f>IFERROR(__xludf.DUMMYFUNCTION("""COMPUTED_VALUE"""),3.0E8)</f>
        <v>300000000</v>
      </c>
      <c r="G183" s="40" t="str">
        <f>IFERROR(__xludf.DUMMYFUNCTION("""COMPUTED_VALUE"""),"$300'000.000 a $400'000.000")</f>
        <v>$300'000.000 a $400'000.000</v>
      </c>
      <c r="H183" s="40"/>
      <c r="I183" s="40"/>
      <c r="J183" s="40" t="str">
        <f>IFERROR(__xludf.DUMMYFUNCTION("""COMPUTED_VALUE"""),"Norte")</f>
        <v>Norte</v>
      </c>
      <c r="K183" s="39" t="str">
        <f>IFERROR(__xludf.DUMMYFUNCTION("""COMPUTED_VALUE"""),"2")</f>
        <v>2</v>
      </c>
      <c r="L183" s="40">
        <f>IFERROR(__xludf.DUMMYFUNCTION("""COMPUTED_VALUE"""),5.0)</f>
        <v>5</v>
      </c>
      <c r="M183" s="40"/>
      <c r="N183" s="40">
        <f>IFERROR(__xludf.DUMMYFUNCTION("""COMPUTED_VALUE"""),2.0)</f>
        <v>2</v>
      </c>
      <c r="O183" s="40">
        <f>IFERROR(__xludf.DUMMYFUNCTION("""COMPUTED_VALUE"""),1.0)</f>
        <v>1</v>
      </c>
      <c r="P183" s="40">
        <f>IFERROR(__xludf.DUMMYFUNCTION("""COMPUTED_VALUE"""),2.0)</f>
        <v>2</v>
      </c>
      <c r="Q183" s="48">
        <f>IFERROR(__xludf.DUMMYFUNCTION("""COMPUTED_VALUE"""),240.0)</f>
        <v>240</v>
      </c>
      <c r="R183" s="48">
        <f>IFERROR(__xludf.DUMMYFUNCTION("""COMPUTED_VALUE"""),132.0)</f>
        <v>132</v>
      </c>
      <c r="S183" s="39" t="str">
        <f>IFERROR(__xludf.DUMMYFUNCTION("""COMPUTED_VALUE"""),"Rentabilidad $1,200,000")</f>
        <v>Rentabilidad $1,200,000</v>
      </c>
      <c r="T183" s="40" t="str">
        <f>IFERROR(__xludf.DUMMYFUNCTION("""COMPUTED_VALUE"""),"Neiva")</f>
        <v>Neiva</v>
      </c>
      <c r="U183" s="39" t="str">
        <f>IFERROR(__xludf.DUMMYFUNCTION("""COMPUTED_VALUE"""),"2")</f>
        <v>2</v>
      </c>
      <c r="V183" s="40" t="str">
        <f>IFERROR(__xludf.DUMMYFUNCTION("""COMPUTED_VALUE"""),"Medianera")</f>
        <v>Medianera</v>
      </c>
      <c r="W183" s="46"/>
      <c r="X183" s="46">
        <f>IFERROR(__xludf.DUMMYFUNCTION("""COMPUTED_VALUE"""),3.0)</f>
        <v>3</v>
      </c>
      <c r="Y183" s="53" t="str">
        <f>IFERROR(__xludf.DUMMYFUNCTION("""COMPUTED_VALUE"""),"No tiene")</f>
        <v>No tiene</v>
      </c>
      <c r="Z183" s="42" t="str">
        <f>IFERROR(__xludf.DUMMYFUNCTION("""COMPUTED_VALUE"""),"No aplica")</f>
        <v>No aplica</v>
      </c>
      <c r="AA183" s="49" t="str">
        <f>IFERROR(__xludf.DUMMYFUNCTION("""COMPUTED_VALUE"""),"21 años")</f>
        <v>21 años</v>
      </c>
      <c r="AB183" s="48"/>
      <c r="AC183" s="40"/>
      <c r="AD183" s="40"/>
      <c r="AE183" s="40"/>
      <c r="AF183" s="40" t="str">
        <f>IFERROR(__xludf.DUMMYFUNCTION("""COMPUTED_VALUE"""),"semi-integral")</f>
        <v>semi-integral</v>
      </c>
      <c r="AG183" s="40"/>
      <c r="AH183" s="40" t="str">
        <f>IFERROR(__xludf.DUMMYFUNCTION("""COMPUTED_VALUE"""),"Inventario")</f>
        <v>Inventario</v>
      </c>
      <c r="AI183" s="40"/>
      <c r="AJ183" s="40" t="str">
        <f>IFERROR(__xludf.DUMMYFUNCTION("""COMPUTED_VALUE"""),"ICDE")</f>
        <v>ICDE</v>
      </c>
      <c r="AK183" s="40"/>
      <c r="AL183" s="40" t="str">
        <f>IFERROR(__xludf.DUMMYFUNCTION("""COMPUTED_VALUE"""),"NO FOTOS-INTER.")</f>
        <v>NO FOTOS-INTER.</v>
      </c>
      <c r="AM183" s="40">
        <f>IFERROR(__xludf.DUMMYFUNCTION("""COMPUTED_VALUE"""),3.204992324E9)</f>
        <v>3204992324</v>
      </c>
      <c r="AN183" s="40">
        <f>IFERROR(__xludf.DUMMYFUNCTION("""COMPUTED_VALUE"""),0.0)</f>
        <v>0</v>
      </c>
      <c r="AO183" s="40" t="str">
        <f>IFERROR(__xludf.DUMMYFUNCTION("""COMPUTED_VALUE"""),"RAUL HERNENDEZ")</f>
        <v>RAUL HERNENDEZ</v>
      </c>
      <c r="AP183" s="40" t="str">
        <f>IFERROR(__xludf.DUMMYFUNCTION("""COMPUTED_VALUE"""),"CALLE  42 No. 6A - 70")</f>
        <v>CALLE  42 No. 6A - 70</v>
      </c>
      <c r="AQ183" s="40"/>
      <c r="AR183" s="40"/>
      <c r="AS183" s="53">
        <f>IFERROR(__xludf.DUMMYFUNCTION("""COMPUTED_VALUE"""),1200000.0)</f>
        <v>1200000</v>
      </c>
      <c r="AT183" s="40">
        <f>IFERROR(__xludf.DUMMYFUNCTION("""COMPUTED_VALUE"""),0.0)</f>
        <v>0</v>
      </c>
      <c r="AU183" s="40">
        <f>IFERROR(__xludf.DUMMYFUNCTION("""COMPUTED_VALUE"""),0.0)</f>
        <v>0</v>
      </c>
      <c r="AV183" s="40">
        <f>IFERROR(__xludf.DUMMYFUNCTION("""COMPUTED_VALUE"""),0.0)</f>
        <v>0</v>
      </c>
      <c r="AW183" s="40" t="str">
        <f>IFERROR(__xludf.DUMMYFUNCTION("""COMPUTED_VALUE"""),"NO")</f>
        <v>NO</v>
      </c>
      <c r="AX183" s="40">
        <f>IFERROR(__xludf.DUMMYFUNCTION("""COMPUTED_VALUE"""),0.0)</f>
        <v>0</v>
      </c>
      <c r="AY183" s="40">
        <f>IFERROR(__xludf.DUMMYFUNCTION("""COMPUTED_VALUE"""),0.0)</f>
        <v>0</v>
      </c>
      <c r="AZ183" s="40">
        <f>IFERROR(__xludf.DUMMYFUNCTION("""COMPUTED_VALUE"""),6.0)</f>
        <v>6</v>
      </c>
      <c r="BA183" s="40" t="str">
        <f>IFERROR(__xludf.DUMMYFUNCTION("""COMPUTED_VALUE"""),"X")</f>
        <v>X</v>
      </c>
      <c r="BB183" s="40">
        <f>IFERROR(__xludf.DUMMYFUNCTION("""COMPUTED_VALUE"""),22.0)</f>
        <v>22</v>
      </c>
      <c r="BC183" s="53" t="str">
        <f>IFERROR(__xludf.DUMMYFUNCTION("""COMPUTED_VALUE"""),"15 - JOSE LOZANO")</f>
        <v>15 - JOSE LOZANO</v>
      </c>
      <c r="BD183" s="48"/>
      <c r="BE183" s="48"/>
      <c r="BF183" s="48"/>
    </row>
    <row r="184">
      <c r="A184" s="39" t="str">
        <f>IFERROR(__xludf.DUMMYFUNCTION("""COMPUTED_VALUE"""),"011")</f>
        <v>011</v>
      </c>
      <c r="B184" s="40" t="str">
        <f>IFERROR(__xludf.DUMMYFUNCTION("""COMPUTED_VALUE"""),"Casa con apartamento en barrio Las Granjas")</f>
        <v>Casa con apartamento en barrio Las Granjas</v>
      </c>
      <c r="C184" s="40" t="str">
        <f>IFERROR(__xludf.DUMMYFUNCTION("""COMPUTED_VALUE"""),"Casa rentable")</f>
        <v>Casa rentable</v>
      </c>
      <c r="D184" s="40" t="str">
        <f>IFERROR(__xludf.DUMMYFUNCTION("""COMPUTED_VALUE"""),"Las Granjas")</f>
        <v>Las Granjas</v>
      </c>
      <c r="E184" s="40" t="str">
        <f>IFERROR(__xludf.DUMMYFUNCTION("""COMPUTED_VALUE""")," ")</f>
        <v> </v>
      </c>
      <c r="F184" s="42">
        <f>IFERROR(__xludf.DUMMYFUNCTION("""COMPUTED_VALUE"""),3.0E8)</f>
        <v>300000000</v>
      </c>
      <c r="G184" s="40" t="str">
        <f>IFERROR(__xludf.DUMMYFUNCTION("""COMPUTED_VALUE"""),"$300'000.000 a $400'000.000")</f>
        <v>$300'000.000 a $400'000.000</v>
      </c>
      <c r="H184" s="40"/>
      <c r="I184" s="40"/>
      <c r="J184" s="40" t="str">
        <f>IFERROR(__xludf.DUMMYFUNCTION("""COMPUTED_VALUE"""),"Norte")</f>
        <v>Norte</v>
      </c>
      <c r="K184" s="39" t="str">
        <f>IFERROR(__xludf.DUMMYFUNCTION("""COMPUTED_VALUE"""),"2")</f>
        <v>2</v>
      </c>
      <c r="L184" s="40">
        <f>IFERROR(__xludf.DUMMYFUNCTION("""COMPUTED_VALUE"""),6.0)</f>
        <v>6</v>
      </c>
      <c r="M184" s="40"/>
      <c r="N184" s="40">
        <f>IFERROR(__xludf.DUMMYFUNCTION("""COMPUTED_VALUE"""),2.0)</f>
        <v>2</v>
      </c>
      <c r="O184" s="40">
        <f>IFERROR(__xludf.DUMMYFUNCTION("""COMPUTED_VALUE"""),1.0)</f>
        <v>1</v>
      </c>
      <c r="P184" s="40">
        <f>IFERROR(__xludf.DUMMYFUNCTION("""COMPUTED_VALUE"""),1.0)</f>
        <v>1</v>
      </c>
      <c r="Q184" s="48" t="str">
        <f>IFERROR(__xludf.DUMMYFUNCTION("""COMPUTED_VALUE"""),"278.4")</f>
        <v>278.4</v>
      </c>
      <c r="R184" s="48">
        <f>IFERROR(__xludf.DUMMYFUNCTION("""COMPUTED_VALUE"""),278.4)</f>
        <v>278.4</v>
      </c>
      <c r="S184" s="39" t="str">
        <f>IFERROR(__xludf.DUMMYFUNCTION("""COMPUTED_VALUE"""),"Rentabilidad $1,000,000")</f>
        <v>Rentabilidad $1,000,000</v>
      </c>
      <c r="T184" s="40" t="str">
        <f>IFERROR(__xludf.DUMMYFUNCTION("""COMPUTED_VALUE"""),"Neiva")</f>
        <v>Neiva</v>
      </c>
      <c r="U184" s="39" t="str">
        <f>IFERROR(__xludf.DUMMYFUNCTION("""COMPUTED_VALUE"""),"2")</f>
        <v>2</v>
      </c>
      <c r="V184" s="40" t="str">
        <f>IFERROR(__xludf.DUMMYFUNCTION("""COMPUTED_VALUE"""),"Medianera")</f>
        <v>Medianera</v>
      </c>
      <c r="W184" s="46"/>
      <c r="X184" s="46">
        <f>IFERROR(__xludf.DUMMYFUNCTION("""COMPUTED_VALUE"""),0.0)</f>
        <v>0</v>
      </c>
      <c r="Y184" s="53" t="str">
        <f>IFERROR(__xludf.DUMMYFUNCTION("""COMPUTED_VALUE"""),"No tiene")</f>
        <v>No tiene</v>
      </c>
      <c r="Z184" s="42" t="str">
        <f>IFERROR(__xludf.DUMMYFUNCTION("""COMPUTED_VALUE"""),"No aplica")</f>
        <v>No aplica</v>
      </c>
      <c r="AA184" s="49" t="str">
        <f>IFERROR(__xludf.DUMMYFUNCTION("""COMPUTED_VALUE"""),"25 años")</f>
        <v>25 años</v>
      </c>
      <c r="AB184" s="48"/>
      <c r="AC184" s="40"/>
      <c r="AD184" s="40"/>
      <c r="AE184" s="40"/>
      <c r="AF184" s="40" t="str">
        <f>IFERROR(__xludf.DUMMYFUNCTION("""COMPUTED_VALUE"""),"semi-integral")</f>
        <v>semi-integral</v>
      </c>
      <c r="AG184" s="40"/>
      <c r="AH184" s="40" t="str">
        <f>IFERROR(__xludf.DUMMYFUNCTION("""COMPUTED_VALUE"""),"Inventario")</f>
        <v>Inventario</v>
      </c>
      <c r="AI184" s="40"/>
      <c r="AJ184" s="40" t="str">
        <f>IFERROR(__xludf.DUMMYFUNCTION("""COMPUTED_VALUE"""),"ICDE")</f>
        <v>ICDE</v>
      </c>
      <c r="AK184" s="40"/>
      <c r="AL184" s="40" t="str">
        <f>IFERROR(__xludf.DUMMYFUNCTION("""COMPUTED_VALUE"""),"TIENE FOTOS")</f>
        <v>TIENE FOTOS</v>
      </c>
      <c r="AM184" s="40">
        <f>IFERROR(__xludf.DUMMYFUNCTION("""COMPUTED_VALUE"""),3.134988256E9)</f>
        <v>3134988256</v>
      </c>
      <c r="AN184" s="40">
        <f>IFERROR(__xludf.DUMMYFUNCTION("""COMPUTED_VALUE"""),0.0)</f>
        <v>0</v>
      </c>
      <c r="AO184" s="40" t="str">
        <f>IFERROR(__xludf.DUMMYFUNCTION("""COMPUTED_VALUE"""),"LORENZO LOZADA-YOLANDA")</f>
        <v>LORENZO LOZADA-YOLANDA</v>
      </c>
      <c r="AP184" s="40" t="str">
        <f>IFERROR(__xludf.DUMMYFUNCTION("""COMPUTED_VALUE"""),"Calle 40 No. 7A - 06")</f>
        <v>Calle 40 No. 7A - 06</v>
      </c>
      <c r="AQ184" s="40"/>
      <c r="AR184" s="40"/>
      <c r="AS184" s="53">
        <f>IFERROR(__xludf.DUMMYFUNCTION("""COMPUTED_VALUE"""),1000000.0)</f>
        <v>1000000</v>
      </c>
      <c r="AT184" s="40">
        <f>IFERROR(__xludf.DUMMYFUNCTION("""COMPUTED_VALUE"""),0.0)</f>
        <v>0</v>
      </c>
      <c r="AU184" s="40">
        <f>IFERROR(__xludf.DUMMYFUNCTION("""COMPUTED_VALUE"""),0.0)</f>
        <v>0</v>
      </c>
      <c r="AV184" s="40">
        <f>IFERROR(__xludf.DUMMYFUNCTION("""COMPUTED_VALUE"""),0.0)</f>
        <v>0</v>
      </c>
      <c r="AW184" s="40" t="str">
        <f>IFERROR(__xludf.DUMMYFUNCTION("""COMPUTED_VALUE"""),"NO")</f>
        <v>NO</v>
      </c>
      <c r="AX184" s="40">
        <f>IFERROR(__xludf.DUMMYFUNCTION("""COMPUTED_VALUE"""),0.0)</f>
        <v>0</v>
      </c>
      <c r="AY184" s="40">
        <f>IFERROR(__xludf.DUMMYFUNCTION("""COMPUTED_VALUE"""),0.0)</f>
        <v>0</v>
      </c>
      <c r="AZ184" s="40">
        <f>IFERROR(__xludf.DUMMYFUNCTION("""COMPUTED_VALUE"""),9.6)</f>
        <v>9.6</v>
      </c>
      <c r="BA184" s="40" t="str">
        <f>IFERROR(__xludf.DUMMYFUNCTION("""COMPUTED_VALUE"""),"X")</f>
        <v>X</v>
      </c>
      <c r="BB184" s="40">
        <f>IFERROR(__xludf.DUMMYFUNCTION("""COMPUTED_VALUE"""),29.0)</f>
        <v>29</v>
      </c>
      <c r="BC184" s="53" t="str">
        <f>IFERROR(__xludf.DUMMYFUNCTION("""COMPUTED_VALUE"""),"12 - LEIDY YULIETH")</f>
        <v>12 - LEIDY YULIETH</v>
      </c>
      <c r="BD184" s="48"/>
      <c r="BE184" s="48"/>
      <c r="BF184" s="48"/>
    </row>
    <row r="185">
      <c r="A185" s="39" t="str">
        <f>IFERROR(__xludf.DUMMYFUNCTION("""COMPUTED_VALUE"""),"573")</f>
        <v>573</v>
      </c>
      <c r="B185" s="40" t="str">
        <f>IFERROR(__xludf.DUMMYFUNCTION("""COMPUTED_VALUE"""),"Casa en barrio Las Granjas")</f>
        <v>Casa en barrio Las Granjas</v>
      </c>
      <c r="C185" s="40" t="str">
        <f>IFERROR(__xludf.DUMMYFUNCTION("""COMPUTED_VALUE"""),"Casa")</f>
        <v>Casa</v>
      </c>
      <c r="D185" s="40" t="str">
        <f>IFERROR(__xludf.DUMMYFUNCTION("""COMPUTED_VALUE"""),"Las Granjas")</f>
        <v>Las Granjas</v>
      </c>
      <c r="E185" s="40"/>
      <c r="F185" s="42">
        <f>IFERROR(__xludf.DUMMYFUNCTION("""COMPUTED_VALUE"""),2.9E8)</f>
        <v>290000000</v>
      </c>
      <c r="G185" s="40" t="str">
        <f>IFERROR(__xludf.DUMMYFUNCTION("""COMPUTED_VALUE"""),"$200'000.000 a $300'000.000")</f>
        <v>$200'000.000 a $300'000.000</v>
      </c>
      <c r="H185" s="40"/>
      <c r="I185" s="40"/>
      <c r="J185" s="40" t="str">
        <f>IFERROR(__xludf.DUMMYFUNCTION("""COMPUTED_VALUE"""),"Norte")</f>
        <v>Norte</v>
      </c>
      <c r="K185" s="39" t="str">
        <f>IFERROR(__xludf.DUMMYFUNCTION("""COMPUTED_VALUE"""),"2")</f>
        <v>2</v>
      </c>
      <c r="L185" s="40">
        <f>IFERROR(__xludf.DUMMYFUNCTION("""COMPUTED_VALUE"""),4.0)</f>
        <v>4</v>
      </c>
      <c r="M185" s="40"/>
      <c r="N185" s="40">
        <f>IFERROR(__xludf.DUMMYFUNCTION("""COMPUTED_VALUE"""),2.0)</f>
        <v>2</v>
      </c>
      <c r="O185" s="40">
        <f>IFERROR(__xludf.DUMMYFUNCTION("""COMPUTED_VALUE"""),2.0)</f>
        <v>2</v>
      </c>
      <c r="P185" s="40">
        <f>IFERROR(__xludf.DUMMYFUNCTION("""COMPUTED_VALUE"""),1.0)</f>
        <v>1</v>
      </c>
      <c r="Q185" s="48">
        <f>IFERROR(__xludf.DUMMYFUNCTION("""COMPUTED_VALUE"""),180.0)</f>
        <v>180</v>
      </c>
      <c r="R185" s="48">
        <f>IFERROR(__xludf.DUMMYFUNCTION("""COMPUTED_VALUE"""),180.0)</f>
        <v>180</v>
      </c>
      <c r="S185" s="39" t="str">
        <f>IFERROR(__xludf.DUMMYFUNCTION("""COMPUTED_VALUE""")," ")</f>
        <v> </v>
      </c>
      <c r="T185" s="40" t="str">
        <f>IFERROR(__xludf.DUMMYFUNCTION("""COMPUTED_VALUE"""),"Neiva")</f>
        <v>Neiva</v>
      </c>
      <c r="U185" s="39" t="str">
        <f>IFERROR(__xludf.DUMMYFUNCTION("""COMPUTED_VALUE"""),"2")</f>
        <v>2</v>
      </c>
      <c r="V185" s="40" t="str">
        <f>IFERROR(__xludf.DUMMYFUNCTION("""COMPUTED_VALUE"""),"Medianera")</f>
        <v>Medianera</v>
      </c>
      <c r="W185" s="46"/>
      <c r="X185" s="46">
        <f>IFERROR(__xludf.DUMMYFUNCTION("""COMPUTED_VALUE"""),0.0)</f>
        <v>0</v>
      </c>
      <c r="Y185" s="40" t="str">
        <f>IFERROR(__xludf.DUMMYFUNCTION("""COMPUTED_VALUE"""),"No tiene")</f>
        <v>No tiene</v>
      </c>
      <c r="Z185" s="42" t="str">
        <f>IFERROR(__xludf.DUMMYFUNCTION("""COMPUTED_VALUE"""),"No aplica")</f>
        <v>No aplica</v>
      </c>
      <c r="AA185" s="49" t="str">
        <f>IFERROR(__xludf.DUMMYFUNCTION("""COMPUTED_VALUE"""),"No aplica")</f>
        <v>No aplica</v>
      </c>
      <c r="AB185" s="40"/>
      <c r="AC185" s="40"/>
      <c r="AD185" s="40"/>
      <c r="AE185" s="40"/>
      <c r="AF185" s="40" t="str">
        <f>IFERROR(__xludf.DUMMYFUNCTION("""COMPUTED_VALUE"""),"integral")</f>
        <v>integral</v>
      </c>
      <c r="AG185" s="40"/>
      <c r="AH185" s="40" t="str">
        <f>IFERROR(__xludf.DUMMYFUNCTION("""COMPUTED_VALUE"""),"Inventario")</f>
        <v>Inventario</v>
      </c>
      <c r="AI185" s="40"/>
      <c r="AJ185" s="40" t="str">
        <f>IFERROR(__xludf.DUMMYFUNCTION("""COMPUTED_VALUE"""),"ICDE")</f>
        <v>ICDE</v>
      </c>
      <c r="AK185" s="40"/>
      <c r="AL185" s="40" t="str">
        <f>IFERROR(__xludf.DUMMYFUNCTION("""COMPUTED_VALUE"""),"NO TIENE FOTOS")</f>
        <v>NO TIENE FOTOS</v>
      </c>
      <c r="AM185" s="40">
        <f>IFERROR(__xludf.DUMMYFUNCTION("""COMPUTED_VALUE"""),3.219899922E9)</f>
        <v>3219899922</v>
      </c>
      <c r="AN185" s="40"/>
      <c r="AO185" s="40"/>
      <c r="AP185" s="40" t="str">
        <f>IFERROR(__xludf.DUMMYFUNCTION("""COMPUTED_VALUE"""),"CARRERA 6A No. 40 - 35")</f>
        <v>CARRERA 6A No. 40 - 35</v>
      </c>
      <c r="AQ185" s="40"/>
      <c r="AR185" s="40"/>
      <c r="AS185" s="53">
        <f>IFERROR(__xludf.DUMMYFUNCTION("""COMPUTED_VALUE"""),0.0)</f>
        <v>0</v>
      </c>
      <c r="AT185" s="40">
        <f>IFERROR(__xludf.DUMMYFUNCTION("""COMPUTED_VALUE"""),0.0)</f>
        <v>0</v>
      </c>
      <c r="AU185" s="40">
        <f>IFERROR(__xludf.DUMMYFUNCTION("""COMPUTED_VALUE"""),0.0)</f>
        <v>0</v>
      </c>
      <c r="AV185" s="40">
        <f>IFERROR(__xludf.DUMMYFUNCTION("""COMPUTED_VALUE"""),2.0)</f>
        <v>2</v>
      </c>
      <c r="AW185" s="40" t="str">
        <f>IFERROR(__xludf.DUMMYFUNCTION("""COMPUTED_VALUE"""),"SI")</f>
        <v>SI</v>
      </c>
      <c r="AX185" s="40">
        <f>IFERROR(__xludf.DUMMYFUNCTION("""COMPUTED_VALUE"""),0.0)</f>
        <v>0</v>
      </c>
      <c r="AY185" s="40" t="str">
        <f>IFERROR(__xludf.DUMMYFUNCTION("""COMPUTED_VALUE"""),"P")</f>
        <v>P</v>
      </c>
      <c r="AZ185" s="40">
        <f>IFERROR(__xludf.DUMMYFUNCTION("""COMPUTED_VALUE"""),9.0)</f>
        <v>9</v>
      </c>
      <c r="BA185" s="40" t="str">
        <f>IFERROR(__xludf.DUMMYFUNCTION("""COMPUTED_VALUE"""),"X")</f>
        <v>X</v>
      </c>
      <c r="BB185" s="40">
        <f>IFERROR(__xludf.DUMMYFUNCTION("""COMPUTED_VALUE"""),20.0)</f>
        <v>20</v>
      </c>
      <c r="BC185" s="53" t="str">
        <f>IFERROR(__xludf.DUMMYFUNCTION("""COMPUTED_VALUE"""),"12 - LEIDY YULIETH, 25 - LAURA DANIELA ALVAREZ, 2 - JAIRO DIAZ, 15 - SINDY MARCELA")</f>
        <v>12 - LEIDY YULIETH, 25 - LAURA DANIELA ALVAREZ, 2 - JAIRO DIAZ, 15 - SINDY MARCELA</v>
      </c>
      <c r="BD185" s="48"/>
      <c r="BE185" s="48"/>
      <c r="BF185" s="48"/>
    </row>
    <row r="186">
      <c r="A186" s="39" t="str">
        <f>IFERROR(__xludf.DUMMYFUNCTION("""COMPUTED_VALUE"""),"568")</f>
        <v>568</v>
      </c>
      <c r="B186" s="40" t="str">
        <f>IFERROR(__xludf.DUMMYFUNCTION("""COMPUTED_VALUE"""),"Casa en barrio Los Molinos")</f>
        <v>Casa en barrio Los Molinos</v>
      </c>
      <c r="C186" s="40" t="str">
        <f>IFERROR(__xludf.DUMMYFUNCTION("""COMPUTED_VALUE"""),"Casa")</f>
        <v>Casa</v>
      </c>
      <c r="D186" s="40" t="str">
        <f>IFERROR(__xludf.DUMMYFUNCTION("""COMPUTED_VALUE"""),"Los Molinos")</f>
        <v>Los Molinos</v>
      </c>
      <c r="E186" s="40"/>
      <c r="F186" s="42">
        <f>IFERROR(__xludf.DUMMYFUNCTION("""COMPUTED_VALUE"""),2.9E8)</f>
        <v>290000000</v>
      </c>
      <c r="G186" s="40" t="str">
        <f>IFERROR(__xludf.DUMMYFUNCTION("""COMPUTED_VALUE"""),"$200'000.000 a $300'000.000")</f>
        <v>$200'000.000 a $300'000.000</v>
      </c>
      <c r="H186" s="40"/>
      <c r="I186" s="40"/>
      <c r="J186" s="40" t="str">
        <f>IFERROR(__xludf.DUMMYFUNCTION("""COMPUTED_VALUE"""),"Norte")</f>
        <v>Norte</v>
      </c>
      <c r="K186" s="39" t="str">
        <f>IFERROR(__xludf.DUMMYFUNCTION("""COMPUTED_VALUE"""),"2")</f>
        <v>2</v>
      </c>
      <c r="L186" s="40">
        <f>IFERROR(__xludf.DUMMYFUNCTION("""COMPUTED_VALUE"""),4.0)</f>
        <v>4</v>
      </c>
      <c r="M186" s="40"/>
      <c r="N186" s="40">
        <f>IFERROR(__xludf.DUMMYFUNCTION("""COMPUTED_VALUE"""),3.0)</f>
        <v>3</v>
      </c>
      <c r="O186" s="40">
        <f>IFERROR(__xludf.DUMMYFUNCTION("""COMPUTED_VALUE"""),1.0)</f>
        <v>1</v>
      </c>
      <c r="P186" s="40">
        <f>IFERROR(__xludf.DUMMYFUNCTION("""COMPUTED_VALUE"""),2.0)</f>
        <v>2</v>
      </c>
      <c r="Q186" s="48">
        <f>IFERROR(__xludf.DUMMYFUNCTION("""COMPUTED_VALUE"""),150.0)</f>
        <v>150</v>
      </c>
      <c r="R186" s="48">
        <f>IFERROR(__xludf.DUMMYFUNCTION("""COMPUTED_VALUE"""),0.0)</f>
        <v>0</v>
      </c>
      <c r="S186" s="39" t="str">
        <f>IFERROR(__xludf.DUMMYFUNCTION("""COMPUTED_VALUE""")," ")</f>
        <v> </v>
      </c>
      <c r="T186" s="40" t="str">
        <f>IFERROR(__xludf.DUMMYFUNCTION("""COMPUTED_VALUE"""),"Neiva")</f>
        <v>Neiva</v>
      </c>
      <c r="U186" s="39" t="str">
        <f>IFERROR(__xludf.DUMMYFUNCTION("""COMPUTED_VALUE"""),"3")</f>
        <v>3</v>
      </c>
      <c r="V186" s="40" t="str">
        <f>IFERROR(__xludf.DUMMYFUNCTION("""COMPUTED_VALUE"""),"Medianera")</f>
        <v>Medianera</v>
      </c>
      <c r="W186" s="46"/>
      <c r="X186" s="46">
        <f>IFERROR(__xludf.DUMMYFUNCTION("""COMPUTED_VALUE"""),4.0)</f>
        <v>4</v>
      </c>
      <c r="Y186" s="40" t="str">
        <f>IFERROR(__xludf.DUMMYFUNCTION("""COMPUTED_VALUE"""),"No tiene")</f>
        <v>No tiene</v>
      </c>
      <c r="Z186" s="42" t="str">
        <f>IFERROR(__xludf.DUMMYFUNCTION("""COMPUTED_VALUE"""),"No aplica")</f>
        <v>No aplica</v>
      </c>
      <c r="AA186" s="49" t="str">
        <f>IFERROR(__xludf.DUMMYFUNCTION("""COMPUTED_VALUE"""),"No aplica")</f>
        <v>No aplica</v>
      </c>
      <c r="AB186" s="40"/>
      <c r="AC186" s="40"/>
      <c r="AD186" s="40"/>
      <c r="AE186" s="40"/>
      <c r="AF186" s="40" t="str">
        <f>IFERROR(__xludf.DUMMYFUNCTION("""COMPUTED_VALUE"""),"semi-integral")</f>
        <v>semi-integral</v>
      </c>
      <c r="AG186" s="40"/>
      <c r="AH186" s="40" t="str">
        <f>IFERROR(__xludf.DUMMYFUNCTION("""COMPUTED_VALUE"""),"Inventario")</f>
        <v>Inventario</v>
      </c>
      <c r="AI186" s="40"/>
      <c r="AJ186" s="40" t="str">
        <f>IFERROR(__xludf.DUMMYFUNCTION("""COMPUTED_VALUE"""),"ICDE")</f>
        <v>ICDE</v>
      </c>
      <c r="AK186" s="40"/>
      <c r="AL186" s="40" t="str">
        <f>IFERROR(__xludf.DUMMYFUNCTION("""COMPUTED_VALUE"""),"NO FOTOS + DESCRIPCION")</f>
        <v>NO FOTOS + DESCRIPCION</v>
      </c>
      <c r="AM186" s="40">
        <f>IFERROR(__xludf.DUMMYFUNCTION("""COMPUTED_VALUE"""),3.214417246E9)</f>
        <v>3214417246</v>
      </c>
      <c r="AN186" s="40"/>
      <c r="AO186" s="40" t="str">
        <f>IFERROR(__xludf.DUMMYFUNCTION("""COMPUTED_VALUE"""),"VIANI")</f>
        <v>VIANI</v>
      </c>
      <c r="AP186" s="40" t="str">
        <f>IFERROR(__xludf.DUMMYFUNCTION("""COMPUTED_VALUE"""),"CALLE 37 No. 8F - 61")</f>
        <v>CALLE 37 No. 8F - 61</v>
      </c>
      <c r="AQ186" s="40"/>
      <c r="AR186" s="40"/>
      <c r="AS186" s="53">
        <f>IFERROR(__xludf.DUMMYFUNCTION("""COMPUTED_VALUE"""),0.0)</f>
        <v>0</v>
      </c>
      <c r="AT186" s="40">
        <f>IFERROR(__xludf.DUMMYFUNCTION("""COMPUTED_VALUE"""),0.0)</f>
        <v>0</v>
      </c>
      <c r="AU186" s="40" t="str">
        <f>IFERROR(__xludf.DUMMYFUNCTION("""COMPUTED_VALUE"""),"SI")</f>
        <v>SI</v>
      </c>
      <c r="AV186" s="40" t="str">
        <f>IFERROR(__xludf.DUMMYFUNCTION("""COMPUTED_VALUE"""),"SI")</f>
        <v>SI</v>
      </c>
      <c r="AW186" s="40" t="str">
        <f>IFERROR(__xludf.DUMMYFUNCTION("""COMPUTED_VALUE"""),"SI")</f>
        <v>SI</v>
      </c>
      <c r="AX186" s="40">
        <f>IFERROR(__xludf.DUMMYFUNCTION("""COMPUTED_VALUE"""),0.0)</f>
        <v>0</v>
      </c>
      <c r="AY186" s="40" t="str">
        <f>IFERROR(__xludf.DUMMYFUNCTION("""COMPUTED_VALUE"""),"P")</f>
        <v>P</v>
      </c>
      <c r="AZ186" s="40">
        <f>IFERROR(__xludf.DUMMYFUNCTION("""COMPUTED_VALUE"""),0.0)</f>
        <v>0</v>
      </c>
      <c r="BA186" s="40" t="str">
        <f>IFERROR(__xludf.DUMMYFUNCTION("""COMPUTED_VALUE"""),"X")</f>
        <v>X</v>
      </c>
      <c r="BB186" s="40">
        <f>IFERROR(__xludf.DUMMYFUNCTION("""COMPUTED_VALUE"""),0.0)</f>
        <v>0</v>
      </c>
      <c r="BC186" s="53" t="str">
        <f>IFERROR(__xludf.DUMMYFUNCTION("""COMPUTED_VALUE"""),"24 - FERNEY PIÑEROS Y LEIDY, 26 - NINI CASTAÑO, 40 - ALEJANDRO ROJAS MARIN, 15 - JOSE LOZANO")</f>
        <v>24 - FERNEY PIÑEROS Y LEIDY, 26 - NINI CASTAÑO, 40 - ALEJANDRO ROJAS MARIN, 15 - JOSE LOZANO</v>
      </c>
      <c r="BD186" s="48"/>
      <c r="BE186" s="48"/>
      <c r="BF186" s="48"/>
    </row>
    <row r="187">
      <c r="A187" s="39" t="str">
        <f>IFERROR(__xludf.DUMMYFUNCTION("""COMPUTED_VALUE"""),"424")</f>
        <v>424</v>
      </c>
      <c r="B187" s="40" t="str">
        <f>IFERROR(__xludf.DUMMYFUNCTION("""COMPUTED_VALUE"""),"Casa en barrio Los Cámbulos II")</f>
        <v>Casa en barrio Los Cámbulos II</v>
      </c>
      <c r="C187" s="40" t="str">
        <f>IFERROR(__xludf.DUMMYFUNCTION("""COMPUTED_VALUE"""),"Casa")</f>
        <v>Casa</v>
      </c>
      <c r="D187" s="40" t="str">
        <f>IFERROR(__xludf.DUMMYFUNCTION("""COMPUTED_VALUE"""),"Los Cámbulos II")</f>
        <v>Los Cámbulos II</v>
      </c>
      <c r="E187" s="40"/>
      <c r="F187" s="42">
        <f>IFERROR(__xludf.DUMMYFUNCTION("""COMPUTED_VALUE"""),2.9E8)</f>
        <v>290000000</v>
      </c>
      <c r="G187" s="40" t="str">
        <f>IFERROR(__xludf.DUMMYFUNCTION("""COMPUTED_VALUE"""),"$200'000.000 a $300'000.000")</f>
        <v>$200'000.000 a $300'000.000</v>
      </c>
      <c r="H187" s="40"/>
      <c r="I187" s="40"/>
      <c r="J187" s="40" t="str">
        <f>IFERROR(__xludf.DUMMYFUNCTION("""COMPUTED_VALUE"""),"Norte")</f>
        <v>Norte</v>
      </c>
      <c r="K187" s="39" t="str">
        <f>IFERROR(__xludf.DUMMYFUNCTION("""COMPUTED_VALUE"""),"2")</f>
        <v>2</v>
      </c>
      <c r="L187" s="40">
        <f>IFERROR(__xludf.DUMMYFUNCTION("""COMPUTED_VALUE"""),4.0)</f>
        <v>4</v>
      </c>
      <c r="M187" s="40"/>
      <c r="N187" s="40">
        <f>IFERROR(__xludf.DUMMYFUNCTION("""COMPUTED_VALUE"""),3.0)</f>
        <v>3</v>
      </c>
      <c r="O187" s="40">
        <f>IFERROR(__xludf.DUMMYFUNCTION("""COMPUTED_VALUE"""),1.0)</f>
        <v>1</v>
      </c>
      <c r="P187" s="40">
        <f>IFERROR(__xludf.DUMMYFUNCTION("""COMPUTED_VALUE"""),2.0)</f>
        <v>2</v>
      </c>
      <c r="Q187" s="48">
        <f>IFERROR(__xludf.DUMMYFUNCTION("""COMPUTED_VALUE"""),141.0)</f>
        <v>141</v>
      </c>
      <c r="R187" s="48">
        <f>IFERROR(__xludf.DUMMYFUNCTION("""COMPUTED_VALUE"""),84.0)</f>
        <v>84</v>
      </c>
      <c r="S187" s="39" t="str">
        <f>IFERROR(__xludf.DUMMYFUNCTION("""COMPUTED_VALUE""")," ")</f>
        <v> </v>
      </c>
      <c r="T187" s="40" t="str">
        <f>IFERROR(__xludf.DUMMYFUNCTION("""COMPUTED_VALUE"""),"Neiva")</f>
        <v>Neiva</v>
      </c>
      <c r="U187" s="39" t="str">
        <f>IFERROR(__xludf.DUMMYFUNCTION("""COMPUTED_VALUE"""),"3")</f>
        <v>3</v>
      </c>
      <c r="V187" s="40" t="str">
        <f>IFERROR(__xludf.DUMMYFUNCTION("""COMPUTED_VALUE"""),"Medianera")</f>
        <v>Medianera</v>
      </c>
      <c r="W187" s="46"/>
      <c r="X187" s="46">
        <f>IFERROR(__xludf.DUMMYFUNCTION("""COMPUTED_VALUE"""),4.0)</f>
        <v>4</v>
      </c>
      <c r="Y187" s="40" t="str">
        <f>IFERROR(__xludf.DUMMYFUNCTION("""COMPUTED_VALUE"""),"No tiene")</f>
        <v>No tiene</v>
      </c>
      <c r="Z187" s="42" t="str">
        <f>IFERROR(__xludf.DUMMYFUNCTION("""COMPUTED_VALUE"""),"No aplica")</f>
        <v>No aplica</v>
      </c>
      <c r="AA187" s="49" t="str">
        <f>IFERROR(__xludf.DUMMYFUNCTION("""COMPUTED_VALUE"""),"No aplica")</f>
        <v>No aplica</v>
      </c>
      <c r="AB187" s="48"/>
      <c r="AC187" s="40"/>
      <c r="AD187" s="40"/>
      <c r="AE187" s="40"/>
      <c r="AF187" s="40" t="str">
        <f>IFERROR(__xludf.DUMMYFUNCTION("""COMPUTED_VALUE"""),"semi-integral")</f>
        <v>semi-integral</v>
      </c>
      <c r="AG187" s="40"/>
      <c r="AH187" s="40" t="str">
        <f>IFERROR(__xludf.DUMMYFUNCTION("""COMPUTED_VALUE"""),"Inventario")</f>
        <v>Inventario</v>
      </c>
      <c r="AI187" s="40"/>
      <c r="AJ187" s="40" t="str">
        <f>IFERROR(__xludf.DUMMYFUNCTION("""COMPUTED_VALUE"""),"ICDE")</f>
        <v>ICDE</v>
      </c>
      <c r="AK187" s="40"/>
      <c r="AL187" s="40" t="str">
        <f>IFERROR(__xludf.DUMMYFUNCTION("""COMPUTED_VALUE"""),"NO FOTOS-INTE-DESCRIP.")</f>
        <v>NO FOTOS-INTE-DESCRIP.</v>
      </c>
      <c r="AM187" s="40">
        <f>IFERROR(__xludf.DUMMYFUNCTION("""COMPUTED_VALUE"""),3.124590815E9)</f>
        <v>3124590815</v>
      </c>
      <c r="AN187" s="40"/>
      <c r="AO187" s="40" t="str">
        <f>IFERROR(__xludf.DUMMYFUNCTION("""COMPUTED_VALUE"""),"ANDRES CHARRY")</f>
        <v>ANDRES CHARRY</v>
      </c>
      <c r="AP187" s="40" t="str">
        <f>IFERROR(__xludf.DUMMYFUNCTION("""COMPUTED_VALUE"""),"CARRERA 8G No. 27-36")</f>
        <v>CARRERA 8G No. 27-36</v>
      </c>
      <c r="AQ187" s="40"/>
      <c r="AR187" s="40"/>
      <c r="AS187" s="53">
        <f>IFERROR(__xludf.DUMMYFUNCTION("""COMPUTED_VALUE"""),0.0)</f>
        <v>0</v>
      </c>
      <c r="AT187" s="40">
        <f>IFERROR(__xludf.DUMMYFUNCTION("""COMPUTED_VALUE"""),0.0)</f>
        <v>0</v>
      </c>
      <c r="AU187" s="40">
        <f>IFERROR(__xludf.DUMMYFUNCTION("""COMPUTED_VALUE"""),0.0)</f>
        <v>0</v>
      </c>
      <c r="AV187" s="40">
        <f>IFERROR(__xludf.DUMMYFUNCTION("""COMPUTED_VALUE"""),2.0)</f>
        <v>2</v>
      </c>
      <c r="AW187" s="40" t="str">
        <f>IFERROR(__xludf.DUMMYFUNCTION("""COMPUTED_VALUE"""),"NO")</f>
        <v>NO</v>
      </c>
      <c r="AX187" s="40">
        <f>IFERROR(__xludf.DUMMYFUNCTION("""COMPUTED_VALUE"""),0.0)</f>
        <v>0</v>
      </c>
      <c r="AY187" s="40" t="str">
        <f>IFERROR(__xludf.DUMMYFUNCTION("""COMPUTED_VALUE"""),"P")</f>
        <v>P</v>
      </c>
      <c r="AZ187" s="40">
        <f>IFERROR(__xludf.DUMMYFUNCTION("""COMPUTED_VALUE"""),6.0)</f>
        <v>6</v>
      </c>
      <c r="BA187" s="40" t="str">
        <f>IFERROR(__xludf.DUMMYFUNCTION("""COMPUTED_VALUE"""),"X")</f>
        <v>X</v>
      </c>
      <c r="BB187" s="40">
        <f>IFERROR(__xludf.DUMMYFUNCTION("""COMPUTED_VALUE"""),14.0)</f>
        <v>14</v>
      </c>
      <c r="BC187" s="53"/>
      <c r="BD187" s="48"/>
      <c r="BE187" s="48"/>
      <c r="BF187" s="48"/>
    </row>
    <row r="188">
      <c r="A188" s="39" t="str">
        <f>IFERROR(__xludf.DUMMYFUNCTION("""COMPUTED_VALUE"""),"051")</f>
        <v>051</v>
      </c>
      <c r="B188" s="40" t="str">
        <f>IFERROR(__xludf.DUMMYFUNCTION("""COMPUTED_VALUE"""),"Casa en barrio Los Cámbulos II")</f>
        <v>Casa en barrio Los Cámbulos II</v>
      </c>
      <c r="C188" s="40" t="str">
        <f>IFERROR(__xludf.DUMMYFUNCTION("""COMPUTED_VALUE"""),"Casa")</f>
        <v>Casa</v>
      </c>
      <c r="D188" s="40" t="str">
        <f>IFERROR(__xludf.DUMMYFUNCTION("""COMPUTED_VALUE"""),"Los Cámbulos II")</f>
        <v>Los Cámbulos II</v>
      </c>
      <c r="E188" s="42" t="str">
        <f>IFERROR(__xludf.DUMMYFUNCTION("""COMPUTED_VALUE""")," ")</f>
        <v> </v>
      </c>
      <c r="F188" s="42">
        <f>IFERROR(__xludf.DUMMYFUNCTION("""COMPUTED_VALUE"""),2.9E8)</f>
        <v>290000000</v>
      </c>
      <c r="G188" s="40" t="str">
        <f>IFERROR(__xludf.DUMMYFUNCTION("""COMPUTED_VALUE"""),"$200'000.000 a $300'000.000")</f>
        <v>$200'000.000 a $300'000.000</v>
      </c>
      <c r="H188" s="40"/>
      <c r="I188" s="40"/>
      <c r="J188" s="40" t="str">
        <f>IFERROR(__xludf.DUMMYFUNCTION("""COMPUTED_VALUE"""),"Norte")</f>
        <v>Norte</v>
      </c>
      <c r="K188" s="39" t="str">
        <f>IFERROR(__xludf.DUMMYFUNCTION("""COMPUTED_VALUE"""),"2")</f>
        <v>2</v>
      </c>
      <c r="L188" s="40">
        <f>IFERROR(__xludf.DUMMYFUNCTION("""COMPUTED_VALUE"""),4.0)</f>
        <v>4</v>
      </c>
      <c r="M188" s="40"/>
      <c r="N188" s="40">
        <f>IFERROR(__xludf.DUMMYFUNCTION("""COMPUTED_VALUE"""),3.0)</f>
        <v>3</v>
      </c>
      <c r="O188" s="40">
        <f>IFERROR(__xludf.DUMMYFUNCTION("""COMPUTED_VALUE"""),1.0)</f>
        <v>1</v>
      </c>
      <c r="P188" s="40">
        <f>IFERROR(__xludf.DUMMYFUNCTION("""COMPUTED_VALUE"""),2.0)</f>
        <v>2</v>
      </c>
      <c r="Q188" s="48">
        <f>IFERROR(__xludf.DUMMYFUNCTION("""COMPUTED_VALUE"""),149.0)</f>
        <v>149</v>
      </c>
      <c r="R188" s="48">
        <f>IFERROR(__xludf.DUMMYFUNCTION("""COMPUTED_VALUE"""),84.0)</f>
        <v>84</v>
      </c>
      <c r="S188" s="39" t="str">
        <f>IFERROR(__xludf.DUMMYFUNCTION("""COMPUTED_VALUE""")," ")</f>
        <v> </v>
      </c>
      <c r="T188" s="40" t="str">
        <f>IFERROR(__xludf.DUMMYFUNCTION("""COMPUTED_VALUE"""),"Neiva")</f>
        <v>Neiva</v>
      </c>
      <c r="U188" s="39" t="str">
        <f>IFERROR(__xludf.DUMMYFUNCTION("""COMPUTED_VALUE"""),"3")</f>
        <v>3</v>
      </c>
      <c r="V188" s="40" t="str">
        <f>IFERROR(__xludf.DUMMYFUNCTION("""COMPUTED_VALUE"""),"Medianera")</f>
        <v>Medianera</v>
      </c>
      <c r="W188" s="46"/>
      <c r="X188" s="46">
        <f>IFERROR(__xludf.DUMMYFUNCTION("""COMPUTED_VALUE"""),3.0)</f>
        <v>3</v>
      </c>
      <c r="Y188" s="40" t="str">
        <f>IFERROR(__xludf.DUMMYFUNCTION("""COMPUTED_VALUE"""),"No tiene")</f>
        <v>No tiene</v>
      </c>
      <c r="Z188" s="42" t="str">
        <f>IFERROR(__xludf.DUMMYFUNCTION("""COMPUTED_VALUE"""),"No aplica")</f>
        <v>No aplica</v>
      </c>
      <c r="AA188" s="49" t="str">
        <f>IFERROR(__xludf.DUMMYFUNCTION("""COMPUTED_VALUE"""),"No aplica")</f>
        <v>No aplica</v>
      </c>
      <c r="AB188" s="40"/>
      <c r="AC188" s="40"/>
      <c r="AD188" s="40"/>
      <c r="AE188" s="40"/>
      <c r="AF188" s="40" t="str">
        <f>IFERROR(__xludf.DUMMYFUNCTION("""COMPUTED_VALUE"""),"integral")</f>
        <v>integral</v>
      </c>
      <c r="AG188" s="40"/>
      <c r="AH188" s="40" t="str">
        <f>IFERROR(__xludf.DUMMYFUNCTION("""COMPUTED_VALUE"""),"Inventario")</f>
        <v>Inventario</v>
      </c>
      <c r="AI188" s="40"/>
      <c r="AJ188" s="40" t="str">
        <f>IFERROR(__xludf.DUMMYFUNCTION("""COMPUTED_VALUE"""),"ICDE")</f>
        <v>ICDE</v>
      </c>
      <c r="AK188" s="40"/>
      <c r="AL188" s="40" t="str">
        <f>IFERROR(__xludf.DUMMYFUNCTION("""COMPUTED_VALUE"""),"NO FOTOS + DESCRIPCION")</f>
        <v>NO FOTOS + DESCRIPCION</v>
      </c>
      <c r="AM188" s="40">
        <f>IFERROR(__xludf.DUMMYFUNCTION("""COMPUTED_VALUE"""),3.223324724E9)</f>
        <v>3223324724</v>
      </c>
      <c r="AN188" s="40"/>
      <c r="AO188" s="40" t="str">
        <f>IFERROR(__xludf.DUMMYFUNCTION("""COMPUTED_VALUE"""),"ROSA - PROPIETARIA")</f>
        <v>ROSA - PROPIETARIA</v>
      </c>
      <c r="AP188" s="40" t="str">
        <f>IFERROR(__xludf.DUMMYFUNCTION("""COMPUTED_VALUE"""),"CARRERA 8 C No. 27 - 38")</f>
        <v>CARRERA 8 C No. 27 - 38</v>
      </c>
      <c r="AQ188" s="40"/>
      <c r="AR188" s="40"/>
      <c r="AS188" s="53">
        <f>IFERROR(__xludf.DUMMYFUNCTION("""COMPUTED_VALUE"""),0.0)</f>
        <v>0</v>
      </c>
      <c r="AT188" s="40">
        <f>IFERROR(__xludf.DUMMYFUNCTION("""COMPUTED_VALUE"""),0.0)</f>
        <v>0</v>
      </c>
      <c r="AU188" s="40">
        <f>IFERROR(__xludf.DUMMYFUNCTION("""COMPUTED_VALUE"""),0.0)</f>
        <v>0</v>
      </c>
      <c r="AV188" s="40">
        <f>IFERROR(__xludf.DUMMYFUNCTION("""COMPUTED_VALUE"""),0.0)</f>
        <v>0</v>
      </c>
      <c r="AW188" s="40" t="str">
        <f>IFERROR(__xludf.DUMMYFUNCTION("""COMPUTED_VALUE"""),"SI")</f>
        <v>SI</v>
      </c>
      <c r="AX188" s="40">
        <f>IFERROR(__xludf.DUMMYFUNCTION("""COMPUTED_VALUE"""),0.0)</f>
        <v>0</v>
      </c>
      <c r="AY188" s="40" t="str">
        <f>IFERROR(__xludf.DUMMYFUNCTION("""COMPUTED_VALUE"""),"SI")</f>
        <v>SI</v>
      </c>
      <c r="AZ188" s="40">
        <f>IFERROR(__xludf.DUMMYFUNCTION("""COMPUTED_VALUE"""),6.0)</f>
        <v>6</v>
      </c>
      <c r="BA188" s="40" t="str">
        <f>IFERROR(__xludf.DUMMYFUNCTION("""COMPUTED_VALUE"""),"X")</f>
        <v>X</v>
      </c>
      <c r="BB188" s="40">
        <f>IFERROR(__xludf.DUMMYFUNCTION("""COMPUTED_VALUE"""),14.0)</f>
        <v>14</v>
      </c>
      <c r="BC188" s="53" t="str">
        <f>IFERROR(__xludf.DUMMYFUNCTION("""COMPUTED_VALUE"""),"26 - NINI CASTAÑO, 15 - JOSE LOZANO, 15 - SINDY MARCELA")</f>
        <v>26 - NINI CASTAÑO, 15 - JOSE LOZANO, 15 - SINDY MARCELA</v>
      </c>
      <c r="BD188" s="48"/>
      <c r="BE188" s="48"/>
      <c r="BF188" s="48"/>
    </row>
    <row r="189">
      <c r="A189" s="39" t="str">
        <f>IFERROR(__xludf.DUMMYFUNCTION("""COMPUTED_VALUE"""),"488")</f>
        <v>488</v>
      </c>
      <c r="B189" s="40" t="str">
        <f>IFERROR(__xludf.DUMMYFUNCTION("""COMPUTED_VALUE"""),"Casa en barrio Los Cámbulos II")</f>
        <v>Casa en barrio Los Cámbulos II</v>
      </c>
      <c r="C189" s="40" t="str">
        <f>IFERROR(__xludf.DUMMYFUNCTION("""COMPUTED_VALUE"""),"Casa")</f>
        <v>Casa</v>
      </c>
      <c r="D189" s="40" t="str">
        <f>IFERROR(__xludf.DUMMYFUNCTION("""COMPUTED_VALUE"""),"Los Cámbulos II")</f>
        <v>Los Cámbulos II</v>
      </c>
      <c r="E189" s="40"/>
      <c r="F189" s="42">
        <f>IFERROR(__xludf.DUMMYFUNCTION("""COMPUTED_VALUE"""),2.85E8)</f>
        <v>285000000</v>
      </c>
      <c r="G189" s="40" t="str">
        <f>IFERROR(__xludf.DUMMYFUNCTION("""COMPUTED_VALUE"""),"$200'000.000 a $300'000.000")</f>
        <v>$200'000.000 a $300'000.000</v>
      </c>
      <c r="H189" s="40"/>
      <c r="I189" s="40"/>
      <c r="J189" s="40" t="str">
        <f>IFERROR(__xludf.DUMMYFUNCTION("""COMPUTED_VALUE"""),"Norte")</f>
        <v>Norte</v>
      </c>
      <c r="K189" s="39" t="str">
        <f>IFERROR(__xludf.DUMMYFUNCTION("""COMPUTED_VALUE"""),"2")</f>
        <v>2</v>
      </c>
      <c r="L189" s="40">
        <f>IFERROR(__xludf.DUMMYFUNCTION("""COMPUTED_VALUE"""),4.0)</f>
        <v>4</v>
      </c>
      <c r="M189" s="40"/>
      <c r="N189" s="40">
        <f>IFERROR(__xludf.DUMMYFUNCTION("""COMPUTED_VALUE"""),3.0)</f>
        <v>3</v>
      </c>
      <c r="O189" s="40">
        <f>IFERROR(__xludf.DUMMYFUNCTION("""COMPUTED_VALUE"""),1.0)</f>
        <v>1</v>
      </c>
      <c r="P189" s="40">
        <f>IFERROR(__xludf.DUMMYFUNCTION("""COMPUTED_VALUE"""),2.0)</f>
        <v>2</v>
      </c>
      <c r="Q189" s="48">
        <f>IFERROR(__xludf.DUMMYFUNCTION("""COMPUTED_VALUE"""),130.0)</f>
        <v>130</v>
      </c>
      <c r="R189" s="48">
        <f>IFERROR(__xludf.DUMMYFUNCTION("""COMPUTED_VALUE"""),72.0)</f>
        <v>72</v>
      </c>
      <c r="S189" s="39" t="str">
        <f>IFERROR(__xludf.DUMMYFUNCTION("""COMPUTED_VALUE""")," ")</f>
        <v> </v>
      </c>
      <c r="T189" s="40" t="str">
        <f>IFERROR(__xludf.DUMMYFUNCTION("""COMPUTED_VALUE"""),"Neiva")</f>
        <v>Neiva</v>
      </c>
      <c r="U189" s="39" t="str">
        <f>IFERROR(__xludf.DUMMYFUNCTION("""COMPUTED_VALUE"""),"3")</f>
        <v>3</v>
      </c>
      <c r="V189" s="40" t="str">
        <f>IFERROR(__xludf.DUMMYFUNCTION("""COMPUTED_VALUE"""),"Medianera")</f>
        <v>Medianera</v>
      </c>
      <c r="W189" s="46"/>
      <c r="X189" s="46">
        <f>IFERROR(__xludf.DUMMYFUNCTION("""COMPUTED_VALUE"""),4.0)</f>
        <v>4</v>
      </c>
      <c r="Y189" s="40" t="str">
        <f>IFERROR(__xludf.DUMMYFUNCTION("""COMPUTED_VALUE"""),"No tiene")</f>
        <v>No tiene</v>
      </c>
      <c r="Z189" s="42" t="str">
        <f>IFERROR(__xludf.DUMMYFUNCTION("""COMPUTED_VALUE"""),"No aplica")</f>
        <v>No aplica</v>
      </c>
      <c r="AA189" s="49" t="str">
        <f>IFERROR(__xludf.DUMMYFUNCTION("""COMPUTED_VALUE"""),"No aplica")</f>
        <v>No aplica</v>
      </c>
      <c r="AB189" s="48"/>
      <c r="AC189" s="40"/>
      <c r="AD189" s="40"/>
      <c r="AE189" s="40"/>
      <c r="AF189" s="40" t="str">
        <f>IFERROR(__xludf.DUMMYFUNCTION("""COMPUTED_VALUE"""),"integral")</f>
        <v>integral</v>
      </c>
      <c r="AG189" s="40"/>
      <c r="AH189" s="40" t="str">
        <f>IFERROR(__xludf.DUMMYFUNCTION("""COMPUTED_VALUE"""),"Inventario")</f>
        <v>Inventario</v>
      </c>
      <c r="AI189" s="40"/>
      <c r="AJ189" s="40" t="str">
        <f>IFERROR(__xludf.DUMMYFUNCTION("""COMPUTED_VALUE"""),"ICDE")</f>
        <v>ICDE</v>
      </c>
      <c r="AK189" s="40"/>
      <c r="AL189" s="40" t="str">
        <f>IFERROR(__xludf.DUMMYFUNCTION("""COMPUTED_VALUE"""),"NO FOTOS + DESCRIPCION")</f>
        <v>NO FOTOS + DESCRIPCION</v>
      </c>
      <c r="AM189" s="40">
        <f>IFERROR(__xludf.DUMMYFUNCTION("""COMPUTED_VALUE"""),3.178420871E9)</f>
        <v>3178420871</v>
      </c>
      <c r="AN189" s="40">
        <f>IFERROR(__xludf.DUMMYFUNCTION("""COMPUTED_VALUE"""),3.002090636E9)</f>
        <v>3002090636</v>
      </c>
      <c r="AO189" s="40" t="str">
        <f>IFERROR(__xludf.DUMMYFUNCTION("""COMPUTED_VALUE"""),"LORENA")</f>
        <v>LORENA</v>
      </c>
      <c r="AP189" s="40" t="str">
        <f>IFERROR(__xludf.DUMMYFUNCTION("""COMPUTED_VALUE"""),"CALLE 28 A No. 9-41")</f>
        <v>CALLE 28 A No. 9-41</v>
      </c>
      <c r="AQ189" s="40"/>
      <c r="AR189" s="40"/>
      <c r="AS189" s="53">
        <f>IFERROR(__xludf.DUMMYFUNCTION("""COMPUTED_VALUE"""),0.0)</f>
        <v>0</v>
      </c>
      <c r="AT189" s="40">
        <f>IFERROR(__xludf.DUMMYFUNCTION("""COMPUTED_VALUE"""),0.0)</f>
        <v>0</v>
      </c>
      <c r="AU189" s="40">
        <f>IFERROR(__xludf.DUMMYFUNCTION("""COMPUTED_VALUE"""),0.0)</f>
        <v>0</v>
      </c>
      <c r="AV189" s="40">
        <f>IFERROR(__xludf.DUMMYFUNCTION("""COMPUTED_VALUE"""),0.0)</f>
        <v>0</v>
      </c>
      <c r="AW189" s="40" t="str">
        <f>IFERROR(__xludf.DUMMYFUNCTION("""COMPUTED_VALUE"""),"NO")</f>
        <v>NO</v>
      </c>
      <c r="AX189" s="40">
        <f>IFERROR(__xludf.DUMMYFUNCTION("""COMPUTED_VALUE"""),0.0)</f>
        <v>0</v>
      </c>
      <c r="AY189" s="40">
        <f>IFERROR(__xludf.DUMMYFUNCTION("""COMPUTED_VALUE"""),0.0)</f>
        <v>0</v>
      </c>
      <c r="AZ189" s="40">
        <f>IFERROR(__xludf.DUMMYFUNCTION("""COMPUTED_VALUE"""),6.0)</f>
        <v>6</v>
      </c>
      <c r="BA189" s="40" t="str">
        <f>IFERROR(__xludf.DUMMYFUNCTION("""COMPUTED_VALUE"""),"X")</f>
        <v>X</v>
      </c>
      <c r="BB189" s="40">
        <f>IFERROR(__xludf.DUMMYFUNCTION("""COMPUTED_VALUE"""),12.0)</f>
        <v>12</v>
      </c>
      <c r="BC189" s="53" t="str">
        <f>IFERROR(__xludf.DUMMYFUNCTION("""COMPUTED_VALUE"""),"35 - LUIS ANGEL VARGAS")</f>
        <v>35 - LUIS ANGEL VARGAS</v>
      </c>
      <c r="BD189" s="40"/>
      <c r="BE189" s="48"/>
      <c r="BF189" s="48"/>
    </row>
    <row r="190">
      <c r="A190" s="39" t="str">
        <f>IFERROR(__xludf.DUMMYFUNCTION("""COMPUTED_VALUE"""),"750")</f>
        <v>750</v>
      </c>
      <c r="B190" s="40" t="str">
        <f>IFERROR(__xludf.DUMMYFUNCTION("""COMPUTED_VALUE"""),"Casa en barrio Los Molinos")</f>
        <v>Casa en barrio Los Molinos</v>
      </c>
      <c r="C190" s="40" t="str">
        <f>IFERROR(__xludf.DUMMYFUNCTION("""COMPUTED_VALUE"""),"Casa")</f>
        <v>Casa</v>
      </c>
      <c r="D190" s="40" t="str">
        <f>IFERROR(__xludf.DUMMYFUNCTION("""COMPUTED_VALUE"""),"Los Molinos")</f>
        <v>Los Molinos</v>
      </c>
      <c r="E190" s="42"/>
      <c r="F190" s="42">
        <f>IFERROR(__xludf.DUMMYFUNCTION("""COMPUTED_VALUE"""),2.8E8)</f>
        <v>280000000</v>
      </c>
      <c r="G190" s="40" t="str">
        <f>IFERROR(__xludf.DUMMYFUNCTION("""COMPUTED_VALUE"""),"$200'000.000 a $300'000.000")</f>
        <v>$200'000.000 a $300'000.000</v>
      </c>
      <c r="H190" s="40"/>
      <c r="I190" s="40"/>
      <c r="J190" s="40" t="str">
        <f>IFERROR(__xludf.DUMMYFUNCTION("""COMPUTED_VALUE"""),"Norte")</f>
        <v>Norte</v>
      </c>
      <c r="K190" s="39" t="str">
        <f>IFERROR(__xludf.DUMMYFUNCTION("""COMPUTED_VALUE"""),"2")</f>
        <v>2</v>
      </c>
      <c r="L190" s="40">
        <f>IFERROR(__xludf.DUMMYFUNCTION("""COMPUTED_VALUE"""),3.0)</f>
        <v>3</v>
      </c>
      <c r="M190" s="40"/>
      <c r="N190" s="40">
        <f>IFERROR(__xludf.DUMMYFUNCTION("""COMPUTED_VALUE"""),3.0)</f>
        <v>3</v>
      </c>
      <c r="O190" s="40">
        <f>IFERROR(__xludf.DUMMYFUNCTION("""COMPUTED_VALUE"""),1.0)</f>
        <v>1</v>
      </c>
      <c r="P190" s="40">
        <f>IFERROR(__xludf.DUMMYFUNCTION("""COMPUTED_VALUE"""),2.0)</f>
        <v>2</v>
      </c>
      <c r="Q190" s="48">
        <f>IFERROR(__xludf.DUMMYFUNCTION("""COMPUTED_VALUE"""),163.0)</f>
        <v>163</v>
      </c>
      <c r="R190" s="48">
        <f>IFERROR(__xludf.DUMMYFUNCTION("""COMPUTED_VALUE"""),163.0)</f>
        <v>163</v>
      </c>
      <c r="S190" s="39" t="str">
        <f>IFERROR(__xludf.DUMMYFUNCTION("""COMPUTED_VALUE""")," ")</f>
        <v> </v>
      </c>
      <c r="T190" s="40" t="str">
        <f>IFERROR(__xludf.DUMMYFUNCTION("""COMPUTED_VALUE"""),"Neiva")</f>
        <v>Neiva</v>
      </c>
      <c r="U190" s="39" t="str">
        <f>IFERROR(__xludf.DUMMYFUNCTION("""COMPUTED_VALUE"""),"2")</f>
        <v>2</v>
      </c>
      <c r="V190" s="40" t="str">
        <f>IFERROR(__xludf.DUMMYFUNCTION("""COMPUTED_VALUE"""),"Esquinera")</f>
        <v>Esquinera</v>
      </c>
      <c r="W190" s="46"/>
      <c r="X190" s="46">
        <f>IFERROR(__xludf.DUMMYFUNCTION("""COMPUTED_VALUE"""),3.0)</f>
        <v>3</v>
      </c>
      <c r="Y190" s="40" t="str">
        <f>IFERROR(__xludf.DUMMYFUNCTION("""COMPUTED_VALUE"""),"No tiene")</f>
        <v>No tiene</v>
      </c>
      <c r="Z190" s="42" t="str">
        <f>IFERROR(__xludf.DUMMYFUNCTION("""COMPUTED_VALUE"""),"No aplica")</f>
        <v>No aplica</v>
      </c>
      <c r="AA190" s="49" t="str">
        <f>IFERROR(__xludf.DUMMYFUNCTION("""COMPUTED_VALUE"""),"No aplica")</f>
        <v>No aplica</v>
      </c>
      <c r="AB190" s="40"/>
      <c r="AC190" s="40" t="str">
        <f>IFERROR(__xludf.DUMMYFUNCTION("""COMPUTED_VALUE"""),"Tiene patio")</f>
        <v>Tiene patio</v>
      </c>
      <c r="AD190" s="40"/>
      <c r="AE190" s="40"/>
      <c r="AF190" s="40"/>
      <c r="AG190" s="40"/>
      <c r="AH190" s="40" t="str">
        <f>IFERROR(__xludf.DUMMYFUNCTION("""COMPUTED_VALUE"""),"Inventario")</f>
        <v>Inventario</v>
      </c>
      <c r="AI190" s="40"/>
      <c r="AJ190" s="40" t="str">
        <f>IFERROR(__xludf.DUMMYFUNCTION("""COMPUTED_VALUE"""),"ICDE")</f>
        <v>ICDE</v>
      </c>
      <c r="AK190" s="40"/>
      <c r="AL190" s="40"/>
      <c r="AM190" s="40">
        <f>IFERROR(__xludf.DUMMYFUNCTION("""COMPUTED_VALUE"""),3.017878654E9)</f>
        <v>3017878654</v>
      </c>
      <c r="AN190" s="40" t="str">
        <f>IFERROR(__xludf.DUMMYFUNCTION("""COMPUTED_VALUE"""),"1(954)7981288")</f>
        <v>1(954)7981288</v>
      </c>
      <c r="AO190" s="40" t="str">
        <f>IFERROR(__xludf.DUMMYFUNCTION("""COMPUTED_VALUE"""),"Santiago")</f>
        <v>Santiago</v>
      </c>
      <c r="AP190" s="40"/>
      <c r="AQ190" s="40"/>
      <c r="AR190" s="40"/>
      <c r="AS190" s="53"/>
      <c r="AT190" s="40"/>
      <c r="AU190" s="40"/>
      <c r="AV190" s="40"/>
      <c r="AW190" s="40" t="str">
        <f>IFERROR(__xludf.DUMMYFUNCTION("""COMPUTED_VALUE"""),"SI")</f>
        <v>SI</v>
      </c>
      <c r="AX190" s="40"/>
      <c r="AY190" s="40">
        <f>IFERROR(__xludf.DUMMYFUNCTION("""COMPUTED_VALUE"""),1.0)</f>
        <v>1</v>
      </c>
      <c r="AZ190" s="40"/>
      <c r="BA190" s="40" t="str">
        <f>IFERROR(__xludf.DUMMYFUNCTION("""COMPUTED_VALUE"""),"X")</f>
        <v>X</v>
      </c>
      <c r="BB190" s="40"/>
      <c r="BC190" s="53" t="str">
        <f>IFERROR(__xludf.DUMMYFUNCTION("""COMPUTED_VALUE"""),"20 - SAMADHI RODRIGUEZ, 12 - LEIDY YULIETH")</f>
        <v>20 - SAMADHI RODRIGUEZ, 12 - LEIDY YULIETH</v>
      </c>
      <c r="BD190" s="40"/>
      <c r="BE190" s="48"/>
      <c r="BF190" s="48"/>
    </row>
    <row r="191">
      <c r="A191" s="39" t="str">
        <f>IFERROR(__xludf.DUMMYFUNCTION("""COMPUTED_VALUE"""),"740")</f>
        <v>740</v>
      </c>
      <c r="B191" s="40" t="str">
        <f>IFERROR(__xludf.DUMMYFUNCTION("""COMPUTED_VALUE"""),"Casa en barrio Las Granjas")</f>
        <v>Casa en barrio Las Granjas</v>
      </c>
      <c r="C191" s="40" t="str">
        <f>IFERROR(__xludf.DUMMYFUNCTION("""COMPUTED_VALUE"""),"Casa")</f>
        <v>Casa</v>
      </c>
      <c r="D191" s="40" t="str">
        <f>IFERROR(__xludf.DUMMYFUNCTION("""COMPUTED_VALUE"""),"Las Granjas")</f>
        <v>Las Granjas</v>
      </c>
      <c r="E191" s="42"/>
      <c r="F191" s="42">
        <f>IFERROR(__xludf.DUMMYFUNCTION("""COMPUTED_VALUE"""),2.8E8)</f>
        <v>280000000</v>
      </c>
      <c r="G191" s="40" t="str">
        <f>IFERROR(__xludf.DUMMYFUNCTION("""COMPUTED_VALUE"""),"$200'000.000 a $300'000.000")</f>
        <v>$200'000.000 a $300'000.000</v>
      </c>
      <c r="H191" s="40"/>
      <c r="I191" s="40"/>
      <c r="J191" s="40" t="str">
        <f>IFERROR(__xludf.DUMMYFUNCTION("""COMPUTED_VALUE"""),"Norte")</f>
        <v>Norte</v>
      </c>
      <c r="K191" s="39" t="str">
        <f>IFERROR(__xludf.DUMMYFUNCTION("""COMPUTED_VALUE"""),"2")</f>
        <v>2</v>
      </c>
      <c r="L191" s="40">
        <f>IFERROR(__xludf.DUMMYFUNCTION("""COMPUTED_VALUE"""),6.0)</f>
        <v>6</v>
      </c>
      <c r="M191" s="40"/>
      <c r="N191" s="40">
        <f>IFERROR(__xludf.DUMMYFUNCTION("""COMPUTED_VALUE"""),1.0)</f>
        <v>1</v>
      </c>
      <c r="O191" s="40">
        <f>IFERROR(__xludf.DUMMYFUNCTION("""COMPUTED_VALUE"""),0.0)</f>
        <v>0</v>
      </c>
      <c r="P191" s="40">
        <f>IFERROR(__xludf.DUMMYFUNCTION("""COMPUTED_VALUE"""),1.0)</f>
        <v>1</v>
      </c>
      <c r="Q191" s="48"/>
      <c r="R191" s="48">
        <f>IFERROR(__xludf.DUMMYFUNCTION("""COMPUTED_VALUE"""),180.0)</f>
        <v>180</v>
      </c>
      <c r="S191" s="39" t="str">
        <f>IFERROR(__xludf.DUMMYFUNCTION("""COMPUTED_VALUE""")," ")</f>
        <v> </v>
      </c>
      <c r="T191" s="40" t="str">
        <f>IFERROR(__xludf.DUMMYFUNCTION("""COMPUTED_VALUE"""),"Neiva")</f>
        <v>Neiva</v>
      </c>
      <c r="U191" s="39" t="str">
        <f>IFERROR(__xludf.DUMMYFUNCTION("""COMPUTED_VALUE"""),"2")</f>
        <v>2</v>
      </c>
      <c r="V191" s="40" t="str">
        <f>IFERROR(__xludf.DUMMYFUNCTION("""COMPUTED_VALUE"""),"Medianera")</f>
        <v>Medianera</v>
      </c>
      <c r="W191" s="46"/>
      <c r="X191" s="46">
        <f>IFERROR(__xludf.DUMMYFUNCTION("""COMPUTED_VALUE"""),0.0)</f>
        <v>0</v>
      </c>
      <c r="Y191" s="40" t="str">
        <f>IFERROR(__xludf.DUMMYFUNCTION("""COMPUTED_VALUE"""),"No tiene")</f>
        <v>No tiene</v>
      </c>
      <c r="Z191" s="42" t="str">
        <f>IFERROR(__xludf.DUMMYFUNCTION("""COMPUTED_VALUE"""),"No aplica")</f>
        <v>No aplica</v>
      </c>
      <c r="AA191" s="49" t="str">
        <f>IFERROR(__xludf.DUMMYFUNCTION("""COMPUTED_VALUE"""),"No aplica")</f>
        <v>No aplica</v>
      </c>
      <c r="AB191" s="40"/>
      <c r="AC191" s="40" t="str">
        <f>IFERROR(__xludf.DUMMYFUNCTION("""COMPUTED_VALUE"""),"Sucesión entre 10")</f>
        <v>Sucesión entre 10</v>
      </c>
      <c r="AD191" s="40"/>
      <c r="AE191" s="40"/>
      <c r="AF191" s="40"/>
      <c r="AG191" s="40"/>
      <c r="AH191" s="40" t="str">
        <f>IFERROR(__xludf.DUMMYFUNCTION("""COMPUTED_VALUE"""),"Inventario")</f>
        <v>Inventario</v>
      </c>
      <c r="AI191" s="40"/>
      <c r="AJ191" s="40" t="str">
        <f>IFERROR(__xludf.DUMMYFUNCTION("""COMPUTED_VALUE"""),"ICDE")</f>
        <v>ICDE</v>
      </c>
      <c r="AK191" s="40"/>
      <c r="AL191" s="40"/>
      <c r="AM191" s="40">
        <f>IFERROR(__xludf.DUMMYFUNCTION("""COMPUTED_VALUE"""),3.108795743E9)</f>
        <v>3108795743</v>
      </c>
      <c r="AN191" s="40"/>
      <c r="AO191" s="40" t="str">
        <f>IFERROR(__xludf.DUMMYFUNCTION("""COMPUTED_VALUE"""),"Alfonso Perdomo")</f>
        <v>Alfonso Perdomo</v>
      </c>
      <c r="AP191" s="40"/>
      <c r="AQ191" s="40"/>
      <c r="AR191" s="40"/>
      <c r="AS191" s="53"/>
      <c r="AT191" s="40"/>
      <c r="AU191" s="40"/>
      <c r="AV191" s="40"/>
      <c r="AW191" s="40" t="str">
        <f>IFERROR(__xludf.DUMMYFUNCTION("""COMPUTED_VALUE"""),"SI")</f>
        <v>SI</v>
      </c>
      <c r="AX191" s="40"/>
      <c r="AY191" s="40"/>
      <c r="AZ191" s="40">
        <f>IFERROR(__xludf.DUMMYFUNCTION("""COMPUTED_VALUE"""),9.0)</f>
        <v>9</v>
      </c>
      <c r="BA191" s="40" t="str">
        <f>IFERROR(__xludf.DUMMYFUNCTION("""COMPUTED_VALUE"""),"X")</f>
        <v>X</v>
      </c>
      <c r="BB191" s="40">
        <f>IFERROR(__xludf.DUMMYFUNCTION("""COMPUTED_VALUE"""),20.0)</f>
        <v>20</v>
      </c>
      <c r="BC191" s="53"/>
      <c r="BD191" s="48"/>
      <c r="BE191" s="48"/>
      <c r="BF191" s="48"/>
    </row>
    <row r="192">
      <c r="A192" s="39" t="str">
        <f>IFERROR(__xludf.DUMMYFUNCTION("""COMPUTED_VALUE"""),"525")</f>
        <v>525</v>
      </c>
      <c r="B192" s="40" t="str">
        <f>IFERROR(__xludf.DUMMYFUNCTION("""COMPUTED_VALUE"""),"Casa con local  en barrio Los Cámbulos II")</f>
        <v>Casa con local  en barrio Los Cámbulos II</v>
      </c>
      <c r="C192" s="40" t="str">
        <f>IFERROR(__xludf.DUMMYFUNCTION("""COMPUTED_VALUE"""),"Casa rentable")</f>
        <v>Casa rentable</v>
      </c>
      <c r="D192" s="40" t="str">
        <f>IFERROR(__xludf.DUMMYFUNCTION("""COMPUTED_VALUE"""),"Los Cámbulos II")</f>
        <v>Los Cámbulos II</v>
      </c>
      <c r="E192" s="40"/>
      <c r="F192" s="42">
        <f>IFERROR(__xludf.DUMMYFUNCTION("""COMPUTED_VALUE"""),2.8E8)</f>
        <v>280000000</v>
      </c>
      <c r="G192" s="40" t="str">
        <f>IFERROR(__xludf.DUMMYFUNCTION("""COMPUTED_VALUE"""),"$200'000.000 a $300'000.000")</f>
        <v>$200'000.000 a $300'000.000</v>
      </c>
      <c r="H192" s="40"/>
      <c r="I192" s="40"/>
      <c r="J192" s="40" t="str">
        <f>IFERROR(__xludf.DUMMYFUNCTION("""COMPUTED_VALUE"""),"Norte")</f>
        <v>Norte</v>
      </c>
      <c r="K192" s="39" t="str">
        <f>IFERROR(__xludf.DUMMYFUNCTION("""COMPUTED_VALUE"""),"2")</f>
        <v>2</v>
      </c>
      <c r="L192" s="40">
        <f>IFERROR(__xludf.DUMMYFUNCTION("""COMPUTED_VALUE"""),3.0)</f>
        <v>3</v>
      </c>
      <c r="M192" s="40"/>
      <c r="N192" s="40">
        <f>IFERROR(__xludf.DUMMYFUNCTION("""COMPUTED_VALUE"""),3.0)</f>
        <v>3</v>
      </c>
      <c r="O192" s="40">
        <f>IFERROR(__xludf.DUMMYFUNCTION("""COMPUTED_VALUE"""),1.0)</f>
        <v>1</v>
      </c>
      <c r="P192" s="40">
        <f>IFERROR(__xludf.DUMMYFUNCTION("""COMPUTED_VALUE"""),2.0)</f>
        <v>2</v>
      </c>
      <c r="Q192" s="48">
        <f>IFERROR(__xludf.DUMMYFUNCTION("""COMPUTED_VALUE"""),150.0)</f>
        <v>150</v>
      </c>
      <c r="R192" s="48">
        <f>IFERROR(__xludf.DUMMYFUNCTION("""COMPUTED_VALUE"""),84.0)</f>
        <v>84</v>
      </c>
      <c r="S192" s="39" t="str">
        <f>IFERROR(__xludf.DUMMYFUNCTION("""COMPUTED_VALUE"""),"Rentabilidad $1,500,000")</f>
        <v>Rentabilidad $1,500,000</v>
      </c>
      <c r="T192" s="40" t="str">
        <f>IFERROR(__xludf.DUMMYFUNCTION("""COMPUTED_VALUE"""),"Neiva")</f>
        <v>Neiva</v>
      </c>
      <c r="U192" s="39" t="str">
        <f>IFERROR(__xludf.DUMMYFUNCTION("""COMPUTED_VALUE"""),"3")</f>
        <v>3</v>
      </c>
      <c r="V192" s="40" t="str">
        <f>IFERROR(__xludf.DUMMYFUNCTION("""COMPUTED_VALUE"""),"Medianera")</f>
        <v>Medianera</v>
      </c>
      <c r="W192" s="46"/>
      <c r="X192" s="46">
        <f>IFERROR(__xludf.DUMMYFUNCTION("""COMPUTED_VALUE"""),2.0)</f>
        <v>2</v>
      </c>
      <c r="Y192" s="40" t="str">
        <f>IFERROR(__xludf.DUMMYFUNCTION("""COMPUTED_VALUE"""),"No tiene")</f>
        <v>No tiene</v>
      </c>
      <c r="Z192" s="42" t="str">
        <f>IFERROR(__xludf.DUMMYFUNCTION("""COMPUTED_VALUE"""),"No aplica")</f>
        <v>No aplica</v>
      </c>
      <c r="AA192" s="49" t="str">
        <f>IFERROR(__xludf.DUMMYFUNCTION("""COMPUTED_VALUE"""),"16 años")</f>
        <v>16 años</v>
      </c>
      <c r="AB192" s="40"/>
      <c r="AC192" s="40"/>
      <c r="AD192" s="40"/>
      <c r="AE192" s="40"/>
      <c r="AF192" s="40" t="str">
        <f>IFERROR(__xludf.DUMMYFUNCTION("""COMPUTED_VALUE"""),"integral")</f>
        <v>integral</v>
      </c>
      <c r="AG192" s="40"/>
      <c r="AH192" s="40" t="str">
        <f>IFERROR(__xludf.DUMMYFUNCTION("""COMPUTED_VALUE"""),"Inventario")</f>
        <v>Inventario</v>
      </c>
      <c r="AI192" s="40"/>
      <c r="AJ192" s="40" t="str">
        <f>IFERROR(__xludf.DUMMYFUNCTION("""COMPUTED_VALUE"""),"ICDE")</f>
        <v>ICDE</v>
      </c>
      <c r="AK192" s="40"/>
      <c r="AL192" s="40" t="str">
        <f>IFERROR(__xludf.DUMMYFUNCTION("""COMPUTED_VALUE"""),"NO FOTOS + DESCRIPCION")</f>
        <v>NO FOTOS + DESCRIPCION</v>
      </c>
      <c r="AM192" s="40">
        <f>IFERROR(__xludf.DUMMYFUNCTION("""COMPUTED_VALUE"""),3.003484306E9)</f>
        <v>3003484306</v>
      </c>
      <c r="AN192" s="40"/>
      <c r="AO192" s="40" t="str">
        <f>IFERROR(__xludf.DUMMYFUNCTION("""COMPUTED_VALUE"""),"MARIO MARIN")</f>
        <v>MARIO MARIN</v>
      </c>
      <c r="AP192" s="40" t="str">
        <f>IFERROR(__xludf.DUMMYFUNCTION("""COMPUTED_VALUE"""),"CARRERA 9 No. 28 A-04")</f>
        <v>CARRERA 9 No. 28 A-04</v>
      </c>
      <c r="AQ192" s="40"/>
      <c r="AR192" s="40"/>
      <c r="AS192" s="53">
        <f>IFERROR(__xludf.DUMMYFUNCTION("""COMPUTED_VALUE"""),1500000.0)</f>
        <v>1500000</v>
      </c>
      <c r="AT192" s="40">
        <f>IFERROR(__xludf.DUMMYFUNCTION("""COMPUTED_VALUE"""),0.0)</f>
        <v>0</v>
      </c>
      <c r="AU192" s="40">
        <f>IFERROR(__xludf.DUMMYFUNCTION("""COMPUTED_VALUE"""),0.0)</f>
        <v>0</v>
      </c>
      <c r="AV192" s="40">
        <f>IFERROR(__xludf.DUMMYFUNCTION("""COMPUTED_VALUE"""),0.0)</f>
        <v>0</v>
      </c>
      <c r="AW192" s="40" t="str">
        <f>IFERROR(__xludf.DUMMYFUNCTION("""COMPUTED_VALUE"""),"SI")</f>
        <v>SI</v>
      </c>
      <c r="AX192" s="40">
        <f>IFERROR(__xludf.DUMMYFUNCTION("""COMPUTED_VALUE"""),0.0)</f>
        <v>0</v>
      </c>
      <c r="AY192" s="40" t="str">
        <f>IFERROR(__xludf.DUMMYFUNCTION("""COMPUTED_VALUE"""),"P")</f>
        <v>P</v>
      </c>
      <c r="AZ192" s="40">
        <f>IFERROR(__xludf.DUMMYFUNCTION("""COMPUTED_VALUE"""),6.0)</f>
        <v>6</v>
      </c>
      <c r="BA192" s="40" t="str">
        <f>IFERROR(__xludf.DUMMYFUNCTION("""COMPUTED_VALUE"""),"X")</f>
        <v>X</v>
      </c>
      <c r="BB192" s="40">
        <f>IFERROR(__xludf.DUMMYFUNCTION("""COMPUTED_VALUE"""),14.0)</f>
        <v>14</v>
      </c>
      <c r="BC192" s="53"/>
      <c r="BD192" s="48"/>
      <c r="BE192" s="48"/>
      <c r="BF192" s="48"/>
    </row>
    <row r="193">
      <c r="A193" s="39" t="str">
        <f>IFERROR(__xludf.DUMMYFUNCTION("""COMPUTED_VALUE"""),"460")</f>
        <v>460</v>
      </c>
      <c r="B193" s="40" t="str">
        <f>IFERROR(__xludf.DUMMYFUNCTION("""COMPUTED_VALUE"""),"Casa  con tres apartamentos y un apartaestudio en barrio Los Cámbulos II")</f>
        <v>Casa  con tres apartamentos y un apartaestudio en barrio Los Cámbulos II</v>
      </c>
      <c r="C193" s="40" t="str">
        <f>IFERROR(__xludf.DUMMYFUNCTION("""COMPUTED_VALUE"""),"Casa rentable")</f>
        <v>Casa rentable</v>
      </c>
      <c r="D193" s="40" t="str">
        <f>IFERROR(__xludf.DUMMYFUNCTION("""COMPUTED_VALUE"""),"Los Cámbulos II")</f>
        <v>Los Cámbulos II</v>
      </c>
      <c r="E193" s="40"/>
      <c r="F193" s="42">
        <f>IFERROR(__xludf.DUMMYFUNCTION("""COMPUTED_VALUE"""),2.8E8)</f>
        <v>280000000</v>
      </c>
      <c r="G193" s="40" t="str">
        <f>IFERROR(__xludf.DUMMYFUNCTION("""COMPUTED_VALUE"""),"$200'000.000 a $300'000.000")</f>
        <v>$200'000.000 a $300'000.000</v>
      </c>
      <c r="H193" s="40"/>
      <c r="I193" s="40"/>
      <c r="J193" s="40" t="str">
        <f>IFERROR(__xludf.DUMMYFUNCTION("""COMPUTED_VALUE"""),"Norte")</f>
        <v>Norte</v>
      </c>
      <c r="K193" s="39" t="str">
        <f>IFERROR(__xludf.DUMMYFUNCTION("""COMPUTED_VALUE"""),"2")</f>
        <v>2</v>
      </c>
      <c r="L193" s="40">
        <f>IFERROR(__xludf.DUMMYFUNCTION("""COMPUTED_VALUE"""),5.0)</f>
        <v>5</v>
      </c>
      <c r="M193" s="40"/>
      <c r="N193" s="40">
        <f>IFERROR(__xludf.DUMMYFUNCTION("""COMPUTED_VALUE"""),3.0)</f>
        <v>3</v>
      </c>
      <c r="O193" s="40">
        <f>IFERROR(__xludf.DUMMYFUNCTION("""COMPUTED_VALUE"""),1.0)</f>
        <v>1</v>
      </c>
      <c r="P193" s="40">
        <f>IFERROR(__xludf.DUMMYFUNCTION("""COMPUTED_VALUE"""),2.0)</f>
        <v>2</v>
      </c>
      <c r="Q193" s="48">
        <f>IFERROR(__xludf.DUMMYFUNCTION("""COMPUTED_VALUE"""),150.0)</f>
        <v>150</v>
      </c>
      <c r="R193" s="48">
        <f>IFERROR(__xludf.DUMMYFUNCTION("""COMPUTED_VALUE"""),84.0)</f>
        <v>84</v>
      </c>
      <c r="S193" s="39" t="str">
        <f>IFERROR(__xludf.DUMMYFUNCTION("""COMPUTED_VALUE"""),"Rentabilidad $1,100,000")</f>
        <v>Rentabilidad $1,100,000</v>
      </c>
      <c r="T193" s="40" t="str">
        <f>IFERROR(__xludf.DUMMYFUNCTION("""COMPUTED_VALUE"""),"Neiva")</f>
        <v>Neiva</v>
      </c>
      <c r="U193" s="39" t="str">
        <f>IFERROR(__xludf.DUMMYFUNCTION("""COMPUTED_VALUE"""),"3")</f>
        <v>3</v>
      </c>
      <c r="V193" s="40" t="str">
        <f>IFERROR(__xludf.DUMMYFUNCTION("""COMPUTED_VALUE"""),"Medianera")</f>
        <v>Medianera</v>
      </c>
      <c r="W193" s="46"/>
      <c r="X193" s="46">
        <f>IFERROR(__xludf.DUMMYFUNCTION("""COMPUTED_VALUE"""),1.0)</f>
        <v>1</v>
      </c>
      <c r="Y193" s="40" t="str">
        <f>IFERROR(__xludf.DUMMYFUNCTION("""COMPUTED_VALUE"""),"No tiene")</f>
        <v>No tiene</v>
      </c>
      <c r="Z193" s="42" t="str">
        <f>IFERROR(__xludf.DUMMYFUNCTION("""COMPUTED_VALUE"""),"No aplica")</f>
        <v>No aplica</v>
      </c>
      <c r="AA193" s="49" t="str">
        <f>IFERROR(__xludf.DUMMYFUNCTION("""COMPUTED_VALUE"""),"21 años")</f>
        <v>21 años</v>
      </c>
      <c r="AB193" s="40"/>
      <c r="AC193" s="40"/>
      <c r="AD193" s="40"/>
      <c r="AE193" s="40"/>
      <c r="AF193" s="40" t="str">
        <f>IFERROR(__xludf.DUMMYFUNCTION("""COMPUTED_VALUE"""),"integral")</f>
        <v>integral</v>
      </c>
      <c r="AG193" s="40"/>
      <c r="AH193" s="40" t="str">
        <f>IFERROR(__xludf.DUMMYFUNCTION("""COMPUTED_VALUE"""),"Inventario")</f>
        <v>Inventario</v>
      </c>
      <c r="AI193" s="40"/>
      <c r="AJ193" s="40" t="str">
        <f>IFERROR(__xludf.DUMMYFUNCTION("""COMPUTED_VALUE"""),"ICDE")</f>
        <v>ICDE</v>
      </c>
      <c r="AK193" s="40"/>
      <c r="AL193" s="40" t="str">
        <f>IFERROR(__xludf.DUMMYFUNCTION("""COMPUTED_VALUE"""),"NO TIENE FOTOS INTERIORES")</f>
        <v>NO TIENE FOTOS INTERIORES</v>
      </c>
      <c r="AM193" s="40">
        <f>IFERROR(__xludf.DUMMYFUNCTION("""COMPUTED_VALUE"""),3.205672851E9)</f>
        <v>3205672851</v>
      </c>
      <c r="AN193" s="40"/>
      <c r="AO193" s="40" t="str">
        <f>IFERROR(__xludf.DUMMYFUNCTION("""COMPUTED_VALUE"""),"JUAN FELIPE MOSQUERA")</f>
        <v>JUAN FELIPE MOSQUERA</v>
      </c>
      <c r="AP193" s="40" t="str">
        <f>IFERROR(__xludf.DUMMYFUNCTION("""COMPUTED_VALUE"""),"CARRERA 12 No.  28 - 32")</f>
        <v>CARRERA 12 No.  28 - 32</v>
      </c>
      <c r="AQ193" s="40"/>
      <c r="AR193" s="40"/>
      <c r="AS193" s="53">
        <f>IFERROR(__xludf.DUMMYFUNCTION("""COMPUTED_VALUE"""),1100000.0)</f>
        <v>1100000</v>
      </c>
      <c r="AT193" s="40">
        <f>IFERROR(__xludf.DUMMYFUNCTION("""COMPUTED_VALUE"""),0.0)</f>
        <v>0</v>
      </c>
      <c r="AU193" s="40">
        <f>IFERROR(__xludf.DUMMYFUNCTION("""COMPUTED_VALUE"""),0.0)</f>
        <v>0</v>
      </c>
      <c r="AV193" s="40">
        <f>IFERROR(__xludf.DUMMYFUNCTION("""COMPUTED_VALUE"""),0.0)</f>
        <v>0</v>
      </c>
      <c r="AW193" s="40" t="str">
        <f>IFERROR(__xludf.DUMMYFUNCTION("""COMPUTED_VALUE"""),"NO")</f>
        <v>NO</v>
      </c>
      <c r="AX193" s="40">
        <f>IFERROR(__xludf.DUMMYFUNCTION("""COMPUTED_VALUE"""),0.0)</f>
        <v>0</v>
      </c>
      <c r="AY193" s="40" t="str">
        <f>IFERROR(__xludf.DUMMYFUNCTION("""COMPUTED_VALUE"""),"P")</f>
        <v>P</v>
      </c>
      <c r="AZ193" s="40">
        <f>IFERROR(__xludf.DUMMYFUNCTION("""COMPUTED_VALUE"""),0.0)</f>
        <v>0</v>
      </c>
      <c r="BA193" s="40" t="str">
        <f>IFERROR(__xludf.DUMMYFUNCTION("""COMPUTED_VALUE"""),"X")</f>
        <v>X</v>
      </c>
      <c r="BB193" s="40">
        <f>IFERROR(__xludf.DUMMYFUNCTION("""COMPUTED_VALUE"""),0.0)</f>
        <v>0</v>
      </c>
      <c r="BC193" s="53"/>
      <c r="BD193" s="48"/>
      <c r="BE193" s="48"/>
      <c r="BF193" s="48"/>
    </row>
    <row r="194">
      <c r="A194" s="39" t="str">
        <f>IFERROR(__xludf.DUMMYFUNCTION("""COMPUTED_VALUE"""),"260")</f>
        <v>260</v>
      </c>
      <c r="B194" s="40" t="str">
        <f>IFERROR(__xludf.DUMMYFUNCTION("""COMPUTED_VALUE"""),"Casa en barrio Campo Nuñez")</f>
        <v>Casa en barrio Campo Nuñez</v>
      </c>
      <c r="C194" s="40" t="str">
        <f>IFERROR(__xludf.DUMMYFUNCTION("""COMPUTED_VALUE"""),"Casa")</f>
        <v>Casa</v>
      </c>
      <c r="D194" s="40" t="str">
        <f>IFERROR(__xludf.DUMMYFUNCTION("""COMPUTED_VALUE"""),"Campo Nuñez")</f>
        <v>Campo Nuñez</v>
      </c>
      <c r="E194" s="40"/>
      <c r="F194" s="42">
        <f>IFERROR(__xludf.DUMMYFUNCTION("""COMPUTED_VALUE"""),2.8E8)</f>
        <v>280000000</v>
      </c>
      <c r="G194" s="40" t="str">
        <f>IFERROR(__xludf.DUMMYFUNCTION("""COMPUTED_VALUE"""),"$200'000.000 a $300'000.000")</f>
        <v>$200'000.000 a $300'000.000</v>
      </c>
      <c r="H194" s="40"/>
      <c r="I194" s="40"/>
      <c r="J194" s="40" t="str">
        <f>IFERROR(__xludf.DUMMYFUNCTION("""COMPUTED_VALUE"""),"Centro")</f>
        <v>Centro</v>
      </c>
      <c r="K194" s="39" t="str">
        <f>IFERROR(__xludf.DUMMYFUNCTION("""COMPUTED_VALUE"""),"3")</f>
        <v>3</v>
      </c>
      <c r="L194" s="40">
        <f>IFERROR(__xludf.DUMMYFUNCTION("""COMPUTED_VALUE"""),4.0)</f>
        <v>4</v>
      </c>
      <c r="M194" s="40"/>
      <c r="N194" s="40">
        <f>IFERROR(__xludf.DUMMYFUNCTION("""COMPUTED_VALUE"""),1.0)</f>
        <v>1</v>
      </c>
      <c r="O194" s="40">
        <f>IFERROR(__xludf.DUMMYFUNCTION("""COMPUTED_VALUE"""),1.0)</f>
        <v>1</v>
      </c>
      <c r="P194" s="40">
        <f>IFERROR(__xludf.DUMMYFUNCTION("""COMPUTED_VALUE"""),1.0)</f>
        <v>1</v>
      </c>
      <c r="Q194" s="48">
        <f>IFERROR(__xludf.DUMMYFUNCTION("""COMPUTED_VALUE"""),200.0)</f>
        <v>200</v>
      </c>
      <c r="R194" s="48">
        <f>IFERROR(__xludf.DUMMYFUNCTION("""COMPUTED_VALUE"""),200.0)</f>
        <v>200</v>
      </c>
      <c r="S194" s="39" t="str">
        <f>IFERROR(__xludf.DUMMYFUNCTION("""COMPUTED_VALUE"""),"Rentabilidad $800,000")</f>
        <v>Rentabilidad $800,000</v>
      </c>
      <c r="T194" s="40" t="str">
        <f>IFERROR(__xludf.DUMMYFUNCTION("""COMPUTED_VALUE"""),"Neiva")</f>
        <v>Neiva</v>
      </c>
      <c r="U194" s="39" t="str">
        <f>IFERROR(__xludf.DUMMYFUNCTION("""COMPUTED_VALUE"""),"2")</f>
        <v>2</v>
      </c>
      <c r="V194" s="40" t="str">
        <f>IFERROR(__xludf.DUMMYFUNCTION("""COMPUTED_VALUE"""),"Medianera")</f>
        <v>Medianera</v>
      </c>
      <c r="W194" s="46"/>
      <c r="X194" s="46">
        <f>IFERROR(__xludf.DUMMYFUNCTION("""COMPUTED_VALUE"""),0.0)</f>
        <v>0</v>
      </c>
      <c r="Y194" s="40" t="str">
        <f>IFERROR(__xludf.DUMMYFUNCTION("""COMPUTED_VALUE"""),"No tiene")</f>
        <v>No tiene</v>
      </c>
      <c r="Z194" s="42" t="str">
        <f>IFERROR(__xludf.DUMMYFUNCTION("""COMPUTED_VALUE"""),"No aplica")</f>
        <v>No aplica</v>
      </c>
      <c r="AA194" s="49" t="str">
        <f>IFERROR(__xludf.DUMMYFUNCTION("""COMPUTED_VALUE"""),"29 años")</f>
        <v>29 años</v>
      </c>
      <c r="AB194" s="48"/>
      <c r="AC194" s="40"/>
      <c r="AD194" s="40"/>
      <c r="AE194" s="40"/>
      <c r="AF194" s="40" t="str">
        <f>IFERROR(__xludf.DUMMYFUNCTION("""COMPUTED_VALUE"""),"básica")</f>
        <v>básica</v>
      </c>
      <c r="AG194" s="40"/>
      <c r="AH194" s="40" t="str">
        <f>IFERROR(__xludf.DUMMYFUNCTION("""COMPUTED_VALUE"""),"Inventario")</f>
        <v>Inventario</v>
      </c>
      <c r="AI194" s="40"/>
      <c r="AJ194" s="40" t="str">
        <f>IFERROR(__xludf.DUMMYFUNCTION("""COMPUTED_VALUE"""),"ICDE")</f>
        <v>ICDE</v>
      </c>
      <c r="AK194" s="40"/>
      <c r="AL194" s="40" t="str">
        <f>IFERROR(__xludf.DUMMYFUNCTION("""COMPUTED_VALUE"""),"NO FOTOS + DESCRIPCION")</f>
        <v>NO FOTOS + DESCRIPCION</v>
      </c>
      <c r="AM194" s="40">
        <f>IFERROR(__xludf.DUMMYFUNCTION("""COMPUTED_VALUE"""),3.22406128E9)</f>
        <v>3224061280</v>
      </c>
      <c r="AN194" s="40">
        <f>IFERROR(__xludf.DUMMYFUNCTION("""COMPUTED_VALUE"""),3.167735256E9)</f>
        <v>3167735256</v>
      </c>
      <c r="AO194" s="40" t="str">
        <f>IFERROR(__xludf.DUMMYFUNCTION("""COMPUTED_VALUE"""),"LUCY MOYA - YINETH MOYA MAMA- 5 HERMANOS")</f>
        <v>LUCY MOYA - YINETH MOYA MAMA- 5 HERMANOS</v>
      </c>
      <c r="AP194" s="40" t="str">
        <f>IFERROR(__xludf.DUMMYFUNCTION("""COMPUTED_VALUE"""),"CARRERA 8 A  No. 18 A -21")</f>
        <v>CARRERA 8 A  No. 18 A -21</v>
      </c>
      <c r="AQ194" s="40"/>
      <c r="AR194" s="40"/>
      <c r="AS194" s="53">
        <f>IFERROR(__xludf.DUMMYFUNCTION("""COMPUTED_VALUE"""),800000.0)</f>
        <v>800000</v>
      </c>
      <c r="AT194" s="40">
        <f>IFERROR(__xludf.DUMMYFUNCTION("""COMPUTED_VALUE"""),0.0)</f>
        <v>0</v>
      </c>
      <c r="AU194" s="40">
        <f>IFERROR(__xludf.DUMMYFUNCTION("""COMPUTED_VALUE"""),0.0)</f>
        <v>0</v>
      </c>
      <c r="AV194" s="40">
        <f>IFERROR(__xludf.DUMMYFUNCTION("""COMPUTED_VALUE"""),0.0)</f>
        <v>0</v>
      </c>
      <c r="AW194" s="40" t="str">
        <f>IFERROR(__xludf.DUMMYFUNCTION("""COMPUTED_VALUE"""),"NO")</f>
        <v>NO</v>
      </c>
      <c r="AX194" s="40">
        <f>IFERROR(__xludf.DUMMYFUNCTION("""COMPUTED_VALUE"""),0.0)</f>
        <v>0</v>
      </c>
      <c r="AY194" s="40">
        <f>IFERROR(__xludf.DUMMYFUNCTION("""COMPUTED_VALUE"""),0.0)</f>
        <v>0</v>
      </c>
      <c r="AZ194" s="40">
        <f>IFERROR(__xludf.DUMMYFUNCTION("""COMPUTED_VALUE"""),10.0)</f>
        <v>10</v>
      </c>
      <c r="BA194" s="40" t="str">
        <f>IFERROR(__xludf.DUMMYFUNCTION("""COMPUTED_VALUE"""),"X")</f>
        <v>X</v>
      </c>
      <c r="BB194" s="40">
        <f>IFERROR(__xludf.DUMMYFUNCTION("""COMPUTED_VALUE"""),20.0)</f>
        <v>20</v>
      </c>
      <c r="BC194" s="53" t="str">
        <f>IFERROR(__xludf.DUMMYFUNCTION("""COMPUTED_VALUE"""),"8 - ERNESTO POLANCO, 9 - ALBEIRO TOVAR, 2 - JAIRO DIAZ")</f>
        <v>8 - ERNESTO POLANCO, 9 - ALBEIRO TOVAR, 2 - JAIRO DIAZ</v>
      </c>
      <c r="BD194" s="48"/>
      <c r="BE194" s="48"/>
      <c r="BF194" s="48"/>
    </row>
    <row r="195">
      <c r="A195" s="39" t="str">
        <f>IFERROR(__xludf.DUMMYFUNCTION("""COMPUTED_VALUE"""),"255")</f>
        <v>255</v>
      </c>
      <c r="B195" s="40" t="str">
        <f>IFERROR(__xludf.DUMMYFUNCTION("""COMPUTED_VALUE"""),"Casa con cuatro apartaestudios en barrio Chapinero")</f>
        <v>Casa con cuatro apartaestudios en barrio Chapinero</v>
      </c>
      <c r="C195" s="40" t="str">
        <f>IFERROR(__xludf.DUMMYFUNCTION("""COMPUTED_VALUE"""),"Casa rentable")</f>
        <v>Casa rentable</v>
      </c>
      <c r="D195" s="40" t="str">
        <f>IFERROR(__xludf.DUMMYFUNCTION("""COMPUTED_VALUE"""),"Chapinero")</f>
        <v>Chapinero</v>
      </c>
      <c r="E195" s="40"/>
      <c r="F195" s="42">
        <f>IFERROR(__xludf.DUMMYFUNCTION("""COMPUTED_VALUE"""),2.8E8)</f>
        <v>280000000</v>
      </c>
      <c r="G195" s="40" t="str">
        <f>IFERROR(__xludf.DUMMYFUNCTION("""COMPUTED_VALUE"""),"$200'000.000 a $300'000.000")</f>
        <v>$200'000.000 a $300'000.000</v>
      </c>
      <c r="H195" s="40"/>
      <c r="I195" s="40"/>
      <c r="J195" s="40" t="str">
        <f>IFERROR(__xludf.DUMMYFUNCTION("""COMPUTED_VALUE"""),"Centro")</f>
        <v>Centro</v>
      </c>
      <c r="K195" s="39" t="str">
        <f>IFERROR(__xludf.DUMMYFUNCTION("""COMPUTED_VALUE"""),"3")</f>
        <v>3</v>
      </c>
      <c r="L195" s="40">
        <f>IFERROR(__xludf.DUMMYFUNCTION("""COMPUTED_VALUE"""),8.0)</f>
        <v>8</v>
      </c>
      <c r="M195" s="40"/>
      <c r="N195" s="40">
        <f>IFERROR(__xludf.DUMMYFUNCTION("""COMPUTED_VALUE"""),4.0)</f>
        <v>4</v>
      </c>
      <c r="O195" s="40">
        <f>IFERROR(__xludf.DUMMYFUNCTION("""COMPUTED_VALUE"""),0.0)</f>
        <v>0</v>
      </c>
      <c r="P195" s="40">
        <f>IFERROR(__xludf.DUMMYFUNCTION("""COMPUTED_VALUE"""),1.0)</f>
        <v>1</v>
      </c>
      <c r="Q195" s="48">
        <f>IFERROR(__xludf.DUMMYFUNCTION("""COMPUTED_VALUE"""),250.0)</f>
        <v>250</v>
      </c>
      <c r="R195" s="48">
        <f>IFERROR(__xludf.DUMMYFUNCTION("""COMPUTED_VALUE"""),267.75)</f>
        <v>267.75</v>
      </c>
      <c r="S195" s="39" t="str">
        <f>IFERROR(__xludf.DUMMYFUNCTION("""COMPUTED_VALUE"""),"Rentabilidad $1,600,000")</f>
        <v>Rentabilidad $1,600,000</v>
      </c>
      <c r="T195" s="40" t="str">
        <f>IFERROR(__xludf.DUMMYFUNCTION("""COMPUTED_VALUE"""),"Neiva")</f>
        <v>Neiva</v>
      </c>
      <c r="U195" s="39" t="str">
        <f>IFERROR(__xludf.DUMMYFUNCTION("""COMPUTED_VALUE"""),"2")</f>
        <v>2</v>
      </c>
      <c r="V195" s="40" t="str">
        <f>IFERROR(__xludf.DUMMYFUNCTION("""COMPUTED_VALUE"""),"Medianera")</f>
        <v>Medianera</v>
      </c>
      <c r="W195" s="46"/>
      <c r="X195" s="46">
        <f>IFERROR(__xludf.DUMMYFUNCTION("""COMPUTED_VALUE"""),0.0)</f>
        <v>0</v>
      </c>
      <c r="Y195" s="40" t="str">
        <f>IFERROR(__xludf.DUMMYFUNCTION("""COMPUTED_VALUE"""),"No tiene")</f>
        <v>No tiene</v>
      </c>
      <c r="Z195" s="42" t="str">
        <f>IFERROR(__xludf.DUMMYFUNCTION("""COMPUTED_VALUE"""),"No aplica")</f>
        <v>No aplica</v>
      </c>
      <c r="AA195" s="49" t="str">
        <f>IFERROR(__xludf.DUMMYFUNCTION("""COMPUTED_VALUE"""),"15 años")</f>
        <v>15 años</v>
      </c>
      <c r="AB195" s="48"/>
      <c r="AC195" s="40" t="str">
        <f>IFERROR(__xludf.DUMMYFUNCTION("""COMPUTED_VALUE"""),"(Para Remodelar)")</f>
        <v>(Para Remodelar)</v>
      </c>
      <c r="AD195" s="40"/>
      <c r="AE195" s="40"/>
      <c r="AF195" s="40" t="str">
        <f>IFERROR(__xludf.DUMMYFUNCTION("""COMPUTED_VALUE"""),"básica")</f>
        <v>básica</v>
      </c>
      <c r="AG195" s="40"/>
      <c r="AH195" s="40" t="str">
        <f>IFERROR(__xludf.DUMMYFUNCTION("""COMPUTED_VALUE"""),"Inventario")</f>
        <v>Inventario</v>
      </c>
      <c r="AI195" s="40"/>
      <c r="AJ195" s="40" t="str">
        <f>IFERROR(__xludf.DUMMYFUNCTION("""COMPUTED_VALUE"""),"ICDE")</f>
        <v>ICDE</v>
      </c>
      <c r="AK195" s="40"/>
      <c r="AL195" s="40" t="str">
        <f>IFERROR(__xludf.DUMMYFUNCTION("""COMPUTED_VALUE"""),"NO FOTOS + DESCRIPCION")</f>
        <v>NO FOTOS + DESCRIPCION</v>
      </c>
      <c r="AM195" s="40">
        <f>IFERROR(__xludf.DUMMYFUNCTION("""COMPUTED_VALUE"""),3.10881071E9)</f>
        <v>3108810710</v>
      </c>
      <c r="AN195" s="40"/>
      <c r="AO195" s="40" t="str">
        <f>IFERROR(__xludf.DUMMYFUNCTION("""COMPUTED_VALUE"""),"JORGE SANCHEZ")</f>
        <v>JORGE SANCHEZ</v>
      </c>
      <c r="AP195" s="40" t="str">
        <f>IFERROR(__xludf.DUMMYFUNCTION("""COMPUTED_VALUE"""),"CALLE 16 NO. 10-42")</f>
        <v>CALLE 16 NO. 10-42</v>
      </c>
      <c r="AQ195" s="40"/>
      <c r="AR195" s="40"/>
      <c r="AS195" s="53">
        <f>IFERROR(__xludf.DUMMYFUNCTION("""COMPUTED_VALUE"""),1600000.0)</f>
        <v>1600000</v>
      </c>
      <c r="AT195" s="40">
        <f>IFERROR(__xludf.DUMMYFUNCTION("""COMPUTED_VALUE"""),0.0)</f>
        <v>0</v>
      </c>
      <c r="AU195" s="40">
        <f>IFERROR(__xludf.DUMMYFUNCTION("""COMPUTED_VALUE"""),0.0)</f>
        <v>0</v>
      </c>
      <c r="AV195" s="40">
        <f>IFERROR(__xludf.DUMMYFUNCTION("""COMPUTED_VALUE"""),0.0)</f>
        <v>0</v>
      </c>
      <c r="AW195" s="40" t="str">
        <f>IFERROR(__xludf.DUMMYFUNCTION("""COMPUTED_VALUE"""),"NO")</f>
        <v>NO</v>
      </c>
      <c r="AX195" s="40">
        <f>IFERROR(__xludf.DUMMYFUNCTION("""COMPUTED_VALUE"""),0.0)</f>
        <v>0</v>
      </c>
      <c r="AY195" s="40">
        <f>IFERROR(__xludf.DUMMYFUNCTION("""COMPUTED_VALUE"""),0.0)</f>
        <v>0</v>
      </c>
      <c r="AZ195" s="40">
        <f>IFERROR(__xludf.DUMMYFUNCTION("""COMPUTED_VALUE"""),10.5)</f>
        <v>10.5</v>
      </c>
      <c r="BA195" s="40" t="str">
        <f>IFERROR(__xludf.DUMMYFUNCTION("""COMPUTED_VALUE"""),"X")</f>
        <v>X</v>
      </c>
      <c r="BB195" s="40">
        <f>IFERROR(__xludf.DUMMYFUNCTION("""COMPUTED_VALUE"""),25.5)</f>
        <v>25.5</v>
      </c>
      <c r="BC195" s="53" t="str">
        <f>IFERROR(__xludf.DUMMYFUNCTION("""COMPUTED_VALUE"""),"VITOR EDUARDO ANDRADE, 42 - VITOR EDUARDO ANDRADE, MARTHA CECILIA SANDOVAL, YANITH PARAMO QUINTERO, 42 - VICTOR EDUARDO ANDRADE, 46 - YANITH PARAMO QUINTERO")</f>
        <v>VITOR EDUARDO ANDRADE, 42 - VITOR EDUARDO ANDRADE, MARTHA CECILIA SANDOVAL, YANITH PARAMO QUINTERO, 42 - VICTOR EDUARDO ANDRADE, 46 - YANITH PARAMO QUINTERO</v>
      </c>
      <c r="BD195" s="48"/>
      <c r="BE195" s="48"/>
      <c r="BF195" s="48"/>
    </row>
    <row r="196">
      <c r="A196" s="39" t="str">
        <f>IFERROR(__xludf.DUMMYFUNCTION("""COMPUTED_VALUE"""),"128")</f>
        <v>128</v>
      </c>
      <c r="B196" s="40" t="str">
        <f>IFERROR(__xludf.DUMMYFUNCTION("""COMPUTED_VALUE"""),"Casa en barrio Las Granjas")</f>
        <v>Casa en barrio Las Granjas</v>
      </c>
      <c r="C196" s="40" t="str">
        <f>IFERROR(__xludf.DUMMYFUNCTION("""COMPUTED_VALUE"""),"Casa")</f>
        <v>Casa</v>
      </c>
      <c r="D196" s="40" t="str">
        <f>IFERROR(__xludf.DUMMYFUNCTION("""COMPUTED_VALUE"""),"Las Granjas")</f>
        <v>Las Granjas</v>
      </c>
      <c r="E196" s="42" t="str">
        <f>IFERROR(__xludf.DUMMYFUNCTION("""COMPUTED_VALUE""")," ")</f>
        <v> </v>
      </c>
      <c r="F196" s="42">
        <f>IFERROR(__xludf.DUMMYFUNCTION("""COMPUTED_VALUE"""),2.8E8)</f>
        <v>280000000</v>
      </c>
      <c r="G196" s="40" t="str">
        <f>IFERROR(__xludf.DUMMYFUNCTION("""COMPUTED_VALUE"""),"$200'000.000 a $300'000.000")</f>
        <v>$200'000.000 a $300'000.000</v>
      </c>
      <c r="H196" s="40"/>
      <c r="I196" s="40"/>
      <c r="J196" s="40" t="str">
        <f>IFERROR(__xludf.DUMMYFUNCTION("""COMPUTED_VALUE"""),"Norte")</f>
        <v>Norte</v>
      </c>
      <c r="K196" s="39" t="str">
        <f>IFERROR(__xludf.DUMMYFUNCTION("""COMPUTED_VALUE"""),"2")</f>
        <v>2</v>
      </c>
      <c r="L196" s="40">
        <f>IFERROR(__xludf.DUMMYFUNCTION("""COMPUTED_VALUE"""),5.0)</f>
        <v>5</v>
      </c>
      <c r="M196" s="40"/>
      <c r="N196" s="40">
        <f>IFERROR(__xludf.DUMMYFUNCTION("""COMPUTED_VALUE"""),1.0)</f>
        <v>1</v>
      </c>
      <c r="O196" s="40">
        <f>IFERROR(__xludf.DUMMYFUNCTION("""COMPUTED_VALUE"""),1.0)</f>
        <v>1</v>
      </c>
      <c r="P196" s="40">
        <f>IFERROR(__xludf.DUMMYFUNCTION("""COMPUTED_VALUE"""),1.0)</f>
        <v>1</v>
      </c>
      <c r="Q196" s="48">
        <f>IFERROR(__xludf.DUMMYFUNCTION("""COMPUTED_VALUE"""),193.0)</f>
        <v>193</v>
      </c>
      <c r="R196" s="48">
        <f>IFERROR(__xludf.DUMMYFUNCTION("""COMPUTED_VALUE"""),193.0)</f>
        <v>193</v>
      </c>
      <c r="S196" s="39" t="str">
        <f>IFERROR(__xludf.DUMMYFUNCTION("""COMPUTED_VALUE"""),"Rentabilidad $800,000")</f>
        <v>Rentabilidad $800,000</v>
      </c>
      <c r="T196" s="40" t="str">
        <f>IFERROR(__xludf.DUMMYFUNCTION("""COMPUTED_VALUE"""),"Neiva")</f>
        <v>Neiva</v>
      </c>
      <c r="U196" s="39" t="str">
        <f>IFERROR(__xludf.DUMMYFUNCTION("""COMPUTED_VALUE"""),"2")</f>
        <v>2</v>
      </c>
      <c r="V196" s="40" t="str">
        <f>IFERROR(__xludf.DUMMYFUNCTION("""COMPUTED_VALUE"""),"Medianera")</f>
        <v>Medianera</v>
      </c>
      <c r="W196" s="46"/>
      <c r="X196" s="46">
        <f>IFERROR(__xludf.DUMMYFUNCTION("""COMPUTED_VALUE"""),1.0)</f>
        <v>1</v>
      </c>
      <c r="Y196" s="53" t="str">
        <f>IFERROR(__xludf.DUMMYFUNCTION("""COMPUTED_VALUE"""),"No tiene")</f>
        <v>No tiene</v>
      </c>
      <c r="Z196" s="42" t="str">
        <f>IFERROR(__xludf.DUMMYFUNCTION("""COMPUTED_VALUE"""),"No aplica")</f>
        <v>No aplica</v>
      </c>
      <c r="AA196" s="49" t="str">
        <f>IFERROR(__xludf.DUMMYFUNCTION("""COMPUTED_VALUE"""),"29 años")</f>
        <v>29 años</v>
      </c>
      <c r="AB196" s="48"/>
      <c r="AC196" s="40"/>
      <c r="AD196" s="40"/>
      <c r="AE196" s="40"/>
      <c r="AF196" s="40" t="str">
        <f>IFERROR(__xludf.DUMMYFUNCTION("""COMPUTED_VALUE"""),"semi-integral")</f>
        <v>semi-integral</v>
      </c>
      <c r="AG196" s="40"/>
      <c r="AH196" s="40" t="str">
        <f>IFERROR(__xludf.DUMMYFUNCTION("""COMPUTED_VALUE"""),"Inventario")</f>
        <v>Inventario</v>
      </c>
      <c r="AI196" s="40"/>
      <c r="AJ196" s="40" t="str">
        <f>IFERROR(__xludf.DUMMYFUNCTION("""COMPUTED_VALUE"""),"ICDE")</f>
        <v>ICDE</v>
      </c>
      <c r="AK196" s="40"/>
      <c r="AL196" s="40" t="str">
        <f>IFERROR(__xludf.DUMMYFUNCTION("""COMPUTED_VALUE"""),"TIENE FOTOS")</f>
        <v>TIENE FOTOS</v>
      </c>
      <c r="AM196" s="40">
        <f>IFERROR(__xludf.DUMMYFUNCTION("""COMPUTED_VALUE"""),3.16726041E9)</f>
        <v>3167260410</v>
      </c>
      <c r="AN196" s="40"/>
      <c r="AO196" s="40" t="str">
        <f>IFERROR(__xludf.DUMMYFUNCTION("""COMPUTED_VALUE"""),"LUZ ANGELA Y HMNOS.")</f>
        <v>LUZ ANGELA Y HMNOS.</v>
      </c>
      <c r="AP196" s="40" t="str">
        <f>IFERROR(__xludf.DUMMYFUNCTION("""COMPUTED_VALUE"""),"Calle 39 No. 17-83")</f>
        <v>Calle 39 No. 17-83</v>
      </c>
      <c r="AQ196" s="40"/>
      <c r="AR196" s="40"/>
      <c r="AS196" s="53">
        <f>IFERROR(__xludf.DUMMYFUNCTION("""COMPUTED_VALUE"""),800000.0)</f>
        <v>800000</v>
      </c>
      <c r="AT196" s="40">
        <f>IFERROR(__xludf.DUMMYFUNCTION("""COMPUTED_VALUE"""),0.0)</f>
        <v>0</v>
      </c>
      <c r="AU196" s="40">
        <f>IFERROR(__xludf.DUMMYFUNCTION("""COMPUTED_VALUE"""),0.0)</f>
        <v>0</v>
      </c>
      <c r="AV196" s="40">
        <f>IFERROR(__xludf.DUMMYFUNCTION("""COMPUTED_VALUE"""),0.0)</f>
        <v>0</v>
      </c>
      <c r="AW196" s="40" t="str">
        <f>IFERROR(__xludf.DUMMYFUNCTION("""COMPUTED_VALUE"""),"NO")</f>
        <v>NO</v>
      </c>
      <c r="AX196" s="40">
        <f>IFERROR(__xludf.DUMMYFUNCTION("""COMPUTED_VALUE"""),0.0)</f>
        <v>0</v>
      </c>
      <c r="AY196" s="40">
        <f>IFERROR(__xludf.DUMMYFUNCTION("""COMPUTED_VALUE"""),0.0)</f>
        <v>0</v>
      </c>
      <c r="AZ196" s="40">
        <f>IFERROR(__xludf.DUMMYFUNCTION("""COMPUTED_VALUE"""),9.0)</f>
        <v>9</v>
      </c>
      <c r="BA196" s="40" t="str">
        <f>IFERROR(__xludf.DUMMYFUNCTION("""COMPUTED_VALUE"""),"X")</f>
        <v>X</v>
      </c>
      <c r="BB196" s="40">
        <f>IFERROR(__xludf.DUMMYFUNCTION("""COMPUTED_VALUE"""),21.45)</f>
        <v>21.45</v>
      </c>
      <c r="BC196" s="53"/>
      <c r="BD196" s="48"/>
      <c r="BE196" s="48"/>
      <c r="BF196" s="48"/>
    </row>
    <row r="197">
      <c r="A197" s="39" t="str">
        <f>IFERROR(__xludf.DUMMYFUNCTION("""COMPUTED_VALUE"""),"010")</f>
        <v>010</v>
      </c>
      <c r="B197" s="40" t="str">
        <f>IFERROR(__xludf.DUMMYFUNCTION("""COMPUTED_VALUE"""),"Casa lote en barrio Las Granjas")</f>
        <v>Casa lote en barrio Las Granjas</v>
      </c>
      <c r="C197" s="40" t="str">
        <f>IFERROR(__xludf.DUMMYFUNCTION("""COMPUTED_VALUE"""),"Casa lote")</f>
        <v>Casa lote</v>
      </c>
      <c r="D197" s="40" t="str">
        <f>IFERROR(__xludf.DUMMYFUNCTION("""COMPUTED_VALUE"""),"Las Granjas")</f>
        <v>Las Granjas</v>
      </c>
      <c r="E197" s="42" t="str">
        <f>IFERROR(__xludf.DUMMYFUNCTION("""COMPUTED_VALUE""")," ")</f>
        <v> </v>
      </c>
      <c r="F197" s="42">
        <f>IFERROR(__xludf.DUMMYFUNCTION("""COMPUTED_VALUE"""),2.8E8)</f>
        <v>280000000</v>
      </c>
      <c r="G197" s="40" t="str">
        <f>IFERROR(__xludf.DUMMYFUNCTION("""COMPUTED_VALUE"""),"$200'000.000 a $300'000.000")</f>
        <v>$200'000.000 a $300'000.000</v>
      </c>
      <c r="H197" s="40"/>
      <c r="I197" s="40"/>
      <c r="J197" s="40" t="str">
        <f>IFERROR(__xludf.DUMMYFUNCTION("""COMPUTED_VALUE"""),"Norte")</f>
        <v>Norte</v>
      </c>
      <c r="K197" s="39" t="str">
        <f>IFERROR(__xludf.DUMMYFUNCTION("""COMPUTED_VALUE"""),"2")</f>
        <v>2</v>
      </c>
      <c r="L197" s="40">
        <f>IFERROR(__xludf.DUMMYFUNCTION("""COMPUTED_VALUE"""),3.0)</f>
        <v>3</v>
      </c>
      <c r="M197" s="40"/>
      <c r="N197" s="40">
        <f>IFERROR(__xludf.DUMMYFUNCTION("""COMPUTED_VALUE"""),1.0)</f>
        <v>1</v>
      </c>
      <c r="O197" s="40">
        <f>IFERROR(__xludf.DUMMYFUNCTION("""COMPUTED_VALUE"""),0.0)</f>
        <v>0</v>
      </c>
      <c r="P197" s="40">
        <f>IFERROR(__xludf.DUMMYFUNCTION("""COMPUTED_VALUE"""),1.0)</f>
        <v>1</v>
      </c>
      <c r="Q197" s="48">
        <f>IFERROR(__xludf.DUMMYFUNCTION("""COMPUTED_VALUE"""),270.0)</f>
        <v>270</v>
      </c>
      <c r="R197" s="48">
        <f>IFERROR(__xludf.DUMMYFUNCTION("""COMPUTED_VALUE"""),270.0)</f>
        <v>270</v>
      </c>
      <c r="S197" s="39" t="str">
        <f>IFERROR(__xludf.DUMMYFUNCTION("""COMPUTED_VALUE"""),"Rentabilidad $500,000")</f>
        <v>Rentabilidad $500,000</v>
      </c>
      <c r="T197" s="40" t="str">
        <f>IFERROR(__xludf.DUMMYFUNCTION("""COMPUTED_VALUE"""),"Neiva")</f>
        <v>Neiva</v>
      </c>
      <c r="U197" s="39" t="str">
        <f>IFERROR(__xludf.DUMMYFUNCTION("""COMPUTED_VALUE"""),"2")</f>
        <v>2</v>
      </c>
      <c r="V197" s="40" t="str">
        <f>IFERROR(__xludf.DUMMYFUNCTION("""COMPUTED_VALUE"""),"Medianera")</f>
        <v>Medianera</v>
      </c>
      <c r="W197" s="46"/>
      <c r="X197" s="46">
        <f>IFERROR(__xludf.DUMMYFUNCTION("""COMPUTED_VALUE"""),0.0)</f>
        <v>0</v>
      </c>
      <c r="Y197" s="53" t="str">
        <f>IFERROR(__xludf.DUMMYFUNCTION("""COMPUTED_VALUE"""),"No tiene")</f>
        <v>No tiene</v>
      </c>
      <c r="Z197" s="42" t="str">
        <f>IFERROR(__xludf.DUMMYFUNCTION("""COMPUTED_VALUE"""),"No aplica")</f>
        <v>No aplica</v>
      </c>
      <c r="AA197" s="49" t="str">
        <f>IFERROR(__xludf.DUMMYFUNCTION("""COMPUTED_VALUE"""),"47 años")</f>
        <v>47 años</v>
      </c>
      <c r="AB197" s="48"/>
      <c r="AC197" s="40"/>
      <c r="AD197" s="40"/>
      <c r="AE197" s="40"/>
      <c r="AF197" s="40" t="str">
        <f>IFERROR(__xludf.DUMMYFUNCTION("""COMPUTED_VALUE"""),"básica")</f>
        <v>básica</v>
      </c>
      <c r="AG197" s="40"/>
      <c r="AH197" s="40" t="str">
        <f>IFERROR(__xludf.DUMMYFUNCTION("""COMPUTED_VALUE"""),"Inventario")</f>
        <v>Inventario</v>
      </c>
      <c r="AI197" s="40"/>
      <c r="AJ197" s="40" t="str">
        <f>IFERROR(__xludf.DUMMYFUNCTION("""COMPUTED_VALUE"""),"ICDE")</f>
        <v>ICDE</v>
      </c>
      <c r="AK197" s="40"/>
      <c r="AL197" s="40" t="str">
        <f>IFERROR(__xludf.DUMMYFUNCTION("""COMPUTED_VALUE"""),"NO FOTOS INT.")</f>
        <v>NO FOTOS INT.</v>
      </c>
      <c r="AM197" s="40">
        <f>IFERROR(__xludf.DUMMYFUNCTION("""COMPUTED_VALUE"""),3.10850101E9)</f>
        <v>3108501010</v>
      </c>
      <c r="AN197" s="40">
        <f>IFERROR(__xludf.DUMMYFUNCTION("""COMPUTED_VALUE"""),3.002382341E9)</f>
        <v>3002382341</v>
      </c>
      <c r="AO197" s="40" t="str">
        <f>IFERROR(__xludf.DUMMYFUNCTION("""COMPUTED_VALUE"""),"JOSE CEDEÑO")</f>
        <v>JOSE CEDEÑO</v>
      </c>
      <c r="AP197" s="40" t="str">
        <f>IFERROR(__xludf.DUMMYFUNCTION("""COMPUTED_VALUE"""),"Calle 42 No. 6 - 81")</f>
        <v>Calle 42 No. 6 - 81</v>
      </c>
      <c r="AQ197" s="40"/>
      <c r="AR197" s="40"/>
      <c r="AS197" s="53">
        <f>IFERROR(__xludf.DUMMYFUNCTION("""COMPUTED_VALUE"""),500000.0)</f>
        <v>500000</v>
      </c>
      <c r="AT197" s="40">
        <f>IFERROR(__xludf.DUMMYFUNCTION("""COMPUTED_VALUE"""),0.0)</f>
        <v>0</v>
      </c>
      <c r="AU197" s="40">
        <f>IFERROR(__xludf.DUMMYFUNCTION("""COMPUTED_VALUE"""),0.0)</f>
        <v>0</v>
      </c>
      <c r="AV197" s="40">
        <f>IFERROR(__xludf.DUMMYFUNCTION("""COMPUTED_VALUE"""),0.0)</f>
        <v>0</v>
      </c>
      <c r="AW197" s="40" t="str">
        <f>IFERROR(__xludf.DUMMYFUNCTION("""COMPUTED_VALUE"""),"NO")</f>
        <v>NO</v>
      </c>
      <c r="AX197" s="40">
        <f>IFERROR(__xludf.DUMMYFUNCTION("""COMPUTED_VALUE"""),0.0)</f>
        <v>0</v>
      </c>
      <c r="AY197" s="40">
        <f>IFERROR(__xludf.DUMMYFUNCTION("""COMPUTED_VALUE"""),0.0)</f>
        <v>0</v>
      </c>
      <c r="AZ197" s="40">
        <f>IFERROR(__xludf.DUMMYFUNCTION("""COMPUTED_VALUE"""),10.0)</f>
        <v>10</v>
      </c>
      <c r="BA197" s="40" t="str">
        <f>IFERROR(__xludf.DUMMYFUNCTION("""COMPUTED_VALUE"""),"X")</f>
        <v>X</v>
      </c>
      <c r="BB197" s="40">
        <f>IFERROR(__xludf.DUMMYFUNCTION("""COMPUTED_VALUE"""),27.0)</f>
        <v>27</v>
      </c>
      <c r="BC197" s="53"/>
      <c r="BD197" s="48"/>
      <c r="BE197" s="48"/>
      <c r="BF197" s="48"/>
    </row>
    <row r="198">
      <c r="A198" s="39" t="str">
        <f>IFERROR(__xludf.DUMMYFUNCTION("""COMPUTED_VALUE"""),"776")</f>
        <v>776</v>
      </c>
      <c r="B198" s="40" t="str">
        <f>IFERROR(__xludf.DUMMYFUNCTION("""COMPUTED_VALUE"""),"Casa en barrio Los Cámbulos II")</f>
        <v>Casa en barrio Los Cámbulos II</v>
      </c>
      <c r="C198" s="40" t="str">
        <f>IFERROR(__xludf.DUMMYFUNCTION("""COMPUTED_VALUE"""),"Casa")</f>
        <v>Casa</v>
      </c>
      <c r="D198" s="40" t="str">
        <f>IFERROR(__xludf.DUMMYFUNCTION("""COMPUTED_VALUE"""),"Los Cámbulos II")</f>
        <v>Los Cámbulos II</v>
      </c>
      <c r="E198" s="40"/>
      <c r="F198" s="42">
        <f>IFERROR(__xludf.DUMMYFUNCTION("""COMPUTED_VALUE"""),2.7E8)</f>
        <v>270000000</v>
      </c>
      <c r="G198" s="40" t="str">
        <f>IFERROR(__xludf.DUMMYFUNCTION("""COMPUTED_VALUE"""),"$200'000.000 a $300'000.000")</f>
        <v>$200'000.000 a $300'000.000</v>
      </c>
      <c r="H198" s="40"/>
      <c r="I198" s="40"/>
      <c r="J198" s="40" t="str">
        <f>IFERROR(__xludf.DUMMYFUNCTION("""COMPUTED_VALUE"""),"Norte")</f>
        <v>Norte</v>
      </c>
      <c r="K198" s="39" t="str">
        <f>IFERROR(__xludf.DUMMYFUNCTION("""COMPUTED_VALUE"""),"2")</f>
        <v>2</v>
      </c>
      <c r="L198" s="40">
        <f>IFERROR(__xludf.DUMMYFUNCTION("""COMPUTED_VALUE"""),5.0)</f>
        <v>5</v>
      </c>
      <c r="M198" s="40"/>
      <c r="N198" s="40">
        <f>IFERROR(__xludf.DUMMYFUNCTION("""COMPUTED_VALUE"""),3.0)</f>
        <v>3</v>
      </c>
      <c r="O198" s="40">
        <f>IFERROR(__xludf.DUMMYFUNCTION("""COMPUTED_VALUE"""),1.0)</f>
        <v>1</v>
      </c>
      <c r="P198" s="40">
        <f>IFERROR(__xludf.DUMMYFUNCTION("""COMPUTED_VALUE"""),2.0)</f>
        <v>2</v>
      </c>
      <c r="Q198" s="48"/>
      <c r="R198" s="48">
        <f>IFERROR(__xludf.DUMMYFUNCTION("""COMPUTED_VALUE"""),112.0)</f>
        <v>112</v>
      </c>
      <c r="S198" s="39"/>
      <c r="T198" s="40" t="str">
        <f>IFERROR(__xludf.DUMMYFUNCTION("""COMPUTED_VALUE"""),"Neiva")</f>
        <v>Neiva</v>
      </c>
      <c r="U198" s="39" t="str">
        <f>IFERROR(__xludf.DUMMYFUNCTION("""COMPUTED_VALUE"""),"3")</f>
        <v>3</v>
      </c>
      <c r="V198" s="40" t="str">
        <f>IFERROR(__xludf.DUMMYFUNCTION("""COMPUTED_VALUE"""),"Medianera")</f>
        <v>Medianera</v>
      </c>
      <c r="W198" s="46"/>
      <c r="X198" s="46">
        <f>IFERROR(__xludf.DUMMYFUNCTION("""COMPUTED_VALUE"""),2.0)</f>
        <v>2</v>
      </c>
      <c r="Y198" s="40" t="str">
        <f>IFERROR(__xludf.DUMMYFUNCTION("""COMPUTED_VALUE"""),"No tiene")</f>
        <v>No tiene</v>
      </c>
      <c r="Z198" s="42" t="str">
        <f>IFERROR(__xludf.DUMMYFUNCTION("""COMPUTED_VALUE"""),"No aplica")</f>
        <v>No aplica</v>
      </c>
      <c r="AA198" s="49"/>
      <c r="AB198" s="40"/>
      <c r="AC198" s="40"/>
      <c r="AD198" s="40"/>
      <c r="AE198" s="40"/>
      <c r="AF198" s="40" t="str">
        <f>IFERROR(__xludf.DUMMYFUNCTION("""COMPUTED_VALUE"""),"integral")</f>
        <v>integral</v>
      </c>
      <c r="AG198" s="40"/>
      <c r="AH198" s="40" t="str">
        <f>IFERROR(__xludf.DUMMYFUNCTION("""COMPUTED_VALUE"""),"Inventario")</f>
        <v>Inventario</v>
      </c>
      <c r="AI198" s="40"/>
      <c r="AJ198" s="40" t="str">
        <f>IFERROR(__xludf.DUMMYFUNCTION("""COMPUTED_VALUE"""),"ICDE")</f>
        <v>ICDE</v>
      </c>
      <c r="AK198" s="40" t="str">
        <f>IFERROR(__xludf.DUMMYFUNCTION("""COMPUTED_VALUE"""),"No aplica")</f>
        <v>No aplica</v>
      </c>
      <c r="AL198" s="40"/>
      <c r="AM198" s="40"/>
      <c r="AN198" s="40"/>
      <c r="AO198" s="40"/>
      <c r="AP198" s="40"/>
      <c r="AQ198" s="40"/>
      <c r="AR198" s="40"/>
      <c r="AS198" s="53"/>
      <c r="AT198" s="40">
        <f>IFERROR(__xludf.DUMMYFUNCTION("""COMPUTED_VALUE"""),0.0)</f>
        <v>0</v>
      </c>
      <c r="AU198" s="40">
        <f>IFERROR(__xludf.DUMMYFUNCTION("""COMPUTED_VALUE"""),0.0)</f>
        <v>0</v>
      </c>
      <c r="AV198" s="40">
        <f>IFERROR(__xludf.DUMMYFUNCTION("""COMPUTED_VALUE"""),0.0)</f>
        <v>0</v>
      </c>
      <c r="AW198" s="40" t="str">
        <f>IFERROR(__xludf.DUMMYFUNCTION("""COMPUTED_VALUE"""),"SI")</f>
        <v>SI</v>
      </c>
      <c r="AX198" s="40"/>
      <c r="AY198" s="40"/>
      <c r="AZ198" s="40"/>
      <c r="BA198" s="40" t="str">
        <f>IFERROR(__xludf.DUMMYFUNCTION("""COMPUTED_VALUE"""),"X")</f>
        <v>X</v>
      </c>
      <c r="BB198" s="40"/>
      <c r="BC198" s="53"/>
      <c r="BD198" s="48"/>
      <c r="BE198" s="48"/>
      <c r="BF198" s="48"/>
    </row>
    <row r="199">
      <c r="A199" s="39" t="str">
        <f>IFERROR(__xludf.DUMMYFUNCTION("""COMPUTED_VALUE"""),"572")</f>
        <v>572</v>
      </c>
      <c r="B199" s="40" t="str">
        <f>IFERROR(__xludf.DUMMYFUNCTION("""COMPUTED_VALUE"""),"Casa en barrio Las Granjas")</f>
        <v>Casa en barrio Las Granjas</v>
      </c>
      <c r="C199" s="40" t="str">
        <f>IFERROR(__xludf.DUMMYFUNCTION("""COMPUTED_VALUE"""),"Casa")</f>
        <v>Casa</v>
      </c>
      <c r="D199" s="40" t="str">
        <f>IFERROR(__xludf.DUMMYFUNCTION("""COMPUTED_VALUE"""),"Las Granjas")</f>
        <v>Las Granjas</v>
      </c>
      <c r="E199" s="40"/>
      <c r="F199" s="42">
        <f>IFERROR(__xludf.DUMMYFUNCTION("""COMPUTED_VALUE"""),2.7E8)</f>
        <v>270000000</v>
      </c>
      <c r="G199" s="40" t="str">
        <f>IFERROR(__xludf.DUMMYFUNCTION("""COMPUTED_VALUE"""),"$200'000.000 a $300'000.000")</f>
        <v>$200'000.000 a $300'000.000</v>
      </c>
      <c r="H199" s="40"/>
      <c r="I199" s="40"/>
      <c r="J199" s="40" t="str">
        <f>IFERROR(__xludf.DUMMYFUNCTION("""COMPUTED_VALUE"""),"Norte")</f>
        <v>Norte</v>
      </c>
      <c r="K199" s="39" t="str">
        <f>IFERROR(__xludf.DUMMYFUNCTION("""COMPUTED_VALUE"""),"2")</f>
        <v>2</v>
      </c>
      <c r="L199" s="40">
        <f>IFERROR(__xludf.DUMMYFUNCTION("""COMPUTED_VALUE"""),4.0)</f>
        <v>4</v>
      </c>
      <c r="M199" s="40"/>
      <c r="N199" s="40">
        <f>IFERROR(__xludf.DUMMYFUNCTION("""COMPUTED_VALUE"""),1.0)</f>
        <v>1</v>
      </c>
      <c r="O199" s="40">
        <f>IFERROR(__xludf.DUMMYFUNCTION("""COMPUTED_VALUE"""),1.0)</f>
        <v>1</v>
      </c>
      <c r="P199" s="40">
        <f>IFERROR(__xludf.DUMMYFUNCTION("""COMPUTED_VALUE"""),1.0)</f>
        <v>1</v>
      </c>
      <c r="Q199" s="48">
        <f>IFERROR(__xludf.DUMMYFUNCTION("""COMPUTED_VALUE"""),81.0)</f>
        <v>81</v>
      </c>
      <c r="R199" s="48">
        <f>IFERROR(__xludf.DUMMYFUNCTION("""COMPUTED_VALUE"""),81.0)</f>
        <v>81</v>
      </c>
      <c r="S199" s="39" t="str">
        <f>IFERROR(__xludf.DUMMYFUNCTION("""COMPUTED_VALUE""")," ")</f>
        <v> </v>
      </c>
      <c r="T199" s="40" t="str">
        <f>IFERROR(__xludf.DUMMYFUNCTION("""COMPUTED_VALUE"""),"Neiva")</f>
        <v>Neiva</v>
      </c>
      <c r="U199" s="39" t="str">
        <f>IFERROR(__xludf.DUMMYFUNCTION("""COMPUTED_VALUE"""),"2")</f>
        <v>2</v>
      </c>
      <c r="V199" s="40" t="str">
        <f>IFERROR(__xludf.DUMMYFUNCTION("""COMPUTED_VALUE"""),"Medianera")</f>
        <v>Medianera</v>
      </c>
      <c r="W199" s="46"/>
      <c r="X199" s="46">
        <f>IFERROR(__xludf.DUMMYFUNCTION("""COMPUTED_VALUE"""),0.0)</f>
        <v>0</v>
      </c>
      <c r="Y199" s="40" t="str">
        <f>IFERROR(__xludf.DUMMYFUNCTION("""COMPUTED_VALUE"""),"No tiene")</f>
        <v>No tiene</v>
      </c>
      <c r="Z199" s="42" t="str">
        <f>IFERROR(__xludf.DUMMYFUNCTION("""COMPUTED_VALUE"""),"No aplica")</f>
        <v>No aplica</v>
      </c>
      <c r="AA199" s="49" t="str">
        <f>IFERROR(__xludf.DUMMYFUNCTION("""COMPUTED_VALUE"""),"No aplica")</f>
        <v>No aplica</v>
      </c>
      <c r="AB199" s="40"/>
      <c r="AC199" s="40"/>
      <c r="AD199" s="40"/>
      <c r="AE199" s="40"/>
      <c r="AF199" s="40" t="str">
        <f>IFERROR(__xludf.DUMMYFUNCTION("""COMPUTED_VALUE"""),"semi-integral")</f>
        <v>semi-integral</v>
      </c>
      <c r="AG199" s="40"/>
      <c r="AH199" s="40" t="str">
        <f>IFERROR(__xludf.DUMMYFUNCTION("""COMPUTED_VALUE"""),"Inventario")</f>
        <v>Inventario</v>
      </c>
      <c r="AI199" s="40"/>
      <c r="AJ199" s="40" t="str">
        <f>IFERROR(__xludf.DUMMYFUNCTION("""COMPUTED_VALUE"""),"ICDE")</f>
        <v>ICDE</v>
      </c>
      <c r="AK199" s="40"/>
      <c r="AL199" s="40" t="str">
        <f>IFERROR(__xludf.DUMMYFUNCTION("""COMPUTED_VALUE"""),"NO TIENE FOTOS")</f>
        <v>NO TIENE FOTOS</v>
      </c>
      <c r="AM199" s="40">
        <f>IFERROR(__xludf.DUMMYFUNCTION("""COMPUTED_VALUE"""),3.214547673E9)</f>
        <v>3214547673</v>
      </c>
      <c r="AN199" s="40"/>
      <c r="AO199" s="40" t="str">
        <f>IFERROR(__xludf.DUMMYFUNCTION("""COMPUTED_VALUE"""),"VICTOR")</f>
        <v>VICTOR</v>
      </c>
      <c r="AP199" s="40" t="str">
        <f>IFERROR(__xludf.DUMMYFUNCTION("""COMPUTED_VALUE"""),"CALLE 32 No. 618")</f>
        <v>CALLE 32 No. 618</v>
      </c>
      <c r="AQ199" s="40"/>
      <c r="AR199" s="40"/>
      <c r="AS199" s="53">
        <f>IFERROR(__xludf.DUMMYFUNCTION("""COMPUTED_VALUE"""),0.0)</f>
        <v>0</v>
      </c>
      <c r="AT199" s="40">
        <f>IFERROR(__xludf.DUMMYFUNCTION("""COMPUTED_VALUE"""),0.0)</f>
        <v>0</v>
      </c>
      <c r="AU199" s="40">
        <f>IFERROR(__xludf.DUMMYFUNCTION("""COMPUTED_VALUE"""),0.0)</f>
        <v>0</v>
      </c>
      <c r="AV199" s="40">
        <f>IFERROR(__xludf.DUMMYFUNCTION("""COMPUTED_VALUE"""),0.0)</f>
        <v>0</v>
      </c>
      <c r="AW199" s="40" t="str">
        <f>IFERROR(__xludf.DUMMYFUNCTION("""COMPUTED_VALUE"""),"SI")</f>
        <v>SI</v>
      </c>
      <c r="AX199" s="40">
        <f>IFERROR(__xludf.DUMMYFUNCTION("""COMPUTED_VALUE"""),0.0)</f>
        <v>0</v>
      </c>
      <c r="AY199" s="40" t="str">
        <f>IFERROR(__xludf.DUMMYFUNCTION("""COMPUTED_VALUE"""),"P")</f>
        <v>P</v>
      </c>
      <c r="AZ199" s="40">
        <f>IFERROR(__xludf.DUMMYFUNCTION("""COMPUTED_VALUE"""),9.0)</f>
        <v>9</v>
      </c>
      <c r="BA199" s="40" t="str">
        <f>IFERROR(__xludf.DUMMYFUNCTION("""COMPUTED_VALUE"""),"X")</f>
        <v>X</v>
      </c>
      <c r="BB199" s="40">
        <f>IFERROR(__xludf.DUMMYFUNCTION("""COMPUTED_VALUE"""),9.0)</f>
        <v>9</v>
      </c>
      <c r="BC199" s="53" t="str">
        <f>IFERROR(__xludf.DUMMYFUNCTION("""COMPUTED_VALUE"""),"19 - PRUEBA v, 38 - MARIO MUNAR")</f>
        <v>19 - PRUEBA v, 38 - MARIO MUNAR</v>
      </c>
      <c r="BD199" s="48"/>
      <c r="BE199" s="48"/>
      <c r="BF199" s="48"/>
    </row>
    <row r="200">
      <c r="A200" s="39" t="str">
        <f>IFERROR(__xludf.DUMMYFUNCTION("""COMPUTED_VALUE"""),"391")</f>
        <v>391</v>
      </c>
      <c r="B200" s="40" t="str">
        <f>IFERROR(__xludf.DUMMYFUNCTION("""COMPUTED_VALUE"""),"Casa con apartamento en barrio Alamos Norte")</f>
        <v>Casa con apartamento en barrio Alamos Norte</v>
      </c>
      <c r="C200" s="40" t="str">
        <f>IFERROR(__xludf.DUMMYFUNCTION("""COMPUTED_VALUE"""),"Casa rentable")</f>
        <v>Casa rentable</v>
      </c>
      <c r="D200" s="40" t="str">
        <f>IFERROR(__xludf.DUMMYFUNCTION("""COMPUTED_VALUE"""),"Alamos Norte")</f>
        <v>Alamos Norte</v>
      </c>
      <c r="E200" s="40"/>
      <c r="F200" s="42">
        <f>IFERROR(__xludf.DUMMYFUNCTION("""COMPUTED_VALUE"""),2.7E8)</f>
        <v>270000000</v>
      </c>
      <c r="G200" s="40" t="str">
        <f>IFERROR(__xludf.DUMMYFUNCTION("""COMPUTED_VALUE"""),"$200'000.000 a $300'000.000")</f>
        <v>$200'000.000 a $300'000.000</v>
      </c>
      <c r="H200" s="40"/>
      <c r="I200" s="40"/>
      <c r="J200" s="40" t="str">
        <f>IFERROR(__xludf.DUMMYFUNCTION("""COMPUTED_VALUE"""),"Norte")</f>
        <v>Norte</v>
      </c>
      <c r="K200" s="39"/>
      <c r="L200" s="40">
        <f>IFERROR(__xludf.DUMMYFUNCTION("""COMPUTED_VALUE"""),3.0)</f>
        <v>3</v>
      </c>
      <c r="M200" s="40"/>
      <c r="N200" s="40">
        <f>IFERROR(__xludf.DUMMYFUNCTION("""COMPUTED_VALUE"""),3.0)</f>
        <v>3</v>
      </c>
      <c r="O200" s="40">
        <f>IFERROR(__xludf.DUMMYFUNCTION("""COMPUTED_VALUE"""),1.0)</f>
        <v>1</v>
      </c>
      <c r="P200" s="40">
        <f>IFERROR(__xludf.DUMMYFUNCTION("""COMPUTED_VALUE"""),1.0)</f>
        <v>1</v>
      </c>
      <c r="Q200" s="48"/>
      <c r="R200" s="48">
        <f>IFERROR(__xludf.DUMMYFUNCTION("""COMPUTED_VALUE"""),112.0)</f>
        <v>112</v>
      </c>
      <c r="S200" s="39" t="str">
        <f>IFERROR(__xludf.DUMMYFUNCTION("""COMPUTED_VALUE"""),"Rentabilidad $1,250,000")</f>
        <v>Rentabilidad $1,250,000</v>
      </c>
      <c r="T200" s="40" t="str">
        <f>IFERROR(__xludf.DUMMYFUNCTION("""COMPUTED_VALUE"""),"Neiva")</f>
        <v>Neiva</v>
      </c>
      <c r="U200" s="39" t="str">
        <f>IFERROR(__xludf.DUMMYFUNCTION("""COMPUTED_VALUE"""),"2")</f>
        <v>2</v>
      </c>
      <c r="V200" s="40" t="str">
        <f>IFERROR(__xludf.DUMMYFUNCTION("""COMPUTED_VALUE"""),"Medianera")</f>
        <v>Medianera</v>
      </c>
      <c r="W200" s="46"/>
      <c r="X200" s="46">
        <f>IFERROR(__xludf.DUMMYFUNCTION("""COMPUTED_VALUE"""),0.0)</f>
        <v>0</v>
      </c>
      <c r="Y200" s="40" t="str">
        <f>IFERROR(__xludf.DUMMYFUNCTION("""COMPUTED_VALUE"""),"No tiene")</f>
        <v>No tiene</v>
      </c>
      <c r="Z200" s="42" t="str">
        <f>IFERROR(__xludf.DUMMYFUNCTION("""COMPUTED_VALUE"""),"No aplica")</f>
        <v>No aplica</v>
      </c>
      <c r="AA200" s="49" t="str">
        <f>IFERROR(__xludf.DUMMYFUNCTION("""COMPUTED_VALUE"""),"18 años")</f>
        <v>18 años</v>
      </c>
      <c r="AB200" s="48"/>
      <c r="AC200" s="40"/>
      <c r="AD200" s="40"/>
      <c r="AE200" s="40"/>
      <c r="AF200" s="40" t="str">
        <f>IFERROR(__xludf.DUMMYFUNCTION("""COMPUTED_VALUE"""),"semi-integral")</f>
        <v>semi-integral</v>
      </c>
      <c r="AG200" s="40"/>
      <c r="AH200" s="40" t="str">
        <f>IFERROR(__xludf.DUMMYFUNCTION("""COMPUTED_VALUE"""),"Inventario")</f>
        <v>Inventario</v>
      </c>
      <c r="AI200" s="40"/>
      <c r="AJ200" s="40" t="str">
        <f>IFERROR(__xludf.DUMMYFUNCTION("""COMPUTED_VALUE"""),"ICDE")</f>
        <v>ICDE</v>
      </c>
      <c r="AK200" s="40"/>
      <c r="AL200" s="40" t="str">
        <f>IFERROR(__xludf.DUMMYFUNCTION("""COMPUTED_VALUE"""),"NO FOTOS + DESCRIPCION")</f>
        <v>NO FOTOS + DESCRIPCION</v>
      </c>
      <c r="AM200" s="40">
        <f>IFERROR(__xludf.DUMMYFUNCTION("""COMPUTED_VALUE"""),3.156307509E9)</f>
        <v>3156307509</v>
      </c>
      <c r="AN200" s="40"/>
      <c r="AO200" s="40" t="str">
        <f>IFERROR(__xludf.DUMMYFUNCTION("""COMPUTED_VALUE"""),"AMPARO LIZCANO-ESPOSA DEL PROPIETARIO")</f>
        <v>AMPARO LIZCANO-ESPOSA DEL PROPIETARIO</v>
      </c>
      <c r="AP200" s="40" t="str">
        <f>IFERROR(__xludf.DUMMYFUNCTION("""COMPUTED_VALUE"""),"CALLE 51 No. 21 A - 30")</f>
        <v>CALLE 51 No. 21 A - 30</v>
      </c>
      <c r="AQ200" s="40"/>
      <c r="AR200" s="40"/>
      <c r="AS200" s="53">
        <f>IFERROR(__xludf.DUMMYFUNCTION("""COMPUTED_VALUE"""),1250000.0)</f>
        <v>1250000</v>
      </c>
      <c r="AT200" s="40">
        <f>IFERROR(__xludf.DUMMYFUNCTION("""COMPUTED_VALUE"""),0.0)</f>
        <v>0</v>
      </c>
      <c r="AU200" s="40">
        <f>IFERROR(__xludf.DUMMYFUNCTION("""COMPUTED_VALUE"""),0.0)</f>
        <v>0</v>
      </c>
      <c r="AV200" s="40">
        <f>IFERROR(__xludf.DUMMYFUNCTION("""COMPUTED_VALUE"""),0.0)</f>
        <v>0</v>
      </c>
      <c r="AW200" s="40" t="str">
        <f>IFERROR(__xludf.DUMMYFUNCTION("""COMPUTED_VALUE"""),"NO")</f>
        <v>NO</v>
      </c>
      <c r="AX200" s="40">
        <f>IFERROR(__xludf.DUMMYFUNCTION("""COMPUTED_VALUE"""),0.0)</f>
        <v>0</v>
      </c>
      <c r="AY200" s="40">
        <f>IFERROR(__xludf.DUMMYFUNCTION("""COMPUTED_VALUE"""),0.0)</f>
        <v>0</v>
      </c>
      <c r="AZ200" s="40">
        <f>IFERROR(__xludf.DUMMYFUNCTION("""COMPUTED_VALUE"""),0.0)</f>
        <v>0</v>
      </c>
      <c r="BA200" s="40" t="str">
        <f>IFERROR(__xludf.DUMMYFUNCTION("""COMPUTED_VALUE"""),"X")</f>
        <v>X</v>
      </c>
      <c r="BB200" s="40">
        <f>IFERROR(__xludf.DUMMYFUNCTION("""COMPUTED_VALUE"""),0.0)</f>
        <v>0</v>
      </c>
      <c r="BC200" s="53"/>
      <c r="BD200" s="40"/>
      <c r="BE200" s="48"/>
      <c r="BF200" s="48"/>
    </row>
    <row r="201">
      <c r="A201" s="39" t="str">
        <f>IFERROR(__xludf.DUMMYFUNCTION("""COMPUTED_VALUE"""),"366")</f>
        <v>366</v>
      </c>
      <c r="B201" s="40" t="str">
        <f>IFERROR(__xludf.DUMMYFUNCTION("""COMPUTED_VALUE"""),"Casa con apartamento en barrio Villa Carolina")</f>
        <v>Casa con apartamento en barrio Villa Carolina</v>
      </c>
      <c r="C201" s="40" t="str">
        <f>IFERROR(__xludf.DUMMYFUNCTION("""COMPUTED_VALUE"""),"Casa rentable")</f>
        <v>Casa rentable</v>
      </c>
      <c r="D201" s="40" t="str">
        <f>IFERROR(__xludf.DUMMYFUNCTION("""COMPUTED_VALUE"""),"Villa Carolina")</f>
        <v>Villa Carolina</v>
      </c>
      <c r="E201" s="40"/>
      <c r="F201" s="42">
        <f>IFERROR(__xludf.DUMMYFUNCTION("""COMPUTED_VALUE"""),2.7E8)</f>
        <v>270000000</v>
      </c>
      <c r="G201" s="40" t="str">
        <f>IFERROR(__xludf.DUMMYFUNCTION("""COMPUTED_VALUE"""),"$200'000.000 a $300'000.000")</f>
        <v>$200'000.000 a $300'000.000</v>
      </c>
      <c r="H201" s="40"/>
      <c r="I201" s="40"/>
      <c r="J201" s="40" t="str">
        <f>IFERROR(__xludf.DUMMYFUNCTION("""COMPUTED_VALUE"""),"Norte")</f>
        <v>Norte</v>
      </c>
      <c r="K201" s="39" t="str">
        <f>IFERROR(__xludf.DUMMYFUNCTION("""COMPUTED_VALUE"""),"2")</f>
        <v>2</v>
      </c>
      <c r="L201" s="40">
        <f>IFERROR(__xludf.DUMMYFUNCTION("""COMPUTED_VALUE"""),5.0)</f>
        <v>5</v>
      </c>
      <c r="M201" s="40"/>
      <c r="N201" s="40">
        <f>IFERROR(__xludf.DUMMYFUNCTION("""COMPUTED_VALUE"""),3.0)</f>
        <v>3</v>
      </c>
      <c r="O201" s="40">
        <f>IFERROR(__xludf.DUMMYFUNCTION("""COMPUTED_VALUE"""),1.0)</f>
        <v>1</v>
      </c>
      <c r="P201" s="40">
        <f>IFERROR(__xludf.DUMMYFUNCTION("""COMPUTED_VALUE"""),2.0)</f>
        <v>2</v>
      </c>
      <c r="Q201" s="48"/>
      <c r="R201" s="48">
        <f>IFERROR(__xludf.DUMMYFUNCTION("""COMPUTED_VALUE"""),120.0)</f>
        <v>120</v>
      </c>
      <c r="S201" s="39" t="str">
        <f>IFERROR(__xludf.DUMMYFUNCTION("""COMPUTED_VALUE"""),"Rentabilidad $1,300,000")</f>
        <v>Rentabilidad $1,300,000</v>
      </c>
      <c r="T201" s="40" t="str">
        <f>IFERROR(__xludf.DUMMYFUNCTION("""COMPUTED_VALUE"""),"Neiva")</f>
        <v>Neiva</v>
      </c>
      <c r="U201" s="39" t="str">
        <f>IFERROR(__xludf.DUMMYFUNCTION("""COMPUTED_VALUE"""),"3")</f>
        <v>3</v>
      </c>
      <c r="V201" s="40" t="str">
        <f>IFERROR(__xludf.DUMMYFUNCTION("""COMPUTED_VALUE"""),"Esquinera")</f>
        <v>Esquinera</v>
      </c>
      <c r="W201" s="46"/>
      <c r="X201" s="46">
        <f>IFERROR(__xludf.DUMMYFUNCTION("""COMPUTED_VALUE"""),4.0)</f>
        <v>4</v>
      </c>
      <c r="Y201" s="40" t="str">
        <f>IFERROR(__xludf.DUMMYFUNCTION("""COMPUTED_VALUE"""),"No tiene")</f>
        <v>No tiene</v>
      </c>
      <c r="Z201" s="42" t="str">
        <f>IFERROR(__xludf.DUMMYFUNCTION("""COMPUTED_VALUE"""),"No aplica")</f>
        <v>No aplica</v>
      </c>
      <c r="AA201" s="49" t="str">
        <f>IFERROR(__xludf.DUMMYFUNCTION("""COMPUTED_VALUE"""),"17 años")</f>
        <v>17 años</v>
      </c>
      <c r="AB201" s="48"/>
      <c r="AC201" s="40"/>
      <c r="AD201" s="40"/>
      <c r="AE201" s="40"/>
      <c r="AF201" s="40" t="str">
        <f>IFERROR(__xludf.DUMMYFUNCTION("""COMPUTED_VALUE"""),"integral")</f>
        <v>integral</v>
      </c>
      <c r="AG201" s="40"/>
      <c r="AH201" s="40" t="str">
        <f>IFERROR(__xludf.DUMMYFUNCTION("""COMPUTED_VALUE"""),"Inventario")</f>
        <v>Inventario</v>
      </c>
      <c r="AI201" s="40"/>
      <c r="AJ201" s="40" t="str">
        <f>IFERROR(__xludf.DUMMYFUNCTION("""COMPUTED_VALUE"""),"ICDE")</f>
        <v>ICDE</v>
      </c>
      <c r="AK201" s="40"/>
      <c r="AL201" s="40" t="str">
        <f>IFERROR(__xludf.DUMMYFUNCTION("""COMPUTED_VALUE"""),"ENVIARA FOTOS")</f>
        <v>ENVIARA FOTOS</v>
      </c>
      <c r="AM201" s="40">
        <f>IFERROR(__xludf.DUMMYFUNCTION("""COMPUTED_VALUE"""),3.112652151E9)</f>
        <v>3112652151</v>
      </c>
      <c r="AN201" s="40"/>
      <c r="AO201" s="40" t="str">
        <f>IFERROR(__xludf.DUMMYFUNCTION("""COMPUTED_VALUE"""),"KAROL-HIJA- TIENE PODER")</f>
        <v>KAROL-HIJA- TIENE PODER</v>
      </c>
      <c r="AP201" s="40"/>
      <c r="AQ201" s="40"/>
      <c r="AR201" s="40"/>
      <c r="AS201" s="53">
        <f>IFERROR(__xludf.DUMMYFUNCTION("""COMPUTED_VALUE"""),1300000.0)</f>
        <v>1300000</v>
      </c>
      <c r="AT201" s="40">
        <f>IFERROR(__xludf.DUMMYFUNCTION("""COMPUTED_VALUE"""),0.0)</f>
        <v>0</v>
      </c>
      <c r="AU201" s="40">
        <f>IFERROR(__xludf.DUMMYFUNCTION("""COMPUTED_VALUE"""),0.0)</f>
        <v>0</v>
      </c>
      <c r="AV201" s="40">
        <f>IFERROR(__xludf.DUMMYFUNCTION("""COMPUTED_VALUE"""),0.0)</f>
        <v>0</v>
      </c>
      <c r="AW201" s="40" t="str">
        <f>IFERROR(__xludf.DUMMYFUNCTION("""COMPUTED_VALUE"""),"NO")</f>
        <v>NO</v>
      </c>
      <c r="AX201" s="40">
        <f>IFERROR(__xludf.DUMMYFUNCTION("""COMPUTED_VALUE"""),0.0)</f>
        <v>0</v>
      </c>
      <c r="AY201" s="40">
        <f>IFERROR(__xludf.DUMMYFUNCTION("""COMPUTED_VALUE"""),0.0)</f>
        <v>0</v>
      </c>
      <c r="AZ201" s="40">
        <f>IFERROR(__xludf.DUMMYFUNCTION("""COMPUTED_VALUE"""),0.0)</f>
        <v>0</v>
      </c>
      <c r="BA201" s="40" t="str">
        <f>IFERROR(__xludf.DUMMYFUNCTION("""COMPUTED_VALUE"""),"X")</f>
        <v>X</v>
      </c>
      <c r="BB201" s="40">
        <f>IFERROR(__xludf.DUMMYFUNCTION("""COMPUTED_VALUE"""),0.0)</f>
        <v>0</v>
      </c>
      <c r="BC201" s="53" t="str">
        <f>IFERROR(__xludf.DUMMYFUNCTION("""COMPUTED_VALUE"""),"19 - PRUEBA v")</f>
        <v>19 - PRUEBA v</v>
      </c>
      <c r="BD201" s="48"/>
      <c r="BE201" s="48"/>
      <c r="BF201" s="48"/>
    </row>
    <row r="202">
      <c r="A202" s="39" t="str">
        <f>IFERROR(__xludf.DUMMYFUNCTION("""COMPUTED_VALUE"""),"414")</f>
        <v>414</v>
      </c>
      <c r="B202" s="40" t="str">
        <f>IFERROR(__xludf.DUMMYFUNCTION("""COMPUTED_VALUE"""),"Casa en barrio Los Cámbulos II")</f>
        <v>Casa en barrio Los Cámbulos II</v>
      </c>
      <c r="C202" s="40" t="str">
        <f>IFERROR(__xludf.DUMMYFUNCTION("""COMPUTED_VALUE"""),"Casa")</f>
        <v>Casa</v>
      </c>
      <c r="D202" s="40" t="str">
        <f>IFERROR(__xludf.DUMMYFUNCTION("""COMPUTED_VALUE"""),"Los Cámbulos II")</f>
        <v>Los Cámbulos II</v>
      </c>
      <c r="E202" s="40"/>
      <c r="F202" s="42">
        <f>IFERROR(__xludf.DUMMYFUNCTION("""COMPUTED_VALUE"""),2.6E8)</f>
        <v>260000000</v>
      </c>
      <c r="G202" s="40" t="str">
        <f>IFERROR(__xludf.DUMMYFUNCTION("""COMPUTED_VALUE"""),"$200'000.000 a $300'000.000")</f>
        <v>$200'000.000 a $300'000.000</v>
      </c>
      <c r="H202" s="40"/>
      <c r="I202" s="40"/>
      <c r="J202" s="40" t="str">
        <f>IFERROR(__xludf.DUMMYFUNCTION("""COMPUTED_VALUE"""),"Norte")</f>
        <v>Norte</v>
      </c>
      <c r="K202" s="39" t="str">
        <f>IFERROR(__xludf.DUMMYFUNCTION("""COMPUTED_VALUE"""),"2")</f>
        <v>2</v>
      </c>
      <c r="L202" s="40">
        <f>IFERROR(__xludf.DUMMYFUNCTION("""COMPUTED_VALUE"""),5.0)</f>
        <v>5</v>
      </c>
      <c r="M202" s="40"/>
      <c r="N202" s="40">
        <f>IFERROR(__xludf.DUMMYFUNCTION("""COMPUTED_VALUE"""),3.0)</f>
        <v>3</v>
      </c>
      <c r="O202" s="40">
        <f>IFERROR(__xludf.DUMMYFUNCTION("""COMPUTED_VALUE"""),1.0)</f>
        <v>1</v>
      </c>
      <c r="P202" s="40">
        <f>IFERROR(__xludf.DUMMYFUNCTION("""COMPUTED_VALUE"""),2.0)</f>
        <v>2</v>
      </c>
      <c r="Q202" s="48">
        <f>IFERROR(__xludf.DUMMYFUNCTION("""COMPUTED_VALUE"""),130.0)</f>
        <v>130</v>
      </c>
      <c r="R202" s="48">
        <f>IFERROR(__xludf.DUMMYFUNCTION("""COMPUTED_VALUE"""),72.0)</f>
        <v>72</v>
      </c>
      <c r="S202" s="39" t="str">
        <f>IFERROR(__xludf.DUMMYFUNCTION("""COMPUTED_VALUE""")," ")</f>
        <v> </v>
      </c>
      <c r="T202" s="40" t="str">
        <f>IFERROR(__xludf.DUMMYFUNCTION("""COMPUTED_VALUE"""),"Neiva")</f>
        <v>Neiva</v>
      </c>
      <c r="U202" s="39" t="str">
        <f>IFERROR(__xludf.DUMMYFUNCTION("""COMPUTED_VALUE"""),"3")</f>
        <v>3</v>
      </c>
      <c r="V202" s="40" t="str">
        <f>IFERROR(__xludf.DUMMYFUNCTION("""COMPUTED_VALUE"""),"Medianera")</f>
        <v>Medianera</v>
      </c>
      <c r="W202" s="46"/>
      <c r="X202" s="46">
        <f>IFERROR(__xludf.DUMMYFUNCTION("""COMPUTED_VALUE"""),2.0)</f>
        <v>2</v>
      </c>
      <c r="Y202" s="40" t="str">
        <f>IFERROR(__xludf.DUMMYFUNCTION("""COMPUTED_VALUE"""),"No tiene")</f>
        <v>No tiene</v>
      </c>
      <c r="Z202" s="42" t="str">
        <f>IFERROR(__xludf.DUMMYFUNCTION("""COMPUTED_VALUE"""),"No aplica")</f>
        <v>No aplica</v>
      </c>
      <c r="AA202" s="49" t="str">
        <f>IFERROR(__xludf.DUMMYFUNCTION("""COMPUTED_VALUE"""),"No aplica")</f>
        <v>No aplica</v>
      </c>
      <c r="AB202" s="40"/>
      <c r="AC202" s="40"/>
      <c r="AD202" s="40"/>
      <c r="AE202" s="40"/>
      <c r="AF202" s="40" t="str">
        <f>IFERROR(__xludf.DUMMYFUNCTION("""COMPUTED_VALUE"""),"integral")</f>
        <v>integral</v>
      </c>
      <c r="AG202" s="40"/>
      <c r="AH202" s="40" t="str">
        <f>IFERROR(__xludf.DUMMYFUNCTION("""COMPUTED_VALUE"""),"Inventario")</f>
        <v>Inventario</v>
      </c>
      <c r="AI202" s="40"/>
      <c r="AJ202" s="40" t="str">
        <f>IFERROR(__xludf.DUMMYFUNCTION("""COMPUTED_VALUE"""),"ICDE")</f>
        <v>ICDE</v>
      </c>
      <c r="AK202" s="40"/>
      <c r="AL202" s="40" t="str">
        <f>IFERROR(__xludf.DUMMYFUNCTION("""COMPUTED_VALUE"""),"NO FOTOS-INTE-DESCRIP.")</f>
        <v>NO FOTOS-INTE-DESCRIP.</v>
      </c>
      <c r="AM202" s="40">
        <f>IFERROR(__xludf.DUMMYFUNCTION("""COMPUTED_VALUE"""),3.016746634E9)</f>
        <v>3016746634</v>
      </c>
      <c r="AN202" s="40">
        <f>IFERROR(__xludf.DUMMYFUNCTION("""COMPUTED_VALUE"""),3.017907403E9)</f>
        <v>3017907403</v>
      </c>
      <c r="AO202" s="40" t="str">
        <f>IFERROR(__xludf.DUMMYFUNCTION("""COMPUTED_VALUE"""),"SERGIO SALAZAR")</f>
        <v>SERGIO SALAZAR</v>
      </c>
      <c r="AP202" s="40" t="str">
        <f>IFERROR(__xludf.DUMMYFUNCTION("""COMPUTED_VALUE"""),"CARRERA 8 D No. 27-19")</f>
        <v>CARRERA 8 D No. 27-19</v>
      </c>
      <c r="AQ202" s="40"/>
      <c r="AR202" s="40"/>
      <c r="AS202" s="53">
        <f>IFERROR(__xludf.DUMMYFUNCTION("""COMPUTED_VALUE"""),0.0)</f>
        <v>0</v>
      </c>
      <c r="AT202" s="40">
        <f>IFERROR(__xludf.DUMMYFUNCTION("""COMPUTED_VALUE"""),0.0)</f>
        <v>0</v>
      </c>
      <c r="AU202" s="40">
        <f>IFERROR(__xludf.DUMMYFUNCTION("""COMPUTED_VALUE"""),0.0)</f>
        <v>0</v>
      </c>
      <c r="AV202" s="40">
        <f>IFERROR(__xludf.DUMMYFUNCTION("""COMPUTED_VALUE"""),0.0)</f>
        <v>0</v>
      </c>
      <c r="AW202" s="40" t="str">
        <f>IFERROR(__xludf.DUMMYFUNCTION("""COMPUTED_VALUE"""),"NO")</f>
        <v>NO</v>
      </c>
      <c r="AX202" s="40">
        <f>IFERROR(__xludf.DUMMYFUNCTION("""COMPUTED_VALUE"""),0.0)</f>
        <v>0</v>
      </c>
      <c r="AY202" s="40" t="str">
        <f>IFERROR(__xludf.DUMMYFUNCTION("""COMPUTED_VALUE"""),"P")</f>
        <v>P</v>
      </c>
      <c r="AZ202" s="40">
        <f>IFERROR(__xludf.DUMMYFUNCTION("""COMPUTED_VALUE"""),6.0)</f>
        <v>6</v>
      </c>
      <c r="BA202" s="40" t="str">
        <f>IFERROR(__xludf.DUMMYFUNCTION("""COMPUTED_VALUE"""),"X")</f>
        <v>X</v>
      </c>
      <c r="BB202" s="40">
        <f>IFERROR(__xludf.DUMMYFUNCTION("""COMPUTED_VALUE"""),12.0)</f>
        <v>12</v>
      </c>
      <c r="BC202" s="53"/>
      <c r="BD202" s="48"/>
      <c r="BE202" s="48"/>
      <c r="BF202" s="48"/>
    </row>
    <row r="203">
      <c r="A203" s="39" t="str">
        <f>IFERROR(__xludf.DUMMYFUNCTION("""COMPUTED_VALUE"""),"364")</f>
        <v>364</v>
      </c>
      <c r="B203" s="40" t="str">
        <f>IFERROR(__xludf.DUMMYFUNCTION("""COMPUTED_VALUE"""),"Casa en barrio Santa Librada")</f>
        <v>Casa en barrio Santa Librada</v>
      </c>
      <c r="C203" s="40" t="str">
        <f>IFERROR(__xludf.DUMMYFUNCTION("""COMPUTED_VALUE"""),"Casa")</f>
        <v>Casa</v>
      </c>
      <c r="D203" s="40" t="str">
        <f>IFERROR(__xludf.DUMMYFUNCTION("""COMPUTED_VALUE"""),"Santa Librada")</f>
        <v>Santa Librada</v>
      </c>
      <c r="E203" s="40"/>
      <c r="F203" s="42">
        <f>IFERROR(__xludf.DUMMYFUNCTION("""COMPUTED_VALUE"""),2.6E8)</f>
        <v>260000000</v>
      </c>
      <c r="G203" s="40" t="str">
        <f>IFERROR(__xludf.DUMMYFUNCTION("""COMPUTED_VALUE"""),"$200'000.000 a $300'000.000")</f>
        <v>$200'000.000 a $300'000.000</v>
      </c>
      <c r="H203" s="40"/>
      <c r="I203" s="40"/>
      <c r="J203" s="40" t="str">
        <f>IFERROR(__xludf.DUMMYFUNCTION("""COMPUTED_VALUE"""),"Centro")</f>
        <v>Centro</v>
      </c>
      <c r="K203" s="39" t="str">
        <f>IFERROR(__xludf.DUMMYFUNCTION("""COMPUTED_VALUE"""),"3")</f>
        <v>3</v>
      </c>
      <c r="L203" s="40">
        <f>IFERROR(__xludf.DUMMYFUNCTION("""COMPUTED_VALUE"""),4.0)</f>
        <v>4</v>
      </c>
      <c r="M203" s="40"/>
      <c r="N203" s="40">
        <f>IFERROR(__xludf.DUMMYFUNCTION("""COMPUTED_VALUE"""),3.0)</f>
        <v>3</v>
      </c>
      <c r="O203" s="40">
        <f>IFERROR(__xludf.DUMMYFUNCTION("""COMPUTED_VALUE"""),1.0)</f>
        <v>1</v>
      </c>
      <c r="P203" s="40">
        <f>IFERROR(__xludf.DUMMYFUNCTION("""COMPUTED_VALUE"""),0.0)</f>
        <v>0</v>
      </c>
      <c r="Q203" s="48"/>
      <c r="R203" s="48">
        <f>IFERROR(__xludf.DUMMYFUNCTION("""COMPUTED_VALUE"""),140.0)</f>
        <v>140</v>
      </c>
      <c r="S203" s="39" t="str">
        <f>IFERROR(__xludf.DUMMYFUNCTION("""COMPUTED_VALUE""")," ")</f>
        <v> </v>
      </c>
      <c r="T203" s="40" t="str">
        <f>IFERROR(__xludf.DUMMYFUNCTION("""COMPUTED_VALUE"""),"Neiva")</f>
        <v>Neiva</v>
      </c>
      <c r="U203" s="39" t="str">
        <f>IFERROR(__xludf.DUMMYFUNCTION("""COMPUTED_VALUE"""),"2")</f>
        <v>2</v>
      </c>
      <c r="V203" s="40" t="str">
        <f>IFERROR(__xludf.DUMMYFUNCTION("""COMPUTED_VALUE"""),"Medianera")</f>
        <v>Medianera</v>
      </c>
      <c r="W203" s="46"/>
      <c r="X203" s="46">
        <f>IFERROR(__xludf.DUMMYFUNCTION("""COMPUTED_VALUE"""),0.0)</f>
        <v>0</v>
      </c>
      <c r="Y203" s="40" t="str">
        <f>IFERROR(__xludf.DUMMYFUNCTION("""COMPUTED_VALUE"""),"No tiene")</f>
        <v>No tiene</v>
      </c>
      <c r="Z203" s="42" t="str">
        <f>IFERROR(__xludf.DUMMYFUNCTION("""COMPUTED_VALUE"""),"No aplica")</f>
        <v>No aplica</v>
      </c>
      <c r="AA203" s="49" t="str">
        <f>IFERROR(__xludf.DUMMYFUNCTION("""COMPUTED_VALUE"""),"No aplica")</f>
        <v>No aplica</v>
      </c>
      <c r="AB203" s="48"/>
      <c r="AC203" s="40"/>
      <c r="AD203" s="40"/>
      <c r="AE203" s="40"/>
      <c r="AF203" s="40" t="str">
        <f>IFERROR(__xludf.DUMMYFUNCTION("""COMPUTED_VALUE"""),"básica")</f>
        <v>básica</v>
      </c>
      <c r="AG203" s="40"/>
      <c r="AH203" s="40" t="str">
        <f>IFERROR(__xludf.DUMMYFUNCTION("""COMPUTED_VALUE"""),"Inventario")</f>
        <v>Inventario</v>
      </c>
      <c r="AI203" s="40"/>
      <c r="AJ203" s="40" t="str">
        <f>IFERROR(__xludf.DUMMYFUNCTION("""COMPUTED_VALUE"""),"ICDE")</f>
        <v>ICDE</v>
      </c>
      <c r="AK203" s="40"/>
      <c r="AL203" s="40" t="str">
        <f>IFERROR(__xludf.DUMMYFUNCTION("""COMPUTED_VALUE"""),"NO FOTOS-INTE-DESCRIP.")</f>
        <v>NO FOTOS-INTE-DESCRIP.</v>
      </c>
      <c r="AM203" s="40">
        <f>IFERROR(__xludf.DUMMYFUNCTION("""COMPUTED_VALUE"""),0.0)</f>
        <v>0</v>
      </c>
      <c r="AN203" s="40"/>
      <c r="AO203" s="40"/>
      <c r="AP203" s="40"/>
      <c r="AQ203" s="40"/>
      <c r="AR203" s="40"/>
      <c r="AS203" s="53">
        <f>IFERROR(__xludf.DUMMYFUNCTION("""COMPUTED_VALUE"""),0.0)</f>
        <v>0</v>
      </c>
      <c r="AT203" s="40">
        <f>IFERROR(__xludf.DUMMYFUNCTION("""COMPUTED_VALUE"""),0.0)</f>
        <v>0</v>
      </c>
      <c r="AU203" s="40">
        <f>IFERROR(__xludf.DUMMYFUNCTION("""COMPUTED_VALUE"""),0.0)</f>
        <v>0</v>
      </c>
      <c r="AV203" s="40">
        <f>IFERROR(__xludf.DUMMYFUNCTION("""COMPUTED_VALUE"""),0.0)</f>
        <v>0</v>
      </c>
      <c r="AW203" s="40" t="str">
        <f>IFERROR(__xludf.DUMMYFUNCTION("""COMPUTED_VALUE"""),"NO")</f>
        <v>NO</v>
      </c>
      <c r="AX203" s="40">
        <f>IFERROR(__xludf.DUMMYFUNCTION("""COMPUTED_VALUE"""),0.0)</f>
        <v>0</v>
      </c>
      <c r="AY203" s="40">
        <f>IFERROR(__xludf.DUMMYFUNCTION("""COMPUTED_VALUE"""),0.0)</f>
        <v>0</v>
      </c>
      <c r="AZ203" s="40">
        <f>IFERROR(__xludf.DUMMYFUNCTION("""COMPUTED_VALUE"""),0.0)</f>
        <v>0</v>
      </c>
      <c r="BA203" s="40" t="str">
        <f>IFERROR(__xludf.DUMMYFUNCTION("""COMPUTED_VALUE"""),"X")</f>
        <v>X</v>
      </c>
      <c r="BB203" s="40">
        <f>IFERROR(__xludf.DUMMYFUNCTION("""COMPUTED_VALUE"""),0.0)</f>
        <v>0</v>
      </c>
      <c r="BC203" s="53"/>
      <c r="BD203" s="48"/>
      <c r="BE203" s="48"/>
      <c r="BF203" s="48"/>
    </row>
    <row r="204">
      <c r="A204" s="39" t="str">
        <f>IFERROR(__xludf.DUMMYFUNCTION("""COMPUTED_VALUE"""),"254")</f>
        <v>254</v>
      </c>
      <c r="B204" s="40" t="str">
        <f>IFERROR(__xludf.DUMMYFUNCTION("""COMPUTED_VALUE"""),"Casa lote en barrio Chapinero")</f>
        <v>Casa lote en barrio Chapinero</v>
      </c>
      <c r="C204" s="40" t="str">
        <f>IFERROR(__xludf.DUMMYFUNCTION("""COMPUTED_VALUE"""),"Casa lote")</f>
        <v>Casa lote</v>
      </c>
      <c r="D204" s="40" t="str">
        <f>IFERROR(__xludf.DUMMYFUNCTION("""COMPUTED_VALUE"""),"Chapinero")</f>
        <v>Chapinero</v>
      </c>
      <c r="E204" s="40"/>
      <c r="F204" s="42">
        <f>IFERROR(__xludf.DUMMYFUNCTION("""COMPUTED_VALUE"""),2.6E8)</f>
        <v>260000000</v>
      </c>
      <c r="G204" s="40" t="str">
        <f>IFERROR(__xludf.DUMMYFUNCTION("""COMPUTED_VALUE"""),"$200'000.000 a $300'000.000")</f>
        <v>$200'000.000 a $300'000.000</v>
      </c>
      <c r="H204" s="40"/>
      <c r="I204" s="40"/>
      <c r="J204" s="40" t="str">
        <f>IFERROR(__xludf.DUMMYFUNCTION("""COMPUTED_VALUE"""),"Centro")</f>
        <v>Centro</v>
      </c>
      <c r="K204" s="39" t="str">
        <f>IFERROR(__xludf.DUMMYFUNCTION("""COMPUTED_VALUE"""),"3")</f>
        <v>3</v>
      </c>
      <c r="L204" s="40">
        <f>IFERROR(__xludf.DUMMYFUNCTION("""COMPUTED_VALUE"""),0.0)</f>
        <v>0</v>
      </c>
      <c r="M204" s="40"/>
      <c r="N204" s="40">
        <f>IFERROR(__xludf.DUMMYFUNCTION("""COMPUTED_VALUE"""),0.0)</f>
        <v>0</v>
      </c>
      <c r="O204" s="40">
        <f>IFERROR(__xludf.DUMMYFUNCTION("""COMPUTED_VALUE"""),0.0)</f>
        <v>0</v>
      </c>
      <c r="P204" s="40">
        <f>IFERROR(__xludf.DUMMYFUNCTION("""COMPUTED_VALUE"""),0.0)</f>
        <v>0</v>
      </c>
      <c r="Q204" s="48"/>
      <c r="R204" s="48">
        <f>IFERROR(__xludf.DUMMYFUNCTION("""COMPUTED_VALUE"""),260.0)</f>
        <v>260</v>
      </c>
      <c r="S204" s="39" t="str">
        <f>IFERROR(__xludf.DUMMYFUNCTION("""COMPUTED_VALUE""")," ")</f>
        <v> </v>
      </c>
      <c r="T204" s="40" t="str">
        <f>IFERROR(__xludf.DUMMYFUNCTION("""COMPUTED_VALUE"""),"Neiva")</f>
        <v>Neiva</v>
      </c>
      <c r="U204" s="39" t="str">
        <f>IFERROR(__xludf.DUMMYFUNCTION("""COMPUTED_VALUE"""),"2")</f>
        <v>2</v>
      </c>
      <c r="V204" s="40" t="str">
        <f>IFERROR(__xludf.DUMMYFUNCTION("""COMPUTED_VALUE"""),"Medianera")</f>
        <v>Medianera</v>
      </c>
      <c r="W204" s="46"/>
      <c r="X204" s="46">
        <f>IFERROR(__xludf.DUMMYFUNCTION("""COMPUTED_VALUE"""),0.0)</f>
        <v>0</v>
      </c>
      <c r="Y204" s="40" t="str">
        <f>IFERROR(__xludf.DUMMYFUNCTION("""COMPUTED_VALUE"""),"No tiene")</f>
        <v>No tiene</v>
      </c>
      <c r="Z204" s="42" t="str">
        <f>IFERROR(__xludf.DUMMYFUNCTION("""COMPUTED_VALUE"""),"No aplica")</f>
        <v>No aplica</v>
      </c>
      <c r="AA204" s="49" t="str">
        <f>IFERROR(__xludf.DUMMYFUNCTION("""COMPUTED_VALUE"""),"No aplica")</f>
        <v>No aplica</v>
      </c>
      <c r="AB204" s="48"/>
      <c r="AC204" s="40"/>
      <c r="AD204" s="40"/>
      <c r="AE204" s="40"/>
      <c r="AF204" s="40" t="str">
        <f>IFERROR(__xludf.DUMMYFUNCTION("""COMPUTED_VALUE"""),"no")</f>
        <v>no</v>
      </c>
      <c r="AG204" s="40"/>
      <c r="AH204" s="40" t="str">
        <f>IFERROR(__xludf.DUMMYFUNCTION("""COMPUTED_VALUE"""),"Inventario")</f>
        <v>Inventario</v>
      </c>
      <c r="AI204" s="40"/>
      <c r="AJ204" s="40" t="str">
        <f>IFERROR(__xludf.DUMMYFUNCTION("""COMPUTED_VALUE"""),"ICDE")</f>
        <v>ICDE</v>
      </c>
      <c r="AK204" s="40"/>
      <c r="AL204" s="40" t="str">
        <f>IFERROR(__xludf.DUMMYFUNCTION("""COMPUTED_VALUE"""),"NO INT + DESCRIPCION")</f>
        <v>NO INT + DESCRIPCION</v>
      </c>
      <c r="AM204" s="40">
        <f>IFERROR(__xludf.DUMMYFUNCTION("""COMPUTED_VALUE"""),3.178535983E9)</f>
        <v>3178535983</v>
      </c>
      <c r="AN204" s="40"/>
      <c r="AO204" s="40" t="str">
        <f>IFERROR(__xludf.DUMMYFUNCTION("""COMPUTED_VALUE"""),"CAMILO PERDOMO")</f>
        <v>CAMILO PERDOMO</v>
      </c>
      <c r="AP204" s="40" t="str">
        <f>IFERROR(__xludf.DUMMYFUNCTION("""COMPUTED_VALUE"""),"Carrera 10 NO. 14 - 27")</f>
        <v>Carrera 10 NO. 14 - 27</v>
      </c>
      <c r="AQ204" s="40"/>
      <c r="AR204" s="40"/>
      <c r="AS204" s="53">
        <f>IFERROR(__xludf.DUMMYFUNCTION("""COMPUTED_VALUE"""),0.0)</f>
        <v>0</v>
      </c>
      <c r="AT204" s="40">
        <f>IFERROR(__xludf.DUMMYFUNCTION("""COMPUTED_VALUE"""),0.0)</f>
        <v>0</v>
      </c>
      <c r="AU204" s="40">
        <f>IFERROR(__xludf.DUMMYFUNCTION("""COMPUTED_VALUE"""),0.0)</f>
        <v>0</v>
      </c>
      <c r="AV204" s="40">
        <f>IFERROR(__xludf.DUMMYFUNCTION("""COMPUTED_VALUE"""),0.0)</f>
        <v>0</v>
      </c>
      <c r="AW204" s="40" t="str">
        <f>IFERROR(__xludf.DUMMYFUNCTION("""COMPUTED_VALUE"""),"NO")</f>
        <v>NO</v>
      </c>
      <c r="AX204" s="40">
        <f>IFERROR(__xludf.DUMMYFUNCTION("""COMPUTED_VALUE"""),0.0)</f>
        <v>0</v>
      </c>
      <c r="AY204" s="40">
        <f>IFERROR(__xludf.DUMMYFUNCTION("""COMPUTED_VALUE"""),0.0)</f>
        <v>0</v>
      </c>
      <c r="AZ204" s="40">
        <f>IFERROR(__xludf.DUMMYFUNCTION("""COMPUTED_VALUE"""),13.0)</f>
        <v>13</v>
      </c>
      <c r="BA204" s="40" t="str">
        <f>IFERROR(__xludf.DUMMYFUNCTION("""COMPUTED_VALUE"""),"X")</f>
        <v>X</v>
      </c>
      <c r="BB204" s="40">
        <f>IFERROR(__xludf.DUMMYFUNCTION("""COMPUTED_VALUE"""),20.0)</f>
        <v>20</v>
      </c>
      <c r="BC204" s="53"/>
      <c r="BD204" s="48"/>
      <c r="BE204" s="48"/>
      <c r="BF204" s="48"/>
    </row>
    <row r="205">
      <c r="A205" s="39" t="str">
        <f>IFERROR(__xludf.DUMMYFUNCTION("""COMPUTED_VALUE"""),"142")</f>
        <v>142</v>
      </c>
      <c r="B205" s="40" t="str">
        <f>IFERROR(__xludf.DUMMYFUNCTION("""COMPUTED_VALUE"""),"Casa con dos apartamentos en barrio Campo Nuñez")</f>
        <v>Casa con dos apartamentos en barrio Campo Nuñez</v>
      </c>
      <c r="C205" s="40" t="str">
        <f>IFERROR(__xludf.DUMMYFUNCTION("""COMPUTED_VALUE"""),"Casa rentable")</f>
        <v>Casa rentable</v>
      </c>
      <c r="D205" s="40" t="str">
        <f>IFERROR(__xludf.DUMMYFUNCTION("""COMPUTED_VALUE"""),"Campo Nuñez")</f>
        <v>Campo Nuñez</v>
      </c>
      <c r="E205" s="42" t="str">
        <f>IFERROR(__xludf.DUMMYFUNCTION("""COMPUTED_VALUE""")," ")</f>
        <v> </v>
      </c>
      <c r="F205" s="42">
        <f>IFERROR(__xludf.DUMMYFUNCTION("""COMPUTED_VALUE"""),2.6E8)</f>
        <v>260000000</v>
      </c>
      <c r="G205" s="40" t="str">
        <f>IFERROR(__xludf.DUMMYFUNCTION("""COMPUTED_VALUE"""),"$200'000.000 a $300'000.000")</f>
        <v>$200'000.000 a $300'000.000</v>
      </c>
      <c r="H205" s="40"/>
      <c r="I205" s="40"/>
      <c r="J205" s="40" t="str">
        <f>IFERROR(__xludf.DUMMYFUNCTION("""COMPUTED_VALUE"""),"Centro")</f>
        <v>Centro</v>
      </c>
      <c r="K205" s="39" t="str">
        <f>IFERROR(__xludf.DUMMYFUNCTION("""COMPUTED_VALUE"""),"3")</f>
        <v>3</v>
      </c>
      <c r="L205" s="40">
        <f>IFERROR(__xludf.DUMMYFUNCTION("""COMPUTED_VALUE"""),3.0)</f>
        <v>3</v>
      </c>
      <c r="M205" s="40"/>
      <c r="N205" s="40">
        <f>IFERROR(__xludf.DUMMYFUNCTION("""COMPUTED_VALUE"""),2.0)</f>
        <v>2</v>
      </c>
      <c r="O205" s="40">
        <f>IFERROR(__xludf.DUMMYFUNCTION("""COMPUTED_VALUE"""),1.0)</f>
        <v>1</v>
      </c>
      <c r="P205" s="40">
        <f>IFERROR(__xludf.DUMMYFUNCTION("""COMPUTED_VALUE"""),1.0)</f>
        <v>1</v>
      </c>
      <c r="Q205" s="48">
        <f>IFERROR(__xludf.DUMMYFUNCTION("""COMPUTED_VALUE"""),114.0)</f>
        <v>114</v>
      </c>
      <c r="R205" s="48">
        <f>IFERROR(__xludf.DUMMYFUNCTION("""COMPUTED_VALUE"""),120.0)</f>
        <v>120</v>
      </c>
      <c r="S205" s="39" t="str">
        <f>IFERROR(__xludf.DUMMYFUNCTION("""COMPUTED_VALUE"""),"Rentabilidad $1,100,000")</f>
        <v>Rentabilidad $1,100,000</v>
      </c>
      <c r="T205" s="40" t="str">
        <f>IFERROR(__xludf.DUMMYFUNCTION("""COMPUTED_VALUE"""),"Neiva")</f>
        <v>Neiva</v>
      </c>
      <c r="U205" s="39" t="str">
        <f>IFERROR(__xludf.DUMMYFUNCTION("""COMPUTED_VALUE"""),"3")</f>
        <v>3</v>
      </c>
      <c r="V205" s="40" t="str">
        <f>IFERROR(__xludf.DUMMYFUNCTION("""COMPUTED_VALUE"""),"Esquinera")</f>
        <v>Esquinera</v>
      </c>
      <c r="W205" s="46"/>
      <c r="X205" s="46">
        <f>IFERROR(__xludf.DUMMYFUNCTION("""COMPUTED_VALUE"""),1.0)</f>
        <v>1</v>
      </c>
      <c r="Y205" s="40" t="str">
        <f>IFERROR(__xludf.DUMMYFUNCTION("""COMPUTED_VALUE"""),"No tiene")</f>
        <v>No tiene</v>
      </c>
      <c r="Z205" s="42" t="str">
        <f>IFERROR(__xludf.DUMMYFUNCTION("""COMPUTED_VALUE"""),"No aplica")</f>
        <v>No aplica</v>
      </c>
      <c r="AA205" s="49" t="str">
        <f>IFERROR(__xludf.DUMMYFUNCTION("""COMPUTED_VALUE"""),"20 años")</f>
        <v>20 años</v>
      </c>
      <c r="AB205" s="66" t="str">
        <f>IFERROR(__xludf.DUMMYFUNCTION("""COMPUTED_VALUE"""),"https://photos.app.goo.gl/LFRkdQ8hMABKVr7y6")</f>
        <v>https://photos.app.goo.gl/LFRkdQ8hMABKVr7y6</v>
      </c>
      <c r="AC205" s="40"/>
      <c r="AD205" s="40"/>
      <c r="AE205" s="40"/>
      <c r="AF205" s="40" t="str">
        <f>IFERROR(__xludf.DUMMYFUNCTION("""COMPUTED_VALUE"""),"semi-integral")</f>
        <v>semi-integral</v>
      </c>
      <c r="AG205" s="40"/>
      <c r="AH205" s="40" t="str">
        <f>IFERROR(__xludf.DUMMYFUNCTION("""COMPUTED_VALUE"""),"Inventario")</f>
        <v>Inventario</v>
      </c>
      <c r="AI205" s="40"/>
      <c r="AJ205" s="40" t="str">
        <f>IFERROR(__xludf.DUMMYFUNCTION("""COMPUTED_VALUE"""),"ICDE")</f>
        <v>ICDE</v>
      </c>
      <c r="AK205" s="40"/>
      <c r="AL205" s="40" t="str">
        <f>IFERROR(__xludf.DUMMYFUNCTION("""COMPUTED_VALUE"""),"NO FOTOS + DESCRIPCION")</f>
        <v>NO FOTOS + DESCRIPCION</v>
      </c>
      <c r="AM205" s="40">
        <f>IFERROR(__xludf.DUMMYFUNCTION("""COMPUTED_VALUE"""),3.217035161E9)</f>
        <v>3217035161</v>
      </c>
      <c r="AN205" s="40">
        <f>IFERROR(__xludf.DUMMYFUNCTION("""COMPUTED_VALUE"""),3.142197323E9)</f>
        <v>3142197323</v>
      </c>
      <c r="AO205" s="40" t="str">
        <f>IFERROR(__xludf.DUMMYFUNCTION("""COMPUTED_VALUE"""),"QUINTILIANO")</f>
        <v>QUINTILIANO</v>
      </c>
      <c r="AP205" s="40" t="str">
        <f>IFERROR(__xludf.DUMMYFUNCTION("""COMPUTED_VALUE"""),"CARRERA 8 A No. 18 A - 59")</f>
        <v>CARRERA 8 A No. 18 A - 59</v>
      </c>
      <c r="AQ205" s="40"/>
      <c r="AR205" s="40"/>
      <c r="AS205" s="53">
        <f>IFERROR(__xludf.DUMMYFUNCTION("""COMPUTED_VALUE"""),1100000.0)</f>
        <v>1100000</v>
      </c>
      <c r="AT205" s="40">
        <f>IFERROR(__xludf.DUMMYFUNCTION("""COMPUTED_VALUE"""),0.0)</f>
        <v>0</v>
      </c>
      <c r="AU205" s="40">
        <f>IFERROR(__xludf.DUMMYFUNCTION("""COMPUTED_VALUE"""),0.0)</f>
        <v>0</v>
      </c>
      <c r="AV205" s="40">
        <f>IFERROR(__xludf.DUMMYFUNCTION("""COMPUTED_VALUE"""),0.0)</f>
        <v>0</v>
      </c>
      <c r="AW205" s="40" t="str">
        <f>IFERROR(__xludf.DUMMYFUNCTION("""COMPUTED_VALUE"""),"NO")</f>
        <v>NO</v>
      </c>
      <c r="AX205" s="40">
        <f>IFERROR(__xludf.DUMMYFUNCTION("""COMPUTED_VALUE"""),0.0)</f>
        <v>0</v>
      </c>
      <c r="AY205" s="40">
        <f>IFERROR(__xludf.DUMMYFUNCTION("""COMPUTED_VALUE"""),0.0)</f>
        <v>0</v>
      </c>
      <c r="AZ205" s="40">
        <f>IFERROR(__xludf.DUMMYFUNCTION("""COMPUTED_VALUE"""),12.0)</f>
        <v>12</v>
      </c>
      <c r="BA205" s="40" t="str">
        <f>IFERROR(__xludf.DUMMYFUNCTION("""COMPUTED_VALUE"""),"X")</f>
        <v>X</v>
      </c>
      <c r="BB205" s="40">
        <f>IFERROR(__xludf.DUMMYFUNCTION("""COMPUTED_VALUE"""),10.0)</f>
        <v>10</v>
      </c>
      <c r="BC205" s="53"/>
      <c r="BD205" s="48"/>
      <c r="BE205" s="48"/>
      <c r="BF205" s="48" t="str">
        <f>IFERROR(__xludf.DUMMYFUNCTION("""COMPUTED_VALUE"""),"❌ Error: HTTP 404 para: https://photos.google.com/share/AF1QipMyDdyA0jW9aQHb0tobuXfM_cVdqQyDD1YLZ7pUzT6Q5FOphFGD2MdAA-bKQ5xhWg?key=YU45b1NXdmZIbV9lWDZ5MmM2Wk9fOW5jcFUtTzNB")</f>
        <v>❌ Error: HTTP 404 para: https://photos.google.com/share/AF1QipMyDdyA0jW9aQHb0tobuXfM_cVdqQyDD1YLZ7pUzT6Q5FOphFGD2MdAA-bKQ5xhWg?key=YU45b1NXdmZIbV9lWDZ5MmM2Wk9fOW5jcFUtTzNB</v>
      </c>
    </row>
    <row r="206">
      <c r="A206" s="39" t="str">
        <f>IFERROR(__xludf.DUMMYFUNCTION("""COMPUTED_VALUE"""),"794")</f>
        <v>794</v>
      </c>
      <c r="B206" s="40" t="str">
        <f>IFERROR(__xludf.DUMMYFUNCTION("""COMPUTED_VALUE"""),"Casa en barrio Los Cámbulos II")</f>
        <v>Casa en barrio Los Cámbulos II</v>
      </c>
      <c r="C206" s="40" t="str">
        <f>IFERROR(__xludf.DUMMYFUNCTION("""COMPUTED_VALUE"""),"Casa")</f>
        <v>Casa</v>
      </c>
      <c r="D206" s="40" t="str">
        <f>IFERROR(__xludf.DUMMYFUNCTION("""COMPUTED_VALUE"""),"Los Cámbulos II")</f>
        <v>Los Cámbulos II</v>
      </c>
      <c r="E206" s="42" t="str">
        <f>IFERROR(__xludf.DUMMYFUNCTION("""COMPUTED_VALUE""")," ")</f>
        <v> </v>
      </c>
      <c r="F206" s="42">
        <f>IFERROR(__xludf.DUMMYFUNCTION("""COMPUTED_VALUE"""),2.5E8)</f>
        <v>250000000</v>
      </c>
      <c r="G206" s="40" t="str">
        <f>IFERROR(__xludf.DUMMYFUNCTION("""COMPUTED_VALUE"""),"$200'000.000 a $300'000.000")</f>
        <v>$200'000.000 a $300'000.000</v>
      </c>
      <c r="H206" s="40"/>
      <c r="I206" s="40"/>
      <c r="J206" s="40" t="str">
        <f>IFERROR(__xludf.DUMMYFUNCTION("""COMPUTED_VALUE"""),"Norte")</f>
        <v>Norte</v>
      </c>
      <c r="K206" s="39" t="str">
        <f>IFERROR(__xludf.DUMMYFUNCTION("""COMPUTED_VALUE"""),"2")</f>
        <v>2</v>
      </c>
      <c r="L206" s="40">
        <f>IFERROR(__xludf.DUMMYFUNCTION("""COMPUTED_VALUE"""),4.0)</f>
        <v>4</v>
      </c>
      <c r="M206" s="40"/>
      <c r="N206" s="40">
        <f>IFERROR(__xludf.DUMMYFUNCTION("""COMPUTED_VALUE"""),2.0)</f>
        <v>2</v>
      </c>
      <c r="O206" s="40">
        <f>IFERROR(__xludf.DUMMYFUNCTION("""COMPUTED_VALUE"""),2.0)</f>
        <v>2</v>
      </c>
      <c r="P206" s="40">
        <f>IFERROR(__xludf.DUMMYFUNCTION("""COMPUTED_VALUE"""),2.0)</f>
        <v>2</v>
      </c>
      <c r="Q206" s="48"/>
      <c r="R206" s="48">
        <f>IFERROR(__xludf.DUMMYFUNCTION("""COMPUTED_VALUE"""),112.0)</f>
        <v>112</v>
      </c>
      <c r="S206" s="39" t="str">
        <f>IFERROR(__xludf.DUMMYFUNCTION("""COMPUTED_VALUE"""),"Rentabilidad $800,000")</f>
        <v>Rentabilidad $800,000</v>
      </c>
      <c r="T206" s="40" t="str">
        <f>IFERROR(__xludf.DUMMYFUNCTION("""COMPUTED_VALUE"""),"Neiva")</f>
        <v>Neiva</v>
      </c>
      <c r="U206" s="39" t="str">
        <f>IFERROR(__xludf.DUMMYFUNCTION("""COMPUTED_VALUE"""),"3")</f>
        <v>3</v>
      </c>
      <c r="V206" s="40" t="str">
        <f>IFERROR(__xludf.DUMMYFUNCTION("""COMPUTED_VALUE"""),"Medianera")</f>
        <v>Medianera</v>
      </c>
      <c r="W206" s="46"/>
      <c r="X206" s="46">
        <f>IFERROR(__xludf.DUMMYFUNCTION("""COMPUTED_VALUE"""),0.0)</f>
        <v>0</v>
      </c>
      <c r="Y206" s="40" t="str">
        <f>IFERROR(__xludf.DUMMYFUNCTION("""COMPUTED_VALUE"""),"No tiene")</f>
        <v>No tiene</v>
      </c>
      <c r="Z206" s="42" t="str">
        <f>IFERROR(__xludf.DUMMYFUNCTION("""COMPUTED_VALUE"""),"No aplica")</f>
        <v>No aplica</v>
      </c>
      <c r="AA206" s="49" t="str">
        <f>IFERROR(__xludf.DUMMYFUNCTION("""COMPUTED_VALUE"""),"26 años")</f>
        <v>26 años</v>
      </c>
      <c r="AB206" s="48"/>
      <c r="AC206" s="40"/>
      <c r="AD206" s="40"/>
      <c r="AE206" s="40"/>
      <c r="AF206" s="40" t="str">
        <f>IFERROR(__xludf.DUMMYFUNCTION("""COMPUTED_VALUE"""),"integral")</f>
        <v>integral</v>
      </c>
      <c r="AG206" s="40"/>
      <c r="AH206" s="40" t="str">
        <f>IFERROR(__xludf.DUMMYFUNCTION("""COMPUTED_VALUE"""),"Inventario")</f>
        <v>Inventario</v>
      </c>
      <c r="AI206" s="40"/>
      <c r="AJ206" s="40" t="str">
        <f>IFERROR(__xludf.DUMMYFUNCTION("""COMPUTED_VALUE"""),"ICDE")</f>
        <v>ICDE</v>
      </c>
      <c r="AK206" s="40"/>
      <c r="AL206" s="40" t="str">
        <f>IFERROR(__xludf.DUMMYFUNCTION("""COMPUTED_VALUE"""),"NO FOTOS INT.")</f>
        <v>NO FOTOS INT.</v>
      </c>
      <c r="AM206" s="40">
        <f>IFERROR(__xludf.DUMMYFUNCTION("""COMPUTED_VALUE"""),3.108826136E9)</f>
        <v>3108826136</v>
      </c>
      <c r="AN206" s="40"/>
      <c r="AO206" s="40" t="str">
        <f>IFERROR(__xludf.DUMMYFUNCTION("""COMPUTED_VALUE"""),"CECILIA POLANIA")</f>
        <v>CECILIA POLANIA</v>
      </c>
      <c r="AP206" s="40" t="str">
        <f>IFERROR(__xludf.DUMMYFUNCTION("""COMPUTED_VALUE"""),"Carrera 8 D No. 34-34")</f>
        <v>Carrera 8 D No. 34-34</v>
      </c>
      <c r="AQ206" s="40"/>
      <c r="AR206" s="40"/>
      <c r="AS206" s="53">
        <f>IFERROR(__xludf.DUMMYFUNCTION("""COMPUTED_VALUE"""),800000.0)</f>
        <v>800000</v>
      </c>
      <c r="AT206" s="40">
        <f>IFERROR(__xludf.DUMMYFUNCTION("""COMPUTED_VALUE"""),0.0)</f>
        <v>0</v>
      </c>
      <c r="AU206" s="40">
        <f>IFERROR(__xludf.DUMMYFUNCTION("""COMPUTED_VALUE"""),0.0)</f>
        <v>0</v>
      </c>
      <c r="AV206" s="40">
        <f>IFERROR(__xludf.DUMMYFUNCTION("""COMPUTED_VALUE"""),0.0)</f>
        <v>0</v>
      </c>
      <c r="AW206" s="40" t="str">
        <f>IFERROR(__xludf.DUMMYFUNCTION("""COMPUTED_VALUE"""),"NO")</f>
        <v>NO</v>
      </c>
      <c r="AX206" s="40">
        <f>IFERROR(__xludf.DUMMYFUNCTION("""COMPUTED_VALUE"""),0.0)</f>
        <v>0</v>
      </c>
      <c r="AY206" s="40">
        <f>IFERROR(__xludf.DUMMYFUNCTION("""COMPUTED_VALUE"""),0.0)</f>
        <v>0</v>
      </c>
      <c r="AZ206" s="40">
        <f>IFERROR(__xludf.DUMMYFUNCTION("""COMPUTED_VALUE"""),7.0)</f>
        <v>7</v>
      </c>
      <c r="BA206" s="40" t="str">
        <f>IFERROR(__xludf.DUMMYFUNCTION("""COMPUTED_VALUE"""),"X")</f>
        <v>X</v>
      </c>
      <c r="BB206" s="40">
        <f>IFERROR(__xludf.DUMMYFUNCTION("""COMPUTED_VALUE"""),16.0)</f>
        <v>16</v>
      </c>
      <c r="BC206" s="53"/>
      <c r="BD206" s="48"/>
      <c r="BE206" s="48"/>
      <c r="BF206" s="48"/>
    </row>
    <row r="207">
      <c r="A207" s="39" t="str">
        <f>IFERROR(__xludf.DUMMYFUNCTION("""COMPUTED_VALUE"""),"368")</f>
        <v>368</v>
      </c>
      <c r="B207" s="40" t="str">
        <f>IFERROR(__xludf.DUMMYFUNCTION("""COMPUTED_VALUE"""),"Casa en barrio Villa Carolina")</f>
        <v>Casa en barrio Villa Carolina</v>
      </c>
      <c r="C207" s="40" t="str">
        <f>IFERROR(__xludf.DUMMYFUNCTION("""COMPUTED_VALUE"""),"Casa")</f>
        <v>Casa</v>
      </c>
      <c r="D207" s="40" t="str">
        <f>IFERROR(__xludf.DUMMYFUNCTION("""COMPUTED_VALUE"""),"Villa Carolina")</f>
        <v>Villa Carolina</v>
      </c>
      <c r="E207" s="40"/>
      <c r="F207" s="42">
        <f>IFERROR(__xludf.DUMMYFUNCTION("""COMPUTED_VALUE"""),2.5E8)</f>
        <v>250000000</v>
      </c>
      <c r="G207" s="40" t="str">
        <f>IFERROR(__xludf.DUMMYFUNCTION("""COMPUTED_VALUE"""),"$200'000.000 a $300'000.000")</f>
        <v>$200'000.000 a $300'000.000</v>
      </c>
      <c r="H207" s="40"/>
      <c r="I207" s="40"/>
      <c r="J207" s="40" t="str">
        <f>IFERROR(__xludf.DUMMYFUNCTION("""COMPUTED_VALUE"""),"Norte")</f>
        <v>Norte</v>
      </c>
      <c r="K207" s="39" t="str">
        <f>IFERROR(__xludf.DUMMYFUNCTION("""COMPUTED_VALUE"""),"2")</f>
        <v>2</v>
      </c>
      <c r="L207" s="40">
        <f>IFERROR(__xludf.DUMMYFUNCTION("""COMPUTED_VALUE"""),4.0)</f>
        <v>4</v>
      </c>
      <c r="M207" s="40"/>
      <c r="N207" s="40">
        <f>IFERROR(__xludf.DUMMYFUNCTION("""COMPUTED_VALUE"""),4.0)</f>
        <v>4</v>
      </c>
      <c r="O207" s="40">
        <f>IFERROR(__xludf.DUMMYFUNCTION("""COMPUTED_VALUE"""),1.0)</f>
        <v>1</v>
      </c>
      <c r="P207" s="40">
        <f>IFERROR(__xludf.DUMMYFUNCTION("""COMPUTED_VALUE"""),2.0)</f>
        <v>2</v>
      </c>
      <c r="Q207" s="48"/>
      <c r="R207" s="48">
        <f>IFERROR(__xludf.DUMMYFUNCTION("""COMPUTED_VALUE"""),0.0)</f>
        <v>0</v>
      </c>
      <c r="S207" s="39" t="str">
        <f>IFERROR(__xludf.DUMMYFUNCTION("""COMPUTED_VALUE""")," ")</f>
        <v> </v>
      </c>
      <c r="T207" s="40" t="str">
        <f>IFERROR(__xludf.DUMMYFUNCTION("""COMPUTED_VALUE"""),"Neiva")</f>
        <v>Neiva</v>
      </c>
      <c r="U207" s="39" t="str">
        <f>IFERROR(__xludf.DUMMYFUNCTION("""COMPUTED_VALUE"""),"3")</f>
        <v>3</v>
      </c>
      <c r="V207" s="40" t="str">
        <f>IFERROR(__xludf.DUMMYFUNCTION("""COMPUTED_VALUE"""),"Medianera")</f>
        <v>Medianera</v>
      </c>
      <c r="W207" s="46"/>
      <c r="X207" s="46">
        <f>IFERROR(__xludf.DUMMYFUNCTION("""COMPUTED_VALUE"""),4.0)</f>
        <v>4</v>
      </c>
      <c r="Y207" s="40" t="str">
        <f>IFERROR(__xludf.DUMMYFUNCTION("""COMPUTED_VALUE"""),"No tiene")</f>
        <v>No tiene</v>
      </c>
      <c r="Z207" s="42" t="str">
        <f>IFERROR(__xludf.DUMMYFUNCTION("""COMPUTED_VALUE"""),"No aplica")</f>
        <v>No aplica</v>
      </c>
      <c r="AA207" s="49" t="str">
        <f>IFERROR(__xludf.DUMMYFUNCTION("""COMPUTED_VALUE"""),"No aplica")</f>
        <v>No aplica</v>
      </c>
      <c r="AB207" s="48"/>
      <c r="AC207" s="40"/>
      <c r="AD207" s="40"/>
      <c r="AE207" s="40"/>
      <c r="AF207" s="40" t="str">
        <f>IFERROR(__xludf.DUMMYFUNCTION("""COMPUTED_VALUE"""),"integral")</f>
        <v>integral</v>
      </c>
      <c r="AG207" s="40"/>
      <c r="AH207" s="40" t="str">
        <f>IFERROR(__xludf.DUMMYFUNCTION("""COMPUTED_VALUE"""),"Inventario")</f>
        <v>Inventario</v>
      </c>
      <c r="AI207" s="40"/>
      <c r="AJ207" s="40" t="str">
        <f>IFERROR(__xludf.DUMMYFUNCTION("""COMPUTED_VALUE"""),"ICDE")</f>
        <v>ICDE</v>
      </c>
      <c r="AK207" s="40"/>
      <c r="AL207" s="40" t="str">
        <f>IFERROR(__xludf.DUMMYFUNCTION("""COMPUTED_VALUE"""),"NO FOTOS + DESCRIPCION")</f>
        <v>NO FOTOS + DESCRIPCION</v>
      </c>
      <c r="AM207" s="40">
        <f>IFERROR(__xludf.DUMMYFUNCTION("""COMPUTED_VALUE"""),3.112875585E9)</f>
        <v>3112875585</v>
      </c>
      <c r="AN207" s="40">
        <f>IFERROR(__xludf.DUMMYFUNCTION("""COMPUTED_VALUE"""),3.143538899E9)</f>
        <v>3143538899</v>
      </c>
      <c r="AO207" s="40" t="str">
        <f>IFERROR(__xludf.DUMMYFUNCTION("""COMPUTED_VALUE"""),"CARLOS LOSADA")</f>
        <v>CARLOS LOSADA</v>
      </c>
      <c r="AP207" s="40" t="str">
        <f>IFERROR(__xludf.DUMMYFUNCTION("""COMPUTED_VALUE"""),"CALLE 57 A No.  17 C - 19")</f>
        <v>CALLE 57 A No.  17 C - 19</v>
      </c>
      <c r="AQ207" s="40"/>
      <c r="AR207" s="40"/>
      <c r="AS207" s="53">
        <f>IFERROR(__xludf.DUMMYFUNCTION("""COMPUTED_VALUE"""),0.0)</f>
        <v>0</v>
      </c>
      <c r="AT207" s="40">
        <f>IFERROR(__xludf.DUMMYFUNCTION("""COMPUTED_VALUE"""),0.0)</f>
        <v>0</v>
      </c>
      <c r="AU207" s="40">
        <f>IFERROR(__xludf.DUMMYFUNCTION("""COMPUTED_VALUE"""),0.0)</f>
        <v>0</v>
      </c>
      <c r="AV207" s="40">
        <f>IFERROR(__xludf.DUMMYFUNCTION("""COMPUTED_VALUE"""),0.0)</f>
        <v>0</v>
      </c>
      <c r="AW207" s="40" t="str">
        <f>IFERROR(__xludf.DUMMYFUNCTION("""COMPUTED_VALUE"""),"NO")</f>
        <v>NO</v>
      </c>
      <c r="AX207" s="40">
        <f>IFERROR(__xludf.DUMMYFUNCTION("""COMPUTED_VALUE"""),0.0)</f>
        <v>0</v>
      </c>
      <c r="AY207" s="40">
        <f>IFERROR(__xludf.DUMMYFUNCTION("""COMPUTED_VALUE"""),0.0)</f>
        <v>0</v>
      </c>
      <c r="AZ207" s="40">
        <f>IFERROR(__xludf.DUMMYFUNCTION("""COMPUTED_VALUE"""),0.0)</f>
        <v>0</v>
      </c>
      <c r="BA207" s="40" t="str">
        <f>IFERROR(__xludf.DUMMYFUNCTION("""COMPUTED_VALUE"""),"X")</f>
        <v>X</v>
      </c>
      <c r="BB207" s="40">
        <f>IFERROR(__xludf.DUMMYFUNCTION("""COMPUTED_VALUE"""),0.0)</f>
        <v>0</v>
      </c>
      <c r="BC207" s="53"/>
      <c r="BD207" s="48"/>
      <c r="BE207" s="48"/>
      <c r="BF207" s="48"/>
    </row>
    <row r="208">
      <c r="A208" s="39" t="str">
        <f>IFERROR(__xludf.DUMMYFUNCTION("""COMPUTED_VALUE"""),"234")</f>
        <v>234</v>
      </c>
      <c r="B208" s="40" t="str">
        <f>IFERROR(__xludf.DUMMYFUNCTION("""COMPUTED_VALUE"""),"Casa con un apartamento  en barrio Alamos Norte")</f>
        <v>Casa con un apartamento  en barrio Alamos Norte</v>
      </c>
      <c r="C208" s="40" t="str">
        <f>IFERROR(__xludf.DUMMYFUNCTION("""COMPUTED_VALUE"""),"Casa rentable")</f>
        <v>Casa rentable</v>
      </c>
      <c r="D208" s="40" t="str">
        <f>IFERROR(__xludf.DUMMYFUNCTION("""COMPUTED_VALUE"""),"Alamos Norte ")</f>
        <v>Alamos Norte </v>
      </c>
      <c r="E208" s="42" t="str">
        <f>IFERROR(__xludf.DUMMYFUNCTION("""COMPUTED_VALUE""")," ")</f>
        <v> </v>
      </c>
      <c r="F208" s="42">
        <f>IFERROR(__xludf.DUMMYFUNCTION("""COMPUTED_VALUE"""),2.5E8)</f>
        <v>250000000</v>
      </c>
      <c r="G208" s="40" t="str">
        <f>IFERROR(__xludf.DUMMYFUNCTION("""COMPUTED_VALUE"""),"$200'000.000 a $300'000.000")</f>
        <v>$200'000.000 a $300'000.000</v>
      </c>
      <c r="H208" s="40"/>
      <c r="I208" s="40"/>
      <c r="J208" s="40" t="str">
        <f>IFERROR(__xludf.DUMMYFUNCTION("""COMPUTED_VALUE"""),"Norte")</f>
        <v>Norte</v>
      </c>
      <c r="K208" s="39"/>
      <c r="L208" s="40">
        <f>IFERROR(__xludf.DUMMYFUNCTION("""COMPUTED_VALUE"""),5.0)</f>
        <v>5</v>
      </c>
      <c r="M208" s="40"/>
      <c r="N208" s="40">
        <f>IFERROR(__xludf.DUMMYFUNCTION("""COMPUTED_VALUE"""),3.0)</f>
        <v>3</v>
      </c>
      <c r="O208" s="40">
        <f>IFERROR(__xludf.DUMMYFUNCTION("""COMPUTED_VALUE"""),3.0)</f>
        <v>3</v>
      </c>
      <c r="P208" s="40">
        <f>IFERROR(__xludf.DUMMYFUNCTION("""COMPUTED_VALUE"""),2.0)</f>
        <v>2</v>
      </c>
      <c r="Q208" s="48"/>
      <c r="R208" s="48">
        <f>IFERROR(__xludf.DUMMYFUNCTION("""COMPUTED_VALUE"""),112.0)</f>
        <v>112</v>
      </c>
      <c r="S208" s="39" t="str">
        <f>IFERROR(__xludf.DUMMYFUNCTION("""COMPUTED_VALUE"""),"Rentabilidad $1,200,000")</f>
        <v>Rentabilidad $1,200,000</v>
      </c>
      <c r="T208" s="40" t="str">
        <f>IFERROR(__xludf.DUMMYFUNCTION("""COMPUTED_VALUE"""),"Neiva")</f>
        <v>Neiva</v>
      </c>
      <c r="U208" s="39" t="str">
        <f>IFERROR(__xludf.DUMMYFUNCTION("""COMPUTED_VALUE"""),"2")</f>
        <v>2</v>
      </c>
      <c r="V208" s="40" t="str">
        <f>IFERROR(__xludf.DUMMYFUNCTION("""COMPUTED_VALUE"""),"Esquinera")</f>
        <v>Esquinera</v>
      </c>
      <c r="W208" s="46"/>
      <c r="X208" s="46">
        <f>IFERROR(__xludf.DUMMYFUNCTION("""COMPUTED_VALUE"""),1.0)</f>
        <v>1</v>
      </c>
      <c r="Y208" s="40" t="str">
        <f>IFERROR(__xludf.DUMMYFUNCTION("""COMPUTED_VALUE"""),"No tiene")</f>
        <v>No tiene</v>
      </c>
      <c r="Z208" s="42" t="str">
        <f>IFERROR(__xludf.DUMMYFUNCTION("""COMPUTED_VALUE"""),"No aplica")</f>
        <v>No aplica</v>
      </c>
      <c r="AA208" s="49" t="str">
        <f>IFERROR(__xludf.DUMMYFUNCTION("""COMPUTED_VALUE"""),"17 años")</f>
        <v>17 años</v>
      </c>
      <c r="AB208" s="48"/>
      <c r="AC208" s="40"/>
      <c r="AD208" s="40"/>
      <c r="AE208" s="40"/>
      <c r="AF208" s="40" t="str">
        <f>IFERROR(__xludf.DUMMYFUNCTION("""COMPUTED_VALUE"""),"semi-integral")</f>
        <v>semi-integral</v>
      </c>
      <c r="AG208" s="40"/>
      <c r="AH208" s="40" t="str">
        <f>IFERROR(__xludf.DUMMYFUNCTION("""COMPUTED_VALUE"""),"Inventario")</f>
        <v>Inventario</v>
      </c>
      <c r="AI208" s="40"/>
      <c r="AJ208" s="40" t="str">
        <f>IFERROR(__xludf.DUMMYFUNCTION("""COMPUTED_VALUE"""),"ICDE")</f>
        <v>ICDE</v>
      </c>
      <c r="AK208" s="40"/>
      <c r="AL208" s="40" t="str">
        <f>IFERROR(__xludf.DUMMYFUNCTION("""COMPUTED_VALUE"""),"NO FOTOS + DESCRIPCION")</f>
        <v>NO FOTOS + DESCRIPCION</v>
      </c>
      <c r="AM208" s="40">
        <f>IFERROR(__xludf.DUMMYFUNCTION("""COMPUTED_VALUE"""),3.185954932E9)</f>
        <v>3185954932</v>
      </c>
      <c r="AN208" s="40"/>
      <c r="AO208" s="40" t="str">
        <f>IFERROR(__xludf.DUMMYFUNCTION("""COMPUTED_VALUE"""),"TERESA AMAYA - EDGAR")</f>
        <v>TERESA AMAYA - EDGAR</v>
      </c>
      <c r="AP208" s="40" t="str">
        <f>IFERROR(__xludf.DUMMYFUNCTION("""COMPUTED_VALUE"""),"CALLE 51 NO. 17 C -04")</f>
        <v>CALLE 51 NO. 17 C -04</v>
      </c>
      <c r="AQ208" s="40"/>
      <c r="AR208" s="40"/>
      <c r="AS208" s="53">
        <f>IFERROR(__xludf.DUMMYFUNCTION("""COMPUTED_VALUE"""),1200000.0)</f>
        <v>1200000</v>
      </c>
      <c r="AT208" s="40">
        <f>IFERROR(__xludf.DUMMYFUNCTION("""COMPUTED_VALUE"""),0.0)</f>
        <v>0</v>
      </c>
      <c r="AU208" s="40">
        <f>IFERROR(__xludf.DUMMYFUNCTION("""COMPUTED_VALUE"""),0.0)</f>
        <v>0</v>
      </c>
      <c r="AV208" s="40">
        <f>IFERROR(__xludf.DUMMYFUNCTION("""COMPUTED_VALUE"""),0.0)</f>
        <v>0</v>
      </c>
      <c r="AW208" s="40" t="str">
        <f>IFERROR(__xludf.DUMMYFUNCTION("""COMPUTED_VALUE"""),"NO")</f>
        <v>NO</v>
      </c>
      <c r="AX208" s="40">
        <f>IFERROR(__xludf.DUMMYFUNCTION("""COMPUTED_VALUE"""),0.0)</f>
        <v>0</v>
      </c>
      <c r="AY208" s="40">
        <f>IFERROR(__xludf.DUMMYFUNCTION("""COMPUTED_VALUE"""),0.0)</f>
        <v>0</v>
      </c>
      <c r="AZ208" s="40">
        <f>IFERROR(__xludf.DUMMYFUNCTION("""COMPUTED_VALUE"""),8.0)</f>
        <v>8</v>
      </c>
      <c r="BA208" s="40" t="str">
        <f>IFERROR(__xludf.DUMMYFUNCTION("""COMPUTED_VALUE"""),"X")</f>
        <v>X</v>
      </c>
      <c r="BB208" s="40">
        <f>IFERROR(__xludf.DUMMYFUNCTION("""COMPUTED_VALUE"""),14.0)</f>
        <v>14</v>
      </c>
      <c r="BC208" s="53"/>
      <c r="BD208" s="48"/>
      <c r="BE208" s="48"/>
      <c r="BF208" s="48"/>
    </row>
    <row r="209">
      <c r="A209" s="39" t="str">
        <f>IFERROR(__xludf.DUMMYFUNCTION("""COMPUTED_VALUE"""),"218")</f>
        <v>218</v>
      </c>
      <c r="B209" s="40" t="str">
        <f>IFERROR(__xludf.DUMMYFUNCTION("""COMPUTED_VALUE"""),"Casa con un apartaestudio en barrio Sevilla")</f>
        <v>Casa con un apartaestudio en barrio Sevilla</v>
      </c>
      <c r="C209" s="40" t="str">
        <f>IFERROR(__xludf.DUMMYFUNCTION("""COMPUTED_VALUE"""),"Casa rentable")</f>
        <v>Casa rentable</v>
      </c>
      <c r="D209" s="40" t="str">
        <f>IFERROR(__xludf.DUMMYFUNCTION("""COMPUTED_VALUE"""),"Sevilla")</f>
        <v>Sevilla</v>
      </c>
      <c r="E209" s="42" t="str">
        <f>IFERROR(__xludf.DUMMYFUNCTION("""COMPUTED_VALUE""")," ")</f>
        <v> </v>
      </c>
      <c r="F209" s="42">
        <f>IFERROR(__xludf.DUMMYFUNCTION("""COMPUTED_VALUE"""),2.5E8)</f>
        <v>250000000</v>
      </c>
      <c r="G209" s="40" t="str">
        <f>IFERROR(__xludf.DUMMYFUNCTION("""COMPUTED_VALUE"""),"$200'000.000 a $300'000.000")</f>
        <v>$200'000.000 a $300'000.000</v>
      </c>
      <c r="H209" s="40"/>
      <c r="I209" s="40"/>
      <c r="J209" s="40" t="str">
        <f>IFERROR(__xludf.DUMMYFUNCTION("""COMPUTED_VALUE"""),"Centro")</f>
        <v>Centro</v>
      </c>
      <c r="K209" s="39" t="str">
        <f>IFERROR(__xludf.DUMMYFUNCTION("""COMPUTED_VALUE"""),"3")</f>
        <v>3</v>
      </c>
      <c r="L209" s="40">
        <f>IFERROR(__xludf.DUMMYFUNCTION("""COMPUTED_VALUE"""),4.0)</f>
        <v>4</v>
      </c>
      <c r="M209" s="40"/>
      <c r="N209" s="40">
        <f>IFERROR(__xludf.DUMMYFUNCTION("""COMPUTED_VALUE"""),2.0)</f>
        <v>2</v>
      </c>
      <c r="O209" s="40">
        <f>IFERROR(__xludf.DUMMYFUNCTION("""COMPUTED_VALUE"""),1.0)</f>
        <v>1</v>
      </c>
      <c r="P209" s="40">
        <f>IFERROR(__xludf.DUMMYFUNCTION("""COMPUTED_VALUE"""),1.0)</f>
        <v>1</v>
      </c>
      <c r="Q209" s="48"/>
      <c r="R209" s="48">
        <f>IFERROR(__xludf.DUMMYFUNCTION("""COMPUTED_VALUE"""),166.5)</f>
        <v>166.5</v>
      </c>
      <c r="S209" s="39" t="str">
        <f>IFERROR(__xludf.DUMMYFUNCTION("""COMPUTED_VALUE"""),"Rentabilidad $1,100,000")</f>
        <v>Rentabilidad $1,100,000</v>
      </c>
      <c r="T209" s="40" t="str">
        <f>IFERROR(__xludf.DUMMYFUNCTION("""COMPUTED_VALUE"""),"Neiva")</f>
        <v>Neiva</v>
      </c>
      <c r="U209" s="39" t="str">
        <f>IFERROR(__xludf.DUMMYFUNCTION("""COMPUTED_VALUE"""),"3")</f>
        <v>3</v>
      </c>
      <c r="V209" s="40" t="str">
        <f>IFERROR(__xludf.DUMMYFUNCTION("""COMPUTED_VALUE"""),"Medianera")</f>
        <v>Medianera</v>
      </c>
      <c r="W209" s="46"/>
      <c r="X209" s="46">
        <f>IFERROR(__xludf.DUMMYFUNCTION("""COMPUTED_VALUE"""),3.0)</f>
        <v>3</v>
      </c>
      <c r="Y209" s="40" t="str">
        <f>IFERROR(__xludf.DUMMYFUNCTION("""COMPUTED_VALUE"""),"No tiene")</f>
        <v>No tiene</v>
      </c>
      <c r="Z209" s="42" t="str">
        <f>IFERROR(__xludf.DUMMYFUNCTION("""COMPUTED_VALUE"""),"No aplica")</f>
        <v>No aplica</v>
      </c>
      <c r="AA209" s="49" t="str">
        <f>IFERROR(__xludf.DUMMYFUNCTION("""COMPUTED_VALUE"""),"19 años")</f>
        <v>19 años</v>
      </c>
      <c r="AB209" s="48"/>
      <c r="AC209" s="40"/>
      <c r="AD209" s="40"/>
      <c r="AE209" s="40"/>
      <c r="AF209" s="40" t="str">
        <f>IFERROR(__xludf.DUMMYFUNCTION("""COMPUTED_VALUE"""),"básica")</f>
        <v>básica</v>
      </c>
      <c r="AG209" s="40"/>
      <c r="AH209" s="40" t="str">
        <f>IFERROR(__xludf.DUMMYFUNCTION("""COMPUTED_VALUE"""),"Inventario")</f>
        <v>Inventario</v>
      </c>
      <c r="AI209" s="40"/>
      <c r="AJ209" s="40" t="str">
        <f>IFERROR(__xludf.DUMMYFUNCTION("""COMPUTED_VALUE"""),"ICDE")</f>
        <v>ICDE</v>
      </c>
      <c r="AK209" s="40"/>
      <c r="AL209" s="40" t="str">
        <f>IFERROR(__xludf.DUMMYFUNCTION("""COMPUTED_VALUE"""),"TIENE FOTOS")</f>
        <v>TIENE FOTOS</v>
      </c>
      <c r="AM209" s="40">
        <f>IFERROR(__xludf.DUMMYFUNCTION("""COMPUTED_VALUE"""),3.144614595E9)</f>
        <v>3144614595</v>
      </c>
      <c r="AN209" s="40">
        <f>IFERROR(__xludf.DUMMYFUNCTION("""COMPUTED_VALUE"""),3.128625705E9)</f>
        <v>3128625705</v>
      </c>
      <c r="AO209" s="40" t="str">
        <f>IFERROR(__xludf.DUMMYFUNCTION("""COMPUTED_VALUE"""),"DARWING VILLAREAL")</f>
        <v>DARWING VILLAREAL</v>
      </c>
      <c r="AP209" s="40" t="str">
        <f>IFERROR(__xludf.DUMMYFUNCTION("""COMPUTED_VALUE"""),"CALLE 23 CON CARRERA 6")</f>
        <v>CALLE 23 CON CARRERA 6</v>
      </c>
      <c r="AQ209" s="40"/>
      <c r="AR209" s="40"/>
      <c r="AS209" s="53">
        <f>IFERROR(__xludf.DUMMYFUNCTION("""COMPUTED_VALUE"""),1100000.0)</f>
        <v>1100000</v>
      </c>
      <c r="AT209" s="40">
        <f>IFERROR(__xludf.DUMMYFUNCTION("""COMPUTED_VALUE"""),0.0)</f>
        <v>0</v>
      </c>
      <c r="AU209" s="40">
        <f>IFERROR(__xludf.DUMMYFUNCTION("""COMPUTED_VALUE"""),0.0)</f>
        <v>0</v>
      </c>
      <c r="AV209" s="40">
        <f>IFERROR(__xludf.DUMMYFUNCTION("""COMPUTED_VALUE"""),0.0)</f>
        <v>0</v>
      </c>
      <c r="AW209" s="40" t="str">
        <f>IFERROR(__xludf.DUMMYFUNCTION("""COMPUTED_VALUE"""),"NO")</f>
        <v>NO</v>
      </c>
      <c r="AX209" s="40">
        <f>IFERROR(__xludf.DUMMYFUNCTION("""COMPUTED_VALUE"""),0.0)</f>
        <v>0</v>
      </c>
      <c r="AY209" s="40">
        <f>IFERROR(__xludf.DUMMYFUNCTION("""COMPUTED_VALUE"""),0.0)</f>
        <v>0</v>
      </c>
      <c r="AZ209" s="40">
        <f>IFERROR(__xludf.DUMMYFUNCTION("""COMPUTED_VALUE"""),9.0)</f>
        <v>9</v>
      </c>
      <c r="BA209" s="40" t="str">
        <f>IFERROR(__xludf.DUMMYFUNCTION("""COMPUTED_VALUE"""),"X")</f>
        <v>X</v>
      </c>
      <c r="BB209" s="40">
        <f>IFERROR(__xludf.DUMMYFUNCTION("""COMPUTED_VALUE"""),18.5)</f>
        <v>18.5</v>
      </c>
      <c r="BC209" s="53"/>
      <c r="BD209" s="48"/>
      <c r="BE209" s="48"/>
      <c r="BF209" s="48"/>
    </row>
    <row r="210">
      <c r="A210" s="39" t="str">
        <f>IFERROR(__xludf.DUMMYFUNCTION("""COMPUTED_VALUE"""),"146")</f>
        <v>146</v>
      </c>
      <c r="B210" s="40" t="str">
        <f>IFERROR(__xludf.DUMMYFUNCTION("""COMPUTED_VALUE"""),"Casa en barrio Los Cámbulos II")</f>
        <v>Casa en barrio Los Cámbulos II</v>
      </c>
      <c r="C210" s="40" t="str">
        <f>IFERROR(__xludf.DUMMYFUNCTION("""COMPUTED_VALUE"""),"Casa")</f>
        <v>Casa</v>
      </c>
      <c r="D210" s="40" t="str">
        <f>IFERROR(__xludf.DUMMYFUNCTION("""COMPUTED_VALUE"""),"Los Cámbulos II")</f>
        <v>Los Cámbulos II</v>
      </c>
      <c r="E210" s="42" t="str">
        <f>IFERROR(__xludf.DUMMYFUNCTION("""COMPUTED_VALUE""")," ")</f>
        <v> </v>
      </c>
      <c r="F210" s="42">
        <f>IFERROR(__xludf.DUMMYFUNCTION("""COMPUTED_VALUE"""),2.5E8)</f>
        <v>250000000</v>
      </c>
      <c r="G210" s="40" t="str">
        <f>IFERROR(__xludf.DUMMYFUNCTION("""COMPUTED_VALUE"""),"$200'000.000 a $300'000.000")</f>
        <v>$200'000.000 a $300'000.000</v>
      </c>
      <c r="H210" s="40"/>
      <c r="I210" s="40"/>
      <c r="J210" s="40" t="str">
        <f>IFERROR(__xludf.DUMMYFUNCTION("""COMPUTED_VALUE"""),"Norte")</f>
        <v>Norte</v>
      </c>
      <c r="K210" s="39" t="str">
        <f>IFERROR(__xludf.DUMMYFUNCTION("""COMPUTED_VALUE"""),"2")</f>
        <v>2</v>
      </c>
      <c r="L210" s="40">
        <f>IFERROR(__xludf.DUMMYFUNCTION("""COMPUTED_VALUE"""),5.0)</f>
        <v>5</v>
      </c>
      <c r="M210" s="40"/>
      <c r="N210" s="40">
        <f>IFERROR(__xludf.DUMMYFUNCTION("""COMPUTED_VALUE"""),3.0)</f>
        <v>3</v>
      </c>
      <c r="O210" s="40">
        <f>IFERROR(__xludf.DUMMYFUNCTION("""COMPUTED_VALUE"""),1.0)</f>
        <v>1</v>
      </c>
      <c r="P210" s="40">
        <f>IFERROR(__xludf.DUMMYFUNCTION("""COMPUTED_VALUE"""),2.0)</f>
        <v>2</v>
      </c>
      <c r="Q210" s="48"/>
      <c r="R210" s="48">
        <f>IFERROR(__xludf.DUMMYFUNCTION("""COMPUTED_VALUE"""),0.0)</f>
        <v>0</v>
      </c>
      <c r="S210" s="39" t="str">
        <f>IFERROR(__xludf.DUMMYFUNCTION("""COMPUTED_VALUE""")," ")</f>
        <v> </v>
      </c>
      <c r="T210" s="40" t="str">
        <f>IFERROR(__xludf.DUMMYFUNCTION("""COMPUTED_VALUE"""),"Neiva")</f>
        <v>Neiva</v>
      </c>
      <c r="U210" s="39" t="str">
        <f>IFERROR(__xludf.DUMMYFUNCTION("""COMPUTED_VALUE"""),"3")</f>
        <v>3</v>
      </c>
      <c r="V210" s="40" t="str">
        <f>IFERROR(__xludf.DUMMYFUNCTION("""COMPUTED_VALUE"""),"Medianera")</f>
        <v>Medianera</v>
      </c>
      <c r="W210" s="46"/>
      <c r="X210" s="46">
        <f>IFERROR(__xludf.DUMMYFUNCTION("""COMPUTED_VALUE"""),2.0)</f>
        <v>2</v>
      </c>
      <c r="Y210" s="53" t="str">
        <f>IFERROR(__xludf.DUMMYFUNCTION("""COMPUTED_VALUE"""),"No tiene")</f>
        <v>No tiene</v>
      </c>
      <c r="Z210" s="42" t="str">
        <f>IFERROR(__xludf.DUMMYFUNCTION("""COMPUTED_VALUE"""),"No aplica")</f>
        <v>No aplica</v>
      </c>
      <c r="AA210" s="49" t="str">
        <f>IFERROR(__xludf.DUMMYFUNCTION("""COMPUTED_VALUE"""),"No aplica")</f>
        <v>No aplica</v>
      </c>
      <c r="AB210" s="48"/>
      <c r="AC210" s="40"/>
      <c r="AD210" s="40"/>
      <c r="AE210" s="40"/>
      <c r="AF210" s="40" t="str">
        <f>IFERROR(__xludf.DUMMYFUNCTION("""COMPUTED_VALUE"""),"semi-integral")</f>
        <v>semi-integral</v>
      </c>
      <c r="AG210" s="40"/>
      <c r="AH210" s="40" t="str">
        <f>IFERROR(__xludf.DUMMYFUNCTION("""COMPUTED_VALUE"""),"Inventario")</f>
        <v>Inventario</v>
      </c>
      <c r="AI210" s="40"/>
      <c r="AJ210" s="40" t="str">
        <f>IFERROR(__xludf.DUMMYFUNCTION("""COMPUTED_VALUE"""),"ICDE")</f>
        <v>ICDE</v>
      </c>
      <c r="AK210" s="40"/>
      <c r="AL210" s="40" t="str">
        <f>IFERROR(__xludf.DUMMYFUNCTION("""COMPUTED_VALUE"""),"NO FOTOS INT.")</f>
        <v>NO FOTOS INT.</v>
      </c>
      <c r="AM210" s="40">
        <f>IFERROR(__xludf.DUMMYFUNCTION("""COMPUTED_VALUE"""),3.103240487E9)</f>
        <v>3103240487</v>
      </c>
      <c r="AN210" s="40"/>
      <c r="AO210" s="40" t="str">
        <f>IFERROR(__xludf.DUMMYFUNCTION("""COMPUTED_VALUE"""),"ANDREA")</f>
        <v>ANDREA</v>
      </c>
      <c r="AP210" s="40" t="str">
        <f>IFERROR(__xludf.DUMMYFUNCTION("""COMPUTED_VALUE"""),"CALLE 8G  No. 34 - 28")</f>
        <v>CALLE 8G  No. 34 - 28</v>
      </c>
      <c r="AQ210" s="40"/>
      <c r="AR210" s="40"/>
      <c r="AS210" s="53">
        <f>IFERROR(__xludf.DUMMYFUNCTION("""COMPUTED_VALUE"""),0.0)</f>
        <v>0</v>
      </c>
      <c r="AT210" s="40">
        <f>IFERROR(__xludf.DUMMYFUNCTION("""COMPUTED_VALUE"""),0.0)</f>
        <v>0</v>
      </c>
      <c r="AU210" s="40">
        <f>IFERROR(__xludf.DUMMYFUNCTION("""COMPUTED_VALUE"""),0.0)</f>
        <v>0</v>
      </c>
      <c r="AV210" s="40">
        <f>IFERROR(__xludf.DUMMYFUNCTION("""COMPUTED_VALUE"""),0.0)</f>
        <v>0</v>
      </c>
      <c r="AW210" s="40" t="str">
        <f>IFERROR(__xludf.DUMMYFUNCTION("""COMPUTED_VALUE"""),"NO")</f>
        <v>NO</v>
      </c>
      <c r="AX210" s="40">
        <f>IFERROR(__xludf.DUMMYFUNCTION("""COMPUTED_VALUE"""),0.0)</f>
        <v>0</v>
      </c>
      <c r="AY210" s="40">
        <f>IFERROR(__xludf.DUMMYFUNCTION("""COMPUTED_VALUE"""),0.0)</f>
        <v>0</v>
      </c>
      <c r="AZ210" s="40">
        <f>IFERROR(__xludf.DUMMYFUNCTION("""COMPUTED_VALUE"""),0.0)</f>
        <v>0</v>
      </c>
      <c r="BA210" s="40" t="str">
        <f>IFERROR(__xludf.DUMMYFUNCTION("""COMPUTED_VALUE"""),"X")</f>
        <v>X</v>
      </c>
      <c r="BB210" s="40">
        <f>IFERROR(__xludf.DUMMYFUNCTION("""COMPUTED_VALUE"""),0.0)</f>
        <v>0</v>
      </c>
      <c r="BC210" s="53" t="str">
        <f>IFERROR(__xludf.DUMMYFUNCTION("""COMPUTED_VALUE"""),"8 - ERNESTO POLANCO, 38 - MARIO MUNAR")</f>
        <v>8 - ERNESTO POLANCO, 38 - MARIO MUNAR</v>
      </c>
      <c r="BD210" s="48"/>
      <c r="BE210" s="48"/>
      <c r="BF210" s="48"/>
    </row>
    <row r="211">
      <c r="A211" s="39" t="str">
        <f>IFERROR(__xludf.DUMMYFUNCTION("""COMPUTED_VALUE"""),"090")</f>
        <v>090</v>
      </c>
      <c r="B211" s="40" t="str">
        <f>IFERROR(__xludf.DUMMYFUNCTION("""COMPUTED_VALUE"""),"Casa en barrio La Toma")</f>
        <v>Casa en barrio La Toma</v>
      </c>
      <c r="C211" s="40" t="str">
        <f>IFERROR(__xludf.DUMMYFUNCTION("""COMPUTED_VALUE"""),"Casa")</f>
        <v>Casa</v>
      </c>
      <c r="D211" s="40" t="str">
        <f>IFERROR(__xludf.DUMMYFUNCTION("""COMPUTED_VALUE"""),"La Toma")</f>
        <v>La Toma</v>
      </c>
      <c r="E211" s="42" t="str">
        <f>IFERROR(__xludf.DUMMYFUNCTION("""COMPUTED_VALUE""")," ")</f>
        <v> </v>
      </c>
      <c r="F211" s="42">
        <f>IFERROR(__xludf.DUMMYFUNCTION("""COMPUTED_VALUE"""),2.5E8)</f>
        <v>250000000</v>
      </c>
      <c r="G211" s="40" t="str">
        <f>IFERROR(__xludf.DUMMYFUNCTION("""COMPUTED_VALUE"""),"$200'000.000 a $300'000.000")</f>
        <v>$200'000.000 a $300'000.000</v>
      </c>
      <c r="H211" s="40"/>
      <c r="I211" s="40"/>
      <c r="J211" s="40" t="str">
        <f>IFERROR(__xludf.DUMMYFUNCTION("""COMPUTED_VALUE"""),"Centro")</f>
        <v>Centro</v>
      </c>
      <c r="K211" s="39" t="str">
        <f>IFERROR(__xludf.DUMMYFUNCTION("""COMPUTED_VALUE"""),"3")</f>
        <v>3</v>
      </c>
      <c r="L211" s="40">
        <f>IFERROR(__xludf.DUMMYFUNCTION("""COMPUTED_VALUE"""),5.0)</f>
        <v>5</v>
      </c>
      <c r="M211" s="40"/>
      <c r="N211" s="40">
        <f>IFERROR(__xludf.DUMMYFUNCTION("""COMPUTED_VALUE"""),2.0)</f>
        <v>2</v>
      </c>
      <c r="O211" s="40">
        <f>IFERROR(__xludf.DUMMYFUNCTION("""COMPUTED_VALUE"""),0.0)</f>
        <v>0</v>
      </c>
      <c r="P211" s="40">
        <f>IFERROR(__xludf.DUMMYFUNCTION("""COMPUTED_VALUE"""),1.0)</f>
        <v>1</v>
      </c>
      <c r="Q211" s="48"/>
      <c r="R211" s="48">
        <f>IFERROR(__xludf.DUMMYFUNCTION("""COMPUTED_VALUE"""),253.0)</f>
        <v>253</v>
      </c>
      <c r="S211" s="39" t="str">
        <f>IFERROR(__xludf.DUMMYFUNCTION("""COMPUTED_VALUE"""),"Rentabilidad $800,000")</f>
        <v>Rentabilidad $800,000</v>
      </c>
      <c r="T211" s="40" t="str">
        <f>IFERROR(__xludf.DUMMYFUNCTION("""COMPUTED_VALUE"""),"Neiva")</f>
        <v>Neiva</v>
      </c>
      <c r="U211" s="39" t="str">
        <f>IFERROR(__xludf.DUMMYFUNCTION("""COMPUTED_VALUE"""),"2")</f>
        <v>2</v>
      </c>
      <c r="V211" s="40" t="str">
        <f>IFERROR(__xludf.DUMMYFUNCTION("""COMPUTED_VALUE"""),"Medianera")</f>
        <v>Medianera</v>
      </c>
      <c r="W211" s="46"/>
      <c r="X211" s="46">
        <f>IFERROR(__xludf.DUMMYFUNCTION("""COMPUTED_VALUE"""),0.0)</f>
        <v>0</v>
      </c>
      <c r="Y211" s="40" t="str">
        <f>IFERROR(__xludf.DUMMYFUNCTION("""COMPUTED_VALUE"""),"No tiene")</f>
        <v>No tiene</v>
      </c>
      <c r="Z211" s="42" t="str">
        <f>IFERROR(__xludf.DUMMYFUNCTION("""COMPUTED_VALUE"""),"No aplica")</f>
        <v>No aplica</v>
      </c>
      <c r="AA211" s="49" t="str">
        <f>IFERROR(__xludf.DUMMYFUNCTION("""COMPUTED_VALUE"""),"26 años")</f>
        <v>26 años</v>
      </c>
      <c r="AB211" s="48"/>
      <c r="AC211" s="40"/>
      <c r="AD211" s="40"/>
      <c r="AE211" s="40"/>
      <c r="AF211" s="40" t="str">
        <f>IFERROR(__xludf.DUMMYFUNCTION("""COMPUTED_VALUE"""),"básica")</f>
        <v>básica</v>
      </c>
      <c r="AG211" s="40"/>
      <c r="AH211" s="40" t="str">
        <f>IFERROR(__xludf.DUMMYFUNCTION("""COMPUTED_VALUE"""),"Inventario")</f>
        <v>Inventario</v>
      </c>
      <c r="AI211" s="40"/>
      <c r="AJ211" s="40" t="str">
        <f>IFERROR(__xludf.DUMMYFUNCTION("""COMPUTED_VALUE"""),"ICDE")</f>
        <v>ICDE</v>
      </c>
      <c r="AK211" s="40"/>
      <c r="AL211" s="40" t="str">
        <f>IFERROR(__xludf.DUMMYFUNCTION("""COMPUTED_VALUE"""),"NO FOTOS + DESCRIPCION")</f>
        <v>NO FOTOS + DESCRIPCION</v>
      </c>
      <c r="AM211" s="40">
        <f>IFERROR(__xludf.DUMMYFUNCTION("""COMPUTED_VALUE"""),3.11274525E9)</f>
        <v>3112745250</v>
      </c>
      <c r="AN211" s="40">
        <f>IFERROR(__xludf.DUMMYFUNCTION("""COMPUTED_VALUE"""),3.156114223E9)</f>
        <v>3156114223</v>
      </c>
      <c r="AO211" s="40" t="str">
        <f>IFERROR(__xludf.DUMMYFUNCTION("""COMPUTED_VALUE"""),"JHON FREDDY")</f>
        <v>JHON FREDDY</v>
      </c>
      <c r="AP211" s="40" t="str">
        <f>IFERROR(__xludf.DUMMYFUNCTION("""COMPUTED_VALUE"""),"CARRERA 8 B NO. 13 -74")</f>
        <v>CARRERA 8 B NO. 13 -74</v>
      </c>
      <c r="AQ211" s="40"/>
      <c r="AR211" s="40"/>
      <c r="AS211" s="53">
        <f>IFERROR(__xludf.DUMMYFUNCTION("""COMPUTED_VALUE"""),800000.0)</f>
        <v>800000</v>
      </c>
      <c r="AT211" s="40">
        <f>IFERROR(__xludf.DUMMYFUNCTION("""COMPUTED_VALUE"""),0.0)</f>
        <v>0</v>
      </c>
      <c r="AU211" s="40">
        <f>IFERROR(__xludf.DUMMYFUNCTION("""COMPUTED_VALUE"""),0.0)</f>
        <v>0</v>
      </c>
      <c r="AV211" s="40">
        <f>IFERROR(__xludf.DUMMYFUNCTION("""COMPUTED_VALUE"""),0.0)</f>
        <v>0</v>
      </c>
      <c r="AW211" s="40" t="str">
        <f>IFERROR(__xludf.DUMMYFUNCTION("""COMPUTED_VALUE"""),"NO")</f>
        <v>NO</v>
      </c>
      <c r="AX211" s="40">
        <f>IFERROR(__xludf.DUMMYFUNCTION("""COMPUTED_VALUE"""),0.0)</f>
        <v>0</v>
      </c>
      <c r="AY211" s="40">
        <f>IFERROR(__xludf.DUMMYFUNCTION("""COMPUTED_VALUE"""),0.0)</f>
        <v>0</v>
      </c>
      <c r="AZ211" s="40">
        <f>IFERROR(__xludf.DUMMYFUNCTION("""COMPUTED_VALUE"""),0.0)</f>
        <v>0</v>
      </c>
      <c r="BA211" s="40" t="str">
        <f>IFERROR(__xludf.DUMMYFUNCTION("""COMPUTED_VALUE"""),"X")</f>
        <v>X</v>
      </c>
      <c r="BB211" s="40">
        <f>IFERROR(__xludf.DUMMYFUNCTION("""COMPUTED_VALUE"""),0.0)</f>
        <v>0</v>
      </c>
      <c r="BC211" s="53"/>
      <c r="BD211" s="48"/>
      <c r="BE211" s="48"/>
      <c r="BF211" s="48"/>
    </row>
    <row r="212">
      <c r="A212" s="39" t="str">
        <f>IFERROR(__xludf.DUMMYFUNCTION("""COMPUTED_VALUE"""),"043")</f>
        <v>043</v>
      </c>
      <c r="B212" s="40" t="str">
        <f>IFERROR(__xludf.DUMMYFUNCTION("""COMPUTED_VALUE"""),"Casa lote en barrio Campo Nuñez")</f>
        <v>Casa lote en barrio Campo Nuñez</v>
      </c>
      <c r="C212" s="40" t="str">
        <f>IFERROR(__xludf.DUMMYFUNCTION("""COMPUTED_VALUE"""),"Casa lote")</f>
        <v>Casa lote</v>
      </c>
      <c r="D212" s="40" t="str">
        <f>IFERROR(__xludf.DUMMYFUNCTION("""COMPUTED_VALUE"""),"Campo Nuñez ")</f>
        <v>Campo Nuñez </v>
      </c>
      <c r="E212" s="42" t="str">
        <f>IFERROR(__xludf.DUMMYFUNCTION("""COMPUTED_VALUE""")," ")</f>
        <v> </v>
      </c>
      <c r="F212" s="42">
        <f>IFERROR(__xludf.DUMMYFUNCTION("""COMPUTED_VALUE"""),2.5E8)</f>
        <v>250000000</v>
      </c>
      <c r="G212" s="40" t="str">
        <f>IFERROR(__xludf.DUMMYFUNCTION("""COMPUTED_VALUE"""),"$200'000.000 a $300'000.000")</f>
        <v>$200'000.000 a $300'000.000</v>
      </c>
      <c r="H212" s="40"/>
      <c r="I212" s="40"/>
      <c r="J212" s="40" t="str">
        <f>IFERROR(__xludf.DUMMYFUNCTION("""COMPUTED_VALUE"""),"Centro")</f>
        <v>Centro</v>
      </c>
      <c r="K212" s="39" t="str">
        <f>IFERROR(__xludf.DUMMYFUNCTION("""COMPUTED_VALUE"""),"3")</f>
        <v>3</v>
      </c>
      <c r="L212" s="40">
        <f>IFERROR(__xludf.DUMMYFUNCTION("""COMPUTED_VALUE"""),7.0)</f>
        <v>7</v>
      </c>
      <c r="M212" s="40"/>
      <c r="N212" s="40">
        <f>IFERROR(__xludf.DUMMYFUNCTION("""COMPUTED_VALUE"""),1.0)</f>
        <v>1</v>
      </c>
      <c r="O212" s="40">
        <f>IFERROR(__xludf.DUMMYFUNCTION("""COMPUTED_VALUE"""),0.0)</f>
        <v>0</v>
      </c>
      <c r="P212" s="40">
        <f>IFERROR(__xludf.DUMMYFUNCTION("""COMPUTED_VALUE"""),1.0)</f>
        <v>1</v>
      </c>
      <c r="Q212" s="48">
        <f>IFERROR(__xludf.DUMMYFUNCTION("""COMPUTED_VALUE"""),170.0)</f>
        <v>170</v>
      </c>
      <c r="R212" s="48">
        <f>IFERROR(__xludf.DUMMYFUNCTION("""COMPUTED_VALUE"""),170.0)</f>
        <v>170</v>
      </c>
      <c r="S212" s="39" t="str">
        <f>IFERROR(__xludf.DUMMYFUNCTION("""COMPUTED_VALUE"""),"Rentabilidad $300,000")</f>
        <v>Rentabilidad $300,000</v>
      </c>
      <c r="T212" s="40" t="str">
        <f>IFERROR(__xludf.DUMMYFUNCTION("""COMPUTED_VALUE"""),"Neiva")</f>
        <v>Neiva</v>
      </c>
      <c r="U212" s="39" t="str">
        <f>IFERROR(__xludf.DUMMYFUNCTION("""COMPUTED_VALUE"""),"3")</f>
        <v>3</v>
      </c>
      <c r="V212" s="40" t="str">
        <f>IFERROR(__xludf.DUMMYFUNCTION("""COMPUTED_VALUE"""),"Medianera")</f>
        <v>Medianera</v>
      </c>
      <c r="W212" s="46"/>
      <c r="X212" s="46">
        <f>IFERROR(__xludf.DUMMYFUNCTION("""COMPUTED_VALUE"""),0.0)</f>
        <v>0</v>
      </c>
      <c r="Y212" s="40" t="str">
        <f>IFERROR(__xludf.DUMMYFUNCTION("""COMPUTED_VALUE"""),"No tiene")</f>
        <v>No tiene</v>
      </c>
      <c r="Z212" s="42" t="str">
        <f>IFERROR(__xludf.DUMMYFUNCTION("""COMPUTED_VALUE"""),"No aplica")</f>
        <v>No aplica</v>
      </c>
      <c r="AA212" s="49" t="str">
        <f>IFERROR(__xludf.DUMMYFUNCTION("""COMPUTED_VALUE"""),"69 años")</f>
        <v>69 años</v>
      </c>
      <c r="AB212" s="48"/>
      <c r="AC212" s="40"/>
      <c r="AD212" s="40"/>
      <c r="AE212" s="40"/>
      <c r="AF212" s="40" t="str">
        <f>IFERROR(__xludf.DUMMYFUNCTION("""COMPUTED_VALUE"""),"básica")</f>
        <v>básica</v>
      </c>
      <c r="AG212" s="40"/>
      <c r="AH212" s="40" t="str">
        <f>IFERROR(__xludf.DUMMYFUNCTION("""COMPUTED_VALUE"""),"Inventario")</f>
        <v>Inventario</v>
      </c>
      <c r="AI212" s="40"/>
      <c r="AJ212" s="40" t="str">
        <f>IFERROR(__xludf.DUMMYFUNCTION("""COMPUTED_VALUE"""),"ICDE")</f>
        <v>ICDE</v>
      </c>
      <c r="AK212" s="40"/>
      <c r="AL212" s="40" t="str">
        <f>IFERROR(__xludf.DUMMYFUNCTION("""COMPUTED_VALUE"""),"NO FOTOS + DESCRIPCION")</f>
        <v>NO FOTOS + DESCRIPCION</v>
      </c>
      <c r="AM212" s="40">
        <f>IFERROR(__xludf.DUMMYFUNCTION("""COMPUTED_VALUE"""),3.12311122E9)</f>
        <v>3123111220</v>
      </c>
      <c r="AN212" s="40"/>
      <c r="AO212" s="40"/>
      <c r="AP212" s="40" t="str">
        <f>IFERROR(__xludf.DUMMYFUNCTION("""COMPUTED_VALUE"""),"CALLE 20 NO. 8A-21")</f>
        <v>CALLE 20 NO. 8A-21</v>
      </c>
      <c r="AQ212" s="40"/>
      <c r="AR212" s="40"/>
      <c r="AS212" s="53">
        <f>IFERROR(__xludf.DUMMYFUNCTION("""COMPUTED_VALUE"""),300000.0)</f>
        <v>300000</v>
      </c>
      <c r="AT212" s="40">
        <f>IFERROR(__xludf.DUMMYFUNCTION("""COMPUTED_VALUE"""),0.0)</f>
        <v>0</v>
      </c>
      <c r="AU212" s="40">
        <f>IFERROR(__xludf.DUMMYFUNCTION("""COMPUTED_VALUE"""),0.0)</f>
        <v>0</v>
      </c>
      <c r="AV212" s="40">
        <f>IFERROR(__xludf.DUMMYFUNCTION("""COMPUTED_VALUE"""),0.0)</f>
        <v>0</v>
      </c>
      <c r="AW212" s="40" t="str">
        <f>IFERROR(__xludf.DUMMYFUNCTION("""COMPUTED_VALUE"""),"NO")</f>
        <v>NO</v>
      </c>
      <c r="AX212" s="40">
        <f>IFERROR(__xludf.DUMMYFUNCTION("""COMPUTED_VALUE"""),0.0)</f>
        <v>0</v>
      </c>
      <c r="AY212" s="40">
        <f>IFERROR(__xludf.DUMMYFUNCTION("""COMPUTED_VALUE"""),0.0)</f>
        <v>0</v>
      </c>
      <c r="AZ212" s="40">
        <f>IFERROR(__xludf.DUMMYFUNCTION("""COMPUTED_VALUE"""),10.0)</f>
        <v>10</v>
      </c>
      <c r="BA212" s="40" t="str">
        <f>IFERROR(__xludf.DUMMYFUNCTION("""COMPUTED_VALUE"""),"X")</f>
        <v>X</v>
      </c>
      <c r="BB212" s="40">
        <f>IFERROR(__xludf.DUMMYFUNCTION("""COMPUTED_VALUE"""),17.0)</f>
        <v>17</v>
      </c>
      <c r="BC212" s="53" t="str">
        <f>IFERROR(__xludf.DUMMYFUNCTION("""COMPUTED_VALUE"""),"19 - PRUEBA, 33 - MARIA ALEJANDRA MONTES R.")</f>
        <v>19 - PRUEBA, 33 - MARIA ALEJANDRA MONTES R.</v>
      </c>
      <c r="BD212" s="48"/>
      <c r="BE212" s="48"/>
      <c r="BF212" s="48"/>
    </row>
    <row r="213">
      <c r="A213" s="39" t="str">
        <f>IFERROR(__xludf.DUMMYFUNCTION("""COMPUTED_VALUE"""),"610")</f>
        <v>610</v>
      </c>
      <c r="B213" s="40" t="str">
        <f>IFERROR(__xludf.DUMMYFUNCTION("""COMPUTED_VALUE"""),"Casa en barrio Villa Urbe")</f>
        <v>Casa en barrio Villa Urbe</v>
      </c>
      <c r="C213" s="40" t="str">
        <f>IFERROR(__xludf.DUMMYFUNCTION("""COMPUTED_VALUE"""),"Casa")</f>
        <v>Casa</v>
      </c>
      <c r="D213" s="40" t="str">
        <f>IFERROR(__xludf.DUMMYFUNCTION("""COMPUTED_VALUE"""),"Villa Urbe")</f>
        <v>Villa Urbe</v>
      </c>
      <c r="E213" s="40"/>
      <c r="F213" s="42">
        <f>IFERROR(__xludf.DUMMYFUNCTION("""COMPUTED_VALUE"""),2.4E8)</f>
        <v>240000000</v>
      </c>
      <c r="G213" s="40" t="str">
        <f>IFERROR(__xludf.DUMMYFUNCTION("""COMPUTED_VALUE"""),"$200'000.000 a $300'000.000")</f>
        <v>$200'000.000 a $300'000.000</v>
      </c>
      <c r="H213" s="40"/>
      <c r="I213" s="40"/>
      <c r="J213" s="40" t="str">
        <f>IFERROR(__xludf.DUMMYFUNCTION("""COMPUTED_VALUE"""),"Norte")</f>
        <v>Norte</v>
      </c>
      <c r="K213" s="39" t="str">
        <f>IFERROR(__xludf.DUMMYFUNCTION("""COMPUTED_VALUE"""),"2")</f>
        <v>2</v>
      </c>
      <c r="L213" s="40">
        <f>IFERROR(__xludf.DUMMYFUNCTION("""COMPUTED_VALUE"""),4.0)</f>
        <v>4</v>
      </c>
      <c r="M213" s="40"/>
      <c r="N213" s="40">
        <f>IFERROR(__xludf.DUMMYFUNCTION("""COMPUTED_VALUE"""),3.0)</f>
        <v>3</v>
      </c>
      <c r="O213" s="40">
        <f>IFERROR(__xludf.DUMMYFUNCTION("""COMPUTED_VALUE"""),1.0)</f>
        <v>1</v>
      </c>
      <c r="P213" s="40">
        <f>IFERROR(__xludf.DUMMYFUNCTION("""COMPUTED_VALUE"""),2.0)</f>
        <v>2</v>
      </c>
      <c r="Q213" s="48">
        <f>IFERROR(__xludf.DUMMYFUNCTION("""COMPUTED_VALUE"""),112.0)</f>
        <v>112</v>
      </c>
      <c r="R213" s="48">
        <f>IFERROR(__xludf.DUMMYFUNCTION("""COMPUTED_VALUE"""),72.0)</f>
        <v>72</v>
      </c>
      <c r="S213" s="39" t="str">
        <f>IFERROR(__xludf.DUMMYFUNCTION("""COMPUTED_VALUE""")," ")</f>
        <v> </v>
      </c>
      <c r="T213" s="40" t="str">
        <f>IFERROR(__xludf.DUMMYFUNCTION("""COMPUTED_VALUE"""),"Neiva")</f>
        <v>Neiva</v>
      </c>
      <c r="U213" s="39" t="str">
        <f>IFERROR(__xludf.DUMMYFUNCTION("""COMPUTED_VALUE"""),"2")</f>
        <v>2</v>
      </c>
      <c r="V213" s="40" t="str">
        <f>IFERROR(__xludf.DUMMYFUNCTION("""COMPUTED_VALUE"""),"Medianera")</f>
        <v>Medianera</v>
      </c>
      <c r="W213" s="46"/>
      <c r="X213" s="46">
        <f>IFERROR(__xludf.DUMMYFUNCTION("""COMPUTED_VALUE"""),4.0)</f>
        <v>4</v>
      </c>
      <c r="Y213" s="40" t="str">
        <f>IFERROR(__xludf.DUMMYFUNCTION("""COMPUTED_VALUE"""),"No tiene")</f>
        <v>No tiene</v>
      </c>
      <c r="Z213" s="42" t="str">
        <f>IFERROR(__xludf.DUMMYFUNCTION("""COMPUTED_VALUE"""),"No aplica")</f>
        <v>No aplica</v>
      </c>
      <c r="AA213" s="49" t="str">
        <f>IFERROR(__xludf.DUMMYFUNCTION("""COMPUTED_VALUE"""),"No aplica")</f>
        <v>No aplica</v>
      </c>
      <c r="AB213" s="48"/>
      <c r="AC213" s="40"/>
      <c r="AD213" s="40"/>
      <c r="AE213" s="40"/>
      <c r="AF213" s="40" t="str">
        <f>IFERROR(__xludf.DUMMYFUNCTION("""COMPUTED_VALUE"""),"semi-integral")</f>
        <v>semi-integral</v>
      </c>
      <c r="AG213" s="40"/>
      <c r="AH213" s="40" t="str">
        <f>IFERROR(__xludf.DUMMYFUNCTION("""COMPUTED_VALUE"""),"Inventario")</f>
        <v>Inventario</v>
      </c>
      <c r="AI213" s="40"/>
      <c r="AJ213" s="40" t="str">
        <f>IFERROR(__xludf.DUMMYFUNCTION("""COMPUTED_VALUE"""),"ICDE")</f>
        <v>ICDE</v>
      </c>
      <c r="AK213" s="40"/>
      <c r="AL213" s="40" t="str">
        <f>IFERROR(__xludf.DUMMYFUNCTION("""COMPUTED_VALUE"""),"NO FOTOS + DESCRIPCION")</f>
        <v>NO FOTOS + DESCRIPCION</v>
      </c>
      <c r="AM213" s="40">
        <f>IFERROR(__xludf.DUMMYFUNCTION("""COMPUTED_VALUE"""),3.114526242E9)</f>
        <v>3114526242</v>
      </c>
      <c r="AN213" s="40"/>
      <c r="AO213" s="40"/>
      <c r="AP213" s="40" t="str">
        <f>IFERROR(__xludf.DUMMYFUNCTION("""COMPUTED_VALUE"""),"CARRERA 19 A No. 58-34")</f>
        <v>CARRERA 19 A No. 58-34</v>
      </c>
      <c r="AQ213" s="40"/>
      <c r="AR213" s="40"/>
      <c r="AS213" s="53">
        <f>IFERROR(__xludf.DUMMYFUNCTION("""COMPUTED_VALUE"""),0.0)</f>
        <v>0</v>
      </c>
      <c r="AT213" s="40">
        <f>IFERROR(__xludf.DUMMYFUNCTION("""COMPUTED_VALUE"""),0.0)</f>
        <v>0</v>
      </c>
      <c r="AU213" s="40">
        <f>IFERROR(__xludf.DUMMYFUNCTION("""COMPUTED_VALUE"""),0.0)</f>
        <v>0</v>
      </c>
      <c r="AV213" s="40">
        <f>IFERROR(__xludf.DUMMYFUNCTION("""COMPUTED_VALUE"""),0.0)</f>
        <v>0</v>
      </c>
      <c r="AW213" s="40" t="str">
        <f>IFERROR(__xludf.DUMMYFUNCTION("""COMPUTED_VALUE"""),"NO")</f>
        <v>NO</v>
      </c>
      <c r="AX213" s="40">
        <f>IFERROR(__xludf.DUMMYFUNCTION("""COMPUTED_VALUE"""),0.0)</f>
        <v>0</v>
      </c>
      <c r="AY213" s="40">
        <f>IFERROR(__xludf.DUMMYFUNCTION("""COMPUTED_VALUE"""),0.0)</f>
        <v>0</v>
      </c>
      <c r="AZ213" s="40">
        <f>IFERROR(__xludf.DUMMYFUNCTION("""COMPUTED_VALUE"""),6.0)</f>
        <v>6</v>
      </c>
      <c r="BA213" s="40" t="str">
        <f>IFERROR(__xludf.DUMMYFUNCTION("""COMPUTED_VALUE"""),"X")</f>
        <v>X</v>
      </c>
      <c r="BB213" s="40">
        <f>IFERROR(__xludf.DUMMYFUNCTION("""COMPUTED_VALUE"""),12.0)</f>
        <v>12</v>
      </c>
      <c r="BC213" s="53"/>
      <c r="BD213" s="48"/>
      <c r="BE213" s="48"/>
      <c r="BF213" s="48"/>
    </row>
    <row r="214">
      <c r="A214" s="39" t="str">
        <f>IFERROR(__xludf.DUMMYFUNCTION("""COMPUTED_VALUE"""),"389")</f>
        <v>389</v>
      </c>
      <c r="B214" s="40" t="str">
        <f>IFERROR(__xludf.DUMMYFUNCTION("""COMPUTED_VALUE"""),"Casa en barrio Villa Carolina")</f>
        <v>Casa en barrio Villa Carolina</v>
      </c>
      <c r="C214" s="40" t="str">
        <f>IFERROR(__xludf.DUMMYFUNCTION("""COMPUTED_VALUE"""),"Casa")</f>
        <v>Casa</v>
      </c>
      <c r="D214" s="40" t="str">
        <f>IFERROR(__xludf.DUMMYFUNCTION("""COMPUTED_VALUE"""),"Villa Carolina")</f>
        <v>Villa Carolina</v>
      </c>
      <c r="E214" s="40"/>
      <c r="F214" s="42">
        <f>IFERROR(__xludf.DUMMYFUNCTION("""COMPUTED_VALUE"""),2.4E8)</f>
        <v>240000000</v>
      </c>
      <c r="G214" s="40" t="str">
        <f>IFERROR(__xludf.DUMMYFUNCTION("""COMPUTED_VALUE"""),"$200'000.000 a $300'000.000")</f>
        <v>$200'000.000 a $300'000.000</v>
      </c>
      <c r="H214" s="40"/>
      <c r="I214" s="40"/>
      <c r="J214" s="40" t="str">
        <f>IFERROR(__xludf.DUMMYFUNCTION("""COMPUTED_VALUE"""),"Norte")</f>
        <v>Norte</v>
      </c>
      <c r="K214" s="39" t="str">
        <f>IFERROR(__xludf.DUMMYFUNCTION("""COMPUTED_VALUE"""),"2")</f>
        <v>2</v>
      </c>
      <c r="L214" s="40">
        <f>IFERROR(__xludf.DUMMYFUNCTION("""COMPUTED_VALUE"""),5.0)</f>
        <v>5</v>
      </c>
      <c r="M214" s="40"/>
      <c r="N214" s="40">
        <f>IFERROR(__xludf.DUMMYFUNCTION("""COMPUTED_VALUE"""),2.0)</f>
        <v>2</v>
      </c>
      <c r="O214" s="40">
        <f>IFERROR(__xludf.DUMMYFUNCTION("""COMPUTED_VALUE"""),1.0)</f>
        <v>1</v>
      </c>
      <c r="P214" s="40">
        <f>IFERROR(__xludf.DUMMYFUNCTION("""COMPUTED_VALUE"""),2.0)</f>
        <v>2</v>
      </c>
      <c r="Q214" s="48">
        <f>IFERROR(__xludf.DUMMYFUNCTION("""COMPUTED_VALUE"""),133.0)</f>
        <v>133</v>
      </c>
      <c r="R214" s="48" t="str">
        <f>IFERROR(__xludf.DUMMYFUNCTION("""COMPUTED_VALUE"""),"85,50")</f>
        <v>85,50</v>
      </c>
      <c r="S214" s="39" t="str">
        <f>IFERROR(__xludf.DUMMYFUNCTION("""COMPUTED_VALUE""")," ")</f>
        <v> </v>
      </c>
      <c r="T214" s="40" t="str">
        <f>IFERROR(__xludf.DUMMYFUNCTION("""COMPUTED_VALUE"""),"Neiva")</f>
        <v>Neiva</v>
      </c>
      <c r="U214" s="39" t="str">
        <f>IFERROR(__xludf.DUMMYFUNCTION("""COMPUTED_VALUE"""),"2")</f>
        <v>2</v>
      </c>
      <c r="V214" s="40" t="str">
        <f>IFERROR(__xludf.DUMMYFUNCTION("""COMPUTED_VALUE"""),"Medianera")</f>
        <v>Medianera</v>
      </c>
      <c r="W214" s="46"/>
      <c r="X214" s="46">
        <f>IFERROR(__xludf.DUMMYFUNCTION("""COMPUTED_VALUE"""),2.0)</f>
        <v>2</v>
      </c>
      <c r="Y214" s="40" t="str">
        <f>IFERROR(__xludf.DUMMYFUNCTION("""COMPUTED_VALUE"""),"No tiene")</f>
        <v>No tiene</v>
      </c>
      <c r="Z214" s="42" t="str">
        <f>IFERROR(__xludf.DUMMYFUNCTION("""COMPUTED_VALUE"""),"No aplica")</f>
        <v>No aplica</v>
      </c>
      <c r="AA214" s="49" t="str">
        <f>IFERROR(__xludf.DUMMYFUNCTION("""COMPUTED_VALUE"""),"No aplica")</f>
        <v>No aplica</v>
      </c>
      <c r="AB214" s="48"/>
      <c r="AC214" s="40"/>
      <c r="AD214" s="40"/>
      <c r="AE214" s="40"/>
      <c r="AF214" s="40" t="str">
        <f>IFERROR(__xludf.DUMMYFUNCTION("""COMPUTED_VALUE"""),"integral")</f>
        <v>integral</v>
      </c>
      <c r="AG214" s="40"/>
      <c r="AH214" s="40" t="str">
        <f>IFERROR(__xludf.DUMMYFUNCTION("""COMPUTED_VALUE"""),"Inventario")</f>
        <v>Inventario</v>
      </c>
      <c r="AI214" s="40"/>
      <c r="AJ214" s="40" t="str">
        <f>IFERROR(__xludf.DUMMYFUNCTION("""COMPUTED_VALUE"""),"ICDE")</f>
        <v>ICDE</v>
      </c>
      <c r="AK214" s="40"/>
      <c r="AL214" s="40" t="str">
        <f>IFERROR(__xludf.DUMMYFUNCTION("""COMPUTED_VALUE"""),"NO FOTOS + DESCRIPCION")</f>
        <v>NO FOTOS + DESCRIPCION</v>
      </c>
      <c r="AM214" s="40">
        <f>IFERROR(__xludf.DUMMYFUNCTION("""COMPUTED_VALUE"""),3.167630098E9)</f>
        <v>3167630098</v>
      </c>
      <c r="AN214" s="40"/>
      <c r="AO214" s="40" t="str">
        <f>IFERROR(__xludf.DUMMYFUNCTION("""COMPUTED_VALUE"""),"LUIS FERNANDO")</f>
        <v>LUIS FERNANDO</v>
      </c>
      <c r="AP214" s="40"/>
      <c r="AQ214" s="40"/>
      <c r="AR214" s="40"/>
      <c r="AS214" s="53">
        <f>IFERROR(__xludf.DUMMYFUNCTION("""COMPUTED_VALUE"""),0.0)</f>
        <v>0</v>
      </c>
      <c r="AT214" s="40">
        <f>IFERROR(__xludf.DUMMYFUNCTION("""COMPUTED_VALUE"""),0.0)</f>
        <v>0</v>
      </c>
      <c r="AU214" s="40">
        <f>IFERROR(__xludf.DUMMYFUNCTION("""COMPUTED_VALUE"""),0.0)</f>
        <v>0</v>
      </c>
      <c r="AV214" s="40">
        <f>IFERROR(__xludf.DUMMYFUNCTION("""COMPUTED_VALUE"""),0.0)</f>
        <v>0</v>
      </c>
      <c r="AW214" s="40" t="str">
        <f>IFERROR(__xludf.DUMMYFUNCTION("""COMPUTED_VALUE"""),"NO")</f>
        <v>NO</v>
      </c>
      <c r="AX214" s="40">
        <f>IFERROR(__xludf.DUMMYFUNCTION("""COMPUTED_VALUE"""),0.0)</f>
        <v>0</v>
      </c>
      <c r="AY214" s="40">
        <f>IFERROR(__xludf.DUMMYFUNCTION("""COMPUTED_VALUE"""),0.0)</f>
        <v>0</v>
      </c>
      <c r="AZ214" s="40" t="str">
        <f>IFERROR(__xludf.DUMMYFUNCTION("""COMPUTED_VALUE"""),"6,5")</f>
        <v>6,5</v>
      </c>
      <c r="BA214" s="40" t="str">
        <f>IFERROR(__xludf.DUMMYFUNCTION("""COMPUTED_VALUE"""),"X")</f>
        <v>X</v>
      </c>
      <c r="BB214" s="40">
        <f>IFERROR(__xludf.DUMMYFUNCTION("""COMPUTED_VALUE"""),13.0)</f>
        <v>13</v>
      </c>
      <c r="BC214" s="53" t="str">
        <f>IFERROR(__xludf.DUMMYFUNCTION("""COMPUTED_VALUE"""),"19 - PRUEBA v")</f>
        <v>19 - PRUEBA v</v>
      </c>
      <c r="BD214" s="48"/>
      <c r="BE214" s="48"/>
      <c r="BF214" s="48"/>
    </row>
    <row r="215">
      <c r="A215" s="39" t="str">
        <f>IFERROR(__xludf.DUMMYFUNCTION("""COMPUTED_VALUE"""),"756")</f>
        <v>756</v>
      </c>
      <c r="B215" s="40" t="str">
        <f>IFERROR(__xludf.DUMMYFUNCTION("""COMPUTED_VALUE"""),"Casa en barrio Los Cambulos II")</f>
        <v>Casa en barrio Los Cambulos II</v>
      </c>
      <c r="C215" s="40" t="str">
        <f>IFERROR(__xludf.DUMMYFUNCTION("""COMPUTED_VALUE"""),"Casa")</f>
        <v>Casa</v>
      </c>
      <c r="D215" s="40" t="str">
        <f>IFERROR(__xludf.DUMMYFUNCTION("""COMPUTED_VALUE"""),"Los Cámbulos II")</f>
        <v>Los Cámbulos II</v>
      </c>
      <c r="E215" s="42"/>
      <c r="F215" s="42">
        <f>IFERROR(__xludf.DUMMYFUNCTION("""COMPUTED_VALUE"""),2.3E8)</f>
        <v>230000000</v>
      </c>
      <c r="G215" s="40" t="str">
        <f>IFERROR(__xludf.DUMMYFUNCTION("""COMPUTED_VALUE"""),"$200'000.000 a $300'000.000")</f>
        <v>$200'000.000 a $300'000.000</v>
      </c>
      <c r="H215" s="40"/>
      <c r="I215" s="40"/>
      <c r="J215" s="40" t="str">
        <f>IFERROR(__xludf.DUMMYFUNCTION("""COMPUTED_VALUE"""),"Norte")</f>
        <v>Norte</v>
      </c>
      <c r="K215" s="39" t="str">
        <f>IFERROR(__xludf.DUMMYFUNCTION("""COMPUTED_VALUE"""),"3")</f>
        <v>3</v>
      </c>
      <c r="L215" s="40">
        <f>IFERROR(__xludf.DUMMYFUNCTION("""COMPUTED_VALUE"""),3.0)</f>
        <v>3</v>
      </c>
      <c r="M215" s="40"/>
      <c r="N215" s="40">
        <f>IFERROR(__xludf.DUMMYFUNCTION("""COMPUTED_VALUE"""),2.0)</f>
        <v>2</v>
      </c>
      <c r="O215" s="40">
        <f>IFERROR(__xludf.DUMMYFUNCTION("""COMPUTED_VALUE"""),1.0)</f>
        <v>1</v>
      </c>
      <c r="P215" s="40">
        <f>IFERROR(__xludf.DUMMYFUNCTION("""COMPUTED_VALUE"""),2.0)</f>
        <v>2</v>
      </c>
      <c r="Q215" s="48">
        <f>IFERROR(__xludf.DUMMYFUNCTION("""COMPUTED_VALUE"""),84.0)</f>
        <v>84</v>
      </c>
      <c r="R215" s="48">
        <f>IFERROR(__xludf.DUMMYFUNCTION("""COMPUTED_VALUE"""),84.0)</f>
        <v>84</v>
      </c>
      <c r="S215" s="39" t="str">
        <f>IFERROR(__xludf.DUMMYFUNCTION("""COMPUTED_VALUE""")," ")</f>
        <v> </v>
      </c>
      <c r="T215" s="40" t="str">
        <f>IFERROR(__xludf.DUMMYFUNCTION("""COMPUTED_VALUE"""),"Neiva")</f>
        <v>Neiva</v>
      </c>
      <c r="U215" s="39" t="str">
        <f>IFERROR(__xludf.DUMMYFUNCTION("""COMPUTED_VALUE"""),"3")</f>
        <v>3</v>
      </c>
      <c r="V215" s="40" t="str">
        <f>IFERROR(__xludf.DUMMYFUNCTION("""COMPUTED_VALUE"""),"Medianera")</f>
        <v>Medianera</v>
      </c>
      <c r="W215" s="46"/>
      <c r="X215" s="46">
        <f>IFERROR(__xludf.DUMMYFUNCTION("""COMPUTED_VALUE"""),0.0)</f>
        <v>0</v>
      </c>
      <c r="Y215" s="40"/>
      <c r="Z215" s="42"/>
      <c r="AA215" s="49"/>
      <c r="AB215" s="40"/>
      <c r="AC215" s="40"/>
      <c r="AD215" s="40"/>
      <c r="AE215" s="40"/>
      <c r="AF215" s="40" t="str">
        <f>IFERROR(__xludf.DUMMYFUNCTION("""COMPUTED_VALUE"""),"integral")</f>
        <v>integral</v>
      </c>
      <c r="AG215" s="40"/>
      <c r="AH215" s="40" t="str">
        <f>IFERROR(__xludf.DUMMYFUNCTION("""COMPUTED_VALUE"""),"Inventario")</f>
        <v>Inventario</v>
      </c>
      <c r="AI215" s="40"/>
      <c r="AJ215" s="40" t="str">
        <f>IFERROR(__xludf.DUMMYFUNCTION("""COMPUTED_VALUE"""),"ICDE")</f>
        <v>ICDE</v>
      </c>
      <c r="AK215" s="40"/>
      <c r="AL215" s="40"/>
      <c r="AM215" s="40">
        <f>IFERROR(__xludf.DUMMYFUNCTION("""COMPUTED_VALUE"""),3.214148055E9)</f>
        <v>3214148055</v>
      </c>
      <c r="AN215" s="40">
        <f>IFERROR(__xludf.DUMMYFUNCTION("""COMPUTED_VALUE"""),5.0683732967E10)</f>
        <v>50683732967</v>
      </c>
      <c r="AO215" s="40" t="str">
        <f>IFERROR(__xludf.DUMMYFUNCTION("""COMPUTED_VALUE"""),"Alexander Valderrama")</f>
        <v>Alexander Valderrama</v>
      </c>
      <c r="AP215" s="40"/>
      <c r="AQ215" s="40"/>
      <c r="AR215" s="40"/>
      <c r="AS215" s="53"/>
      <c r="AT215" s="40"/>
      <c r="AU215" s="40"/>
      <c r="AV215" s="40"/>
      <c r="AW215" s="40" t="str">
        <f>IFERROR(__xludf.DUMMYFUNCTION("""COMPUTED_VALUE"""),"SI")</f>
        <v>SI</v>
      </c>
      <c r="AX215" s="40"/>
      <c r="AY215" s="40"/>
      <c r="AZ215" s="40"/>
      <c r="BA215" s="40" t="str">
        <f>IFERROR(__xludf.DUMMYFUNCTION("""COMPUTED_VALUE"""),"X")</f>
        <v>X</v>
      </c>
      <c r="BB215" s="40"/>
      <c r="BC215" s="53"/>
      <c r="BD215" s="48"/>
      <c r="BE215" s="48"/>
      <c r="BF215" s="48"/>
    </row>
    <row r="216">
      <c r="A216" s="39" t="str">
        <f>IFERROR(__xludf.DUMMYFUNCTION("""COMPUTED_VALUE"""),"378")</f>
        <v>378</v>
      </c>
      <c r="B216" s="40" t="str">
        <f>IFERROR(__xludf.DUMMYFUNCTION("""COMPUTED_VALUE"""),"Casa en barrio Campo Nuñez")</f>
        <v>Casa en barrio Campo Nuñez</v>
      </c>
      <c r="C216" s="40" t="str">
        <f>IFERROR(__xludf.DUMMYFUNCTION("""COMPUTED_VALUE"""),"Casa")</f>
        <v>Casa</v>
      </c>
      <c r="D216" s="40" t="str">
        <f>IFERROR(__xludf.DUMMYFUNCTION("""COMPUTED_VALUE"""),"Campo Nuñez ")</f>
        <v>Campo Nuñez </v>
      </c>
      <c r="E216" s="40"/>
      <c r="F216" s="42">
        <f>IFERROR(__xludf.DUMMYFUNCTION("""COMPUTED_VALUE"""),2.3E8)</f>
        <v>230000000</v>
      </c>
      <c r="G216" s="40" t="str">
        <f>IFERROR(__xludf.DUMMYFUNCTION("""COMPUTED_VALUE"""),"$200'000.000 a $300'000.000")</f>
        <v>$200'000.000 a $300'000.000</v>
      </c>
      <c r="H216" s="40"/>
      <c r="I216" s="40"/>
      <c r="J216" s="40" t="str">
        <f>IFERROR(__xludf.DUMMYFUNCTION("""COMPUTED_VALUE"""),"Centro")</f>
        <v>Centro</v>
      </c>
      <c r="K216" s="39" t="str">
        <f>IFERROR(__xludf.DUMMYFUNCTION("""COMPUTED_VALUE"""),"3")</f>
        <v>3</v>
      </c>
      <c r="L216" s="40">
        <f>IFERROR(__xludf.DUMMYFUNCTION("""COMPUTED_VALUE"""),3.0)</f>
        <v>3</v>
      </c>
      <c r="M216" s="40"/>
      <c r="N216" s="40">
        <f>IFERROR(__xludf.DUMMYFUNCTION("""COMPUTED_VALUE"""),1.0)</f>
        <v>1</v>
      </c>
      <c r="O216" s="40">
        <f>IFERROR(__xludf.DUMMYFUNCTION("""COMPUTED_VALUE"""),0.0)</f>
        <v>0</v>
      </c>
      <c r="P216" s="40">
        <f>IFERROR(__xludf.DUMMYFUNCTION("""COMPUTED_VALUE"""),1.0)</f>
        <v>1</v>
      </c>
      <c r="Q216" s="48">
        <f>IFERROR(__xludf.DUMMYFUNCTION("""COMPUTED_VALUE"""),120.0)</f>
        <v>120</v>
      </c>
      <c r="R216" s="48">
        <f>IFERROR(__xludf.DUMMYFUNCTION("""COMPUTED_VALUE"""),120.0)</f>
        <v>120</v>
      </c>
      <c r="S216" s="39" t="str">
        <f>IFERROR(__xludf.DUMMYFUNCTION("""COMPUTED_VALUE""")," ")</f>
        <v> </v>
      </c>
      <c r="T216" s="40" t="str">
        <f>IFERROR(__xludf.DUMMYFUNCTION("""COMPUTED_VALUE"""),"Neiva")</f>
        <v>Neiva</v>
      </c>
      <c r="U216" s="39" t="str">
        <f>IFERROR(__xludf.DUMMYFUNCTION("""COMPUTED_VALUE"""),"2")</f>
        <v>2</v>
      </c>
      <c r="V216" s="40" t="str">
        <f>IFERROR(__xludf.DUMMYFUNCTION("""COMPUTED_VALUE"""),"Medianera")</f>
        <v>Medianera</v>
      </c>
      <c r="W216" s="46"/>
      <c r="X216" s="46">
        <f>IFERROR(__xludf.DUMMYFUNCTION("""COMPUTED_VALUE"""),0.0)</f>
        <v>0</v>
      </c>
      <c r="Y216" s="40" t="str">
        <f>IFERROR(__xludf.DUMMYFUNCTION("""COMPUTED_VALUE"""),"No tiene")</f>
        <v>No tiene</v>
      </c>
      <c r="Z216" s="42" t="str">
        <f>IFERROR(__xludf.DUMMYFUNCTION("""COMPUTED_VALUE"""),"No aplica")</f>
        <v>No aplica</v>
      </c>
      <c r="AA216" s="49" t="str">
        <f>IFERROR(__xludf.DUMMYFUNCTION("""COMPUTED_VALUE"""),"No aplica")</f>
        <v>No aplica</v>
      </c>
      <c r="AB216" s="48"/>
      <c r="AC216" s="40"/>
      <c r="AD216" s="40"/>
      <c r="AE216" s="40"/>
      <c r="AF216" s="40" t="str">
        <f>IFERROR(__xludf.DUMMYFUNCTION("""COMPUTED_VALUE"""),"básica")</f>
        <v>básica</v>
      </c>
      <c r="AG216" s="40"/>
      <c r="AH216" s="40" t="str">
        <f>IFERROR(__xludf.DUMMYFUNCTION("""COMPUTED_VALUE"""),"Inventario")</f>
        <v>Inventario</v>
      </c>
      <c r="AI216" s="40"/>
      <c r="AJ216" s="40" t="str">
        <f>IFERROR(__xludf.DUMMYFUNCTION("""COMPUTED_VALUE"""),"ICDE")</f>
        <v>ICDE</v>
      </c>
      <c r="AK216" s="40"/>
      <c r="AL216" s="40" t="str">
        <f>IFERROR(__xludf.DUMMYFUNCTION("""COMPUTED_VALUE"""),"NO FOTOS INT-DESCRIP")</f>
        <v>NO FOTOS INT-DESCRIP</v>
      </c>
      <c r="AM216" s="40">
        <f>IFERROR(__xludf.DUMMYFUNCTION("""COMPUTED_VALUE"""),3.115967492E9)</f>
        <v>3115967492</v>
      </c>
      <c r="AN216" s="40"/>
      <c r="AO216" s="40" t="str">
        <f>IFERROR(__xludf.DUMMYFUNCTION("""COMPUTED_VALUE"""),"ORLANDO")</f>
        <v>ORLANDO</v>
      </c>
      <c r="AP216" s="40" t="str">
        <f>IFERROR(__xludf.DUMMYFUNCTION("""COMPUTED_VALUE"""),"CALLE 18 No. 7 A - 60")</f>
        <v>CALLE 18 No. 7 A - 60</v>
      </c>
      <c r="AQ216" s="40"/>
      <c r="AR216" s="40"/>
      <c r="AS216" s="53">
        <f>IFERROR(__xludf.DUMMYFUNCTION("""COMPUTED_VALUE"""),0.0)</f>
        <v>0</v>
      </c>
      <c r="AT216" s="40">
        <f>IFERROR(__xludf.DUMMYFUNCTION("""COMPUTED_VALUE"""),0.0)</f>
        <v>0</v>
      </c>
      <c r="AU216" s="40">
        <f>IFERROR(__xludf.DUMMYFUNCTION("""COMPUTED_VALUE"""),0.0)</f>
        <v>0</v>
      </c>
      <c r="AV216" s="40">
        <f>IFERROR(__xludf.DUMMYFUNCTION("""COMPUTED_VALUE"""),0.0)</f>
        <v>0</v>
      </c>
      <c r="AW216" s="40" t="str">
        <f>IFERROR(__xludf.DUMMYFUNCTION("""COMPUTED_VALUE"""),"NO")</f>
        <v>NO</v>
      </c>
      <c r="AX216" s="40">
        <f>IFERROR(__xludf.DUMMYFUNCTION("""COMPUTED_VALUE"""),0.0)</f>
        <v>0</v>
      </c>
      <c r="AY216" s="40" t="str">
        <f>IFERROR(__xludf.DUMMYFUNCTION("""COMPUTED_VALUE"""),"P")</f>
        <v>P</v>
      </c>
      <c r="AZ216" s="40">
        <f>IFERROR(__xludf.DUMMYFUNCTION("""COMPUTED_VALUE"""),6.0)</f>
        <v>6</v>
      </c>
      <c r="BA216" s="40" t="str">
        <f>IFERROR(__xludf.DUMMYFUNCTION("""COMPUTED_VALUE"""),"X")</f>
        <v>X</v>
      </c>
      <c r="BB216" s="40">
        <f>IFERROR(__xludf.DUMMYFUNCTION("""COMPUTED_VALUE"""),20.0)</f>
        <v>20</v>
      </c>
      <c r="BC216" s="53"/>
      <c r="BD216" s="40"/>
      <c r="BE216" s="40"/>
      <c r="BF216" s="40"/>
    </row>
    <row r="217">
      <c r="A217" s="39" t="str">
        <f>IFERROR(__xludf.DUMMYFUNCTION("""COMPUTED_VALUE"""),"054")</f>
        <v>054</v>
      </c>
      <c r="B217" s="40" t="str">
        <f>IFERROR(__xludf.DUMMYFUNCTION("""COMPUTED_VALUE"""),"Casa en barrio Santa Librada")</f>
        <v>Casa en barrio Santa Librada</v>
      </c>
      <c r="C217" s="40" t="str">
        <f>IFERROR(__xludf.DUMMYFUNCTION("""COMPUTED_VALUE"""),"Casa")</f>
        <v>Casa</v>
      </c>
      <c r="D217" s="40" t="str">
        <f>IFERROR(__xludf.DUMMYFUNCTION("""COMPUTED_VALUE"""),"Santa Librada")</f>
        <v>Santa Librada</v>
      </c>
      <c r="E217" s="42" t="str">
        <f>IFERROR(__xludf.DUMMYFUNCTION("""COMPUTED_VALUE""")," ")</f>
        <v> </v>
      </c>
      <c r="F217" s="42">
        <f>IFERROR(__xludf.DUMMYFUNCTION("""COMPUTED_VALUE"""),2.2E8)</f>
        <v>220000000</v>
      </c>
      <c r="G217" s="40" t="str">
        <f>IFERROR(__xludf.DUMMYFUNCTION("""COMPUTED_VALUE"""),"$200'000.000 a $300'000.000")</f>
        <v>$200'000.000 a $300'000.000</v>
      </c>
      <c r="H217" s="40"/>
      <c r="I217" s="40"/>
      <c r="J217" s="40" t="str">
        <f>IFERROR(__xludf.DUMMYFUNCTION("""COMPUTED_VALUE"""),"Centro")</f>
        <v>Centro</v>
      </c>
      <c r="K217" s="39" t="str">
        <f>IFERROR(__xludf.DUMMYFUNCTION("""COMPUTED_VALUE"""),"3")</f>
        <v>3</v>
      </c>
      <c r="L217" s="40">
        <f>IFERROR(__xludf.DUMMYFUNCTION("""COMPUTED_VALUE"""),3.0)</f>
        <v>3</v>
      </c>
      <c r="M217" s="40"/>
      <c r="N217" s="40">
        <f>IFERROR(__xludf.DUMMYFUNCTION("""COMPUTED_VALUE"""),1.0)</f>
        <v>1</v>
      </c>
      <c r="O217" s="40">
        <f>IFERROR(__xludf.DUMMYFUNCTION("""COMPUTED_VALUE"""),1.0)</f>
        <v>1</v>
      </c>
      <c r="P217" s="40">
        <f>IFERROR(__xludf.DUMMYFUNCTION("""COMPUTED_VALUE"""),1.0)</f>
        <v>1</v>
      </c>
      <c r="Q217" s="48"/>
      <c r="R217" s="48">
        <f>IFERROR(__xludf.DUMMYFUNCTION("""COMPUTED_VALUE"""),90.0)</f>
        <v>90</v>
      </c>
      <c r="S217" s="39" t="str">
        <f>IFERROR(__xludf.DUMMYFUNCTION("""COMPUTED_VALUE""")," ")</f>
        <v> </v>
      </c>
      <c r="T217" s="40" t="str">
        <f>IFERROR(__xludf.DUMMYFUNCTION("""COMPUTED_VALUE"""),"Neiva")</f>
        <v>Neiva</v>
      </c>
      <c r="U217" s="39" t="str">
        <f>IFERROR(__xludf.DUMMYFUNCTION("""COMPUTED_VALUE"""),"2")</f>
        <v>2</v>
      </c>
      <c r="V217" s="40" t="str">
        <f>IFERROR(__xludf.DUMMYFUNCTION("""COMPUTED_VALUE"""),"Medianera")</f>
        <v>Medianera</v>
      </c>
      <c r="W217" s="46"/>
      <c r="X217" s="46">
        <f>IFERROR(__xludf.DUMMYFUNCTION("""COMPUTED_VALUE"""),0.0)</f>
        <v>0</v>
      </c>
      <c r="Y217" s="40" t="str">
        <f>IFERROR(__xludf.DUMMYFUNCTION("""COMPUTED_VALUE"""),"No tiene")</f>
        <v>No tiene</v>
      </c>
      <c r="Z217" s="42" t="str">
        <f>IFERROR(__xludf.DUMMYFUNCTION("""COMPUTED_VALUE"""),"No aplica")</f>
        <v>No aplica</v>
      </c>
      <c r="AA217" s="49" t="str">
        <f>IFERROR(__xludf.DUMMYFUNCTION("""COMPUTED_VALUE"""),"No aplica")</f>
        <v>No aplica</v>
      </c>
      <c r="AB217" s="48"/>
      <c r="AC217" s="40"/>
      <c r="AD217" s="40"/>
      <c r="AE217" s="40"/>
      <c r="AF217" s="40" t="str">
        <f>IFERROR(__xludf.DUMMYFUNCTION("""COMPUTED_VALUE"""),"básica")</f>
        <v>básica</v>
      </c>
      <c r="AG217" s="40"/>
      <c r="AH217" s="40" t="str">
        <f>IFERROR(__xludf.DUMMYFUNCTION("""COMPUTED_VALUE"""),"Inventario")</f>
        <v>Inventario</v>
      </c>
      <c r="AI217" s="40"/>
      <c r="AJ217" s="40" t="str">
        <f>IFERROR(__xludf.DUMMYFUNCTION("""COMPUTED_VALUE"""),"ICDE")</f>
        <v>ICDE</v>
      </c>
      <c r="AK217" s="40"/>
      <c r="AL217" s="40" t="str">
        <f>IFERROR(__xludf.DUMMYFUNCTION("""COMPUTED_VALUE"""),"NUEVO - 27 ABRIL 2023")</f>
        <v>NUEVO - 27 ABRIL 2023</v>
      </c>
      <c r="AM217" s="40">
        <f>IFERROR(__xludf.DUMMYFUNCTION("""COMPUTED_VALUE"""),3.208420067E9)</f>
        <v>3208420067</v>
      </c>
      <c r="AN217" s="40"/>
      <c r="AO217" s="40" t="str">
        <f>IFERROR(__xludf.DUMMYFUNCTION("""COMPUTED_VALUE"""),"ENDER LAVAO")</f>
        <v>ENDER LAVAO</v>
      </c>
      <c r="AP217" s="40"/>
      <c r="AQ217" s="40"/>
      <c r="AR217" s="40"/>
      <c r="AS217" s="53">
        <f>IFERROR(__xludf.DUMMYFUNCTION("""COMPUTED_VALUE"""),0.0)</f>
        <v>0</v>
      </c>
      <c r="AT217" s="40">
        <f>IFERROR(__xludf.DUMMYFUNCTION("""COMPUTED_VALUE"""),0.0)</f>
        <v>0</v>
      </c>
      <c r="AU217" s="40">
        <f>IFERROR(__xludf.DUMMYFUNCTION("""COMPUTED_VALUE"""),0.0)</f>
        <v>0</v>
      </c>
      <c r="AV217" s="40">
        <f>IFERROR(__xludf.DUMMYFUNCTION("""COMPUTED_VALUE"""),0.0)</f>
        <v>0</v>
      </c>
      <c r="AW217" s="40" t="str">
        <f>IFERROR(__xludf.DUMMYFUNCTION("""COMPUTED_VALUE"""),"NO")</f>
        <v>NO</v>
      </c>
      <c r="AX217" s="40">
        <f>IFERROR(__xludf.DUMMYFUNCTION("""COMPUTED_VALUE"""),0.0)</f>
        <v>0</v>
      </c>
      <c r="AY217" s="40">
        <f>IFERROR(__xludf.DUMMYFUNCTION("""COMPUTED_VALUE"""),0.0)</f>
        <v>0</v>
      </c>
      <c r="AZ217" s="40">
        <f>IFERROR(__xludf.DUMMYFUNCTION("""COMPUTED_VALUE"""),0.0)</f>
        <v>0</v>
      </c>
      <c r="BA217" s="40" t="str">
        <f>IFERROR(__xludf.DUMMYFUNCTION("""COMPUTED_VALUE"""),"X")</f>
        <v>X</v>
      </c>
      <c r="BB217" s="40">
        <f>IFERROR(__xludf.DUMMYFUNCTION("""COMPUTED_VALUE"""),0.0)</f>
        <v>0</v>
      </c>
      <c r="BC217" s="53" t="str">
        <f>IFERROR(__xludf.DUMMYFUNCTION("""COMPUTED_VALUE"""),"19 - PRUEBA v, 35 - LUIS ANGEL VARGAS")</f>
        <v>19 - PRUEBA v, 35 - LUIS ANGEL VARGAS</v>
      </c>
      <c r="BD217" s="48"/>
      <c r="BE217" s="48"/>
      <c r="BF217" s="48"/>
    </row>
    <row r="218">
      <c r="A218" s="39" t="str">
        <f>IFERROR(__xludf.DUMMYFUNCTION("""COMPUTED_VALUE"""),"140")</f>
        <v>140</v>
      </c>
      <c r="B218" s="40" t="str">
        <f>IFERROR(__xludf.DUMMYFUNCTION("""COMPUTED_VALUE"""),"Casa en barrio Chapinero")</f>
        <v>Casa en barrio Chapinero</v>
      </c>
      <c r="C218" s="40" t="str">
        <f>IFERROR(__xludf.DUMMYFUNCTION("""COMPUTED_VALUE"""),"Casa")</f>
        <v>Casa</v>
      </c>
      <c r="D218" s="40" t="str">
        <f>IFERROR(__xludf.DUMMYFUNCTION("""COMPUTED_VALUE"""),"Chapinero")</f>
        <v>Chapinero</v>
      </c>
      <c r="E218" s="42" t="str">
        <f>IFERROR(__xludf.DUMMYFUNCTION("""COMPUTED_VALUE""")," ")</f>
        <v> </v>
      </c>
      <c r="F218" s="42">
        <f>IFERROR(__xludf.DUMMYFUNCTION("""COMPUTED_VALUE"""),2.0E8)</f>
        <v>200000000</v>
      </c>
      <c r="G218" s="40" t="str">
        <f>IFERROR(__xludf.DUMMYFUNCTION("""COMPUTED_VALUE"""),"$200'000.000 a $300'000.000")</f>
        <v>$200'000.000 a $300'000.000</v>
      </c>
      <c r="H218" s="40"/>
      <c r="I218" s="40"/>
      <c r="J218" s="40" t="str">
        <f>IFERROR(__xludf.DUMMYFUNCTION("""COMPUTED_VALUE"""),"Centro")</f>
        <v>Centro</v>
      </c>
      <c r="K218" s="39" t="str">
        <f>IFERROR(__xludf.DUMMYFUNCTION("""COMPUTED_VALUE"""),"3")</f>
        <v>3</v>
      </c>
      <c r="L218" s="40">
        <f>IFERROR(__xludf.DUMMYFUNCTION("""COMPUTED_VALUE"""),2.0)</f>
        <v>2</v>
      </c>
      <c r="M218" s="40"/>
      <c r="N218" s="40">
        <f>IFERROR(__xludf.DUMMYFUNCTION("""COMPUTED_VALUE"""),1.0)</f>
        <v>1</v>
      </c>
      <c r="O218" s="40">
        <f>IFERROR(__xludf.DUMMYFUNCTION("""COMPUTED_VALUE"""),0.0)</f>
        <v>0</v>
      </c>
      <c r="P218" s="40">
        <f>IFERROR(__xludf.DUMMYFUNCTION("""COMPUTED_VALUE"""),1.0)</f>
        <v>1</v>
      </c>
      <c r="Q218" s="48">
        <f>IFERROR(__xludf.DUMMYFUNCTION("""COMPUTED_VALUE"""),100.0)</f>
        <v>100</v>
      </c>
      <c r="R218" s="48">
        <f>IFERROR(__xludf.DUMMYFUNCTION("""COMPUTED_VALUE"""),100.0)</f>
        <v>100</v>
      </c>
      <c r="S218" s="39" t="str">
        <f>IFERROR(__xludf.DUMMYFUNCTION("""COMPUTED_VALUE"""),"Rentabilidad $600,000")</f>
        <v>Rentabilidad $600,000</v>
      </c>
      <c r="T218" s="40" t="str">
        <f>IFERROR(__xludf.DUMMYFUNCTION("""COMPUTED_VALUE"""),"Neiva")</f>
        <v>Neiva</v>
      </c>
      <c r="U218" s="39" t="str">
        <f>IFERROR(__xludf.DUMMYFUNCTION("""COMPUTED_VALUE"""),"2")</f>
        <v>2</v>
      </c>
      <c r="V218" s="40" t="str">
        <f>IFERROR(__xludf.DUMMYFUNCTION("""COMPUTED_VALUE"""),"Medianera")</f>
        <v>Medianera</v>
      </c>
      <c r="W218" s="46"/>
      <c r="X218" s="46">
        <f>IFERROR(__xludf.DUMMYFUNCTION("""COMPUTED_VALUE"""),0.0)</f>
        <v>0</v>
      </c>
      <c r="Y218" s="40" t="str">
        <f>IFERROR(__xludf.DUMMYFUNCTION("""COMPUTED_VALUE"""),"No tiene")</f>
        <v>No tiene</v>
      </c>
      <c r="Z218" s="42" t="str">
        <f>IFERROR(__xludf.DUMMYFUNCTION("""COMPUTED_VALUE"""),"No aplica")</f>
        <v>No aplica</v>
      </c>
      <c r="AA218" s="49" t="str">
        <f>IFERROR(__xludf.DUMMYFUNCTION("""COMPUTED_VALUE"""),"28 años")</f>
        <v>28 años</v>
      </c>
      <c r="AB218" s="48"/>
      <c r="AC218" s="40"/>
      <c r="AD218" s="40"/>
      <c r="AE218" s="40"/>
      <c r="AF218" s="40" t="str">
        <f>IFERROR(__xludf.DUMMYFUNCTION("""COMPUTED_VALUE"""),"básica")</f>
        <v>básica</v>
      </c>
      <c r="AG218" s="40"/>
      <c r="AH218" s="40" t="str">
        <f>IFERROR(__xludf.DUMMYFUNCTION("""COMPUTED_VALUE"""),"Inventario")</f>
        <v>Inventario</v>
      </c>
      <c r="AI218" s="40"/>
      <c r="AJ218" s="40" t="str">
        <f>IFERROR(__xludf.DUMMYFUNCTION("""COMPUTED_VALUE"""),"ICDE")</f>
        <v>ICDE</v>
      </c>
      <c r="AK218" s="40"/>
      <c r="AL218" s="40" t="str">
        <f>IFERROR(__xludf.DUMMYFUNCTION("""COMPUTED_VALUE"""),"NO DESEA EL SERVICIO")</f>
        <v>NO DESEA EL SERVICIO</v>
      </c>
      <c r="AM218" s="40">
        <f>IFERROR(__xludf.DUMMYFUNCTION("""COMPUTED_VALUE"""),3.004603597E9)</f>
        <v>3004603597</v>
      </c>
      <c r="AN218" s="40"/>
      <c r="AO218" s="40" t="str">
        <f>IFERROR(__xludf.DUMMYFUNCTION("""COMPUTED_VALUE"""),"ALVARO")</f>
        <v>ALVARO</v>
      </c>
      <c r="AP218" s="40" t="str">
        <f>IFERROR(__xludf.DUMMYFUNCTION("""COMPUTED_VALUE"""),"CARRERA 10 No. 12-77")</f>
        <v>CARRERA 10 No. 12-77</v>
      </c>
      <c r="AQ218" s="40"/>
      <c r="AR218" s="40"/>
      <c r="AS218" s="53">
        <f>IFERROR(__xludf.DUMMYFUNCTION("""COMPUTED_VALUE"""),600000.0)</f>
        <v>600000</v>
      </c>
      <c r="AT218" s="40">
        <f>IFERROR(__xludf.DUMMYFUNCTION("""COMPUTED_VALUE"""),0.0)</f>
        <v>0</v>
      </c>
      <c r="AU218" s="40">
        <f>IFERROR(__xludf.DUMMYFUNCTION("""COMPUTED_VALUE"""),0.0)</f>
        <v>0</v>
      </c>
      <c r="AV218" s="40">
        <f>IFERROR(__xludf.DUMMYFUNCTION("""COMPUTED_VALUE"""),0.0)</f>
        <v>0</v>
      </c>
      <c r="AW218" s="40" t="str">
        <f>IFERROR(__xludf.DUMMYFUNCTION("""COMPUTED_VALUE"""),"NO")</f>
        <v>NO</v>
      </c>
      <c r="AX218" s="40">
        <f>IFERROR(__xludf.DUMMYFUNCTION("""COMPUTED_VALUE"""),0.0)</f>
        <v>0</v>
      </c>
      <c r="AY218" s="40">
        <f>IFERROR(__xludf.DUMMYFUNCTION("""COMPUTED_VALUE"""),0.0)</f>
        <v>0</v>
      </c>
      <c r="AZ218" s="40">
        <f>IFERROR(__xludf.DUMMYFUNCTION("""COMPUTED_VALUE"""),0.0)</f>
        <v>0</v>
      </c>
      <c r="BA218" s="40" t="str">
        <f>IFERROR(__xludf.DUMMYFUNCTION("""COMPUTED_VALUE"""),"X")</f>
        <v>X</v>
      </c>
      <c r="BB218" s="40">
        <f>IFERROR(__xludf.DUMMYFUNCTION("""COMPUTED_VALUE"""),0.0)</f>
        <v>0</v>
      </c>
      <c r="BC218" s="53" t="str">
        <f>IFERROR(__xludf.DUMMYFUNCTION("""COMPUTED_VALUE"""),"24 - FERNEY PIÑEROS Y LEIDY")</f>
        <v>24 - FERNEY PIÑEROS Y LEIDY</v>
      </c>
      <c r="BD218" s="48"/>
      <c r="BE218" s="48"/>
      <c r="BF218" s="48"/>
    </row>
    <row r="219">
      <c r="A219" s="39" t="str">
        <f>IFERROR(__xludf.DUMMYFUNCTION("""COMPUTED_VALUE"""),"027")</f>
        <v>027</v>
      </c>
      <c r="B219" s="40" t="str">
        <f>IFERROR(__xludf.DUMMYFUNCTION("""COMPUTED_VALUE"""),"Apartamento en barrio Chapinero")</f>
        <v>Apartamento en barrio Chapinero</v>
      </c>
      <c r="C219" s="40" t="str">
        <f>IFERROR(__xludf.DUMMYFUNCTION("""COMPUTED_VALUE"""),"Apartamento")</f>
        <v>Apartamento</v>
      </c>
      <c r="D219" s="40" t="str">
        <f>IFERROR(__xludf.DUMMYFUNCTION("""COMPUTED_VALUE"""),"Chapinero")</f>
        <v>Chapinero</v>
      </c>
      <c r="E219" s="42" t="str">
        <f>IFERROR(__xludf.DUMMYFUNCTION("""COMPUTED_VALUE""")," ")</f>
        <v> </v>
      </c>
      <c r="F219" s="42">
        <f>IFERROR(__xludf.DUMMYFUNCTION("""COMPUTED_VALUE"""),1.85E8)</f>
        <v>185000000</v>
      </c>
      <c r="G219" s="40" t="str">
        <f>IFERROR(__xludf.DUMMYFUNCTION("""COMPUTED_VALUE"""),"$100'000.000 a $200'000.000")</f>
        <v>$100'000.000 a $200'000.000</v>
      </c>
      <c r="H219" s="40"/>
      <c r="I219" s="40"/>
      <c r="J219" s="40" t="str">
        <f>IFERROR(__xludf.DUMMYFUNCTION("""COMPUTED_VALUE"""),"Centro")</f>
        <v>Centro</v>
      </c>
      <c r="K219" s="39" t="str">
        <f>IFERROR(__xludf.DUMMYFUNCTION("""COMPUTED_VALUE"""),"3")</f>
        <v>3</v>
      </c>
      <c r="L219" s="40">
        <f>IFERROR(__xludf.DUMMYFUNCTION("""COMPUTED_VALUE"""),2.0)</f>
        <v>2</v>
      </c>
      <c r="M219" s="40"/>
      <c r="N219" s="40">
        <f>IFERROR(__xludf.DUMMYFUNCTION("""COMPUTED_VALUE"""),2.0)</f>
        <v>2</v>
      </c>
      <c r="O219" s="40">
        <f>IFERROR(__xludf.DUMMYFUNCTION("""COMPUTED_VALUE"""),0.0)</f>
        <v>0</v>
      </c>
      <c r="P219" s="40">
        <f>IFERROR(__xludf.DUMMYFUNCTION("""COMPUTED_VALUE"""),2.0)</f>
        <v>2</v>
      </c>
      <c r="Q219" s="48"/>
      <c r="R219" s="48">
        <f>IFERROR(__xludf.DUMMYFUNCTION("""COMPUTED_VALUE"""),70.0)</f>
        <v>70</v>
      </c>
      <c r="S219" s="39" t="str">
        <f>IFERROR(__xludf.DUMMYFUNCTION("""COMPUTED_VALUE"""),"Rentabilidad $750,000")</f>
        <v>Rentabilidad $750,000</v>
      </c>
      <c r="T219" s="40" t="str">
        <f>IFERROR(__xludf.DUMMYFUNCTION("""COMPUTED_VALUE"""),"Neiva")</f>
        <v>Neiva</v>
      </c>
      <c r="U219" s="39" t="str">
        <f>IFERROR(__xludf.DUMMYFUNCTION("""COMPUTED_VALUE"""),"2")</f>
        <v>2</v>
      </c>
      <c r="V219" s="40" t="str">
        <f>IFERROR(__xludf.DUMMYFUNCTION("""COMPUTED_VALUE"""),"Medianera")</f>
        <v>Medianera</v>
      </c>
      <c r="W219" s="46"/>
      <c r="X219" s="46">
        <f>IFERROR(__xludf.DUMMYFUNCTION("""COMPUTED_VALUE"""),1.0)</f>
        <v>1</v>
      </c>
      <c r="Y219" s="40" t="str">
        <f>IFERROR(__xludf.DUMMYFUNCTION("""COMPUTED_VALUE"""),"No tiene")</f>
        <v>No tiene</v>
      </c>
      <c r="Z219" s="42" t="str">
        <f>IFERROR(__xludf.DUMMYFUNCTION("""COMPUTED_VALUE"""),"No aplica")</f>
        <v>No aplica</v>
      </c>
      <c r="AA219" s="49" t="str">
        <f>IFERROR(__xludf.DUMMYFUNCTION("""COMPUTED_VALUE"""),"21 años")</f>
        <v>21 años</v>
      </c>
      <c r="AB219" s="48"/>
      <c r="AC219" s="40"/>
      <c r="AD219" s="40"/>
      <c r="AE219" s="40"/>
      <c r="AF219" s="40" t="str">
        <f>IFERROR(__xludf.DUMMYFUNCTION("""COMPUTED_VALUE"""),"semi-integral")</f>
        <v>semi-integral</v>
      </c>
      <c r="AG219" s="40"/>
      <c r="AH219" s="40" t="str">
        <f>IFERROR(__xludf.DUMMYFUNCTION("""COMPUTED_VALUE"""),"Inventario")</f>
        <v>Inventario</v>
      </c>
      <c r="AI219" s="40"/>
      <c r="AJ219" s="40" t="str">
        <f>IFERROR(__xludf.DUMMYFUNCTION("""COMPUTED_VALUE"""),"ICDE")</f>
        <v>ICDE</v>
      </c>
      <c r="AK219" s="40"/>
      <c r="AL219" s="40" t="str">
        <f>IFERROR(__xludf.DUMMYFUNCTION("""COMPUTED_VALUE"""),"NO FOTOS + DESCRIPCION")</f>
        <v>NO FOTOS + DESCRIPCION</v>
      </c>
      <c r="AM219" s="40">
        <f>IFERROR(__xludf.DUMMYFUNCTION("""COMPUTED_VALUE"""),3.115486451E9)</f>
        <v>3115486451</v>
      </c>
      <c r="AN219" s="40" t="str">
        <f>IFERROR(__xludf.DUMMYFUNCTION("""COMPUTED_VALUE"""),"601-3934419")</f>
        <v>601-3934419</v>
      </c>
      <c r="AO219" s="40" t="str">
        <f>IFERROR(__xludf.DUMMYFUNCTION("""COMPUTED_VALUE"""),"NUBIA")</f>
        <v>NUBIA</v>
      </c>
      <c r="AP219" s="40" t="str">
        <f>IFERROR(__xludf.DUMMYFUNCTION("""COMPUTED_VALUE"""),"CARRERA 10 No. 16-46")</f>
        <v>CARRERA 10 No. 16-46</v>
      </c>
      <c r="AQ219" s="40"/>
      <c r="AR219" s="40"/>
      <c r="AS219" s="53">
        <f>IFERROR(__xludf.DUMMYFUNCTION("""COMPUTED_VALUE"""),750000.0)</f>
        <v>750000</v>
      </c>
      <c r="AT219" s="40">
        <f>IFERROR(__xludf.DUMMYFUNCTION("""COMPUTED_VALUE"""),0.0)</f>
        <v>0</v>
      </c>
      <c r="AU219" s="40">
        <f>IFERROR(__xludf.DUMMYFUNCTION("""COMPUTED_VALUE"""),0.0)</f>
        <v>0</v>
      </c>
      <c r="AV219" s="40">
        <f>IFERROR(__xludf.DUMMYFUNCTION("""COMPUTED_VALUE"""),0.0)</f>
        <v>0</v>
      </c>
      <c r="AW219" s="40" t="str">
        <f>IFERROR(__xludf.DUMMYFUNCTION("""COMPUTED_VALUE"""),"NO")</f>
        <v>NO</v>
      </c>
      <c r="AX219" s="40">
        <f>IFERROR(__xludf.DUMMYFUNCTION("""COMPUTED_VALUE"""),0.0)</f>
        <v>0</v>
      </c>
      <c r="AY219" s="40">
        <f>IFERROR(__xludf.DUMMYFUNCTION("""COMPUTED_VALUE"""),0.0)</f>
        <v>0</v>
      </c>
      <c r="AZ219" s="40">
        <f>IFERROR(__xludf.DUMMYFUNCTION("""COMPUTED_VALUE"""),0.0)</f>
        <v>0</v>
      </c>
      <c r="BA219" s="40" t="str">
        <f>IFERROR(__xludf.DUMMYFUNCTION("""COMPUTED_VALUE"""),"X")</f>
        <v>X</v>
      </c>
      <c r="BB219" s="40">
        <f>IFERROR(__xludf.DUMMYFUNCTION("""COMPUTED_VALUE"""),0.0)</f>
        <v>0</v>
      </c>
      <c r="BC219" s="53" t="str">
        <f>IFERROR(__xludf.DUMMYFUNCTION("""COMPUTED_VALUE"""),"2 - JAIRO DIAZ, 7 - ROCIO YAGUARA VELA")</f>
        <v>2 - JAIRO DIAZ, 7 - ROCIO YAGUARA VELA</v>
      </c>
      <c r="BD219" s="48"/>
      <c r="BE219" s="48"/>
      <c r="BF219" s="48"/>
    </row>
    <row r="220">
      <c r="A220" s="39" t="str">
        <f>IFERROR(__xludf.DUMMYFUNCTION("""COMPUTED_VALUE"""),"297")</f>
        <v>297</v>
      </c>
      <c r="B220" s="40" t="str">
        <f>IFERROR(__xludf.DUMMYFUNCTION("""COMPUTED_VALUE"""),"Casa con apartamento en barrio Santa Librada")</f>
        <v>Casa con apartamento en barrio Santa Librada</v>
      </c>
      <c r="C220" s="40" t="str">
        <f>IFERROR(__xludf.DUMMYFUNCTION("""COMPUTED_VALUE"""),"Casa rentable")</f>
        <v>Casa rentable</v>
      </c>
      <c r="D220" s="40" t="str">
        <f>IFERROR(__xludf.DUMMYFUNCTION("""COMPUTED_VALUE"""),"Santa Librada")</f>
        <v>Santa Librada</v>
      </c>
      <c r="E220" s="40"/>
      <c r="F220" s="42">
        <f>IFERROR(__xludf.DUMMYFUNCTION("""COMPUTED_VALUE"""),1.7E8)</f>
        <v>170000000</v>
      </c>
      <c r="G220" s="40" t="str">
        <f>IFERROR(__xludf.DUMMYFUNCTION("""COMPUTED_VALUE"""),"$100'000.000 a $200'000.000")</f>
        <v>$100'000.000 a $200'000.000</v>
      </c>
      <c r="H220" s="40"/>
      <c r="I220" s="40"/>
      <c r="J220" s="40" t="str">
        <f>IFERROR(__xludf.DUMMYFUNCTION("""COMPUTED_VALUE"""),"Centro")</f>
        <v>Centro</v>
      </c>
      <c r="K220" s="39" t="str">
        <f>IFERROR(__xludf.DUMMYFUNCTION("""COMPUTED_VALUE"""),"3")</f>
        <v>3</v>
      </c>
      <c r="L220" s="40">
        <f>IFERROR(__xludf.DUMMYFUNCTION("""COMPUTED_VALUE"""),3.0)</f>
        <v>3</v>
      </c>
      <c r="M220" s="40"/>
      <c r="N220" s="40">
        <f>IFERROR(__xludf.DUMMYFUNCTION("""COMPUTED_VALUE"""),2.0)</f>
        <v>2</v>
      </c>
      <c r="O220" s="40">
        <f>IFERROR(__xludf.DUMMYFUNCTION("""COMPUTED_VALUE"""),0.0)</f>
        <v>0</v>
      </c>
      <c r="P220" s="40">
        <f>IFERROR(__xludf.DUMMYFUNCTION("""COMPUTED_VALUE"""),1.0)</f>
        <v>1</v>
      </c>
      <c r="Q220" s="48">
        <f>IFERROR(__xludf.DUMMYFUNCTION("""COMPUTED_VALUE"""),150.0)</f>
        <v>150</v>
      </c>
      <c r="R220" s="48">
        <f>IFERROR(__xludf.DUMMYFUNCTION("""COMPUTED_VALUE"""),150.0)</f>
        <v>150</v>
      </c>
      <c r="S220" s="39" t="str">
        <f>IFERROR(__xludf.DUMMYFUNCTION("""COMPUTED_VALUE"""),"Rentabilidad $1,000,000")</f>
        <v>Rentabilidad $1,000,000</v>
      </c>
      <c r="T220" s="40" t="str">
        <f>IFERROR(__xludf.DUMMYFUNCTION("""COMPUTED_VALUE"""),"Neiva")</f>
        <v>Neiva</v>
      </c>
      <c r="U220" s="39" t="str">
        <f>IFERROR(__xludf.DUMMYFUNCTION("""COMPUTED_VALUE"""),"2")</f>
        <v>2</v>
      </c>
      <c r="V220" s="40" t="str">
        <f>IFERROR(__xludf.DUMMYFUNCTION("""COMPUTED_VALUE"""),"Medianera")</f>
        <v>Medianera</v>
      </c>
      <c r="W220" s="46"/>
      <c r="X220" s="46">
        <f>IFERROR(__xludf.DUMMYFUNCTION("""COMPUTED_VALUE"""),0.0)</f>
        <v>0</v>
      </c>
      <c r="Y220" s="40" t="str">
        <f>IFERROR(__xludf.DUMMYFUNCTION("""COMPUTED_VALUE"""),"No tiene")</f>
        <v>No tiene</v>
      </c>
      <c r="Z220" s="42" t="str">
        <f>IFERROR(__xludf.DUMMYFUNCTION("""COMPUTED_VALUE"""),"No aplica")</f>
        <v>No aplica</v>
      </c>
      <c r="AA220" s="49" t="str">
        <f>IFERROR(__xludf.DUMMYFUNCTION("""COMPUTED_VALUE"""),"14 años")</f>
        <v>14 años</v>
      </c>
      <c r="AB220" s="48"/>
      <c r="AC220" s="40"/>
      <c r="AD220" s="40"/>
      <c r="AE220" s="40"/>
      <c r="AF220" s="40" t="str">
        <f>IFERROR(__xludf.DUMMYFUNCTION("""COMPUTED_VALUE"""),"básica")</f>
        <v>básica</v>
      </c>
      <c r="AG220" s="40"/>
      <c r="AH220" s="40" t="str">
        <f>IFERROR(__xludf.DUMMYFUNCTION("""COMPUTED_VALUE"""),"Inventario")</f>
        <v>Inventario</v>
      </c>
      <c r="AI220" s="40"/>
      <c r="AJ220" s="40" t="str">
        <f>IFERROR(__xludf.DUMMYFUNCTION("""COMPUTED_VALUE"""),"ICDE")</f>
        <v>ICDE</v>
      </c>
      <c r="AK220" s="40"/>
      <c r="AL220" s="40" t="str">
        <f>IFERROR(__xludf.DUMMYFUNCTION("""COMPUTED_VALUE"""),"NO FOTOS + DESCRIPCION")</f>
        <v>NO FOTOS + DESCRIPCION</v>
      </c>
      <c r="AM220" s="40">
        <f>IFERROR(__xludf.DUMMYFUNCTION("""COMPUTED_VALUE"""),3.203045604E9)</f>
        <v>3203045604</v>
      </c>
      <c r="AN220" s="40">
        <f>IFERROR(__xludf.DUMMYFUNCTION("""COMPUTED_VALUE"""),3.185287327E9)</f>
        <v>3185287327</v>
      </c>
      <c r="AO220" s="40" t="str">
        <f>IFERROR(__xludf.DUMMYFUNCTION("""COMPUTED_VALUE"""),"JOSE")</f>
        <v>JOSE</v>
      </c>
      <c r="AP220" s="40" t="str">
        <f>IFERROR(__xludf.DUMMYFUNCTION("""COMPUTED_VALUE"""),"CALLE 14 No. 14 - 31")</f>
        <v>CALLE 14 No. 14 - 31</v>
      </c>
      <c r="AQ220" s="40"/>
      <c r="AR220" s="40"/>
      <c r="AS220" s="53">
        <f>IFERROR(__xludf.DUMMYFUNCTION("""COMPUTED_VALUE"""),1000000.0)</f>
        <v>1000000</v>
      </c>
      <c r="AT220" s="40">
        <f>IFERROR(__xludf.DUMMYFUNCTION("""COMPUTED_VALUE"""),0.0)</f>
        <v>0</v>
      </c>
      <c r="AU220" s="40">
        <f>IFERROR(__xludf.DUMMYFUNCTION("""COMPUTED_VALUE"""),0.0)</f>
        <v>0</v>
      </c>
      <c r="AV220" s="40">
        <f>IFERROR(__xludf.DUMMYFUNCTION("""COMPUTED_VALUE"""),0.0)</f>
        <v>0</v>
      </c>
      <c r="AW220" s="40" t="str">
        <f>IFERROR(__xludf.DUMMYFUNCTION("""COMPUTED_VALUE"""),"NO")</f>
        <v>NO</v>
      </c>
      <c r="AX220" s="40">
        <f>IFERROR(__xludf.DUMMYFUNCTION("""COMPUTED_VALUE"""),0.0)</f>
        <v>0</v>
      </c>
      <c r="AY220" s="40">
        <f>IFERROR(__xludf.DUMMYFUNCTION("""COMPUTED_VALUE"""),0.0)</f>
        <v>0</v>
      </c>
      <c r="AZ220" s="40">
        <f>IFERROR(__xludf.DUMMYFUNCTION("""COMPUTED_VALUE"""),0.0)</f>
        <v>0</v>
      </c>
      <c r="BA220" s="40" t="str">
        <f>IFERROR(__xludf.DUMMYFUNCTION("""COMPUTED_VALUE"""),"X")</f>
        <v>X</v>
      </c>
      <c r="BB220" s="40">
        <f>IFERROR(__xludf.DUMMYFUNCTION("""COMPUTED_VALUE"""),0.0)</f>
        <v>0</v>
      </c>
      <c r="BC220" s="53"/>
      <c r="BD220" s="40"/>
      <c r="BE220" s="40"/>
      <c r="BF220" s="40"/>
    </row>
    <row r="221">
      <c r="A221" s="39" t="str">
        <f>IFERROR(__xludf.DUMMYFUNCTION("""COMPUTED_VALUE"""),"380")</f>
        <v>380</v>
      </c>
      <c r="B221" s="40" t="str">
        <f>IFERROR(__xludf.DUMMYFUNCTION("""COMPUTED_VALUE"""),"Casa en barrio Los Cambulos II")</f>
        <v>Casa en barrio Los Cambulos II</v>
      </c>
      <c r="C221" s="40" t="str">
        <f>IFERROR(__xludf.DUMMYFUNCTION("""COMPUTED_VALUE"""),"Casa")</f>
        <v>Casa</v>
      </c>
      <c r="D221" s="40" t="str">
        <f>IFERROR(__xludf.DUMMYFUNCTION("""COMPUTED_VALUE"""),"Los Cámbulos II")</f>
        <v>Los Cámbulos II</v>
      </c>
      <c r="E221" s="40"/>
      <c r="F221" s="42">
        <f>IFERROR(__xludf.DUMMYFUNCTION("""COMPUTED_VALUE"""),1.53E8)</f>
        <v>153000000</v>
      </c>
      <c r="G221" s="40" t="str">
        <f>IFERROR(__xludf.DUMMYFUNCTION("""COMPUTED_VALUE"""),"$100'000.000 a $200'000.000")</f>
        <v>$100'000.000 a $200'000.000</v>
      </c>
      <c r="H221" s="40"/>
      <c r="I221" s="40"/>
      <c r="J221" s="40" t="str">
        <f>IFERROR(__xludf.DUMMYFUNCTION("""COMPUTED_VALUE"""),"Norte")</f>
        <v>Norte</v>
      </c>
      <c r="K221" s="39" t="str">
        <f>IFERROR(__xludf.DUMMYFUNCTION("""COMPUTED_VALUE"""),"2")</f>
        <v>2</v>
      </c>
      <c r="L221" s="40">
        <f>IFERROR(__xludf.DUMMYFUNCTION("""COMPUTED_VALUE"""),4.0)</f>
        <v>4</v>
      </c>
      <c r="M221" s="40"/>
      <c r="N221" s="40">
        <f>IFERROR(__xludf.DUMMYFUNCTION("""COMPUTED_VALUE"""),2.0)</f>
        <v>2</v>
      </c>
      <c r="O221" s="40">
        <f>IFERROR(__xludf.DUMMYFUNCTION("""COMPUTED_VALUE"""),1.0)</f>
        <v>1</v>
      </c>
      <c r="P221" s="40">
        <f>IFERROR(__xludf.DUMMYFUNCTION("""COMPUTED_VALUE"""),2.0)</f>
        <v>2</v>
      </c>
      <c r="Q221" s="48"/>
      <c r="R221" s="48">
        <f>IFERROR(__xludf.DUMMYFUNCTION("""COMPUTED_VALUE"""),90.0)</f>
        <v>90</v>
      </c>
      <c r="S221" s="39" t="str">
        <f>IFERROR(__xludf.DUMMYFUNCTION("""COMPUTED_VALUE""")," ")</f>
        <v> </v>
      </c>
      <c r="T221" s="40" t="str">
        <f>IFERROR(__xludf.DUMMYFUNCTION("""COMPUTED_VALUE"""),"Neiva")</f>
        <v>Neiva</v>
      </c>
      <c r="U221" s="39" t="str">
        <f>IFERROR(__xludf.DUMMYFUNCTION("""COMPUTED_VALUE"""),"3")</f>
        <v>3</v>
      </c>
      <c r="V221" s="40" t="str">
        <f>IFERROR(__xludf.DUMMYFUNCTION("""COMPUTED_VALUE"""),"Medianera")</f>
        <v>Medianera</v>
      </c>
      <c r="W221" s="46"/>
      <c r="X221" s="46">
        <f>IFERROR(__xludf.DUMMYFUNCTION("""COMPUTED_VALUE"""),2.0)</f>
        <v>2</v>
      </c>
      <c r="Y221" s="40" t="str">
        <f>IFERROR(__xludf.DUMMYFUNCTION("""COMPUTED_VALUE"""),"No tiene")</f>
        <v>No tiene</v>
      </c>
      <c r="Z221" s="42" t="str">
        <f>IFERROR(__xludf.DUMMYFUNCTION("""COMPUTED_VALUE"""),"No aplica")</f>
        <v>No aplica</v>
      </c>
      <c r="AA221" s="49" t="str">
        <f>IFERROR(__xludf.DUMMYFUNCTION("""COMPUTED_VALUE"""),"No aplica")</f>
        <v>No aplica</v>
      </c>
      <c r="AB221" s="48"/>
      <c r="AC221" s="40"/>
      <c r="AD221" s="40"/>
      <c r="AE221" s="40"/>
      <c r="AF221" s="40"/>
      <c r="AG221" s="40"/>
      <c r="AH221" s="40" t="str">
        <f>IFERROR(__xludf.DUMMYFUNCTION("""COMPUTED_VALUE"""),"Inventario")</f>
        <v>Inventario</v>
      </c>
      <c r="AI221" s="40"/>
      <c r="AJ221" s="40" t="str">
        <f>IFERROR(__xludf.DUMMYFUNCTION("""COMPUTED_VALUE"""),"ICDE")</f>
        <v>ICDE</v>
      </c>
      <c r="AK221" s="40"/>
      <c r="AL221" s="40"/>
      <c r="AM221" s="40"/>
      <c r="AN221" s="40"/>
      <c r="AO221" s="40"/>
      <c r="AP221" s="40"/>
      <c r="AQ221" s="40"/>
      <c r="AR221" s="40"/>
      <c r="AS221" s="53"/>
      <c r="AT221" s="40"/>
      <c r="AU221" s="40"/>
      <c r="AV221" s="40"/>
      <c r="AW221" s="40"/>
      <c r="AX221" s="40"/>
      <c r="AY221" s="40"/>
      <c r="AZ221" s="40"/>
      <c r="BA221" s="40" t="str">
        <f>IFERROR(__xludf.DUMMYFUNCTION("""COMPUTED_VALUE"""),"X")</f>
        <v>X</v>
      </c>
      <c r="BB221" s="40"/>
      <c r="BC221" s="53"/>
      <c r="BD221" s="48"/>
      <c r="BE221" s="48"/>
      <c r="BF221" s="48"/>
    </row>
    <row r="222">
      <c r="A222" s="39" t="str">
        <f>IFERROR(__xludf.DUMMYFUNCTION("""COMPUTED_VALUE"""),"047")</f>
        <v>047</v>
      </c>
      <c r="B222" s="40" t="str">
        <f>IFERROR(__xludf.DUMMYFUNCTION("""COMPUTED_VALUE"""),"Apartamento en barrio Las Granjas")</f>
        <v>Apartamento en barrio Las Granjas</v>
      </c>
      <c r="C222" s="40" t="str">
        <f>IFERROR(__xludf.DUMMYFUNCTION("""COMPUTED_VALUE"""),"Apartamento")</f>
        <v>Apartamento</v>
      </c>
      <c r="D222" s="40" t="str">
        <f>IFERROR(__xludf.DUMMYFUNCTION("""COMPUTED_VALUE"""),"Las Granjas")</f>
        <v>Las Granjas</v>
      </c>
      <c r="E222" s="42" t="str">
        <f>IFERROR(__xludf.DUMMYFUNCTION("""COMPUTED_VALUE""")," ")</f>
        <v> </v>
      </c>
      <c r="F222" s="42">
        <f>IFERROR(__xludf.DUMMYFUNCTION("""COMPUTED_VALUE"""),1.5E8)</f>
        <v>150000000</v>
      </c>
      <c r="G222" s="40" t="str">
        <f>IFERROR(__xludf.DUMMYFUNCTION("""COMPUTED_VALUE"""),"$100'000.000 a $200'000.000")</f>
        <v>$100'000.000 a $200'000.000</v>
      </c>
      <c r="H222" s="40"/>
      <c r="I222" s="40"/>
      <c r="J222" s="40" t="str">
        <f>IFERROR(__xludf.DUMMYFUNCTION("""COMPUTED_VALUE"""),"Norte")</f>
        <v>Norte</v>
      </c>
      <c r="K222" s="39" t="str">
        <f>IFERROR(__xludf.DUMMYFUNCTION("""COMPUTED_VALUE"""),"2")</f>
        <v>2</v>
      </c>
      <c r="L222" s="40">
        <f>IFERROR(__xludf.DUMMYFUNCTION("""COMPUTED_VALUE"""),5.0)</f>
        <v>5</v>
      </c>
      <c r="M222" s="40"/>
      <c r="N222" s="40">
        <f>IFERROR(__xludf.DUMMYFUNCTION("""COMPUTED_VALUE"""),1.0)</f>
        <v>1</v>
      </c>
      <c r="O222" s="40">
        <f>IFERROR(__xludf.DUMMYFUNCTION("""COMPUTED_VALUE"""),0.0)</f>
        <v>0</v>
      </c>
      <c r="P222" s="40">
        <f>IFERROR(__xludf.DUMMYFUNCTION("""COMPUTED_VALUE"""),2.0)</f>
        <v>2</v>
      </c>
      <c r="Q222" s="48">
        <f>IFERROR(__xludf.DUMMYFUNCTION("""COMPUTED_VALUE"""),90.0)</f>
        <v>90</v>
      </c>
      <c r="R222" s="48">
        <f>IFERROR(__xludf.DUMMYFUNCTION("""COMPUTED_VALUE"""),72.0)</f>
        <v>72</v>
      </c>
      <c r="S222" s="39" t="str">
        <f>IFERROR(__xludf.DUMMYFUNCTION("""COMPUTED_VALUE"""),"Rentabilidad $600,000")</f>
        <v>Rentabilidad $600,000</v>
      </c>
      <c r="T222" s="40" t="str">
        <f>IFERROR(__xludf.DUMMYFUNCTION("""COMPUTED_VALUE"""),"Neiva")</f>
        <v>Neiva</v>
      </c>
      <c r="U222" s="39" t="str">
        <f>IFERROR(__xludf.DUMMYFUNCTION("""COMPUTED_VALUE"""),"2")</f>
        <v>2</v>
      </c>
      <c r="V222" s="40" t="str">
        <f>IFERROR(__xludf.DUMMYFUNCTION("""COMPUTED_VALUE"""),"Medianera")</f>
        <v>Medianera</v>
      </c>
      <c r="W222" s="46"/>
      <c r="X222" s="46">
        <f>IFERROR(__xludf.DUMMYFUNCTION("""COMPUTED_VALUE"""),0.0)</f>
        <v>0</v>
      </c>
      <c r="Y222" s="40" t="str">
        <f>IFERROR(__xludf.DUMMYFUNCTION("""COMPUTED_VALUE"""),"No tiene")</f>
        <v>No tiene</v>
      </c>
      <c r="Z222" s="42" t="str">
        <f>IFERROR(__xludf.DUMMYFUNCTION("""COMPUTED_VALUE"""),"No aplica")</f>
        <v>No aplica</v>
      </c>
      <c r="AA222" s="49" t="str">
        <f>IFERROR(__xludf.DUMMYFUNCTION("""COMPUTED_VALUE"""),"21 años")</f>
        <v>21 años</v>
      </c>
      <c r="AB222" s="48"/>
      <c r="AC222" s="40"/>
      <c r="AD222" s="40"/>
      <c r="AE222" s="40"/>
      <c r="AF222" s="40" t="str">
        <f>IFERROR(__xludf.DUMMYFUNCTION("""COMPUTED_VALUE"""),"básica")</f>
        <v>básica</v>
      </c>
      <c r="AG222" s="40"/>
      <c r="AH222" s="40" t="str">
        <f>IFERROR(__xludf.DUMMYFUNCTION("""COMPUTED_VALUE"""),"Inventario")</f>
        <v>Inventario</v>
      </c>
      <c r="AI222" s="40"/>
      <c r="AJ222" s="40" t="str">
        <f>IFERROR(__xludf.DUMMYFUNCTION("""COMPUTED_VALUE"""),"ICDE")</f>
        <v>ICDE</v>
      </c>
      <c r="AK222" s="40"/>
      <c r="AL222" s="40" t="str">
        <f>IFERROR(__xludf.DUMMYFUNCTION("""COMPUTED_VALUE"""),"NO FOTOS Y DESCRIPCION")</f>
        <v>NO FOTOS Y DESCRIPCION</v>
      </c>
      <c r="AM222" s="40">
        <f>IFERROR(__xludf.DUMMYFUNCTION("""COMPUTED_VALUE"""),3.208939728E9)</f>
        <v>3208939728</v>
      </c>
      <c r="AN222" s="40"/>
      <c r="AO222" s="40" t="str">
        <f>IFERROR(__xludf.DUMMYFUNCTION("""COMPUTED_VALUE"""),"HIJA-MARIA MARIN-PENDIENTE DESENGLOBE")</f>
        <v>HIJA-MARIA MARIN-PENDIENTE DESENGLOBE</v>
      </c>
      <c r="AP222" s="40" t="str">
        <f>IFERROR(__xludf.DUMMYFUNCTION("""COMPUTED_VALUE"""),"CARRERA 6 A No. 40-16")</f>
        <v>CARRERA 6 A No. 40-16</v>
      </c>
      <c r="AQ222" s="40"/>
      <c r="AR222" s="40"/>
      <c r="AS222" s="53">
        <f>IFERROR(__xludf.DUMMYFUNCTION("""COMPUTED_VALUE"""),600000.0)</f>
        <v>600000</v>
      </c>
      <c r="AT222" s="40">
        <f>IFERROR(__xludf.DUMMYFUNCTION("""COMPUTED_VALUE"""),0.0)</f>
        <v>0</v>
      </c>
      <c r="AU222" s="40">
        <f>IFERROR(__xludf.DUMMYFUNCTION("""COMPUTED_VALUE"""),0.0)</f>
        <v>0</v>
      </c>
      <c r="AV222" s="40">
        <f>IFERROR(__xludf.DUMMYFUNCTION("""COMPUTED_VALUE"""),0.0)</f>
        <v>0</v>
      </c>
      <c r="AW222" s="40" t="str">
        <f>IFERROR(__xludf.DUMMYFUNCTION("""COMPUTED_VALUE"""),"NO")</f>
        <v>NO</v>
      </c>
      <c r="AX222" s="40">
        <f>IFERROR(__xludf.DUMMYFUNCTION("""COMPUTED_VALUE"""),0.0)</f>
        <v>0</v>
      </c>
      <c r="AY222" s="40" t="str">
        <f>IFERROR(__xludf.DUMMYFUNCTION("""COMPUTED_VALUE"""),"P")</f>
        <v>P</v>
      </c>
      <c r="AZ222" s="40">
        <f>IFERROR(__xludf.DUMMYFUNCTION("""COMPUTED_VALUE"""),4.0)</f>
        <v>4</v>
      </c>
      <c r="BA222" s="40" t="str">
        <f>IFERROR(__xludf.DUMMYFUNCTION("""COMPUTED_VALUE"""),"X")</f>
        <v>X</v>
      </c>
      <c r="BB222" s="40">
        <f>IFERROR(__xludf.DUMMYFUNCTION("""COMPUTED_VALUE"""),18.0)</f>
        <v>18</v>
      </c>
      <c r="BC222" s="53"/>
      <c r="BD222" s="48"/>
      <c r="BE222" s="48"/>
      <c r="BF222" s="48"/>
    </row>
    <row r="223">
      <c r="A223" s="39" t="str">
        <f>IFERROR(__xludf.DUMMYFUNCTION("""COMPUTED_VALUE"""),"012")</f>
        <v>012</v>
      </c>
      <c r="B223" s="40" t="str">
        <f>IFERROR(__xludf.DUMMYFUNCTION("""COMPUTED_VALUE"""),"Apartamento en barrio  Las Granjas")</f>
        <v>Apartamento en barrio  Las Granjas</v>
      </c>
      <c r="C223" s="40" t="str">
        <f>IFERROR(__xludf.DUMMYFUNCTION("""COMPUTED_VALUE"""),"Apartamento")</f>
        <v>Apartamento</v>
      </c>
      <c r="D223" s="40" t="str">
        <f>IFERROR(__xludf.DUMMYFUNCTION("""COMPUTED_VALUE"""),"Las Granjas")</f>
        <v>Las Granjas</v>
      </c>
      <c r="E223" s="42" t="str">
        <f>IFERROR(__xludf.DUMMYFUNCTION("""COMPUTED_VALUE""")," ")</f>
        <v> </v>
      </c>
      <c r="F223" s="42">
        <f>IFERROR(__xludf.DUMMYFUNCTION("""COMPUTED_VALUE"""),1.35E8)</f>
        <v>135000000</v>
      </c>
      <c r="G223" s="40" t="str">
        <f>IFERROR(__xludf.DUMMYFUNCTION("""COMPUTED_VALUE"""),"$100'000.000 a $200'000.000")</f>
        <v>$100'000.000 a $200'000.000</v>
      </c>
      <c r="H223" s="40"/>
      <c r="I223" s="40"/>
      <c r="J223" s="40" t="str">
        <f>IFERROR(__xludf.DUMMYFUNCTION("""COMPUTED_VALUE"""),"Norte")</f>
        <v>Norte</v>
      </c>
      <c r="K223" s="39" t="str">
        <f>IFERROR(__xludf.DUMMYFUNCTION("""COMPUTED_VALUE"""),"2")</f>
        <v>2</v>
      </c>
      <c r="L223" s="40">
        <f>IFERROR(__xludf.DUMMYFUNCTION("""COMPUTED_VALUE"""),2.0)</f>
        <v>2</v>
      </c>
      <c r="M223" s="40"/>
      <c r="N223" s="40">
        <f>IFERROR(__xludf.DUMMYFUNCTION("""COMPUTED_VALUE"""),1.0)</f>
        <v>1</v>
      </c>
      <c r="O223" s="40">
        <f>IFERROR(__xludf.DUMMYFUNCTION("""COMPUTED_VALUE"""),1.0)</f>
        <v>1</v>
      </c>
      <c r="P223" s="40">
        <f>IFERROR(__xludf.DUMMYFUNCTION("""COMPUTED_VALUE"""),1.0)</f>
        <v>1</v>
      </c>
      <c r="Q223" s="48">
        <f>IFERROR(__xludf.DUMMYFUNCTION("""COMPUTED_VALUE"""),60.0)</f>
        <v>60</v>
      </c>
      <c r="R223" s="48">
        <f>IFERROR(__xludf.DUMMYFUNCTION("""COMPUTED_VALUE"""),60.0)</f>
        <v>60</v>
      </c>
      <c r="S223" s="39" t="str">
        <f>IFERROR(__xludf.DUMMYFUNCTION("""COMPUTED_VALUE"""),"Rentabilidad $600,000")</f>
        <v>Rentabilidad $600,000</v>
      </c>
      <c r="T223" s="40" t="str">
        <f>IFERROR(__xludf.DUMMYFUNCTION("""COMPUTED_VALUE"""),"Neiva")</f>
        <v>Neiva</v>
      </c>
      <c r="U223" s="39" t="str">
        <f>IFERROR(__xludf.DUMMYFUNCTION("""COMPUTED_VALUE"""),"2")</f>
        <v>2</v>
      </c>
      <c r="V223" s="40"/>
      <c r="W223" s="46"/>
      <c r="X223" s="46">
        <f>IFERROR(__xludf.DUMMYFUNCTION("""COMPUTED_VALUE"""),1.0)</f>
        <v>1</v>
      </c>
      <c r="Y223" s="53" t="str">
        <f>IFERROR(__xludf.DUMMYFUNCTION("""COMPUTED_VALUE"""),"No tiene")</f>
        <v>No tiene</v>
      </c>
      <c r="Z223" s="42" t="str">
        <f>IFERROR(__xludf.DUMMYFUNCTION("""COMPUTED_VALUE"""),"No aplica")</f>
        <v>No aplica</v>
      </c>
      <c r="AA223" s="49" t="str">
        <f>IFERROR(__xludf.DUMMYFUNCTION("""COMPUTED_VALUE"""),"19 años")</f>
        <v>19 años</v>
      </c>
      <c r="AB223" s="48"/>
      <c r="AC223" s="40" t="str">
        <f>IFERROR(__xludf.DUMMYFUNCTION("""COMPUTED_VALUE"""),"Ubicada en el primer piso")</f>
        <v>Ubicada en el primer piso</v>
      </c>
      <c r="AD223" s="40"/>
      <c r="AE223" s="40"/>
      <c r="AF223" s="40" t="str">
        <f>IFERROR(__xludf.DUMMYFUNCTION("""COMPUTED_VALUE"""),"semi-integral")</f>
        <v>semi-integral</v>
      </c>
      <c r="AG223" s="40"/>
      <c r="AH223" s="40" t="str">
        <f>IFERROR(__xludf.DUMMYFUNCTION("""COMPUTED_VALUE"""),"Inventario")</f>
        <v>Inventario</v>
      </c>
      <c r="AI223" s="40"/>
      <c r="AJ223" s="40" t="str">
        <f>IFERROR(__xludf.DUMMYFUNCTION("""COMPUTED_VALUE"""),"ICDE")</f>
        <v>ICDE</v>
      </c>
      <c r="AK223" s="40"/>
      <c r="AL223" s="40" t="str">
        <f>IFERROR(__xludf.DUMMYFUNCTION("""COMPUTED_VALUE"""),"NO FOTOS-INTE-DESCRIP.")</f>
        <v>NO FOTOS-INTE-DESCRIP.</v>
      </c>
      <c r="AM223" s="40">
        <f>IFERROR(__xludf.DUMMYFUNCTION("""COMPUTED_VALUE"""),3.186238801E9)</f>
        <v>3186238801</v>
      </c>
      <c r="AN223" s="40">
        <f>IFERROR(__xludf.DUMMYFUNCTION("""COMPUTED_VALUE"""),3.177028518E9)</f>
        <v>3177028518</v>
      </c>
      <c r="AO223" s="40" t="str">
        <f>IFERROR(__xludf.DUMMYFUNCTION("""COMPUTED_VALUE"""),"LEIDY -")</f>
        <v>LEIDY -</v>
      </c>
      <c r="AP223" s="40"/>
      <c r="AQ223" s="40"/>
      <c r="AR223" s="40"/>
      <c r="AS223" s="53">
        <f>IFERROR(__xludf.DUMMYFUNCTION("""COMPUTED_VALUE"""),600000.0)</f>
        <v>600000</v>
      </c>
      <c r="AT223" s="40">
        <f>IFERROR(__xludf.DUMMYFUNCTION("""COMPUTED_VALUE"""),0.0)</f>
        <v>0</v>
      </c>
      <c r="AU223" s="40">
        <f>IFERROR(__xludf.DUMMYFUNCTION("""COMPUTED_VALUE"""),0.0)</f>
        <v>0</v>
      </c>
      <c r="AV223" s="40">
        <f>IFERROR(__xludf.DUMMYFUNCTION("""COMPUTED_VALUE"""),0.0)</f>
        <v>0</v>
      </c>
      <c r="AW223" s="40" t="str">
        <f>IFERROR(__xludf.DUMMYFUNCTION("""COMPUTED_VALUE"""),"NO")</f>
        <v>NO</v>
      </c>
      <c r="AX223" s="40">
        <f>IFERROR(__xludf.DUMMYFUNCTION("""COMPUTED_VALUE"""),0.0)</f>
        <v>0</v>
      </c>
      <c r="AY223" s="40">
        <f>IFERROR(__xludf.DUMMYFUNCTION("""COMPUTED_VALUE"""),0.0)</f>
        <v>0</v>
      </c>
      <c r="AZ223" s="40">
        <f>IFERROR(__xludf.DUMMYFUNCTION("""COMPUTED_VALUE"""),3.0)</f>
        <v>3</v>
      </c>
      <c r="BA223" s="40" t="str">
        <f>IFERROR(__xludf.DUMMYFUNCTION("""COMPUTED_VALUE"""),"X")</f>
        <v>X</v>
      </c>
      <c r="BB223" s="40">
        <f>IFERROR(__xludf.DUMMYFUNCTION("""COMPUTED_VALUE"""),20.0)</f>
        <v>20</v>
      </c>
      <c r="BC223" s="53" t="str">
        <f>IFERROR(__xludf.DUMMYFUNCTION("""COMPUTED_VALUE"""),"24 - FERNEY PIÑEROS Y LEIDY")</f>
        <v>24 - FERNEY PIÑEROS Y LEIDY</v>
      </c>
      <c r="BD223" s="48"/>
      <c r="BE223" s="48"/>
      <c r="BF223" s="48"/>
    </row>
    <row r="224">
      <c r="A224" s="39" t="str">
        <f>IFERROR(__xludf.DUMMYFUNCTION("""COMPUTED_VALUE"""),"406")</f>
        <v>406</v>
      </c>
      <c r="B224" s="40" t="str">
        <f>IFERROR(__xludf.DUMMYFUNCTION("""COMPUTED_VALUE"""),"Casa con dos apartamentos en barrio Santa Librada")</f>
        <v>Casa con dos apartamentos en barrio Santa Librada</v>
      </c>
      <c r="C224" s="40" t="str">
        <f>IFERROR(__xludf.DUMMYFUNCTION("""COMPUTED_VALUE"""),"Casa rentable")</f>
        <v>Casa rentable</v>
      </c>
      <c r="D224" s="40" t="str">
        <f>IFERROR(__xludf.DUMMYFUNCTION("""COMPUTED_VALUE"""),"Santa Librada")</f>
        <v>Santa Librada</v>
      </c>
      <c r="E224" s="40"/>
      <c r="F224" s="42">
        <f>IFERROR(__xludf.DUMMYFUNCTION("""COMPUTED_VALUE"""),1.3E8)</f>
        <v>130000000</v>
      </c>
      <c r="G224" s="40" t="str">
        <f>IFERROR(__xludf.DUMMYFUNCTION("""COMPUTED_VALUE"""),"$100'000.000 a $200'000.000")</f>
        <v>$100'000.000 a $200'000.000</v>
      </c>
      <c r="H224" s="40"/>
      <c r="I224" s="40"/>
      <c r="J224" s="40" t="str">
        <f>IFERROR(__xludf.DUMMYFUNCTION("""COMPUTED_VALUE"""),"Centro")</f>
        <v>Centro</v>
      </c>
      <c r="K224" s="39" t="str">
        <f>IFERROR(__xludf.DUMMYFUNCTION("""COMPUTED_VALUE"""),"3")</f>
        <v>3</v>
      </c>
      <c r="L224" s="40">
        <f>IFERROR(__xludf.DUMMYFUNCTION("""COMPUTED_VALUE"""),5.0)</f>
        <v>5</v>
      </c>
      <c r="M224" s="40"/>
      <c r="N224" s="40">
        <f>IFERROR(__xludf.DUMMYFUNCTION("""COMPUTED_VALUE"""),2.0)</f>
        <v>2</v>
      </c>
      <c r="O224" s="40">
        <f>IFERROR(__xludf.DUMMYFUNCTION("""COMPUTED_VALUE"""),0.0)</f>
        <v>0</v>
      </c>
      <c r="P224" s="40">
        <f>IFERROR(__xludf.DUMMYFUNCTION("""COMPUTED_VALUE"""),1.0)</f>
        <v>1</v>
      </c>
      <c r="Q224" s="48">
        <f>IFERROR(__xludf.DUMMYFUNCTION("""COMPUTED_VALUE"""),78.0)</f>
        <v>78</v>
      </c>
      <c r="R224" s="48">
        <f>IFERROR(__xludf.DUMMYFUNCTION("""COMPUTED_VALUE"""),78.0)</f>
        <v>78</v>
      </c>
      <c r="S224" s="39" t="str">
        <f>IFERROR(__xludf.DUMMYFUNCTION("""COMPUTED_VALUE"""),"Rentabilidad $800,000")</f>
        <v>Rentabilidad $800,000</v>
      </c>
      <c r="T224" s="40" t="str">
        <f>IFERROR(__xludf.DUMMYFUNCTION("""COMPUTED_VALUE"""),"Neiva")</f>
        <v>Neiva</v>
      </c>
      <c r="U224" s="39" t="str">
        <f>IFERROR(__xludf.DUMMYFUNCTION("""COMPUTED_VALUE"""),"3")</f>
        <v>3</v>
      </c>
      <c r="V224" s="40" t="str">
        <f>IFERROR(__xludf.DUMMYFUNCTION("""COMPUTED_VALUE"""),"Esquinera")</f>
        <v>Esquinera</v>
      </c>
      <c r="W224" s="46"/>
      <c r="X224" s="46">
        <f>IFERROR(__xludf.DUMMYFUNCTION("""COMPUTED_VALUE"""),1.0)</f>
        <v>1</v>
      </c>
      <c r="Y224" s="40" t="str">
        <f>IFERROR(__xludf.DUMMYFUNCTION("""COMPUTED_VALUE"""),"No tiene")</f>
        <v>No tiene</v>
      </c>
      <c r="Z224" s="42" t="str">
        <f>IFERROR(__xludf.DUMMYFUNCTION("""COMPUTED_VALUE"""),"No aplica")</f>
        <v>No aplica</v>
      </c>
      <c r="AA224" s="49" t="str">
        <f>IFERROR(__xludf.DUMMYFUNCTION("""COMPUTED_VALUE"""),"14 años")</f>
        <v>14 años</v>
      </c>
      <c r="AB224" s="48"/>
      <c r="AC224" s="40" t="str">
        <f>IFERROR(__xludf.DUMMYFUNCTION("""COMPUTED_VALUE"""),"- (Para remodelar 90%)")</f>
        <v>- (Para remodelar 90%)</v>
      </c>
      <c r="AD224" s="40"/>
      <c r="AE224" s="40"/>
      <c r="AF224" s="40" t="str">
        <f>IFERROR(__xludf.DUMMYFUNCTION("""COMPUTED_VALUE"""),"básica")</f>
        <v>básica</v>
      </c>
      <c r="AG224" s="40"/>
      <c r="AH224" s="40" t="str">
        <f>IFERROR(__xludf.DUMMYFUNCTION("""COMPUTED_VALUE"""),"Inventario")</f>
        <v>Inventario</v>
      </c>
      <c r="AI224" s="40"/>
      <c r="AJ224" s="40" t="str">
        <f>IFERROR(__xludf.DUMMYFUNCTION("""COMPUTED_VALUE"""),"ICDE")</f>
        <v>ICDE</v>
      </c>
      <c r="AK224" s="40"/>
      <c r="AL224" s="40" t="str">
        <f>IFERROR(__xludf.DUMMYFUNCTION("""COMPUTED_VALUE"""),"NO FOTOS + DESCRIPCION")</f>
        <v>NO FOTOS + DESCRIPCION</v>
      </c>
      <c r="AM224" s="40">
        <f>IFERROR(__xludf.DUMMYFUNCTION("""COMPUTED_VALUE"""),3.185457638E9)</f>
        <v>3185457638</v>
      </c>
      <c r="AN224" s="40">
        <f>IFERROR(__xludf.DUMMYFUNCTION("""COMPUTED_VALUE"""),3.185457638E9)</f>
        <v>3185457638</v>
      </c>
      <c r="AO224" s="40" t="str">
        <f>IFERROR(__xludf.DUMMYFUNCTION("""COMPUTED_VALUE"""),"PROPIETARIO - JAIME BRAVO - Inmob. Rustika.")</f>
        <v>PROPIETARIO - JAIME BRAVO - Inmob. Rustika.</v>
      </c>
      <c r="AP224" s="40" t="str">
        <f>IFERROR(__xludf.DUMMYFUNCTION("""COMPUTED_VALUE"""),"CARRERA 15 No. 14 - 15")</f>
        <v>CARRERA 15 No. 14 - 15</v>
      </c>
      <c r="AQ224" s="40"/>
      <c r="AR224" s="40"/>
      <c r="AS224" s="53">
        <f>IFERROR(__xludf.DUMMYFUNCTION("""COMPUTED_VALUE"""),800000.0)</f>
        <v>800000</v>
      </c>
      <c r="AT224" s="40">
        <f>IFERROR(__xludf.DUMMYFUNCTION("""COMPUTED_VALUE"""),0.0)</f>
        <v>0</v>
      </c>
      <c r="AU224" s="40">
        <f>IFERROR(__xludf.DUMMYFUNCTION("""COMPUTED_VALUE"""),0.0)</f>
        <v>0</v>
      </c>
      <c r="AV224" s="40">
        <f>IFERROR(__xludf.DUMMYFUNCTION("""COMPUTED_VALUE"""),0.0)</f>
        <v>0</v>
      </c>
      <c r="AW224" s="40" t="str">
        <f>IFERROR(__xludf.DUMMYFUNCTION("""COMPUTED_VALUE"""),"NO")</f>
        <v>NO</v>
      </c>
      <c r="AX224" s="40">
        <f>IFERROR(__xludf.DUMMYFUNCTION("""COMPUTED_VALUE"""),2.0)</f>
        <v>2</v>
      </c>
      <c r="AY224" s="40">
        <f>IFERROR(__xludf.DUMMYFUNCTION("""COMPUTED_VALUE"""),0.0)</f>
        <v>0</v>
      </c>
      <c r="AZ224" s="40">
        <f>IFERROR(__xludf.DUMMYFUNCTION("""COMPUTED_VALUE"""),6.5)</f>
        <v>6.5</v>
      </c>
      <c r="BA224" s="40" t="str">
        <f>IFERROR(__xludf.DUMMYFUNCTION("""COMPUTED_VALUE"""),"X")</f>
        <v>X</v>
      </c>
      <c r="BB224" s="40">
        <f>IFERROR(__xludf.DUMMYFUNCTION("""COMPUTED_VALUE"""),12.0)</f>
        <v>12</v>
      </c>
      <c r="BC224" s="53" t="str">
        <f>IFERROR(__xludf.DUMMYFUNCTION("""COMPUTED_VALUE"""),"15 - JOSE LOZANO")</f>
        <v>15 - JOSE LOZANO</v>
      </c>
      <c r="BD224" s="48"/>
      <c r="BE224" s="48"/>
      <c r="BF224" s="48"/>
    </row>
    <row r="225">
      <c r="A225" s="39" t="str">
        <f>IFERROR(__xludf.DUMMYFUNCTION("""COMPUTED_VALUE"""),"180")</f>
        <v>180</v>
      </c>
      <c r="B225" s="40" t="str">
        <f>IFERROR(__xludf.DUMMYFUNCTION("""COMPUTED_VALUE"""),"Casa en barrio Chapinero")</f>
        <v>Casa en barrio Chapinero</v>
      </c>
      <c r="C225" s="40" t="str">
        <f>IFERROR(__xludf.DUMMYFUNCTION("""COMPUTED_VALUE"""),"Casa")</f>
        <v>Casa</v>
      </c>
      <c r="D225" s="40" t="str">
        <f>IFERROR(__xludf.DUMMYFUNCTION("""COMPUTED_VALUE"""),"Chapinero")</f>
        <v>Chapinero</v>
      </c>
      <c r="E225" s="40"/>
      <c r="F225" s="42">
        <f>IFERROR(__xludf.DUMMYFUNCTION("""COMPUTED_VALUE"""),1.3E8)</f>
        <v>130000000</v>
      </c>
      <c r="G225" s="40" t="str">
        <f>IFERROR(__xludf.DUMMYFUNCTION("""COMPUTED_VALUE"""),"$100'000.000 a $200'000.000")</f>
        <v>$100'000.000 a $200'000.000</v>
      </c>
      <c r="H225" s="40"/>
      <c r="I225" s="40"/>
      <c r="J225" s="40" t="str">
        <f>IFERROR(__xludf.DUMMYFUNCTION("""COMPUTED_VALUE"""),"Centro")</f>
        <v>Centro</v>
      </c>
      <c r="K225" s="39" t="str">
        <f>IFERROR(__xludf.DUMMYFUNCTION("""COMPUTED_VALUE"""),"3")</f>
        <v>3</v>
      </c>
      <c r="L225" s="40">
        <f>IFERROR(__xludf.DUMMYFUNCTION("""COMPUTED_VALUE"""),3.0)</f>
        <v>3</v>
      </c>
      <c r="M225" s="40"/>
      <c r="N225" s="40">
        <f>IFERROR(__xludf.DUMMYFUNCTION("""COMPUTED_VALUE"""),1.0)</f>
        <v>1</v>
      </c>
      <c r="O225" s="40">
        <f>IFERROR(__xludf.DUMMYFUNCTION("""COMPUTED_VALUE"""),0.0)</f>
        <v>0</v>
      </c>
      <c r="P225" s="40">
        <f>IFERROR(__xludf.DUMMYFUNCTION("""COMPUTED_VALUE"""),1.0)</f>
        <v>1</v>
      </c>
      <c r="Q225" s="48"/>
      <c r="R225" s="48">
        <f>IFERROR(__xludf.DUMMYFUNCTION("""COMPUTED_VALUE"""),80.0)</f>
        <v>80</v>
      </c>
      <c r="S225" s="39" t="str">
        <f>IFERROR(__xludf.DUMMYFUNCTION("""COMPUTED_VALUE"""),"Rentabilidad $500,000")</f>
        <v>Rentabilidad $500,000</v>
      </c>
      <c r="T225" s="40" t="str">
        <f>IFERROR(__xludf.DUMMYFUNCTION("""COMPUTED_VALUE"""),"Neiva")</f>
        <v>Neiva</v>
      </c>
      <c r="U225" s="39" t="str">
        <f>IFERROR(__xludf.DUMMYFUNCTION("""COMPUTED_VALUE"""),"2")</f>
        <v>2</v>
      </c>
      <c r="V225" s="40" t="str">
        <f>IFERROR(__xludf.DUMMYFUNCTION("""COMPUTED_VALUE"""),"Medianera")</f>
        <v>Medianera</v>
      </c>
      <c r="W225" s="46"/>
      <c r="X225" s="46">
        <f>IFERROR(__xludf.DUMMYFUNCTION("""COMPUTED_VALUE"""),0.0)</f>
        <v>0</v>
      </c>
      <c r="Y225" s="40" t="str">
        <f>IFERROR(__xludf.DUMMYFUNCTION("""COMPUTED_VALUE"""),"No tiene")</f>
        <v>No tiene</v>
      </c>
      <c r="Z225" s="42" t="str">
        <f>IFERROR(__xludf.DUMMYFUNCTION("""COMPUTED_VALUE"""),"No aplica")</f>
        <v>No aplica</v>
      </c>
      <c r="AA225" s="49" t="str">
        <f>IFERROR(__xludf.DUMMYFUNCTION("""COMPUTED_VALUE"""),"22 años")</f>
        <v>22 años</v>
      </c>
      <c r="AB225" s="40"/>
      <c r="AC225" s="40"/>
      <c r="AD225" s="40"/>
      <c r="AE225" s="40"/>
      <c r="AF225" s="40" t="str">
        <f>IFERROR(__xludf.DUMMYFUNCTION("""COMPUTED_VALUE"""),"básica")</f>
        <v>básica</v>
      </c>
      <c r="AG225" s="40"/>
      <c r="AH225" s="40" t="str">
        <f>IFERROR(__xludf.DUMMYFUNCTION("""COMPUTED_VALUE"""),"Inventario")</f>
        <v>Inventario</v>
      </c>
      <c r="AI225" s="40"/>
      <c r="AJ225" s="40" t="str">
        <f>IFERROR(__xludf.DUMMYFUNCTION("""COMPUTED_VALUE"""),"ICDE")</f>
        <v>ICDE</v>
      </c>
      <c r="AK225" s="40"/>
      <c r="AL225" s="40"/>
      <c r="AM225" s="40">
        <f>IFERROR(__xludf.DUMMYFUNCTION("""COMPUTED_VALUE"""),3.144557344E9)</f>
        <v>3144557344</v>
      </c>
      <c r="AN225" s="40" t="str">
        <f>IFERROR(__xludf.DUMMYFUNCTION("""COMPUTED_VALUE"""),"3202606832-3213667551")</f>
        <v>3202606832-3213667551</v>
      </c>
      <c r="AO225" s="40"/>
      <c r="AP225" s="40" t="str">
        <f>IFERROR(__xludf.DUMMYFUNCTION("""COMPUTED_VALUE"""),"Calle 16 # 30 - 53")</f>
        <v>Calle 16 # 30 - 53</v>
      </c>
      <c r="AQ225" s="40"/>
      <c r="AR225" s="40"/>
      <c r="AS225" s="53">
        <f>IFERROR(__xludf.DUMMYFUNCTION("""COMPUTED_VALUE"""),500000.0)</f>
        <v>500000</v>
      </c>
      <c r="AT225" s="40">
        <f>IFERROR(__xludf.DUMMYFUNCTION("""COMPUTED_VALUE"""),0.0)</f>
        <v>0</v>
      </c>
      <c r="AU225" s="40">
        <f>IFERROR(__xludf.DUMMYFUNCTION("""COMPUTED_VALUE"""),0.0)</f>
        <v>0</v>
      </c>
      <c r="AV225" s="40">
        <f>IFERROR(__xludf.DUMMYFUNCTION("""COMPUTED_VALUE"""),0.0)</f>
        <v>0</v>
      </c>
      <c r="AW225" s="40" t="str">
        <f>IFERROR(__xludf.DUMMYFUNCTION("""COMPUTED_VALUE"""),"NO")</f>
        <v>NO</v>
      </c>
      <c r="AX225" s="40">
        <f>IFERROR(__xludf.DUMMYFUNCTION("""COMPUTED_VALUE"""),0.0)</f>
        <v>0</v>
      </c>
      <c r="AY225" s="40">
        <f>IFERROR(__xludf.DUMMYFUNCTION("""COMPUTED_VALUE"""),0.0)</f>
        <v>0</v>
      </c>
      <c r="AZ225" s="40">
        <f>IFERROR(__xludf.DUMMYFUNCTION("""COMPUTED_VALUE"""),0.0)</f>
        <v>0</v>
      </c>
      <c r="BA225" s="40" t="str">
        <f>IFERROR(__xludf.DUMMYFUNCTION("""COMPUTED_VALUE"""),"X")</f>
        <v>X</v>
      </c>
      <c r="BB225" s="40">
        <f>IFERROR(__xludf.DUMMYFUNCTION("""COMPUTED_VALUE"""),0.0)</f>
        <v>0</v>
      </c>
      <c r="BC225" s="53" t="str">
        <f>IFERROR(__xludf.DUMMYFUNCTION("""COMPUTED_VALUE"""),"12 - LEIDY YULIETH, 40 - Ing. ALEJANDRO ROJAS MARIN")</f>
        <v>12 - LEIDY YULIETH, 40 - Ing. ALEJANDRO ROJAS MARIN</v>
      </c>
      <c r="BD225" s="48"/>
      <c r="BE225" s="48"/>
      <c r="BF225" s="48"/>
    </row>
    <row r="226">
      <c r="A226" s="39" t="str">
        <f>IFERROR(__xludf.DUMMYFUNCTION("""COMPUTED_VALUE"""),"131")</f>
        <v>131</v>
      </c>
      <c r="B226" s="40" t="str">
        <f>IFERROR(__xludf.DUMMYFUNCTION("""COMPUTED_VALUE"""),"Lote en barrio Villa Carolina")</f>
        <v>Lote en barrio Villa Carolina</v>
      </c>
      <c r="C226" s="40" t="str">
        <f>IFERROR(__xludf.DUMMYFUNCTION("""COMPUTED_VALUE"""),"Lote")</f>
        <v>Lote</v>
      </c>
      <c r="D226" s="40" t="str">
        <f>IFERROR(__xludf.DUMMYFUNCTION("""COMPUTED_VALUE"""),"Villa Carolina")</f>
        <v>Villa Carolina</v>
      </c>
      <c r="E226" s="42" t="str">
        <f>IFERROR(__xludf.DUMMYFUNCTION("""COMPUTED_VALUE""")," ")</f>
        <v> </v>
      </c>
      <c r="F226" s="42">
        <f>IFERROR(__xludf.DUMMYFUNCTION("""COMPUTED_VALUE"""),1.2E8)</f>
        <v>120000000</v>
      </c>
      <c r="G226" s="40" t="str">
        <f>IFERROR(__xludf.DUMMYFUNCTION("""COMPUTED_VALUE"""),"$100'000.000 a $200'000.000")</f>
        <v>$100'000.000 a $200'000.000</v>
      </c>
      <c r="H226" s="40"/>
      <c r="I226" s="40"/>
      <c r="J226" s="40" t="str">
        <f>IFERROR(__xludf.DUMMYFUNCTION("""COMPUTED_VALUE"""),"Norte")</f>
        <v>Norte</v>
      </c>
      <c r="K226" s="39" t="str">
        <f>IFERROR(__xludf.DUMMYFUNCTION("""COMPUTED_VALUE"""),"2")</f>
        <v>2</v>
      </c>
      <c r="L226" s="40">
        <f>IFERROR(__xludf.DUMMYFUNCTION("""COMPUTED_VALUE"""),0.0)</f>
        <v>0</v>
      </c>
      <c r="M226" s="40"/>
      <c r="N226" s="40">
        <f>IFERROR(__xludf.DUMMYFUNCTION("""COMPUTED_VALUE"""),0.0)</f>
        <v>0</v>
      </c>
      <c r="O226" s="40">
        <f>IFERROR(__xludf.DUMMYFUNCTION("""COMPUTED_VALUE"""),0.0)</f>
        <v>0</v>
      </c>
      <c r="P226" s="40">
        <f>IFERROR(__xludf.DUMMYFUNCTION("""COMPUTED_VALUE"""),0.0)</f>
        <v>0</v>
      </c>
      <c r="Q226" s="48"/>
      <c r="R226" s="48">
        <f>IFERROR(__xludf.DUMMYFUNCTION("""COMPUTED_VALUE"""),105.0)</f>
        <v>105</v>
      </c>
      <c r="S226" s="39" t="str">
        <f>IFERROR(__xludf.DUMMYFUNCTION("""COMPUTED_VALUE""")," ")</f>
        <v> </v>
      </c>
      <c r="T226" s="40" t="str">
        <f>IFERROR(__xludf.DUMMYFUNCTION("""COMPUTED_VALUE"""),"Neiva")</f>
        <v>Neiva</v>
      </c>
      <c r="U226" s="39" t="str">
        <f>IFERROR(__xludf.DUMMYFUNCTION("""COMPUTED_VALUE"""),"3")</f>
        <v>3</v>
      </c>
      <c r="V226" s="40" t="str">
        <f>IFERROR(__xludf.DUMMYFUNCTION("""COMPUTED_VALUE"""),"Esquinera")</f>
        <v>Esquinera</v>
      </c>
      <c r="W226" s="46"/>
      <c r="X226" s="46">
        <f>IFERROR(__xludf.DUMMYFUNCTION("""COMPUTED_VALUE"""),0.0)</f>
        <v>0</v>
      </c>
      <c r="Y226" s="40" t="str">
        <f>IFERROR(__xludf.DUMMYFUNCTION("""COMPUTED_VALUE"""),"No tiene")</f>
        <v>No tiene</v>
      </c>
      <c r="Z226" s="42" t="str">
        <f>IFERROR(__xludf.DUMMYFUNCTION("""COMPUTED_VALUE"""),"No aplica")</f>
        <v>No aplica</v>
      </c>
      <c r="AA226" s="49" t="str">
        <f>IFERROR(__xludf.DUMMYFUNCTION("""COMPUTED_VALUE"""),"No aplica")</f>
        <v>No aplica</v>
      </c>
      <c r="AB226" s="48"/>
      <c r="AC226" s="40"/>
      <c r="AD226" s="40"/>
      <c r="AE226" s="40"/>
      <c r="AF226" s="40" t="str">
        <f>IFERROR(__xludf.DUMMYFUNCTION("""COMPUTED_VALUE"""),"0")</f>
        <v>0</v>
      </c>
      <c r="AG226" s="40"/>
      <c r="AH226" s="40" t="str">
        <f>IFERROR(__xludf.DUMMYFUNCTION("""COMPUTED_VALUE"""),"Inventario")</f>
        <v>Inventario</v>
      </c>
      <c r="AI226" s="40"/>
      <c r="AJ226" s="40" t="str">
        <f>IFERROR(__xludf.DUMMYFUNCTION("""COMPUTED_VALUE"""),"ICDE")</f>
        <v>ICDE</v>
      </c>
      <c r="AK226" s="40"/>
      <c r="AL226" s="40" t="str">
        <f>IFERROR(__xludf.DUMMYFUNCTION("""COMPUTED_VALUE"""),"NO FOTOS + DESCRIPCION")</f>
        <v>NO FOTOS + DESCRIPCION</v>
      </c>
      <c r="AM226" s="40">
        <f>IFERROR(__xludf.DUMMYFUNCTION("""COMPUTED_VALUE"""),3.112183996E9)</f>
        <v>3112183996</v>
      </c>
      <c r="AN226" s="40">
        <f>IFERROR(__xludf.DUMMYFUNCTION("""COMPUTED_VALUE"""),3.22228922E9)</f>
        <v>3222289220</v>
      </c>
      <c r="AO226" s="40" t="str">
        <f>IFERROR(__xludf.DUMMYFUNCTION("""COMPUTED_VALUE"""),"CESAR BARRIOS - BOGOTA")</f>
        <v>CESAR BARRIOS - BOGOTA</v>
      </c>
      <c r="AP226" s="40" t="str">
        <f>IFERROR(__xludf.DUMMYFUNCTION("""COMPUTED_VALUE"""),"CALLE 56 NO.  ")</f>
        <v>CALLE 56 NO.  </v>
      </c>
      <c r="AQ226" s="40"/>
      <c r="AR226" s="40"/>
      <c r="AS226" s="53">
        <f>IFERROR(__xludf.DUMMYFUNCTION("""COMPUTED_VALUE"""),0.0)</f>
        <v>0</v>
      </c>
      <c r="AT226" s="40">
        <f>IFERROR(__xludf.DUMMYFUNCTION("""COMPUTED_VALUE"""),0.0)</f>
        <v>0</v>
      </c>
      <c r="AU226" s="40">
        <f>IFERROR(__xludf.DUMMYFUNCTION("""COMPUTED_VALUE"""),0.0)</f>
        <v>0</v>
      </c>
      <c r="AV226" s="40">
        <f>IFERROR(__xludf.DUMMYFUNCTION("""COMPUTED_VALUE"""),0.0)</f>
        <v>0</v>
      </c>
      <c r="AW226" s="40" t="str">
        <f>IFERROR(__xludf.DUMMYFUNCTION("""COMPUTED_VALUE"""),"NO")</f>
        <v>NO</v>
      </c>
      <c r="AX226" s="40">
        <f>IFERROR(__xludf.DUMMYFUNCTION("""COMPUTED_VALUE"""),0.0)</f>
        <v>0</v>
      </c>
      <c r="AY226" s="40">
        <f>IFERROR(__xludf.DUMMYFUNCTION("""COMPUTED_VALUE"""),0.0)</f>
        <v>0</v>
      </c>
      <c r="AZ226" s="40">
        <f>IFERROR(__xludf.DUMMYFUNCTION("""COMPUTED_VALUE"""),7.0)</f>
        <v>7</v>
      </c>
      <c r="BA226" s="40" t="str">
        <f>IFERROR(__xludf.DUMMYFUNCTION("""COMPUTED_VALUE"""),"X")</f>
        <v>X</v>
      </c>
      <c r="BB226" s="40">
        <f>IFERROR(__xludf.DUMMYFUNCTION("""COMPUTED_VALUE"""),15.0)</f>
        <v>15</v>
      </c>
      <c r="BC226" s="53" t="str">
        <f>IFERROR(__xludf.DUMMYFUNCTION("""COMPUTED_VALUE"""),"15 - JOSE LOZANO, 9 - ALBEIRO TOVAR")</f>
        <v>15 - JOSE LOZANO, 9 - ALBEIRO TOVAR</v>
      </c>
      <c r="BD226" s="48"/>
      <c r="BE226" s="48"/>
      <c r="BF226" s="48"/>
    </row>
    <row r="227">
      <c r="A227" s="39" t="str">
        <f>IFERROR(__xludf.DUMMYFUNCTION("""COMPUTED_VALUE"""),"057")</f>
        <v>057</v>
      </c>
      <c r="B227" s="40" t="str">
        <f>IFERROR(__xludf.DUMMYFUNCTION("""COMPUTED_VALUE"""),"Casa en barrio Alfonso López")</f>
        <v>Casa en barrio Alfonso López</v>
      </c>
      <c r="C227" s="40" t="str">
        <f>IFERROR(__xludf.DUMMYFUNCTION("""COMPUTED_VALUE"""),"Casa")</f>
        <v>Casa</v>
      </c>
      <c r="D227" s="40" t="str">
        <f>IFERROR(__xludf.DUMMYFUNCTION("""COMPUTED_VALUE"""),"Alfonso López")</f>
        <v>Alfonso López</v>
      </c>
      <c r="E227" s="42" t="str">
        <f>IFERROR(__xludf.DUMMYFUNCTION("""COMPUTED_VALUE""")," ")</f>
        <v> </v>
      </c>
      <c r="F227" s="42">
        <f>IFERROR(__xludf.DUMMYFUNCTION("""COMPUTED_VALUE"""),9.5E7)</f>
        <v>95000000</v>
      </c>
      <c r="G227" s="40" t="str">
        <f>IFERROR(__xludf.DUMMYFUNCTION("""COMPUTED_VALUE"""),"$0 a $100'000.000")</f>
        <v>$0 a $100'000.000</v>
      </c>
      <c r="H227" s="40"/>
      <c r="I227" s="40"/>
      <c r="J227" s="40" t="str">
        <f>IFERROR(__xludf.DUMMYFUNCTION("""COMPUTED_VALUE"""),"Sur")</f>
        <v>Sur</v>
      </c>
      <c r="K227" s="39"/>
      <c r="L227" s="40">
        <f>IFERROR(__xludf.DUMMYFUNCTION("""COMPUTED_VALUE"""),3.0)</f>
        <v>3</v>
      </c>
      <c r="M227" s="40"/>
      <c r="N227" s="40">
        <f>IFERROR(__xludf.DUMMYFUNCTION("""COMPUTED_VALUE"""),1.0)</f>
        <v>1</v>
      </c>
      <c r="O227" s="40">
        <f>IFERROR(__xludf.DUMMYFUNCTION("""COMPUTED_VALUE"""),1.0)</f>
        <v>1</v>
      </c>
      <c r="P227" s="40">
        <f>IFERROR(__xludf.DUMMYFUNCTION("""COMPUTED_VALUE"""),1.0)</f>
        <v>1</v>
      </c>
      <c r="Q227" s="48">
        <f>IFERROR(__xludf.DUMMYFUNCTION("""COMPUTED_VALUE"""),100.0)</f>
        <v>100</v>
      </c>
      <c r="R227" s="48">
        <f>IFERROR(__xludf.DUMMYFUNCTION("""COMPUTED_VALUE"""),108.0)</f>
        <v>108</v>
      </c>
      <c r="S227" s="39" t="str">
        <f>IFERROR(__xludf.DUMMYFUNCTION("""COMPUTED_VALUE""")," ")</f>
        <v> </v>
      </c>
      <c r="T227" s="40" t="str">
        <f>IFERROR(__xludf.DUMMYFUNCTION("""COMPUTED_VALUE"""),"Neiva")</f>
        <v>Neiva</v>
      </c>
      <c r="U227" s="39" t="str">
        <f>IFERROR(__xludf.DUMMYFUNCTION("""COMPUTED_VALUE"""),"2")</f>
        <v>2</v>
      </c>
      <c r="V227" s="40" t="str">
        <f>IFERROR(__xludf.DUMMYFUNCTION("""COMPUTED_VALUE"""),"Medianera")</f>
        <v>Medianera</v>
      </c>
      <c r="W227" s="46"/>
      <c r="X227" s="46">
        <f>IFERROR(__xludf.DUMMYFUNCTION("""COMPUTED_VALUE"""),2.0)</f>
        <v>2</v>
      </c>
      <c r="Y227" s="40" t="str">
        <f>IFERROR(__xludf.DUMMYFUNCTION("""COMPUTED_VALUE"""),"No tiene")</f>
        <v>No tiene</v>
      </c>
      <c r="Z227" s="42" t="str">
        <f>IFERROR(__xludf.DUMMYFUNCTION("""COMPUTED_VALUE"""),"No aplica")</f>
        <v>No aplica</v>
      </c>
      <c r="AA227" s="49" t="str">
        <f>IFERROR(__xludf.DUMMYFUNCTION("""COMPUTED_VALUE"""),"No aplica")</f>
        <v>No aplica</v>
      </c>
      <c r="AB227" s="66" t="str">
        <f>IFERROR(__xludf.DUMMYFUNCTION("""COMPUTED_VALUE"""),"https://photos.app.goo.gl/CAf8xebasMJvfKyy5")</f>
        <v>https://photos.app.goo.gl/CAf8xebasMJvfKyy5</v>
      </c>
      <c r="AC227" s="40"/>
      <c r="AD227" s="40"/>
      <c r="AE227" s="40"/>
      <c r="AF227" s="40" t="str">
        <f>IFERROR(__xludf.DUMMYFUNCTION("""COMPUTED_VALUE"""),"semi-integral")</f>
        <v>semi-integral</v>
      </c>
      <c r="AG227" s="40"/>
      <c r="AH227" s="40" t="str">
        <f>IFERROR(__xludf.DUMMYFUNCTION("""COMPUTED_VALUE"""),"Inventario")</f>
        <v>Inventario</v>
      </c>
      <c r="AI227" s="40"/>
      <c r="AJ227" s="40" t="str">
        <f>IFERROR(__xludf.DUMMYFUNCTION("""COMPUTED_VALUE"""),"ICDE")</f>
        <v>ICDE</v>
      </c>
      <c r="AK227" s="40"/>
      <c r="AL227" s="40" t="str">
        <f>IFERROR(__xludf.DUMMYFUNCTION("""COMPUTED_VALUE"""),"TIENE FOTOS")</f>
        <v>TIENE FOTOS</v>
      </c>
      <c r="AM227" s="40">
        <f>IFERROR(__xludf.DUMMYFUNCTION("""COMPUTED_VALUE"""),3.124415869E9)</f>
        <v>3124415869</v>
      </c>
      <c r="AN227" s="40"/>
      <c r="AO227" s="40" t="str">
        <f>IFERROR(__xludf.DUMMYFUNCTION("""COMPUTED_VALUE"""),"HIJO-JOAQUIN PULIDO")</f>
        <v>HIJO-JOAQUIN PULIDO</v>
      </c>
      <c r="AP227" s="40" t="str">
        <f>IFERROR(__xludf.DUMMYFUNCTION("""COMPUTED_VALUE"""),"CALLE 2C NO. 25-52")</f>
        <v>CALLE 2C NO. 25-52</v>
      </c>
      <c r="AQ227" s="40"/>
      <c r="AR227" s="40"/>
      <c r="AS227" s="53">
        <f>IFERROR(__xludf.DUMMYFUNCTION("""COMPUTED_VALUE"""),0.0)</f>
        <v>0</v>
      </c>
      <c r="AT227" s="40">
        <f>IFERROR(__xludf.DUMMYFUNCTION("""COMPUTED_VALUE"""),0.0)</f>
        <v>0</v>
      </c>
      <c r="AU227" s="40">
        <f>IFERROR(__xludf.DUMMYFUNCTION("""COMPUTED_VALUE"""),0.0)</f>
        <v>0</v>
      </c>
      <c r="AV227" s="40">
        <f>IFERROR(__xludf.DUMMYFUNCTION("""COMPUTED_VALUE"""),0.0)</f>
        <v>0</v>
      </c>
      <c r="AW227" s="40" t="str">
        <f>IFERROR(__xludf.DUMMYFUNCTION("""COMPUTED_VALUE"""),"NO")</f>
        <v>NO</v>
      </c>
      <c r="AX227" s="40">
        <f>IFERROR(__xludf.DUMMYFUNCTION("""COMPUTED_VALUE"""),0.0)</f>
        <v>0</v>
      </c>
      <c r="AY227" s="40">
        <f>IFERROR(__xludf.DUMMYFUNCTION("""COMPUTED_VALUE"""),0.0)</f>
        <v>0</v>
      </c>
      <c r="AZ227" s="40">
        <f>IFERROR(__xludf.DUMMYFUNCTION("""COMPUTED_VALUE"""),9.0)</f>
        <v>9</v>
      </c>
      <c r="BA227" s="40" t="str">
        <f>IFERROR(__xludf.DUMMYFUNCTION("""COMPUTED_VALUE"""),"X")</f>
        <v>X</v>
      </c>
      <c r="BB227" s="40">
        <f>IFERROR(__xludf.DUMMYFUNCTION("""COMPUTED_VALUE"""),12.0)</f>
        <v>12</v>
      </c>
      <c r="BC227" s="53" t="str">
        <f>IFERROR(__xludf.DUMMYFUNCTION("""COMPUTED_VALUE"""),"15 - SINDY MARCELA")</f>
        <v>15 - SINDY MARCELA</v>
      </c>
      <c r="BD227" s="48"/>
      <c r="BE227" s="48"/>
      <c r="BF227" s="48" t="str">
        <f>IFERROR(__xludf.DUMMYFUNCTION("""COMPUTED_VALUE"""),"https://lh3.googleusercontent.com/pw/AP1GczPOou4A_nGX8SMbthltEMFBS1CrxdJSsKiVDA6jbWbPNAGN0xHY_ofyoZkMUCUYbeKjZ_bTKjZeFSGrp0e1ncbbixXYN65iQGKRyka5hEMID4L7z_kG=w1200|https://lh3.googleusercontent.com/pw/AP1GczNqW4R03w-rKanndJWWyBbfv_sTW-g4ZZDleZmCPhUfg33mIA"&amp;"JRqfZqP8idvityAn2H7TVURH_vV54A5Xh7IOVqKjmyX8JWL2sICnF-GLG7ZJC3B1FN=w1200|https://lh3.googleusercontent.com/pw/AP1GczOgfqpyA0p-_6fLcfmQvhNNQ2C_DiO78bk8MNx9kxAIshL88j9cxGFdAcgTCxS1suuu9Tji7w0whtDrOZqTef9heNjDKTmYPHAvOTkIdRj03sH5tZbs=w1200|https://lh3.google"&amp;"usercontent.com/pw/AP1GczNHVJ3ejGSh1rbNZ8_UsVkyaBuKJomMoRy5VseyABy9fZY_mXQ3BfDKAhq_ALYs_9cwVZPQP0rSqTnIjwCL7QlSKLxmURp7MSwLM9of5Qjqu_scLsW8=w1200|https://lh3.googleusercontent.com/pw/AP1GczOGFhtVT3hI15JI3EiVKjTaXBnVbKYt41ZqA0tSaHPy7pimsFtpSvzsmZ_dV3xD3yZg"&amp;"0JAZvOL1JAGLITebHE8Gkkt-1qMuQWFj-OUowscaghKDOe5-=w1200")</f>
        <v>https://lh3.googleusercontent.com/pw/AP1GczPOou4A_nGX8SMbthltEMFBS1CrxdJSsKiVDA6jbWbPNAGN0xHY_ofyoZkMUCUYbeKjZ_bTKjZeFSGrp0e1ncbbixXYN65iQGKRyka5hEMID4L7z_kG=w1200|https://lh3.googleusercontent.com/pw/AP1GczNqW4R03w-rKanndJWWyBbfv_sTW-g4ZZDleZmCPhUfg33mIAJRqfZqP8idvityAn2H7TVURH_vV54A5Xh7IOVqKjmyX8JWL2sICnF-GLG7ZJC3B1FN=w1200|https://lh3.googleusercontent.com/pw/AP1GczOgfqpyA0p-_6fLcfmQvhNNQ2C_DiO78bk8MNx9kxAIshL88j9cxGFdAcgTCxS1suuu9Tji7w0whtDrOZqTef9heNjDKTmYPHAvOTkIdRj03sH5tZbs=w1200|https://lh3.googleusercontent.com/pw/AP1GczNHVJ3ejGSh1rbNZ8_UsVkyaBuKJomMoRy5VseyABy9fZY_mXQ3BfDKAhq_ALYs_9cwVZPQP0rSqTnIjwCL7QlSKLxmURp7MSwLM9of5Qjqu_scLsW8=w1200|https://lh3.googleusercontent.com/pw/AP1GczOGFhtVT3hI15JI3EiVKjTaXBnVbKYt41ZqA0tSaHPy7pimsFtpSvzsmZ_dV3xD3yZg0JAZvOL1JAGLITebHE8Gkkt-1qMuQWFj-OUowscaghKDOe5-=w1200</v>
      </c>
    </row>
    <row r="228">
      <c r="A228" s="39" t="str">
        <f>IFERROR(__xludf.DUMMYFUNCTION("""COMPUTED_VALUE"""),"778")</f>
        <v>778</v>
      </c>
      <c r="B228" s="40" t="str">
        <f>IFERROR(__xludf.DUMMYFUNCTION("""COMPUTED_VALUE"""),"Apartamento en barrio Campo Nuñez")</f>
        <v>Apartamento en barrio Campo Nuñez</v>
      </c>
      <c r="C228" s="40" t="str">
        <f>IFERROR(__xludf.DUMMYFUNCTION("""COMPUTED_VALUE"""),"Apartamento ")</f>
        <v>Apartamento </v>
      </c>
      <c r="D228" s="40" t="str">
        <f>IFERROR(__xludf.DUMMYFUNCTION("""COMPUTED_VALUE"""),"Campo Nuñez")</f>
        <v>Campo Nuñez</v>
      </c>
      <c r="E228" s="40"/>
      <c r="F228" s="42">
        <f>IFERROR(__xludf.DUMMYFUNCTION("""COMPUTED_VALUE"""),0.0)</f>
        <v>0</v>
      </c>
      <c r="G228" s="40" t="str">
        <f>IFERROR(__xludf.DUMMYFUNCTION("""COMPUTED_VALUE"""),"$0 a $100'000.000")</f>
        <v>$0 a $100'000.000</v>
      </c>
      <c r="H228" s="40"/>
      <c r="I228" s="40"/>
      <c r="J228" s="40" t="str">
        <f>IFERROR(__xludf.DUMMYFUNCTION("""COMPUTED_VALUE"""),"Centro")</f>
        <v>Centro</v>
      </c>
      <c r="K228" s="39" t="str">
        <f>IFERROR(__xludf.DUMMYFUNCTION("""COMPUTED_VALUE"""),"4")</f>
        <v>4</v>
      </c>
      <c r="L228" s="40"/>
      <c r="M228" s="40"/>
      <c r="N228" s="40"/>
      <c r="O228" s="40"/>
      <c r="P228" s="40">
        <f>IFERROR(__xludf.DUMMYFUNCTION("""COMPUTED_VALUE"""),1.0)</f>
        <v>1</v>
      </c>
      <c r="Q228" s="48">
        <f>IFERROR(__xludf.DUMMYFUNCTION("""COMPUTED_VALUE"""),0.0)</f>
        <v>0</v>
      </c>
      <c r="R228" s="48">
        <f>IFERROR(__xludf.DUMMYFUNCTION("""COMPUTED_VALUE"""),0.0)</f>
        <v>0</v>
      </c>
      <c r="S228" s="39" t="str">
        <f>IFERROR(__xludf.DUMMYFUNCTION("""COMPUTED_VALUE""")," ")</f>
        <v> </v>
      </c>
      <c r="T228" s="40" t="str">
        <f>IFERROR(__xludf.DUMMYFUNCTION("""COMPUTED_VALUE"""),"Neiva")</f>
        <v>Neiva</v>
      </c>
      <c r="U228" s="39"/>
      <c r="V228" s="40" t="str">
        <f>IFERROR(__xludf.DUMMYFUNCTION("""COMPUTED_VALUE"""),"1ro.")</f>
        <v>1ro.</v>
      </c>
      <c r="W228" s="46"/>
      <c r="X228" s="46"/>
      <c r="Y228" s="40"/>
      <c r="Z228" s="42"/>
      <c r="AA228" s="49" t="str">
        <f>IFERROR(__xludf.DUMMYFUNCTION("""COMPUTED_VALUE"""),"No aplica")</f>
        <v>No aplica</v>
      </c>
      <c r="AB228" s="40"/>
      <c r="AC228" s="40"/>
      <c r="AD228" s="40"/>
      <c r="AE228" s="40"/>
      <c r="AF228" s="40"/>
      <c r="AG228" s="40"/>
      <c r="AH228" s="40" t="str">
        <f>IFERROR(__xludf.DUMMYFUNCTION("""COMPUTED_VALUE"""),"Inventario")</f>
        <v>Inventario</v>
      </c>
      <c r="AI228" s="40"/>
      <c r="AJ228" s="40" t="str">
        <f>IFERROR(__xludf.DUMMYFUNCTION("""COMPUTED_VALUE"""),"ICDE")</f>
        <v>ICDE</v>
      </c>
      <c r="AK228" s="40"/>
      <c r="AL228" s="40"/>
      <c r="AM228" s="40">
        <f>IFERROR(__xludf.DUMMYFUNCTION("""COMPUTED_VALUE"""),3.184154811E9)</f>
        <v>3184154811</v>
      </c>
      <c r="AN228" s="40"/>
      <c r="AO228" s="40"/>
      <c r="AP228" s="40" t="str">
        <f>IFERROR(__xludf.DUMMYFUNCTION("""COMPUTED_VALUE"""),"Calle 19 # 8 - 27")</f>
        <v>Calle 19 # 8 - 27</v>
      </c>
      <c r="AQ228" s="40"/>
      <c r="AR228" s="40"/>
      <c r="AS228" s="53"/>
      <c r="AT228" s="40"/>
      <c r="AU228" s="40"/>
      <c r="AV228" s="40"/>
      <c r="AW228" s="40"/>
      <c r="AX228" s="40"/>
      <c r="AY228" s="40"/>
      <c r="AZ228" s="40"/>
      <c r="BA228" s="40" t="str">
        <f>IFERROR(__xludf.DUMMYFUNCTION("""COMPUTED_VALUE"""),"X")</f>
        <v>X</v>
      </c>
      <c r="BB228" s="40"/>
      <c r="BC228" s="53"/>
      <c r="BD228" s="48"/>
      <c r="BE228" s="48"/>
      <c r="BF228" s="48"/>
    </row>
    <row r="229">
      <c r="A229" s="39" t="str">
        <f>IFERROR(__xludf.DUMMYFUNCTION("""COMPUTED_VALUE"""),"777")</f>
        <v>777</v>
      </c>
      <c r="B229" s="40" t="str">
        <f>IFERROR(__xludf.DUMMYFUNCTION("""COMPUTED_VALUE"""),"Casa en barrio Chapinero")</f>
        <v>Casa en barrio Chapinero</v>
      </c>
      <c r="C229" s="40" t="str">
        <f>IFERROR(__xludf.DUMMYFUNCTION("""COMPUTED_VALUE"""),"Casa rentable")</f>
        <v>Casa rentable</v>
      </c>
      <c r="D229" s="40" t="str">
        <f>IFERROR(__xludf.DUMMYFUNCTION("""COMPUTED_VALUE"""),"Chapinero")</f>
        <v>Chapinero</v>
      </c>
      <c r="E229" s="40"/>
      <c r="F229" s="42">
        <f>IFERROR(__xludf.DUMMYFUNCTION("""COMPUTED_VALUE"""),0.0)</f>
        <v>0</v>
      </c>
      <c r="G229" s="40" t="str">
        <f>IFERROR(__xludf.DUMMYFUNCTION("""COMPUTED_VALUE"""),"$0 a $100'000.000")</f>
        <v>$0 a $100'000.000</v>
      </c>
      <c r="H229" s="40"/>
      <c r="I229" s="40"/>
      <c r="J229" s="40"/>
      <c r="K229" s="39" t="str">
        <f>IFERROR(__xludf.DUMMYFUNCTION("""COMPUTED_VALUE"""),"4")</f>
        <v>4</v>
      </c>
      <c r="L229" s="40"/>
      <c r="M229" s="40"/>
      <c r="N229" s="40"/>
      <c r="O229" s="40"/>
      <c r="P229" s="40">
        <f>IFERROR(__xludf.DUMMYFUNCTION("""COMPUTED_VALUE"""),1.0)</f>
        <v>1</v>
      </c>
      <c r="Q229" s="48">
        <f>IFERROR(__xludf.DUMMYFUNCTION("""COMPUTED_VALUE"""),0.0)</f>
        <v>0</v>
      </c>
      <c r="R229" s="48">
        <f>IFERROR(__xludf.DUMMYFUNCTION("""COMPUTED_VALUE"""),400.0)</f>
        <v>400</v>
      </c>
      <c r="S229" s="39" t="str">
        <f>IFERROR(__xludf.DUMMYFUNCTION("""COMPUTED_VALUE""")," ")</f>
        <v> </v>
      </c>
      <c r="T229" s="40" t="str">
        <f>IFERROR(__xludf.DUMMYFUNCTION("""COMPUTED_VALUE"""),"Neiva")</f>
        <v>Neiva</v>
      </c>
      <c r="U229" s="39"/>
      <c r="V229" s="40" t="str">
        <f>IFERROR(__xludf.DUMMYFUNCTION("""COMPUTED_VALUE"""),"Esquinera")</f>
        <v>Esquinera</v>
      </c>
      <c r="W229" s="46"/>
      <c r="X229" s="46"/>
      <c r="Y229" s="40"/>
      <c r="Z229" s="42"/>
      <c r="AA229" s="49" t="str">
        <f>IFERROR(__xludf.DUMMYFUNCTION("""COMPUTED_VALUE"""),"No aplica")</f>
        <v>No aplica</v>
      </c>
      <c r="AB229" s="40"/>
      <c r="AC229" s="40"/>
      <c r="AD229" s="40"/>
      <c r="AE229" s="40"/>
      <c r="AF229" s="40"/>
      <c r="AG229" s="40"/>
      <c r="AH229" s="40" t="str">
        <f>IFERROR(__xludf.DUMMYFUNCTION("""COMPUTED_VALUE"""),"Inventario")</f>
        <v>Inventario</v>
      </c>
      <c r="AI229" s="40"/>
      <c r="AJ229" s="40" t="str">
        <f>IFERROR(__xludf.DUMMYFUNCTION("""COMPUTED_VALUE"""),"ICDE")</f>
        <v>ICDE</v>
      </c>
      <c r="AK229" s="40"/>
      <c r="AL229" s="40"/>
      <c r="AM229" s="40">
        <f>IFERROR(__xludf.DUMMYFUNCTION("""COMPUTED_VALUE"""),3.112593724E9)</f>
        <v>3112593724</v>
      </c>
      <c r="AN229" s="40">
        <f>IFERROR(__xludf.DUMMYFUNCTION("""COMPUTED_VALUE"""),3.197959995E9)</f>
        <v>3197959995</v>
      </c>
      <c r="AO229" s="40"/>
      <c r="AP229" s="40"/>
      <c r="AQ229" s="40"/>
      <c r="AR229" s="40"/>
      <c r="AS229" s="53"/>
      <c r="AT229" s="40"/>
      <c r="AU229" s="40"/>
      <c r="AV229" s="40"/>
      <c r="AW229" s="40" t="str">
        <f>IFERROR(__xludf.DUMMYFUNCTION("""COMPUTED_VALUE"""),"NO")</f>
        <v>NO</v>
      </c>
      <c r="AX229" s="40"/>
      <c r="AY229" s="40"/>
      <c r="AZ229" s="40"/>
      <c r="BA229" s="40" t="str">
        <f>IFERROR(__xludf.DUMMYFUNCTION("""COMPUTED_VALUE"""),"X")</f>
        <v>X</v>
      </c>
      <c r="BB229" s="40"/>
      <c r="BC229" s="53" t="str">
        <f>IFERROR(__xludf.DUMMYFUNCTION("""COMPUTED_VALUE"""),"12 - LEIDY YULIETH")</f>
        <v>12 - LEIDY YULIETH</v>
      </c>
      <c r="BD229" s="48"/>
      <c r="BE229" s="48"/>
      <c r="BF229" s="48"/>
    </row>
    <row r="230">
      <c r="A230" s="39" t="str">
        <f>IFERROR(__xludf.DUMMYFUNCTION("""COMPUTED_VALUE"""),"656")</f>
        <v>656</v>
      </c>
      <c r="B230" s="40" t="str">
        <f>IFERROR(__xludf.DUMMYFUNCTION("""COMPUTED_VALUE"""),"Casa en basrrio Las Granjas")</f>
        <v>Casa en basrrio Las Granjas</v>
      </c>
      <c r="C230" s="40" t="str">
        <f>IFERROR(__xludf.DUMMYFUNCTION("""COMPUTED_VALUE"""),"Casa")</f>
        <v>Casa</v>
      </c>
      <c r="D230" s="40" t="str">
        <f>IFERROR(__xludf.DUMMYFUNCTION("""COMPUTED_VALUE"""),"Las Granjas")</f>
        <v>Las Granjas</v>
      </c>
      <c r="E230" s="40"/>
      <c r="F230" s="42">
        <f>IFERROR(__xludf.DUMMYFUNCTION("""COMPUTED_VALUE"""),0.0)</f>
        <v>0</v>
      </c>
      <c r="G230" s="40" t="str">
        <f>IFERROR(__xludf.DUMMYFUNCTION("""COMPUTED_VALUE"""),"$0 a $100'000.000")</f>
        <v>$0 a $100'000.000</v>
      </c>
      <c r="H230" s="40"/>
      <c r="I230" s="40"/>
      <c r="J230" s="40" t="str">
        <f>IFERROR(__xludf.DUMMYFUNCTION("""COMPUTED_VALUE"""),"Norte")</f>
        <v>Norte</v>
      </c>
      <c r="K230" s="39" t="str">
        <f>IFERROR(__xludf.DUMMYFUNCTION("""COMPUTED_VALUE"""),"2")</f>
        <v>2</v>
      </c>
      <c r="L230" s="40"/>
      <c r="M230" s="40"/>
      <c r="N230" s="40"/>
      <c r="O230" s="40"/>
      <c r="P230" s="40"/>
      <c r="Q230" s="48">
        <f>IFERROR(__xludf.DUMMYFUNCTION("""COMPUTED_VALUE"""),0.0)</f>
        <v>0</v>
      </c>
      <c r="R230" s="48">
        <f>IFERROR(__xludf.DUMMYFUNCTION("""COMPUTED_VALUE"""),0.0)</f>
        <v>0</v>
      </c>
      <c r="S230" s="39" t="str">
        <f>IFERROR(__xludf.DUMMYFUNCTION("""COMPUTED_VALUE""")," ")</f>
        <v> </v>
      </c>
      <c r="T230" s="40" t="str">
        <f>IFERROR(__xludf.DUMMYFUNCTION("""COMPUTED_VALUE"""),"Neiva")</f>
        <v>Neiva</v>
      </c>
      <c r="U230" s="39" t="str">
        <f>IFERROR(__xludf.DUMMYFUNCTION("""COMPUTED_VALUE"""),"2")</f>
        <v>2</v>
      </c>
      <c r="V230" s="40" t="str">
        <f>IFERROR(__xludf.DUMMYFUNCTION("""COMPUTED_VALUE"""),"Medianera")</f>
        <v>Medianera</v>
      </c>
      <c r="W230" s="46"/>
      <c r="X230" s="46"/>
      <c r="Y230" s="40"/>
      <c r="Z230" s="42"/>
      <c r="AA230" s="49" t="str">
        <f>IFERROR(__xludf.DUMMYFUNCTION("""COMPUTED_VALUE"""),"No aplica")</f>
        <v>No aplica</v>
      </c>
      <c r="AB230" s="40"/>
      <c r="AC230" s="40"/>
      <c r="AD230" s="40"/>
      <c r="AE230" s="40"/>
      <c r="AF230" s="40"/>
      <c r="AG230" s="40"/>
      <c r="AH230" s="40" t="str">
        <f>IFERROR(__xludf.DUMMYFUNCTION("""COMPUTED_VALUE"""),"Inventario")</f>
        <v>Inventario</v>
      </c>
      <c r="AI230" s="40"/>
      <c r="AJ230" s="40" t="str">
        <f>IFERROR(__xludf.DUMMYFUNCTION("""COMPUTED_VALUE"""),"ICDE")</f>
        <v>ICDE</v>
      </c>
      <c r="AK230" s="40"/>
      <c r="AL230" s="40"/>
      <c r="AM230" s="40">
        <f>IFERROR(__xludf.DUMMYFUNCTION("""COMPUTED_VALUE"""),3.133091759E9)</f>
        <v>3133091759</v>
      </c>
      <c r="AN230" s="40">
        <f>IFERROR(__xludf.DUMMYFUNCTION("""COMPUTED_VALUE"""),3.133091728E9)</f>
        <v>3133091728</v>
      </c>
      <c r="AO230" s="40"/>
      <c r="AP230" s="40" t="str">
        <f>IFERROR(__xludf.DUMMYFUNCTION("""COMPUTED_VALUE"""),"Cra 6b # 26b - 22")</f>
        <v>Cra 6b # 26b - 22</v>
      </c>
      <c r="AQ230" s="40"/>
      <c r="AR230" s="40"/>
      <c r="AS230" s="53"/>
      <c r="AT230" s="40"/>
      <c r="AU230" s="40"/>
      <c r="AV230" s="40"/>
      <c r="AW230" s="40" t="str">
        <f>IFERROR(__xludf.DUMMYFUNCTION("""COMPUTED_VALUE"""),"SI")</f>
        <v>SI</v>
      </c>
      <c r="AX230" s="40"/>
      <c r="AY230" s="40"/>
      <c r="AZ230" s="40"/>
      <c r="BA230" s="40" t="str">
        <f>IFERROR(__xludf.DUMMYFUNCTION("""COMPUTED_VALUE"""),"X")</f>
        <v>X</v>
      </c>
      <c r="BB230" s="40"/>
      <c r="BC230" s="53"/>
      <c r="BD230" s="48"/>
      <c r="BE230" s="48"/>
      <c r="BF230" s="48"/>
    </row>
    <row r="231">
      <c r="A231" s="39" t="str">
        <f>IFERROR(__xludf.DUMMYFUNCTION("""COMPUTED_VALUE"""),"537")</f>
        <v>537</v>
      </c>
      <c r="B231" s="40"/>
      <c r="C231" s="40"/>
      <c r="D231" s="40" t="str">
        <f>IFERROR(__xludf.DUMMYFUNCTION("""COMPUTED_VALUE"""),"")</f>
        <v/>
      </c>
      <c r="E231" s="40"/>
      <c r="F231" s="42">
        <f>IFERROR(__xludf.DUMMYFUNCTION("""COMPUTED_VALUE"""),0.0)</f>
        <v>0</v>
      </c>
      <c r="G231" s="40" t="str">
        <f>IFERROR(__xludf.DUMMYFUNCTION("""COMPUTED_VALUE"""),"$0 a $100'000.000")</f>
        <v>$0 a $100'000.000</v>
      </c>
      <c r="H231" s="40"/>
      <c r="I231" s="40"/>
      <c r="J231" s="40"/>
      <c r="K231" s="39"/>
      <c r="L231" s="40"/>
      <c r="M231" s="40"/>
      <c r="N231" s="40"/>
      <c r="O231" s="40"/>
      <c r="P231" s="40"/>
      <c r="Q231" s="48">
        <f>IFERROR(__xludf.DUMMYFUNCTION("""COMPUTED_VALUE"""),0.0)</f>
        <v>0</v>
      </c>
      <c r="R231" s="48">
        <f>IFERROR(__xludf.DUMMYFUNCTION("""COMPUTED_VALUE"""),0.0)</f>
        <v>0</v>
      </c>
      <c r="S231" s="39" t="str">
        <f>IFERROR(__xludf.DUMMYFUNCTION("""COMPUTED_VALUE""")," ")</f>
        <v> </v>
      </c>
      <c r="T231" s="40"/>
      <c r="U231" s="39"/>
      <c r="V231" s="40"/>
      <c r="W231" s="46"/>
      <c r="X231" s="46"/>
      <c r="Y231" s="40"/>
      <c r="Z231" s="42"/>
      <c r="AA231" s="49" t="str">
        <f>IFERROR(__xludf.DUMMYFUNCTION("""COMPUTED_VALUE"""),"No aplica")</f>
        <v>No aplica</v>
      </c>
      <c r="AB231" s="40"/>
      <c r="AC231" s="40"/>
      <c r="AD231" s="40"/>
      <c r="AE231" s="40"/>
      <c r="AF231" s="40" t="str">
        <f>IFERROR(__xludf.DUMMYFUNCTION("""COMPUTED_VALUE"""),"")</f>
        <v/>
      </c>
      <c r="AG231" s="40"/>
      <c r="AH231" s="40" t="str">
        <f>IFERROR(__xludf.DUMMYFUNCTION("""COMPUTED_VALUE"""),"Inventario")</f>
        <v>Inventario</v>
      </c>
      <c r="AI231" s="40"/>
      <c r="AJ231" s="40" t="str">
        <f>IFERROR(__xludf.DUMMYFUNCTION("""COMPUTED_VALUE"""),"ICDE")</f>
        <v>ICDE</v>
      </c>
      <c r="AK231" s="40"/>
      <c r="AL231" s="40" t="str">
        <f>IFERROR(__xludf.DUMMYFUNCTION("""COMPUTED_VALUE"""),"NO FOTOS + DESCRIPCION")</f>
        <v>NO FOTOS + DESCRIPCION</v>
      </c>
      <c r="AM231" s="40"/>
      <c r="AN231" s="40"/>
      <c r="AO231" s="40"/>
      <c r="AP231" s="40"/>
      <c r="AQ231" s="40"/>
      <c r="AR231" s="40"/>
      <c r="AS231" s="53">
        <f>IFERROR(__xludf.DUMMYFUNCTION("""COMPUTED_VALUE"""),0.0)</f>
        <v>0</v>
      </c>
      <c r="AT231" s="40"/>
      <c r="AU231" s="40"/>
      <c r="AV231" s="40"/>
      <c r="AW231" s="40"/>
      <c r="AX231" s="40"/>
      <c r="AY231" s="40"/>
      <c r="AZ231" s="40"/>
      <c r="BA231" s="40" t="str">
        <f>IFERROR(__xludf.DUMMYFUNCTION("""COMPUTED_VALUE"""),"X")</f>
        <v>X</v>
      </c>
      <c r="BB231" s="40"/>
      <c r="BC231" s="53"/>
      <c r="BD231" s="48"/>
      <c r="BE231" s="48"/>
      <c r="BF231" s="48"/>
    </row>
    <row r="232">
      <c r="A232" s="39" t="str">
        <f>IFERROR(__xludf.DUMMYFUNCTION("""COMPUTED_VALUE"""),"533")</f>
        <v>533</v>
      </c>
      <c r="B232" s="40" t="str">
        <f>IFERROR(__xludf.DUMMYFUNCTION("""COMPUTED_VALUE"""),"Camponuñez")</f>
        <v>Camponuñez</v>
      </c>
      <c r="C232" s="40"/>
      <c r="D232" s="40" t="str">
        <f>IFERROR(__xludf.DUMMYFUNCTION("""COMPUTED_VALUE"""),"")</f>
        <v/>
      </c>
      <c r="E232" s="40"/>
      <c r="F232" s="42">
        <f>IFERROR(__xludf.DUMMYFUNCTION("""COMPUTED_VALUE"""),0.0)</f>
        <v>0</v>
      </c>
      <c r="G232" s="40" t="str">
        <f>IFERROR(__xludf.DUMMYFUNCTION("""COMPUTED_VALUE"""),"$0 a $100'000.000")</f>
        <v>$0 a $100'000.000</v>
      </c>
      <c r="H232" s="40"/>
      <c r="I232" s="40"/>
      <c r="J232" s="40"/>
      <c r="K232" s="39"/>
      <c r="L232" s="40"/>
      <c r="M232" s="40"/>
      <c r="N232" s="40"/>
      <c r="O232" s="40"/>
      <c r="P232" s="40"/>
      <c r="Q232" s="48">
        <f>IFERROR(__xludf.DUMMYFUNCTION("""COMPUTED_VALUE"""),0.0)</f>
        <v>0</v>
      </c>
      <c r="R232" s="48">
        <f>IFERROR(__xludf.DUMMYFUNCTION("""COMPUTED_VALUE"""),0.0)</f>
        <v>0</v>
      </c>
      <c r="S232" s="39" t="str">
        <f>IFERROR(__xludf.DUMMYFUNCTION("""COMPUTED_VALUE""")," ")</f>
        <v> </v>
      </c>
      <c r="T232" s="40"/>
      <c r="U232" s="39"/>
      <c r="V232" s="40"/>
      <c r="W232" s="46"/>
      <c r="X232" s="46"/>
      <c r="Y232" s="40"/>
      <c r="Z232" s="42"/>
      <c r="AA232" s="49" t="str">
        <f>IFERROR(__xludf.DUMMYFUNCTION("""COMPUTED_VALUE"""),"No aplica")</f>
        <v>No aplica</v>
      </c>
      <c r="AB232" s="40"/>
      <c r="AC232" s="40"/>
      <c r="AD232" s="40"/>
      <c r="AE232" s="40"/>
      <c r="AF232" s="40" t="str">
        <f>IFERROR(__xludf.DUMMYFUNCTION("""COMPUTED_VALUE"""),"")</f>
        <v/>
      </c>
      <c r="AG232" s="40"/>
      <c r="AH232" s="40" t="str">
        <f>IFERROR(__xludf.DUMMYFUNCTION("""COMPUTED_VALUE"""),"Inventario")</f>
        <v>Inventario</v>
      </c>
      <c r="AI232" s="40"/>
      <c r="AJ232" s="40" t="str">
        <f>IFERROR(__xludf.DUMMYFUNCTION("""COMPUTED_VALUE"""),"ICDE")</f>
        <v>ICDE</v>
      </c>
      <c r="AK232" s="40"/>
      <c r="AL232" s="40" t="str">
        <f>IFERROR(__xludf.DUMMYFUNCTION("""COMPUTED_VALUE"""),"NO FOTOS + DESCRIPCION")</f>
        <v>NO FOTOS + DESCRIPCION</v>
      </c>
      <c r="AM232" s="40"/>
      <c r="AN232" s="40"/>
      <c r="AO232" s="40"/>
      <c r="AP232" s="40"/>
      <c r="AQ232" s="40"/>
      <c r="AR232" s="40"/>
      <c r="AS232" s="53">
        <f>IFERROR(__xludf.DUMMYFUNCTION("""COMPUTED_VALUE"""),0.0)</f>
        <v>0</v>
      </c>
      <c r="AT232" s="40"/>
      <c r="AU232" s="40"/>
      <c r="AV232" s="40"/>
      <c r="AW232" s="40"/>
      <c r="AX232" s="40"/>
      <c r="AY232" s="40"/>
      <c r="AZ232" s="40"/>
      <c r="BA232" s="40" t="str">
        <f>IFERROR(__xludf.DUMMYFUNCTION("""COMPUTED_VALUE"""),"X")</f>
        <v>X</v>
      </c>
      <c r="BB232" s="40"/>
      <c r="BC232" s="53"/>
      <c r="BD232" s="48"/>
      <c r="BE232" s="48"/>
      <c r="BF232" s="48"/>
    </row>
    <row r="233">
      <c r="A233" s="39" t="str">
        <f>IFERROR(__xludf.DUMMYFUNCTION("""COMPUTED_VALUE"""),"528")</f>
        <v>528</v>
      </c>
      <c r="B233" s="40"/>
      <c r="C233" s="40"/>
      <c r="D233" s="40" t="str">
        <f>IFERROR(__xludf.DUMMYFUNCTION("""COMPUTED_VALUE"""),"Campo Nuñez")</f>
        <v>Campo Nuñez</v>
      </c>
      <c r="E233" s="40"/>
      <c r="F233" s="42">
        <f>IFERROR(__xludf.DUMMYFUNCTION("""COMPUTED_VALUE"""),0.0)</f>
        <v>0</v>
      </c>
      <c r="G233" s="40" t="str">
        <f>IFERROR(__xludf.DUMMYFUNCTION("""COMPUTED_VALUE"""),"$0 a $100'000.000")</f>
        <v>$0 a $100'000.000</v>
      </c>
      <c r="H233" s="40"/>
      <c r="I233" s="40"/>
      <c r="J233" s="40" t="str">
        <f>IFERROR(__xludf.DUMMYFUNCTION("""COMPUTED_VALUE"""),"Centro")</f>
        <v>Centro</v>
      </c>
      <c r="K233" s="39" t="str">
        <f>IFERROR(__xludf.DUMMYFUNCTION("""COMPUTED_VALUE"""),"3")</f>
        <v>3</v>
      </c>
      <c r="L233" s="40"/>
      <c r="M233" s="40"/>
      <c r="N233" s="40"/>
      <c r="O233" s="40"/>
      <c r="P233" s="40"/>
      <c r="Q233" s="48">
        <f>IFERROR(__xludf.DUMMYFUNCTION("""COMPUTED_VALUE"""),0.0)</f>
        <v>0</v>
      </c>
      <c r="R233" s="48">
        <f>IFERROR(__xludf.DUMMYFUNCTION("""COMPUTED_VALUE"""),0.0)</f>
        <v>0</v>
      </c>
      <c r="S233" s="39" t="str">
        <f>IFERROR(__xludf.DUMMYFUNCTION("""COMPUTED_VALUE""")," ")</f>
        <v> </v>
      </c>
      <c r="T233" s="40"/>
      <c r="U233" s="39"/>
      <c r="V233" s="40"/>
      <c r="W233" s="46"/>
      <c r="X233" s="46"/>
      <c r="Y233" s="40"/>
      <c r="Z233" s="42" t="str">
        <f>IFERROR(__xludf.DUMMYFUNCTION("""COMPUTED_VALUE"""),"No aplica")</f>
        <v>No aplica</v>
      </c>
      <c r="AA233" s="49" t="str">
        <f>IFERROR(__xludf.DUMMYFUNCTION("""COMPUTED_VALUE"""),"No aplica")</f>
        <v>No aplica</v>
      </c>
      <c r="AB233" s="40"/>
      <c r="AC233" s="40"/>
      <c r="AD233" s="40"/>
      <c r="AE233" s="40"/>
      <c r="AF233" s="40" t="str">
        <f>IFERROR(__xludf.DUMMYFUNCTION("""COMPUTED_VALUE"""),"")</f>
        <v/>
      </c>
      <c r="AG233" s="40"/>
      <c r="AH233" s="40" t="str">
        <f>IFERROR(__xludf.DUMMYFUNCTION("""COMPUTED_VALUE"""),"Inventario")</f>
        <v>Inventario</v>
      </c>
      <c r="AI233" s="40"/>
      <c r="AJ233" s="40" t="str">
        <f>IFERROR(__xludf.DUMMYFUNCTION("""COMPUTED_VALUE"""),"ICDE")</f>
        <v>ICDE</v>
      </c>
      <c r="AK233" s="40"/>
      <c r="AL233" s="40" t="str">
        <f>IFERROR(__xludf.DUMMYFUNCTION("""COMPUTED_VALUE"""),"NO FOTOS + DESCRIPCION")</f>
        <v>NO FOTOS + DESCRIPCION</v>
      </c>
      <c r="AM233" s="40">
        <f>IFERROR(__xludf.DUMMYFUNCTION("""COMPUTED_VALUE"""),3.133502335E9)</f>
        <v>3133502335</v>
      </c>
      <c r="AN233" s="40"/>
      <c r="AO233" s="40"/>
      <c r="AP233" s="40"/>
      <c r="AQ233" s="40"/>
      <c r="AR233" s="40"/>
      <c r="AS233" s="53">
        <f>IFERROR(__xludf.DUMMYFUNCTION("""COMPUTED_VALUE"""),0.0)</f>
        <v>0</v>
      </c>
      <c r="AT233" s="40"/>
      <c r="AU233" s="40"/>
      <c r="AV233" s="40"/>
      <c r="AW233" s="40"/>
      <c r="AX233" s="40"/>
      <c r="AY233" s="40"/>
      <c r="AZ233" s="40"/>
      <c r="BA233" s="40" t="str">
        <f>IFERROR(__xludf.DUMMYFUNCTION("""COMPUTED_VALUE"""),"X")</f>
        <v>X</v>
      </c>
      <c r="BB233" s="40"/>
      <c r="BC233" s="53"/>
      <c r="BD233" s="48"/>
      <c r="BE233" s="48"/>
      <c r="BF233" s="48"/>
    </row>
    <row r="234">
      <c r="A234" s="39" t="str">
        <f>IFERROR(__xludf.DUMMYFUNCTION("""COMPUTED_VALUE"""),"482")</f>
        <v>482</v>
      </c>
      <c r="B234" s="40" t="str">
        <f>IFERROR(__xludf.DUMMYFUNCTION("""COMPUTED_VALUE"""),"Casa en barrio Santa Librada")</f>
        <v>Casa en barrio Santa Librada</v>
      </c>
      <c r="C234" s="40" t="str">
        <f>IFERROR(__xludf.DUMMYFUNCTION("""COMPUTED_VALUE"""),"Casa rentable")</f>
        <v>Casa rentable</v>
      </c>
      <c r="D234" s="40" t="str">
        <f>IFERROR(__xludf.DUMMYFUNCTION("""COMPUTED_VALUE"""),"Santa Librada")</f>
        <v>Santa Librada</v>
      </c>
      <c r="E234" s="40"/>
      <c r="F234" s="42">
        <f>IFERROR(__xludf.DUMMYFUNCTION("""COMPUTED_VALUE"""),0.0)</f>
        <v>0</v>
      </c>
      <c r="G234" s="40" t="str">
        <f>IFERROR(__xludf.DUMMYFUNCTION("""COMPUTED_VALUE"""),"$0 a $100'000.000")</f>
        <v>$0 a $100'000.000</v>
      </c>
      <c r="H234" s="40"/>
      <c r="I234" s="40"/>
      <c r="J234" s="40" t="str">
        <f>IFERROR(__xludf.DUMMYFUNCTION("""COMPUTED_VALUE"""),"Centro")</f>
        <v>Centro</v>
      </c>
      <c r="K234" s="39" t="str">
        <f>IFERROR(__xludf.DUMMYFUNCTION("""COMPUTED_VALUE"""),"4")</f>
        <v>4</v>
      </c>
      <c r="L234" s="40"/>
      <c r="M234" s="40"/>
      <c r="N234" s="40"/>
      <c r="O234" s="40"/>
      <c r="P234" s="40">
        <f>IFERROR(__xludf.DUMMYFUNCTION("""COMPUTED_VALUE"""),2.0)</f>
        <v>2</v>
      </c>
      <c r="Q234" s="48">
        <f>IFERROR(__xludf.DUMMYFUNCTION("""COMPUTED_VALUE"""),0.0)</f>
        <v>0</v>
      </c>
      <c r="R234" s="48">
        <f>IFERROR(__xludf.DUMMYFUNCTION("""COMPUTED_VALUE"""),0.0)</f>
        <v>0</v>
      </c>
      <c r="S234" s="39" t="str">
        <f>IFERROR(__xludf.DUMMYFUNCTION("""COMPUTED_VALUE""")," ")</f>
        <v> </v>
      </c>
      <c r="T234" s="40" t="str">
        <f>IFERROR(__xludf.DUMMYFUNCTION("""COMPUTED_VALUE"""),"Neiva")</f>
        <v>Neiva</v>
      </c>
      <c r="U234" s="39"/>
      <c r="V234" s="40" t="str">
        <f>IFERROR(__xludf.DUMMYFUNCTION("""COMPUTED_VALUE"""),"Medianera")</f>
        <v>Medianera</v>
      </c>
      <c r="W234" s="46"/>
      <c r="X234" s="46"/>
      <c r="Y234" s="40"/>
      <c r="Z234" s="42"/>
      <c r="AA234" s="49" t="str">
        <f>IFERROR(__xludf.DUMMYFUNCTION("""COMPUTED_VALUE"""),"No aplica")</f>
        <v>No aplica</v>
      </c>
      <c r="AB234" s="40"/>
      <c r="AC234" s="40"/>
      <c r="AD234" s="40"/>
      <c r="AE234" s="40"/>
      <c r="AF234" s="40"/>
      <c r="AG234" s="40"/>
      <c r="AH234" s="40" t="str">
        <f>IFERROR(__xludf.DUMMYFUNCTION("""COMPUTED_VALUE"""),"Inventario")</f>
        <v>Inventario</v>
      </c>
      <c r="AI234" s="40"/>
      <c r="AJ234" s="40" t="str">
        <f>IFERROR(__xludf.DUMMYFUNCTION("""COMPUTED_VALUE"""),"ICDE")</f>
        <v>ICDE</v>
      </c>
      <c r="AK234" s="40"/>
      <c r="AL234" s="40"/>
      <c r="AM234" s="40">
        <f>IFERROR(__xludf.DUMMYFUNCTION("""COMPUTED_VALUE"""),3.156222714E9)</f>
        <v>3156222714</v>
      </c>
      <c r="AN234" s="40"/>
      <c r="AO234" s="40"/>
      <c r="AP234" s="40" t="str">
        <f>IFERROR(__xludf.DUMMYFUNCTION("""COMPUTED_VALUE"""),"Carrera 13 # ")</f>
        <v>Carrera 13 # </v>
      </c>
      <c r="AQ234" s="40"/>
      <c r="AR234" s="40"/>
      <c r="AS234" s="53"/>
      <c r="AT234" s="40"/>
      <c r="AU234" s="40"/>
      <c r="AV234" s="40"/>
      <c r="AW234" s="40" t="str">
        <f>IFERROR(__xludf.DUMMYFUNCTION("""COMPUTED_VALUE"""),"SI")</f>
        <v>SI</v>
      </c>
      <c r="AX234" s="40"/>
      <c r="AY234" s="40"/>
      <c r="AZ234" s="40"/>
      <c r="BA234" s="40" t="str">
        <f>IFERROR(__xludf.DUMMYFUNCTION("""COMPUTED_VALUE"""),"X")</f>
        <v>X</v>
      </c>
      <c r="BB234" s="40"/>
      <c r="BC234" s="53"/>
      <c r="BD234" s="48"/>
      <c r="BE234" s="48"/>
      <c r="BF234" s="48"/>
    </row>
    <row r="235">
      <c r="A235" s="39" t="str">
        <f>IFERROR(__xludf.DUMMYFUNCTION("""COMPUTED_VALUE"""),"480")</f>
        <v>480</v>
      </c>
      <c r="B235" s="40"/>
      <c r="C235" s="40"/>
      <c r="D235" s="40" t="str">
        <f>IFERROR(__xludf.DUMMYFUNCTION("""COMPUTED_VALUE"""),"")</f>
        <v/>
      </c>
      <c r="E235" s="40"/>
      <c r="F235" s="42">
        <f>IFERROR(__xludf.DUMMYFUNCTION("""COMPUTED_VALUE"""),0.0)</f>
        <v>0</v>
      </c>
      <c r="G235" s="40" t="str">
        <f>IFERROR(__xludf.DUMMYFUNCTION("""COMPUTED_VALUE"""),"$0 a $100'000.000")</f>
        <v>$0 a $100'000.000</v>
      </c>
      <c r="H235" s="40"/>
      <c r="I235" s="40"/>
      <c r="J235" s="40"/>
      <c r="K235" s="39"/>
      <c r="L235" s="40"/>
      <c r="M235" s="40"/>
      <c r="N235" s="40"/>
      <c r="O235" s="40"/>
      <c r="P235" s="40"/>
      <c r="Q235" s="48">
        <f>IFERROR(__xludf.DUMMYFUNCTION("""COMPUTED_VALUE"""),0.0)</f>
        <v>0</v>
      </c>
      <c r="R235" s="48">
        <f>IFERROR(__xludf.DUMMYFUNCTION("""COMPUTED_VALUE"""),0.0)</f>
        <v>0</v>
      </c>
      <c r="S235" s="39" t="str">
        <f>IFERROR(__xludf.DUMMYFUNCTION("""COMPUTED_VALUE""")," ")</f>
        <v> </v>
      </c>
      <c r="T235" s="40"/>
      <c r="U235" s="39"/>
      <c r="V235" s="40"/>
      <c r="W235" s="46"/>
      <c r="X235" s="46"/>
      <c r="Y235" s="40"/>
      <c r="Z235" s="42"/>
      <c r="AA235" s="49" t="str">
        <f>IFERROR(__xludf.DUMMYFUNCTION("""COMPUTED_VALUE"""),"No aplica")</f>
        <v>No aplica</v>
      </c>
      <c r="AB235" s="40"/>
      <c r="AC235" s="40"/>
      <c r="AD235" s="40"/>
      <c r="AE235" s="40"/>
      <c r="AF235" s="40" t="str">
        <f>IFERROR(__xludf.DUMMYFUNCTION("""COMPUTED_VALUE"""),"")</f>
        <v/>
      </c>
      <c r="AG235" s="40"/>
      <c r="AH235" s="40" t="str">
        <f>IFERROR(__xludf.DUMMYFUNCTION("""COMPUTED_VALUE"""),"Inventario")</f>
        <v>Inventario</v>
      </c>
      <c r="AI235" s="40"/>
      <c r="AJ235" s="40" t="str">
        <f>IFERROR(__xludf.DUMMYFUNCTION("""COMPUTED_VALUE"""),"ICDE")</f>
        <v>ICDE</v>
      </c>
      <c r="AK235" s="40"/>
      <c r="AL235" s="40" t="str">
        <f>IFERROR(__xludf.DUMMYFUNCTION("""COMPUTED_VALUE"""),"NO FOTOS + DESCRIPCION")</f>
        <v>NO FOTOS + DESCRIPCION</v>
      </c>
      <c r="AM235" s="40">
        <f>IFERROR(__xludf.DUMMYFUNCTION("""COMPUTED_VALUE"""),3.106667866E9)</f>
        <v>3106667866</v>
      </c>
      <c r="AN235" s="40"/>
      <c r="AO235" s="40"/>
      <c r="AP235" s="40"/>
      <c r="AQ235" s="40"/>
      <c r="AR235" s="40"/>
      <c r="AS235" s="53">
        <f>IFERROR(__xludf.DUMMYFUNCTION("""COMPUTED_VALUE"""),0.0)</f>
        <v>0</v>
      </c>
      <c r="AT235" s="40"/>
      <c r="AU235" s="40"/>
      <c r="AV235" s="40"/>
      <c r="AW235" s="40"/>
      <c r="AX235" s="40"/>
      <c r="AY235" s="40"/>
      <c r="AZ235" s="40"/>
      <c r="BA235" s="40" t="str">
        <f>IFERROR(__xludf.DUMMYFUNCTION("""COMPUTED_VALUE"""),"X")</f>
        <v>X</v>
      </c>
      <c r="BB235" s="40"/>
      <c r="BC235" s="53" t="str">
        <f>IFERROR(__xludf.DUMMYFUNCTION("""COMPUTED_VALUE"""),"27 - Valentina Renza")</f>
        <v>27 - Valentina Renza</v>
      </c>
      <c r="BD235" s="48"/>
      <c r="BE235" s="48"/>
      <c r="BF235" s="48"/>
    </row>
    <row r="236">
      <c r="A236" s="39" t="str">
        <f>IFERROR(__xludf.DUMMYFUNCTION("""COMPUTED_VALUE"""),"462")</f>
        <v>462</v>
      </c>
      <c r="B236" s="40" t="str">
        <f>IFERROR(__xludf.DUMMYFUNCTION("""COMPUTED_VALUE"""),"Camponuñez")</f>
        <v>Camponuñez</v>
      </c>
      <c r="C236" s="40"/>
      <c r="D236" s="40" t="str">
        <f>IFERROR(__xludf.DUMMYFUNCTION("""COMPUTED_VALUE"""),"")</f>
        <v/>
      </c>
      <c r="E236" s="40"/>
      <c r="F236" s="42">
        <f>IFERROR(__xludf.DUMMYFUNCTION("""COMPUTED_VALUE"""),0.0)</f>
        <v>0</v>
      </c>
      <c r="G236" s="40" t="str">
        <f>IFERROR(__xludf.DUMMYFUNCTION("""COMPUTED_VALUE"""),"$0 a $100'000.000")</f>
        <v>$0 a $100'000.000</v>
      </c>
      <c r="H236" s="40"/>
      <c r="I236" s="40"/>
      <c r="J236" s="40"/>
      <c r="K236" s="39"/>
      <c r="L236" s="40"/>
      <c r="M236" s="40"/>
      <c r="N236" s="40"/>
      <c r="O236" s="40"/>
      <c r="P236" s="40"/>
      <c r="Q236" s="48">
        <f>IFERROR(__xludf.DUMMYFUNCTION("""COMPUTED_VALUE"""),0.0)</f>
        <v>0</v>
      </c>
      <c r="R236" s="48">
        <f>IFERROR(__xludf.DUMMYFUNCTION("""COMPUTED_VALUE"""),0.0)</f>
        <v>0</v>
      </c>
      <c r="S236" s="39" t="str">
        <f>IFERROR(__xludf.DUMMYFUNCTION("""COMPUTED_VALUE""")," ")</f>
        <v> </v>
      </c>
      <c r="T236" s="40"/>
      <c r="U236" s="39"/>
      <c r="V236" s="40"/>
      <c r="W236" s="46"/>
      <c r="X236" s="46"/>
      <c r="Y236" s="40"/>
      <c r="Z236" s="42" t="str">
        <f>IFERROR(__xludf.DUMMYFUNCTION("""COMPUTED_VALUE"""),"No aplica")</f>
        <v>No aplica</v>
      </c>
      <c r="AA236" s="49" t="str">
        <f>IFERROR(__xludf.DUMMYFUNCTION("""COMPUTED_VALUE"""),"No aplica")</f>
        <v>No aplica</v>
      </c>
      <c r="AB236" s="40"/>
      <c r="AC236" s="40"/>
      <c r="AD236" s="40"/>
      <c r="AE236" s="40"/>
      <c r="AF236" s="40" t="str">
        <f>IFERROR(__xludf.DUMMYFUNCTION("""COMPUTED_VALUE"""),"")</f>
        <v/>
      </c>
      <c r="AG236" s="40"/>
      <c r="AH236" s="40" t="str">
        <f>IFERROR(__xludf.DUMMYFUNCTION("""COMPUTED_VALUE"""),"Inventario")</f>
        <v>Inventario</v>
      </c>
      <c r="AI236" s="40"/>
      <c r="AJ236" s="40" t="str">
        <f>IFERROR(__xludf.DUMMYFUNCTION("""COMPUTED_VALUE"""),"ICDE")</f>
        <v>ICDE</v>
      </c>
      <c r="AK236" s="40"/>
      <c r="AL236" s="40" t="str">
        <f>IFERROR(__xludf.DUMMYFUNCTION("""COMPUTED_VALUE"""),"NO FOTOS + DESCRIPCION")</f>
        <v>NO FOTOS + DESCRIPCION</v>
      </c>
      <c r="AM236" s="40">
        <f>IFERROR(__xludf.DUMMYFUNCTION("""COMPUTED_VALUE"""),3.118105509E9)</f>
        <v>3118105509</v>
      </c>
      <c r="AN236" s="40">
        <f>IFERROR(__xludf.DUMMYFUNCTION("""COMPUTED_VALUE"""),3.160544434E9)</f>
        <v>3160544434</v>
      </c>
      <c r="AO236" s="40"/>
      <c r="AP236" s="40"/>
      <c r="AQ236" s="40"/>
      <c r="AR236" s="40"/>
      <c r="AS236" s="53">
        <f>IFERROR(__xludf.DUMMYFUNCTION("""COMPUTED_VALUE"""),0.0)</f>
        <v>0</v>
      </c>
      <c r="AT236" s="40"/>
      <c r="AU236" s="40"/>
      <c r="AV236" s="40"/>
      <c r="AW236" s="40"/>
      <c r="AX236" s="40"/>
      <c r="AY236" s="40"/>
      <c r="AZ236" s="40"/>
      <c r="BA236" s="40" t="str">
        <f>IFERROR(__xludf.DUMMYFUNCTION("""COMPUTED_VALUE"""),"X")</f>
        <v>X</v>
      </c>
      <c r="BB236" s="40"/>
      <c r="BC236" s="53"/>
      <c r="BD236" s="48"/>
      <c r="BE236" s="48"/>
      <c r="BF236" s="48"/>
    </row>
    <row r="237">
      <c r="A237" s="39" t="str">
        <f>IFERROR(__xludf.DUMMYFUNCTION("""COMPUTED_VALUE"""),"459")</f>
        <v>459</v>
      </c>
      <c r="B237" s="40"/>
      <c r="C237" s="40"/>
      <c r="D237" s="40" t="str">
        <f>IFERROR(__xludf.DUMMYFUNCTION("""COMPUTED_VALUE"""),"")</f>
        <v/>
      </c>
      <c r="E237" s="40"/>
      <c r="F237" s="42">
        <f>IFERROR(__xludf.DUMMYFUNCTION("""COMPUTED_VALUE"""),0.0)</f>
        <v>0</v>
      </c>
      <c r="G237" s="40" t="str">
        <f>IFERROR(__xludf.DUMMYFUNCTION("""COMPUTED_VALUE"""),"$0 a $100'000.000")</f>
        <v>$0 a $100'000.000</v>
      </c>
      <c r="H237" s="40"/>
      <c r="I237" s="40"/>
      <c r="J237" s="40"/>
      <c r="K237" s="39"/>
      <c r="L237" s="40"/>
      <c r="M237" s="40"/>
      <c r="N237" s="40"/>
      <c r="O237" s="40"/>
      <c r="P237" s="40"/>
      <c r="Q237" s="48">
        <f>IFERROR(__xludf.DUMMYFUNCTION("""COMPUTED_VALUE"""),0.0)</f>
        <v>0</v>
      </c>
      <c r="R237" s="48">
        <f>IFERROR(__xludf.DUMMYFUNCTION("""COMPUTED_VALUE"""),0.0)</f>
        <v>0</v>
      </c>
      <c r="S237" s="39" t="str">
        <f>IFERROR(__xludf.DUMMYFUNCTION("""COMPUTED_VALUE""")," ")</f>
        <v> </v>
      </c>
      <c r="T237" s="40"/>
      <c r="U237" s="39"/>
      <c r="V237" s="40"/>
      <c r="W237" s="46"/>
      <c r="X237" s="46"/>
      <c r="Y237" s="53"/>
      <c r="Z237" s="42"/>
      <c r="AA237" s="49" t="str">
        <f>IFERROR(__xludf.DUMMYFUNCTION("""COMPUTED_VALUE"""),"No aplica")</f>
        <v>No aplica</v>
      </c>
      <c r="AB237" s="40"/>
      <c r="AC237" s="40"/>
      <c r="AD237" s="40"/>
      <c r="AE237" s="40"/>
      <c r="AF237" s="40" t="str">
        <f>IFERROR(__xludf.DUMMYFUNCTION("""COMPUTED_VALUE"""),"")</f>
        <v/>
      </c>
      <c r="AG237" s="40"/>
      <c r="AH237" s="40" t="str">
        <f>IFERROR(__xludf.DUMMYFUNCTION("""COMPUTED_VALUE"""),"Inventario")</f>
        <v>Inventario</v>
      </c>
      <c r="AI237" s="40"/>
      <c r="AJ237" s="40" t="str">
        <f>IFERROR(__xludf.DUMMYFUNCTION("""COMPUTED_VALUE"""),"ICDE")</f>
        <v>ICDE</v>
      </c>
      <c r="AK237" s="40"/>
      <c r="AL237" s="40" t="str">
        <f>IFERROR(__xludf.DUMMYFUNCTION("""COMPUTED_VALUE"""),"NO FOTOS + DESCRIPCION")</f>
        <v>NO FOTOS + DESCRIPCION</v>
      </c>
      <c r="AM237" s="40">
        <f>IFERROR(__xludf.DUMMYFUNCTION("""COMPUTED_VALUE"""),3.05483655E9)</f>
        <v>3054836550</v>
      </c>
      <c r="AN237" s="40">
        <f>IFERROR(__xludf.DUMMYFUNCTION("""COMPUTED_VALUE"""),0.0)</f>
        <v>0</v>
      </c>
      <c r="AO237" s="40" t="str">
        <f>IFERROR(__xludf.DUMMYFUNCTION("""COMPUTED_VALUE"""),"esquinera 3 pisos")</f>
        <v>esquinera 3 pisos</v>
      </c>
      <c r="AP237" s="40"/>
      <c r="AQ237" s="40"/>
      <c r="AR237" s="40"/>
      <c r="AS237" s="53">
        <f>IFERROR(__xludf.DUMMYFUNCTION("""COMPUTED_VALUE"""),0.0)</f>
        <v>0</v>
      </c>
      <c r="AT237" s="40"/>
      <c r="AU237" s="40"/>
      <c r="AV237" s="40"/>
      <c r="AW237" s="40"/>
      <c r="AX237" s="40"/>
      <c r="AY237" s="40"/>
      <c r="AZ237" s="40"/>
      <c r="BA237" s="40" t="str">
        <f>IFERROR(__xludf.DUMMYFUNCTION("""COMPUTED_VALUE"""),"X")</f>
        <v>X</v>
      </c>
      <c r="BB237" s="40"/>
      <c r="BC237" s="53" t="str">
        <f>IFERROR(__xludf.DUMMYFUNCTION("""COMPUTED_VALUE"""),"9 - ALBEIRO TOVAR")</f>
        <v>9 - ALBEIRO TOVAR</v>
      </c>
      <c r="BD237" s="48"/>
      <c r="BE237" s="48"/>
      <c r="BF237" s="48"/>
    </row>
    <row r="238">
      <c r="A238" s="39" t="str">
        <f>IFERROR(__xludf.DUMMYFUNCTION("""COMPUTED_VALUE"""),"452")</f>
        <v>452</v>
      </c>
      <c r="B238" s="40"/>
      <c r="C238" s="40"/>
      <c r="D238" s="40" t="str">
        <f>IFERROR(__xludf.DUMMYFUNCTION("""COMPUTED_VALUE"""),"")</f>
        <v/>
      </c>
      <c r="E238" s="40"/>
      <c r="F238" s="42">
        <f>IFERROR(__xludf.DUMMYFUNCTION("""COMPUTED_VALUE"""),0.0)</f>
        <v>0</v>
      </c>
      <c r="G238" s="40" t="str">
        <f>IFERROR(__xludf.DUMMYFUNCTION("""COMPUTED_VALUE"""),"$0 a $100'000.000")</f>
        <v>$0 a $100'000.000</v>
      </c>
      <c r="H238" s="40"/>
      <c r="I238" s="40"/>
      <c r="J238" s="40"/>
      <c r="K238" s="39"/>
      <c r="L238" s="40"/>
      <c r="M238" s="40"/>
      <c r="N238" s="40"/>
      <c r="O238" s="40"/>
      <c r="P238" s="40"/>
      <c r="Q238" s="48">
        <f>IFERROR(__xludf.DUMMYFUNCTION("""COMPUTED_VALUE"""),0.0)</f>
        <v>0</v>
      </c>
      <c r="R238" s="48">
        <f>IFERROR(__xludf.DUMMYFUNCTION("""COMPUTED_VALUE"""),770.0)</f>
        <v>770</v>
      </c>
      <c r="S238" s="39" t="str">
        <f>IFERROR(__xludf.DUMMYFUNCTION("""COMPUTED_VALUE""")," ")</f>
        <v> </v>
      </c>
      <c r="T238" s="40"/>
      <c r="U238" s="39"/>
      <c r="V238" s="40"/>
      <c r="W238" s="46"/>
      <c r="X238" s="46"/>
      <c r="Y238" s="40"/>
      <c r="Z238" s="42"/>
      <c r="AA238" s="49" t="str">
        <f>IFERROR(__xludf.DUMMYFUNCTION("""COMPUTED_VALUE"""),"No aplica")</f>
        <v>No aplica</v>
      </c>
      <c r="AB238" s="48"/>
      <c r="AC238" s="40"/>
      <c r="AD238" s="40"/>
      <c r="AE238" s="40"/>
      <c r="AF238" s="40" t="str">
        <f>IFERROR(__xludf.DUMMYFUNCTION("""COMPUTED_VALUE"""),"")</f>
        <v/>
      </c>
      <c r="AG238" s="40"/>
      <c r="AH238" s="40" t="str">
        <f>IFERROR(__xludf.DUMMYFUNCTION("""COMPUTED_VALUE"""),"Inventario")</f>
        <v>Inventario</v>
      </c>
      <c r="AI238" s="40"/>
      <c r="AJ238" s="40" t="str">
        <f>IFERROR(__xludf.DUMMYFUNCTION("""COMPUTED_VALUE"""),"ICDE")</f>
        <v>ICDE</v>
      </c>
      <c r="AK238" s="40"/>
      <c r="AL238" s="40" t="str">
        <f>IFERROR(__xludf.DUMMYFUNCTION("""COMPUTED_VALUE"""),"NO FOTOS + DESCRIPCION")</f>
        <v>NO FOTOS + DESCRIPCION</v>
      </c>
      <c r="AM238" s="40">
        <f>IFERROR(__xludf.DUMMYFUNCTION("""COMPUTED_VALUE"""),3.188895176E9)</f>
        <v>3188895176</v>
      </c>
      <c r="AN238" s="40"/>
      <c r="AO238" s="40"/>
      <c r="AP238" s="40"/>
      <c r="AQ238" s="40"/>
      <c r="AR238" s="40"/>
      <c r="AS238" s="53">
        <f>IFERROR(__xludf.DUMMYFUNCTION("""COMPUTED_VALUE"""),0.0)</f>
        <v>0</v>
      </c>
      <c r="AT238" s="40"/>
      <c r="AU238" s="40"/>
      <c r="AV238" s="40"/>
      <c r="AW238" s="40"/>
      <c r="AX238" s="40"/>
      <c r="AY238" s="40"/>
      <c r="AZ238" s="40"/>
      <c r="BA238" s="40" t="str">
        <f>IFERROR(__xludf.DUMMYFUNCTION("""COMPUTED_VALUE"""),"X")</f>
        <v>X</v>
      </c>
      <c r="BB238" s="40"/>
      <c r="BC238" s="53" t="str">
        <f>IFERROR(__xludf.DUMMYFUNCTION("""COMPUTED_VALUE"""),"15 - JOSE LOZANO")</f>
        <v>15 - JOSE LOZANO</v>
      </c>
      <c r="BD238" s="48"/>
      <c r="BE238" s="48"/>
      <c r="BF238" s="48"/>
    </row>
    <row r="239">
      <c r="A239" s="39" t="str">
        <f>IFERROR(__xludf.DUMMYFUNCTION("""COMPUTED_VALUE"""),"428")</f>
        <v>428</v>
      </c>
      <c r="B239" s="40" t="str">
        <f>IFERROR(__xludf.DUMMYFUNCTION("""COMPUTED_VALUE"""),"Camponuñez")</f>
        <v>Camponuñez</v>
      </c>
      <c r="C239" s="40"/>
      <c r="D239" s="40" t="str">
        <f>IFERROR(__xludf.DUMMYFUNCTION("""COMPUTED_VALUE"""),"")</f>
        <v/>
      </c>
      <c r="E239" s="40"/>
      <c r="F239" s="42">
        <f>IFERROR(__xludf.DUMMYFUNCTION("""COMPUTED_VALUE"""),0.0)</f>
        <v>0</v>
      </c>
      <c r="G239" s="40" t="str">
        <f>IFERROR(__xludf.DUMMYFUNCTION("""COMPUTED_VALUE"""),"$0 a $100'000.000")</f>
        <v>$0 a $100'000.000</v>
      </c>
      <c r="H239" s="40"/>
      <c r="I239" s="40"/>
      <c r="J239" s="40"/>
      <c r="K239" s="39"/>
      <c r="L239" s="40"/>
      <c r="M239" s="40"/>
      <c r="N239" s="40"/>
      <c r="O239" s="40"/>
      <c r="P239" s="40"/>
      <c r="Q239" s="48">
        <f>IFERROR(__xludf.DUMMYFUNCTION("""COMPUTED_VALUE"""),0.0)</f>
        <v>0</v>
      </c>
      <c r="R239" s="48">
        <f>IFERROR(__xludf.DUMMYFUNCTION("""COMPUTED_VALUE"""),0.0)</f>
        <v>0</v>
      </c>
      <c r="S239" s="39" t="str">
        <f>IFERROR(__xludf.DUMMYFUNCTION("""COMPUTED_VALUE""")," ")</f>
        <v> </v>
      </c>
      <c r="T239" s="40"/>
      <c r="U239" s="39"/>
      <c r="V239" s="40"/>
      <c r="W239" s="46"/>
      <c r="X239" s="46"/>
      <c r="Y239" s="40"/>
      <c r="Z239" s="42" t="str">
        <f>IFERROR(__xludf.DUMMYFUNCTION("""COMPUTED_VALUE"""),"No aplica")</f>
        <v>No aplica</v>
      </c>
      <c r="AA239" s="49" t="str">
        <f>IFERROR(__xludf.DUMMYFUNCTION("""COMPUTED_VALUE"""),"No aplica")</f>
        <v>No aplica</v>
      </c>
      <c r="AB239" s="40"/>
      <c r="AC239" s="40"/>
      <c r="AD239" s="40"/>
      <c r="AE239" s="40"/>
      <c r="AF239" s="40" t="str">
        <f>IFERROR(__xludf.DUMMYFUNCTION("""COMPUTED_VALUE"""),"")</f>
        <v/>
      </c>
      <c r="AG239" s="40"/>
      <c r="AH239" s="40" t="str">
        <f>IFERROR(__xludf.DUMMYFUNCTION("""COMPUTED_VALUE"""),"Inventario")</f>
        <v>Inventario</v>
      </c>
      <c r="AI239" s="40"/>
      <c r="AJ239" s="40" t="str">
        <f>IFERROR(__xludf.DUMMYFUNCTION("""COMPUTED_VALUE"""),"ICDE")</f>
        <v>ICDE</v>
      </c>
      <c r="AK239" s="40"/>
      <c r="AL239" s="40" t="str">
        <f>IFERROR(__xludf.DUMMYFUNCTION("""COMPUTED_VALUE"""),"NO FOTOS + DESCRIPCION")</f>
        <v>NO FOTOS + DESCRIPCION</v>
      </c>
      <c r="AM239" s="40"/>
      <c r="AN239" s="40"/>
      <c r="AO239" s="40"/>
      <c r="AP239" s="40"/>
      <c r="AQ239" s="40"/>
      <c r="AR239" s="40"/>
      <c r="AS239" s="53">
        <f>IFERROR(__xludf.DUMMYFUNCTION("""COMPUTED_VALUE"""),0.0)</f>
        <v>0</v>
      </c>
      <c r="AT239" s="40"/>
      <c r="AU239" s="40"/>
      <c r="AV239" s="40"/>
      <c r="AW239" s="40"/>
      <c r="AX239" s="40"/>
      <c r="AY239" s="40"/>
      <c r="AZ239" s="40"/>
      <c r="BA239" s="40" t="str">
        <f>IFERROR(__xludf.DUMMYFUNCTION("""COMPUTED_VALUE"""),"X")</f>
        <v>X</v>
      </c>
      <c r="BB239" s="40"/>
      <c r="BC239" s="53"/>
      <c r="BD239" s="48"/>
      <c r="BE239" s="48"/>
      <c r="BF239" s="48"/>
    </row>
    <row r="240">
      <c r="A240" s="39" t="str">
        <f>IFERROR(__xludf.DUMMYFUNCTION("""COMPUTED_VALUE"""),"420")</f>
        <v>420</v>
      </c>
      <c r="B240" s="40"/>
      <c r="C240" s="40"/>
      <c r="D240" s="40" t="str">
        <f>IFERROR(__xludf.DUMMYFUNCTION("""COMPUTED_VALUE"""),"")</f>
        <v/>
      </c>
      <c r="E240" s="40"/>
      <c r="F240" s="42">
        <f>IFERROR(__xludf.DUMMYFUNCTION("""COMPUTED_VALUE"""),0.0)</f>
        <v>0</v>
      </c>
      <c r="G240" s="40" t="str">
        <f>IFERROR(__xludf.DUMMYFUNCTION("""COMPUTED_VALUE"""),"$0 a $100'000.000")</f>
        <v>$0 a $100'000.000</v>
      </c>
      <c r="H240" s="40"/>
      <c r="I240" s="40"/>
      <c r="J240" s="40"/>
      <c r="K240" s="39"/>
      <c r="L240" s="40"/>
      <c r="M240" s="40"/>
      <c r="N240" s="40"/>
      <c r="O240" s="40"/>
      <c r="P240" s="40"/>
      <c r="Q240" s="48">
        <f>IFERROR(__xludf.DUMMYFUNCTION("""COMPUTED_VALUE"""),0.0)</f>
        <v>0</v>
      </c>
      <c r="R240" s="48">
        <f>IFERROR(__xludf.DUMMYFUNCTION("""COMPUTED_VALUE"""),0.0)</f>
        <v>0</v>
      </c>
      <c r="S240" s="39" t="str">
        <f>IFERROR(__xludf.DUMMYFUNCTION("""COMPUTED_VALUE""")," ")</f>
        <v> </v>
      </c>
      <c r="T240" s="40"/>
      <c r="U240" s="39"/>
      <c r="V240" s="40"/>
      <c r="W240" s="46"/>
      <c r="X240" s="46"/>
      <c r="Y240" s="40"/>
      <c r="Z240" s="42"/>
      <c r="AA240" s="49" t="str">
        <f>IFERROR(__xludf.DUMMYFUNCTION("""COMPUTED_VALUE"""),"No aplica")</f>
        <v>No aplica</v>
      </c>
      <c r="AB240" s="40"/>
      <c r="AC240" s="40"/>
      <c r="AD240" s="40"/>
      <c r="AE240" s="40"/>
      <c r="AF240" s="40" t="str">
        <f>IFERROR(__xludf.DUMMYFUNCTION("""COMPUTED_VALUE"""),"")</f>
        <v/>
      </c>
      <c r="AG240" s="40"/>
      <c r="AH240" s="40" t="str">
        <f>IFERROR(__xludf.DUMMYFUNCTION("""COMPUTED_VALUE"""),"Inventario")</f>
        <v>Inventario</v>
      </c>
      <c r="AI240" s="40"/>
      <c r="AJ240" s="40" t="str">
        <f>IFERROR(__xludf.DUMMYFUNCTION("""COMPUTED_VALUE"""),"ICDE")</f>
        <v>ICDE</v>
      </c>
      <c r="AK240" s="40"/>
      <c r="AL240" s="40" t="str">
        <f>IFERROR(__xludf.DUMMYFUNCTION("""COMPUTED_VALUE"""),"NO FOTOS + DESCRIPCION")</f>
        <v>NO FOTOS + DESCRIPCION</v>
      </c>
      <c r="AM240" s="40"/>
      <c r="AN240" s="40"/>
      <c r="AO240" s="40"/>
      <c r="AP240" s="40"/>
      <c r="AQ240" s="40"/>
      <c r="AR240" s="40"/>
      <c r="AS240" s="53">
        <f>IFERROR(__xludf.DUMMYFUNCTION("""COMPUTED_VALUE"""),0.0)</f>
        <v>0</v>
      </c>
      <c r="AT240" s="40"/>
      <c r="AU240" s="40"/>
      <c r="AV240" s="40"/>
      <c r="AW240" s="40"/>
      <c r="AX240" s="40"/>
      <c r="AY240" s="40"/>
      <c r="AZ240" s="40"/>
      <c r="BA240" s="40" t="str">
        <f>IFERROR(__xludf.DUMMYFUNCTION("""COMPUTED_VALUE"""),"X")</f>
        <v>X</v>
      </c>
      <c r="BB240" s="40"/>
      <c r="BC240" s="53"/>
      <c r="BD240" s="48"/>
      <c r="BE240" s="48"/>
      <c r="BF240" s="48"/>
    </row>
    <row r="241">
      <c r="A241" s="39" t="str">
        <f>IFERROR(__xludf.DUMMYFUNCTION("""COMPUTED_VALUE"""),"210")</f>
        <v>210</v>
      </c>
      <c r="B241" s="40" t="str">
        <f>IFERROR(__xludf.DUMMYFUNCTION("""COMPUTED_VALUE"""),"Casa en barrio Sevilla")</f>
        <v>Casa en barrio Sevilla</v>
      </c>
      <c r="C241" s="40" t="str">
        <f>IFERROR(__xludf.DUMMYFUNCTION("""COMPUTED_VALUE"""),"Casa")</f>
        <v>Casa</v>
      </c>
      <c r="D241" s="40" t="str">
        <f>IFERROR(__xludf.DUMMYFUNCTION("""COMPUTED_VALUE"""),"Sevilla")</f>
        <v>Sevilla</v>
      </c>
      <c r="E241" s="40"/>
      <c r="F241" s="42">
        <f>IFERROR(__xludf.DUMMYFUNCTION("""COMPUTED_VALUE"""),0.0)</f>
        <v>0</v>
      </c>
      <c r="G241" s="40" t="str">
        <f>IFERROR(__xludf.DUMMYFUNCTION("""COMPUTED_VALUE"""),"$0 a $100'000.000")</f>
        <v>$0 a $100'000.000</v>
      </c>
      <c r="H241" s="40"/>
      <c r="I241" s="40"/>
      <c r="J241" s="40" t="str">
        <f>IFERROR(__xludf.DUMMYFUNCTION("""COMPUTED_VALUE"""),"Centro")</f>
        <v>Centro</v>
      </c>
      <c r="K241" s="39" t="str">
        <f>IFERROR(__xludf.DUMMYFUNCTION("""COMPUTED_VALUE"""),"3")</f>
        <v>3</v>
      </c>
      <c r="L241" s="40"/>
      <c r="M241" s="40"/>
      <c r="N241" s="40"/>
      <c r="O241" s="40"/>
      <c r="P241" s="40">
        <f>IFERROR(__xludf.DUMMYFUNCTION("""COMPUTED_VALUE"""),2.0)</f>
        <v>2</v>
      </c>
      <c r="Q241" s="48">
        <f>IFERROR(__xludf.DUMMYFUNCTION("""COMPUTED_VALUE"""),0.0)</f>
        <v>0</v>
      </c>
      <c r="R241" s="48">
        <f>IFERROR(__xludf.DUMMYFUNCTION("""COMPUTED_VALUE"""),0.0)</f>
        <v>0</v>
      </c>
      <c r="S241" s="39" t="str">
        <f>IFERROR(__xludf.DUMMYFUNCTION("""COMPUTED_VALUE""")," ")</f>
        <v> </v>
      </c>
      <c r="T241" s="40" t="str">
        <f>IFERROR(__xludf.DUMMYFUNCTION("""COMPUTED_VALUE"""),"Neiva")</f>
        <v>Neiva</v>
      </c>
      <c r="U241" s="39"/>
      <c r="V241" s="40" t="str">
        <f>IFERROR(__xludf.DUMMYFUNCTION("""COMPUTED_VALUE"""),"Medianera")</f>
        <v>Medianera</v>
      </c>
      <c r="W241" s="46"/>
      <c r="X241" s="46"/>
      <c r="Y241" s="40"/>
      <c r="Z241" s="42"/>
      <c r="AA241" s="49" t="str">
        <f>IFERROR(__xludf.DUMMYFUNCTION("""COMPUTED_VALUE"""),"No aplica")</f>
        <v>No aplica</v>
      </c>
      <c r="AB241" s="40"/>
      <c r="AC241" s="40"/>
      <c r="AD241" s="40"/>
      <c r="AE241" s="40"/>
      <c r="AF241" s="40"/>
      <c r="AG241" s="40"/>
      <c r="AH241" s="40" t="str">
        <f>IFERROR(__xludf.DUMMYFUNCTION("""COMPUTED_VALUE"""),"Inventario")</f>
        <v>Inventario</v>
      </c>
      <c r="AI241" s="40"/>
      <c r="AJ241" s="40" t="str">
        <f>IFERROR(__xludf.DUMMYFUNCTION("""COMPUTED_VALUE"""),"ICDE")</f>
        <v>ICDE</v>
      </c>
      <c r="AK241" s="40"/>
      <c r="AL241" s="40"/>
      <c r="AM241" s="40">
        <f>IFERROR(__xludf.DUMMYFUNCTION("""COMPUTED_VALUE"""),3.21240451E9)</f>
        <v>3212404510</v>
      </c>
      <c r="AN241" s="40">
        <f>IFERROR(__xludf.DUMMYFUNCTION("""COMPUTED_VALUE"""),3.003235523E9)</f>
        <v>3003235523</v>
      </c>
      <c r="AO241" s="40"/>
      <c r="AP241" s="40"/>
      <c r="AQ241" s="40"/>
      <c r="AR241" s="40"/>
      <c r="AS241" s="53"/>
      <c r="AT241" s="40"/>
      <c r="AU241" s="40"/>
      <c r="AV241" s="40"/>
      <c r="AW241" s="40" t="str">
        <f>IFERROR(__xludf.DUMMYFUNCTION("""COMPUTED_VALUE"""),"SI")</f>
        <v>SI</v>
      </c>
      <c r="AX241" s="40"/>
      <c r="AY241" s="40"/>
      <c r="AZ241" s="40"/>
      <c r="BA241" s="40" t="str">
        <f>IFERROR(__xludf.DUMMYFUNCTION("""COMPUTED_VALUE"""),"X")</f>
        <v>X</v>
      </c>
      <c r="BB241" s="40"/>
      <c r="BC241" s="53"/>
      <c r="BD241" s="48"/>
      <c r="BE241" s="48"/>
      <c r="BF241" s="48"/>
    </row>
    <row r="242">
      <c r="A242" s="39" t="str">
        <f>IFERROR(__xludf.DUMMYFUNCTION("""COMPUTED_VALUE"""),"7112")</f>
        <v>7112</v>
      </c>
      <c r="B242" s="40" t="str">
        <f>IFERROR(__xludf.DUMMYFUNCTION("""COMPUTED_VALUE"""),"Casa con dos apartamentos en barrio Los Cámbulos II")</f>
        <v>Casa con dos apartamentos en barrio Los Cámbulos II</v>
      </c>
      <c r="C242" s="40" t="str">
        <f>IFERROR(__xludf.DUMMYFUNCTION("""COMPUTED_VALUE"""),"Casa rentable")</f>
        <v>Casa rentable</v>
      </c>
      <c r="D242" s="40" t="str">
        <f>IFERROR(__xludf.DUMMYFUNCTION("""COMPUTED_VALUE"""),"Los Cámbulos II")</f>
        <v>Los Cámbulos II</v>
      </c>
      <c r="E242" s="40"/>
      <c r="F242" s="42">
        <f>IFERROR(__xludf.DUMMYFUNCTION("""COMPUTED_VALUE"""),3.2E8)</f>
        <v>320000000</v>
      </c>
      <c r="G242" s="40" t="str">
        <f>IFERROR(__xludf.DUMMYFUNCTION("""COMPUTED_VALUE"""),"$300'000.000 a $400'000.000")</f>
        <v>$300'000.000 a $400'000.000</v>
      </c>
      <c r="H242" s="40"/>
      <c r="I242" s="40"/>
      <c r="J242" s="40" t="str">
        <f>IFERROR(__xludf.DUMMYFUNCTION("""COMPUTED_VALUE"""),"Norte")</f>
        <v>Norte</v>
      </c>
      <c r="K242" s="39" t="str">
        <f>IFERROR(__xludf.DUMMYFUNCTION("""COMPUTED_VALUE"""),"2")</f>
        <v>2</v>
      </c>
      <c r="L242" s="40">
        <f>IFERROR(__xludf.DUMMYFUNCTION("""COMPUTED_VALUE"""),6.0)</f>
        <v>6</v>
      </c>
      <c r="M242" s="40"/>
      <c r="N242" s="40">
        <f>IFERROR(__xludf.DUMMYFUNCTION("""COMPUTED_VALUE"""),2.0)</f>
        <v>2</v>
      </c>
      <c r="O242" s="40">
        <f>IFERROR(__xludf.DUMMYFUNCTION("""COMPUTED_VALUE"""),1.0)</f>
        <v>1</v>
      </c>
      <c r="P242" s="40">
        <f>IFERROR(__xludf.DUMMYFUNCTION("""COMPUTED_VALUE"""),2.0)</f>
        <v>2</v>
      </c>
      <c r="Q242" s="48"/>
      <c r="R242" s="48">
        <f>IFERROR(__xludf.DUMMYFUNCTION("""COMPUTED_VALUE"""),0.0)</f>
        <v>0</v>
      </c>
      <c r="S242" s="39" t="str">
        <f>IFERROR(__xludf.DUMMYFUNCTION("""COMPUTED_VALUE"""),"Rentabilidad $1,200,000")</f>
        <v>Rentabilidad $1,200,000</v>
      </c>
      <c r="T242" s="40" t="str">
        <f>IFERROR(__xludf.DUMMYFUNCTION("""COMPUTED_VALUE"""),"Neiva")</f>
        <v>Neiva</v>
      </c>
      <c r="U242" s="39" t="str">
        <f>IFERROR(__xludf.DUMMYFUNCTION("""COMPUTED_VALUE"""),"3")</f>
        <v>3</v>
      </c>
      <c r="V242" s="40" t="str">
        <f>IFERROR(__xludf.DUMMYFUNCTION("""COMPUTED_VALUE"""),"Medianera")</f>
        <v>Medianera</v>
      </c>
      <c r="W242" s="46"/>
      <c r="X242" s="46">
        <f>IFERROR(__xludf.DUMMYFUNCTION("""COMPUTED_VALUE"""),2.0)</f>
        <v>2</v>
      </c>
      <c r="Y242" s="40" t="str">
        <f>IFERROR(__xludf.DUMMYFUNCTION("""COMPUTED_VALUE"""),"No tiene")</f>
        <v>No tiene</v>
      </c>
      <c r="Z242" s="42" t="str">
        <f>IFERROR(__xludf.DUMMYFUNCTION("""COMPUTED_VALUE"""),"No aplica")</f>
        <v>No aplica</v>
      </c>
      <c r="AA242" s="49" t="str">
        <f>IFERROR(__xludf.DUMMYFUNCTION("""COMPUTED_VALUE"""),"22 años")</f>
        <v>22 años</v>
      </c>
      <c r="AB242" s="48"/>
      <c r="AC242" s="40"/>
      <c r="AD242" s="40"/>
      <c r="AE242" s="40"/>
      <c r="AF242" s="40" t="str">
        <f>IFERROR(__xludf.DUMMYFUNCTION("""COMPUTED_VALUE"""),"semi-integral")</f>
        <v>semi-integral</v>
      </c>
      <c r="AG242" s="40"/>
      <c r="AH242" s="40" t="str">
        <f>IFERROR(__xludf.DUMMYFUNCTION("""COMPUTED_VALUE"""),"Inventario")</f>
        <v>Inventario</v>
      </c>
      <c r="AI242" s="40"/>
      <c r="AJ242" s="40" t="str">
        <f>IFERROR(__xludf.DUMMYFUNCTION("""COMPUTED_VALUE"""),"ICDE  - Felix")</f>
        <v>ICDE  - Felix</v>
      </c>
      <c r="AK242" s="40"/>
      <c r="AL242" s="40" t="str">
        <f>IFERROR(__xludf.DUMMYFUNCTION("""COMPUTED_VALUE"""),"NO FOTOS + DESCRIPCION")</f>
        <v>NO FOTOS + DESCRIPCION</v>
      </c>
      <c r="AM242" s="40">
        <f>IFERROR(__xludf.DUMMYFUNCTION("""COMPUTED_VALUE"""),3.138432016E9)</f>
        <v>3138432016</v>
      </c>
      <c r="AN242" s="40">
        <f>IFERROR(__xludf.DUMMYFUNCTION("""COMPUTED_VALUE"""),0.0)</f>
        <v>0</v>
      </c>
      <c r="AO242" s="40"/>
      <c r="AP242" s="40" t="str">
        <f>IFERROR(__xludf.DUMMYFUNCTION("""COMPUTED_VALUE"""),"CARRERA 8 F No. 33-62")</f>
        <v>CARRERA 8 F No. 33-62</v>
      </c>
      <c r="AQ242" s="40"/>
      <c r="AR242" s="40"/>
      <c r="AS242" s="53">
        <f>IFERROR(__xludf.DUMMYFUNCTION("""COMPUTED_VALUE"""),1200000.0)</f>
        <v>1200000</v>
      </c>
      <c r="AT242" s="40">
        <f>IFERROR(__xludf.DUMMYFUNCTION("""COMPUTED_VALUE"""),0.0)</f>
        <v>0</v>
      </c>
      <c r="AU242" s="40">
        <f>IFERROR(__xludf.DUMMYFUNCTION("""COMPUTED_VALUE"""),0.0)</f>
        <v>0</v>
      </c>
      <c r="AV242" s="40">
        <f>IFERROR(__xludf.DUMMYFUNCTION("""COMPUTED_VALUE"""),0.0)</f>
        <v>0</v>
      </c>
      <c r="AW242" s="40" t="str">
        <f>IFERROR(__xludf.DUMMYFUNCTION("""COMPUTED_VALUE"""),"NO")</f>
        <v>NO</v>
      </c>
      <c r="AX242" s="40">
        <f>IFERROR(__xludf.DUMMYFUNCTION("""COMPUTED_VALUE"""),0.0)</f>
        <v>0</v>
      </c>
      <c r="AY242" s="40" t="str">
        <f>IFERROR(__xludf.DUMMYFUNCTION("""COMPUTED_VALUE"""),"P")</f>
        <v>P</v>
      </c>
      <c r="AZ242" s="40">
        <f>IFERROR(__xludf.DUMMYFUNCTION("""COMPUTED_VALUE"""),0.0)</f>
        <v>0</v>
      </c>
      <c r="BA242" s="40" t="str">
        <f>IFERROR(__xludf.DUMMYFUNCTION("""COMPUTED_VALUE"""),"X")</f>
        <v>X</v>
      </c>
      <c r="BB242" s="40">
        <f>IFERROR(__xludf.DUMMYFUNCTION("""COMPUTED_VALUE"""),0.0)</f>
        <v>0</v>
      </c>
      <c r="BC242" s="53"/>
      <c r="BD242" s="48"/>
      <c r="BE242" s="48"/>
      <c r="BF242" s="48"/>
    </row>
    <row r="243">
      <c r="A243" s="39" t="str">
        <f>IFERROR(__xludf.DUMMYFUNCTION("""COMPUTED_VALUE"""),"336")</f>
        <v>336</v>
      </c>
      <c r="B243" s="40" t="str">
        <f>IFERROR(__xludf.DUMMYFUNCTION("""COMPUTED_VALUE"""),"Casa con apartaestudio en barrio Chapinero")</f>
        <v>Casa con apartaestudio en barrio Chapinero</v>
      </c>
      <c r="C243" s="40" t="str">
        <f>IFERROR(__xludf.DUMMYFUNCTION("""COMPUTED_VALUE"""),"Casa rentable")</f>
        <v>Casa rentable</v>
      </c>
      <c r="D243" s="40" t="str">
        <f>IFERROR(__xludf.DUMMYFUNCTION("""COMPUTED_VALUE"""),"Chapinero")</f>
        <v>Chapinero</v>
      </c>
      <c r="E243" s="40"/>
      <c r="F243" s="42">
        <f>IFERROR(__xludf.DUMMYFUNCTION("""COMPUTED_VALUE"""),4.0E8)</f>
        <v>400000000</v>
      </c>
      <c r="G243" s="40" t="str">
        <f>IFERROR(__xludf.DUMMYFUNCTION("""COMPUTED_VALUE"""),"$400'000.000 a $500'000.000")</f>
        <v>$400'000.000 a $500'000.000</v>
      </c>
      <c r="H243" s="40"/>
      <c r="I243" s="40"/>
      <c r="J243" s="40" t="str">
        <f>IFERROR(__xludf.DUMMYFUNCTION("""COMPUTED_VALUE"""),"Centro")</f>
        <v>Centro</v>
      </c>
      <c r="K243" s="39" t="str">
        <f>IFERROR(__xludf.DUMMYFUNCTION("""COMPUTED_VALUE"""),"3")</f>
        <v>3</v>
      </c>
      <c r="L243" s="40">
        <f>IFERROR(__xludf.DUMMYFUNCTION("""COMPUTED_VALUE"""),5.0)</f>
        <v>5</v>
      </c>
      <c r="M243" s="40"/>
      <c r="N243" s="40">
        <f>IFERROR(__xludf.DUMMYFUNCTION("""COMPUTED_VALUE"""),3.0)</f>
        <v>3</v>
      </c>
      <c r="O243" s="40">
        <f>IFERROR(__xludf.DUMMYFUNCTION("""COMPUTED_VALUE"""),2.0)</f>
        <v>2</v>
      </c>
      <c r="P243" s="40">
        <f>IFERROR(__xludf.DUMMYFUNCTION("""COMPUTED_VALUE"""),1.0)</f>
        <v>1</v>
      </c>
      <c r="Q243" s="48">
        <f>IFERROR(__xludf.DUMMYFUNCTION("""COMPUTED_VALUE"""),243.0)</f>
        <v>243</v>
      </c>
      <c r="R243" s="48">
        <f>IFERROR(__xludf.DUMMYFUNCTION("""COMPUTED_VALUE"""),243.0)</f>
        <v>243</v>
      </c>
      <c r="S243" s="39" t="str">
        <f>IFERROR(__xludf.DUMMYFUNCTION("""COMPUTED_VALUE"""),"Rentabilidad $1,400,000")</f>
        <v>Rentabilidad $1,400,000</v>
      </c>
      <c r="T243" s="40" t="str">
        <f>IFERROR(__xludf.DUMMYFUNCTION("""COMPUTED_VALUE"""),"Neiva")</f>
        <v>Neiva</v>
      </c>
      <c r="U243" s="39" t="str">
        <f>IFERROR(__xludf.DUMMYFUNCTION("""COMPUTED_VALUE"""),"2")</f>
        <v>2</v>
      </c>
      <c r="V243" s="40" t="str">
        <f>IFERROR(__xludf.DUMMYFUNCTION("""COMPUTED_VALUE"""),"Medianera")</f>
        <v>Medianera</v>
      </c>
      <c r="W243" s="46"/>
      <c r="X243" s="46">
        <f>IFERROR(__xludf.DUMMYFUNCTION("""COMPUTED_VALUE"""),0.0)</f>
        <v>0</v>
      </c>
      <c r="Y243" s="40" t="str">
        <f>IFERROR(__xludf.DUMMYFUNCTION("""COMPUTED_VALUE"""),"No tiene")</f>
        <v>No tiene</v>
      </c>
      <c r="Z243" s="42" t="str">
        <f>IFERROR(__xludf.DUMMYFUNCTION("""COMPUTED_VALUE"""),"No aplica")</f>
        <v>No aplica</v>
      </c>
      <c r="AA243" s="49" t="str">
        <f>IFERROR(__xludf.DUMMYFUNCTION("""COMPUTED_VALUE"""),"24 años")</f>
        <v>24 años</v>
      </c>
      <c r="AB243" s="48"/>
      <c r="AC243" s="40"/>
      <c r="AD243" s="40"/>
      <c r="AE243" s="40"/>
      <c r="AF243" s="40" t="str">
        <f>IFERROR(__xludf.DUMMYFUNCTION("""COMPUTED_VALUE"""),"básica")</f>
        <v>básica</v>
      </c>
      <c r="AG243" s="40"/>
      <c r="AH243" s="40" t="str">
        <f>IFERROR(__xludf.DUMMYFUNCTION("""COMPUTED_VALUE"""),"Inventario")</f>
        <v>Inventario</v>
      </c>
      <c r="AI243" s="40"/>
      <c r="AJ243" s="40" t="str">
        <f>IFERROR(__xludf.DUMMYFUNCTION("""COMPUTED_VALUE"""),"ICDE - 336 X 334 - J - % para 3.....??????")</f>
        <v>ICDE - 336 X 334 - J - % para 3.....??????</v>
      </c>
      <c r="AK243" s="40" t="str">
        <f>IFERROR(__xludf.DUMMYFUNCTION("""COMPUTED_VALUE"""),"No aplica")</f>
        <v>No aplica</v>
      </c>
      <c r="AL243" s="40" t="str">
        <f>IFERROR(__xludf.DUMMYFUNCTION("""COMPUTED_VALUE"""),"NO INT + DESCRIPCION")</f>
        <v>NO INT + DESCRIPCION</v>
      </c>
      <c r="AM243" s="40">
        <f>IFERROR(__xludf.DUMMYFUNCTION("""COMPUTED_VALUE"""),3.153416977E9)</f>
        <v>3153416977</v>
      </c>
      <c r="AN243" s="40">
        <f>IFERROR(__xludf.DUMMYFUNCTION("""COMPUTED_VALUE"""),0.0)</f>
        <v>0</v>
      </c>
      <c r="AO243" s="40" t="str">
        <f>IFERROR(__xludf.DUMMYFUNCTION("""COMPUTED_VALUE"""),"GERARDO ROJAS")</f>
        <v>GERARDO ROJAS</v>
      </c>
      <c r="AP243" s="40" t="str">
        <f>IFERROR(__xludf.DUMMYFUNCTION("""COMPUTED_VALUE"""),"CARRERA 10 No. 17 - 47")</f>
        <v>CARRERA 10 No. 17 - 47</v>
      </c>
      <c r="AQ243" s="40"/>
      <c r="AR243" s="40"/>
      <c r="AS243" s="53">
        <f>IFERROR(__xludf.DUMMYFUNCTION("""COMPUTED_VALUE"""),1400000.0)</f>
        <v>1400000</v>
      </c>
      <c r="AT243" s="40">
        <f>IFERROR(__xludf.DUMMYFUNCTION("""COMPUTED_VALUE"""),0.0)</f>
        <v>0</v>
      </c>
      <c r="AU243" s="40">
        <f>IFERROR(__xludf.DUMMYFUNCTION("""COMPUTED_VALUE"""),0.0)</f>
        <v>0</v>
      </c>
      <c r="AV243" s="40">
        <f>IFERROR(__xludf.DUMMYFUNCTION("""COMPUTED_VALUE"""),0.0)</f>
        <v>0</v>
      </c>
      <c r="AW243" s="40" t="str">
        <f>IFERROR(__xludf.DUMMYFUNCTION("""COMPUTED_VALUE"""),"NO")</f>
        <v>NO</v>
      </c>
      <c r="AX243" s="40">
        <f>IFERROR(__xludf.DUMMYFUNCTION("""COMPUTED_VALUE"""),0.0)</f>
        <v>0</v>
      </c>
      <c r="AY243" s="40">
        <f>IFERROR(__xludf.DUMMYFUNCTION("""COMPUTED_VALUE"""),0.0)</f>
        <v>0</v>
      </c>
      <c r="AZ243" s="40">
        <f>IFERROR(__xludf.DUMMYFUNCTION("""COMPUTED_VALUE"""),9.0)</f>
        <v>9</v>
      </c>
      <c r="BA243" s="40" t="str">
        <f>IFERROR(__xludf.DUMMYFUNCTION("""COMPUTED_VALUE"""),"X")</f>
        <v>X</v>
      </c>
      <c r="BB243" s="40">
        <f>IFERROR(__xludf.DUMMYFUNCTION("""COMPUTED_VALUE"""),27.0)</f>
        <v>27</v>
      </c>
      <c r="BC243" s="53"/>
      <c r="BD243" s="48"/>
      <c r="BE243" s="48"/>
      <c r="BF243" s="48"/>
    </row>
    <row r="244">
      <c r="A244" s="39" t="str">
        <f>IFERROR(__xludf.DUMMYFUNCTION("""COMPUTED_VALUE"""),"421")</f>
        <v>421</v>
      </c>
      <c r="B244" s="40" t="str">
        <f>IFERROR(__xludf.DUMMYFUNCTION("""COMPUTED_VALUE"""),"Casa en barrio Campo Nuñez")</f>
        <v>Casa en barrio Campo Nuñez</v>
      </c>
      <c r="C244" s="40" t="str">
        <f>IFERROR(__xludf.DUMMYFUNCTION("""COMPUTED_VALUE"""),"Casa")</f>
        <v>Casa</v>
      </c>
      <c r="D244" s="40" t="str">
        <f>IFERROR(__xludf.DUMMYFUNCTION("""COMPUTED_VALUE"""),"Campo Nuñez")</f>
        <v>Campo Nuñez</v>
      </c>
      <c r="E244" s="40"/>
      <c r="F244" s="42">
        <f>IFERROR(__xludf.DUMMYFUNCTION("""COMPUTED_VALUE"""),3.8E8)</f>
        <v>380000000</v>
      </c>
      <c r="G244" s="40" t="str">
        <f>IFERROR(__xludf.DUMMYFUNCTION("""COMPUTED_VALUE"""),"$300'000.000 a $400'000.000")</f>
        <v>$300'000.000 a $400'000.000</v>
      </c>
      <c r="H244" s="40"/>
      <c r="I244" s="40"/>
      <c r="J244" s="40" t="str">
        <f>IFERROR(__xludf.DUMMYFUNCTION("""COMPUTED_VALUE"""),"Centro")</f>
        <v>Centro</v>
      </c>
      <c r="K244" s="39" t="str">
        <f>IFERROR(__xludf.DUMMYFUNCTION("""COMPUTED_VALUE"""),"3")</f>
        <v>3</v>
      </c>
      <c r="L244" s="40">
        <f>IFERROR(__xludf.DUMMYFUNCTION("""COMPUTED_VALUE"""),4.0)</f>
        <v>4</v>
      </c>
      <c r="M244" s="40"/>
      <c r="N244" s="40">
        <f>IFERROR(__xludf.DUMMYFUNCTION("""COMPUTED_VALUE"""),2.0)</f>
        <v>2</v>
      </c>
      <c r="O244" s="40">
        <f>IFERROR(__xludf.DUMMYFUNCTION("""COMPUTED_VALUE"""),1.0)</f>
        <v>1</v>
      </c>
      <c r="P244" s="40">
        <f>IFERROR(__xludf.DUMMYFUNCTION("""COMPUTED_VALUE"""),2.0)</f>
        <v>2</v>
      </c>
      <c r="Q244" s="48">
        <f>IFERROR(__xludf.DUMMYFUNCTION("""COMPUTED_VALUE"""),150.0)</f>
        <v>150</v>
      </c>
      <c r="R244" s="48">
        <f>IFERROR(__xludf.DUMMYFUNCTION("""COMPUTED_VALUE"""),84.0)</f>
        <v>84</v>
      </c>
      <c r="S244" s="39" t="str">
        <f>IFERROR(__xludf.DUMMYFUNCTION("""COMPUTED_VALUE""")," ")</f>
        <v> </v>
      </c>
      <c r="T244" s="40" t="str">
        <f>IFERROR(__xludf.DUMMYFUNCTION("""COMPUTED_VALUE"""),"Neiva")</f>
        <v>Neiva</v>
      </c>
      <c r="U244" s="39" t="str">
        <f>IFERROR(__xludf.DUMMYFUNCTION("""COMPUTED_VALUE"""),"3")</f>
        <v>3</v>
      </c>
      <c r="V244" s="40" t="str">
        <f>IFERROR(__xludf.DUMMYFUNCTION("""COMPUTED_VALUE"""),"Medianera")</f>
        <v>Medianera</v>
      </c>
      <c r="W244" s="46"/>
      <c r="X244" s="46">
        <f>IFERROR(__xludf.DUMMYFUNCTION("""COMPUTED_VALUE"""),4.0)</f>
        <v>4</v>
      </c>
      <c r="Y244" s="40" t="str">
        <f>IFERROR(__xludf.DUMMYFUNCTION("""COMPUTED_VALUE"""),"No tiene")</f>
        <v>No tiene</v>
      </c>
      <c r="Z244" s="42" t="str">
        <f>IFERROR(__xludf.DUMMYFUNCTION("""COMPUTED_VALUE"""),"No aplica")</f>
        <v>No aplica</v>
      </c>
      <c r="AA244" s="49" t="str">
        <f>IFERROR(__xludf.DUMMYFUNCTION("""COMPUTED_VALUE"""),"No aplica")</f>
        <v>No aplica</v>
      </c>
      <c r="AB244" s="48"/>
      <c r="AC244" s="40"/>
      <c r="AD244" s="40"/>
      <c r="AE244" s="40"/>
      <c r="AF244" s="40" t="str">
        <f>IFERROR(__xludf.DUMMYFUNCTION("""COMPUTED_VALUE"""),"básica")</f>
        <v>básica</v>
      </c>
      <c r="AG244" s="40"/>
      <c r="AH244" s="40" t="str">
        <f>IFERROR(__xludf.DUMMYFUNCTION("""COMPUTED_VALUE"""),"Inventario")</f>
        <v>Inventario</v>
      </c>
      <c r="AI244" s="40"/>
      <c r="AJ244" s="40" t="str">
        <f>IFERROR(__xludf.DUMMYFUNCTION("""COMPUTED_VALUE"""),"ICDE - C&amp;C")</f>
        <v>ICDE - C&amp;C</v>
      </c>
      <c r="AK244" s="40"/>
      <c r="AL244" s="40" t="str">
        <f>IFERROR(__xludf.DUMMYFUNCTION("""COMPUTED_VALUE"""),"NO FOTOS-INTE-DESCRIP.")</f>
        <v>NO FOTOS-INTE-DESCRIP.</v>
      </c>
      <c r="AM244" s="40">
        <f>IFERROR(__xludf.DUMMYFUNCTION("""COMPUTED_VALUE"""),3.158553692E9)</f>
        <v>3158553692</v>
      </c>
      <c r="AN244" s="40">
        <f>IFERROR(__xludf.DUMMYFUNCTION("""COMPUTED_VALUE"""),0.0)</f>
        <v>0</v>
      </c>
      <c r="AO244" s="40" t="str">
        <f>IFERROR(__xludf.DUMMYFUNCTION("""COMPUTED_VALUE"""),"LUIS ANTONIO - ESPOSO DE LA DUEÑA")</f>
        <v>LUIS ANTONIO - ESPOSO DE LA DUEÑA</v>
      </c>
      <c r="AP244" s="40" t="str">
        <f>IFERROR(__xludf.DUMMYFUNCTION("""COMPUTED_VALUE"""),"CALLE 17 No. 7A - 19")</f>
        <v>CALLE 17 No. 7A - 19</v>
      </c>
      <c r="AQ244" s="40"/>
      <c r="AR244" s="40"/>
      <c r="AS244" s="53">
        <f>IFERROR(__xludf.DUMMYFUNCTION("""COMPUTED_VALUE"""),0.0)</f>
        <v>0</v>
      </c>
      <c r="AT244" s="40">
        <f>IFERROR(__xludf.DUMMYFUNCTION("""COMPUTED_VALUE"""),0.0)</f>
        <v>0</v>
      </c>
      <c r="AU244" s="40">
        <f>IFERROR(__xludf.DUMMYFUNCTION("""COMPUTED_VALUE"""),0.0)</f>
        <v>0</v>
      </c>
      <c r="AV244" s="40">
        <f>IFERROR(__xludf.DUMMYFUNCTION("""COMPUTED_VALUE"""),0.0)</f>
        <v>0</v>
      </c>
      <c r="AW244" s="40" t="str">
        <f>IFERROR(__xludf.DUMMYFUNCTION("""COMPUTED_VALUE"""),"NO")</f>
        <v>NO</v>
      </c>
      <c r="AX244" s="40">
        <f>IFERROR(__xludf.DUMMYFUNCTION("""COMPUTED_VALUE"""),0.0)</f>
        <v>0</v>
      </c>
      <c r="AY244" s="40">
        <f>IFERROR(__xludf.DUMMYFUNCTION("""COMPUTED_VALUE"""),0.0)</f>
        <v>0</v>
      </c>
      <c r="AZ244" s="40">
        <f>IFERROR(__xludf.DUMMYFUNCTION("""COMPUTED_VALUE"""),7.0)</f>
        <v>7</v>
      </c>
      <c r="BA244" s="40" t="str">
        <f>IFERROR(__xludf.DUMMYFUNCTION("""COMPUTED_VALUE"""),"X")</f>
        <v>X</v>
      </c>
      <c r="BB244" s="40">
        <f>IFERROR(__xludf.DUMMYFUNCTION("""COMPUTED_VALUE"""),12.0)</f>
        <v>12</v>
      </c>
      <c r="BC244" s="53"/>
      <c r="BD244" s="48"/>
      <c r="BE244" s="48"/>
      <c r="BF244" s="48"/>
    </row>
    <row r="245">
      <c r="A245" s="39" t="str">
        <f>IFERROR(__xludf.DUMMYFUNCTION("""COMPUTED_VALUE"""),"5047")</f>
        <v>5047</v>
      </c>
      <c r="B245" s="40" t="str">
        <f>IFERROR(__xludf.DUMMYFUNCTION("""COMPUTED_VALUE"""),"Casa en barrio Villa Carolina")</f>
        <v>Casa en barrio Villa Carolina</v>
      </c>
      <c r="C245" s="40" t="str">
        <f>IFERROR(__xludf.DUMMYFUNCTION("""COMPUTED_VALUE"""),"Casa")</f>
        <v>Casa</v>
      </c>
      <c r="D245" s="40" t="str">
        <f>IFERROR(__xludf.DUMMYFUNCTION("""COMPUTED_VALUE"""),"Villa Carolina")</f>
        <v>Villa Carolina</v>
      </c>
      <c r="E245" s="40"/>
      <c r="F245" s="42">
        <f>IFERROR(__xludf.DUMMYFUNCTION("""COMPUTED_VALUE"""),3.2E8)</f>
        <v>320000000</v>
      </c>
      <c r="G245" s="40" t="str">
        <f>IFERROR(__xludf.DUMMYFUNCTION("""COMPUTED_VALUE"""),"$300'000.000 a $400'000.000")</f>
        <v>$300'000.000 a $400'000.000</v>
      </c>
      <c r="H245" s="40"/>
      <c r="I245" s="40"/>
      <c r="J245" s="40" t="str">
        <f>IFERROR(__xludf.DUMMYFUNCTION("""COMPUTED_VALUE"""),"Norte")</f>
        <v>Norte</v>
      </c>
      <c r="K245" s="39" t="str">
        <f>IFERROR(__xludf.DUMMYFUNCTION("""COMPUTED_VALUE"""),"2")</f>
        <v>2</v>
      </c>
      <c r="L245" s="40">
        <f>IFERROR(__xludf.DUMMYFUNCTION("""COMPUTED_VALUE"""),4.0)</f>
        <v>4</v>
      </c>
      <c r="M245" s="40"/>
      <c r="N245" s="40">
        <f>IFERROR(__xludf.DUMMYFUNCTION("""COMPUTED_VALUE"""),2.0)</f>
        <v>2</v>
      </c>
      <c r="O245" s="40">
        <f>IFERROR(__xludf.DUMMYFUNCTION("""COMPUTED_VALUE"""),1.0)</f>
        <v>1</v>
      </c>
      <c r="P245" s="40">
        <f>IFERROR(__xludf.DUMMYFUNCTION("""COMPUTED_VALUE"""),2.0)</f>
        <v>2</v>
      </c>
      <c r="Q245" s="48"/>
      <c r="R245" s="48">
        <f>IFERROR(__xludf.DUMMYFUNCTION("""COMPUTED_VALUE"""),87.75)</f>
        <v>87.75</v>
      </c>
      <c r="S245" s="39" t="str">
        <f>IFERROR(__xludf.DUMMYFUNCTION("""COMPUTED_VALUE"""),"Rentabilidad $1,200,000")</f>
        <v>Rentabilidad $1,200,000</v>
      </c>
      <c r="T245" s="40" t="str">
        <f>IFERROR(__xludf.DUMMYFUNCTION("""COMPUTED_VALUE"""),"Neiva")</f>
        <v>Neiva</v>
      </c>
      <c r="U245" s="39" t="str">
        <f>IFERROR(__xludf.DUMMYFUNCTION("""COMPUTED_VALUE"""),"3")</f>
        <v>3</v>
      </c>
      <c r="V245" s="40" t="str">
        <f>IFERROR(__xludf.DUMMYFUNCTION("""COMPUTED_VALUE"""),"Medianera")</f>
        <v>Medianera</v>
      </c>
      <c r="W245" s="46"/>
      <c r="X245" s="46">
        <f>IFERROR(__xludf.DUMMYFUNCTION("""COMPUTED_VALUE"""),4.0)</f>
        <v>4</v>
      </c>
      <c r="Y245" s="40" t="str">
        <f>IFERROR(__xludf.DUMMYFUNCTION("""COMPUTED_VALUE"""),"No tiene")</f>
        <v>No tiene</v>
      </c>
      <c r="Z245" s="42" t="str">
        <f>IFERROR(__xludf.DUMMYFUNCTION("""COMPUTED_VALUE"""),"No aplica")</f>
        <v>No aplica</v>
      </c>
      <c r="AA245" s="49" t="str">
        <f>IFERROR(__xludf.DUMMYFUNCTION("""COMPUTED_VALUE"""),"22 años")</f>
        <v>22 años</v>
      </c>
      <c r="AB245" s="105" t="str">
        <f>IFERROR(__xludf.DUMMYFUNCTION("""COMPUTED_VALUE"""),"https://photos.app.goo.gl/1g5619WrUderprit9")</f>
        <v>https://photos.app.goo.gl/1g5619WrUderprit9</v>
      </c>
      <c r="AC245" s="40"/>
      <c r="AD245" s="40"/>
      <c r="AE245" s="40"/>
      <c r="AF245" s="40" t="str">
        <f>IFERROR(__xludf.DUMMYFUNCTION("""COMPUTED_VALUE"""),"integral")</f>
        <v>integral</v>
      </c>
      <c r="AG245" s="40"/>
      <c r="AH245" s="40" t="str">
        <f>IFERROR(__xludf.DUMMYFUNCTION("""COMPUTED_VALUE"""),"Inventario")</f>
        <v>Inventario</v>
      </c>
      <c r="AI245" s="40"/>
      <c r="AJ245" s="40" t="str">
        <f>IFERROR(__xludf.DUMMYFUNCTION("""COMPUTED_VALUE"""),"ICDE - codg 361-$320-----F-Cod 6719-$320")</f>
        <v>ICDE - codg 361-$320-----F-Cod 6719-$320</v>
      </c>
      <c r="AK245" s="40"/>
      <c r="AL245" s="40" t="str">
        <f>IFERROR(__xludf.DUMMYFUNCTION("""COMPUTED_VALUE"""),"TIENE FOTOS")</f>
        <v>TIENE FOTOS</v>
      </c>
      <c r="AM245" s="40">
        <f>IFERROR(__xludf.DUMMYFUNCTION("""COMPUTED_VALUE"""),3.214533881E9)</f>
        <v>3214533881</v>
      </c>
      <c r="AN245" s="40">
        <f>IFERROR(__xludf.DUMMYFUNCTION("""COMPUTED_VALUE"""),0.0)</f>
        <v>0</v>
      </c>
      <c r="AO245" s="40"/>
      <c r="AP245" s="40" t="str">
        <f>IFERROR(__xludf.DUMMYFUNCTION("""COMPUTED_VALUE"""),"CALLE 56 No. 17 C - 24")</f>
        <v>CALLE 56 No. 17 C - 24</v>
      </c>
      <c r="AQ245" s="40"/>
      <c r="AR245" s="40"/>
      <c r="AS245" s="53">
        <f>IFERROR(__xludf.DUMMYFUNCTION("""COMPUTED_VALUE"""),1200000.0)</f>
        <v>1200000</v>
      </c>
      <c r="AT245" s="40">
        <f>IFERROR(__xludf.DUMMYFUNCTION("""COMPUTED_VALUE"""),0.0)</f>
        <v>0</v>
      </c>
      <c r="AU245" s="40">
        <f>IFERROR(__xludf.DUMMYFUNCTION("""COMPUTED_VALUE"""),0.0)</f>
        <v>0</v>
      </c>
      <c r="AV245" s="40">
        <f>IFERROR(__xludf.DUMMYFUNCTION("""COMPUTED_VALUE"""),0.0)</f>
        <v>0</v>
      </c>
      <c r="AW245" s="40" t="str">
        <f>IFERROR(__xludf.DUMMYFUNCTION("""COMPUTED_VALUE"""),"NO")</f>
        <v>NO</v>
      </c>
      <c r="AX245" s="40">
        <f>IFERROR(__xludf.DUMMYFUNCTION("""COMPUTED_VALUE"""),0.0)</f>
        <v>0</v>
      </c>
      <c r="AY245" s="40">
        <f>IFERROR(__xludf.DUMMYFUNCTION("""COMPUTED_VALUE"""),0.0)</f>
        <v>0</v>
      </c>
      <c r="AZ245" s="40" t="str">
        <f>IFERROR(__xludf.DUMMYFUNCTION("""COMPUTED_VALUE"""),"6,5")</f>
        <v>6,5</v>
      </c>
      <c r="BA245" s="40" t="str">
        <f>IFERROR(__xludf.DUMMYFUNCTION("""COMPUTED_VALUE"""),"X")</f>
        <v>X</v>
      </c>
      <c r="BB245" s="40" t="str">
        <f>IFERROR(__xludf.DUMMYFUNCTION("""COMPUTED_VALUE"""),"13,5")</f>
        <v>13,5</v>
      </c>
      <c r="BC245" s="53" t="str">
        <f>IFERROR(__xludf.DUMMYFUNCTION("""COMPUTED_VALUE"""),"19 - PRUEBA, 19 - PRUEBA v, 20 - SAMADHI RODRIGUEZ")</f>
        <v>19 - PRUEBA, 19 - PRUEBA v, 20 - SAMADHI RODRIGUEZ</v>
      </c>
      <c r="BD245" s="48"/>
      <c r="BE245" s="48"/>
      <c r="BF245" s="48" t="str">
        <f>IFERROR(__xludf.DUMMYFUNCTION("""COMPUTED_VALUE"""),"❌ Error: HTTP 404 para: https://photos.google.com/share/AF1QipORP5Tt9YzZoiUlG5ewQ3uRJlV0xSQMZZjEA8NjZ4QnuydAwoD7PZWUYEfZs5103g?key=eS0tOXpINkdmOUNnTHk3Vk10dTQ1WHh5TlBaYmN3")</f>
        <v>❌ Error: HTTP 404 para: https://photos.google.com/share/AF1QipORP5Tt9YzZoiUlG5ewQ3uRJlV0xSQMZZjEA8NjZ4QnuydAwoD7PZWUYEfZs5103g?key=eS0tOXpINkdmOUNnTHk3Vk10dTQ1WHh5TlBaYmN3</v>
      </c>
    </row>
    <row r="246">
      <c r="A246" s="39" t="str">
        <f>IFERROR(__xludf.DUMMYFUNCTION("""COMPUTED_VALUE"""),"225")</f>
        <v>225</v>
      </c>
      <c r="B246" s="40" t="str">
        <f>IFERROR(__xludf.DUMMYFUNCTION("""COMPUTED_VALUE"""),"Casa en barrio Sevilla")</f>
        <v>Casa en barrio Sevilla</v>
      </c>
      <c r="C246" s="40" t="str">
        <f>IFERROR(__xludf.DUMMYFUNCTION("""COMPUTED_VALUE"""),"Casa")</f>
        <v>Casa</v>
      </c>
      <c r="D246" s="40" t="str">
        <f>IFERROR(__xludf.DUMMYFUNCTION("""COMPUTED_VALUE"""),"Sevilla")</f>
        <v>Sevilla</v>
      </c>
      <c r="E246" s="42" t="str">
        <f>IFERROR(__xludf.DUMMYFUNCTION("""COMPUTED_VALUE""")," ")</f>
        <v> </v>
      </c>
      <c r="F246" s="42">
        <f>IFERROR(__xludf.DUMMYFUNCTION("""COMPUTED_VALUE"""),7.8E8)</f>
        <v>780000000</v>
      </c>
      <c r="G246" s="40" t="str">
        <f>IFERROR(__xludf.DUMMYFUNCTION("""COMPUTED_VALUE"""),"$500'000.000 a $1.000'000.000")</f>
        <v>$500'000.000 a $1.000'000.000</v>
      </c>
      <c r="H246" s="40"/>
      <c r="I246" s="40"/>
      <c r="J246" s="40" t="str">
        <f>IFERROR(__xludf.DUMMYFUNCTION("""COMPUTED_VALUE"""),"Centro")</f>
        <v>Centro</v>
      </c>
      <c r="K246" s="39" t="str">
        <f>IFERROR(__xludf.DUMMYFUNCTION("""COMPUTED_VALUE"""),"3")</f>
        <v>3</v>
      </c>
      <c r="L246" s="40">
        <f>IFERROR(__xludf.DUMMYFUNCTION("""COMPUTED_VALUE"""),4.0)</f>
        <v>4</v>
      </c>
      <c r="M246" s="40"/>
      <c r="N246" s="40">
        <f>IFERROR(__xludf.DUMMYFUNCTION("""COMPUTED_VALUE"""),3.0)</f>
        <v>3</v>
      </c>
      <c r="O246" s="40">
        <f>IFERROR(__xludf.DUMMYFUNCTION("""COMPUTED_VALUE"""),2.0)</f>
        <v>2</v>
      </c>
      <c r="P246" s="40">
        <f>IFERROR(__xludf.DUMMYFUNCTION("""COMPUTED_VALUE"""),2.0)</f>
        <v>2</v>
      </c>
      <c r="Q246" s="48">
        <f>IFERROR(__xludf.DUMMYFUNCTION("""COMPUTED_VALUE"""),410.0)</f>
        <v>410</v>
      </c>
      <c r="R246" s="48">
        <f>IFERROR(__xludf.DUMMYFUNCTION("""COMPUTED_VALUE"""),370.0)</f>
        <v>370</v>
      </c>
      <c r="S246" s="39" t="str">
        <f>IFERROR(__xludf.DUMMYFUNCTION("""COMPUTED_VALUE""")," ")</f>
        <v> </v>
      </c>
      <c r="T246" s="40" t="str">
        <f>IFERROR(__xludf.DUMMYFUNCTION("""COMPUTED_VALUE"""),"Neiva")</f>
        <v>Neiva</v>
      </c>
      <c r="U246" s="39" t="str">
        <f>IFERROR(__xludf.DUMMYFUNCTION("""COMPUTED_VALUE"""),"4")</f>
        <v>4</v>
      </c>
      <c r="V246" s="40" t="str">
        <f>IFERROR(__xludf.DUMMYFUNCTION("""COMPUTED_VALUE"""),"Esquinera")</f>
        <v>Esquinera</v>
      </c>
      <c r="W246" s="46"/>
      <c r="X246" s="46">
        <f>IFERROR(__xludf.DUMMYFUNCTION("""COMPUTED_VALUE"""),3.0)</f>
        <v>3</v>
      </c>
      <c r="Y246" s="40" t="str">
        <f>IFERROR(__xludf.DUMMYFUNCTION("""COMPUTED_VALUE"""),"No tiene")</f>
        <v>No tiene</v>
      </c>
      <c r="Z246" s="42" t="str">
        <f>IFERROR(__xludf.DUMMYFUNCTION("""COMPUTED_VALUE"""),"No aplica")</f>
        <v>No aplica</v>
      </c>
      <c r="AA246" s="49" t="str">
        <f>IFERROR(__xludf.DUMMYFUNCTION("""COMPUTED_VALUE"""),"No aplica")</f>
        <v>No aplica</v>
      </c>
      <c r="AB246" s="48"/>
      <c r="AC246" s="40"/>
      <c r="AD246" s="40"/>
      <c r="AE246" s="40"/>
      <c r="AF246" s="40" t="str">
        <f>IFERROR(__xludf.DUMMYFUNCTION("""COMPUTED_VALUE"""),"básica")</f>
        <v>básica</v>
      </c>
      <c r="AG246" s="40"/>
      <c r="AH246" s="40" t="str">
        <f>IFERROR(__xludf.DUMMYFUNCTION("""COMPUTED_VALUE"""),"Inventario")</f>
        <v>Inventario</v>
      </c>
      <c r="AI246" s="40"/>
      <c r="AJ246" s="40" t="str">
        <f>IFERROR(__xludf.DUMMYFUNCTION("""COMPUTED_VALUE"""),"ICDE / FELIX 850")</f>
        <v>ICDE / FELIX 850</v>
      </c>
      <c r="AK246" s="40"/>
      <c r="AL246" s="40" t="str">
        <f>IFERROR(__xludf.DUMMYFUNCTION("""COMPUTED_VALUE"""),"NO FOTOS-INTE-DESCRIP.")</f>
        <v>NO FOTOS-INTE-DESCRIP.</v>
      </c>
      <c r="AM246" s="40">
        <f>IFERROR(__xludf.DUMMYFUNCTION("""COMPUTED_VALUE"""),3.025387601E9)</f>
        <v>3025387601</v>
      </c>
      <c r="AN246" s="40">
        <f>IFERROR(__xludf.DUMMYFUNCTION("""COMPUTED_VALUE"""),0.0)</f>
        <v>0</v>
      </c>
      <c r="AO246" s="40" t="str">
        <f>IFERROR(__xludf.DUMMYFUNCTION("""COMPUTED_VALUE"""),"ROSEMBER - COMISIONISTA")</f>
        <v>ROSEMBER - COMISIONISTA</v>
      </c>
      <c r="AP246" s="40" t="str">
        <f>IFERROR(__xludf.DUMMYFUNCTION("""COMPUTED_VALUE"""),"CARRERA 5 A No. 21- ????")</f>
        <v>CARRERA 5 A No. 21- ????</v>
      </c>
      <c r="AQ246" s="40"/>
      <c r="AR246" s="40"/>
      <c r="AS246" s="53">
        <f>IFERROR(__xludf.DUMMYFUNCTION("""COMPUTED_VALUE"""),0.0)</f>
        <v>0</v>
      </c>
      <c r="AT246" s="40">
        <f>IFERROR(__xludf.DUMMYFUNCTION("""COMPUTED_VALUE"""),0.0)</f>
        <v>0</v>
      </c>
      <c r="AU246" s="40">
        <f>IFERROR(__xludf.DUMMYFUNCTION("""COMPUTED_VALUE"""),0.0)</f>
        <v>0</v>
      </c>
      <c r="AV246" s="40">
        <f>IFERROR(__xludf.DUMMYFUNCTION("""COMPUTED_VALUE"""),0.0)</f>
        <v>0</v>
      </c>
      <c r="AW246" s="40" t="str">
        <f>IFERROR(__xludf.DUMMYFUNCTION("""COMPUTED_VALUE"""),"NO")</f>
        <v>NO</v>
      </c>
      <c r="AX246" s="40">
        <f>IFERROR(__xludf.DUMMYFUNCTION("""COMPUTED_VALUE"""),0.0)</f>
        <v>0</v>
      </c>
      <c r="AY246" s="40">
        <f>IFERROR(__xludf.DUMMYFUNCTION("""COMPUTED_VALUE"""),0.0)</f>
        <v>0</v>
      </c>
      <c r="AZ246" s="40">
        <f>IFERROR(__xludf.DUMMYFUNCTION("""COMPUTED_VALUE"""),0.0)</f>
        <v>0</v>
      </c>
      <c r="BA246" s="40" t="str">
        <f>IFERROR(__xludf.DUMMYFUNCTION("""COMPUTED_VALUE"""),"X")</f>
        <v>X</v>
      </c>
      <c r="BB246" s="40">
        <f>IFERROR(__xludf.DUMMYFUNCTION("""COMPUTED_VALUE"""),0.0)</f>
        <v>0</v>
      </c>
      <c r="BC246" s="53" t="str">
        <f>IFERROR(__xludf.DUMMYFUNCTION("""COMPUTED_VALUE"""),"19 - PRUEBA, 19 - PRUEBA v")</f>
        <v>19 - PRUEBA, 19 - PRUEBA v</v>
      </c>
      <c r="BD246" s="48"/>
      <c r="BE246" s="48"/>
      <c r="BF246" s="48"/>
    </row>
    <row r="247">
      <c r="A247" s="39" t="str">
        <f>IFERROR(__xludf.DUMMYFUNCTION("""COMPUTED_VALUE"""),"092")</f>
        <v>092</v>
      </c>
      <c r="B247" s="40" t="str">
        <f>IFERROR(__xludf.DUMMYFUNCTION("""COMPUTED_VALUE"""),"Casa en barrio Quirinal")</f>
        <v>Casa en barrio Quirinal</v>
      </c>
      <c r="C247" s="40" t="str">
        <f>IFERROR(__xludf.DUMMYFUNCTION("""COMPUTED_VALUE"""),"Casa")</f>
        <v>Casa</v>
      </c>
      <c r="D247" s="40" t="str">
        <f>IFERROR(__xludf.DUMMYFUNCTION("""COMPUTED_VALUE"""),"Quirinal")</f>
        <v>Quirinal</v>
      </c>
      <c r="E247" s="42" t="str">
        <f>IFERROR(__xludf.DUMMYFUNCTION("""COMPUTED_VALUE""")," ")</f>
        <v> </v>
      </c>
      <c r="F247" s="42">
        <f>IFERROR(__xludf.DUMMYFUNCTION("""COMPUTED_VALUE"""),7.8E8)</f>
        <v>780000000</v>
      </c>
      <c r="G247" s="40" t="str">
        <f>IFERROR(__xludf.DUMMYFUNCTION("""COMPUTED_VALUE"""),"$500'000.000 a $1.000'000.000")</f>
        <v>$500'000.000 a $1.000'000.000</v>
      </c>
      <c r="H247" s="40"/>
      <c r="I247" s="40"/>
      <c r="J247" s="40" t="str">
        <f>IFERROR(__xludf.DUMMYFUNCTION("""COMPUTED_VALUE"""),"Centro")</f>
        <v>Centro</v>
      </c>
      <c r="K247" s="39" t="str">
        <f>IFERROR(__xludf.DUMMYFUNCTION("""COMPUTED_VALUE"""),"3")</f>
        <v>3</v>
      </c>
      <c r="L247" s="40">
        <f>IFERROR(__xludf.DUMMYFUNCTION("""COMPUTED_VALUE"""),5.0)</f>
        <v>5</v>
      </c>
      <c r="M247" s="40"/>
      <c r="N247" s="40">
        <f>IFERROR(__xludf.DUMMYFUNCTION("""COMPUTED_VALUE"""),3.0)</f>
        <v>3</v>
      </c>
      <c r="O247" s="40">
        <f>IFERROR(__xludf.DUMMYFUNCTION("""COMPUTED_VALUE"""),1.0)</f>
        <v>1</v>
      </c>
      <c r="P247" s="40">
        <f>IFERROR(__xludf.DUMMYFUNCTION("""COMPUTED_VALUE"""),2.0)</f>
        <v>2</v>
      </c>
      <c r="Q247" s="48">
        <f>IFERROR(__xludf.DUMMYFUNCTION("""COMPUTED_VALUE"""),350.0)</f>
        <v>350</v>
      </c>
      <c r="R247" s="48">
        <f>IFERROR(__xludf.DUMMYFUNCTION("""COMPUTED_VALUE"""),380.0)</f>
        <v>380</v>
      </c>
      <c r="S247" s="39" t="str">
        <f>IFERROR(__xludf.DUMMYFUNCTION("""COMPUTED_VALUE"""),"Rentabilidad $4,000,000")</f>
        <v>Rentabilidad $4,000,000</v>
      </c>
      <c r="T247" s="40" t="str">
        <f>IFERROR(__xludf.DUMMYFUNCTION("""COMPUTED_VALUE"""),"Neiva")</f>
        <v>Neiva</v>
      </c>
      <c r="U247" s="39" t="str">
        <f>IFERROR(__xludf.DUMMYFUNCTION("""COMPUTED_VALUE"""),"4")</f>
        <v>4</v>
      </c>
      <c r="V247" s="40" t="str">
        <f>IFERROR(__xludf.DUMMYFUNCTION("""COMPUTED_VALUE"""),"Medianera")</f>
        <v>Medianera</v>
      </c>
      <c r="W247" s="46"/>
      <c r="X247" s="46">
        <f>IFERROR(__xludf.DUMMYFUNCTION("""COMPUTED_VALUE"""),5.0)</f>
        <v>5</v>
      </c>
      <c r="Y247" s="40" t="str">
        <f>IFERROR(__xludf.DUMMYFUNCTION("""COMPUTED_VALUE"""),"No tiene")</f>
        <v>No tiene</v>
      </c>
      <c r="Z247" s="42" t="str">
        <f>IFERROR(__xludf.DUMMYFUNCTION("""COMPUTED_VALUE"""),"No aplica")</f>
        <v>No aplica</v>
      </c>
      <c r="AA247" s="49" t="str">
        <f>IFERROR(__xludf.DUMMYFUNCTION("""COMPUTED_VALUE"""),"16 años")</f>
        <v>16 años</v>
      </c>
      <c r="AB247" s="48"/>
      <c r="AC247" s="40"/>
      <c r="AD247" s="40"/>
      <c r="AE247" s="40"/>
      <c r="AF247" s="40" t="str">
        <f>IFERROR(__xludf.DUMMYFUNCTION("""COMPUTED_VALUE"""),"integral")</f>
        <v>integral</v>
      </c>
      <c r="AG247" s="40"/>
      <c r="AH247" s="40" t="str">
        <f>IFERROR(__xludf.DUMMYFUNCTION("""COMPUTED_VALUE"""),"Inventario")</f>
        <v>Inventario</v>
      </c>
      <c r="AI247" s="40"/>
      <c r="AJ247" s="40" t="str">
        <f>IFERROR(__xludf.DUMMYFUNCTION("""COMPUTED_VALUE"""),"ICDE cod 205 $780 / F Codg ")</f>
        <v>ICDE cod 205 $780 / F Codg </v>
      </c>
      <c r="AK247" s="40"/>
      <c r="AL247" s="40" t="str">
        <f>IFERROR(__xludf.DUMMYFUNCTION("""COMPUTED_VALUE"""),"NO FOTOS-INT.-DESCRIP")</f>
        <v>NO FOTOS-INT.-DESCRIP</v>
      </c>
      <c r="AM247" s="40" t="str">
        <f>IFERROR(__xludf.DUMMYFUNCTION("""COMPUTED_VALUE"""),"Prop.3219948880")</f>
        <v>Prop.3219948880</v>
      </c>
      <c r="AN247" s="40">
        <f>IFERROR(__xludf.DUMMYFUNCTION("""COMPUTED_VALUE"""),0.0)</f>
        <v>0</v>
      </c>
      <c r="AO247" s="40" t="str">
        <f>IFERROR(__xludf.DUMMYFUNCTION("""COMPUTED_VALUE"""),"DANIELA ALDANA")</f>
        <v>DANIELA ALDANA</v>
      </c>
      <c r="AP247" s="40" t="str">
        <f>IFERROR(__xludf.DUMMYFUNCTION("""COMPUTED_VALUE"""),"Calle 18 A NO. 5A-47")</f>
        <v>Calle 18 A NO. 5A-47</v>
      </c>
      <c r="AQ247" s="40"/>
      <c r="AR247" s="40"/>
      <c r="AS247" s="53">
        <f>IFERROR(__xludf.DUMMYFUNCTION("""COMPUTED_VALUE"""),4000000.0)</f>
        <v>4000000</v>
      </c>
      <c r="AT247" s="40">
        <f>IFERROR(__xludf.DUMMYFUNCTION("""COMPUTED_VALUE"""),0.0)</f>
        <v>0</v>
      </c>
      <c r="AU247" s="40">
        <f>IFERROR(__xludf.DUMMYFUNCTION("""COMPUTED_VALUE"""),0.0)</f>
        <v>0</v>
      </c>
      <c r="AV247" s="40">
        <f>IFERROR(__xludf.DUMMYFUNCTION("""COMPUTED_VALUE"""),0.0)</f>
        <v>0</v>
      </c>
      <c r="AW247" s="40" t="str">
        <f>IFERROR(__xludf.DUMMYFUNCTION("""COMPUTED_VALUE"""),"NO")</f>
        <v>NO</v>
      </c>
      <c r="AX247" s="40">
        <f>IFERROR(__xludf.DUMMYFUNCTION("""COMPUTED_VALUE"""),0.0)</f>
        <v>0</v>
      </c>
      <c r="AY247" s="40">
        <f>IFERROR(__xludf.DUMMYFUNCTION("""COMPUTED_VALUE"""),0.0)</f>
        <v>0</v>
      </c>
      <c r="AZ247" s="40">
        <f>IFERROR(__xludf.DUMMYFUNCTION("""COMPUTED_VALUE"""),0.0)</f>
        <v>0</v>
      </c>
      <c r="BA247" s="40" t="str">
        <f>IFERROR(__xludf.DUMMYFUNCTION("""COMPUTED_VALUE"""),"X")</f>
        <v>X</v>
      </c>
      <c r="BB247" s="40">
        <f>IFERROR(__xludf.DUMMYFUNCTION("""COMPUTED_VALUE"""),0.0)</f>
        <v>0</v>
      </c>
      <c r="BC247" s="53" t="str">
        <f>IFERROR(__xludf.DUMMYFUNCTION("""COMPUTED_VALUE"""),"12 - LEIDY YULIETH, 38 - MARIO MUNAR")</f>
        <v>12 - LEIDY YULIETH, 38 - MARIO MUNAR</v>
      </c>
      <c r="BD247" s="48"/>
      <c r="BE247" s="48"/>
      <c r="BF247" s="48"/>
    </row>
    <row r="248">
      <c r="A248" s="39" t="str">
        <f>IFERROR(__xludf.DUMMYFUNCTION("""COMPUTED_VALUE"""),"074")</f>
        <v>074</v>
      </c>
      <c r="B248" s="40" t="str">
        <f>IFERROR(__xludf.DUMMYFUNCTION("""COMPUTED_VALUE"""),"Casa con oficinas, dos bodegas y parqueadero en barrio Las Granjas")</f>
        <v>Casa con oficinas, dos bodegas y parqueadero en barrio Las Granjas</v>
      </c>
      <c r="C248" s="40" t="str">
        <f>IFERROR(__xludf.DUMMYFUNCTION("""COMPUTED_VALUE"""),"Casa rentable")</f>
        <v>Casa rentable</v>
      </c>
      <c r="D248" s="40" t="str">
        <f>IFERROR(__xludf.DUMMYFUNCTION("""COMPUTED_VALUE"""),"Las Granjas")</f>
        <v>Las Granjas</v>
      </c>
      <c r="E248" s="42" t="str">
        <f>IFERROR(__xludf.DUMMYFUNCTION("""COMPUTED_VALUE""")," ")</f>
        <v> </v>
      </c>
      <c r="F248" s="42">
        <f>IFERROR(__xludf.DUMMYFUNCTION("""COMPUTED_VALUE"""),3.2E9)</f>
        <v>3200000000</v>
      </c>
      <c r="G248" s="40" t="str">
        <f>IFERROR(__xludf.DUMMYFUNCTION("""COMPUTED_VALUE"""),"Más de $1.000'000.000")</f>
        <v>Más de $1.000'000.000</v>
      </c>
      <c r="H248" s="40"/>
      <c r="I248" s="40"/>
      <c r="J248" s="40" t="str">
        <f>IFERROR(__xludf.DUMMYFUNCTION("""COMPUTED_VALUE"""),"Norte")</f>
        <v>Norte</v>
      </c>
      <c r="K248" s="39" t="str">
        <f>IFERROR(__xludf.DUMMYFUNCTION("""COMPUTED_VALUE"""),"2")</f>
        <v>2</v>
      </c>
      <c r="L248" s="40">
        <f>IFERROR(__xludf.DUMMYFUNCTION("""COMPUTED_VALUE"""),2.0)</f>
        <v>2</v>
      </c>
      <c r="M248" s="40"/>
      <c r="N248" s="40">
        <f>IFERROR(__xludf.DUMMYFUNCTION("""COMPUTED_VALUE"""),2.0)</f>
        <v>2</v>
      </c>
      <c r="O248" s="40">
        <f>IFERROR(__xludf.DUMMYFUNCTION("""COMPUTED_VALUE"""),100.0)</f>
        <v>100</v>
      </c>
      <c r="P248" s="40">
        <f>IFERROR(__xludf.DUMMYFUNCTION("""COMPUTED_VALUE"""),1.0)</f>
        <v>1</v>
      </c>
      <c r="Q248" s="48">
        <f>IFERROR(__xludf.DUMMYFUNCTION("""COMPUTED_VALUE"""),2800.0)</f>
        <v>2800</v>
      </c>
      <c r="R248" s="48">
        <f>IFERROR(__xludf.DUMMYFUNCTION("""COMPUTED_VALUE"""),3120.0)</f>
        <v>3120</v>
      </c>
      <c r="S248" s="39" t="str">
        <f>IFERROR(__xludf.DUMMYFUNCTION("""COMPUTED_VALUE"""),"Rentabilidad $14,000,000")</f>
        <v>Rentabilidad $14,000,000</v>
      </c>
      <c r="T248" s="40" t="str">
        <f>IFERROR(__xludf.DUMMYFUNCTION("""COMPUTED_VALUE"""),"Neiva")</f>
        <v>Neiva</v>
      </c>
      <c r="U248" s="39" t="str">
        <f>IFERROR(__xludf.DUMMYFUNCTION("""COMPUTED_VALUE"""),"2")</f>
        <v>2</v>
      </c>
      <c r="V248" s="40" t="str">
        <f>IFERROR(__xludf.DUMMYFUNCTION("""COMPUTED_VALUE"""),"Medianera")</f>
        <v>Medianera</v>
      </c>
      <c r="W248" s="46"/>
      <c r="X248" s="46">
        <f>IFERROR(__xludf.DUMMYFUNCTION("""COMPUTED_VALUE"""),1.0)</f>
        <v>1</v>
      </c>
      <c r="Y248" s="53" t="str">
        <f>IFERROR(__xludf.DUMMYFUNCTION("""COMPUTED_VALUE"""),"No tiene")</f>
        <v>No tiene</v>
      </c>
      <c r="Z248" s="42" t="str">
        <f>IFERROR(__xludf.DUMMYFUNCTION("""COMPUTED_VALUE"""),"No aplica")</f>
        <v>No aplica</v>
      </c>
      <c r="AA248" s="49" t="str">
        <f>IFERROR(__xludf.DUMMYFUNCTION("""COMPUTED_VALUE"""),"19 años")</f>
        <v>19 años</v>
      </c>
      <c r="AB248" s="105" t="str">
        <f>IFERROR(__xludf.DUMMYFUNCTION("""COMPUTED_VALUE"""),"https://photos.app.goo.gl/jE14SB8eEprsjVei7")</f>
        <v>https://photos.app.goo.gl/jE14SB8eEprsjVei7</v>
      </c>
      <c r="AC248" s="40" t="str">
        <f>IFERROR(__xludf.DUMMYFUNCTION("""COMPUTED_VALUE"""),"Casa con acabados mixtos, piso en baldosa, teja en asbesto cemento, cerchas metálicas, cielo raso en machehembre, carpintería en madera y metálica, patio en cemento liso, cerramiento en bloque y ladrillos.")</f>
        <v>Casa con acabados mixtos, piso en baldosa, teja en asbesto cemento, cerchas metálicas, cielo raso en machehembre, carpintería en madera y metálica, patio en cemento liso, cerramiento en bloque y ladrillos.</v>
      </c>
      <c r="AD248" s="40" t="str">
        <f>IFERROR(__xludf.DUMMYFUNCTION("""COMPUTED_VALUE""")," Dimensión del lote 30.0 ml x 104.0 ml. Con parqueadero para 100 vehículos. Cerca de los centros comerciales San Pedro y San juna plaza. Escritura al día. No se permuta.")</f>
        <v> Dimensión del lote 30.0 ml x 104.0 ml. Con parqueadero para 100 vehículos. Cerca de los centros comerciales San Pedro y San juna plaza. Escritura al día. No se permuta.</v>
      </c>
      <c r="AE248" s="40"/>
      <c r="AF248" s="40" t="str">
        <f>IFERROR(__xludf.DUMMYFUNCTION("""COMPUTED_VALUE"""),"básica")</f>
        <v>básica</v>
      </c>
      <c r="AG248" s="40" t="str">
        <f>IFERROR(__xludf.DUMMYFUNCTION("""COMPUTED_VALUE"""),"SI")</f>
        <v>SI</v>
      </c>
      <c r="AH248" s="40" t="str">
        <f>IFERROR(__xludf.DUMMYFUNCTION("""COMPUTED_VALUE"""),"Inventario")</f>
        <v>Inventario</v>
      </c>
      <c r="AI248" s="40" t="str">
        <f>IFERROR(__xludf.DUMMYFUNCTION("""COMPUTED_VALUE"""),"Verbal")</f>
        <v>Verbal</v>
      </c>
      <c r="AJ248" s="40" t="str">
        <f>IFERROR(__xludf.DUMMYFUNCTION("""COMPUTED_VALUE"""),"ICDE cod.74 $2.800 / F Cod. 5337 $3.000")</f>
        <v>ICDE cod.74 $2.800 / F Cod. 5337 $3.000</v>
      </c>
      <c r="AK248" s="40" t="str">
        <f>IFERROR(__xludf.DUMMYFUNCTION("""COMPUTED_VALUE"""),"SIN CONTRATO")</f>
        <v>SIN CONTRATO</v>
      </c>
      <c r="AL248" s="40" t="str">
        <f>IFERROR(__xludf.DUMMYFUNCTION("""COMPUTED_VALUE"""),"TIENE FOTOS")</f>
        <v>TIENE FOTOS</v>
      </c>
      <c r="AM248" s="40">
        <f>IFERROR(__xludf.DUMMYFUNCTION("""COMPUTED_VALUE"""),3.15291185E9)</f>
        <v>3152911850</v>
      </c>
      <c r="AN248" s="40">
        <f>IFERROR(__xludf.DUMMYFUNCTION("""COMPUTED_VALUE"""),0.0)</f>
        <v>0</v>
      </c>
      <c r="AO248" s="40" t="str">
        <f>IFERROR(__xludf.DUMMYFUNCTION("""COMPUTED_VALUE"""),"GUILLERMO - BOGOTA - $1.150")</f>
        <v>GUILLERMO - BOGOTA - $1.150</v>
      </c>
      <c r="AP248" s="40" t="str">
        <f>IFERROR(__xludf.DUMMYFUNCTION("""COMPUTED_VALUE"""),"Carrera 6 - transito")</f>
        <v>Carrera 6 - transito</v>
      </c>
      <c r="AQ248" s="40">
        <f>IFERROR(__xludf.DUMMYFUNCTION("""COMPUTED_VALUE"""),2.9499493)</f>
        <v>2.9499493</v>
      </c>
      <c r="AR248" s="40">
        <f>IFERROR(__xludf.DUMMYFUNCTION("""COMPUTED_VALUE"""),-75.2918332)</f>
        <v>-75.2918332</v>
      </c>
      <c r="AS248" s="53">
        <f>IFERROR(__xludf.DUMMYFUNCTION("""COMPUTED_VALUE"""),1.4E7)</f>
        <v>14000000</v>
      </c>
      <c r="AT248" s="40">
        <f>IFERROR(__xludf.DUMMYFUNCTION("""COMPUTED_VALUE"""),0.0)</f>
        <v>0</v>
      </c>
      <c r="AU248" s="40">
        <f>IFERROR(__xludf.DUMMYFUNCTION("""COMPUTED_VALUE"""),0.0)</f>
        <v>0</v>
      </c>
      <c r="AV248" s="40">
        <f>IFERROR(__xludf.DUMMYFUNCTION("""COMPUTED_VALUE"""),0.0)</f>
        <v>0</v>
      </c>
      <c r="AW248" s="40" t="str">
        <f>IFERROR(__xludf.DUMMYFUNCTION("""COMPUTED_VALUE"""),"NO")</f>
        <v>NO</v>
      </c>
      <c r="AX248" s="40">
        <f>IFERROR(__xludf.DUMMYFUNCTION("""COMPUTED_VALUE"""),0.0)</f>
        <v>0</v>
      </c>
      <c r="AY248" s="40">
        <f>IFERROR(__xludf.DUMMYFUNCTION("""COMPUTED_VALUE"""),0.0)</f>
        <v>0</v>
      </c>
      <c r="AZ248" s="40">
        <f>IFERROR(__xludf.DUMMYFUNCTION("""COMPUTED_VALUE"""),30.0)</f>
        <v>30</v>
      </c>
      <c r="BA248" s="40" t="str">
        <f>IFERROR(__xludf.DUMMYFUNCTION("""COMPUTED_VALUE"""),"X")</f>
        <v>X</v>
      </c>
      <c r="BB248" s="40">
        <f>IFERROR(__xludf.DUMMYFUNCTION("""COMPUTED_VALUE"""),104.0)</f>
        <v>104</v>
      </c>
      <c r="BC248" s="53" t="str">
        <f>IFERROR(__xludf.DUMMYFUNCTION("""COMPUTED_VALUE"""),"12 - LEIDY YULIETH")</f>
        <v>12 - LEIDY YULIETH</v>
      </c>
      <c r="BD248" s="48"/>
      <c r="BE248" s="48"/>
      <c r="BF248" s="48" t="str">
        <f>IFERROR(__xludf.DUMMYFUNCTION("""COMPUTED_VALUE"""),"https://lh3.googleusercontent.com/pw/AP1GczNcEfgdd2jsLZyh3uuT3Kd72Y0tbjRvs5Ed8zigrExok6bJYSRtYB8T4Aamk0D4BiLgIi5SgMgxznrOiQA66s4wh7eNQVqfSTbQqw8g1tI_iW52ovI6=w1200|https://lh3.googleusercontent.com/pw/AP1GczPjFzHbL9uzMi7haRAU8dAjuMn7A_Si8n5LEZSSrcLXYrPm3x"&amp;"Q6g_cG-6BOxbww3cgxy3uSXzXzgvIVQLclYgN4I0a5JTb421aE37SFp6-n2SQqjj8P=w1200|https://lh3.googleusercontent.com/pw/AP1GczPjMDZKQw8rw42_8FGSvB3ooQ1YLRcJAcZOTIzmjKfvvjvUMak0AyWiTeU69ZgdbEjfl4FsSsh82rqNqewsakWJRgbxxQpp7t1f4DDzE1yVmDGlgD0G=w1200|https://lh3.google"&amp;"usercontent.com/pw/AP1GczN6N0V170AqOPvBOrLKjMAs3O1neS64fzEhsYtwv9Jptd10iLO6hkXdWQ2yRukicDbxmcK4EPwO7ZgjpmEnKzdM27yGFW3AwzPFs1Y_-sSh5IMjWlI_=w1200|https://lh3.googleusercontent.com/pw/AP1GczNJgsrX-OjUAP_6GRd_N_0NtI515srQE0puNDNYXnimCQNb8AY53BGGPeEVJjrncWko"&amp;"0EKdxGVXPWEKm-yIIdGCbWWHBF3v4zIhbXpaL24elqM-HODQ=w1200|https://lh3.googleusercontent.com/pw/AP1GczNwpkYz8yz3UeFKpL_aErwg4xShyOOY5RmyfFoeJX__IosWTo_vt9RPZZ-f-jYBBTXXx5FyXREMWNYItCX3mJ9So4AN1R_EJjpoEAAz_tWcfmTvq2CL=w1200|https://lh3.googleusercontent.com/pw"&amp;"/AP1GczN0yEqfykAAol8j65Hqn5MdA9-sMQwI_pxd2xpnamwYOOFIJKKUmnN0UVMijVJFV2JrXQ5P1qF5IXnVPRxSUXnQxCRqqtWuwYM9t4lw_OPzMPpYtxRe=w1200|https://lh3.googleusercontent.com/pw/AP1GczMrZut-VR9V88D_iR6tl1oQpk1QHOk6Dr6G_3lRcdjtiGFr51GPf15s-jLKAml5wElYQWvphRrD0w8fyzvd5y"&amp;"lBCgeN4T_GfzdpoRLXOltiBl_Y723V=w1200|https://lh3.googleusercontent.com/pw/AP1GczN0VHwsX9CiHO9AJQ7gSSvJZ2CR4NQyfr1Nh_zHW4vaK4YjtVJtnYJoSXFFqfz7_QA80erUwt8JDpnUN9Z_6LLdD_L3qMTqUWUMH3Py2TOYvR4yo2hz=w1200|https://lh3.googleusercontent.com/pw/AP1GczN4qg4Wp-ck5"&amp;"QHXXp5xYZytMCaBRr4PscbPc4CzXpI4CdhdRly0UIFY61sA5A9V_NOaU6pK1ZxJSYhkWG7VXUUX_rWMmuXumOe44_8BanuTf662TX55=w1200|https://lh3.googleusercontent.com/pw/AP1GczP3nj1QZT97lK31ckeWsYE-4ZCSIxAWuYPqotz2SQfRUYeJlmml27-dhgNvyPBVja9090as1ds3bfeeHxv2u47jsYjHP1Ge72xnW3Hf"&amp;"4Eh-B0sbyIyO=w1200|https://lh3.googleusercontent.com/pw/AP1GczO54omjWPQIDDo9lMEE6pMOzvac2FOH5hhTJiudSlxIVBZBDG32dhbMFbJ85SqeQDXCGLZlF0Qapsg70bsnQYzTAN0SKK4-gu8RoP8QCtu-RV1zMTCo=w1200|https://lh3.googleusercontent.com/pw/AP1GczP2YN5ngyT-2HscYhbeM6GJFZS7-uL"&amp;"ed8AQ2gZBTzJjfcYPaJhrF1Ry6lVpAZARom2unkC8zoXJi6smo9LzDGH0tU2-ql3tzG2eBmRp2c0tJ_XWcw3o=w1200")</f>
        <v>https://lh3.googleusercontent.com/pw/AP1GczNcEfgdd2jsLZyh3uuT3Kd72Y0tbjRvs5Ed8zigrExok6bJYSRtYB8T4Aamk0D4BiLgIi5SgMgxznrOiQA66s4wh7eNQVqfSTbQqw8g1tI_iW52ovI6=w1200|https://lh3.googleusercontent.com/pw/AP1GczPjFzHbL9uzMi7haRAU8dAjuMn7A_Si8n5LEZSSrcLXYrPm3xQ6g_cG-6BOxbww3cgxy3uSXzXzgvIVQLclYgN4I0a5JTb421aE37SFp6-n2SQqjj8P=w1200|https://lh3.googleusercontent.com/pw/AP1GczPjMDZKQw8rw42_8FGSvB3ooQ1YLRcJAcZOTIzmjKfvvjvUMak0AyWiTeU69ZgdbEjfl4FsSsh82rqNqewsakWJRgbxxQpp7t1f4DDzE1yVmDGlgD0G=w1200|https://lh3.googleusercontent.com/pw/AP1GczN6N0V170AqOPvBOrLKjMAs3O1neS64fzEhsYtwv9Jptd10iLO6hkXdWQ2yRukicDbxmcK4EPwO7ZgjpmEnKzdM27yGFW3AwzPFs1Y_-sSh5IMjWlI_=w1200|https://lh3.googleusercontent.com/pw/AP1GczNJgsrX-OjUAP_6GRd_N_0NtI515srQE0puNDNYXnimCQNb8AY53BGGPeEVJjrncWko0EKdxGVXPWEKm-yIIdGCbWWHBF3v4zIhbXpaL24elqM-HODQ=w1200|https://lh3.googleusercontent.com/pw/AP1GczNwpkYz8yz3UeFKpL_aErwg4xShyOOY5RmyfFoeJX__IosWTo_vt9RPZZ-f-jYBBTXXx5FyXREMWNYItCX3mJ9So4AN1R_EJjpoEAAz_tWcfmTvq2CL=w1200|https://lh3.googleusercontent.com/pw/AP1GczN0yEqfykAAol8j65Hqn5MdA9-sMQwI_pxd2xpnamwYOOFIJKKUmnN0UVMijVJFV2JrXQ5P1qF5IXnVPRxSUXnQxCRqqtWuwYM9t4lw_OPzMPpYtxRe=w1200|https://lh3.googleusercontent.com/pw/AP1GczMrZut-VR9V88D_iR6tl1oQpk1QHOk6Dr6G_3lRcdjtiGFr51GPf15s-jLKAml5wElYQWvphRrD0w8fyzvd5ylBCgeN4T_GfzdpoRLXOltiBl_Y723V=w1200|https://lh3.googleusercontent.com/pw/AP1GczN0VHwsX9CiHO9AJQ7gSSvJZ2CR4NQyfr1Nh_zHW4vaK4YjtVJtnYJoSXFFqfz7_QA80erUwt8JDpnUN9Z_6LLdD_L3qMTqUWUMH3Py2TOYvR4yo2hz=w1200|https://lh3.googleusercontent.com/pw/AP1GczN4qg4Wp-ck5QHXXp5xYZytMCaBRr4PscbPc4CzXpI4CdhdRly0UIFY61sA5A9V_NOaU6pK1ZxJSYhkWG7VXUUX_rWMmuXumOe44_8BanuTf662TX55=w1200|https://lh3.googleusercontent.com/pw/AP1GczP3nj1QZT97lK31ckeWsYE-4ZCSIxAWuYPqotz2SQfRUYeJlmml27-dhgNvyPBVja9090as1ds3bfeeHxv2u47jsYjHP1Ge72xnW3Hf4Eh-B0sbyIyO=w1200|https://lh3.googleusercontent.com/pw/AP1GczO54omjWPQIDDo9lMEE6pMOzvac2FOH5hhTJiudSlxIVBZBDG32dhbMFbJ85SqeQDXCGLZlF0Qapsg70bsnQYzTAN0SKK4-gu8RoP8QCtu-RV1zMTCo=w1200|https://lh3.googleusercontent.com/pw/AP1GczP2YN5ngyT-2HscYhbeM6GJFZS7-uLed8AQ2gZBTzJjfcYPaJhrF1Ry6lVpAZARom2unkC8zoXJi6smo9LzDGH0tU2-ql3tzG2eBmRp2c0tJ_XWcw3o=w1200</v>
      </c>
    </row>
    <row r="249">
      <c r="A249" s="39" t="str">
        <f>IFERROR(__xludf.DUMMYFUNCTION("""COMPUTED_VALUE"""),"206")</f>
        <v>206</v>
      </c>
      <c r="B249" s="40" t="str">
        <f>IFERROR(__xludf.DUMMYFUNCTION("""COMPUTED_VALUE"""),"Casa en barrio Quirinal")</f>
        <v>Casa en barrio Quirinal</v>
      </c>
      <c r="C249" s="40" t="str">
        <f>IFERROR(__xludf.DUMMYFUNCTION("""COMPUTED_VALUE"""),"Casa")</f>
        <v>Casa</v>
      </c>
      <c r="D249" s="40" t="str">
        <f>IFERROR(__xludf.DUMMYFUNCTION("""COMPUTED_VALUE"""),"Quirinal")</f>
        <v>Quirinal</v>
      </c>
      <c r="E249" s="42" t="str">
        <f>IFERROR(__xludf.DUMMYFUNCTION("""COMPUTED_VALUE""")," ")</f>
        <v> </v>
      </c>
      <c r="F249" s="42">
        <f>IFERROR(__xludf.DUMMYFUNCTION("""COMPUTED_VALUE"""),2.0E9)</f>
        <v>2000000000</v>
      </c>
      <c r="G249" s="40" t="str">
        <f>IFERROR(__xludf.DUMMYFUNCTION("""COMPUTED_VALUE"""),"Más de $1.000'000.000")</f>
        <v>Más de $1.000'000.000</v>
      </c>
      <c r="H249" s="40"/>
      <c r="I249" s="40"/>
      <c r="J249" s="40" t="str">
        <f>IFERROR(__xludf.DUMMYFUNCTION("""COMPUTED_VALUE"""),"Centro")</f>
        <v>Centro</v>
      </c>
      <c r="K249" s="39" t="str">
        <f>IFERROR(__xludf.DUMMYFUNCTION("""COMPUTED_VALUE"""),"3")</f>
        <v>3</v>
      </c>
      <c r="L249" s="40">
        <f>IFERROR(__xludf.DUMMYFUNCTION("""COMPUTED_VALUE"""),11.0)</f>
        <v>11</v>
      </c>
      <c r="M249" s="40"/>
      <c r="N249" s="40">
        <f>IFERROR(__xludf.DUMMYFUNCTION("""COMPUTED_VALUE"""),12.0)</f>
        <v>12</v>
      </c>
      <c r="O249" s="40">
        <f>IFERROR(__xludf.DUMMYFUNCTION("""COMPUTED_VALUE"""),3.0)</f>
        <v>3</v>
      </c>
      <c r="P249" s="40">
        <f>IFERROR(__xludf.DUMMYFUNCTION("""COMPUTED_VALUE"""),2.0)</f>
        <v>2</v>
      </c>
      <c r="Q249" s="48">
        <f>IFERROR(__xludf.DUMMYFUNCTION("""COMPUTED_VALUE"""),436.0)</f>
        <v>436</v>
      </c>
      <c r="R249" s="48">
        <f>IFERROR(__xludf.DUMMYFUNCTION("""COMPUTED_VALUE"""),436.0)</f>
        <v>436</v>
      </c>
      <c r="S249" s="39" t="str">
        <f>IFERROR(__xludf.DUMMYFUNCTION("""COMPUTED_VALUE"""),"Rentabilidad $25,000,000")</f>
        <v>Rentabilidad $25,000,000</v>
      </c>
      <c r="T249" s="40" t="str">
        <f>IFERROR(__xludf.DUMMYFUNCTION("""COMPUTED_VALUE"""),"Neiva")</f>
        <v>Neiva</v>
      </c>
      <c r="U249" s="39"/>
      <c r="V249" s="40" t="str">
        <f>IFERROR(__xludf.DUMMYFUNCTION("""COMPUTED_VALUE"""),"Esquinera")</f>
        <v>Esquinera</v>
      </c>
      <c r="W249" s="46"/>
      <c r="X249" s="46">
        <f>IFERROR(__xludf.DUMMYFUNCTION("""COMPUTED_VALUE"""),10.0)</f>
        <v>10</v>
      </c>
      <c r="Y249" s="40" t="str">
        <f>IFERROR(__xludf.DUMMYFUNCTION("""COMPUTED_VALUE"""),"No tiene")</f>
        <v>No tiene</v>
      </c>
      <c r="Z249" s="42" t="str">
        <f>IFERROR(__xludf.DUMMYFUNCTION("""COMPUTED_VALUE"""),"No aplica")</f>
        <v>No aplica</v>
      </c>
      <c r="AA249" s="49" t="str">
        <f>IFERROR(__xludf.DUMMYFUNCTION("""COMPUTED_VALUE"""),"7 años")</f>
        <v>7 años</v>
      </c>
      <c r="AB249" s="105" t="str">
        <f>IFERROR(__xludf.DUMMYFUNCTION("""COMPUTED_VALUE"""),"https://photos.app.goo.gl/S8CDXGirYYSKy6Lm8")</f>
        <v>https://photos.app.goo.gl/S8CDXGirYYSKy6Lm8</v>
      </c>
      <c r="AC249" s="40"/>
      <c r="AD249" s="40"/>
      <c r="AE249" s="40"/>
      <c r="AF249" s="40" t="str">
        <f>IFERROR(__xludf.DUMMYFUNCTION("""COMPUTED_VALUE"""),"semi-integral")</f>
        <v>semi-integral</v>
      </c>
      <c r="AG249" s="40"/>
      <c r="AH249" s="40" t="str">
        <f>IFERROR(__xludf.DUMMYFUNCTION("""COMPUTED_VALUE"""),"Inventario")</f>
        <v>Inventario</v>
      </c>
      <c r="AI249" s="40"/>
      <c r="AJ249" s="40" t="str">
        <f>IFERROR(__xludf.DUMMYFUNCTION("""COMPUTED_VALUE"""),"ICDE---C&amp;C-Codg 913-$2.000")</f>
        <v>ICDE---C&amp;C-Codg 913-$2.000</v>
      </c>
      <c r="AK249" s="40"/>
      <c r="AL249" s="40" t="str">
        <f>IFERROR(__xludf.DUMMYFUNCTION("""COMPUTED_VALUE"""),"TIENE FOTOS")</f>
        <v>TIENE FOTOS</v>
      </c>
      <c r="AM249" s="40">
        <f>IFERROR(__xludf.DUMMYFUNCTION("""COMPUTED_VALUE"""),3.114527846E9)</f>
        <v>3114527846</v>
      </c>
      <c r="AN249" s="40">
        <f>IFERROR(__xludf.DUMMYFUNCTION("""COMPUTED_VALUE"""),0.0)</f>
        <v>0</v>
      </c>
      <c r="AO249" s="40" t="str">
        <f>IFERROR(__xludf.DUMMYFUNCTION("""COMPUTED_VALUE"""),"JAIME")</f>
        <v>JAIME</v>
      </c>
      <c r="AP249" s="40" t="str">
        <f>IFERROR(__xludf.DUMMYFUNCTION("""COMPUTED_VALUE"""),"Carrera 6 NO. 19-29")</f>
        <v>Carrera 6 NO. 19-29</v>
      </c>
      <c r="AQ249" s="40"/>
      <c r="AR249" s="40"/>
      <c r="AS249" s="53">
        <f>IFERROR(__xludf.DUMMYFUNCTION("""COMPUTED_VALUE"""),2.5E7)</f>
        <v>25000000</v>
      </c>
      <c r="AT249" s="40">
        <f>IFERROR(__xludf.DUMMYFUNCTION("""COMPUTED_VALUE"""),0.0)</f>
        <v>0</v>
      </c>
      <c r="AU249" s="40">
        <f>IFERROR(__xludf.DUMMYFUNCTION("""COMPUTED_VALUE"""),0.0)</f>
        <v>0</v>
      </c>
      <c r="AV249" s="40">
        <f>IFERROR(__xludf.DUMMYFUNCTION("""COMPUTED_VALUE"""),0.0)</f>
        <v>0</v>
      </c>
      <c r="AW249" s="40" t="str">
        <f>IFERROR(__xludf.DUMMYFUNCTION("""COMPUTED_VALUE"""),"NO")</f>
        <v>NO</v>
      </c>
      <c r="AX249" s="40">
        <f>IFERROR(__xludf.DUMMYFUNCTION("""COMPUTED_VALUE"""),0.0)</f>
        <v>0</v>
      </c>
      <c r="AY249" s="40">
        <f>IFERROR(__xludf.DUMMYFUNCTION("""COMPUTED_VALUE"""),0.0)</f>
        <v>0</v>
      </c>
      <c r="AZ249" s="40">
        <f>IFERROR(__xludf.DUMMYFUNCTION("""COMPUTED_VALUE"""),0.0)</f>
        <v>0</v>
      </c>
      <c r="BA249" s="40" t="str">
        <f>IFERROR(__xludf.DUMMYFUNCTION("""COMPUTED_VALUE"""),"X")</f>
        <v>X</v>
      </c>
      <c r="BB249" s="40">
        <f>IFERROR(__xludf.DUMMYFUNCTION("""COMPUTED_VALUE"""),0.0)</f>
        <v>0</v>
      </c>
      <c r="BC249" s="53" t="str">
        <f>IFERROR(__xludf.DUMMYFUNCTION("""COMPUTED_VALUE"""),"29 - FELIPE PERDOMO, 35 - LUIS ANGEL VARGAS")</f>
        <v>29 - FELIPE PERDOMO, 35 - LUIS ANGEL VARGAS</v>
      </c>
      <c r="BD249" s="40"/>
      <c r="BE249" s="48"/>
      <c r="BF249" s="48" t="str">
        <f>IFERROR(__xludf.DUMMYFUNCTION("""COMPUTED_VALUE"""),"https://lh3.googleusercontent.com/pw/AP1GczP2PNgtIUby2F-QO6yBqHEm2kDLL4nuWNxdu_3YS91me0U_YnROtGaoFJk56DSE_VR0bJ3a-9o2dsN_47b3ocU_0sIuKhmj231Ui0k_xs1ioMyTEwyQ=w1200|https://lh3.googleusercontent.com/pw/AP1GczMZggX6d_AA6h8-CIN--3RzFdfWmMxDvEuP_8fTR_aCXrsDJi"&amp;"Tnv0arGu13OeU6cMkZ3aBPFVodPJRGTHtGZ_muBTpXEP-YWnWQiEwCEuB3KDIOD1s9=w1200|https://lh3.googleusercontent.com/pw/AP1GczNRZ0p4XlPgLzEP5vkEqp4W7odUJFaRIV2BAP9G5B2eg9NC-bVLlFFrRir45A57NPgvtKEX79-bDFDhRKM0UCvzczhF4QlaUFK6TkgJfJmjWRZfooCv=w1200|https://lh3.google"&amp;"usercontent.com/pw/AP1GczNB8lqjJTLJckOLdKqMyD97Gs76CZkbHcHsz0LS0J5-iNwb5r1zMV1UtutbtRzmET87W-NOWfl8rY4NTKJEQIKB4YBURMbne9kuuVskgW2wakr5Yc8n=w1200|https://lh3.googleusercontent.com/pw/AP1GczOZ9kZ4tBYKzBu6DznIK8PwfgeKF0N8UzqhWLwRboMBISVOKs84AIid0KY44MHrExy_"&amp;"Wk_tzo8k6qdInP7KG6AWA8xSv63FUTl24YL8Jgv6UwMMmrv2=w1200|https://lh3.googleusercontent.com/pw/AP1GczNR891MxVp0nDWrWW0OtxHndW2cKmnF-6Gavs0TiW_YMTYxg5D9L5zStuUxSAHz_m09poWqXdmHnq1iHzP1wnFYMTTDZt1huGxqNi2a-ernbLGVZfzt=w1200|https://lh3.googleusercontent.com/pw"&amp;"/AP1GczOZHMdDx4lgjr4zu9GPsiHaMwCgBPb-htFC6upP_uzNdryuJZ5jG4hsntDBqyYVgBeifRxMfJgnBWmby3f5Ox3tBwCQpGxPjCb_X3W2XBYoFp37Wuli=w1200|https://lh3.googleusercontent.com/pw/AP1GczMrNHHc1PGqNnXDIDjCo2ExNoREfSOk94YK4JMybrK4JuUB6v1egd36qoTkLBju2u55RJ-kMLvsP0GFw9sHfj"&amp;"XMr7K-QiLZy8sDl-pjM3FiHZBB7YWU=w1200|https://lh3.googleusercontent.com/pw/AP1GczOZpQRuXPJ2n7hUG59Gz81v2rchvSS_NwaN_b3Yt6-pvsU_ZinbCDvZhFwDjGSQjle-l4mE3fuk9f_FpUQFnFp4aH1CTFAITnWbSXwAgE-xixEmtna_=w1200|https://lh3.googleusercontent.com/pw/AP1GczP37Y-a1AAqO"&amp;"CJVdHmyxqCJwsnKka3iJobhq3TPLI58pvgTGNaJ2yFmfDItzQptRYze6A5h_WAU3uZ-DKjrsxMqCauT4KlVG9lapc66ij0SLzp7BkOI=w1200|https://lh3.googleusercontent.com/pw/AP1GczNWRGNjpX-vNiX_-b2mroH-nD18o3_6D9OR3T3OElecaRoqZIkNryvtULLq8xxaMxUl559edg2aYTpVml4Dpx8Q2BDUoVSFL83TOAzF"&amp;"PKCG1BvClf5b=w1200|https://lh3.googleusercontent.com/pw/AP1GczNVOYHnyZefOyW-A4H4AJ3QnfoE8nRxqrpdkPK3zqnBJ0GwZ8FcEWksonB1GyatvlT9GSJwOBS7ssvvMH6OnBoGkw1bslm9YUNxUO3z7XeOP9_967Zi=w1200|https://lh3.googleusercontent.com/pw/AP1GczOjkmnEnUIeKxdF_zNv5xyLWHQr57R"&amp;"Xn9UioV06MMbvGsqjCFOsQvWZXagH81SMoKDhevJC2B3nZp5jVlx4L9enyHT4S25VhvyndK3iGzf5GreKT2U7=w1200|https://lh3.googleusercontent.com/pw/AP1GczPxleb3F88bvSOlKLPfYwhX49TCtBG6TdqgLtL9hxnycqkkgokiFiY_mwGUi6n9dzGhvFeiTXGjhMAzNaUy6gy5FoSHFx1Do3iw0mSzVJ22sW0OYkD6=w1200"&amp;"|https://lh3.googleusercontent.com/pw/AP1GczOZSsvKpUCPEenT6y8eLffWSLYjxTuvgcgcV2lZ59y9Q72EIfJt2-ReFvcEbPapx8-nm_-Z6Zz8RdEQ1T39JayPO9YAlMh-IilM9kcrwKUcKM6-4nP9=w1200")</f>
        <v>https://lh3.googleusercontent.com/pw/AP1GczP2PNgtIUby2F-QO6yBqHEm2kDLL4nuWNxdu_3YS91me0U_YnROtGaoFJk56DSE_VR0bJ3a-9o2dsN_47b3ocU_0sIuKhmj231Ui0k_xs1ioMyTEwyQ=w1200|https://lh3.googleusercontent.com/pw/AP1GczMZggX6d_AA6h8-CIN--3RzFdfWmMxDvEuP_8fTR_aCXrsDJiTnv0arGu13OeU6cMkZ3aBPFVodPJRGTHtGZ_muBTpXEP-YWnWQiEwCEuB3KDIOD1s9=w1200|https://lh3.googleusercontent.com/pw/AP1GczNRZ0p4XlPgLzEP5vkEqp4W7odUJFaRIV2BAP9G5B2eg9NC-bVLlFFrRir45A57NPgvtKEX79-bDFDhRKM0UCvzczhF4QlaUFK6TkgJfJmjWRZfooCv=w1200|https://lh3.googleusercontent.com/pw/AP1GczNB8lqjJTLJckOLdKqMyD97Gs76CZkbHcHsz0LS0J5-iNwb5r1zMV1UtutbtRzmET87W-NOWfl8rY4NTKJEQIKB4YBURMbne9kuuVskgW2wakr5Yc8n=w1200|https://lh3.googleusercontent.com/pw/AP1GczOZ9kZ4tBYKzBu6DznIK8PwfgeKF0N8UzqhWLwRboMBISVOKs84AIid0KY44MHrExy_Wk_tzo8k6qdInP7KG6AWA8xSv63FUTl24YL8Jgv6UwMMmrv2=w1200|https://lh3.googleusercontent.com/pw/AP1GczNR891MxVp0nDWrWW0OtxHndW2cKmnF-6Gavs0TiW_YMTYxg5D9L5zStuUxSAHz_m09poWqXdmHnq1iHzP1wnFYMTTDZt1huGxqNi2a-ernbLGVZfzt=w1200|https://lh3.googleusercontent.com/pw/AP1GczOZHMdDx4lgjr4zu9GPsiHaMwCgBPb-htFC6upP_uzNdryuJZ5jG4hsntDBqyYVgBeifRxMfJgnBWmby3f5Ox3tBwCQpGxPjCb_X3W2XBYoFp37Wuli=w1200|https://lh3.googleusercontent.com/pw/AP1GczMrNHHc1PGqNnXDIDjCo2ExNoREfSOk94YK4JMybrK4JuUB6v1egd36qoTkLBju2u55RJ-kMLvsP0GFw9sHfjXMr7K-QiLZy8sDl-pjM3FiHZBB7YWU=w1200|https://lh3.googleusercontent.com/pw/AP1GczOZpQRuXPJ2n7hUG59Gz81v2rchvSS_NwaN_b3Yt6-pvsU_ZinbCDvZhFwDjGSQjle-l4mE3fuk9f_FpUQFnFp4aH1CTFAITnWbSXwAgE-xixEmtna_=w1200|https://lh3.googleusercontent.com/pw/AP1GczP37Y-a1AAqOCJVdHmyxqCJwsnKka3iJobhq3TPLI58pvgTGNaJ2yFmfDItzQptRYze6A5h_WAU3uZ-DKjrsxMqCauT4KlVG9lapc66ij0SLzp7BkOI=w1200|https://lh3.googleusercontent.com/pw/AP1GczNWRGNjpX-vNiX_-b2mroH-nD18o3_6D9OR3T3OElecaRoqZIkNryvtULLq8xxaMxUl559edg2aYTpVml4Dpx8Q2BDUoVSFL83TOAzFPKCG1BvClf5b=w1200|https://lh3.googleusercontent.com/pw/AP1GczNVOYHnyZefOyW-A4H4AJ3QnfoE8nRxqrpdkPK3zqnBJ0GwZ8FcEWksonB1GyatvlT9GSJwOBS7ssvvMH6OnBoGkw1bslm9YUNxUO3z7XeOP9_967Zi=w1200|https://lh3.googleusercontent.com/pw/AP1GczOjkmnEnUIeKxdF_zNv5xyLWHQr57RXn9UioV06MMbvGsqjCFOsQvWZXagH81SMoKDhevJC2B3nZp5jVlx4L9enyHT4S25VhvyndK3iGzf5GreKT2U7=w1200|https://lh3.googleusercontent.com/pw/AP1GczPxleb3F88bvSOlKLPfYwhX49TCtBG6TdqgLtL9hxnycqkkgokiFiY_mwGUi6n9dzGhvFeiTXGjhMAzNaUy6gy5FoSHFx1Do3iw0mSzVJ22sW0OYkD6=w1200|https://lh3.googleusercontent.com/pw/AP1GczOZSsvKpUCPEenT6y8eLffWSLYjxTuvgcgcV2lZ59y9Q72EIfJt2-ReFvcEbPapx8-nm_-Z6Zz8RdEQ1T39JayPO9YAlMh-IilM9kcrwKUcKM6-4nP9=w1200</v>
      </c>
    </row>
    <row r="250">
      <c r="A250" s="39" t="str">
        <f>IFERROR(__xludf.DUMMYFUNCTION("""COMPUTED_VALUE"""),"6052")</f>
        <v>6052</v>
      </c>
      <c r="B250" s="40" t="str">
        <f>IFERROR(__xludf.DUMMYFUNCTION("""COMPUTED_VALUE"""),"Casa en barrio Quirinal")</f>
        <v>Casa en barrio Quirinal</v>
      </c>
      <c r="C250" s="40" t="str">
        <f>IFERROR(__xludf.DUMMYFUNCTION("""COMPUTED_VALUE"""),"Casa")</f>
        <v>Casa</v>
      </c>
      <c r="D250" s="40" t="str">
        <f>IFERROR(__xludf.DUMMYFUNCTION("""COMPUTED_VALUE"""),"Quirinal")</f>
        <v>Quirinal</v>
      </c>
      <c r="E250" s="40"/>
      <c r="F250" s="42">
        <f>IFERROR(__xludf.DUMMYFUNCTION("""COMPUTED_VALUE"""),6.5E8)</f>
        <v>650000000</v>
      </c>
      <c r="G250" s="40" t="str">
        <f>IFERROR(__xludf.DUMMYFUNCTION("""COMPUTED_VALUE"""),"$500'000.000 a $1.000'000.000")</f>
        <v>$500'000.000 a $1.000'000.000</v>
      </c>
      <c r="H250" s="40"/>
      <c r="I250" s="40"/>
      <c r="J250" s="40" t="str">
        <f>IFERROR(__xludf.DUMMYFUNCTION("""COMPUTED_VALUE"""),"Centro")</f>
        <v>Centro</v>
      </c>
      <c r="K250" s="39" t="str">
        <f>IFERROR(__xludf.DUMMYFUNCTION("""COMPUTED_VALUE"""),"3")</f>
        <v>3</v>
      </c>
      <c r="L250" s="40">
        <f>IFERROR(__xludf.DUMMYFUNCTION("""COMPUTED_VALUE"""),5.0)</f>
        <v>5</v>
      </c>
      <c r="M250" s="40"/>
      <c r="N250" s="40">
        <f>IFERROR(__xludf.DUMMYFUNCTION("""COMPUTED_VALUE"""),4.0)</f>
        <v>4</v>
      </c>
      <c r="O250" s="40">
        <f>IFERROR(__xludf.DUMMYFUNCTION("""COMPUTED_VALUE"""),0.0)</f>
        <v>0</v>
      </c>
      <c r="P250" s="40">
        <f>IFERROR(__xludf.DUMMYFUNCTION("""COMPUTED_VALUE"""),2.0)</f>
        <v>2</v>
      </c>
      <c r="Q250" s="48">
        <f>IFERROR(__xludf.DUMMYFUNCTION("""COMPUTED_VALUE"""),221.0)</f>
        <v>221</v>
      </c>
      <c r="R250" s="48">
        <f>IFERROR(__xludf.DUMMYFUNCTION("""COMPUTED_VALUE"""),120.0)</f>
        <v>120</v>
      </c>
      <c r="S250" s="39" t="str">
        <f>IFERROR(__xludf.DUMMYFUNCTION("""COMPUTED_VALUE"""),"Rentabilidad $4,000,000")</f>
        <v>Rentabilidad $4,000,000</v>
      </c>
      <c r="T250" s="40" t="str">
        <f>IFERROR(__xludf.DUMMYFUNCTION("""COMPUTED_VALUE"""),"Neiva")</f>
        <v>Neiva</v>
      </c>
      <c r="U250" s="39" t="str">
        <f>IFERROR(__xludf.DUMMYFUNCTION("""COMPUTED_VALUE"""),"5")</f>
        <v>5</v>
      </c>
      <c r="V250" s="40" t="str">
        <f>IFERROR(__xludf.DUMMYFUNCTION("""COMPUTED_VALUE"""),"Medianera")</f>
        <v>Medianera</v>
      </c>
      <c r="W250" s="46"/>
      <c r="X250" s="46">
        <f>IFERROR(__xludf.DUMMYFUNCTION("""COMPUTED_VALUE"""),3.0)</f>
        <v>3</v>
      </c>
      <c r="Y250" s="40" t="str">
        <f>IFERROR(__xludf.DUMMYFUNCTION("""COMPUTED_VALUE"""),"No tiene")</f>
        <v>No tiene</v>
      </c>
      <c r="Z250" s="42" t="str">
        <f>IFERROR(__xludf.DUMMYFUNCTION("""COMPUTED_VALUE"""),"No aplica")</f>
        <v>No aplica</v>
      </c>
      <c r="AA250" s="49" t="str">
        <f>IFERROR(__xludf.DUMMYFUNCTION("""COMPUTED_VALUE"""),"14 años")</f>
        <v>14 años</v>
      </c>
      <c r="AB250" s="40"/>
      <c r="AC250" s="40"/>
      <c r="AD250" s="40"/>
      <c r="AE250" s="40"/>
      <c r="AF250" s="40" t="str">
        <f>IFERROR(__xludf.DUMMYFUNCTION("""COMPUTED_VALUE"""),"semi-integral")</f>
        <v>semi-integral</v>
      </c>
      <c r="AG250" s="40"/>
      <c r="AH250" s="40" t="str">
        <f>IFERROR(__xludf.DUMMYFUNCTION("""COMPUTED_VALUE"""),"Inventario")</f>
        <v>Inventario</v>
      </c>
      <c r="AI250" s="40"/>
      <c r="AJ250" s="40" t="str">
        <f>IFERROR(__xludf.DUMMYFUNCTION("""COMPUTED_VALUE"""),"ICDE-F")</f>
        <v>ICDE-F</v>
      </c>
      <c r="AK250" s="40"/>
      <c r="AL250" s="40" t="str">
        <f>IFERROR(__xludf.DUMMYFUNCTION("""COMPUTED_VALUE"""),"TIENE FOTOS")</f>
        <v>TIENE FOTOS</v>
      </c>
      <c r="AM250" s="40">
        <f>IFERROR(__xludf.DUMMYFUNCTION("""COMPUTED_VALUE"""),3.156485666E9)</f>
        <v>3156485666</v>
      </c>
      <c r="AN250" s="40">
        <f>IFERROR(__xludf.DUMMYFUNCTION("""COMPUTED_VALUE"""),0.0)</f>
        <v>0</v>
      </c>
      <c r="AO250" s="40"/>
      <c r="AP250" s="40" t="str">
        <f>IFERROR(__xludf.DUMMYFUNCTION("""COMPUTED_VALUE"""),"Calle 18 A NO. 7A - 21")</f>
        <v>Calle 18 A NO. 7A - 21</v>
      </c>
      <c r="AQ250" s="40"/>
      <c r="AR250" s="40"/>
      <c r="AS250" s="53">
        <f>IFERROR(__xludf.DUMMYFUNCTION("""COMPUTED_VALUE"""),4000000.0)</f>
        <v>4000000</v>
      </c>
      <c r="AT250" s="40">
        <f>IFERROR(__xludf.DUMMYFUNCTION("""COMPUTED_VALUE"""),0.0)</f>
        <v>0</v>
      </c>
      <c r="AU250" s="40">
        <f>IFERROR(__xludf.DUMMYFUNCTION("""COMPUTED_VALUE"""),0.0)</f>
        <v>0</v>
      </c>
      <c r="AV250" s="40">
        <f>IFERROR(__xludf.DUMMYFUNCTION("""COMPUTED_VALUE"""),0.0)</f>
        <v>0</v>
      </c>
      <c r="AW250" s="40" t="str">
        <f>IFERROR(__xludf.DUMMYFUNCTION("""COMPUTED_VALUE"""),"NO")</f>
        <v>NO</v>
      </c>
      <c r="AX250" s="40">
        <f>IFERROR(__xludf.DUMMYFUNCTION("""COMPUTED_VALUE"""),0.0)</f>
        <v>0</v>
      </c>
      <c r="AY250" s="40">
        <f>IFERROR(__xludf.DUMMYFUNCTION("""COMPUTED_VALUE"""),0.0)</f>
        <v>0</v>
      </c>
      <c r="AZ250" s="40">
        <f>IFERROR(__xludf.DUMMYFUNCTION("""COMPUTED_VALUE"""),8.0)</f>
        <v>8</v>
      </c>
      <c r="BA250" s="40" t="str">
        <f>IFERROR(__xludf.DUMMYFUNCTION("""COMPUTED_VALUE"""),"X")</f>
        <v>X</v>
      </c>
      <c r="BB250" s="40">
        <f>IFERROR(__xludf.DUMMYFUNCTION("""COMPUTED_VALUE"""),15.0)</f>
        <v>15</v>
      </c>
      <c r="BC250" s="53"/>
      <c r="BD250" s="48"/>
      <c r="BE250" s="48"/>
      <c r="BF250" s="48"/>
    </row>
    <row r="251">
      <c r="A251" s="39" t="str">
        <f>IFERROR(__xludf.DUMMYFUNCTION("""COMPUTED_VALUE"""),"412")</f>
        <v>412</v>
      </c>
      <c r="B251" s="40" t="str">
        <f>IFERROR(__xludf.DUMMYFUNCTION("""COMPUTED_VALUE"""),"Casa en barrio Los Cámbulos II")</f>
        <v>Casa en barrio Los Cámbulos II</v>
      </c>
      <c r="C251" s="40" t="str">
        <f>IFERROR(__xludf.DUMMYFUNCTION("""COMPUTED_VALUE"""),"Casa")</f>
        <v>Casa</v>
      </c>
      <c r="D251" s="40" t="str">
        <f>IFERROR(__xludf.DUMMYFUNCTION("""COMPUTED_VALUE"""),"Los Cámbulos II")</f>
        <v>Los Cámbulos II</v>
      </c>
      <c r="E251" s="40"/>
      <c r="F251" s="42">
        <f>IFERROR(__xludf.DUMMYFUNCTION("""COMPUTED_VALUE"""),3.1E8)</f>
        <v>310000000</v>
      </c>
      <c r="G251" s="40" t="str">
        <f>IFERROR(__xludf.DUMMYFUNCTION("""COMPUTED_VALUE"""),"$300'000.000 a $400'000.000")</f>
        <v>$300'000.000 a $400'000.000</v>
      </c>
      <c r="H251" s="40"/>
      <c r="I251" s="40"/>
      <c r="J251" s="40" t="str">
        <f>IFERROR(__xludf.DUMMYFUNCTION("""COMPUTED_VALUE"""),"Norte")</f>
        <v>Norte</v>
      </c>
      <c r="K251" s="39" t="str">
        <f>IFERROR(__xludf.DUMMYFUNCTION("""COMPUTED_VALUE"""),"2")</f>
        <v>2</v>
      </c>
      <c r="L251" s="40">
        <f>IFERROR(__xludf.DUMMYFUNCTION("""COMPUTED_VALUE"""),5.0)</f>
        <v>5</v>
      </c>
      <c r="M251" s="40"/>
      <c r="N251" s="40">
        <f>IFERROR(__xludf.DUMMYFUNCTION("""COMPUTED_VALUE"""),3.0)</f>
        <v>3</v>
      </c>
      <c r="O251" s="40">
        <f>IFERROR(__xludf.DUMMYFUNCTION("""COMPUTED_VALUE"""),1.0)</f>
        <v>1</v>
      </c>
      <c r="P251" s="40">
        <f>IFERROR(__xludf.DUMMYFUNCTION("""COMPUTED_VALUE"""),2.0)</f>
        <v>2</v>
      </c>
      <c r="Q251" s="48">
        <f>IFERROR(__xludf.DUMMYFUNCTION("""COMPUTED_VALUE"""),115.0)</f>
        <v>115</v>
      </c>
      <c r="R251" s="48">
        <f>IFERROR(__xludf.DUMMYFUNCTION("""COMPUTED_VALUE"""),72.0)</f>
        <v>72</v>
      </c>
      <c r="S251" s="39" t="str">
        <f>IFERROR(__xludf.DUMMYFUNCTION("""COMPUTED_VALUE""")," ")</f>
        <v> </v>
      </c>
      <c r="T251" s="40" t="str">
        <f>IFERROR(__xludf.DUMMYFUNCTION("""COMPUTED_VALUE"""),"Neiva")</f>
        <v>Neiva</v>
      </c>
      <c r="U251" s="39" t="str">
        <f>IFERROR(__xludf.DUMMYFUNCTION("""COMPUTED_VALUE"""),"3")</f>
        <v>3</v>
      </c>
      <c r="V251" s="40" t="str">
        <f>IFERROR(__xludf.DUMMYFUNCTION("""COMPUTED_VALUE"""),"Medianera")</f>
        <v>Medianera</v>
      </c>
      <c r="W251" s="46"/>
      <c r="X251" s="46">
        <f>IFERROR(__xludf.DUMMYFUNCTION("""COMPUTED_VALUE"""),4.0)</f>
        <v>4</v>
      </c>
      <c r="Y251" s="40" t="str">
        <f>IFERROR(__xludf.DUMMYFUNCTION("""COMPUTED_VALUE"""),"No tiene")</f>
        <v>No tiene</v>
      </c>
      <c r="Z251" s="42" t="str">
        <f>IFERROR(__xludf.DUMMYFUNCTION("""COMPUTED_VALUE"""),"No aplica")</f>
        <v>No aplica</v>
      </c>
      <c r="AA251" s="49" t="str">
        <f>IFERROR(__xludf.DUMMYFUNCTION("""COMPUTED_VALUE"""),"No aplica")</f>
        <v>No aplica</v>
      </c>
      <c r="AB251" s="40"/>
      <c r="AC251" s="40"/>
      <c r="AD251" s="40"/>
      <c r="AE251" s="40"/>
      <c r="AF251" s="40" t="str">
        <f>IFERROR(__xludf.DUMMYFUNCTION("""COMPUTED_VALUE"""),"integral")</f>
        <v>integral</v>
      </c>
      <c r="AG251" s="40"/>
      <c r="AH251" s="40" t="str">
        <f>IFERROR(__xludf.DUMMYFUNCTION("""COMPUTED_VALUE"""),"Inventario")</f>
        <v>Inventario</v>
      </c>
      <c r="AI251" s="40"/>
      <c r="AJ251" s="40" t="str">
        <f>IFERROR(__xludf.DUMMYFUNCTION("""COMPUTED_VALUE"""),"ICDE-RED")</f>
        <v>ICDE-RED</v>
      </c>
      <c r="AK251" s="40"/>
      <c r="AL251" s="40" t="str">
        <f>IFERROR(__xludf.DUMMYFUNCTION("""COMPUTED_VALUE"""),"NO FOTOS-INTE-DESCRIP.")</f>
        <v>NO FOTOS-INTE-DESCRIP.</v>
      </c>
      <c r="AM251" s="40">
        <f>IFERROR(__xludf.DUMMYFUNCTION("""COMPUTED_VALUE"""),3.108849508E9)</f>
        <v>3108849508</v>
      </c>
      <c r="AN251" s="40">
        <f>IFERROR(__xludf.DUMMYFUNCTION("""COMPUTED_VALUE"""),3.125142894E9)</f>
        <v>3125142894</v>
      </c>
      <c r="AO251" s="40" t="str">
        <f>IFERROR(__xludf.DUMMYFUNCTION("""COMPUTED_VALUE"""),"PAOLA LOZADA-Propietaria - - Inmob. Red")</f>
        <v>PAOLA LOZADA-Propietaria - - Inmob. Red</v>
      </c>
      <c r="AP251" s="40" t="str">
        <f>IFERROR(__xludf.DUMMYFUNCTION("""COMPUTED_VALUE"""),"CARRERA 11 No. 27-15")</f>
        <v>CARRERA 11 No. 27-15</v>
      </c>
      <c r="AQ251" s="40"/>
      <c r="AR251" s="40"/>
      <c r="AS251" s="53">
        <f>IFERROR(__xludf.DUMMYFUNCTION("""COMPUTED_VALUE"""),0.0)</f>
        <v>0</v>
      </c>
      <c r="AT251" s="40">
        <f>IFERROR(__xludf.DUMMYFUNCTION("""COMPUTED_VALUE"""),0.0)</f>
        <v>0</v>
      </c>
      <c r="AU251" s="40">
        <f>IFERROR(__xludf.DUMMYFUNCTION("""COMPUTED_VALUE"""),0.0)</f>
        <v>0</v>
      </c>
      <c r="AV251" s="40">
        <f>IFERROR(__xludf.DUMMYFUNCTION("""COMPUTED_VALUE"""),0.0)</f>
        <v>0</v>
      </c>
      <c r="AW251" s="40" t="str">
        <f>IFERROR(__xludf.DUMMYFUNCTION("""COMPUTED_VALUE"""),"NO")</f>
        <v>NO</v>
      </c>
      <c r="AX251" s="40">
        <f>IFERROR(__xludf.DUMMYFUNCTION("""COMPUTED_VALUE"""),0.0)</f>
        <v>0</v>
      </c>
      <c r="AY251" s="40" t="str">
        <f>IFERROR(__xludf.DUMMYFUNCTION("""COMPUTED_VALUE"""),"P")</f>
        <v>P</v>
      </c>
      <c r="AZ251" s="40">
        <f>IFERROR(__xludf.DUMMYFUNCTION("""COMPUTED_VALUE"""),6.0)</f>
        <v>6</v>
      </c>
      <c r="BA251" s="40" t="str">
        <f>IFERROR(__xludf.DUMMYFUNCTION("""COMPUTED_VALUE"""),"X")</f>
        <v>X</v>
      </c>
      <c r="BB251" s="40">
        <f>IFERROR(__xludf.DUMMYFUNCTION("""COMPUTED_VALUE"""),12.0)</f>
        <v>12</v>
      </c>
      <c r="BC251" s="53" t="str">
        <f>IFERROR(__xludf.DUMMYFUNCTION("""COMPUTED_VALUE"""),"26 - NINI CASTAÑO")</f>
        <v>26 - NINI CASTAÑO</v>
      </c>
      <c r="BD251" s="48"/>
      <c r="BE251" s="48"/>
      <c r="BF251" s="48"/>
    </row>
    <row r="252">
      <c r="A252" s="39" t="str">
        <f>IFERROR(__xludf.DUMMYFUNCTION("""COMPUTED_VALUE"""),"432")</f>
        <v>432</v>
      </c>
      <c r="B252" s="40" t="str">
        <f>IFERROR(__xludf.DUMMYFUNCTION("""COMPUTED_VALUE"""),"Casa en barrio La Toma")</f>
        <v>Casa en barrio La Toma</v>
      </c>
      <c r="C252" s="40" t="str">
        <f>IFERROR(__xludf.DUMMYFUNCTION("""COMPUTED_VALUE"""),"Casa")</f>
        <v>Casa</v>
      </c>
      <c r="D252" s="40" t="str">
        <f>IFERROR(__xludf.DUMMYFUNCTION("""COMPUTED_VALUE"""),"La Toma")</f>
        <v>La Toma</v>
      </c>
      <c r="E252" s="40" t="str">
        <f>IFERROR(__xludf.DUMMYFUNCTION("""COMPUTED_VALUE""")," ")</f>
        <v> </v>
      </c>
      <c r="F252" s="42">
        <f>IFERROR(__xludf.DUMMYFUNCTION("""COMPUTED_VALUE"""),1.4E9)</f>
        <v>1400000000</v>
      </c>
      <c r="G252" s="40" t="str">
        <f>IFERROR(__xludf.DUMMYFUNCTION("""COMPUTED_VALUE"""),"Más de $1.000'000.000")</f>
        <v>Más de $1.000'000.000</v>
      </c>
      <c r="H252" s="40"/>
      <c r="I252" s="40"/>
      <c r="J252" s="40" t="str">
        <f>IFERROR(__xludf.DUMMYFUNCTION("""COMPUTED_VALUE"""),"Centro")</f>
        <v>Centro</v>
      </c>
      <c r="K252" s="39" t="str">
        <f>IFERROR(__xludf.DUMMYFUNCTION("""COMPUTED_VALUE"""),"3")</f>
        <v>3</v>
      </c>
      <c r="L252" s="40">
        <f>IFERROR(__xludf.DUMMYFUNCTION("""COMPUTED_VALUE"""),5.0)</f>
        <v>5</v>
      </c>
      <c r="M252" s="40"/>
      <c r="N252" s="40">
        <f>IFERROR(__xludf.DUMMYFUNCTION("""COMPUTED_VALUE"""),3.0)</f>
        <v>3</v>
      </c>
      <c r="O252" s="40">
        <f>IFERROR(__xludf.DUMMYFUNCTION("""COMPUTED_VALUE"""),3.0)</f>
        <v>3</v>
      </c>
      <c r="P252" s="40">
        <f>IFERROR(__xludf.DUMMYFUNCTION("""COMPUTED_VALUE"""),1.0)</f>
        <v>1</v>
      </c>
      <c r="Q252" s="48"/>
      <c r="R252" s="48">
        <f>IFERROR(__xludf.DUMMYFUNCTION("""COMPUTED_VALUE"""),770.0)</f>
        <v>770</v>
      </c>
      <c r="S252" s="39" t="str">
        <f>IFERROR(__xludf.DUMMYFUNCTION("""COMPUTED_VALUE""")," ")</f>
        <v> </v>
      </c>
      <c r="T252" s="40" t="str">
        <f>IFERROR(__xludf.DUMMYFUNCTION("""COMPUTED_VALUE"""),"Neiva")</f>
        <v>Neiva</v>
      </c>
      <c r="U252" s="39" t="str">
        <f>IFERROR(__xludf.DUMMYFUNCTION("""COMPUTED_VALUE"""),"4")</f>
        <v>4</v>
      </c>
      <c r="V252" s="40" t="str">
        <f>IFERROR(__xludf.DUMMYFUNCTION("""COMPUTED_VALUE"""),"Medianera")</f>
        <v>Medianera</v>
      </c>
      <c r="W252" s="46"/>
      <c r="X252" s="46">
        <f>IFERROR(__xludf.DUMMYFUNCTION("""COMPUTED_VALUE"""),5.0)</f>
        <v>5</v>
      </c>
      <c r="Y252" s="40" t="str">
        <f>IFERROR(__xludf.DUMMYFUNCTION("""COMPUTED_VALUE"""),"No tiene")</f>
        <v>No tiene</v>
      </c>
      <c r="Z252" s="42" t="str">
        <f>IFERROR(__xludf.DUMMYFUNCTION("""COMPUTED_VALUE"""),"No aplica")</f>
        <v>No aplica</v>
      </c>
      <c r="AA252" s="49" t="str">
        <f>IFERROR(__xludf.DUMMYFUNCTION("""COMPUTED_VALUE"""),"No aplica")</f>
        <v>No aplica</v>
      </c>
      <c r="AB252" s="66" t="str">
        <f>IFERROR(__xludf.DUMMYFUNCTION("""COMPUTED_VALUE"""),"https://photos.app.goo.gl/cuSLc1nQTB3F4mb46")</f>
        <v>https://photos.app.goo.gl/cuSLc1nQTB3F4mb46</v>
      </c>
      <c r="AC252" s="40"/>
      <c r="AD252" s="40" t="str">
        <f>IFERROR(__xludf.DUMMYFUNCTION("""COMPUTED_VALUE"""),"Casa  central, con patio amplio. Cuenta con variedad de árboles, jardines, Con espacios de circulación abierta. Escritura al día.")</f>
        <v>Casa  central, con patio amplio. Cuenta con variedad de árboles, jardines, Con espacios de circulación abierta. Escritura al día.</v>
      </c>
      <c r="AE252" s="40"/>
      <c r="AF252" s="40" t="str">
        <f>IFERROR(__xludf.DUMMYFUNCTION("""COMPUTED_VALUE"""),"semi-integral")</f>
        <v>semi-integral</v>
      </c>
      <c r="AG252" s="40" t="str">
        <f>IFERROR(__xludf.DUMMYFUNCTION("""COMPUTED_VALUE"""),"SI")</f>
        <v>SI</v>
      </c>
      <c r="AH252" s="40" t="str">
        <f>IFERROR(__xludf.DUMMYFUNCTION("""COMPUTED_VALUE"""),"Inventario")</f>
        <v>Inventario</v>
      </c>
      <c r="AI252" s="40" t="str">
        <f>IFERROR(__xludf.DUMMYFUNCTION("""COMPUTED_VALUE"""),"Aliado")</f>
        <v>Aliado</v>
      </c>
      <c r="AJ252" s="40" t="str">
        <f>IFERROR(__xludf.DUMMYFUNCTION("""COMPUTED_VALUE"""),"Inmob. Huila - Ana  50%")</f>
        <v>Inmob. Huila - Ana  50%</v>
      </c>
      <c r="AK252" s="40" t="str">
        <f>IFERROR(__xludf.DUMMYFUNCTION("""COMPUTED_VALUE"""),"No aplica")</f>
        <v>No aplica</v>
      </c>
      <c r="AL252" s="40" t="str">
        <f>IFERROR(__xludf.DUMMYFUNCTION("""COMPUTED_VALUE"""),"TIENE FOTOS")</f>
        <v>TIENE FOTOS</v>
      </c>
      <c r="AM252" s="40">
        <f>IFERROR(__xludf.DUMMYFUNCTION("""COMPUTED_VALUE"""),3.152092988E9)</f>
        <v>3152092988</v>
      </c>
      <c r="AN252" s="40">
        <f>IFERROR(__xludf.DUMMYFUNCTION("""COMPUTED_VALUE"""),0.0)</f>
        <v>0</v>
      </c>
      <c r="AO252" s="40"/>
      <c r="AP252" s="40"/>
      <c r="AQ252" s="40">
        <f>IFERROR(__xludf.DUMMYFUNCTION("""COMPUTED_VALUE"""),2.9335449)</f>
        <v>2.9335449</v>
      </c>
      <c r="AR252" s="40">
        <f>IFERROR(__xludf.DUMMYFUNCTION("""COMPUTED_VALUE"""),-75.2871738)</f>
        <v>-75.2871738</v>
      </c>
      <c r="AS252" s="53">
        <f>IFERROR(__xludf.DUMMYFUNCTION("""COMPUTED_VALUE"""),0.0)</f>
        <v>0</v>
      </c>
      <c r="AT252" s="40"/>
      <c r="AU252" s="40"/>
      <c r="AV252" s="40"/>
      <c r="AW252" s="40"/>
      <c r="AX252" s="40"/>
      <c r="AY252" s="40"/>
      <c r="AZ252" s="40"/>
      <c r="BA252" s="40" t="str">
        <f>IFERROR(__xludf.DUMMYFUNCTION("""COMPUTED_VALUE"""),"X")</f>
        <v>X</v>
      </c>
      <c r="BB252" s="40"/>
      <c r="BC252" s="53"/>
      <c r="BD252" s="48"/>
      <c r="BE252" s="48"/>
      <c r="BF252" s="48" t="str">
        <f>IFERROR(__xludf.DUMMYFUNCTION("""COMPUTED_VALUE"""),"https://lh3.googleusercontent.com/pw/AP1GczO9S21CZp4Pe-Ttn24ZGghNHgP1lIRw3cMi7DQrGZxQ1d4BLbT-VGgtyQ7z56ZCiYYeuZWR_28iMHFnsPTOXsRVV9a7RsNVnWqEuRYKJPgRLGig3It5=w1200|https://lh3.googleusercontent.com/pw/AP1GczOUNsRwjafO-XldFyAn6_QbI5AkTrR9UH3EZ0KhTtUuwI-bFB"&amp;"T_xTz-re5hwto-0fBiGiONq8tR40WmGgfDagukRMIljfSY_txxddbVprRBntGoATww=w1200|https://lh3.googleusercontent.com/pw/AP1GczMoHHu5896wQHO5B-jim6MnzpaBWGmA8fpLT1ckBE6NJSC5XY8wbbVTLM1ethyi-35CFzShJcd9yRq17IMCnbAhll0AbFNb0FMd0uQ81FHPEQcIDGN9=w1200|https://lh3.google"&amp;"usercontent.com/pw/AP1GczPZA1K3iiLES7juDtY_2gzi_7GpY8HTQnt7pLpug9X6m1LjvE8yRImtcslW83ka-1Hidh6if8de8oRAJpNzHFjmZvCXUTI7-XhcH53eSuiKiHEvGVWE=w1200|https://lh3.googleusercontent.com/pw/AP1GczPz2fY3VmH1Yq4x9z3dnvQV4-MbA2yyMvoDDqkmzChzm0a8aX07px9UenGDJQF3qRa0"&amp;"zI8op3A7nd5A_Had-M7fYRmxHnThQ8TLDfr_U2CjxeOmw-79=w1200|https://lh3.googleusercontent.com/pw/AP1GczP21log8bLIhMzjB4y4XPofQWKMDYtBvniHevP8Mjqxhg-quejFKNQUrj22JOBR7ndE9NSq58V8XOZrDPS5AOJhwiSjbwbRhdoJColE-bXMZ4h6aASf=w1200|https://lh3.googleusercontent.com/pw"&amp;"/AP1GczPDcHxRoGGw5bNAnq3teAiZetIgemSrC13Hs38XfiSq_5QiOjxCaGwwuNSMADzyUnIA9UaVzBZ6cfHz7jYkdP7dhwUnzCSEuLAJnOGSuxNd7gk_EVRe=w1200|https://lh3.googleusercontent.com/pw/AP1GczOnvmefD98_svTvn07HHz1MskHjikvwqALBwgV6iVXj4940mU1MWEm0EKHBbtsyISSZJHlrxQ6A9kvfcJTFOV"&amp;"cmtkY_-LCBC8gsEUs9i8PnupOnvC9_=w1200|https://lh3.googleusercontent.com/pw/AP1GczN_xWyMv6hIRBliEP2hxSrM37GGeDar-ogN_WW_WhuVW2SYJFvtdTC82BXl7T5mhowGaihufXc-XgENoP9KBh1AxABgybuKr3_5vVhWugNGI83s0y3s=w1200|https://lh3.googleusercontent.com/pw/AP1GczNheDvI_2vHQ"&amp;"-vZn-fG1jYv-ihiy6VyIVP5La8uHu-uKg-LlvF589gIM58QEN-_KqX6CWyaoHVMYLOI6OCvY_P4Qwtq9dRCiB7L1zdGwucunAzOSEpQ=w1200|https://lh3.googleusercontent.com/pw/AP1GczNHEB2GE1AoL6w3Ibpk0KeKNMvvLt35Uw_bDZUaCFFh03tMx6nTo_s1U7i1ceuoG8F3xGldJhtX8jZnWWkzIeBIK1EinZ4WKsYS3pjn"&amp;"vzRdFWojupwW=w1200|https://lh3.googleusercontent.com/pw/AP1GczPEoKsZ5j3fToMW_VnpKhSzF7Hq_kzVrFdA5EYUGX86IWAdgbbdBaHzneIbO_EHMSDeIE-055OIu0O8JOVn9cdVMIvL-rvgcH41yal5eimw3cZwc3A7=w1200|https://lh3.googleusercontent.com/pw/AP1GczOyPFEslOkE2WzHikXPKr0nT_iV-3v"&amp;"B6eNk9HyHqarfZB-MlPoghSvtISX9BLXGspqe09Y1lQ9jV5i78_3wbRrQbvVHpq1PyhmFkdw82oCoxnY9Fs5R=w1200|https://lh3.googleusercontent.com/pw/AP1GczMq4h-_DirTeEva5e7qw56QMJDk06UUEVNeRyiZLQPMGSub3B6iIUN7CaBw4pPDSYbxoxF3NH-6jFH9RWv8Q9xsHa5en-wobXQG3pjIS5o8lCBusxhx=w1200"&amp;"|https://lh3.googleusercontent.com/pw/AP1GczNI1Dmo031znIMe8uEisP2CuChrHIYR0rdLzyZTv573KADFb4RYysqdOMRVQgYv081ph96IKb-im6eO9CjkmzZlqUmeYUJka8nBt5V3SjnRxtnm4ClK=w1200|https://lh3.googleusercontent.com/pw/AP1GczNAGG82o9p0FZ0ilWJsasaDpKy25aO5qUOt6yLjyPipgRLTy"&amp;"UC6A-vndE-NBX-xiRPbPAzs-0vDJVkDcim76yELtwRqB2mJusJXRIMEDYySoK8yZDno=w1200|https://lh3.googleusercontent.com/pw/AP1GczPCuaD_cDBxlljXK141BgdEsd4E6XTMMVO1qwK8f12rgcmNXtH6qjof3fBzrP0B2MuGPcBXoZlpdtMlCd3pUAmzARyp4SOQLUkMsH1k_N-mb1u_KmQl=w1200|https://lh3.googl"&amp;"eusercontent.com/pw/AP1GczM4VUvL3b3JnET5R373vaG10gOQy8vMhggs6DaqB7v82x3dFxuyQJ9MGe759dHg55_u-DYIiqNHGB4vZIzxUhVumnL8fWcTYPlPvq-Dz-piyE7_8g5E=w1200|https://lh3.googleusercontent.com/pw/AP1GczPz5EzdgDH0l4dO3nPFtEbNfXM2k7OrEMEJdY1o8JG6TMIestjLLMQqY-2odASv20p"&amp;"GlTUuYqAeWoMnL_W04auef48giF_AqmYeb_fLYz5qMGDw5Hc0=w1200|https://lh3.googleusercontent.com/pw/AP1GczPCskzSSdCExbHET63FLPGP6R0mi_ehEYahhxohP9HrrSXB3ZZ-j31VAiWdt4M_sSHnl3DiaQRfKAwDUm3e585jfjdiVU_Ze1rdejsWRSxpQzRK11Zd=w1200|https://lh3.googleusercontent.com/p"&amp;"w/AP1GczM41kZHP02QnViiiep4S99d6YtzC49OyYuikMxfixyfm7YVhgdS921pCooUly6q6560Rvn3915xxz88NmcJ9yMf7EhtAooQ5LIyGtouoTVWpufcYIWc=w1200|https://lh3.googleusercontent.com/pw/AP1GczM_TTEL5Wqk2chnjyQXgASw7MkMZuQdMzddKwInLH1CwIuGzZ_yIPNY1QDqXgfIaIvzC7lNSKWgslOoh09Sf"&amp;"ccKr0HCPc9JcW6Q7DsFT7Ev7IvH21cN=w1200|https://lh3.googleusercontent.com/pw/AP1GczMzGa3nF4A94Nn3gE_sCBeG2nKyfOVs16UiLjMnzWdUCL6famNTiiDKkhcro4OmOeBO-Y7lhKoPefJ-oPbh2G6_btpWl2u_Rf7-uaSz3xbhKVzPGkoF=w1200")</f>
        <v>https://lh3.googleusercontent.com/pw/AP1GczO9S21CZp4Pe-Ttn24ZGghNHgP1lIRw3cMi7DQrGZxQ1d4BLbT-VGgtyQ7z56ZCiYYeuZWR_28iMHFnsPTOXsRVV9a7RsNVnWqEuRYKJPgRLGig3It5=w1200|https://lh3.googleusercontent.com/pw/AP1GczOUNsRwjafO-XldFyAn6_QbI5AkTrR9UH3EZ0KhTtUuwI-bFBT_xTz-re5hwto-0fBiGiONq8tR40WmGgfDagukRMIljfSY_txxddbVprRBntGoATww=w1200|https://lh3.googleusercontent.com/pw/AP1GczMoHHu5896wQHO5B-jim6MnzpaBWGmA8fpLT1ckBE6NJSC5XY8wbbVTLM1ethyi-35CFzShJcd9yRq17IMCnbAhll0AbFNb0FMd0uQ81FHPEQcIDGN9=w1200|https://lh3.googleusercontent.com/pw/AP1GczPZA1K3iiLES7juDtY_2gzi_7GpY8HTQnt7pLpug9X6m1LjvE8yRImtcslW83ka-1Hidh6if8de8oRAJpNzHFjmZvCXUTI7-XhcH53eSuiKiHEvGVWE=w1200|https://lh3.googleusercontent.com/pw/AP1GczPz2fY3VmH1Yq4x9z3dnvQV4-MbA2yyMvoDDqkmzChzm0a8aX07px9UenGDJQF3qRa0zI8op3A7nd5A_Had-M7fYRmxHnThQ8TLDfr_U2CjxeOmw-79=w1200|https://lh3.googleusercontent.com/pw/AP1GczP21log8bLIhMzjB4y4XPofQWKMDYtBvniHevP8Mjqxhg-quejFKNQUrj22JOBR7ndE9NSq58V8XOZrDPS5AOJhwiSjbwbRhdoJColE-bXMZ4h6aASf=w1200|https://lh3.googleusercontent.com/pw/AP1GczPDcHxRoGGw5bNAnq3teAiZetIgemSrC13Hs38XfiSq_5QiOjxCaGwwuNSMADzyUnIA9UaVzBZ6cfHz7jYkdP7dhwUnzCSEuLAJnOGSuxNd7gk_EVRe=w1200|https://lh3.googleusercontent.com/pw/AP1GczOnvmefD98_svTvn07HHz1MskHjikvwqALBwgV6iVXj4940mU1MWEm0EKHBbtsyISSZJHlrxQ6A9kvfcJTFOVcmtkY_-LCBC8gsEUs9i8PnupOnvC9_=w1200|https://lh3.googleusercontent.com/pw/AP1GczN_xWyMv6hIRBliEP2hxSrM37GGeDar-ogN_WW_WhuVW2SYJFvtdTC82BXl7T5mhowGaihufXc-XgENoP9KBh1AxABgybuKr3_5vVhWugNGI83s0y3s=w1200|https://lh3.googleusercontent.com/pw/AP1GczNheDvI_2vHQ-vZn-fG1jYv-ihiy6VyIVP5La8uHu-uKg-LlvF589gIM58QEN-_KqX6CWyaoHVMYLOI6OCvY_P4Qwtq9dRCiB7L1zdGwucunAzOSEpQ=w1200|https://lh3.googleusercontent.com/pw/AP1GczNHEB2GE1AoL6w3Ibpk0KeKNMvvLt35Uw_bDZUaCFFh03tMx6nTo_s1U7i1ceuoG8F3xGldJhtX8jZnWWkzIeBIK1EinZ4WKsYS3pjnvzRdFWojupwW=w1200|https://lh3.googleusercontent.com/pw/AP1GczPEoKsZ5j3fToMW_VnpKhSzF7Hq_kzVrFdA5EYUGX86IWAdgbbdBaHzneIbO_EHMSDeIE-055OIu0O8JOVn9cdVMIvL-rvgcH41yal5eimw3cZwc3A7=w1200|https://lh3.googleusercontent.com/pw/AP1GczOyPFEslOkE2WzHikXPKr0nT_iV-3vB6eNk9HyHqarfZB-MlPoghSvtISX9BLXGspqe09Y1lQ9jV5i78_3wbRrQbvVHpq1PyhmFkdw82oCoxnY9Fs5R=w1200|https://lh3.googleusercontent.com/pw/AP1GczMq4h-_DirTeEva5e7qw56QMJDk06UUEVNeRyiZLQPMGSub3B6iIUN7CaBw4pPDSYbxoxF3NH-6jFH9RWv8Q9xsHa5en-wobXQG3pjIS5o8lCBusxhx=w1200|https://lh3.googleusercontent.com/pw/AP1GczNI1Dmo031znIMe8uEisP2CuChrHIYR0rdLzyZTv573KADFb4RYysqdOMRVQgYv081ph96IKb-im6eO9CjkmzZlqUmeYUJka8nBt5V3SjnRxtnm4ClK=w1200|https://lh3.googleusercontent.com/pw/AP1GczNAGG82o9p0FZ0ilWJsasaDpKy25aO5qUOt6yLjyPipgRLTyUC6A-vndE-NBX-xiRPbPAzs-0vDJVkDcim76yELtwRqB2mJusJXRIMEDYySoK8yZDno=w1200|https://lh3.googleusercontent.com/pw/AP1GczPCuaD_cDBxlljXK141BgdEsd4E6XTMMVO1qwK8f12rgcmNXtH6qjof3fBzrP0B2MuGPcBXoZlpdtMlCd3pUAmzARyp4SOQLUkMsH1k_N-mb1u_KmQl=w1200|https://lh3.googleusercontent.com/pw/AP1GczM4VUvL3b3JnET5R373vaG10gOQy8vMhggs6DaqB7v82x3dFxuyQJ9MGe759dHg55_u-DYIiqNHGB4vZIzxUhVumnL8fWcTYPlPvq-Dz-piyE7_8g5E=w1200|https://lh3.googleusercontent.com/pw/AP1GczPz5EzdgDH0l4dO3nPFtEbNfXM2k7OrEMEJdY1o8JG6TMIestjLLMQqY-2odASv20pGlTUuYqAeWoMnL_W04auef48giF_AqmYeb_fLYz5qMGDw5Hc0=w1200|https://lh3.googleusercontent.com/pw/AP1GczPCskzSSdCExbHET63FLPGP6R0mi_ehEYahhxohP9HrrSXB3ZZ-j31VAiWdt4M_sSHnl3DiaQRfKAwDUm3e585jfjdiVU_Ze1rdejsWRSxpQzRK11Zd=w1200|https://lh3.googleusercontent.com/pw/AP1GczM41kZHP02QnViiiep4S99d6YtzC49OyYuikMxfixyfm7YVhgdS921pCooUly6q6560Rvn3915xxz88NmcJ9yMf7EhtAooQ5LIyGtouoTVWpufcYIWc=w1200|https://lh3.googleusercontent.com/pw/AP1GczM_TTEL5Wqk2chnjyQXgASw7MkMZuQdMzddKwInLH1CwIuGzZ_yIPNY1QDqXgfIaIvzC7lNSKWgslOoh09SfccKr0HCPc9JcW6Q7DsFT7Ev7IvH21cN=w1200|https://lh3.googleusercontent.com/pw/AP1GczMzGa3nF4A94Nn3gE_sCBeG2nKyfOVs16UiLjMnzWdUCL6famNTiiDKkhcro4OmOeBO-Y7lhKoPefJ-oPbh2G6_btpWl2u_Rf7-uaSz3xbhKVzPGkoF=w1200</v>
      </c>
    </row>
    <row r="253">
      <c r="A253" s="39" t="str">
        <f>IFERROR(__xludf.DUMMYFUNCTION("""COMPUTED_VALUE"""),"365")</f>
        <v>365</v>
      </c>
      <c r="B253" s="40" t="str">
        <f>IFERROR(__xludf.DUMMYFUNCTION("""COMPUTED_VALUE"""),"Casa en barrio Sevilla")</f>
        <v>Casa en barrio Sevilla</v>
      </c>
      <c r="C253" s="40" t="str">
        <f>IFERROR(__xludf.DUMMYFUNCTION("""COMPUTED_VALUE"""),"Casa")</f>
        <v>Casa</v>
      </c>
      <c r="D253" s="40" t="str">
        <f>IFERROR(__xludf.DUMMYFUNCTION("""COMPUTED_VALUE"""),"Sevilla")</f>
        <v>Sevilla</v>
      </c>
      <c r="E253" s="40"/>
      <c r="F253" s="42">
        <f>IFERROR(__xludf.DUMMYFUNCTION("""COMPUTED_VALUE"""),2.9E8)</f>
        <v>290000000</v>
      </c>
      <c r="G253" s="40" t="str">
        <f>IFERROR(__xludf.DUMMYFUNCTION("""COMPUTED_VALUE"""),"$200'000.000 a $300'000.000")</f>
        <v>$200'000.000 a $300'000.000</v>
      </c>
      <c r="H253" s="40"/>
      <c r="I253" s="40"/>
      <c r="J253" s="40" t="str">
        <f>IFERROR(__xludf.DUMMYFUNCTION("""COMPUTED_VALUE"""),"Centro")</f>
        <v>Centro</v>
      </c>
      <c r="K253" s="39" t="str">
        <f>IFERROR(__xludf.DUMMYFUNCTION("""COMPUTED_VALUE"""),"3")</f>
        <v>3</v>
      </c>
      <c r="L253" s="40">
        <f>IFERROR(__xludf.DUMMYFUNCTION("""COMPUTED_VALUE"""),4.0)</f>
        <v>4</v>
      </c>
      <c r="M253" s="40"/>
      <c r="N253" s="40">
        <f>IFERROR(__xludf.DUMMYFUNCTION("""COMPUTED_VALUE"""),2.0)</f>
        <v>2</v>
      </c>
      <c r="O253" s="40">
        <f>IFERROR(__xludf.DUMMYFUNCTION("""COMPUTED_VALUE"""),0.0)</f>
        <v>0</v>
      </c>
      <c r="P253" s="40">
        <f>IFERROR(__xludf.DUMMYFUNCTION("""COMPUTED_VALUE"""),0.0)</f>
        <v>0</v>
      </c>
      <c r="Q253" s="40">
        <f>IFERROR(__xludf.DUMMYFUNCTION("""COMPUTED_VALUE"""),161.0)</f>
        <v>161</v>
      </c>
      <c r="R253" s="48">
        <f>IFERROR(__xludf.DUMMYFUNCTION("""COMPUTED_VALUE"""),161.0)</f>
        <v>161</v>
      </c>
      <c r="S253" s="39" t="str">
        <f>IFERROR(__xludf.DUMMYFUNCTION("""COMPUTED_VALUE""")," ")</f>
        <v> </v>
      </c>
      <c r="T253" s="40" t="str">
        <f>IFERROR(__xludf.DUMMYFUNCTION("""COMPUTED_VALUE"""),"Neiva")</f>
        <v>Neiva</v>
      </c>
      <c r="U253" s="39" t="str">
        <f>IFERROR(__xludf.DUMMYFUNCTION("""COMPUTED_VALUE"""),"2")</f>
        <v>2</v>
      </c>
      <c r="V253" s="40" t="str">
        <f>IFERROR(__xludf.DUMMYFUNCTION("""COMPUTED_VALUE"""),"Medianera")</f>
        <v>Medianera</v>
      </c>
      <c r="W253" s="46"/>
      <c r="X253" s="46">
        <f>IFERROR(__xludf.DUMMYFUNCTION("""COMPUTED_VALUE"""),2.0)</f>
        <v>2</v>
      </c>
      <c r="Y253" s="40" t="str">
        <f>IFERROR(__xludf.DUMMYFUNCTION("""COMPUTED_VALUE"""),"No tiene")</f>
        <v>No tiene</v>
      </c>
      <c r="Z253" s="42" t="str">
        <f>IFERROR(__xludf.DUMMYFUNCTION("""COMPUTED_VALUE"""),"No aplica")</f>
        <v>No aplica</v>
      </c>
      <c r="AA253" s="49" t="str">
        <f>IFERROR(__xludf.DUMMYFUNCTION("""COMPUTED_VALUE"""),"No aplica")</f>
        <v>No aplica</v>
      </c>
      <c r="AB253" s="48"/>
      <c r="AC253" s="40"/>
      <c r="AD253" s="40"/>
      <c r="AE253" s="40"/>
      <c r="AF253" s="40" t="str">
        <f>IFERROR(__xludf.DUMMYFUNCTION("""COMPUTED_VALUE"""),"semi-integral")</f>
        <v>semi-integral</v>
      </c>
      <c r="AG253" s="40"/>
      <c r="AH253" s="40" t="str">
        <f>IFERROR(__xludf.DUMMYFUNCTION("""COMPUTED_VALUE"""),"Inventario")</f>
        <v>Inventario</v>
      </c>
      <c r="AI253" s="40"/>
      <c r="AJ253" s="40" t="str">
        <f>IFERROR(__xludf.DUMMYFUNCTION("""COMPUTED_VALUE"""),"INMOBILIARIA LEON CORTES")</f>
        <v>INMOBILIARIA LEON CORTES</v>
      </c>
      <c r="AK253" s="42" t="str">
        <f>IFERROR(__xludf.DUMMYFUNCTION("""COMPUTED_VALUE"""),"No aplica")</f>
        <v>No aplica</v>
      </c>
      <c r="AL253" s="40" t="str">
        <f>IFERROR(__xludf.DUMMYFUNCTION("""COMPUTED_VALUE"""),"NO FOTOS-INTE-DESCRIP.")</f>
        <v>NO FOTOS-INTE-DESCRIP.</v>
      </c>
      <c r="AM253" s="40">
        <f>IFERROR(__xludf.DUMMYFUNCTION("""COMPUTED_VALUE"""),3.167597703E9)</f>
        <v>3167597703</v>
      </c>
      <c r="AN253" s="40"/>
      <c r="AO253" s="40"/>
      <c r="AP253" s="40"/>
      <c r="AQ253" s="40"/>
      <c r="AR253" s="40"/>
      <c r="AS253" s="40">
        <f>IFERROR(__xludf.DUMMYFUNCTION("""COMPUTED_VALUE"""),0.0)</f>
        <v>0</v>
      </c>
      <c r="AT253" s="40">
        <f>IFERROR(__xludf.DUMMYFUNCTION("""COMPUTED_VALUE"""),0.0)</f>
        <v>0</v>
      </c>
      <c r="AU253" s="40">
        <f>IFERROR(__xludf.DUMMYFUNCTION("""COMPUTED_VALUE"""),0.0)</f>
        <v>0</v>
      </c>
      <c r="AV253" s="40">
        <f>IFERROR(__xludf.DUMMYFUNCTION("""COMPUTED_VALUE"""),0.0)</f>
        <v>0</v>
      </c>
      <c r="AW253" s="40" t="str">
        <f>IFERROR(__xludf.DUMMYFUNCTION("""COMPUTED_VALUE"""),"NO")</f>
        <v>NO</v>
      </c>
      <c r="AX253" s="40">
        <f>IFERROR(__xludf.DUMMYFUNCTION("""COMPUTED_VALUE"""),0.0)</f>
        <v>0</v>
      </c>
      <c r="AY253" s="40">
        <f>IFERROR(__xludf.DUMMYFUNCTION("""COMPUTED_VALUE"""),0.0)</f>
        <v>0</v>
      </c>
      <c r="AZ253" s="40">
        <f>IFERROR(__xludf.DUMMYFUNCTION("""COMPUTED_VALUE"""),0.0)</f>
        <v>0</v>
      </c>
      <c r="BA253" s="40" t="str">
        <f>IFERROR(__xludf.DUMMYFUNCTION("""COMPUTED_VALUE"""),"X")</f>
        <v>X</v>
      </c>
      <c r="BB253" s="40">
        <f>IFERROR(__xludf.DUMMYFUNCTION("""COMPUTED_VALUE"""),0.0)</f>
        <v>0</v>
      </c>
      <c r="BC253" s="53"/>
      <c r="BD253" s="48"/>
      <c r="BE253" s="48"/>
      <c r="BF253" s="48"/>
    </row>
    <row r="254">
      <c r="A254" s="39" t="str">
        <f>IFERROR(__xludf.DUMMYFUNCTION("""COMPUTED_VALUE"""),"398")</f>
        <v>398</v>
      </c>
      <c r="B254" s="40" t="str">
        <f>IFERROR(__xludf.DUMMYFUNCTION("""COMPUTED_VALUE"""),"Casa lote en barrio La Toma")</f>
        <v>Casa lote en barrio La Toma</v>
      </c>
      <c r="C254" s="40" t="str">
        <f>IFERROR(__xludf.DUMMYFUNCTION("""COMPUTED_VALUE"""),"Casa lote")</f>
        <v>Casa lote</v>
      </c>
      <c r="D254" s="40" t="str">
        <f>IFERROR(__xludf.DUMMYFUNCTION("""COMPUTED_VALUE"""),"La Toma")</f>
        <v>La Toma</v>
      </c>
      <c r="E254" s="40"/>
      <c r="F254" s="42">
        <f>IFERROR(__xludf.DUMMYFUNCTION("""COMPUTED_VALUE"""),1.35E9)</f>
        <v>1350000000</v>
      </c>
      <c r="G254" s="40" t="str">
        <f>IFERROR(__xludf.DUMMYFUNCTION("""COMPUTED_VALUE"""),"Más de $1.000'000.000")</f>
        <v>Más de $1.000'000.000</v>
      </c>
      <c r="H254" s="40"/>
      <c r="I254" s="40"/>
      <c r="J254" s="40" t="str">
        <f>IFERROR(__xludf.DUMMYFUNCTION("""COMPUTED_VALUE"""),"Centro")</f>
        <v>Centro</v>
      </c>
      <c r="K254" s="39" t="str">
        <f>IFERROR(__xludf.DUMMYFUNCTION("""COMPUTED_VALUE"""),"3")</f>
        <v>3</v>
      </c>
      <c r="L254" s="40">
        <f>IFERROR(__xludf.DUMMYFUNCTION("""COMPUTED_VALUE"""),5.0)</f>
        <v>5</v>
      </c>
      <c r="M254" s="40"/>
      <c r="N254" s="40">
        <f>IFERROR(__xludf.DUMMYFUNCTION("""COMPUTED_VALUE"""),2.0)</f>
        <v>2</v>
      </c>
      <c r="O254" s="40">
        <f>IFERROR(__xludf.DUMMYFUNCTION("""COMPUTED_VALUE"""),1.0)</f>
        <v>1</v>
      </c>
      <c r="P254" s="40">
        <f>IFERROR(__xludf.DUMMYFUNCTION("""COMPUTED_VALUE"""),1.0)</f>
        <v>1</v>
      </c>
      <c r="Q254" s="48"/>
      <c r="R254" s="48">
        <f>IFERROR(__xludf.DUMMYFUNCTION("""COMPUTED_VALUE"""),785.0)</f>
        <v>785</v>
      </c>
      <c r="S254" s="39" t="str">
        <f>IFERROR(__xludf.DUMMYFUNCTION("""COMPUTED_VALUE""")," ")</f>
        <v> </v>
      </c>
      <c r="T254" s="40" t="str">
        <f>IFERROR(__xludf.DUMMYFUNCTION("""COMPUTED_VALUE"""),"Neiva")</f>
        <v>Neiva</v>
      </c>
      <c r="U254" s="39" t="str">
        <f>IFERROR(__xludf.DUMMYFUNCTION("""COMPUTED_VALUE"""),"3")</f>
        <v>3</v>
      </c>
      <c r="V254" s="40" t="str">
        <f>IFERROR(__xludf.DUMMYFUNCTION("""COMPUTED_VALUE"""),"Esquinera")</f>
        <v>Esquinera</v>
      </c>
      <c r="W254" s="46"/>
      <c r="X254" s="46">
        <f>IFERROR(__xludf.DUMMYFUNCTION("""COMPUTED_VALUE"""),2.0)</f>
        <v>2</v>
      </c>
      <c r="Y254" s="40" t="str">
        <f>IFERROR(__xludf.DUMMYFUNCTION("""COMPUTED_VALUE"""),"No tiene")</f>
        <v>No tiene</v>
      </c>
      <c r="Z254" s="42" t="str">
        <f>IFERROR(__xludf.DUMMYFUNCTION("""COMPUTED_VALUE"""),"No aplica")</f>
        <v>No aplica</v>
      </c>
      <c r="AA254" s="49" t="str">
        <f>IFERROR(__xludf.DUMMYFUNCTION("""COMPUTED_VALUE"""),"No aplica")</f>
        <v>No aplica</v>
      </c>
      <c r="AB254" s="48"/>
      <c r="AC254" s="40"/>
      <c r="AD254" s="40"/>
      <c r="AE254" s="40"/>
      <c r="AF254" s="40" t="str">
        <f>IFERROR(__xludf.DUMMYFUNCTION("""COMPUTED_VALUE"""),"básica")</f>
        <v>básica</v>
      </c>
      <c r="AG254" s="40"/>
      <c r="AH254" s="40" t="str">
        <f>IFERROR(__xludf.DUMMYFUNCTION("""COMPUTED_VALUE"""),"Inventario")</f>
        <v>Inventario</v>
      </c>
      <c r="AI254" s="40"/>
      <c r="AJ254" s="40" t="str">
        <f>IFERROR(__xludf.DUMMYFUNCTION("""COMPUTED_VALUE"""),"INMOBILIARIA TU JURIDICA")</f>
        <v>INMOBILIARIA TU JURIDICA</v>
      </c>
      <c r="AK254" s="40" t="str">
        <f>IFERROR(__xludf.DUMMYFUNCTION("""COMPUTED_VALUE"""),"No aplica")</f>
        <v>No aplica</v>
      </c>
      <c r="AL254" s="40" t="str">
        <f>IFERROR(__xludf.DUMMYFUNCTION("""COMPUTED_VALUE"""),"NO FOTOS + DESCRIPCION")</f>
        <v>NO FOTOS + DESCRIPCION</v>
      </c>
      <c r="AM254" s="40">
        <f>IFERROR(__xludf.DUMMYFUNCTION("""COMPUTED_VALUE"""),3.125062334E9)</f>
        <v>3125062334</v>
      </c>
      <c r="AN254" s="40">
        <f>IFERROR(__xludf.DUMMYFUNCTION("""COMPUTED_VALUE"""),3.174390599E9)</f>
        <v>3174390599</v>
      </c>
      <c r="AO254" s="40"/>
      <c r="AP254" s="40" t="str">
        <f>IFERROR(__xludf.DUMMYFUNCTION("""COMPUTED_VALUE"""),"CARRERA 7 A CON CALLE 15")</f>
        <v>CARRERA 7 A CON CALLE 15</v>
      </c>
      <c r="AQ254" s="40"/>
      <c r="AR254" s="40"/>
      <c r="AS254" s="53">
        <f>IFERROR(__xludf.DUMMYFUNCTION("""COMPUTED_VALUE"""),0.0)</f>
        <v>0</v>
      </c>
      <c r="AT254" s="40">
        <f>IFERROR(__xludf.DUMMYFUNCTION("""COMPUTED_VALUE"""),0.0)</f>
        <v>0</v>
      </c>
      <c r="AU254" s="40">
        <f>IFERROR(__xludf.DUMMYFUNCTION("""COMPUTED_VALUE"""),0.0)</f>
        <v>0</v>
      </c>
      <c r="AV254" s="40">
        <f>IFERROR(__xludf.DUMMYFUNCTION("""COMPUTED_VALUE"""),0.0)</f>
        <v>0</v>
      </c>
      <c r="AW254" s="40" t="str">
        <f>IFERROR(__xludf.DUMMYFUNCTION("""COMPUTED_VALUE"""),"NO")</f>
        <v>NO</v>
      </c>
      <c r="AX254" s="40">
        <f>IFERROR(__xludf.DUMMYFUNCTION("""COMPUTED_VALUE"""),0.0)</f>
        <v>0</v>
      </c>
      <c r="AY254" s="40" t="str">
        <f>IFERROR(__xludf.DUMMYFUNCTION("""COMPUTED_VALUE"""),"M")</f>
        <v>M</v>
      </c>
      <c r="AZ254" s="40">
        <f>IFERROR(__xludf.DUMMYFUNCTION("""COMPUTED_VALUE"""),0.0)</f>
        <v>0</v>
      </c>
      <c r="BA254" s="40" t="str">
        <f>IFERROR(__xludf.DUMMYFUNCTION("""COMPUTED_VALUE"""),"X")</f>
        <v>X</v>
      </c>
      <c r="BB254" s="40">
        <f>IFERROR(__xludf.DUMMYFUNCTION("""COMPUTED_VALUE"""),0.0)</f>
        <v>0</v>
      </c>
      <c r="BC254" s="53"/>
      <c r="BD254" s="48"/>
      <c r="BE254" s="48"/>
      <c r="BF254" s="48"/>
    </row>
    <row r="255">
      <c r="A255" s="39" t="str">
        <f>IFERROR(__xludf.DUMMYFUNCTION("""COMPUTED_VALUE"""),"457")</f>
        <v>457</v>
      </c>
      <c r="B255" s="40" t="str">
        <f>IFERROR(__xludf.DUMMYFUNCTION("""COMPUTED_VALUE"""),"Bodega en barrio Las Granjas")</f>
        <v>Bodega en barrio Las Granjas</v>
      </c>
      <c r="C255" s="40" t="str">
        <f>IFERROR(__xludf.DUMMYFUNCTION("""COMPUTED_VALUE"""),"Bodega")</f>
        <v>Bodega</v>
      </c>
      <c r="D255" s="40" t="str">
        <f>IFERROR(__xludf.DUMMYFUNCTION("""COMPUTED_VALUE"""),"Las Granjas")</f>
        <v>Las Granjas</v>
      </c>
      <c r="E255" s="40"/>
      <c r="F255" s="42">
        <f>IFERROR(__xludf.DUMMYFUNCTION("""COMPUTED_VALUE"""),1.35E9)</f>
        <v>1350000000</v>
      </c>
      <c r="G255" s="40" t="str">
        <f>IFERROR(__xludf.DUMMYFUNCTION("""COMPUTED_VALUE"""),"Más de $1.000'000.000")</f>
        <v>Más de $1.000'000.000</v>
      </c>
      <c r="H255" s="40"/>
      <c r="I255" s="40"/>
      <c r="J255" s="40" t="str">
        <f>IFERROR(__xludf.DUMMYFUNCTION("""COMPUTED_VALUE"""),"Norte")</f>
        <v>Norte</v>
      </c>
      <c r="K255" s="39" t="str">
        <f>IFERROR(__xludf.DUMMYFUNCTION("""COMPUTED_VALUE"""),"2")</f>
        <v>2</v>
      </c>
      <c r="L255" s="40">
        <f>IFERROR(__xludf.DUMMYFUNCTION("""COMPUTED_VALUE"""),3.0)</f>
        <v>3</v>
      </c>
      <c r="M255" s="40"/>
      <c r="N255" s="40">
        <f>IFERROR(__xludf.DUMMYFUNCTION("""COMPUTED_VALUE"""),2.0)</f>
        <v>2</v>
      </c>
      <c r="O255" s="40">
        <f>IFERROR(__xludf.DUMMYFUNCTION("""COMPUTED_VALUE"""),1.0)</f>
        <v>1</v>
      </c>
      <c r="P255" s="40">
        <f>IFERROR(__xludf.DUMMYFUNCTION("""COMPUTED_VALUE"""),1.0)</f>
        <v>1</v>
      </c>
      <c r="Q255" s="48">
        <f>IFERROR(__xludf.DUMMYFUNCTION("""COMPUTED_VALUE"""),70.0)</f>
        <v>70</v>
      </c>
      <c r="R255" s="48">
        <f>IFERROR(__xludf.DUMMYFUNCTION("""COMPUTED_VALUE"""),1770.0)</f>
        <v>1770</v>
      </c>
      <c r="S255" s="39" t="str">
        <f>IFERROR(__xludf.DUMMYFUNCTION("""COMPUTED_VALUE"""),"Rentabilidad $8,500,000")</f>
        <v>Rentabilidad $8,500,000</v>
      </c>
      <c r="T255" s="40" t="str">
        <f>IFERROR(__xludf.DUMMYFUNCTION("""COMPUTED_VALUE"""),"Neiva")</f>
        <v>Neiva</v>
      </c>
      <c r="U255" s="39" t="str">
        <f>IFERROR(__xludf.DUMMYFUNCTION("""COMPUTED_VALUE"""),"2")</f>
        <v>2</v>
      </c>
      <c r="V255" s="40" t="str">
        <f>IFERROR(__xludf.DUMMYFUNCTION("""COMPUTED_VALUE"""),"Medianera")</f>
        <v>Medianera</v>
      </c>
      <c r="W255" s="46"/>
      <c r="X255" s="46">
        <f>IFERROR(__xludf.DUMMYFUNCTION("""COMPUTED_VALUE"""),0.0)</f>
        <v>0</v>
      </c>
      <c r="Y255" s="40" t="str">
        <f>IFERROR(__xludf.DUMMYFUNCTION("""COMPUTED_VALUE"""),"No tiene")</f>
        <v>No tiene</v>
      </c>
      <c r="Z255" s="42" t="str">
        <f>IFERROR(__xludf.DUMMYFUNCTION("""COMPUTED_VALUE"""),"No aplica")</f>
        <v>No aplica</v>
      </c>
      <c r="AA255" s="49" t="str">
        <f>IFERROR(__xludf.DUMMYFUNCTION("""COMPUTED_VALUE"""),"13 años")</f>
        <v>13 años</v>
      </c>
      <c r="AB255" s="40"/>
      <c r="AC255" s="40"/>
      <c r="AD255" s="40"/>
      <c r="AE255" s="40"/>
      <c r="AF255" s="40" t="str">
        <f>IFERROR(__xludf.DUMMYFUNCTION("""COMPUTED_VALUE"""),"básica")</f>
        <v>básica</v>
      </c>
      <c r="AG255" s="40"/>
      <c r="AH255" s="40" t="str">
        <f>IFERROR(__xludf.DUMMYFUNCTION("""COMPUTED_VALUE"""),"Inventario")</f>
        <v>Inventario</v>
      </c>
      <c r="AI255" s="40"/>
      <c r="AJ255" s="40" t="str">
        <f>IFERROR(__xludf.DUMMYFUNCTION("""COMPUTED_VALUE"""),"INMOBILIARIA YATRANA")</f>
        <v>INMOBILIARIA YATRANA</v>
      </c>
      <c r="AK255" s="40" t="str">
        <f>IFERROR(__xludf.DUMMYFUNCTION("""COMPUTED_VALUE"""),"No aplica")</f>
        <v>No aplica</v>
      </c>
      <c r="AL255" s="40" t="str">
        <f>IFERROR(__xludf.DUMMYFUNCTION("""COMPUTED_VALUE"""),"NO FOTOS-INTER.")</f>
        <v>NO FOTOS-INTER.</v>
      </c>
      <c r="AM255" s="40">
        <f>IFERROR(__xludf.DUMMYFUNCTION("""COMPUTED_VALUE"""),3.173192436E9)</f>
        <v>3173192436</v>
      </c>
      <c r="AN255" s="40">
        <f>IFERROR(__xludf.DUMMYFUNCTION("""COMPUTED_VALUE"""),3.175394988E9)</f>
        <v>3175394988</v>
      </c>
      <c r="AO255" s="40"/>
      <c r="AP255" s="40" t="str">
        <f>IFERROR(__xludf.DUMMYFUNCTION("""COMPUTED_VALUE"""),"CARRERA 6 No. 31 - 35")</f>
        <v>CARRERA 6 No. 31 - 35</v>
      </c>
      <c r="AQ255" s="40"/>
      <c r="AR255" s="40"/>
      <c r="AS255" s="53">
        <f>IFERROR(__xludf.DUMMYFUNCTION("""COMPUTED_VALUE"""),8500000.0)</f>
        <v>8500000</v>
      </c>
      <c r="AT255" s="40">
        <f>IFERROR(__xludf.DUMMYFUNCTION("""COMPUTED_VALUE"""),0.0)</f>
        <v>0</v>
      </c>
      <c r="AU255" s="40">
        <f>IFERROR(__xludf.DUMMYFUNCTION("""COMPUTED_VALUE"""),0.0)</f>
        <v>0</v>
      </c>
      <c r="AV255" s="40">
        <f>IFERROR(__xludf.DUMMYFUNCTION("""COMPUTED_VALUE"""),0.0)</f>
        <v>0</v>
      </c>
      <c r="AW255" s="40" t="str">
        <f>IFERROR(__xludf.DUMMYFUNCTION("""COMPUTED_VALUE"""),"NO")</f>
        <v>NO</v>
      </c>
      <c r="AX255" s="40">
        <f>IFERROR(__xludf.DUMMYFUNCTION("""COMPUTED_VALUE"""),0.0)</f>
        <v>0</v>
      </c>
      <c r="AY255" s="40">
        <f>IFERROR(__xludf.DUMMYFUNCTION("""COMPUTED_VALUE"""),0.0)</f>
        <v>0</v>
      </c>
      <c r="AZ255" s="40">
        <f>IFERROR(__xludf.DUMMYFUNCTION("""COMPUTED_VALUE"""),30.0)</f>
        <v>30</v>
      </c>
      <c r="BA255" s="40" t="str">
        <f>IFERROR(__xludf.DUMMYFUNCTION("""COMPUTED_VALUE"""),"X")</f>
        <v>X</v>
      </c>
      <c r="BB255" s="40">
        <f>IFERROR(__xludf.DUMMYFUNCTION("""COMPUTED_VALUE"""),59.0)</f>
        <v>59</v>
      </c>
      <c r="BC255" s="53"/>
      <c r="BD255" s="48"/>
      <c r="BE255" s="48"/>
      <c r="BF255" s="48"/>
    </row>
    <row r="256">
      <c r="A256" s="39" t="str">
        <f>IFERROR(__xludf.DUMMYFUNCTION("""COMPUTED_VALUE"""),"632")</f>
        <v>632</v>
      </c>
      <c r="B256" s="40" t="str">
        <f>IFERROR(__xludf.DUMMYFUNCTION("""COMPUTED_VALUE"""),"Casa en barrio Los Cámbulos II")</f>
        <v>Casa en barrio Los Cámbulos II</v>
      </c>
      <c r="C256" s="40" t="str">
        <f>IFERROR(__xludf.DUMMYFUNCTION("""COMPUTED_VALUE"""),"Casa")</f>
        <v>Casa</v>
      </c>
      <c r="D256" s="40" t="str">
        <f>IFERROR(__xludf.DUMMYFUNCTION("""COMPUTED_VALUE"""),"Los Cámbulos II")</f>
        <v>Los Cámbulos II</v>
      </c>
      <c r="E256" s="42" t="str">
        <f>IFERROR(__xludf.DUMMYFUNCTION("""COMPUTED_VALUE""")," ")</f>
        <v> </v>
      </c>
      <c r="F256" s="42">
        <f>IFERROR(__xludf.DUMMYFUNCTION("""COMPUTED_VALUE"""),3.0E8)</f>
        <v>300000000</v>
      </c>
      <c r="G256" s="40" t="str">
        <f>IFERROR(__xludf.DUMMYFUNCTION("""COMPUTED_VALUE"""),"$300'000.000 a $400'000.000")</f>
        <v>$300'000.000 a $400'000.000</v>
      </c>
      <c r="H256" s="40"/>
      <c r="I256" s="40"/>
      <c r="J256" s="40" t="str">
        <f>IFERROR(__xludf.DUMMYFUNCTION("""COMPUTED_VALUE"""),"Norte")</f>
        <v>Norte</v>
      </c>
      <c r="K256" s="39" t="str">
        <f>IFERROR(__xludf.DUMMYFUNCTION("""COMPUTED_VALUE"""),"2")</f>
        <v>2</v>
      </c>
      <c r="L256" s="40">
        <f>IFERROR(__xludf.DUMMYFUNCTION("""COMPUTED_VALUE"""),4.0)</f>
        <v>4</v>
      </c>
      <c r="M256" s="40"/>
      <c r="N256" s="40">
        <f>IFERROR(__xludf.DUMMYFUNCTION("""COMPUTED_VALUE"""),2.0)</f>
        <v>2</v>
      </c>
      <c r="O256" s="40">
        <f>IFERROR(__xludf.DUMMYFUNCTION("""COMPUTED_VALUE"""),1.0)</f>
        <v>1</v>
      </c>
      <c r="P256" s="40">
        <f>IFERROR(__xludf.DUMMYFUNCTION("""COMPUTED_VALUE"""),2.0)</f>
        <v>2</v>
      </c>
      <c r="Q256" s="48">
        <f>IFERROR(__xludf.DUMMYFUNCTION("""COMPUTED_VALUE"""),154.0)</f>
        <v>154</v>
      </c>
      <c r="R256" s="48">
        <f>IFERROR(__xludf.DUMMYFUNCTION("""COMPUTED_VALUE"""),84.0)</f>
        <v>84</v>
      </c>
      <c r="S256" s="39" t="str">
        <f>IFERROR(__xludf.DUMMYFUNCTION("""COMPUTED_VALUE""")," ")</f>
        <v> </v>
      </c>
      <c r="T256" s="40" t="str">
        <f>IFERROR(__xludf.DUMMYFUNCTION("""COMPUTED_VALUE"""),"Neiva")</f>
        <v>Neiva</v>
      </c>
      <c r="U256" s="39" t="str">
        <f>IFERROR(__xludf.DUMMYFUNCTION("""COMPUTED_VALUE"""),"3")</f>
        <v>3</v>
      </c>
      <c r="V256" s="40" t="str">
        <f>IFERROR(__xludf.DUMMYFUNCTION("""COMPUTED_VALUE"""),"Medianera")</f>
        <v>Medianera</v>
      </c>
      <c r="W256" s="46"/>
      <c r="X256" s="46">
        <f>IFERROR(__xludf.DUMMYFUNCTION("""COMPUTED_VALUE"""),4.0)</f>
        <v>4</v>
      </c>
      <c r="Y256" s="40" t="str">
        <f>IFERROR(__xludf.DUMMYFUNCTION("""COMPUTED_VALUE"""),"No tiene")</f>
        <v>No tiene</v>
      </c>
      <c r="Z256" s="42" t="str">
        <f>IFERROR(__xludf.DUMMYFUNCTION("""COMPUTED_VALUE"""),"No aplica")</f>
        <v>No aplica</v>
      </c>
      <c r="AA256" s="49" t="str">
        <f>IFERROR(__xludf.DUMMYFUNCTION("""COMPUTED_VALUE"""),"No aplica")</f>
        <v>No aplica</v>
      </c>
      <c r="AB256" s="66" t="str">
        <f>IFERROR(__xludf.DUMMYFUNCTION("""COMPUTED_VALUE"""),"https://photos.app.goo.gl/pxVobcSFy1uBe4M57")</f>
        <v>https://photos.app.goo.gl/pxVobcSFy1uBe4M57</v>
      </c>
      <c r="AC256" s="40"/>
      <c r="AD256" s="40" t="str">
        <f>IFERROR(__xludf.DUMMYFUNCTION("""COMPUTED_VALUE"""),"Casa bien ubicada, con acabados en mármol madera y Driwall. Escritura al día.")</f>
        <v>Casa bien ubicada, con acabados en mármol madera y Driwall. Escritura al día.</v>
      </c>
      <c r="AE256" s="40"/>
      <c r="AF256" s="40" t="str">
        <f>IFERROR(__xludf.DUMMYFUNCTION("""COMPUTED_VALUE"""),"semi-integral")</f>
        <v>semi-integral</v>
      </c>
      <c r="AG256" s="40" t="str">
        <f>IFERROR(__xludf.DUMMYFUNCTION("""COMPUTED_VALUE"""),"SI")</f>
        <v>SI</v>
      </c>
      <c r="AH256" s="40" t="str">
        <f>IFERROR(__xludf.DUMMYFUNCTION("""COMPUTED_VALUE"""),"Inventario")</f>
        <v>Inventario</v>
      </c>
      <c r="AI256" s="40" t="str">
        <f>IFERROR(__xludf.DUMMYFUNCTION("""COMPUTED_VALUE"""),"Aliado")</f>
        <v>Aliado</v>
      </c>
      <c r="AJ256" s="40" t="str">
        <f>IFERROR(__xludf.DUMMYFUNCTION("""COMPUTED_VALUE"""),"Jennifer Garcia / Andrea Bernal / Jovel")</f>
        <v>Jennifer Garcia / Andrea Bernal / Jovel</v>
      </c>
      <c r="AK256" s="42" t="str">
        <f>IFERROR(__xludf.DUMMYFUNCTION("""COMPUTED_VALUE"""),"No aplica")</f>
        <v>No aplica</v>
      </c>
      <c r="AL256" s="40" t="str">
        <f>IFERROR(__xludf.DUMMYFUNCTION("""COMPUTED_VALUE"""),"TIENE FOTOS")</f>
        <v>TIENE FOTOS</v>
      </c>
      <c r="AM256" s="40" t="str">
        <f>IFERROR(__xludf.DUMMYFUNCTION("""COMPUTED_VALUE"""),"317 5746312")</f>
        <v>317 5746312</v>
      </c>
      <c r="AN256" s="40">
        <f>IFERROR(__xludf.DUMMYFUNCTION("""COMPUTED_VALUE"""),0.0)</f>
        <v>0</v>
      </c>
      <c r="AO256" s="40">
        <f>IFERROR(__xludf.DUMMYFUNCTION("""COMPUTED_VALUE"""),0.0)</f>
        <v>0</v>
      </c>
      <c r="AP256" s="40">
        <f>IFERROR(__xludf.DUMMYFUNCTION("""COMPUTED_VALUE"""),0.0)</f>
        <v>0</v>
      </c>
      <c r="AQ256" s="40">
        <f>IFERROR(__xludf.DUMMYFUNCTION("""COMPUTED_VALUE"""),2.9460141)</f>
        <v>2.9460141</v>
      </c>
      <c r="AR256" s="40">
        <f>IFERROR(__xludf.DUMMYFUNCTION("""COMPUTED_VALUE"""),-75.2859494)</f>
        <v>-75.2859494</v>
      </c>
      <c r="AS256" s="53">
        <f>IFERROR(__xludf.DUMMYFUNCTION("""COMPUTED_VALUE"""),0.0)</f>
        <v>0</v>
      </c>
      <c r="AT256" s="40">
        <f>IFERROR(__xludf.DUMMYFUNCTION("""COMPUTED_VALUE"""),0.0)</f>
        <v>0</v>
      </c>
      <c r="AU256" s="40">
        <f>IFERROR(__xludf.DUMMYFUNCTION("""COMPUTED_VALUE"""),0.0)</f>
        <v>0</v>
      </c>
      <c r="AV256" s="40">
        <f>IFERROR(__xludf.DUMMYFUNCTION("""COMPUTED_VALUE"""),0.0)</f>
        <v>0</v>
      </c>
      <c r="AW256" s="40" t="str">
        <f>IFERROR(__xludf.DUMMYFUNCTION("""COMPUTED_VALUE"""),"NO")</f>
        <v>NO</v>
      </c>
      <c r="AX256" s="40">
        <f>IFERROR(__xludf.DUMMYFUNCTION("""COMPUTED_VALUE"""),0.0)</f>
        <v>0</v>
      </c>
      <c r="AY256" s="40" t="str">
        <f>IFERROR(__xludf.DUMMYFUNCTION("""COMPUTED_VALUE"""),"P")</f>
        <v>P</v>
      </c>
      <c r="AZ256" s="40">
        <f>IFERROR(__xludf.DUMMYFUNCTION("""COMPUTED_VALUE"""),0.0)</f>
        <v>0</v>
      </c>
      <c r="BA256" s="40" t="str">
        <f>IFERROR(__xludf.DUMMYFUNCTION("""COMPUTED_VALUE"""),"X")</f>
        <v>X</v>
      </c>
      <c r="BB256" s="40">
        <f>IFERROR(__xludf.DUMMYFUNCTION("""COMPUTED_VALUE"""),0.0)</f>
        <v>0</v>
      </c>
      <c r="BC256" s="53"/>
      <c r="BD256" s="48"/>
      <c r="BE256" s="48"/>
      <c r="BF256" s="48" t="str">
        <f>IFERROR(__xludf.DUMMYFUNCTION("""COMPUTED_VALUE"""),"https://lh3.googleusercontent.com/pw/AP1GczMFAoeK0WCwOw-MJE8VzkaXFTFVVBxIYHBqD4qRA_KQ29nfo__UV3AprYn3W9NCLV1GzwWwJlM05Dit3IVGABoCQrCPLtdRdLg1Wb1jVeCQESMqfcvc=w1200|https://lh3.googleusercontent.com/pw/AP1GczPaWUaPgyczcoLbGaJw1HRgNsvadydZ_JdnP3nejCi7wmLWDe"&amp;"Hk3uzt68kdjHjOqyH4iy1d1MAxN3ufkhdZExSYJSD5dQCYrn7QOy0bTJS4moZ5dFUG=w1200|https://lh3.googleusercontent.com/pw/AP1GczPGwodAcddJOlPsSvMxk-UVHDRGAVE1u6DgeHglppTk-nTKVjyLK8HUFl_FAWiCiSs6gJn1akZ5Huh4IBQNWmKbo9taXlNcS1h8rH-KqjN8pTPAR1Ct=w1200|https://lh3.google"&amp;"usercontent.com/pw/AP1GczOdzsY7UvIvi-6BvUAka2bJw0Sr8m0NaLphXHp7ADP1ajL6q1-7VZwl1jh27r5FYvBH-5kKVB0J-mA3EhGmVjkiGKMJ25WkxnbG4ZbNABAANYBLn_9B=w1200|https://lh3.googleusercontent.com/pw/AP1GczOTGgJ5wBEJ3vIpkKyRtFgt1nj-sVKwDYDPMqUgZtLerqj6zIh8crsbKSlwTb4aBNrw"&amp;"2U3GH5B_IUfmnArmAadeBdZre5rgGOuru750OqK3s8P3sBS2=w1200|https://lh3.googleusercontent.com/pw/AP1GczMj2d_0IRwgNZKuOuiIB6--0JyMj-1Bq96GFqt8ZdM4X2giMLDSQnr9HTI9oNpLivi_bhdNfqEY7GQ46_WJspGimTAv6t_6fufDxddup7TWUigxA4gE=w1200|https://lh3.googleusercontent.com/pw"&amp;"/AP1GczOcrgIlvC2vd-DBbJarkfZprJw6GV7Ihedyof7IFPqtCpAZlUacKLDZf9VPXQQeipRjnsefwWIRR4vwXrQJBYkG2Q8qCX0LuT_PctJzaaGqlFEzHBGH=w1200|https://lh3.googleusercontent.com/pw/AP1GczNEnE8jMzkVv4WKL3t41p53oeDyf7qVjwB7plKWJqbs0nGMJCXHuLg1faKmhK4-xcHz_vfj_hqiojeXtpPZ3I"&amp;"v7YjI0xrV4h466cTEtU7izqb9Wg5wr=w1200|https://lh3.googleusercontent.com/pw/AP1GczM0TvtU4B8ee4GAN48KPUk9cLvu07mFXgmRADL3Am1es3zcuwmaIydvMpWa5w28hCb_HRjCud6Oq2QSnrFYjda31K_d8IpoL5oiDwc_orgFEoclZ_zP=w1200|https://lh3.googleusercontent.com/pw/AP1GczONDKoPnXKr9"&amp;"1ybr12semuE_to4Og7ylRlbNAXGCATK4mqXilPZPWJ2HF3QxX69415qdrbpxZwsnV9Lm-HCn8Emghar0TqOYa8WRRjn1yuKWHicDtrU=w1200|https://lh3.googleusercontent.com/pw/AP1GczOvEezED6R8X5wyzJ7LdBwZWwGcsUujaB0Jm6NRUbnbH1D-4YJM1XD4xJYH1PFChPO7tr7Ak2QsEvo16tUO24LYLg76OnE0FxE1dPDi"&amp;"COs_DzgbSqvr=w1200|https://lh3.googleusercontent.com/pw/AP1GczMBJOGj5ep-Cc2b_zMwD1zvYBu9lsoJJXXo3rHzW5ymGwPZ8-TFfp9WdL-pCizAkf8iYlKefzGILPYaFCQpUt-rvAq0B-y1zGmpvyImxBYQDXVlzw02=w1200|https://lh3.googleusercontent.com/pw/AP1GczNYDXffdbQzd_XfZgp-JLKASnro6AL"&amp;"4T3hgY5SyDfZneVftAwhWmFDdXIKRw4cmKqw-cz3z9HzbELvg8dttbyt9H8kmqZbhzvBttNa9_YbdJLh3EQhB=w1200|https://lh3.googleusercontent.com/pw/AP1GczNYhr2EmY7HpjTmG_vUL4yte_bwuuusfUJHJSmLJPaZIU-PZmJhVfB0G32qhxjPEcKdaj_a5IzjDt4EXOh4z6adRbsJcSAk9f13VdeCrlqHkiX0Bi5R=w1200"&amp;"|https://lh3.googleusercontent.com/pw/AP1GczMFAiC8mjdSbEZqnYah8ew4YRvQa08w35qdSDmhqufOPU69ST_NC91_XcwbZG940peRXMfZZqpfmX4YTZDYQXxVySt-BjzgGkNeDmmv0acCmkeoFrDH=w1200|https://lh3.googleusercontent.com/pw/AP1GczMp0_cENDjdKTjdTo20JWeBrAXy-gENmZH2q-u2pzSn9xLl9"&amp;"3Lt_UO7_9Y89hnEqrQgRljBKHKvv3IM4vYdbGPz7oqsA1rmgh6LGwryFwfNmUQAwkT7=w1200|https://lh3.googleusercontent.com/pw/AP1GczPMym17sffE1kdaS4-m-a8dMj_lbVG2pDZax5NaZn7083ToA5LUX1KJ_TnAdqCAuQAQ04xEoIwdP6tmutKDGSxOSNsWCFjPeNPyN4tXRgwZnyRNcByX=w1200|https://lh3.googl"&amp;"eusercontent.com/pw/AP1GczPJDj0pZ37YKwcmpwRqaLonzTOKWKFXjOsJEKzcPZFhGvr-BY_93r0NMZ8tcclqGJSiMiWa74XoDfDw6M_B5NXSrk2ka7cDNEcNmJwV0-92fsIjVwyn=w1200|https://lh3.googleusercontent.com/pw/AP1GczO7LUnoO0nbjXs0VN4HVHQtR3Y6tuivc08C-iYB92-M5eXoKkD9tcgOE8Im339DgbO"&amp;"7SykjLGoCZURck4kB3BKs3T4XengAauz0qjAmWy-NM-tBlJUG=w1200")</f>
        <v>https://lh3.googleusercontent.com/pw/AP1GczMFAoeK0WCwOw-MJE8VzkaXFTFVVBxIYHBqD4qRA_KQ29nfo__UV3AprYn3W9NCLV1GzwWwJlM05Dit3IVGABoCQrCPLtdRdLg1Wb1jVeCQESMqfcvc=w1200|https://lh3.googleusercontent.com/pw/AP1GczPaWUaPgyczcoLbGaJw1HRgNsvadydZ_JdnP3nejCi7wmLWDeHk3uzt68kdjHjOqyH4iy1d1MAxN3ufkhdZExSYJSD5dQCYrn7QOy0bTJS4moZ5dFUG=w1200|https://lh3.googleusercontent.com/pw/AP1GczPGwodAcddJOlPsSvMxk-UVHDRGAVE1u6DgeHglppTk-nTKVjyLK8HUFl_FAWiCiSs6gJn1akZ5Huh4IBQNWmKbo9taXlNcS1h8rH-KqjN8pTPAR1Ct=w1200|https://lh3.googleusercontent.com/pw/AP1GczOdzsY7UvIvi-6BvUAka2bJw0Sr8m0NaLphXHp7ADP1ajL6q1-7VZwl1jh27r5FYvBH-5kKVB0J-mA3EhGmVjkiGKMJ25WkxnbG4ZbNABAANYBLn_9B=w1200|https://lh3.googleusercontent.com/pw/AP1GczOTGgJ5wBEJ3vIpkKyRtFgt1nj-sVKwDYDPMqUgZtLerqj6zIh8crsbKSlwTb4aBNrw2U3GH5B_IUfmnArmAadeBdZre5rgGOuru750OqK3s8P3sBS2=w1200|https://lh3.googleusercontent.com/pw/AP1GczMj2d_0IRwgNZKuOuiIB6--0JyMj-1Bq96GFqt8ZdM4X2giMLDSQnr9HTI9oNpLivi_bhdNfqEY7GQ46_WJspGimTAv6t_6fufDxddup7TWUigxA4gE=w1200|https://lh3.googleusercontent.com/pw/AP1GczOcrgIlvC2vd-DBbJarkfZprJw6GV7Ihedyof7IFPqtCpAZlUacKLDZf9VPXQQeipRjnsefwWIRR4vwXrQJBYkG2Q8qCX0LuT_PctJzaaGqlFEzHBGH=w1200|https://lh3.googleusercontent.com/pw/AP1GczNEnE8jMzkVv4WKL3t41p53oeDyf7qVjwB7plKWJqbs0nGMJCXHuLg1faKmhK4-xcHz_vfj_hqiojeXtpPZ3Iv7YjI0xrV4h466cTEtU7izqb9Wg5wr=w1200|https://lh3.googleusercontent.com/pw/AP1GczM0TvtU4B8ee4GAN48KPUk9cLvu07mFXgmRADL3Am1es3zcuwmaIydvMpWa5w28hCb_HRjCud6Oq2QSnrFYjda31K_d8IpoL5oiDwc_orgFEoclZ_zP=w1200|https://lh3.googleusercontent.com/pw/AP1GczONDKoPnXKr91ybr12semuE_to4Og7ylRlbNAXGCATK4mqXilPZPWJ2HF3QxX69415qdrbpxZwsnV9Lm-HCn8Emghar0TqOYa8WRRjn1yuKWHicDtrU=w1200|https://lh3.googleusercontent.com/pw/AP1GczOvEezED6R8X5wyzJ7LdBwZWwGcsUujaB0Jm6NRUbnbH1D-4YJM1XD4xJYH1PFChPO7tr7Ak2QsEvo16tUO24LYLg76OnE0FxE1dPDiCOs_DzgbSqvr=w1200|https://lh3.googleusercontent.com/pw/AP1GczMBJOGj5ep-Cc2b_zMwD1zvYBu9lsoJJXXo3rHzW5ymGwPZ8-TFfp9WdL-pCizAkf8iYlKefzGILPYaFCQpUt-rvAq0B-y1zGmpvyImxBYQDXVlzw02=w1200|https://lh3.googleusercontent.com/pw/AP1GczNYDXffdbQzd_XfZgp-JLKASnro6AL4T3hgY5SyDfZneVftAwhWmFDdXIKRw4cmKqw-cz3z9HzbELvg8dttbyt9H8kmqZbhzvBttNa9_YbdJLh3EQhB=w1200|https://lh3.googleusercontent.com/pw/AP1GczNYhr2EmY7HpjTmG_vUL4yte_bwuuusfUJHJSmLJPaZIU-PZmJhVfB0G32qhxjPEcKdaj_a5IzjDt4EXOh4z6adRbsJcSAk9f13VdeCrlqHkiX0Bi5R=w1200|https://lh3.googleusercontent.com/pw/AP1GczMFAiC8mjdSbEZqnYah8ew4YRvQa08w35qdSDmhqufOPU69ST_NC91_XcwbZG940peRXMfZZqpfmX4YTZDYQXxVySt-BjzgGkNeDmmv0acCmkeoFrDH=w1200|https://lh3.googleusercontent.com/pw/AP1GczMp0_cENDjdKTjdTo20JWeBrAXy-gENmZH2q-u2pzSn9xLl93Lt_UO7_9Y89hnEqrQgRljBKHKvv3IM4vYdbGPz7oqsA1rmgh6LGwryFwfNmUQAwkT7=w1200|https://lh3.googleusercontent.com/pw/AP1GczPMym17sffE1kdaS4-m-a8dMj_lbVG2pDZax5NaZn7083ToA5LUX1KJ_TnAdqCAuQAQ04xEoIwdP6tmutKDGSxOSNsWCFjPeNPyN4tXRgwZnyRNcByX=w1200|https://lh3.googleusercontent.com/pw/AP1GczPJDj0pZ37YKwcmpwRqaLonzTOKWKFXjOsJEKzcPZFhGvr-BY_93r0NMZ8tcclqGJSiMiWa74XoDfDw6M_B5NXSrk2ka7cDNEcNmJwV0-92fsIjVwyn=w1200|https://lh3.googleusercontent.com/pw/AP1GczO7LUnoO0nbjXs0VN4HVHQtR3Y6tuivc08C-iYB92-M5eXoKkD9tcgOE8Im339DgbO7SykjLGoCZURck4kB3BKs3T4XengAauz0qjAmWy-NM-tBlJUG=w1200</v>
      </c>
    </row>
    <row r="257">
      <c r="A257" s="39" t="str">
        <f>IFERROR(__xludf.DUMMYFUNCTION("""COMPUTED_VALUE"""),"1055")</f>
        <v>1055</v>
      </c>
      <c r="B257" s="40" t="str">
        <f>IFERROR(__xludf.DUMMYFUNCTION("""COMPUTED_VALUE"""),"Casa en barrio Los Cámbulos II")</f>
        <v>Casa en barrio Los Cámbulos II</v>
      </c>
      <c r="C257" s="40" t="str">
        <f>IFERROR(__xludf.DUMMYFUNCTION("""COMPUTED_VALUE"""),"Casa")</f>
        <v>Casa</v>
      </c>
      <c r="D257" s="40" t="str">
        <f>IFERROR(__xludf.DUMMYFUNCTION("""COMPUTED_VALUE"""),"Los Cámbulos II")</f>
        <v>Los Cámbulos II</v>
      </c>
      <c r="E257" s="42" t="str">
        <f>IFERROR(__xludf.DUMMYFUNCTION("""COMPUTED_VALUE""")," ")</f>
        <v> </v>
      </c>
      <c r="F257" s="42">
        <f>IFERROR(__xludf.DUMMYFUNCTION("""COMPUTED_VALUE"""),2.8E8)</f>
        <v>280000000</v>
      </c>
      <c r="G257" s="40" t="str">
        <f>IFERROR(__xludf.DUMMYFUNCTION("""COMPUTED_VALUE"""),"$200'000.000 a $300'000.000")</f>
        <v>$200'000.000 a $300'000.000</v>
      </c>
      <c r="H257" s="40"/>
      <c r="I257" s="40"/>
      <c r="J257" s="40" t="str">
        <f>IFERROR(__xludf.DUMMYFUNCTION("""COMPUTED_VALUE"""),"Norte")</f>
        <v>Norte</v>
      </c>
      <c r="K257" s="39" t="str">
        <f>IFERROR(__xludf.DUMMYFUNCTION("""COMPUTED_VALUE"""),"2")</f>
        <v>2</v>
      </c>
      <c r="L257" s="40">
        <f>IFERROR(__xludf.DUMMYFUNCTION("""COMPUTED_VALUE"""),4.0)</f>
        <v>4</v>
      </c>
      <c r="M257" s="40"/>
      <c r="N257" s="40">
        <f>IFERROR(__xludf.DUMMYFUNCTION("""COMPUTED_VALUE"""),3.0)</f>
        <v>3</v>
      </c>
      <c r="O257" s="40">
        <f>IFERROR(__xludf.DUMMYFUNCTION("""COMPUTED_VALUE"""),1.0)</f>
        <v>1</v>
      </c>
      <c r="P257" s="40">
        <f>IFERROR(__xludf.DUMMYFUNCTION("""COMPUTED_VALUE"""),2.0)</f>
        <v>2</v>
      </c>
      <c r="Q257" s="48">
        <f>IFERROR(__xludf.DUMMYFUNCTION("""COMPUTED_VALUE"""),134.0)</f>
        <v>134</v>
      </c>
      <c r="R257" s="48">
        <f>IFERROR(__xludf.DUMMYFUNCTION("""COMPUTED_VALUE"""),84.0)</f>
        <v>84</v>
      </c>
      <c r="S257" s="39" t="str">
        <f>IFERROR(__xludf.DUMMYFUNCTION("""COMPUTED_VALUE""")," ")</f>
        <v> </v>
      </c>
      <c r="T257" s="40" t="str">
        <f>IFERROR(__xludf.DUMMYFUNCTION("""COMPUTED_VALUE"""),"Neiva")</f>
        <v>Neiva</v>
      </c>
      <c r="U257" s="39" t="str">
        <f>IFERROR(__xludf.DUMMYFUNCTION("""COMPUTED_VALUE"""),"3")</f>
        <v>3</v>
      </c>
      <c r="V257" s="40" t="str">
        <f>IFERROR(__xludf.DUMMYFUNCTION("""COMPUTED_VALUE"""),"Medianera")</f>
        <v>Medianera</v>
      </c>
      <c r="W257" s="46"/>
      <c r="X257" s="46">
        <f>IFERROR(__xludf.DUMMYFUNCTION("""COMPUTED_VALUE"""),4.0)</f>
        <v>4</v>
      </c>
      <c r="Y257" s="40" t="str">
        <f>IFERROR(__xludf.DUMMYFUNCTION("""COMPUTED_VALUE"""),"No tiene")</f>
        <v>No tiene</v>
      </c>
      <c r="Z257" s="42" t="str">
        <f>IFERROR(__xludf.DUMMYFUNCTION("""COMPUTED_VALUE"""),"No aplica")</f>
        <v>No aplica</v>
      </c>
      <c r="AA257" s="49" t="str">
        <f>IFERROR(__xludf.DUMMYFUNCTION("""COMPUTED_VALUE"""),"No aplica")</f>
        <v>No aplica</v>
      </c>
      <c r="AB257" s="66" t="str">
        <f>IFERROR(__xludf.DUMMYFUNCTION("""COMPUTED_VALUE"""),"https://photos.app.goo.gl/UmFuRays1ga56oJn6")</f>
        <v>https://photos.app.goo.gl/UmFuRays1ga56oJn6</v>
      </c>
      <c r="AC257" s="40"/>
      <c r="AD257" s="40" t="str">
        <f>IFERROR(__xludf.DUMMYFUNCTION("""COMPUTED_VALUE"""),"Casa bien ubicada sobre vía vehicular. Buenos acabados. Escritura al día.")</f>
        <v>Casa bien ubicada sobre vía vehicular. Buenos acabados. Escritura al día.</v>
      </c>
      <c r="AE257" s="40"/>
      <c r="AF257" s="40" t="str">
        <f>IFERROR(__xludf.DUMMYFUNCTION("""COMPUTED_VALUE"""),"integral")</f>
        <v>integral</v>
      </c>
      <c r="AG257" s="40" t="str">
        <f>IFERROR(__xludf.DUMMYFUNCTION("""COMPUTED_VALUE"""),"SI")</f>
        <v>SI</v>
      </c>
      <c r="AH257" s="40" t="str">
        <f>IFERROR(__xludf.DUMMYFUNCTION("""COMPUTED_VALUE"""),"Inventario")</f>
        <v>Inventario</v>
      </c>
      <c r="AI257" s="40" t="str">
        <f>IFERROR(__xludf.DUMMYFUNCTION("""COMPUTED_VALUE"""),"Aliado")</f>
        <v>Aliado</v>
      </c>
      <c r="AJ257" s="40" t="str">
        <f>IFERROR(__xludf.DUMMYFUNCTION("""COMPUTED_VALUE"""),"Jennifer Garcia / Andrea Bernal / Jovel")</f>
        <v>Jennifer Garcia / Andrea Bernal / Jovel</v>
      </c>
      <c r="AK257" s="42" t="str">
        <f>IFERROR(__xludf.DUMMYFUNCTION("""COMPUTED_VALUE"""),"No aplica")</f>
        <v>No aplica</v>
      </c>
      <c r="AL257" s="40" t="str">
        <f>IFERROR(__xludf.DUMMYFUNCTION("""COMPUTED_VALUE"""),"TIENE FOTOS")</f>
        <v>TIENE FOTOS</v>
      </c>
      <c r="AM257" s="40" t="str">
        <f>IFERROR(__xludf.DUMMYFUNCTION("""COMPUTED_VALUE"""),"317 5746312")</f>
        <v>317 5746312</v>
      </c>
      <c r="AN257" s="40">
        <f>IFERROR(__xludf.DUMMYFUNCTION("""COMPUTED_VALUE"""),0.0)</f>
        <v>0</v>
      </c>
      <c r="AO257" s="40"/>
      <c r="AP257" s="40"/>
      <c r="AQ257" s="40">
        <f>IFERROR(__xludf.DUMMYFUNCTION("""COMPUTED_VALUE"""),2.9466814)</f>
        <v>2.9466814</v>
      </c>
      <c r="AR257" s="40">
        <f>IFERROR(__xludf.DUMMYFUNCTION("""COMPUTED_VALUE"""),-75.2872081)</f>
        <v>-75.2872081</v>
      </c>
      <c r="AS257" s="53">
        <f>IFERROR(__xludf.DUMMYFUNCTION("""COMPUTED_VALUE"""),0.0)</f>
        <v>0</v>
      </c>
      <c r="AT257" s="40">
        <f>IFERROR(__xludf.DUMMYFUNCTION("""COMPUTED_VALUE"""),0.0)</f>
        <v>0</v>
      </c>
      <c r="AU257" s="40">
        <f>IFERROR(__xludf.DUMMYFUNCTION("""COMPUTED_VALUE"""),0.0)</f>
        <v>0</v>
      </c>
      <c r="AV257" s="40">
        <f>IFERROR(__xludf.DUMMYFUNCTION("""COMPUTED_VALUE"""),0.0)</f>
        <v>0</v>
      </c>
      <c r="AW257" s="40" t="str">
        <f>IFERROR(__xludf.DUMMYFUNCTION("""COMPUTED_VALUE"""),"NO")</f>
        <v>NO</v>
      </c>
      <c r="AX257" s="40">
        <f>IFERROR(__xludf.DUMMYFUNCTION("""COMPUTED_VALUE"""),0.0)</f>
        <v>0</v>
      </c>
      <c r="AY257" s="40">
        <f>IFERROR(__xludf.DUMMYFUNCTION("""COMPUTED_VALUE"""),0.0)</f>
        <v>0</v>
      </c>
      <c r="AZ257" s="40">
        <f>IFERROR(__xludf.DUMMYFUNCTION("""COMPUTED_VALUE"""),0.0)</f>
        <v>0</v>
      </c>
      <c r="BA257" s="40" t="str">
        <f>IFERROR(__xludf.DUMMYFUNCTION("""COMPUTED_VALUE"""),"X")</f>
        <v>X</v>
      </c>
      <c r="BB257" s="40">
        <f>IFERROR(__xludf.DUMMYFUNCTION("""COMPUTED_VALUE"""),0.0)</f>
        <v>0</v>
      </c>
      <c r="BC257" s="53"/>
      <c r="BD257" s="40"/>
      <c r="BE257" s="48"/>
      <c r="BF257" s="48" t="str">
        <f>IFERROR(__xludf.DUMMYFUNCTION("""COMPUTED_VALUE"""),"https://lh3.googleusercontent.com/pw/AP1GczOpThYuTmihxlvceOcIqt9VZKT-66flm-BEu4YS2-sz6naRpSnXB70W229l0tbhY3ASYiuR3xmTfscQWdo8XHmlauhCmOjxaeHLW7PmWFr2Qe6p6CI1=w1200|https://lh3.googleusercontent.com/pw/AP1GczN3n_ULvdzIGJx5PsI2VNv0kixFJutur2otAv4Zg5yJDbZwki"&amp;"__xlnbpeN0gGeOLUiLnTQfr1IKwT4xQ2LaNgxwf2rnK0cc-vt7J9V8YMj4XwTYOpXB=w1200|https://lh3.googleusercontent.com/pw/AP1GczO0ESNvU1463K8Mzs5iWV1XNOB4NM7RhK5wvEJnCyFg0ADRX3jsUt9wQPqLiHP7B962nWCTka4lJK6h4--vcKffwfNaafyKhoZeLDQoYGp2YFr9I29q=w1200|https://lh3.google"&amp;"usercontent.com/pw/AP1GczNQlkuhpng3eO_QSVbdDKPMYHF_zmexNOwDCGCD4rcqHDD25DNgVxxaHMenzQa4dueCQ2BPsE7BUKFUja6_fEQbPsZz8M8qyFBrytCEwWfnzGpxeUJN=w1200|https://lh3.googleusercontent.com/pw/AP1GczMNN3hfWcrt2gTUkSUbUDtxJR3JQu1w3o65-D9dmTnSF42-R1E4dxRsPbfvUM2tzkky"&amp;"ey6MI4tyQtdh8qZ92cQsFRNPF33dqaNTKmwWfYTKSeuFNKdV=w1200|https://lh3.googleusercontent.com/pw/AP1GczNB5fuCsV1pskbvaCKTsiWtD056_izbEKIvdQbpgQ6mO0z5kXaD-4bfPKfM4rrLGJn8YOOQ0I6SJF6wQT4sI-7nqkqSTCqchfaqGicpvBuKy8BsxHro=w1200|https://lh3.googleusercontent.com/pw"&amp;"/AP1GczMljzA5A-3Qo8phD-cfZIyj_NssEIvrJlCQWY8sdRMkY2NH_NWTodQdw-16oK1mAWtlwJPo13lH5CCDq2v44Y3Be7FUSvfCScwtZU4kEHJvQex2eET3=w1200|https://lh3.googleusercontent.com/pw/AP1GczNbEHQWAQ0MIzjxdClwCVfbNDYVG3HK4okEJdMqG4eznHzxsNBotlWTErU_EQo0P3lWeGnQm_xfLXYjBka5nT"&amp;"ppyp5L06MVmYfsugxuNNipp-vNtHj2=w1200|https://lh3.googleusercontent.com/pw/AP1GczObHdh4ka2KJG_ZFIt_MnN7vP6Wt_1x4qQUeI7lGDzr5-Pa4qdEQpC2X598Wdtu7CwxTpK3aOh3k33-1DVjODEjnLr7DnmCWLggfsQNZrDR97SK2_5y=w1200|https://lh3.googleusercontent.com/pw/AP1GczPETd6edp55T"&amp;"T_AE4ponSixRliUG4sbFS0cWaC8lhI2s26wW8wsO5B2e9Q2gKE0m4UYehpXcme_KhxWiJOQ7_y2h20zaRhJCeEjLyK7u574tkxWbU3Z=w1200|https://lh3.googleusercontent.com/pw/AP1GczNMSqJ4jMNNPa4h0re1T0yU2vctcQA4033hO-WuzGRSWFAI8eaLgz46Fi983Kd24Hil-00pSPMJjq5vVXIwtcvyctia-vmRY5tTFKf3"&amp;"w65fKOImbCiF=w1200|https://lh3.googleusercontent.com/pw/AP1GczMte32awzk6XFAYFIoi8sge0LuuzzsQFmmXOuVUbb7GXDTqLlkuPQ-8Xx9sXEAv7TSzlMGDs_E44wViG5avBPN3WFHIQIHFZynNHhz-LG9h0A3MHQJO=w1200|https://lh3.googleusercontent.com/pw/AP1GczNfXicYM7wOYqB5wpU55iwVjsrk0xE"&amp;"24qQvFnfAcPchF3Yug3R_XNd9LHbA8eTtkyazL22Fx-hlZNjXrGuqLJU9pPhy4I987sgQM607c3CdKqFyTMAV=w1200|https://lh3.googleusercontent.com/pw/AP1GczOiOmnDJtoYmIXTz7_AhX9C4LhJDllZgDc_vR7ypiV1dKAubnSCyJU77s4BORPA2eyRhd8y4EQe8GnxnKy8EA-7WUw3KfZX_StkPRVRCSr8u6Dz6TtH=w1200")</f>
        <v>https://lh3.googleusercontent.com/pw/AP1GczOpThYuTmihxlvceOcIqt9VZKT-66flm-BEu4YS2-sz6naRpSnXB70W229l0tbhY3ASYiuR3xmTfscQWdo8XHmlauhCmOjxaeHLW7PmWFr2Qe6p6CI1=w1200|https://lh3.googleusercontent.com/pw/AP1GczN3n_ULvdzIGJx5PsI2VNv0kixFJutur2otAv4Zg5yJDbZwki__xlnbpeN0gGeOLUiLnTQfr1IKwT4xQ2LaNgxwf2rnK0cc-vt7J9V8YMj4XwTYOpXB=w1200|https://lh3.googleusercontent.com/pw/AP1GczO0ESNvU1463K8Mzs5iWV1XNOB4NM7RhK5wvEJnCyFg0ADRX3jsUt9wQPqLiHP7B962nWCTka4lJK6h4--vcKffwfNaafyKhoZeLDQoYGp2YFr9I29q=w1200|https://lh3.googleusercontent.com/pw/AP1GczNQlkuhpng3eO_QSVbdDKPMYHF_zmexNOwDCGCD4rcqHDD25DNgVxxaHMenzQa4dueCQ2BPsE7BUKFUja6_fEQbPsZz8M8qyFBrytCEwWfnzGpxeUJN=w1200|https://lh3.googleusercontent.com/pw/AP1GczMNN3hfWcrt2gTUkSUbUDtxJR3JQu1w3o65-D9dmTnSF42-R1E4dxRsPbfvUM2tzkkyey6MI4tyQtdh8qZ92cQsFRNPF33dqaNTKmwWfYTKSeuFNKdV=w1200|https://lh3.googleusercontent.com/pw/AP1GczNB5fuCsV1pskbvaCKTsiWtD056_izbEKIvdQbpgQ6mO0z5kXaD-4bfPKfM4rrLGJn8YOOQ0I6SJF6wQT4sI-7nqkqSTCqchfaqGicpvBuKy8BsxHro=w1200|https://lh3.googleusercontent.com/pw/AP1GczMljzA5A-3Qo8phD-cfZIyj_NssEIvrJlCQWY8sdRMkY2NH_NWTodQdw-16oK1mAWtlwJPo13lH5CCDq2v44Y3Be7FUSvfCScwtZU4kEHJvQex2eET3=w1200|https://lh3.googleusercontent.com/pw/AP1GczNbEHQWAQ0MIzjxdClwCVfbNDYVG3HK4okEJdMqG4eznHzxsNBotlWTErU_EQo0P3lWeGnQm_xfLXYjBka5nTppyp5L06MVmYfsugxuNNipp-vNtHj2=w1200|https://lh3.googleusercontent.com/pw/AP1GczObHdh4ka2KJG_ZFIt_MnN7vP6Wt_1x4qQUeI7lGDzr5-Pa4qdEQpC2X598Wdtu7CwxTpK3aOh3k33-1DVjODEjnLr7DnmCWLggfsQNZrDR97SK2_5y=w1200|https://lh3.googleusercontent.com/pw/AP1GczPETd6edp55TT_AE4ponSixRliUG4sbFS0cWaC8lhI2s26wW8wsO5B2e9Q2gKE0m4UYehpXcme_KhxWiJOQ7_y2h20zaRhJCeEjLyK7u574tkxWbU3Z=w1200|https://lh3.googleusercontent.com/pw/AP1GczNMSqJ4jMNNPa4h0re1T0yU2vctcQA4033hO-WuzGRSWFAI8eaLgz46Fi983Kd24Hil-00pSPMJjq5vVXIwtcvyctia-vmRY5tTFKf3w65fKOImbCiF=w1200|https://lh3.googleusercontent.com/pw/AP1GczMte32awzk6XFAYFIoi8sge0LuuzzsQFmmXOuVUbb7GXDTqLlkuPQ-8Xx9sXEAv7TSzlMGDs_E44wViG5avBPN3WFHIQIHFZynNHhz-LG9h0A3MHQJO=w1200|https://lh3.googleusercontent.com/pw/AP1GczNfXicYM7wOYqB5wpU55iwVjsrk0xE24qQvFnfAcPchF3Yug3R_XNd9LHbA8eTtkyazL22Fx-hlZNjXrGuqLJU9pPhy4I987sgQM607c3CdKqFyTMAV=w1200|https://lh3.googleusercontent.com/pw/AP1GczOiOmnDJtoYmIXTz7_AhX9C4LhJDllZgDc_vR7ypiV1dKAubnSCyJU77s4BORPA2eyRhd8y4EQe8GnxnKy8EA-7WUw3KfZX_StkPRVRCSr8u6Dz6TtH=w1200</v>
      </c>
    </row>
    <row r="258">
      <c r="A258" s="39" t="str">
        <f>IFERROR(__xludf.DUMMYFUNCTION("""COMPUTED_VALUE"""),"1108")</f>
        <v>1108</v>
      </c>
      <c r="B258" s="40" t="str">
        <f>IFERROR(__xludf.DUMMYFUNCTION("""COMPUTED_VALUE"""),"Casa en barrio Villa Carolina III Etapa")</f>
        <v>Casa en barrio Villa Carolina III Etapa</v>
      </c>
      <c r="C258" s="40" t="str">
        <f>IFERROR(__xludf.DUMMYFUNCTION("""COMPUTED_VALUE"""),"Casa")</f>
        <v>Casa</v>
      </c>
      <c r="D258" s="40" t="str">
        <f>IFERROR(__xludf.DUMMYFUNCTION("""COMPUTED_VALUE"""),"Villa Carolina")</f>
        <v>Villa Carolina</v>
      </c>
      <c r="E258" s="40"/>
      <c r="F258" s="42">
        <f>IFERROR(__xludf.DUMMYFUNCTION("""COMPUTED_VALUE"""),3.4E8)</f>
        <v>340000000</v>
      </c>
      <c r="G258" s="40" t="str">
        <f>IFERROR(__xludf.DUMMYFUNCTION("""COMPUTED_VALUE"""),"$300'000.000 a $400'000.000")</f>
        <v>$300'000.000 a $400'000.000</v>
      </c>
      <c r="H258" s="40"/>
      <c r="I258" s="40"/>
      <c r="J258" s="40" t="str">
        <f>IFERROR(__xludf.DUMMYFUNCTION("""COMPUTED_VALUE"""),"Norte")</f>
        <v>Norte</v>
      </c>
      <c r="K258" s="39"/>
      <c r="L258" s="49">
        <f>IFERROR(__xludf.DUMMYFUNCTION("""COMPUTED_VALUE"""),3.0)</f>
        <v>3</v>
      </c>
      <c r="M258" s="49"/>
      <c r="N258" s="49">
        <f>IFERROR(__xludf.DUMMYFUNCTION("""COMPUTED_VALUE"""),4.0)</f>
        <v>4</v>
      </c>
      <c r="O258" s="49">
        <f>IFERROR(__xludf.DUMMYFUNCTION("""COMPUTED_VALUE"""),1.0)</f>
        <v>1</v>
      </c>
      <c r="P258" s="49">
        <f>IFERROR(__xludf.DUMMYFUNCTION("""COMPUTED_VALUE"""),2.0)</f>
        <v>2</v>
      </c>
      <c r="Q258" s="48">
        <f>IFERROR(__xludf.DUMMYFUNCTION("""COMPUTED_VALUE"""),140.0)</f>
        <v>140</v>
      </c>
      <c r="R258" s="48">
        <f>IFERROR(__xludf.DUMMYFUNCTION("""COMPUTED_VALUE"""),105.0)</f>
        <v>105</v>
      </c>
      <c r="S258" s="39" t="str">
        <f>IFERROR(__xludf.DUMMYFUNCTION("""COMPUTED_VALUE""")," ")</f>
        <v> </v>
      </c>
      <c r="T258" s="40" t="str">
        <f>IFERROR(__xludf.DUMMYFUNCTION("""COMPUTED_VALUE"""),"Neiva")</f>
        <v>Neiva</v>
      </c>
      <c r="U258" s="39" t="str">
        <f>IFERROR(__xludf.DUMMYFUNCTION("""COMPUTED_VALUE"""),"3")</f>
        <v>3</v>
      </c>
      <c r="V258" s="49" t="str">
        <f>IFERROR(__xludf.DUMMYFUNCTION("""COMPUTED_VALUE"""),"Esquinera")</f>
        <v>Esquinera</v>
      </c>
      <c r="W258" s="33"/>
      <c r="X258" s="33">
        <f>IFERROR(__xludf.DUMMYFUNCTION("""COMPUTED_VALUE"""),3.0)</f>
        <v>3</v>
      </c>
      <c r="Y258" s="40" t="str">
        <f>IFERROR(__xludf.DUMMYFUNCTION("""COMPUTED_VALUE"""),"No tiene")</f>
        <v>No tiene</v>
      </c>
      <c r="Z258" s="42" t="str">
        <f>IFERROR(__xludf.DUMMYFUNCTION("""COMPUTED_VALUE"""),"No aplica")</f>
        <v>No aplica</v>
      </c>
      <c r="AA258" s="49" t="str">
        <f>IFERROR(__xludf.DUMMYFUNCTION("""COMPUTED_VALUE"""),"No aplica")</f>
        <v>No aplica</v>
      </c>
      <c r="AB258" s="105" t="str">
        <f>IFERROR(__xludf.DUMMYFUNCTION("""COMPUTED_VALUE"""),"https://photos.app.goo.gl/SpZULHC9pfFEULiSA")</f>
        <v>https://photos.app.goo.gl/SpZULHC9pfFEULiSA</v>
      </c>
      <c r="AC258" s="40" t="str">
        <f>IFERROR(__xludf.DUMMYFUNCTION("""COMPUTED_VALUE"""),"Casa con buenos acabados, piso en mármol, cieloraso en Driwall y machehembre, hierro forjado en pasamanos de la escalera, carpintería marcos, puerta, closet, muros empotrados y cocina en madera. Divisiones en acrílico.")</f>
        <v>Casa con buenos acabados, piso en mármol, cieloraso en Driwall y machehembre, hierro forjado en pasamanos de la escalera, carpintería marcos, puerta, closet, muros empotrados y cocina en madera. Divisiones en acrílico.</v>
      </c>
      <c r="AD258" s="40" t="str">
        <f>IFERROR(__xludf.DUMMYFUNCTION("""COMPUTED_VALUE"""),"Casa bien ubicada, sobre vía vehicular amplia y pavimentada, antejardín con tablón rojo y granito pulido. Cuenta con reja antejardín. Fachada con viga canal. Molduras en yeso. Escritura al día.")</f>
        <v>Casa bien ubicada, sobre vía vehicular amplia y pavimentada, antejardín con tablón rojo y granito pulido. Cuenta con reja antejardín. Fachada con viga canal. Molduras en yeso. Escritura al día.</v>
      </c>
      <c r="AE258" s="40"/>
      <c r="AF258" s="40" t="str">
        <f>IFERROR(__xludf.DUMMYFUNCTION("""COMPUTED_VALUE"""),"integral")</f>
        <v>integral</v>
      </c>
      <c r="AG258" s="40" t="str">
        <f>IFERROR(__xludf.DUMMYFUNCTION("""COMPUTED_VALUE"""),"SI")</f>
        <v>SI</v>
      </c>
      <c r="AH258" s="40" t="str">
        <f>IFERROR(__xludf.DUMMYFUNCTION("""COMPUTED_VALUE"""),"Inventario")</f>
        <v>Inventario</v>
      </c>
      <c r="AI258" s="40" t="str">
        <f>IFERROR(__xludf.DUMMYFUNCTION("""COMPUTED_VALUE"""),"Aliado")</f>
        <v>Aliado</v>
      </c>
      <c r="AJ258" s="40" t="str">
        <f>IFERROR(__xludf.DUMMYFUNCTION("""COMPUTED_VALUE"""),"Jennifer Garcia / Menber / Jovel $340")</f>
        <v>Jennifer Garcia / Menber / Jovel $340</v>
      </c>
      <c r="AK258" s="40" t="str">
        <f>IFERROR(__xludf.DUMMYFUNCTION("""COMPUTED_VALUE"""),"No aplica")</f>
        <v>No aplica</v>
      </c>
      <c r="AL258" s="40" t="str">
        <f>IFERROR(__xludf.DUMMYFUNCTION("""COMPUTED_VALUE"""),"TIENE FOTOS")</f>
        <v>TIENE FOTOS</v>
      </c>
      <c r="AM258" s="40" t="str">
        <f>IFERROR(__xludf.DUMMYFUNCTION("""COMPUTED_VALUE"""),"317 5746312")</f>
        <v>317 5746312</v>
      </c>
      <c r="AN258" s="40">
        <f>IFERROR(__xludf.DUMMYFUNCTION("""COMPUTED_VALUE"""),0.0)</f>
        <v>0</v>
      </c>
      <c r="AO258" s="40"/>
      <c r="AP258" s="40"/>
      <c r="AQ258" s="40"/>
      <c r="AR258" s="40"/>
      <c r="AS258" s="53">
        <f>IFERROR(__xludf.DUMMYFUNCTION("""COMPUTED_VALUE"""),0.0)</f>
        <v>0</v>
      </c>
      <c r="AT258" s="40">
        <f>IFERROR(__xludf.DUMMYFUNCTION("""COMPUTED_VALUE"""),0.0)</f>
        <v>0</v>
      </c>
      <c r="AU258" s="40">
        <f>IFERROR(__xludf.DUMMYFUNCTION("""COMPUTED_VALUE"""),0.0)</f>
        <v>0</v>
      </c>
      <c r="AV258" s="40">
        <f>IFERROR(__xludf.DUMMYFUNCTION("""COMPUTED_VALUE"""),0.0)</f>
        <v>0</v>
      </c>
      <c r="AW258" s="40" t="str">
        <f>IFERROR(__xludf.DUMMYFUNCTION("""COMPUTED_VALUE"""),"SI")</f>
        <v>SI</v>
      </c>
      <c r="AX258" s="40">
        <f>IFERROR(__xludf.DUMMYFUNCTION("""COMPUTED_VALUE"""),0.0)</f>
        <v>0</v>
      </c>
      <c r="AY258" s="40" t="str">
        <f>IFERROR(__xludf.DUMMYFUNCTION("""COMPUTED_VALUE"""),"P")</f>
        <v>P</v>
      </c>
      <c r="AZ258" s="40">
        <f>IFERROR(__xludf.DUMMYFUNCTION("""COMPUTED_VALUE"""),0.0)</f>
        <v>0</v>
      </c>
      <c r="BA258" s="40" t="str">
        <f>IFERROR(__xludf.DUMMYFUNCTION("""COMPUTED_VALUE"""),"X")</f>
        <v>X</v>
      </c>
      <c r="BB258" s="40">
        <f>IFERROR(__xludf.DUMMYFUNCTION("""COMPUTED_VALUE"""),0.0)</f>
        <v>0</v>
      </c>
      <c r="BC258" s="53"/>
      <c r="BD258" s="48"/>
      <c r="BE258" s="48"/>
      <c r="BF258" s="48" t="str">
        <f>IFERROR(__xludf.DUMMYFUNCTION("""COMPUTED_VALUE"""),"https://lh3.googleusercontent.com/pw/AP1GczP-X0WnzQ8GfksyRX-HR0KegkiHi79Zv_wb5a1TXzB_LFo-Rbvja69SLd3mP5SP5YKqmvVsd6AJ_gN_hyAEeyzQWJL8bM7FPbJCcZ8ZounMYB2SCU3j=w1200|https://lh3.googleusercontent.com/pw/AP1GczOxGjgG3L4SQW2MoEBiN92QOZEM3nh5wsTQhIwrglAEqEMHP_"&amp;"KH7v1xUvDs3lQ-ljA8_WRa9rvOWIbJ6SKx2ymMqIZDwQgPG4oiORQP-ntn2AqGQ7we=w1200|https://lh3.googleusercontent.com/pw/AP1GczNRNQeKyROt44y6AX2C6YHO3D8-HCDoAJUBa_qGsR90-kcZ4dYmzmimlSE6taFRh6Da-oCTjcKs3q94x5d0uQE8uy3Sz1Av_Qce2DzU0I9DE2EWIToW=w1200|https://lh3.google"&amp;"usercontent.com/pw/AP1GczN0hOKhZ1dAgNJC3oM93Krc7e8B2iGDab3L4QSrW9gOnR2PmpxldBseUudaHVyjUGD97v94WRrFvSVZHaCHWCnyzvzPdZKpDGEL3NCfMPf6OmtyZVan=w1200|https://lh3.googleusercontent.com/pw/AP1GczPITjLGY5OIGSgr8nxailEpwtjA35Eq_KPTy7yVAwGTJ4zxMHmXwYEYcOK-fuFFvNO9"&amp;"GvvCSgPU-KTMBwkrQY0Z5pPHJJZjVEEqRMw0ZA7yCvMGnnb0=w1200|https://lh3.googleusercontent.com/pw/AP1GczPdEUEBqBkaRiMTtsIts2RZ1G4LSxnoUezwM61s-JS6DrMkyB7UGVs9IDFe9CeMk5v0ivyfpgM0m0nLH17Ga_j3flRllTm-UzfV5zE97U4w2ESOXD8v=w1200|https://lh3.googleusercontent.com/pw"&amp;"/AP1GczNdz0QIYPCs4CxJzszEpWEh1B74R2V20-O8HkXUebTY9iw_TCThLDqBtNVYSappZrsQSU8-J3zmBGDzm-oXIo0SqvPzERQtlaRs8_AsRlDIL_z1PMMo=w1200|https://lh3.googleusercontent.com/pw/AP1GczPNtzEbfLLleZiBUmbDvWtY-up_CEHd2GJja-ZQggguu3EGtpdWoTLBhb2re-FWD1Ltyk4fXlxGVcPyCLJaqb"&amp;"6Gtw_EgEwVl-Jyt0ypzdpxWqGjyX6o=w1200|https://lh3.googleusercontent.com/pw/AP1GczOBpf2jSvIAm_67OgdEbTNtKt5aZ8t_ctIZEOt3RJn7NSg7cj22laD3LYw_qfqgDwL0Y8pqYFyhss8RFqM-ddRXK_isM4sqw79MdaTLh7cAzlE6Zskz=w1200|https://lh3.googleusercontent.com/pw/AP1GczNVWxXUCv2Ff"&amp;"t67_xv8EsQaB9tCmIeqwrstOdmzpb1O1nDrglNzvk0bIFnuLgoMXt_TpsDXupZdCW4kFPvYPg07nhPBHH78iRg6XrXq57VtYmIlZcsl=w1200|https://lh3.googleusercontent.com/pw/AP1GczPL99qC-err95PtiM-eJro_2T5JxUxFKzM4jXHXMBmCNl-gEaoJL7knsGJFr2-kCpW_vsnbykQEw0bHMTSyGW-UgolBI9jHn1phYLU1"&amp;"cebeMeifrO2C=w1200|https://lh3.googleusercontent.com/pw/AP1GczN96WT-FTAvH2oTjDYmRS3vXwKQaRMjnTp5hDspG80Nzn2r2S69zTmLN5X5UCsxiKH40xg_ndY7wXsYsVnmEv8DIcNCfy-aOGmGRjVn7HkxGOcbl1Mc=w1200|https://lh3.googleusercontent.com/pw/AP1GczMUG8u7ZAYTqNGvli1P1lUd9wUTwRf"&amp;"UB4rnvJL0e2vscm01QSYozUyaLmg6gdsi94OWik4YGHuGDj9N8b1mQxrZBUn5JrKVNzOjQuPTuNxtqsJLFlLK=w1200")</f>
        <v>https://lh3.googleusercontent.com/pw/AP1GczP-X0WnzQ8GfksyRX-HR0KegkiHi79Zv_wb5a1TXzB_LFo-Rbvja69SLd3mP5SP5YKqmvVsd6AJ_gN_hyAEeyzQWJL8bM7FPbJCcZ8ZounMYB2SCU3j=w1200|https://lh3.googleusercontent.com/pw/AP1GczOxGjgG3L4SQW2MoEBiN92QOZEM3nh5wsTQhIwrglAEqEMHP_KH7v1xUvDs3lQ-ljA8_WRa9rvOWIbJ6SKx2ymMqIZDwQgPG4oiORQP-ntn2AqGQ7we=w1200|https://lh3.googleusercontent.com/pw/AP1GczNRNQeKyROt44y6AX2C6YHO3D8-HCDoAJUBa_qGsR90-kcZ4dYmzmimlSE6taFRh6Da-oCTjcKs3q94x5d0uQE8uy3Sz1Av_Qce2DzU0I9DE2EWIToW=w1200|https://lh3.googleusercontent.com/pw/AP1GczN0hOKhZ1dAgNJC3oM93Krc7e8B2iGDab3L4QSrW9gOnR2PmpxldBseUudaHVyjUGD97v94WRrFvSVZHaCHWCnyzvzPdZKpDGEL3NCfMPf6OmtyZVan=w1200|https://lh3.googleusercontent.com/pw/AP1GczPITjLGY5OIGSgr8nxailEpwtjA35Eq_KPTy7yVAwGTJ4zxMHmXwYEYcOK-fuFFvNO9GvvCSgPU-KTMBwkrQY0Z5pPHJJZjVEEqRMw0ZA7yCvMGnnb0=w1200|https://lh3.googleusercontent.com/pw/AP1GczPdEUEBqBkaRiMTtsIts2RZ1G4LSxnoUezwM61s-JS6DrMkyB7UGVs9IDFe9CeMk5v0ivyfpgM0m0nLH17Ga_j3flRllTm-UzfV5zE97U4w2ESOXD8v=w1200|https://lh3.googleusercontent.com/pw/AP1GczNdz0QIYPCs4CxJzszEpWEh1B74R2V20-O8HkXUebTY9iw_TCThLDqBtNVYSappZrsQSU8-J3zmBGDzm-oXIo0SqvPzERQtlaRs8_AsRlDIL_z1PMMo=w1200|https://lh3.googleusercontent.com/pw/AP1GczPNtzEbfLLleZiBUmbDvWtY-up_CEHd2GJja-ZQggguu3EGtpdWoTLBhb2re-FWD1Ltyk4fXlxGVcPyCLJaqb6Gtw_EgEwVl-Jyt0ypzdpxWqGjyX6o=w1200|https://lh3.googleusercontent.com/pw/AP1GczOBpf2jSvIAm_67OgdEbTNtKt5aZ8t_ctIZEOt3RJn7NSg7cj22laD3LYw_qfqgDwL0Y8pqYFyhss8RFqM-ddRXK_isM4sqw79MdaTLh7cAzlE6Zskz=w1200|https://lh3.googleusercontent.com/pw/AP1GczNVWxXUCv2Fft67_xv8EsQaB9tCmIeqwrstOdmzpb1O1nDrglNzvk0bIFnuLgoMXt_TpsDXupZdCW4kFPvYPg07nhPBHH78iRg6XrXq57VtYmIlZcsl=w1200|https://lh3.googleusercontent.com/pw/AP1GczPL99qC-err95PtiM-eJro_2T5JxUxFKzM4jXHXMBmCNl-gEaoJL7knsGJFr2-kCpW_vsnbykQEw0bHMTSyGW-UgolBI9jHn1phYLU1cebeMeifrO2C=w1200|https://lh3.googleusercontent.com/pw/AP1GczN96WT-FTAvH2oTjDYmRS3vXwKQaRMjnTp5hDspG80Nzn2r2S69zTmLN5X5UCsxiKH40xg_ndY7wXsYsVnmEv8DIcNCfy-aOGmGRjVn7HkxGOcbl1Mc=w1200|https://lh3.googleusercontent.com/pw/AP1GczMUG8u7ZAYTqNGvli1P1lUd9wUTwRfUB4rnvJL0e2vscm01QSYozUyaLmg6gdsi94OWik4YGHuGDj9N8b1mQxrZBUn5JrKVNzOjQuPTuNxtqsJLFlLK=w1200</v>
      </c>
    </row>
    <row r="259">
      <c r="A259" s="39" t="str">
        <f>IFERROR(__xludf.DUMMYFUNCTION("""COMPUTED_VALUE"""),"198")</f>
        <v>198</v>
      </c>
      <c r="B259" s="40" t="str">
        <f>IFERROR(__xludf.DUMMYFUNCTION("""COMPUTED_VALUE"""),"Casa en barrio Sevilla")</f>
        <v>Casa en barrio Sevilla</v>
      </c>
      <c r="C259" s="40" t="str">
        <f>IFERROR(__xludf.DUMMYFUNCTION("""COMPUTED_VALUE"""),"Casa")</f>
        <v>Casa</v>
      </c>
      <c r="D259" s="40" t="str">
        <f>IFERROR(__xludf.DUMMYFUNCTION("""COMPUTED_VALUE"""),"Sevilla")</f>
        <v>Sevilla</v>
      </c>
      <c r="E259" s="42" t="str">
        <f>IFERROR(__xludf.DUMMYFUNCTION("""COMPUTED_VALUE""")," ")</f>
        <v> </v>
      </c>
      <c r="F259" s="42">
        <f>IFERROR(__xludf.DUMMYFUNCTION("""COMPUTED_VALUE"""),1.0E9)</f>
        <v>1000000000</v>
      </c>
      <c r="G259" s="40" t="str">
        <f>IFERROR(__xludf.DUMMYFUNCTION("""COMPUTED_VALUE"""),"Más de $1.000'000.000")</f>
        <v>Más de $1.000'000.000</v>
      </c>
      <c r="H259" s="40"/>
      <c r="I259" s="40"/>
      <c r="J259" s="40" t="str">
        <f>IFERROR(__xludf.DUMMYFUNCTION("""COMPUTED_VALUE"""),"Centro")</f>
        <v>Centro</v>
      </c>
      <c r="K259" s="39" t="str">
        <f>IFERROR(__xludf.DUMMYFUNCTION("""COMPUTED_VALUE"""),"3")</f>
        <v>3</v>
      </c>
      <c r="L259" s="40">
        <f>IFERROR(__xludf.DUMMYFUNCTION("""COMPUTED_VALUE"""),7.0)</f>
        <v>7</v>
      </c>
      <c r="M259" s="40"/>
      <c r="N259" s="40">
        <f>IFERROR(__xludf.DUMMYFUNCTION("""COMPUTED_VALUE"""),4.0)</f>
        <v>4</v>
      </c>
      <c r="O259" s="40">
        <f>IFERROR(__xludf.DUMMYFUNCTION("""COMPUTED_VALUE"""),1.0)</f>
        <v>1</v>
      </c>
      <c r="P259" s="40">
        <f>IFERROR(__xludf.DUMMYFUNCTION("""COMPUTED_VALUE"""),2.0)</f>
        <v>2</v>
      </c>
      <c r="Q259" s="48">
        <f>IFERROR(__xludf.DUMMYFUNCTION("""COMPUTED_VALUE"""),280.0)</f>
        <v>280</v>
      </c>
      <c r="R259" s="48">
        <f>IFERROR(__xludf.DUMMYFUNCTION("""COMPUTED_VALUE"""),389.0)</f>
        <v>389</v>
      </c>
      <c r="S259" s="39" t="str">
        <f>IFERROR(__xludf.DUMMYFUNCTION("""COMPUTED_VALUE""")," ")</f>
        <v> </v>
      </c>
      <c r="T259" s="40" t="str">
        <f>IFERROR(__xludf.DUMMYFUNCTION("""COMPUTED_VALUE"""),"Neiva")</f>
        <v>Neiva</v>
      </c>
      <c r="U259" s="39" t="str">
        <f>IFERROR(__xludf.DUMMYFUNCTION("""COMPUTED_VALUE"""),"4")</f>
        <v>4</v>
      </c>
      <c r="V259" s="40" t="str">
        <f>IFERROR(__xludf.DUMMYFUNCTION("""COMPUTED_VALUE"""),"Esquinera")</f>
        <v>Esquinera</v>
      </c>
      <c r="W259" s="46"/>
      <c r="X259" s="46">
        <f>IFERROR(__xludf.DUMMYFUNCTION("""COMPUTED_VALUE"""),5.0)</f>
        <v>5</v>
      </c>
      <c r="Y259" s="40" t="str">
        <f>IFERROR(__xludf.DUMMYFUNCTION("""COMPUTED_VALUE"""),"No tiene")</f>
        <v>No tiene</v>
      </c>
      <c r="Z259" s="42" t="str">
        <f>IFERROR(__xludf.DUMMYFUNCTION("""COMPUTED_VALUE"""),"No aplica")</f>
        <v>No aplica</v>
      </c>
      <c r="AA259" s="49" t="str">
        <f>IFERROR(__xludf.DUMMYFUNCTION("""COMPUTED_VALUE"""),"No aplica")</f>
        <v>No aplica</v>
      </c>
      <c r="AB259" s="66" t="str">
        <f>IFERROR(__xludf.DUMMYFUNCTION("""COMPUTED_VALUE"""),"https://photos.app.goo.gl/bhWunPMWWqUnr4QG6")</f>
        <v>https://photos.app.goo.gl/bhWunPMWWqUnr4QG6</v>
      </c>
      <c r="AC259" s="40"/>
      <c r="AD259" s="40" t="str">
        <f>IFERROR(__xludf.DUMMYFUNCTION("""COMPUTED_VALUE"""),"Casa amplia, con buenos acabados, piso en mármol, cielo raso machehembre, carpintería metálica y madera, muebles  y closet empotrados en madera, bodega, patio amplio. Escritura al día.")</f>
        <v>Casa amplia, con buenos acabados, piso en mármol, cielo raso machehembre, carpintería metálica y madera, muebles  y closet empotrados en madera, bodega, patio amplio. Escritura al día.</v>
      </c>
      <c r="AE259" s="40"/>
      <c r="AF259" s="40" t="str">
        <f>IFERROR(__xludf.DUMMYFUNCTION("""COMPUTED_VALUE"""),"semi-integral")</f>
        <v>semi-integral</v>
      </c>
      <c r="AG259" s="40" t="str">
        <f>IFERROR(__xludf.DUMMYFUNCTION("""COMPUTED_VALUE"""),"SI")</f>
        <v>SI</v>
      </c>
      <c r="AH259" s="40" t="str">
        <f>IFERROR(__xludf.DUMMYFUNCTION("""COMPUTED_VALUE"""),"Inventario")</f>
        <v>Inventario</v>
      </c>
      <c r="AI259" s="40" t="str">
        <f>IFERROR(__xludf.DUMMYFUNCTION("""COMPUTED_VALUE"""),"Aliado")</f>
        <v>Aliado</v>
      </c>
      <c r="AJ259" s="40" t="str">
        <f>IFERROR(__xludf.DUMMYFUNCTION("""COMPUTED_VALUE"""),"Jovel")</f>
        <v>Jovel</v>
      </c>
      <c r="AK259" s="42" t="str">
        <f>IFERROR(__xludf.DUMMYFUNCTION("""COMPUTED_VALUE"""),"No aplica")</f>
        <v>No aplica</v>
      </c>
      <c r="AL259" s="40" t="str">
        <f>IFERROR(__xludf.DUMMYFUNCTION("""COMPUTED_VALUE"""),"TIENE FOTOS")</f>
        <v>TIENE FOTOS</v>
      </c>
      <c r="AM259" s="40">
        <f>IFERROR(__xludf.DUMMYFUNCTION("""COMPUTED_VALUE"""),3.103914892E9)</f>
        <v>3103914892</v>
      </c>
      <c r="AN259" s="40">
        <f>IFERROR(__xludf.DUMMYFUNCTION("""COMPUTED_VALUE"""),0.0)</f>
        <v>0</v>
      </c>
      <c r="AO259" s="40"/>
      <c r="AP259" s="40">
        <f>IFERROR(__xludf.DUMMYFUNCTION("""COMPUTED_VALUE"""),0.0)</f>
        <v>0</v>
      </c>
      <c r="AQ259" s="40">
        <f>IFERROR(__xludf.DUMMYFUNCTION("""COMPUTED_VALUE"""),2.9379858)</f>
        <v>2.9379858</v>
      </c>
      <c r="AR259" s="40">
        <f>IFERROR(__xludf.DUMMYFUNCTION("""COMPUTED_VALUE"""),-75.2917451)</f>
        <v>-75.2917451</v>
      </c>
      <c r="AS259" s="53">
        <f>IFERROR(__xludf.DUMMYFUNCTION("""COMPUTED_VALUE"""),0.0)</f>
        <v>0</v>
      </c>
      <c r="AT259" s="40">
        <f>IFERROR(__xludf.DUMMYFUNCTION("""COMPUTED_VALUE"""),0.0)</f>
        <v>0</v>
      </c>
      <c r="AU259" s="40">
        <f>IFERROR(__xludf.DUMMYFUNCTION("""COMPUTED_VALUE"""),0.0)</f>
        <v>0</v>
      </c>
      <c r="AV259" s="40">
        <f>IFERROR(__xludf.DUMMYFUNCTION("""COMPUTED_VALUE"""),0.0)</f>
        <v>0</v>
      </c>
      <c r="AW259" s="40" t="str">
        <f>IFERROR(__xludf.DUMMYFUNCTION("""COMPUTED_VALUE"""),"NO")</f>
        <v>NO</v>
      </c>
      <c r="AX259" s="40">
        <f>IFERROR(__xludf.DUMMYFUNCTION("""COMPUTED_VALUE"""),0.0)</f>
        <v>0</v>
      </c>
      <c r="AY259" s="40">
        <f>IFERROR(__xludf.DUMMYFUNCTION("""COMPUTED_VALUE"""),0.0)</f>
        <v>0</v>
      </c>
      <c r="AZ259" s="40">
        <f>IFERROR(__xludf.DUMMYFUNCTION("""COMPUTED_VALUE"""),0.0)</f>
        <v>0</v>
      </c>
      <c r="BA259" s="40" t="str">
        <f>IFERROR(__xludf.DUMMYFUNCTION("""COMPUTED_VALUE"""),"X")</f>
        <v>X</v>
      </c>
      <c r="BB259" s="40">
        <f>IFERROR(__xludf.DUMMYFUNCTION("""COMPUTED_VALUE"""),0.0)</f>
        <v>0</v>
      </c>
      <c r="BC259" s="53"/>
      <c r="BD259" s="48"/>
      <c r="BE259" s="48"/>
      <c r="BF259" s="48" t="str">
        <f>IFERROR(__xludf.DUMMYFUNCTION("""COMPUTED_VALUE"""),"https://lh3.googleusercontent.com/pw/AP1GczMnUEtqtd2mpxtoZRJGvaZb3iwggFnfUlGECJCiz1kk9v-mit1WKyz85JIu-Os2BJCjBW-tKCY74VXq5kOkrN_PQddi_uHlw3lSbD9Zuz1nVRYbguzM=w1200|https://lh3.googleusercontent.com/pw/AP1GczPAyiYZcEto8v-62VkjNUhCoP06PGoB6dpxLFoGecd_JZH5OW"&amp;"0hiCX6R0jrtfBSeKCYqut6X7BQiV99-tH3tkDvW9TnPnDYrbCSNN1eZb31hW-08EAn=w1200|https://lh3.googleusercontent.com/pw/AP1GczPGZSnDnKIfDmECDsE99kMB_O14h-6Yq3dgCUT--8FupC_96toHmgPmCQBFXI54ekfuDZkADCGBilTiZVEdfz81NDry-76IQ6VZiwoknt0rRtBH2WGx=w1200|https://lh3.google"&amp;"usercontent.com/pw/AP1GczPT3NuxHdu6KwLfr9zRAo1AnWz0OLQU3mJIc5rVptWj2OZz3BkTTMJPDhkBsPQkqcFIP0L93S1tIx3fSOMPAgMZ9ExpXqmQmcBdSP44vhhMqSUwFILJ=w1200|https://lh3.googleusercontent.com/pw/AP1GczPE_WAENJQRS2yZrgODSywDP4lDZNO78NEiEYIejDW57DXOLQPMu4kMpuW6ZtL9nMPx"&amp;"9dHG0GKZdfjcofPa_cB0cHilX6PtOH5qmuQpOkhqG60iiwoM=w1200|https://lh3.googleusercontent.com/pw/AP1GczPP05ltZmlOr-ZIUCFlhruWsl_LEQ01DaDi4nCPbqkW1yyv310xJGiqQOLH5BOcT1tPynyioEZMyhRRye5AVHzLg9KCxWnpqBqMhYugcLrtiW6ubsyn=w1200|https://lh3.googleusercontent.com/pw"&amp;"/AP1GczOInAoVZ56wlG2umlG0ZalJOfamxpCJU15gU4TGVk878DqPAvON8NgG8gHBnN3lQccmfU2PKftjE34cTSrC5BPqn-nNFWHKDDjHFr_RccoN20108fs8=w1200|https://lh3.googleusercontent.com/pw/AP1GczM5XPZlF90L7MDGOhIjpeXjvRPDW9WmU7qHcQ4QjGbkbZD4S8HLVRuFmJJaGRCXgl_9b3u5LEFZRfPXfGz6_s"&amp;"zbVVzT9ViBowHZBcxwTmrCKgo_Bwp3=w1200|https://lh3.googleusercontent.com/pw/AP1GczNT6FXZ1XU1oa2kongIqdFDgPKOdfgsweO8kda5Xh4pod5CoamhCQXNiMkOs5kUCtykX5igTb6_i_wO-Md7ZFB32ZCzVZaJGcl6_UKtv1QsVvckGrTp=w1200|https://lh3.googleusercontent.com/pw/AP1GczPFt3RODzWl8"&amp;"DswACrswraEYH2lDCEcpVnwrzt-QRhoZfKHtj2-wxAu5fxiuqEshycsXscCeVurZJ0Eic7oVs95a7XqdPsuYLv20p4oEbys0lCoT7f_=w1200|https://lh3.googleusercontent.com/pw/AP1GczPWhFmqtAMVWWTXU9NHM8GvSgEhJhPp1SPURMyi4_BtquDuDhxehY0CKXNFYziON-BWHPI7xqXgGSRoxg664Sl7kJBZgTtN8jFZcxVc"&amp;"yeQpg9TsoR_r=w1200|https://lh3.googleusercontent.com/pw/AP1GczMkkqn5KrYYFaxq3e2HFIfoPX7-9i32HqDtOw7R7RltKctY4tqugx0NZaw29fNp7rR_-q4n_tqMPXM3XEQ8wF5OLAchnXROc2eAPUwfvAQlFrL8Puvg=w1200|https://lh3.googleusercontent.com/pw/AP1GczMLtTmJenGTFNifVutbIDNTUYVq283"&amp;"4SHSjNow4z0gqsyyGcCRe2ZAfRD8ksy4KA54_sX-2n0Fge8HxyjcdilQEEmj-Ku6ZqsxAKvtenVtHmi_Y39Cp=w1200|https://lh3.googleusercontent.com/pw/AP1GczOs8JM4YoxBhE7V2vxum5LiD1L1xg8nRRfOPPwZ9wh4WCF996Sw7l0I-ewM7hPrOMpBywVtFEJgxGXut1WcJqvzFbzU-nZlKornmvq3-W5qdNwJGBqq=w1200"&amp;"|https://lh3.googleusercontent.com/pw/AP1GczMG4jECuzDWQX5E0P5f__QzKTq6KBvo8Vjl9HoTX-LhWuKPOiBY4TYZJtm0WxYjqg_xw7SYxdCwKtkRGcItlD6WiW8AavOHMRPltO0CzlilDTXn_8WT=w1200|https://lh3.googleusercontent.com/pw/AP1GczNIh3yKOH_P3xJt7w62PEuGgWZVUS2GEMgboiV-2hPbTIVaH"&amp;"THj3KpIWJ02VAvFnA1Nf1RfqGAZFLHNb9QWEbwXOn01HyoHeYQbAkROflIpkLahwg2_=w1200|https://lh3.googleusercontent.com/pw/AP1GczM0w8i5nXafvOolhQwqz4mGTmG-JJWXCkpBGEf5FfS_UCF5bvyunJJHQmCt-0Dvqz84HRVSllIni41aOe11h-35D91iXCRpu6K6QvcuS1Pxe-j0ntKU=w1200|https://lh3.googl"&amp;"eusercontent.com/pw/AP1GczOgBAGwDxdCOC-nRHQPmZxAh11l-GUyHhuRktHfQBp1JPpRJACJ1P5Ns9ePJ02EmBJEblURrvyoyVaLU2yMhDy9tvHWJwQaPb-UujekN9mSE4kiPnf6=w1200|https://lh3.googleusercontent.com/pw/AP1GczPRPqglcsPQKzOHsxnodU0SyFL3Ecm-smgq3avMEpzb7jctvD92vaZN1ut5UD4qKex"&amp;"t4_LFg31TjrnNXdrikwhWbWO3_708eiaOuin_OEjOhFlJMoF-=w1200|https://lh3.googleusercontent.com/pw/AP1GczOdrWLSG7KXTVEZHoDy8UjFKdJehAu_f3g_4HeoJ9mkJ-GRfOFuNYaIqmztosEDLRkrX4fftiOILg71IBQmnjAFr65kLRU19jrxq6WPbgu48zIYd2c1=w1200|https://lh3.googleusercontent.com/p"&amp;"w/AP1GczORtrOwPGknNtE9kY0siGBdgddbUO4f_oYkddhN4DqPdUGQqC6TIxXv1MeB2R660kv0Psmhe_I6O1o9tiCLg6SGeCpGSJ81bJZWpx0_ISF2jNyZ2COz=w1200|https://lh3.googleusercontent.com/pw/AP1GczP7bUYin1BPMkhQmEmqls07gtnRgsGIjjDl0XEdvikqdkK0kJs_-R2WvQ1rW71eByfr_QegNx8OYUxC0FsHw"&amp;"FEvLPDfJT7II3MmERJO4gfkLHvBlhwW=w1200|https://lh3.googleusercontent.com/pw/AP1GczMwSc3cXBjSyd2lHNO_cpFN-nmYKLYhSAkNe3BfRpskbE79s5CY0wYl22MEJFoy3Im_mcW28oItapabBLgIFOwJL0Ni-5_PJCyW0TJkFMHmTMJJaN61=w1200|https://lh3.googleusercontent.com/pw/AP1GczNoP2cEjFj-"&amp;"EbiFCNYGzFkSs7jmnBQZrpN7PhpkyiGfkJ5YnJxWXrcXC0IWorzcShsq8IBIotUEF-OqrM4A8w_6BTAD9BC4pkZrufxcDSIW-L_eIYKX=w1200|https://lh3.googleusercontent.com/pw/AP1GczMFNXi3Zi4jY38nPvIGAnKNRY7cnuTbh5vSTYfFNo-HiFMBN5eTUrvXHBj89M6RY55mxfRXgy8_eqH2FmWvyB6cg3QmKHw3P8dLnB7"&amp;"9u3HjNEuY587t=w1200|https://lh3.googleusercontent.com/pw/AP1GczMGZIoCATWa6ih2uAt0TvtErHKIXovEiwXonebxm_7xriSyDkx3mQoAHNagntdIym4Axl4rqIYtMAX_qTHtcneP_-D5oRfp8mDjZoCzbpQTWMNrokZ1=w1200|https://lh3.googleusercontent.com/pw/AP1GczOmwJIvt9nAlXcv3bvm2to3_z1NPv"&amp;"1uCY8LIMwD6_Hysmb9Dl57TjqTiJkEvewrEbKLOtfgjnLFu2fcM6AIK1kiCxvi8zzIWlM7UZjCg0hwoY-FvJBX=w1200|https://lh3.googleusercontent.com/pw/AP1GczOMbO2U-DyUdCY4Rf3hy7Oe2LYDm6rAyIknaqJ9rUuhN53ikwGYB0fSD3iDhTBb5kH7OvF4SLPTDOrv91qfDdlbLJFRLOUjPdGkcxUC451ejoxS236y=w120"&amp;"0|https://lh3.googleusercontent.com/pw/AP1GczNQj4ZqBVyLYoDhaD8jwKJJxmm9iXwhg09Tt5DfjkDZ22aKyx8UBF2ry_G6KPHhNqLPAbIuXjnD7-BOnZZsG57pcNbzCor9xBN_gFaKw9WX9S7VSsD4=w1200|https://lh3.googleusercontent.com/pw/AP1GczPHQeBtLW4iuCvGcFY8GuevFjBp6HzmzB-0FjEdHkj5WVNR"&amp;"QurFiaQPgZSMWR2COP7vfJ4F5nFQcTGVwLb_wHjWVHLHRIjiW2WhOAmx38z9aMIP0fsz=w1200|https://lh3.googleusercontent.com/pw/AP1GczNZS-xeQoPr2st6SS0fOW3acD-978ABsoHk6hFRk-hNjh-m3xcLCOBJ8Z0eduHqLlO7aVOdG4hMCehCrFM31VWBmkb_r8FRYz1wbWsN1wPyHCAuTXVo=w1200|https://lh3.goog"&amp;"leusercontent.com/pw/AP1GczMZrAjxprTyxgPMOFm7h3wHpGcHg9nFxfxkjFHK_HDFomk2OkGjr4_eCspRiX6Fn4JZHKhzoFndWxUqmTzNA0gcaJV0FtlezsbrpnSLAtgtRiCNUV2X=w1200|https://lh3.googleusercontent.com/pw/AP1GczM7pQpuUclaftgn3C9PIOKaLVo3y209jflIf9LGweOxrC83bBYMuMeOUWlf40ts7z"&amp;"wdH5PNfZn59oWOHzECK97zenDnaD0n2L6LYdnSnhxBYrEIEtXF=w1200|https://lh3.googleusercontent.com/pw/AP1GczO_8iPDFUiTsHdw40Ppm4sjU9ETjEp1u9TSs9EY3UN8MakS-0YW5WLFNa0ja3n4-vKBtgoPoGvUVIjMtWTvLzW9ZQhrBcLeVq3p1n2axpknFGVu4KoJ=w1200|https://lh3.googleusercontent.com/"&amp;"pw/AP1GczPxv4RanKmON3HiiPy_OJ4B8td5NFNLjZGjvifCRerpnw1WAgtDuCYDn8QXqls_M3aurHQoZHp32LtiDmD1MSrRi57PRk9JpeBfzT2Yt4G042yh4nUR=w1200|https://lh3.googleusercontent.com/pw/AP1GczPUmQOiYdrrQ8aC7z8eL28JvrNHrhR_jZUSqBdH23CSxa6jEiqnMmD5Yc4JsIeNEsg0HtC4cJYQDFnHIaOa"&amp;"p08DGXBkDf1pffSp-zqf8xKIe8SMqdMP=w1200|https://lh3.googleusercontent.com/pw/AP1GczMAqXrWiQrhcjSBJq6opJmEBYVO261MgvxbE15JR8gE7xHq2hcbXUnxbGy5TR3RA7Mg6wtbMZ2jRHDWQjIg0Dgo-8GPknOYOGbMGsBYLDhAAjmtM5JZ=w1200|https://lh3.googleusercontent.com/pw/AP1GczNre6Lig-9"&amp;"-npzebRjwe1EyiYcUpjKmHOGBoY_Cn99wniAvQoOe7UEsGPEE1igVTAsJLPrHL6ut_Q1z7k55BUYmCp-S1AIwkBa9mmmfl62_8EleU3fU=w1200|https://lh3.googleusercontent.com/pw/AP1GczOkz_8aBa2s9bAp9yCRuRKm8PXjS8tdS9Hvg1v-FxtkyzTXZUa1cOHBEbUSPwJDjrNSRl-bPsw0NYTh5XnZ0uDFs2h_IQcN7quG4i"&amp;"eSZIHXyMoE_cMa=w1200|https://lh3.googleusercontent.com/pw/AP1GczMXcWyIz942lX0W1YSb6D0lnjHmrtdwOWrEC0BJ2GlEvonFtxwkLVqZrrwEClxFFPWTJ6T6IgyARij5fJy4MRlKBenaSRpocgSeYOnzN_V5NSrChebM=w1200|https://lh3.googleusercontent.com/pw/AP1GczN5brib0PYdbPm47SGAsv67Mzq9q"&amp;"q9K5efylksS0oM6OEGPDri7Qj-F4cLWWSdxvf_zr1oZikVY8fAxMV6Vdx20L2bHn7F3H1NEk-sz78e7vJbMDxXO=w1200|https://lh3.googleusercontent.com/pw/AP1GczMFIQ2RbS0k-2U8PCecnqHOHTeO37Tx_zoxlwJLSWWcHNocJstdffnuUSczO69JTNExc3NlVqLqo8AhrEDdoT-bR5LpJuvaaLKS8g2nazBdNdXgUOv0=w12"&amp;"00|https://lh3.googleusercontent.com/pw/AP1GczOcFXlzvpNiqL0qye2kJhPJ4kc_jsPWDxVtLSuCs1d3Et_FRNbBatSxwUoDzUEmo5QJrbYFdBbbwu3ZQbygODSJfF6cvCMOBXHmxgwMnnFQewFX1VZ5=w1200|https://lh3.googleusercontent.com/pw/AP1GczOnit4YNGohxpwC66Ank34LVuqmSjhZ23m-hN63dyhrrWF"&amp;"cAODtq3vpH6juxD1LNBbyEz3ZJWNeWzJ7Ym8_5Pfb69dSDHzCx0gOiNQyMiO7VctIiXaE=w1200|https://lh3.googleusercontent.com/pw/AP1GczM3S-GbpC-aJgqaOtu8QXGtm5K5F1-eWb8svKrVcN1cQJ1GPtSHucDDCUoiBuPUI48qyjdnOknrrSw4cQfhp46udh1Biyd1BmQnRJYlOqy4Hojd4Pjk=w1200|https://lh3.goo"&amp;"gleusercontent.com/pw/AP1GczOYoRxTyc4i6-2EL0gHuRAHGz0uUwvMCZBAJQfV1MJrcHGo2Msp7VxxbjoZC2UaLPmGqEnrbrzyn3ZPNn7G9ktk4_hIe7sai6w97zeLHkbJbHhH_noc=w1200")</f>
        <v>https://lh3.googleusercontent.com/pw/AP1GczMnUEtqtd2mpxtoZRJGvaZb3iwggFnfUlGECJCiz1kk9v-mit1WKyz85JIu-Os2BJCjBW-tKCY74VXq5kOkrN_PQddi_uHlw3lSbD9Zuz1nVRYbguzM=w1200|https://lh3.googleusercontent.com/pw/AP1GczPAyiYZcEto8v-62VkjNUhCoP06PGoB6dpxLFoGecd_JZH5OW0hiCX6R0jrtfBSeKCYqut6X7BQiV99-tH3tkDvW9TnPnDYrbCSNN1eZb31hW-08EAn=w1200|https://lh3.googleusercontent.com/pw/AP1GczPGZSnDnKIfDmECDsE99kMB_O14h-6Yq3dgCUT--8FupC_96toHmgPmCQBFXI54ekfuDZkADCGBilTiZVEdfz81NDry-76IQ6VZiwoknt0rRtBH2WGx=w1200|https://lh3.googleusercontent.com/pw/AP1GczPT3NuxHdu6KwLfr9zRAo1AnWz0OLQU3mJIc5rVptWj2OZz3BkTTMJPDhkBsPQkqcFIP0L93S1tIx3fSOMPAgMZ9ExpXqmQmcBdSP44vhhMqSUwFILJ=w1200|https://lh3.googleusercontent.com/pw/AP1GczPE_WAENJQRS2yZrgODSywDP4lDZNO78NEiEYIejDW57DXOLQPMu4kMpuW6ZtL9nMPx9dHG0GKZdfjcofPa_cB0cHilX6PtOH5qmuQpOkhqG60iiwoM=w1200|https://lh3.googleusercontent.com/pw/AP1GczPP05ltZmlOr-ZIUCFlhruWsl_LEQ01DaDi4nCPbqkW1yyv310xJGiqQOLH5BOcT1tPynyioEZMyhRRye5AVHzLg9KCxWnpqBqMhYugcLrtiW6ubsyn=w1200|https://lh3.googleusercontent.com/pw/AP1GczOInAoVZ56wlG2umlG0ZalJOfamxpCJU15gU4TGVk878DqPAvON8NgG8gHBnN3lQccmfU2PKftjE34cTSrC5BPqn-nNFWHKDDjHFr_RccoN20108fs8=w1200|https://lh3.googleusercontent.com/pw/AP1GczM5XPZlF90L7MDGOhIjpeXjvRPDW9WmU7qHcQ4QjGbkbZD4S8HLVRuFmJJaGRCXgl_9b3u5LEFZRfPXfGz6_szbVVzT9ViBowHZBcxwTmrCKgo_Bwp3=w1200|https://lh3.googleusercontent.com/pw/AP1GczNT6FXZ1XU1oa2kongIqdFDgPKOdfgsweO8kda5Xh4pod5CoamhCQXNiMkOs5kUCtykX5igTb6_i_wO-Md7ZFB32ZCzVZaJGcl6_UKtv1QsVvckGrTp=w1200|https://lh3.googleusercontent.com/pw/AP1GczPFt3RODzWl8DswACrswraEYH2lDCEcpVnwrzt-QRhoZfKHtj2-wxAu5fxiuqEshycsXscCeVurZJ0Eic7oVs95a7XqdPsuYLv20p4oEbys0lCoT7f_=w1200|https://lh3.googleusercontent.com/pw/AP1GczPWhFmqtAMVWWTXU9NHM8GvSgEhJhPp1SPURMyi4_BtquDuDhxehY0CKXNFYziON-BWHPI7xqXgGSRoxg664Sl7kJBZgTtN8jFZcxVcyeQpg9TsoR_r=w1200|https://lh3.googleusercontent.com/pw/AP1GczMkkqn5KrYYFaxq3e2HFIfoPX7-9i32HqDtOw7R7RltKctY4tqugx0NZaw29fNp7rR_-q4n_tqMPXM3XEQ8wF5OLAchnXROc2eAPUwfvAQlFrL8Puvg=w1200|https://lh3.googleusercontent.com/pw/AP1GczMLtTmJenGTFNifVutbIDNTUYVq2834SHSjNow4z0gqsyyGcCRe2ZAfRD8ksy4KA54_sX-2n0Fge8HxyjcdilQEEmj-Ku6ZqsxAKvtenVtHmi_Y39Cp=w1200|https://lh3.googleusercontent.com/pw/AP1GczOs8JM4YoxBhE7V2vxum5LiD1L1xg8nRRfOPPwZ9wh4WCF996Sw7l0I-ewM7hPrOMpBywVtFEJgxGXut1WcJqvzFbzU-nZlKornmvq3-W5qdNwJGBqq=w1200|https://lh3.googleusercontent.com/pw/AP1GczMG4jECuzDWQX5E0P5f__QzKTq6KBvo8Vjl9HoTX-LhWuKPOiBY4TYZJtm0WxYjqg_xw7SYxdCwKtkRGcItlD6WiW8AavOHMRPltO0CzlilDTXn_8WT=w1200|https://lh3.googleusercontent.com/pw/AP1GczNIh3yKOH_P3xJt7w62PEuGgWZVUS2GEMgboiV-2hPbTIVaHTHj3KpIWJ02VAvFnA1Nf1RfqGAZFLHNb9QWEbwXOn01HyoHeYQbAkROflIpkLahwg2_=w1200|https://lh3.googleusercontent.com/pw/AP1GczM0w8i5nXafvOolhQwqz4mGTmG-JJWXCkpBGEf5FfS_UCF5bvyunJJHQmCt-0Dvqz84HRVSllIni41aOe11h-35D91iXCRpu6K6QvcuS1Pxe-j0ntKU=w1200|https://lh3.googleusercontent.com/pw/AP1GczOgBAGwDxdCOC-nRHQPmZxAh11l-GUyHhuRktHfQBp1JPpRJACJ1P5Ns9ePJ02EmBJEblURrvyoyVaLU2yMhDy9tvHWJwQaPb-UujekN9mSE4kiPnf6=w1200|https://lh3.googleusercontent.com/pw/AP1GczPRPqglcsPQKzOHsxnodU0SyFL3Ecm-smgq3avMEpzb7jctvD92vaZN1ut5UD4qKext4_LFg31TjrnNXdrikwhWbWO3_708eiaOuin_OEjOhFlJMoF-=w1200|https://lh3.googleusercontent.com/pw/AP1GczOdrWLSG7KXTVEZHoDy8UjFKdJehAu_f3g_4HeoJ9mkJ-GRfOFuNYaIqmztosEDLRkrX4fftiOILg71IBQmnjAFr65kLRU19jrxq6WPbgu48zIYd2c1=w1200|https://lh3.googleusercontent.com/pw/AP1GczORtrOwPGknNtE9kY0siGBdgddbUO4f_oYkddhN4DqPdUGQqC6TIxXv1MeB2R660kv0Psmhe_I6O1o9tiCLg6SGeCpGSJ81bJZWpx0_ISF2jNyZ2COz=w1200|https://lh3.googleusercontent.com/pw/AP1GczP7bUYin1BPMkhQmEmqls07gtnRgsGIjjDl0XEdvikqdkK0kJs_-R2WvQ1rW71eByfr_QegNx8OYUxC0FsHwFEvLPDfJT7II3MmERJO4gfkLHvBlhwW=w1200|https://lh3.googleusercontent.com/pw/AP1GczMwSc3cXBjSyd2lHNO_cpFN-nmYKLYhSAkNe3BfRpskbE79s5CY0wYl22MEJFoy3Im_mcW28oItapabBLgIFOwJL0Ni-5_PJCyW0TJkFMHmTMJJaN61=w1200|https://lh3.googleusercontent.com/pw/AP1GczNoP2cEjFj-EbiFCNYGzFkSs7jmnBQZrpN7PhpkyiGfkJ5YnJxWXrcXC0IWorzcShsq8IBIotUEF-OqrM4A8w_6BTAD9BC4pkZrufxcDSIW-L_eIYKX=w1200|https://lh3.googleusercontent.com/pw/AP1GczMFNXi3Zi4jY38nPvIGAnKNRY7cnuTbh5vSTYfFNo-HiFMBN5eTUrvXHBj89M6RY55mxfRXgy8_eqH2FmWvyB6cg3QmKHw3P8dLnB79u3HjNEuY587t=w1200|https://lh3.googleusercontent.com/pw/AP1GczMGZIoCATWa6ih2uAt0TvtErHKIXovEiwXonebxm_7xriSyDkx3mQoAHNagntdIym4Axl4rqIYtMAX_qTHtcneP_-D5oRfp8mDjZoCzbpQTWMNrokZ1=w1200|https://lh3.googleusercontent.com/pw/AP1GczOmwJIvt9nAlXcv3bvm2to3_z1NPv1uCY8LIMwD6_Hysmb9Dl57TjqTiJkEvewrEbKLOtfgjnLFu2fcM6AIK1kiCxvi8zzIWlM7UZjCg0hwoY-FvJBX=w1200|https://lh3.googleusercontent.com/pw/AP1GczOMbO2U-DyUdCY4Rf3hy7Oe2LYDm6rAyIknaqJ9rUuhN53ikwGYB0fSD3iDhTBb5kH7OvF4SLPTDOrv91qfDdlbLJFRLOUjPdGkcxUC451ejoxS236y=w1200|https://lh3.googleusercontent.com/pw/AP1GczNQj4ZqBVyLYoDhaD8jwKJJxmm9iXwhg09Tt5DfjkDZ22aKyx8UBF2ry_G6KPHhNqLPAbIuXjnD7-BOnZZsG57pcNbzCor9xBN_gFaKw9WX9S7VSsD4=w1200|https://lh3.googleusercontent.com/pw/AP1GczPHQeBtLW4iuCvGcFY8GuevFjBp6HzmzB-0FjEdHkj5WVNRQurFiaQPgZSMWR2COP7vfJ4F5nFQcTGVwLb_wHjWVHLHRIjiW2WhOAmx38z9aMIP0fsz=w1200|https://lh3.googleusercontent.com/pw/AP1GczNZS-xeQoPr2st6SS0fOW3acD-978ABsoHk6hFRk-hNjh-m3xcLCOBJ8Z0eduHqLlO7aVOdG4hMCehCrFM31VWBmkb_r8FRYz1wbWsN1wPyHCAuTXVo=w1200|https://lh3.googleusercontent.com/pw/AP1GczMZrAjxprTyxgPMOFm7h3wHpGcHg9nFxfxkjFHK_HDFomk2OkGjr4_eCspRiX6Fn4JZHKhzoFndWxUqmTzNA0gcaJV0FtlezsbrpnSLAtgtRiCNUV2X=w1200|https://lh3.googleusercontent.com/pw/AP1GczM7pQpuUclaftgn3C9PIOKaLVo3y209jflIf9LGweOxrC83bBYMuMeOUWlf40ts7zwdH5PNfZn59oWOHzECK97zenDnaD0n2L6LYdnSnhxBYrEIEtXF=w1200|https://lh3.googleusercontent.com/pw/AP1GczO_8iPDFUiTsHdw40Ppm4sjU9ETjEp1u9TSs9EY3UN8MakS-0YW5WLFNa0ja3n4-vKBtgoPoGvUVIjMtWTvLzW9ZQhrBcLeVq3p1n2axpknFGVu4KoJ=w1200|https://lh3.googleusercontent.com/pw/AP1GczPxv4RanKmON3HiiPy_OJ4B8td5NFNLjZGjvifCRerpnw1WAgtDuCYDn8QXqls_M3aurHQoZHp32LtiDmD1MSrRi57PRk9JpeBfzT2Yt4G042yh4nUR=w1200|https://lh3.googleusercontent.com/pw/AP1GczPUmQOiYdrrQ8aC7z8eL28JvrNHrhR_jZUSqBdH23CSxa6jEiqnMmD5Yc4JsIeNEsg0HtC4cJYQDFnHIaOap08DGXBkDf1pffSp-zqf8xKIe8SMqdMP=w1200|https://lh3.googleusercontent.com/pw/AP1GczMAqXrWiQrhcjSBJq6opJmEBYVO261MgvxbE15JR8gE7xHq2hcbXUnxbGy5TR3RA7Mg6wtbMZ2jRHDWQjIg0Dgo-8GPknOYOGbMGsBYLDhAAjmtM5JZ=w1200|https://lh3.googleusercontent.com/pw/AP1GczNre6Lig-9-npzebRjwe1EyiYcUpjKmHOGBoY_Cn99wniAvQoOe7UEsGPEE1igVTAsJLPrHL6ut_Q1z7k55BUYmCp-S1AIwkBa9mmmfl62_8EleU3fU=w1200|https://lh3.googleusercontent.com/pw/AP1GczOkz_8aBa2s9bAp9yCRuRKm8PXjS8tdS9Hvg1v-FxtkyzTXZUa1cOHBEbUSPwJDjrNSRl-bPsw0NYTh5XnZ0uDFs2h_IQcN7quG4ieSZIHXyMoE_cMa=w1200|https://lh3.googleusercontent.com/pw/AP1GczMXcWyIz942lX0W1YSb6D0lnjHmrtdwOWrEC0BJ2GlEvonFtxwkLVqZrrwEClxFFPWTJ6T6IgyARij5fJy4MRlKBenaSRpocgSeYOnzN_V5NSrChebM=w1200|https://lh3.googleusercontent.com/pw/AP1GczN5brib0PYdbPm47SGAsv67Mzq9qq9K5efylksS0oM6OEGPDri7Qj-F4cLWWSdxvf_zr1oZikVY8fAxMV6Vdx20L2bHn7F3H1NEk-sz78e7vJbMDxXO=w1200|https://lh3.googleusercontent.com/pw/AP1GczMFIQ2RbS0k-2U8PCecnqHOHTeO37Tx_zoxlwJLSWWcHNocJstdffnuUSczO69JTNExc3NlVqLqo8AhrEDdoT-bR5LpJuvaaLKS8g2nazBdNdXgUOv0=w1200|https://lh3.googleusercontent.com/pw/AP1GczOcFXlzvpNiqL0qye2kJhPJ4kc_jsPWDxVtLSuCs1d3Et_FRNbBatSxwUoDzUEmo5QJrbYFdBbbwu3ZQbygODSJfF6cvCMOBXHmxgwMnnFQewFX1VZ5=w1200|https://lh3.googleusercontent.com/pw/AP1GczOnit4YNGohxpwC66Ank34LVuqmSjhZ23m-hN63dyhrrWFcAODtq3vpH6juxD1LNBbyEz3ZJWNeWzJ7Ym8_5Pfb69dSDHzCx0gOiNQyMiO7VctIiXaE=w1200|https://lh3.googleusercontent.com/pw/AP1GczM3S-GbpC-aJgqaOtu8QXGtm5K5F1-eWb8svKrVcN1cQJ1GPtSHucDDCUoiBuPUI48qyjdnOknrrSw4cQfhp46udh1Biyd1BmQnRJYlOqy4Hojd4Pjk=w1200|https://lh3.googleusercontent.com/pw/AP1GczOYoRxTyc4i6-2EL0gHuRAHGz0uUwvMCZBAJQfV1MJrcHGo2Msp7VxxbjoZC2UaLPmGqEnrbrzyn3ZPNn7G9ktk4_hIe7sai6w97zeLHkbJbHhH_noc=w1200</v>
      </c>
    </row>
    <row r="260">
      <c r="A260" s="39" t="str">
        <f>IFERROR(__xludf.DUMMYFUNCTION("""COMPUTED_VALUE"""),"425")</f>
        <v>425</v>
      </c>
      <c r="B260" s="40" t="str">
        <f>IFERROR(__xludf.DUMMYFUNCTION("""COMPUTED_VALUE"""),"Casa en barrio La Toma")</f>
        <v>Casa en barrio La Toma</v>
      </c>
      <c r="C260" s="40" t="str">
        <f>IFERROR(__xludf.DUMMYFUNCTION("""COMPUTED_VALUE"""),"Casa")</f>
        <v>Casa</v>
      </c>
      <c r="D260" s="40" t="str">
        <f>IFERROR(__xludf.DUMMYFUNCTION("""COMPUTED_VALUE"""),"La Toma")</f>
        <v>La Toma</v>
      </c>
      <c r="E260" s="40"/>
      <c r="F260" s="42">
        <f>IFERROR(__xludf.DUMMYFUNCTION("""COMPUTED_VALUE"""),8.5E8)</f>
        <v>850000000</v>
      </c>
      <c r="G260" s="40" t="str">
        <f>IFERROR(__xludf.DUMMYFUNCTION("""COMPUTED_VALUE"""),"$500'000.000 a $1.000'000.000")</f>
        <v>$500'000.000 a $1.000'000.000</v>
      </c>
      <c r="H260" s="40"/>
      <c r="I260" s="40"/>
      <c r="J260" s="40" t="str">
        <f>IFERROR(__xludf.DUMMYFUNCTION("""COMPUTED_VALUE"""),"Centro")</f>
        <v>Centro</v>
      </c>
      <c r="K260" s="39" t="str">
        <f>IFERROR(__xludf.DUMMYFUNCTION("""COMPUTED_VALUE"""),"3")</f>
        <v>3</v>
      </c>
      <c r="L260" s="40">
        <f>IFERROR(__xludf.DUMMYFUNCTION("""COMPUTED_VALUE"""),4.0)</f>
        <v>4</v>
      </c>
      <c r="M260" s="40"/>
      <c r="N260" s="40">
        <f>IFERROR(__xludf.DUMMYFUNCTION("""COMPUTED_VALUE"""),3.0)</f>
        <v>3</v>
      </c>
      <c r="O260" s="40">
        <f>IFERROR(__xludf.DUMMYFUNCTION("""COMPUTED_VALUE"""),1.0)</f>
        <v>1</v>
      </c>
      <c r="P260" s="40">
        <f>IFERROR(__xludf.DUMMYFUNCTION("""COMPUTED_VALUE"""),2.0)</f>
        <v>2</v>
      </c>
      <c r="Q260" s="48"/>
      <c r="R260" s="48">
        <f>IFERROR(__xludf.DUMMYFUNCTION("""COMPUTED_VALUE"""),496.0)</f>
        <v>496</v>
      </c>
      <c r="S260" s="39" t="str">
        <f>IFERROR(__xludf.DUMMYFUNCTION("""COMPUTED_VALUE""")," ")</f>
        <v> </v>
      </c>
      <c r="T260" s="40" t="str">
        <f>IFERROR(__xludf.DUMMYFUNCTION("""COMPUTED_VALUE"""),"Neiva")</f>
        <v>Neiva</v>
      </c>
      <c r="U260" s="39" t="str">
        <f>IFERROR(__xludf.DUMMYFUNCTION("""COMPUTED_VALUE"""),"4")</f>
        <v>4</v>
      </c>
      <c r="V260" s="40" t="str">
        <f>IFERROR(__xludf.DUMMYFUNCTION("""COMPUTED_VALUE"""),"Medianera")</f>
        <v>Medianera</v>
      </c>
      <c r="W260" s="46"/>
      <c r="X260" s="46">
        <f>IFERROR(__xludf.DUMMYFUNCTION("""COMPUTED_VALUE"""),4.0)</f>
        <v>4</v>
      </c>
      <c r="Y260" s="40" t="str">
        <f>IFERROR(__xludf.DUMMYFUNCTION("""COMPUTED_VALUE"""),"No tiene")</f>
        <v>No tiene</v>
      </c>
      <c r="Z260" s="42" t="str">
        <f>IFERROR(__xludf.DUMMYFUNCTION("""COMPUTED_VALUE"""),"No aplica")</f>
        <v>No aplica</v>
      </c>
      <c r="AA260" s="49" t="str">
        <f>IFERROR(__xludf.DUMMYFUNCTION("""COMPUTED_VALUE"""),"No aplica")</f>
        <v>No aplica</v>
      </c>
      <c r="AB260" s="66" t="str">
        <f>IFERROR(__xludf.DUMMYFUNCTION("""COMPUTED_VALUE"""),"https://photos.app.goo.gl/zpb2nqo4ztrDVUYp6")</f>
        <v>https://photos.app.goo.gl/zpb2nqo4ztrDVUYp6</v>
      </c>
      <c r="AC260" s="40" t="str">
        <f>IFERROR(__xludf.DUMMYFUNCTION("""COMPUTED_VALUE"""),"3 niveles")</f>
        <v>3 niveles</v>
      </c>
      <c r="AD260" s="40" t="str">
        <f>IFERROR(__xludf.DUMMYFUNCTION("""COMPUTED_VALUE"""),"Casa de 3 niveles, con dos accesos, ubicada sobre la avenida la Toma, bien ubicada, pisos en mármol, cielo raso en vigas tipo colonial, carpintería marcos, puertas, closet y muebles empotrados en madera, con patio. Escritura al día.")</f>
        <v>Casa de 3 niveles, con dos accesos, ubicada sobre la avenida la Toma, bien ubicada, pisos en mármol, cielo raso en vigas tipo colonial, carpintería marcos, puertas, closet y muebles empotrados en madera, con patio. Escritura al día.</v>
      </c>
      <c r="AE260" s="40"/>
      <c r="AF260" s="40" t="str">
        <f>IFERROR(__xludf.DUMMYFUNCTION("""COMPUTED_VALUE"""),"integral")</f>
        <v>integral</v>
      </c>
      <c r="AG260" s="40" t="str">
        <f>IFERROR(__xludf.DUMMYFUNCTION("""COMPUTED_VALUE"""),"SI")</f>
        <v>SI</v>
      </c>
      <c r="AH260" s="40" t="str">
        <f>IFERROR(__xludf.DUMMYFUNCTION("""COMPUTED_VALUE"""),"Inventario")</f>
        <v>Inventario</v>
      </c>
      <c r="AI260" s="40" t="str">
        <f>IFERROR(__xludf.DUMMYFUNCTION("""COMPUTED_VALUE"""),"Aliado")</f>
        <v>Aliado</v>
      </c>
      <c r="AJ260" s="40" t="str">
        <f>IFERROR(__xludf.DUMMYFUNCTION("""COMPUTED_VALUE"""),"Jovel")</f>
        <v>Jovel</v>
      </c>
      <c r="AK260" s="42" t="str">
        <f>IFERROR(__xludf.DUMMYFUNCTION("""COMPUTED_VALUE"""),"No aplica")</f>
        <v>No aplica</v>
      </c>
      <c r="AL260" s="40" t="str">
        <f>IFERROR(__xludf.DUMMYFUNCTION("""COMPUTED_VALUE"""),"TIENE FOTOS")</f>
        <v>TIENE FOTOS</v>
      </c>
      <c r="AM260" s="40">
        <f>IFERROR(__xludf.DUMMYFUNCTION("""COMPUTED_VALUE"""),3.103914892E9)</f>
        <v>3103914892</v>
      </c>
      <c r="AN260" s="40">
        <f>IFERROR(__xludf.DUMMYFUNCTION("""COMPUTED_VALUE"""),0.0)</f>
        <v>0</v>
      </c>
      <c r="AO260" s="40"/>
      <c r="AP260" s="40" t="str">
        <f>IFERROR(__xludf.DUMMYFUNCTION("""COMPUTED_VALUE"""),"FALTA DIRECCION")</f>
        <v>FALTA DIRECCION</v>
      </c>
      <c r="AQ260" s="40"/>
      <c r="AR260" s="40"/>
      <c r="AS260" s="53">
        <f>IFERROR(__xludf.DUMMYFUNCTION("""COMPUTED_VALUE"""),0.0)</f>
        <v>0</v>
      </c>
      <c r="AT260" s="40">
        <f>IFERROR(__xludf.DUMMYFUNCTION("""COMPUTED_VALUE"""),0.0)</f>
        <v>0</v>
      </c>
      <c r="AU260" s="40">
        <f>IFERROR(__xludf.DUMMYFUNCTION("""COMPUTED_VALUE"""),0.0)</f>
        <v>0</v>
      </c>
      <c r="AV260" s="40">
        <f>IFERROR(__xludf.DUMMYFUNCTION("""COMPUTED_VALUE"""),0.0)</f>
        <v>0</v>
      </c>
      <c r="AW260" s="40" t="str">
        <f>IFERROR(__xludf.DUMMYFUNCTION("""COMPUTED_VALUE"""),"NO")</f>
        <v>NO</v>
      </c>
      <c r="AX260" s="40">
        <f>IFERROR(__xludf.DUMMYFUNCTION("""COMPUTED_VALUE"""),0.0)</f>
        <v>0</v>
      </c>
      <c r="AY260" s="40">
        <f>IFERROR(__xludf.DUMMYFUNCTION("""COMPUTED_VALUE"""),0.0)</f>
        <v>0</v>
      </c>
      <c r="AZ260" s="40">
        <f>IFERROR(__xludf.DUMMYFUNCTION("""COMPUTED_VALUE"""),0.0)</f>
        <v>0</v>
      </c>
      <c r="BA260" s="40" t="str">
        <f>IFERROR(__xludf.DUMMYFUNCTION("""COMPUTED_VALUE"""),"X")</f>
        <v>X</v>
      </c>
      <c r="BB260" s="40">
        <f>IFERROR(__xludf.DUMMYFUNCTION("""COMPUTED_VALUE"""),0.0)</f>
        <v>0</v>
      </c>
      <c r="BC260" s="53"/>
      <c r="BD260" s="48"/>
      <c r="BE260" s="48"/>
      <c r="BF260" s="48" t="str">
        <f>IFERROR(__xludf.DUMMYFUNCTION("""COMPUTED_VALUE"""),"https://lh3.googleusercontent.com/pw/AP1GczOcKXapnc8Wc8Vhpyiv9FCEg-rliRjqct53_s1F6uhKnCepMBzct-5f1GeFvSlRHSR4u96xtqk-JvRLOWnJdIl2vHcJ7xLGTpS-fhGrk1G1eHxtcmye=w1200|https://lh3.googleusercontent.com/pw/AP1GczN3MMXjznTlyygobqhXWRci3ms2uPJXNY4zd3Uoks6WC512U6"&amp;"6V7HBzxjmU3zNzLDrQZuYWmL4gHIH-GBNIqlwfPxxGZ-peAr3RzNagCQvmg1CfZAGi=w1200|https://lh3.googleusercontent.com/pw/AP1GczPOtP-NPI7Csu4AmcEXNOcP-rjMA8GN1t_ofInkUx8M2eQF4vEy3i_tXoj_VkaEwYPJjJeccPlnxMPoxt43WXi3yN7HP02ur6QvJtCR8x0xaF73jhf7=w1200|https://lh3.google"&amp;"usercontent.com/pw/AP1GczMTPXO9AYJe8bA3gEOruDsq4eVWe4Mmq60dE65u7SafJ_v1s1AZTG7yVJzTUKnKUnIdMVKUQbi17m6b2O4Z7GBCWD0MVo0twJHlMO1SiQ_b2gjVU8zF=w1200|https://lh3.googleusercontent.com/pw/AP1GczPtmDloa2Q-5CVPcRE2x943apuxtiuVdnq97a6F3Tp4qSRYzGuBPncFpg7uAVgFAGc5"&amp;"-w67xVAv-qwIdDmgKrzsvRymXSghzNtJSkRaewnZ-7TuiiJd=w1200|https://lh3.googleusercontent.com/pw/AP1GczOC8Zt5NLU0Uls-uhnJh8sgny_gtnfef9UyL_xu-yNM2Cd2XPHme5y6GzJhtDpKPuRXRLuKPSumkHQSsnC4VXh6xk5peuNiMqFNMwpZYRXDp-kz89s2=w1200|https://lh3.googleusercontent.com/pw"&amp;"/AP1GczNrQq5-lB21vqtrDYMB3Ge7C7RxOOO2_be1TQjbFNBwlKl8XPRFqTvsAyJ1-1cRGQasM93B-KTCt_xj8lMHdlO9um50u0_d3GDd0sOiKvnslWdeQOUJ=w1200|https://lh3.googleusercontent.com/pw/AP1GczO0GmU7sxwGHNlvjxRnaEdf9JmmMKVC8r2pbaaDK-4yKQ7qdQ-bz8cm7TjlnfP31YBHxxndRw0xF0GcvszJtJ"&amp;"h38hsiun67AcB9SoSe00OkWYZ-cNOg=w1200|https://lh3.googleusercontent.com/pw/AP1GczMPggAYC5uybV6wqAgn2mctzHcFWvZBso_u91NzfS1nZLev6aRdbc0L0oDmkhrPZxjKPlBXMAV7W8Wq9fddI9BZoA-5v3I4CsFVS4aEBz20yXrUC3Wv=w1200|https://lh3.googleusercontent.com/pw/AP1GczMzPljqGbhS-"&amp;"y94ZD1oXSLJ8_z0tQq3Qq8O1vpv59vexuuoKqvxLbmg8mswTNTm_XJEqdFz1GQm0_xFiLKAas_HcY7LdcqQ3oz0aNtUFmmO-YxignHS=w1200|https://lh3.googleusercontent.com/pw/AP1GczMv6zrmMG-v36dXtNaTguUA67vPOrrF0awagJkBwb4sXthmTKuJFRXZtyqQIcp4HRHwGafRef6AE8-ALxij87qlBJfPixF7q6erivvJ"&amp;"RxIcSX2yCftG=w1200|https://lh3.googleusercontent.com/pw/AP1GczOR_8q67ZuuGz6uctyKB1hPwujOS19HjKo6tRbwXIWoFVub6A_QGlH1DzVHMl4fEMdbivUstx47L7DCNJY5IseMBmuih6UWG0JnmU8996-OeH5WR5x0=w1200|https://lh3.googleusercontent.com/pw/AP1GczMk3e3xMdNg9Bx-8Xy6qvt0acxYCgw"&amp;"--1PzNMVzaIYGWpcrfVPBFnFv_rBl38IBADxf9fZxdJOPMQ5ttFFrZR-qCyOVkKvAFTT3nhFlI789HDNkQykz=w1200|https://lh3.googleusercontent.com/pw/AP1GczMSuxlSTkr1hrTfD7syKPkfLJaUj0qb-N4k8vlwr14DhYHmGiIvgXkVwpglMTTiz2Rzq3heLdAX4ycSCmfW-bEx_HDmKHx_LBrIRTWAfggRZ8-dk1wd=w1200"&amp;"|https://lh3.googleusercontent.com/pw/AP1GczPxHaun2hnEIY-9EodsCeU8mJtGbtiJyyGp9FADzS0PMKAnDmH912__g6VAOXRa30obNftwpSB63ugAyaFYY00Us54Am4aHWfhrKvN26VD12qeLYiS1=w1200|https://lh3.googleusercontent.com/pw/AP1GczPihmFz8xdZ49XvKFOcXSqcFokdlxISn0MRHyLSxjlOdK6xm"&amp;"XYxc1300eyg0wlCwy2VrKCzFqOhgM76Fwte_C4dDzfpuRO7clLkii-F6qOAbsoT64pD=w1200|https://lh3.googleusercontent.com/pw/AP1GczMNW5B6-vYFbp30oYknjX67C-DWdxi9kcvpsZGmbmRcgcITdkkUXuLlosIHu3a0yPOj-AUCih8Ql2B84Nfip8XVtdTn-cd6A-_VZp3-Zoo-NESnfOCb=w1200|https://lh3.googl"&amp;"eusercontent.com/pw/AP1GczOMP-_CY6PpMnFWgdQrNX4t4sAxrGMJeY3qE4YPYicA0Rxvf1iZa4F8JSVhsX1NY-bdPFp0BBq90rv25BBo-eZQQAWi4OgivExNaO_6I3ZKOo6AF4oI=w1200|https://lh3.googleusercontent.com/pw/AP1GczOvPSKtVL_H5o-exT5EupNktyE-MS30vtbZ0y2RRAQ3mrFJSi4WVJpPC1hpjGO5yjZ"&amp;"FD4i-_XG3PQr4sA2tyyBThb3jSqkAT27iAwETeHGanOxqokB7=w1200|https://lh3.googleusercontent.com/pw/AP1GczMhkoxKgbzlpX_kewIdo6vhqQ50nrHL8X3WT3MtKtHkcfwD7IAy7d8CiSE8UqKuxmCV-MxFng2JjBRH-9XpcL1rDiAwvnv3jXavbe8_RmdPnMGSAvOm=w1200|https://lh3.googleusercontent.com/p"&amp;"w/AP1GczPTsNXoV2cPC0WF2hlqvBItmZDDkLs408eTtwtx2YhR29EC2mnSrhB5ONY4yHusWX_C-0FgFVWSvBdnL28gx0MH2gH8vPsgniU_lEATDMmmNublEhDd=w1200|https://lh3.googleusercontent.com/pw/AP1GczPgoI4_VocB4-nAMYRF4vmUhScZBRCS4yT4smi7uuiSadPMsjngZ7ZXzxS7LBUU_S1BZCUWJEyrRYtu6M9gj"&amp;"7yZZ6G7wXqcnCZPxlYR-GAulSci5TyX=w1200|https://lh3.googleusercontent.com/pw/AP1GczOsxAa0xsmGDHR9PHDlhlaEhCvfey-xCrCaK4OfMgxOZmKant8UorSoM_CFOxfecbBr_eQuhqjeL7Y_Phj9RY2KNbuSZcPhvjXGQiKHwrnClxsbCgUz=w1200|https://lh3.googleusercontent.com/pw/AP1GczMsN6qUYade"&amp;"ecmyW0dGwTHPfUk0CFRoYOQ5nLp8F2HN-BgtUfl2vEbuF8Kxr_426H6X7I_Fv5gOdj21dXsJR29devae6M4hH3oAMel3Awa-XZxRf4ql=w1200")</f>
        <v>https://lh3.googleusercontent.com/pw/AP1GczOcKXapnc8Wc8Vhpyiv9FCEg-rliRjqct53_s1F6uhKnCepMBzct-5f1GeFvSlRHSR4u96xtqk-JvRLOWnJdIl2vHcJ7xLGTpS-fhGrk1G1eHxtcmye=w1200|https://lh3.googleusercontent.com/pw/AP1GczN3MMXjznTlyygobqhXWRci3ms2uPJXNY4zd3Uoks6WC512U66V7HBzxjmU3zNzLDrQZuYWmL4gHIH-GBNIqlwfPxxGZ-peAr3RzNagCQvmg1CfZAGi=w1200|https://lh3.googleusercontent.com/pw/AP1GczPOtP-NPI7Csu4AmcEXNOcP-rjMA8GN1t_ofInkUx8M2eQF4vEy3i_tXoj_VkaEwYPJjJeccPlnxMPoxt43WXi3yN7HP02ur6QvJtCR8x0xaF73jhf7=w1200|https://lh3.googleusercontent.com/pw/AP1GczMTPXO9AYJe8bA3gEOruDsq4eVWe4Mmq60dE65u7SafJ_v1s1AZTG7yVJzTUKnKUnIdMVKUQbi17m6b2O4Z7GBCWD0MVo0twJHlMO1SiQ_b2gjVU8zF=w1200|https://lh3.googleusercontent.com/pw/AP1GczPtmDloa2Q-5CVPcRE2x943apuxtiuVdnq97a6F3Tp4qSRYzGuBPncFpg7uAVgFAGc5-w67xVAv-qwIdDmgKrzsvRymXSghzNtJSkRaewnZ-7TuiiJd=w1200|https://lh3.googleusercontent.com/pw/AP1GczOC8Zt5NLU0Uls-uhnJh8sgny_gtnfef9UyL_xu-yNM2Cd2XPHme5y6GzJhtDpKPuRXRLuKPSumkHQSsnC4VXh6xk5peuNiMqFNMwpZYRXDp-kz89s2=w1200|https://lh3.googleusercontent.com/pw/AP1GczNrQq5-lB21vqtrDYMB3Ge7C7RxOOO2_be1TQjbFNBwlKl8XPRFqTvsAyJ1-1cRGQasM93B-KTCt_xj8lMHdlO9um50u0_d3GDd0sOiKvnslWdeQOUJ=w1200|https://lh3.googleusercontent.com/pw/AP1GczO0GmU7sxwGHNlvjxRnaEdf9JmmMKVC8r2pbaaDK-4yKQ7qdQ-bz8cm7TjlnfP31YBHxxndRw0xF0GcvszJtJh38hsiun67AcB9SoSe00OkWYZ-cNOg=w1200|https://lh3.googleusercontent.com/pw/AP1GczMPggAYC5uybV6wqAgn2mctzHcFWvZBso_u91NzfS1nZLev6aRdbc0L0oDmkhrPZxjKPlBXMAV7W8Wq9fddI9BZoA-5v3I4CsFVS4aEBz20yXrUC3Wv=w1200|https://lh3.googleusercontent.com/pw/AP1GczMzPljqGbhS-y94ZD1oXSLJ8_z0tQq3Qq8O1vpv59vexuuoKqvxLbmg8mswTNTm_XJEqdFz1GQm0_xFiLKAas_HcY7LdcqQ3oz0aNtUFmmO-YxignHS=w1200|https://lh3.googleusercontent.com/pw/AP1GczMv6zrmMG-v36dXtNaTguUA67vPOrrF0awagJkBwb4sXthmTKuJFRXZtyqQIcp4HRHwGafRef6AE8-ALxij87qlBJfPixF7q6erivvJRxIcSX2yCftG=w1200|https://lh3.googleusercontent.com/pw/AP1GczOR_8q67ZuuGz6uctyKB1hPwujOS19HjKo6tRbwXIWoFVub6A_QGlH1DzVHMl4fEMdbivUstx47L7DCNJY5IseMBmuih6UWG0JnmU8996-OeH5WR5x0=w1200|https://lh3.googleusercontent.com/pw/AP1GczMk3e3xMdNg9Bx-8Xy6qvt0acxYCgw--1PzNMVzaIYGWpcrfVPBFnFv_rBl38IBADxf9fZxdJOPMQ5ttFFrZR-qCyOVkKvAFTT3nhFlI789HDNkQykz=w1200|https://lh3.googleusercontent.com/pw/AP1GczMSuxlSTkr1hrTfD7syKPkfLJaUj0qb-N4k8vlwr14DhYHmGiIvgXkVwpglMTTiz2Rzq3heLdAX4ycSCmfW-bEx_HDmKHx_LBrIRTWAfggRZ8-dk1wd=w1200|https://lh3.googleusercontent.com/pw/AP1GczPxHaun2hnEIY-9EodsCeU8mJtGbtiJyyGp9FADzS0PMKAnDmH912__g6VAOXRa30obNftwpSB63ugAyaFYY00Us54Am4aHWfhrKvN26VD12qeLYiS1=w1200|https://lh3.googleusercontent.com/pw/AP1GczPihmFz8xdZ49XvKFOcXSqcFokdlxISn0MRHyLSxjlOdK6xmXYxc1300eyg0wlCwy2VrKCzFqOhgM76Fwte_C4dDzfpuRO7clLkii-F6qOAbsoT64pD=w1200|https://lh3.googleusercontent.com/pw/AP1GczMNW5B6-vYFbp30oYknjX67C-DWdxi9kcvpsZGmbmRcgcITdkkUXuLlosIHu3a0yPOj-AUCih8Ql2B84Nfip8XVtdTn-cd6A-_VZp3-Zoo-NESnfOCb=w1200|https://lh3.googleusercontent.com/pw/AP1GczOMP-_CY6PpMnFWgdQrNX4t4sAxrGMJeY3qE4YPYicA0Rxvf1iZa4F8JSVhsX1NY-bdPFp0BBq90rv25BBo-eZQQAWi4OgivExNaO_6I3ZKOo6AF4oI=w1200|https://lh3.googleusercontent.com/pw/AP1GczOvPSKtVL_H5o-exT5EupNktyE-MS30vtbZ0y2RRAQ3mrFJSi4WVJpPC1hpjGO5yjZFD4i-_XG3PQr4sA2tyyBThb3jSqkAT27iAwETeHGanOxqokB7=w1200|https://lh3.googleusercontent.com/pw/AP1GczMhkoxKgbzlpX_kewIdo6vhqQ50nrHL8X3WT3MtKtHkcfwD7IAy7d8CiSE8UqKuxmCV-MxFng2JjBRH-9XpcL1rDiAwvnv3jXavbe8_RmdPnMGSAvOm=w1200|https://lh3.googleusercontent.com/pw/AP1GczPTsNXoV2cPC0WF2hlqvBItmZDDkLs408eTtwtx2YhR29EC2mnSrhB5ONY4yHusWX_C-0FgFVWSvBdnL28gx0MH2gH8vPsgniU_lEATDMmmNublEhDd=w1200|https://lh3.googleusercontent.com/pw/AP1GczPgoI4_VocB4-nAMYRF4vmUhScZBRCS4yT4smi7uuiSadPMsjngZ7ZXzxS7LBUU_S1BZCUWJEyrRYtu6M9gj7yZZ6G7wXqcnCZPxlYR-GAulSci5TyX=w1200|https://lh3.googleusercontent.com/pw/AP1GczOsxAa0xsmGDHR9PHDlhlaEhCvfey-xCrCaK4OfMgxOZmKant8UorSoM_CFOxfecbBr_eQuhqjeL7Y_Phj9RY2KNbuSZcPhvjXGQiKHwrnClxsbCgUz=w1200|https://lh3.googleusercontent.com/pw/AP1GczMsN6qUYadeecmyW0dGwTHPfUk0CFRoYOQ5nLp8F2HN-BgtUfl2vEbuF8Kxr_426H6X7I_Fv5gOdj21dXsJR29devae6M4hH3oAMel3Awa-XZxRf4ql=w1200</v>
      </c>
    </row>
    <row r="261">
      <c r="A261" s="39" t="str">
        <f>IFERROR(__xludf.DUMMYFUNCTION("""COMPUTED_VALUE"""),"427")</f>
        <v>427</v>
      </c>
      <c r="B261" s="40" t="str">
        <f>IFERROR(__xludf.DUMMYFUNCTION("""COMPUTED_VALUE"""),"Casa en barrio Quirinal")</f>
        <v>Casa en barrio Quirinal</v>
      </c>
      <c r="C261" s="40" t="str">
        <f>IFERROR(__xludf.DUMMYFUNCTION("""COMPUTED_VALUE"""),"Casa")</f>
        <v>Casa</v>
      </c>
      <c r="D261" s="40" t="str">
        <f>IFERROR(__xludf.DUMMYFUNCTION("""COMPUTED_VALUE"""),"Quirinal")</f>
        <v>Quirinal</v>
      </c>
      <c r="E261" s="40"/>
      <c r="F261" s="42">
        <f>IFERROR(__xludf.DUMMYFUNCTION("""COMPUTED_VALUE"""),8.0E8)</f>
        <v>800000000</v>
      </c>
      <c r="G261" s="40" t="str">
        <f>IFERROR(__xludf.DUMMYFUNCTION("""COMPUTED_VALUE"""),"$500'000.000 a $1.000'000.000")</f>
        <v>$500'000.000 a $1.000'000.000</v>
      </c>
      <c r="H261" s="40"/>
      <c r="I261" s="40"/>
      <c r="J261" s="40" t="str">
        <f>IFERROR(__xludf.DUMMYFUNCTION("""COMPUTED_VALUE"""),"Centro")</f>
        <v>Centro</v>
      </c>
      <c r="K261" s="39" t="str">
        <f>IFERROR(__xludf.DUMMYFUNCTION("""COMPUTED_VALUE"""),"3")</f>
        <v>3</v>
      </c>
      <c r="L261" s="40">
        <f>IFERROR(__xludf.DUMMYFUNCTION("""COMPUTED_VALUE"""),4.0)</f>
        <v>4</v>
      </c>
      <c r="M261" s="40"/>
      <c r="N261" s="40">
        <f>IFERROR(__xludf.DUMMYFUNCTION("""COMPUTED_VALUE"""),3.0)</f>
        <v>3</v>
      </c>
      <c r="O261" s="40">
        <f>IFERROR(__xludf.DUMMYFUNCTION("""COMPUTED_VALUE"""),1.0)</f>
        <v>1</v>
      </c>
      <c r="P261" s="40">
        <f>IFERROR(__xludf.DUMMYFUNCTION("""COMPUTED_VALUE"""),1.0)</f>
        <v>1</v>
      </c>
      <c r="Q261" s="48">
        <f>IFERROR(__xludf.DUMMYFUNCTION("""COMPUTED_VALUE"""),163.0)</f>
        <v>163</v>
      </c>
      <c r="R261" s="48">
        <f>IFERROR(__xludf.DUMMYFUNCTION("""COMPUTED_VALUE"""),213.0)</f>
        <v>213</v>
      </c>
      <c r="S261" s="39" t="str">
        <f>IFERROR(__xludf.DUMMYFUNCTION("""COMPUTED_VALUE""")," ")</f>
        <v> </v>
      </c>
      <c r="T261" s="40" t="str">
        <f>IFERROR(__xludf.DUMMYFUNCTION("""COMPUTED_VALUE"""),"Neiva")</f>
        <v>Neiva</v>
      </c>
      <c r="U261" s="39" t="str">
        <f>IFERROR(__xludf.DUMMYFUNCTION("""COMPUTED_VALUE"""),"5")</f>
        <v>5</v>
      </c>
      <c r="V261" s="40" t="str">
        <f>IFERROR(__xludf.DUMMYFUNCTION("""COMPUTED_VALUE"""),"Medianera")</f>
        <v>Medianera</v>
      </c>
      <c r="W261" s="46"/>
      <c r="X261" s="46">
        <f>IFERROR(__xludf.DUMMYFUNCTION("""COMPUTED_VALUE"""),4.0)</f>
        <v>4</v>
      </c>
      <c r="Y261" s="40" t="str">
        <f>IFERROR(__xludf.DUMMYFUNCTION("""COMPUTED_VALUE"""),"No tiene")</f>
        <v>No tiene</v>
      </c>
      <c r="Z261" s="42" t="str">
        <f>IFERROR(__xludf.DUMMYFUNCTION("""COMPUTED_VALUE"""),"No aplica")</f>
        <v>No aplica</v>
      </c>
      <c r="AA261" s="49" t="str">
        <f>IFERROR(__xludf.DUMMYFUNCTION("""COMPUTED_VALUE"""),"No aplica")</f>
        <v>No aplica</v>
      </c>
      <c r="AB261" s="66" t="str">
        <f>IFERROR(__xludf.DUMMYFUNCTION("""COMPUTED_VALUE"""),"https://photos.app.goo.gl/L5BSgcdVkH3fhgNG6")</f>
        <v>https://photos.app.goo.gl/L5BSgcdVkH3fhgNG6</v>
      </c>
      <c r="AC261" s="40"/>
      <c r="AD261" s="40" t="str">
        <f>IFERROR(__xludf.DUMMYFUNCTION("""COMPUTED_VALUE"""),"Casa antigua  amplia, alta y ventilada. Excelente vía de acceso y de conservación. Con patio transversal amplio con cubierta en plantas de enredaderas para dar más frescura y bonita visual entre los espacios. Con buenos acabados, piso en cerámica, cielo r"&amp;"aso en Driwall. Casa apta para uso comercial - salud. Escritura al día.")</f>
        <v>Casa antigua  amplia, alta y ventilada. Excelente vía de acceso y de conservación. Con patio transversal amplio con cubierta en plantas de enredaderas para dar más frescura y bonita visual entre los espacios. Con buenos acabados, piso en cerámica, cielo raso en Driwall. Casa apta para uso comercial - salud. Escritura al día.</v>
      </c>
      <c r="AE261" s="40"/>
      <c r="AF261" s="40" t="str">
        <f>IFERROR(__xludf.DUMMYFUNCTION("""COMPUTED_VALUE"""),"integral")</f>
        <v>integral</v>
      </c>
      <c r="AG261" s="40" t="str">
        <f>IFERROR(__xludf.DUMMYFUNCTION("""COMPUTED_VALUE"""),"SI")</f>
        <v>SI</v>
      </c>
      <c r="AH261" s="40" t="str">
        <f>IFERROR(__xludf.DUMMYFUNCTION("""COMPUTED_VALUE"""),"Inventario")</f>
        <v>Inventario</v>
      </c>
      <c r="AI261" s="40" t="str">
        <f>IFERROR(__xludf.DUMMYFUNCTION("""COMPUTED_VALUE"""),"Aliado")</f>
        <v>Aliado</v>
      </c>
      <c r="AJ261" s="40" t="str">
        <f>IFERROR(__xludf.DUMMYFUNCTION("""COMPUTED_VALUE"""),"Jovel")</f>
        <v>Jovel</v>
      </c>
      <c r="AK261" s="42" t="str">
        <f>IFERROR(__xludf.DUMMYFUNCTION("""COMPUTED_VALUE"""),"No aplica")</f>
        <v>No aplica</v>
      </c>
      <c r="AL261" s="40" t="str">
        <f>IFERROR(__xludf.DUMMYFUNCTION("""COMPUTED_VALUE"""),"TIENE FOTOS")</f>
        <v>TIENE FOTOS</v>
      </c>
      <c r="AM261" s="40">
        <f>IFERROR(__xludf.DUMMYFUNCTION("""COMPUTED_VALUE"""),3.103914892E9)</f>
        <v>3103914892</v>
      </c>
      <c r="AN261" s="40">
        <f>IFERROR(__xludf.DUMMYFUNCTION("""COMPUTED_VALUE"""),0.0)</f>
        <v>0</v>
      </c>
      <c r="AO261" s="40"/>
      <c r="AP261" s="40">
        <f>IFERROR(__xludf.DUMMYFUNCTION("""COMPUTED_VALUE"""),0.0)</f>
        <v>0</v>
      </c>
      <c r="AQ261" s="40">
        <f>IFERROR(__xludf.DUMMYFUNCTION("""COMPUTED_VALUE"""),2.935048)</f>
        <v>2.935048</v>
      </c>
      <c r="AR261" s="40">
        <f>IFERROR(__xludf.DUMMYFUNCTION("""COMPUTED_VALUE"""),-75.2903422)</f>
        <v>-75.2903422</v>
      </c>
      <c r="AS261" s="53">
        <f>IFERROR(__xludf.DUMMYFUNCTION("""COMPUTED_VALUE"""),0.0)</f>
        <v>0</v>
      </c>
      <c r="AT261" s="40">
        <f>IFERROR(__xludf.DUMMYFUNCTION("""COMPUTED_VALUE"""),0.0)</f>
        <v>0</v>
      </c>
      <c r="AU261" s="40">
        <f>IFERROR(__xludf.DUMMYFUNCTION("""COMPUTED_VALUE"""),0.0)</f>
        <v>0</v>
      </c>
      <c r="AV261" s="40">
        <f>IFERROR(__xludf.DUMMYFUNCTION("""COMPUTED_VALUE"""),0.0)</f>
        <v>0</v>
      </c>
      <c r="AW261" s="40" t="str">
        <f>IFERROR(__xludf.DUMMYFUNCTION("""COMPUTED_VALUE"""),"NO")</f>
        <v>NO</v>
      </c>
      <c r="AX261" s="40">
        <f>IFERROR(__xludf.DUMMYFUNCTION("""COMPUTED_VALUE"""),0.0)</f>
        <v>0</v>
      </c>
      <c r="AY261" s="40">
        <f>IFERROR(__xludf.DUMMYFUNCTION("""COMPUTED_VALUE"""),0.0)</f>
        <v>0</v>
      </c>
      <c r="AZ261" s="40">
        <f>IFERROR(__xludf.DUMMYFUNCTION("""COMPUTED_VALUE"""),0.0)</f>
        <v>0</v>
      </c>
      <c r="BA261" s="40" t="str">
        <f>IFERROR(__xludf.DUMMYFUNCTION("""COMPUTED_VALUE"""),"X")</f>
        <v>X</v>
      </c>
      <c r="BB261" s="40">
        <f>IFERROR(__xludf.DUMMYFUNCTION("""COMPUTED_VALUE"""),0.0)</f>
        <v>0</v>
      </c>
      <c r="BC261" s="53" t="str">
        <f>IFERROR(__xludf.DUMMYFUNCTION("""COMPUTED_VALUE"""),"12 - LEIDY YULIETH")</f>
        <v>12 - LEIDY YULIETH</v>
      </c>
      <c r="BD261" s="48"/>
      <c r="BE261" s="48"/>
      <c r="BF261" s="48" t="str">
        <f>IFERROR(__xludf.DUMMYFUNCTION("""COMPUTED_VALUE"""),"https://lh3.googleusercontent.com/pw/AP1GczNKyUqpAkIhwoiffFkt5O4iuBYErwkANBVWr0Rs6Bd9YqpqqNVK5AsI8RndpFf-7oFNUDUtsfc17HLjnxrgk-dEALd1R-Xii_JSDOvdWz5oNhC5GJjX=w1200|https://lh3.googleusercontent.com/pw/AP1GczNA9f-QGdiM4uRrgl-GVityih-7Yy3kQtQK0wJII1qYxAOVrr"&amp;"YvFoYvmw-l0WXKHZcxCimkKbaqW6hR23IpSLE4FvpfuQhdujqsboI5WSGKc0dtwgWM=w1200|https://lh3.googleusercontent.com/pw/AP1GczPr0EWUy9PxMPD_h45emFCJzEUXYWclvPELw34DJcsaKxqyM6bvIEVqnHbo2nZJxzIoBYTst_7nuc9Be61K55Fmv2XFUXRRaKFuYUvn9Ybrxt2_WxML=w1200|https://lh3.google"&amp;"usercontent.com/pw/AP1GczOTOlqPl4Dr4eSsgvaO80Yaiweae9Qj_GgW03-J0LXHMhWCRim2QdX2t4cFY32pYif2Y12RAUJIw2M2LqiIMzvnGfJXepfo7tZ2t--CEO69fSO40XqP=w1200|https://lh3.googleusercontent.com/pw/AP1GczNCfyv7pv_U_EAY-eYRkhhYNQka-B8t759WU0bFbn2c1mj12Xfqw1N1ubbV1_4CzFtl"&amp;"p7DzCUUbkRjuCU5Tl1EVHY4fRUwLBlMEb0Nuoe52vxmoGyra=w1200|https://lh3.googleusercontent.com/pw/AP1GczMC4XbDaYB7riCUoyQExsBysi2uSiDKxTBIr8Q_vHgzTlYbRC5YtwZEzFwkxkLcHr3iINLDTf2fHAop_Sh0dnUDz5oeRv3BQ8gLjnxqKKtgxGYUc0eJ=w1200|https://lh3.googleusercontent.com/pw"&amp;"/AP1GczPLrfAzfUvegWPy5lfGq65WMaTG-viCekmH2gLuURDVswMuUf5QojqvG9a7eLddJynFh_hVhNmfxjt_m310FMEJBRYQAc-Nhpn40HYAXq5d8c196MdX=w1200|https://lh3.googleusercontent.com/pw/AP1GczMxkRvuwZmIVQp5dyujg8wWB4AuPC1p3DBUSV2KvdNVt9abHhIgkc0eIem9cPvuThvA_6ue0WlL18TwlJs-9N"&amp;"m4ihi2R1rTW5xxdKJTp-9Nwy1gotXJ=w1200|https://lh3.googleusercontent.com/pw/AP1GczOJhFsFQ0zQHjYv0_y1NBP1f1lzQPII3JiEvO0L2dNcx00dgXq2fyyNtKk72oFNVJW5hhUU9ms1qsMHUb9JQeRR9v7utYgEdjC8xQVa1iAwVNSIaLWc=w1200|https://lh3.googleusercontent.com/pw/AP1GczPHfD9I87919"&amp;"X65-ppU_91xfyQ56O-92FpE2zimvWhv-twGabQi1kmlj9GD9q0iJxE1Mw8v_iKUwJYef8T7HtECfJUHr2OL3ea2vrkx5IraGVUAA8Yo=w1200|https://lh3.googleusercontent.com/pw/AP1GczMAAqIqrjWNdkeccok-pbWZt8I5Bt7t8uUdrISjzG7LOm3XYU8G9YGm01vpoY57Z2L5-Yd9ypG6RwYYkzrSKm2ePzSm7HVie0fgTYYb"&amp;"VC1QPTSVnrXs=w1200|https://lh3.googleusercontent.com/pw/AP1GczO63Yvw9bLyvDA_hiricEPmYO7bPgGSC-iVB39eV_4z8e1dI-kkmulEVK8Og60ALqa-gX0tgI4eISL6g0OUa-vsnqoXmMmrrwi4Rgz4iLT125Lp5Z1W=w1200|https://lh3.googleusercontent.com/pw/AP1GczM40adHLM1OcxcJveh8Dz7rDik4EEf"&amp;"MjDXQIMl6tT3P4LKPmElYsbpaINCp9y8N2H2KHy6_wzIi__NTAYzsRDIHV4hCjZjZfda--WcNJsNymB_EoD3w=w1200|https://lh3.googleusercontent.com/pw/AP1GczNVCg4l9LS_PhfOF9xlLBRpIy2n6igdoviqWW8pcxFGNKiRTmQuU7eAMkR2LChYWTYdTcEBEGzWvsZvZ71J9qW7COWEVvINVv_LIIGlm32pDmWRcsdj=w1200"&amp;"|https://lh3.googleusercontent.com/pw/AP1GczMcE53V6KgD9GWjkNKyX5xItDbi66DaEaTxcAYXpmhXyHrnIuFphqKIxXP86m8XWEIgMBB-Qe1dkmmnxjHybM0aQqYR4cMxMw1uw-3RR_SnccDTvwrO=w1200|https://lh3.googleusercontent.com/pw/AP1GczNAY1YkBiulPtihBjeStWPgUgZ-KuOgMEU144lAMs8BkrGBT"&amp;"ouKzk78RCGsr6kFp4H6lih-CfiNBUwUTAW5R8NUMD7D0IlcIl1SZ85TTe9gPwq9lPPW=w1200|https://lh3.googleusercontent.com/pw/AP1GczMBjau5NMYjSts7lMXrFzN_7UMD0QJbUE6xgXJTfHqm0S9VOsVxrnggGtx7xCXRIeNM11OCyFT3Vqfz7e00y7t55WNC8V_s16Kuy01nT8i4xzlJYKXM=w1200|https://lh3.googl"&amp;"eusercontent.com/pw/AP1GczNBx3y9rWdAorI-4qLQwcNN3sZO-uRUZsNBfL1MTKsdnWXAG2xfkLUfk1bcZ6tJDW6sYvA_BLWyAzupNveU8DLPrWuyjZaNseTDKYNictqBNYCtEcKL=w1200")</f>
        <v>https://lh3.googleusercontent.com/pw/AP1GczNKyUqpAkIhwoiffFkt5O4iuBYErwkANBVWr0Rs6Bd9YqpqqNVK5AsI8RndpFf-7oFNUDUtsfc17HLjnxrgk-dEALd1R-Xii_JSDOvdWz5oNhC5GJjX=w1200|https://lh3.googleusercontent.com/pw/AP1GczNA9f-QGdiM4uRrgl-GVityih-7Yy3kQtQK0wJII1qYxAOVrrYvFoYvmw-l0WXKHZcxCimkKbaqW6hR23IpSLE4FvpfuQhdujqsboI5WSGKc0dtwgWM=w1200|https://lh3.googleusercontent.com/pw/AP1GczPr0EWUy9PxMPD_h45emFCJzEUXYWclvPELw34DJcsaKxqyM6bvIEVqnHbo2nZJxzIoBYTst_7nuc9Be61K55Fmv2XFUXRRaKFuYUvn9Ybrxt2_WxML=w1200|https://lh3.googleusercontent.com/pw/AP1GczOTOlqPl4Dr4eSsgvaO80Yaiweae9Qj_GgW03-J0LXHMhWCRim2QdX2t4cFY32pYif2Y12RAUJIw2M2LqiIMzvnGfJXepfo7tZ2t--CEO69fSO40XqP=w1200|https://lh3.googleusercontent.com/pw/AP1GczNCfyv7pv_U_EAY-eYRkhhYNQka-B8t759WU0bFbn2c1mj12Xfqw1N1ubbV1_4CzFtlp7DzCUUbkRjuCU5Tl1EVHY4fRUwLBlMEb0Nuoe52vxmoGyra=w1200|https://lh3.googleusercontent.com/pw/AP1GczMC4XbDaYB7riCUoyQExsBysi2uSiDKxTBIr8Q_vHgzTlYbRC5YtwZEzFwkxkLcHr3iINLDTf2fHAop_Sh0dnUDz5oeRv3BQ8gLjnxqKKtgxGYUc0eJ=w1200|https://lh3.googleusercontent.com/pw/AP1GczPLrfAzfUvegWPy5lfGq65WMaTG-viCekmH2gLuURDVswMuUf5QojqvG9a7eLddJynFh_hVhNmfxjt_m310FMEJBRYQAc-Nhpn40HYAXq5d8c196MdX=w1200|https://lh3.googleusercontent.com/pw/AP1GczMxkRvuwZmIVQp5dyujg8wWB4AuPC1p3DBUSV2KvdNVt9abHhIgkc0eIem9cPvuThvA_6ue0WlL18TwlJs-9Nm4ihi2R1rTW5xxdKJTp-9Nwy1gotXJ=w1200|https://lh3.googleusercontent.com/pw/AP1GczOJhFsFQ0zQHjYv0_y1NBP1f1lzQPII3JiEvO0L2dNcx00dgXq2fyyNtKk72oFNVJW5hhUU9ms1qsMHUb9JQeRR9v7utYgEdjC8xQVa1iAwVNSIaLWc=w1200|https://lh3.googleusercontent.com/pw/AP1GczPHfD9I87919X65-ppU_91xfyQ56O-92FpE2zimvWhv-twGabQi1kmlj9GD9q0iJxE1Mw8v_iKUwJYef8T7HtECfJUHr2OL3ea2vrkx5IraGVUAA8Yo=w1200|https://lh3.googleusercontent.com/pw/AP1GczMAAqIqrjWNdkeccok-pbWZt8I5Bt7t8uUdrISjzG7LOm3XYU8G9YGm01vpoY57Z2L5-Yd9ypG6RwYYkzrSKm2ePzSm7HVie0fgTYYbVC1QPTSVnrXs=w1200|https://lh3.googleusercontent.com/pw/AP1GczO63Yvw9bLyvDA_hiricEPmYO7bPgGSC-iVB39eV_4z8e1dI-kkmulEVK8Og60ALqa-gX0tgI4eISL6g0OUa-vsnqoXmMmrrwi4Rgz4iLT125Lp5Z1W=w1200|https://lh3.googleusercontent.com/pw/AP1GczM40adHLM1OcxcJveh8Dz7rDik4EEfMjDXQIMl6tT3P4LKPmElYsbpaINCp9y8N2H2KHy6_wzIi__NTAYzsRDIHV4hCjZjZfda--WcNJsNymB_EoD3w=w1200|https://lh3.googleusercontent.com/pw/AP1GczNVCg4l9LS_PhfOF9xlLBRpIy2n6igdoviqWW8pcxFGNKiRTmQuU7eAMkR2LChYWTYdTcEBEGzWvsZvZ71J9qW7COWEVvINVv_LIIGlm32pDmWRcsdj=w1200|https://lh3.googleusercontent.com/pw/AP1GczMcE53V6KgD9GWjkNKyX5xItDbi66DaEaTxcAYXpmhXyHrnIuFphqKIxXP86m8XWEIgMBB-Qe1dkmmnxjHybM0aQqYR4cMxMw1uw-3RR_SnccDTvwrO=w1200|https://lh3.googleusercontent.com/pw/AP1GczNAY1YkBiulPtihBjeStWPgUgZ-KuOgMEU144lAMs8BkrGBTouKzk78RCGsr6kFp4H6lih-CfiNBUwUTAW5R8NUMD7D0IlcIl1SZ85TTe9gPwq9lPPW=w1200|https://lh3.googleusercontent.com/pw/AP1GczMBjau5NMYjSts7lMXrFzN_7UMD0QJbUE6xgXJTfHqm0S9VOsVxrnggGtx7xCXRIeNM11OCyFT3Vqfz7e00y7t55WNC8V_s16Kuy01nT8i4xzlJYKXM=w1200|https://lh3.googleusercontent.com/pw/AP1GczNBx3y9rWdAorI-4qLQwcNN3sZO-uRUZsNBfL1MTKsdnWXAG2xfkLUfk1bcZ6tJDW6sYvA_BLWyAzupNveU8DLPrWuyjZaNseTDKYNictqBNYCtEcKL=w1200</v>
      </c>
    </row>
    <row r="262">
      <c r="A262" s="39" t="str">
        <f>IFERROR(__xludf.DUMMYFUNCTION("""COMPUTED_VALUE"""),"032")</f>
        <v>032</v>
      </c>
      <c r="B262" s="40" t="str">
        <f>IFERROR(__xludf.DUMMYFUNCTION("""COMPUTED_VALUE"""),"Casa en barrio Sevilla")</f>
        <v>Casa en barrio Sevilla</v>
      </c>
      <c r="C262" s="40" t="str">
        <f>IFERROR(__xludf.DUMMYFUNCTION("""COMPUTED_VALUE"""),"Casa")</f>
        <v>Casa</v>
      </c>
      <c r="D262" s="40" t="str">
        <f>IFERROR(__xludf.DUMMYFUNCTION("""COMPUTED_VALUE"""),"Sevilla")</f>
        <v>Sevilla</v>
      </c>
      <c r="E262" s="42" t="str">
        <f>IFERROR(__xludf.DUMMYFUNCTION("""COMPUTED_VALUE""")," ")</f>
        <v> </v>
      </c>
      <c r="F262" s="42">
        <f>IFERROR(__xludf.DUMMYFUNCTION("""COMPUTED_VALUE"""),7.5E8)</f>
        <v>750000000</v>
      </c>
      <c r="G262" s="40" t="str">
        <f>IFERROR(__xludf.DUMMYFUNCTION("""COMPUTED_VALUE"""),"$500'000.000 a $1.000'000.000")</f>
        <v>$500'000.000 a $1.000'000.000</v>
      </c>
      <c r="H262" s="40"/>
      <c r="I262" s="40"/>
      <c r="J262" s="40" t="str">
        <f>IFERROR(__xludf.DUMMYFUNCTION("""COMPUTED_VALUE"""),"Centro")</f>
        <v>Centro</v>
      </c>
      <c r="K262" s="39" t="str">
        <f>IFERROR(__xludf.DUMMYFUNCTION("""COMPUTED_VALUE"""),"3")</f>
        <v>3</v>
      </c>
      <c r="L262" s="40">
        <f>IFERROR(__xludf.DUMMYFUNCTION("""COMPUTED_VALUE"""),4.0)</f>
        <v>4</v>
      </c>
      <c r="M262" s="40"/>
      <c r="N262" s="40">
        <f>IFERROR(__xludf.DUMMYFUNCTION("""COMPUTED_VALUE"""),3.0)</f>
        <v>3</v>
      </c>
      <c r="O262" s="40">
        <f>IFERROR(__xludf.DUMMYFUNCTION("""COMPUTED_VALUE"""),2.0)</f>
        <v>2</v>
      </c>
      <c r="P262" s="40">
        <f>IFERROR(__xludf.DUMMYFUNCTION("""COMPUTED_VALUE"""),3.0)</f>
        <v>3</v>
      </c>
      <c r="Q262" s="48">
        <f>IFERROR(__xludf.DUMMYFUNCTION("""COMPUTED_VALUE"""),335.0)</f>
        <v>335</v>
      </c>
      <c r="R262" s="48">
        <f>IFERROR(__xludf.DUMMYFUNCTION("""COMPUTED_VALUE"""),141.0)</f>
        <v>141</v>
      </c>
      <c r="S262" s="39" t="str">
        <f>IFERROR(__xludf.DUMMYFUNCTION("""COMPUTED_VALUE""")," ")</f>
        <v> </v>
      </c>
      <c r="T262" s="40" t="str">
        <f>IFERROR(__xludf.DUMMYFUNCTION("""COMPUTED_VALUE"""),"Neiva")</f>
        <v>Neiva</v>
      </c>
      <c r="U262" s="39" t="str">
        <f>IFERROR(__xludf.DUMMYFUNCTION("""COMPUTED_VALUE"""),"4")</f>
        <v>4</v>
      </c>
      <c r="V262" s="40" t="str">
        <f>IFERROR(__xludf.DUMMYFUNCTION("""COMPUTED_VALUE"""),"Medianera")</f>
        <v>Medianera</v>
      </c>
      <c r="W262" s="46"/>
      <c r="X262" s="46">
        <f>IFERROR(__xludf.DUMMYFUNCTION("""COMPUTED_VALUE"""),4.0)</f>
        <v>4</v>
      </c>
      <c r="Y262" s="40" t="str">
        <f>IFERROR(__xludf.DUMMYFUNCTION("""COMPUTED_VALUE"""),"No tiene")</f>
        <v>No tiene</v>
      </c>
      <c r="Z262" s="42" t="str">
        <f>IFERROR(__xludf.DUMMYFUNCTION("""COMPUTED_VALUE"""),"No aplica")</f>
        <v>No aplica</v>
      </c>
      <c r="AA262" s="49" t="str">
        <f>IFERROR(__xludf.DUMMYFUNCTION("""COMPUTED_VALUE"""),"No aplica")</f>
        <v>No aplica</v>
      </c>
      <c r="AB262" s="66" t="str">
        <f>IFERROR(__xludf.DUMMYFUNCTION("""COMPUTED_VALUE"""),"https://photos.app.goo.gl/uVDDREVywH7S5yTH6")</f>
        <v>https://photos.app.goo.gl/uVDDREVywH7S5yTH6</v>
      </c>
      <c r="AC262" s="40"/>
      <c r="AD262" s="40" t="str">
        <f>IFERROR(__xludf.DUMMYFUNCTION("""COMPUTED_VALUE"""),"Casa amplia, con buenos acabados. Escritura al día.")</f>
        <v>Casa amplia, con buenos acabados. Escritura al día.</v>
      </c>
      <c r="AE262" s="40"/>
      <c r="AF262" s="40" t="str">
        <f>IFERROR(__xludf.DUMMYFUNCTION("""COMPUTED_VALUE"""),"integral")</f>
        <v>integral</v>
      </c>
      <c r="AG262" s="40" t="str">
        <f>IFERROR(__xludf.DUMMYFUNCTION("""COMPUTED_VALUE"""),"SI")</f>
        <v>SI</v>
      </c>
      <c r="AH262" s="40" t="str">
        <f>IFERROR(__xludf.DUMMYFUNCTION("""COMPUTED_VALUE"""),"Inventario")</f>
        <v>Inventario</v>
      </c>
      <c r="AI262" s="40" t="str">
        <f>IFERROR(__xludf.DUMMYFUNCTION("""COMPUTED_VALUE"""),"Aliado")</f>
        <v>Aliado</v>
      </c>
      <c r="AJ262" s="40" t="str">
        <f>IFERROR(__xludf.DUMMYFUNCTION("""COMPUTED_VALUE"""),"Jovel")</f>
        <v>Jovel</v>
      </c>
      <c r="AK262" s="40" t="str">
        <f>IFERROR(__xludf.DUMMYFUNCTION("""COMPUTED_VALUE"""),"No aplica")</f>
        <v>No aplica</v>
      </c>
      <c r="AL262" s="40" t="str">
        <f>IFERROR(__xludf.DUMMYFUNCTION("""COMPUTED_VALUE"""),"TIENE FOTOS")</f>
        <v>TIENE FOTOS</v>
      </c>
      <c r="AM262" s="40">
        <f>IFERROR(__xludf.DUMMYFUNCTION("""COMPUTED_VALUE"""),3.103914892E9)</f>
        <v>3103914892</v>
      </c>
      <c r="AN262" s="40">
        <f>IFERROR(__xludf.DUMMYFUNCTION("""COMPUTED_VALUE"""),0.0)</f>
        <v>0</v>
      </c>
      <c r="AO262" s="40"/>
      <c r="AP262" s="40" t="str">
        <f>IFERROR(__xludf.DUMMYFUNCTION("""COMPUTED_VALUE"""),"CALLE 25 NO. 5 BIS - 112")</f>
        <v>CALLE 25 NO. 5 BIS - 112</v>
      </c>
      <c r="AQ262" s="40">
        <f>IFERROR(__xludf.DUMMYFUNCTION("""COMPUTED_VALUE"""),2.9392145)</f>
        <v>2.9392145</v>
      </c>
      <c r="AR262" s="40">
        <f>IFERROR(__xludf.DUMMYFUNCTION("""COMPUTED_VALUE"""),-75.2922053)</f>
        <v>-75.2922053</v>
      </c>
      <c r="AS262" s="53">
        <f>IFERROR(__xludf.DUMMYFUNCTION("""COMPUTED_VALUE"""),0.0)</f>
        <v>0</v>
      </c>
      <c r="AT262" s="40">
        <f>IFERROR(__xludf.DUMMYFUNCTION("""COMPUTED_VALUE"""),0.0)</f>
        <v>0</v>
      </c>
      <c r="AU262" s="40">
        <f>IFERROR(__xludf.DUMMYFUNCTION("""COMPUTED_VALUE"""),0.0)</f>
        <v>0</v>
      </c>
      <c r="AV262" s="40">
        <f>IFERROR(__xludf.DUMMYFUNCTION("""COMPUTED_VALUE"""),0.0)</f>
        <v>0</v>
      </c>
      <c r="AW262" s="40" t="str">
        <f>IFERROR(__xludf.DUMMYFUNCTION("""COMPUTED_VALUE"""),"NO")</f>
        <v>NO</v>
      </c>
      <c r="AX262" s="40">
        <f>IFERROR(__xludf.DUMMYFUNCTION("""COMPUTED_VALUE"""),0.0)</f>
        <v>0</v>
      </c>
      <c r="AY262" s="40">
        <f>IFERROR(__xludf.DUMMYFUNCTION("""COMPUTED_VALUE"""),0.0)</f>
        <v>0</v>
      </c>
      <c r="AZ262" s="40">
        <f>IFERROR(__xludf.DUMMYFUNCTION("""COMPUTED_VALUE"""),9.0)</f>
        <v>9</v>
      </c>
      <c r="BA262" s="40" t="str">
        <f>IFERROR(__xludf.DUMMYFUNCTION("""COMPUTED_VALUE"""),"X")</f>
        <v>X</v>
      </c>
      <c r="BB262" s="40">
        <f>IFERROR(__xludf.DUMMYFUNCTION("""COMPUTED_VALUE"""),15.0)</f>
        <v>15</v>
      </c>
      <c r="BC262" s="53" t="str">
        <f>IFERROR(__xludf.DUMMYFUNCTION("""COMPUTED_VALUE"""),"12 - LEIDY YULIETH, 26 - NINI CASTAÑO, 20 - SAMADHI RODRIGUEZ, 38 - MARIO MUNAR")</f>
        <v>12 - LEIDY YULIETH, 26 - NINI CASTAÑO, 20 - SAMADHI RODRIGUEZ, 38 - MARIO MUNAR</v>
      </c>
      <c r="BD262" s="48"/>
      <c r="BE262" s="48"/>
      <c r="BF262" s="48" t="str">
        <f>IFERROR(__xludf.DUMMYFUNCTION("""COMPUTED_VALUE"""),"https://lh3.googleusercontent.com/pw/AP1GczMqbpb7vXdP2rQbTs7R98TITQMBHQGNgwtkqruD3fR41QtfYTDKcqNnrLAjTprugKkOLP9KrRzvCSk3N7vxBCTeVVVlSeuyX0fijvYu0-bzDg0JlNpj=w1200|https://lh3.googleusercontent.com/pw/AP1GczOXmVug-14fxlr-V3cO4CsEpJ6qlI8jJJQGQJer0YGgxH5wJU"&amp;"uroD9s0mwAwzQFwYYmJeDPGEdNul7jBkb2fao2dB-wxVOQCLdTegWedlSId5F6GJRb=w1200|https://lh3.googleusercontent.com/pw/AP1GczNlMCNFmBOQQ_-sx4Kgbua3wGSXkcNRkxIwNFliNjcsJariOrX1-Ov75126oiIl9dTNrh4OPElbhi57raZQMSo_Cc82SoXuf5nqS6DsjCYXqBfQmmka=w1200|https://lh3.google"&amp;"usercontent.com/pw/AP1GczO-gK-G_d0qSxv2He2nbEe3rUTCTsjyY-3f95pDg2XkS_gYBF8jX5sDgP_0v143az0jG9jtTXsZ7tZwiADiJ_qwOcpxQtYugitVys-D0F391hQSSsA_=w1200|https://lh3.googleusercontent.com/pw/AP1GczOZCgFh3F_UoF9rjWd9Gev9yHQMsQk0hhvRRe5-L8MK3_KNM8TadL7Kr-2yyN769kjq"&amp;"2qgnJZZml0zyVSvrA_bfGvw4HWDHtYYU_XjEnb984n4bszfD=w1200|https://lh3.googleusercontent.com/pw/AP1GczN8Vb7ypihJpqhem135-KQzsWt1s0Ez5QF_GClIi9ukxSULZSwf20U1bTbcFsNNCNGnlClH7QR_lAO7AMGcORjK8Oqmy_mn1z5UU1PQwdN17lwKFShu=w1200|https://lh3.googleusercontent.com/pw"&amp;"/AP1GczMh8tI-0-GjW9xBi8qw2My1tqppkU4OQbC4oi5ibv6qwIyo_qPGmvwrQDhd9q9qBSBAiAHhGeu2jr6v7hQVj_N8aC2fU_QF8yaPbCKp_u37rh_C20Lf=w1200|https://lh3.googleusercontent.com/pw/AP1GczOJgw6xBGd9hWPXCaBfWIEwk5U9nIZ8LiyuxF1twSkcM39x2uIEuqBFlF2FApgt8xKcoSF1tkWVIT7dqBbtTW"&amp;"ksdHAtPJ16x276rpAYdN7bTBViox-F=w1200|https://lh3.googleusercontent.com/pw/AP1GczMN2E7UBkr5u0MpRju7DkzHBZVPSVHaPl9unQI_6ZeAzbVkURfOUOsX3Z2ijgxw-Vl9uwjezfNEvu_UPR6PAICM5AHNJ9SMsbaUixxA0R_JB9coCzVS=w1200|https://lh3.googleusercontent.com/pw/AP1GczP8IxiiMCc0q"&amp;"drh2ZNZKEOqAaqBFAvI5u-NsDZKRsAQhwuxKEpsgey5MaKx_2kB9paIsLmc_NX1RfVOSAhmI_ASAzqs-h3eOCpvvj0Q4cfOw41kN8JG=w1200|https://lh3.googleusercontent.com/pw/AP1GczO-sPel3v8XurouCsVCI4UDCa71-k7-bHL3XeJ4cYzMzEXQ8zVVLASxElBWgkzXnec2nweOqYV_3hONwR7LLJbUCrVtpp4i8NsHXBBO"&amp;"TXrgyNk-rQ-j=w1200|https://lh3.googleusercontent.com/pw/AP1GczOl7ac3QWbucYbuR-8JJVothl6m6qTyhpDtk1Bj0FzTcza1EjFNEXQMpFSBXO2tx6uMluKDnBVJisZzlpwnLs2t2cjNIzhWF4u366Tjl0Tl_rLEVx3G=w1200|https://lh3.googleusercontent.com/pw/AP1GczPbxwefdiPoBj9R5lOhmUmG0YCHbsz"&amp;"s_dngCHiBIX1fQNrtcUxSiMOICNGOgf-9EOVIt8NGpU-waIapf-2MX1ctbjLOLGKcOktIQaDxdO9luwS_VxLG=w1200|https://lh3.googleusercontent.com/pw/AP1GczNoLHj828rSLj36UnaDW53nj525Y5YK2MYzWPFwpEqBdeCnTm-dksx6SnMpqxJ3B_PdMtokjCAttxBqJuQzJE11_3u-lNc2mZYNngobrshGEmiZ2Z0O=w1200"&amp;"|https://lh3.googleusercontent.com/pw/AP1GczPN1Ic_9sPwOGYv-MgAb671gkCrOG37oOx46ZctmD2F_T1qZWAL79HgjgXdDfDVRGcnE7r4bLeIFZp7nmU93mx7LGwDiEN_xIVV966R0yArFZZ1_M2U=w1200|https://lh3.googleusercontent.com/pw/AP1GczOb_qHYkcev0KqWJv-_aIDy3lv5h_3DoPZvoZDJqe0fKSpYp"&amp;"rid8gVUggDnkjJ8BxnC6kgAC_A_gMtw4s_79I39w5d66QC39SNjO-sp2RMZ6bXQNTIW=w1200|https://lh3.googleusercontent.com/pw/AP1GczPHwrfPOjuMRtie2R2c2L3u-U8U-h1PuX6Ii2FcaFm0I1EJcNjyXr10emK-8NUosja_sKKh96LImD0tGLO9QuRrcJPtQM8OCw7t7vfg4P_qmnpceXOU=w1200|https://lh3.googl"&amp;"eusercontent.com/pw/AP1GczOd_qK7MzX9P26LBf_5PJBmkSUacEW2lDrE_pfREmiR9Uqe6QBligV5gyWOQpT4ijGIPFdyRKuSp7BRZAqgtlz_pEK7ZDgc0uK8LHw4sx8iXm9-ucTa=w1200|https://lh3.googleusercontent.com/pw/AP1GczMCKbc0ylrXUI8yXhZsbVw5CvVrIVYvyMEjp-g8VLNtaLbk1F6oC7aDSGZl--0kKoE"&amp;"sS4tiq21UTIL1S3eWAVnHtadKBYapDvgxPPDMCKOqfvoCuWLw=w1200|https://lh3.googleusercontent.com/pw/AP1GczOl-gf5GE4D8ZJ5XHM_ONLpNaebk4s3YJ2AlO5Nss14p4dVz4Ko_jJVeUsEr1AUdbHHh3qg2U750i8WzWx8avfES_qqw6Ribkj9b711GX8Di4HQdZrM=w1200|https://lh3.googleusercontent.com/p"&amp;"w/AP1GczO-6pNxPI1eeI-ty0Unh3dnYh02LGlK_C1NXTz3QjxBlOrxGRLtJb1YGzYpt8HoAoqcFQGt_AQDBA1raG2YDPdb19Xsy9k-n0n18LsR9V6O_Bj2sT9M=w1200|https://lh3.googleusercontent.com/pw/AP1GczNriZh1ONnnM31ZWNJdk6yFESBtXXL-HqyGpJ4mvineyBMePwM7xQsKnIed_boDr6-ojy37raypw8Znw9txD"&amp;"XV2YblCzyPhL62XnZOO4-ZefYMBkF7_=w1200|https://lh3.googleusercontent.com/pw/AP1GczMKLSH8j1plJvr1bLHi0_lv08lCUZqtCtXmeTz9VfiXgYBDOtmZNbv63r5Upjd18oIqgking0OneCumEhf11JOx54DP6rCB5fW0fS7hGjF5_h84P7_u=w1200|https://lh3.googleusercontent.com/pw/AP1GczNs0AFNJc7O"&amp;"H51Of1PHGmRB13fiCD9f9esPvtMiW8J0To82kY53oP7RmXCRQRbiJFUQInzdUma-yC_7sIX--O_u5hg_h3xOJ4Iilhr1N5IkwU0MGRiW=w1200")</f>
        <v>https://lh3.googleusercontent.com/pw/AP1GczMqbpb7vXdP2rQbTs7R98TITQMBHQGNgwtkqruD3fR41QtfYTDKcqNnrLAjTprugKkOLP9KrRzvCSk3N7vxBCTeVVVlSeuyX0fijvYu0-bzDg0JlNpj=w1200|https://lh3.googleusercontent.com/pw/AP1GczOXmVug-14fxlr-V3cO4CsEpJ6qlI8jJJQGQJer0YGgxH5wJUuroD9s0mwAwzQFwYYmJeDPGEdNul7jBkb2fao2dB-wxVOQCLdTegWedlSId5F6GJRb=w1200|https://lh3.googleusercontent.com/pw/AP1GczNlMCNFmBOQQ_-sx4Kgbua3wGSXkcNRkxIwNFliNjcsJariOrX1-Ov75126oiIl9dTNrh4OPElbhi57raZQMSo_Cc82SoXuf5nqS6DsjCYXqBfQmmka=w1200|https://lh3.googleusercontent.com/pw/AP1GczO-gK-G_d0qSxv2He2nbEe3rUTCTsjyY-3f95pDg2XkS_gYBF8jX5sDgP_0v143az0jG9jtTXsZ7tZwiADiJ_qwOcpxQtYugitVys-D0F391hQSSsA_=w1200|https://lh3.googleusercontent.com/pw/AP1GczOZCgFh3F_UoF9rjWd9Gev9yHQMsQk0hhvRRe5-L8MK3_KNM8TadL7Kr-2yyN769kjq2qgnJZZml0zyVSvrA_bfGvw4HWDHtYYU_XjEnb984n4bszfD=w1200|https://lh3.googleusercontent.com/pw/AP1GczN8Vb7ypihJpqhem135-KQzsWt1s0Ez5QF_GClIi9ukxSULZSwf20U1bTbcFsNNCNGnlClH7QR_lAO7AMGcORjK8Oqmy_mn1z5UU1PQwdN17lwKFShu=w1200|https://lh3.googleusercontent.com/pw/AP1GczMh8tI-0-GjW9xBi8qw2My1tqppkU4OQbC4oi5ibv6qwIyo_qPGmvwrQDhd9q9qBSBAiAHhGeu2jr6v7hQVj_N8aC2fU_QF8yaPbCKp_u37rh_C20Lf=w1200|https://lh3.googleusercontent.com/pw/AP1GczOJgw6xBGd9hWPXCaBfWIEwk5U9nIZ8LiyuxF1twSkcM39x2uIEuqBFlF2FApgt8xKcoSF1tkWVIT7dqBbtTWksdHAtPJ16x276rpAYdN7bTBViox-F=w1200|https://lh3.googleusercontent.com/pw/AP1GczMN2E7UBkr5u0MpRju7DkzHBZVPSVHaPl9unQI_6ZeAzbVkURfOUOsX3Z2ijgxw-Vl9uwjezfNEvu_UPR6PAICM5AHNJ9SMsbaUixxA0R_JB9coCzVS=w1200|https://lh3.googleusercontent.com/pw/AP1GczP8IxiiMCc0qdrh2ZNZKEOqAaqBFAvI5u-NsDZKRsAQhwuxKEpsgey5MaKx_2kB9paIsLmc_NX1RfVOSAhmI_ASAzqs-h3eOCpvvj0Q4cfOw41kN8JG=w1200|https://lh3.googleusercontent.com/pw/AP1GczO-sPel3v8XurouCsVCI4UDCa71-k7-bHL3XeJ4cYzMzEXQ8zVVLASxElBWgkzXnec2nweOqYV_3hONwR7LLJbUCrVtpp4i8NsHXBBOTXrgyNk-rQ-j=w1200|https://lh3.googleusercontent.com/pw/AP1GczOl7ac3QWbucYbuR-8JJVothl6m6qTyhpDtk1Bj0FzTcza1EjFNEXQMpFSBXO2tx6uMluKDnBVJisZzlpwnLs2t2cjNIzhWF4u366Tjl0Tl_rLEVx3G=w1200|https://lh3.googleusercontent.com/pw/AP1GczPbxwefdiPoBj9R5lOhmUmG0YCHbszs_dngCHiBIX1fQNrtcUxSiMOICNGOgf-9EOVIt8NGpU-waIapf-2MX1ctbjLOLGKcOktIQaDxdO9luwS_VxLG=w1200|https://lh3.googleusercontent.com/pw/AP1GczNoLHj828rSLj36UnaDW53nj525Y5YK2MYzWPFwpEqBdeCnTm-dksx6SnMpqxJ3B_PdMtokjCAttxBqJuQzJE11_3u-lNc2mZYNngobrshGEmiZ2Z0O=w1200|https://lh3.googleusercontent.com/pw/AP1GczPN1Ic_9sPwOGYv-MgAb671gkCrOG37oOx46ZctmD2F_T1qZWAL79HgjgXdDfDVRGcnE7r4bLeIFZp7nmU93mx7LGwDiEN_xIVV966R0yArFZZ1_M2U=w1200|https://lh3.googleusercontent.com/pw/AP1GczOb_qHYkcev0KqWJv-_aIDy3lv5h_3DoPZvoZDJqe0fKSpYprid8gVUggDnkjJ8BxnC6kgAC_A_gMtw4s_79I39w5d66QC39SNjO-sp2RMZ6bXQNTIW=w1200|https://lh3.googleusercontent.com/pw/AP1GczPHwrfPOjuMRtie2R2c2L3u-U8U-h1PuX6Ii2FcaFm0I1EJcNjyXr10emK-8NUosja_sKKh96LImD0tGLO9QuRrcJPtQM8OCw7t7vfg4P_qmnpceXOU=w1200|https://lh3.googleusercontent.com/pw/AP1GczOd_qK7MzX9P26LBf_5PJBmkSUacEW2lDrE_pfREmiR9Uqe6QBligV5gyWOQpT4ijGIPFdyRKuSp7BRZAqgtlz_pEK7ZDgc0uK8LHw4sx8iXm9-ucTa=w1200|https://lh3.googleusercontent.com/pw/AP1GczMCKbc0ylrXUI8yXhZsbVw5CvVrIVYvyMEjp-g8VLNtaLbk1F6oC7aDSGZl--0kKoEsS4tiq21UTIL1S3eWAVnHtadKBYapDvgxPPDMCKOqfvoCuWLw=w1200|https://lh3.googleusercontent.com/pw/AP1GczOl-gf5GE4D8ZJ5XHM_ONLpNaebk4s3YJ2AlO5Nss14p4dVz4Ko_jJVeUsEr1AUdbHHh3qg2U750i8WzWx8avfES_qqw6Ribkj9b711GX8Di4HQdZrM=w1200|https://lh3.googleusercontent.com/pw/AP1GczO-6pNxPI1eeI-ty0Unh3dnYh02LGlK_C1NXTz3QjxBlOrxGRLtJb1YGzYpt8HoAoqcFQGt_AQDBA1raG2YDPdb19Xsy9k-n0n18LsR9V6O_Bj2sT9M=w1200|https://lh3.googleusercontent.com/pw/AP1GczNriZh1ONnnM31ZWNJdk6yFESBtXXL-HqyGpJ4mvineyBMePwM7xQsKnIed_boDr6-ojy37raypw8Znw9txDXV2YblCzyPhL62XnZOO4-ZefYMBkF7_=w1200|https://lh3.googleusercontent.com/pw/AP1GczMKLSH8j1plJvr1bLHi0_lv08lCUZqtCtXmeTz9VfiXgYBDOtmZNbv63r5Upjd18oIqgking0OneCumEhf11JOx54DP6rCB5fW0fS7hGjF5_h84P7_u=w1200|https://lh3.googleusercontent.com/pw/AP1GczNs0AFNJc7OH51Of1PHGmRB13fiCD9f9esPvtMiW8J0To82kY53oP7RmXCRQRbiJFUQInzdUma-yC_7sIX--O_u5hg_h3xOJ4Iilhr1N5IkwU0MGRiW=w1200</v>
      </c>
    </row>
    <row r="263">
      <c r="A263" s="39" t="str">
        <f>IFERROR(__xludf.DUMMYFUNCTION("""COMPUTED_VALUE"""),"687")</f>
        <v>687</v>
      </c>
      <c r="B263" s="40" t="str">
        <f>IFERROR(__xludf.DUMMYFUNCTION("""COMPUTED_VALUE"""),"Casa en barrio Villa Carolina")</f>
        <v>Casa en barrio Villa Carolina</v>
      </c>
      <c r="C263" s="40" t="str">
        <f>IFERROR(__xludf.DUMMYFUNCTION("""COMPUTED_VALUE"""),"Casa")</f>
        <v>Casa</v>
      </c>
      <c r="D263" s="40" t="str">
        <f>IFERROR(__xludf.DUMMYFUNCTION("""COMPUTED_VALUE"""),"Villa Carolina")</f>
        <v>Villa Carolina</v>
      </c>
      <c r="E263" s="42" t="str">
        <f>IFERROR(__xludf.DUMMYFUNCTION("""COMPUTED_VALUE""")," ")</f>
        <v> </v>
      </c>
      <c r="F263" s="42">
        <f>IFERROR(__xludf.DUMMYFUNCTION("""COMPUTED_VALUE"""),4.0E8)</f>
        <v>400000000</v>
      </c>
      <c r="G263" s="40" t="str">
        <f>IFERROR(__xludf.DUMMYFUNCTION("""COMPUTED_VALUE"""),"$400'000.000 a $500'000.000")</f>
        <v>$400'000.000 a $500'000.000</v>
      </c>
      <c r="H263" s="40"/>
      <c r="I263" s="40"/>
      <c r="J263" s="40" t="str">
        <f>IFERROR(__xludf.DUMMYFUNCTION("""COMPUTED_VALUE"""),"Norte")</f>
        <v>Norte</v>
      </c>
      <c r="K263" s="39" t="str">
        <f>IFERROR(__xludf.DUMMYFUNCTION("""COMPUTED_VALUE"""),"2")</f>
        <v>2</v>
      </c>
      <c r="L263" s="40">
        <f>IFERROR(__xludf.DUMMYFUNCTION("""COMPUTED_VALUE"""),3.0)</f>
        <v>3</v>
      </c>
      <c r="M263" s="40"/>
      <c r="N263" s="40">
        <f>IFERROR(__xludf.DUMMYFUNCTION("""COMPUTED_VALUE"""),3.0)</f>
        <v>3</v>
      </c>
      <c r="O263" s="40">
        <f>IFERROR(__xludf.DUMMYFUNCTION("""COMPUTED_VALUE"""),1.0)</f>
        <v>1</v>
      </c>
      <c r="P263" s="40">
        <f>IFERROR(__xludf.DUMMYFUNCTION("""COMPUTED_VALUE"""),2.0)</f>
        <v>2</v>
      </c>
      <c r="Q263" s="48">
        <f>IFERROR(__xludf.DUMMYFUNCTION("""COMPUTED_VALUE"""),160.0)</f>
        <v>160</v>
      </c>
      <c r="R263" s="48">
        <f>IFERROR(__xludf.DUMMYFUNCTION("""COMPUTED_VALUE"""),84.0)</f>
        <v>84</v>
      </c>
      <c r="S263" s="39" t="str">
        <f>IFERROR(__xludf.DUMMYFUNCTION("""COMPUTED_VALUE""")," ")</f>
        <v> </v>
      </c>
      <c r="T263" s="40" t="str">
        <f>IFERROR(__xludf.DUMMYFUNCTION("""COMPUTED_VALUE"""),"Neiva")</f>
        <v>Neiva</v>
      </c>
      <c r="U263" s="39" t="str">
        <f>IFERROR(__xludf.DUMMYFUNCTION("""COMPUTED_VALUE"""),"3")</f>
        <v>3</v>
      </c>
      <c r="V263" s="40" t="str">
        <f>IFERROR(__xludf.DUMMYFUNCTION("""COMPUTED_VALUE"""),"Esquinera")</f>
        <v>Esquinera</v>
      </c>
      <c r="W263" s="46"/>
      <c r="X263" s="46">
        <f>IFERROR(__xludf.DUMMYFUNCTION("""COMPUTED_VALUE"""),3.0)</f>
        <v>3</v>
      </c>
      <c r="Y263" s="40" t="str">
        <f>IFERROR(__xludf.DUMMYFUNCTION("""COMPUTED_VALUE"""),"No tiene")</f>
        <v>No tiene</v>
      </c>
      <c r="Z263" s="42" t="str">
        <f>IFERROR(__xludf.DUMMYFUNCTION("""COMPUTED_VALUE"""),"No aplica")</f>
        <v>No aplica</v>
      </c>
      <c r="AA263" s="49" t="str">
        <f>IFERROR(__xludf.DUMMYFUNCTION("""COMPUTED_VALUE"""),"No aplica")</f>
        <v>No aplica</v>
      </c>
      <c r="AB263" s="66" t="str">
        <f>IFERROR(__xludf.DUMMYFUNCTION("""COMPUTED_VALUE"""),"https://photos.app.goo.gl/ahyQLpCvzygYoqKB6")</f>
        <v>https://photos.app.goo.gl/ahyQLpCvzygYoqKB6</v>
      </c>
      <c r="AC263" s="40"/>
      <c r="AD263" s="40" t="str">
        <f>IFERROR(__xludf.DUMMYFUNCTION("""COMPUTED_VALUE"""),"Casa  con buenos acabados, bien ubicada y amplia. Cuenta con reja antejardín.  Escritura al día.")</f>
        <v>Casa  con buenos acabados, bien ubicada y amplia. Cuenta con reja antejardín.  Escritura al día.</v>
      </c>
      <c r="AE263" s="40"/>
      <c r="AF263" s="40" t="str">
        <f>IFERROR(__xludf.DUMMYFUNCTION("""COMPUTED_VALUE"""),"integral")</f>
        <v>integral</v>
      </c>
      <c r="AG263" s="40" t="str">
        <f>IFERROR(__xludf.DUMMYFUNCTION("""COMPUTED_VALUE"""),"SI")</f>
        <v>SI</v>
      </c>
      <c r="AH263" s="40" t="str">
        <f>IFERROR(__xludf.DUMMYFUNCTION("""COMPUTED_VALUE"""),"Inventario")</f>
        <v>Inventario</v>
      </c>
      <c r="AI263" s="40" t="str">
        <f>IFERROR(__xludf.DUMMYFUNCTION("""COMPUTED_VALUE"""),"Aliado")</f>
        <v>Aliado</v>
      </c>
      <c r="AJ263" s="40" t="str">
        <f>IFERROR(__xludf.DUMMYFUNCTION("""COMPUTED_VALUE"""),"Jovel")</f>
        <v>Jovel</v>
      </c>
      <c r="AK263" s="42" t="str">
        <f>IFERROR(__xludf.DUMMYFUNCTION("""COMPUTED_VALUE"""),"No aplica")</f>
        <v>No aplica</v>
      </c>
      <c r="AL263" s="40" t="str">
        <f>IFERROR(__xludf.DUMMYFUNCTION("""COMPUTED_VALUE"""),"TIENE FOTOS")</f>
        <v>TIENE FOTOS</v>
      </c>
      <c r="AM263" s="40">
        <f>IFERROR(__xludf.DUMMYFUNCTION("""COMPUTED_VALUE"""),3.103914892E9)</f>
        <v>3103914892</v>
      </c>
      <c r="AN263" s="40">
        <f>IFERROR(__xludf.DUMMYFUNCTION("""COMPUTED_VALUE"""),0.0)</f>
        <v>0</v>
      </c>
      <c r="AO263" s="40"/>
      <c r="AP263" s="40">
        <f>IFERROR(__xludf.DUMMYFUNCTION("""COMPUTED_VALUE"""),0.0)</f>
        <v>0</v>
      </c>
      <c r="AQ263" s="40"/>
      <c r="AR263" s="40"/>
      <c r="AS263" s="53">
        <f>IFERROR(__xludf.DUMMYFUNCTION("""COMPUTED_VALUE"""),0.0)</f>
        <v>0</v>
      </c>
      <c r="AT263" s="40">
        <f>IFERROR(__xludf.DUMMYFUNCTION("""COMPUTED_VALUE"""),0.0)</f>
        <v>0</v>
      </c>
      <c r="AU263" s="40">
        <f>IFERROR(__xludf.DUMMYFUNCTION("""COMPUTED_VALUE"""),0.0)</f>
        <v>0</v>
      </c>
      <c r="AV263" s="40">
        <f>IFERROR(__xludf.DUMMYFUNCTION("""COMPUTED_VALUE"""),0.0)</f>
        <v>0</v>
      </c>
      <c r="AW263" s="40" t="str">
        <f>IFERROR(__xludf.DUMMYFUNCTION("""COMPUTED_VALUE"""),"SI")</f>
        <v>SI</v>
      </c>
      <c r="AX263" s="40">
        <f>IFERROR(__xludf.DUMMYFUNCTION("""COMPUTED_VALUE"""),0.0)</f>
        <v>0</v>
      </c>
      <c r="AY263" s="40">
        <f>IFERROR(__xludf.DUMMYFUNCTION("""COMPUTED_VALUE"""),0.0)</f>
        <v>0</v>
      </c>
      <c r="AZ263" s="40">
        <f>IFERROR(__xludf.DUMMYFUNCTION("""COMPUTED_VALUE"""),0.0)</f>
        <v>0</v>
      </c>
      <c r="BA263" s="40" t="str">
        <f>IFERROR(__xludf.DUMMYFUNCTION("""COMPUTED_VALUE"""),"X")</f>
        <v>X</v>
      </c>
      <c r="BB263" s="40">
        <f>IFERROR(__xludf.DUMMYFUNCTION("""COMPUTED_VALUE"""),0.0)</f>
        <v>0</v>
      </c>
      <c r="BC263" s="53" t="str">
        <f>IFERROR(__xludf.DUMMYFUNCTION("""COMPUTED_VALUE"""),"29 - FELIPE PERDOMO, 35 - LUIS ANGEL VARGAS")</f>
        <v>29 - FELIPE PERDOMO, 35 - LUIS ANGEL VARGAS</v>
      </c>
      <c r="BD263" s="48"/>
      <c r="BE263" s="48"/>
      <c r="BF263" s="48" t="str">
        <f>IFERROR(__xludf.DUMMYFUNCTION("""COMPUTED_VALUE"""),"https://lh3.googleusercontent.com/pw/AP1GczNGX-tTUWf9ZGjFzcM7mbR01mtckGN7jryRUOaqt4pE89c-OBM2ypMZlnwlwoeZV_yW6OzZuGnSXe5W_bWH6zQp6YYWodVKIG_d-DCAVLY3MTpjyyuR=w1200|https://lh3.googleusercontent.com/pw/AP1GczONzc8acUrR-GE6dnNeM_OMjQ1YC77PYDDTzfUXpt95Z9fvts"&amp;"k-yySmKypo3n-Dxilgr7iErzZTLDuX5u0O7KJtQrC62zxRylY0cJh2Wu32Kpwg6VU_=w1200|https://lh3.googleusercontent.com/pw/AP1GczP2OUZW3y5EgqPVzZ3s7hW-j29cwNMfM9YRnVA1TQImq_KW7k44qzHSeR15fuLQ_UoqoKEabu0Yg0L7ey1g_i-OvlAImk57vSjXgc7HfkNMHTTWCTVG=w1200|https://lh3.google"&amp;"usercontent.com/pw/AP1GczMuBqKKjE6Gw2UnDUu_8khH-7FHmRO2POb2xMI0iY9fRw22rkXfq35Zq0bwpzAwzPr0XgFQlz7gFv_NNSPMI-VP0tBssxy84HATocXwZHp3oJMVbh3s=w1200|https://lh3.googleusercontent.com/pw/AP1GczO88Ic08K15ze3v4uMHYTzyiYduuJaaxNTkRVYIJWT7680QJz8Me32RLcYoLxqWwI-V"&amp;"lMWYfiQCTT_zwsMJjWpxRLepoIf7lczttA-4BGFDNTb7QMi9=w1200|https://lh3.googleusercontent.com/pw/AP1GczPhRe2DAKvMR5LrJtVxWlDLaxyNyn0xB6rZW99oAkFNvIKyNbwwT6-IwROAMh5BEqx70kZh5pW4nS0YCkPoHOcwMlcGMYpdS1IalQ-tuwL26OmpTjIJ=w1200|https://lh3.googleusercontent.com/pw"&amp;"/AP1GczNSGu63U5hq_I8uYz2-LpaNV6P2hyqh-rHgWc8iXPoVQWv-Cd2RKuY8bShv9BlVjudWoIZ---rnTVzAoQfM1lwXXoRjEWblWtyB0Hx_iwHbFmXq47_k=w1200|https://lh3.googleusercontent.com/pw/AP1GczPgGs_h5dImVlbxVZRZ8POdQZmapIHhFzCUBS1NOGVzSl8U9qbdb5_52cIoIQbXeVytEuGwmNuTDk7ecUZ3FH"&amp;"dnYY_5kgmH1rkd5BAmD9fCHDCzyxVt=w1200|https://lh3.googleusercontent.com/pw/AP1GczMAWN5dLCID7_ENy9W961X0KD18U6Bm98QK_J0fYV5VIN0qHEgi0FTSUzT10iDd-_e7hzbGfjxXSDrGGop9PT_3MaDzYwPbjN9k8tZy8fsUGdTCVm6b=w1200|https://lh3.googleusercontent.com/pw/AP1GczP2oJft6frCy"&amp;"zHExNf8hVG4Mu2W0i-_sEloKOcf2HyNqnhE8svVNPFgrRXXGE-Z1gsVFJWtGPvuhok7wOsAtfNdpqQU5aCifQ9cKZidA90yPTo1haEk=w1200|https://lh3.googleusercontent.com/pw/AP1GczO48_FniqXhwEd1oUFHVY_EIwllMvAqJBJfOaGm7leyL13vOSJNqo3vwmj_7E0_a6_JDvqBUWO3ah1GIDp-0uQGrcn9yw-49_35XFE-"&amp;"HuQqvR5O5dNE=w1200|https://lh3.googleusercontent.com/pw/AP1GczOtRruNhWRbQdfBJr2W5WB2hLs-z8mr2oqQ1SDnnSjrk0N02_maGL7pbn99UaE6WBn5Ske5JTR-qa5kXxsOEkAk56YJU8yAkBKmbOalSoEKdFbNBzDm=w1200|https://lh3.googleusercontent.com/pw/AP1GczOb7GezWwkKuI24c3J-WoMxq-S_OB9"&amp;"g4-4yiMoXWo1zHi4m83_vJq2Lk2b5xBkWEp4FX-ve8qgoAhpByncAg_U4TIQmpbUJ3cM99SmXhWOz4JPbYen5=w1200|https://lh3.googleusercontent.com/pw/AP1GczMbtx-12wTqb8B4VR4-GTTJXOcUdhf35MxgycpF-r0vCGb1PazNsAb9sLSM5GSzAVcXDiUkv4g9JbmLmwuaLQcRFBk6L-IQzFXrWC6CX-K93h1Lv9Eo=w1200")</f>
        <v>https://lh3.googleusercontent.com/pw/AP1GczNGX-tTUWf9ZGjFzcM7mbR01mtckGN7jryRUOaqt4pE89c-OBM2ypMZlnwlwoeZV_yW6OzZuGnSXe5W_bWH6zQp6YYWodVKIG_d-DCAVLY3MTpjyyuR=w1200|https://lh3.googleusercontent.com/pw/AP1GczONzc8acUrR-GE6dnNeM_OMjQ1YC77PYDDTzfUXpt95Z9fvtsk-yySmKypo3n-Dxilgr7iErzZTLDuX5u0O7KJtQrC62zxRylY0cJh2Wu32Kpwg6VU_=w1200|https://lh3.googleusercontent.com/pw/AP1GczP2OUZW3y5EgqPVzZ3s7hW-j29cwNMfM9YRnVA1TQImq_KW7k44qzHSeR15fuLQ_UoqoKEabu0Yg0L7ey1g_i-OvlAImk57vSjXgc7HfkNMHTTWCTVG=w1200|https://lh3.googleusercontent.com/pw/AP1GczMuBqKKjE6Gw2UnDUu_8khH-7FHmRO2POb2xMI0iY9fRw22rkXfq35Zq0bwpzAwzPr0XgFQlz7gFv_NNSPMI-VP0tBssxy84HATocXwZHp3oJMVbh3s=w1200|https://lh3.googleusercontent.com/pw/AP1GczO88Ic08K15ze3v4uMHYTzyiYduuJaaxNTkRVYIJWT7680QJz8Me32RLcYoLxqWwI-VlMWYfiQCTT_zwsMJjWpxRLepoIf7lczttA-4BGFDNTb7QMi9=w1200|https://lh3.googleusercontent.com/pw/AP1GczPhRe2DAKvMR5LrJtVxWlDLaxyNyn0xB6rZW99oAkFNvIKyNbwwT6-IwROAMh5BEqx70kZh5pW4nS0YCkPoHOcwMlcGMYpdS1IalQ-tuwL26OmpTjIJ=w1200|https://lh3.googleusercontent.com/pw/AP1GczNSGu63U5hq_I8uYz2-LpaNV6P2hyqh-rHgWc8iXPoVQWv-Cd2RKuY8bShv9BlVjudWoIZ---rnTVzAoQfM1lwXXoRjEWblWtyB0Hx_iwHbFmXq47_k=w1200|https://lh3.googleusercontent.com/pw/AP1GczPgGs_h5dImVlbxVZRZ8POdQZmapIHhFzCUBS1NOGVzSl8U9qbdb5_52cIoIQbXeVytEuGwmNuTDk7ecUZ3FHdnYY_5kgmH1rkd5BAmD9fCHDCzyxVt=w1200|https://lh3.googleusercontent.com/pw/AP1GczMAWN5dLCID7_ENy9W961X0KD18U6Bm98QK_J0fYV5VIN0qHEgi0FTSUzT10iDd-_e7hzbGfjxXSDrGGop9PT_3MaDzYwPbjN9k8tZy8fsUGdTCVm6b=w1200|https://lh3.googleusercontent.com/pw/AP1GczP2oJft6frCyzHExNf8hVG4Mu2W0i-_sEloKOcf2HyNqnhE8svVNPFgrRXXGE-Z1gsVFJWtGPvuhok7wOsAtfNdpqQU5aCifQ9cKZidA90yPTo1haEk=w1200|https://lh3.googleusercontent.com/pw/AP1GczO48_FniqXhwEd1oUFHVY_EIwllMvAqJBJfOaGm7leyL13vOSJNqo3vwmj_7E0_a6_JDvqBUWO3ah1GIDp-0uQGrcn9yw-49_35XFE-HuQqvR5O5dNE=w1200|https://lh3.googleusercontent.com/pw/AP1GczOtRruNhWRbQdfBJr2W5WB2hLs-z8mr2oqQ1SDnnSjrk0N02_maGL7pbn99UaE6WBn5Ske5JTR-qa5kXxsOEkAk56YJU8yAkBKmbOalSoEKdFbNBzDm=w1200|https://lh3.googleusercontent.com/pw/AP1GczOb7GezWwkKuI24c3J-WoMxq-S_OB9g4-4yiMoXWo1zHi4m83_vJq2Lk2b5xBkWEp4FX-ve8qgoAhpByncAg_U4TIQmpbUJ3cM99SmXhWOz4JPbYen5=w1200|https://lh3.googleusercontent.com/pw/AP1GczMbtx-12wTqb8B4VR4-GTTJXOcUdhf35MxgycpF-r0vCGb1PazNsAb9sLSM5GSzAVcXDiUkv4g9JbmLmwuaLQcRFBk6L-IQzFXrWC6CX-K93h1Lv9Eo=w1200</v>
      </c>
    </row>
    <row r="264">
      <c r="A264" s="39" t="str">
        <f>IFERROR(__xludf.DUMMYFUNCTION("""COMPUTED_VALUE"""),"442")</f>
        <v>442</v>
      </c>
      <c r="B264" s="40" t="str">
        <f>IFERROR(__xludf.DUMMYFUNCTION("""COMPUTED_VALUE"""),"Casa con aparta estudio  en barrio centro")</f>
        <v>Casa con aparta estudio  en barrio centro</v>
      </c>
      <c r="C264" s="40" t="str">
        <f>IFERROR(__xludf.DUMMYFUNCTION("""COMPUTED_VALUE"""),"Casa rentable")</f>
        <v>Casa rentable</v>
      </c>
      <c r="D264" s="40" t="str">
        <f>IFERROR(__xludf.DUMMYFUNCTION("""COMPUTED_VALUE"""),"Centro")</f>
        <v>Centro</v>
      </c>
      <c r="E264" s="40"/>
      <c r="F264" s="42">
        <f>IFERROR(__xludf.DUMMYFUNCTION("""COMPUTED_VALUE"""),4.0E8)</f>
        <v>400000000</v>
      </c>
      <c r="G264" s="40" t="str">
        <f>IFERROR(__xludf.DUMMYFUNCTION("""COMPUTED_VALUE"""),"$400'000.000 a $500'000.000")</f>
        <v>$400'000.000 a $500'000.000</v>
      </c>
      <c r="H264" s="40"/>
      <c r="I264" s="40"/>
      <c r="J264" s="40" t="str">
        <f>IFERROR(__xludf.DUMMYFUNCTION("""COMPUTED_VALUE"""),"Centro")</f>
        <v>Centro</v>
      </c>
      <c r="K264" s="39"/>
      <c r="L264" s="40">
        <f>IFERROR(__xludf.DUMMYFUNCTION("""COMPUTED_VALUE"""),3.0)</f>
        <v>3</v>
      </c>
      <c r="M264" s="40"/>
      <c r="N264" s="40">
        <f>IFERROR(__xludf.DUMMYFUNCTION("""COMPUTED_VALUE"""),2.0)</f>
        <v>2</v>
      </c>
      <c r="O264" s="40">
        <f>IFERROR(__xludf.DUMMYFUNCTION("""COMPUTED_VALUE"""),1.0)</f>
        <v>1</v>
      </c>
      <c r="P264" s="40">
        <f>IFERROR(__xludf.DUMMYFUNCTION("""COMPUTED_VALUE"""),1.0)</f>
        <v>1</v>
      </c>
      <c r="Q264" s="48">
        <f>IFERROR(__xludf.DUMMYFUNCTION("""COMPUTED_VALUE"""),200.0)</f>
        <v>200</v>
      </c>
      <c r="R264" s="48">
        <f>IFERROR(__xludf.DUMMYFUNCTION("""COMPUTED_VALUE"""),215.0)</f>
        <v>215</v>
      </c>
      <c r="S264" s="39" t="str">
        <f>IFERROR(__xludf.DUMMYFUNCTION("""COMPUTED_VALUE"""),"Rentabilidad $1,400,000")</f>
        <v>Rentabilidad $1,400,000</v>
      </c>
      <c r="T264" s="40" t="str">
        <f>IFERROR(__xludf.DUMMYFUNCTION("""COMPUTED_VALUE"""),"Neiva")</f>
        <v>Neiva</v>
      </c>
      <c r="U264" s="39" t="str">
        <f>IFERROR(__xludf.DUMMYFUNCTION("""COMPUTED_VALUE"""),"3")</f>
        <v>3</v>
      </c>
      <c r="V264" s="40" t="str">
        <f>IFERROR(__xludf.DUMMYFUNCTION("""COMPUTED_VALUE"""),"Medianera")</f>
        <v>Medianera</v>
      </c>
      <c r="W264" s="46"/>
      <c r="X264" s="46">
        <f>IFERROR(__xludf.DUMMYFUNCTION("""COMPUTED_VALUE"""),1.0)</f>
        <v>1</v>
      </c>
      <c r="Y264" s="40" t="str">
        <f>IFERROR(__xludf.DUMMYFUNCTION("""COMPUTED_VALUE"""),"No tiene")</f>
        <v>No tiene</v>
      </c>
      <c r="Z264" s="42" t="str">
        <f>IFERROR(__xludf.DUMMYFUNCTION("""COMPUTED_VALUE"""),"No aplica")</f>
        <v>No aplica</v>
      </c>
      <c r="AA264" s="49" t="str">
        <f>IFERROR(__xludf.DUMMYFUNCTION("""COMPUTED_VALUE"""),"24 años")</f>
        <v>24 años</v>
      </c>
      <c r="AB264" s="105" t="str">
        <f>IFERROR(__xludf.DUMMYFUNCTION("""COMPUTED_VALUE"""),"https://photos.app.goo.gl/GQ5kFHFinAS5muQj9")</f>
        <v>https://photos.app.goo.gl/GQ5kFHFinAS5muQj9</v>
      </c>
      <c r="AC264" s="40" t="str">
        <f>IFERROR(__xludf.DUMMYFUNCTION("""COMPUTED_VALUE"""),"Casa con buenos acabados, piso en cerámica, carpintería en aluminio, cielo raso en Dri Wall.")</f>
        <v>Casa con buenos acabados, piso en cerámica, carpintería en aluminio, cielo raso en Dri Wall.</v>
      </c>
      <c r="AD264" s="40" t="str">
        <f>IFERROR(__xludf.DUMMYFUNCTION("""COMPUTED_VALUE"""),"Casa ubicada sobre vía vehicular amplia, entre carrera 4 y 5ta. Escritura al día.")</f>
        <v>Casa ubicada sobre vía vehicular amplia, entre carrera 4 y 5ta. Escritura al día.</v>
      </c>
      <c r="AE264" s="40"/>
      <c r="AF264" s="40" t="str">
        <f>IFERROR(__xludf.DUMMYFUNCTION("""COMPUTED_VALUE"""),"integral")</f>
        <v>integral</v>
      </c>
      <c r="AG264" s="40" t="str">
        <f>IFERROR(__xludf.DUMMYFUNCTION("""COMPUTED_VALUE"""),"SI")</f>
        <v>SI</v>
      </c>
      <c r="AH264" s="40" t="str">
        <f>IFERROR(__xludf.DUMMYFUNCTION("""COMPUTED_VALUE"""),"Inventario")</f>
        <v>Inventario</v>
      </c>
      <c r="AI264" s="40" t="str">
        <f>IFERROR(__xludf.DUMMYFUNCTION("""COMPUTED_VALUE"""),"Aliado")</f>
        <v>Aliado</v>
      </c>
      <c r="AJ264" s="40" t="str">
        <f>IFERROR(__xludf.DUMMYFUNCTION("""COMPUTED_VALUE"""),"Jovel")</f>
        <v>Jovel</v>
      </c>
      <c r="AK264" s="40" t="str">
        <f>IFERROR(__xludf.DUMMYFUNCTION("""COMPUTED_VALUE"""),"No aplica")</f>
        <v>No aplica</v>
      </c>
      <c r="AL264" s="40" t="str">
        <f>IFERROR(__xludf.DUMMYFUNCTION("""COMPUTED_VALUE"""),"TIENE FOTOS")</f>
        <v>TIENE FOTOS</v>
      </c>
      <c r="AM264" s="40">
        <f>IFERROR(__xludf.DUMMYFUNCTION("""COMPUTED_VALUE"""),3.103914892E9)</f>
        <v>3103914892</v>
      </c>
      <c r="AN264" s="40">
        <f>IFERROR(__xludf.DUMMYFUNCTION("""COMPUTED_VALUE"""),0.0)</f>
        <v>0</v>
      </c>
      <c r="AO264" s="40"/>
      <c r="AP264" s="40">
        <f>IFERROR(__xludf.DUMMYFUNCTION("""COMPUTED_VALUE"""),0.0)</f>
        <v>0</v>
      </c>
      <c r="AQ264" s="40">
        <f>IFERROR(__xludf.DUMMYFUNCTION("""COMPUTED_VALUE"""),2.9570033)</f>
        <v>2.9570033</v>
      </c>
      <c r="AR264" s="40">
        <f>IFERROR(__xludf.DUMMYFUNCTION("""COMPUTED_VALUE"""),-75.2838074)</f>
        <v>-75.2838074</v>
      </c>
      <c r="AS264" s="53">
        <f>IFERROR(__xludf.DUMMYFUNCTION("""COMPUTED_VALUE"""),1400000.0)</f>
        <v>1400000</v>
      </c>
      <c r="AT264" s="40">
        <f>IFERROR(__xludf.DUMMYFUNCTION("""COMPUTED_VALUE"""),0.0)</f>
        <v>0</v>
      </c>
      <c r="AU264" s="40">
        <f>IFERROR(__xludf.DUMMYFUNCTION("""COMPUTED_VALUE"""),0.0)</f>
        <v>0</v>
      </c>
      <c r="AV264" s="40">
        <f>IFERROR(__xludf.DUMMYFUNCTION("""COMPUTED_VALUE"""),0.0)</f>
        <v>0</v>
      </c>
      <c r="AW264" s="40" t="str">
        <f>IFERROR(__xludf.DUMMYFUNCTION("""COMPUTED_VALUE"""),"NO")</f>
        <v>NO</v>
      </c>
      <c r="AX264" s="40">
        <f>IFERROR(__xludf.DUMMYFUNCTION("""COMPUTED_VALUE"""),0.0)</f>
        <v>0</v>
      </c>
      <c r="AY264" s="40">
        <f>IFERROR(__xludf.DUMMYFUNCTION("""COMPUTED_VALUE"""),0.0)</f>
        <v>0</v>
      </c>
      <c r="AZ264" s="40">
        <f>IFERROR(__xludf.DUMMYFUNCTION("""COMPUTED_VALUE"""),0.0)</f>
        <v>0</v>
      </c>
      <c r="BA264" s="40" t="str">
        <f>IFERROR(__xludf.DUMMYFUNCTION("""COMPUTED_VALUE"""),"X")</f>
        <v>X</v>
      </c>
      <c r="BB264" s="40">
        <f>IFERROR(__xludf.DUMMYFUNCTION("""COMPUTED_VALUE"""),0.0)</f>
        <v>0</v>
      </c>
      <c r="BC264" s="53"/>
      <c r="BD264" s="48"/>
      <c r="BE264" s="48"/>
      <c r="BF264" s="48" t="str">
        <f>IFERROR(__xludf.DUMMYFUNCTION("""COMPUTED_VALUE"""),"https://lh3.googleusercontent.com/pw/AP1GczN6t3LugyBhowXvh2z5RVIaWFZqxyrJqPOBuniL9rSxDAY_CRqdiTfwa7YgrXa57BKB6qG6oxvyHqX23DM6FQeIuf6P3nwsZuYQ77wTDZs9T3goCBe0=w1200|https://lh3.googleusercontent.com/pw/AP1GczN0DISVepDi7iycwQKmkcHntkpaTebKCrU94Cgz8c-1S-68jg"&amp;"gXN1OGbV_ZLqBChTxeQEY8Wu9ZySmverDLR7XbqWLPrEZxdKw1Uuo-LWMGOLcVcT8u=w1200|https://lh3.googleusercontent.com/pw/AP1GczPYmIS4mhobZcNoEwgQEw2dPrHDPk_PnaacAN2z0WOf3gJEpLVdzRggZWpPFkz_0Iyyzo3pFaMeBkBkljqx5HRJmnWhmDhgJ5c0Q9H0RsXBNHDYhuOS=w1200|https://lh3.google"&amp;"usercontent.com/pw/AP1GczOYb4ZKsB--WxSCwPlduFV1pb2cNHoKnhvgQxjpYt30fgiOETfKwS8DnjD5_UsDvUPgJo1uCpilVjy2xOF8V3uTtV61BtKcLVdcpmrRqYdQ7fJFx4G7=w1200|https://lh3.googleusercontent.com/pw/AP1GczNXswM2CGeFDXqPMjHC7FEyTi9y4tr-4SzOJ7nq4ELGGW1DGY177gEhsnHU3nQ80loG"&amp;"CaFSDA5X6PgD9SsJvtR1mTVPCtNWyWIikwx0FKmN7icVVIvy=w1200|https://lh3.googleusercontent.com/pw/AP1GczMcfq7L0tDygumJ5kraBt_cyz3pKktiXdY7ujXRezRBe7t1xsQbXazhtygdTP5PJl4DCS_rF6dsAR_ZX6wPoBaR3OaMZq4UcOkNlXdfis1epwMtXvCt=w1200|https://lh3.googleusercontent.com/pw"&amp;"/AP1GczPJFCbLPR1AlplUQm1vSEhbXqlCu051KHmZTDQvYd-a5GsoW3a0TNRqzWWeNyLhwODB-lKgvmLCAgTyk9Sn1oKjIVjTIQz5hTgiokCqcuySkNFPddJ-=w1200")</f>
        <v>https://lh3.googleusercontent.com/pw/AP1GczN6t3LugyBhowXvh2z5RVIaWFZqxyrJqPOBuniL9rSxDAY_CRqdiTfwa7YgrXa57BKB6qG6oxvyHqX23DM6FQeIuf6P3nwsZuYQ77wTDZs9T3goCBe0=w1200|https://lh3.googleusercontent.com/pw/AP1GczN0DISVepDi7iycwQKmkcHntkpaTebKCrU94Cgz8c-1S-68jggXN1OGbV_ZLqBChTxeQEY8Wu9ZySmverDLR7XbqWLPrEZxdKw1Uuo-LWMGOLcVcT8u=w1200|https://lh3.googleusercontent.com/pw/AP1GczPYmIS4mhobZcNoEwgQEw2dPrHDPk_PnaacAN2z0WOf3gJEpLVdzRggZWpPFkz_0Iyyzo3pFaMeBkBkljqx5HRJmnWhmDhgJ5c0Q9H0RsXBNHDYhuOS=w1200|https://lh3.googleusercontent.com/pw/AP1GczOYb4ZKsB--WxSCwPlduFV1pb2cNHoKnhvgQxjpYt30fgiOETfKwS8DnjD5_UsDvUPgJo1uCpilVjy2xOF8V3uTtV61BtKcLVdcpmrRqYdQ7fJFx4G7=w1200|https://lh3.googleusercontent.com/pw/AP1GczNXswM2CGeFDXqPMjHC7FEyTi9y4tr-4SzOJ7nq4ELGGW1DGY177gEhsnHU3nQ80loGCaFSDA5X6PgD9SsJvtR1mTVPCtNWyWIikwx0FKmN7icVVIvy=w1200|https://lh3.googleusercontent.com/pw/AP1GczMcfq7L0tDygumJ5kraBt_cyz3pKktiXdY7ujXRezRBe7t1xsQbXazhtygdTP5PJl4DCS_rF6dsAR_ZX6wPoBaR3OaMZq4UcOkNlXdfis1epwMtXvCt=w1200|https://lh3.googleusercontent.com/pw/AP1GczPJFCbLPR1AlplUQm1vSEhbXqlCu051KHmZTDQvYd-a5GsoW3a0TNRqzWWeNyLhwODB-lKgvmLCAgTyk9Sn1oKjIVjTIQz5hTgiokCqcuySkNFPddJ-=w1200</v>
      </c>
    </row>
    <row r="265">
      <c r="A265" s="39" t="str">
        <f>IFERROR(__xludf.DUMMYFUNCTION("""COMPUTED_VALUE"""),"165")</f>
        <v>165</v>
      </c>
      <c r="B265" s="40" t="str">
        <f>IFERROR(__xludf.DUMMYFUNCTION("""COMPUTED_VALUE"""),"Casa en barrio Las Granjas")</f>
        <v>Casa en barrio Las Granjas</v>
      </c>
      <c r="C265" s="40" t="str">
        <f>IFERROR(__xludf.DUMMYFUNCTION("""COMPUTED_VALUE"""),"Casa")</f>
        <v>Casa</v>
      </c>
      <c r="D265" s="40" t="str">
        <f>IFERROR(__xludf.DUMMYFUNCTION("""COMPUTED_VALUE"""),"Las Granjas")</f>
        <v>Las Granjas</v>
      </c>
      <c r="E265" s="40"/>
      <c r="F265" s="42">
        <f>IFERROR(__xludf.DUMMYFUNCTION("""COMPUTED_VALUE"""),3.5E8)</f>
        <v>350000000</v>
      </c>
      <c r="G265" s="40" t="str">
        <f>IFERROR(__xludf.DUMMYFUNCTION("""COMPUTED_VALUE"""),"$300'000.000 a $400'000.000")</f>
        <v>$300'000.000 a $400'000.000</v>
      </c>
      <c r="H265" s="40"/>
      <c r="I265" s="40"/>
      <c r="J265" s="40" t="str">
        <f>IFERROR(__xludf.DUMMYFUNCTION("""COMPUTED_VALUE"""),"Norte")</f>
        <v>Norte</v>
      </c>
      <c r="K265" s="39" t="str">
        <f>IFERROR(__xludf.DUMMYFUNCTION("""COMPUTED_VALUE"""),"2")</f>
        <v>2</v>
      </c>
      <c r="L265" s="49">
        <f>IFERROR(__xludf.DUMMYFUNCTION("""COMPUTED_VALUE"""),5.0)</f>
        <v>5</v>
      </c>
      <c r="M265" s="49"/>
      <c r="N265" s="49">
        <f>IFERROR(__xludf.DUMMYFUNCTION("""COMPUTED_VALUE"""),3.0)</f>
        <v>3</v>
      </c>
      <c r="O265" s="49">
        <f>IFERROR(__xludf.DUMMYFUNCTION("""COMPUTED_VALUE"""),1.0)</f>
        <v>1</v>
      </c>
      <c r="P265" s="49">
        <f>IFERROR(__xludf.DUMMYFUNCTION("""COMPUTED_VALUE"""),1.0)</f>
        <v>1</v>
      </c>
      <c r="Q265" s="48"/>
      <c r="R265" s="48">
        <f>IFERROR(__xludf.DUMMYFUNCTION("""COMPUTED_VALUE"""),220.0)</f>
        <v>220</v>
      </c>
      <c r="S265" s="39" t="str">
        <f>IFERROR(__xludf.DUMMYFUNCTION("""COMPUTED_VALUE""")," ")</f>
        <v> </v>
      </c>
      <c r="T265" s="40" t="str">
        <f>IFERROR(__xludf.DUMMYFUNCTION("""COMPUTED_VALUE"""),"Neiva")</f>
        <v>Neiva</v>
      </c>
      <c r="U265" s="39" t="str">
        <f>IFERROR(__xludf.DUMMYFUNCTION("""COMPUTED_VALUE"""),"2")</f>
        <v>2</v>
      </c>
      <c r="V265" s="49" t="str">
        <f>IFERROR(__xludf.DUMMYFUNCTION("""COMPUTED_VALUE"""),"Medianera")</f>
        <v>Medianera</v>
      </c>
      <c r="W265" s="33"/>
      <c r="X265" s="33"/>
      <c r="Y265" s="40" t="str">
        <f>IFERROR(__xludf.DUMMYFUNCTION("""COMPUTED_VALUE"""),"No tiene")</f>
        <v>No tiene</v>
      </c>
      <c r="Z265" s="42" t="str">
        <f>IFERROR(__xludf.DUMMYFUNCTION("""COMPUTED_VALUE"""),"No aplica")</f>
        <v>No aplica</v>
      </c>
      <c r="AA265" s="49" t="str">
        <f>IFERROR(__xludf.DUMMYFUNCTION("""COMPUTED_VALUE"""),"No aplica")</f>
        <v>No aplica</v>
      </c>
      <c r="AB265" s="40"/>
      <c r="AC265" s="40"/>
      <c r="AD265" s="40"/>
      <c r="AE265" s="40"/>
      <c r="AF265" s="40" t="str">
        <f>IFERROR(__xludf.DUMMYFUNCTION("""COMPUTED_VALUE"""),"")</f>
        <v/>
      </c>
      <c r="AG265" s="40"/>
      <c r="AH265" s="40" t="str">
        <f>IFERROR(__xludf.DUMMYFUNCTION("""COMPUTED_VALUE"""),"Inventario")</f>
        <v>Inventario</v>
      </c>
      <c r="AI265" s="40" t="str">
        <f>IFERROR(__xludf.DUMMYFUNCTION("""COMPUTED_VALUE"""),"Verbal")</f>
        <v>Verbal</v>
      </c>
      <c r="AJ265" s="40" t="str">
        <f>IFERROR(__xludf.DUMMYFUNCTION("""COMPUTED_VALUE"""),"LAS GRANJAS NIÑO ESPECIAL-PROFESORES- VENDE SANTA MONICA.")</f>
        <v>LAS GRANJAS NIÑO ESPECIAL-PROFESORES- VENDE SANTA MONICA.</v>
      </c>
      <c r="AK265" s="40" t="str">
        <f>IFERROR(__xludf.DUMMYFUNCTION("""COMPUTED_VALUE"""),"SIN CONTRATO")</f>
        <v>SIN CONTRATO</v>
      </c>
      <c r="AL265" s="40" t="str">
        <f>IFERROR(__xludf.DUMMYFUNCTION("""COMPUTED_VALUE"""),"NO FOTOS + DESCRIPCION")</f>
        <v>NO FOTOS + DESCRIPCION</v>
      </c>
      <c r="AM265" s="40">
        <f>IFERROR(__xludf.DUMMYFUNCTION("""COMPUTED_VALUE"""),3.153150047E9)</f>
        <v>3153150047</v>
      </c>
      <c r="AN265" s="40">
        <f>IFERROR(__xludf.DUMMYFUNCTION("""COMPUTED_VALUE"""),0.0)</f>
        <v>0</v>
      </c>
      <c r="AO265" s="40" t="str">
        <f>IFERROR(__xludf.DUMMYFUNCTION("""COMPUTED_VALUE"""),"DAIRO CORTES")</f>
        <v>DAIRO CORTES</v>
      </c>
      <c r="AP265" s="40"/>
      <c r="AQ265" s="40"/>
      <c r="AR265" s="40"/>
      <c r="AS265" s="53">
        <f>IFERROR(__xludf.DUMMYFUNCTION("""COMPUTED_VALUE"""),0.0)</f>
        <v>0</v>
      </c>
      <c r="AT265" s="49"/>
      <c r="AU265" s="40"/>
      <c r="AV265" s="40"/>
      <c r="AW265" s="40"/>
      <c r="AX265" s="40"/>
      <c r="AY265" s="40"/>
      <c r="AZ265" s="40"/>
      <c r="BA265" s="40" t="str">
        <f>IFERROR(__xludf.DUMMYFUNCTION("""COMPUTED_VALUE"""),"X")</f>
        <v>X</v>
      </c>
      <c r="BB265" s="40"/>
      <c r="BC265" s="53"/>
      <c r="BD265" s="48"/>
      <c r="BE265" s="48"/>
      <c r="BF265" s="48"/>
    </row>
    <row r="266">
      <c r="A266" s="39" t="str">
        <f>IFERROR(__xludf.DUMMYFUNCTION("""COMPUTED_VALUE"""),"755")</f>
        <v>755</v>
      </c>
      <c r="B266" s="40" t="str">
        <f>IFERROR(__xludf.DUMMYFUNCTION("""COMPUTED_VALUE"""),"Casa en barrio Los Cambulos II")</f>
        <v>Casa en barrio Los Cambulos II</v>
      </c>
      <c r="C266" s="40" t="str">
        <f>IFERROR(__xludf.DUMMYFUNCTION("""COMPUTED_VALUE"""),"Casa")</f>
        <v>Casa</v>
      </c>
      <c r="D266" s="40" t="str">
        <f>IFERROR(__xludf.DUMMYFUNCTION("""COMPUTED_VALUE"""),"Los Cámbulos II")</f>
        <v>Los Cámbulos II</v>
      </c>
      <c r="E266" s="42"/>
      <c r="F266" s="42">
        <f>IFERROR(__xludf.DUMMYFUNCTION("""COMPUTED_VALUE"""),7.0E8)</f>
        <v>700000000</v>
      </c>
      <c r="G266" s="40" t="str">
        <f>IFERROR(__xludf.DUMMYFUNCTION("""COMPUTED_VALUE"""),"$500'000.000 a $1.000'000.000")</f>
        <v>$500'000.000 a $1.000'000.000</v>
      </c>
      <c r="H266" s="40"/>
      <c r="I266" s="40"/>
      <c r="J266" s="40" t="str">
        <f>IFERROR(__xludf.DUMMYFUNCTION("""COMPUTED_VALUE"""),"Norte")</f>
        <v>Norte</v>
      </c>
      <c r="K266" s="39" t="str">
        <f>IFERROR(__xludf.DUMMYFUNCTION("""COMPUTED_VALUE"""),"3")</f>
        <v>3</v>
      </c>
      <c r="L266" s="40">
        <f>IFERROR(__xludf.DUMMYFUNCTION("""COMPUTED_VALUE"""),7.0)</f>
        <v>7</v>
      </c>
      <c r="M266" s="40"/>
      <c r="N266" s="40">
        <f>IFERROR(__xludf.DUMMYFUNCTION("""COMPUTED_VALUE"""),4.0)</f>
        <v>4</v>
      </c>
      <c r="O266" s="40">
        <f>IFERROR(__xludf.DUMMYFUNCTION("""COMPUTED_VALUE"""),1.0)</f>
        <v>1</v>
      </c>
      <c r="P266" s="40">
        <f>IFERROR(__xludf.DUMMYFUNCTION("""COMPUTED_VALUE"""),2.0)</f>
        <v>2</v>
      </c>
      <c r="Q266" s="48">
        <f>IFERROR(__xludf.DUMMYFUNCTION("""COMPUTED_VALUE"""),171.98)</f>
        <v>171.98</v>
      </c>
      <c r="R266" s="48">
        <f>IFERROR(__xludf.DUMMYFUNCTION("""COMPUTED_VALUE"""),100.0)</f>
        <v>100</v>
      </c>
      <c r="S266" s="39" t="str">
        <f>IFERROR(__xludf.DUMMYFUNCTION("""COMPUTED_VALUE"""),"Rentabilidad $1,200,000")</f>
        <v>Rentabilidad $1,200,000</v>
      </c>
      <c r="T266" s="40" t="str">
        <f>IFERROR(__xludf.DUMMYFUNCTION("""COMPUTED_VALUE"""),"Neiva")</f>
        <v>Neiva</v>
      </c>
      <c r="U266" s="39" t="str">
        <f>IFERROR(__xludf.DUMMYFUNCTION("""COMPUTED_VALUE"""),"3")</f>
        <v>3</v>
      </c>
      <c r="V266" s="40" t="str">
        <f>IFERROR(__xludf.DUMMYFUNCTION("""COMPUTED_VALUE"""),"Esquinera")</f>
        <v>Esquinera</v>
      </c>
      <c r="W266" s="46"/>
      <c r="X266" s="46">
        <f>IFERROR(__xludf.DUMMYFUNCTION("""COMPUTED_VALUE"""),3.0)</f>
        <v>3</v>
      </c>
      <c r="Y266" s="40" t="str">
        <f>IFERROR(__xludf.DUMMYFUNCTION("""COMPUTED_VALUE"""),"No tiene")</f>
        <v>No tiene</v>
      </c>
      <c r="Z266" s="42" t="str">
        <f>IFERROR(__xludf.DUMMYFUNCTION("""COMPUTED_VALUE"""),"No aplica")</f>
        <v>No aplica</v>
      </c>
      <c r="AA266" s="49"/>
      <c r="AB266" s="40"/>
      <c r="AC266" s="40"/>
      <c r="AD266" s="40"/>
      <c r="AE266" s="40"/>
      <c r="AF266" s="40" t="str">
        <f>IFERROR(__xludf.DUMMYFUNCTION("""COMPUTED_VALUE"""),"integral")</f>
        <v>integral</v>
      </c>
      <c r="AG266" s="40"/>
      <c r="AH266" s="40" t="str">
        <f>IFERROR(__xludf.DUMMYFUNCTION("""COMPUTED_VALUE"""),"Inventario")</f>
        <v>Inventario</v>
      </c>
      <c r="AI266" s="40"/>
      <c r="AJ266" s="40" t="str">
        <f>IFERROR(__xludf.DUMMYFUNCTION("""COMPUTED_VALUE"""),"Red Inmobiliaria")</f>
        <v>Red Inmobiliaria</v>
      </c>
      <c r="AK266" s="40"/>
      <c r="AL266" s="40"/>
      <c r="AM266" s="40">
        <f>IFERROR(__xludf.DUMMYFUNCTION("""COMPUTED_VALUE"""),3.1763657E9)</f>
        <v>3176365700</v>
      </c>
      <c r="AN266" s="40" t="str">
        <f>IFERROR(__xludf.DUMMYFUNCTION("""COMPUTED_VALUE"""),"3174381754-3174236223")</f>
        <v>3174381754-3174236223</v>
      </c>
      <c r="AO266" s="40"/>
      <c r="AP266" s="40" t="str">
        <f>IFERROR(__xludf.DUMMYFUNCTION("""COMPUTED_VALUE"""),"Calle 34 # 9 - 6")</f>
        <v>Calle 34 # 9 - 6</v>
      </c>
      <c r="AQ266" s="40"/>
      <c r="AR266" s="40"/>
      <c r="AS266" s="53">
        <f>IFERROR(__xludf.DUMMYFUNCTION("""COMPUTED_VALUE"""),1200000.0)</f>
        <v>1200000</v>
      </c>
      <c r="AT266" s="40">
        <f>IFERROR(__xludf.DUMMYFUNCTION("""COMPUTED_VALUE"""),0.0)</f>
        <v>0</v>
      </c>
      <c r="AU266" s="40">
        <f>IFERROR(__xludf.DUMMYFUNCTION("""COMPUTED_VALUE"""),0.0)</f>
        <v>0</v>
      </c>
      <c r="AV266" s="40">
        <f>IFERROR(__xludf.DUMMYFUNCTION("""COMPUTED_VALUE"""),0.0)</f>
        <v>0</v>
      </c>
      <c r="AW266" s="40" t="str">
        <f>IFERROR(__xludf.DUMMYFUNCTION("""COMPUTED_VALUE"""),"SI")</f>
        <v>SI</v>
      </c>
      <c r="AX266" s="40"/>
      <c r="AY266" s="40" t="str">
        <f>IFERROR(__xludf.DUMMYFUNCTION("""COMPUTED_VALUE"""),"P")</f>
        <v>P</v>
      </c>
      <c r="AZ266" s="40"/>
      <c r="BA266" s="40" t="str">
        <f>IFERROR(__xludf.DUMMYFUNCTION("""COMPUTED_VALUE"""),"X")</f>
        <v>X</v>
      </c>
      <c r="BB266" s="40"/>
      <c r="BC266" s="53" t="str">
        <f>IFERROR(__xludf.DUMMYFUNCTION("""COMPUTED_VALUE"""),"12 - LEIDY YULIETH, 38 - MARIO MUNAR")</f>
        <v>12 - LEIDY YULIETH, 38 - MARIO MUNAR</v>
      </c>
      <c r="BD266" s="48"/>
      <c r="BE266" s="48"/>
      <c r="BF266" s="48"/>
    </row>
    <row r="267">
      <c r="A267" s="39" t="str">
        <f>IFERROR(__xludf.DUMMYFUNCTION("""COMPUTED_VALUE"""),"040")</f>
        <v>040</v>
      </c>
      <c r="B267" s="40" t="str">
        <f>IFERROR(__xludf.DUMMYFUNCTION("""COMPUTED_VALUE"""),"Casa en barrio Las Granjas")</f>
        <v>Casa en barrio Las Granjas</v>
      </c>
      <c r="C267" s="40" t="str">
        <f>IFERROR(__xludf.DUMMYFUNCTION("""COMPUTED_VALUE"""),"Casa")</f>
        <v>Casa</v>
      </c>
      <c r="D267" s="40" t="str">
        <f>IFERROR(__xludf.DUMMYFUNCTION("""COMPUTED_VALUE"""),"Las Granjas")</f>
        <v>Las Granjas</v>
      </c>
      <c r="E267" s="42"/>
      <c r="F267" s="42">
        <f>IFERROR(__xludf.DUMMYFUNCTION("""COMPUTED_VALUE"""),5.5E8)</f>
        <v>550000000</v>
      </c>
      <c r="G267" s="40" t="str">
        <f>IFERROR(__xludf.DUMMYFUNCTION("""COMPUTED_VALUE"""),"$500'000.000 a $1.000'000.000")</f>
        <v>$500'000.000 a $1.000'000.000</v>
      </c>
      <c r="H267" s="40"/>
      <c r="I267" s="40"/>
      <c r="J267" s="40" t="str">
        <f>IFERROR(__xludf.DUMMYFUNCTION("""COMPUTED_VALUE"""),"Norte")</f>
        <v>Norte</v>
      </c>
      <c r="K267" s="39" t="str">
        <f>IFERROR(__xludf.DUMMYFUNCTION("""COMPUTED_VALUE"""),"2")</f>
        <v>2</v>
      </c>
      <c r="L267" s="40">
        <f>IFERROR(__xludf.DUMMYFUNCTION("""COMPUTED_VALUE"""),3.0)</f>
        <v>3</v>
      </c>
      <c r="M267" s="40"/>
      <c r="N267" s="40">
        <f>IFERROR(__xludf.DUMMYFUNCTION("""COMPUTED_VALUE"""),2.0)</f>
        <v>2</v>
      </c>
      <c r="O267" s="40">
        <f>IFERROR(__xludf.DUMMYFUNCTION("""COMPUTED_VALUE"""),1.0)</f>
        <v>1</v>
      </c>
      <c r="P267" s="40">
        <f>IFERROR(__xludf.DUMMYFUNCTION("""COMPUTED_VALUE"""),1.0)</f>
        <v>1</v>
      </c>
      <c r="Q267" s="48">
        <f>IFERROR(__xludf.DUMMYFUNCTION("""COMPUTED_VALUE"""),281.0)</f>
        <v>281</v>
      </c>
      <c r="R267" s="48">
        <f>IFERROR(__xludf.DUMMYFUNCTION("""COMPUTED_VALUE"""),315.0)</f>
        <v>315</v>
      </c>
      <c r="S267" s="39" t="str">
        <f>IFERROR(__xludf.DUMMYFUNCTION("""COMPUTED_VALUE""")," ")</f>
        <v> </v>
      </c>
      <c r="T267" s="40" t="str">
        <f>IFERROR(__xludf.DUMMYFUNCTION("""COMPUTED_VALUE"""),"Neiva")</f>
        <v>Neiva</v>
      </c>
      <c r="U267" s="39" t="str">
        <f>IFERROR(__xludf.DUMMYFUNCTION("""COMPUTED_VALUE"""),"2")</f>
        <v>2</v>
      </c>
      <c r="V267" s="40" t="str">
        <f>IFERROR(__xludf.DUMMYFUNCTION("""COMPUTED_VALUE"""),"Medianera")</f>
        <v>Medianera</v>
      </c>
      <c r="W267" s="46"/>
      <c r="X267" s="46">
        <f>IFERROR(__xludf.DUMMYFUNCTION("""COMPUTED_VALUE"""),0.0)</f>
        <v>0</v>
      </c>
      <c r="Y267" s="40" t="str">
        <f>IFERROR(__xludf.DUMMYFUNCTION("""COMPUTED_VALUE"""),"No tiene")</f>
        <v>No tiene</v>
      </c>
      <c r="Z267" s="42" t="str">
        <f>IFERROR(__xludf.DUMMYFUNCTION("""COMPUTED_VALUE"""),"No aplica")</f>
        <v>No aplica</v>
      </c>
      <c r="AA267" s="49" t="str">
        <f>IFERROR(__xludf.DUMMYFUNCTION("""COMPUTED_VALUE"""),"No aplica")</f>
        <v>No aplica</v>
      </c>
      <c r="AB267" s="40"/>
      <c r="AC267" s="40"/>
      <c r="AD267" s="40"/>
      <c r="AE267" s="40"/>
      <c r="AF267" s="40" t="str">
        <f>IFERROR(__xludf.DUMMYFUNCTION("""COMPUTED_VALUE"""),"integral")</f>
        <v>integral</v>
      </c>
      <c r="AG267" s="40"/>
      <c r="AH267" s="40" t="str">
        <f>IFERROR(__xludf.DUMMYFUNCTION("""COMPUTED_VALUE"""),"Inventario")</f>
        <v>Inventario</v>
      </c>
      <c r="AI267" s="40"/>
      <c r="AJ267" s="40" t="str">
        <f>IFERROR(__xludf.DUMMYFUNCTION("""COMPUTED_VALUE"""),"Red Inmobiliaria")</f>
        <v>Red Inmobiliaria</v>
      </c>
      <c r="AK267" s="40" t="str">
        <f>IFERROR(__xludf.DUMMYFUNCTION("""COMPUTED_VALUE"""),"No aplica")</f>
        <v>No aplica</v>
      </c>
      <c r="AL267" s="40"/>
      <c r="AM267" s="40">
        <f>IFERROR(__xludf.DUMMYFUNCTION("""COMPUTED_VALUE"""),3.1853181E9)</f>
        <v>3185318100</v>
      </c>
      <c r="AN267" s="40">
        <f>IFERROR(__xludf.DUMMYFUNCTION("""COMPUTED_VALUE"""),3.1763657E9)</f>
        <v>3176365700</v>
      </c>
      <c r="AO267" s="40"/>
      <c r="AP267" s="40" t="str">
        <f>IFERROR(__xludf.DUMMYFUNCTION("""COMPUTED_VALUE"""),"Ave. 26 lado Ara")</f>
        <v>Ave. 26 lado Ara</v>
      </c>
      <c r="AQ267" s="40"/>
      <c r="AR267" s="40"/>
      <c r="AS267" s="53"/>
      <c r="AT267" s="40">
        <f>IFERROR(__xludf.DUMMYFUNCTION("""COMPUTED_VALUE"""),0.0)</f>
        <v>0</v>
      </c>
      <c r="AU267" s="40">
        <f>IFERROR(__xludf.DUMMYFUNCTION("""COMPUTED_VALUE"""),0.0)</f>
        <v>0</v>
      </c>
      <c r="AV267" s="40">
        <f>IFERROR(__xludf.DUMMYFUNCTION("""COMPUTED_VALUE"""),0.0)</f>
        <v>0</v>
      </c>
      <c r="AW267" s="40" t="str">
        <f>IFERROR(__xludf.DUMMYFUNCTION("""COMPUTED_VALUE"""),"SI")</f>
        <v>SI</v>
      </c>
      <c r="AX267" s="40">
        <f>IFERROR(__xludf.DUMMYFUNCTION("""COMPUTED_VALUE"""),0.0)</f>
        <v>0</v>
      </c>
      <c r="AY267" s="40" t="str">
        <f>IFERROR(__xludf.DUMMYFUNCTION("""COMPUTED_VALUE"""),"G")</f>
        <v>G</v>
      </c>
      <c r="AZ267" s="40"/>
      <c r="BA267" s="40" t="str">
        <f>IFERROR(__xludf.DUMMYFUNCTION("""COMPUTED_VALUE"""),"X")</f>
        <v>X</v>
      </c>
      <c r="BB267" s="40"/>
      <c r="BC267" s="53" t="str">
        <f>IFERROR(__xludf.DUMMYFUNCTION("""COMPUTED_VALUE"""),"26 - NINI CASTAÑO, 33 - MARIA ALEJANDRA MONTES R.")</f>
        <v>26 - NINI CASTAÑO, 33 - MARIA ALEJANDRA MONTES R.</v>
      </c>
      <c r="BD267" s="48"/>
      <c r="BE267" s="48"/>
      <c r="BF267" s="48"/>
    </row>
    <row r="268">
      <c r="A268" s="39" t="str">
        <f>IFERROR(__xludf.DUMMYFUNCTION("""COMPUTED_VALUE"""),"035")</f>
        <v>035</v>
      </c>
      <c r="B268" s="40" t="str">
        <f>IFERROR(__xludf.DUMMYFUNCTION("""COMPUTED_VALUE"""),"Casa en barrio Los Cámbulos II")</f>
        <v>Casa en barrio Los Cámbulos II</v>
      </c>
      <c r="C268" s="40" t="str">
        <f>IFERROR(__xludf.DUMMYFUNCTION("""COMPUTED_VALUE"""),"Casa")</f>
        <v>Casa</v>
      </c>
      <c r="D268" s="40" t="str">
        <f>IFERROR(__xludf.DUMMYFUNCTION("""COMPUTED_VALUE"""),"Los Cámbulos II")</f>
        <v>Los Cámbulos II</v>
      </c>
      <c r="E268" s="42"/>
      <c r="F268" s="42">
        <f>IFERROR(__xludf.DUMMYFUNCTION("""COMPUTED_VALUE"""),3.8E8)</f>
        <v>380000000</v>
      </c>
      <c r="G268" s="40" t="str">
        <f>IFERROR(__xludf.DUMMYFUNCTION("""COMPUTED_VALUE"""),"$300'000.000 a $400'000.000")</f>
        <v>$300'000.000 a $400'000.000</v>
      </c>
      <c r="H268" s="40"/>
      <c r="I268" s="40"/>
      <c r="J268" s="40" t="str">
        <f>IFERROR(__xludf.DUMMYFUNCTION("""COMPUTED_VALUE"""),"Norte")</f>
        <v>Norte</v>
      </c>
      <c r="K268" s="39" t="str">
        <f>IFERROR(__xludf.DUMMYFUNCTION("""COMPUTED_VALUE"""),"2")</f>
        <v>2</v>
      </c>
      <c r="L268" s="40">
        <f>IFERROR(__xludf.DUMMYFUNCTION("""COMPUTED_VALUE"""),4.0)</f>
        <v>4</v>
      </c>
      <c r="M268" s="40"/>
      <c r="N268" s="40">
        <f>IFERROR(__xludf.DUMMYFUNCTION("""COMPUTED_VALUE"""),2.0)</f>
        <v>2</v>
      </c>
      <c r="O268" s="40">
        <f>IFERROR(__xludf.DUMMYFUNCTION("""COMPUTED_VALUE"""),1.0)</f>
        <v>1</v>
      </c>
      <c r="P268" s="40">
        <f>IFERROR(__xludf.DUMMYFUNCTION("""COMPUTED_VALUE"""),2.0)</f>
        <v>2</v>
      </c>
      <c r="Q268" s="48"/>
      <c r="R268" s="48">
        <f>IFERROR(__xludf.DUMMYFUNCTION("""COMPUTED_VALUE"""),90.0)</f>
        <v>90</v>
      </c>
      <c r="S268" s="39" t="str">
        <f>IFERROR(__xludf.DUMMYFUNCTION("""COMPUTED_VALUE""")," ")</f>
        <v> </v>
      </c>
      <c r="T268" s="40" t="str">
        <f>IFERROR(__xludf.DUMMYFUNCTION("""COMPUTED_VALUE"""),"Neiva")</f>
        <v>Neiva</v>
      </c>
      <c r="U268" s="39" t="str">
        <f>IFERROR(__xludf.DUMMYFUNCTION("""COMPUTED_VALUE"""),"3")</f>
        <v>3</v>
      </c>
      <c r="V268" s="40" t="str">
        <f>IFERROR(__xludf.DUMMYFUNCTION("""COMPUTED_VALUE"""),"Medianera")</f>
        <v>Medianera</v>
      </c>
      <c r="W268" s="46"/>
      <c r="X268" s="46">
        <f>IFERROR(__xludf.DUMMYFUNCTION("""COMPUTED_VALUE"""),3.0)</f>
        <v>3</v>
      </c>
      <c r="Y268" s="40" t="str">
        <f>IFERROR(__xludf.DUMMYFUNCTION("""COMPUTED_VALUE"""),"No tiene")</f>
        <v>No tiene</v>
      </c>
      <c r="Z268" s="42" t="str">
        <f>IFERROR(__xludf.DUMMYFUNCTION("""COMPUTED_VALUE"""),"No aplica")</f>
        <v>No aplica</v>
      </c>
      <c r="AA268" s="49" t="str">
        <f>IFERROR(__xludf.DUMMYFUNCTION("""COMPUTED_VALUE"""),"No aplica")</f>
        <v>No aplica</v>
      </c>
      <c r="AB268" s="48"/>
      <c r="AC268" s="40"/>
      <c r="AD268" s="40"/>
      <c r="AE268" s="40"/>
      <c r="AF268" s="40" t="str">
        <f>IFERROR(__xludf.DUMMYFUNCTION("""COMPUTED_VALUE"""),"integral")</f>
        <v>integral</v>
      </c>
      <c r="AG268" s="40"/>
      <c r="AH268" s="40" t="str">
        <f>IFERROR(__xludf.DUMMYFUNCTION("""COMPUTED_VALUE"""),"Inventario")</f>
        <v>Inventario</v>
      </c>
      <c r="AI268" s="40"/>
      <c r="AJ268" s="40" t="str">
        <f>IFERROR(__xludf.DUMMYFUNCTION("""COMPUTED_VALUE"""),"Red Inmobiliaria")</f>
        <v>Red Inmobiliaria</v>
      </c>
      <c r="AK268" s="40" t="str">
        <f>IFERROR(__xludf.DUMMYFUNCTION("""COMPUTED_VALUE"""),"No aplica")</f>
        <v>No aplica</v>
      </c>
      <c r="AL268" s="40"/>
      <c r="AM268" s="40">
        <f>IFERROR(__xludf.DUMMYFUNCTION("""COMPUTED_VALUE"""),3.1853181E9)</f>
        <v>3185318100</v>
      </c>
      <c r="AN268" s="40">
        <f>IFERROR(__xludf.DUMMYFUNCTION("""COMPUTED_VALUE"""),3.1763657E9)</f>
        <v>3176365700</v>
      </c>
      <c r="AO268" s="40"/>
      <c r="AP268" s="40" t="str">
        <f>IFERROR(__xludf.DUMMYFUNCTION("""COMPUTED_VALUE"""),"CRA 8B #27-38")</f>
        <v>CRA 8B #27-38</v>
      </c>
      <c r="AQ268" s="40"/>
      <c r="AR268" s="40"/>
      <c r="AS268" s="53"/>
      <c r="AT268" s="40">
        <f>IFERROR(__xludf.DUMMYFUNCTION("""COMPUTED_VALUE"""),0.0)</f>
        <v>0</v>
      </c>
      <c r="AU268" s="40">
        <f>IFERROR(__xludf.DUMMYFUNCTION("""COMPUTED_VALUE"""),0.0)</f>
        <v>0</v>
      </c>
      <c r="AV268" s="40">
        <f>IFERROR(__xludf.DUMMYFUNCTION("""COMPUTED_VALUE"""),0.0)</f>
        <v>0</v>
      </c>
      <c r="AW268" s="40" t="str">
        <f>IFERROR(__xludf.DUMMYFUNCTION("""COMPUTED_VALUE"""),"SI")</f>
        <v>SI</v>
      </c>
      <c r="AX268" s="40">
        <f>IFERROR(__xludf.DUMMYFUNCTION("""COMPUTED_VALUE"""),0.0)</f>
        <v>0</v>
      </c>
      <c r="AY268" s="40" t="str">
        <f>IFERROR(__xludf.DUMMYFUNCTION("""COMPUTED_VALUE"""),"P")</f>
        <v>P</v>
      </c>
      <c r="AZ268" s="40"/>
      <c r="BA268" s="40" t="str">
        <f>IFERROR(__xludf.DUMMYFUNCTION("""COMPUTED_VALUE"""),"X")</f>
        <v>X</v>
      </c>
      <c r="BB268" s="40"/>
      <c r="BC268" s="53" t="str">
        <f>IFERROR(__xludf.DUMMYFUNCTION("""COMPUTED_VALUE"""),"12 - LEIDY YULIETH, 19 - PRUEBA, 19 - PRUEBA v, 15 - SINDY MARCELA")</f>
        <v>12 - LEIDY YULIETH, 19 - PRUEBA, 19 - PRUEBA v, 15 - SINDY MARCELA</v>
      </c>
      <c r="BD268" s="48"/>
      <c r="BE268" s="48"/>
      <c r="BF268" s="48"/>
    </row>
    <row r="269">
      <c r="A269" s="39" t="str">
        <f>IFERROR(__xludf.DUMMYFUNCTION("""COMPUTED_VALUE"""),"188")</f>
        <v>188</v>
      </c>
      <c r="B269" s="40" t="str">
        <f>IFERROR(__xludf.DUMMYFUNCTION("""COMPUTED_VALUE"""),"Casa con dos apartamentos en barrio Alamos Norte")</f>
        <v>Casa con dos apartamentos en barrio Alamos Norte</v>
      </c>
      <c r="C269" s="40" t="str">
        <f>IFERROR(__xludf.DUMMYFUNCTION("""COMPUTED_VALUE"""),"Casa rentable")</f>
        <v>Casa rentable</v>
      </c>
      <c r="D269" s="40" t="str">
        <f>IFERROR(__xludf.DUMMYFUNCTION("""COMPUTED_VALUE"""),"Alamos Norte")</f>
        <v>Alamos Norte</v>
      </c>
      <c r="E269" s="42" t="str">
        <f>IFERROR(__xludf.DUMMYFUNCTION("""COMPUTED_VALUE""")," ")</f>
        <v> </v>
      </c>
      <c r="F269" s="42">
        <f>IFERROR(__xludf.DUMMYFUNCTION("""COMPUTED_VALUE"""),2.8E8)</f>
        <v>280000000</v>
      </c>
      <c r="G269" s="40" t="str">
        <f>IFERROR(__xludf.DUMMYFUNCTION("""COMPUTED_VALUE"""),"$200'000.000 a $300'000.000")</f>
        <v>$200'000.000 a $300'000.000</v>
      </c>
      <c r="H269" s="40"/>
      <c r="I269" s="40"/>
      <c r="J269" s="40" t="str">
        <f>IFERROR(__xludf.DUMMYFUNCTION("""COMPUTED_VALUE"""),"Norte")</f>
        <v>Norte</v>
      </c>
      <c r="K269" s="39"/>
      <c r="L269" s="40">
        <f>IFERROR(__xludf.DUMMYFUNCTION("""COMPUTED_VALUE"""),5.0)</f>
        <v>5</v>
      </c>
      <c r="M269" s="40"/>
      <c r="N269" s="40">
        <f>IFERROR(__xludf.DUMMYFUNCTION("""COMPUTED_VALUE"""),3.0)</f>
        <v>3</v>
      </c>
      <c r="O269" s="40">
        <f>IFERROR(__xludf.DUMMYFUNCTION("""COMPUTED_VALUE"""),1.0)</f>
        <v>1</v>
      </c>
      <c r="P269" s="40">
        <f>IFERROR(__xludf.DUMMYFUNCTION("""COMPUTED_VALUE"""),2.0)</f>
        <v>2</v>
      </c>
      <c r="Q269" s="48"/>
      <c r="R269" s="48">
        <f>IFERROR(__xludf.DUMMYFUNCTION("""COMPUTED_VALUE"""),140.0)</f>
        <v>140</v>
      </c>
      <c r="S269" s="39" t="str">
        <f>IFERROR(__xludf.DUMMYFUNCTION("""COMPUTED_VALUE"""),"Rentabilidad $1,200,000")</f>
        <v>Rentabilidad $1,200,000</v>
      </c>
      <c r="T269" s="40" t="str">
        <f>IFERROR(__xludf.DUMMYFUNCTION("""COMPUTED_VALUE"""),"Neiva")</f>
        <v>Neiva</v>
      </c>
      <c r="U269" s="39" t="str">
        <f>IFERROR(__xludf.DUMMYFUNCTION("""COMPUTED_VALUE"""),"2")</f>
        <v>2</v>
      </c>
      <c r="V269" s="40" t="str">
        <f>IFERROR(__xludf.DUMMYFUNCTION("""COMPUTED_VALUE"""),"Medianera")</f>
        <v>Medianera</v>
      </c>
      <c r="W269" s="46"/>
      <c r="X269" s="46">
        <f>IFERROR(__xludf.DUMMYFUNCTION("""COMPUTED_VALUE"""),4.0)</f>
        <v>4</v>
      </c>
      <c r="Y269" s="40" t="str">
        <f>IFERROR(__xludf.DUMMYFUNCTION("""COMPUTED_VALUE"""),"No tiene")</f>
        <v>No tiene</v>
      </c>
      <c r="Z269" s="42" t="str">
        <f>IFERROR(__xludf.DUMMYFUNCTION("""COMPUTED_VALUE"""),"No aplica")</f>
        <v>No aplica</v>
      </c>
      <c r="AA269" s="49" t="str">
        <f>IFERROR(__xludf.DUMMYFUNCTION("""COMPUTED_VALUE"""),"19 años")</f>
        <v>19 años</v>
      </c>
      <c r="AB269" s="105" t="str">
        <f>IFERROR(__xludf.DUMMYFUNCTION("""COMPUTED_VALUE"""),"https://photos.app.goo.gl/2SWpNoJhW1jM7e8cA")</f>
        <v>https://photos.app.goo.gl/2SWpNoJhW1jM7e8cA</v>
      </c>
      <c r="AC269" s="40"/>
      <c r="AD269" s="40"/>
      <c r="AE269" s="40"/>
      <c r="AF269" s="40" t="str">
        <f>IFERROR(__xludf.DUMMYFUNCTION("""COMPUTED_VALUE"""),"semi-integral")</f>
        <v>semi-integral</v>
      </c>
      <c r="AG269" s="40"/>
      <c r="AH269" s="40" t="str">
        <f>IFERROR(__xludf.DUMMYFUNCTION("""COMPUTED_VALUE"""),"Inventario")</f>
        <v>Inventario</v>
      </c>
      <c r="AI269" s="40"/>
      <c r="AJ269" s="40" t="str">
        <f>IFERROR(__xludf.DUMMYFUNCTION("""COMPUTED_VALUE"""),"Red Inmobiliaria")</f>
        <v>Red Inmobiliaria</v>
      </c>
      <c r="AK269" s="40"/>
      <c r="AL269" s="40" t="str">
        <f>IFERROR(__xludf.DUMMYFUNCTION("""COMPUTED_VALUE"""),"TIENE FOTOS")</f>
        <v>TIENE FOTOS</v>
      </c>
      <c r="AM269" s="40" t="str">
        <f>IFERROR(__xludf.DUMMYFUNCTION("""COMPUTED_VALUE"""),"Prop-3165674103 - 3176365700")</f>
        <v>Prop-3165674103 - 3176365700</v>
      </c>
      <c r="AN269" s="40">
        <f>IFERROR(__xludf.DUMMYFUNCTION("""COMPUTED_VALUE"""),3.174381754E9)</f>
        <v>3174381754</v>
      </c>
      <c r="AO269" s="40" t="str">
        <f>IFERROR(__xludf.DUMMYFUNCTION("""COMPUTED_VALUE"""),"PROPIETARIO - INMOBILIARIA RED - REDIIS")</f>
        <v>PROPIETARIO - INMOBILIARIA RED - REDIIS</v>
      </c>
      <c r="AP269" s="40" t="str">
        <f>IFERROR(__xludf.DUMMYFUNCTION("""COMPUTED_VALUE"""),"CARRERA 18 No. 50 - 26")</f>
        <v>CARRERA 18 No. 50 - 26</v>
      </c>
      <c r="AQ269" s="40"/>
      <c r="AR269" s="40"/>
      <c r="AS269" s="53">
        <f>IFERROR(__xludf.DUMMYFUNCTION("""COMPUTED_VALUE"""),1200000.0)</f>
        <v>1200000</v>
      </c>
      <c r="AT269" s="40">
        <f>IFERROR(__xludf.DUMMYFUNCTION("""COMPUTED_VALUE"""),0.0)</f>
        <v>0</v>
      </c>
      <c r="AU269" s="40">
        <f>IFERROR(__xludf.DUMMYFUNCTION("""COMPUTED_VALUE"""),0.0)</f>
        <v>0</v>
      </c>
      <c r="AV269" s="40">
        <f>IFERROR(__xludf.DUMMYFUNCTION("""COMPUTED_VALUE"""),0.0)</f>
        <v>0</v>
      </c>
      <c r="AW269" s="40" t="str">
        <f>IFERROR(__xludf.DUMMYFUNCTION("""COMPUTED_VALUE"""),"SI")</f>
        <v>SI</v>
      </c>
      <c r="AX269" s="40">
        <f>IFERROR(__xludf.DUMMYFUNCTION("""COMPUTED_VALUE"""),0.0)</f>
        <v>0</v>
      </c>
      <c r="AY269" s="40">
        <f>IFERROR(__xludf.DUMMYFUNCTION("""COMPUTED_VALUE"""),0.0)</f>
        <v>0</v>
      </c>
      <c r="AZ269" s="40">
        <f>IFERROR(__xludf.DUMMYFUNCTION("""COMPUTED_VALUE"""),0.0)</f>
        <v>0</v>
      </c>
      <c r="BA269" s="40" t="str">
        <f>IFERROR(__xludf.DUMMYFUNCTION("""COMPUTED_VALUE"""),"X")</f>
        <v>X</v>
      </c>
      <c r="BB269" s="40">
        <f>IFERROR(__xludf.DUMMYFUNCTION("""COMPUTED_VALUE"""),0.0)</f>
        <v>0</v>
      </c>
      <c r="BC269" s="53" t="str">
        <f>IFERROR(__xludf.DUMMYFUNCTION("""COMPUTED_VALUE"""),"26 - NINI CASTAÑO")</f>
        <v>26 - NINI CASTAÑO</v>
      </c>
      <c r="BD269" s="48"/>
      <c r="BE269" s="48"/>
      <c r="BF269" s="48" t="str">
        <f>IFERROR(__xludf.DUMMYFUNCTION("""COMPUTED_VALUE"""),"https://lh3.googleusercontent.com/pw/AP1GczP1OLxGSnU5-ck83fTWEZCCqYGHBlrwZIe0BBN0cu4fVM1ILKPNdLc-PbDAfXFavTqCkj6cBArkhhopinOIfj3FbJ0vCvqJLMQHTYLQrxN0BdwjKaRO=w1200|https://lh3.googleusercontent.com/pw/AP1GczNGSbWxlUyspJ7HLTim9DvuKGjYHAw_SFdxuLDlA1w_-mn3BP"&amp;"0F5iwoy9XIqvxoL5jTljHI0qXEgpSQjBCiKqYCwEy0eIvV96A0zL0AE-ZHF9aoI5Ef=w1200|https://lh3.googleusercontent.com/pw/AP1GczPn8fpejeERQqTLAj004rGadjkAHqDJw5c-XjUnZ8lz53T4jzJDEqF0NVRlb1kalhlxRDOH6PY-OJacPUpY1gP9_H7sg_KyV3D1ROrtq13ExY5kqRjV=w1200|https://lh3.google"&amp;"usercontent.com/pw/AP1GczNw4nsjuqdLL4W1VX-AYrfNkXbsrb-1y9f9FXASwY3RF5aJaVCixJZPmCYHI9IOe7kRW4LyCHUh9MwaAZkdSVVNlwNxcZ0be18U-72XOpQ88l_jpm9D=w1200|https://lh3.googleusercontent.com/pw/AP1GczO1wpotuA9Kol6pU6ptS-b--nIUpZpYZPh91x3OhDaEqGtnr6fFAcLA1ho5GzQMAvo7"&amp;"ZcR4mDO0Igg4FjqWfykyoIZo1cHpJQ_W4v2T5DsYQ7M_K0bn=w1200|https://lh3.googleusercontent.com/pw/AP1GczMlFpIGCsI4I6RcCMuD39J-hj8rywGwSp7ORUyA-b1R5pbdRs9SNUViARQGe_61bu4clUh8BebvecXsExjlO-EZEwHof-eS8eZOBN-hrbuSI0k4CvLH=w1200|https://lh3.googleusercontent.com/pw"&amp;"/AP1GczNiXzJ5A5Ah8JZNZ5znPc4omruxh7kTlj2dh0e5-rYwJiOwb0HFWoQfvLGqZAxXsk3vAV8JiZTyUJeGpEcBLbVpV3vbHj69HznBhMV1bWuL4VeR75cL=w1200|https://lh3.googleusercontent.com/pw/AP1GczMWFGfzsKizO7zgzs2le9N3zl8xHLNu9Vre380KPmS4M5dppC5RqVAWYSOUf-EsnZ7u2Er_zVNm-e5l9QvFOE"&amp;"DjkUJkz5U5I3M_KyJrJFO-Dr337WSx=w1200|https://lh3.googleusercontent.com/pw/AP1GczO0PrGbJqVHEngDROJyzcF7sZcEFmzsGTZEEp3C0OGSAU7S6wWh28swQkMAMVWT4Z0eg0_Ya2MXYE6QpLEAjk5eSiVERj1JUEopCfiWup48vs90Akxo=w1200|https://lh3.googleusercontent.com/pw/AP1GczPtD0mE0BoPa"&amp;"kMpzZZg1Ak0LCXKFuXLns_L62SqAlenzQOHwryP5Y8i6cHbeizE81xwx8b3JxWGgmhlpb1yxJNNrsigSNoz7WW_B76einKCGkXUX7t0=w1200|https://lh3.googleusercontent.com/pw/AP1GczPG7gEg2ug6U0cKzr9K2Rb7X33UknKxMO7ly06DSW6rB5ROSK2RjLR7OgjL8ADUbDyLZEUZgEi3IAQJ2nH4OyerQ43sHlxMmCEmXZtF"&amp;"Wz2puyDNxVHw=w1200|https://lh3.googleusercontent.com/pw/AP1GczOeCKAm2I7tiTgkxkio5GIDt_nsL6opfid2y-AsuxwhFsIzFeN8fzU-WomiB1aPZq0UBXy6dqb__plW31PezEDYma9W1oHUOpSzMDBL0axDySwPh9it=w1200|https://lh3.googleusercontent.com/pw/AP1GczM6MPHE2uKrN1GRvgBn8yx2K118gzf"&amp;"ZSyHW7aUH0wgXQbvEhCjGgRLrAQBUkewWekWBX6tT9DvzqdUWcnSqbvkj8aBUIkrNw74zdZ9UKfRFUdlZeGHe=w1200|https://lh3.googleusercontent.com/pw/AP1GczPZRbCVd6rcXhblPHlRtWjNdxGm47yzaxIfMT2c83QYBlYebwpj77EvkeHTCbXulMR6HeenSmMzK76GHTHh661wok9MXI78lKSKHpmlUPW8N5l_q5Kl=w1200"&amp;"|https://lh3.googleusercontent.com/pw/AP1GczOOA_YpczTe7fEB21ISTsum41xH1PvWXibHtgtH2vR0l0Yf60KRovbWXPqRWutCXI9vMkpyq2ZtTIecUWUZTjiQ-95opxvR-r9KZp24lVIz_PGRaais=w1200|https://lh3.googleusercontent.com/pw/AP1GczPRrhYzRjmSaYSgwggmhpvFdlmHdT1edpRoAciE2OUwoHtmi"&amp;"PMRjVhL2FXPy5M0iRm32gb6GuQEuLqgE7urCgO1dp8G4hT8tuFho_qa0ottXsT_BPSY=w1200")</f>
        <v>https://lh3.googleusercontent.com/pw/AP1GczP1OLxGSnU5-ck83fTWEZCCqYGHBlrwZIe0BBN0cu4fVM1ILKPNdLc-PbDAfXFavTqCkj6cBArkhhopinOIfj3FbJ0vCvqJLMQHTYLQrxN0BdwjKaRO=w1200|https://lh3.googleusercontent.com/pw/AP1GczNGSbWxlUyspJ7HLTim9DvuKGjYHAw_SFdxuLDlA1w_-mn3BP0F5iwoy9XIqvxoL5jTljHI0qXEgpSQjBCiKqYCwEy0eIvV96A0zL0AE-ZHF9aoI5Ef=w1200|https://lh3.googleusercontent.com/pw/AP1GczPn8fpejeERQqTLAj004rGadjkAHqDJw5c-XjUnZ8lz53T4jzJDEqF0NVRlb1kalhlxRDOH6PY-OJacPUpY1gP9_H7sg_KyV3D1ROrtq13ExY5kqRjV=w1200|https://lh3.googleusercontent.com/pw/AP1GczNw4nsjuqdLL4W1VX-AYrfNkXbsrb-1y9f9FXASwY3RF5aJaVCixJZPmCYHI9IOe7kRW4LyCHUh9MwaAZkdSVVNlwNxcZ0be18U-72XOpQ88l_jpm9D=w1200|https://lh3.googleusercontent.com/pw/AP1GczO1wpotuA9Kol6pU6ptS-b--nIUpZpYZPh91x3OhDaEqGtnr6fFAcLA1ho5GzQMAvo7ZcR4mDO0Igg4FjqWfykyoIZo1cHpJQ_W4v2T5DsYQ7M_K0bn=w1200|https://lh3.googleusercontent.com/pw/AP1GczMlFpIGCsI4I6RcCMuD39J-hj8rywGwSp7ORUyA-b1R5pbdRs9SNUViARQGe_61bu4clUh8BebvecXsExjlO-EZEwHof-eS8eZOBN-hrbuSI0k4CvLH=w1200|https://lh3.googleusercontent.com/pw/AP1GczNiXzJ5A5Ah8JZNZ5znPc4omruxh7kTlj2dh0e5-rYwJiOwb0HFWoQfvLGqZAxXsk3vAV8JiZTyUJeGpEcBLbVpV3vbHj69HznBhMV1bWuL4VeR75cL=w1200|https://lh3.googleusercontent.com/pw/AP1GczMWFGfzsKizO7zgzs2le9N3zl8xHLNu9Vre380KPmS4M5dppC5RqVAWYSOUf-EsnZ7u2Er_zVNm-e5l9QvFOEDjkUJkz5U5I3M_KyJrJFO-Dr337WSx=w1200|https://lh3.googleusercontent.com/pw/AP1GczO0PrGbJqVHEngDROJyzcF7sZcEFmzsGTZEEp3C0OGSAU7S6wWh28swQkMAMVWT4Z0eg0_Ya2MXYE6QpLEAjk5eSiVERj1JUEopCfiWup48vs90Akxo=w1200|https://lh3.googleusercontent.com/pw/AP1GczPtD0mE0BoPakMpzZZg1Ak0LCXKFuXLns_L62SqAlenzQOHwryP5Y8i6cHbeizE81xwx8b3JxWGgmhlpb1yxJNNrsigSNoz7WW_B76einKCGkXUX7t0=w1200|https://lh3.googleusercontent.com/pw/AP1GczPG7gEg2ug6U0cKzr9K2Rb7X33UknKxMO7ly06DSW6rB5ROSK2RjLR7OgjL8ADUbDyLZEUZgEi3IAQJ2nH4OyerQ43sHlxMmCEmXZtFWz2puyDNxVHw=w1200|https://lh3.googleusercontent.com/pw/AP1GczOeCKAm2I7tiTgkxkio5GIDt_nsL6opfid2y-AsuxwhFsIzFeN8fzU-WomiB1aPZq0UBXy6dqb__plW31PezEDYma9W1oHUOpSzMDBL0axDySwPh9it=w1200|https://lh3.googleusercontent.com/pw/AP1GczM6MPHE2uKrN1GRvgBn8yx2K118gzfZSyHW7aUH0wgXQbvEhCjGgRLrAQBUkewWekWBX6tT9DvzqdUWcnSqbvkj8aBUIkrNw74zdZ9UKfRFUdlZeGHe=w1200|https://lh3.googleusercontent.com/pw/AP1GczPZRbCVd6rcXhblPHlRtWjNdxGm47yzaxIfMT2c83QYBlYebwpj77EvkeHTCbXulMR6HeenSmMzK76GHTHh661wok9MXI78lKSKHpmlUPW8N5l_q5Kl=w1200|https://lh3.googleusercontent.com/pw/AP1GczOOA_YpczTe7fEB21ISTsum41xH1PvWXibHtgtH2vR0l0Yf60KRovbWXPqRWutCXI9vMkpyq2ZtTIecUWUZTjiQ-95opxvR-r9KZp24lVIz_PGRaais=w1200|https://lh3.googleusercontent.com/pw/AP1GczPRrhYzRjmSaYSgwggmhpvFdlmHdT1edpRoAciE2OUwoHtmiPMRjVhL2FXPy5M0iRm32gb6GuQEuLqgE7urCgO1dp8G4hT8tuFho_qa0ottXsT_BPSY=w1200</v>
      </c>
    </row>
    <row r="270">
      <c r="A270" s="39" t="str">
        <f>IFERROR(__xludf.DUMMYFUNCTION("""COMPUTED_VALUE"""),"707")</f>
        <v>707</v>
      </c>
      <c r="B270" s="40" t="str">
        <f>IFERROR(__xludf.DUMMYFUNCTION("""COMPUTED_VALUE"""),"Casa en barrio La Toma")</f>
        <v>Casa en barrio La Toma</v>
      </c>
      <c r="C270" s="40" t="str">
        <f>IFERROR(__xludf.DUMMYFUNCTION("""COMPUTED_VALUE"""),"Casa")</f>
        <v>Casa</v>
      </c>
      <c r="D270" s="40" t="str">
        <f>IFERROR(__xludf.DUMMYFUNCTION("""COMPUTED_VALUE"""),"La Toma")</f>
        <v>La Toma</v>
      </c>
      <c r="E270" s="40"/>
      <c r="F270" s="42">
        <f>IFERROR(__xludf.DUMMYFUNCTION("""COMPUTED_VALUE"""),0.0)</f>
        <v>0</v>
      </c>
      <c r="G270" s="40" t="str">
        <f>IFERROR(__xludf.DUMMYFUNCTION("""COMPUTED_VALUE"""),"$0 a $100'000.000")</f>
        <v>$0 a $100'000.000</v>
      </c>
      <c r="H270" s="40"/>
      <c r="I270" s="40"/>
      <c r="J270" s="40" t="str">
        <f>IFERROR(__xludf.DUMMYFUNCTION("""COMPUTED_VALUE"""),"Centro")</f>
        <v>Centro</v>
      </c>
      <c r="K270" s="39" t="str">
        <f>IFERROR(__xludf.DUMMYFUNCTION("""COMPUTED_VALUE"""),"4")</f>
        <v>4</v>
      </c>
      <c r="L270" s="40"/>
      <c r="M270" s="40"/>
      <c r="N270" s="40"/>
      <c r="O270" s="40"/>
      <c r="P270" s="40"/>
      <c r="Q270" s="48">
        <f>IFERROR(__xludf.DUMMYFUNCTION("""COMPUTED_VALUE"""),0.0)</f>
        <v>0</v>
      </c>
      <c r="R270" s="48">
        <f>IFERROR(__xludf.DUMMYFUNCTION("""COMPUTED_VALUE"""),0.0)</f>
        <v>0</v>
      </c>
      <c r="S270" s="39" t="str">
        <f>IFERROR(__xludf.DUMMYFUNCTION("""COMPUTED_VALUE""")," ")</f>
        <v> </v>
      </c>
      <c r="T270" s="40" t="str">
        <f>IFERROR(__xludf.DUMMYFUNCTION("""COMPUTED_VALUE"""),"Neiva")</f>
        <v>Neiva</v>
      </c>
      <c r="U270" s="39"/>
      <c r="V270" s="40"/>
      <c r="W270" s="46"/>
      <c r="X270" s="46"/>
      <c r="Y270" s="40"/>
      <c r="Z270" s="42"/>
      <c r="AA270" s="49" t="str">
        <f>IFERROR(__xludf.DUMMYFUNCTION("""COMPUTED_VALUE"""),"No aplica")</f>
        <v>No aplica</v>
      </c>
      <c r="AB270" s="48"/>
      <c r="AC270" s="40"/>
      <c r="AD270" s="40"/>
      <c r="AE270" s="40"/>
      <c r="AF270" s="40"/>
      <c r="AG270" s="40"/>
      <c r="AH270" s="40" t="str">
        <f>IFERROR(__xludf.DUMMYFUNCTION("""COMPUTED_VALUE"""),"Inventario")</f>
        <v>Inventario</v>
      </c>
      <c r="AI270" s="40"/>
      <c r="AJ270" s="40" t="str">
        <f>IFERROR(__xludf.DUMMYFUNCTION("""COMPUTED_VALUE"""),"Rediis")</f>
        <v>Rediis</v>
      </c>
      <c r="AK270" s="40"/>
      <c r="AL270" s="40"/>
      <c r="AM270" s="40">
        <f>IFERROR(__xludf.DUMMYFUNCTION("""COMPUTED_VALUE"""),3.114579876E9)</f>
        <v>3114579876</v>
      </c>
      <c r="AN270" s="40"/>
      <c r="AO270" s="40"/>
      <c r="AP270" s="40" t="str">
        <f>IFERROR(__xludf.DUMMYFUNCTION("""COMPUTED_VALUE"""),"Calle 15 # 8 - 29")</f>
        <v>Calle 15 # 8 - 29</v>
      </c>
      <c r="AQ270" s="40"/>
      <c r="AR270" s="40"/>
      <c r="AS270" s="53"/>
      <c r="AT270" s="40"/>
      <c r="AU270" s="40"/>
      <c r="AV270" s="40"/>
      <c r="AW270" s="40"/>
      <c r="AX270" s="40"/>
      <c r="AY270" s="40"/>
      <c r="AZ270" s="40"/>
      <c r="BA270" s="40" t="str">
        <f>IFERROR(__xludf.DUMMYFUNCTION("""COMPUTED_VALUE"""),"X")</f>
        <v>X</v>
      </c>
      <c r="BB270" s="40"/>
      <c r="BC270" s="53"/>
      <c r="BD270" s="48"/>
      <c r="BE270" s="48"/>
      <c r="BF270" s="48"/>
    </row>
    <row r="271">
      <c r="A271" s="39" t="str">
        <f>IFERROR(__xludf.DUMMYFUNCTION("""COMPUTED_VALUE"""),"667")</f>
        <v>667</v>
      </c>
      <c r="B271" s="40" t="str">
        <f>IFERROR(__xludf.DUMMYFUNCTION("""COMPUTED_VALUE"""),"Casa tipo IPS en barrio Quirinal")</f>
        <v>Casa tipo IPS en barrio Quirinal</v>
      </c>
      <c r="C271" s="40" t="str">
        <f>IFERROR(__xludf.DUMMYFUNCTION("""COMPUTED_VALUE"""),"Casa")</f>
        <v>Casa</v>
      </c>
      <c r="D271" s="40" t="str">
        <f>IFERROR(__xludf.DUMMYFUNCTION("""COMPUTED_VALUE"""),"Quirinal")</f>
        <v>Quirinal</v>
      </c>
      <c r="E271" s="40"/>
      <c r="F271" s="42">
        <f>IFERROR(__xludf.DUMMYFUNCTION("""COMPUTED_VALUE"""),6.5E8)</f>
        <v>650000000</v>
      </c>
      <c r="G271" s="40" t="str">
        <f>IFERROR(__xludf.DUMMYFUNCTION("""COMPUTED_VALUE"""),"$500'000.000 a $1.000'000.000")</f>
        <v>$500'000.000 a $1.000'000.000</v>
      </c>
      <c r="H271" s="40"/>
      <c r="I271" s="40"/>
      <c r="J271" s="40" t="str">
        <f>IFERROR(__xludf.DUMMYFUNCTION("""COMPUTED_VALUE"""),"Centro")</f>
        <v>Centro</v>
      </c>
      <c r="K271" s="39" t="str">
        <f>IFERROR(__xludf.DUMMYFUNCTION("""COMPUTED_VALUE"""),"3")</f>
        <v>3</v>
      </c>
      <c r="L271" s="40">
        <f>IFERROR(__xludf.DUMMYFUNCTION("""COMPUTED_VALUE"""),4.0)</f>
        <v>4</v>
      </c>
      <c r="M271" s="40"/>
      <c r="N271" s="40">
        <f>IFERROR(__xludf.DUMMYFUNCTION("""COMPUTED_VALUE"""),4.0)</f>
        <v>4</v>
      </c>
      <c r="O271" s="40">
        <f>IFERROR(__xludf.DUMMYFUNCTION("""COMPUTED_VALUE"""),0.0)</f>
        <v>0</v>
      </c>
      <c r="P271" s="40">
        <f>IFERROR(__xludf.DUMMYFUNCTION("""COMPUTED_VALUE"""),2.0)</f>
        <v>2</v>
      </c>
      <c r="Q271" s="48">
        <f>IFERROR(__xludf.DUMMYFUNCTION("""COMPUTED_VALUE"""),221.0)</f>
        <v>221</v>
      </c>
      <c r="R271" s="48">
        <f>IFERROR(__xludf.DUMMYFUNCTION("""COMPUTED_VALUE"""),143.0)</f>
        <v>143</v>
      </c>
      <c r="S271" s="39" t="str">
        <f>IFERROR(__xludf.DUMMYFUNCTION("""COMPUTED_VALUE""")," ")</f>
        <v> </v>
      </c>
      <c r="T271" s="40" t="str">
        <f>IFERROR(__xludf.DUMMYFUNCTION("""COMPUTED_VALUE"""),"Neiva")</f>
        <v>Neiva</v>
      </c>
      <c r="U271" s="39" t="str">
        <f>IFERROR(__xludf.DUMMYFUNCTION("""COMPUTED_VALUE"""),"4")</f>
        <v>4</v>
      </c>
      <c r="V271" s="40" t="str">
        <f>IFERROR(__xludf.DUMMYFUNCTION("""COMPUTED_VALUE"""),"Medianera")</f>
        <v>Medianera</v>
      </c>
      <c r="W271" s="46"/>
      <c r="X271" s="46">
        <f>IFERROR(__xludf.DUMMYFUNCTION("""COMPUTED_VALUE"""),4.0)</f>
        <v>4</v>
      </c>
      <c r="Y271" s="40" t="str">
        <f>IFERROR(__xludf.DUMMYFUNCTION("""COMPUTED_VALUE"""),"No tiene")</f>
        <v>No tiene</v>
      </c>
      <c r="Z271" s="42" t="str">
        <f>IFERROR(__xludf.DUMMYFUNCTION("""COMPUTED_VALUE"""),"No aplica")</f>
        <v>No aplica</v>
      </c>
      <c r="AA271" s="49" t="str">
        <f>IFERROR(__xludf.DUMMYFUNCTION("""COMPUTED_VALUE"""),"No aplica")</f>
        <v>No aplica</v>
      </c>
      <c r="AB271" s="105" t="str">
        <f>IFERROR(__xludf.DUMMYFUNCTION("""COMPUTED_VALUE"""),"https://photos.app.goo.gl/wnAKnpL8RqvjYTzi7")</f>
        <v>https://photos.app.goo.gl/wnAKnpL8RqvjYTzi7</v>
      </c>
      <c r="AC271" s="40" t="str">
        <f>IFERROR(__xludf.DUMMYFUNCTION("""COMPUTED_VALUE"""),"Área 143 M2, construidos 221 M2, casa de dos pisos con antejardín amplio, con acceso de rampla, puerta metálica, puerta corrediza en aluminio, sala amplia, comedor, jardín zona húmeda, zona de cafetería, baño cocina integral cerrada, pisos en porcelanato,"&amp;" sótano debajo de la escalera. Segundo piso con escalera en forma de caracol con pasa manos en madera y decorado en piedra, pisos en mármol, sala, estudio con puerta en madera y vidrio, ventanal amplio con división metálica, pisos en baldosa, licorera en "&amp;"madera, tres alcobas con closet amplio, un alcoba con baño privado, pisos en baldosa, dos alcobas con vista hacia el primer piso de la zona húmeda, baño de alcobas con mueble en madera, closet, iluminación natura que da hacia la escalera.
")</f>
        <v>Área 143 M2, construidos 221 M2, casa de dos pisos con antejardín amplio, con acceso de rampla, puerta metálica, puerta corrediza en aluminio, sala amplia, comedor, jardín zona húmeda, zona de cafetería, baño cocina integral cerrada, pisos en porcelanato, sótano debajo de la escalera. Segundo piso con escalera en forma de caracol con pasa manos en madera y decorado en piedra, pisos en mármol, sala, estudio con puerta en madera y vidrio, ventanal amplio con división metálica, pisos en baldosa, licorera en madera, tres alcobas con closet amplio, un alcoba con baño privado, pisos en baldosa, dos alcobas con vista hacia el primer piso de la zona húmeda, baño de alcobas con mueble en madera, closet, iluminación natura que da hacia la escalera.
</v>
      </c>
      <c r="AD271" s="40"/>
      <c r="AE271" s="40"/>
      <c r="AF271" s="40" t="str">
        <f>IFERROR(__xludf.DUMMYFUNCTION("""COMPUTED_VALUE"""),"integral")</f>
        <v>integral</v>
      </c>
      <c r="AG271" s="40" t="str">
        <f>IFERROR(__xludf.DUMMYFUNCTION("""COMPUTED_VALUE"""),"SI")</f>
        <v>SI</v>
      </c>
      <c r="AH271" s="40" t="str">
        <f>IFERROR(__xludf.DUMMYFUNCTION("""COMPUTED_VALUE"""),"Inventario")</f>
        <v>Inventario</v>
      </c>
      <c r="AI271" s="40" t="str">
        <f>IFERROR(__xludf.DUMMYFUNCTION("""COMPUTED_VALUE"""),"Aliado")</f>
        <v>Aliado</v>
      </c>
      <c r="AJ271" s="40" t="str">
        <f>IFERROR(__xludf.DUMMYFUNCTION("""COMPUTED_VALUE"""),"Rustik House")</f>
        <v>Rustik House</v>
      </c>
      <c r="AK271" s="42" t="str">
        <f>IFERROR(__xludf.DUMMYFUNCTION("""COMPUTED_VALUE"""),"No aplica")</f>
        <v>No aplica</v>
      </c>
      <c r="AL271" s="40" t="str">
        <f>IFERROR(__xludf.DUMMYFUNCTION("""COMPUTED_VALUE"""),"TIENE FOTOS")</f>
        <v>TIENE FOTOS</v>
      </c>
      <c r="AM271" s="40">
        <f>IFERROR(__xludf.DUMMYFUNCTION("""COMPUTED_VALUE"""),3.203396742E9)</f>
        <v>3203396742</v>
      </c>
      <c r="AN271" s="40">
        <f>IFERROR(__xludf.DUMMYFUNCTION("""COMPUTED_VALUE"""),3.10862657E9)</f>
        <v>3108626570</v>
      </c>
      <c r="AO271" s="40"/>
      <c r="AP271" s="40" t="str">
        <f>IFERROR(__xludf.DUMMYFUNCTION("""COMPUTED_VALUE"""),"Calle 18a # 7 - 21")</f>
        <v>Calle 18a # 7 - 21</v>
      </c>
      <c r="AQ271" s="40">
        <f>IFERROR(__xludf.DUMMYFUNCTION("""COMPUTED_VALUE"""),2.9365796)</f>
        <v>2.9365796</v>
      </c>
      <c r="AR271" s="40">
        <f>IFERROR(__xludf.DUMMYFUNCTION("""COMPUTED_VALUE"""),-75.2887681)</f>
        <v>-75.2887681</v>
      </c>
      <c r="AS271" s="53"/>
      <c r="AT271" s="40">
        <f>IFERROR(__xludf.DUMMYFUNCTION("""COMPUTED_VALUE"""),0.0)</f>
        <v>0</v>
      </c>
      <c r="AU271" s="40">
        <f>IFERROR(__xludf.DUMMYFUNCTION("""COMPUTED_VALUE"""),0.0)</f>
        <v>0</v>
      </c>
      <c r="AV271" s="40">
        <f>IFERROR(__xludf.DUMMYFUNCTION("""COMPUTED_VALUE"""),2.0)</f>
        <v>2</v>
      </c>
      <c r="AW271" s="40" t="str">
        <f>IFERROR(__xludf.DUMMYFUNCTION("""COMPUTED_VALUE"""),"NO")</f>
        <v>NO</v>
      </c>
      <c r="AX271" s="40"/>
      <c r="AY271" s="40" t="str">
        <f>IFERROR(__xludf.DUMMYFUNCTION("""COMPUTED_VALUE"""),"P")</f>
        <v>P</v>
      </c>
      <c r="AZ271" s="40"/>
      <c r="BA271" s="40" t="str">
        <f>IFERROR(__xludf.DUMMYFUNCTION("""COMPUTED_VALUE"""),"X")</f>
        <v>X</v>
      </c>
      <c r="BB271" s="40"/>
      <c r="BC271" s="53" t="str">
        <f>IFERROR(__xludf.DUMMYFUNCTION("""COMPUTED_VALUE"""),"5 - Inmobiliaria ROCHA - Andrés")</f>
        <v>5 - Inmobiliaria ROCHA - Andrés</v>
      </c>
      <c r="BD271" s="48"/>
      <c r="BE271" s="48"/>
      <c r="BF271" s="48" t="str">
        <f>IFERROR(__xludf.DUMMYFUNCTION("""COMPUTED_VALUE"""),"https://lh3.googleusercontent.com/pw/AP1GczOP7kTIcdcFaQxX6K84eL0qI2zx4lA2O2Grdr-3sjzrxHRGax7nlwujHi1KX6RpK97fIgOpNgg9tvsneaomLokgkRZthMAzpnwuuXtt5TiED7qhK03S=w1200|https://lh3.googleusercontent.com/pw/AP1GczPPKJLYJAV7DzvuluJuEnlsDkzwvvjn2JRi8nS9kCYxLWbYFD"&amp;"CWKSeGwIzuf5mZoACQzQQOd5WuLPJCoka0KmaiJKfTrBvj2B4ymFoRnNIUcKuQvAE1=w1200|https://lh3.googleusercontent.com/pw/AP1GczOorgtJyiSzZB1PoyDl-Dd_TPuVntSg-A-SQorF2lrZBey75xYJ8ws91hgyIlTyp-cWG0UewMxYpBuEEIGxqAjfLBnsMrLbI71XczvsnjczgSwHrLaM=w1200|https://lh3.google"&amp;"usercontent.com/pw/AP1GczNkR1Irx2yaf2TITrlYPAEBQpbLwOdBCMPcsqAZ_78wFJhA3gfpCo-wFaYIJjMZeO2MinbJzx6wqLd3-s-c7Dngaa_NAxLCXmHfRn6Qx6yFrdi7BeQ7=w1200|https://lh3.googleusercontent.com/pw/AP1GczMcvP8L1Nx5tKB9z7GYrZ7Alu37LkClLCTMZBTJdwGH0uF3Bjg4sizhF3ygvbCcPwTU"&amp;"3rD_QSB5xCC1Ec2TDEsmqdDtli8RnhHLAcgJjiEFUMaTiusX=w1200|https://lh3.googleusercontent.com/pw/AP1GczNSXMLd8UZ2k2cwU3Li_gGt6wiCUS4ToL3CIINDbdHzxpijd0a3rt-YGHuxGwbMjR9qGdBiCWZHhRPBBoszIvXf_XD_aTWirixH0Hwm5MX1aXTIFbxP=w1200|https://lh3.googleusercontent.com/pw"&amp;"/AP1GczNlPxd70fo2J7pFPlv8SBcSjB_35bWvssSvV_VKfkOOqIjN6JVWwBigBSmWS4fbbQmUbhex22jBuvKTQw1NgO9fQr539na5tZYXA4lc-d9tAboOSNKJ=w1200|https://lh3.googleusercontent.com/pw/AP1GczMBzDonRbpS6JU3byBU2uh1FdtbxyBUE3OGjICsfiGhlaZI7GQibc18uXr_lxeULhaxjGdsTXKKQ9Z0QArVW8"&amp;"ZiijCu654iju5viWut6FVPLGSelvNt=w1200|https://lh3.googleusercontent.com/pw/AP1GczM6Vr5MdzgyFr-eXEX60BP61iGDFS30WsiH6tm-CyIe1Ijb6vePjeq0eszYHxF50bisjqkJjGsWBKWNYoM7lBhFGNopiQKSwqY1Wokl1Ubsy32AnuJB=w1200|https://lh3.googleusercontent.com/pw/AP1GczPyPucm40YC6"&amp;"mbqpjH51Fo8kN0NSchiCSsZ9O468AvEDotbvPDxxlBhYpSd7aRT5F2BX0-p8shpP6FrmwbPoakAmsvT4ujcTFIsL515CsoGhHeiDUTi=w1200|https://lh3.googleusercontent.com/pw/AP1GczPJ7TGYyTlcMo5ZXCayIlbgRij7iptYVlGn547kubEGEDTudYCxiQH1CuTKMenXCQb8T4nQh2MaCRaA-jYp1GV6Ff-VeISdy1-6YYia"&amp;"q2OMX9Fw3Z6w=w1200|https://lh3.googleusercontent.com/pw/AP1GczPANsDfjaG44iCnfaSSAuMaPRPlMWgEoniMr-3Gtz7eGfxwz9VzCby7-oQGQCHyd2Bv595OVOoOEjXUJV5xqx8l8_Nk6Z0edrW73yEj6KTICg6xXdTu=w1200|https://lh3.googleusercontent.com/pw/AP1GczOjmamjRq35sn7y4JTy0c3UESDuKPX"&amp;"eUcU0WUcK8r8P8B1Y3UFLNVDFNezxMeZf2kuF0XgHNKKnprSZCIiSv0UVQosO5jHVGOTi3zZn88Pyci3WK_uv=w1200|https://lh3.googleusercontent.com/pw/AP1GczM3OYUOKuq3GaS0hynWWztN_MpJHIxtwZSEH6sBX2wJjnb8PJ6uAEN2FZmMAYLgmsO3QcSxRDNmKD1q_5Z82t68Iumt6pChZr1Of9GtlF6JbhIkQb-Q=w1200"&amp;"|https://lh3.googleusercontent.com/pw/AP1GczMG8ESV9llBx_adN0v-xQS3dnIomtQ_d-OIRrSMZa8lkg3CEsSB4mJzzj05cgdMJ-nUfeiugYChgpGXNElzrVlGWj4NVOMVwdcKJHkMtHtUUyjw0g_e=w1200|https://lh3.googleusercontent.com/pw/AP1GczNuSYsUUAE_RMSKs6040I0tpQ9NOq1zP3pEo6hewIwc_XwAt"&amp;"w6NL38P22UlcfBHhoYrHc0ckv3Fvz9aq-Zp_zJSW60c9A5zAvZBBISf5WoBxPgOJs0K=w1200|https://lh3.googleusercontent.com/pw/AP1GczMz9OwbgBf9ocesXO5RWRUAnAXku_US6qQxXCc8jxGYteRmIlxYSI5fMUs4OKLhNvGqHUuv4bCdnSMALB33gIhRpuPoaP5fpXjTmTSIv607izRc5S1U=w1200|https://lh3.googl"&amp;"eusercontent.com/pw/AP1GczNe_2odF9vwHfeN88hP-ylvHfkDiD2WYrfHpyxyMb50igYYJ-CJgXJDOTo0BZeAXvmWhHHfmit3rYioW0h67urcFf7SXbhJb7PVx0Zk1N-OBbd_b09o=w1200|https://lh3.googleusercontent.com/pw/AP1GczNvQ9W_2iIYieCzg6R_msHuUiEK5xdvR6qbsOhdD9CjY1Q_jN0GHEtAXZOGF_sDv6-"&amp;"FI_imJMfNajWRWI0lJf4GnYaAd5b6yg74wVh0TODAvUuhMvou=w1200|https://lh3.googleusercontent.com/pw/AP1GczPXZquWAZf7f4SX2is6CTedzAHFaj1FMTZSOfGAh4T0PdzaiA_UrlfnUCnyNCIpyh548JU-1ZmznGKbM--Hts9ecS-veUZ0mCyUJBvdOpJN8k36TIRE=w1200|https://lh3.googleusercontent.com/p"&amp;"w/AP1GczPmPL0mqPKcLyqsshgVyzoWLyASV7ySI1sH_N-A0u6wuvIYI3Yzr_XUmEvq3OoqIv3m3qthdJHsRe_eOvwijtSiOxZ8ifZ5ZLsFHuQ91wX3gJF0iLHE=w1200|https://lh3.googleusercontent.com/pw/AP1GczPwwkza3__tbUYHLYrzhmrFZWq-5UsZ2Cs7kqs6nCFxD-w3vSQkLRZo_O0QArmr34W2o9K4jlRcsUFFxpwWH"&amp;"uZHWAoW_Gu4gTsjHx8gZ6sviwxxN9tW=w1200|https://lh3.googleusercontent.com/pw/AP1GczNJlg52UqB5Qnb-7Asv3odB2MGOIeGhBcnN9nBJhefV0KjWh6MZMzazT1lRWI_CAFEcLYHKi9mf3nuZ_UIkc6dceX66_eZleSnRXt2Q2orBzWES-AZy=w1200|https://lh3.googleusercontent.com/pw/AP1GczM6MGUJgEmf"&amp;"nT9DIp0Ro9dSPVkXJodk-bcmjpn786lN7iKl6eDCPxJQWvqy3YyOmqCQ7g7_sqpgNTInh3fVnt29BVXr4ERa5DlOMmwro6b3ijdxg5w0=w1200|https://lh3.googleusercontent.com/pw/AP1GczMwuVIIktIERiz_D11CW76gopnbRaD-KSUtsabYk5859o2UyJfm8yLhRcGbg15eQ0E2lvm1lGYyx4fCC8a1En2nVnDGaYx9YgzZEFY"&amp;"aZfdBBPHx0KbW=w1200|https://lh3.googleusercontent.com/pw/AP1GczOQ42bdCnKiGDFMQBHsg5FdJo8_vIBOfOn6D9zeCUd86nGEkSyDhxvg6DVmtMJiYulzE-xcanZGlWXNfOgDTmRD1iGjPzXlOIOJy8UAordas2ikF8iX=w1200|https://lh3.googleusercontent.com/pw/AP1GczPQOsozASWuXT1id6BahPmI-OR8IU"&amp;"2pHc58irb2ala1JxkgM-diotn74OJVEG3ZkwAwSdkR7jcjytwWO6brolgRiVtSqy6LESOpOrsa2U4JfLIQdMz7=w1200|https://lh3.googleusercontent.com/pw/AP1GczOVIlvJ02vHI6067WKfZEAjEOFT7MGp9lc8gqvWKHDIAkzIg1nsAJ2hpIG43Sy8GVcVQjy_FKDSspl1N7krn5LrSMh1wNxvIQreOF_WQBXeJLlxjA3F=w120"&amp;"0|https://lh3.googleusercontent.com/pw/AP1GczPurJ_E_qNGJC7eQ6CeZn7xpKahw12n_wVxsxJcE25txp4lOIuQJEJG3lCjAyQG_kGR5ubHPUp9TFCu-DVnQz5aLVXU49xJq46P7IWEzfNkTqZO4rO8=w1200|https://lh3.googleusercontent.com/pw/AP1GczMBrDEOhAavjlckAaEQexf2wNxZ1-P4pDPl5F5-js9RblyU"&amp;"IK69gLGt3k35rpTaPLBu4ud9J0SXtgJh8TuawwzlciyQxP1KE0Mx7H4-8RyTTeSEJb3v=w1200|https://lh3.googleusercontent.com/pw/AP1GczNW9WBa7hweo6Wfc3RO7spKW7mZC2JS_2D15kkfSAIGEoNr9RPxv9fIHnvmkzK12QM00ZTczuCgXdB3jLEhkptmZGLjSSFtmKltKG0CmtOVFDaC3ZI3=w1200|https://lh3.goog"&amp;"leusercontent.com/pw/AP1GczOrGi7JKuwhxaF8Sprjj44ZaYH9_XDteFK4-SVqPCXBQe-k-BW0Lto3RMLmJPddKgewVOsTjgi181LI0bzFS8zXeyf8f2v2xjW6GmJ-sv_5-RVpQakX=w1200|https://lh3.googleusercontent.com/pw/AP1GczOqezXuJVze4EbKyFwCEuGNxG7aFMEO0qp2-Jm6NBDd8jbHg9SPT_RU5mSNKcXgRv"&amp;"Pzho8XhaP-l7dfMHG74tUtdJDE_Wi-CDt1oeRFgchbXnSzh-19=w1200|https://lh3.googleusercontent.com/pw/AP1GczNKeilvB985jwZwHwy9vyfoULYcpGWEuKhQVBzN2boE5ZtXvIADiu1VyoXKJq-eB12UeMd64GkhnPUmdWJKRceybJLy4Z5740yiEgJvMhM2Ix-hmJ0G=w1200|https://lh3.googleusercontent.com/"&amp;"pw/AP1GczP4OcaTz8ow56HyFTkYg1nZ60DEuaUJ66upIv1v_FVZKyO6vCB8GqgIKwEGsnVLnh9EjBb1fg-6qy3L1nTBWGx055ZT6cOVIyz2bnknqNcW74yff6DZ=w1200|https://lh3.googleusercontent.com/pw/AP1GczMAcnQz9ArOsyfOK2xqI-HIDZ6R9ZUhBYP2A_E53TAG0RltP6qHxYJvr51WXm4shSH5JSQTixslxLjNvAH8"&amp;"Fgzrt0bHPqpxx60ga79ogQ6zo71U0iX2=w1200|https://lh3.googleusercontent.com/pw/AP1GczN27kYOIm2Wk_yDkRlkAma2ZjoJ2H4dZEYHPMa52P5VabPivn-3_GZlnK9CHEG9GEuZqgrW-W5yFdQVt5pOEgOZzyZ4Jw9NpMKtUObOd_xxG3vGApVu=w1200|https://lh3.googleusercontent.com/pw/AP1GczPNC1Z3NXo"&amp;"o3yHfKEtav6fff4rkY9_Wbwr53pe8CZQ9iXG-0rR4MI5ehPoHFylgfFtdwLCp_fXeG6CYSS3lTZ38E0GKnHjtvIlQ-RqWTiy5DXpZs-dF=w1200|https://lh3.googleusercontent.com/pw/AP1GczPp81qNIZwqzxnRdW8MK5liOJ768giHAp71hm-5f7YJXDS5GKtay1YwKGu4VTYijOTKPf5aj4SQvGHFfw-HWVNCOQ6WT00TOQ0zS3"&amp;"xf1GTDPp8lj4T3=w1200|https://lh3.googleusercontent.com/pw/AP1GczOGQSh_ioIiZH-P0R5aNjyFRvTlN2G_XxoBS_9oWucn053FbWDzqALi6RgoAuRQCyiHTvyD41iH116aVYy2HFwF1iJXQrqJ3QHzUFfIrfmBkdgdhLAj=w1200|https://lh3.googleusercontent.com/pw/AP1GczPdW5bTnz4WcRbu2NGyRWtjN77xL"&amp;"qYZMLGvY5Qu-DkR7hCGXKoGVmlpviquXLhFUuGBlln5e1SRq_UJNjb6vhhLOeCFHjMntu0C9f1UEnSJGDfDTATY=w1200|https://lh3.googleusercontent.com/pw/AP1GczNs1LyluWpyIYYwvqW-AEEnksdXCtL4fz0b0R544blMGfeXBc30Tb5t1FqkuaVePsuTfOMTUXp4_tbx-K8APeIN9hWXUrQSG0wd4hoEXMhKoDF3IB4w=w12"&amp;"00|https://lh3.googleusercontent.com/pw/AP1GczPmeY4e9l0l3Ia0_MIY_OeqIGkdzbc-OFwR-J8OrY9XrcgpYD93jS-oDL3WX5fMxALYhBJcvB2UDGHhWrVavgjmUIVhCqj9qfRNuC-qJoMTlp5RKLlO=w1200")</f>
        <v>https://lh3.googleusercontent.com/pw/AP1GczOP7kTIcdcFaQxX6K84eL0qI2zx4lA2O2Grdr-3sjzrxHRGax7nlwujHi1KX6RpK97fIgOpNgg9tvsneaomLokgkRZthMAzpnwuuXtt5TiED7qhK03S=w1200|https://lh3.googleusercontent.com/pw/AP1GczPPKJLYJAV7DzvuluJuEnlsDkzwvvjn2JRi8nS9kCYxLWbYFDCWKSeGwIzuf5mZoACQzQQOd5WuLPJCoka0KmaiJKfTrBvj2B4ymFoRnNIUcKuQvAE1=w1200|https://lh3.googleusercontent.com/pw/AP1GczOorgtJyiSzZB1PoyDl-Dd_TPuVntSg-A-SQorF2lrZBey75xYJ8ws91hgyIlTyp-cWG0UewMxYpBuEEIGxqAjfLBnsMrLbI71XczvsnjczgSwHrLaM=w1200|https://lh3.googleusercontent.com/pw/AP1GczNkR1Irx2yaf2TITrlYPAEBQpbLwOdBCMPcsqAZ_78wFJhA3gfpCo-wFaYIJjMZeO2MinbJzx6wqLd3-s-c7Dngaa_NAxLCXmHfRn6Qx6yFrdi7BeQ7=w1200|https://lh3.googleusercontent.com/pw/AP1GczMcvP8L1Nx5tKB9z7GYrZ7Alu37LkClLCTMZBTJdwGH0uF3Bjg4sizhF3ygvbCcPwTU3rD_QSB5xCC1Ec2TDEsmqdDtli8RnhHLAcgJjiEFUMaTiusX=w1200|https://lh3.googleusercontent.com/pw/AP1GczNSXMLd8UZ2k2cwU3Li_gGt6wiCUS4ToL3CIINDbdHzxpijd0a3rt-YGHuxGwbMjR9qGdBiCWZHhRPBBoszIvXf_XD_aTWirixH0Hwm5MX1aXTIFbxP=w1200|https://lh3.googleusercontent.com/pw/AP1GczNlPxd70fo2J7pFPlv8SBcSjB_35bWvssSvV_VKfkOOqIjN6JVWwBigBSmWS4fbbQmUbhex22jBuvKTQw1NgO9fQr539na5tZYXA4lc-d9tAboOSNKJ=w1200|https://lh3.googleusercontent.com/pw/AP1GczMBzDonRbpS6JU3byBU2uh1FdtbxyBUE3OGjICsfiGhlaZI7GQibc18uXr_lxeULhaxjGdsTXKKQ9Z0QArVW8ZiijCu654iju5viWut6FVPLGSelvNt=w1200|https://lh3.googleusercontent.com/pw/AP1GczM6Vr5MdzgyFr-eXEX60BP61iGDFS30WsiH6tm-CyIe1Ijb6vePjeq0eszYHxF50bisjqkJjGsWBKWNYoM7lBhFGNopiQKSwqY1Wokl1Ubsy32AnuJB=w1200|https://lh3.googleusercontent.com/pw/AP1GczPyPucm40YC6mbqpjH51Fo8kN0NSchiCSsZ9O468AvEDotbvPDxxlBhYpSd7aRT5F2BX0-p8shpP6FrmwbPoakAmsvT4ujcTFIsL515CsoGhHeiDUTi=w1200|https://lh3.googleusercontent.com/pw/AP1GczPJ7TGYyTlcMo5ZXCayIlbgRij7iptYVlGn547kubEGEDTudYCxiQH1CuTKMenXCQb8T4nQh2MaCRaA-jYp1GV6Ff-VeISdy1-6YYiaq2OMX9Fw3Z6w=w1200|https://lh3.googleusercontent.com/pw/AP1GczPANsDfjaG44iCnfaSSAuMaPRPlMWgEoniMr-3Gtz7eGfxwz9VzCby7-oQGQCHyd2Bv595OVOoOEjXUJV5xqx8l8_Nk6Z0edrW73yEj6KTICg6xXdTu=w1200|https://lh3.googleusercontent.com/pw/AP1GczOjmamjRq35sn7y4JTy0c3UESDuKPXeUcU0WUcK8r8P8B1Y3UFLNVDFNezxMeZf2kuF0XgHNKKnprSZCIiSv0UVQosO5jHVGOTi3zZn88Pyci3WK_uv=w1200|https://lh3.googleusercontent.com/pw/AP1GczM3OYUOKuq3GaS0hynWWztN_MpJHIxtwZSEH6sBX2wJjnb8PJ6uAEN2FZmMAYLgmsO3QcSxRDNmKD1q_5Z82t68Iumt6pChZr1Of9GtlF6JbhIkQb-Q=w1200|https://lh3.googleusercontent.com/pw/AP1GczMG8ESV9llBx_adN0v-xQS3dnIomtQ_d-OIRrSMZa8lkg3CEsSB4mJzzj05cgdMJ-nUfeiugYChgpGXNElzrVlGWj4NVOMVwdcKJHkMtHtUUyjw0g_e=w1200|https://lh3.googleusercontent.com/pw/AP1GczNuSYsUUAE_RMSKs6040I0tpQ9NOq1zP3pEo6hewIwc_XwAtw6NL38P22UlcfBHhoYrHc0ckv3Fvz9aq-Zp_zJSW60c9A5zAvZBBISf5WoBxPgOJs0K=w1200|https://lh3.googleusercontent.com/pw/AP1GczMz9OwbgBf9ocesXO5RWRUAnAXku_US6qQxXCc8jxGYteRmIlxYSI5fMUs4OKLhNvGqHUuv4bCdnSMALB33gIhRpuPoaP5fpXjTmTSIv607izRc5S1U=w1200|https://lh3.googleusercontent.com/pw/AP1GczNe_2odF9vwHfeN88hP-ylvHfkDiD2WYrfHpyxyMb50igYYJ-CJgXJDOTo0BZeAXvmWhHHfmit3rYioW0h67urcFf7SXbhJb7PVx0Zk1N-OBbd_b09o=w1200|https://lh3.googleusercontent.com/pw/AP1GczNvQ9W_2iIYieCzg6R_msHuUiEK5xdvR6qbsOhdD9CjY1Q_jN0GHEtAXZOGF_sDv6-FI_imJMfNajWRWI0lJf4GnYaAd5b6yg74wVh0TODAvUuhMvou=w1200|https://lh3.googleusercontent.com/pw/AP1GczPXZquWAZf7f4SX2is6CTedzAHFaj1FMTZSOfGAh4T0PdzaiA_UrlfnUCnyNCIpyh548JU-1ZmznGKbM--Hts9ecS-veUZ0mCyUJBvdOpJN8k36TIRE=w1200|https://lh3.googleusercontent.com/pw/AP1GczPmPL0mqPKcLyqsshgVyzoWLyASV7ySI1sH_N-A0u6wuvIYI3Yzr_XUmEvq3OoqIv3m3qthdJHsRe_eOvwijtSiOxZ8ifZ5ZLsFHuQ91wX3gJF0iLHE=w1200|https://lh3.googleusercontent.com/pw/AP1GczPwwkza3__tbUYHLYrzhmrFZWq-5UsZ2Cs7kqs6nCFxD-w3vSQkLRZo_O0QArmr34W2o9K4jlRcsUFFxpwWHuZHWAoW_Gu4gTsjHx8gZ6sviwxxN9tW=w1200|https://lh3.googleusercontent.com/pw/AP1GczNJlg52UqB5Qnb-7Asv3odB2MGOIeGhBcnN9nBJhefV0KjWh6MZMzazT1lRWI_CAFEcLYHKi9mf3nuZ_UIkc6dceX66_eZleSnRXt2Q2orBzWES-AZy=w1200|https://lh3.googleusercontent.com/pw/AP1GczM6MGUJgEmfnT9DIp0Ro9dSPVkXJodk-bcmjpn786lN7iKl6eDCPxJQWvqy3YyOmqCQ7g7_sqpgNTInh3fVnt29BVXr4ERa5DlOMmwro6b3ijdxg5w0=w1200|https://lh3.googleusercontent.com/pw/AP1GczMwuVIIktIERiz_D11CW76gopnbRaD-KSUtsabYk5859o2UyJfm8yLhRcGbg15eQ0E2lvm1lGYyx4fCC8a1En2nVnDGaYx9YgzZEFYaZfdBBPHx0KbW=w1200|https://lh3.googleusercontent.com/pw/AP1GczOQ42bdCnKiGDFMQBHsg5FdJo8_vIBOfOn6D9zeCUd86nGEkSyDhxvg6DVmtMJiYulzE-xcanZGlWXNfOgDTmRD1iGjPzXlOIOJy8UAordas2ikF8iX=w1200|https://lh3.googleusercontent.com/pw/AP1GczPQOsozASWuXT1id6BahPmI-OR8IU2pHc58irb2ala1JxkgM-diotn74OJVEG3ZkwAwSdkR7jcjytwWO6brolgRiVtSqy6LESOpOrsa2U4JfLIQdMz7=w1200|https://lh3.googleusercontent.com/pw/AP1GczOVIlvJ02vHI6067WKfZEAjEOFT7MGp9lc8gqvWKHDIAkzIg1nsAJ2hpIG43Sy8GVcVQjy_FKDSspl1N7krn5LrSMh1wNxvIQreOF_WQBXeJLlxjA3F=w1200|https://lh3.googleusercontent.com/pw/AP1GczPurJ_E_qNGJC7eQ6CeZn7xpKahw12n_wVxsxJcE25txp4lOIuQJEJG3lCjAyQG_kGR5ubHPUp9TFCu-DVnQz5aLVXU49xJq46P7IWEzfNkTqZO4rO8=w1200|https://lh3.googleusercontent.com/pw/AP1GczMBrDEOhAavjlckAaEQexf2wNxZ1-P4pDPl5F5-js9RblyUIK69gLGt3k35rpTaPLBu4ud9J0SXtgJh8TuawwzlciyQxP1KE0Mx7H4-8RyTTeSEJb3v=w1200|https://lh3.googleusercontent.com/pw/AP1GczNW9WBa7hweo6Wfc3RO7spKW7mZC2JS_2D15kkfSAIGEoNr9RPxv9fIHnvmkzK12QM00ZTczuCgXdB3jLEhkptmZGLjSSFtmKltKG0CmtOVFDaC3ZI3=w1200|https://lh3.googleusercontent.com/pw/AP1GczOrGi7JKuwhxaF8Sprjj44ZaYH9_XDteFK4-SVqPCXBQe-k-BW0Lto3RMLmJPddKgewVOsTjgi181LI0bzFS8zXeyf8f2v2xjW6GmJ-sv_5-RVpQakX=w1200|https://lh3.googleusercontent.com/pw/AP1GczOqezXuJVze4EbKyFwCEuGNxG7aFMEO0qp2-Jm6NBDd8jbHg9SPT_RU5mSNKcXgRvPzho8XhaP-l7dfMHG74tUtdJDE_Wi-CDt1oeRFgchbXnSzh-19=w1200|https://lh3.googleusercontent.com/pw/AP1GczNKeilvB985jwZwHwy9vyfoULYcpGWEuKhQVBzN2boE5ZtXvIADiu1VyoXKJq-eB12UeMd64GkhnPUmdWJKRceybJLy4Z5740yiEgJvMhM2Ix-hmJ0G=w1200|https://lh3.googleusercontent.com/pw/AP1GczP4OcaTz8ow56HyFTkYg1nZ60DEuaUJ66upIv1v_FVZKyO6vCB8GqgIKwEGsnVLnh9EjBb1fg-6qy3L1nTBWGx055ZT6cOVIyz2bnknqNcW74yff6DZ=w1200|https://lh3.googleusercontent.com/pw/AP1GczMAcnQz9ArOsyfOK2xqI-HIDZ6R9ZUhBYP2A_E53TAG0RltP6qHxYJvr51WXm4shSH5JSQTixslxLjNvAH8Fgzrt0bHPqpxx60ga79ogQ6zo71U0iX2=w1200|https://lh3.googleusercontent.com/pw/AP1GczN27kYOIm2Wk_yDkRlkAma2ZjoJ2H4dZEYHPMa52P5VabPivn-3_GZlnK9CHEG9GEuZqgrW-W5yFdQVt5pOEgOZzyZ4Jw9NpMKtUObOd_xxG3vGApVu=w1200|https://lh3.googleusercontent.com/pw/AP1GczPNC1Z3NXoo3yHfKEtav6fff4rkY9_Wbwr53pe8CZQ9iXG-0rR4MI5ehPoHFylgfFtdwLCp_fXeG6CYSS3lTZ38E0GKnHjtvIlQ-RqWTiy5DXpZs-dF=w1200|https://lh3.googleusercontent.com/pw/AP1GczPp81qNIZwqzxnRdW8MK5liOJ768giHAp71hm-5f7YJXDS5GKtay1YwKGu4VTYijOTKPf5aj4SQvGHFfw-HWVNCOQ6WT00TOQ0zS3xf1GTDPp8lj4T3=w1200|https://lh3.googleusercontent.com/pw/AP1GczOGQSh_ioIiZH-P0R5aNjyFRvTlN2G_XxoBS_9oWucn053FbWDzqALi6RgoAuRQCyiHTvyD41iH116aVYy2HFwF1iJXQrqJ3QHzUFfIrfmBkdgdhLAj=w1200|https://lh3.googleusercontent.com/pw/AP1GczPdW5bTnz4WcRbu2NGyRWtjN77xLqYZMLGvY5Qu-DkR7hCGXKoGVmlpviquXLhFUuGBlln5e1SRq_UJNjb6vhhLOeCFHjMntu0C9f1UEnSJGDfDTATY=w1200|https://lh3.googleusercontent.com/pw/AP1GczNs1LyluWpyIYYwvqW-AEEnksdXCtL4fz0b0R544blMGfeXBc30Tb5t1FqkuaVePsuTfOMTUXp4_tbx-K8APeIN9hWXUrQSG0wd4hoEXMhKoDF3IB4w=w1200|https://lh3.googleusercontent.com/pw/AP1GczPmeY4e9l0l3Ia0_MIY_OeqIGkdzbc-OFwR-J8OrY9XrcgpYD93jS-oDL3WX5fMxALYhBJcvB2UDGHhWrVavgjmUIVhCqj9qfRNuC-qJoMTlp5RKLlO=w1200</v>
      </c>
    </row>
    <row r="272">
      <c r="A272" s="39" t="str">
        <f>IFERROR(__xludf.DUMMYFUNCTION("""COMPUTED_VALUE"""),"369")</f>
        <v>369</v>
      </c>
      <c r="B272" s="40" t="str">
        <f>IFERROR(__xludf.DUMMYFUNCTION("""COMPUTED_VALUE"""),"Casa de 2 pisos independientes en barrio Chapinero")</f>
        <v>Casa de 2 pisos independientes en barrio Chapinero</v>
      </c>
      <c r="C272" s="40" t="str">
        <f>IFERROR(__xludf.DUMMYFUNCTION("""COMPUTED_VALUE"""),"Casa rentable")</f>
        <v>Casa rentable</v>
      </c>
      <c r="D272" s="42" t="str">
        <f>IFERROR(__xludf.DUMMYFUNCTION("""COMPUTED_VALUE"""),"Chapinero")</f>
        <v>Chapinero</v>
      </c>
      <c r="E272" s="40"/>
      <c r="F272" s="42">
        <f>IFERROR(__xludf.DUMMYFUNCTION("""COMPUTED_VALUE"""),3.9E8)</f>
        <v>390000000</v>
      </c>
      <c r="G272" s="40" t="str">
        <f>IFERROR(__xludf.DUMMYFUNCTION("""COMPUTED_VALUE"""),"$300'000.000 a $400'000.000")</f>
        <v>$300'000.000 a $400'000.000</v>
      </c>
      <c r="H272" s="40"/>
      <c r="I272" s="40"/>
      <c r="J272" s="40" t="str">
        <f>IFERROR(__xludf.DUMMYFUNCTION("""COMPUTED_VALUE"""),"Centro")</f>
        <v>Centro</v>
      </c>
      <c r="K272" s="39" t="str">
        <f>IFERROR(__xludf.DUMMYFUNCTION("""COMPUTED_VALUE"""),"3")</f>
        <v>3</v>
      </c>
      <c r="L272" s="40">
        <f>IFERROR(__xludf.DUMMYFUNCTION("""COMPUTED_VALUE"""),6.0)</f>
        <v>6</v>
      </c>
      <c r="M272" s="40"/>
      <c r="N272" s="40">
        <f>IFERROR(__xludf.DUMMYFUNCTION("""COMPUTED_VALUE"""),4.0)</f>
        <v>4</v>
      </c>
      <c r="O272" s="40">
        <f>IFERROR(__xludf.DUMMYFUNCTION("""COMPUTED_VALUE"""),1.0)</f>
        <v>1</v>
      </c>
      <c r="P272" s="40">
        <f>IFERROR(__xludf.DUMMYFUNCTION("""COMPUTED_VALUE"""),2.0)</f>
        <v>2</v>
      </c>
      <c r="Q272" s="48">
        <f>IFERROR(__xludf.DUMMYFUNCTION("""COMPUTED_VALUE"""),221.0)</f>
        <v>221</v>
      </c>
      <c r="R272" s="48">
        <f>IFERROR(__xludf.DUMMYFUNCTION("""COMPUTED_VALUE"""),113.0)</f>
        <v>113</v>
      </c>
      <c r="S272" s="39" t="str">
        <f>IFERROR(__xludf.DUMMYFUNCTION("""COMPUTED_VALUE"""),"Rentabilidad $1,400,000")</f>
        <v>Rentabilidad $1,400,000</v>
      </c>
      <c r="T272" s="40" t="str">
        <f>IFERROR(__xludf.DUMMYFUNCTION("""COMPUTED_VALUE"""),"Neiva")</f>
        <v>Neiva</v>
      </c>
      <c r="U272" s="39" t="str">
        <f>IFERROR(__xludf.DUMMYFUNCTION("""COMPUTED_VALUE"""),"2")</f>
        <v>2</v>
      </c>
      <c r="V272" s="40" t="str">
        <f>IFERROR(__xludf.DUMMYFUNCTION("""COMPUTED_VALUE"""),"Medianera")</f>
        <v>Medianera</v>
      </c>
      <c r="W272" s="46"/>
      <c r="X272" s="46">
        <f>IFERROR(__xludf.DUMMYFUNCTION("""COMPUTED_VALUE"""),4.0)</f>
        <v>4</v>
      </c>
      <c r="Y272" s="40" t="str">
        <f>IFERROR(__xludf.DUMMYFUNCTION("""COMPUTED_VALUE"""),"No tiene")</f>
        <v>No tiene</v>
      </c>
      <c r="Z272" s="42" t="str">
        <f>IFERROR(__xludf.DUMMYFUNCTION("""COMPUTED_VALUE"""),"No aplica")</f>
        <v>No aplica</v>
      </c>
      <c r="AA272" s="49" t="str">
        <f>IFERROR(__xludf.DUMMYFUNCTION("""COMPUTED_VALUE"""),"23 años")</f>
        <v>23 años</v>
      </c>
      <c r="AB272" s="105" t="str">
        <f>IFERROR(__xludf.DUMMYFUNCTION("""COMPUTED_VALUE"""),"https://photos.app.goo.gl/72H2wdBCTawGYt146")</f>
        <v>https://photos.app.goo.gl/72H2wdBCTawGYt146</v>
      </c>
      <c r="AC272" s="40" t="str">
        <f>IFERROR(__xludf.DUMMYFUNCTION("""COMPUTED_VALUE"""),"Área 113 M2, construida 221 M2, Casa de dos pisos enrejada con techo, con apto independiente, Primer piso: Apartamento: sala comedor, cocina integral cerrada, tres alcobas, alcoba principal con baño y closet, baño de alcobas, patio de ropas, zona de lavan"&amp;"dería, instalación para lavadora, pisos en retal de mármol. segundo piso: independiente con garaje portón, baño auxiliar, escaleras, sala con acceso al balcón, tres alcobas con closet, alcoba principal con baño, baño auxiliar, estudio, comedor, cocina int"&amp;"egral cerrada, zona de lavandería, y patio al descubierto con puerta. estrato 2. pisos en retal de marmol. y piso en cerámica.")</f>
        <v>Área 113 M2, construida 221 M2, Casa de dos pisos enrejada con techo, con apto independiente, Primer piso: Apartamento: sala comedor, cocina integral cerrada, tres alcobas, alcoba principal con baño y closet, baño de alcobas, patio de ropas, zona de lavandería, instalación para lavadora, pisos en retal de mármol. segundo piso: independiente con garaje portón, baño auxiliar, escaleras, sala con acceso al balcón, tres alcobas con closet, alcoba principal con baño, baño auxiliar, estudio, comedor, cocina integral cerrada, zona de lavandería, y patio al descubierto con puerta. estrato 2. pisos en retal de marmol. y piso en cerámica.</v>
      </c>
      <c r="AD272" s="40" t="str">
        <f>IFERROR(__xludf.DUMMYFUNCTION("""COMPUTED_VALUE"""),"2 pisos independientes")</f>
        <v>2 pisos independientes</v>
      </c>
      <c r="AE272" s="40"/>
      <c r="AF272" s="40" t="str">
        <f>IFERROR(__xludf.DUMMYFUNCTION("""COMPUTED_VALUE"""),"integral")</f>
        <v>integral</v>
      </c>
      <c r="AG272" s="40" t="str">
        <f>IFERROR(__xludf.DUMMYFUNCTION("""COMPUTED_VALUE"""),"SI")</f>
        <v>SI</v>
      </c>
      <c r="AH272" s="40" t="str">
        <f>IFERROR(__xludf.DUMMYFUNCTION("""COMPUTED_VALUE"""),"Inventario")</f>
        <v>Inventario</v>
      </c>
      <c r="AI272" s="40" t="str">
        <f>IFERROR(__xludf.DUMMYFUNCTION("""COMPUTED_VALUE"""),"Aliado")</f>
        <v>Aliado</v>
      </c>
      <c r="AJ272" s="40" t="str">
        <f>IFERROR(__xludf.DUMMYFUNCTION("""COMPUTED_VALUE"""),"Rustik House")</f>
        <v>Rustik House</v>
      </c>
      <c r="AK272" s="42" t="str">
        <f>IFERROR(__xludf.DUMMYFUNCTION("""COMPUTED_VALUE"""),"No aplica")</f>
        <v>No aplica</v>
      </c>
      <c r="AL272" s="40" t="str">
        <f>IFERROR(__xludf.DUMMYFUNCTION("""COMPUTED_VALUE"""),"TIENE FOTOS")</f>
        <v>TIENE FOTOS</v>
      </c>
      <c r="AM272" s="40">
        <f>IFERROR(__xludf.DUMMYFUNCTION("""COMPUTED_VALUE"""),3.203396742E9)</f>
        <v>3203396742</v>
      </c>
      <c r="AN272" s="40">
        <f>IFERROR(__xludf.DUMMYFUNCTION("""COMPUTED_VALUE"""),3.10862657E9)</f>
        <v>3108626570</v>
      </c>
      <c r="AO272" s="40"/>
      <c r="AP272" s="40" t="str">
        <f>IFERROR(__xludf.DUMMYFUNCTION("""COMPUTED_VALUE"""),"CRA 9 # 14 - 72")</f>
        <v>CRA 9 # 14 - 72</v>
      </c>
      <c r="AQ272" s="40"/>
      <c r="AR272" s="40"/>
      <c r="AS272" s="53">
        <f>IFERROR(__xludf.DUMMYFUNCTION("""COMPUTED_VALUE"""),1400000.0)</f>
        <v>1400000</v>
      </c>
      <c r="AT272" s="40">
        <f>IFERROR(__xludf.DUMMYFUNCTION("""COMPUTED_VALUE"""),0.0)</f>
        <v>0</v>
      </c>
      <c r="AU272" s="40">
        <f>IFERROR(__xludf.DUMMYFUNCTION("""COMPUTED_VALUE"""),0.0)</f>
        <v>0</v>
      </c>
      <c r="AV272" s="40">
        <f>IFERROR(__xludf.DUMMYFUNCTION("""COMPUTED_VALUE"""),0.0)</f>
        <v>0</v>
      </c>
      <c r="AW272" s="40" t="str">
        <f>IFERROR(__xludf.DUMMYFUNCTION("""COMPUTED_VALUE"""),"SI")</f>
        <v>SI</v>
      </c>
      <c r="AX272" s="40"/>
      <c r="AY272" s="40" t="str">
        <f>IFERROR(__xludf.DUMMYFUNCTION("""COMPUTED_VALUE"""),"P")</f>
        <v>P</v>
      </c>
      <c r="AZ272" s="40"/>
      <c r="BA272" s="40" t="str">
        <f>IFERROR(__xludf.DUMMYFUNCTION("""COMPUTED_VALUE"""),"X")</f>
        <v>X</v>
      </c>
      <c r="BB272" s="40"/>
      <c r="BC272" s="53" t="str">
        <f>IFERROR(__xludf.DUMMYFUNCTION("""COMPUTED_VALUE"""),"26 - NINI CASTAÑO")</f>
        <v>26 - NINI CASTAÑO</v>
      </c>
      <c r="BD272" s="48"/>
      <c r="BE272" s="48"/>
      <c r="BF272" s="48" t="str">
        <f>IFERROR(__xludf.DUMMYFUNCTION("""COMPUTED_VALUE"""),"https://lh3.googleusercontent.com/pw/AP1GczPq0kC62DbOp2au-M4x7WiTr-nPRR0gVey0M2lcLSsxpU5lgXAmt8_1r1ZLmU8JwhRuo1lcEoKJqBgqz7_ywdgH9TPPBi1vOaT0WsFpfS2DxR31Bp-D=w1200|https://lh3.googleusercontent.com/pw/AP1GczM1Y9iA2LHGF7OBM87a6xZqaWBAXEWXz6w0hs8M-KOyxI15-c"&amp;"lnq_WqSBgzSVdHMTikHO4gE08lvnZbQc_TFlsv6c04-fe1SjfpbNGQQIZ13yZsGJKh=w1200|https://lh3.googleusercontent.com/pw/AP1GczNjMOt-6ONPavKwdY1umLMp9LZzCQjzYoIyTa9JT9zclIg75xXZfgBjtKpCCwAFCJXFNbByQ3t1gmt636qJHowqmJFHq_TyMqYI63_bGAAy8atpg1bg=w1200|https://lh3.google"&amp;"usercontent.com/pw/AP1GczPxqQjOkHEhnD8GypSR56rW0dESnWdsxQUx4W0W6U-393IKctyuT97yUGX0CxVY2xZAuLaXOF2eUsxT1jZ7AKItk9xuiNBNQOcQQyWo8A-EzzBShrak=w1200|https://lh3.googleusercontent.com/pw/AP1GczMCmSv9PjtxGeh_esRKpg1bsHvnGbQM-Vecz2q5wixmBbu59mjkKeXAHt_RyxVNER3x"&amp;"5TKXglEhffJcfPC7O-_OSvA3H-Wkcdo4kE2g88ZQT7lps_OR=w1200|https://lh3.googleusercontent.com/pw/AP1GczNVponoG2S-vhlJr3I5NsmHmgfvr0hdJVoGWOdTRvp2PQwB-b0XNxdQZXjK-hoxZ9q6ZoRjDFidsRtTPtRlhS9S6qMwEvuOoJdgyWhlT3-awFWpNi2U=w1200|https://lh3.googleusercontent.com/pw"&amp;"/AP1GczOW0QuaK_wKQSyE99bmJ-d3Vs6xI90YtYGu4SBTJFZiDerzPbiuEiHVHa0wSLwhkmo9FLvnKnzfCwFHv9qj2UEo_JTg8eeAVEwqPZLeHtJpKkRWHVjK=w1200|https://lh3.googleusercontent.com/pw/AP1GczPxeHMT4QIeLQu_GlDGxLnv3Uq9ZTR_PH5ofCYKjgAfWx5tkNjDf1beLd7Q55cUgZi2Mve_0KTLH77ICZZ2EG"&amp;"iK5mNlcjUEiZ6UftF2mJXpYqDsOe-L=w1200|https://lh3.googleusercontent.com/pw/AP1GczMqv9bECjEL7hO8LBPCdIos_XGS1vlsIo5ZmWrviSIIeuzPS6GWaEAyS9F8HsJ6vc4xfMlLWhegp3ptud5iv4z_s0-uVSqJvBVXh7QAGn6FCM2FMYlA=w1200|https://lh3.googleusercontent.com/pw/AP1GczMKaef96rzWI"&amp;"r6p5lZhfsnTQruTBNTXqjFkjuJzOsPNyfvzUQEyikYejutxnaRqtwImNZ2vcxWsWoOq84Irh8G0KhT9UrkH0V-tUj96F2ju9QjxANhR=w1200|https://lh3.googleusercontent.com/pw/AP1GczNH2OQpYft61AuxgkxkNm-DkBo343edJVx9fa-m9SLs24ZVgWqiAHwuMKPY_HOEgaA14o9Y7Hdfx3BrhlabCCe6d4kxizk3Vm3hKnT6"&amp;"Y6VrJDHFOGnF=w1200|https://lh3.googleusercontent.com/pw/AP1GczMsCy6THk_bQV9LmYuKuAjfj8CA5ryrLqiQYwDm1qK5fYq-iy-_3WY9szsR6QYjjJJYbNDchqbX-pRuyLgfSA6z1XPOKZMKXVbnEAKFQsJFRZeGqzRL=w1200|https://lh3.googleusercontent.com/pw/AP1GczOzZm0I8gkpR3KiZ8hWkOaIUU96Gud"&amp;"uP0mgYVOFnJlB3sJQ39vlhMIU8LYPRcIdDRqZEO8Nz50T0xglYhShgPkALQxCuFh4u69Qd8ue0YoD2FZ8kR-Z=w1200|https://lh3.googleusercontent.com/pw/AP1GczNlB10mTa4pKe89O41dDS96noCmhY1qEtCDV1ga_g9Ocu4buUkThBMmbfMG2bEfD7OvkGVNRxQZMg0PJD1FKGR-OgC3ELx5Cm5BG0pogZjTTStKAirm=w1200"&amp;"|https://lh3.googleusercontent.com/pw/AP1GczNwDTUcncrEnSOd_fxy89sCy3Z8vX1WJvvqEL2gGg_aTNSbZiM_xSeAEiLc51akyyMXWIwXtad54n2N-MjtmQaMGNdFYyYqQL3XSjkpHk1dVcAu5wYa=w1200|https://lh3.googleusercontent.com/pw/AP1GczPga5cIA8TDfNMVKb3Ge8e3dwlX4AiN3mUWXhU3-EzT2ngTF"&amp;"VJL4_nK6MtrDdTnDybd9-ELtO9Ib4HpzXSL9Sy4rfjeTH6KmHxOliH6So914CC2xxvi=w1200|https://lh3.googleusercontent.com/pw/AP1GczOOdlj6eoUBRC6z4laKtgw6QbXLMfD48Eg97s-F1jTUHnt2mzh3sIwtjhP53xvkAuzN1_5zrIE77V9l8RRfdwsyVAL18tBUywQfSEqfM9oXO7qNVUZg=w1200|https://lh3.googl"&amp;"eusercontent.com/pw/AP1GczNhNM_C838MyDaES2XnFf_LWBdgUPNDA29JxWzJrq0F-PHFP8nQyQG_ZeYrQI6XBhury_huBtzgIXYRcWZIWdDwH3Mi0OizaW0tx_QFxnIQy9fnNVma=w1200|https://lh3.googleusercontent.com/pw/AP1GczOZQV5T2DVWul9nXolauCJ2Xiy8RvukCRqX3wggfTVzWtIBCfc6XZgXY73RFsULLiQ"&amp;"niiYFzhs3AyJ6Kz30dUrOjaWr0EnLPMiMHOstB695KLomkegy=w1200|https://lh3.googleusercontent.com/pw/AP1GczMsNBYm3S0MOb3o4o91CWAk3sVXBHstlv8MLY5KlFdSU4imcYYE6qqekO3c0EzCJE7l359LDN9ODMI5BDnn4L1gOUvMFEMnaP_R12ZjO1mISDjvWUPP=w1200|https://lh3.googleusercontent.com/p"&amp;"w/AP1GczPrM06ghNvXM-DXiST_jbUmGDRYYsQD8ymOthOELr1VlfU_kycuDXfK-6j2KeUjHk6BIl1ofcOGECqgk2xZnXhw-W2r5GXHOQ6WdDcaX6Km7_qfAC9y=w1200|https://lh3.googleusercontent.com/pw/AP1GczMLCaJpygnhWrYkIU4a1Jg4yBoxhPiKiUPz6NoE943S1w_jGHJdwhgS9_H4X_MOTONk3fridKiPAGJgNWork"&amp;"0ElGcW88CWgdIJX5yxZxQ6c2fXnJMp0=w1200|https://lh3.googleusercontent.com/pw/AP1GczPvi5p_QMoLu4zQb2o9AM-OYWtX05wbgGYk-gbdtOMKLrGKB0m4P4nSBBh3Qu0w2ZF1ommu8mjqMwuDL2YoMSv6W2QNfVHuNGQJ30cY9XEXXY2zzCPh=w1200")</f>
        <v>https://lh3.googleusercontent.com/pw/AP1GczPq0kC62DbOp2au-M4x7WiTr-nPRR0gVey0M2lcLSsxpU5lgXAmt8_1r1ZLmU8JwhRuo1lcEoKJqBgqz7_ywdgH9TPPBi1vOaT0WsFpfS2DxR31Bp-D=w1200|https://lh3.googleusercontent.com/pw/AP1GczM1Y9iA2LHGF7OBM87a6xZqaWBAXEWXz6w0hs8M-KOyxI15-clnq_WqSBgzSVdHMTikHO4gE08lvnZbQc_TFlsv6c04-fe1SjfpbNGQQIZ13yZsGJKh=w1200|https://lh3.googleusercontent.com/pw/AP1GczNjMOt-6ONPavKwdY1umLMp9LZzCQjzYoIyTa9JT9zclIg75xXZfgBjtKpCCwAFCJXFNbByQ3t1gmt636qJHowqmJFHq_TyMqYI63_bGAAy8atpg1bg=w1200|https://lh3.googleusercontent.com/pw/AP1GczPxqQjOkHEhnD8GypSR56rW0dESnWdsxQUx4W0W6U-393IKctyuT97yUGX0CxVY2xZAuLaXOF2eUsxT1jZ7AKItk9xuiNBNQOcQQyWo8A-EzzBShrak=w1200|https://lh3.googleusercontent.com/pw/AP1GczMCmSv9PjtxGeh_esRKpg1bsHvnGbQM-Vecz2q5wixmBbu59mjkKeXAHt_RyxVNER3x5TKXglEhffJcfPC7O-_OSvA3H-Wkcdo4kE2g88ZQT7lps_OR=w1200|https://lh3.googleusercontent.com/pw/AP1GczNVponoG2S-vhlJr3I5NsmHmgfvr0hdJVoGWOdTRvp2PQwB-b0XNxdQZXjK-hoxZ9q6ZoRjDFidsRtTPtRlhS9S6qMwEvuOoJdgyWhlT3-awFWpNi2U=w1200|https://lh3.googleusercontent.com/pw/AP1GczOW0QuaK_wKQSyE99bmJ-d3Vs6xI90YtYGu4SBTJFZiDerzPbiuEiHVHa0wSLwhkmo9FLvnKnzfCwFHv9qj2UEo_JTg8eeAVEwqPZLeHtJpKkRWHVjK=w1200|https://lh3.googleusercontent.com/pw/AP1GczPxeHMT4QIeLQu_GlDGxLnv3Uq9ZTR_PH5ofCYKjgAfWx5tkNjDf1beLd7Q55cUgZi2Mve_0KTLH77ICZZ2EGiK5mNlcjUEiZ6UftF2mJXpYqDsOe-L=w1200|https://lh3.googleusercontent.com/pw/AP1GczMqv9bECjEL7hO8LBPCdIos_XGS1vlsIo5ZmWrviSIIeuzPS6GWaEAyS9F8HsJ6vc4xfMlLWhegp3ptud5iv4z_s0-uVSqJvBVXh7QAGn6FCM2FMYlA=w1200|https://lh3.googleusercontent.com/pw/AP1GczMKaef96rzWIr6p5lZhfsnTQruTBNTXqjFkjuJzOsPNyfvzUQEyikYejutxnaRqtwImNZ2vcxWsWoOq84Irh8G0KhT9UrkH0V-tUj96F2ju9QjxANhR=w1200|https://lh3.googleusercontent.com/pw/AP1GczNH2OQpYft61AuxgkxkNm-DkBo343edJVx9fa-m9SLs24ZVgWqiAHwuMKPY_HOEgaA14o9Y7Hdfx3BrhlabCCe6d4kxizk3Vm3hKnT6Y6VrJDHFOGnF=w1200|https://lh3.googleusercontent.com/pw/AP1GczMsCy6THk_bQV9LmYuKuAjfj8CA5ryrLqiQYwDm1qK5fYq-iy-_3WY9szsR6QYjjJJYbNDchqbX-pRuyLgfSA6z1XPOKZMKXVbnEAKFQsJFRZeGqzRL=w1200|https://lh3.googleusercontent.com/pw/AP1GczOzZm0I8gkpR3KiZ8hWkOaIUU96GuduP0mgYVOFnJlB3sJQ39vlhMIU8LYPRcIdDRqZEO8Nz50T0xglYhShgPkALQxCuFh4u69Qd8ue0YoD2FZ8kR-Z=w1200|https://lh3.googleusercontent.com/pw/AP1GczNlB10mTa4pKe89O41dDS96noCmhY1qEtCDV1ga_g9Ocu4buUkThBMmbfMG2bEfD7OvkGVNRxQZMg0PJD1FKGR-OgC3ELx5Cm5BG0pogZjTTStKAirm=w1200|https://lh3.googleusercontent.com/pw/AP1GczNwDTUcncrEnSOd_fxy89sCy3Z8vX1WJvvqEL2gGg_aTNSbZiM_xSeAEiLc51akyyMXWIwXtad54n2N-MjtmQaMGNdFYyYqQL3XSjkpHk1dVcAu5wYa=w1200|https://lh3.googleusercontent.com/pw/AP1GczPga5cIA8TDfNMVKb3Ge8e3dwlX4AiN3mUWXhU3-EzT2ngTFVJL4_nK6MtrDdTnDybd9-ELtO9Ib4HpzXSL9Sy4rfjeTH6KmHxOliH6So914CC2xxvi=w1200|https://lh3.googleusercontent.com/pw/AP1GczOOdlj6eoUBRC6z4laKtgw6QbXLMfD48Eg97s-F1jTUHnt2mzh3sIwtjhP53xvkAuzN1_5zrIE77V9l8RRfdwsyVAL18tBUywQfSEqfM9oXO7qNVUZg=w1200|https://lh3.googleusercontent.com/pw/AP1GczNhNM_C838MyDaES2XnFf_LWBdgUPNDA29JxWzJrq0F-PHFP8nQyQG_ZeYrQI6XBhury_huBtzgIXYRcWZIWdDwH3Mi0OizaW0tx_QFxnIQy9fnNVma=w1200|https://lh3.googleusercontent.com/pw/AP1GczOZQV5T2DVWul9nXolauCJ2Xiy8RvukCRqX3wggfTVzWtIBCfc6XZgXY73RFsULLiQniiYFzhs3AyJ6Kz30dUrOjaWr0EnLPMiMHOstB695KLomkegy=w1200|https://lh3.googleusercontent.com/pw/AP1GczMsNBYm3S0MOb3o4o91CWAk3sVXBHstlv8MLY5KlFdSU4imcYYE6qqekO3c0EzCJE7l359LDN9ODMI5BDnn4L1gOUvMFEMnaP_R12ZjO1mISDjvWUPP=w1200|https://lh3.googleusercontent.com/pw/AP1GczPrM06ghNvXM-DXiST_jbUmGDRYYsQD8ymOthOELr1VlfU_kycuDXfK-6j2KeUjHk6BIl1ofcOGECqgk2xZnXhw-W2r5GXHOQ6WdDcaX6Km7_qfAC9y=w1200|https://lh3.googleusercontent.com/pw/AP1GczMLCaJpygnhWrYkIU4a1Jg4yBoxhPiKiUPz6NoE943S1w_jGHJdwhgS9_H4X_MOTONk3fridKiPAGJgNWork0ElGcW88CWgdIJX5yxZxQ6c2fXnJMp0=w1200|https://lh3.googleusercontent.com/pw/AP1GczPvi5p_QMoLu4zQb2o9AM-OYWtX05wbgGYk-gbdtOMKLrGKB0m4P4nSBBh3Qu0w2ZF1ommu8mjqMwuDL2YoMSv6W2QNfVHuNGQJ30cY9XEXXY2zzCPh=w1200</v>
      </c>
    </row>
    <row r="273">
      <c r="A273" s="39" t="str">
        <f>IFERROR(__xludf.DUMMYFUNCTION("""COMPUTED_VALUE"""),"696")</f>
        <v>696</v>
      </c>
      <c r="B273" s="40" t="str">
        <f>IFERROR(__xludf.DUMMYFUNCTION("""COMPUTED_VALUE"""),"Casa con apartamento en barrio Las Granjas")</f>
        <v>Casa con apartamento en barrio Las Granjas</v>
      </c>
      <c r="C273" s="40" t="str">
        <f>IFERROR(__xludf.DUMMYFUNCTION("""COMPUTED_VALUE"""),"Casa rentable")</f>
        <v>Casa rentable</v>
      </c>
      <c r="D273" s="40" t="str">
        <f>IFERROR(__xludf.DUMMYFUNCTION("""COMPUTED_VALUE"""),"Las Granjas")</f>
        <v>Las Granjas</v>
      </c>
      <c r="E273" s="40"/>
      <c r="F273" s="42">
        <f>IFERROR(__xludf.DUMMYFUNCTION("""COMPUTED_VALUE"""),2.95E8)</f>
        <v>295000000</v>
      </c>
      <c r="G273" s="40" t="str">
        <f>IFERROR(__xludf.DUMMYFUNCTION("""COMPUTED_VALUE"""),"$200'000.000 a $300'000.000")</f>
        <v>$200'000.000 a $300'000.000</v>
      </c>
      <c r="H273" s="40"/>
      <c r="I273" s="40"/>
      <c r="J273" s="40" t="str">
        <f>IFERROR(__xludf.DUMMYFUNCTION("""COMPUTED_VALUE"""),"Norte")</f>
        <v>Norte</v>
      </c>
      <c r="K273" s="39" t="str">
        <f>IFERROR(__xludf.DUMMYFUNCTION("""COMPUTED_VALUE"""),"2")</f>
        <v>2</v>
      </c>
      <c r="L273" s="40">
        <f>IFERROR(__xludf.DUMMYFUNCTION("""COMPUTED_VALUE"""),5.0)</f>
        <v>5</v>
      </c>
      <c r="M273" s="40"/>
      <c r="N273" s="40">
        <f>IFERROR(__xludf.DUMMYFUNCTION("""COMPUTED_VALUE"""),4.0)</f>
        <v>4</v>
      </c>
      <c r="O273" s="40">
        <f>IFERROR(__xludf.DUMMYFUNCTION("""COMPUTED_VALUE"""),1.0)</f>
        <v>1</v>
      </c>
      <c r="P273" s="40">
        <f>IFERROR(__xludf.DUMMYFUNCTION("""COMPUTED_VALUE"""),1.0)</f>
        <v>1</v>
      </c>
      <c r="Q273" s="48">
        <f>IFERROR(__xludf.DUMMYFUNCTION("""COMPUTED_VALUE"""),0.0)</f>
        <v>0</v>
      </c>
      <c r="R273" s="48">
        <f>IFERROR(__xludf.DUMMYFUNCTION("""COMPUTED_VALUE"""),180.0)</f>
        <v>180</v>
      </c>
      <c r="S273" s="39" t="str">
        <f>IFERROR(__xludf.DUMMYFUNCTION("""COMPUTED_VALUE"""),"Rentabilidad $1,200,000")</f>
        <v>Rentabilidad $1,200,000</v>
      </c>
      <c r="T273" s="40" t="str">
        <f>IFERROR(__xludf.DUMMYFUNCTION("""COMPUTED_VALUE"""),"Neiva")</f>
        <v>Neiva</v>
      </c>
      <c r="U273" s="39" t="str">
        <f>IFERROR(__xludf.DUMMYFUNCTION("""COMPUTED_VALUE"""),"2")</f>
        <v>2</v>
      </c>
      <c r="V273" s="40" t="str">
        <f>IFERROR(__xludf.DUMMYFUNCTION("""COMPUTED_VALUE"""),"Medianera")</f>
        <v>Medianera</v>
      </c>
      <c r="W273" s="46"/>
      <c r="X273" s="46">
        <f>IFERROR(__xludf.DUMMYFUNCTION("""COMPUTED_VALUE"""),2.0)</f>
        <v>2</v>
      </c>
      <c r="Y273" s="40" t="str">
        <f>IFERROR(__xludf.DUMMYFUNCTION("""COMPUTED_VALUE"""),"No tiene")</f>
        <v>No tiene</v>
      </c>
      <c r="Z273" s="42" t="str">
        <f>IFERROR(__xludf.DUMMYFUNCTION("""COMPUTED_VALUE"""),"No aplica")</f>
        <v>No aplica</v>
      </c>
      <c r="AA273" s="49" t="str">
        <f>IFERROR(__xludf.DUMMYFUNCTION("""COMPUTED_VALUE"""),"20 años")</f>
        <v>20 años</v>
      </c>
      <c r="AB273" s="105" t="str">
        <f>IFERROR(__xludf.DUMMYFUNCTION("""COMPUTED_VALUE"""),"https://photos.app.goo.gl/UUj2kB1qf16Ntnq29")</f>
        <v>https://photos.app.goo.gl/UUj2kB1qf16Ntnq29</v>
      </c>
      <c r="AC273" s="40" t="str">
        <f>IFERROR(__xludf.DUMMYFUNCTION("""COMPUTED_VALUE"""),"ÁREA 180 M2, casa de un piso con apartamento independiente, casa enrejada con sala amplia, cocina, pasillo, tres alcobas, dos alcobas con closet, una alcoba con baño, patio enrejado, zona de lavandería, baño con ducha. Pisos en porcelanato y cielo raso en"&amp;" machimbre. estrato 2. apartamento independiente con servios públicos y acceso, reja, sala am plia, cocina , pasillo, dos alcobas con chifonier, una alcoba con baño, baño social, patio enrejado, zona de lavandería, instalación para lavadora. Estrato 2")</f>
        <v>ÁREA 180 M2, casa de un piso con apartamento independiente, casa enrejada con sala amplia, cocina, pasillo, tres alcobas, dos alcobas con closet, una alcoba con baño, patio enrejado, zona de lavandería, baño con ducha. Pisos en porcelanato y cielo raso en machimbre. estrato 2. apartamento independiente con servios públicos y acceso, reja, sala am plia, cocina , pasillo, dos alcobas con chifonier, una alcoba con baño, baño social, patio enrejado, zona de lavandería, instalación para lavadora. Estrato 2</v>
      </c>
      <c r="AD273" s="40" t="str">
        <f>IFERROR(__xludf.DUMMYFUNCTION("""COMPUTED_VALUE"""),"Casa con apartamento.")</f>
        <v>Casa con apartamento.</v>
      </c>
      <c r="AE273" s="40"/>
      <c r="AF273" s="40" t="str">
        <f>IFERROR(__xludf.DUMMYFUNCTION("""COMPUTED_VALUE"""),"semi-integral")</f>
        <v>semi-integral</v>
      </c>
      <c r="AG273" s="40" t="str">
        <f>IFERROR(__xludf.DUMMYFUNCTION("""COMPUTED_VALUE"""),"SI")</f>
        <v>SI</v>
      </c>
      <c r="AH273" s="40" t="str">
        <f>IFERROR(__xludf.DUMMYFUNCTION("""COMPUTED_VALUE"""),"Inventario")</f>
        <v>Inventario</v>
      </c>
      <c r="AI273" s="40" t="str">
        <f>IFERROR(__xludf.DUMMYFUNCTION("""COMPUTED_VALUE"""),"Aliado")</f>
        <v>Aliado</v>
      </c>
      <c r="AJ273" s="40" t="str">
        <f>IFERROR(__xludf.DUMMYFUNCTION("""COMPUTED_VALUE"""),"Rustik House")</f>
        <v>Rustik House</v>
      </c>
      <c r="AK273" s="42" t="str">
        <f>IFERROR(__xludf.DUMMYFUNCTION("""COMPUTED_VALUE"""),"No aplica")</f>
        <v>No aplica</v>
      </c>
      <c r="AL273" s="40" t="str">
        <f>IFERROR(__xludf.DUMMYFUNCTION("""COMPUTED_VALUE"""),"TIENE FOTOS")</f>
        <v>TIENE FOTOS</v>
      </c>
      <c r="AM273" s="40">
        <f>IFERROR(__xludf.DUMMYFUNCTION("""COMPUTED_VALUE"""),3.203396742E9)</f>
        <v>3203396742</v>
      </c>
      <c r="AN273" s="40">
        <f>IFERROR(__xludf.DUMMYFUNCTION("""COMPUTED_VALUE"""),3.10862657E9)</f>
        <v>3108626570</v>
      </c>
      <c r="AO273" s="40"/>
      <c r="AP273" s="40" t="str">
        <f>IFERROR(__xludf.DUMMYFUNCTION("""COMPUTED_VALUE"""),"Calle 32 # 7a-53")</f>
        <v>Calle 32 # 7a-53</v>
      </c>
      <c r="AQ273" s="40">
        <f>IFERROR(__xludf.DUMMYFUNCTION("""COMPUTED_VALUE"""),2.94616991818936)</f>
        <v>2.946169918</v>
      </c>
      <c r="AR273" s="40">
        <f>IFERROR(__xludf.DUMMYFUNCTION("""COMPUTED_VALUE"""),-75.2900028961368)</f>
        <v>-75.2900029</v>
      </c>
      <c r="AS273" s="53">
        <f>IFERROR(__xludf.DUMMYFUNCTION("""COMPUTED_VALUE"""),1200000.0)</f>
        <v>1200000</v>
      </c>
      <c r="AT273" s="40">
        <f>IFERROR(__xludf.DUMMYFUNCTION("""COMPUTED_VALUE"""),0.0)</f>
        <v>0</v>
      </c>
      <c r="AU273" s="40">
        <f>IFERROR(__xludf.DUMMYFUNCTION("""COMPUTED_VALUE"""),0.0)</f>
        <v>0</v>
      </c>
      <c r="AV273" s="40">
        <f>IFERROR(__xludf.DUMMYFUNCTION("""COMPUTED_VALUE"""),0.0)</f>
        <v>0</v>
      </c>
      <c r="AW273" s="40" t="str">
        <f>IFERROR(__xludf.DUMMYFUNCTION("""COMPUTED_VALUE"""),"SI")</f>
        <v>SI</v>
      </c>
      <c r="AX273" s="40"/>
      <c r="AY273" s="40" t="str">
        <f>IFERROR(__xludf.DUMMYFUNCTION("""COMPUTED_VALUE"""),"P")</f>
        <v>P</v>
      </c>
      <c r="AZ273" s="40"/>
      <c r="BA273" s="40" t="str">
        <f>IFERROR(__xludf.DUMMYFUNCTION("""COMPUTED_VALUE"""),"X")</f>
        <v>X</v>
      </c>
      <c r="BB273" s="40"/>
      <c r="BC273" s="53"/>
      <c r="BD273" s="48"/>
      <c r="BE273" s="48"/>
      <c r="BF273" s="48" t="str">
        <f>IFERROR(__xludf.DUMMYFUNCTION("""COMPUTED_VALUE"""),"https://lh3.googleusercontent.com/pw/AP1GczPTm8mY_iwPgBlqavIwbbIuOfy2mRw46YQeeJDyjXaVOjkFtudY-4ABfpJvMjgOCQBZQHL70uVfcISNyyUGKm7ZI-_uvy9nLUYcBAAw9jfll_EZCAc3=w1200|https://lh3.googleusercontent.com/pw/AP1GczOuDGjIiYgbG_ayE_U37zgSrIRy_jpp2gTe6j1dNmjJ-r4juN"&amp;"eFJWc6uull7YCT2zAl02g9sMkRDlCWkn3g-zDfkVlxgCmvPRxFPKauldTRrwsTogW8=w1200|https://lh3.googleusercontent.com/pw/AP1GczMcuitbuSQPGzzTXEnsxFudSdbnq4zzxe_UiFUGou3Y6NkSKFjddbDXJgUMh_wfG-8Un2VINz8-Sf0aqOHf251xjDuGDOhBSyQSVJBxTXoy-uLqw5o0=w1200|https://lh3.google"&amp;"usercontent.com/pw/AP1GczNx74Rf_mtjYTLj_4Owg-UZZwHJgVd74FW1UG_fz7udivQnuSGX8k4QhZsPMCtgw3eEKHs8fIoSIdcixkdM39sSxEnXi-5l26zrzM4xdR30O7g4sKzX=w1200|https://lh3.googleusercontent.com/pw/AP1GczPzQxt725j8nv3-FYITtSO6ZujrIIKCswmpxz3kodh2MUv8oI_oJ1dMzLCwlQKAy3mZ"&amp;"rx3LyzGyQK8wvB1Jih8W8FQN2NG_sVqhvixsqwGH39JNC8Q5=w1200|https://lh3.googleusercontent.com/pw/AP1GczPBZNOnx56IWbJJn7NiuIq4J-jNMbqQAtT5SDutoY3WUKActymeFRHf0E9ksUf0iBFBKbtkM-qkyixnDQvFgTv4tSWu3jafP2OkZkCWwsK1wfmkt-Av=w1200|https://lh3.googleusercontent.com/pw"&amp;"/AP1GczOfVDk0kibKix2jJxbMAcGjRBxoQl8PjhYKww8Py8bK6VhdplpKMMrH8_fafwJK2p7wnnAvkxD4xlPYH7OE6YpYwji1kfzoPvJbBbFIhYx-TobtDZqn=w1200|https://lh3.googleusercontent.com/pw/AP1GczM0R8K6cYBfT-MOhBMPBdaSHLDDxhKwmbI5bqw0LEy0UyRZv7Alv9BA0_MLfCSo-yN9qPjmPZx4Pu1gC2cJaW"&amp;"1iW2z4_ESHPboaZpZ_10JBUEslFQHs=w1200|https://lh3.googleusercontent.com/pw/AP1GczMrVSCXioNc-aeoEb5kWjg-Ra_d-9uEH1wTcbivJ5xePuymWa4w_mrzpUkUkUIcjgOGvH_tlMiqXawTpVyqetUFgFu-VxgXznyIJpDVCIoyex4mV3mc=w1200|https://lh3.googleusercontent.com/pw/AP1GczOZZT0O7llN7"&amp;"oPOJ7mQFLiO4xTBdIuKhQJCCJZwtOsKCHm-EBnlgZbttvduhjDA03GiY7Q64E7sTaqEcAKjyN_QzLelgiZNwsZzYBNjDCCpl0AD_vrL=w1200|https://lh3.googleusercontent.com/pw/AP1GczOi1JPlacyjG_5ebJVaqdNBdaqPz6MPcFPfU7s4FeL2DnkgnQsyTwws9jeBjM11Czs7zvGKf-xvYuFIfG6Lhg351kN_xDES95OLFa8R"&amp;"-zcrZNHkX4L3=w1200|https://lh3.googleusercontent.com/pw/AP1GczPn4CB_Cl6IvCcQSOiNCipiqAqHNoooncbLQabIgHmLXZWCYqvQtvLNioV6px4wd6hbs9WCOuF0hFkj9KZ4IYvdhPkHd2Vqkd1QimUsb0JaMHqe14o-=w1200|https://lh3.googleusercontent.com/pw/AP1GczPIil6IU7_2c_7LacLg9DiyVCvTUTk"&amp;"ZtlcqLVJsoXmROPyHbN_g6Rg2sqhmqzjs2Zrnbpod6kFd4AeN02_IaBoO2QKfhx9HQjo5AyUkyZGBOd7Qs-4z=w1200|https://lh3.googleusercontent.com/pw/AP1GczO0mQyjtd7MWXlCyqNwAA7S3RW_nJZhVSk38Xhq8-oeyejSEXTz2XNMSgwAxlpKjzv4ksI09qaF85bqaDdkM8kZ0jPpKdEwFd9GskExyKQqiKHHr0ap=w1200"&amp;"|https://lh3.googleusercontent.com/pw/AP1GczMbQROd9mAbSBO1WWxsZ8yxt2zPRbxoRhbxkKCMwif7_CHRQ_gx6ZwL25LWMKS7V2Qigc-pMAMah-OSvALECLwkIuNTY_qs2Fonyz_X2f3G-PJ9tFZL=w1200|https://lh3.googleusercontent.com/pw/AP1GczMj7hElf5rdryb6cVIxDZkdG1r9TRgDZikLyX8Rq_6Lr5iu5"&amp;"1KMpLMBdSBLrx-iiH3ANf3unMNx9pvbzMbQopCzTMFsFlin-LDQzHoTTJQmoZ1nP2nb=w1200|https://lh3.googleusercontent.com/pw/AP1GczPCi2gkVftCr_JLAjwYWAnvi5DVsgnlMN-GPrWpSf-vazjaWz_qdO0bDjKiYNljiwk6YT9sIyasSg5yHSl5qhCr0ueKtCiBJT0GaqB0f1KJiJNZkI_t=w1200|https://lh3.googl"&amp;"eusercontent.com/pw/AP1GczOAIUaaJKfLRBNhcOotaFLoE7Gabx8GG11xjCJKXnS_9tl8ip_K1TQ6vb-WEIcT8IoRp80iMDYjo33BRRwHmdQsLoSkuLOAnHH--ntbmdevTuK9AcuT=w1200|https://lh3.googleusercontent.com/pw/AP1GczMsvta_VtWKTl5FVtespXuimy6Todhe9MSTKbK-sTmJ6H-n6kBJBUNBoOto_sfg-lf"&amp;"aWa_Ay6oSAvZE8JlILF0IBQak1ziWP2dp6IdZufwml_o34jBv=w1200|https://lh3.googleusercontent.com/pw/AP1GczOrtf8NOTYU7x-n_fgNGM5t5A-9C69Unu-igzB0OTQZpjhdzPyrqmsOqMUQDYga8mgeoU4FtU4QgkPpNWFWujI-QMlxiiuCeA4nNMuAit2ezwXlvl6K=w1200|https://lh3.googleusercontent.com/p"&amp;"w/AP1GczO0b5eZ0VeODgjfQyhmWK6rkpM9_XY1mOfpfFGAIVrIXqXM6Xc-orTxPmWc4GSe0kpzaQQe2e2u4APQGGKCEJxjydrpnPMTfiNNvroh8VvsN_wjkq3q=w1200|https://lh3.googleusercontent.com/pw/AP1GczPRWhIZQnJ2pi2bq1jEKOAhXu5IENsWCLSxsDqDwuuEPrhBwRdbqaILDndg2DHLr-IheoluewutG7q8GaOb0"&amp;"YYvmTgo9s-Wa8ExGcvtpCtvahOIWpbH=w1200|https://lh3.googleusercontent.com/pw/AP1GczNV_dJgh5OTB6SLWTWCX4vxEJQaIsF3S87Gya8BRF27YdHMb9QC36zx1UF1kBSnQ3KHwsBbOgCZ1UNKyR2eGAlMG6j-8y9tSfB7Uw3atTMx1kHjCMUd=w1200|https://lh3.googleusercontent.com/pw/AP1GczMY93156XYV"&amp;"a1zKvcTRDr0QFvWBLbzCOIAGseDkcWHKaaOhfBjujIl51GaeHeUOJbNKR3iA_FGkTPCDxW_a2nMtm2iE7mAGg0-hnvqrybaRvIO6UBCr=w1200|https://lh3.googleusercontent.com/pw/AP1GczMMwKXCMbF9-zox8KRbB3u_i4Ddo4Fvw5Ydc6sQrTKB5Bk_vWuq2-BaGYv6S7ZXyStmx-QZtCy4-EUaSR5Q0Omr-SC3H-sTQ6chbWY"&amp;"l4ppfjGuQ3T4-=w1200|https://lh3.googleusercontent.com/pw/AP1GczNePKOD6o6M_Eq3jd7pjsKaiTTzxRgQdB6a7CpPMrfKEpGQCX7jcjeHc7cM7r1DM6PAMq47ZXRXKjgIpeq34D6udFmbuy-j1jaHxKtStVQKk9we-RnD=w1200")</f>
        <v>https://lh3.googleusercontent.com/pw/AP1GczPTm8mY_iwPgBlqavIwbbIuOfy2mRw46YQeeJDyjXaVOjkFtudY-4ABfpJvMjgOCQBZQHL70uVfcISNyyUGKm7ZI-_uvy9nLUYcBAAw9jfll_EZCAc3=w1200|https://lh3.googleusercontent.com/pw/AP1GczOuDGjIiYgbG_ayE_U37zgSrIRy_jpp2gTe6j1dNmjJ-r4juNeFJWc6uull7YCT2zAl02g9sMkRDlCWkn3g-zDfkVlxgCmvPRxFPKauldTRrwsTogW8=w1200|https://lh3.googleusercontent.com/pw/AP1GczMcuitbuSQPGzzTXEnsxFudSdbnq4zzxe_UiFUGou3Y6NkSKFjddbDXJgUMh_wfG-8Un2VINz8-Sf0aqOHf251xjDuGDOhBSyQSVJBxTXoy-uLqw5o0=w1200|https://lh3.googleusercontent.com/pw/AP1GczNx74Rf_mtjYTLj_4Owg-UZZwHJgVd74FW1UG_fz7udivQnuSGX8k4QhZsPMCtgw3eEKHs8fIoSIdcixkdM39sSxEnXi-5l26zrzM4xdR30O7g4sKzX=w1200|https://lh3.googleusercontent.com/pw/AP1GczPzQxt725j8nv3-FYITtSO6ZujrIIKCswmpxz3kodh2MUv8oI_oJ1dMzLCwlQKAy3mZrx3LyzGyQK8wvB1Jih8W8FQN2NG_sVqhvixsqwGH39JNC8Q5=w1200|https://lh3.googleusercontent.com/pw/AP1GczPBZNOnx56IWbJJn7NiuIq4J-jNMbqQAtT5SDutoY3WUKActymeFRHf0E9ksUf0iBFBKbtkM-qkyixnDQvFgTv4tSWu3jafP2OkZkCWwsK1wfmkt-Av=w1200|https://lh3.googleusercontent.com/pw/AP1GczOfVDk0kibKix2jJxbMAcGjRBxoQl8PjhYKww8Py8bK6VhdplpKMMrH8_fafwJK2p7wnnAvkxD4xlPYH7OE6YpYwji1kfzoPvJbBbFIhYx-TobtDZqn=w1200|https://lh3.googleusercontent.com/pw/AP1GczM0R8K6cYBfT-MOhBMPBdaSHLDDxhKwmbI5bqw0LEy0UyRZv7Alv9BA0_MLfCSo-yN9qPjmPZx4Pu1gC2cJaW1iW2z4_ESHPboaZpZ_10JBUEslFQHs=w1200|https://lh3.googleusercontent.com/pw/AP1GczMrVSCXioNc-aeoEb5kWjg-Ra_d-9uEH1wTcbivJ5xePuymWa4w_mrzpUkUkUIcjgOGvH_tlMiqXawTpVyqetUFgFu-VxgXznyIJpDVCIoyex4mV3mc=w1200|https://lh3.googleusercontent.com/pw/AP1GczOZZT0O7llN7oPOJ7mQFLiO4xTBdIuKhQJCCJZwtOsKCHm-EBnlgZbttvduhjDA03GiY7Q64E7sTaqEcAKjyN_QzLelgiZNwsZzYBNjDCCpl0AD_vrL=w1200|https://lh3.googleusercontent.com/pw/AP1GczOi1JPlacyjG_5ebJVaqdNBdaqPz6MPcFPfU7s4FeL2DnkgnQsyTwws9jeBjM11Czs7zvGKf-xvYuFIfG6Lhg351kN_xDES95OLFa8R-zcrZNHkX4L3=w1200|https://lh3.googleusercontent.com/pw/AP1GczPn4CB_Cl6IvCcQSOiNCipiqAqHNoooncbLQabIgHmLXZWCYqvQtvLNioV6px4wd6hbs9WCOuF0hFkj9KZ4IYvdhPkHd2Vqkd1QimUsb0JaMHqe14o-=w1200|https://lh3.googleusercontent.com/pw/AP1GczPIil6IU7_2c_7LacLg9DiyVCvTUTkZtlcqLVJsoXmROPyHbN_g6Rg2sqhmqzjs2Zrnbpod6kFd4AeN02_IaBoO2QKfhx9HQjo5AyUkyZGBOd7Qs-4z=w1200|https://lh3.googleusercontent.com/pw/AP1GczO0mQyjtd7MWXlCyqNwAA7S3RW_nJZhVSk38Xhq8-oeyejSEXTz2XNMSgwAxlpKjzv4ksI09qaF85bqaDdkM8kZ0jPpKdEwFd9GskExyKQqiKHHr0ap=w1200|https://lh3.googleusercontent.com/pw/AP1GczMbQROd9mAbSBO1WWxsZ8yxt2zPRbxoRhbxkKCMwif7_CHRQ_gx6ZwL25LWMKS7V2Qigc-pMAMah-OSvALECLwkIuNTY_qs2Fonyz_X2f3G-PJ9tFZL=w1200|https://lh3.googleusercontent.com/pw/AP1GczMj7hElf5rdryb6cVIxDZkdG1r9TRgDZikLyX8Rq_6Lr5iu51KMpLMBdSBLrx-iiH3ANf3unMNx9pvbzMbQopCzTMFsFlin-LDQzHoTTJQmoZ1nP2nb=w1200|https://lh3.googleusercontent.com/pw/AP1GczPCi2gkVftCr_JLAjwYWAnvi5DVsgnlMN-GPrWpSf-vazjaWz_qdO0bDjKiYNljiwk6YT9sIyasSg5yHSl5qhCr0ueKtCiBJT0GaqB0f1KJiJNZkI_t=w1200|https://lh3.googleusercontent.com/pw/AP1GczOAIUaaJKfLRBNhcOotaFLoE7Gabx8GG11xjCJKXnS_9tl8ip_K1TQ6vb-WEIcT8IoRp80iMDYjo33BRRwHmdQsLoSkuLOAnHH--ntbmdevTuK9AcuT=w1200|https://lh3.googleusercontent.com/pw/AP1GczMsvta_VtWKTl5FVtespXuimy6Todhe9MSTKbK-sTmJ6H-n6kBJBUNBoOto_sfg-lfaWa_Ay6oSAvZE8JlILF0IBQak1ziWP2dp6IdZufwml_o34jBv=w1200|https://lh3.googleusercontent.com/pw/AP1GczOrtf8NOTYU7x-n_fgNGM5t5A-9C69Unu-igzB0OTQZpjhdzPyrqmsOqMUQDYga8mgeoU4FtU4QgkPpNWFWujI-QMlxiiuCeA4nNMuAit2ezwXlvl6K=w1200|https://lh3.googleusercontent.com/pw/AP1GczO0b5eZ0VeODgjfQyhmWK6rkpM9_XY1mOfpfFGAIVrIXqXM6Xc-orTxPmWc4GSe0kpzaQQe2e2u4APQGGKCEJxjydrpnPMTfiNNvroh8VvsN_wjkq3q=w1200|https://lh3.googleusercontent.com/pw/AP1GczPRWhIZQnJ2pi2bq1jEKOAhXu5IENsWCLSxsDqDwuuEPrhBwRdbqaILDndg2DHLr-IheoluewutG7q8GaOb0YYvmTgo9s-Wa8ExGcvtpCtvahOIWpbH=w1200|https://lh3.googleusercontent.com/pw/AP1GczNV_dJgh5OTB6SLWTWCX4vxEJQaIsF3S87Gya8BRF27YdHMb9QC36zx1UF1kBSnQ3KHwsBbOgCZ1UNKyR2eGAlMG6j-8y9tSfB7Uw3atTMx1kHjCMUd=w1200|https://lh3.googleusercontent.com/pw/AP1GczMY93156XYVa1zKvcTRDr0QFvWBLbzCOIAGseDkcWHKaaOhfBjujIl51GaeHeUOJbNKR3iA_FGkTPCDxW_a2nMtm2iE7mAGg0-hnvqrybaRvIO6UBCr=w1200|https://lh3.googleusercontent.com/pw/AP1GczMMwKXCMbF9-zox8KRbB3u_i4Ddo4Fvw5Ydc6sQrTKB5Bk_vWuq2-BaGYv6S7ZXyStmx-QZtCy4-EUaSR5Q0Omr-SC3H-sTQ6chbWYl4ppfjGuQ3T4-=w1200|https://lh3.googleusercontent.com/pw/AP1GczNePKOD6o6M_Eq3jd7pjsKaiTTzxRgQdB6a7CpPMrfKEpGQCX7jcjeHc7cM7r1DM6PAMq47ZXRXKjgIpeq34D6udFmbuy-j1jaHxKtStVQKk9we-RnD=w1200</v>
      </c>
    </row>
    <row r="274">
      <c r="A274" s="39" t="str">
        <f>IFERROR(__xludf.DUMMYFUNCTION("""COMPUTED_VALUE"""),"429")</f>
        <v>429</v>
      </c>
      <c r="B274" s="40" t="str">
        <f>IFERROR(__xludf.DUMMYFUNCTION("""COMPUTED_VALUE"""),"Casa con dos apartamentos en barrio La Toma")</f>
        <v>Casa con dos apartamentos en barrio La Toma</v>
      </c>
      <c r="C274" s="40" t="str">
        <f>IFERROR(__xludf.DUMMYFUNCTION("""COMPUTED_VALUE"""),"Casa rentable")</f>
        <v>Casa rentable</v>
      </c>
      <c r="D274" s="40" t="str">
        <f>IFERROR(__xludf.DUMMYFUNCTION("""COMPUTED_VALUE"""),"La Toma")</f>
        <v>La Toma</v>
      </c>
      <c r="E274" s="40"/>
      <c r="F274" s="42">
        <f>IFERROR(__xludf.DUMMYFUNCTION("""COMPUTED_VALUE"""),9.3E8)</f>
        <v>930000000</v>
      </c>
      <c r="G274" s="40" t="str">
        <f>IFERROR(__xludf.DUMMYFUNCTION("""COMPUTED_VALUE"""),"$500'000.000 a $1.000'000.000")</f>
        <v>$500'000.000 a $1.000'000.000</v>
      </c>
      <c r="H274" s="40"/>
      <c r="I274" s="40"/>
      <c r="J274" s="40" t="str">
        <f>IFERROR(__xludf.DUMMYFUNCTION("""COMPUTED_VALUE"""),"Centro")</f>
        <v>Centro</v>
      </c>
      <c r="K274" s="39" t="str">
        <f>IFERROR(__xludf.DUMMYFUNCTION("""COMPUTED_VALUE"""),"3")</f>
        <v>3</v>
      </c>
      <c r="L274" s="40">
        <f>IFERROR(__xludf.DUMMYFUNCTION("""COMPUTED_VALUE"""),0.0)</f>
        <v>0</v>
      </c>
      <c r="M274" s="40"/>
      <c r="N274" s="40">
        <f>IFERROR(__xludf.DUMMYFUNCTION("""COMPUTED_VALUE"""),0.0)</f>
        <v>0</v>
      </c>
      <c r="O274" s="40">
        <f>IFERROR(__xludf.DUMMYFUNCTION("""COMPUTED_VALUE"""),0.0)</f>
        <v>0</v>
      </c>
      <c r="P274" s="40">
        <f>IFERROR(__xludf.DUMMYFUNCTION("""COMPUTED_VALUE"""),2.0)</f>
        <v>2</v>
      </c>
      <c r="Q274" s="48"/>
      <c r="R274" s="48">
        <f>IFERROR(__xludf.DUMMYFUNCTION("""COMPUTED_VALUE"""),238.0)</f>
        <v>238</v>
      </c>
      <c r="S274" s="39" t="str">
        <f>IFERROR(__xludf.DUMMYFUNCTION("""COMPUTED_VALUE""")," ")</f>
        <v> </v>
      </c>
      <c r="T274" s="40" t="str">
        <f>IFERROR(__xludf.DUMMYFUNCTION("""COMPUTED_VALUE"""),"Neiva")</f>
        <v>Neiva</v>
      </c>
      <c r="U274" s="39" t="str">
        <f>IFERROR(__xludf.DUMMYFUNCTION("""COMPUTED_VALUE"""),"3")</f>
        <v>3</v>
      </c>
      <c r="V274" s="40"/>
      <c r="W274" s="46"/>
      <c r="X274" s="46">
        <f>IFERROR(__xludf.DUMMYFUNCTION("""COMPUTED_VALUE"""),0.0)</f>
        <v>0</v>
      </c>
      <c r="Y274" s="40" t="str">
        <f>IFERROR(__xludf.DUMMYFUNCTION("""COMPUTED_VALUE"""),"No tiene")</f>
        <v>No tiene</v>
      </c>
      <c r="Z274" s="42" t="str">
        <f>IFERROR(__xludf.DUMMYFUNCTION("""COMPUTED_VALUE"""),"No aplica")</f>
        <v>No aplica</v>
      </c>
      <c r="AA274" s="49" t="str">
        <f>IFERROR(__xludf.DUMMYFUNCTION("""COMPUTED_VALUE"""),"No aplica")</f>
        <v>No aplica</v>
      </c>
      <c r="AB274" s="40"/>
      <c r="AC274" s="40"/>
      <c r="AD274" s="40"/>
      <c r="AE274" s="40"/>
      <c r="AF274" s="40" t="str">
        <f>IFERROR(__xludf.DUMMYFUNCTION("""COMPUTED_VALUE"""),"0")</f>
        <v>0</v>
      </c>
      <c r="AG274" s="40"/>
      <c r="AH274" s="40" t="str">
        <f>IFERROR(__xludf.DUMMYFUNCTION("""COMPUTED_VALUE"""),"Inventario")</f>
        <v>Inventario</v>
      </c>
      <c r="AI274" s="40"/>
      <c r="AJ274" s="40" t="str">
        <f>IFERROR(__xludf.DUMMYFUNCTION("""COMPUTED_VALUE"""),"Sergio - TU JURIDICA")</f>
        <v>Sergio - TU JURIDICA</v>
      </c>
      <c r="AK274" s="42" t="str">
        <f>IFERROR(__xludf.DUMMYFUNCTION("""COMPUTED_VALUE"""),"No aplica")</f>
        <v>No aplica</v>
      </c>
      <c r="AL274" s="40" t="str">
        <f>IFERROR(__xludf.DUMMYFUNCTION("""COMPUTED_VALUE"""),"NO FOTOS + DESCRIPCION")</f>
        <v>NO FOTOS + DESCRIPCION</v>
      </c>
      <c r="AM274" s="40">
        <f>IFERROR(__xludf.DUMMYFUNCTION("""COMPUTED_VALUE"""),3.125062334E9)</f>
        <v>3125062334</v>
      </c>
      <c r="AN274" s="40">
        <f>IFERROR(__xludf.DUMMYFUNCTION("""COMPUTED_VALUE"""),0.0)</f>
        <v>0</v>
      </c>
      <c r="AO274" s="40" t="str">
        <f>IFERROR(__xludf.DUMMYFUNCTION("""COMPUTED_VALUE"""),"tu juridica")</f>
        <v>tu juridica</v>
      </c>
      <c r="AP274" s="40">
        <f>IFERROR(__xludf.DUMMYFUNCTION("""COMPUTED_VALUE"""),0.0)</f>
        <v>0</v>
      </c>
      <c r="AQ274" s="40"/>
      <c r="AR274" s="40"/>
      <c r="AS274" s="53">
        <f>IFERROR(__xludf.DUMMYFUNCTION("""COMPUTED_VALUE"""),0.0)</f>
        <v>0</v>
      </c>
      <c r="AT274" s="40">
        <f>IFERROR(__xludf.DUMMYFUNCTION("""COMPUTED_VALUE"""),0.0)</f>
        <v>0</v>
      </c>
      <c r="AU274" s="40">
        <f>IFERROR(__xludf.DUMMYFUNCTION("""COMPUTED_VALUE"""),0.0)</f>
        <v>0</v>
      </c>
      <c r="AV274" s="40">
        <f>IFERROR(__xludf.DUMMYFUNCTION("""COMPUTED_VALUE"""),0.0)</f>
        <v>0</v>
      </c>
      <c r="AW274" s="40" t="str">
        <f>IFERROR(__xludf.DUMMYFUNCTION("""COMPUTED_VALUE"""),"NO")</f>
        <v>NO</v>
      </c>
      <c r="AX274" s="40">
        <f>IFERROR(__xludf.DUMMYFUNCTION("""COMPUTED_VALUE"""),0.0)</f>
        <v>0</v>
      </c>
      <c r="AY274" s="40" t="str">
        <f>IFERROR(__xludf.DUMMYFUNCTION("""COMPUTED_VALUE"""),"P")</f>
        <v>P</v>
      </c>
      <c r="AZ274" s="40">
        <f>IFERROR(__xludf.DUMMYFUNCTION("""COMPUTED_VALUE"""),0.0)</f>
        <v>0</v>
      </c>
      <c r="BA274" s="40" t="str">
        <f>IFERROR(__xludf.DUMMYFUNCTION("""COMPUTED_VALUE"""),"X")</f>
        <v>X</v>
      </c>
      <c r="BB274" s="40">
        <f>IFERROR(__xludf.DUMMYFUNCTION("""COMPUTED_VALUE"""),0.0)</f>
        <v>0</v>
      </c>
      <c r="BC274" s="53" t="str">
        <f>IFERROR(__xludf.DUMMYFUNCTION("""COMPUTED_VALUE"""),"19 - PRUEBA v, 26 - NINI CASTAÑO")</f>
        <v>19 - PRUEBA v, 26 - NINI CASTAÑO</v>
      </c>
      <c r="BD274" s="48"/>
      <c r="BE274" s="48"/>
      <c r="BF274" s="48"/>
    </row>
    <row r="275">
      <c r="A275" s="39" t="str">
        <f>IFERROR(__xludf.DUMMYFUNCTION("""COMPUTED_VALUE"""),"390")</f>
        <v>390</v>
      </c>
      <c r="B275" s="40" t="str">
        <f>IFERROR(__xludf.DUMMYFUNCTION("""COMPUTED_VALUE"""),"Casa en barrio Quirinal")</f>
        <v>Casa en barrio Quirinal</v>
      </c>
      <c r="C275" s="40" t="str">
        <f>IFERROR(__xludf.DUMMYFUNCTION("""COMPUTED_VALUE"""),"Casa")</f>
        <v>Casa</v>
      </c>
      <c r="D275" s="40" t="str">
        <f>IFERROR(__xludf.DUMMYFUNCTION("""COMPUTED_VALUE"""),"Quirinal")</f>
        <v>Quirinal</v>
      </c>
      <c r="E275" s="40"/>
      <c r="F275" s="42">
        <f>IFERROR(__xludf.DUMMYFUNCTION("""COMPUTED_VALUE"""),1.5E9)</f>
        <v>1500000000</v>
      </c>
      <c r="G275" s="40" t="str">
        <f>IFERROR(__xludf.DUMMYFUNCTION("""COMPUTED_VALUE"""),"Más de $1.000'000.000")</f>
        <v>Más de $1.000'000.000</v>
      </c>
      <c r="H275" s="40"/>
      <c r="I275" s="40"/>
      <c r="J275" s="40" t="str">
        <f>IFERROR(__xludf.DUMMYFUNCTION("""COMPUTED_VALUE"""),"Centro")</f>
        <v>Centro</v>
      </c>
      <c r="K275" s="39" t="str">
        <f>IFERROR(__xludf.DUMMYFUNCTION("""COMPUTED_VALUE"""),"3")</f>
        <v>3</v>
      </c>
      <c r="L275" s="40">
        <f>IFERROR(__xludf.DUMMYFUNCTION("""COMPUTED_VALUE"""),15.0)</f>
        <v>15</v>
      </c>
      <c r="M275" s="40"/>
      <c r="N275" s="40">
        <f>IFERROR(__xludf.DUMMYFUNCTION("""COMPUTED_VALUE"""),4.0)</f>
        <v>4</v>
      </c>
      <c r="O275" s="40">
        <f>IFERROR(__xludf.DUMMYFUNCTION("""COMPUTED_VALUE"""),1.0)</f>
        <v>1</v>
      </c>
      <c r="P275" s="40">
        <f>IFERROR(__xludf.DUMMYFUNCTION("""COMPUTED_VALUE"""),2.0)</f>
        <v>2</v>
      </c>
      <c r="Q275" s="48"/>
      <c r="R275" s="48">
        <f>IFERROR(__xludf.DUMMYFUNCTION("""COMPUTED_VALUE"""),344.9)</f>
        <v>344.9</v>
      </c>
      <c r="S275" s="39" t="str">
        <f>IFERROR(__xludf.DUMMYFUNCTION("""COMPUTED_VALUE""")," ")</f>
        <v> </v>
      </c>
      <c r="T275" s="40" t="str">
        <f>IFERROR(__xludf.DUMMYFUNCTION("""COMPUTED_VALUE"""),"Neiva")</f>
        <v>Neiva</v>
      </c>
      <c r="U275" s="39"/>
      <c r="V275" s="40" t="str">
        <f>IFERROR(__xludf.DUMMYFUNCTION("""COMPUTED_VALUE"""),"Medianera")</f>
        <v>Medianera</v>
      </c>
      <c r="W275" s="46"/>
      <c r="X275" s="46">
        <f>IFERROR(__xludf.DUMMYFUNCTION("""COMPUTED_VALUE"""),0.0)</f>
        <v>0</v>
      </c>
      <c r="Y275" s="40" t="str">
        <f>IFERROR(__xludf.DUMMYFUNCTION("""COMPUTED_VALUE"""),"No tiene")</f>
        <v>No tiene</v>
      </c>
      <c r="Z275" s="42" t="str">
        <f>IFERROR(__xludf.DUMMYFUNCTION("""COMPUTED_VALUE"""),"No aplica")</f>
        <v>No aplica</v>
      </c>
      <c r="AA275" s="49" t="str">
        <f>IFERROR(__xludf.DUMMYFUNCTION("""COMPUTED_VALUE"""),"No aplica")</f>
        <v>No aplica</v>
      </c>
      <c r="AB275" s="48"/>
      <c r="AC275" s="40"/>
      <c r="AD275" s="40"/>
      <c r="AE275" s="40"/>
      <c r="AF275" s="40" t="str">
        <f>IFERROR(__xludf.DUMMYFUNCTION("""COMPUTED_VALUE"""),"semi-integral")</f>
        <v>semi-integral</v>
      </c>
      <c r="AG275" s="40"/>
      <c r="AH275" s="40" t="str">
        <f>IFERROR(__xludf.DUMMYFUNCTION("""COMPUTED_VALUE"""),"Inventario")</f>
        <v>Inventario</v>
      </c>
      <c r="AI275" s="40"/>
      <c r="AJ275" s="40" t="str">
        <f>IFERROR(__xludf.DUMMYFUNCTION("""COMPUTED_VALUE"""),"yatrana-Felix T")</f>
        <v>yatrana-Felix T</v>
      </c>
      <c r="AK275" s="40" t="str">
        <f>IFERROR(__xludf.DUMMYFUNCTION("""COMPUTED_VALUE"""),"No aplica")</f>
        <v>No aplica</v>
      </c>
      <c r="AL275" s="40" t="str">
        <f>IFERROR(__xludf.DUMMYFUNCTION("""COMPUTED_VALUE"""),"NO FOTOS + DESCRIPCION")</f>
        <v>NO FOTOS + DESCRIPCION</v>
      </c>
      <c r="AM275" s="40">
        <f>IFERROR(__xludf.DUMMYFUNCTION("""COMPUTED_VALUE"""),0.0)</f>
        <v>0</v>
      </c>
      <c r="AN275" s="40">
        <f>IFERROR(__xludf.DUMMYFUNCTION("""COMPUTED_VALUE"""),0.0)</f>
        <v>0</v>
      </c>
      <c r="AO275" s="40"/>
      <c r="AP275" s="40">
        <f>IFERROR(__xludf.DUMMYFUNCTION("""COMPUTED_VALUE"""),0.0)</f>
        <v>0</v>
      </c>
      <c r="AQ275" s="40"/>
      <c r="AR275" s="40"/>
      <c r="AS275" s="40">
        <f>IFERROR(__xludf.DUMMYFUNCTION("""COMPUTED_VALUE"""),0.0)</f>
        <v>0</v>
      </c>
      <c r="AT275" s="40">
        <f>IFERROR(__xludf.DUMMYFUNCTION("""COMPUTED_VALUE"""),0.0)</f>
        <v>0</v>
      </c>
      <c r="AU275" s="40">
        <f>IFERROR(__xludf.DUMMYFUNCTION("""COMPUTED_VALUE"""),0.0)</f>
        <v>0</v>
      </c>
      <c r="AV275" s="40">
        <f>IFERROR(__xludf.DUMMYFUNCTION("""COMPUTED_VALUE"""),0.0)</f>
        <v>0</v>
      </c>
      <c r="AW275" s="40" t="str">
        <f>IFERROR(__xludf.DUMMYFUNCTION("""COMPUTED_VALUE"""),"NO")</f>
        <v>NO</v>
      </c>
      <c r="AX275" s="40">
        <f>IFERROR(__xludf.DUMMYFUNCTION("""COMPUTED_VALUE"""),0.0)</f>
        <v>0</v>
      </c>
      <c r="AY275" s="40">
        <f>IFERROR(__xludf.DUMMYFUNCTION("""COMPUTED_VALUE"""),0.0)</f>
        <v>0</v>
      </c>
      <c r="AZ275" s="40">
        <f>IFERROR(__xludf.DUMMYFUNCTION("""COMPUTED_VALUE"""),0.0)</f>
        <v>0</v>
      </c>
      <c r="BA275" s="40" t="str">
        <f>IFERROR(__xludf.DUMMYFUNCTION("""COMPUTED_VALUE"""),"X")</f>
        <v>X</v>
      </c>
      <c r="BB275" s="40">
        <f>IFERROR(__xludf.DUMMYFUNCTION("""COMPUTED_VALUE"""),0.0)</f>
        <v>0</v>
      </c>
      <c r="BC275" s="53"/>
      <c r="BD275" s="48"/>
      <c r="BE275" s="48"/>
      <c r="BF275" s="48"/>
    </row>
    <row r="276">
      <c r="A276" s="39" t="str">
        <f>IFERROR(__xludf.DUMMYFUNCTION("""COMPUTED_VALUE"""),"710")</f>
        <v>710</v>
      </c>
      <c r="B276" s="40" t="str">
        <f>IFERROR(__xludf.DUMMYFUNCTION("""COMPUTED_VALUE"""),"Casa en barrio Campo Nuñez - Centro")</f>
        <v>Casa en barrio Campo Nuñez - Centro</v>
      </c>
      <c r="C276" s="40" t="str">
        <f>IFERROR(__xludf.DUMMYFUNCTION("""COMPUTED_VALUE"""),"Casa")</f>
        <v>Casa</v>
      </c>
      <c r="D276" s="40" t="str">
        <f>IFERROR(__xludf.DUMMYFUNCTION("""COMPUTED_VALUE"""),"Campo Nuñez")</f>
        <v>Campo Nuñez</v>
      </c>
      <c r="E276" s="40"/>
      <c r="F276" s="42">
        <f>IFERROR(__xludf.DUMMYFUNCTION("""COMPUTED_VALUE"""),0.0)</f>
        <v>0</v>
      </c>
      <c r="G276" s="40" t="str">
        <f>IFERROR(__xludf.DUMMYFUNCTION("""COMPUTED_VALUE"""),"$0 a $100'000.000")</f>
        <v>$0 a $100'000.000</v>
      </c>
      <c r="H276" s="40"/>
      <c r="I276" s="40"/>
      <c r="J276" s="40" t="str">
        <f>IFERROR(__xludf.DUMMYFUNCTION("""COMPUTED_VALUE"""),"Centro")</f>
        <v>Centro</v>
      </c>
      <c r="K276" s="39" t="str">
        <f>IFERROR(__xludf.DUMMYFUNCTION("""COMPUTED_VALUE"""),"4")</f>
        <v>4</v>
      </c>
      <c r="L276" s="40"/>
      <c r="M276" s="40"/>
      <c r="N276" s="40"/>
      <c r="O276" s="40">
        <f>IFERROR(__xludf.DUMMYFUNCTION("""COMPUTED_VALUE"""),1.0)</f>
        <v>1</v>
      </c>
      <c r="P276" s="40">
        <f>IFERROR(__xludf.DUMMYFUNCTION("""COMPUTED_VALUE"""),1.0)</f>
        <v>1</v>
      </c>
      <c r="Q276" s="48">
        <f>IFERROR(__xludf.DUMMYFUNCTION("""COMPUTED_VALUE"""),0.0)</f>
        <v>0</v>
      </c>
      <c r="R276" s="48">
        <f>IFERROR(__xludf.DUMMYFUNCTION("""COMPUTED_VALUE"""),0.0)</f>
        <v>0</v>
      </c>
      <c r="S276" s="39" t="str">
        <f>IFERROR(__xludf.DUMMYFUNCTION("""COMPUTED_VALUE""")," ")</f>
        <v> </v>
      </c>
      <c r="T276" s="40" t="str">
        <f>IFERROR(__xludf.DUMMYFUNCTION("""COMPUTED_VALUE"""),"Neiva")</f>
        <v>Neiva</v>
      </c>
      <c r="U276" s="39"/>
      <c r="V276" s="40" t="str">
        <f>IFERROR(__xludf.DUMMYFUNCTION("""COMPUTED_VALUE"""),"Medianera")</f>
        <v>Medianera</v>
      </c>
      <c r="W276" s="46"/>
      <c r="X276" s="46"/>
      <c r="Y276" s="40"/>
      <c r="Z276" s="42"/>
      <c r="AA276" s="49" t="str">
        <f>IFERROR(__xludf.DUMMYFUNCTION("""COMPUTED_VALUE"""),"No aplica")</f>
        <v>No aplica</v>
      </c>
      <c r="AB276" s="48"/>
      <c r="AC276" s="40"/>
      <c r="AD276" s="40"/>
      <c r="AE276" s="40"/>
      <c r="AF276" s="40"/>
      <c r="AG276" s="40"/>
      <c r="AH276" s="40" t="str">
        <f>IFERROR(__xludf.DUMMYFUNCTION("""COMPUTED_VALUE"""),"Inventario")</f>
        <v>Inventario</v>
      </c>
      <c r="AI276" s="40"/>
      <c r="AJ276" s="40"/>
      <c r="AK276" s="40"/>
      <c r="AL276" s="40"/>
      <c r="AM276" s="40">
        <f>IFERROR(__xludf.DUMMYFUNCTION("""COMPUTED_VALUE"""),3.002105053E9)</f>
        <v>3002105053</v>
      </c>
      <c r="AN276" s="40"/>
      <c r="AO276" s="40"/>
      <c r="AP276" s="40"/>
      <c r="AQ276" s="40"/>
      <c r="AR276" s="40"/>
      <c r="AS276" s="53"/>
      <c r="AT276" s="40"/>
      <c r="AU276" s="40"/>
      <c r="AV276" s="40"/>
      <c r="AW276" s="40"/>
      <c r="AX276" s="40"/>
      <c r="AY276" s="40"/>
      <c r="AZ276" s="40"/>
      <c r="BA276" s="40" t="str">
        <f>IFERROR(__xludf.DUMMYFUNCTION("""COMPUTED_VALUE"""),"X")</f>
        <v>X</v>
      </c>
      <c r="BB276" s="40"/>
      <c r="BC276" s="53" t="str">
        <f>IFERROR(__xludf.DUMMYFUNCTION("""COMPUTED_VALUE"""),"12 - LEIDY YULIETH, 20 - SAMADHI RODRIGUEZ")</f>
        <v>12 - LEIDY YULIETH, 20 - SAMADHI RODRIGUEZ</v>
      </c>
      <c r="BD276" s="48"/>
      <c r="BE276" s="48"/>
      <c r="BF276" s="48"/>
    </row>
    <row r="277">
      <c r="A277" s="39" t="str">
        <f>IFERROR(__xludf.DUMMYFUNCTION("""COMPUTED_VALUE"""),"709")</f>
        <v>709</v>
      </c>
      <c r="B277" s="40" t="str">
        <f>IFERROR(__xludf.DUMMYFUNCTION("""COMPUTED_VALUE"""),"Casa en barrio Campo Nuñez - Centro")</f>
        <v>Casa en barrio Campo Nuñez - Centro</v>
      </c>
      <c r="C277" s="40" t="str">
        <f>IFERROR(__xludf.DUMMYFUNCTION("""COMPUTED_VALUE"""),"Casa")</f>
        <v>Casa</v>
      </c>
      <c r="D277" s="40" t="str">
        <f>IFERROR(__xludf.DUMMYFUNCTION("""COMPUTED_VALUE"""),"Campo Nuñez")</f>
        <v>Campo Nuñez</v>
      </c>
      <c r="E277" s="40"/>
      <c r="F277" s="42">
        <f>IFERROR(__xludf.DUMMYFUNCTION("""COMPUTED_VALUE"""),0.0)</f>
        <v>0</v>
      </c>
      <c r="G277" s="40" t="str">
        <f>IFERROR(__xludf.DUMMYFUNCTION("""COMPUTED_VALUE"""),"$0 a $100'000.000")</f>
        <v>$0 a $100'000.000</v>
      </c>
      <c r="H277" s="40"/>
      <c r="I277" s="40"/>
      <c r="J277" s="40" t="str">
        <f>IFERROR(__xludf.DUMMYFUNCTION("""COMPUTED_VALUE"""),"Centro")</f>
        <v>Centro</v>
      </c>
      <c r="K277" s="39" t="str">
        <f>IFERROR(__xludf.DUMMYFUNCTION("""COMPUTED_VALUE"""),"4")</f>
        <v>4</v>
      </c>
      <c r="L277" s="40"/>
      <c r="M277" s="40"/>
      <c r="N277" s="40"/>
      <c r="O277" s="40"/>
      <c r="P277" s="40">
        <f>IFERROR(__xludf.DUMMYFUNCTION("""COMPUTED_VALUE"""),1.0)</f>
        <v>1</v>
      </c>
      <c r="Q277" s="48">
        <f>IFERROR(__xludf.DUMMYFUNCTION("""COMPUTED_VALUE"""),0.0)</f>
        <v>0</v>
      </c>
      <c r="R277" s="48">
        <f>IFERROR(__xludf.DUMMYFUNCTION("""COMPUTED_VALUE"""),210.0)</f>
        <v>210</v>
      </c>
      <c r="S277" s="39" t="str">
        <f>IFERROR(__xludf.DUMMYFUNCTION("""COMPUTED_VALUE""")," ")</f>
        <v> </v>
      </c>
      <c r="T277" s="40" t="str">
        <f>IFERROR(__xludf.DUMMYFUNCTION("""COMPUTED_VALUE"""),"Neiva")</f>
        <v>Neiva</v>
      </c>
      <c r="U277" s="39"/>
      <c r="V277" s="40" t="str">
        <f>IFERROR(__xludf.DUMMYFUNCTION("""COMPUTED_VALUE"""),"Esquinera")</f>
        <v>Esquinera</v>
      </c>
      <c r="W277" s="46"/>
      <c r="X277" s="46"/>
      <c r="Y277" s="40"/>
      <c r="Z277" s="42"/>
      <c r="AA277" s="49" t="str">
        <f>IFERROR(__xludf.DUMMYFUNCTION("""COMPUTED_VALUE"""),"No aplica")</f>
        <v>No aplica</v>
      </c>
      <c r="AB277" s="48"/>
      <c r="AC277" s="40"/>
      <c r="AD277" s="40"/>
      <c r="AE277" s="40"/>
      <c r="AF277" s="40"/>
      <c r="AG277" s="40"/>
      <c r="AH277" s="40" t="str">
        <f>IFERROR(__xludf.DUMMYFUNCTION("""COMPUTED_VALUE"""),"Inventario")</f>
        <v>Inventario</v>
      </c>
      <c r="AI277" s="40"/>
      <c r="AJ277" s="40"/>
      <c r="AK277" s="40"/>
      <c r="AL277" s="40"/>
      <c r="AM277" s="40">
        <f>IFERROR(__xludf.DUMMYFUNCTION("""COMPUTED_VALUE"""),3.103873943E9)</f>
        <v>3103873943</v>
      </c>
      <c r="AN277" s="40"/>
      <c r="AO277" s="40"/>
      <c r="AP277" s="40"/>
      <c r="AQ277" s="40"/>
      <c r="AR277" s="40"/>
      <c r="AS277" s="53"/>
      <c r="AT277" s="40"/>
      <c r="AU277" s="40"/>
      <c r="AV277" s="40"/>
      <c r="AW277" s="40"/>
      <c r="AX277" s="40"/>
      <c r="AY277" s="40"/>
      <c r="AZ277" s="40"/>
      <c r="BA277" s="40" t="str">
        <f>IFERROR(__xludf.DUMMYFUNCTION("""COMPUTED_VALUE"""),"X")</f>
        <v>X</v>
      </c>
      <c r="BB277" s="40"/>
      <c r="BC277" s="53"/>
      <c r="BD277" s="48"/>
      <c r="BE277" s="48"/>
      <c r="BF277" s="48"/>
    </row>
    <row r="278">
      <c r="A278" s="39" t="str">
        <f>IFERROR(__xludf.DUMMYFUNCTION("""COMPUTED_VALUE"""),"708")</f>
        <v>708</v>
      </c>
      <c r="B278" s="40" t="str">
        <f>IFERROR(__xludf.DUMMYFUNCTION("""COMPUTED_VALUE"""),"Apartamento en barrio La Toma")</f>
        <v>Apartamento en barrio La Toma</v>
      </c>
      <c r="C278" s="40" t="str">
        <f>IFERROR(__xludf.DUMMYFUNCTION("""COMPUTED_VALUE"""),"Apartamento")</f>
        <v>Apartamento</v>
      </c>
      <c r="D278" s="40" t="str">
        <f>IFERROR(__xludf.DUMMYFUNCTION("""COMPUTED_VALUE"""),"La Toma")</f>
        <v>La Toma</v>
      </c>
      <c r="E278" s="40"/>
      <c r="F278" s="42">
        <f>IFERROR(__xludf.DUMMYFUNCTION("""COMPUTED_VALUE"""),0.0)</f>
        <v>0</v>
      </c>
      <c r="G278" s="40" t="str">
        <f>IFERROR(__xludf.DUMMYFUNCTION("""COMPUTED_VALUE"""),"$0 a $100'000.000")</f>
        <v>$0 a $100'000.000</v>
      </c>
      <c r="H278" s="40"/>
      <c r="I278" s="40"/>
      <c r="J278" s="40" t="str">
        <f>IFERROR(__xludf.DUMMYFUNCTION("""COMPUTED_VALUE"""),"Centro")</f>
        <v>Centro</v>
      </c>
      <c r="K278" s="39" t="str">
        <f>IFERROR(__xludf.DUMMYFUNCTION("""COMPUTED_VALUE"""),"4")</f>
        <v>4</v>
      </c>
      <c r="L278" s="40">
        <f>IFERROR(__xludf.DUMMYFUNCTION("""COMPUTED_VALUE"""),4.0)</f>
        <v>4</v>
      </c>
      <c r="M278" s="40"/>
      <c r="N278" s="40">
        <f>IFERROR(__xludf.DUMMYFUNCTION("""COMPUTED_VALUE"""),2.0)</f>
        <v>2</v>
      </c>
      <c r="O278" s="40">
        <f>IFERROR(__xludf.DUMMYFUNCTION("""COMPUTED_VALUE"""),1.0)</f>
        <v>1</v>
      </c>
      <c r="P278" s="40">
        <f>IFERROR(__xludf.DUMMYFUNCTION("""COMPUTED_VALUE"""),2.0)</f>
        <v>2</v>
      </c>
      <c r="Q278" s="48">
        <f>IFERROR(__xludf.DUMMYFUNCTION("""COMPUTED_VALUE"""),160.0)</f>
        <v>160</v>
      </c>
      <c r="R278" s="48">
        <f>IFERROR(__xludf.DUMMYFUNCTION("""COMPUTED_VALUE"""),160.0)</f>
        <v>160</v>
      </c>
      <c r="S278" s="39" t="str">
        <f>IFERROR(__xludf.DUMMYFUNCTION("""COMPUTED_VALUE""")," ")</f>
        <v> </v>
      </c>
      <c r="T278" s="40" t="str">
        <f>IFERROR(__xludf.DUMMYFUNCTION("""COMPUTED_VALUE"""),"Neiva")</f>
        <v>Neiva</v>
      </c>
      <c r="U278" s="39" t="str">
        <f>IFERROR(__xludf.DUMMYFUNCTION("""COMPUTED_VALUE"""),"3")</f>
        <v>3</v>
      </c>
      <c r="V278" s="40" t="str">
        <f>IFERROR(__xludf.DUMMYFUNCTION("""COMPUTED_VALUE"""),"2do.")</f>
        <v>2do.</v>
      </c>
      <c r="W278" s="46"/>
      <c r="X278" s="46"/>
      <c r="Y278" s="40"/>
      <c r="Z278" s="42"/>
      <c r="AA278" s="49" t="str">
        <f>IFERROR(__xludf.DUMMYFUNCTION("""COMPUTED_VALUE"""),"No aplica")</f>
        <v>No aplica</v>
      </c>
      <c r="AB278" s="48"/>
      <c r="AC278" s="40"/>
      <c r="AD278" s="40"/>
      <c r="AE278" s="40"/>
      <c r="AF278" s="40"/>
      <c r="AG278" s="40"/>
      <c r="AH278" s="40" t="str">
        <f>IFERROR(__xludf.DUMMYFUNCTION("""COMPUTED_VALUE"""),"Inventario")</f>
        <v>Inventario</v>
      </c>
      <c r="AI278" s="40"/>
      <c r="AJ278" s="40"/>
      <c r="AK278" s="40"/>
      <c r="AL278" s="40"/>
      <c r="AM278" s="40">
        <f>IFERROR(__xludf.DUMMYFUNCTION("""COMPUTED_VALUE"""),3.153242863E9)</f>
        <v>3153242863</v>
      </c>
      <c r="AN278" s="40" t="str">
        <f>IFERROR(__xludf.DUMMYFUNCTION("""COMPUTED_VALUE"""),"3176480614-3174402096")</f>
        <v>3176480614-3174402096</v>
      </c>
      <c r="AO278" s="40"/>
      <c r="AP278" s="40" t="str">
        <f>IFERROR(__xludf.DUMMYFUNCTION("""COMPUTED_VALUE"""),"Carrera 8 # 15 - 57")</f>
        <v>Carrera 8 # 15 - 57</v>
      </c>
      <c r="AQ278" s="40"/>
      <c r="AR278" s="40"/>
      <c r="AS278" s="53"/>
      <c r="AT278" s="40"/>
      <c r="AU278" s="40"/>
      <c r="AV278" s="40"/>
      <c r="AW278" s="40"/>
      <c r="AX278" s="40"/>
      <c r="AY278" s="40"/>
      <c r="AZ278" s="40"/>
      <c r="BA278" s="40" t="str">
        <f>IFERROR(__xludf.DUMMYFUNCTION("""COMPUTED_VALUE"""),"X")</f>
        <v>X</v>
      </c>
      <c r="BB278" s="40"/>
      <c r="BC278" s="53" t="str">
        <f>IFERROR(__xludf.DUMMYFUNCTION("""COMPUTED_VALUE"""),"35 - LUIS ANGEL VARGAS")</f>
        <v>35 - LUIS ANGEL VARGAS</v>
      </c>
      <c r="BD278" s="48"/>
      <c r="BE278" s="48"/>
      <c r="BF278" s="48"/>
    </row>
    <row r="279">
      <c r="A279" s="39" t="str">
        <f>IFERROR(__xludf.DUMMYFUNCTION("""COMPUTED_VALUE"""),"566")</f>
        <v>566</v>
      </c>
      <c r="B279" s="40" t="str">
        <f>IFERROR(__xludf.DUMMYFUNCTION("""COMPUTED_VALUE"""),"Casa en barrio Sevilla")</f>
        <v>Casa en barrio Sevilla</v>
      </c>
      <c r="C279" s="40" t="str">
        <f>IFERROR(__xludf.DUMMYFUNCTION("""COMPUTED_VALUE"""),"Casa")</f>
        <v>Casa</v>
      </c>
      <c r="D279" s="40" t="str">
        <f>IFERROR(__xludf.DUMMYFUNCTION("""COMPUTED_VALUE"""),"Sevilla")</f>
        <v>Sevilla</v>
      </c>
      <c r="E279" s="40"/>
      <c r="F279" s="42">
        <f>IFERROR(__xludf.DUMMYFUNCTION("""COMPUTED_VALUE"""),0.0)</f>
        <v>0</v>
      </c>
      <c r="G279" s="40" t="str">
        <f>IFERROR(__xludf.DUMMYFUNCTION("""COMPUTED_VALUE"""),"$0 a $100'000.000")</f>
        <v>$0 a $100'000.000</v>
      </c>
      <c r="H279" s="40"/>
      <c r="I279" s="40"/>
      <c r="J279" s="40" t="str">
        <f>IFERROR(__xludf.DUMMYFUNCTION("""COMPUTED_VALUE"""),"Centro")</f>
        <v>Centro</v>
      </c>
      <c r="K279" s="39" t="str">
        <f>IFERROR(__xludf.DUMMYFUNCTION("""COMPUTED_VALUE"""),"4")</f>
        <v>4</v>
      </c>
      <c r="L279" s="40"/>
      <c r="M279" s="40"/>
      <c r="N279" s="40"/>
      <c r="O279" s="40"/>
      <c r="P279" s="40"/>
      <c r="Q279" s="48">
        <f>IFERROR(__xludf.DUMMYFUNCTION("""COMPUTED_VALUE"""),0.0)</f>
        <v>0</v>
      </c>
      <c r="R279" s="48">
        <f>IFERROR(__xludf.DUMMYFUNCTION("""COMPUTED_VALUE"""),0.0)</f>
        <v>0</v>
      </c>
      <c r="S279" s="39" t="str">
        <f>IFERROR(__xludf.DUMMYFUNCTION("""COMPUTED_VALUE""")," ")</f>
        <v> </v>
      </c>
      <c r="T279" s="40" t="str">
        <f>IFERROR(__xludf.DUMMYFUNCTION("""COMPUTED_VALUE"""),"Neiva")</f>
        <v>Neiva</v>
      </c>
      <c r="U279" s="39"/>
      <c r="V279" s="40" t="str">
        <f>IFERROR(__xludf.DUMMYFUNCTION("""COMPUTED_VALUE"""),"Medianera")</f>
        <v>Medianera</v>
      </c>
      <c r="W279" s="46"/>
      <c r="X279" s="46"/>
      <c r="Y279" s="40"/>
      <c r="Z279" s="42"/>
      <c r="AA279" s="49" t="str">
        <f>IFERROR(__xludf.DUMMYFUNCTION("""COMPUTED_VALUE"""),"No aplica")</f>
        <v>No aplica</v>
      </c>
      <c r="AB279" s="48"/>
      <c r="AC279" s="40"/>
      <c r="AD279" s="40"/>
      <c r="AE279" s="40"/>
      <c r="AF279" s="40"/>
      <c r="AG279" s="40"/>
      <c r="AH279" s="40" t="str">
        <f>IFERROR(__xludf.DUMMYFUNCTION("""COMPUTED_VALUE"""),"Inventario")</f>
        <v>Inventario</v>
      </c>
      <c r="AI279" s="40"/>
      <c r="AJ279" s="40"/>
      <c r="AK279" s="40"/>
      <c r="AL279" s="40"/>
      <c r="AM279" s="40">
        <f>IFERROR(__xludf.DUMMYFUNCTION("""COMPUTED_VALUE"""),3.044182457E9)</f>
        <v>3044182457</v>
      </c>
      <c r="AN279" s="40"/>
      <c r="AO279" s="40"/>
      <c r="AP279" s="40" t="str">
        <f>IFERROR(__xludf.DUMMYFUNCTION("""COMPUTED_VALUE"""),"Calle 22 # 5a - 18")</f>
        <v>Calle 22 # 5a - 18</v>
      </c>
      <c r="AQ279" s="40"/>
      <c r="AR279" s="40"/>
      <c r="AS279" s="53"/>
      <c r="AT279" s="40"/>
      <c r="AU279" s="40"/>
      <c r="AV279" s="40"/>
      <c r="AW279" s="40"/>
      <c r="AX279" s="40"/>
      <c r="AY279" s="40"/>
      <c r="AZ279" s="40"/>
      <c r="BA279" s="40" t="str">
        <f>IFERROR(__xludf.DUMMYFUNCTION("""COMPUTED_VALUE"""),"X")</f>
        <v>X</v>
      </c>
      <c r="BB279" s="40"/>
      <c r="BC279" s="53"/>
      <c r="BD279" s="48"/>
      <c r="BE279" s="48"/>
      <c r="BF279" s="48"/>
    </row>
    <row r="280">
      <c r="R280" s="48"/>
      <c r="W280" s="46"/>
      <c r="X280" s="46"/>
    </row>
    <row r="281">
      <c r="R281" s="48"/>
      <c r="W281" s="46"/>
      <c r="X281" s="46"/>
    </row>
    <row r="282">
      <c r="R282" s="48"/>
      <c r="W282" s="46"/>
      <c r="X282" s="46"/>
    </row>
    <row r="283">
      <c r="R283" s="48"/>
      <c r="W283" s="46"/>
      <c r="X283" s="46"/>
    </row>
    <row r="284">
      <c r="R284" s="48"/>
      <c r="W284" s="46"/>
      <c r="X284" s="46"/>
    </row>
    <row r="285">
      <c r="R285" s="48"/>
      <c r="W285" s="46"/>
      <c r="X285" s="46"/>
    </row>
    <row r="286">
      <c r="R286" s="48"/>
      <c r="W286" s="46"/>
      <c r="X286" s="46"/>
    </row>
    <row r="287">
      <c r="R287" s="48"/>
      <c r="W287" s="46"/>
      <c r="X287" s="46"/>
    </row>
    <row r="288">
      <c r="R288" s="48"/>
      <c r="W288" s="46"/>
      <c r="X288" s="46"/>
    </row>
    <row r="289">
      <c r="R289" s="48"/>
      <c r="W289" s="46"/>
      <c r="X289" s="46"/>
    </row>
    <row r="290">
      <c r="R290" s="48"/>
      <c r="W290" s="46"/>
      <c r="X290" s="46"/>
    </row>
    <row r="291">
      <c r="R291" s="48"/>
      <c r="W291" s="46"/>
      <c r="X291" s="46"/>
    </row>
    <row r="292">
      <c r="R292" s="48"/>
      <c r="W292" s="46"/>
      <c r="X292" s="46"/>
    </row>
    <row r="293">
      <c r="R293" s="48"/>
      <c r="W293" s="46"/>
      <c r="X293" s="46"/>
    </row>
    <row r="294">
      <c r="R294" s="48"/>
      <c r="W294" s="46"/>
      <c r="X294" s="46"/>
    </row>
    <row r="295">
      <c r="R295" s="48"/>
      <c r="W295" s="46"/>
      <c r="X295" s="46"/>
    </row>
    <row r="296">
      <c r="R296" s="48"/>
      <c r="W296" s="46"/>
      <c r="X296" s="46"/>
    </row>
    <row r="297">
      <c r="R297" s="48"/>
      <c r="W297" s="46"/>
      <c r="X297" s="46"/>
    </row>
    <row r="298">
      <c r="R298" s="48"/>
      <c r="W298" s="46"/>
      <c r="X298" s="46"/>
    </row>
    <row r="299">
      <c r="R299" s="48"/>
      <c r="W299" s="46"/>
      <c r="X299" s="46"/>
    </row>
    <row r="300">
      <c r="R300" s="48"/>
      <c r="W300" s="46"/>
      <c r="X300" s="46"/>
    </row>
    <row r="301">
      <c r="R301" s="48"/>
      <c r="W301" s="46"/>
      <c r="X301" s="46"/>
    </row>
    <row r="302">
      <c r="R302" s="48"/>
      <c r="W302" s="46"/>
      <c r="X302" s="46"/>
    </row>
    <row r="303">
      <c r="R303" s="48"/>
      <c r="W303" s="46"/>
      <c r="X303" s="46"/>
    </row>
    <row r="304">
      <c r="R304" s="48"/>
      <c r="W304" s="46"/>
      <c r="X304" s="46"/>
    </row>
    <row r="305">
      <c r="R305" s="48"/>
      <c r="W305" s="46"/>
      <c r="X305" s="46"/>
    </row>
    <row r="306">
      <c r="R306" s="48"/>
      <c r="W306" s="46"/>
      <c r="X306" s="46"/>
    </row>
    <row r="307">
      <c r="R307" s="48"/>
      <c r="W307" s="46"/>
      <c r="X307" s="46"/>
    </row>
    <row r="308">
      <c r="R308" s="48"/>
      <c r="W308" s="46"/>
      <c r="X308" s="46"/>
    </row>
    <row r="309">
      <c r="R309" s="48"/>
      <c r="W309" s="46"/>
      <c r="X309" s="46"/>
    </row>
    <row r="310">
      <c r="R310" s="48"/>
      <c r="W310" s="46"/>
      <c r="X310" s="46"/>
    </row>
    <row r="311">
      <c r="R311" s="48"/>
      <c r="W311" s="46"/>
      <c r="X311" s="46"/>
    </row>
    <row r="312">
      <c r="R312" s="48"/>
      <c r="W312" s="46"/>
      <c r="X312" s="46"/>
    </row>
    <row r="313">
      <c r="R313" s="48"/>
      <c r="W313" s="46"/>
      <c r="X313" s="46"/>
    </row>
    <row r="314">
      <c r="R314" s="48"/>
      <c r="W314" s="46"/>
      <c r="X314" s="46"/>
    </row>
    <row r="315">
      <c r="R315" s="48"/>
      <c r="W315" s="46"/>
      <c r="X315" s="46"/>
    </row>
    <row r="316">
      <c r="R316" s="48"/>
      <c r="W316" s="46"/>
      <c r="X316" s="46"/>
    </row>
    <row r="317">
      <c r="R317" s="48"/>
      <c r="W317" s="46"/>
      <c r="X317" s="46"/>
    </row>
    <row r="318">
      <c r="R318" s="48"/>
      <c r="W318" s="46"/>
      <c r="X318" s="46"/>
    </row>
    <row r="319">
      <c r="R319" s="48"/>
      <c r="W319" s="46"/>
      <c r="X319" s="46"/>
    </row>
    <row r="320">
      <c r="R320" s="48"/>
      <c r="W320" s="46"/>
      <c r="X320" s="46"/>
    </row>
    <row r="321">
      <c r="R321" s="48"/>
      <c r="W321" s="46"/>
      <c r="X321" s="46"/>
    </row>
    <row r="322">
      <c r="R322" s="48"/>
      <c r="W322" s="46"/>
      <c r="X322" s="46"/>
    </row>
    <row r="323">
      <c r="R323" s="48"/>
      <c r="W323" s="46"/>
      <c r="X323" s="46"/>
    </row>
    <row r="324">
      <c r="R324" s="48"/>
      <c r="W324" s="46"/>
      <c r="X324" s="46"/>
    </row>
    <row r="325">
      <c r="R325" s="48"/>
      <c r="W325" s="46"/>
      <c r="X325" s="46"/>
    </row>
    <row r="326">
      <c r="R326" s="48"/>
      <c r="W326" s="46"/>
      <c r="X326" s="46"/>
    </row>
    <row r="327">
      <c r="R327" s="48"/>
      <c r="W327" s="46"/>
      <c r="X327" s="46"/>
    </row>
    <row r="328">
      <c r="R328" s="48"/>
      <c r="W328" s="46"/>
      <c r="X328" s="46"/>
    </row>
    <row r="329">
      <c r="R329" s="48"/>
      <c r="W329" s="46"/>
      <c r="X329" s="46"/>
    </row>
    <row r="330">
      <c r="R330" s="48"/>
      <c r="W330" s="46"/>
      <c r="X330" s="46"/>
    </row>
    <row r="331">
      <c r="R331" s="48"/>
      <c r="W331" s="46"/>
      <c r="X331" s="46"/>
    </row>
    <row r="332">
      <c r="R332" s="48"/>
      <c r="W332" s="46"/>
      <c r="X332" s="46"/>
    </row>
    <row r="333">
      <c r="R333" s="48"/>
      <c r="W333" s="46"/>
      <c r="X333" s="46"/>
    </row>
    <row r="334">
      <c r="R334" s="48"/>
      <c r="W334" s="46"/>
      <c r="X334" s="46"/>
    </row>
    <row r="335">
      <c r="R335" s="48"/>
      <c r="W335" s="46"/>
      <c r="X335" s="46"/>
    </row>
    <row r="336">
      <c r="R336" s="48"/>
      <c r="W336" s="46"/>
      <c r="X336" s="46"/>
    </row>
    <row r="337">
      <c r="R337" s="48"/>
      <c r="W337" s="46"/>
      <c r="X337" s="46"/>
    </row>
    <row r="338">
      <c r="R338" s="48"/>
      <c r="W338" s="46"/>
      <c r="X338" s="46"/>
    </row>
    <row r="339">
      <c r="R339" s="48"/>
      <c r="W339" s="46"/>
      <c r="X339" s="46"/>
    </row>
    <row r="340">
      <c r="R340" s="48"/>
      <c r="W340" s="46"/>
      <c r="X340" s="46"/>
    </row>
    <row r="341">
      <c r="R341" s="48"/>
      <c r="W341" s="46"/>
      <c r="X341" s="46"/>
    </row>
    <row r="342">
      <c r="R342" s="48"/>
      <c r="W342" s="46"/>
      <c r="X342" s="46"/>
    </row>
    <row r="343">
      <c r="R343" s="48"/>
      <c r="W343" s="46"/>
      <c r="X343" s="46"/>
    </row>
    <row r="344">
      <c r="R344" s="48"/>
      <c r="W344" s="46"/>
      <c r="X344" s="46"/>
    </row>
    <row r="345">
      <c r="R345" s="48"/>
      <c r="W345" s="46"/>
      <c r="X345" s="46"/>
    </row>
    <row r="346">
      <c r="R346" s="48"/>
      <c r="W346" s="46"/>
      <c r="X346" s="46"/>
    </row>
    <row r="347">
      <c r="R347" s="48"/>
      <c r="W347" s="46"/>
      <c r="X347" s="46"/>
    </row>
    <row r="348">
      <c r="R348" s="48"/>
      <c r="W348" s="46"/>
      <c r="X348" s="46"/>
    </row>
    <row r="349">
      <c r="R349" s="48"/>
      <c r="W349" s="46"/>
      <c r="X349" s="46"/>
    </row>
    <row r="350">
      <c r="R350" s="48"/>
      <c r="W350" s="46"/>
      <c r="X350" s="46"/>
    </row>
    <row r="351">
      <c r="R351" s="48"/>
      <c r="W351" s="46"/>
      <c r="X351" s="46"/>
    </row>
    <row r="352">
      <c r="R352" s="48"/>
      <c r="W352" s="46"/>
      <c r="X352" s="46"/>
    </row>
    <row r="353">
      <c r="R353" s="48"/>
      <c r="W353" s="46"/>
      <c r="X353" s="46"/>
    </row>
    <row r="354">
      <c r="R354" s="48"/>
      <c r="W354" s="46"/>
      <c r="X354" s="46"/>
    </row>
    <row r="355">
      <c r="R355" s="48"/>
      <c r="W355" s="46"/>
      <c r="X355" s="46"/>
    </row>
    <row r="356">
      <c r="R356" s="48"/>
      <c r="W356" s="46"/>
      <c r="X356" s="46"/>
    </row>
    <row r="357">
      <c r="R357" s="48"/>
      <c r="W357" s="46"/>
      <c r="X357" s="46"/>
    </row>
    <row r="358">
      <c r="R358" s="48"/>
      <c r="W358" s="46"/>
      <c r="X358" s="46"/>
    </row>
    <row r="359">
      <c r="R359" s="48"/>
      <c r="W359" s="46"/>
      <c r="X359" s="46"/>
    </row>
    <row r="360">
      <c r="R360" s="48"/>
      <c r="W360" s="46"/>
      <c r="X360" s="46"/>
    </row>
    <row r="361">
      <c r="R361" s="48"/>
      <c r="W361" s="46"/>
      <c r="X361" s="46"/>
    </row>
    <row r="362">
      <c r="R362" s="48"/>
      <c r="W362" s="46"/>
      <c r="X362" s="46"/>
    </row>
    <row r="363">
      <c r="R363" s="48"/>
      <c r="W363" s="46"/>
      <c r="X363" s="46"/>
    </row>
    <row r="364">
      <c r="R364" s="48"/>
      <c r="W364" s="46"/>
      <c r="X364" s="46"/>
    </row>
    <row r="365">
      <c r="R365" s="48"/>
      <c r="W365" s="46"/>
      <c r="X365" s="46"/>
    </row>
    <row r="366">
      <c r="R366" s="48"/>
      <c r="W366" s="46"/>
      <c r="X366" s="46"/>
    </row>
    <row r="367">
      <c r="R367" s="48"/>
      <c r="W367" s="46"/>
      <c r="X367" s="46"/>
    </row>
    <row r="368">
      <c r="R368" s="48"/>
      <c r="W368" s="46"/>
      <c r="X368" s="46"/>
    </row>
    <row r="369">
      <c r="R369" s="48"/>
      <c r="W369" s="46"/>
      <c r="X369" s="46"/>
    </row>
    <row r="370">
      <c r="R370" s="48"/>
      <c r="W370" s="46"/>
      <c r="X370" s="46"/>
    </row>
    <row r="371">
      <c r="R371" s="48"/>
      <c r="W371" s="46"/>
      <c r="X371" s="46"/>
    </row>
    <row r="372">
      <c r="R372" s="48"/>
      <c r="W372" s="46"/>
      <c r="X372" s="46"/>
    </row>
    <row r="373">
      <c r="R373" s="48"/>
      <c r="W373" s="46"/>
      <c r="X373" s="46"/>
    </row>
    <row r="374">
      <c r="R374" s="48"/>
      <c r="W374" s="46"/>
      <c r="X374" s="46"/>
    </row>
    <row r="375">
      <c r="R375" s="48"/>
      <c r="W375" s="46"/>
      <c r="X375" s="46"/>
    </row>
    <row r="376">
      <c r="R376" s="48"/>
      <c r="W376" s="46"/>
      <c r="X376" s="46"/>
    </row>
    <row r="377">
      <c r="R377" s="48"/>
      <c r="W377" s="46"/>
      <c r="X377" s="46"/>
    </row>
    <row r="378">
      <c r="R378" s="48"/>
      <c r="W378" s="46"/>
      <c r="X378" s="46"/>
    </row>
    <row r="379">
      <c r="R379" s="48"/>
      <c r="W379" s="46"/>
      <c r="X379" s="46"/>
    </row>
    <row r="380">
      <c r="R380" s="48"/>
      <c r="W380" s="46"/>
      <c r="X380" s="46"/>
    </row>
    <row r="381">
      <c r="R381" s="48"/>
      <c r="W381" s="46"/>
      <c r="X381" s="46"/>
    </row>
    <row r="382">
      <c r="R382" s="48"/>
      <c r="W382" s="46"/>
      <c r="X382" s="46"/>
    </row>
    <row r="383">
      <c r="R383" s="48"/>
      <c r="W383" s="46"/>
      <c r="X383" s="46"/>
    </row>
    <row r="384">
      <c r="R384" s="48"/>
      <c r="W384" s="46"/>
      <c r="X384" s="46"/>
    </row>
    <row r="385">
      <c r="R385" s="48"/>
      <c r="W385" s="46"/>
      <c r="X385" s="46"/>
    </row>
    <row r="386">
      <c r="R386" s="48"/>
      <c r="W386" s="46"/>
      <c r="X386" s="46"/>
    </row>
    <row r="387">
      <c r="R387" s="48"/>
      <c r="W387" s="46"/>
      <c r="X387" s="46"/>
    </row>
    <row r="388">
      <c r="R388" s="48"/>
      <c r="W388" s="46"/>
      <c r="X388" s="46"/>
    </row>
    <row r="389">
      <c r="R389" s="48"/>
      <c r="W389" s="46"/>
      <c r="X389" s="46"/>
    </row>
    <row r="390">
      <c r="R390" s="48"/>
      <c r="W390" s="46"/>
      <c r="X390" s="46"/>
    </row>
    <row r="391">
      <c r="R391" s="48"/>
      <c r="W391" s="46"/>
      <c r="X391" s="46"/>
    </row>
    <row r="392">
      <c r="R392" s="48"/>
      <c r="W392" s="46"/>
      <c r="X392" s="46"/>
    </row>
    <row r="393">
      <c r="R393" s="48"/>
      <c r="W393" s="46"/>
      <c r="X393" s="46"/>
    </row>
    <row r="394">
      <c r="R394" s="48"/>
      <c r="W394" s="46"/>
      <c r="X394" s="46"/>
    </row>
    <row r="395">
      <c r="R395" s="48"/>
      <c r="W395" s="46"/>
      <c r="X395" s="46"/>
    </row>
    <row r="396">
      <c r="R396" s="48"/>
      <c r="W396" s="46"/>
      <c r="X396" s="46"/>
    </row>
    <row r="397">
      <c r="R397" s="48"/>
      <c r="W397" s="46"/>
      <c r="X397" s="46"/>
    </row>
    <row r="398">
      <c r="R398" s="48"/>
      <c r="W398" s="46"/>
      <c r="X398" s="46"/>
    </row>
    <row r="399">
      <c r="R399" s="48"/>
      <c r="W399" s="46"/>
      <c r="X399" s="46"/>
    </row>
    <row r="400">
      <c r="R400" s="48"/>
      <c r="W400" s="46"/>
      <c r="X400" s="46"/>
    </row>
    <row r="401">
      <c r="R401" s="48"/>
      <c r="W401" s="46"/>
      <c r="X401" s="46"/>
    </row>
    <row r="402">
      <c r="R402" s="48"/>
      <c r="W402" s="46"/>
      <c r="X402" s="46"/>
    </row>
    <row r="403">
      <c r="R403" s="48"/>
      <c r="W403" s="46"/>
      <c r="X403" s="46"/>
    </row>
    <row r="404">
      <c r="R404" s="48"/>
      <c r="W404" s="46"/>
      <c r="X404" s="46"/>
    </row>
    <row r="405">
      <c r="R405" s="48"/>
      <c r="W405" s="46"/>
      <c r="X405" s="46"/>
    </row>
    <row r="406">
      <c r="R406" s="48"/>
      <c r="W406" s="46"/>
      <c r="X406" s="46"/>
    </row>
    <row r="407">
      <c r="R407" s="48"/>
      <c r="W407" s="46"/>
      <c r="X407" s="46"/>
    </row>
    <row r="408">
      <c r="R408" s="48"/>
      <c r="W408" s="46"/>
      <c r="X408" s="46"/>
    </row>
    <row r="409">
      <c r="R409" s="48"/>
      <c r="W409" s="46"/>
      <c r="X409" s="46"/>
    </row>
    <row r="410">
      <c r="R410" s="48"/>
      <c r="W410" s="46"/>
      <c r="X410" s="46"/>
    </row>
    <row r="411">
      <c r="R411" s="48"/>
      <c r="W411" s="46"/>
      <c r="X411" s="46"/>
    </row>
    <row r="412">
      <c r="R412" s="48"/>
      <c r="W412" s="46"/>
      <c r="X412" s="46"/>
    </row>
    <row r="413">
      <c r="R413" s="48"/>
      <c r="W413" s="46"/>
      <c r="X413" s="46"/>
    </row>
    <row r="414">
      <c r="R414" s="48"/>
      <c r="W414" s="46"/>
      <c r="X414" s="46"/>
    </row>
    <row r="415">
      <c r="R415" s="48"/>
      <c r="W415" s="46"/>
      <c r="X415" s="46"/>
    </row>
    <row r="416">
      <c r="R416" s="48"/>
      <c r="W416" s="46"/>
      <c r="X416" s="46"/>
    </row>
    <row r="417">
      <c r="R417" s="48"/>
      <c r="W417" s="46"/>
      <c r="X417" s="46"/>
    </row>
    <row r="418">
      <c r="R418" s="48"/>
      <c r="W418" s="46"/>
      <c r="X418" s="46"/>
    </row>
    <row r="419">
      <c r="R419" s="48"/>
      <c r="W419" s="46"/>
      <c r="X419" s="46"/>
    </row>
    <row r="420">
      <c r="R420" s="48"/>
      <c r="W420" s="46"/>
      <c r="X420" s="46"/>
    </row>
    <row r="421">
      <c r="R421" s="48"/>
      <c r="W421" s="46"/>
      <c r="X421" s="46"/>
    </row>
    <row r="422">
      <c r="R422" s="48"/>
      <c r="W422" s="46"/>
      <c r="X422" s="46"/>
    </row>
    <row r="423">
      <c r="R423" s="48"/>
      <c r="W423" s="46"/>
      <c r="X423" s="46"/>
    </row>
    <row r="424">
      <c r="R424" s="48"/>
      <c r="W424" s="46"/>
      <c r="X424" s="46"/>
    </row>
    <row r="425">
      <c r="R425" s="48"/>
      <c r="W425" s="46"/>
      <c r="X425" s="46"/>
    </row>
    <row r="426">
      <c r="R426" s="48"/>
      <c r="W426" s="46"/>
      <c r="X426" s="46"/>
    </row>
    <row r="427">
      <c r="R427" s="48"/>
      <c r="W427" s="46"/>
      <c r="X427" s="46"/>
    </row>
    <row r="428">
      <c r="R428" s="48"/>
      <c r="W428" s="46"/>
      <c r="X428" s="46"/>
    </row>
    <row r="429">
      <c r="R429" s="48"/>
      <c r="W429" s="46"/>
      <c r="X429" s="46"/>
    </row>
    <row r="430">
      <c r="R430" s="48"/>
      <c r="W430" s="46"/>
      <c r="X430" s="46"/>
    </row>
    <row r="431">
      <c r="R431" s="48"/>
      <c r="W431" s="46"/>
      <c r="X431" s="46"/>
    </row>
    <row r="432">
      <c r="R432" s="48"/>
      <c r="W432" s="46"/>
      <c r="X432" s="46"/>
    </row>
    <row r="433">
      <c r="R433" s="48"/>
      <c r="W433" s="46"/>
      <c r="X433" s="46"/>
    </row>
    <row r="434">
      <c r="R434" s="48"/>
      <c r="W434" s="46"/>
      <c r="X434" s="46"/>
    </row>
    <row r="435">
      <c r="R435" s="48"/>
      <c r="W435" s="46"/>
      <c r="X435" s="46"/>
    </row>
    <row r="436">
      <c r="R436" s="48"/>
      <c r="W436" s="46"/>
      <c r="X436" s="46"/>
    </row>
    <row r="437">
      <c r="R437" s="48"/>
      <c r="W437" s="46"/>
      <c r="X437" s="46"/>
    </row>
    <row r="438">
      <c r="R438" s="48"/>
      <c r="W438" s="46"/>
      <c r="X438" s="46"/>
    </row>
    <row r="439">
      <c r="R439" s="48"/>
      <c r="W439" s="46"/>
      <c r="X439" s="46"/>
    </row>
    <row r="440">
      <c r="R440" s="48"/>
      <c r="W440" s="46"/>
      <c r="X440" s="46"/>
    </row>
    <row r="441">
      <c r="R441" s="48"/>
      <c r="W441" s="46"/>
      <c r="X441" s="46"/>
    </row>
    <row r="442">
      <c r="R442" s="48"/>
      <c r="W442" s="46"/>
      <c r="X442" s="46"/>
    </row>
    <row r="443">
      <c r="R443" s="48"/>
      <c r="W443" s="46"/>
      <c r="X443" s="46"/>
    </row>
    <row r="444">
      <c r="R444" s="48"/>
      <c r="W444" s="46"/>
      <c r="X444" s="46"/>
    </row>
    <row r="445">
      <c r="R445" s="48"/>
      <c r="W445" s="46"/>
      <c r="X445" s="46"/>
    </row>
    <row r="446">
      <c r="R446" s="48"/>
      <c r="W446" s="46"/>
      <c r="X446" s="46"/>
    </row>
    <row r="447">
      <c r="R447" s="48"/>
      <c r="W447" s="46"/>
      <c r="X447" s="46"/>
    </row>
    <row r="448">
      <c r="R448" s="48"/>
      <c r="W448" s="46"/>
      <c r="X448" s="46"/>
    </row>
    <row r="449">
      <c r="R449" s="48"/>
      <c r="W449" s="46"/>
      <c r="X449" s="46"/>
    </row>
    <row r="450">
      <c r="R450" s="48"/>
      <c r="W450" s="46"/>
      <c r="X450" s="46"/>
    </row>
    <row r="451">
      <c r="R451" s="48"/>
      <c r="W451" s="46"/>
      <c r="X451" s="46"/>
    </row>
    <row r="452">
      <c r="R452" s="48"/>
      <c r="W452" s="46"/>
      <c r="X452" s="46"/>
    </row>
    <row r="453">
      <c r="R453" s="48"/>
      <c r="W453" s="46"/>
      <c r="X453" s="46"/>
    </row>
    <row r="454">
      <c r="R454" s="48"/>
      <c r="W454" s="46"/>
      <c r="X454" s="46"/>
    </row>
    <row r="455">
      <c r="R455" s="48"/>
      <c r="W455" s="46"/>
      <c r="X455" s="46"/>
    </row>
    <row r="456">
      <c r="R456" s="48"/>
      <c r="W456" s="46"/>
      <c r="X456" s="46"/>
    </row>
    <row r="457">
      <c r="R457" s="48"/>
      <c r="W457" s="46"/>
      <c r="X457" s="46"/>
    </row>
    <row r="458">
      <c r="R458" s="48"/>
      <c r="W458" s="46"/>
      <c r="X458" s="46"/>
    </row>
    <row r="459">
      <c r="R459" s="48"/>
      <c r="W459" s="46"/>
      <c r="X459" s="46"/>
    </row>
    <row r="460">
      <c r="R460" s="48"/>
      <c r="W460" s="46"/>
      <c r="X460" s="46"/>
    </row>
    <row r="461">
      <c r="R461" s="48"/>
      <c r="W461" s="46"/>
      <c r="X461" s="46"/>
    </row>
    <row r="462">
      <c r="R462" s="48"/>
      <c r="W462" s="46"/>
      <c r="X462" s="46"/>
    </row>
    <row r="463">
      <c r="R463" s="48"/>
      <c r="W463" s="46"/>
      <c r="X463" s="46"/>
    </row>
    <row r="464">
      <c r="R464" s="48"/>
      <c r="W464" s="46"/>
      <c r="X464" s="46"/>
    </row>
    <row r="465">
      <c r="R465" s="48"/>
      <c r="W465" s="46"/>
      <c r="X465" s="46"/>
    </row>
    <row r="466">
      <c r="R466" s="48"/>
      <c r="W466" s="46"/>
      <c r="X466" s="46"/>
    </row>
    <row r="467">
      <c r="R467" s="48"/>
      <c r="W467" s="46"/>
      <c r="X467" s="46"/>
    </row>
    <row r="468">
      <c r="R468" s="48"/>
      <c r="W468" s="46"/>
      <c r="X468" s="46"/>
    </row>
    <row r="469">
      <c r="R469" s="48"/>
      <c r="W469" s="46"/>
      <c r="X469" s="46"/>
    </row>
    <row r="470">
      <c r="R470" s="48"/>
      <c r="W470" s="46"/>
      <c r="X470" s="46"/>
    </row>
    <row r="471">
      <c r="R471" s="48"/>
      <c r="W471" s="46"/>
      <c r="X471" s="46"/>
    </row>
    <row r="472">
      <c r="R472" s="48"/>
      <c r="W472" s="46"/>
      <c r="X472" s="46"/>
    </row>
    <row r="473">
      <c r="R473" s="48"/>
      <c r="W473" s="46"/>
      <c r="X473" s="46"/>
    </row>
    <row r="474">
      <c r="R474" s="48"/>
      <c r="W474" s="46"/>
      <c r="X474" s="46"/>
    </row>
    <row r="475">
      <c r="R475" s="48"/>
      <c r="W475" s="46"/>
      <c r="X475" s="46"/>
    </row>
    <row r="476">
      <c r="R476" s="48"/>
      <c r="W476" s="46"/>
      <c r="X476" s="46"/>
    </row>
    <row r="477">
      <c r="R477" s="48"/>
      <c r="W477" s="46"/>
      <c r="X477" s="46"/>
    </row>
    <row r="478">
      <c r="R478" s="48"/>
      <c r="W478" s="46"/>
      <c r="X478" s="46"/>
    </row>
    <row r="479">
      <c r="R479" s="48"/>
      <c r="W479" s="46"/>
      <c r="X479" s="46"/>
    </row>
    <row r="480">
      <c r="R480" s="48"/>
      <c r="W480" s="46"/>
      <c r="X480" s="46"/>
    </row>
    <row r="481">
      <c r="R481" s="48"/>
      <c r="W481" s="46"/>
      <c r="X481" s="46"/>
    </row>
    <row r="482">
      <c r="R482" s="48"/>
      <c r="W482" s="46"/>
      <c r="X482" s="46"/>
    </row>
    <row r="483">
      <c r="R483" s="48"/>
      <c r="W483" s="46"/>
      <c r="X483" s="46"/>
    </row>
    <row r="484">
      <c r="R484" s="48"/>
      <c r="W484" s="46"/>
      <c r="X484" s="46"/>
    </row>
    <row r="485">
      <c r="R485" s="48"/>
      <c r="W485" s="46"/>
      <c r="X485" s="46"/>
    </row>
    <row r="486">
      <c r="R486" s="48"/>
      <c r="W486" s="46"/>
      <c r="X486" s="46"/>
    </row>
    <row r="487">
      <c r="R487" s="48"/>
      <c r="W487" s="46"/>
      <c r="X487" s="46"/>
    </row>
    <row r="488">
      <c r="R488" s="48"/>
      <c r="W488" s="46"/>
      <c r="X488" s="46"/>
    </row>
    <row r="489">
      <c r="R489" s="48"/>
      <c r="W489" s="46"/>
      <c r="X489" s="46"/>
    </row>
    <row r="490">
      <c r="R490" s="48"/>
      <c r="W490" s="46"/>
      <c r="X490" s="46"/>
    </row>
    <row r="491">
      <c r="R491" s="48"/>
      <c r="W491" s="46"/>
      <c r="X491" s="46"/>
    </row>
    <row r="492">
      <c r="R492" s="48"/>
      <c r="W492" s="46"/>
      <c r="X492" s="46"/>
    </row>
    <row r="493">
      <c r="R493" s="48"/>
      <c r="W493" s="46"/>
      <c r="X493" s="46"/>
    </row>
    <row r="494">
      <c r="R494" s="48"/>
      <c r="W494" s="46"/>
      <c r="X494" s="46"/>
    </row>
    <row r="495">
      <c r="R495" s="48"/>
      <c r="W495" s="46"/>
      <c r="X495" s="46"/>
    </row>
    <row r="496">
      <c r="R496" s="48"/>
      <c r="W496" s="46"/>
      <c r="X496" s="46"/>
    </row>
    <row r="497">
      <c r="R497" s="48"/>
      <c r="W497" s="46"/>
      <c r="X497" s="46"/>
    </row>
    <row r="498">
      <c r="R498" s="48"/>
      <c r="W498" s="46"/>
      <c r="X498" s="46"/>
    </row>
    <row r="499">
      <c r="R499" s="48"/>
      <c r="W499" s="46"/>
      <c r="X499" s="46"/>
    </row>
    <row r="500">
      <c r="R500" s="48"/>
      <c r="W500" s="46"/>
      <c r="X500" s="46"/>
    </row>
    <row r="501">
      <c r="R501" s="48"/>
      <c r="W501" s="46"/>
      <c r="X501" s="46"/>
    </row>
    <row r="502">
      <c r="R502" s="48"/>
      <c r="W502" s="46"/>
      <c r="X502" s="46"/>
    </row>
    <row r="503">
      <c r="R503" s="48"/>
      <c r="W503" s="46"/>
      <c r="X503" s="46"/>
    </row>
    <row r="504">
      <c r="R504" s="48"/>
      <c r="W504" s="46"/>
      <c r="X504" s="46"/>
    </row>
    <row r="505">
      <c r="R505" s="48"/>
      <c r="W505" s="46"/>
      <c r="X505" s="46"/>
    </row>
    <row r="506">
      <c r="R506" s="48"/>
      <c r="W506" s="46"/>
      <c r="X506" s="46"/>
    </row>
    <row r="507">
      <c r="R507" s="48"/>
      <c r="W507" s="46"/>
      <c r="X507" s="46"/>
    </row>
    <row r="508">
      <c r="R508" s="48"/>
      <c r="W508" s="46"/>
      <c r="X508" s="46"/>
    </row>
    <row r="509">
      <c r="R509" s="48"/>
      <c r="W509" s="46"/>
      <c r="X509" s="46"/>
    </row>
    <row r="510">
      <c r="R510" s="48"/>
      <c r="W510" s="46"/>
      <c r="X510" s="46"/>
    </row>
    <row r="511">
      <c r="R511" s="48"/>
      <c r="W511" s="46"/>
      <c r="X511" s="46"/>
    </row>
    <row r="512">
      <c r="R512" s="48"/>
      <c r="W512" s="46"/>
      <c r="X512" s="46"/>
    </row>
    <row r="513">
      <c r="R513" s="48"/>
      <c r="W513" s="46"/>
      <c r="X513" s="46"/>
    </row>
    <row r="514">
      <c r="R514" s="48"/>
      <c r="W514" s="46"/>
      <c r="X514" s="46"/>
    </row>
    <row r="515">
      <c r="R515" s="48"/>
      <c r="W515" s="46"/>
      <c r="X515" s="46"/>
    </row>
    <row r="516">
      <c r="R516" s="48"/>
      <c r="W516" s="46"/>
      <c r="X516" s="46"/>
    </row>
    <row r="517">
      <c r="R517" s="48"/>
      <c r="W517" s="46"/>
      <c r="X517" s="46"/>
    </row>
    <row r="518">
      <c r="R518" s="48"/>
      <c r="W518" s="46"/>
      <c r="X518" s="46"/>
    </row>
    <row r="519">
      <c r="R519" s="48"/>
      <c r="W519" s="46"/>
      <c r="X519" s="46"/>
    </row>
    <row r="520">
      <c r="R520" s="48"/>
      <c r="W520" s="46"/>
      <c r="X520" s="46"/>
    </row>
    <row r="521">
      <c r="R521" s="48"/>
      <c r="W521" s="46"/>
      <c r="X521" s="46"/>
    </row>
    <row r="522">
      <c r="R522" s="48"/>
      <c r="W522" s="46"/>
      <c r="X522" s="46"/>
    </row>
    <row r="523">
      <c r="R523" s="48"/>
      <c r="W523" s="46"/>
      <c r="X523" s="46"/>
    </row>
    <row r="524">
      <c r="R524" s="48"/>
      <c r="W524" s="46"/>
      <c r="X524" s="46"/>
    </row>
    <row r="525">
      <c r="R525" s="48"/>
      <c r="W525" s="46"/>
      <c r="X525" s="46"/>
    </row>
    <row r="526">
      <c r="R526" s="48"/>
      <c r="W526" s="46"/>
      <c r="X526" s="46"/>
    </row>
    <row r="527">
      <c r="R527" s="48"/>
      <c r="W527" s="46"/>
      <c r="X527" s="46"/>
    </row>
    <row r="528">
      <c r="R528" s="48"/>
      <c r="W528" s="46"/>
      <c r="X528" s="46"/>
    </row>
    <row r="529">
      <c r="R529" s="48"/>
      <c r="W529" s="46"/>
      <c r="X529" s="46"/>
    </row>
    <row r="530">
      <c r="R530" s="48"/>
      <c r="W530" s="46"/>
      <c r="X530" s="46"/>
    </row>
    <row r="531">
      <c r="R531" s="48"/>
      <c r="W531" s="46"/>
      <c r="X531" s="46"/>
    </row>
    <row r="532">
      <c r="R532" s="48"/>
      <c r="W532" s="46"/>
      <c r="X532" s="46"/>
    </row>
    <row r="533">
      <c r="R533" s="48"/>
      <c r="W533" s="46"/>
      <c r="X533" s="46"/>
    </row>
    <row r="534">
      <c r="R534" s="48"/>
      <c r="W534" s="46"/>
      <c r="X534" s="46"/>
    </row>
    <row r="535">
      <c r="R535" s="48"/>
      <c r="W535" s="46"/>
      <c r="X535" s="46"/>
    </row>
    <row r="536">
      <c r="R536" s="48"/>
      <c r="W536" s="46"/>
      <c r="X536" s="46"/>
    </row>
    <row r="537">
      <c r="R537" s="48"/>
      <c r="W537" s="46"/>
      <c r="X537" s="46"/>
    </row>
    <row r="538">
      <c r="R538" s="48"/>
      <c r="W538" s="46"/>
      <c r="X538" s="46"/>
    </row>
    <row r="539">
      <c r="R539" s="48"/>
      <c r="W539" s="46"/>
      <c r="X539" s="46"/>
    </row>
    <row r="540">
      <c r="R540" s="48"/>
      <c r="W540" s="46"/>
      <c r="X540" s="46"/>
    </row>
    <row r="541">
      <c r="R541" s="48"/>
      <c r="W541" s="46"/>
      <c r="X541" s="46"/>
    </row>
    <row r="542">
      <c r="R542" s="48"/>
      <c r="W542" s="46"/>
      <c r="X542" s="46"/>
    </row>
    <row r="543">
      <c r="R543" s="48"/>
      <c r="W543" s="46"/>
      <c r="X543" s="46"/>
    </row>
    <row r="544">
      <c r="R544" s="48"/>
      <c r="W544" s="46"/>
      <c r="X544" s="46"/>
    </row>
    <row r="545">
      <c r="R545" s="48"/>
      <c r="W545" s="46"/>
      <c r="X545" s="46"/>
    </row>
    <row r="546">
      <c r="R546" s="48"/>
      <c r="W546" s="46"/>
      <c r="X546" s="46"/>
    </row>
    <row r="547">
      <c r="R547" s="48"/>
      <c r="W547" s="46"/>
      <c r="X547" s="46"/>
    </row>
    <row r="548">
      <c r="R548" s="48"/>
      <c r="W548" s="46"/>
      <c r="X548" s="46"/>
    </row>
    <row r="549">
      <c r="R549" s="48"/>
      <c r="W549" s="46"/>
      <c r="X549" s="46"/>
    </row>
    <row r="550">
      <c r="R550" s="48"/>
      <c r="W550" s="46"/>
      <c r="X550" s="46"/>
    </row>
    <row r="551">
      <c r="R551" s="48"/>
      <c r="W551" s="46"/>
      <c r="X551" s="46"/>
    </row>
    <row r="552">
      <c r="R552" s="48"/>
      <c r="W552" s="46"/>
      <c r="X552" s="46"/>
    </row>
    <row r="553">
      <c r="R553" s="48"/>
      <c r="W553" s="46"/>
      <c r="X553" s="46"/>
    </row>
    <row r="554">
      <c r="R554" s="48"/>
      <c r="W554" s="46"/>
      <c r="X554" s="46"/>
    </row>
    <row r="555">
      <c r="R555" s="48"/>
      <c r="W555" s="46"/>
      <c r="X555" s="46"/>
    </row>
    <row r="556">
      <c r="R556" s="48"/>
      <c r="W556" s="46"/>
      <c r="X556" s="46"/>
    </row>
    <row r="557">
      <c r="R557" s="48"/>
      <c r="W557" s="46"/>
      <c r="X557" s="46"/>
    </row>
    <row r="558">
      <c r="R558" s="48"/>
      <c r="W558" s="46"/>
      <c r="X558" s="46"/>
    </row>
    <row r="559">
      <c r="R559" s="48"/>
      <c r="W559" s="46"/>
      <c r="X559" s="46"/>
    </row>
    <row r="560">
      <c r="R560" s="48"/>
      <c r="W560" s="46"/>
      <c r="X560" s="46"/>
    </row>
    <row r="561">
      <c r="R561" s="48"/>
      <c r="W561" s="46"/>
      <c r="X561" s="46"/>
    </row>
    <row r="562">
      <c r="R562" s="48"/>
      <c r="W562" s="46"/>
      <c r="X562" s="46"/>
    </row>
    <row r="563">
      <c r="R563" s="48"/>
      <c r="W563" s="46"/>
      <c r="X563" s="46"/>
    </row>
    <row r="564">
      <c r="R564" s="48"/>
      <c r="W564" s="46"/>
      <c r="X564" s="46"/>
    </row>
    <row r="565">
      <c r="R565" s="48"/>
      <c r="W565" s="46"/>
      <c r="X565" s="46"/>
    </row>
    <row r="566">
      <c r="R566" s="48"/>
      <c r="W566" s="46"/>
      <c r="X566" s="46"/>
    </row>
    <row r="567">
      <c r="R567" s="48"/>
      <c r="W567" s="46"/>
      <c r="X567" s="46"/>
    </row>
    <row r="568">
      <c r="R568" s="48"/>
      <c r="W568" s="46"/>
      <c r="X568" s="46"/>
    </row>
    <row r="569">
      <c r="R569" s="48"/>
      <c r="W569" s="46"/>
      <c r="X569" s="46"/>
    </row>
    <row r="570">
      <c r="R570" s="48"/>
      <c r="W570" s="46"/>
      <c r="X570" s="46"/>
    </row>
    <row r="571">
      <c r="R571" s="48"/>
      <c r="W571" s="46"/>
      <c r="X571" s="46"/>
    </row>
    <row r="572">
      <c r="R572" s="48"/>
      <c r="W572" s="46"/>
      <c r="X572" s="46"/>
    </row>
    <row r="573">
      <c r="R573" s="48"/>
      <c r="W573" s="46"/>
      <c r="X573" s="46"/>
    </row>
    <row r="574">
      <c r="R574" s="48"/>
      <c r="W574" s="46"/>
      <c r="X574" s="46"/>
    </row>
    <row r="575">
      <c r="R575" s="48"/>
      <c r="W575" s="46"/>
      <c r="X575" s="46"/>
    </row>
    <row r="576">
      <c r="R576" s="48"/>
      <c r="W576" s="46"/>
      <c r="X576" s="46"/>
    </row>
    <row r="577">
      <c r="R577" s="48"/>
      <c r="W577" s="46"/>
      <c r="X577" s="46"/>
    </row>
    <row r="578">
      <c r="R578" s="48"/>
      <c r="W578" s="46"/>
      <c r="X578" s="46"/>
    </row>
    <row r="579">
      <c r="R579" s="48"/>
      <c r="W579" s="46"/>
      <c r="X579" s="46"/>
    </row>
    <row r="580">
      <c r="R580" s="48"/>
      <c r="W580" s="46"/>
      <c r="X580" s="46"/>
    </row>
    <row r="581">
      <c r="R581" s="48"/>
      <c r="W581" s="46"/>
      <c r="X581" s="46"/>
    </row>
    <row r="582">
      <c r="R582" s="48"/>
      <c r="W582" s="46"/>
      <c r="X582" s="46"/>
    </row>
    <row r="583">
      <c r="R583" s="48"/>
      <c r="W583" s="46"/>
      <c r="X583" s="46"/>
    </row>
    <row r="584">
      <c r="R584" s="48"/>
      <c r="W584" s="46"/>
      <c r="X584" s="46"/>
    </row>
    <row r="585">
      <c r="R585" s="48"/>
      <c r="W585" s="46"/>
      <c r="X585" s="46"/>
    </row>
    <row r="586">
      <c r="R586" s="48"/>
      <c r="W586" s="46"/>
      <c r="X586" s="46"/>
    </row>
    <row r="587">
      <c r="R587" s="48"/>
      <c r="W587" s="46"/>
      <c r="X587" s="46"/>
    </row>
    <row r="588">
      <c r="R588" s="48"/>
      <c r="W588" s="46"/>
      <c r="X588" s="46"/>
    </row>
    <row r="589">
      <c r="R589" s="48"/>
      <c r="W589" s="46"/>
      <c r="X589" s="46"/>
    </row>
    <row r="590">
      <c r="R590" s="48"/>
      <c r="W590" s="46"/>
      <c r="X590" s="46"/>
    </row>
    <row r="591">
      <c r="R591" s="48"/>
      <c r="W591" s="46"/>
      <c r="X591" s="46"/>
    </row>
    <row r="592">
      <c r="R592" s="48"/>
      <c r="W592" s="46"/>
      <c r="X592" s="46"/>
    </row>
    <row r="593">
      <c r="R593" s="48"/>
      <c r="W593" s="46"/>
      <c r="X593" s="46"/>
    </row>
    <row r="594">
      <c r="R594" s="48"/>
      <c r="W594" s="46"/>
      <c r="X594" s="46"/>
    </row>
    <row r="595">
      <c r="R595" s="48"/>
      <c r="W595" s="46"/>
      <c r="X595" s="46"/>
    </row>
    <row r="596">
      <c r="R596" s="48"/>
      <c r="W596" s="46"/>
      <c r="X596" s="46"/>
    </row>
    <row r="597">
      <c r="R597" s="48"/>
      <c r="W597" s="46"/>
      <c r="X597" s="46"/>
    </row>
    <row r="598">
      <c r="R598" s="48"/>
      <c r="W598" s="46"/>
      <c r="X598" s="46"/>
    </row>
    <row r="599">
      <c r="R599" s="48"/>
      <c r="W599" s="46"/>
      <c r="X599" s="46"/>
    </row>
    <row r="600">
      <c r="R600" s="48"/>
      <c r="W600" s="46"/>
      <c r="X600" s="46"/>
    </row>
    <row r="601">
      <c r="R601" s="48"/>
      <c r="W601" s="46"/>
      <c r="X601" s="46"/>
    </row>
    <row r="602">
      <c r="R602" s="48"/>
      <c r="W602" s="46"/>
      <c r="X602" s="46"/>
    </row>
    <row r="603">
      <c r="R603" s="48"/>
      <c r="W603" s="46"/>
      <c r="X603" s="46"/>
    </row>
    <row r="604">
      <c r="R604" s="48"/>
      <c r="W604" s="46"/>
      <c r="X604" s="46"/>
    </row>
    <row r="605">
      <c r="R605" s="48"/>
      <c r="W605" s="46"/>
      <c r="X605" s="46"/>
    </row>
    <row r="606">
      <c r="R606" s="48"/>
      <c r="W606" s="46"/>
      <c r="X606" s="46"/>
    </row>
    <row r="607">
      <c r="R607" s="48"/>
      <c r="W607" s="46"/>
      <c r="X607" s="46"/>
    </row>
    <row r="608">
      <c r="R608" s="48"/>
      <c r="W608" s="46"/>
      <c r="X608" s="46"/>
    </row>
    <row r="609">
      <c r="R609" s="48"/>
      <c r="W609" s="46"/>
      <c r="X609" s="46"/>
    </row>
    <row r="610">
      <c r="R610" s="48"/>
      <c r="W610" s="46"/>
      <c r="X610" s="46"/>
    </row>
    <row r="611">
      <c r="R611" s="48"/>
      <c r="W611" s="46"/>
      <c r="X611" s="46"/>
    </row>
    <row r="612">
      <c r="R612" s="48"/>
      <c r="W612" s="46"/>
      <c r="X612" s="46"/>
    </row>
    <row r="613">
      <c r="R613" s="48"/>
      <c r="W613" s="46"/>
      <c r="X613" s="46"/>
    </row>
    <row r="614">
      <c r="R614" s="48"/>
      <c r="W614" s="46"/>
      <c r="X614" s="46"/>
    </row>
    <row r="615">
      <c r="R615" s="48"/>
      <c r="W615" s="46"/>
      <c r="X615" s="46"/>
    </row>
    <row r="616">
      <c r="R616" s="48"/>
      <c r="W616" s="46"/>
      <c r="X616" s="46"/>
    </row>
    <row r="617">
      <c r="R617" s="48"/>
      <c r="W617" s="46"/>
      <c r="X617" s="46"/>
    </row>
    <row r="618">
      <c r="R618" s="48"/>
      <c r="W618" s="46"/>
      <c r="X618" s="46"/>
    </row>
    <row r="619">
      <c r="R619" s="48"/>
      <c r="W619" s="46"/>
      <c r="X619" s="46"/>
    </row>
    <row r="620">
      <c r="R620" s="48"/>
      <c r="W620" s="46"/>
      <c r="X620" s="46"/>
    </row>
    <row r="621">
      <c r="R621" s="48"/>
      <c r="W621" s="46"/>
      <c r="X621" s="46"/>
    </row>
    <row r="622">
      <c r="R622" s="48"/>
      <c r="W622" s="46"/>
      <c r="X622" s="46"/>
    </row>
    <row r="623">
      <c r="R623" s="48"/>
      <c r="W623" s="46"/>
      <c r="X623" s="46"/>
    </row>
    <row r="624">
      <c r="R624" s="48"/>
      <c r="W624" s="46"/>
      <c r="X624" s="46"/>
    </row>
    <row r="625">
      <c r="R625" s="48"/>
      <c r="W625" s="46"/>
      <c r="X625" s="46"/>
    </row>
    <row r="626">
      <c r="R626" s="48"/>
      <c r="W626" s="46"/>
      <c r="X626" s="46"/>
    </row>
    <row r="627">
      <c r="R627" s="48"/>
      <c r="W627" s="46"/>
      <c r="X627" s="46"/>
    </row>
    <row r="628">
      <c r="R628" s="48"/>
      <c r="W628" s="46"/>
      <c r="X628" s="46"/>
    </row>
    <row r="629">
      <c r="R629" s="48"/>
      <c r="W629" s="46"/>
      <c r="X629" s="46"/>
    </row>
    <row r="630">
      <c r="R630" s="48"/>
      <c r="W630" s="46"/>
      <c r="X630" s="46"/>
    </row>
    <row r="631">
      <c r="R631" s="48"/>
      <c r="W631" s="46"/>
      <c r="X631" s="46"/>
    </row>
    <row r="632">
      <c r="R632" s="48"/>
      <c r="W632" s="46"/>
      <c r="X632" s="46"/>
    </row>
    <row r="633">
      <c r="R633" s="48"/>
      <c r="W633" s="46"/>
      <c r="X633" s="46"/>
    </row>
    <row r="634">
      <c r="R634" s="48"/>
      <c r="W634" s="46"/>
      <c r="X634" s="46"/>
    </row>
    <row r="635">
      <c r="R635" s="48"/>
      <c r="W635" s="46"/>
      <c r="X635" s="46"/>
    </row>
    <row r="636">
      <c r="R636" s="48"/>
      <c r="W636" s="46"/>
      <c r="X636" s="46"/>
    </row>
    <row r="637">
      <c r="R637" s="48"/>
      <c r="W637" s="46"/>
      <c r="X637" s="46"/>
    </row>
    <row r="638">
      <c r="R638" s="48"/>
      <c r="W638" s="46"/>
      <c r="X638" s="46"/>
    </row>
    <row r="639">
      <c r="R639" s="48"/>
      <c r="W639" s="46"/>
      <c r="X639" s="46"/>
    </row>
    <row r="640">
      <c r="R640" s="48"/>
      <c r="W640" s="46"/>
      <c r="X640" s="46"/>
    </row>
    <row r="641">
      <c r="R641" s="48"/>
      <c r="W641" s="46"/>
      <c r="X641" s="46"/>
    </row>
    <row r="642">
      <c r="R642" s="48"/>
      <c r="W642" s="46"/>
      <c r="X642" s="46"/>
    </row>
    <row r="643">
      <c r="R643" s="48"/>
      <c r="W643" s="46"/>
      <c r="X643" s="46"/>
    </row>
    <row r="644">
      <c r="R644" s="48"/>
      <c r="W644" s="46"/>
      <c r="X644" s="46"/>
    </row>
    <row r="645">
      <c r="R645" s="48"/>
      <c r="W645" s="46"/>
      <c r="X645" s="46"/>
    </row>
    <row r="646">
      <c r="R646" s="48"/>
      <c r="W646" s="46"/>
      <c r="X646" s="46"/>
    </row>
    <row r="647">
      <c r="R647" s="48"/>
      <c r="W647" s="46"/>
      <c r="X647" s="46"/>
    </row>
    <row r="648">
      <c r="R648" s="48"/>
      <c r="W648" s="46"/>
      <c r="X648" s="46"/>
    </row>
    <row r="649">
      <c r="R649" s="48"/>
      <c r="W649" s="46"/>
      <c r="X649" s="46"/>
    </row>
    <row r="650">
      <c r="R650" s="48"/>
      <c r="W650" s="46"/>
      <c r="X650" s="46"/>
    </row>
    <row r="651">
      <c r="R651" s="48"/>
      <c r="W651" s="46"/>
      <c r="X651" s="46"/>
    </row>
    <row r="652">
      <c r="R652" s="48"/>
      <c r="W652" s="46"/>
      <c r="X652" s="46"/>
    </row>
    <row r="653">
      <c r="R653" s="48"/>
      <c r="W653" s="46"/>
      <c r="X653" s="46"/>
    </row>
    <row r="654">
      <c r="R654" s="48"/>
      <c r="W654" s="46"/>
      <c r="X654" s="46"/>
    </row>
    <row r="655">
      <c r="R655" s="48"/>
      <c r="W655" s="46"/>
      <c r="X655" s="46"/>
    </row>
    <row r="656">
      <c r="R656" s="48"/>
      <c r="W656" s="46"/>
      <c r="X656" s="46"/>
    </row>
    <row r="657">
      <c r="R657" s="48"/>
      <c r="W657" s="46"/>
      <c r="X657" s="46"/>
    </row>
    <row r="658">
      <c r="R658" s="48"/>
      <c r="W658" s="46"/>
      <c r="X658" s="46"/>
    </row>
    <row r="659">
      <c r="R659" s="48"/>
      <c r="W659" s="46"/>
      <c r="X659" s="46"/>
    </row>
    <row r="660">
      <c r="R660" s="48"/>
      <c r="W660" s="46"/>
      <c r="X660" s="46"/>
    </row>
    <row r="661">
      <c r="R661" s="48"/>
      <c r="W661" s="46"/>
      <c r="X661" s="46"/>
    </row>
    <row r="662">
      <c r="R662" s="48"/>
      <c r="W662" s="46"/>
      <c r="X662" s="46"/>
    </row>
    <row r="663">
      <c r="R663" s="48"/>
      <c r="W663" s="46"/>
      <c r="X663" s="46"/>
    </row>
    <row r="664">
      <c r="R664" s="48"/>
      <c r="W664" s="46"/>
      <c r="X664" s="46"/>
    </row>
    <row r="665">
      <c r="R665" s="48"/>
      <c r="W665" s="46"/>
      <c r="X665" s="46"/>
    </row>
    <row r="666">
      <c r="R666" s="48"/>
      <c r="W666" s="46"/>
      <c r="X666" s="46"/>
    </row>
    <row r="667">
      <c r="R667" s="48"/>
      <c r="W667" s="46"/>
      <c r="X667" s="46"/>
    </row>
    <row r="668">
      <c r="R668" s="48"/>
      <c r="W668" s="46"/>
      <c r="X668" s="46"/>
    </row>
    <row r="669">
      <c r="R669" s="48"/>
      <c r="W669" s="46"/>
      <c r="X669" s="46"/>
    </row>
    <row r="670">
      <c r="R670" s="48"/>
      <c r="W670" s="46"/>
      <c r="X670" s="46"/>
    </row>
    <row r="671">
      <c r="R671" s="48"/>
      <c r="W671" s="46"/>
      <c r="X671" s="46"/>
    </row>
    <row r="672">
      <c r="R672" s="48"/>
      <c r="W672" s="46"/>
      <c r="X672" s="46"/>
    </row>
    <row r="673">
      <c r="R673" s="48"/>
      <c r="W673" s="46"/>
      <c r="X673" s="46"/>
    </row>
    <row r="674">
      <c r="R674" s="48"/>
      <c r="W674" s="46"/>
      <c r="X674" s="46"/>
    </row>
    <row r="675">
      <c r="R675" s="48"/>
      <c r="W675" s="46"/>
      <c r="X675" s="46"/>
    </row>
    <row r="676">
      <c r="R676" s="48"/>
      <c r="W676" s="46"/>
      <c r="X676" s="46"/>
    </row>
    <row r="677">
      <c r="R677" s="48"/>
      <c r="W677" s="46"/>
      <c r="X677" s="46"/>
    </row>
    <row r="678">
      <c r="R678" s="48"/>
      <c r="W678" s="46"/>
      <c r="X678" s="46"/>
    </row>
    <row r="679">
      <c r="R679" s="48"/>
      <c r="W679" s="46"/>
      <c r="X679" s="46"/>
    </row>
    <row r="680">
      <c r="R680" s="48"/>
      <c r="W680" s="46"/>
      <c r="X680" s="46"/>
    </row>
    <row r="681">
      <c r="R681" s="48"/>
      <c r="W681" s="46"/>
      <c r="X681" s="46"/>
    </row>
    <row r="682">
      <c r="R682" s="48"/>
      <c r="W682" s="46"/>
      <c r="X682" s="46"/>
    </row>
    <row r="683">
      <c r="R683" s="48"/>
      <c r="W683" s="46"/>
      <c r="X683" s="46"/>
    </row>
    <row r="684">
      <c r="R684" s="48"/>
      <c r="W684" s="46"/>
      <c r="X684" s="46"/>
    </row>
    <row r="685">
      <c r="R685" s="48"/>
      <c r="W685" s="46"/>
      <c r="X685" s="46"/>
    </row>
    <row r="686">
      <c r="R686" s="48"/>
      <c r="W686" s="46"/>
      <c r="X686" s="46"/>
    </row>
    <row r="687">
      <c r="R687" s="48"/>
      <c r="W687" s="46"/>
      <c r="X687" s="46"/>
    </row>
    <row r="688">
      <c r="R688" s="48"/>
      <c r="W688" s="46"/>
      <c r="X688" s="46"/>
    </row>
    <row r="689">
      <c r="R689" s="48"/>
      <c r="W689" s="46"/>
      <c r="X689" s="46"/>
    </row>
    <row r="690">
      <c r="R690" s="48"/>
      <c r="W690" s="46"/>
      <c r="X690" s="46"/>
    </row>
    <row r="691">
      <c r="R691" s="48"/>
      <c r="W691" s="46"/>
      <c r="X691" s="46"/>
    </row>
    <row r="692">
      <c r="R692" s="48"/>
      <c r="W692" s="46"/>
      <c r="X692" s="46"/>
    </row>
    <row r="693">
      <c r="R693" s="48"/>
      <c r="W693" s="46"/>
      <c r="X693" s="46"/>
    </row>
    <row r="694">
      <c r="R694" s="48"/>
      <c r="W694" s="46"/>
      <c r="X694" s="46"/>
    </row>
    <row r="695">
      <c r="R695" s="48"/>
      <c r="W695" s="46"/>
      <c r="X695" s="46"/>
    </row>
    <row r="696">
      <c r="R696" s="48"/>
      <c r="W696" s="46"/>
      <c r="X696" s="46"/>
    </row>
    <row r="697">
      <c r="R697" s="48"/>
      <c r="W697" s="46"/>
      <c r="X697" s="46"/>
    </row>
    <row r="698">
      <c r="R698" s="48"/>
      <c r="W698" s="46"/>
      <c r="X698" s="46"/>
    </row>
    <row r="699">
      <c r="R699" s="48"/>
      <c r="W699" s="46"/>
      <c r="X699" s="46"/>
    </row>
    <row r="700">
      <c r="R700" s="48"/>
      <c r="W700" s="46"/>
      <c r="X700" s="46"/>
    </row>
    <row r="701">
      <c r="R701" s="48"/>
      <c r="W701" s="46"/>
      <c r="X701" s="46"/>
    </row>
    <row r="702">
      <c r="R702" s="48"/>
      <c r="W702" s="46"/>
      <c r="X702" s="46"/>
    </row>
    <row r="703">
      <c r="R703" s="48"/>
      <c r="W703" s="46"/>
      <c r="X703" s="46"/>
    </row>
    <row r="704">
      <c r="R704" s="48"/>
      <c r="W704" s="46"/>
      <c r="X704" s="46"/>
    </row>
    <row r="705">
      <c r="R705" s="48"/>
      <c r="W705" s="46"/>
      <c r="X705" s="46"/>
    </row>
    <row r="706">
      <c r="R706" s="48"/>
      <c r="W706" s="46"/>
      <c r="X706" s="46"/>
    </row>
    <row r="707">
      <c r="R707" s="48"/>
      <c r="W707" s="46"/>
      <c r="X707" s="46"/>
    </row>
    <row r="708">
      <c r="R708" s="48"/>
      <c r="W708" s="46"/>
      <c r="X708" s="46"/>
    </row>
    <row r="709">
      <c r="R709" s="48"/>
      <c r="W709" s="46"/>
      <c r="X709" s="46"/>
    </row>
    <row r="710">
      <c r="R710" s="48"/>
      <c r="W710" s="46"/>
      <c r="X710" s="46"/>
    </row>
    <row r="711">
      <c r="R711" s="48"/>
      <c r="W711" s="46"/>
      <c r="X711" s="46"/>
    </row>
    <row r="712">
      <c r="R712" s="48"/>
      <c r="W712" s="46"/>
      <c r="X712" s="46"/>
    </row>
    <row r="713">
      <c r="R713" s="48"/>
      <c r="W713" s="46"/>
      <c r="X713" s="46"/>
    </row>
    <row r="714">
      <c r="R714" s="48"/>
      <c r="W714" s="46"/>
      <c r="X714" s="46"/>
    </row>
    <row r="715">
      <c r="R715" s="48"/>
      <c r="W715" s="46"/>
      <c r="X715" s="46"/>
    </row>
    <row r="716">
      <c r="R716" s="48"/>
      <c r="W716" s="46"/>
      <c r="X716" s="46"/>
    </row>
    <row r="717">
      <c r="R717" s="48"/>
      <c r="W717" s="46"/>
      <c r="X717" s="46"/>
    </row>
    <row r="718">
      <c r="R718" s="48"/>
      <c r="W718" s="46"/>
      <c r="X718" s="46"/>
    </row>
    <row r="719">
      <c r="R719" s="48"/>
      <c r="W719" s="46"/>
      <c r="X719" s="46"/>
    </row>
    <row r="720">
      <c r="R720" s="48"/>
      <c r="W720" s="46"/>
      <c r="X720" s="46"/>
    </row>
    <row r="721">
      <c r="R721" s="48"/>
      <c r="W721" s="46"/>
      <c r="X721" s="46"/>
    </row>
    <row r="722">
      <c r="R722" s="48"/>
      <c r="W722" s="46"/>
      <c r="X722" s="46"/>
    </row>
    <row r="723">
      <c r="R723" s="48"/>
      <c r="W723" s="46"/>
      <c r="X723" s="46"/>
    </row>
    <row r="724">
      <c r="R724" s="48"/>
      <c r="W724" s="46"/>
      <c r="X724" s="46"/>
    </row>
    <row r="725">
      <c r="R725" s="48"/>
      <c r="W725" s="46"/>
      <c r="X725" s="46"/>
    </row>
    <row r="726">
      <c r="R726" s="48"/>
      <c r="W726" s="46"/>
      <c r="X726" s="46"/>
    </row>
    <row r="727">
      <c r="R727" s="48"/>
      <c r="W727" s="46"/>
      <c r="X727" s="46"/>
    </row>
    <row r="728">
      <c r="R728" s="48"/>
      <c r="W728" s="46"/>
      <c r="X728" s="46"/>
    </row>
    <row r="729">
      <c r="R729" s="48"/>
      <c r="W729" s="46"/>
      <c r="X729" s="46"/>
    </row>
    <row r="730">
      <c r="R730" s="48"/>
      <c r="W730" s="46"/>
      <c r="X730" s="46"/>
    </row>
    <row r="731">
      <c r="R731" s="48"/>
      <c r="W731" s="46"/>
      <c r="X731" s="46"/>
    </row>
    <row r="732">
      <c r="R732" s="48"/>
      <c r="W732" s="46"/>
      <c r="X732" s="46"/>
    </row>
    <row r="733">
      <c r="R733" s="48"/>
      <c r="W733" s="46"/>
      <c r="X733" s="46"/>
    </row>
    <row r="734">
      <c r="R734" s="48"/>
      <c r="W734" s="46"/>
      <c r="X734" s="46"/>
    </row>
    <row r="735">
      <c r="R735" s="48"/>
      <c r="W735" s="46"/>
      <c r="X735" s="46"/>
    </row>
    <row r="736">
      <c r="R736" s="48"/>
      <c r="W736" s="46"/>
      <c r="X736" s="46"/>
    </row>
    <row r="737">
      <c r="R737" s="48"/>
      <c r="W737" s="46"/>
      <c r="X737" s="46"/>
    </row>
    <row r="738">
      <c r="R738" s="48"/>
      <c r="W738" s="46"/>
      <c r="X738" s="46"/>
    </row>
    <row r="739">
      <c r="R739" s="48"/>
      <c r="W739" s="46"/>
      <c r="X739" s="46"/>
    </row>
    <row r="740">
      <c r="R740" s="48"/>
      <c r="W740" s="46"/>
      <c r="X740" s="46"/>
    </row>
    <row r="741">
      <c r="R741" s="48"/>
      <c r="W741" s="46"/>
      <c r="X741" s="46"/>
    </row>
    <row r="742">
      <c r="R742" s="48"/>
      <c r="W742" s="46"/>
      <c r="X742" s="46"/>
    </row>
    <row r="743">
      <c r="R743" s="48"/>
      <c r="W743" s="46"/>
      <c r="X743" s="46"/>
    </row>
    <row r="744">
      <c r="R744" s="48"/>
      <c r="W744" s="46"/>
      <c r="X744" s="46"/>
    </row>
    <row r="745">
      <c r="R745" s="48"/>
      <c r="W745" s="46"/>
      <c r="X745" s="46"/>
    </row>
    <row r="746">
      <c r="R746" s="48"/>
      <c r="W746" s="46"/>
      <c r="X746" s="46"/>
    </row>
    <row r="747">
      <c r="R747" s="48"/>
      <c r="W747" s="46"/>
      <c r="X747" s="46"/>
    </row>
    <row r="748">
      <c r="R748" s="48"/>
      <c r="W748" s="46"/>
      <c r="X748" s="46"/>
    </row>
    <row r="749">
      <c r="R749" s="48"/>
      <c r="W749" s="46"/>
      <c r="X749" s="46"/>
    </row>
    <row r="750">
      <c r="R750" s="48"/>
      <c r="W750" s="46"/>
      <c r="X750" s="46"/>
    </row>
    <row r="751">
      <c r="R751" s="48"/>
      <c r="W751" s="46"/>
      <c r="X751" s="46"/>
    </row>
    <row r="752">
      <c r="R752" s="48"/>
      <c r="W752" s="46"/>
      <c r="X752" s="46"/>
    </row>
    <row r="753">
      <c r="R753" s="48"/>
      <c r="W753" s="46"/>
      <c r="X753" s="46"/>
    </row>
    <row r="754">
      <c r="R754" s="48"/>
      <c r="W754" s="46"/>
      <c r="X754" s="46"/>
    </row>
    <row r="755">
      <c r="R755" s="48"/>
      <c r="W755" s="46"/>
      <c r="X755" s="46"/>
    </row>
    <row r="756">
      <c r="R756" s="48"/>
      <c r="W756" s="46"/>
      <c r="X756" s="46"/>
    </row>
    <row r="757">
      <c r="R757" s="48"/>
      <c r="W757" s="46"/>
      <c r="X757" s="46"/>
    </row>
    <row r="758">
      <c r="R758" s="48"/>
      <c r="W758" s="46"/>
      <c r="X758" s="46"/>
    </row>
    <row r="759">
      <c r="R759" s="48"/>
      <c r="W759" s="46"/>
      <c r="X759" s="46"/>
    </row>
    <row r="760">
      <c r="R760" s="48"/>
      <c r="W760" s="46"/>
      <c r="X760" s="46"/>
    </row>
    <row r="761">
      <c r="R761" s="48"/>
      <c r="W761" s="46"/>
      <c r="X761" s="46"/>
    </row>
    <row r="762">
      <c r="R762" s="48"/>
      <c r="W762" s="46"/>
      <c r="X762" s="46"/>
    </row>
    <row r="763">
      <c r="R763" s="48"/>
      <c r="W763" s="46"/>
      <c r="X763" s="46"/>
    </row>
    <row r="764">
      <c r="R764" s="48"/>
      <c r="W764" s="46"/>
      <c r="X764" s="46"/>
    </row>
    <row r="765">
      <c r="R765" s="48"/>
      <c r="W765" s="46"/>
      <c r="X765" s="46"/>
    </row>
    <row r="766">
      <c r="R766" s="48"/>
      <c r="W766" s="46"/>
      <c r="X766" s="46"/>
    </row>
    <row r="767">
      <c r="R767" s="48"/>
      <c r="W767" s="46"/>
      <c r="X767" s="46"/>
    </row>
    <row r="768">
      <c r="R768" s="48"/>
      <c r="W768" s="46"/>
      <c r="X768" s="46"/>
    </row>
    <row r="769">
      <c r="R769" s="48"/>
      <c r="W769" s="46"/>
      <c r="X769" s="46"/>
    </row>
    <row r="770">
      <c r="R770" s="48"/>
      <c r="W770" s="46"/>
      <c r="X770" s="46"/>
    </row>
    <row r="771">
      <c r="R771" s="48"/>
      <c r="W771" s="46"/>
      <c r="X771" s="46"/>
    </row>
    <row r="772">
      <c r="R772" s="48"/>
      <c r="W772" s="46"/>
      <c r="X772" s="46"/>
    </row>
    <row r="773">
      <c r="R773" s="48"/>
      <c r="W773" s="46"/>
      <c r="X773" s="46"/>
    </row>
    <row r="774">
      <c r="R774" s="48"/>
      <c r="W774" s="46"/>
      <c r="X774" s="46"/>
    </row>
    <row r="775">
      <c r="R775" s="48"/>
      <c r="W775" s="46"/>
      <c r="X775" s="46"/>
    </row>
    <row r="776">
      <c r="R776" s="48"/>
      <c r="W776" s="46"/>
      <c r="X776" s="46"/>
    </row>
    <row r="777">
      <c r="R777" s="48"/>
      <c r="W777" s="46"/>
      <c r="X777" s="46"/>
    </row>
    <row r="778">
      <c r="R778" s="48"/>
      <c r="W778" s="46"/>
      <c r="X778" s="46"/>
    </row>
    <row r="779">
      <c r="R779" s="48"/>
      <c r="W779" s="46"/>
      <c r="X779" s="46"/>
    </row>
    <row r="780">
      <c r="R780" s="48"/>
      <c r="W780" s="46"/>
      <c r="X780" s="46"/>
    </row>
    <row r="781">
      <c r="R781" s="48"/>
      <c r="W781" s="46"/>
      <c r="X781" s="46"/>
    </row>
    <row r="782">
      <c r="R782" s="48"/>
      <c r="W782" s="46"/>
      <c r="X782" s="46"/>
    </row>
    <row r="783">
      <c r="R783" s="48"/>
      <c r="W783" s="46"/>
      <c r="X783" s="46"/>
    </row>
    <row r="784">
      <c r="R784" s="48"/>
      <c r="W784" s="46"/>
      <c r="X784" s="46"/>
    </row>
    <row r="785">
      <c r="R785" s="48"/>
      <c r="W785" s="46"/>
      <c r="X785" s="46"/>
    </row>
    <row r="786">
      <c r="R786" s="48"/>
      <c r="W786" s="46"/>
      <c r="X786" s="46"/>
    </row>
    <row r="787">
      <c r="R787" s="48"/>
      <c r="W787" s="46"/>
      <c r="X787" s="46"/>
    </row>
    <row r="788">
      <c r="R788" s="48"/>
      <c r="W788" s="46"/>
      <c r="X788" s="46"/>
    </row>
    <row r="789">
      <c r="R789" s="48"/>
      <c r="W789" s="46"/>
      <c r="X789" s="46"/>
    </row>
    <row r="790">
      <c r="R790" s="48"/>
      <c r="W790" s="46"/>
      <c r="X790" s="46"/>
    </row>
    <row r="791">
      <c r="R791" s="48"/>
      <c r="W791" s="46"/>
      <c r="X791" s="46"/>
    </row>
    <row r="792">
      <c r="R792" s="48"/>
      <c r="W792" s="46"/>
      <c r="X792" s="46"/>
    </row>
    <row r="793">
      <c r="R793" s="48"/>
      <c r="W793" s="46"/>
      <c r="X793" s="46"/>
    </row>
    <row r="794">
      <c r="R794" s="48"/>
      <c r="W794" s="46"/>
      <c r="X794" s="46"/>
    </row>
    <row r="795">
      <c r="R795" s="48"/>
      <c r="W795" s="46"/>
      <c r="X795" s="46"/>
    </row>
    <row r="796">
      <c r="R796" s="48"/>
      <c r="W796" s="46"/>
      <c r="X796" s="46"/>
    </row>
    <row r="797">
      <c r="R797" s="48"/>
      <c r="W797" s="46"/>
      <c r="X797" s="46"/>
    </row>
    <row r="798">
      <c r="R798" s="48"/>
      <c r="W798" s="46"/>
      <c r="X798" s="46"/>
    </row>
    <row r="799">
      <c r="R799" s="48"/>
      <c r="W799" s="46"/>
      <c r="X799" s="46"/>
    </row>
    <row r="800">
      <c r="R800" s="48"/>
      <c r="W800" s="46"/>
      <c r="X800" s="46"/>
    </row>
    <row r="801">
      <c r="R801" s="48"/>
      <c r="W801" s="46"/>
      <c r="X801" s="46"/>
    </row>
    <row r="802">
      <c r="R802" s="48"/>
      <c r="W802" s="46"/>
      <c r="X802" s="46"/>
    </row>
    <row r="803">
      <c r="R803" s="48"/>
      <c r="W803" s="46"/>
      <c r="X803" s="46"/>
    </row>
    <row r="804">
      <c r="R804" s="48"/>
      <c r="W804" s="46"/>
      <c r="X804" s="46"/>
    </row>
    <row r="805">
      <c r="R805" s="48"/>
      <c r="W805" s="46"/>
      <c r="X805" s="46"/>
    </row>
    <row r="806">
      <c r="R806" s="48"/>
      <c r="W806" s="46"/>
      <c r="X806" s="46"/>
    </row>
    <row r="807">
      <c r="R807" s="48"/>
      <c r="W807" s="46"/>
      <c r="X807" s="46"/>
    </row>
    <row r="808">
      <c r="R808" s="48"/>
      <c r="W808" s="46"/>
      <c r="X808" s="46"/>
    </row>
    <row r="809">
      <c r="R809" s="48"/>
      <c r="W809" s="46"/>
      <c r="X809" s="46"/>
    </row>
    <row r="810">
      <c r="R810" s="48"/>
      <c r="W810" s="46"/>
      <c r="X810" s="46"/>
    </row>
    <row r="811">
      <c r="R811" s="48"/>
      <c r="W811" s="46"/>
      <c r="X811" s="46"/>
    </row>
    <row r="812">
      <c r="R812" s="48"/>
      <c r="W812" s="46"/>
      <c r="X812" s="46"/>
    </row>
    <row r="813">
      <c r="R813" s="48"/>
      <c r="W813" s="46"/>
      <c r="X813" s="46"/>
    </row>
    <row r="814">
      <c r="R814" s="48"/>
      <c r="W814" s="46"/>
      <c r="X814" s="46"/>
    </row>
    <row r="815">
      <c r="R815" s="48"/>
      <c r="W815" s="46"/>
      <c r="X815" s="46"/>
    </row>
    <row r="816">
      <c r="R816" s="48"/>
      <c r="W816" s="46"/>
      <c r="X816" s="46"/>
    </row>
    <row r="817">
      <c r="R817" s="48"/>
      <c r="W817" s="46"/>
      <c r="X817" s="46"/>
    </row>
    <row r="818">
      <c r="R818" s="48"/>
      <c r="W818" s="46"/>
      <c r="X818" s="46"/>
    </row>
    <row r="819">
      <c r="R819" s="48"/>
      <c r="W819" s="46"/>
      <c r="X819" s="46"/>
    </row>
    <row r="820">
      <c r="R820" s="48"/>
      <c r="W820" s="46"/>
      <c r="X820" s="46"/>
    </row>
    <row r="821">
      <c r="R821" s="48"/>
      <c r="W821" s="46"/>
      <c r="X821" s="46"/>
    </row>
    <row r="822">
      <c r="R822" s="48"/>
      <c r="W822" s="46"/>
      <c r="X822" s="46"/>
    </row>
    <row r="823">
      <c r="R823" s="48"/>
      <c r="W823" s="46"/>
      <c r="X823" s="46"/>
    </row>
    <row r="824">
      <c r="R824" s="48"/>
      <c r="W824" s="46"/>
      <c r="X824" s="46"/>
    </row>
    <row r="825">
      <c r="R825" s="48"/>
      <c r="W825" s="46"/>
      <c r="X825" s="46"/>
    </row>
    <row r="826">
      <c r="R826" s="48"/>
      <c r="W826" s="46"/>
      <c r="X826" s="46"/>
    </row>
    <row r="827">
      <c r="R827" s="48"/>
      <c r="W827" s="46"/>
      <c r="X827" s="46"/>
    </row>
    <row r="828">
      <c r="R828" s="48"/>
      <c r="W828" s="46"/>
      <c r="X828" s="46"/>
    </row>
    <row r="829">
      <c r="R829" s="48"/>
      <c r="W829" s="46"/>
      <c r="X829" s="46"/>
    </row>
    <row r="830">
      <c r="R830" s="48"/>
      <c r="W830" s="46"/>
      <c r="X830" s="46"/>
    </row>
    <row r="831">
      <c r="R831" s="48"/>
      <c r="W831" s="46"/>
      <c r="X831" s="46"/>
    </row>
    <row r="832">
      <c r="R832" s="48"/>
      <c r="W832" s="46"/>
      <c r="X832" s="46"/>
    </row>
    <row r="833">
      <c r="R833" s="48"/>
      <c r="W833" s="46"/>
      <c r="X833" s="46"/>
    </row>
    <row r="834">
      <c r="R834" s="48"/>
      <c r="W834" s="46"/>
      <c r="X834" s="46"/>
    </row>
    <row r="835">
      <c r="R835" s="48"/>
      <c r="W835" s="46"/>
      <c r="X835" s="46"/>
    </row>
    <row r="836">
      <c r="R836" s="48"/>
      <c r="W836" s="46"/>
      <c r="X836" s="46"/>
    </row>
    <row r="837">
      <c r="R837" s="48"/>
      <c r="W837" s="46"/>
      <c r="X837" s="46"/>
    </row>
    <row r="838">
      <c r="R838" s="48"/>
      <c r="W838" s="46"/>
      <c r="X838" s="46"/>
    </row>
    <row r="839">
      <c r="R839" s="48"/>
      <c r="W839" s="46"/>
      <c r="X839" s="46"/>
    </row>
    <row r="840">
      <c r="R840" s="48"/>
      <c r="W840" s="46"/>
      <c r="X840" s="46"/>
    </row>
    <row r="841">
      <c r="R841" s="48"/>
      <c r="W841" s="46"/>
      <c r="X841" s="46"/>
    </row>
    <row r="842">
      <c r="R842" s="48"/>
      <c r="W842" s="46"/>
      <c r="X842" s="46"/>
    </row>
    <row r="843">
      <c r="R843" s="48"/>
      <c r="W843" s="46"/>
      <c r="X843" s="46"/>
    </row>
    <row r="844">
      <c r="R844" s="48"/>
      <c r="W844" s="46"/>
      <c r="X844" s="46"/>
    </row>
    <row r="845">
      <c r="R845" s="48"/>
      <c r="W845" s="46"/>
      <c r="X845" s="46"/>
    </row>
    <row r="846">
      <c r="R846" s="48"/>
      <c r="W846" s="46"/>
      <c r="X846" s="46"/>
    </row>
    <row r="847">
      <c r="R847" s="48"/>
      <c r="W847" s="46"/>
      <c r="X847" s="46"/>
    </row>
    <row r="848">
      <c r="R848" s="48"/>
      <c r="W848" s="46"/>
      <c r="X848" s="46"/>
    </row>
    <row r="849">
      <c r="R849" s="48"/>
      <c r="W849" s="46"/>
      <c r="X849" s="46"/>
    </row>
    <row r="850">
      <c r="R850" s="48"/>
      <c r="W850" s="46"/>
      <c r="X850" s="46"/>
    </row>
    <row r="851">
      <c r="R851" s="48"/>
      <c r="W851" s="46"/>
      <c r="X851" s="46"/>
    </row>
    <row r="852">
      <c r="R852" s="48"/>
      <c r="W852" s="46"/>
      <c r="X852" s="46"/>
    </row>
    <row r="853">
      <c r="R853" s="48"/>
      <c r="W853" s="46"/>
      <c r="X853" s="46"/>
    </row>
    <row r="854">
      <c r="R854" s="48"/>
      <c r="W854" s="46"/>
      <c r="X854" s="46"/>
    </row>
    <row r="855">
      <c r="R855" s="48"/>
      <c r="W855" s="46"/>
      <c r="X855" s="46"/>
    </row>
    <row r="856">
      <c r="R856" s="48"/>
      <c r="W856" s="46"/>
      <c r="X856" s="46"/>
    </row>
    <row r="857">
      <c r="R857" s="48"/>
      <c r="W857" s="46"/>
      <c r="X857" s="46"/>
    </row>
    <row r="858">
      <c r="R858" s="48"/>
      <c r="W858" s="46"/>
      <c r="X858" s="46"/>
    </row>
    <row r="859">
      <c r="R859" s="48"/>
      <c r="W859" s="46"/>
      <c r="X859" s="46"/>
    </row>
    <row r="860">
      <c r="R860" s="48"/>
      <c r="W860" s="46"/>
      <c r="X860" s="46"/>
    </row>
    <row r="861">
      <c r="R861" s="48"/>
      <c r="W861" s="46"/>
      <c r="X861" s="46"/>
    </row>
    <row r="862">
      <c r="R862" s="48"/>
      <c r="W862" s="46"/>
      <c r="X862" s="46"/>
    </row>
    <row r="863">
      <c r="R863" s="48"/>
      <c r="W863" s="46"/>
      <c r="X863" s="46"/>
    </row>
    <row r="864">
      <c r="R864" s="48"/>
      <c r="W864" s="46"/>
      <c r="X864" s="46"/>
    </row>
    <row r="865">
      <c r="R865" s="48"/>
      <c r="W865" s="46"/>
      <c r="X865" s="46"/>
    </row>
    <row r="866">
      <c r="R866" s="48"/>
      <c r="W866" s="46"/>
      <c r="X866" s="46"/>
    </row>
    <row r="867">
      <c r="R867" s="48"/>
      <c r="W867" s="46"/>
      <c r="X867" s="46"/>
    </row>
    <row r="868">
      <c r="R868" s="48"/>
      <c r="W868" s="46"/>
      <c r="X868" s="46"/>
    </row>
    <row r="869">
      <c r="R869" s="48"/>
      <c r="W869" s="46"/>
      <c r="X869" s="46"/>
    </row>
    <row r="870">
      <c r="R870" s="48"/>
      <c r="W870" s="46"/>
      <c r="X870" s="46"/>
    </row>
    <row r="871">
      <c r="R871" s="48"/>
      <c r="W871" s="46"/>
      <c r="X871" s="46"/>
    </row>
    <row r="872">
      <c r="R872" s="48"/>
      <c r="W872" s="46"/>
      <c r="X872" s="46"/>
    </row>
    <row r="873">
      <c r="R873" s="48"/>
      <c r="W873" s="46"/>
      <c r="X873" s="46"/>
    </row>
    <row r="874">
      <c r="R874" s="48"/>
      <c r="W874" s="46"/>
      <c r="X874" s="46"/>
    </row>
    <row r="875">
      <c r="R875" s="48"/>
      <c r="W875" s="46"/>
      <c r="X875" s="46"/>
    </row>
    <row r="876">
      <c r="R876" s="48"/>
      <c r="W876" s="46"/>
      <c r="X876" s="46"/>
    </row>
    <row r="877">
      <c r="R877" s="48"/>
      <c r="W877" s="46"/>
      <c r="X877" s="46"/>
    </row>
    <row r="878">
      <c r="R878" s="48"/>
      <c r="W878" s="46"/>
      <c r="X878" s="46"/>
    </row>
    <row r="879">
      <c r="R879" s="48"/>
      <c r="W879" s="46"/>
      <c r="X879" s="46"/>
    </row>
    <row r="880">
      <c r="R880" s="48"/>
      <c r="W880" s="46"/>
      <c r="X880" s="46"/>
    </row>
    <row r="881">
      <c r="R881" s="48"/>
      <c r="W881" s="46"/>
      <c r="X881" s="46"/>
    </row>
    <row r="882">
      <c r="R882" s="48"/>
      <c r="W882" s="46"/>
      <c r="X882" s="46"/>
    </row>
    <row r="883">
      <c r="R883" s="48"/>
      <c r="W883" s="46"/>
      <c r="X883" s="46"/>
    </row>
    <row r="884">
      <c r="R884" s="48"/>
      <c r="W884" s="46"/>
      <c r="X884" s="46"/>
    </row>
    <row r="885">
      <c r="R885" s="48"/>
      <c r="W885" s="46"/>
      <c r="X885" s="46"/>
    </row>
    <row r="886">
      <c r="R886" s="48"/>
      <c r="W886" s="46"/>
      <c r="X886" s="46"/>
    </row>
    <row r="887">
      <c r="R887" s="48"/>
      <c r="W887" s="46"/>
      <c r="X887" s="46"/>
    </row>
    <row r="888">
      <c r="R888" s="48"/>
      <c r="W888" s="46"/>
      <c r="X888" s="46"/>
    </row>
    <row r="889">
      <c r="R889" s="48"/>
      <c r="W889" s="46"/>
      <c r="X889" s="46"/>
    </row>
    <row r="890">
      <c r="R890" s="48"/>
      <c r="W890" s="46"/>
      <c r="X890" s="46"/>
    </row>
    <row r="891">
      <c r="R891" s="48"/>
      <c r="W891" s="46"/>
      <c r="X891" s="46"/>
    </row>
    <row r="892">
      <c r="R892" s="48"/>
      <c r="W892" s="46"/>
      <c r="X892" s="46"/>
    </row>
    <row r="893">
      <c r="R893" s="48"/>
      <c r="W893" s="46"/>
      <c r="X893" s="46"/>
    </row>
    <row r="894">
      <c r="R894" s="48"/>
      <c r="W894" s="46"/>
      <c r="X894" s="46"/>
    </row>
    <row r="895">
      <c r="R895" s="48"/>
      <c r="W895" s="46"/>
      <c r="X895" s="46"/>
    </row>
    <row r="896">
      <c r="R896" s="48"/>
      <c r="W896" s="46"/>
      <c r="X896" s="46"/>
    </row>
    <row r="897">
      <c r="R897" s="48"/>
      <c r="W897" s="46"/>
      <c r="X897" s="46"/>
    </row>
    <row r="898">
      <c r="R898" s="48"/>
      <c r="W898" s="46"/>
      <c r="X898" s="46"/>
    </row>
    <row r="899">
      <c r="R899" s="48"/>
      <c r="W899" s="46"/>
      <c r="X899" s="46"/>
    </row>
    <row r="900">
      <c r="R900" s="48"/>
      <c r="W900" s="46"/>
      <c r="X900" s="46"/>
    </row>
    <row r="901">
      <c r="R901" s="48"/>
      <c r="W901" s="46"/>
      <c r="X901" s="46"/>
    </row>
    <row r="902">
      <c r="R902" s="48"/>
      <c r="W902" s="46"/>
      <c r="X902" s="46"/>
    </row>
    <row r="903">
      <c r="R903" s="48"/>
      <c r="W903" s="46"/>
      <c r="X903" s="46"/>
    </row>
    <row r="904">
      <c r="R904" s="48"/>
      <c r="W904" s="46"/>
      <c r="X904" s="46"/>
    </row>
    <row r="905">
      <c r="R905" s="48"/>
      <c r="W905" s="46"/>
      <c r="X905" s="46"/>
    </row>
    <row r="906">
      <c r="R906" s="48"/>
      <c r="W906" s="46"/>
      <c r="X906" s="46"/>
    </row>
    <row r="907">
      <c r="R907" s="48"/>
      <c r="W907" s="46"/>
      <c r="X907" s="46"/>
    </row>
    <row r="908">
      <c r="R908" s="48"/>
      <c r="W908" s="46"/>
      <c r="X908" s="46"/>
    </row>
    <row r="909">
      <c r="R909" s="48"/>
      <c r="W909" s="46"/>
      <c r="X909" s="46"/>
    </row>
    <row r="910">
      <c r="R910" s="48"/>
      <c r="W910" s="46"/>
      <c r="X910" s="46"/>
    </row>
    <row r="911">
      <c r="R911" s="48"/>
      <c r="W911" s="46"/>
      <c r="X911" s="46"/>
    </row>
    <row r="912">
      <c r="R912" s="48"/>
      <c r="W912" s="46"/>
      <c r="X912" s="46"/>
    </row>
    <row r="913">
      <c r="R913" s="48"/>
      <c r="W913" s="46"/>
      <c r="X913" s="46"/>
    </row>
    <row r="914">
      <c r="R914" s="48"/>
      <c r="W914" s="46"/>
      <c r="X914" s="46"/>
    </row>
    <row r="915">
      <c r="R915" s="48"/>
      <c r="W915" s="46"/>
      <c r="X915" s="46"/>
    </row>
    <row r="916">
      <c r="R916" s="48"/>
      <c r="W916" s="46"/>
      <c r="X916" s="46"/>
    </row>
    <row r="917">
      <c r="R917" s="48"/>
      <c r="W917" s="46"/>
      <c r="X917" s="46"/>
    </row>
    <row r="918">
      <c r="R918" s="48"/>
      <c r="W918" s="46"/>
      <c r="X918" s="46"/>
    </row>
    <row r="919">
      <c r="R919" s="48"/>
      <c r="W919" s="46"/>
      <c r="X919" s="46"/>
    </row>
    <row r="920">
      <c r="R920" s="48"/>
      <c r="W920" s="46"/>
      <c r="X920" s="46"/>
    </row>
    <row r="921">
      <c r="R921" s="48"/>
      <c r="W921" s="46"/>
      <c r="X921" s="46"/>
    </row>
    <row r="922">
      <c r="R922" s="48"/>
      <c r="W922" s="46"/>
      <c r="X922" s="46"/>
    </row>
    <row r="923">
      <c r="R923" s="48"/>
      <c r="W923" s="46"/>
      <c r="X923" s="46"/>
    </row>
    <row r="924">
      <c r="R924" s="48"/>
      <c r="W924" s="46"/>
      <c r="X924" s="46"/>
    </row>
    <row r="925">
      <c r="R925" s="48"/>
      <c r="W925" s="46"/>
      <c r="X925" s="46"/>
    </row>
    <row r="926">
      <c r="R926" s="48"/>
      <c r="W926" s="46"/>
      <c r="X926" s="46"/>
    </row>
    <row r="927">
      <c r="R927" s="48"/>
      <c r="W927" s="46"/>
      <c r="X927" s="46"/>
    </row>
    <row r="928">
      <c r="R928" s="48"/>
      <c r="W928" s="46"/>
      <c r="X928" s="46"/>
    </row>
    <row r="929">
      <c r="R929" s="48"/>
      <c r="W929" s="46"/>
      <c r="X929" s="46"/>
    </row>
    <row r="930">
      <c r="R930" s="48"/>
      <c r="W930" s="46"/>
      <c r="X930" s="46"/>
    </row>
    <row r="931">
      <c r="R931" s="48"/>
      <c r="W931" s="46"/>
      <c r="X931" s="46"/>
    </row>
    <row r="932">
      <c r="R932" s="48"/>
      <c r="W932" s="46"/>
      <c r="X932" s="46"/>
    </row>
    <row r="933">
      <c r="R933" s="48"/>
      <c r="W933" s="46"/>
      <c r="X933" s="46"/>
    </row>
    <row r="934">
      <c r="R934" s="48"/>
      <c r="W934" s="46"/>
      <c r="X934" s="46"/>
    </row>
    <row r="935">
      <c r="R935" s="48"/>
      <c r="W935" s="46"/>
      <c r="X935" s="46"/>
    </row>
    <row r="936">
      <c r="R936" s="48"/>
      <c r="W936" s="46"/>
      <c r="X936" s="46"/>
    </row>
    <row r="937">
      <c r="R937" s="48"/>
      <c r="W937" s="46"/>
      <c r="X937" s="46"/>
    </row>
    <row r="938">
      <c r="R938" s="48"/>
      <c r="W938" s="46"/>
      <c r="X938" s="46"/>
    </row>
    <row r="939">
      <c r="R939" s="48"/>
      <c r="W939" s="46"/>
      <c r="X939" s="46"/>
    </row>
    <row r="940">
      <c r="R940" s="48"/>
      <c r="W940" s="46"/>
      <c r="X940" s="46"/>
    </row>
    <row r="941">
      <c r="R941" s="48"/>
      <c r="W941" s="46"/>
      <c r="X941" s="46"/>
    </row>
    <row r="942">
      <c r="R942" s="48"/>
      <c r="W942" s="46"/>
      <c r="X942" s="46"/>
    </row>
    <row r="943">
      <c r="R943" s="48"/>
      <c r="W943" s="46"/>
      <c r="X943" s="46"/>
    </row>
    <row r="944">
      <c r="R944" s="48"/>
      <c r="W944" s="46"/>
      <c r="X944" s="46"/>
    </row>
    <row r="945">
      <c r="R945" s="48"/>
      <c r="W945" s="46"/>
      <c r="X945" s="46"/>
    </row>
    <row r="946">
      <c r="R946" s="48"/>
      <c r="W946" s="46"/>
      <c r="X946" s="46"/>
    </row>
    <row r="947">
      <c r="R947" s="48"/>
      <c r="W947" s="46"/>
      <c r="X947" s="46"/>
    </row>
    <row r="948">
      <c r="R948" s="48"/>
      <c r="W948" s="46"/>
      <c r="X948" s="46"/>
    </row>
    <row r="949">
      <c r="R949" s="48"/>
      <c r="W949" s="46"/>
      <c r="X949" s="46"/>
    </row>
    <row r="950">
      <c r="R950" s="48"/>
      <c r="W950" s="46"/>
      <c r="X950" s="46"/>
    </row>
    <row r="951">
      <c r="R951" s="48"/>
      <c r="W951" s="46"/>
      <c r="X951" s="46"/>
    </row>
    <row r="952">
      <c r="R952" s="48"/>
      <c r="W952" s="46"/>
      <c r="X952" s="46"/>
    </row>
    <row r="953">
      <c r="R953" s="48"/>
      <c r="W953" s="46"/>
      <c r="X953" s="46"/>
    </row>
    <row r="954">
      <c r="R954" s="48"/>
      <c r="W954" s="46"/>
      <c r="X954" s="46"/>
    </row>
    <row r="955">
      <c r="R955" s="48"/>
      <c r="W955" s="46"/>
      <c r="X955" s="46"/>
    </row>
    <row r="956">
      <c r="R956" s="48"/>
      <c r="W956" s="46"/>
      <c r="X956" s="46"/>
    </row>
    <row r="957">
      <c r="R957" s="48"/>
      <c r="W957" s="46"/>
      <c r="X957" s="46"/>
    </row>
    <row r="958">
      <c r="R958" s="48"/>
      <c r="W958" s="46"/>
      <c r="X958" s="46"/>
    </row>
    <row r="959">
      <c r="R959" s="48"/>
      <c r="W959" s="46"/>
      <c r="X959" s="46"/>
    </row>
    <row r="960">
      <c r="R960" s="48"/>
      <c r="W960" s="46"/>
      <c r="X960" s="46"/>
    </row>
    <row r="961">
      <c r="R961" s="48"/>
      <c r="W961" s="46"/>
      <c r="X961" s="46"/>
    </row>
    <row r="962">
      <c r="R962" s="48"/>
      <c r="W962" s="46"/>
      <c r="X962" s="46"/>
    </row>
    <row r="963">
      <c r="R963" s="48"/>
      <c r="W963" s="46"/>
      <c r="X963" s="46"/>
    </row>
    <row r="964">
      <c r="R964" s="48"/>
      <c r="W964" s="46"/>
      <c r="X964" s="46"/>
    </row>
    <row r="965">
      <c r="R965" s="48"/>
      <c r="W965" s="46"/>
      <c r="X965" s="46"/>
    </row>
    <row r="966">
      <c r="R966" s="48"/>
      <c r="W966" s="46"/>
      <c r="X966" s="46"/>
    </row>
    <row r="967">
      <c r="R967" s="48"/>
      <c r="W967" s="46"/>
      <c r="X967" s="46"/>
    </row>
    <row r="968">
      <c r="R968" s="48"/>
      <c r="W968" s="46"/>
      <c r="X968" s="46"/>
    </row>
    <row r="969">
      <c r="R969" s="48"/>
      <c r="W969" s="46"/>
      <c r="X969" s="46"/>
    </row>
    <row r="970">
      <c r="R970" s="48"/>
      <c r="W970" s="46"/>
      <c r="X970" s="46"/>
    </row>
    <row r="971">
      <c r="R971" s="48"/>
      <c r="W971" s="46"/>
      <c r="X971" s="46"/>
    </row>
    <row r="972">
      <c r="R972" s="48"/>
      <c r="W972" s="46"/>
      <c r="X972" s="46"/>
    </row>
    <row r="973">
      <c r="R973" s="48"/>
      <c r="W973" s="46"/>
      <c r="X973" s="46"/>
    </row>
    <row r="974">
      <c r="R974" s="48"/>
      <c r="W974" s="46"/>
      <c r="X974" s="46"/>
    </row>
    <row r="975">
      <c r="R975" s="48"/>
      <c r="W975" s="46"/>
      <c r="X975" s="46"/>
    </row>
    <row r="976">
      <c r="R976" s="48"/>
      <c r="W976" s="46"/>
      <c r="X976" s="46"/>
    </row>
    <row r="977">
      <c r="R977" s="48"/>
      <c r="W977" s="46"/>
      <c r="X977" s="46"/>
    </row>
    <row r="978">
      <c r="R978" s="48"/>
      <c r="W978" s="46"/>
      <c r="X978" s="46"/>
    </row>
    <row r="979">
      <c r="R979" s="48"/>
      <c r="W979" s="46"/>
      <c r="X979" s="46"/>
    </row>
    <row r="980">
      <c r="R980" s="48"/>
      <c r="W980" s="46"/>
      <c r="X980" s="46"/>
    </row>
    <row r="981">
      <c r="R981" s="48"/>
      <c r="W981" s="46"/>
      <c r="X981" s="46"/>
    </row>
    <row r="982">
      <c r="R982" s="48"/>
      <c r="W982" s="46"/>
      <c r="X982" s="46"/>
    </row>
    <row r="983">
      <c r="R983" s="48"/>
      <c r="W983" s="46"/>
      <c r="X983" s="46"/>
    </row>
    <row r="984">
      <c r="R984" s="48"/>
      <c r="W984" s="46"/>
      <c r="X984" s="46"/>
    </row>
    <row r="985">
      <c r="R985" s="48"/>
      <c r="W985" s="46"/>
      <c r="X985" s="46"/>
    </row>
    <row r="986">
      <c r="R986" s="48"/>
      <c r="W986" s="46"/>
      <c r="X986" s="46"/>
    </row>
    <row r="987">
      <c r="R987" s="48"/>
      <c r="W987" s="46"/>
      <c r="X987" s="46"/>
    </row>
    <row r="988">
      <c r="R988" s="48"/>
      <c r="W988" s="46"/>
      <c r="X988" s="46"/>
    </row>
    <row r="989">
      <c r="R989" s="48"/>
      <c r="W989" s="46"/>
      <c r="X989" s="46"/>
    </row>
    <row r="990">
      <c r="R990" s="48"/>
      <c r="W990" s="46"/>
      <c r="X990" s="46"/>
    </row>
    <row r="991">
      <c r="R991" s="48"/>
      <c r="W991" s="46"/>
      <c r="X991" s="46"/>
    </row>
    <row r="992">
      <c r="R992" s="48"/>
      <c r="W992" s="46"/>
      <c r="X992" s="46"/>
    </row>
    <row r="993">
      <c r="R993" s="48"/>
      <c r="W993" s="46"/>
      <c r="X993" s="46"/>
    </row>
    <row r="994">
      <c r="R994" s="48"/>
      <c r="W994" s="46"/>
      <c r="X994" s="46"/>
    </row>
    <row r="995">
      <c r="R995" s="48"/>
      <c r="W995" s="46"/>
      <c r="X995" s="46"/>
    </row>
    <row r="996">
      <c r="R996" s="48"/>
      <c r="W996" s="46"/>
      <c r="X996" s="46"/>
    </row>
    <row r="997">
      <c r="R997" s="48"/>
      <c r="W997" s="46"/>
      <c r="X997" s="46"/>
    </row>
    <row r="998">
      <c r="R998" s="48"/>
      <c r="W998" s="46"/>
      <c r="X998" s="46"/>
    </row>
    <row r="999">
      <c r="R999" s="48"/>
      <c r="W999" s="46"/>
      <c r="X999" s="46"/>
    </row>
  </sheetData>
  <hyperlinks>
    <hyperlink r:id="rId1" ref="AB3"/>
    <hyperlink r:id="rId2" ref="AB4"/>
    <hyperlink r:id="rId3" ref="AB5"/>
    <hyperlink r:id="rId4" ref="AB6"/>
    <hyperlink r:id="rId5" ref="AB7"/>
    <hyperlink r:id="rId6" ref="AB8"/>
    <hyperlink r:id="rId7" ref="AB9"/>
    <hyperlink r:id="rId8" ref="AB10"/>
    <hyperlink r:id="rId9" ref="AB14"/>
    <hyperlink r:id="rId10" ref="AB15"/>
    <hyperlink r:id="rId11" ref="AB16"/>
    <hyperlink r:id="rId12" ref="AB17"/>
    <hyperlink r:id="rId13" ref="AB19"/>
    <hyperlink r:id="rId14" ref="AB24"/>
    <hyperlink r:id="rId15" ref="AB25"/>
    <hyperlink r:id="rId16" ref="AB26"/>
    <hyperlink r:id="rId17" ref="AB27"/>
    <hyperlink r:id="rId18" ref="AB28"/>
    <hyperlink r:id="rId19" ref="AB29"/>
    <hyperlink r:id="rId20" ref="AB31"/>
    <hyperlink r:id="rId21" ref="AB32"/>
    <hyperlink r:id="rId22" ref="AB33"/>
    <hyperlink r:id="rId23" ref="AB34"/>
    <hyperlink r:id="rId24" ref="AB35"/>
    <hyperlink r:id="rId25" ref="AB36"/>
    <hyperlink r:id="rId26" ref="AB40"/>
    <hyperlink r:id="rId27" ref="AB41"/>
    <hyperlink r:id="rId28" ref="AB42"/>
    <hyperlink r:id="rId29" ref="AB43"/>
    <hyperlink r:id="rId30" ref="AB44"/>
    <hyperlink r:id="rId31" ref="AB45"/>
    <hyperlink r:id="rId32" ref="AB46"/>
    <hyperlink r:id="rId33" ref="AB47"/>
    <hyperlink r:id="rId34" ref="AB48"/>
    <hyperlink r:id="rId35" ref="AB49"/>
    <hyperlink r:id="rId36" ref="AB50"/>
    <hyperlink r:id="rId37" ref="AB51"/>
    <hyperlink r:id="rId38" ref="AB52"/>
    <hyperlink r:id="rId39" ref="AB53"/>
    <hyperlink r:id="rId40" ref="AB54"/>
    <hyperlink r:id="rId41" ref="AB55"/>
    <hyperlink r:id="rId42" ref="AB56"/>
    <hyperlink r:id="rId43" ref="AB57"/>
    <hyperlink r:id="rId44" ref="AB58"/>
    <hyperlink r:id="rId45" ref="AB59"/>
    <hyperlink r:id="rId46" ref="AB60"/>
    <hyperlink r:id="rId47" ref="AB61"/>
    <hyperlink r:id="rId48" ref="AB62"/>
    <hyperlink r:id="rId49" ref="AB63"/>
    <hyperlink r:id="rId50" ref="AB87"/>
    <hyperlink r:id="rId51" ref="AB94"/>
    <hyperlink r:id="rId52" ref="AB134"/>
    <hyperlink r:id="rId53" ref="AB138"/>
    <hyperlink r:id="rId54" ref="AB158"/>
    <hyperlink r:id="rId55" ref="AB172"/>
    <hyperlink r:id="rId56" ref="AB205"/>
    <hyperlink r:id="rId57" ref="AB227"/>
    <hyperlink r:id="rId58" ref="AB245"/>
    <hyperlink r:id="rId59" ref="AB248"/>
    <hyperlink r:id="rId60" ref="AB249"/>
    <hyperlink r:id="rId61" ref="AB252"/>
    <hyperlink r:id="rId62" ref="AB256"/>
    <hyperlink r:id="rId63" ref="AB257"/>
    <hyperlink r:id="rId64" ref="AB258"/>
    <hyperlink r:id="rId65" ref="AB259"/>
    <hyperlink r:id="rId66" ref="AB260"/>
    <hyperlink r:id="rId67" ref="AB261"/>
    <hyperlink r:id="rId68" ref="AB262"/>
    <hyperlink r:id="rId69" ref="AB263"/>
    <hyperlink r:id="rId70" ref="AB264"/>
    <hyperlink r:id="rId71" ref="AB269"/>
    <hyperlink r:id="rId72" ref="AB271"/>
    <hyperlink r:id="rId73" ref="AB272"/>
    <hyperlink r:id="rId74" ref="AB273"/>
  </hyperlinks>
  <drawing r:id="rId7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5"/>
  </cols>
  <sheetData>
    <row r="1">
      <c r="A1" s="6" t="str">
        <f>'Base de Datos'!A1</f>
        <v>Código</v>
      </c>
      <c r="B1" s="6" t="str">
        <f>'Base de Datos'!B1</f>
        <v>Nombre</v>
      </c>
      <c r="C1" s="6" t="str">
        <f>'Base de Datos'!C1</f>
        <v>Tipo de inmueble</v>
      </c>
      <c r="D1" s="6" t="str">
        <f>'Base de Datos'!D1</f>
        <v>Barrio</v>
      </c>
      <c r="E1" s="6" t="str">
        <f>'Base de Datos'!E1</f>
        <v>Conjunto</v>
      </c>
      <c r="F1" s="6" t="str">
        <f>'Base de Datos'!F1</f>
        <v>Precio</v>
      </c>
      <c r="G1" s="6" t="str">
        <f>'Base de Datos'!G1</f>
        <v>Rango de precio</v>
      </c>
      <c r="H1" s="6" t="str">
        <f>'Base de Datos'!H1</f>
        <v>Hipoteca</v>
      </c>
      <c r="I1" s="6" t="str">
        <f>'Base de Datos'!I1</f>
        <v>Permuta</v>
      </c>
      <c r="J1" s="6" t="str">
        <f>'Base de Datos'!J1</f>
        <v>Zona</v>
      </c>
      <c r="K1" s="6" t="str">
        <f>'Base de Datos'!K1</f>
        <v>Comuna</v>
      </c>
      <c r="L1" s="6" t="str">
        <f>'Base de Datos'!L1</f>
        <v>Habitaciones</v>
      </c>
      <c r="M1" s="6" t="str">
        <f>'Base de Datos'!M1</f>
        <v>Habitacion en 1er piso</v>
      </c>
      <c r="N1" s="6" t="str">
        <f>'Base de Datos'!N1</f>
        <v>Baños</v>
      </c>
      <c r="O1" s="6" t="str">
        <f>'Base de Datos'!O1</f>
        <v>Garaje</v>
      </c>
      <c r="P1" s="6" t="str">
        <f>'Base de Datos'!P1</f>
        <v>Pisos</v>
      </c>
      <c r="Q1" s="6" t="str">
        <f>'Base de Datos'!Q1</f>
        <v>Área Construida</v>
      </c>
      <c r="R1" s="6" t="str">
        <f>'Base de Datos'!R1</f>
        <v>Área lote</v>
      </c>
      <c r="S1" s="6" t="str">
        <f>'Base de Datos'!S1</f>
        <v>Rentabilidad</v>
      </c>
      <c r="T1" s="6" t="str">
        <f>'Base de Datos'!T1</f>
        <v>Ciudad</v>
      </c>
      <c r="U1" s="6" t="str">
        <f>'Base de Datos'!U1</f>
        <v>Estrato</v>
      </c>
      <c r="V1" s="6" t="str">
        <f>'Base de Datos'!V1</f>
        <v>Ubicación</v>
      </c>
      <c r="W1" s="6" t="str">
        <f>'Base de Datos'!W1</f>
        <v>Vía</v>
      </c>
      <c r="X1" s="6" t="str">
        <f>#REF!</f>
        <v>#REF!</v>
      </c>
      <c r="Y1" s="6" t="str">
        <f>'Base de Datos'!X1</f>
        <v>Closet</v>
      </c>
      <c r="Z1" s="6" t="str">
        <f>'Base de Datos'!Y1</f>
        <v>Piscina</v>
      </c>
      <c r="AA1" s="6" t="str">
        <f>'Base de Datos'!Z1</f>
        <v>Administración</v>
      </c>
      <c r="AB1" s="6" t="str">
        <f>'Base de Datos'!AA1</f>
        <v>Retorno de la Inversión</v>
      </c>
      <c r="AC1" s="6" t="str">
        <f>'Base de Datos'!AB1</f>
        <v>Google Fotos</v>
      </c>
      <c r="AD1" s="6" t="str">
        <f>'Base de Datos'!AC1</f>
        <v>Descripción</v>
      </c>
      <c r="AE1" s="6" t="str">
        <f>'Base de Datos'!AD1</f>
        <v>Puntos Clave</v>
      </c>
      <c r="AF1" s="6" t="str">
        <f>'Base de Datos'!AE1</f>
        <v>Buscar</v>
      </c>
      <c r="AG1" s="6" t="str">
        <f>'Base de Datos'!AF1</f>
        <v>Cocina</v>
      </c>
      <c r="AH1" s="10" t="str">
        <f>'Base de Datos'!AI1</f>
        <v>Contrato</v>
      </c>
      <c r="AI1" s="10" t="str">
        <f>'Base de Datos'!BF1</f>
        <v>Imagenes</v>
      </c>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46"/>
    </row>
    <row r="2">
      <c r="A2" s="87" t="str">
        <f>IFERROR(__xludf.DUMMYFUNCTION("FILTER('Base de Datos'!A1:AF3379, 'Base de Datos'!AG1:AG3379=""SI"")"),"1249")</f>
        <v>1249</v>
      </c>
      <c r="B2" s="46" t="str">
        <f>IFERROR(__xludf.DUMMYFUNCTION("""COMPUTED_VALUE"""),"Casa campestre en Rivera")</f>
        <v>Casa campestre en Rivera</v>
      </c>
      <c r="C2" s="46" t="str">
        <f>IFERROR(__xludf.DUMMYFUNCTION("""COMPUTED_VALUE"""),"Casa campestre")</f>
        <v>Casa campestre</v>
      </c>
      <c r="D2" s="46"/>
      <c r="E2" s="90"/>
      <c r="F2" s="90">
        <f>IFERROR(__xludf.DUMMYFUNCTION("""COMPUTED_VALUE"""),1.1E9)</f>
        <v>1100000000</v>
      </c>
      <c r="G2" s="46" t="str">
        <f>IFERROR(__xludf.DUMMYFUNCTION("""COMPUTED_VALUE"""),"Más de $1.000'000.000")</f>
        <v>Más de $1.000'000.000</v>
      </c>
      <c r="H2" s="46"/>
      <c r="I2" s="46"/>
      <c r="J2" s="46" t="str">
        <f>IFERROR(__xludf.DUMMYFUNCTION("""COMPUTED_VALUE"""),"Sur")</f>
        <v>Sur</v>
      </c>
      <c r="K2" s="87"/>
      <c r="L2" s="46">
        <f>IFERROR(__xludf.DUMMYFUNCTION("""COMPUTED_VALUE"""),3.0)</f>
        <v>3</v>
      </c>
      <c r="M2" s="46"/>
      <c r="N2" s="46">
        <f>IFERROR(__xludf.DUMMYFUNCTION("""COMPUTED_VALUE"""),4.0)</f>
        <v>4</v>
      </c>
      <c r="O2" s="46">
        <f>IFERROR(__xludf.DUMMYFUNCTION("""COMPUTED_VALUE"""),6.0)</f>
        <v>6</v>
      </c>
      <c r="P2" s="46">
        <f>IFERROR(__xludf.DUMMYFUNCTION("""COMPUTED_VALUE"""),1.0)</f>
        <v>1</v>
      </c>
      <c r="Q2" s="92">
        <f>IFERROR(__xludf.DUMMYFUNCTION("""COMPUTED_VALUE"""),300.0)</f>
        <v>300</v>
      </c>
      <c r="R2" s="92">
        <f>IFERROR(__xludf.DUMMYFUNCTION("""COMPUTED_VALUE"""),1500.0)</f>
        <v>1500</v>
      </c>
      <c r="S2" s="87" t="str">
        <f>IFERROR(__xludf.DUMMYFUNCTION("""COMPUTED_VALUE""")," ")</f>
        <v> </v>
      </c>
      <c r="T2" s="46" t="str">
        <f>IFERROR(__xludf.DUMMYFUNCTION("""COMPUTED_VALUE"""),"Rivera")</f>
        <v>Rivera</v>
      </c>
      <c r="U2" s="87" t="str">
        <f>IFERROR(__xludf.DUMMYFUNCTION("""COMPUTED_VALUE"""),"0")</f>
        <v>0</v>
      </c>
      <c r="V2" s="46">
        <f>IFERROR(__xludf.DUMMYFUNCTION("""COMPUTED_VALUE"""),0.0)</f>
        <v>0</v>
      </c>
      <c r="W2" s="46"/>
      <c r="X2" s="46">
        <f>IFERROR(__xludf.DUMMYFUNCTION("""COMPUTED_VALUE"""),3.0)</f>
        <v>3</v>
      </c>
      <c r="Y2" s="46" t="str">
        <f>IFERROR(__xludf.DUMMYFUNCTION("""COMPUTED_VALUE"""),"Privada")</f>
        <v>Privada</v>
      </c>
      <c r="Z2" s="90" t="str">
        <f>IFERROR(__xludf.DUMMYFUNCTION("""COMPUTED_VALUE"""),"No aplica")</f>
        <v>No aplica</v>
      </c>
      <c r="AA2" s="33" t="str">
        <f>IFERROR(__xludf.DUMMYFUNCTION("""COMPUTED_VALUE"""),"No aplica")</f>
        <v>No aplica</v>
      </c>
      <c r="AB2" s="96" t="str">
        <f>IFERROR(__xludf.DUMMYFUNCTION("""COMPUTED_VALUE"""),"https://photos.app.goo.gl/FsXuh4zRiHtfxLRy8")</f>
        <v>https://photos.app.goo.gl/FsXuh4zRiHtfxLRy8</v>
      </c>
      <c r="AC2" s="46" t="str">
        <f>IFERROR(__xludf.DUMMYFUNCTION("""COMPUTED_VALUE"""),"Esta espectacular casa campestre de lujo en venta, ubicada en el municipio de Rivera, Huila, se extiende sobre un impresionante terreno de 1.800 m² con 300 m² construidos, definidos por un diseño moderno y acabados de alta gama con materiales premium. Los"&amp;" interiores están pavimentados con un porcelanato blanco pulido con vetas grises tipo mármol de formato grande que refleja la luz natural. El área social de concepto abierto, con muros estucados y pintados en un blanco impecable, integra una sala de estar"&amp;" de generosas dimensiones, un comedor elegante y una moderna cocina tipo isla totalmente equipada con mesones de cuarzo blanco, carpintería de madera oscura, grifería cromada y electrodomésticos empotrados. Grandes ventanales de piso a techo con perfilerí"&amp;"a de aluminio negro se abren completamente para conectar estos espacios con la terraza cubierta, creando un flujo sin interrupciones hacia el exterior. La propiedad cuenta con 3 amplias habitaciones, cada una con su propio baño privado revestido con cerám"&amp;"icas modernas y grifería de alta calidad, y vestier independiente. La suite principal disfruta de acceso directo al área de la piscina y vistas a las zonas verdes. La casa incorpora tecnología para una experiencia inteligente.")</f>
        <v>Esta espectacular casa campestre de lujo en venta, ubicada en el municipio de Rivera, Huila, se extiende sobre un impresionante terreno de 1.800 m² con 300 m² construidos, definidos por un diseño moderno y acabados de alta gama con materiales premium. Los interiores están pavimentados con un porcelanato blanco pulido con vetas grises tipo mármol de formato grande que refleja la luz natural. El área social de concepto abierto, con muros estucados y pintados en un blanco impecable, integra una sala de estar de generosas dimensiones, un comedor elegante y una moderna cocina tipo isla totalmente equipada con mesones de cuarzo blanco, carpintería de madera oscura, grifería cromada y electrodomésticos empotrados. Grandes ventanales de piso a techo con perfilería de aluminio negro se abren completamente para conectar estos espacios con la terraza cubierta, creando un flujo sin interrupciones hacia el exterior. La propiedad cuenta con 3 amplias habitaciones, cada una con su propio baño privado revestido con cerámicas modernas y grifería de alta calidad, y vestier independiente. La suite principal disfruta de acceso directo al área de la piscina y vistas a las zonas verdes. La casa incorpora tecnología para una experiencia inteligente.</v>
      </c>
      <c r="AD2" s="46" t="str">
        <f>IFERROR(__xludf.DUMMYFUNCTION("""COMPUTED_VALUE"""),"Ubicada en uno de los destinos más codiciados del Huila por su clima agradable y entorno natural, esta propiedad combina diseño contemporáneo, confort y privacidad absoluta. Su principal atractivo radica en la perfecta integración de la arquitectura con l"&amp;"a naturaleza, lograda gracias a los grandes ventanales que brindan iluminación y ventilación natural durante todo el día. El exterior cuenta con una completa zona de entretenimiento que incluye una piscina privada rodeada de zonas verdes meticulosamente c"&amp;"uidadas, un área BBQ y amplios jardines ideales para reuniones sociales o simplemente para relajarse. La opción de venta ""a puerta cerrada"" la convierte en una oportunidad llave en mano lista para habitar. Esta casa campestre inteligente representa no s"&amp;"olo un hogar de lujo con alta valorización, sino también un refugio exclusivo que promete bienestar y una conexión única con el paisaje.")</f>
        <v>Ubicada en uno de los destinos más codiciados del Huila por su clima agradable y entorno natural, esta propiedad combina diseño contemporáneo, confort y privacidad absoluta. Su principal atractivo radica en la perfecta integración de la arquitectura con la naturaleza, lograda gracias a los grandes ventanales que brindan iluminación y ventilación natural durante todo el día. El exterior cuenta con una completa zona de entretenimiento que incluye una piscina privada rodeada de zonas verdes meticulosamente cuidadas, un área BBQ y amplios jardines ideales para reuniones sociales o simplemente para relajarse. La opción de venta "a puerta cerrada" la convierte en una oportunidad llave en mano lista para habitar. Esta casa campestre inteligente representa no solo un hogar de lujo con alta valorización, sino también un refugio exclusivo que promete bienestar y una conexión única con el paisaje.</v>
      </c>
      <c r="AE2" s="46"/>
      <c r="AF2" s="46" t="str">
        <f>IFERROR(__xludf.DUMMYFUNCTION("""COMPUTED_VALUE"""),"integral")</f>
        <v>integral</v>
      </c>
      <c r="AG2" s="46"/>
      <c r="AH2" s="46" t="str">
        <f>IFERROR(__xludf.DUMMYFUNCTION("FILTER('Base de Datos'!AI1:AI3379, 'Base de Datos'!AG1:AG3379=""SI"")"),"Aliado")</f>
        <v>Aliado</v>
      </c>
      <c r="AI2" s="92" t="str">
        <f>IFERROR(__xludf.DUMMYFUNCTION("FILTER('Base de Datos'!BF1:BF35649, 'Base de Datos'!AG1:AG3379=""SI"")"),"https://lh3.googleusercontent.com/pw/AP1GczNb6luhwWfagHhLwFzqfUjaIa1nls1j3IXlIT9SKQTeszS189ByoNCoJirXZOIfuMZUO2EPxdx-ZCqXdyM0CvgmDNvkHmPUX7Xjok_CKza6N6kyWK0E=w1200|https://lh3.googleusercontent.com/pw/AP1GczM1VA0Mv3WSqM3xoEcmKZHEGbfLPvtCrqsj2q7NHf1MBy4Yrw"&amp;"aPfDx1uKlPGJUG2cGBRPYaEORWmtkKyzT_LvTvoBC_rBkiYdt7763uH9snULdYCrKg=w1200|https://lh3.googleusercontent.com/pw/AP1GczPjn6sDBPTO-mljvQ-ugsqe4A5liLhlCl_MVvcI1UQBt1KumLhqKMtyFkuHBW0ljdkIrpalpbZ9neV1Oy5J5C3qno69Htoa7z_oyo-12YkWRTp8ERUO=w1200|https://lh3.google"&amp;"usercontent.com/pw/AP1GczMKB5zwAogoYugrRslnuDhNjx2vHvGr3nP-AFniaK7eZUCbOKIhD10HmUZBuSXZpTxdhJrWo9OJIe1WkjizJW41uTEQ-a0fIahZCDBg7CGNfw4vNcGt=w1200|https://lh3.googleusercontent.com/pw/AP1GczPpIthIVemBCIi7R1-bPg5gcuYWBDfHhI7GOqaIG8yT-_1DVkcxlXrKGDTvJ-UfzJ3L"&amp;"JZ5QyxQ-wsgj6-qzzhTo3_0Cbn8CgykeQ4tjOgxd98KMr-Bu=w1200|https://lh3.googleusercontent.com/pw/AP1GczNd1vY0dwea6U_720OfcMsnYx7TfAOYcN2iR4JPkuvTMpPl1NrAKibKATEAQVquM4dYN5t9VWBgNVqASmz0JQtFkGdHyrgE7YCZ5YxDVCWyJlHD2Pca=w1200|https://lh3.googleusercontent.com/pw"&amp;"/AP1GczMJws7WTqxsNqG-lf7XX5rzN5817Rjd_1YzTzVxGv0IE1X4tYMT3NCSFRSXPqKj22mIkg44GQgbVLsZhw_qKyrmgSQOY2LoamM4FvgSgfwHOs5SG1yH=w1200|https://lh3.googleusercontent.com/pw/AP1GczNGH_AgMJpG0zbVBbtRV3qMdQ5nghYGH8jkBmW8GA8R9cggCeDuMhjJelQVow0yCwZDZsqFUu65Gpw5tR5yTQ"&amp;"Ii7cOMLx6LremU4pBqVSV7WfhYZ-JV=w1200|https://lh3.googleusercontent.com/pw/AP1GczOhHlOoblYfXzkk-4JEq9NezmoFVpyLG1yGRurPEoXRyXrlNl_twGR8YE9Dw-1dRrcrYSMSysScmHzhEod0aG123lfsoCXKdqSy2LG3WcDUHHGVjKKU=w1200|https://lh3.googleusercontent.com/pw/AP1GczP1wR0D5k2gr"&amp;"AdX8hlyyAzWm_vO3h2NgIhXfeh2GrdEVB5R3ZEChXn9xPVtvC6nz8hNfuZFitmuXQuWD9riKdNhf7KDbu3r1EEhSecOsoAjuh-PRhYN=w1200|https://lh3.googleusercontent.com/pw/AP1GczPfzG6FgydL3nA7b6zMacnS5tgmggYFgvLeEZs-GTVIKaE1noVCTl4lscT8O3BCZ8JBz40MjMjmqibbFp1SpPBqWQDApCAT9oiiKlbE"&amp;"J5V2GRL9Zspl=w1200|https://lh3.googleusercontent.com/pw/AP1GczMVO_uj7rofaffDBQpPULFUgpedP0o_lvdWOK5Zuc_EpHNSZSlcX9PVz4EdKOJWOR1Ds78Dr5bpe25kDZ-39N4Fp2AsoqiiDDmXsosW7Jey54Hlymev=w1200|https://lh3.googleusercontent.com/pw/AP1GczOTa6KmlvQPpunCA1UT0hmT2aRNuOs"&amp;"PI7pp51vY03QsQPFrpGAfZ8MQzKsRLQ9U5U2K39Ca66tqsR1Wck_5SiIBLzT8ORzAY31U7eo04H8jWAcRbUMz=w1200|https://lh3.googleusercontent.com/pw/AP1GczPgHAjQoPrgFx9iJ2O5yX5e0L18EWgNvi1L8sMYdHJXZu6USnsJLT6ZDudfEBZ3rIpARScR2cZGorJjhzSynhxzEZHXuYH1b42EtSEOovVF2EvCDbQX=w1200"&amp;"|https://lh3.googleusercontent.com/pw/AP1GczNQnWiTf7G-OnhFF_O4ME_jaDbEzOxvVT_AFXr9x7m6QxiaEPv1Vsc59C8DF7E2KJ4xwzWPnhFm8WNI9z6NfMwu6LFnjdPaM3dEMuHkMyBHhU54xASi=w1200|https://lh3.googleusercontent.com/pw/AP1GczOKlGjVmUVj6Nv4zckP2R4im7sYakJKwCbLbd6qCcWUFdsNz"&amp;"E6HQhz7yur8AqbDfGtKoCyjWVZLSUYe7oikiif_tR4Gms2iyLEMzUDGslheimlFiCg8=w1200|https://lh3.googleusercontent.com/pw/AP1GczN2KISlW-C_1_tM9LL2EFCLJMb5Xx_yOduBilV0NhQLpGWeL_uNumM0f6AnLYzIVC6TwzkA13BftS0nCBtXuyldmxT02V_6NnO9Nd8ZVWPmUVy97HbY=w1200|https://lh3.googl"&amp;"eusercontent.com/pw/AP1GczO3H2fW-d-riymPEbLYXL48hKUk7G1wOUa6BzkN-AioNZVVLaKB05ac9o72SndCazwO2aOEV3pGPd3wagaF-FEE2Ng8smaETZnmE90HliZ7OBIjwa49=w1200|https://lh3.googleusercontent.com/pw/AP1GczOmLb3455QLIsmAfgq_fXp0Ss6ZUXThQCfcfhhPOj24LjPB5v53uy8fI0HZfTHlXKV"&amp;"9sya4Ds4cexISMpDBlaGN0m2Vp8yOlXCv2tVwSkZQBX8u7AgW=w1200|https://lh3.googleusercontent.com/pw/AP1GczNjX8lMNLljHHL0Rb0HlMCLkR5rDapf7fvFfnlfq9lznQ39UNxlUYwhn6pPHbqAuV0IeQhXiQj8JIsd7sLcmdwDMQIvroRroODirq9yrdANEkp6sczl=w1200|https://lh3.googleusercontent.com/p"&amp;"w/AP1GczPQkWuwxtFcVXpxGm7rCaOCVmDT1GHIvtNcSsbSyBCAbfgpv3-jUY-wg_hlQj3K4WogM2PlVne6U9C81Zqh8ozQRG5jFU11ZPV44jlDFka587P1_lRk=w1200|https://lh3.googleusercontent.com/pw/AP1GczNaBj6i8j7V95f_UWsSvjMdPhPL-tN5NUOpNFoSCh8NFafjofXKdOi7RdjaHOQypSdo354VlW8V64oRhHrmK"&amp;"UatEaMwoaj3iKkj36zfyklMbs3Dv1Y1=w1200|https://lh3.googleusercontent.com/pw/AP1GczNSZehb97PD9Wxo5qftVq_Ywfkf4Uw7P1iy7ONr58RfYRR3-p4ZOl6wgTaqNF9TJ3obaDiZ_zP06Mw_wSbmM24ANOsG5TNdR7Ea0M6-0_kOpNXMhs7G=w1200|https://lh3.googleusercontent.com/pw/AP1GczPUrutzbygD"&amp;"enCxBFhdVdZBNdjMFxE-20AShHvE9JjmcMNoPaq57qNzsJTnz_2PKIGQWeBZNO2aI8uxxABEKWlCHQDOeNT5jqFmPW2IdggsxYfKq8cB=w1200|https://lh3.googleusercontent.com/pw/AP1GczNsd6jrT5_0b78DyDDYRdfvONPa8u0ckjSDcZ2Tz0ucynp6gincFIRFQfgnG9pz5bi3XlV4xjpqhNv5x42Gbc6ysnbIpx_UKQHSzM8"&amp;"Adps6yRHEjO-o=w1200|https://lh3.googleusercontent.com/pw/AP1GczOqhxieqR5UCIvYJeJ8AlnovQ315CsZc93HSXuRBVlPM3ovobVgYqvNxNSTT_0muu1ooQQfVXi4WDgjxCdeOBavBfmnhETmm3d7RLJTcsEltqv3HL22=w1200|https://lh3.googleusercontent.com/pw/AP1GczPJq2k0xF8EUo6aw0tDUxezDFjM8v"&amp;"nLVinQyI6mijJ3fp46JReLnwacAb2HSTe72KaGRTVKBl880oXROtjZo_aYepKYApN4-a5lb6Qq5wlfyLDy2OBY=w1200|https://lh3.googleusercontent.com/pw/AP1GczN5JTRmetSlhK8-Phr46uELez39rXDRl-5X1IaxbDZD0Xaf_kch0b-nttViyQjg7bd_sL6QkTTscFnC-ukRHJen84whzjtDW9edRnk4JSO9nAtyYlWz=w120"&amp;"0|https://lh3.googleusercontent.com/pw/AP1GczObUVTcYYPMSXM7aXbGZm8lhjChNnBHFXn-C_V2uA16m-5ksHM8LX0Sqxkts-iGXUsMG4ChsEH9v3zYWO1WkXICNmdGV7bJ44QpcDzspn0Ac9FuwIq3=w1200")</f>
        <v>https://lh3.googleusercontent.com/pw/AP1GczNb6luhwWfagHhLwFzqfUjaIa1nls1j3IXlIT9SKQTeszS189ByoNCoJirXZOIfuMZUO2EPxdx-ZCqXdyM0CvgmDNvkHmPUX7Xjok_CKza6N6kyWK0E=w1200|https://lh3.googleusercontent.com/pw/AP1GczM1VA0Mv3WSqM3xoEcmKZHEGbfLPvtCrqsj2q7NHf1MBy4YrwaPfDx1uKlPGJUG2cGBRPYaEORWmtkKyzT_LvTvoBC_rBkiYdt7763uH9snULdYCrKg=w1200|https://lh3.googleusercontent.com/pw/AP1GczPjn6sDBPTO-mljvQ-ugsqe4A5liLhlCl_MVvcI1UQBt1KumLhqKMtyFkuHBW0ljdkIrpalpbZ9neV1Oy5J5C3qno69Htoa7z_oyo-12YkWRTp8ERUO=w1200|https://lh3.googleusercontent.com/pw/AP1GczMKB5zwAogoYugrRslnuDhNjx2vHvGr3nP-AFniaK7eZUCbOKIhD10HmUZBuSXZpTxdhJrWo9OJIe1WkjizJW41uTEQ-a0fIahZCDBg7CGNfw4vNcGt=w1200|https://lh3.googleusercontent.com/pw/AP1GczPpIthIVemBCIi7R1-bPg5gcuYWBDfHhI7GOqaIG8yT-_1DVkcxlXrKGDTvJ-UfzJ3LJZ5QyxQ-wsgj6-qzzhTo3_0Cbn8CgykeQ4tjOgxd98KMr-Bu=w1200|https://lh3.googleusercontent.com/pw/AP1GczNd1vY0dwea6U_720OfcMsnYx7TfAOYcN2iR4JPkuvTMpPl1NrAKibKATEAQVquM4dYN5t9VWBgNVqASmz0JQtFkGdHyrgE7YCZ5YxDVCWyJlHD2Pca=w1200|https://lh3.googleusercontent.com/pw/AP1GczMJws7WTqxsNqG-lf7XX5rzN5817Rjd_1YzTzVxGv0IE1X4tYMT3NCSFRSXPqKj22mIkg44GQgbVLsZhw_qKyrmgSQOY2LoamM4FvgSgfwHOs5SG1yH=w1200|https://lh3.googleusercontent.com/pw/AP1GczNGH_AgMJpG0zbVBbtRV3qMdQ5nghYGH8jkBmW8GA8R9cggCeDuMhjJelQVow0yCwZDZsqFUu65Gpw5tR5yTQIi7cOMLx6LremU4pBqVSV7WfhYZ-JV=w1200|https://lh3.googleusercontent.com/pw/AP1GczOhHlOoblYfXzkk-4JEq9NezmoFVpyLG1yGRurPEoXRyXrlNl_twGR8YE9Dw-1dRrcrYSMSysScmHzhEod0aG123lfsoCXKdqSy2LG3WcDUHHGVjKKU=w1200|https://lh3.googleusercontent.com/pw/AP1GczP1wR0D5k2grAdX8hlyyAzWm_vO3h2NgIhXfeh2GrdEVB5R3ZEChXn9xPVtvC6nz8hNfuZFitmuXQuWD9riKdNhf7KDbu3r1EEhSecOsoAjuh-PRhYN=w1200|https://lh3.googleusercontent.com/pw/AP1GczPfzG6FgydL3nA7b6zMacnS5tgmggYFgvLeEZs-GTVIKaE1noVCTl4lscT8O3BCZ8JBz40MjMjmqibbFp1SpPBqWQDApCAT9oiiKlbEJ5V2GRL9Zspl=w1200|https://lh3.googleusercontent.com/pw/AP1GczMVO_uj7rofaffDBQpPULFUgpedP0o_lvdWOK5Zuc_EpHNSZSlcX9PVz4EdKOJWOR1Ds78Dr5bpe25kDZ-39N4Fp2AsoqiiDDmXsosW7Jey54Hlymev=w1200|https://lh3.googleusercontent.com/pw/AP1GczOTa6KmlvQPpunCA1UT0hmT2aRNuOsPI7pp51vY03QsQPFrpGAfZ8MQzKsRLQ9U5U2K39Ca66tqsR1Wck_5SiIBLzT8ORzAY31U7eo04H8jWAcRbUMz=w1200|https://lh3.googleusercontent.com/pw/AP1GczPgHAjQoPrgFx9iJ2O5yX5e0L18EWgNvi1L8sMYdHJXZu6USnsJLT6ZDudfEBZ3rIpARScR2cZGorJjhzSynhxzEZHXuYH1b42EtSEOovVF2EvCDbQX=w1200|https://lh3.googleusercontent.com/pw/AP1GczNQnWiTf7G-OnhFF_O4ME_jaDbEzOxvVT_AFXr9x7m6QxiaEPv1Vsc59C8DF7E2KJ4xwzWPnhFm8WNI9z6NfMwu6LFnjdPaM3dEMuHkMyBHhU54xASi=w1200|https://lh3.googleusercontent.com/pw/AP1GczOKlGjVmUVj6Nv4zckP2R4im7sYakJKwCbLbd6qCcWUFdsNzE6HQhz7yur8AqbDfGtKoCyjWVZLSUYe7oikiif_tR4Gms2iyLEMzUDGslheimlFiCg8=w1200|https://lh3.googleusercontent.com/pw/AP1GczN2KISlW-C_1_tM9LL2EFCLJMb5Xx_yOduBilV0NhQLpGWeL_uNumM0f6AnLYzIVC6TwzkA13BftS0nCBtXuyldmxT02V_6NnO9Nd8ZVWPmUVy97HbY=w1200|https://lh3.googleusercontent.com/pw/AP1GczO3H2fW-d-riymPEbLYXL48hKUk7G1wOUa6BzkN-AioNZVVLaKB05ac9o72SndCazwO2aOEV3pGPd3wagaF-FEE2Ng8smaETZnmE90HliZ7OBIjwa49=w1200|https://lh3.googleusercontent.com/pw/AP1GczOmLb3455QLIsmAfgq_fXp0Ss6ZUXThQCfcfhhPOj24LjPB5v53uy8fI0HZfTHlXKV9sya4Ds4cexISMpDBlaGN0m2Vp8yOlXCv2tVwSkZQBX8u7AgW=w1200|https://lh3.googleusercontent.com/pw/AP1GczNjX8lMNLljHHL0Rb0HlMCLkR5rDapf7fvFfnlfq9lznQ39UNxlUYwhn6pPHbqAuV0IeQhXiQj8JIsd7sLcmdwDMQIvroRroODirq9yrdANEkp6sczl=w1200|https://lh3.googleusercontent.com/pw/AP1GczPQkWuwxtFcVXpxGm7rCaOCVmDT1GHIvtNcSsbSyBCAbfgpv3-jUY-wg_hlQj3K4WogM2PlVne6U9C81Zqh8ozQRG5jFU11ZPV44jlDFka587P1_lRk=w1200|https://lh3.googleusercontent.com/pw/AP1GczNaBj6i8j7V95f_UWsSvjMdPhPL-tN5NUOpNFoSCh8NFafjofXKdOi7RdjaHOQypSdo354VlW8V64oRhHrmKUatEaMwoaj3iKkj36zfyklMbs3Dv1Y1=w1200|https://lh3.googleusercontent.com/pw/AP1GczNSZehb97PD9Wxo5qftVq_Ywfkf4Uw7P1iy7ONr58RfYRR3-p4ZOl6wgTaqNF9TJ3obaDiZ_zP06Mw_wSbmM24ANOsG5TNdR7Ea0M6-0_kOpNXMhs7G=w1200|https://lh3.googleusercontent.com/pw/AP1GczPUrutzbygDenCxBFhdVdZBNdjMFxE-20AShHvE9JjmcMNoPaq57qNzsJTnz_2PKIGQWeBZNO2aI8uxxABEKWlCHQDOeNT5jqFmPW2IdggsxYfKq8cB=w1200|https://lh3.googleusercontent.com/pw/AP1GczNsd6jrT5_0b78DyDDYRdfvONPa8u0ckjSDcZ2Tz0ucynp6gincFIRFQfgnG9pz5bi3XlV4xjpqhNv5x42Gbc6ysnbIpx_UKQHSzM8Adps6yRHEjO-o=w1200|https://lh3.googleusercontent.com/pw/AP1GczOqhxieqR5UCIvYJeJ8AlnovQ315CsZc93HSXuRBVlPM3ovobVgYqvNxNSTT_0muu1ooQQfVXi4WDgjxCdeOBavBfmnhETmm3d7RLJTcsEltqv3HL22=w1200|https://lh3.googleusercontent.com/pw/AP1GczPJq2k0xF8EUo6aw0tDUxezDFjM8vnLVinQyI6mijJ3fp46JReLnwacAb2HSTe72KaGRTVKBl880oXROtjZo_aYepKYApN4-a5lb6Qq5wlfyLDy2OBY=w1200|https://lh3.googleusercontent.com/pw/AP1GczN5JTRmetSlhK8-Phr46uELez39rXDRl-5X1IaxbDZD0Xaf_kch0b-nttViyQjg7bd_sL6QkTTscFnC-ukRHJen84whzjtDW9edRnk4JSO9nAtyYlWz=w1200|https://lh3.googleusercontent.com/pw/AP1GczObUVTcYYPMSXM7aXbGZm8lhjChNnBHFXn-C_V2uA16m-5ksHM8LX0Sqxkts-iGXUsMG4ChsEH9v3zYWO1WkXICNmdGV7bJ44QpcDzspn0Ac9FuwIq3=w1200</v>
      </c>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row>
    <row r="3">
      <c r="A3" s="87" t="str">
        <f>IFERROR(__xludf.DUMMYFUNCTION("""COMPUTED_VALUE"""),"055")</f>
        <v>055</v>
      </c>
      <c r="B3" s="46" t="str">
        <f>IFERROR(__xludf.DUMMYFUNCTION("""COMPUTED_VALUE"""),"Casa campestre en conjunto Condominio Campestre Portobelo - Oriente")</f>
        <v>Casa campestre en conjunto Condominio Campestre Portobelo - Oriente</v>
      </c>
      <c r="C3" s="46" t="str">
        <f>IFERROR(__xludf.DUMMYFUNCTION("""COMPUTED_VALUE"""),"Casa campestre en conjunto")</f>
        <v>Casa campestre en conjunto</v>
      </c>
      <c r="D3" s="46"/>
      <c r="E3" s="46" t="str">
        <f>IFERROR(__xludf.DUMMYFUNCTION("""COMPUTED_VALUE"""),"Condominio Campestre Portobelo ")</f>
        <v>Condominio Campestre Portobelo </v>
      </c>
      <c r="F3" s="90">
        <f>IFERROR(__xludf.DUMMYFUNCTION("""COMPUTED_VALUE"""),1.25E9)</f>
        <v>1250000000</v>
      </c>
      <c r="G3" s="46" t="str">
        <f>IFERROR(__xludf.DUMMYFUNCTION("""COMPUTED_VALUE"""),"Más de $1.000'000.000")</f>
        <v>Más de $1.000'000.000</v>
      </c>
      <c r="H3" s="46"/>
      <c r="I3" s="46"/>
      <c r="J3" s="46" t="str">
        <f>IFERROR(__xludf.DUMMYFUNCTION("""COMPUTED_VALUE"""),"Oriente")</f>
        <v>Oriente</v>
      </c>
      <c r="K3" s="87"/>
      <c r="L3" s="46">
        <f>IFERROR(__xludf.DUMMYFUNCTION("""COMPUTED_VALUE"""),5.0)</f>
        <v>5</v>
      </c>
      <c r="M3" s="46"/>
      <c r="N3" s="46">
        <f>IFERROR(__xludf.DUMMYFUNCTION("""COMPUTED_VALUE"""),6.0)</f>
        <v>6</v>
      </c>
      <c r="O3" s="46">
        <f>IFERROR(__xludf.DUMMYFUNCTION("""COMPUTED_VALUE"""),2.0)</f>
        <v>2</v>
      </c>
      <c r="P3" s="46">
        <f>IFERROR(__xludf.DUMMYFUNCTION("""COMPUTED_VALUE"""),2.0)</f>
        <v>2</v>
      </c>
      <c r="Q3" s="92">
        <f>IFERROR(__xludf.DUMMYFUNCTION("""COMPUTED_VALUE"""),280.0)</f>
        <v>280</v>
      </c>
      <c r="R3" s="92">
        <f>IFERROR(__xludf.DUMMYFUNCTION("""COMPUTED_VALUE"""),0.0)</f>
        <v>0</v>
      </c>
      <c r="S3" s="87" t="str">
        <f>IFERROR(__xludf.DUMMYFUNCTION("""COMPUTED_VALUE""")," ")</f>
        <v> </v>
      </c>
      <c r="T3" s="46" t="str">
        <f>IFERROR(__xludf.DUMMYFUNCTION("""COMPUTED_VALUE"""),"Neiva")</f>
        <v>Neiva</v>
      </c>
      <c r="U3" s="87" t="str">
        <f>IFERROR(__xludf.DUMMYFUNCTION("""COMPUTED_VALUE"""),"6")</f>
        <v>6</v>
      </c>
      <c r="V3" s="46" t="str">
        <f>IFERROR(__xludf.DUMMYFUNCTION("""COMPUTED_VALUE"""),"Esquinera")</f>
        <v>Esquinera</v>
      </c>
      <c r="W3" s="46"/>
      <c r="X3" s="46">
        <f>IFERROR(__xludf.DUMMYFUNCTION("""COMPUTED_VALUE"""),5.0)</f>
        <v>5</v>
      </c>
      <c r="Y3" s="46" t="str">
        <f>IFERROR(__xludf.DUMMYFUNCTION("""COMPUTED_VALUE"""),"Jacuzzi")</f>
        <v>Jacuzzi</v>
      </c>
      <c r="Z3" s="90"/>
      <c r="AA3" s="33" t="str">
        <f>IFERROR(__xludf.DUMMYFUNCTION("""COMPUTED_VALUE"""),"No aplica")</f>
        <v>No aplica</v>
      </c>
      <c r="AB3" s="96" t="str">
        <f>IFERROR(__xludf.DUMMYFUNCTION("""COMPUTED_VALUE"""),"https://photos.app.goo.gl/qBodAdBTByzCxczf7")</f>
        <v>https://photos.app.goo.gl/qBodAdBTByzCxczf7</v>
      </c>
      <c r="AC3" s="46" t="str">
        <f>IFERROR(__xludf.DUMMYFUNCTION("""COMPUTED_VALUE"""),"Esta exclusiva residencia esquinera contemporánea de estrato 6 cuenta con un área privada de 280 m² caracterizada por acabados impecables y modernos. En toda la propiedad destacan pisos de porcelanato blanco de alto brillo con un formato amplio que maximi"&amp;"za la luminosidad, combinados con muros estucados y pintados en tonos claros y elegantes. En el primer nivel, la zona social integra una espaciosa cocina integral en L de concepto abierto, equipada con muebles modulares de color blanco brillante, mesones "&amp;"de granito oscuro, torre de hornos empotrada, estufa de vidrio templado, campana extractora de acero inoxidable y un gran ventanal de aluminio que conecta con el exterior; este piso incluye también una habitación o estudio versátil, un baño social y doble"&amp;" acceso (principal y directo desde un garaje con capacidad para 2 vehículos). El segundo nivel alberga una sala de televisión y un total de 5 habitaciones amplias y 6 baños dotados de divisiones en vidrio templado y grifería cromada; la alcoba principal s"&amp;"e distingue por sus generosas dimensiones, aire acondicionado, persianas modernas tipo cebra en sus amplios ventanales, baño privado con tina de hidromasaje y un balcón con vista relajante.")</f>
        <v>Esta exclusiva residencia esquinera contemporánea de estrato 6 cuenta con un área privada de 280 m² caracterizada por acabados impecables y modernos. En toda la propiedad destacan pisos de porcelanato blanco de alto brillo con un formato amplio que maximiza la luminosidad, combinados con muros estucados y pintados en tonos claros y elegantes. En el primer nivel, la zona social integra una espaciosa cocina integral en L de concepto abierto, equipada con muebles modulares de color blanco brillante, mesones de granito oscuro, torre de hornos empotrada, estufa de vidrio templado, campana extractora de acero inoxidable y un gran ventanal de aluminio que conecta con el exterior; este piso incluye también una habitación o estudio versátil, un baño social y doble acceso (principal y directo desde un garaje con capacidad para 2 vehículos). El segundo nivel alberga una sala de televisión y un total de 5 habitaciones amplias y 6 baños dotados de divisiones en vidrio templado y grifería cromada; la alcoba principal se distingue por sus generosas dimensiones, aire acondicionado, persianas modernas tipo cebra en sus amplios ventanales, baño privado con tina de hidromasaje y un balcón con vista relajante.</v>
      </c>
      <c r="AD3" s="46" t="str">
        <f>IFERROR(__xludf.DUMMYFUNCTION("""COMPUTED_VALUE"""),"El mayor atractivo de este inmueble radica en su estilo de vida premium y su ubicación privilegiada en la codiciada Zona Oriente de Neiva, justo al lado del Centro Comercial Santa Lucía Plaza, lo que garantiza comodidad, conectividad y valorización inmedi"&amp;"ata. Su diseño exterior esquinero ofrece una privacidad inigualable y una conexión única con la naturaleza a través de un oasis privado: un patio interior central equipado con jacuzzi propio, zona BBQ integrada y un hermoso árbol de limón, complementado p"&amp;"or una vista directa a zonas verdes circundantes con árboles frutales de arazá y mango dulce. Es la oportunidad perfecta para compradores exigentes que buscan el estatus de un entorno campestre con la seguridad de un condominio cerrado y el confort de un "&amp;"hogar moderno listo para habitar.")</f>
        <v>El mayor atractivo de este inmueble radica en su estilo de vida premium y su ubicación privilegiada en la codiciada Zona Oriente de Neiva, justo al lado del Centro Comercial Santa Lucía Plaza, lo que garantiza comodidad, conectividad y valorización inmediata. Su diseño exterior esquinero ofrece una privacidad inigualable y una conexión única con la naturaleza a través de un oasis privado: un patio interior central equipado con jacuzzi propio, zona BBQ integrada y un hermoso árbol de limón, complementado por una vista directa a zonas verdes circundantes con árboles frutales de arazá y mango dulce. Es la oportunidad perfecta para compradores exigentes que buscan el estatus de un entorno campestre con la seguridad de un condominio cerrado y el confort de un hogar moderno listo para habitar.</v>
      </c>
      <c r="AE3" s="46"/>
      <c r="AF3" s="46" t="str">
        <f>IFERROR(__xludf.DUMMYFUNCTION("""COMPUTED_VALUE"""),"integral")</f>
        <v>integral</v>
      </c>
      <c r="AG3" s="46"/>
      <c r="AH3" s="46" t="str">
        <f>IFERROR(__xludf.DUMMYFUNCTION("""COMPUTED_VALUE"""),"Aliado")</f>
        <v>Aliado</v>
      </c>
      <c r="AI3" s="92" t="str">
        <f>IFERROR(__xludf.DUMMYFUNCTION("""COMPUTED_VALUE"""),"https://lh3.googleusercontent.com/pw/AP1GczOcZBLCbYD3J0cIm-v6Goh5YF7PnKgWwXAd6vaKV0t2375B7xLbAFsNqxpKP5ikEKYyUbTpurlOmf96lMIB1YLd3tQ07zdqHdUbwoNqqT9XNZAEVytn=w1200|https://lh3.googleusercontent.com/pw/AP1GczPHSvbGHDA0JQ47c0ukYBAoz1wDKy_x-kBCFpCC0gI_gvttyX"&amp;"Gr-RetgypaxKaUUT0OGHyc2YEcgKpPr-vwlmRJgb9YW6XlWkXWlHCm4cfkIuB8PEO_=w1200|https://lh3.googleusercontent.com/pw/AP1GczNjbQycox5ycQBUC082ZKiD20lTJSmC4rpmelKnntBGFFw-ORaJMLR9Y5qcnIWbtZivHPtPbAALewfWbiPMd6m0wZmr6sdPvNB4SazsVq-aeRPQ0yCH=w1200|https://lh3.google"&amp;"usercontent.com/pw/AP1GczMOM4FyMsM018sbQ4qj8CAX6XfZiiFaLRrw8LMNxWZIoDiM7VYX5VfseMfSmmG8cK4wfuKEP8wiOWSTUSwuN0WAVj9dNCJ8Z4IPTTMsYNzW_ILACI9I=w1200|https://lh3.googleusercontent.com/pw/AP1GczNMbqPl3FYaO77fQsHmtzdnXEnnyFKOs-RbOXLON2QhscGIKk4JBW3E-TM857HuftxM"&amp;"9cnqgcENgY5Gx2qttMFj0VH7xp0551dy-0PPvKl7Wf8oNlyQ=w1200|https://lh3.googleusercontent.com/pw/AP1GczOa-lx73wJxOOwnNaZjn7Kq4s-lUptnX8EFNDsxfmKCsfKfUijhym-1Sw70wmbfoyC2-G9orccjezT1zNEzUdxf_lBI_gdXFt1GHuCrU7ok__oNIWgE=w1200|https://lh3.googleusercontent.com/pw"&amp;"/AP1GczOO8a92wsWbOtrH-s7YHA-slpZwtAC9qGYgibR1-pVsxygudIcRFJ35MCAq1cdSVFiHAGrjT5_-7UkbmKc9UAXyDA5KxN1Bd2-4pdZuQMoi0dmU_zA1=w1200|https://lh3.googleusercontent.com/pw/AP1GczNuULHAG7TUcntehm2vXphBhXf0pIwq2ZGLZUGHTD3ZvPwxdQTeS_iUr3xWHQeT5JXrlkrcmUxq240PRC_WfR"&amp;"Px4PSMo6hcuTsAvbiMWK_aja0j8tpT=w1200|https://lh3.googleusercontent.com/pw/AP1GczNY2boJRDWmiRZ8lrcRjK89fxXxPD-ezCAZH9mjbZKr11cG4QVBueb398sXMLadXziFE452DFtWbTEF7DUT-1DBoqR9kw0iZhqfJcaPzecr3uyC7xM0=w1200|https://lh3.googleusercontent.com/pw/AP1GczMyqJMmqRPaE"&amp;"iObdwQFC-L3y-auQr25FqXVb5t0k568i0QfvYDMHtDxuqmIVfXJ5wJL40t_LWnRi1gLhyowwDjZq60HOm-wTCD0Z1ZeP4cgzam_pfzB=w1200")</f>
        <v>https://lh3.googleusercontent.com/pw/AP1GczOcZBLCbYD3J0cIm-v6Goh5YF7PnKgWwXAd6vaKV0t2375B7xLbAFsNqxpKP5ikEKYyUbTpurlOmf96lMIB1YLd3tQ07zdqHdUbwoNqqT9XNZAEVytn=w1200|https://lh3.googleusercontent.com/pw/AP1GczPHSvbGHDA0JQ47c0ukYBAoz1wDKy_x-kBCFpCC0gI_gvttyXGr-RetgypaxKaUUT0OGHyc2YEcgKpPr-vwlmRJgb9YW6XlWkXWlHCm4cfkIuB8PEO_=w1200|https://lh3.googleusercontent.com/pw/AP1GczNjbQycox5ycQBUC082ZKiD20lTJSmC4rpmelKnntBGFFw-ORaJMLR9Y5qcnIWbtZivHPtPbAALewfWbiPMd6m0wZmr6sdPvNB4SazsVq-aeRPQ0yCH=w1200|https://lh3.googleusercontent.com/pw/AP1GczMOM4FyMsM018sbQ4qj8CAX6XfZiiFaLRrw8LMNxWZIoDiM7VYX5VfseMfSmmG8cK4wfuKEP8wiOWSTUSwuN0WAVj9dNCJ8Z4IPTTMsYNzW_ILACI9I=w1200|https://lh3.googleusercontent.com/pw/AP1GczNMbqPl3FYaO77fQsHmtzdnXEnnyFKOs-RbOXLON2QhscGIKk4JBW3E-TM857HuftxM9cnqgcENgY5Gx2qttMFj0VH7xp0551dy-0PPvKl7Wf8oNlyQ=w1200|https://lh3.googleusercontent.com/pw/AP1GczOa-lx73wJxOOwnNaZjn7Kq4s-lUptnX8EFNDsxfmKCsfKfUijhym-1Sw70wmbfoyC2-G9orccjezT1zNEzUdxf_lBI_gdXFt1GHuCrU7ok__oNIWgE=w1200|https://lh3.googleusercontent.com/pw/AP1GczOO8a92wsWbOtrH-s7YHA-slpZwtAC9qGYgibR1-pVsxygudIcRFJ35MCAq1cdSVFiHAGrjT5_-7UkbmKc9UAXyDA5KxN1Bd2-4pdZuQMoi0dmU_zA1=w1200|https://lh3.googleusercontent.com/pw/AP1GczNuULHAG7TUcntehm2vXphBhXf0pIwq2ZGLZUGHTD3ZvPwxdQTeS_iUr3xWHQeT5JXrlkrcmUxq240PRC_WfRPx4PSMo6hcuTsAvbiMWK_aja0j8tpT=w1200|https://lh3.googleusercontent.com/pw/AP1GczNY2boJRDWmiRZ8lrcRjK89fxXxPD-ezCAZH9mjbZKr11cG4QVBueb398sXMLadXziFE452DFtWbTEF7DUT-1DBoqR9kw0iZhqfJcaPzecr3uyC7xM0=w1200|https://lh3.googleusercontent.com/pw/AP1GczMyqJMmqRPaEiObdwQFC-L3y-auQr25FqXVb5t0k568i0QfvYDMHtDxuqmIVfXJ5wJL40t_LWnRi1gLhyowwDjZq60HOm-wTCD0Z1ZeP4cgzam_pfzB=w1200</v>
      </c>
      <c r="AJ3" s="46"/>
      <c r="AK3" s="46"/>
      <c r="AL3" s="46"/>
      <c r="AM3" s="46"/>
      <c r="AN3" s="46"/>
      <c r="AO3" s="46"/>
      <c r="AP3" s="46"/>
      <c r="AQ3" s="46"/>
      <c r="AR3" s="46"/>
      <c r="AS3" s="46"/>
      <c r="AT3" s="46"/>
      <c r="AU3" s="46"/>
      <c r="AV3" s="46"/>
      <c r="AW3" s="46"/>
      <c r="AX3" s="46"/>
      <c r="AY3" s="46"/>
      <c r="AZ3" s="46"/>
      <c r="BA3" s="46"/>
      <c r="BB3" s="46"/>
      <c r="BC3" s="46"/>
      <c r="BD3" s="46"/>
      <c r="BE3" s="46"/>
      <c r="BF3" s="46"/>
      <c r="BG3" s="46"/>
      <c r="BH3" s="46"/>
      <c r="BI3" s="46"/>
      <c r="BJ3" s="46"/>
      <c r="BK3" s="46"/>
      <c r="BL3" s="46"/>
      <c r="BM3" s="46"/>
      <c r="BN3" s="46"/>
      <c r="BO3" s="46"/>
      <c r="BP3" s="46"/>
      <c r="BQ3" s="46"/>
      <c r="BR3" s="46"/>
      <c r="BS3" s="46"/>
      <c r="BT3" s="46"/>
      <c r="BU3" s="46"/>
      <c r="BV3" s="46"/>
      <c r="BW3" s="46"/>
      <c r="BX3" s="46"/>
      <c r="BY3" s="46"/>
      <c r="BZ3" s="46"/>
      <c r="CA3" s="46"/>
      <c r="CB3" s="46"/>
      <c r="CC3" s="46"/>
    </row>
    <row r="4">
      <c r="A4" s="87" t="str">
        <f>IFERROR(__xludf.DUMMYFUNCTION("""COMPUTED_VALUE"""),"407")</f>
        <v>407</v>
      </c>
      <c r="B4" s="46" t="str">
        <f>IFERROR(__xludf.DUMMYFUNCTION("""COMPUTED_VALUE"""),"Casa en conjunto conjunto Condominio Campestre Paisajes de Almería - Oriente")</f>
        <v>Casa en conjunto conjunto Condominio Campestre Paisajes de Almería - Oriente</v>
      </c>
      <c r="C4" s="46" t="str">
        <f>IFERROR(__xludf.DUMMYFUNCTION("""COMPUTED_VALUE"""),"Casa en conjunto")</f>
        <v>Casa en conjunto</v>
      </c>
      <c r="D4" s="46"/>
      <c r="E4" s="46" t="str">
        <f>IFERROR(__xludf.DUMMYFUNCTION("""COMPUTED_VALUE"""),"Conjunto Condominio Campestre Paisajes de Almería")</f>
        <v>Conjunto Condominio Campestre Paisajes de Almería</v>
      </c>
      <c r="F4" s="90">
        <f>IFERROR(__xludf.DUMMYFUNCTION("""COMPUTED_VALUE"""),8.6E8)</f>
        <v>860000000</v>
      </c>
      <c r="G4" s="46" t="str">
        <f>IFERROR(__xludf.DUMMYFUNCTION("""COMPUTED_VALUE"""),"$500'000.000 a $1.000'000.000")</f>
        <v>$500'000.000 a $1.000'000.000</v>
      </c>
      <c r="H4" s="46"/>
      <c r="I4" s="46"/>
      <c r="J4" s="46" t="str">
        <f>IFERROR(__xludf.DUMMYFUNCTION("""COMPUTED_VALUE"""),"Oriente")</f>
        <v>Oriente</v>
      </c>
      <c r="K4" s="87"/>
      <c r="L4" s="46">
        <f>IFERROR(__xludf.DUMMYFUNCTION("""COMPUTED_VALUE"""),3.0)</f>
        <v>3</v>
      </c>
      <c r="M4" s="46"/>
      <c r="N4" s="46">
        <f>IFERROR(__xludf.DUMMYFUNCTION("""COMPUTED_VALUE"""),3.0)</f>
        <v>3</v>
      </c>
      <c r="O4" s="46">
        <f>IFERROR(__xludf.DUMMYFUNCTION("""COMPUTED_VALUE"""),2.0)</f>
        <v>2</v>
      </c>
      <c r="P4" s="46">
        <f>IFERROR(__xludf.DUMMYFUNCTION("""COMPUTED_VALUE"""),2.0)</f>
        <v>2</v>
      </c>
      <c r="Q4" s="92">
        <f>IFERROR(__xludf.DUMMYFUNCTION("""COMPUTED_VALUE"""),255.0)</f>
        <v>255</v>
      </c>
      <c r="R4" s="92">
        <f>IFERROR(__xludf.DUMMYFUNCTION("""COMPUTED_VALUE"""),188.0)</f>
        <v>188</v>
      </c>
      <c r="S4" s="87" t="str">
        <f>IFERROR(__xludf.DUMMYFUNCTION("""COMPUTED_VALUE""")," ")</f>
        <v> </v>
      </c>
      <c r="T4" s="46" t="str">
        <f>IFERROR(__xludf.DUMMYFUNCTION("""COMPUTED_VALUE"""),"Neiva")</f>
        <v>Neiva</v>
      </c>
      <c r="U4" s="87"/>
      <c r="V4" s="46" t="str">
        <f>IFERROR(__xludf.DUMMYFUNCTION("""COMPUTED_VALUE"""),"Medianera")</f>
        <v>Medianera</v>
      </c>
      <c r="W4" s="46"/>
      <c r="X4" s="46">
        <f>IFERROR(__xludf.DUMMYFUNCTION("""COMPUTED_VALUE"""),3.0)</f>
        <v>3</v>
      </c>
      <c r="Y4" s="46" t="str">
        <f>IFERROR(__xludf.DUMMYFUNCTION("""COMPUTED_VALUE"""),"Social")</f>
        <v>Social</v>
      </c>
      <c r="Z4" s="90">
        <f>IFERROR(__xludf.DUMMYFUNCTION("""COMPUTED_VALUE"""),560000.0)</f>
        <v>560000</v>
      </c>
      <c r="AA4" s="33" t="str">
        <f>IFERROR(__xludf.DUMMYFUNCTION("""COMPUTED_VALUE"""),"No aplica")</f>
        <v>No aplica</v>
      </c>
      <c r="AB4" s="96" t="str">
        <f>IFERROR(__xludf.DUMMYFUNCTION("""COMPUTED_VALUE"""),"https://photos.app.goo.gl/ihWDX96WyS8yz2xt6")</f>
        <v>https://photos.app.goo.gl/ihWDX96WyS8yz2xt6</v>
      </c>
      <c r="AC4" s="46" t="str">
        <f>IFERROR(__xludf.DUMMYFUNCTION("""COMPUTED_VALUE"""),"Esta espectacular casa de dos niveles y estrato 4 cuenta con un diseño de concepto abierto que abarca un área total de 188 $Mt^2$. La planta baja destaca por sus pisos cerámicos de alto brillo, muros con acabados impecables en blanco y una amplia cocina i"&amp;"ntegral de diseño moderno equipada con elegantes muebles modulares superiores e inferiores en color blanco, encimeras de granito oscuro, barra americana y campana extractora de acero inoxidable. El área social de este primer nivel incluye una sala y comed"&amp;"or de excelente iluminación natural, estudio independiente, baño social, zona de lavandería independiente, dormitorio de servicio con su propio baño y un patio exterior con zona BBQ. En el segundo nivel se distribuye una sala auxiliar de TV, un baño socia"&amp;"l completo con ducha y 3 cómodas habitaciones; las dos auxiliares cuentan con clóset empotrado, mientras que la majestuosa habitación principal dispone de aire acondicionado, walking clóset, baño privado y acceso a un balcón privado con barandas de seguri"&amp;"dad, sumando además 2 parqueaderos privados en el inmueble.")</f>
        <v>Esta espectacular casa de dos niveles y estrato 4 cuenta con un diseño de concepto abierto que abarca un área total de 188 $Mt^2$. La planta baja destaca por sus pisos cerámicos de alto brillo, muros con acabados impecables en blanco y una amplia cocina integral de diseño moderno equipada con elegantes muebles modulares superiores e inferiores en color blanco, encimeras de granito oscuro, barra americana y campana extractora de acero inoxidable. El área social de este primer nivel incluye una sala y comedor de excelente iluminación natural, estudio independiente, baño social, zona de lavandería independiente, dormitorio de servicio con su propio baño y un patio exterior con zona BBQ. En el segundo nivel se distribuye una sala auxiliar de TV, un baño social completo con ducha y 3 cómodas habitaciones; las dos auxiliares cuentan con clóset empotrado, mientras que la majestuosa habitación principal dispone de aire acondicionado, walking clóset, baño privado y acceso a un balcón privado con barandas de seguridad, sumando además 2 parqueaderos privados en el inmueble.</v>
      </c>
      <c r="AD4" s="46" t="str">
        <f>IFERROR(__xludf.DUMMYFUNCTION("""COMPUTED_VALUE"""),"Ubicada en una de las zonas residenciales de mayor valorización, exclusividad y proyección en el Oriente de Neiva, esta propiedad en el conjunto residencial Pasaje de Almería es la elección perfecta para quienes buscan comodidad, seguridad y calidad de vi"&amp;"da familiar. El condominio destaca por su alta privacidad al estar conformado por solo 42 casas, ofreciendo un entorno completamente tranquilo con vigilancia privada 24/7 y parqueaderos internos exclusivos para visitantes. Las zonas comunes están diseñada"&amp;"s para un estilo de vida superior, equipadas con una amplia piscina, cancha de tenis, cancha múltiple, salón social, zona BBQ y parque infantil. Sus generosos espacios, la excelente ventilación natural y los acabados listos para estrenar representan una o"&amp;"portunidad inigualable en el mercado para asegurar el bienestar inmediato y el patrimonio de su familia")</f>
        <v>Ubicada en una de las zonas residenciales de mayor valorización, exclusividad y proyección en el Oriente de Neiva, esta propiedad en el conjunto residencial Pasaje de Almería es la elección perfecta para quienes buscan comodidad, seguridad y calidad de vida familiar. El condominio destaca por su alta privacidad al estar conformado por solo 42 casas, ofreciendo un entorno completamente tranquilo con vigilancia privada 24/7 y parqueaderos internos exclusivos para visitantes. Las zonas comunes están diseñadas para un estilo de vida superior, equipadas con una amplia piscina, cancha de tenis, cancha múltiple, salón social, zona BBQ y parque infantil. Sus generosos espacios, la excelente ventilación natural y los acabados listos para estrenar representan una oportunidad inigualable en el mercado para asegurar el bienestar inmediato y el patrimonio de su familia</v>
      </c>
      <c r="AE4" s="46"/>
      <c r="AF4" s="46" t="str">
        <f>IFERROR(__xludf.DUMMYFUNCTION("""COMPUTED_VALUE"""),"integral")</f>
        <v>integral</v>
      </c>
      <c r="AG4" s="46"/>
      <c r="AH4" s="46" t="str">
        <f>IFERROR(__xludf.DUMMYFUNCTION("""COMPUTED_VALUE"""),"Aliado")</f>
        <v>Aliado</v>
      </c>
      <c r="AI4" s="92" t="str">
        <f>IFERROR(__xludf.DUMMYFUNCTION("""COMPUTED_VALUE"""),"https://lh3.googleusercontent.com/pw/AP1GczNCvd4P9GPOicaCmeqLZo3DUjsercaGgMI9G1UdMnoa-AwYiQXgMuWF2XxhVRO8gO_fhAtH11RjWduC9qYztuPOn4nxnrVFkzDZOEzToE-vYiw14A_i=w1200|https://lh3.googleusercontent.com/pw/AP1GczOV4Vl9uFwT30G5zcZvqRM8vSKatNSR5zEg01E6skPEX7r6P7"&amp;"lS7Fd_ve9Zo7Xi7SRLPEj99_r17CM7eCIq3Yd3-GvFoejYQ9UdD3tWCx1KVBywFqql=w1200|https://lh3.googleusercontent.com/pw/AP1GczMtLbGDYILN4QXdRoX2nC_RvMm-rjFNtxB4bw2iS9mdRyPsuunHtYPxEX4WDejRsIrajKfwyLDq2YgNsDLHemxMpXyBEd9ovuScQgnDOOBJn5UGEBEI=w1200|https://lh3.google"&amp;"usercontent.com/pw/AP1GczOhm2N3hbzHjSnGrRACx0T9Yi6t4Hw2ASpa0jUOl0FKNzVrPbJVpjoWLuh3Dng-CR5ShnTl-MnzUTzptaCEi4clbdBOFRnS86udS6MTLj1-VE8TQnUG=w1200|https://lh3.googleusercontent.com/pw/AP1GczNtt4ZJX4u6mIbrXA9RtS4htORYghlqPhoBOd0pcNvErw_1OLuCGSlbhG67Kxq_t03V"&amp;"AbBwZ8kCvrSpN5PHaR456Ci3bpmdZr_9_IQgPuyAnlB--od_=w1200|https://lh3.googleusercontent.com/pw/AP1GczMVZRLQ8yrlbNco26BeNeG2S9YT4U50xvrCfBVe6fH9OvFLPbwzqFUp0xlpE9_vMA6_ld6VcF9PqjZ6Xqb_4djqxugI03FpKYCXD4cSM6h37h7ZNc3i=w1200|https://lh3.googleusercontent.com/pw"&amp;"/AP1GczMTcMR1k4_I4Bb_bB9Da5wcY868zqU9qqwmTjvQOd6O9tleLxrVoNsZEtoMnT52TA9KlLhTecMSCh7kOnjmkd8Pe0fCQu_3i6J9etfc_yk7VkEWpwR-=w1200|https://lh3.googleusercontent.com/pw/AP1GczM_30wBK4H6yjeSr1ApQoJVElPR-MF00T6bREV8oHKDNRC0FEGsw9jQsN7vjwTvKyL55jaCmJK9QetXN7BvGj"&amp;"4n8lo2hFqlIUgyAkdLLk_fxaLQRKvF=w1200|https://lh3.googleusercontent.com/pw/AP1GczM-Uy1mJH4fwRdZXP56m4rqlLOauMqoNgsmF-QnmT-dYw-CE5vxiyy1zEHWcE2k9wDjTmyRW_XFO4xlIPtoSkZ7xrUaTmYjBG04EeAvkqo1cvfzFOJp=w1200|https://lh3.googleusercontent.com/pw/AP1GczPthURyGwfYP"&amp;"UMANEaIVx-gVCSQSY3x9i4B7QmTxfprQl27kd64HyHzgzqXxoIPiMNwfX1nPptR-7k5j9oOKJEN6w1YYi680xS_A0UefL7ZmsHVoJK3=w1200|https://lh3.googleusercontent.com/pw/AP1GczPA4e-OCU-a2q7fwvpzN-tgSHfI3fp58o14XAEKp-H8YVpV8ra3LU2Ang6OU8rIcbg7dSGZfaTij__WnET8-_feHP3UH9OXTmayxZiW"&amp;"_z2AtGRp0-4G=w1200|https://lh3.googleusercontent.com/pw/AP1GczP3ULdZL8TUhIHqUQKSsxV-i1A_yupT_Nb47Hl2UXH3-8ElwSflQAcf3Bzo7Uqahjf2EH8qAp88FfL9fVc8o5vNjm45Ka21hUz8O1TwJxtqq5TxsX60=w1200")</f>
        <v>https://lh3.googleusercontent.com/pw/AP1GczNCvd4P9GPOicaCmeqLZo3DUjsercaGgMI9G1UdMnoa-AwYiQXgMuWF2XxhVRO8gO_fhAtH11RjWduC9qYztuPOn4nxnrVFkzDZOEzToE-vYiw14A_i=w1200|https://lh3.googleusercontent.com/pw/AP1GczOV4Vl9uFwT30G5zcZvqRM8vSKatNSR5zEg01E6skPEX7r6P7lS7Fd_ve9Zo7Xi7SRLPEj99_r17CM7eCIq3Yd3-GvFoejYQ9UdD3tWCx1KVBywFqql=w1200|https://lh3.googleusercontent.com/pw/AP1GczMtLbGDYILN4QXdRoX2nC_RvMm-rjFNtxB4bw2iS9mdRyPsuunHtYPxEX4WDejRsIrajKfwyLDq2YgNsDLHemxMpXyBEd9ovuScQgnDOOBJn5UGEBEI=w1200|https://lh3.googleusercontent.com/pw/AP1GczOhm2N3hbzHjSnGrRACx0T9Yi6t4Hw2ASpa0jUOl0FKNzVrPbJVpjoWLuh3Dng-CR5ShnTl-MnzUTzptaCEi4clbdBOFRnS86udS6MTLj1-VE8TQnUG=w1200|https://lh3.googleusercontent.com/pw/AP1GczNtt4ZJX4u6mIbrXA9RtS4htORYghlqPhoBOd0pcNvErw_1OLuCGSlbhG67Kxq_t03VAbBwZ8kCvrSpN5PHaR456Ci3bpmdZr_9_IQgPuyAnlB--od_=w1200|https://lh3.googleusercontent.com/pw/AP1GczMVZRLQ8yrlbNco26BeNeG2S9YT4U50xvrCfBVe6fH9OvFLPbwzqFUp0xlpE9_vMA6_ld6VcF9PqjZ6Xqb_4djqxugI03FpKYCXD4cSM6h37h7ZNc3i=w1200|https://lh3.googleusercontent.com/pw/AP1GczMTcMR1k4_I4Bb_bB9Da5wcY868zqU9qqwmTjvQOd6O9tleLxrVoNsZEtoMnT52TA9KlLhTecMSCh7kOnjmkd8Pe0fCQu_3i6J9etfc_yk7VkEWpwR-=w1200|https://lh3.googleusercontent.com/pw/AP1GczM_30wBK4H6yjeSr1ApQoJVElPR-MF00T6bREV8oHKDNRC0FEGsw9jQsN7vjwTvKyL55jaCmJK9QetXN7BvGj4n8lo2hFqlIUgyAkdLLk_fxaLQRKvF=w1200|https://lh3.googleusercontent.com/pw/AP1GczM-Uy1mJH4fwRdZXP56m4rqlLOauMqoNgsmF-QnmT-dYw-CE5vxiyy1zEHWcE2k9wDjTmyRW_XFO4xlIPtoSkZ7xrUaTmYjBG04EeAvkqo1cvfzFOJp=w1200|https://lh3.googleusercontent.com/pw/AP1GczPthURyGwfYPUMANEaIVx-gVCSQSY3x9i4B7QmTxfprQl27kd64HyHzgzqXxoIPiMNwfX1nPptR-7k5j9oOKJEN6w1YYi680xS_A0UefL7ZmsHVoJK3=w1200|https://lh3.googleusercontent.com/pw/AP1GczPA4e-OCU-a2q7fwvpzN-tgSHfI3fp58o14XAEKp-H8YVpV8ra3LU2Ang6OU8rIcbg7dSGZfaTij__WnET8-_feHP3UH9OXTmayxZiW_z2AtGRp0-4G=w1200|https://lh3.googleusercontent.com/pw/AP1GczP3ULdZL8TUhIHqUQKSsxV-i1A_yupT_Nb47Hl2UXH3-8ElwSflQAcf3Bzo7Uqahjf2EH8qAp88FfL9fVc8o5vNjm45Ka21hUz8O1TwJxtqq5TxsX60=w1200</v>
      </c>
      <c r="AJ4" s="46"/>
      <c r="AK4" s="46"/>
      <c r="AL4" s="46"/>
      <c r="AM4" s="46"/>
      <c r="AN4" s="46"/>
      <c r="AO4" s="46"/>
      <c r="AP4" s="46"/>
      <c r="AQ4" s="46"/>
      <c r="AR4" s="46"/>
      <c r="AS4" s="46"/>
      <c r="AT4" s="46"/>
      <c r="AU4" s="46"/>
      <c r="AV4" s="46"/>
      <c r="AW4" s="46"/>
      <c r="AX4" s="46"/>
      <c r="AY4" s="46"/>
      <c r="AZ4" s="46"/>
      <c r="BA4" s="46"/>
      <c r="BB4" s="46"/>
      <c r="BC4" s="46"/>
      <c r="BD4" s="46"/>
      <c r="BE4" s="46"/>
      <c r="BF4" s="46"/>
      <c r="BG4" s="46"/>
      <c r="BH4" s="46"/>
      <c r="BI4" s="46"/>
      <c r="BJ4" s="46"/>
      <c r="BK4" s="46"/>
      <c r="BL4" s="46"/>
      <c r="BM4" s="46"/>
      <c r="BN4" s="46"/>
      <c r="BO4" s="46"/>
      <c r="BP4" s="46"/>
      <c r="BQ4" s="46"/>
      <c r="BR4" s="46"/>
      <c r="BS4" s="46"/>
      <c r="BT4" s="46"/>
      <c r="BU4" s="46"/>
      <c r="BV4" s="46"/>
      <c r="BW4" s="46"/>
      <c r="BX4" s="46"/>
      <c r="BY4" s="46"/>
      <c r="BZ4" s="46"/>
      <c r="CA4" s="46"/>
      <c r="CB4" s="46"/>
      <c r="CC4" s="46"/>
    </row>
    <row r="5">
      <c r="A5" s="87" t="str">
        <f>IFERROR(__xludf.DUMMYFUNCTION("""COMPUTED_VALUE"""),"881")</f>
        <v>881</v>
      </c>
      <c r="B5" s="46" t="str">
        <f>IFERROR(__xludf.DUMMYFUNCTION("""COMPUTED_VALUE"""),"Casa en conjunto Paisaje de Almería - Oriente")</f>
        <v>Casa en conjunto Paisaje de Almería - Oriente</v>
      </c>
      <c r="C5" s="46" t="str">
        <f>IFERROR(__xludf.DUMMYFUNCTION("""COMPUTED_VALUE"""),"Casa en conjunto")</f>
        <v>Casa en conjunto</v>
      </c>
      <c r="D5" s="46"/>
      <c r="E5" s="46" t="str">
        <f>IFERROR(__xludf.DUMMYFUNCTION("""COMPUTED_VALUE"""),"Conjunto Paisaje de Almería ")</f>
        <v>Conjunto Paisaje de Almería </v>
      </c>
      <c r="F5" s="90">
        <f>IFERROR(__xludf.DUMMYFUNCTION("""COMPUTED_VALUE"""),7.9E8)</f>
        <v>790000000</v>
      </c>
      <c r="G5" s="46" t="str">
        <f>IFERROR(__xludf.DUMMYFUNCTION("""COMPUTED_VALUE"""),"$500'000.000 a $1.000'000.000")</f>
        <v>$500'000.000 a $1.000'000.000</v>
      </c>
      <c r="H5" s="46"/>
      <c r="I5" s="46"/>
      <c r="J5" s="46" t="str">
        <f>IFERROR(__xludf.DUMMYFUNCTION("""COMPUTED_VALUE"""),"Oriente")</f>
        <v>Oriente</v>
      </c>
      <c r="K5" s="87"/>
      <c r="L5" s="46">
        <f>IFERROR(__xludf.DUMMYFUNCTION("""COMPUTED_VALUE"""),4.0)</f>
        <v>4</v>
      </c>
      <c r="M5" s="46"/>
      <c r="N5" s="46">
        <f>IFERROR(__xludf.DUMMYFUNCTION("""COMPUTED_VALUE"""),3.0)</f>
        <v>3</v>
      </c>
      <c r="O5" s="46">
        <f>IFERROR(__xludf.DUMMYFUNCTION("""COMPUTED_VALUE"""),3.0)</f>
        <v>3</v>
      </c>
      <c r="P5" s="46">
        <f>IFERROR(__xludf.DUMMYFUNCTION("""COMPUTED_VALUE"""),2.0)</f>
        <v>2</v>
      </c>
      <c r="Q5" s="92">
        <f>IFERROR(__xludf.DUMMYFUNCTION("""COMPUTED_VALUE"""),255.0)</f>
        <v>255</v>
      </c>
      <c r="R5" s="92">
        <f>IFERROR(__xludf.DUMMYFUNCTION("""COMPUTED_VALUE"""),190.0)</f>
        <v>190</v>
      </c>
      <c r="S5" s="87" t="str">
        <f>IFERROR(__xludf.DUMMYFUNCTION("""COMPUTED_VALUE""")," ")</f>
        <v> </v>
      </c>
      <c r="T5" s="46" t="str">
        <f>IFERROR(__xludf.DUMMYFUNCTION("""COMPUTED_VALUE"""),"Neiva")</f>
        <v>Neiva</v>
      </c>
      <c r="U5" s="87" t="str">
        <f>IFERROR(__xludf.DUMMYFUNCTION("""COMPUTED_VALUE"""),"4")</f>
        <v>4</v>
      </c>
      <c r="V5" s="46" t="str">
        <f>IFERROR(__xludf.DUMMYFUNCTION("""COMPUTED_VALUE"""),"Esquinera")</f>
        <v>Esquinera</v>
      </c>
      <c r="W5" s="46"/>
      <c r="X5" s="46">
        <f>IFERROR(__xludf.DUMMYFUNCTION("""COMPUTED_VALUE"""),4.0)</f>
        <v>4</v>
      </c>
      <c r="Y5" s="46" t="str">
        <f>IFERROR(__xludf.DUMMYFUNCTION("""COMPUTED_VALUE"""),"Social")</f>
        <v>Social</v>
      </c>
      <c r="Z5" s="90">
        <f>IFERROR(__xludf.DUMMYFUNCTION("""COMPUTED_VALUE"""),580000.0)</f>
        <v>580000</v>
      </c>
      <c r="AA5" s="33" t="str">
        <f>IFERROR(__xludf.DUMMYFUNCTION("""COMPUTED_VALUE"""),"No aplica")</f>
        <v>No aplica</v>
      </c>
      <c r="AB5" s="96" t="str">
        <f>IFERROR(__xludf.DUMMYFUNCTION("""COMPUTED_VALUE"""),"https://photos.app.goo.gl/7H36CRapUBibtUSS6")</f>
        <v>https://photos.app.goo.gl/7H36CRapUBibtUSS6</v>
      </c>
      <c r="AC5" s="46" t="str">
        <f>IFERROR(__xludf.DUMMYFUNCTION("""COMPUTED_VALUE"""),"Esta imponente casa esquinera de dos niveles en estrato 4 cuenta con un área privada de 190 m² y 198 m² construidos, destacando por sus acabados de excelente calidad basados en pisos de gran formato de cerámica pulida en tono gris claro y muros decorativo"&amp;"s con paneles de celosía de madera de nogal acanalada. La planta baja distribuye una amplia sala con mueble de entretenimiento flotante, un comedor independiente con vitrina empotrada y puertas corredizas de madera y vidrio que conectan a un estudio, coci"&amp;"na integral tipo gourmet con gabinetes en nogal, encimeras de cuarzo blanco, isla central con frente de listones de teca y salpicadero en mosaico de mármol, además de zona de lavandería, patio enchapado y habitación de servicio con baño. Una elegante esca"&amp;"lera con pasos cerámicos antideslizantes, pasamanos de acero inoxidable y barandilla de vidrio templado conduce al segundo nivel, el cual alberga un hall de alcobas, dos habitaciones auxiliares con baño compartido y una espectacular habitación principal c"&amp;"on baño privado y walk-in closet; el inmueble se complementa con un parqueadero para 3 vehículos y una magnífica terraza exterior con pisos de gres porcelánico texturizado tipo piedra y puertas de vidrio plegables con marcos de aluminio.")</f>
        <v>Esta imponente casa esquinera de dos niveles en estrato 4 cuenta con un área privada de 190 m² y 198 m² construidos, destacando por sus acabados de excelente calidad basados en pisos de gran formato de cerámica pulida en tono gris claro y muros decorativos con paneles de celosía de madera de nogal acanalada. La planta baja distribuye una amplia sala con mueble de entretenimiento flotante, un comedor independiente con vitrina empotrada y puertas corredizas de madera y vidrio que conectan a un estudio, cocina integral tipo gourmet con gabinetes en nogal, encimeras de cuarzo blanco, isla central con frente de listones de teca y salpicadero en mosaico de mármol, además de zona de lavandería, patio enchapado y habitación de servicio con baño. Una elegante escalera con pasos cerámicos antideslizantes, pasamanos de acero inoxidable y barandilla de vidrio templado conduce al segundo nivel, el cual alberga un hall de alcobas, dos habitaciones auxiliares con baño compartido y una espectacular habitación principal con baño privado y walk-in closet; el inmueble se complementa con un parqueadero para 3 vehículos y una magnífica terraza exterior con pisos de gres porcelánico texturizado tipo piedra y puertas de vidrio plegables con marcos de aluminio.</v>
      </c>
      <c r="AD5" s="46" t="str">
        <f>IFERROR(__xludf.DUMMYFUNCTION("""COMPUTED_VALUE"""),"Situada en el prestigioso Conjunto Paisaje de Almería, en pleno corazón del barrio Ipanema, esta propiedad representa una de las mejores oportunidades de inversión en una de las zonas con mayor proyección y alta valorización de la zona oriente de Neiva. V"&amp;"ivir aquí ofrece una experiencia residencial estilo club, gracias a las excepcionales amenidades del conjunto cerrado que incluyen piscina para adultos y niños, cancha de tenis, cancha de voleibol, salón social, zona BBQ y parque infantil, todo bajo un en"&amp;"torno de estricta seguridad, tranquilidad y privacidad. Es el hogar ideal para familias exigentes que buscan un equilibrio perfecto entre confort interior, esparcimiento exclusivo y una ubicación estratégica de alta categoría. ¡Agenda tu visita y enamórat"&amp;"e de tu próximo hogar!")</f>
        <v>Situada en el prestigioso Conjunto Paisaje de Almería, en pleno corazón del barrio Ipanema, esta propiedad representa una de las mejores oportunidades de inversión en una de las zonas con mayor proyección y alta valorización de la zona oriente de Neiva. Vivir aquí ofrece una experiencia residencial estilo club, gracias a las excepcionales amenidades del conjunto cerrado que incluyen piscina para adultos y niños, cancha de tenis, cancha de voleibol, salón social, zona BBQ y parque infantil, todo bajo un entorno de estricta seguridad, tranquilidad y privacidad. Es el hogar ideal para familias exigentes que buscan un equilibrio perfecto entre confort interior, esparcimiento exclusivo y una ubicación estratégica de alta categoría. ¡Agenda tu visita y enamórate de tu próximo hogar!</v>
      </c>
      <c r="AE5" s="46"/>
      <c r="AF5" s="46" t="str">
        <f>IFERROR(__xludf.DUMMYFUNCTION("""COMPUTED_VALUE"""),"integral")</f>
        <v>integral</v>
      </c>
      <c r="AG5" s="46"/>
      <c r="AH5" s="46" t="str">
        <f>IFERROR(__xludf.DUMMYFUNCTION("""COMPUTED_VALUE"""),"Aliado")</f>
        <v>Aliado</v>
      </c>
      <c r="AI5" s="92" t="str">
        <f>IFERROR(__xludf.DUMMYFUNCTION("""COMPUTED_VALUE"""),"https://lh3.googleusercontent.com/pw/AP1GczNz5KM8hdrL_kvdOCVrolppvtv8NkeJDCKAGVACn4SD-9rEElpo7SWTuNr8vGpEd_MiElnmD6NvvUhwnSgGXji_GHpagjo5e5Oqa_zeRknc9tES0tpM=w1200|https://lh3.googleusercontent.com/pw/AP1GczNRxWjqTtCB_EkgBZSvrsgdEYd0NVaByZ_YrMLqK_Rp_a8V29"&amp;"Hndg_4kIsRW6A7tDrC_fOBOynYcMrsQydq8uMgJ2oPNDjMDMQf7Tyi_odvf_9ld5CE=w1200|https://lh3.googleusercontent.com/pw/AP1GczOi24D3XvXzvgkRpae66xVC8jEjJHIf0ItJd2ZpUKqZTA2IOIwrx1t6TRWgkCw4cH3uQbQMb_Kij5WXqnilEfawGg9b72a3R9b65kUXzAvZyzfsb00O=w1200|https://lh3.google"&amp;"usercontent.com/pw/AP1GczPu8jzXa76J4C9iYJsxgegjesHJ0cRt9N0F93G1aEJGLT-CKavKe8n3vpjgjXx6VH5g9YeHvgNnAjGq_fvzIit9ISUyyz8nWu5yF4bbuyh8XPKhtv5t=w1200|https://lh3.googleusercontent.com/pw/AP1GczMBPEyAYNTmToNzcGE5CvOXBB8tfwBqO6K08_fswda3tYKhu48_WM6SjX5QNC1TQpD4"&amp;"B8Q_Nc0O0mbxT0a-0Du0pIc0XbqBhe-hpBMQHXIEAi4zYCTn=w1200|https://lh3.googleusercontent.com/pw/AP1GczPZ5R-DFqUc43HryedG14QJSp5xq7hYRTjr7UryvhtHvIfcz3XHM56yJ63YNgwH9sMmvjuvYlcRrjdNdCtG60-5gu48ept7lWrRlpXBoD3QY16ecDd8=w1200|https://lh3.googleusercontent.com/pw"&amp;"/AP1GczP8-BEc3VrWhLlvNHpDD3-DuVjGUffajPcdELCmSdJNA8HUDozD7JgsigDX5g9jvdPur0buplyJiK6UEd9Sc9ICumKGTHw-IMlD35VK6LkM5vceyXFU=w1200|https://lh3.googleusercontent.com/pw/AP1GczOs3ttGvJJUmmV9ycqzlaEPSZvgfHKT8sT9myA2sbY-3cqj-tGBiPwPTuMO2_dTZgbb0tifw4U_xasJIbLq-E"&amp;"37CsqFEEFiudAIQMW7_Z-riaHBaJHT=w1200")</f>
        <v>https://lh3.googleusercontent.com/pw/AP1GczNz5KM8hdrL_kvdOCVrolppvtv8NkeJDCKAGVACn4SD-9rEElpo7SWTuNr8vGpEd_MiElnmD6NvvUhwnSgGXji_GHpagjo5e5Oqa_zeRknc9tES0tpM=w1200|https://lh3.googleusercontent.com/pw/AP1GczNRxWjqTtCB_EkgBZSvrsgdEYd0NVaByZ_YrMLqK_Rp_a8V29Hndg_4kIsRW6A7tDrC_fOBOynYcMrsQydq8uMgJ2oPNDjMDMQf7Tyi_odvf_9ld5CE=w1200|https://lh3.googleusercontent.com/pw/AP1GczOi24D3XvXzvgkRpae66xVC8jEjJHIf0ItJd2ZpUKqZTA2IOIwrx1t6TRWgkCw4cH3uQbQMb_Kij5WXqnilEfawGg9b72a3R9b65kUXzAvZyzfsb00O=w1200|https://lh3.googleusercontent.com/pw/AP1GczPu8jzXa76J4C9iYJsxgegjesHJ0cRt9N0F93G1aEJGLT-CKavKe8n3vpjgjXx6VH5g9YeHvgNnAjGq_fvzIit9ISUyyz8nWu5yF4bbuyh8XPKhtv5t=w1200|https://lh3.googleusercontent.com/pw/AP1GczMBPEyAYNTmToNzcGE5CvOXBB8tfwBqO6K08_fswda3tYKhu48_WM6SjX5QNC1TQpD4B8Q_Nc0O0mbxT0a-0Du0pIc0XbqBhe-hpBMQHXIEAi4zYCTn=w1200|https://lh3.googleusercontent.com/pw/AP1GczPZ5R-DFqUc43HryedG14QJSp5xq7hYRTjr7UryvhtHvIfcz3XHM56yJ63YNgwH9sMmvjuvYlcRrjdNdCtG60-5gu48ept7lWrRlpXBoD3QY16ecDd8=w1200|https://lh3.googleusercontent.com/pw/AP1GczP8-BEc3VrWhLlvNHpDD3-DuVjGUffajPcdELCmSdJNA8HUDozD7JgsigDX5g9jvdPur0buplyJiK6UEd9Sc9ICumKGTHw-IMlD35VK6LkM5vceyXFU=w1200|https://lh3.googleusercontent.com/pw/AP1GczOs3ttGvJJUmmV9ycqzlaEPSZvgfHKT8sT9myA2sbY-3cqj-tGBiPwPTuMO2_dTZgbb0tifw4U_xasJIbLq-E37CsqFEEFiudAIQMW7_Z-riaHBaJHT=w1200</v>
      </c>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46"/>
      <c r="BW5" s="46"/>
      <c r="BX5" s="46"/>
      <c r="BY5" s="46"/>
      <c r="BZ5" s="46"/>
      <c r="CA5" s="46"/>
      <c r="CB5" s="46"/>
      <c r="CC5" s="46"/>
    </row>
    <row r="6">
      <c r="A6" s="87" t="str">
        <f>IFERROR(__xludf.DUMMYFUNCTION("""COMPUTED_VALUE"""),"728")</f>
        <v>728</v>
      </c>
      <c r="B6" s="46" t="str">
        <f>IFERROR(__xludf.DUMMYFUNCTION("""COMPUTED_VALUE"""),"Casa en conjunto Condominio Vilanova - San Jorge - Sur")</f>
        <v>Casa en conjunto Condominio Vilanova - San Jorge - Sur</v>
      </c>
      <c r="C6" s="46" t="str">
        <f>IFERROR(__xludf.DUMMYFUNCTION("""COMPUTED_VALUE"""),"Casa en conjunto")</f>
        <v>Casa en conjunto</v>
      </c>
      <c r="D6" s="46"/>
      <c r="E6" s="46" t="str">
        <f>IFERROR(__xludf.DUMMYFUNCTION("""COMPUTED_VALUE"""),"Conjunto Condominio Vilanova")</f>
        <v>Conjunto Condominio Vilanova</v>
      </c>
      <c r="F6" s="90">
        <f>IFERROR(__xludf.DUMMYFUNCTION("""COMPUTED_VALUE"""),7.5E8)</f>
        <v>750000000</v>
      </c>
      <c r="G6" s="46" t="str">
        <f>IFERROR(__xludf.DUMMYFUNCTION("""COMPUTED_VALUE"""),"$500'000.000 a $1.000'000.000")</f>
        <v>$500'000.000 a $1.000'000.000</v>
      </c>
      <c r="H6" s="46"/>
      <c r="I6" s="46"/>
      <c r="J6" s="46" t="str">
        <f>IFERROR(__xludf.DUMMYFUNCTION("""COMPUTED_VALUE"""),"Sur")</f>
        <v>Sur</v>
      </c>
      <c r="K6" s="87"/>
      <c r="L6" s="46">
        <f>IFERROR(__xludf.DUMMYFUNCTION("""COMPUTED_VALUE"""),3.0)</f>
        <v>3</v>
      </c>
      <c r="M6" s="46"/>
      <c r="N6" s="46">
        <f>IFERROR(__xludf.DUMMYFUNCTION("""COMPUTED_VALUE"""),3.0)</f>
        <v>3</v>
      </c>
      <c r="O6" s="46">
        <f>IFERROR(__xludf.DUMMYFUNCTION("""COMPUTED_VALUE"""),2.0)</f>
        <v>2</v>
      </c>
      <c r="P6" s="46">
        <f>IFERROR(__xludf.DUMMYFUNCTION("""COMPUTED_VALUE"""),1.0)</f>
        <v>1</v>
      </c>
      <c r="Q6" s="92">
        <f>IFERROR(__xludf.DUMMYFUNCTION("""COMPUTED_VALUE"""),170.0)</f>
        <v>170</v>
      </c>
      <c r="R6" s="92">
        <f>IFERROR(__xludf.DUMMYFUNCTION("""COMPUTED_VALUE"""),220.0)</f>
        <v>220</v>
      </c>
      <c r="S6" s="87" t="str">
        <f>IFERROR(__xludf.DUMMYFUNCTION("""COMPUTED_VALUE""")," ")</f>
        <v> </v>
      </c>
      <c r="T6" s="46" t="str">
        <f>IFERROR(__xludf.DUMMYFUNCTION("""COMPUTED_VALUE"""),"Neiva")</f>
        <v>Neiva</v>
      </c>
      <c r="U6" s="87" t="str">
        <f>IFERROR(__xludf.DUMMYFUNCTION("""COMPUTED_VALUE"""),"5")</f>
        <v>5</v>
      </c>
      <c r="V6" s="46" t="str">
        <f>IFERROR(__xludf.DUMMYFUNCTION("""COMPUTED_VALUE"""),"Medianera")</f>
        <v>Medianera</v>
      </c>
      <c r="W6" s="46"/>
      <c r="X6" s="46">
        <f>IFERROR(__xludf.DUMMYFUNCTION("""COMPUTED_VALUE"""),3.0)</f>
        <v>3</v>
      </c>
      <c r="Y6" s="46" t="str">
        <f>IFERROR(__xludf.DUMMYFUNCTION("""COMPUTED_VALUE"""),"Privada")</f>
        <v>Privada</v>
      </c>
      <c r="Z6" s="90">
        <f>IFERROR(__xludf.DUMMYFUNCTION("""COMPUTED_VALUE"""),605000.0)</f>
        <v>605000</v>
      </c>
      <c r="AA6" s="33" t="str">
        <f>IFERROR(__xludf.DUMMYFUNCTION("""COMPUTED_VALUE"""),"No aplica")</f>
        <v>No aplica</v>
      </c>
      <c r="AB6" s="96" t="str">
        <f>IFERROR(__xludf.DUMMYFUNCTION("""COMPUTED_VALUE"""),"https://photos.app.goo.gl/BMCr6PSAuvTd5zfY7")</f>
        <v>https://photos.app.goo.gl/BMCr6PSAuvTd5zfY7</v>
      </c>
      <c r="AC6" s="46" t="str">
        <f>IFERROR(__xludf.DUMMYFUNCTION("""COMPUTED_VALUE"""),"Esta espectacular casa nueva de un solo piso se ubica en un exclusivo conjunto residencial en estrato 5, construida sobre un amplio terreno de 220 m² con un área construida de 170 m² en la zona sur. Su diseño moderno destaca por un concepto abierto que in"&amp;"tegra de forma fluida la sala, el comedor y una cocina equipada con una funcional barra auxiliar, ideal para compartir en familia. El inmueble cuenta con 3 habitaciones, cada una con su propio clóset y baño privado para un total de 3 baños completos, dest"&amp;"acando la habitación principal que incluye un cómodo walking closet. La distribución se complementa a la perfección con una zona de lavandería independiente y un encantador patio privado que alberga una piscina propia y una acogedora sala exterior.")</f>
        <v>Esta espectacular casa nueva de un solo piso se ubica en un exclusivo conjunto residencial en estrato 5, construida sobre un amplio terreno de 220 m² con un área construida de 170 m² en la zona sur. Su diseño moderno destaca por un concepto abierto que integra de forma fluida la sala, el comedor y una cocina equipada con una funcional barra auxiliar, ideal para compartir en familia. El inmueble cuenta con 3 habitaciones, cada una con su propio clóset y baño privado para un total de 3 baños completos, destacando la habitación principal que incluye un cómodo walking closet. La distribución se complementa a la perfección con una zona de lavandería independiente y un encantador patio privado que alberga una piscina propia y una acogedora sala exterior.</v>
      </c>
      <c r="AD6" s="46" t="str">
        <f>IFERROR(__xludf.DUMMYFUNCTION("""COMPUTED_VALUE"""),"¡Una oportunidad única para asegurar el hogar de sus sueños en un sector de altísima valorización! El diseño bioclimático de la vivienda garantiza una frescura inigualable, amplitud y un estilo de vida exclusivo, potenciado por un espectacular patio priva"&amp;"do con piscina donde podrá relajarse sin salir de casa. Además, vivir aquí le dará acceso a zonas comunes de ensueño que incluyen gimnasio, parque infantil, cancha múltiple, zona BBQ y piscinas para niños y adultos. Su ubicación privilegiada lo sitúa a po"&amp;"cos minutos de puntos clave como Olímpica, la sede Carmen Emilia, Unicentro y el Centro Empresarial Huila E, ofreciéndole toda la comodidad urbana a su alcance con la tranquilidad de tener la documentación al día para una compra inmediata y sin complicaci"&amp;"ones.")</f>
        <v>¡Una oportunidad única para asegurar el hogar de sus sueños en un sector de altísima valorización! El diseño bioclimático de la vivienda garantiza una frescura inigualable, amplitud y un estilo de vida exclusivo, potenciado por un espectacular patio privado con piscina donde podrá relajarse sin salir de casa. Además, vivir aquí le dará acceso a zonas comunes de ensueño que incluyen gimnasio, parque infantil, cancha múltiple, zona BBQ y piscinas para niños y adultos. Su ubicación privilegiada lo sitúa a pocos minutos de puntos clave como Olímpica, la sede Carmen Emilia, Unicentro y el Centro Empresarial Huila E, ofreciéndole toda la comodidad urbana a su alcance con la tranquilidad de tener la documentación al día para una compra inmediata y sin complicaciones.</v>
      </c>
      <c r="AE6" s="46"/>
      <c r="AF6" s="46" t="str">
        <f>IFERROR(__xludf.DUMMYFUNCTION("""COMPUTED_VALUE"""),"integral")</f>
        <v>integral</v>
      </c>
      <c r="AG6" s="46"/>
      <c r="AH6" s="46" t="str">
        <f>IFERROR(__xludf.DUMMYFUNCTION("""COMPUTED_VALUE"""),"Aliado")</f>
        <v>Aliado</v>
      </c>
      <c r="AI6" s="92" t="str">
        <f>IFERROR(__xludf.DUMMYFUNCTION("""COMPUTED_VALUE"""),"https://lh3.googleusercontent.com/pw/AP1GczMs6RqryvGP4KwznewplHythlmhD5eyw3yT4I-3wOQTd_wtEeeKtXg8tdKdbNAJ12Z9Yu_c7e9VHxI505A1LhX1yzfa8ectwK7akOWjTCkETgUFl8vv=w1200|https://lh3.googleusercontent.com/pw/AP1GczPKvlMXRMn2nFS_KZNgOUZFqeCxzrTDthm6QvXRJ1cqdbpmKi"&amp;"FKictUYIYXxa2Xf1yhDbMs5UJ-E9jlqhCqwEwRZy6GMTJViDC9a8NVxVvBFWf2hMzh=w1200|https://lh3.googleusercontent.com/pw/AP1GczOW2qocgpjYCeW3Zxno_aoHmRiVdDaWV0wQHAfSXaEwiBgyZATuJxBElMQLiq5Q7e2KW6Qtj5UgfPkEmzuRlL3HIP-Eq9fA9FjX7nmMICxg6KNSf2lB=w1200|https://lh3.google"&amp;"usercontent.com/pw/AP1GczPR_BY7peaktjMAVomUguN4LI7EcITnjGQEqQ6jiQr3VhYLN34SmyIVSMzQnKgCfsoMe9LgTcAGt2ObTLUPj7YtRqI-xWCq0M9nfUtAwm8p-tln8cTk=w1200|https://lh3.googleusercontent.com/pw/AP1GczNvd5-yRYzqZt3MzH3W5UzE9iuZwMQoRJew8ciJG0fkOdgyl9AHhyQE1c2bLhaEgaHO"&amp;"FBsYTBfF_cfcassw91l_G0g7e-rafSuTq8YTFRg7I5cD3qva=w1200|https://lh3.googleusercontent.com/pw/AP1GczPmUjVoqMMIQCTZx5Cvj37UZY3aS__oq3Nk6xQ2WiI_r5bwMSGRKnkmMb8BAsDIpMBGHqujwlcHM_g7LFgC-xI4LqaQgZUG1X53ixb2a7BVXpdEide5=w1200|https://lh3.googleusercontent.com/pw"&amp;"/AP1GczPEfitM75fgOsVEssgh789ZjXsOmbDbU4mQFbjajPUXXm70Ta864vJGpDHqr4LR3PorwoUvBRDwbMhcNECVbJVXAqKIPMgnexmWEW-6ASNBRMziwxi6=w1200|https://lh3.googleusercontent.com/pw/AP1GczPliP1wFBEkDLDg8ZZUt9bG62IY4gLUKukrbnTpu-L3zEz2FuAT-we75lBsL8u68j77mCkYwVEFzqazfqulpd"&amp;"RuQjYKuJjTj71yXWCGYl5zTnyMi45Y=w1200|https://lh3.googleusercontent.com/pw/AP1GczPQuDZNek5m4h4DsKITteg_JBqlNxiqfUOXEmoWW6A0n1_m_qG0ElpXG9wF7UJjzExFz2V7cZ7I4lOnCoptDZOszsFtEUAi0qjl7FWXRi88Rf_XDrka=w1200|https://lh3.googleusercontent.com/pw/AP1GczPu92Ep3x8xs"&amp;"TfTI8KCr9tiP-yV0zuNjpGIV7a3hNRmE0kjhMCrIWakyUIS1wFlDh-Gkzhpji2LokGOl9UhfbKmPQJljV-sTo2VEYuUGvhMSv_vgegx=w1200")</f>
        <v>https://lh3.googleusercontent.com/pw/AP1GczMs6RqryvGP4KwznewplHythlmhD5eyw3yT4I-3wOQTd_wtEeeKtXg8tdKdbNAJ12Z9Yu_c7e9VHxI505A1LhX1yzfa8ectwK7akOWjTCkETgUFl8vv=w1200|https://lh3.googleusercontent.com/pw/AP1GczPKvlMXRMn2nFS_KZNgOUZFqeCxzrTDthm6QvXRJ1cqdbpmKiFKictUYIYXxa2Xf1yhDbMs5UJ-E9jlqhCqwEwRZy6GMTJViDC9a8NVxVvBFWf2hMzh=w1200|https://lh3.googleusercontent.com/pw/AP1GczOW2qocgpjYCeW3Zxno_aoHmRiVdDaWV0wQHAfSXaEwiBgyZATuJxBElMQLiq5Q7e2KW6Qtj5UgfPkEmzuRlL3HIP-Eq9fA9FjX7nmMICxg6KNSf2lB=w1200|https://lh3.googleusercontent.com/pw/AP1GczPR_BY7peaktjMAVomUguN4LI7EcITnjGQEqQ6jiQr3VhYLN34SmyIVSMzQnKgCfsoMe9LgTcAGt2ObTLUPj7YtRqI-xWCq0M9nfUtAwm8p-tln8cTk=w1200|https://lh3.googleusercontent.com/pw/AP1GczNvd5-yRYzqZt3MzH3W5UzE9iuZwMQoRJew8ciJG0fkOdgyl9AHhyQE1c2bLhaEgaHOFBsYTBfF_cfcassw91l_G0g7e-rafSuTq8YTFRg7I5cD3qva=w1200|https://lh3.googleusercontent.com/pw/AP1GczPmUjVoqMMIQCTZx5Cvj37UZY3aS__oq3Nk6xQ2WiI_r5bwMSGRKnkmMb8BAsDIpMBGHqujwlcHM_g7LFgC-xI4LqaQgZUG1X53ixb2a7BVXpdEide5=w1200|https://lh3.googleusercontent.com/pw/AP1GczPEfitM75fgOsVEssgh789ZjXsOmbDbU4mQFbjajPUXXm70Ta864vJGpDHqr4LR3PorwoUvBRDwbMhcNECVbJVXAqKIPMgnexmWEW-6ASNBRMziwxi6=w1200|https://lh3.googleusercontent.com/pw/AP1GczPliP1wFBEkDLDg8ZZUt9bG62IY4gLUKukrbnTpu-L3zEz2FuAT-we75lBsL8u68j77mCkYwVEFzqazfqulpdRuQjYKuJjTj71yXWCGYl5zTnyMi45Y=w1200|https://lh3.googleusercontent.com/pw/AP1GczPQuDZNek5m4h4DsKITteg_JBqlNxiqfUOXEmoWW6A0n1_m_qG0ElpXG9wF7UJjzExFz2V7cZ7I4lOnCoptDZOszsFtEUAi0qjl7FWXRi88Rf_XDrka=w1200|https://lh3.googleusercontent.com/pw/AP1GczPu92Ep3x8xsTfTI8KCr9tiP-yV0zuNjpGIV7a3hNRmE0kjhMCrIWakyUIS1wFlDh-Gkzhpji2LokGOl9UhfbKmPQJljV-sTo2VEYuUGvhMSv_vgegx=w1200</v>
      </c>
      <c r="AJ6" s="46"/>
      <c r="AK6" s="46"/>
      <c r="AL6" s="46"/>
      <c r="AM6" s="46"/>
      <c r="AN6" s="46"/>
      <c r="AO6" s="46"/>
      <c r="AP6" s="46"/>
      <c r="AQ6" s="46"/>
      <c r="AR6" s="46"/>
      <c r="AS6" s="46"/>
      <c r="AT6" s="46"/>
      <c r="AU6" s="46"/>
      <c r="AV6" s="46"/>
      <c r="AW6" s="46"/>
      <c r="AX6" s="46"/>
      <c r="AY6" s="46"/>
      <c r="AZ6" s="46"/>
      <c r="BA6" s="46"/>
      <c r="BB6" s="46"/>
      <c r="BC6" s="46"/>
      <c r="BD6" s="46"/>
      <c r="BE6" s="46"/>
      <c r="BF6" s="46"/>
      <c r="BG6" s="46"/>
      <c r="BH6" s="46"/>
      <c r="BI6" s="46"/>
      <c r="BJ6" s="46"/>
      <c r="BK6" s="46"/>
      <c r="BL6" s="46"/>
      <c r="BM6" s="46"/>
      <c r="BN6" s="46"/>
      <c r="BO6" s="46"/>
      <c r="BP6" s="46"/>
      <c r="BQ6" s="46"/>
      <c r="BR6" s="46"/>
      <c r="BS6" s="46"/>
      <c r="BT6" s="46"/>
      <c r="BU6" s="46"/>
      <c r="BV6" s="46"/>
      <c r="BW6" s="46"/>
      <c r="BX6" s="46"/>
      <c r="BY6" s="46"/>
      <c r="BZ6" s="46"/>
      <c r="CA6" s="46"/>
      <c r="CB6" s="46"/>
      <c r="CC6" s="46"/>
    </row>
    <row r="7">
      <c r="A7" s="87" t="str">
        <f>IFERROR(__xludf.DUMMYFUNCTION("""COMPUTED_VALUE"""),"712")</f>
        <v>712</v>
      </c>
      <c r="B7" s="46" t="str">
        <f>IFERROR(__xludf.DUMMYFUNCTION("""COMPUTED_VALUE"""),"Casa en conjunto Condominio Vilanova - San Jorge - Sur")</f>
        <v>Casa en conjunto Condominio Vilanova - San Jorge - Sur</v>
      </c>
      <c r="C7" s="46" t="str">
        <f>IFERROR(__xludf.DUMMYFUNCTION("""COMPUTED_VALUE"""),"Casa en conjunto")</f>
        <v>Casa en conjunto</v>
      </c>
      <c r="D7" s="46"/>
      <c r="E7" s="46" t="str">
        <f>IFERROR(__xludf.DUMMYFUNCTION("""COMPUTED_VALUE"""),"Conjunto Condominio Vilanova")</f>
        <v>Conjunto Condominio Vilanova</v>
      </c>
      <c r="F7" s="90">
        <f>IFERROR(__xludf.DUMMYFUNCTION("""COMPUTED_VALUE"""),7.5E8)</f>
        <v>750000000</v>
      </c>
      <c r="G7" s="46" t="str">
        <f>IFERROR(__xludf.DUMMYFUNCTION("""COMPUTED_VALUE"""),"$500'000.000 a $1.000'000.000")</f>
        <v>$500'000.000 a $1.000'000.000</v>
      </c>
      <c r="H7" s="46"/>
      <c r="I7" s="46"/>
      <c r="J7" s="46" t="str">
        <f>IFERROR(__xludf.DUMMYFUNCTION("""COMPUTED_VALUE"""),"Sur")</f>
        <v>Sur</v>
      </c>
      <c r="K7" s="87"/>
      <c r="L7" s="46">
        <f>IFERROR(__xludf.DUMMYFUNCTION("""COMPUTED_VALUE"""),3.0)</f>
        <v>3</v>
      </c>
      <c r="M7" s="46"/>
      <c r="N7" s="46">
        <f>IFERROR(__xludf.DUMMYFUNCTION("""COMPUTED_VALUE"""),4.0)</f>
        <v>4</v>
      </c>
      <c r="O7" s="46">
        <f>IFERROR(__xludf.DUMMYFUNCTION("""COMPUTED_VALUE"""),2.0)</f>
        <v>2</v>
      </c>
      <c r="P7" s="46">
        <f>IFERROR(__xludf.DUMMYFUNCTION("""COMPUTED_VALUE"""),1.0)</f>
        <v>1</v>
      </c>
      <c r="Q7" s="92">
        <f>IFERROR(__xludf.DUMMYFUNCTION("""COMPUTED_VALUE"""),174.0)</f>
        <v>174</v>
      </c>
      <c r="R7" s="92">
        <f>IFERROR(__xludf.DUMMYFUNCTION("""COMPUTED_VALUE"""),220.0)</f>
        <v>220</v>
      </c>
      <c r="S7" s="87" t="str">
        <f>IFERROR(__xludf.DUMMYFUNCTION("""COMPUTED_VALUE""")," ")</f>
        <v> </v>
      </c>
      <c r="T7" s="46" t="str">
        <f>IFERROR(__xludf.DUMMYFUNCTION("""COMPUTED_VALUE"""),"Neiva")</f>
        <v>Neiva</v>
      </c>
      <c r="U7" s="87" t="str">
        <f>IFERROR(__xludf.DUMMYFUNCTION("""COMPUTED_VALUE"""),"5")</f>
        <v>5</v>
      </c>
      <c r="V7" s="46" t="str">
        <f>IFERROR(__xludf.DUMMYFUNCTION("""COMPUTED_VALUE"""),"Medianera")</f>
        <v>Medianera</v>
      </c>
      <c r="W7" s="46"/>
      <c r="X7" s="46">
        <f>IFERROR(__xludf.DUMMYFUNCTION("""COMPUTED_VALUE"""),3.0)</f>
        <v>3</v>
      </c>
      <c r="Y7" s="46" t="str">
        <f>IFERROR(__xludf.DUMMYFUNCTION("""COMPUTED_VALUE"""),"Privada")</f>
        <v>Privada</v>
      </c>
      <c r="Z7" s="90">
        <f>IFERROR(__xludf.DUMMYFUNCTION("""COMPUTED_VALUE"""),605000.0)</f>
        <v>605000</v>
      </c>
      <c r="AA7" s="33" t="str">
        <f>IFERROR(__xludf.DUMMYFUNCTION("""COMPUTED_VALUE"""),"No aplica")</f>
        <v>No aplica</v>
      </c>
      <c r="AB7" s="96" t="str">
        <f>IFERROR(__xludf.DUMMYFUNCTION("""COMPUTED_VALUE"""),"https://photos.app.goo.gl/CDtswANPv8kzF49EA")</f>
        <v>https://photos.app.goo.gl/CDtswANPv8kzF49EA</v>
      </c>
      <c r="AC7" s="46" t="str">
        <f>IFERROR(__xludf.DUMMYFUNCTION("""COMPUTED_VALUE"""),"Esta exclusiva casa de $174\text{ m}^2$ construidos, ubicada en el Conjunto Villanova de la Zona Sur (Estrato 5), ofrece un diseño moderno con espacios amplios, iluminados y pensados para el máximo confort familiar. La propiedad cuenta con tres habitacion"&amp;"es, cada una equipada con clóset, aire acondicionado, cortinas y su propio baño privado, sumando en total cuatro baños en toda la casa. En su interior, destaca una amplia sala y comedor con excelente iluminación natural, una cocina integral moderna, zona "&amp;"de lavandería independiente, depósito y espacio para dos parqueaderos;. El gran atractivo que la hace única es su oasis privado, el cual incluye una piscina propia, baño exclusivo para esta zona y espacios perfectamente diseñados para el descanso y la pri"&amp;"vacidad absoluta.")</f>
        <v>Esta exclusiva casa de $174\text{ m}^2$ construidos, ubicada en el Conjunto Villanova de la Zona Sur (Estrato 5), ofrece un diseño moderno con espacios amplios, iluminados y pensados para el máximo confort familiar. La propiedad cuenta con tres habitaciones, cada una equipada con clóset, aire acondicionado, cortinas y su propio baño privado, sumando en total cuatro baños en toda la casa. En su interior, destaca una amplia sala y comedor con excelente iluminación natural, una cocina integral moderna, zona de lavandería independiente, depósito y espacio para dos parqueaderos;. El gran atractivo que la hace única es su oasis privado, el cual incluye una piscina propia, baño exclusivo para esta zona y espacios perfectamente diseñados para el descanso y la privacidad absoluta.</v>
      </c>
      <c r="AD7" s="46" t="str">
        <f>IFERROR(__xludf.DUMMYFUNCTION("""COMPUTED_VALUE"""),"Por otra parte, el condominio brinda un estilo de vida completo tipo club, ideal para familias que buscan comodidad, seguridad y alta valorización. Los residentes tienen acceso a excelentes áreas comunes que incluyen piscina general, gimnasio dotado, saló"&amp;"n social, parque infantil y un parque especial para mascotas. Para los amantes del deporte y la recreación, el conjunto dispone de canchas de baloncesto y microfútbol, además de zonas sociales premium equipadas con espacio para BBQ y una zona de teppanyak"&amp;"i, logrando el equilibrio perfecto entre entretenimiento y bienestar sin salir de casa.")</f>
        <v>Por otra parte, el condominio brinda un estilo de vida completo tipo club, ideal para familias que buscan comodidad, seguridad y alta valorización. Los residentes tienen acceso a excelentes áreas comunes que incluyen piscina general, gimnasio dotado, salón social, parque infantil y un parque especial para mascotas. Para los amantes del deporte y la recreación, el conjunto dispone de canchas de baloncesto y microfútbol, además de zonas sociales premium equipadas con espacio para BBQ y una zona de teppanyaki, logrando el equilibrio perfecto entre entretenimiento y bienestar sin salir de casa.</v>
      </c>
      <c r="AE7" s="46"/>
      <c r="AF7" s="46" t="str">
        <f>IFERROR(__xludf.DUMMYFUNCTION("""COMPUTED_VALUE"""),"integral")</f>
        <v>integral</v>
      </c>
      <c r="AG7" s="46"/>
      <c r="AH7" s="46" t="str">
        <f>IFERROR(__xludf.DUMMYFUNCTION("""COMPUTED_VALUE"""),"Aliado")</f>
        <v>Aliado</v>
      </c>
      <c r="AI7" s="92" t="str">
        <f>IFERROR(__xludf.DUMMYFUNCTION("""COMPUTED_VALUE"""),"https://lh3.googleusercontent.com/pw/AP1GczMavzP2X4OA8QmRISRcuV46KQX8o9-fSSAwRfz_muxYSQvMN0cLY127UjBZREIl9X2Rz6J12JuKtQIJsg5vDWs7rWMi2N7wgjAZ_2g5mHTgP94g7w-j=w1200|https://lh3.googleusercontent.com/pw/AP1GczOGzwxghjAMxkqSyq0W5lyegS61uWQxe7x1VtdQyn5lh-b71V"&amp;"8dg5ksGTxRFb0VGfw2-uR6knBQ7kav4SgjCMUzNntSacM0GWamOU-C2SUXIovWUe0F=w1200|https://lh3.googleusercontent.com/pw/AP1GczNSrqqIOgFeF-xYuz4OHTEmnBPh6d5xBkW9fMSI3c6DG-M1vVEVft1O_3b0AhN_YyiiGk4efdOUW7xTgnKTEcaUppQo0mNGTDYd-v6n8IQ8-awybgZU=w1200|https://lh3.google"&amp;"usercontent.com/pw/AP1GczOlhfRTN_3GJr8O9PIpzyaTekZ2QKDwwcGP5Yv16y0o3tyOFqFDWBKfKOVNhW_Q0N0fP6BmjJ_a0qAvppYkxoKe_jL2hYkzXLjpoJKBPbHMn5wBNGLU=w1200|https://lh3.googleusercontent.com/pw/AP1GczMvFrR2F7J8OmygY6OrH5jVsfh4vnfHiTfHrWnxUeIhQgjnwAZUXtLgB141BXqZcufd"&amp;"fz3Rp6IMAAr4kpAJS8KI5XiJ96QpY_cXyfc0BRyxLuvLK8X0=w1200|https://lh3.googleusercontent.com/pw/AP1GczNir7CbNywhQ4HHVeRltBxzCpdoUFr9J92gUjpnRgosOOEOs1MQU1UU68SJE3h7IRfF6UkN90rnsP8LjXRyssjJpJ0j564AgAlJ-EThU3yyjmMa4mj7=w1200|https://lh3.googleusercontent.com/pw"&amp;"/AP1GczMvVe5GvEOLKxSD2de5jgK2kxankIjOpacxZk5XliXYjEQ3c8hb-9Dn-gLCvq1GJhFFZ8-9odSaiD0b5xb4OdnG5rkgbso_KXNymQ8EVAIP3j9Fkt9B=w1200|https://lh3.googleusercontent.com/pw/AP1GczPS9hL5fky4xz8WntKy1GdUP_tFDrIMdzp0j25Luc0gRs6CibOZIiN1IsipU8yYXEdVbaxH3Yoo7lD47FqoFo"&amp;"kC4KrCdjzLOyflRclgj4tGNNEyE3gb=w1200|https://lh3.googleusercontent.com/pw/AP1GczMnONz-rTk32OQJiHw1K53e5DyptlO3obbDgR-QHIxnWq3y_cgoNIuxvBEYzrSYxmrhFyzCrywewyRwW3g2VUnpdFqf93o_mDPe55nOxT97bwxtUy3U=w1200|https://lh3.googleusercontent.com/pw/AP1GczPlZxFhoFnql"&amp;"7nGu7ZoBR-GKvZ-KXX_IlgilR8CkmhJkerBcs0hOYEvru0IUDzn5bgfmrd3MyZAWwA1k9mQJ13Fz2LlJ1blMZV44nzTreIV6F52GwYi=w1200")</f>
        <v>https://lh3.googleusercontent.com/pw/AP1GczMavzP2X4OA8QmRISRcuV46KQX8o9-fSSAwRfz_muxYSQvMN0cLY127UjBZREIl9X2Rz6J12JuKtQIJsg5vDWs7rWMi2N7wgjAZ_2g5mHTgP94g7w-j=w1200|https://lh3.googleusercontent.com/pw/AP1GczOGzwxghjAMxkqSyq0W5lyegS61uWQxe7x1VtdQyn5lh-b71V8dg5ksGTxRFb0VGfw2-uR6knBQ7kav4SgjCMUzNntSacM0GWamOU-C2SUXIovWUe0F=w1200|https://lh3.googleusercontent.com/pw/AP1GczNSrqqIOgFeF-xYuz4OHTEmnBPh6d5xBkW9fMSI3c6DG-M1vVEVft1O_3b0AhN_YyiiGk4efdOUW7xTgnKTEcaUppQo0mNGTDYd-v6n8IQ8-awybgZU=w1200|https://lh3.googleusercontent.com/pw/AP1GczOlhfRTN_3GJr8O9PIpzyaTekZ2QKDwwcGP5Yv16y0o3tyOFqFDWBKfKOVNhW_Q0N0fP6BmjJ_a0qAvppYkxoKe_jL2hYkzXLjpoJKBPbHMn5wBNGLU=w1200|https://lh3.googleusercontent.com/pw/AP1GczMvFrR2F7J8OmygY6OrH5jVsfh4vnfHiTfHrWnxUeIhQgjnwAZUXtLgB141BXqZcufdfz3Rp6IMAAr4kpAJS8KI5XiJ96QpY_cXyfc0BRyxLuvLK8X0=w1200|https://lh3.googleusercontent.com/pw/AP1GczNir7CbNywhQ4HHVeRltBxzCpdoUFr9J92gUjpnRgosOOEOs1MQU1UU68SJE3h7IRfF6UkN90rnsP8LjXRyssjJpJ0j564AgAlJ-EThU3yyjmMa4mj7=w1200|https://lh3.googleusercontent.com/pw/AP1GczMvVe5GvEOLKxSD2de5jgK2kxankIjOpacxZk5XliXYjEQ3c8hb-9Dn-gLCvq1GJhFFZ8-9odSaiD0b5xb4OdnG5rkgbso_KXNymQ8EVAIP3j9Fkt9B=w1200|https://lh3.googleusercontent.com/pw/AP1GczPS9hL5fky4xz8WntKy1GdUP_tFDrIMdzp0j25Luc0gRs6CibOZIiN1IsipU8yYXEdVbaxH3Yoo7lD47FqoFokC4KrCdjzLOyflRclgj4tGNNEyE3gb=w1200|https://lh3.googleusercontent.com/pw/AP1GczMnONz-rTk32OQJiHw1K53e5DyptlO3obbDgR-QHIxnWq3y_cgoNIuxvBEYzrSYxmrhFyzCrywewyRwW3g2VUnpdFqf93o_mDPe55nOxT97bwxtUy3U=w1200|https://lh3.googleusercontent.com/pw/AP1GczPlZxFhoFnql7nGu7ZoBR-GKvZ-KXX_IlgilR8CkmhJkerBcs0hOYEvru0IUDzn5bgfmrd3MyZAWwA1k9mQJ13Fz2LlJ1blMZV44nzTreIV6F52GwYi=w1200</v>
      </c>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row>
    <row r="8">
      <c r="A8" s="87" t="str">
        <f>IFERROR(__xludf.DUMMYFUNCTION("""COMPUTED_VALUE"""),"549")</f>
        <v>549</v>
      </c>
      <c r="B8" s="46" t="str">
        <f>IFERROR(__xludf.DUMMYFUNCTION("""COMPUTED_VALUE"""),"Casa en conjunto Altamira - Oriente")</f>
        <v>Casa en conjunto Altamira - Oriente</v>
      </c>
      <c r="C8" s="46" t="str">
        <f>IFERROR(__xludf.DUMMYFUNCTION("""COMPUTED_VALUE"""),"Casa en conjunto")</f>
        <v>Casa en conjunto</v>
      </c>
      <c r="D8" s="46"/>
      <c r="E8" s="46" t="str">
        <f>IFERROR(__xludf.DUMMYFUNCTION("""COMPUTED_VALUE"""),"Conjunto Altamira ")</f>
        <v>Conjunto Altamira </v>
      </c>
      <c r="F8" s="90">
        <f>IFERROR(__xludf.DUMMYFUNCTION("""COMPUTED_VALUE"""),5.6E8)</f>
        <v>560000000</v>
      </c>
      <c r="G8" s="46" t="str">
        <f>IFERROR(__xludf.DUMMYFUNCTION("""COMPUTED_VALUE"""),"$500'000.000 a $1.000'000.000")</f>
        <v>$500'000.000 a $1.000'000.000</v>
      </c>
      <c r="H8" s="46"/>
      <c r="I8" s="46"/>
      <c r="J8" s="46" t="str">
        <f>IFERROR(__xludf.DUMMYFUNCTION("""COMPUTED_VALUE"""),"Oriente")</f>
        <v>Oriente</v>
      </c>
      <c r="K8" s="87"/>
      <c r="L8" s="46">
        <f>IFERROR(__xludf.DUMMYFUNCTION("""COMPUTED_VALUE"""),3.0)</f>
        <v>3</v>
      </c>
      <c r="M8" s="46"/>
      <c r="N8" s="46">
        <f>IFERROR(__xludf.DUMMYFUNCTION("""COMPUTED_VALUE"""),3.0)</f>
        <v>3</v>
      </c>
      <c r="O8" s="46">
        <f>IFERROR(__xludf.DUMMYFUNCTION("""COMPUTED_VALUE"""),2.0)</f>
        <v>2</v>
      </c>
      <c r="P8" s="46">
        <f>IFERROR(__xludf.DUMMYFUNCTION("""COMPUTED_VALUE"""),2.0)</f>
        <v>2</v>
      </c>
      <c r="Q8" s="92">
        <f>IFERROR(__xludf.DUMMYFUNCTION("""COMPUTED_VALUE"""),180.0)</f>
        <v>180</v>
      </c>
      <c r="R8" s="92">
        <f>IFERROR(__xludf.DUMMYFUNCTION("""COMPUTED_VALUE"""),85.0)</f>
        <v>85</v>
      </c>
      <c r="S8" s="87" t="str">
        <f>IFERROR(__xludf.DUMMYFUNCTION("""COMPUTED_VALUE""")," ")</f>
        <v> </v>
      </c>
      <c r="T8" s="46" t="str">
        <f>IFERROR(__xludf.DUMMYFUNCTION("""COMPUTED_VALUE"""),"Neiva")</f>
        <v>Neiva</v>
      </c>
      <c r="U8" s="87" t="str">
        <f>IFERROR(__xludf.DUMMYFUNCTION("""COMPUTED_VALUE"""),"5")</f>
        <v>5</v>
      </c>
      <c r="V8" s="46" t="str">
        <f>IFERROR(__xludf.DUMMYFUNCTION("""COMPUTED_VALUE"""),"Medianera")</f>
        <v>Medianera</v>
      </c>
      <c r="W8" s="46"/>
      <c r="X8" s="46">
        <f>IFERROR(__xludf.DUMMYFUNCTION("""COMPUTED_VALUE"""),3.0)</f>
        <v>3</v>
      </c>
      <c r="Y8" s="46" t="str">
        <f>IFERROR(__xludf.DUMMYFUNCTION("""COMPUTED_VALUE"""),"Social")</f>
        <v>Social</v>
      </c>
      <c r="Z8" s="90">
        <f>IFERROR(__xludf.DUMMYFUNCTION("""COMPUTED_VALUE"""),700000.0)</f>
        <v>700000</v>
      </c>
      <c r="AA8" s="33" t="str">
        <f>IFERROR(__xludf.DUMMYFUNCTION("""COMPUTED_VALUE"""),"No aplica")</f>
        <v>No aplica</v>
      </c>
      <c r="AB8" s="96" t="str">
        <f>IFERROR(__xludf.DUMMYFUNCTION("""COMPUTED_VALUE"""),"https://photos.app.goo.gl/csWSDYNDaxn4PyQW9")</f>
        <v>https://photos.app.goo.gl/csWSDYNDaxn4PyQW9</v>
      </c>
      <c r="AC8" s="46" t="str">
        <f>IFERROR(__xludf.DUMMYFUNCTION("""COMPUTED_VALUE"""),"Esta exclusiva casa de dos niveles de estrato 5, ubicada en el prestigioso Conjunto Residencial Altamira en la zona Oriente de Neiva, destaca por sus amplios espacios y una espectacular iluminación natural en cada rincón. Al ingresar al primer piso, se ap"&amp;"recia una generosa sala-comedor con imponentes techos de doble altura acabados en un elegante machimbre de madera pulida, que contrasta a la perfección con los señoriales pisos de mármol claro con veteados naturales. Este nivel se conecta fluidamente medi"&amp;"ante amplios ventanales corredizos a un patio interior ideal para disfrutar de la frescura, y se complementa con una cocina integral moderna y funcional, una zona de lavandería independiente y un baño social. El acceso al segundo nivel se realiza a través"&amp;" de una escalera de diseño clásico con barandas de hierro forjado, que conduce a la zona privada de la vivienda. En esta planta se distribuyen 3 amplias habitaciones con pisos de mármol y techos elevados de madera que aportan calidez; la habitación princi"&amp;"pal cuenta con su propio baño privado y un balcón exclusivo, mientras que las habitaciones auxiliares comparten un baño completo bien equipado (sumando un total de 3 baños en toda la propiedad y 2 cómodos puestos de parqueadero).")</f>
        <v>Esta exclusiva casa de dos niveles de estrato 5, ubicada en el prestigioso Conjunto Residencial Altamira en la zona Oriente de Neiva, destaca por sus amplios espacios y una espectacular iluminación natural en cada rincón. Al ingresar al primer piso, se aprecia una generosa sala-comedor con imponentes techos de doble altura acabados en un elegante machimbre de madera pulida, que contrasta a la perfección con los señoriales pisos de mármol claro con veteados naturales. Este nivel se conecta fluidamente mediante amplios ventanales corredizos a un patio interior ideal para disfrutar de la frescura, y se complementa con una cocina integral moderna y funcional, una zona de lavandería independiente y un baño social. El acceso al segundo nivel se realiza a través de una escalera de diseño clásico con barandas de hierro forjado, que conduce a la zona privada de la vivienda. En esta planta se distribuyen 3 amplias habitaciones con pisos de mármol y techos elevados de madera que aportan calidez; la habitación principal cuenta con su propio baño privado y un balcón exclusivo, mientras que las habitaciones auxiliares comparten un baño completo bien equipado (sumando un total de 3 baños en toda la propiedad y 2 cómodos puestos de parqueadero).</v>
      </c>
      <c r="AD8" s="46" t="str">
        <f>IFERROR(__xludf.DUMMYFUNCTION("""COMPUTED_VALUE"""),"Situada en un sector de alta valorización. La propiedad de 180 m² construidos ofrece la combinación perfecta entre lujo clásico, confort y la máxima seguridad que su familia merece. Vivir en el Conjunto Altamira garantiza total tranquilidad, un entorno re"&amp;"sidencial exclusivo y una excelente circulación de aire para mantener el hogar siempre fresco. Es la opción ideal tanto para establecer un hogar definitivo con estatus y comodidad, como para realizar una inversión estratégica con una alta proyección de va"&amp;"lorización en una de las zonas más cotizadas y seguras del oriente de la ciudad.")</f>
        <v>Situada en un sector de alta valorización. La propiedad de 180 m² construidos ofrece la combinación perfecta entre lujo clásico, confort y la máxima seguridad que su familia merece. Vivir en el Conjunto Altamira garantiza total tranquilidad, un entorno residencial exclusivo y una excelente circulación de aire para mantener el hogar siempre fresco. Es la opción ideal tanto para establecer un hogar definitivo con estatus y comodidad, como para realizar una inversión estratégica con una alta proyección de valorización en una de las zonas más cotizadas y seguras del oriente de la ciudad.</v>
      </c>
      <c r="AE8" s="46"/>
      <c r="AF8" s="46" t="str">
        <f>IFERROR(__xludf.DUMMYFUNCTION("""COMPUTED_VALUE"""),"integral")</f>
        <v>integral</v>
      </c>
      <c r="AG8" s="46"/>
      <c r="AH8" s="46" t="str">
        <f>IFERROR(__xludf.DUMMYFUNCTION("""COMPUTED_VALUE"""),"Aliado")</f>
        <v>Aliado</v>
      </c>
      <c r="AI8" s="92" t="str">
        <f>IFERROR(__xludf.DUMMYFUNCTION("""COMPUTED_VALUE"""),"https://lh3.googleusercontent.com/pw/AP1GczP-sDG13Tll4uEevBGH4SAlXsp1LWuBYesF9Z0FmBxUhx5gLIgsO-RyBnyHyhG__U3eMPLNOM_qv_IZTsuNTMNLIDnaoUj0cWHtwF4sYCoMOmXDwYiu=w1200|https://lh3.googleusercontent.com/pw/AP1GczNjvDDBFMd0pomOEtREZ2ofOU5wZhumXPduQPwzaaEsLML4X8"&amp;"eUht1MsgaRK8mmSwV7SqBZZkaB-PZGD91AXQctd7GlbFWjyCCx_IZdhbZC7yggvLT8=w1200|https://lh3.googleusercontent.com/pw/AP1GczP5_h_44B19ae-ChBsnj_1Yc85ATbcOhYGJeLS9_3zbAie9WtMpdjwmuEOVBmFzS3PGBLTB_sX0W2hSMRe30xKFm5ZXmeiY0AWOAcyk0bmlvDzgpVEy=w1200|https://lh3.google"&amp;"usercontent.com/pw/AP1GczN1YVhIkYR3iha8u3G-76EvlBpsET9V_BEl9Ew-3-fpMvWsDumQ6dF_bxtxazk4c9o-fW6NlwFJL00cBlzYv_PmecGcZUaUVhCC8AwKbEx6noilnyx9=w1200|https://lh3.googleusercontent.com/pw/AP1GczMByU39OqxFrf2g9h53Tf_HWalvDDX6p3S8w5jj2LSIlP5gzK7gsxLBxsN3eUhKZOn-"&amp;"O2fzeYqiG2gvyeQp-AKpXagy4Kb8RmtrpMoQge2lXYFiWxyA=w1200|https://lh3.googleusercontent.com/pw/AP1GczOvmogRZnAeTJXrfL2Il2KzqML3muiSp9m9Czf6YbVQrXi1miFJAve_Sbn9o0-usja-I4IKEoMwFSeQHnog7QJY40d4X3hhjxY3ms81VdmfF0Obs9ZJ=w1200|https://lh3.googleusercontent.com/pw"&amp;"/AP1GczPqCnXJah-o_TZVld1A-3NGygyuxc6NG_waoND6WG_S7uA5a8JaMrrJLBZ3IU6Te2lFBG5EY6tc6obGI8gYw6U2eTgMJ0MsW-X7wipgefjL574dmv0X=w1200|https://lh3.googleusercontent.com/pw/AP1GczNaU5dqRcPt1dE1UCJ52bHSoKgpJh6F52juHB79lFO1opQYgJsUmB5MsEZUt3W1JLb7qU6EMjeDGJ-KW6l2p-"&amp;"7vZtm5FYESkaqbmGW0FDct9kp-8KYw=w1200|https://lh3.googleusercontent.com/pw/AP1GczPWDIRYSJXJEugAIx8iVWIexvDkUWD76NrY1oeaspZjQfHTvTy09rdXJgDesdjQ4viiPz2tdEVLMC8k9SadDnEe0sa013beW7cbrgRiYG6gaez1hRUu=w1200|https://lh3.googleusercontent.com/pw/AP1GczPsXqyD6GnYZ"&amp;"JS6mFK1eoiG-EVsiYt8TnNlYzB2lvxFsqzM9rRcjw9H8vgRT6u6DjIqyLEO9kcIiyc8wcx6N6bBGHKN16suy_CE81VuL2uXqPlSMqti=w1200")</f>
        <v>https://lh3.googleusercontent.com/pw/AP1GczP-sDG13Tll4uEevBGH4SAlXsp1LWuBYesF9Z0FmBxUhx5gLIgsO-RyBnyHyhG__U3eMPLNOM_qv_IZTsuNTMNLIDnaoUj0cWHtwF4sYCoMOmXDwYiu=w1200|https://lh3.googleusercontent.com/pw/AP1GczNjvDDBFMd0pomOEtREZ2ofOU5wZhumXPduQPwzaaEsLML4X8eUht1MsgaRK8mmSwV7SqBZZkaB-PZGD91AXQctd7GlbFWjyCCx_IZdhbZC7yggvLT8=w1200|https://lh3.googleusercontent.com/pw/AP1GczP5_h_44B19ae-ChBsnj_1Yc85ATbcOhYGJeLS9_3zbAie9WtMpdjwmuEOVBmFzS3PGBLTB_sX0W2hSMRe30xKFm5ZXmeiY0AWOAcyk0bmlvDzgpVEy=w1200|https://lh3.googleusercontent.com/pw/AP1GczN1YVhIkYR3iha8u3G-76EvlBpsET9V_BEl9Ew-3-fpMvWsDumQ6dF_bxtxazk4c9o-fW6NlwFJL00cBlzYv_PmecGcZUaUVhCC8AwKbEx6noilnyx9=w1200|https://lh3.googleusercontent.com/pw/AP1GczMByU39OqxFrf2g9h53Tf_HWalvDDX6p3S8w5jj2LSIlP5gzK7gsxLBxsN3eUhKZOn-O2fzeYqiG2gvyeQp-AKpXagy4Kb8RmtrpMoQge2lXYFiWxyA=w1200|https://lh3.googleusercontent.com/pw/AP1GczOvmogRZnAeTJXrfL2Il2KzqML3muiSp9m9Czf6YbVQrXi1miFJAve_Sbn9o0-usja-I4IKEoMwFSeQHnog7QJY40d4X3hhjxY3ms81VdmfF0Obs9ZJ=w1200|https://lh3.googleusercontent.com/pw/AP1GczPqCnXJah-o_TZVld1A-3NGygyuxc6NG_waoND6WG_S7uA5a8JaMrrJLBZ3IU6Te2lFBG5EY6tc6obGI8gYw6U2eTgMJ0MsW-X7wipgefjL574dmv0X=w1200|https://lh3.googleusercontent.com/pw/AP1GczNaU5dqRcPt1dE1UCJ52bHSoKgpJh6F52juHB79lFO1opQYgJsUmB5MsEZUt3W1JLb7qU6EMjeDGJ-KW6l2p-7vZtm5FYESkaqbmGW0FDct9kp-8KYw=w1200|https://lh3.googleusercontent.com/pw/AP1GczPWDIRYSJXJEugAIx8iVWIexvDkUWD76NrY1oeaspZjQfHTvTy09rdXJgDesdjQ4viiPz2tdEVLMC8k9SadDnEe0sa013beW7cbrgRiYG6gaez1hRUu=w1200|https://lh3.googleusercontent.com/pw/AP1GczPsXqyD6GnYZJS6mFK1eoiG-EVsiYt8TnNlYzB2lvxFsqzM9rRcjw9H8vgRT6u6DjIqyLEO9kcIiyc8wcx6N6bBGHKN16suy_CE81VuL2uXqPlSMqti=w1200</v>
      </c>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6"/>
      <c r="BJ8" s="46"/>
      <c r="BK8" s="46"/>
      <c r="BL8" s="46"/>
      <c r="BM8" s="46"/>
      <c r="BN8" s="46"/>
      <c r="BO8" s="46"/>
      <c r="BP8" s="46"/>
      <c r="BQ8" s="46"/>
      <c r="BR8" s="46"/>
      <c r="BS8" s="46"/>
      <c r="BT8" s="46"/>
      <c r="BU8" s="46"/>
      <c r="BV8" s="46"/>
      <c r="BW8" s="46"/>
      <c r="BX8" s="46"/>
      <c r="BY8" s="46"/>
      <c r="BZ8" s="46"/>
      <c r="CA8" s="46"/>
      <c r="CB8" s="46"/>
      <c r="CC8" s="46"/>
    </row>
    <row r="9">
      <c r="A9" s="87" t="str">
        <f>IFERROR(__xludf.DUMMYFUNCTION("""COMPUTED_VALUE"""),"643")</f>
        <v>643</v>
      </c>
      <c r="B9" s="46" t="str">
        <f>IFERROR(__xludf.DUMMYFUNCTION("""COMPUTED_VALUE"""),"Casa en barrio Buganviles - Oriente")</f>
        <v>Casa en barrio Buganviles - Oriente</v>
      </c>
      <c r="C9" s="46" t="str">
        <f>IFERROR(__xludf.DUMMYFUNCTION("""COMPUTED_VALUE"""),"Casa")</f>
        <v>Casa</v>
      </c>
      <c r="D9" s="46" t="str">
        <f>IFERROR(__xludf.DUMMYFUNCTION("""COMPUTED_VALUE"""),"Buganviles")</f>
        <v>Buganviles</v>
      </c>
      <c r="E9" s="46"/>
      <c r="F9" s="90">
        <f>IFERROR(__xludf.DUMMYFUNCTION("""COMPUTED_VALUE"""),3.9E8)</f>
        <v>390000000</v>
      </c>
      <c r="G9" s="46" t="str">
        <f>IFERROR(__xludf.DUMMYFUNCTION("""COMPUTED_VALUE"""),"$300'000.000 a $400'000.000")</f>
        <v>$300'000.000 a $400'000.000</v>
      </c>
      <c r="H9" s="46"/>
      <c r="I9" s="46"/>
      <c r="J9" s="46" t="str">
        <f>IFERROR(__xludf.DUMMYFUNCTION("""COMPUTED_VALUE"""),"Oriente")</f>
        <v>Oriente</v>
      </c>
      <c r="K9" s="87" t="str">
        <f>IFERROR(__xludf.DUMMYFUNCTION("""COMPUTED_VALUE"""),"7")</f>
        <v>7</v>
      </c>
      <c r="L9" s="46">
        <f>IFERROR(__xludf.DUMMYFUNCTION("""COMPUTED_VALUE"""),3.0)</f>
        <v>3</v>
      </c>
      <c r="M9" s="46"/>
      <c r="N9" s="46">
        <f>IFERROR(__xludf.DUMMYFUNCTION("""COMPUTED_VALUE"""),3.0)</f>
        <v>3</v>
      </c>
      <c r="O9" s="46">
        <f>IFERROR(__xludf.DUMMYFUNCTION("""COMPUTED_VALUE"""),1.0)</f>
        <v>1</v>
      </c>
      <c r="P9" s="46">
        <f>IFERROR(__xludf.DUMMYFUNCTION("""COMPUTED_VALUE"""),2.0)</f>
        <v>2</v>
      </c>
      <c r="Q9" s="92">
        <f>IFERROR(__xludf.DUMMYFUNCTION("""COMPUTED_VALUE"""),150.0)</f>
        <v>150</v>
      </c>
      <c r="R9" s="92">
        <f>IFERROR(__xludf.DUMMYFUNCTION("""COMPUTED_VALUE"""),84.0)</f>
        <v>84</v>
      </c>
      <c r="S9" s="87" t="str">
        <f>IFERROR(__xludf.DUMMYFUNCTION("""COMPUTED_VALUE""")," ")</f>
        <v> </v>
      </c>
      <c r="T9" s="46" t="str">
        <f>IFERROR(__xludf.DUMMYFUNCTION("""COMPUTED_VALUE"""),"Neiva")</f>
        <v>Neiva</v>
      </c>
      <c r="U9" s="87" t="str">
        <f>IFERROR(__xludf.DUMMYFUNCTION("""COMPUTED_VALUE"""),"4")</f>
        <v>4</v>
      </c>
      <c r="V9" s="46" t="str">
        <f>IFERROR(__xludf.DUMMYFUNCTION("""COMPUTED_VALUE"""),"Medianera")</f>
        <v>Medianera</v>
      </c>
      <c r="W9" s="46"/>
      <c r="X9" s="46">
        <f>IFERROR(__xludf.DUMMYFUNCTION("""COMPUTED_VALUE"""),3.0)</f>
        <v>3</v>
      </c>
      <c r="Y9" s="46" t="str">
        <f>IFERROR(__xludf.DUMMYFUNCTION("""COMPUTED_VALUE"""),"No tiene")</f>
        <v>No tiene</v>
      </c>
      <c r="Z9" s="90" t="str">
        <f>IFERROR(__xludf.DUMMYFUNCTION("""COMPUTED_VALUE"""),"No aplica")</f>
        <v>No aplica</v>
      </c>
      <c r="AA9" s="33" t="str">
        <f>IFERROR(__xludf.DUMMYFUNCTION("""COMPUTED_VALUE"""),"No aplica")</f>
        <v>No aplica</v>
      </c>
      <c r="AB9" s="96" t="str">
        <f>IFERROR(__xludf.DUMMYFUNCTION("""COMPUTED_VALUE"""),"https://photos.app.goo.gl/7aURCJC7HKMzHwRAA")</f>
        <v>https://photos.app.goo.gl/7aURCJC7HKMzHwRAA</v>
      </c>
      <c r="AC9" s="46" t="str">
        <f>IFERROR(__xludf.DUMMYFUNCTION("""COMPUTED_VALUE"""),"Esta espectacular residencia de diseño contemporáneo destaca por sus acabados de alto nivel, basados en pisos de porcelanato gris claro con sutiles vetas y muros blancos que maximizan la luminosidad. El primer nivel ofrece un concepto abierto donde la coc"&amp;"ina integral tipo isla resalta con gabinetes en contraste blanco y gris grafito mate, encimeras en granito negro absoluto y un salpicadero tipo mármol. El área social conecta con un patio interior decorado con césped artificial y muro de piedra natural, t"&amp;"odo enmarcado por una elegante escalera flotante con pasamanos de acero inoxidable e iluminación ambiental. En la zona privada del segundo nivel se disponen amplias habitaciones con clósets de piso a techo y puertas en madera texturizada, baños modernos, "&amp;"balcón y una funcional terraza, complementando la propiedad con su respectivo garaje privado.")</f>
        <v>Esta espectacular residencia de diseño contemporáneo destaca por sus acabados de alto nivel, basados en pisos de porcelanato gris claro con sutiles vetas y muros blancos que maximizan la luminosidad. El primer nivel ofrece un concepto abierto donde la cocina integral tipo isla resalta con gabinetes en contraste blanco y gris grafito mate, encimeras en granito negro absoluto y un salpicadero tipo mármol. El área social conecta con un patio interior decorado con césped artificial y muro de piedra natural, todo enmarcado por una elegante escalera flotante con pasamanos de acero inoxidable e iluminación ambiental. En la zona privada del segundo nivel se disponen amplias habitaciones con clósets de piso a techo y puertas en madera texturizada, baños modernos, balcón y una funcional terraza, complementando la propiedad con su respectivo garaje privado.</v>
      </c>
      <c r="AD9" s="46" t="str">
        <f>IFERROR(__xludf.DUMMYFUNCTION("""COMPUTED_VALUE"""),"Ubicada en una cotizada zona de alta valorización al oriente de Neiva, esta propiedad combina a la perfección el lujo, la privacidad y una conectividad inmejorable con centros comerciales y colegios de prestigio. Es el hogar ideal para familias exigentes "&amp;"que buscan un entorno seguro, moderno y listo para habitar con estándares de vida superiores.")</f>
        <v>Ubicada en una cotizada zona de alta valorización al oriente de Neiva, esta propiedad combina a la perfección el lujo, la privacidad y una conectividad inmejorable con centros comerciales y colegios de prestigio. Es el hogar ideal para familias exigentes que buscan un entorno seguro, moderno y listo para habitar con estándares de vida superiores.</v>
      </c>
      <c r="AE9" s="46"/>
      <c r="AF9" s="46" t="str">
        <f>IFERROR(__xludf.DUMMYFUNCTION("""COMPUTED_VALUE"""),"integral")</f>
        <v>integral</v>
      </c>
      <c r="AG9" s="46"/>
      <c r="AH9" s="46" t="str">
        <f>IFERROR(__xludf.DUMMYFUNCTION("""COMPUTED_VALUE"""),"Aliado")</f>
        <v>Aliado</v>
      </c>
      <c r="AI9" s="92" t="str">
        <f>IFERROR(__xludf.DUMMYFUNCTION("""COMPUTED_VALUE"""),"https://lh3.googleusercontent.com/pw/AP1GczO_4V8PYCb7SkWbJKM_-XxE6OQhN6RKFAmGM2anWaau67cfmOgFIvJARq4EAeTGCfFVIDPAkSqNaRPkVaOV_SJCIATKgp9B3_OrriJo-Yjwl_xvzko_=w1200|https://lh3.googleusercontent.com/pw/AP1GczOg65GNDUv7tK1TZL6WhQrFzZRxUzhHs5IEgXUOLq1K9x7PXT"&amp;"GebhNLssjSC0CE8YQJDxkQ-BJJFbenOWB4inaIAAd4hVgJrUH0Hgg1R-dXoJnIUMMp=w1200|https://lh3.googleusercontent.com/pw/AP1GczP57OnLf7VoS-QhXQo7aEiiqV-FxOoLKG-ixGu6u-EKH5lJgOI0KawfXhVoGplugA6sh00O8eVjMB3LgP83K43lkeuUS5sHy4_wpPoOG18eOmdiYg6S=w1200|https://lh3.google"&amp;"usercontent.com/pw/AP1GczM68HyvzZYFOHMn7-tUXmF0YGC0HU6ubBNxzxV6_JVNkwYoZko7yHBDUPNdUPMC77YtlhEnNoV5BYFP4mATpUx8mJnSAkQ4NcASZg4OiezDD_lvSpEd=w1200|https://lh3.googleusercontent.com/pw/AP1GczOmnZq60LcS8cBDrCjJTBmWXG9g741sx2o4xo_AG03hxxn610MpzSfBZ9PBshi2zZO5"&amp;"TVx2RHYJKt7zEvZ5wp-0_XOkI1Gvn18KDZz1SXqYXdbbzQGo=w1200|https://lh3.googleusercontent.com/pw/AP1GczMHjXDPrEtV0zBQ7D5aVBApkyu6wTs6JL2uccz5Nqf3Bi-2xERKqIFwcO1-k0sPIUhKmLTQkIHEOAF8FCKE1PxlWNoQsTFwQrIt_GRIGElMHRFiEmHy=w1200|https://lh3.googleusercontent.com/pw"&amp;"/AP1GczPlH6Rpjm4R1JabVVT8WvxwrbOwiOcN7IouJ-J_DeQvRS3uydUcNUvsFZ_Th0wNccT0a16Ulz_ousoRDXaPPs0WOZxajsiAQURRW6I8iIMFYW-F10yi=w1200|https://lh3.googleusercontent.com/pw/AP1GczMOuxnVG72bgEhGis8zvFQZrX7j-b1h4cEaGpsZQvuyQ6V4JT-V17cmDRRJ1qwEbWoIMKECMsP89S6CZMFASl"&amp;"907FabWjXxDfu22tgq4kPsFi_WGVmB=w1200")</f>
        <v>https://lh3.googleusercontent.com/pw/AP1GczO_4V8PYCb7SkWbJKM_-XxE6OQhN6RKFAmGM2anWaau67cfmOgFIvJARq4EAeTGCfFVIDPAkSqNaRPkVaOV_SJCIATKgp9B3_OrriJo-Yjwl_xvzko_=w1200|https://lh3.googleusercontent.com/pw/AP1GczOg65GNDUv7tK1TZL6WhQrFzZRxUzhHs5IEgXUOLq1K9x7PXTGebhNLssjSC0CE8YQJDxkQ-BJJFbenOWB4inaIAAd4hVgJrUH0Hgg1R-dXoJnIUMMp=w1200|https://lh3.googleusercontent.com/pw/AP1GczP57OnLf7VoS-QhXQo7aEiiqV-FxOoLKG-ixGu6u-EKH5lJgOI0KawfXhVoGplugA6sh00O8eVjMB3LgP83K43lkeuUS5sHy4_wpPoOG18eOmdiYg6S=w1200|https://lh3.googleusercontent.com/pw/AP1GczM68HyvzZYFOHMn7-tUXmF0YGC0HU6ubBNxzxV6_JVNkwYoZko7yHBDUPNdUPMC77YtlhEnNoV5BYFP4mATpUx8mJnSAkQ4NcASZg4OiezDD_lvSpEd=w1200|https://lh3.googleusercontent.com/pw/AP1GczOmnZq60LcS8cBDrCjJTBmWXG9g741sx2o4xo_AG03hxxn610MpzSfBZ9PBshi2zZO5TVx2RHYJKt7zEvZ5wp-0_XOkI1Gvn18KDZz1SXqYXdbbzQGo=w1200|https://lh3.googleusercontent.com/pw/AP1GczMHjXDPrEtV0zBQ7D5aVBApkyu6wTs6JL2uccz5Nqf3Bi-2xERKqIFwcO1-k0sPIUhKmLTQkIHEOAF8FCKE1PxlWNoQsTFwQrIt_GRIGElMHRFiEmHy=w1200|https://lh3.googleusercontent.com/pw/AP1GczPlH6Rpjm4R1JabVVT8WvxwrbOwiOcN7IouJ-J_DeQvRS3uydUcNUvsFZ_Th0wNccT0a16Ulz_ousoRDXaPPs0WOZxajsiAQURRW6I8iIMFYW-F10yi=w1200|https://lh3.googleusercontent.com/pw/AP1GczMOuxnVG72bgEhGis8zvFQZrX7j-b1h4cEaGpsZQvuyQ6V4JT-V17cmDRRJ1qwEbWoIMKECMsP89S6CZMFASl907FabWjXxDfu22tgq4kPsFi_WGVmB=w1200</v>
      </c>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c r="BW9" s="46"/>
      <c r="BX9" s="46"/>
      <c r="BY9" s="46"/>
      <c r="BZ9" s="46"/>
      <c r="CA9" s="46"/>
      <c r="CB9" s="46"/>
      <c r="CC9" s="46"/>
    </row>
    <row r="10">
      <c r="A10" s="87" t="str">
        <f>IFERROR(__xludf.DUMMYFUNCTION("""COMPUTED_VALUE"""),"580")</f>
        <v>580</v>
      </c>
      <c r="B10" s="46" t="str">
        <f>IFERROR(__xludf.DUMMYFUNCTION("""COMPUTED_VALUE"""),"Casa en barrio Buganviles - Oriente")</f>
        <v>Casa en barrio Buganviles - Oriente</v>
      </c>
      <c r="C10" s="46" t="str">
        <f>IFERROR(__xludf.DUMMYFUNCTION("""COMPUTED_VALUE"""),"Casa")</f>
        <v>Casa</v>
      </c>
      <c r="D10" s="46" t="str">
        <f>IFERROR(__xludf.DUMMYFUNCTION("""COMPUTED_VALUE"""),"Buganviles")</f>
        <v>Buganviles</v>
      </c>
      <c r="E10" s="46"/>
      <c r="F10" s="90">
        <f>IFERROR(__xludf.DUMMYFUNCTION("""COMPUTED_VALUE"""),3.9E8)</f>
        <v>390000000</v>
      </c>
      <c r="G10" s="46" t="str">
        <f>IFERROR(__xludf.DUMMYFUNCTION("""COMPUTED_VALUE"""),"$300'000.000 a $400'000.000")</f>
        <v>$300'000.000 a $400'000.000</v>
      </c>
      <c r="H10" s="46"/>
      <c r="I10" s="46"/>
      <c r="J10" s="46" t="str">
        <f>IFERROR(__xludf.DUMMYFUNCTION("""COMPUTED_VALUE"""),"Oriente")</f>
        <v>Oriente</v>
      </c>
      <c r="K10" s="87" t="str">
        <f>IFERROR(__xludf.DUMMYFUNCTION("""COMPUTED_VALUE"""),"7")</f>
        <v>7</v>
      </c>
      <c r="L10" s="46">
        <f>IFERROR(__xludf.DUMMYFUNCTION("""COMPUTED_VALUE"""),4.0)</f>
        <v>4</v>
      </c>
      <c r="M10" s="46"/>
      <c r="N10" s="46">
        <f>IFERROR(__xludf.DUMMYFUNCTION("""COMPUTED_VALUE"""),3.0)</f>
        <v>3</v>
      </c>
      <c r="O10" s="46">
        <f>IFERROR(__xludf.DUMMYFUNCTION("""COMPUTED_VALUE"""),3.0)</f>
        <v>3</v>
      </c>
      <c r="P10" s="46">
        <f>IFERROR(__xludf.DUMMYFUNCTION("""COMPUTED_VALUE"""),2.0)</f>
        <v>2</v>
      </c>
      <c r="Q10" s="92">
        <f>IFERROR(__xludf.DUMMYFUNCTION("""COMPUTED_VALUE"""),157.0)</f>
        <v>157</v>
      </c>
      <c r="R10" s="92">
        <f>IFERROR(__xludf.DUMMYFUNCTION("""COMPUTED_VALUE"""),75.0)</f>
        <v>75</v>
      </c>
      <c r="S10" s="87" t="str">
        <f>IFERROR(__xludf.DUMMYFUNCTION("""COMPUTED_VALUE""")," ")</f>
        <v> </v>
      </c>
      <c r="T10" s="46" t="str">
        <f>IFERROR(__xludf.DUMMYFUNCTION("""COMPUTED_VALUE"""),"Neiva")</f>
        <v>Neiva</v>
      </c>
      <c r="U10" s="87" t="str">
        <f>IFERROR(__xludf.DUMMYFUNCTION("""COMPUTED_VALUE"""),"4")</f>
        <v>4</v>
      </c>
      <c r="V10" s="46" t="str">
        <f>IFERROR(__xludf.DUMMYFUNCTION("""COMPUTED_VALUE"""),"Medianera")</f>
        <v>Medianera</v>
      </c>
      <c r="W10" s="46"/>
      <c r="X10" s="46">
        <f>IFERROR(__xludf.DUMMYFUNCTION("""COMPUTED_VALUE"""),4.0)</f>
        <v>4</v>
      </c>
      <c r="Y10" s="46" t="str">
        <f>IFERROR(__xludf.DUMMYFUNCTION("""COMPUTED_VALUE"""),"No tiene")</f>
        <v>No tiene</v>
      </c>
      <c r="Z10" s="90" t="str">
        <f>IFERROR(__xludf.DUMMYFUNCTION("""COMPUTED_VALUE"""),"No aplica")</f>
        <v>No aplica</v>
      </c>
      <c r="AA10" s="33" t="str">
        <f>IFERROR(__xludf.DUMMYFUNCTION("""COMPUTED_VALUE"""),"No aplica")</f>
        <v>No aplica</v>
      </c>
      <c r="AB10" s="96" t="str">
        <f>IFERROR(__xludf.DUMMYFUNCTION("""COMPUTED_VALUE"""),"https://photos.app.goo.gl/NKncbuoDDE2qshnWA")</f>
        <v>https://photos.app.goo.gl/NKncbuoDDE2qshnWA</v>
      </c>
      <c r="AC10" s="46" t="str">
        <f>IFERROR(__xludf.DUMMYFUNCTION("""COMPUTED_VALUE"""),"Esta espectacular casa de dos niveles de estrato 4, ubicada en el exclusivo barrio Buganviles en la codiciada zona Oriente de Neiva, destaca por sus generosos espacios, acabados modernos y una ubicación privilegiada frente a una refrescante zona verde arb"&amp;"orizada. Al ingresar al primer piso, se aprecia una excelente distribución con sala y comedor independientes revestidos con pisos de porcelanato de alto tráfico en tonos claros, los cuales aportan una luminosidad excepcional. Este nivel integra una funcio"&amp;"nal cocina abierta de estilo americano con mesones de granito negro absoluto, gabinetes superiores e inferiores en color blanco brillante y equipada con horno y campana extractora. Asimismo, la primera planta ofrece una cómoda habitación con clóset, un ba"&amp;"ño completo con ducha, un patio de ropas independiente junto a un patio interior que asegura ventilación cruzada, un práctico depósito y un amplio garaje cubierto con piso de tableta de gres con capacidad para alojar hasta 3 vehículos.")</f>
        <v>Esta espectacular casa de dos niveles de estrato 4, ubicada en el exclusivo barrio Buganviles en la codiciada zona Oriente de Neiva, destaca por sus generosos espacios, acabados modernos y una ubicación privilegiada frente a una refrescante zona verde arborizada. Al ingresar al primer piso, se aprecia una excelente distribución con sala y comedor independientes revestidos con pisos de porcelanato de alto tráfico en tonos claros, los cuales aportan una luminosidad excepcional. Este nivel integra una funcional cocina abierta de estilo americano con mesones de granito negro absoluto, gabinetes superiores e inferiores en color blanco brillante y equipada con horno y campana extractora. Asimismo, la primera planta ofrece una cómoda habitación con clóset, un baño completo con ducha, un patio de ropas independiente junto a un patio interior que asegura ventilación cruzada, un práctico depósito y un amplio garaje cubierto con piso de tableta de gres con capacidad para alojar hasta 3 vehículos.</v>
      </c>
      <c r="AD10" s="46" t="str">
        <f>IFERROR(__xludf.DUMMYFUNCTION("""COMPUTED_VALUE"""),"Una elegante escalera con pasamanos de madera pulida y barandas de hierro forjado con detalles dorados conduce al segundo nivel, diseñado meticulosamente para el descanso y la privacidad familiar. En esta planta se encuentra la habitación principal, la cu"&amp;"al dispone de un moderno baño privado con división de vidrio templado y clóset empotrado, además de dos habitaciones auxiliares (una de ellas con balcón privado) y un estudio independiente que también cuenta con acceso a un segundo balcón con vista al ent"&amp;"orno natural. La casa está equipada con un sistema completo de cámaras de seguridad para garantizar total tranquilidad y suma un total de 4 alcobas y 3 baños distribuidos en unos impresionantes 157 m² de área construida y de lote. Situada a tan solo dos c"&amp;"uadras de la avenida principal, esta vivienda representa la oportunidad perfecta para familias que buscan confort, alta valorización y una conectividad inmejorable en un sector residencial seguro, tranquilo y exclusivo de la ciudad.")</f>
        <v>Una elegante escalera con pasamanos de madera pulida y barandas de hierro forjado con detalles dorados conduce al segundo nivel, diseñado meticulosamente para el descanso y la privacidad familiar. En esta planta se encuentra la habitación principal, la cual dispone de un moderno baño privado con división de vidrio templado y clóset empotrado, además de dos habitaciones auxiliares (una de ellas con balcón privado) y un estudio independiente que también cuenta con acceso a un segundo balcón con vista al entorno natural. La casa está equipada con un sistema completo de cámaras de seguridad para garantizar total tranquilidad y suma un total de 4 alcobas y 3 baños distribuidos en unos impresionantes 157 m² de área construida y de lote. Situada a tan solo dos cuadras de la avenida principal, esta vivienda representa la oportunidad perfecta para familias que buscan confort, alta valorización y una conectividad inmejorable en un sector residencial seguro, tranquilo y exclusivo de la ciudad.</v>
      </c>
      <c r="AE10" s="46"/>
      <c r="AF10" s="46" t="str">
        <f>IFERROR(__xludf.DUMMYFUNCTION("""COMPUTED_VALUE"""),"integral")</f>
        <v>integral</v>
      </c>
      <c r="AG10" s="46"/>
      <c r="AH10" s="46" t="str">
        <f>IFERROR(__xludf.DUMMYFUNCTION("""COMPUTED_VALUE"""),"Aliado")</f>
        <v>Aliado</v>
      </c>
      <c r="AI10" s="92" t="str">
        <f>IFERROR(__xludf.DUMMYFUNCTION("""COMPUTED_VALUE"""),"https://lh3.googleusercontent.com/pw/AP1GczPsk8WB1J5fWhb2JB1Lkfmd7LURW-FRYDDWIMuv5tOGbMNcoEtYRt5nR3HAx4JpMGs7sLiP9r11x7QWftGhI0FbZINiqZH8ZOQ3Lyt-y1QJfmxKJyN2=w1200|https://lh3.googleusercontent.com/pw/AP1GczNJi8Q2F-t4vbklurEdGgrOLArIOC-ZlGsGUg3gsI7e4TFFAH"&amp;"YEKXeqBOVQ6uxns2ldpckOTVgCJAMnF2QhyFa_K2iO1MpoPmNcxzjq_PB8yz-hnpDT=w1200|https://lh3.googleusercontent.com/pw/AP1GczMAUvVYZo4CDDOdz3JUzj-Wjtgv6ykownaB9t4wG0xJYzTljt-1ViZPap1IxduZH7vUm10h8llhHco7dXLslaVUe1_Zyl-E07HkpSK6NfvOAU8JCubN=w1200|https://lh3.google"&amp;"usercontent.com/pw/AP1GczPk4hIePd9xIACuVcYkKpRA8z__xFWOGhwN7omT36dex2AzD3w3e-KZrhcvECUInQnM5f5v_3asuxB52sYAdUDnX6IKerAXQKwK1uZsliU4g3NVlfqT=w1200|https://lh3.googleusercontent.com/pw/AP1GczNApC2ArB6kR4ev6HPO8EE16pilAoIVfxB-zuhSm1T_jEEWejlwffuZdL0frkpYAgp_"&amp;"Pqfrzbull_Zzwh5hcJ8Duyoh9ZPjRNbvodoXu_r7EkYNSU1F=w1200|https://lh3.googleusercontent.com/pw/AP1GczOXJCUpfXoXf6eWB7Kd_y0atXICljoPEWxGNNRTCL_ZgZHZY2h2Dz1dBaka3fEIREME4DcMLAgVK3Zk9CM4l_qSxqLKN1UZuC2uX6Cr9fk4tTsLKkb2=w1200|https://lh3.googleusercontent.com/pw"&amp;"/AP1GczOwBRu3rG53co8OvaT1RmhUCtpmC_0CP6GO8NUyxZcOjZfX4XKB3txcykytzvNcyyKzF86fy_52mbxPdcHv10dWOGZVh-0A54FbJS-Jc6KWAeiKsIeJ=w1200|https://lh3.googleusercontent.com/pw/AP1GczMBRYuW-HUJT7wu731impoQoTwyg7RCeQndQ5kolXtBecDC09-XwUKxrxajMWNvsqL_g2rWfbazik7yjxq9zv"&amp;"YK0VsPxia30uvdjPp5l2Chsj6sMYqT=w1200")</f>
        <v>https://lh3.googleusercontent.com/pw/AP1GczPsk8WB1J5fWhb2JB1Lkfmd7LURW-FRYDDWIMuv5tOGbMNcoEtYRt5nR3HAx4JpMGs7sLiP9r11x7QWftGhI0FbZINiqZH8ZOQ3Lyt-y1QJfmxKJyN2=w1200|https://lh3.googleusercontent.com/pw/AP1GczNJi8Q2F-t4vbklurEdGgrOLArIOC-ZlGsGUg3gsI7e4TFFAHYEKXeqBOVQ6uxns2ldpckOTVgCJAMnF2QhyFa_K2iO1MpoPmNcxzjq_PB8yz-hnpDT=w1200|https://lh3.googleusercontent.com/pw/AP1GczMAUvVYZo4CDDOdz3JUzj-Wjtgv6ykownaB9t4wG0xJYzTljt-1ViZPap1IxduZH7vUm10h8llhHco7dXLslaVUe1_Zyl-E07HkpSK6NfvOAU8JCubN=w1200|https://lh3.googleusercontent.com/pw/AP1GczPk4hIePd9xIACuVcYkKpRA8z__xFWOGhwN7omT36dex2AzD3w3e-KZrhcvECUInQnM5f5v_3asuxB52sYAdUDnX6IKerAXQKwK1uZsliU4g3NVlfqT=w1200|https://lh3.googleusercontent.com/pw/AP1GczNApC2ArB6kR4ev6HPO8EE16pilAoIVfxB-zuhSm1T_jEEWejlwffuZdL0frkpYAgp_Pqfrzbull_Zzwh5hcJ8Duyoh9ZPjRNbvodoXu_r7EkYNSU1F=w1200|https://lh3.googleusercontent.com/pw/AP1GczOXJCUpfXoXf6eWB7Kd_y0atXICljoPEWxGNNRTCL_ZgZHZY2h2Dz1dBaka3fEIREME4DcMLAgVK3Zk9CM4l_qSxqLKN1UZuC2uX6Cr9fk4tTsLKkb2=w1200|https://lh3.googleusercontent.com/pw/AP1GczOwBRu3rG53co8OvaT1RmhUCtpmC_0CP6GO8NUyxZcOjZfX4XKB3txcykytzvNcyyKzF86fy_52mbxPdcHv10dWOGZVh-0A54FbJS-Jc6KWAeiKsIeJ=w1200|https://lh3.googleusercontent.com/pw/AP1GczMBRYuW-HUJT7wu731impoQoTwyg7RCeQndQ5kolXtBecDC09-XwUKxrxajMWNvsqL_g2rWfbazik7yjxq9zvYK0VsPxia30uvdjPp5l2Chsj6sMYqT=w1200</v>
      </c>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c r="BN10" s="46"/>
      <c r="BO10" s="46"/>
      <c r="BP10" s="46"/>
      <c r="BQ10" s="46"/>
      <c r="BR10" s="46"/>
      <c r="BS10" s="46"/>
      <c r="BT10" s="46"/>
      <c r="BU10" s="46"/>
      <c r="BV10" s="46"/>
      <c r="BW10" s="46"/>
      <c r="BX10" s="46"/>
      <c r="BY10" s="46"/>
      <c r="BZ10" s="46"/>
      <c r="CA10" s="46"/>
      <c r="CB10" s="46"/>
      <c r="CC10" s="46"/>
    </row>
    <row r="11">
      <c r="A11" s="87" t="str">
        <f>IFERROR(__xludf.DUMMYFUNCTION("""COMPUTED_VALUE"""),"465")</f>
        <v>465</v>
      </c>
      <c r="B11" s="46" t="str">
        <f>IFERROR(__xludf.DUMMYFUNCTION("""COMPUTED_VALUE"""),"Casa en barrio La Gaitana - Oriente")</f>
        <v>Casa en barrio La Gaitana - Oriente</v>
      </c>
      <c r="C11" s="46" t="str">
        <f>IFERROR(__xludf.DUMMYFUNCTION("""COMPUTED_VALUE"""),"Casa")</f>
        <v>Casa</v>
      </c>
      <c r="D11" s="46" t="str">
        <f>IFERROR(__xludf.DUMMYFUNCTION("""COMPUTED_VALUE"""),"La Gaitana")</f>
        <v>La Gaitana</v>
      </c>
      <c r="E11" s="46"/>
      <c r="F11" s="90">
        <f>IFERROR(__xludf.DUMMYFUNCTION("""COMPUTED_VALUE"""),3.9E8)</f>
        <v>390000000</v>
      </c>
      <c r="G11" s="46" t="str">
        <f>IFERROR(__xludf.DUMMYFUNCTION("""COMPUTED_VALUE"""),"$300'000.000 a $400'000.000")</f>
        <v>$300'000.000 a $400'000.000</v>
      </c>
      <c r="H11" s="46"/>
      <c r="I11" s="46"/>
      <c r="J11" s="46" t="str">
        <f>IFERROR(__xludf.DUMMYFUNCTION("""COMPUTED_VALUE"""),"Oriente")</f>
        <v>Oriente</v>
      </c>
      <c r="K11" s="87" t="str">
        <f>IFERROR(__xludf.DUMMYFUNCTION("""COMPUTED_VALUE"""),"7")</f>
        <v>7</v>
      </c>
      <c r="L11" s="46">
        <f>IFERROR(__xludf.DUMMYFUNCTION("""COMPUTED_VALUE"""),4.0)</f>
        <v>4</v>
      </c>
      <c r="M11" s="46"/>
      <c r="N11" s="46">
        <f>IFERROR(__xludf.DUMMYFUNCTION("""COMPUTED_VALUE"""),3.0)</f>
        <v>3</v>
      </c>
      <c r="O11" s="46">
        <f>IFERROR(__xludf.DUMMYFUNCTION("""COMPUTED_VALUE"""),1.0)</f>
        <v>1</v>
      </c>
      <c r="P11" s="46">
        <f>IFERROR(__xludf.DUMMYFUNCTION("""COMPUTED_VALUE"""),2.0)</f>
        <v>2</v>
      </c>
      <c r="Q11" s="92">
        <f>IFERROR(__xludf.DUMMYFUNCTION("""COMPUTED_VALUE"""),240.0)</f>
        <v>240</v>
      </c>
      <c r="R11" s="92">
        <f>IFERROR(__xludf.DUMMYFUNCTION("""COMPUTED_VALUE"""),103.0)</f>
        <v>103</v>
      </c>
      <c r="S11" s="87" t="str">
        <f>IFERROR(__xludf.DUMMYFUNCTION("""COMPUTED_VALUE""")," ")</f>
        <v> </v>
      </c>
      <c r="T11" s="46" t="str">
        <f>IFERROR(__xludf.DUMMYFUNCTION("""COMPUTED_VALUE"""),"Neiva")</f>
        <v>Neiva</v>
      </c>
      <c r="U11" s="87" t="str">
        <f>IFERROR(__xludf.DUMMYFUNCTION("""COMPUTED_VALUE"""),"4")</f>
        <v>4</v>
      </c>
      <c r="V11" s="46" t="str">
        <f>IFERROR(__xludf.DUMMYFUNCTION("""COMPUTED_VALUE"""),"Medianera")</f>
        <v>Medianera</v>
      </c>
      <c r="W11" s="46"/>
      <c r="X11" s="46">
        <f>IFERROR(__xludf.DUMMYFUNCTION("""COMPUTED_VALUE"""),4.0)</f>
        <v>4</v>
      </c>
      <c r="Y11" s="46" t="str">
        <f>IFERROR(__xludf.DUMMYFUNCTION("""COMPUTED_VALUE"""),"No tiene")</f>
        <v>No tiene</v>
      </c>
      <c r="Z11" s="90" t="str">
        <f>IFERROR(__xludf.DUMMYFUNCTION("""COMPUTED_VALUE"""),"No aplica")</f>
        <v>No aplica</v>
      </c>
      <c r="AA11" s="33" t="str">
        <f>IFERROR(__xludf.DUMMYFUNCTION("""COMPUTED_VALUE"""),"No aplica")</f>
        <v>No aplica</v>
      </c>
      <c r="AB11" s="96" t="str">
        <f>IFERROR(__xludf.DUMMYFUNCTION("""COMPUTED_VALUE"""),"https://photos.app.goo.gl/CHX3wyuPHgdkZGtx9")</f>
        <v>https://photos.app.goo.gl/CHX3wyuPHgdkZGtx9</v>
      </c>
      <c r="AC11" s="46" t="str">
        <f>IFERROR(__xludf.DUMMYFUNCTION("""COMPUTED_VALUE"""),"Esta espectacular casa de dos pisos cuenta con un área de lote de 103 m² y una generosa área construida de 240 m² en estrato 4. Al ingresar, la distribución en el primer nivel ofrece una sala y un comedor independientes revestidos con pisos de porcelanato"&amp;" con un elegante diseño tipo madera, una cocina de lujo moderna dotada de mesones de granito negro pulido, una isla central y muebles modulares de melamina que contrastan tonos blancos y café oscuro, además de un parqueadero privado y una habitación flexi"&amp;"ble. La propiedad incluye tres baños con divisiones de vidrio templado, una sala de TV en el segundo nivel y tres confortables habitaciones; sus muros internos combinan acabados lisos y estucados en blanco con detalles texturizados, mientras que el patio "&amp;"interior resalta por sus paredes enchapadas con cerámica decorativa tipo piedra y un piso de césped sintético.")</f>
        <v>Esta espectacular casa de dos pisos cuenta con un área de lote de 103 m² y una generosa área construida de 240 m² en estrato 4. Al ingresar, la distribución en el primer nivel ofrece una sala y un comedor independientes revestidos con pisos de porcelanato con un elegante diseño tipo madera, una cocina de lujo moderna dotada de mesones de granito negro pulido, una isla central y muebles modulares de melamina que contrastan tonos blancos y café oscuro, además de un parqueadero privado y una habitación flexible. La propiedad incluye tres baños con divisiones de vidrio templado, una sala de TV en el segundo nivel y tres confortables habitaciones; sus muros internos combinan acabados lisos y estucados en blanco con detalles texturizados, mientras que el patio interior resalta por sus paredes enchapadas con cerámica decorativa tipo piedra y un piso de césped sintético.</v>
      </c>
      <c r="AD11" s="46" t="str">
        <f>IFERROR(__xludf.DUMMYFUNCTION("""COMPUTED_VALUE"""),"Ubicada en el codiciado barrio La Gaitana en la zona Oriente, esta propiedad totalmente nueva representa una oportunidad de inversión inigualable para quienes buscan comodidad y estilo sin esperar por remodelaciones, ya que está lista para disfrutar desde"&amp;" el primer día. La inteligente distribución de sus espacios garantiza total privacidad en el área familiar del segundo piso, mientras que las zonas sociales y de entretenimiento ofrecen un ambiente sofisticada para compartir momentos memorables. Vivir en "&amp;"un sector de alta valorización con un diseño contemporáneo tan funcional convierte a esta casa en la opción más atractiva y segura del mercado actual.")</f>
        <v>Ubicada en el codiciado barrio La Gaitana en la zona Oriente, esta propiedad totalmente nueva representa una oportunidad de inversión inigualable para quienes buscan comodidad y estilo sin esperar por remodelaciones, ya que está lista para disfrutar desde el primer día. La inteligente distribución de sus espacios garantiza total privacidad en el área familiar del segundo piso, mientras que las zonas sociales y de entretenimiento ofrecen un ambiente sofisticada para compartir momentos memorables. Vivir en un sector de alta valorización con un diseño contemporáneo tan funcional convierte a esta casa en la opción más atractiva y segura del mercado actual.</v>
      </c>
      <c r="AE11" s="46"/>
      <c r="AF11" s="46" t="str">
        <f>IFERROR(__xludf.DUMMYFUNCTION("""COMPUTED_VALUE"""),"integral")</f>
        <v>integral</v>
      </c>
      <c r="AG11" s="46"/>
      <c r="AH11" s="46" t="str">
        <f>IFERROR(__xludf.DUMMYFUNCTION("""COMPUTED_VALUE"""),"Aliado")</f>
        <v>Aliado</v>
      </c>
      <c r="AI11" s="92" t="str">
        <f>IFERROR(__xludf.DUMMYFUNCTION("""COMPUTED_VALUE"""),"https://lh3.googleusercontent.com/pw/AP1GczPxPLqPyyUaxG2ZLpHV1u9_cZZYWues3rc-pLy-tm97RoO8rUbOkYrqetc5XUyaaM1Z75g_M84FaQLZrKuwpaLb3rxc8f8aFmV8-nxSxTHMEDbScd-6=w1200|https://lh3.googleusercontent.com/pw/AP1GczNULLcgy_Biz8EqD-fso-pOoGaDVKPiU5jkwka_0tlo0WNh5W"&amp;"8tL_nb5W_dXj04LzjLl1raBIhmkv-Nij518XffHGbT5-dkRX_H2b1CPEn5GshHd0vG=w1200|https://lh3.googleusercontent.com/pw/AP1GczN5yzfwUmTL6ofO4aFR3gAHpxWvtaWxXbIQUrs7-mX-xNK6b76w6MBD_D9QYeBN6sj03CDxydjW_8d9zK-m0UT25x6Zj0mWO10BmzSsK6kfTCwYvAhF=w1200|https://lh3.google"&amp;"usercontent.com/pw/AP1GczMoPrdY7GrZ9-qnIymz38Zbvwe9jJLBGA7Qdu8v4Y9YydhDX0QTsMAE-EH3umZObvi23gN8Z4sR5mAyGYqS5wK7RINxCheSxV1760UkRRjTkM0tk3bt=w1200|https://lh3.googleusercontent.com/pw/AP1GczNq6u_7UWSlZHHYm2BtJWr8vfCYrduBUJAgJXvt3Foot3gNg47jWdd11BaxGlOILvTU"&amp;"ydZoJBkeD8BkBz5HvKTSLb__vImzvBcU17yowFMKUrPsLEDW=w1200|https://lh3.googleusercontent.com/pw/AP1GczNkNW-FBAn86gOxds6F-4G_MU7Fs1Raaq0YEZAgTK97VCmOetX9WXk-Z8Rm_T1AGbjQWn3HNjjqqT0PyiQwOzJa5nABgg05jB9LX9a69h9VjwtBJWZQ=w1200|https://lh3.googleusercontent.com/pw"&amp;"/AP1GczO_GmXXVA68svOHQmB9SSc0sWOP23PzxHz__NUXpnHfNfAp_HOO10SriDVkx1xPjE-YXndQ83Xs7oqXjiRNqFrl5vMOv_e6knkgs4cCtaEQwSDetQWk=w1200|https://lh3.googleusercontent.com/pw/AP1GczMUL8HjZtzEmGUVw-lNqdZS0okM8eIIsdTSKZ7cT1Di5_h_81MIQMMXI1RGydgcz038S0kGXYK_-9sZ2Ul6TE"&amp;"3EsQRIulfulRe79_K2o41XRt1kVsbf=w1200|https://lh3.googleusercontent.com/pw/AP1GczNn4otXhO0cZLO-1v-AUHRCqg_CFqqSwePoeACAF9AUfxC_F2yiAbE3ZVJdnUxarr1JzX4hODZv2fcIS5T1S6E803PV5XNNr0bTbGkW5vyxbYSrcnQf=w1200|https://lh3.googleusercontent.com/pw/AP1GczOuNoFn1iqHT"&amp;"KyUr96y4SCvTvr0uq8OCe-iyq2smFofTkMs7bRVWOX65aUheF_pNO1Q_hVEsuTpLeIjdv9yUO2TWF1WaQnhysBNj8kH1qBsVyWGWmP0=w1200")</f>
        <v>https://lh3.googleusercontent.com/pw/AP1GczPxPLqPyyUaxG2ZLpHV1u9_cZZYWues3rc-pLy-tm97RoO8rUbOkYrqetc5XUyaaM1Z75g_M84FaQLZrKuwpaLb3rxc8f8aFmV8-nxSxTHMEDbScd-6=w1200|https://lh3.googleusercontent.com/pw/AP1GczNULLcgy_Biz8EqD-fso-pOoGaDVKPiU5jkwka_0tlo0WNh5W8tL_nb5W_dXj04LzjLl1raBIhmkv-Nij518XffHGbT5-dkRX_H2b1CPEn5GshHd0vG=w1200|https://lh3.googleusercontent.com/pw/AP1GczN5yzfwUmTL6ofO4aFR3gAHpxWvtaWxXbIQUrs7-mX-xNK6b76w6MBD_D9QYeBN6sj03CDxydjW_8d9zK-m0UT25x6Zj0mWO10BmzSsK6kfTCwYvAhF=w1200|https://lh3.googleusercontent.com/pw/AP1GczMoPrdY7GrZ9-qnIymz38Zbvwe9jJLBGA7Qdu8v4Y9YydhDX0QTsMAE-EH3umZObvi23gN8Z4sR5mAyGYqS5wK7RINxCheSxV1760UkRRjTkM0tk3bt=w1200|https://lh3.googleusercontent.com/pw/AP1GczNq6u_7UWSlZHHYm2BtJWr8vfCYrduBUJAgJXvt3Foot3gNg47jWdd11BaxGlOILvTUydZoJBkeD8BkBz5HvKTSLb__vImzvBcU17yowFMKUrPsLEDW=w1200|https://lh3.googleusercontent.com/pw/AP1GczNkNW-FBAn86gOxds6F-4G_MU7Fs1Raaq0YEZAgTK97VCmOetX9WXk-Z8Rm_T1AGbjQWn3HNjjqqT0PyiQwOzJa5nABgg05jB9LX9a69h9VjwtBJWZQ=w1200|https://lh3.googleusercontent.com/pw/AP1GczO_GmXXVA68svOHQmB9SSc0sWOP23PzxHz__NUXpnHfNfAp_HOO10SriDVkx1xPjE-YXndQ83Xs7oqXjiRNqFrl5vMOv_e6knkgs4cCtaEQwSDetQWk=w1200|https://lh3.googleusercontent.com/pw/AP1GczMUL8HjZtzEmGUVw-lNqdZS0okM8eIIsdTSKZ7cT1Di5_h_81MIQMMXI1RGydgcz038S0kGXYK_-9sZ2Ul6TE3EsQRIulfulRe79_K2o41XRt1kVsbf=w1200|https://lh3.googleusercontent.com/pw/AP1GczNn4otXhO0cZLO-1v-AUHRCqg_CFqqSwePoeACAF9AUfxC_F2yiAbE3ZVJdnUxarr1JzX4hODZv2fcIS5T1S6E803PV5XNNr0bTbGkW5vyxbYSrcnQf=w1200|https://lh3.googleusercontent.com/pw/AP1GczOuNoFn1iqHTKyUr96y4SCvTvr0uq8OCe-iyq2smFofTkMs7bRVWOX65aUheF_pNO1Q_hVEsuTpLeIjdv9yUO2TWF1WaQnhysBNj8kH1qBsVyWGWmP0=w1200</v>
      </c>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6"/>
      <c r="BL11" s="46"/>
      <c r="BM11" s="46"/>
      <c r="BN11" s="46"/>
      <c r="BO11" s="46"/>
      <c r="BP11" s="46"/>
      <c r="BQ11" s="46"/>
      <c r="BR11" s="46"/>
      <c r="BS11" s="46"/>
      <c r="BT11" s="46"/>
      <c r="BU11" s="46"/>
      <c r="BV11" s="46"/>
      <c r="BW11" s="46"/>
      <c r="BX11" s="46"/>
      <c r="BY11" s="46"/>
      <c r="BZ11" s="46"/>
      <c r="CA11" s="46"/>
      <c r="CB11" s="46"/>
      <c r="CC11" s="46"/>
    </row>
    <row r="12">
      <c r="A12" s="87" t="str">
        <f>IFERROR(__xludf.DUMMYFUNCTION("""COMPUTED_VALUE"""),"655")</f>
        <v>655</v>
      </c>
      <c r="B12" s="46" t="str">
        <f>IFERROR(__xludf.DUMMYFUNCTION("""COMPUTED_VALUE"""),"Casa en conjunto Residencial El Otún - Oriente")</f>
        <v>Casa en conjunto Residencial El Otún - Oriente</v>
      </c>
      <c r="C12" s="46" t="str">
        <f>IFERROR(__xludf.DUMMYFUNCTION("""COMPUTED_VALUE"""),"Casa en conjunto")</f>
        <v>Casa en conjunto</v>
      </c>
      <c r="D12" s="46"/>
      <c r="E12" s="46" t="str">
        <f>IFERROR(__xludf.DUMMYFUNCTION("""COMPUTED_VALUE"""),"Conjunto Residencial El Otún ")</f>
        <v>Conjunto Residencial El Otún </v>
      </c>
      <c r="F12" s="90">
        <f>IFERROR(__xludf.DUMMYFUNCTION("""COMPUTED_VALUE"""),3.7E8)</f>
        <v>370000000</v>
      </c>
      <c r="G12" s="46" t="str">
        <f>IFERROR(__xludf.DUMMYFUNCTION("""COMPUTED_VALUE"""),"$300'000.000 a $400'000.000")</f>
        <v>$300'000.000 a $400'000.000</v>
      </c>
      <c r="H12" s="46"/>
      <c r="I12" s="46"/>
      <c r="J12" s="46" t="str">
        <f>IFERROR(__xludf.DUMMYFUNCTION("""COMPUTED_VALUE"""),"Oriente")</f>
        <v>Oriente</v>
      </c>
      <c r="K12" s="87"/>
      <c r="L12" s="46">
        <f>IFERROR(__xludf.DUMMYFUNCTION("""COMPUTED_VALUE"""),4.0)</f>
        <v>4</v>
      </c>
      <c r="M12" s="46"/>
      <c r="N12" s="46">
        <f>IFERROR(__xludf.DUMMYFUNCTION("""COMPUTED_VALUE"""),2.0)</f>
        <v>2</v>
      </c>
      <c r="O12" s="46">
        <f>IFERROR(__xludf.DUMMYFUNCTION("""COMPUTED_VALUE"""),1.0)</f>
        <v>1</v>
      </c>
      <c r="P12" s="46">
        <f>IFERROR(__xludf.DUMMYFUNCTION("""COMPUTED_VALUE"""),2.0)</f>
        <v>2</v>
      </c>
      <c r="Q12" s="92">
        <f>IFERROR(__xludf.DUMMYFUNCTION("""COMPUTED_VALUE"""),165.0)</f>
        <v>165</v>
      </c>
      <c r="R12" s="92">
        <f>IFERROR(__xludf.DUMMYFUNCTION("""COMPUTED_VALUE"""),91.0)</f>
        <v>91</v>
      </c>
      <c r="S12" s="87" t="str">
        <f>IFERROR(__xludf.DUMMYFUNCTION("""COMPUTED_VALUE""")," ")</f>
        <v> </v>
      </c>
      <c r="T12" s="46" t="str">
        <f>IFERROR(__xludf.DUMMYFUNCTION("""COMPUTED_VALUE"""),"Neiva")</f>
        <v>Neiva</v>
      </c>
      <c r="U12" s="87" t="str">
        <f>IFERROR(__xludf.DUMMYFUNCTION("""COMPUTED_VALUE"""),"2")</f>
        <v>2</v>
      </c>
      <c r="V12" s="46" t="str">
        <f>IFERROR(__xludf.DUMMYFUNCTION("""COMPUTED_VALUE"""),"Medianera")</f>
        <v>Medianera</v>
      </c>
      <c r="W12" s="46"/>
      <c r="X12" s="46">
        <f>IFERROR(__xludf.DUMMYFUNCTION("""COMPUTED_VALUE"""),3.0)</f>
        <v>3</v>
      </c>
      <c r="Y12" s="46" t="str">
        <f>IFERROR(__xludf.DUMMYFUNCTION("""COMPUTED_VALUE"""),"Social")</f>
        <v>Social</v>
      </c>
      <c r="Z12" s="90">
        <f>IFERROR(__xludf.DUMMYFUNCTION("""COMPUTED_VALUE"""),260000.0)</f>
        <v>260000</v>
      </c>
      <c r="AA12" s="33" t="str">
        <f>IFERROR(__xludf.DUMMYFUNCTION("""COMPUTED_VALUE"""),"No aplica")</f>
        <v>No aplica</v>
      </c>
      <c r="AB12" s="96" t="str">
        <f>IFERROR(__xludf.DUMMYFUNCTION("""COMPUTED_VALUE"""),"https://photos.app.goo.gl/Lf7b9vYgvG5uyXYU9")</f>
        <v>https://photos.app.goo.gl/Lf7b9vYgvG5uyXYU9</v>
      </c>
      <c r="AC12" s="46" t="str">
        <f>IFERROR(__xludf.DUMMYFUNCTION("""COMPUTED_VALUE"""),"Esta hermosa casa de dos pisos de estrato 2, ubicada en el Conjunto Residencial El Otún dentro del barrio Solo Verde al Oriente de Neiva, cuenta con un área de 91 m² perfectamente distribuidos. La zona social se compone de una sala-comedor amplia y bien i"&amp;"luminada con pisos de cerámica clara y muros blancos, la cual conecta al fondo con una sala de estar decorada con una llamativa pared texturizada tipo piedra. El espacio integra una moderna cocina integral equipada con mesones de granito oscuro, estufa em"&amp;"potrada, horno, campana extractora y gabinetes en madera clara, complementada por una barra americana enchapada en piedra y un organizador de copas colgante. En el área privada se disponen 4 habitaciones, incluyendo la alcoba principal con baño privado, a"&amp;"demás de un baño auxiliar (para un total de 2 baños en la vivienda) y un puesto de parqueadero privado para vehículo.")</f>
        <v>Esta hermosa casa de dos pisos de estrato 2, ubicada en el Conjunto Residencial El Otún dentro del barrio Solo Verde al Oriente de Neiva, cuenta con un área de 91 m² perfectamente distribuidos. La zona social se compone de una sala-comedor amplia y bien iluminada con pisos de cerámica clara y muros blancos, la cual conecta al fondo con una sala de estar decorada con una llamativa pared texturizada tipo piedra. El espacio integra una moderna cocina integral equipada con mesones de granito oscuro, estufa empotrada, horno, campana extractora y gabinetes en madera clara, complementada por una barra americana enchapada en piedra y un organizador de copas colgante. En el área privada se disponen 4 habitaciones, incluyendo la alcoba principal con baño privado, además de un baño auxiliar (para un total de 2 baños en la vivienda) y un puesto de parqueadero privado para vehículo.</v>
      </c>
      <c r="AD12" s="46" t="str">
        <f>IFERROR(__xludf.DUMMYFUNCTION("""COMPUTED_VALUE"""),"La propiedad representa una excelente oportunidad de inversión y vivienda familiar al combinar comodidad, seguridad y una alta proyección de valorización en un entorno residencial sumamente tranquilo. Al estar ubicada en un conjunto cerrado, los residente"&amp;"s disfrutan de exclusivas zonas comunes que incluyen piscina para adultos y niños, salón social para eventos, parque infantil y un estricto sistema de vigilancia privada 24/7. Su ubicación estratégica en el oriente de la ciudad garantiza un fácil y rápido"&amp;" acceso a las vías principales, sectores comerciales y servicios esenciales, convirtiendo a esta casa en la opción ideal para quienes buscan calidad de vida, bienestar y tranquilidad inmediata.")</f>
        <v>La propiedad representa una excelente oportunidad de inversión y vivienda familiar al combinar comodidad, seguridad y una alta proyección de valorización en un entorno residencial sumamente tranquilo. Al estar ubicada en un conjunto cerrado, los residentes disfrutan de exclusivas zonas comunes que incluyen piscina para adultos y niños, salón social para eventos, parque infantil y un estricto sistema de vigilancia privada 24/7. Su ubicación estratégica en el oriente de la ciudad garantiza un fácil y rápido acceso a las vías principales, sectores comerciales y servicios esenciales, convirtiendo a esta casa en la opción ideal para quienes buscan calidad de vida, bienestar y tranquilidad inmediata.</v>
      </c>
      <c r="AE12" s="46"/>
      <c r="AF12" s="46" t="str">
        <f>IFERROR(__xludf.DUMMYFUNCTION("""COMPUTED_VALUE"""),"integral")</f>
        <v>integral</v>
      </c>
      <c r="AG12" s="46"/>
      <c r="AH12" s="46" t="str">
        <f>IFERROR(__xludf.DUMMYFUNCTION("""COMPUTED_VALUE"""),"Aliado")</f>
        <v>Aliado</v>
      </c>
      <c r="AI12" s="92" t="str">
        <f>IFERROR(__xludf.DUMMYFUNCTION("""COMPUTED_VALUE"""),"https://lh3.googleusercontent.com/pw/AP1GczPSQj1NRcsD0uO0MOGrZuvdU_KjTxZ4o3_eOkJXB4_-H9PbqntY2uFFIu4fPfTQleVKVqoUOZ6BDCpvrd5i4T8u42gTiCn-CdfF_bA43fxSyRyRx9vQ=w1200|https://lh3.googleusercontent.com/pw/AP1GczPnDidzuTiPvkcePxU-fT_M4LU-QiStzKgaH7hrPRc48vfA2M"&amp;"a5SE8qag-kaxljPXYBI6gUGOUbSZwAkveQKluwWamiLZBRESbh_pg3O2p2KEfbWvM5=w1200|https://lh3.googleusercontent.com/pw/AP1GczMKMZoG0GaWYrv54v8y1sXRLaibC_wF7X9UgeANC00Ru0ycVL2pEuhYBjxYthz8D2tubOAtP5h_xz-pgpLa5j9Dt00W1E_mF6IoP1_UEFSpjjv_Qs3Q=w1200|https://lh3.google"&amp;"usercontent.com/pw/AP1GczMFz0Vi_MZ7D2WXyCMd-flnUOO1nFiupKMnlmX-V6jDVkQQAHwNB5rQ0zJ-zS16fxPMOGZkfaL1yQWYzMb1ihPKiTO4Ljnf9KjHfufbdz7NhW3SQMM7=w1200|https://lh3.googleusercontent.com/pw/AP1GczNykE947r5fit-wg8ZUiW_L7-DFeWuT9aQyDm4O9Mu5OzT-hHovSlgCPUuvxBkjA1Tb"&amp;"1AeS3p_y5yR7fz_T2aiabJ6b4WNbeTAbB_UhfQ5vnqUWkcbH=w1200")</f>
        <v>https://lh3.googleusercontent.com/pw/AP1GczPSQj1NRcsD0uO0MOGrZuvdU_KjTxZ4o3_eOkJXB4_-H9PbqntY2uFFIu4fPfTQleVKVqoUOZ6BDCpvrd5i4T8u42gTiCn-CdfF_bA43fxSyRyRx9vQ=w1200|https://lh3.googleusercontent.com/pw/AP1GczPnDidzuTiPvkcePxU-fT_M4LU-QiStzKgaH7hrPRc48vfA2Ma5SE8qag-kaxljPXYBI6gUGOUbSZwAkveQKluwWamiLZBRESbh_pg3O2p2KEfbWvM5=w1200|https://lh3.googleusercontent.com/pw/AP1GczMKMZoG0GaWYrv54v8y1sXRLaibC_wF7X9UgeANC00Ru0ycVL2pEuhYBjxYthz8D2tubOAtP5h_xz-pgpLa5j9Dt00W1E_mF6IoP1_UEFSpjjv_Qs3Q=w1200|https://lh3.googleusercontent.com/pw/AP1GczMFz0Vi_MZ7D2WXyCMd-flnUOO1nFiupKMnlmX-V6jDVkQQAHwNB5rQ0zJ-zS16fxPMOGZkfaL1yQWYzMb1ihPKiTO4Ljnf9KjHfufbdz7NhW3SQMM7=w1200|https://lh3.googleusercontent.com/pw/AP1GczNykE947r5fit-wg8ZUiW_L7-DFeWuT9aQyDm4O9Mu5OzT-hHovSlgCPUuvxBkjA1Tb1AeS3p_y5yR7fz_T2aiabJ6b4WNbeTAbB_UhfQ5vnqUWkcbH=w1200</v>
      </c>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46"/>
      <c r="BQ12" s="46"/>
      <c r="BR12" s="46"/>
      <c r="BS12" s="46"/>
      <c r="BT12" s="46"/>
      <c r="BU12" s="46"/>
      <c r="BV12" s="46"/>
      <c r="BW12" s="46"/>
      <c r="BX12" s="46"/>
      <c r="BY12" s="46"/>
      <c r="BZ12" s="46"/>
      <c r="CA12" s="46"/>
      <c r="CB12" s="46"/>
      <c r="CC12" s="46"/>
    </row>
    <row r="13">
      <c r="A13" s="87" t="str">
        <f>IFERROR(__xludf.DUMMYFUNCTION("""COMPUTED_VALUE"""),"589")</f>
        <v>589</v>
      </c>
      <c r="B13" s="46" t="str">
        <f>IFERROR(__xludf.DUMMYFUNCTION("""COMPUTED_VALUE"""),"Casa en sector norte")</f>
        <v>Casa en sector norte</v>
      </c>
      <c r="C13" s="46" t="str">
        <f>IFERROR(__xludf.DUMMYFUNCTION("""COMPUTED_VALUE"""),"Casa")</f>
        <v>Casa</v>
      </c>
      <c r="D13" s="46"/>
      <c r="E13" s="46"/>
      <c r="F13" s="90">
        <f>IFERROR(__xludf.DUMMYFUNCTION("""COMPUTED_VALUE"""),3.55E8)</f>
        <v>355000000</v>
      </c>
      <c r="G13" s="46" t="str">
        <f>IFERROR(__xludf.DUMMYFUNCTION("""COMPUTED_VALUE"""),"$300'000.000 a $400'000.000")</f>
        <v>$300'000.000 a $400'000.000</v>
      </c>
      <c r="H13" s="46"/>
      <c r="I13" s="46"/>
      <c r="J13" s="46" t="str">
        <f>IFERROR(__xludf.DUMMYFUNCTION("""COMPUTED_VALUE"""),"Norte")</f>
        <v>Norte</v>
      </c>
      <c r="K13" s="87"/>
      <c r="L13" s="46">
        <f>IFERROR(__xludf.DUMMYFUNCTION("""COMPUTED_VALUE"""),3.0)</f>
        <v>3</v>
      </c>
      <c r="M13" s="46"/>
      <c r="N13" s="46">
        <f>IFERROR(__xludf.DUMMYFUNCTION("""COMPUTED_VALUE"""),3.0)</f>
        <v>3</v>
      </c>
      <c r="O13" s="46">
        <f>IFERROR(__xludf.DUMMYFUNCTION("""COMPUTED_VALUE"""),2.0)</f>
        <v>2</v>
      </c>
      <c r="P13" s="46">
        <f>IFERROR(__xludf.DUMMYFUNCTION("""COMPUTED_VALUE"""),2.0)</f>
        <v>2</v>
      </c>
      <c r="Q13" s="92">
        <f>IFERROR(__xludf.DUMMYFUNCTION("""COMPUTED_VALUE"""),111.0)</f>
        <v>111</v>
      </c>
      <c r="R13" s="92">
        <f>IFERROR(__xludf.DUMMYFUNCTION("""COMPUTED_VALUE"""),93.0)</f>
        <v>93</v>
      </c>
      <c r="S13" s="87" t="str">
        <f>IFERROR(__xludf.DUMMYFUNCTION("""COMPUTED_VALUE""")," ")</f>
        <v> </v>
      </c>
      <c r="T13" s="46" t="str">
        <f>IFERROR(__xludf.DUMMYFUNCTION("""COMPUTED_VALUE"""),"Neiva")</f>
        <v>Neiva</v>
      </c>
      <c r="U13" s="87" t="str">
        <f>IFERROR(__xludf.DUMMYFUNCTION("""COMPUTED_VALUE"""),"4")</f>
        <v>4</v>
      </c>
      <c r="V13" s="46" t="str">
        <f>IFERROR(__xludf.DUMMYFUNCTION("""COMPUTED_VALUE"""),"Medianera")</f>
        <v>Medianera</v>
      </c>
      <c r="W13" s="46"/>
      <c r="X13" s="46">
        <f>IFERROR(__xludf.DUMMYFUNCTION("""COMPUTED_VALUE"""),3.0)</f>
        <v>3</v>
      </c>
      <c r="Y13" s="46" t="str">
        <f>IFERROR(__xludf.DUMMYFUNCTION("""COMPUTED_VALUE"""),"No tiene")</f>
        <v>No tiene</v>
      </c>
      <c r="Z13" s="90" t="str">
        <f>IFERROR(__xludf.DUMMYFUNCTION("""COMPUTED_VALUE"""),"No aplica")</f>
        <v>No aplica</v>
      </c>
      <c r="AA13" s="33" t="str">
        <f>IFERROR(__xludf.DUMMYFUNCTION("""COMPUTED_VALUE"""),"No aplica")</f>
        <v>No aplica</v>
      </c>
      <c r="AB13" s="96" t="str">
        <f>IFERROR(__xludf.DUMMYFUNCTION("""COMPUTED_VALUE"""),"https://photos.app.goo.gl/s3bnrFs1dD6q745j6")</f>
        <v>https://photos.app.goo.gl/s3bnrFs1dD6q745j6</v>
      </c>
      <c r="AC13" s="46" t="str">
        <f>IFERROR(__xludf.DUMMYFUNCTION("""COMPUTED_VALUE"""),"Esta hermosa casa de dos pisos de estrato 4, ubicada en el sector más fresco y de alta valorización de la zona Oriente de Neiva, cuenta con un área de lote de 93 m² y 111 m² de área construida. El primer piso ofrece una amplia sala-comedor con pisos de má"&amp;"rmol claro pulido, cocina integral moderna con mesón de granito gris y gabinetes oscuros, una sala de recibimiento ideal como estudio, zona de lavandería independiente y un amplio patio social. En la segunda planta se disponen 3 habitaciones equipadas con"&amp;" aire acondicionado, destacando la principal con vestier, baño privado y balcón; la propiedad suma en total 3 baños, un parqueadero privado con capacidad para 2 vehículos y una espectacular terraza privada con pisos de cerámica tipo madera.")</f>
        <v>Esta hermosa casa de dos pisos de estrato 4, ubicada en el sector más fresco y de alta valorización de la zona Oriente de Neiva, cuenta con un área de lote de 93 m² y 111 m² de área construida. El primer piso ofrece una amplia sala-comedor con pisos de mármol claro pulido, cocina integral moderna con mesón de granito gris y gabinetes oscuros, una sala de recibimiento ideal como estudio, zona de lavandería independiente y un amplio patio social. En la segunda planta se disponen 3 habitaciones equipadas con aire acondicionado, destacando la principal con vestier, baño privado y balcón; la propiedad suma en total 3 baños, un parqueadero privado con capacidad para 2 vehículos y una espectacular terraza privada con pisos de cerámica tipo madera.</v>
      </c>
      <c r="AD13" s="46" t="str">
        <f>IFERROR(__xludf.DUMMYFUNCTION("""COMPUTED_VALUE"""),"La propiedad se encuentra en un impecable estado de conservación, combinando una distribución funcional, frescura natural y acabados modernos listos para disfrutar en familia. Su ubicación estratégica es inmejorable al situarse a solo una cuadra de la ave"&amp;"nida principal, lo que garantiza acceso inmediato a transporte público, comercio y entidades bancarias. Con una excelente proyección de valorización, este inmueble representa una oportunidad perfecta de inversión y vivienda en uno de los sectores más resi"&amp;"denciales y apetecidos de la ciudad.")</f>
        <v>La propiedad se encuentra en un impecable estado de conservación, combinando una distribución funcional, frescura natural y acabados modernos listos para disfrutar en familia. Su ubicación estratégica es inmejorable al situarse a solo una cuadra de la avenida principal, lo que garantiza acceso inmediato a transporte público, comercio y entidades bancarias. Con una excelente proyección de valorización, este inmueble representa una oportunidad perfecta de inversión y vivienda en uno de los sectores más residenciales y apetecidos de la ciudad.</v>
      </c>
      <c r="AE13" s="46"/>
      <c r="AF13" s="46" t="str">
        <f>IFERROR(__xludf.DUMMYFUNCTION("""COMPUTED_VALUE"""),"integral")</f>
        <v>integral</v>
      </c>
      <c r="AG13" s="46"/>
      <c r="AH13" s="46" t="str">
        <f>IFERROR(__xludf.DUMMYFUNCTION("""COMPUTED_VALUE"""),"Aliado")</f>
        <v>Aliado</v>
      </c>
      <c r="AI13" s="92" t="str">
        <f>IFERROR(__xludf.DUMMYFUNCTION("""COMPUTED_VALUE"""),"https://lh3.googleusercontent.com/pw/AP1GczNE6uzr6mgSpmUpqe-7ug_ImoVHdK3MSUVn8S6ZW_CoOrMlYnUi4W72ALV_cPMbwnKd-2HR5E-9mJAqZmylEB9YrwDuBbRtSq6DK9CYpSakWYKZMBuz=w1200|https://lh3.googleusercontent.com/pw/AP1GczNgqN-xMTp7DWm0BhDlqsgcDSYC9jGNXTeHanrQ88ql2yY33C"&amp;"PZ9N1o6vZ3fdfxkZpQL-ZnpxGitJPte1RY7us5B6LLMfdBr9MxtJz3vwj6tbLJOzWM=w1200|https://lh3.googleusercontent.com/pw/AP1GczMu5yOYgDs5r7HFNHgZZi8LTwu5CpRsYqF8w8wnp9cpmAY3q4tElaKOA4WhE-NkU7CunYtzx6cxJCnSJfilf-gmahkYgOpzbTmxFZOZRn0lE9DvNNjB=w1200|https://lh3.google"&amp;"usercontent.com/pw/AP1GczOVrqyxDlJNxHeUwsnh5JUtNv0jSn2TvvSc1TzAq0Uqe6zijZorHvbuX8MLg26FT6mH_2Kn8rI98RIJ0s1Mhl666YIWOmQzHZB8ekrFUIzJycUNXiAT=w1200|https://lh3.googleusercontent.com/pw/AP1GczMYGExTzOG8wE7ke-ZEBTZE4e7OV5dL7B2Yhtln8W80uyesH7XAAOsJooRWgDFIGpqr"&amp;"rvbclBJB7YrjVF6WrS7u_sqeSXjsm7oKH1Ey6i9LOn09PW7y=w1200|https://lh3.googleusercontent.com/pw/AP1GczNoq7q5AyggK1q6270rk6tn8s_iX61NPta8itjaJhIJx7Fj2RLABik3BWoRcLtKYZqJ4oiApYwO2et28xpSJsCdP4D6kqCRQJqdxz3D0NbDakHGabab=w1200|https://lh3.googleusercontent.com/pw"&amp;"/AP1GczNi0WLldfoXAS5_wGdibf-BNiFRbApFPJAp1q_e6sEF_8xqnvzlvSXsuPv2t8oaiIxak7WxklKTdkD3FWcEa5cYhSWj-3ns0eIOOZ-pmXI8mv7sXRnY=w1200|https://lh3.googleusercontent.com/pw/AP1GczPuzn2sMdkT93L74_m0ZfR1sYpsenDwcPIeElqxPGnpfEAFxkdWDtOMSjF1zHVNUWVvDuYnrGD2RXkIsO8wsy"&amp;"uL-zqGDYVbh0yf-Xc5tPcXWOWvaWSJ=w1200|https://lh3.googleusercontent.com/pw/AP1GczO4TPl14urm9DLQGHQe4wYKWshzywxcx1XWBZkMX1BXzI-Mpho4fq6x1_vP7NmBeKgMGITiDHuFtISH2S2OKff1fFqSzTYj825xxcZTUBAinNe_xrio=w1200")</f>
        <v>https://lh3.googleusercontent.com/pw/AP1GczNE6uzr6mgSpmUpqe-7ug_ImoVHdK3MSUVn8S6ZW_CoOrMlYnUi4W72ALV_cPMbwnKd-2HR5E-9mJAqZmylEB9YrwDuBbRtSq6DK9CYpSakWYKZMBuz=w1200|https://lh3.googleusercontent.com/pw/AP1GczNgqN-xMTp7DWm0BhDlqsgcDSYC9jGNXTeHanrQ88ql2yY33CPZ9N1o6vZ3fdfxkZpQL-ZnpxGitJPte1RY7us5B6LLMfdBr9MxtJz3vwj6tbLJOzWM=w1200|https://lh3.googleusercontent.com/pw/AP1GczMu5yOYgDs5r7HFNHgZZi8LTwu5CpRsYqF8w8wnp9cpmAY3q4tElaKOA4WhE-NkU7CunYtzx6cxJCnSJfilf-gmahkYgOpzbTmxFZOZRn0lE9DvNNjB=w1200|https://lh3.googleusercontent.com/pw/AP1GczOVrqyxDlJNxHeUwsnh5JUtNv0jSn2TvvSc1TzAq0Uqe6zijZorHvbuX8MLg26FT6mH_2Kn8rI98RIJ0s1Mhl666YIWOmQzHZB8ekrFUIzJycUNXiAT=w1200|https://lh3.googleusercontent.com/pw/AP1GczMYGExTzOG8wE7ke-ZEBTZE4e7OV5dL7B2Yhtln8W80uyesH7XAAOsJooRWgDFIGpqrrvbclBJB7YrjVF6WrS7u_sqeSXjsm7oKH1Ey6i9LOn09PW7y=w1200|https://lh3.googleusercontent.com/pw/AP1GczNoq7q5AyggK1q6270rk6tn8s_iX61NPta8itjaJhIJx7Fj2RLABik3BWoRcLtKYZqJ4oiApYwO2et28xpSJsCdP4D6kqCRQJqdxz3D0NbDakHGabab=w1200|https://lh3.googleusercontent.com/pw/AP1GczNi0WLldfoXAS5_wGdibf-BNiFRbApFPJAp1q_e6sEF_8xqnvzlvSXsuPv2t8oaiIxak7WxklKTdkD3FWcEa5cYhSWj-3ns0eIOOZ-pmXI8mv7sXRnY=w1200|https://lh3.googleusercontent.com/pw/AP1GczPuzn2sMdkT93L74_m0ZfR1sYpsenDwcPIeElqxPGnpfEAFxkdWDtOMSjF1zHVNUWVvDuYnrGD2RXkIsO8wsyuL-zqGDYVbh0yf-Xc5tPcXWOWvaWSJ=w1200|https://lh3.googleusercontent.com/pw/AP1GczO4TPl14urm9DLQGHQe4wYKWshzywxcx1XWBZkMX1BXzI-Mpho4fq6x1_vP7NmBeKgMGITiDHuFtISH2S2OKff1fFqSzTYj825xxcZTUBAinNe_xrio=w1200</v>
      </c>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c r="BM13" s="46"/>
      <c r="BN13" s="46"/>
      <c r="BO13" s="46"/>
      <c r="BP13" s="46"/>
      <c r="BQ13" s="46"/>
      <c r="BR13" s="46"/>
      <c r="BS13" s="46"/>
      <c r="BT13" s="46"/>
      <c r="BU13" s="46"/>
      <c r="BV13" s="46"/>
      <c r="BW13" s="46"/>
      <c r="BX13" s="46"/>
      <c r="BY13" s="46"/>
      <c r="BZ13" s="46"/>
      <c r="CA13" s="46"/>
      <c r="CB13" s="46"/>
      <c r="CC13" s="46"/>
    </row>
    <row r="14">
      <c r="A14" s="87" t="str">
        <f>IFERROR(__xludf.DUMMYFUNCTION("""COMPUTED_VALUE"""),"445")</f>
        <v>445</v>
      </c>
      <c r="B14" s="46" t="str">
        <f>IFERROR(__xludf.DUMMYFUNCTION("""COMPUTED_VALUE"""),"Casa en barrio La Orquídea - Oriente")</f>
        <v>Casa en barrio La Orquídea - Oriente</v>
      </c>
      <c r="C14" s="46" t="str">
        <f>IFERROR(__xludf.DUMMYFUNCTION("""COMPUTED_VALUE"""),"Casa")</f>
        <v>Casa</v>
      </c>
      <c r="D14" s="46" t="str">
        <f>IFERROR(__xludf.DUMMYFUNCTION("""COMPUTED_VALUE"""),"La Orquidea")</f>
        <v>La Orquidea</v>
      </c>
      <c r="E14" s="46"/>
      <c r="F14" s="90">
        <f>IFERROR(__xludf.DUMMYFUNCTION("""COMPUTED_VALUE"""),3.5E8)</f>
        <v>350000000</v>
      </c>
      <c r="G14" s="46" t="str">
        <f>IFERROR(__xludf.DUMMYFUNCTION("""COMPUTED_VALUE"""),"$300'000.000 a $400'000.000")</f>
        <v>$300'000.000 a $400'000.000</v>
      </c>
      <c r="H14" s="46"/>
      <c r="I14" s="46"/>
      <c r="J14" s="46" t="str">
        <f>IFERROR(__xludf.DUMMYFUNCTION("""COMPUTED_VALUE"""),"Oriente")</f>
        <v>Oriente</v>
      </c>
      <c r="K14" s="87"/>
      <c r="L14" s="46">
        <f>IFERROR(__xludf.DUMMYFUNCTION("""COMPUTED_VALUE"""),3.0)</f>
        <v>3</v>
      </c>
      <c r="M14" s="46"/>
      <c r="N14" s="46">
        <f>IFERROR(__xludf.DUMMYFUNCTION("""COMPUTED_VALUE"""),3.0)</f>
        <v>3</v>
      </c>
      <c r="O14" s="46">
        <f>IFERROR(__xludf.DUMMYFUNCTION("""COMPUTED_VALUE"""),2.0)</f>
        <v>2</v>
      </c>
      <c r="P14" s="46">
        <f>IFERROR(__xludf.DUMMYFUNCTION("""COMPUTED_VALUE"""),2.0)</f>
        <v>2</v>
      </c>
      <c r="Q14" s="92">
        <f>IFERROR(__xludf.DUMMYFUNCTION("""COMPUTED_VALUE"""),0.0)</f>
        <v>0</v>
      </c>
      <c r="R14" s="92">
        <f>IFERROR(__xludf.DUMMYFUNCTION("""COMPUTED_VALUE"""),0.0)</f>
        <v>0</v>
      </c>
      <c r="S14" s="87" t="str">
        <f>IFERROR(__xludf.DUMMYFUNCTION("""COMPUTED_VALUE""")," ")</f>
        <v> </v>
      </c>
      <c r="T14" s="46" t="str">
        <f>IFERROR(__xludf.DUMMYFUNCTION("""COMPUTED_VALUE"""),"Neiva")</f>
        <v>Neiva</v>
      </c>
      <c r="U14" s="87" t="str">
        <f>IFERROR(__xludf.DUMMYFUNCTION("""COMPUTED_VALUE"""),"4")</f>
        <v>4</v>
      </c>
      <c r="V14" s="46" t="str">
        <f>IFERROR(__xludf.DUMMYFUNCTION("""COMPUTED_VALUE"""),"Medianera")</f>
        <v>Medianera</v>
      </c>
      <c r="W14" s="46"/>
      <c r="X14" s="46">
        <f>IFERROR(__xludf.DUMMYFUNCTION("""COMPUTED_VALUE"""),3.0)</f>
        <v>3</v>
      </c>
      <c r="Y14" s="46" t="str">
        <f>IFERROR(__xludf.DUMMYFUNCTION("""COMPUTED_VALUE"""),"No tiene")</f>
        <v>No tiene</v>
      </c>
      <c r="Z14" s="90" t="str">
        <f>IFERROR(__xludf.DUMMYFUNCTION("""COMPUTED_VALUE"""),"No aplica")</f>
        <v>No aplica</v>
      </c>
      <c r="AA14" s="33" t="str">
        <f>IFERROR(__xludf.DUMMYFUNCTION("""COMPUTED_VALUE"""),"No aplica")</f>
        <v>No aplica</v>
      </c>
      <c r="AB14" s="96" t="str">
        <f>IFERROR(__xludf.DUMMYFUNCTION("""COMPUTED_VALUE"""),"https://photos.app.goo.gl/jru9Baz3bjGXDJkp8")</f>
        <v>https://photos.app.goo.gl/jru9Baz3bjGXDJkp8</v>
      </c>
      <c r="AC14" s="46" t="str">
        <f>IFERROR(__xludf.DUMMYFUNCTION("""COMPUTED_VALUE"""),"Esta cómoda y funcional casa de dos plantas se encuentra ubicada en el estrato 4 de la zona Oriente de Neiva. El primer nivel distribuye una amplia sala y comedor con excelente iluminación, un baño social, garaje con capacidad para 2 vehículos y una cocin"&amp;"a integral de diseño alargado, equipada con muebles modulares inferiores y superiores en madera. Además, cuenta con un espectacular y espacioso patio posterior enchapado con baldosas ajedrezadas en tono terracota y blanco, muros con acabados texturizados,"&amp;" jardineras y una cómoda zona de lavandería. En el segundo piso, la propiedad dispone de un espacio de estudio ideal para teletrabajo, 1 baño auxiliar completo y un total de 3 habitaciones dotadas con clóset, destacando la alcoba principal que incluye su "&amp;"propio baño privado para mayor confort.")</f>
        <v>Esta cómoda y funcional casa de dos plantas se encuentra ubicada en el estrato 4 de la zona Oriente de Neiva. El primer nivel distribuye una amplia sala y comedor con excelente iluminación, un baño social, garaje con capacidad para 2 vehículos y una cocina integral de diseño alargado, equipada con muebles modulares inferiores y superiores en madera. Además, cuenta con un espectacular y espacioso patio posterior enchapado con baldosas ajedrezadas en tono terracota y blanco, muros con acabados texturizados, jardineras y una cómoda zona de lavandería. En el segundo piso, la propiedad dispone de un espacio de estudio ideal para teletrabajo, 1 baño auxiliar completo y un total de 3 habitaciones dotadas con clóset, destacando la alcoba principal que incluye su propio baño privado para mayor confort.</v>
      </c>
      <c r="AD14" s="46" t="str">
        <f>IFERROR(__xludf.DUMMYFUNCTION("""COMPUTED_VALUE"""),"Situada en el cotizado barrio La Orquídea, esta vivienda representa una oportunidad única de compra inmediata al ubicarse en una de las zonas de mayor crecimiento, tranquilidad y alta proyección de valorización de la ciudad. Su excelente ubicación garanti"&amp;"za a las familias un entorno seguro y un acceso sumamente ágil a rutas de transporte público, variados comercios y servicios esenciales a la vuelta de la esquina. El gran factor diferenciador de este inmueble es la amplitud y frescura de su enorme patio t"&amp;"rasero al aire libre, un oasis privado perfecto para reuniones familiares, asados o futuras ampliaciones arquitectónicas que difícilmente se encuentra en las construcciones modernas.")</f>
        <v>Situada en el cotizado barrio La Orquídea, esta vivienda representa una oportunidad única de compra inmediata al ubicarse en una de las zonas de mayor crecimiento, tranquilidad y alta proyección de valorización de la ciudad. Su excelente ubicación garantiza a las familias un entorno seguro y un acceso sumamente ágil a rutas de transporte público, variados comercios y servicios esenciales a la vuelta de la esquina. El gran factor diferenciador de este inmueble es la amplitud y frescura de su enorme patio trasero al aire libre, un oasis privado perfecto para reuniones familiares, asados o futuras ampliaciones arquitectónicas que difícilmente se encuentra en las construcciones modernas.</v>
      </c>
      <c r="AE14" s="46"/>
      <c r="AF14" s="46" t="str">
        <f>IFERROR(__xludf.DUMMYFUNCTION("""COMPUTED_VALUE"""),"semi-integral")</f>
        <v>semi-integral</v>
      </c>
      <c r="AG14" s="46"/>
      <c r="AH14" s="46" t="str">
        <f>IFERROR(__xludf.DUMMYFUNCTION("""COMPUTED_VALUE"""),"Aliado")</f>
        <v>Aliado</v>
      </c>
      <c r="AI14" s="92" t="str">
        <f>IFERROR(__xludf.DUMMYFUNCTION("""COMPUTED_VALUE"""),"https://lh3.googleusercontent.com/pw/AP1GczOEdiLo2d36_6n0mBXlVpeFFKxTm5eC8fkDn7Ar-201iG3SIpaN6OtZnSjo2O-_ul1-uh_1DOf6z_zPYe4zVF9aZvHBQes6f0X2YMFbmYTQh23oeOpW=w1200|https://lh3.googleusercontent.com/pw/AP1GczO0_VfxlsG16TdLpX3UpwKnzclNv9JGpFmBtS6Fy7tQbdMwhu"&amp;"6Msmp-9NnptVo-K3fOFPl8bB8iD44wnvmIbDUZjRanYrIiyU49v6b-5neNcmmd2ebp=w1200|https://lh3.googleusercontent.com/pw/AP1GczPMKtzQj0UTw0CvsakLR5J5FSlsHhnOO0BaZpT82-T68LwqekQGDmhdatVk7t9ilnPUNtnIwFG792bAJbqLYbsQfkRQeepqL_Zz3JfqR4MTLs9dRG8o=w1200|https://lh3.google"&amp;"usercontent.com/pw/AP1GczMJ_2ND9SwKaVDsT2uBFA0fyFNvfG3CkbsJUGkVupinNhFw5cSWW6wCvpumB31O20T4yYmrY0Z5sgzw1mgWQ_rS_f3P2WUN5LdV9UWDSvKhlEeiHKld=w1200|https://lh3.googleusercontent.com/pw/AP1GczP5ZJxIZlw7JycWyl0bhG0r-9DB1MXIUfv4bv2u8qKlPCy8P3QjIm8vGL5TcZ0AWMzH"&amp;"NOUAdd2dXIsVZCi9Ijp0K4n4SfD1j_LIM2RjfRi4h2r1TYFD=w1200|https://lh3.googleusercontent.com/pw/AP1GczOdMfQV8_d79Ji1mNDbVbXpkKFGwna4V_Zpo6iIpUd-ZUn8rAVyv6V3pYNPPkrY26Aks4ok4OgrTBRaxrJzqL3_Gd778wPMDAS6jpkaibidXHPBeq1v=w1200|https://lh3.googleusercontent.com/pw"&amp;"/AP1GczOTQxGmAxjF9kGkf6705DQAf2DWwvXSiOJIJ7rg3odnDh-Hk3Wb-1aJ4L6WKpq5lA7Bu-EO_TaaZ6RpV0HM9nWRErZV2RycMLKazIxSowvNBACm7Vwh=w1200|https://lh3.googleusercontent.com/pw/AP1GczPINmxCdlEW0v5JPDJ_hzH1whI85hmMQd9JTeaSnm20VQ6xbp2hLNssrAJ-qtokm67wkZp8Ku0weP981aqXB_"&amp;"CarRAjdb1J7sxd4j6fnY-l09Ed8b9X=w1200")</f>
        <v>https://lh3.googleusercontent.com/pw/AP1GczOEdiLo2d36_6n0mBXlVpeFFKxTm5eC8fkDn7Ar-201iG3SIpaN6OtZnSjo2O-_ul1-uh_1DOf6z_zPYe4zVF9aZvHBQes6f0X2YMFbmYTQh23oeOpW=w1200|https://lh3.googleusercontent.com/pw/AP1GczO0_VfxlsG16TdLpX3UpwKnzclNv9JGpFmBtS6Fy7tQbdMwhu6Msmp-9NnptVo-K3fOFPl8bB8iD44wnvmIbDUZjRanYrIiyU49v6b-5neNcmmd2ebp=w1200|https://lh3.googleusercontent.com/pw/AP1GczPMKtzQj0UTw0CvsakLR5J5FSlsHhnOO0BaZpT82-T68LwqekQGDmhdatVk7t9ilnPUNtnIwFG792bAJbqLYbsQfkRQeepqL_Zz3JfqR4MTLs9dRG8o=w1200|https://lh3.googleusercontent.com/pw/AP1GczMJ_2ND9SwKaVDsT2uBFA0fyFNvfG3CkbsJUGkVupinNhFw5cSWW6wCvpumB31O20T4yYmrY0Z5sgzw1mgWQ_rS_f3P2WUN5LdV9UWDSvKhlEeiHKld=w1200|https://lh3.googleusercontent.com/pw/AP1GczP5ZJxIZlw7JycWyl0bhG0r-9DB1MXIUfv4bv2u8qKlPCy8P3QjIm8vGL5TcZ0AWMzHNOUAdd2dXIsVZCi9Ijp0K4n4SfD1j_LIM2RjfRi4h2r1TYFD=w1200|https://lh3.googleusercontent.com/pw/AP1GczOdMfQV8_d79Ji1mNDbVbXpkKFGwna4V_Zpo6iIpUd-ZUn8rAVyv6V3pYNPPkrY26Aks4ok4OgrTBRaxrJzqL3_Gd778wPMDAS6jpkaibidXHPBeq1v=w1200|https://lh3.googleusercontent.com/pw/AP1GczOTQxGmAxjF9kGkf6705DQAf2DWwvXSiOJIJ7rg3odnDh-Hk3Wb-1aJ4L6WKpq5lA7Bu-EO_TaaZ6RpV0HM9nWRErZV2RycMLKazIxSowvNBACm7Vwh=w1200|https://lh3.googleusercontent.com/pw/AP1GczPINmxCdlEW0v5JPDJ_hzH1whI85hmMQd9JTeaSnm20VQ6xbp2hLNssrAJ-qtokm67wkZp8Ku0weP981aqXB_CarRAjdb1J7sxd4j6fnY-l09Ed8b9X=w1200</v>
      </c>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6"/>
      <c r="BQ14" s="46"/>
      <c r="BR14" s="46"/>
      <c r="BS14" s="46"/>
      <c r="BT14" s="46"/>
      <c r="BU14" s="46"/>
      <c r="BV14" s="46"/>
      <c r="BW14" s="46"/>
      <c r="BX14" s="46"/>
      <c r="BY14" s="46"/>
      <c r="BZ14" s="46"/>
      <c r="CA14" s="46"/>
      <c r="CB14" s="46"/>
      <c r="CC14" s="46"/>
    </row>
    <row r="15">
      <c r="A15" s="87" t="str">
        <f>IFERROR(__xludf.DUMMYFUNCTION("""COMPUTED_VALUE"""),"1767")</f>
        <v>1767</v>
      </c>
      <c r="B15" s="46" t="str">
        <f>IFERROR(__xludf.DUMMYFUNCTION("""COMPUTED_VALUE"""),"Casa en barrio La Primavera - Norte")</f>
        <v>Casa en barrio La Primavera - Norte</v>
      </c>
      <c r="C15" s="46" t="str">
        <f>IFERROR(__xludf.DUMMYFUNCTION("""COMPUTED_VALUE"""),"Casa")</f>
        <v>Casa</v>
      </c>
      <c r="D15" s="46" t="str">
        <f>IFERROR(__xludf.DUMMYFUNCTION("""COMPUTED_VALUE"""),"La Primavera")</f>
        <v>La Primavera</v>
      </c>
      <c r="E15" s="46"/>
      <c r="F15" s="90">
        <f>IFERROR(__xludf.DUMMYFUNCTION("""COMPUTED_VALUE"""),3.45E8)</f>
        <v>345000000</v>
      </c>
      <c r="G15" s="46" t="str">
        <f>IFERROR(__xludf.DUMMYFUNCTION("""COMPUTED_VALUE"""),"$300'000.000 a $400'000.000")</f>
        <v>$300'000.000 a $400'000.000</v>
      </c>
      <c r="H15" s="46"/>
      <c r="I15" s="46"/>
      <c r="J15" s="46" t="str">
        <f>IFERROR(__xludf.DUMMYFUNCTION("""COMPUTED_VALUE"""),"Norte")</f>
        <v>Norte</v>
      </c>
      <c r="K15" s="87" t="str">
        <f>IFERROR(__xludf.DUMMYFUNCTION("""COMPUTED_VALUE"""),"1")</f>
        <v>1</v>
      </c>
      <c r="L15" s="46">
        <f>IFERROR(__xludf.DUMMYFUNCTION("""COMPUTED_VALUE"""),4.0)</f>
        <v>4</v>
      </c>
      <c r="M15" s="46"/>
      <c r="N15" s="46">
        <f>IFERROR(__xludf.DUMMYFUNCTION("""COMPUTED_VALUE"""),3.0)</f>
        <v>3</v>
      </c>
      <c r="O15" s="46">
        <f>IFERROR(__xludf.DUMMYFUNCTION("""COMPUTED_VALUE"""),1.0)</f>
        <v>1</v>
      </c>
      <c r="P15" s="46">
        <f>IFERROR(__xludf.DUMMYFUNCTION("""COMPUTED_VALUE"""),2.0)</f>
        <v>2</v>
      </c>
      <c r="Q15" s="92">
        <f>IFERROR(__xludf.DUMMYFUNCTION("""COMPUTED_VALUE"""),185.0)</f>
        <v>185</v>
      </c>
      <c r="R15" s="92">
        <f>IFERROR(__xludf.DUMMYFUNCTION("""COMPUTED_VALUE"""),94.0)</f>
        <v>94</v>
      </c>
      <c r="S15" s="87" t="str">
        <f>IFERROR(__xludf.DUMMYFUNCTION("""COMPUTED_VALUE""")," ")</f>
        <v> </v>
      </c>
      <c r="T15" s="46" t="str">
        <f>IFERROR(__xludf.DUMMYFUNCTION("""COMPUTED_VALUE"""),"Neiva")</f>
        <v>Neiva</v>
      </c>
      <c r="U15" s="87" t="str">
        <f>IFERROR(__xludf.DUMMYFUNCTION("""COMPUTED_VALUE"""),"2")</f>
        <v>2</v>
      </c>
      <c r="V15" s="46" t="str">
        <f>IFERROR(__xludf.DUMMYFUNCTION("""COMPUTED_VALUE"""),"Medianera")</f>
        <v>Medianera</v>
      </c>
      <c r="W15" s="46"/>
      <c r="X15" s="46">
        <f>IFERROR(__xludf.DUMMYFUNCTION("""COMPUTED_VALUE"""),3.0)</f>
        <v>3</v>
      </c>
      <c r="Y15" s="46" t="str">
        <f>IFERROR(__xludf.DUMMYFUNCTION("""COMPUTED_VALUE"""),"No tiene")</f>
        <v>No tiene</v>
      </c>
      <c r="Z15" s="90"/>
      <c r="AA15" s="33" t="str">
        <f>IFERROR(__xludf.DUMMYFUNCTION("""COMPUTED_VALUE"""),"No aplica")</f>
        <v>No aplica</v>
      </c>
      <c r="AB15" s="96" t="str">
        <f>IFERROR(__xludf.DUMMYFUNCTION("""COMPUTED_VALUE"""),"https://photos.app.goo.gl/PPyC8ucCkJAdMMpS7")</f>
        <v>https://photos.app.goo.gl/PPyC8ucCkJAdMMpS7</v>
      </c>
      <c r="AC15" s="46" t="str">
        <f>IFERROR(__xludf.DUMMYFUNCTION("""COMPUTED_VALUE"""),"Primer Piso: Sala y comedor amplios e iluminados, Cocina integral para estrenar, Patio amplio con su respectiva alberca, Baño auxiliar, Cuarto ideal para home office, Parqueadero interno para carro, Parqueadero externo para moto. Segundo Piso: 3 habitacio"&amp;"nes con closets en madera, Habitación principal con baño privado, Baño auxiliar, Closets en madera de alta calidad, La casa cuenta con un amplio hall de alcobas, ideal para una pequeña sala de estar o espacio de lectura.")</f>
        <v>Primer Piso: Sala y comedor amplios e iluminados, Cocina integral para estrenar, Patio amplio con su respectiva alberca, Baño auxiliar, Cuarto ideal para home office, Parqueadero interno para carro, Parqueadero externo para moto. Segundo Piso: 3 habitaciones con closets en madera, Habitación principal con baño privado, Baño auxiliar, Closets en madera de alta calidad, La casa cuenta con un amplio hall de alcobas, ideal para una pequeña sala de estar o espacio de lectura.</v>
      </c>
      <c r="AD15" s="46" t="str">
        <f>IFERROR(__xludf.DUMMYFUNCTION("""COMPUTED_VALUE"""),"Hermosa casa como nueva, muy cerca al centro comercial Único.")</f>
        <v>Hermosa casa como nueva, muy cerca al centro comercial Único.</v>
      </c>
      <c r="AE15" s="46"/>
      <c r="AF15" s="46" t="str">
        <f>IFERROR(__xludf.DUMMYFUNCTION("""COMPUTED_VALUE"""),"integral")</f>
        <v>integral</v>
      </c>
      <c r="AG15" s="46"/>
      <c r="AH15" s="46" t="str">
        <f>IFERROR(__xludf.DUMMYFUNCTION("""COMPUTED_VALUE"""),"Aliado")</f>
        <v>Aliado</v>
      </c>
      <c r="AI15" s="92" t="str">
        <f>IFERROR(__xludf.DUMMYFUNCTION("""COMPUTED_VALUE"""),"https://lh3.googleusercontent.com/pw/AP1GczMFyDRUc6qOQqX2xwFtTZA9LCv3qXxVTnd3LglWqZXjjUQPxvsbm2tjxzkhwmfUJ8K_kNdVCPvrbK7jticZrwUFgXVUaFofivz6XYPWAde0dPuK2OXA=w1200|https://lh3.googleusercontent.com/pw/AP1GczPiT9xO6NiXKctsOJtytTcleCeJgpb3ZxHq432n-t-_KdWK7M"&amp;"DFuSlyXIiAPgk0SxTOvXVaI92SPK8_2otP3OyBPz_bnkfhFxqOcdl_fHw55fXA5x-F=w1200|https://lh3.googleusercontent.com/pw/AP1GczM4ekudqmAO39k0NoZw1GNcTbEc74YXZ-Cu-g8Ugii8PCh6CQMXkDps9PtYdj0ohOxmu0dXgZX2X_wJkYwPvnXKWerR0EoIUqfC_x28ccizCxLpomur=w1200|https://lh3.google"&amp;"usercontent.com/pw/AP1GczMAaXxFNQOfA1XhgpKjDXdLFP6TBCH-OdrCsbBCwtc647Q12-ZxAKOt8i5Jqd4tvMCd9FBYILD9p3uWfse0w5-4K4aHSI3mhozCwmKg2iKbEZ1deB0K=w1200|https://lh3.googleusercontent.com/pw/AP1GczMYCRL8mEUjsRkBxgsSgu0haggco88C1bj31ftcbZvtU9yfqF1M-aD-tI1TGhwmwE-A"&amp;"bMWv2b7hsLr98fvuszzg6tbId8ej74W4cwkdy_8bAIM0A1iQ=w1200|https://lh3.googleusercontent.com/pw/AP1GczOACR8UxEoPp5UmSKr56QejrWYusgpdwFU6dS7shko7lthYRE32EN-QHFLjhrI-iFTQ2yWTiWNI0bS1_tPzY0pGM9MsashPiLhw5zHtxlK6_05w0d-A=w1200|https://lh3.googleusercontent.com/pw"&amp;"/AP1GczOCNwE5OWlxPm_lW26MN36XYjF_qz8WS0dPEix0pKsV30HkC-wUCBSKu5vrEJWJdbSS-eS1wn0l4FWDEwpjjzgUhxVftWsB1o6J6WoG1mzETf1PjT4h=w1200|https://lh3.googleusercontent.com/pw/AP1GczOkuetJkIjWLP3MT2fhwIla5iDfR0zrz8atKmJujPNa7CYO2FrxV-4NhAZsDByWCePXFhQtkiKfLo1ZJ77xVz"&amp;"F0URW0zZRVvteTTTzrXMPx--aXKiUT=w1200|https://lh3.googleusercontent.com/pw/AP1GczNfKFJ-UWy2luMjtgnFheniQ99XQQvNq5IQhSI5-ej3kTgdfr_mh2GQx3HaAMPPSW-HxGC8OLoHDwZQHTLI2FAZDY3euDBv3xgoFAAQbjN5BZNZ6XJK=w1200|https://lh3.googleusercontent.com/pw/AP1GczMgmnwFdYxrp"&amp;"IwYvtWuR1b_7SQst4gfcnXCLCOREWrvoTLskifJAwAs7AsXRioPDfOkzwyGFUTvsUgruTwWtxCqoS9CtFv5keomZgMw0UCzeNCbIny2=w1200|https://lh3.googleusercontent.com/pw/AP1GczO8DVdE5sqbGjCWQ-wTgVHbgGPNNFYTGEW0-DQIJPqMJ7m9r0-XIO7xB3k9sD7_CuhSu8sPkgjxiKiSfbe_08haldPXoFKBhy-3ZawK"&amp;"6y03c4OolwWn=w1200|https://lh3.googleusercontent.com/pw/AP1GczMKD5yenHfqRiSVJ6z6jQwnPFAPOsaf0zgdgb2BNDB8KJuzC_n6Z6DvDcFcs81pfX_rQlVevjQiI0JfQsn3aAbFCckRwSDghWxB9R8zPBcB-egdBC1Z=w1200|https://lh3.googleusercontent.com/pw/AP1GczMxqBcSxZPjcfRbJVxi7O8UvbdGXSv"&amp;"0O83lYfUXmtEj5dNk_OEMH6BszQG6_i_OJlG4U7o0zQbUZ7kJg3JXrT2UXu0Hv9FvsYIY_rsD-P_hEGahoqWZ=w1200|https://lh3.googleusercontent.com/pw/AP1GczMkZ2DrzJpq_T3tk93pLdqslXloTSIcdylksBnPuhpEdykCO1avqPSYGqOn2QqzkpZYhAm08HlWhC2fRRefvsPhHz6w33_l3oo3593aTP-xds4bcSZV=w1200"&amp;"|https://lh3.googleusercontent.com/pw/AP1GczNdz_taEGYZqp6vABe-OeT-yx9D7rlwTVPF-F4RFoZkzOpI48tKBqt8JCzQB-G2ZmfkGW6Ml-65-mxUnJ80C4rFAxTKyjtPCTtF0JC9wqkKWVDOfAl-=w1200|https://lh3.googleusercontent.com/pw/AP1GczMwVJl-NtZ4CVM_ON4-083vx12f9Iv6uwk-0zpgxAqmu2oPX"&amp;"4JHwH7VyjHgYJWjVKS3Dq5Oe7ySlL4_VgvKtYT2vnqyOENjLhGVc5QKDnH4s2mfgMZ1=w1200|https://lh3.googleusercontent.com/pw/AP1GczMs7J7sfeRk4AVagOMaxcofZW47Y7sakL2YsvVhNDT8lo7etW0J53iC9MjK6VJyxhjrufi9Z7MTm82ZdlNasVvmkfOvYF4x02xq-SKecJ33wuk7eJlO=w1200|https://lh3.googl"&amp;"eusercontent.com/pw/AP1GczMQHCW7EzJIMp1RnvEONGy_PbFII8EiBYcfxg1gom9nixG9I3mmDvGoeFX45-2zJJUEZUAnBFlZJE2WC8IN_Wxsuwte-4NcAWA9un6yNIAvnyYbD7rY=w1200|https://lh3.googleusercontent.com/pw/AP1GczPwfncCpq-wzbakMSAhI2vYCJ5nr76ZvkUO7inNDcygk-TdLZXSodbacT1sWF26f9b"&amp;"94A3fuX23-8LxkVmy9C7E7VMJRs4QVQC9o8W60FF87i9D2STY=w1200|https://lh3.googleusercontent.com/pw/AP1GczNiYj5q2disq0hglzSxo0dYSOGIdulYpG2VzAxR_tfbETTkI8QEZJ0zHKncE3HSsKSerDwIM0N92Gg3fcIiemssz4R2Osm_AwyrKTB61SwhLFcAanRm=w1200|https://lh3.googleusercontent.com/p"&amp;"w/AP1GczO9ZJAWZ_scP5OaZrPlE9Iqi8TPDEVvlLim4_ryvOPaCsTK0Wqb0vxuHR5S-sX2-koKOUKSlv-u_hQFTVW97UxyaRpYos-LEACJVO-Ex_P9qG0UErqH=w1200|https://lh3.googleusercontent.com/pw/AP1GczNCnP2bPcXx4lZN6DD3DB2bR9RJqLG_agMYjDHBfiiX6dD7tsQlAn35khMLHAoja8F9V9Q4TWN22xqXZIKGt"&amp;"6vTRayj2AfmZBWbNSVl1wxeCDGyAhd8=w1200|https://lh3.googleusercontent.com/pw/AP1GczNh19I15-_h3iRtoSt9X9TAyh--oguaP4VVgznLkrgKxzhU3IXpaKJ2zE6InJnnwZqgp3IZO59OVftE7U6tJAska7xWorFW3va-FABZXQ1qRbASsdOf=w1200")</f>
        <v>https://lh3.googleusercontent.com/pw/AP1GczMFyDRUc6qOQqX2xwFtTZA9LCv3qXxVTnd3LglWqZXjjUQPxvsbm2tjxzkhwmfUJ8K_kNdVCPvrbK7jticZrwUFgXVUaFofivz6XYPWAde0dPuK2OXA=w1200|https://lh3.googleusercontent.com/pw/AP1GczPiT9xO6NiXKctsOJtytTcleCeJgpb3ZxHq432n-t-_KdWK7MDFuSlyXIiAPgk0SxTOvXVaI92SPK8_2otP3OyBPz_bnkfhFxqOcdl_fHw55fXA5x-F=w1200|https://lh3.googleusercontent.com/pw/AP1GczM4ekudqmAO39k0NoZw1GNcTbEc74YXZ-Cu-g8Ugii8PCh6CQMXkDps9PtYdj0ohOxmu0dXgZX2X_wJkYwPvnXKWerR0EoIUqfC_x28ccizCxLpomur=w1200|https://lh3.googleusercontent.com/pw/AP1GczMAaXxFNQOfA1XhgpKjDXdLFP6TBCH-OdrCsbBCwtc647Q12-ZxAKOt8i5Jqd4tvMCd9FBYILD9p3uWfse0w5-4K4aHSI3mhozCwmKg2iKbEZ1deB0K=w1200|https://lh3.googleusercontent.com/pw/AP1GczMYCRL8mEUjsRkBxgsSgu0haggco88C1bj31ftcbZvtU9yfqF1M-aD-tI1TGhwmwE-AbMWv2b7hsLr98fvuszzg6tbId8ej74W4cwkdy_8bAIM0A1iQ=w1200|https://lh3.googleusercontent.com/pw/AP1GczOACR8UxEoPp5UmSKr56QejrWYusgpdwFU6dS7shko7lthYRE32EN-QHFLjhrI-iFTQ2yWTiWNI0bS1_tPzY0pGM9MsashPiLhw5zHtxlK6_05w0d-A=w1200|https://lh3.googleusercontent.com/pw/AP1GczOCNwE5OWlxPm_lW26MN36XYjF_qz8WS0dPEix0pKsV30HkC-wUCBSKu5vrEJWJdbSS-eS1wn0l4FWDEwpjjzgUhxVftWsB1o6J6WoG1mzETf1PjT4h=w1200|https://lh3.googleusercontent.com/pw/AP1GczOkuetJkIjWLP3MT2fhwIla5iDfR0zrz8atKmJujPNa7CYO2FrxV-4NhAZsDByWCePXFhQtkiKfLo1ZJ77xVzF0URW0zZRVvteTTTzrXMPx--aXKiUT=w1200|https://lh3.googleusercontent.com/pw/AP1GczNfKFJ-UWy2luMjtgnFheniQ99XQQvNq5IQhSI5-ej3kTgdfr_mh2GQx3HaAMPPSW-HxGC8OLoHDwZQHTLI2FAZDY3euDBv3xgoFAAQbjN5BZNZ6XJK=w1200|https://lh3.googleusercontent.com/pw/AP1GczMgmnwFdYxrpIwYvtWuR1b_7SQst4gfcnXCLCOREWrvoTLskifJAwAs7AsXRioPDfOkzwyGFUTvsUgruTwWtxCqoS9CtFv5keomZgMw0UCzeNCbIny2=w1200|https://lh3.googleusercontent.com/pw/AP1GczO8DVdE5sqbGjCWQ-wTgVHbgGPNNFYTGEW0-DQIJPqMJ7m9r0-XIO7xB3k9sD7_CuhSu8sPkgjxiKiSfbe_08haldPXoFKBhy-3ZawK6y03c4OolwWn=w1200|https://lh3.googleusercontent.com/pw/AP1GczMKD5yenHfqRiSVJ6z6jQwnPFAPOsaf0zgdgb2BNDB8KJuzC_n6Z6DvDcFcs81pfX_rQlVevjQiI0JfQsn3aAbFCckRwSDghWxB9R8zPBcB-egdBC1Z=w1200|https://lh3.googleusercontent.com/pw/AP1GczMxqBcSxZPjcfRbJVxi7O8UvbdGXSv0O83lYfUXmtEj5dNk_OEMH6BszQG6_i_OJlG4U7o0zQbUZ7kJg3JXrT2UXu0Hv9FvsYIY_rsD-P_hEGahoqWZ=w1200|https://lh3.googleusercontent.com/pw/AP1GczMkZ2DrzJpq_T3tk93pLdqslXloTSIcdylksBnPuhpEdykCO1avqPSYGqOn2QqzkpZYhAm08HlWhC2fRRefvsPhHz6w33_l3oo3593aTP-xds4bcSZV=w1200|https://lh3.googleusercontent.com/pw/AP1GczNdz_taEGYZqp6vABe-OeT-yx9D7rlwTVPF-F4RFoZkzOpI48tKBqt8JCzQB-G2ZmfkGW6Ml-65-mxUnJ80C4rFAxTKyjtPCTtF0JC9wqkKWVDOfAl-=w1200|https://lh3.googleusercontent.com/pw/AP1GczMwVJl-NtZ4CVM_ON4-083vx12f9Iv6uwk-0zpgxAqmu2oPX4JHwH7VyjHgYJWjVKS3Dq5Oe7ySlL4_VgvKtYT2vnqyOENjLhGVc5QKDnH4s2mfgMZ1=w1200|https://lh3.googleusercontent.com/pw/AP1GczMs7J7sfeRk4AVagOMaxcofZW47Y7sakL2YsvVhNDT8lo7etW0J53iC9MjK6VJyxhjrufi9Z7MTm82ZdlNasVvmkfOvYF4x02xq-SKecJ33wuk7eJlO=w1200|https://lh3.googleusercontent.com/pw/AP1GczMQHCW7EzJIMp1RnvEONGy_PbFII8EiBYcfxg1gom9nixG9I3mmDvGoeFX45-2zJJUEZUAnBFlZJE2WC8IN_Wxsuwte-4NcAWA9un6yNIAvnyYbD7rY=w1200|https://lh3.googleusercontent.com/pw/AP1GczPwfncCpq-wzbakMSAhI2vYCJ5nr76ZvkUO7inNDcygk-TdLZXSodbacT1sWF26f9b94A3fuX23-8LxkVmy9C7E7VMJRs4QVQC9o8W60FF87i9D2STY=w1200|https://lh3.googleusercontent.com/pw/AP1GczNiYj5q2disq0hglzSxo0dYSOGIdulYpG2VzAxR_tfbETTkI8QEZJ0zHKncE3HSsKSerDwIM0N92Gg3fcIiemssz4R2Osm_AwyrKTB61SwhLFcAanRm=w1200|https://lh3.googleusercontent.com/pw/AP1GczO9ZJAWZ_scP5OaZrPlE9Iqi8TPDEVvlLim4_ryvOPaCsTK0Wqb0vxuHR5S-sX2-koKOUKSlv-u_hQFTVW97UxyaRpYos-LEACJVO-Ex_P9qG0UErqH=w1200|https://lh3.googleusercontent.com/pw/AP1GczNCnP2bPcXx4lZN6DD3DB2bR9RJqLG_agMYjDHBfiiX6dD7tsQlAn35khMLHAoja8F9V9Q4TWN22xqXZIKGt6vTRayj2AfmZBWbNSVl1wxeCDGyAhd8=w1200|https://lh3.googleusercontent.com/pw/AP1GczNh19I15-_h3iRtoSt9X9TAyh--oguaP4VVgznLkrgKxzhU3IXpaKJ2zE6InJnnwZqgp3IZO59OVftE7U6tJAska7xWorFW3va-FABZXQ1qRbASsdOf=w1200</v>
      </c>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6"/>
      <c r="BQ15" s="46"/>
      <c r="BR15" s="46"/>
      <c r="BS15" s="46"/>
      <c r="BT15" s="46"/>
      <c r="BU15" s="46"/>
      <c r="BV15" s="46"/>
      <c r="BW15" s="46"/>
      <c r="BX15" s="46"/>
      <c r="BY15" s="46"/>
      <c r="BZ15" s="46"/>
      <c r="CA15" s="46"/>
      <c r="CB15" s="46"/>
      <c r="CC15" s="46"/>
    </row>
    <row r="16">
      <c r="A16" s="87" t="str">
        <f>IFERROR(__xludf.DUMMYFUNCTION("""COMPUTED_VALUE"""),"618")</f>
        <v>618</v>
      </c>
      <c r="B16" s="46" t="str">
        <f>IFERROR(__xludf.DUMMYFUNCTION("""COMPUTED_VALUE"""),"Casa en barrio La Gaitana - Oriente")</f>
        <v>Casa en barrio La Gaitana - Oriente</v>
      </c>
      <c r="C16" s="46" t="str">
        <f>IFERROR(__xludf.DUMMYFUNCTION("""COMPUTED_VALUE"""),"Casa")</f>
        <v>Casa</v>
      </c>
      <c r="D16" s="46" t="str">
        <f>IFERROR(__xludf.DUMMYFUNCTION("""COMPUTED_VALUE"""),"La gaitana")</f>
        <v>La gaitana</v>
      </c>
      <c r="E16" s="46"/>
      <c r="F16" s="90">
        <f>IFERROR(__xludf.DUMMYFUNCTION("""COMPUTED_VALUE"""),3.4E8)</f>
        <v>340000000</v>
      </c>
      <c r="G16" s="46" t="str">
        <f>IFERROR(__xludf.DUMMYFUNCTION("""COMPUTED_VALUE"""),"$300'000.000 a $400'000.000")</f>
        <v>$300'000.000 a $400'000.000</v>
      </c>
      <c r="H16" s="46"/>
      <c r="I16" s="46"/>
      <c r="J16" s="46" t="str">
        <f>IFERROR(__xludf.DUMMYFUNCTION("""COMPUTED_VALUE"""),"Oriente")</f>
        <v>Oriente</v>
      </c>
      <c r="K16" s="87" t="str">
        <f>IFERROR(__xludf.DUMMYFUNCTION("""COMPUTED_VALUE"""),"7")</f>
        <v>7</v>
      </c>
      <c r="L16" s="46">
        <f>IFERROR(__xludf.DUMMYFUNCTION("""COMPUTED_VALUE"""),3.0)</f>
        <v>3</v>
      </c>
      <c r="M16" s="46"/>
      <c r="N16" s="46">
        <f>IFERROR(__xludf.DUMMYFUNCTION("""COMPUTED_VALUE"""),3.0)</f>
        <v>3</v>
      </c>
      <c r="O16" s="46">
        <f>IFERROR(__xludf.DUMMYFUNCTION("""COMPUTED_VALUE"""),2.0)</f>
        <v>2</v>
      </c>
      <c r="P16" s="46">
        <f>IFERROR(__xludf.DUMMYFUNCTION("""COMPUTED_VALUE"""),2.0)</f>
        <v>2</v>
      </c>
      <c r="Q16" s="92">
        <f>IFERROR(__xludf.DUMMYFUNCTION("""COMPUTED_VALUE"""),160.0)</f>
        <v>160</v>
      </c>
      <c r="R16" s="92">
        <f>IFERROR(__xludf.DUMMYFUNCTION("""COMPUTED_VALUE"""),100.0)</f>
        <v>100</v>
      </c>
      <c r="S16" s="87" t="str">
        <f>IFERROR(__xludf.DUMMYFUNCTION("""COMPUTED_VALUE""")," ")</f>
        <v> </v>
      </c>
      <c r="T16" s="46" t="str">
        <f>IFERROR(__xludf.DUMMYFUNCTION("""COMPUTED_VALUE"""),"Neiva")</f>
        <v>Neiva</v>
      </c>
      <c r="U16" s="87" t="str">
        <f>IFERROR(__xludf.DUMMYFUNCTION("""COMPUTED_VALUE"""),"4")</f>
        <v>4</v>
      </c>
      <c r="V16" s="46" t="str">
        <f>IFERROR(__xludf.DUMMYFUNCTION("""COMPUTED_VALUE"""),"Esquinera")</f>
        <v>Esquinera</v>
      </c>
      <c r="W16" s="46"/>
      <c r="X16" s="46">
        <f>IFERROR(__xludf.DUMMYFUNCTION("""COMPUTED_VALUE"""),3.0)</f>
        <v>3</v>
      </c>
      <c r="Y16" s="46" t="str">
        <f>IFERROR(__xludf.DUMMYFUNCTION("""COMPUTED_VALUE"""),"No tiene")</f>
        <v>No tiene</v>
      </c>
      <c r="Z16" s="90" t="str">
        <f>IFERROR(__xludf.DUMMYFUNCTION("""COMPUTED_VALUE"""),"No aplica")</f>
        <v>No aplica</v>
      </c>
      <c r="AA16" s="33" t="str">
        <f>IFERROR(__xludf.DUMMYFUNCTION("""COMPUTED_VALUE"""),"No aplica")</f>
        <v>No aplica</v>
      </c>
      <c r="AB16" s="96" t="str">
        <f>IFERROR(__xludf.DUMMYFUNCTION("""COMPUTED_VALUE"""),"https://photos.app.goo.gl/2A6BAb5pmKh3g2Bq8")</f>
        <v>https://photos.app.goo.gl/2A6BAb5pmKh3g2Bq8</v>
      </c>
      <c r="AC16" s="46" t="str">
        <f>IFERROR(__xludf.DUMMYFUNCTION("""COMPUTED_VALUE"""),"Esta magnífica casa esquinera de dos pisos cuenta con un área de 100 m² ubicada en estrato 4, perfectamente distribuida para aprovechar al máximo la luz natural y la ventilación. En su interior, la propiedad dispone de 3 amplias habitaciones y 3 baños com"&amp;"pletos, destacando la habitación principal que incorpora baño privado y un cómodo vestier. La planta baja integra un comedor independiente y una sofisticada sala con pisos en cerámica pulida de gran formato y un imponente muro decorativo con acabado tipo "&amp;"mármol, enmarcado por paneles de madera acanalada e iluminación moderna. La cocina contemporánea, equipada con gabinetes superiores e inferiores en tono madera, cuenta con un salpicadero tipo mármol, campana extractora de acero inoxidable y una funcional "&amp;"isla central con estufa empotrada y base en listones de madera. El espacio se complementa con un mueble de entretenimiento flotante, un patio privado con puerta corrediza, doble parqueadero y una elegante escalera con barandilla de diseño geométrico que c"&amp;"onduce a las habitaciones con balcón del segundo nivel.")</f>
        <v>Esta magnífica casa esquinera de dos pisos cuenta con un área de 100 m² ubicada en estrato 4, perfectamente distribuida para aprovechar al máximo la luz natural y la ventilación. En su interior, la propiedad dispone de 3 amplias habitaciones y 3 baños completos, destacando la habitación principal que incorpora baño privado y un cómodo vestier. La planta baja integra un comedor independiente y una sofisticada sala con pisos en cerámica pulida de gran formato y un imponente muro decorativo con acabado tipo mármol, enmarcado por paneles de madera acanalada e iluminación moderna. La cocina contemporánea, equipada con gabinetes superiores e inferiores en tono madera, cuenta con un salpicadero tipo mármol, campana extractora de acero inoxidable y una funcional isla central con estufa empotrada y base en listones de madera. El espacio se complementa con un mueble de entretenimiento flotante, un patio privado con puerta corrediza, doble parqueadero y una elegante escalera con barandilla de diseño geométrico que conduce a las habitaciones con balcón del segundo nivel.</v>
      </c>
      <c r="AD16" s="46" t="str">
        <f>IFERROR(__xludf.DUMMYFUNCTION("""COMPUTED_VALUE"""),"Esta propiedad destaca de forma única en el mercado por su privilegiada ubicación esquinera en la zona oriente de Neiva, situándose justo al frente de una hermosa zona verde arbolizada que garantiza frescura y un entorno natural inigualable. La independen"&amp;"cia de sus áreas sociales brinda una privacidad excepcional para la familia, mientras que el diseño de sus habitaciones con balcones independientes transforma cada dormitorio en un mirador exclusivo. Es la combinación perfecta de exclusividad, confort y u"&amp;"bicación estratégica, ideal para quienes buscan un hogar listo para habitar con acabados de alto nivel que eleve de inmediato su calidad de vida. No pierda la oportunidad de adquirir este inmueble único, diseñado para los gustos exigentes y listo para ser"&amp;" disfrutado. ¡Agenda tu visita y enamórate de tu próximo hogar!")</f>
        <v>Esta propiedad destaca de forma única en el mercado por su privilegiada ubicación esquinera en la zona oriente de Neiva, situándose justo al frente de una hermosa zona verde arbolizada que garantiza frescura y un entorno natural inigualable. La independencia de sus áreas sociales brinda una privacidad excepcional para la familia, mientras que el diseño de sus habitaciones con balcones independientes transforma cada dormitorio en un mirador exclusivo. Es la combinación perfecta de exclusividad, confort y ubicación estratégica, ideal para quienes buscan un hogar listo para habitar con acabados de alto nivel que eleve de inmediato su calidad de vida. No pierda la oportunidad de adquirir este inmueble único, diseñado para los gustos exigentes y listo para ser disfrutado. ¡Agenda tu visita y enamórate de tu próximo hogar!</v>
      </c>
      <c r="AE16" s="46"/>
      <c r="AF16" s="46" t="str">
        <f>IFERROR(__xludf.DUMMYFUNCTION("""COMPUTED_VALUE"""),"integral")</f>
        <v>integral</v>
      </c>
      <c r="AG16" s="46"/>
      <c r="AH16" s="46" t="str">
        <f>IFERROR(__xludf.DUMMYFUNCTION("""COMPUTED_VALUE"""),"Aliado")</f>
        <v>Aliado</v>
      </c>
      <c r="AI16" s="92" t="str">
        <f>IFERROR(__xludf.DUMMYFUNCTION("""COMPUTED_VALUE"""),"https://lh3.googleusercontent.com/pw/AP1GczPM8YNqO426Sm0VAhG0T_MWSdpRtE2ZsV-joETDnJGEj-YWj1HWbzhEHqZgrm4GqnNM2aLNDSzTBZ_ASCrYKEpipSNvQfNxBhm0j72FI3f1sl5Rb_zp=w1200|https://lh3.googleusercontent.com/pw/AP1GczPoZuUMDpfnJt4FhXfN3HyU0FSQP-hPtV4JFDK7WlMgwYfcCT"&amp;"OCVkYsGkSYz3I7sCO38TvVCRRaK3nc-4P-yprGbIIXgeRgnaKLnms8OQiSCrg5GLYx=w1200|https://lh3.googleusercontent.com/pw/AP1GczPx7OqHQzQpfjrP50jeEK8ucebn9AV6n0tdkfFtZs0mcVqfPyoXpcwpjDgItI5Y-iZwbnW1pgSmTt0yQssIfD6sqAfe9QGPZqcJewIB8T5qqxQ6tGEv=w1200|https://lh3.google"&amp;"usercontent.com/pw/AP1GczP-Wew9SruRvduLEHAmZlbHNHF7eBjCL9-T2EYlmpruiUUwSNgB9JT0_LRRwomacrK-0bgLP7EzuowM4djjkGNmzswmK9USjJ4n6-9M5os6YC5fcHYu=w1200|https://lh3.googleusercontent.com/pw/AP1GczOcI-FZ-WErRw2SLZToaHPH5dQ0GCupic4WjukD0IHtmqPXDchF3i4xVkOJWKhbuSEU"&amp;"HwiLW7b0gmrLCDllWDgJmrc3qMhwyjzoiEwG8biGMcxwAk2D=w1200|https://lh3.googleusercontent.com/pw/AP1GczO0HiE54oKbmWtcA1yx2ZCYX0cZNpXOqWpa3geL0ZVUsJhyr-SKqjcIcNcxO45QuNtWZT6JNFuIc0lhMYqnX9EXqoNRXHGG0Nfn18Gy_AFfneIEn1yV=w1200|https://lh3.googleusercontent.com/pw"&amp;"/AP1GczMcroOZOGZRMOm2dTAT6qqW6jA4nbLXp_lXADFuhT56A55XtvARcK5xikIyK4K1to7IiJPGytPIJ9DFLf66-sBBFTlJNrcpp2m5-pHKmCZoQKNKuRja=w1200")</f>
        <v>https://lh3.googleusercontent.com/pw/AP1GczPM8YNqO426Sm0VAhG0T_MWSdpRtE2ZsV-joETDnJGEj-YWj1HWbzhEHqZgrm4GqnNM2aLNDSzTBZ_ASCrYKEpipSNvQfNxBhm0j72FI3f1sl5Rb_zp=w1200|https://lh3.googleusercontent.com/pw/AP1GczPoZuUMDpfnJt4FhXfN3HyU0FSQP-hPtV4JFDK7WlMgwYfcCTOCVkYsGkSYz3I7sCO38TvVCRRaK3nc-4P-yprGbIIXgeRgnaKLnms8OQiSCrg5GLYx=w1200|https://lh3.googleusercontent.com/pw/AP1GczPx7OqHQzQpfjrP50jeEK8ucebn9AV6n0tdkfFtZs0mcVqfPyoXpcwpjDgItI5Y-iZwbnW1pgSmTt0yQssIfD6sqAfe9QGPZqcJewIB8T5qqxQ6tGEv=w1200|https://lh3.googleusercontent.com/pw/AP1GczP-Wew9SruRvduLEHAmZlbHNHF7eBjCL9-T2EYlmpruiUUwSNgB9JT0_LRRwomacrK-0bgLP7EzuowM4djjkGNmzswmK9USjJ4n6-9M5os6YC5fcHYu=w1200|https://lh3.googleusercontent.com/pw/AP1GczOcI-FZ-WErRw2SLZToaHPH5dQ0GCupic4WjukD0IHtmqPXDchF3i4xVkOJWKhbuSEUHwiLW7b0gmrLCDllWDgJmrc3qMhwyjzoiEwG8biGMcxwAk2D=w1200|https://lh3.googleusercontent.com/pw/AP1GczO0HiE54oKbmWtcA1yx2ZCYX0cZNpXOqWpa3geL0ZVUsJhyr-SKqjcIcNcxO45QuNtWZT6JNFuIc0lhMYqnX9EXqoNRXHGG0Nfn18Gy_AFfneIEn1yV=w1200|https://lh3.googleusercontent.com/pw/AP1GczMcroOZOGZRMOm2dTAT6qqW6jA4nbLXp_lXADFuhT56A55XtvARcK5xikIyK4K1to7IiJPGytPIJ9DFLf66-sBBFTlJNrcpp2m5-pHKmCZoQKNKuRja=w1200</v>
      </c>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c r="BM16" s="46"/>
      <c r="BN16" s="46"/>
      <c r="BO16" s="46"/>
      <c r="BP16" s="46"/>
      <c r="BQ16" s="46"/>
      <c r="BR16" s="46"/>
      <c r="BS16" s="46"/>
      <c r="BT16" s="46"/>
      <c r="BU16" s="46"/>
      <c r="BV16" s="46"/>
      <c r="BW16" s="46"/>
      <c r="BX16" s="46"/>
      <c r="BY16" s="46"/>
      <c r="BZ16" s="46"/>
      <c r="CA16" s="46"/>
      <c r="CB16" s="46"/>
      <c r="CC16" s="46"/>
    </row>
    <row r="17">
      <c r="A17" s="87" t="str">
        <f>IFERROR(__xludf.DUMMYFUNCTION("""COMPUTED_VALUE"""),"681")</f>
        <v>681</v>
      </c>
      <c r="B17" s="46" t="str">
        <f>IFERROR(__xludf.DUMMYFUNCTION("""COMPUTED_VALUE"""),"Casa en barrio Las Catleyas - Oriente")</f>
        <v>Casa en barrio Las Catleyas - Oriente</v>
      </c>
      <c r="C17" s="46" t="str">
        <f>IFERROR(__xludf.DUMMYFUNCTION("""COMPUTED_VALUE"""),"Casa")</f>
        <v>Casa</v>
      </c>
      <c r="D17" s="46" t="str">
        <f>IFERROR(__xludf.DUMMYFUNCTION("""COMPUTED_VALUE"""),"Las Catleyas")</f>
        <v>Las Catleyas</v>
      </c>
      <c r="E17" s="46"/>
      <c r="F17" s="90">
        <f>IFERROR(__xludf.DUMMYFUNCTION("""COMPUTED_VALUE"""),3.0E8)</f>
        <v>300000000</v>
      </c>
      <c r="G17" s="46" t="str">
        <f>IFERROR(__xludf.DUMMYFUNCTION("""COMPUTED_VALUE"""),"$300'000.000 a $400'000.000")</f>
        <v>$300'000.000 a $400'000.000</v>
      </c>
      <c r="H17" s="46"/>
      <c r="I17" s="46"/>
      <c r="J17" s="46" t="str">
        <f>IFERROR(__xludf.DUMMYFUNCTION("""COMPUTED_VALUE"""),"Oriente")</f>
        <v>Oriente</v>
      </c>
      <c r="K17" s="87"/>
      <c r="L17" s="46">
        <f>IFERROR(__xludf.DUMMYFUNCTION("""COMPUTED_VALUE"""),6.0)</f>
        <v>6</v>
      </c>
      <c r="M17" s="46"/>
      <c r="N17" s="46">
        <f>IFERROR(__xludf.DUMMYFUNCTION("""COMPUTED_VALUE"""),4.0)</f>
        <v>4</v>
      </c>
      <c r="O17" s="46">
        <f>IFERROR(__xludf.DUMMYFUNCTION("""COMPUTED_VALUE"""),2.0)</f>
        <v>2</v>
      </c>
      <c r="P17" s="46">
        <f>IFERROR(__xludf.DUMMYFUNCTION("""COMPUTED_VALUE"""),2.0)</f>
        <v>2</v>
      </c>
      <c r="Q17" s="92">
        <f>IFERROR(__xludf.DUMMYFUNCTION("""COMPUTED_VALUE"""),170.0)</f>
        <v>170</v>
      </c>
      <c r="R17" s="92">
        <f>IFERROR(__xludf.DUMMYFUNCTION("""COMPUTED_VALUE"""),98.0)</f>
        <v>98</v>
      </c>
      <c r="S17" s="87" t="str">
        <f>IFERROR(__xludf.DUMMYFUNCTION("""COMPUTED_VALUE""")," ")</f>
        <v> </v>
      </c>
      <c r="T17" s="46" t="str">
        <f>IFERROR(__xludf.DUMMYFUNCTION("""COMPUTED_VALUE"""),"Neiva")</f>
        <v>Neiva</v>
      </c>
      <c r="U17" s="87" t="str">
        <f>IFERROR(__xludf.DUMMYFUNCTION("""COMPUTED_VALUE"""),"2")</f>
        <v>2</v>
      </c>
      <c r="V17" s="46" t="str">
        <f>IFERROR(__xludf.DUMMYFUNCTION("""COMPUTED_VALUE"""),"Esquinera")</f>
        <v>Esquinera</v>
      </c>
      <c r="W17" s="46"/>
      <c r="X17" s="46">
        <f>IFERROR(__xludf.DUMMYFUNCTION("""COMPUTED_VALUE"""),4.0)</f>
        <v>4</v>
      </c>
      <c r="Y17" s="46" t="str">
        <f>IFERROR(__xludf.DUMMYFUNCTION("""COMPUTED_VALUE"""),"No tiene")</f>
        <v>No tiene</v>
      </c>
      <c r="Z17" s="90" t="str">
        <f>IFERROR(__xludf.DUMMYFUNCTION("""COMPUTED_VALUE"""),"No aplica")</f>
        <v>No aplica</v>
      </c>
      <c r="AA17" s="33" t="str">
        <f>IFERROR(__xludf.DUMMYFUNCTION("""COMPUTED_VALUE"""),"No aplica")</f>
        <v>No aplica</v>
      </c>
      <c r="AB17" s="96" t="str">
        <f>IFERROR(__xludf.DUMMYFUNCTION("""COMPUTED_VALUE"""),"https://photos.app.goo.gl/vVtBYGcLfqpzQC2k8")</f>
        <v>https://photos.app.goo.gl/vVtBYGcLfqpzQC2k8</v>
      </c>
      <c r="AC17" s="46" t="str">
        <f>IFERROR(__xludf.DUMMYFUNCTION("""COMPUTED_VALUE"""),"Esta magnífica casa esquinera de estrato 2 cuenta con un área de 98 m² estratégicamente distribuida en espacios que destacan por sus impecables acabados contemporáneos, caracterizados por pisos en cerámica brillante de alto tráfico, paredes texturizadas e"&amp;"n tonos claros y elegantes molduras de yeso en los techos con sistemas de iluminación empotrada y lámparas decorativas. La vivienda principal, ubicada en el primer nivel, dispone de una espaciosa zona de sala-comedor, una cocina funcional con gabinetes su"&amp;"periores e inferiores en melamina tipo madera y mesón de granito, un área de estudio y 2 habitaciones respaldadas por 2 baños completos con divisiones modernas. Este espacio conecta directamente, a través de amplias puertas de vidrio corredizas con carpin"&amp;"tería de aluminio, a un patio interior enchapado que resalta por un vistoso muro decorativo revestido en piedra natural. Asimismo, una imponente escalera interna con pasos cerámicos en contraste blanco y negro, complementada con una barandilla de hierro f"&amp;"orjado de diseño clásico, conduce hacia el segundo nivel, donde se despliegan 2 apartamentos totalmente independientes; cada uno dotado con 2 habitaciones con puertas de madera, cocina sencilla, 1 baño con revestimiento cerámico y acceso a una agradable t"&amp;"erraza con pisos de gres y rejas de seguridad metálicas, todo respaldado por servicios de energía y gas independientes y un parqueadero con capacidad para 2 vehículos.")</f>
        <v>Esta magnífica casa esquinera de estrato 2 cuenta con un área de 98 m² estratégicamente distribuida en espacios que destacan por sus impecables acabados contemporáneos, caracterizados por pisos en cerámica brillante de alto tráfico, paredes texturizadas en tonos claros y elegantes molduras de yeso en los techos con sistemas de iluminación empotrada y lámparas decorativas. La vivienda principal, ubicada en el primer nivel, dispone de una espaciosa zona de sala-comedor, una cocina funcional con gabinetes superiores e inferiores en melamina tipo madera y mesón de granito, un área de estudio y 2 habitaciones respaldadas por 2 baños completos con divisiones modernas. Este espacio conecta directamente, a través de amplias puertas de vidrio corredizas con carpintería de aluminio, a un patio interior enchapado que resalta por un vistoso muro decorativo revestido en piedra natural. Asimismo, una imponente escalera interna con pasos cerámicos en contraste blanco y negro, complementada con una barandilla de hierro forjado de diseño clásico, conduce hacia el segundo nivel, donde se despliegan 2 apartamentos totalmente independientes; cada uno dotado con 2 habitaciones con puertas de madera, cocina sencilla, 1 baño con revestimiento cerámico y acceso a una agradable terraza con pisos de gres y rejas de seguridad metálicas, todo respaldado por servicios de energía y gas independientes y un parqueadero con capacidad para 2 vehículos.</v>
      </c>
      <c r="AD17" s="46" t="str">
        <f>IFERROR(__xludf.DUMMYFUNCTION("""COMPUTED_VALUE"""),"Ubicada en el sector de Las Catleyas, en la dinámica zona oriente de Neiva, esta propiedad representa una oportunidad de inversión excepcional e inteligente en el mercado inmobiliario actual. Su privilegiado diseño esquinero no solo garantiza una ventilac"&amp;"ión y valorización superiores, sino que su configuración multifuncional es perfecta para inversionistas que buscan generar atractivos ingresos mensuales por alquiler residencial desde el primer día o para familias numerosas que desean vivir en una propied"&amp;"ad espaciosa mientras aseguran una alta rentabilidad. Es la combinación ideal de infraestructura sólida, versatilidad de espacios y ubicación estratégica con servicios independientes listos para asegurar un negocio ágil, seguro y altamente productivo.")</f>
        <v>Ubicada en el sector de Las Catleyas, en la dinámica zona oriente de Neiva, esta propiedad representa una oportunidad de inversión excepcional e inteligente en el mercado inmobiliario actual. Su privilegiado diseño esquinero no solo garantiza una ventilación y valorización superiores, sino que su configuración multifuncional es perfecta para inversionistas que buscan generar atractivos ingresos mensuales por alquiler residencial desde el primer día o para familias numerosas que desean vivir en una propiedad espaciosa mientras aseguran una alta rentabilidad. Es la combinación ideal de infraestructura sólida, versatilidad de espacios y ubicación estratégica con servicios independientes listos para asegurar un negocio ágil, seguro y altamente productivo.</v>
      </c>
      <c r="AE17" s="46"/>
      <c r="AF17" s="46" t="str">
        <f>IFERROR(__xludf.DUMMYFUNCTION("""COMPUTED_VALUE"""),"integral")</f>
        <v>integral</v>
      </c>
      <c r="AG17" s="46"/>
      <c r="AH17" s="46" t="str">
        <f>IFERROR(__xludf.DUMMYFUNCTION("""COMPUTED_VALUE"""),"Aliado")</f>
        <v>Aliado</v>
      </c>
      <c r="AI17" s="92" t="str">
        <f>IFERROR(__xludf.DUMMYFUNCTION("""COMPUTED_VALUE"""),"https://lh3.googleusercontent.com/pw/AP1GczOp_T2KfUT3Vp7ZVkERFOeP1fADW1icum1tyiLpZQHHpjvBq97PP23lYpAyIBCn-u6H_UNJxdOWvI64M1Y-VqimY2YqIkpwXqa6BIJNZBd7cr4aqUVn=w1200|https://lh3.googleusercontent.com/pw/AP1GczOkhq9o4Rb-VA9vM6j4zSLS9BQJryhZmQnXtSRhtqdXLIrdIi"&amp;"aIhkgoQt24vWzOzR6sYjZLg_eVkXuBxei4o7sRhH8Qf1LbRa3_-Fd5CrFd0clH-XKn=w1200|https://lh3.googleusercontent.com/pw/AP1GczO4_mTJwYKK1W7b9_g5J8XoT_aY3hT9duLXAD3uFReSp9DxsVltvbae8A6TWwHELFxyV5n5-gKFkyRMDmwE5HK5qRtGHwx85QzwzW6TyKJsbB_qAVl3=w1200|https://lh3.google"&amp;"usercontent.com/pw/AP1GczMc4dH9dJk6G_WSs8I7WQETmFtl82sGdfXslkbrXIO1Iy0UZG99CMIq_m0FggSf71Q6Q1ioS-5CETI6ZZdQa3RA5tMrol65NgCrccFfhtyk72awBmMi=w1200|https://lh3.googleusercontent.com/pw/AP1GczNLIHbcN2ZLrQmn--t9Kf8DF_gaNsVPjL9ExWTrzo8hoUC_ZVm_aTABsUwHSy3FeV7e"&amp;"7Hj7bpDTr6izjK8LWOCbOWf7joto9G7ECqSq4QkOo7uXNGzv=w1200|https://lh3.googleusercontent.com/pw/AP1GczM-hB6SOWzui4W8qT-C_zv2gUTLHXAyCJGtOy3x7USqdit57bACLF785XIy3RvycVS4zebnQbTJpFDfe4vYw6SFF-BVp7vWqgwdkCabfjaxrHgCxsee=w1200|https://lh3.googleusercontent.com/pw"&amp;"/AP1GczO1YmiBn7nxr1uj3sMgTsjrx4j6kGs_DCGaaGZnPPinFfL8EFHR_ukdj5VHznjISYkWAwZwRtgI_U1wClN4FbpkiRHKDux4hSqPtRLotlduyBBF0prT=w1200")</f>
        <v>https://lh3.googleusercontent.com/pw/AP1GczOp_T2KfUT3Vp7ZVkERFOeP1fADW1icum1tyiLpZQHHpjvBq97PP23lYpAyIBCn-u6H_UNJxdOWvI64M1Y-VqimY2YqIkpwXqa6BIJNZBd7cr4aqUVn=w1200|https://lh3.googleusercontent.com/pw/AP1GczOkhq9o4Rb-VA9vM6j4zSLS9BQJryhZmQnXtSRhtqdXLIrdIiaIhkgoQt24vWzOzR6sYjZLg_eVkXuBxei4o7sRhH8Qf1LbRa3_-Fd5CrFd0clH-XKn=w1200|https://lh3.googleusercontent.com/pw/AP1GczO4_mTJwYKK1W7b9_g5J8XoT_aY3hT9duLXAD3uFReSp9DxsVltvbae8A6TWwHELFxyV5n5-gKFkyRMDmwE5HK5qRtGHwx85QzwzW6TyKJsbB_qAVl3=w1200|https://lh3.googleusercontent.com/pw/AP1GczMc4dH9dJk6G_WSs8I7WQETmFtl82sGdfXslkbrXIO1Iy0UZG99CMIq_m0FggSf71Q6Q1ioS-5CETI6ZZdQa3RA5tMrol65NgCrccFfhtyk72awBmMi=w1200|https://lh3.googleusercontent.com/pw/AP1GczNLIHbcN2ZLrQmn--t9Kf8DF_gaNsVPjL9ExWTrzo8hoUC_ZVm_aTABsUwHSy3FeV7e7Hj7bpDTr6izjK8LWOCbOWf7joto9G7ECqSq4QkOo7uXNGzv=w1200|https://lh3.googleusercontent.com/pw/AP1GczM-hB6SOWzui4W8qT-C_zv2gUTLHXAyCJGtOy3x7USqdit57bACLF785XIy3RvycVS4zebnQbTJpFDfe4vYw6SFF-BVp7vWqgwdkCabfjaxrHgCxsee=w1200|https://lh3.googleusercontent.com/pw/AP1GczO1YmiBn7nxr1uj3sMgTsjrx4j6kGs_DCGaaGZnPPinFfL8EFHR_ukdj5VHznjISYkWAwZwRtgI_U1wClN4FbpkiRHKDux4hSqPtRLotlduyBBF0prT=w1200</v>
      </c>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c r="BM17" s="46"/>
      <c r="BN17" s="46"/>
      <c r="BO17" s="46"/>
      <c r="BP17" s="46"/>
      <c r="BQ17" s="46"/>
      <c r="BR17" s="46"/>
      <c r="BS17" s="46"/>
      <c r="BT17" s="46"/>
      <c r="BU17" s="46"/>
      <c r="BV17" s="46"/>
      <c r="BW17" s="46"/>
      <c r="BX17" s="46"/>
      <c r="BY17" s="46"/>
      <c r="BZ17" s="46"/>
      <c r="CA17" s="46"/>
      <c r="CB17" s="46"/>
      <c r="CC17" s="46"/>
    </row>
    <row r="18">
      <c r="A18" s="87" t="str">
        <f>IFERROR(__xludf.DUMMYFUNCTION("""COMPUTED_VALUE"""),"524")</f>
        <v>524</v>
      </c>
      <c r="B18" s="46" t="str">
        <f>IFERROR(__xludf.DUMMYFUNCTION("""COMPUTED_VALUE"""),"Casa en barrio Viña del Mar - Oriente")</f>
        <v>Casa en barrio Viña del Mar - Oriente</v>
      </c>
      <c r="C18" s="46" t="str">
        <f>IFERROR(__xludf.DUMMYFUNCTION("""COMPUTED_VALUE"""),"Casa")</f>
        <v>Casa</v>
      </c>
      <c r="D18" s="46" t="str">
        <f>IFERROR(__xludf.DUMMYFUNCTION("""COMPUTED_VALUE"""),"Viña del mar")</f>
        <v>Viña del mar</v>
      </c>
      <c r="E18" s="46"/>
      <c r="F18" s="90">
        <f>IFERROR(__xludf.DUMMYFUNCTION("""COMPUTED_VALUE"""),3.0E8)</f>
        <v>300000000</v>
      </c>
      <c r="G18" s="46" t="str">
        <f>IFERROR(__xludf.DUMMYFUNCTION("""COMPUTED_VALUE"""),"$300'000.000 a $400'000.000")</f>
        <v>$300'000.000 a $400'000.000</v>
      </c>
      <c r="H18" s="46"/>
      <c r="I18" s="46"/>
      <c r="J18" s="46" t="str">
        <f>IFERROR(__xludf.DUMMYFUNCTION("""COMPUTED_VALUE"""),"Oriente")</f>
        <v>Oriente</v>
      </c>
      <c r="K18" s="87"/>
      <c r="L18" s="46">
        <f>IFERROR(__xludf.DUMMYFUNCTION("""COMPUTED_VALUE"""),3.0)</f>
        <v>3</v>
      </c>
      <c r="M18" s="46"/>
      <c r="N18" s="46">
        <f>IFERROR(__xludf.DUMMYFUNCTION("""COMPUTED_VALUE"""),3.0)</f>
        <v>3</v>
      </c>
      <c r="O18" s="46">
        <f>IFERROR(__xludf.DUMMYFUNCTION("""COMPUTED_VALUE"""),1.0)</f>
        <v>1</v>
      </c>
      <c r="P18" s="46">
        <f>IFERROR(__xludf.DUMMYFUNCTION("""COMPUTED_VALUE"""),2.0)</f>
        <v>2</v>
      </c>
      <c r="Q18" s="92">
        <f>IFERROR(__xludf.DUMMYFUNCTION("""COMPUTED_VALUE"""),160.0)</f>
        <v>160</v>
      </c>
      <c r="R18" s="92">
        <f>IFERROR(__xludf.DUMMYFUNCTION("""COMPUTED_VALUE"""),91.0)</f>
        <v>91</v>
      </c>
      <c r="S18" s="87" t="str">
        <f>IFERROR(__xludf.DUMMYFUNCTION("""COMPUTED_VALUE""")," ")</f>
        <v> </v>
      </c>
      <c r="T18" s="46" t="str">
        <f>IFERROR(__xludf.DUMMYFUNCTION("""COMPUTED_VALUE"""),"Neiva")</f>
        <v>Neiva</v>
      </c>
      <c r="U18" s="87" t="str">
        <f>IFERROR(__xludf.DUMMYFUNCTION("""COMPUTED_VALUE"""),"2")</f>
        <v>2</v>
      </c>
      <c r="V18" s="46" t="str">
        <f>IFERROR(__xludf.DUMMYFUNCTION("""COMPUTED_VALUE"""),"Medianera")</f>
        <v>Medianera</v>
      </c>
      <c r="W18" s="46"/>
      <c r="X18" s="46">
        <f>IFERROR(__xludf.DUMMYFUNCTION("""COMPUTED_VALUE"""),3.0)</f>
        <v>3</v>
      </c>
      <c r="Y18" s="46" t="str">
        <f>IFERROR(__xludf.DUMMYFUNCTION("""COMPUTED_VALUE"""),"No tiene")</f>
        <v>No tiene</v>
      </c>
      <c r="Z18" s="90" t="str">
        <f>IFERROR(__xludf.DUMMYFUNCTION("""COMPUTED_VALUE"""),"No aplica")</f>
        <v>No aplica</v>
      </c>
      <c r="AA18" s="33" t="str">
        <f>IFERROR(__xludf.DUMMYFUNCTION("""COMPUTED_VALUE"""),"No aplica")</f>
        <v>No aplica</v>
      </c>
      <c r="AB18" s="96" t="str">
        <f>IFERROR(__xludf.DUMMYFUNCTION("""COMPUTED_VALUE"""),"https://photos.app.goo.gl/CnoCam3NKY4GqHs68")</f>
        <v>https://photos.app.goo.gl/CnoCam3NKY4GqHs68</v>
      </c>
      <c r="AC18" s="46" t="str">
        <f>IFERROR(__xludf.DUMMYFUNCTION("""COMPUTED_VALUE"""),"Esta hermosa casa de dos pisos en venta, con un área funcional de $91\text{ m}^2$, está ubicada en un sector estrato 2 en la zona oriente de Neiva. El inmueble cuenta con un total de 3 amplias habitaciones con clóset (destacando la principal con baño priv"&amp;"ado y balcón), 3 baños bien distribuidos y un cómodo espacio para estudio u oficina en el segundo nivel. En el primer piso, la zona social impresiona con pisos de cerámica brillante de alta calidad con un elegante veteado natural, muros lisos en tonos bla"&amp;"ncos y una pared de acento enchapada en piedra texturizada gris que soporta el área de entretenimiento. La moderna cocina integral con isla cuenta con muebles superiores e inferiores en madera oscura, mesones de granito negro, estufa empotrada y campana e"&amp;"xtractora de acero inoxidable. Adicionalmente, dispone de una zona de lavandería independiente enchapada con gabinetes organizadores, un baño social, un amplio porche exterior con pisos de gres y techo de PVC con luces empotradas ideal para el descanso, y"&amp;" 1 parqueadero privado.")</f>
        <v>Esta hermosa casa de dos pisos en venta, con un área funcional de $91\text{ m}^2$, está ubicada en un sector estrato 2 en la zona oriente de Neiva. El inmueble cuenta con un total de 3 amplias habitaciones con clóset (destacando la principal con baño privado y balcón), 3 baños bien distribuidos y un cómodo espacio para estudio u oficina en el segundo nivel. En el primer piso, la zona social impresiona con pisos de cerámica brillante de alta calidad con un elegante veteado natural, muros lisos en tonos blancos y una pared de acento enchapada en piedra texturizada gris que soporta el área de entretenimiento. La moderna cocina integral con isla cuenta con muebles superiores e inferiores en madera oscura, mesones de granito negro, estufa empotrada y campana extractora de acero inoxidable. Adicionalmente, dispone de una zona de lavandería independiente enchapada con gabinetes organizadores, un baño social, un amplio porche exterior con pisos de gres y techo de PVC con luces empotradas ideal para el descanso, y 1 parqueadero privado.</v>
      </c>
      <c r="AD18" s="46" t="str">
        <f>IFERROR(__xludf.DUMMYFUNCTION("""COMPUTED_VALUE"""),"La propiedad se perfila como una excelente oportunidad de inversión gracias a su diseño moderno y funcional, con espacios amplios que reciben una maravillosa iluminación natural en cada rincón. Al estar situada en el barrio Viña del Mar, dentro del exclus"&amp;"ivo sector El Tesoro, garantiza una tranquilidad residencial inigualable combinada con un fácil acceso a transporte público y vías principales. Su ubicación estratégica en una zona de alta valorización y constante crecimiento en el oriente de la ciudad la"&amp;" convierte en la opción ideal para quienes buscan comodidad para su familia y asegurar la máxima rentabilidad a futuro.")</f>
        <v>La propiedad se perfila como una excelente oportunidad de inversión gracias a su diseño moderno y funcional, con espacios amplios que reciben una maravillosa iluminación natural en cada rincón. Al estar situada en el barrio Viña del Mar, dentro del exclusivo sector El Tesoro, garantiza una tranquilidad residencial inigualable combinada con un fácil acceso a transporte público y vías principales. Su ubicación estratégica en una zona de alta valorización y constante crecimiento en el oriente de la ciudad la convierte en la opción ideal para quienes buscan comodidad para su familia y asegurar la máxima rentabilidad a futuro.</v>
      </c>
      <c r="AE18" s="46"/>
      <c r="AF18" s="46" t="str">
        <f>IFERROR(__xludf.DUMMYFUNCTION("""COMPUTED_VALUE"""),"integral")</f>
        <v>integral</v>
      </c>
      <c r="AG18" s="46"/>
      <c r="AH18" s="46" t="str">
        <f>IFERROR(__xludf.DUMMYFUNCTION("""COMPUTED_VALUE"""),"Aliado")</f>
        <v>Aliado</v>
      </c>
      <c r="AI18" s="92" t="str">
        <f>IFERROR(__xludf.DUMMYFUNCTION("""COMPUTED_VALUE"""),"https://lh3.googleusercontent.com/pw/AP1GczPCvv5ErBomRdDMNM6k6fT1YuyOkxKipEdPpc-xA3G5gAnym1fQe04TIczkdqxgsHKp8072oQCMUcpMkJOFlC-kLc9SG2D9pLfIvhxKvGjmeY5SFtuq=w1200|https://lh3.googleusercontent.com/pw/AP1GczPgN5_Hx1cSGox_Jggud2M-gXNVrwTl8xSue4CYoz0EgWOeRz"&amp;"ybMwquNZBiRJmIO7djaH8PKuXMEu2B6_0iOA5MuwGbjHkb59LKTCaiM17jDyDUsFw-=w1200|https://lh3.googleusercontent.com/pw/AP1GczMYAmSUpM8WnslJ3aN6r1XmeTm1a3qX-7gMYb-QNFbJqSRo84j3_636wESU4CSY3GP7tRLFkcyS9adKy_MhYKgd5T72CNw9MisP-0uj-6D5ORny1oM7=w1200|https://lh3.google"&amp;"usercontent.com/pw/AP1GczPQwRjWKif-Wm5shLU74gb3Ebu3fUl4wc1m2vhDMVNiCck5a7MZex5lvqJdNnPyU18dPFeydQU9hqOP2z8SEzsiyYPCsNeW-vRLLZdxI-WrjgyI8Q43=w1200|https://lh3.googleusercontent.com/pw/AP1GczMU2CxaloQceeLL15aQnJqHU-Z3n0jvxgqvZsNicLjjeGdQVrJMP27micu61xQBfgiG"&amp;"pM6G5VLB4vqF0_W-or2b3mIBpjHvAP5_MIzJpNd_jqPjmgLA=w1200|https://lh3.googleusercontent.com/pw/AP1GczNeCI2k7au25c1AKL5eMQZd4KuRXvhroIIjsOYA2oGM1ZDHdz2XHVUtGPr7F3NfaPuw5W75cmx4Y5dk-__bTgYcNIaQtuO00pRqNAkWj_18_5DHez41=w1200|https://lh3.googleusercontent.com/pw"&amp;"/AP1GczMD_3119Uq6tOh_7sNEaBP9LSy12cqWG7douUtJMRqTJrqRA06C3dnYUC9ihrtbrphsY4suwmEhgoNpgkxHwIJ8glKoidgeskMYwOO6fJB_bRXzyIt2=w1200|https://lh3.googleusercontent.com/pw/AP1GczP7bxEvEG8gyulEAPCtW-fRUfbGlvL67ukAYeUDQZOgjj_60u0FpdOY04IEH3a3d6NxfhcJMNxl9ajZI7TuDJ"&amp;"bQs8kguF6G1h8QSXf-N4mgV-3W3595=w1200")</f>
        <v>https://lh3.googleusercontent.com/pw/AP1GczPCvv5ErBomRdDMNM6k6fT1YuyOkxKipEdPpc-xA3G5gAnym1fQe04TIczkdqxgsHKp8072oQCMUcpMkJOFlC-kLc9SG2D9pLfIvhxKvGjmeY5SFtuq=w1200|https://lh3.googleusercontent.com/pw/AP1GczPgN5_Hx1cSGox_Jggud2M-gXNVrwTl8xSue4CYoz0EgWOeRzybMwquNZBiRJmIO7djaH8PKuXMEu2B6_0iOA5MuwGbjHkb59LKTCaiM17jDyDUsFw-=w1200|https://lh3.googleusercontent.com/pw/AP1GczMYAmSUpM8WnslJ3aN6r1XmeTm1a3qX-7gMYb-QNFbJqSRo84j3_636wESU4CSY3GP7tRLFkcyS9adKy_MhYKgd5T72CNw9MisP-0uj-6D5ORny1oM7=w1200|https://lh3.googleusercontent.com/pw/AP1GczPQwRjWKif-Wm5shLU74gb3Ebu3fUl4wc1m2vhDMVNiCck5a7MZex5lvqJdNnPyU18dPFeydQU9hqOP2z8SEzsiyYPCsNeW-vRLLZdxI-WrjgyI8Q43=w1200|https://lh3.googleusercontent.com/pw/AP1GczMU2CxaloQceeLL15aQnJqHU-Z3n0jvxgqvZsNicLjjeGdQVrJMP27micu61xQBfgiGpM6G5VLB4vqF0_W-or2b3mIBpjHvAP5_MIzJpNd_jqPjmgLA=w1200|https://lh3.googleusercontent.com/pw/AP1GczNeCI2k7au25c1AKL5eMQZd4KuRXvhroIIjsOYA2oGM1ZDHdz2XHVUtGPr7F3NfaPuw5W75cmx4Y5dk-__bTgYcNIaQtuO00pRqNAkWj_18_5DHez41=w1200|https://lh3.googleusercontent.com/pw/AP1GczMD_3119Uq6tOh_7sNEaBP9LSy12cqWG7douUtJMRqTJrqRA06C3dnYUC9ihrtbrphsY4suwmEhgoNpgkxHwIJ8glKoidgeskMYwOO6fJB_bRXzyIt2=w1200|https://lh3.googleusercontent.com/pw/AP1GczP7bxEvEG8gyulEAPCtW-fRUfbGlvL67ukAYeUDQZOgjj_60u0FpdOY04IEH3a3d6NxfhcJMNxl9ajZI7TuDJbQs8kguF6G1h8QSXf-N4mgV-3W3595=w1200</v>
      </c>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c r="BM18" s="46"/>
      <c r="BN18" s="46"/>
      <c r="BO18" s="46"/>
      <c r="BP18" s="46"/>
      <c r="BQ18" s="46"/>
      <c r="BR18" s="46"/>
      <c r="BS18" s="46"/>
      <c r="BT18" s="46"/>
      <c r="BU18" s="46"/>
      <c r="BV18" s="46"/>
      <c r="BW18" s="46"/>
      <c r="BX18" s="46"/>
      <c r="BY18" s="46"/>
      <c r="BZ18" s="46"/>
      <c r="CA18" s="46"/>
      <c r="CB18" s="46"/>
      <c r="CC18" s="46"/>
    </row>
    <row r="19">
      <c r="A19" s="87" t="str">
        <f>IFERROR(__xludf.DUMMYFUNCTION("""COMPUTED_VALUE"""),"479")</f>
        <v>479</v>
      </c>
      <c r="B19" s="46" t="str">
        <f>IFERROR(__xludf.DUMMYFUNCTION("""COMPUTED_VALUE"""),"Casa con apartamento en barrio Calixto - Centro")</f>
        <v>Casa con apartamento en barrio Calixto - Centro</v>
      </c>
      <c r="C19" s="46" t="str">
        <f>IFERROR(__xludf.DUMMYFUNCTION("""COMPUTED_VALUE"""),"Casa rentable")</f>
        <v>Casa rentable</v>
      </c>
      <c r="D19" s="46" t="str">
        <f>IFERROR(__xludf.DUMMYFUNCTION("""COMPUTED_VALUE"""),"Calixto")</f>
        <v>Calixto</v>
      </c>
      <c r="E19" s="46"/>
      <c r="F19" s="90">
        <f>IFERROR(__xludf.DUMMYFUNCTION("""COMPUTED_VALUE"""),2.99E8)</f>
        <v>299000000</v>
      </c>
      <c r="G19" s="46" t="str">
        <f>IFERROR(__xludf.DUMMYFUNCTION("""COMPUTED_VALUE"""),"$200'000.000 a $300'000.000")</f>
        <v>$200'000.000 a $300'000.000</v>
      </c>
      <c r="H19" s="46"/>
      <c r="I19" s="46"/>
      <c r="J19" s="46" t="str">
        <f>IFERROR(__xludf.DUMMYFUNCTION("""COMPUTED_VALUE"""),"Centro")</f>
        <v>Centro</v>
      </c>
      <c r="K19" s="87" t="str">
        <f>IFERROR(__xludf.DUMMYFUNCTION("""COMPUTED_VALUE"""),"7")</f>
        <v>7</v>
      </c>
      <c r="L19" s="46">
        <f>IFERROR(__xludf.DUMMYFUNCTION("""COMPUTED_VALUE"""),4.0)</f>
        <v>4</v>
      </c>
      <c r="M19" s="46"/>
      <c r="N19" s="46">
        <f>IFERROR(__xludf.DUMMYFUNCTION("""COMPUTED_VALUE"""),3.0)</f>
        <v>3</v>
      </c>
      <c r="O19" s="46">
        <f>IFERROR(__xludf.DUMMYFUNCTION("""COMPUTED_VALUE"""),0.0)</f>
        <v>0</v>
      </c>
      <c r="P19" s="46">
        <f>IFERROR(__xludf.DUMMYFUNCTION("""COMPUTED_VALUE"""),2.0)</f>
        <v>2</v>
      </c>
      <c r="Q19" s="92">
        <f>IFERROR(__xludf.DUMMYFUNCTION("""COMPUTED_VALUE"""),106.0)</f>
        <v>106</v>
      </c>
      <c r="R19" s="92">
        <f>IFERROR(__xludf.DUMMYFUNCTION("""COMPUTED_VALUE"""),143.0)</f>
        <v>143</v>
      </c>
      <c r="S19" s="87" t="str">
        <f>IFERROR(__xludf.DUMMYFUNCTION("""COMPUTED_VALUE"""),"Rentabilidad $1,100,000")</f>
        <v>Rentabilidad $1,100,000</v>
      </c>
      <c r="T19" s="46" t="str">
        <f>IFERROR(__xludf.DUMMYFUNCTION("""COMPUTED_VALUE"""),"Neiva")</f>
        <v>Neiva</v>
      </c>
      <c r="U19" s="87" t="str">
        <f>IFERROR(__xludf.DUMMYFUNCTION("""COMPUTED_VALUE"""),"2")</f>
        <v>2</v>
      </c>
      <c r="V19" s="46" t="str">
        <f>IFERROR(__xludf.DUMMYFUNCTION("""COMPUTED_VALUE"""),"Medianera")</f>
        <v>Medianera</v>
      </c>
      <c r="W19" s="46"/>
      <c r="X19" s="46">
        <f>IFERROR(__xludf.DUMMYFUNCTION("""COMPUTED_VALUE"""),2.0)</f>
        <v>2</v>
      </c>
      <c r="Y19" s="46" t="str">
        <f>IFERROR(__xludf.DUMMYFUNCTION("""COMPUTED_VALUE"""),"No tiene")</f>
        <v>No tiene</v>
      </c>
      <c r="Z19" s="90" t="str">
        <f>IFERROR(__xludf.DUMMYFUNCTION("""COMPUTED_VALUE"""),"No aplica")</f>
        <v>No aplica</v>
      </c>
      <c r="AA19" s="33" t="str">
        <f>IFERROR(__xludf.DUMMYFUNCTION("""COMPUTED_VALUE"""),"23 años")</f>
        <v>23 años</v>
      </c>
      <c r="AB19" s="96" t="str">
        <f>IFERROR(__xludf.DUMMYFUNCTION("""COMPUTED_VALUE"""),"https://photos.app.goo.gl/V7HLSX19968aiwVU6")</f>
        <v>https://photos.app.goo.gl/V7HLSX19968aiwVU6</v>
      </c>
      <c r="AC19" s="46" t="str">
        <f>IFERROR(__xludf.DUMMYFUNCTION("""COMPUTED_VALUE"""),"Esta casa de estrato 2, ubicada en el barrio Calixto cerca al Centro de Neiva, cuenta con 143 m² de área y 106 m² construidos. Su distribución incluye 4 alcobas y 3 baños, destacando la principal con baño privado y aire acondicionado, además de sala-comed"&amp;"or amplios con pisos claros, cocina integral con gabinetes, zona de estudio, patio con baño con ducha y antejardín cubierto para parqueadero de motos con proyección para vehículo. Mediante escaleras se accede al segundo nivel, el cual ofrece una zona de l"&amp;"avado con alberca y una amplia terraza con plancha y cubierta.")</f>
        <v>Esta casa de estrato 2, ubicada en el barrio Calixto cerca al Centro de Neiva, cuenta con 143 m² de área y 106 m² construidos. Su distribución incluye 4 alcobas y 3 baños, destacando la principal con baño privado y aire acondicionado, además de sala-comedor amplios con pisos claros, cocina integral con gabinetes, zona de estudio, patio con baño con ducha y antejardín cubierto para parqueadero de motos con proyección para vehículo. Mediante escaleras se accede al segundo nivel, el cual ofrece una zona de lavado con alberca y una amplia terraza con plancha y cubierta.</v>
      </c>
      <c r="AD19" s="46" t="str">
        <f>IFERROR(__xludf.DUMMYFUNCTION("""COMPUTED_VALUE"""),"La propiedad es una oportunidad de inversión inmediata que genera ingresos desde el primer día al contar con un apartaestudio independiente con renta activa. Al estar libre de gravámenes y ser apta para crédito hipotecario, garantiza una compra rápida y s"&amp;"egura; todo esto sumado a su enorme potencial de ampliación en la zona de la plancha y una ubicación estratégica en un sector residencial muy tranquilo.")</f>
        <v>La propiedad es una oportunidad de inversión inmediata que genera ingresos desde el primer día al contar con un apartaestudio independiente con renta activa. Al estar libre de gravámenes y ser apta para crédito hipotecario, garantiza una compra rápida y segura; todo esto sumado a su enorme potencial de ampliación en la zona de la plancha y una ubicación estratégica en un sector residencial muy tranquilo.</v>
      </c>
      <c r="AE19" s="46"/>
      <c r="AF19" s="46" t="str">
        <f>IFERROR(__xludf.DUMMYFUNCTION("""COMPUTED_VALUE"""),"semi-integral")</f>
        <v>semi-integral</v>
      </c>
      <c r="AG19" s="46"/>
      <c r="AH19" s="46" t="str">
        <f>IFERROR(__xludf.DUMMYFUNCTION("""COMPUTED_VALUE"""),"Aliado")</f>
        <v>Aliado</v>
      </c>
      <c r="AI19" s="92" t="str">
        <f>IFERROR(__xludf.DUMMYFUNCTION("""COMPUTED_VALUE"""),"https://lh3.googleusercontent.com/pw/AP1GczP4ZYuEFL9v9GtkczF2WpZdREaQ1KmIqkws2syVSO0tlO3nE5okX1ib2pjW--Xcb7_XaTXtOAKHLInKEMUa_UXog445vdkVIWnZTSOwM3gEbfkhWXTB=w1200|https://lh3.googleusercontent.com/pw/AP1GczOO7gIqg1_vdSkHoV1R0y9eimQwXI4MV84WkdTEIl7sXFlTIx"&amp;"XRaRUnolZudr3GuTq2LcLDXjFveo3eRToKlJuNSCVE4WyLYp_TRWfUHy_Z6_Fb5Kzv=w1200|https://lh3.googleusercontent.com/pw/AP1GczP4NicV_j0EPy-pE70vk5A8F1rmmXeTbK7dXedwvNuQwLXAgeAawmsZ-EKB7-ZccTekFyivHJUveNnUrnyZaI-RIt0lL4K8ySQISLVhTNyL9bmpqROW=w1200|https://lh3.google"&amp;"usercontent.com/pw/AP1GczPrccFb01g0YSFPUA3ueVbKTfb9Q8hfxXEp5NFS0jh8-CZDBoo6IO8VIyuHyyr29lxFq5JKMQK7H6AIsgxPEBSw3IJzQ9IMn8pE0qk_43IS5L_tU3RF=w1200|https://lh3.googleusercontent.com/pw/AP1GczO5iFSzTf2sdkdozGIrp8cHv8G_Bkpkukwdw-WyYXfQ9DEZccG9_tzzFRXJEE7__t9k"&amp;"yJlbDq8hBkE8aXfK0N6pRlR-c-QTNBf6LVkS4PZEKO-NMSDi=w1200|https://lh3.googleusercontent.com/pw/AP1GczMNDq0SjdHcfTn9er0C0ZDJ3XBiSBWR33AQ6LkQmcqNZW_LopD2qkUZmaKIu84QcfJZyALCxzfXCSmjYaMgAkMNNUy63OTGe4B_VvmOYwe4NQZzPjyv=w1200|https://lh3.googleusercontent.com/pw"&amp;"/AP1GczO09lwMag19tT80__H4MyePVbgSY1UXi2ZGnIfXOGxOT9mVkJLMMkcqUUs_JpU2V6Hvg_Ypse0eKeN_D2JkAZFmS1L_vqTTSXeZzNm-WGzoX5kqSdPD=w1200|https://lh3.googleusercontent.com/pw/AP1GczN1CF_jM3UudFdL68LrqfMzt_M0G8dQGXwV6HCwdjUdv5nQIgqrlm820iEM1U6RrhC_aVlwGjD88cv5oMR9Fy"&amp;"zyH7QB43-jkCjV88-ilkgjTimURjfS=w1200|https://lh3.googleusercontent.com/pw/AP1GczOS1cHS5dOppviiuV2sBbzs3gOsg40HGi6di9w0_LyH7o9UdLf7oQ5izcCKBKegNCt4YvJ6aZNHQSHhre3aAJ4M5laPcFSeAXcVPQ8iq8xPMc8bl3Vn=w1200")</f>
        <v>https://lh3.googleusercontent.com/pw/AP1GczP4ZYuEFL9v9GtkczF2WpZdREaQ1KmIqkws2syVSO0tlO3nE5okX1ib2pjW--Xcb7_XaTXtOAKHLInKEMUa_UXog445vdkVIWnZTSOwM3gEbfkhWXTB=w1200|https://lh3.googleusercontent.com/pw/AP1GczOO7gIqg1_vdSkHoV1R0y9eimQwXI4MV84WkdTEIl7sXFlTIxXRaRUnolZudr3GuTq2LcLDXjFveo3eRToKlJuNSCVE4WyLYp_TRWfUHy_Z6_Fb5Kzv=w1200|https://lh3.googleusercontent.com/pw/AP1GczP4NicV_j0EPy-pE70vk5A8F1rmmXeTbK7dXedwvNuQwLXAgeAawmsZ-EKB7-ZccTekFyivHJUveNnUrnyZaI-RIt0lL4K8ySQISLVhTNyL9bmpqROW=w1200|https://lh3.googleusercontent.com/pw/AP1GczPrccFb01g0YSFPUA3ueVbKTfb9Q8hfxXEp5NFS0jh8-CZDBoo6IO8VIyuHyyr29lxFq5JKMQK7H6AIsgxPEBSw3IJzQ9IMn8pE0qk_43IS5L_tU3RF=w1200|https://lh3.googleusercontent.com/pw/AP1GczO5iFSzTf2sdkdozGIrp8cHv8G_Bkpkukwdw-WyYXfQ9DEZccG9_tzzFRXJEE7__t9kyJlbDq8hBkE8aXfK0N6pRlR-c-QTNBf6LVkS4PZEKO-NMSDi=w1200|https://lh3.googleusercontent.com/pw/AP1GczMNDq0SjdHcfTn9er0C0ZDJ3XBiSBWR33AQ6LkQmcqNZW_LopD2qkUZmaKIu84QcfJZyALCxzfXCSmjYaMgAkMNNUy63OTGe4B_VvmOYwe4NQZzPjyv=w1200|https://lh3.googleusercontent.com/pw/AP1GczO09lwMag19tT80__H4MyePVbgSY1UXi2ZGnIfXOGxOT9mVkJLMMkcqUUs_JpU2V6Hvg_Ypse0eKeN_D2JkAZFmS1L_vqTTSXeZzNm-WGzoX5kqSdPD=w1200|https://lh3.googleusercontent.com/pw/AP1GczN1CF_jM3UudFdL68LrqfMzt_M0G8dQGXwV6HCwdjUdv5nQIgqrlm820iEM1U6RrhC_aVlwGjD88cv5oMR9FyzyH7QB43-jkCjV88-ilkgjTimURjfS=w1200|https://lh3.googleusercontent.com/pw/AP1GczOS1cHS5dOppviiuV2sBbzs3gOsg40HGi6di9w0_LyH7o9UdLf7oQ5izcCKBKegNCt4YvJ6aZNHQSHhre3aAJ4M5laPcFSeAXcVPQ8iq8xPMc8bl3Vn=w1200</v>
      </c>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c r="BK19" s="46"/>
      <c r="BL19" s="46"/>
      <c r="BM19" s="46"/>
      <c r="BN19" s="46"/>
      <c r="BO19" s="46"/>
      <c r="BP19" s="46"/>
      <c r="BQ19" s="46"/>
      <c r="BR19" s="46"/>
      <c r="BS19" s="46"/>
      <c r="BT19" s="46"/>
      <c r="BU19" s="46"/>
      <c r="BV19" s="46"/>
      <c r="BW19" s="46"/>
      <c r="BX19" s="46"/>
      <c r="BY19" s="46"/>
      <c r="BZ19" s="46"/>
      <c r="CA19" s="46"/>
      <c r="CB19" s="46"/>
      <c r="CC19" s="46"/>
    </row>
    <row r="20">
      <c r="A20" s="87" t="str">
        <f>IFERROR(__xludf.DUMMYFUNCTION("""COMPUTED_VALUE"""),"381")</f>
        <v>381</v>
      </c>
      <c r="B20" s="46" t="str">
        <f>IFERROR(__xludf.DUMMYFUNCTION("""COMPUTED_VALUE"""),"Casa en barrio El Jardín - Oriente")</f>
        <v>Casa en barrio El Jardín - Oriente</v>
      </c>
      <c r="C20" s="46" t="str">
        <f>IFERROR(__xludf.DUMMYFUNCTION("""COMPUTED_VALUE"""),"Casa")</f>
        <v>Casa</v>
      </c>
      <c r="D20" s="46" t="str">
        <f>IFERROR(__xludf.DUMMYFUNCTION("""COMPUTED_VALUE"""),"El Jardín")</f>
        <v>El Jardín</v>
      </c>
      <c r="E20" s="46"/>
      <c r="F20" s="90">
        <f>IFERROR(__xludf.DUMMYFUNCTION("""COMPUTED_VALUE"""),2.8E8)</f>
        <v>280000000</v>
      </c>
      <c r="G20" s="46" t="str">
        <f>IFERROR(__xludf.DUMMYFUNCTION("""COMPUTED_VALUE"""),"$200'000.000 a $300'000.000")</f>
        <v>$200'000.000 a $300'000.000</v>
      </c>
      <c r="H20" s="46"/>
      <c r="I20" s="46"/>
      <c r="J20" s="46" t="str">
        <f>IFERROR(__xludf.DUMMYFUNCTION("""COMPUTED_VALUE"""),"Oriente")</f>
        <v>Oriente</v>
      </c>
      <c r="K20" s="87" t="str">
        <f>IFERROR(__xludf.DUMMYFUNCTION("""COMPUTED_VALUE"""),"5")</f>
        <v>5</v>
      </c>
      <c r="L20" s="46">
        <f>IFERROR(__xludf.DUMMYFUNCTION("""COMPUTED_VALUE"""),3.0)</f>
        <v>3</v>
      </c>
      <c r="M20" s="46"/>
      <c r="N20" s="46">
        <f>IFERROR(__xludf.DUMMYFUNCTION("""COMPUTED_VALUE"""),3.0)</f>
        <v>3</v>
      </c>
      <c r="O20" s="46">
        <f>IFERROR(__xludf.DUMMYFUNCTION("""COMPUTED_VALUE"""),1.0)</f>
        <v>1</v>
      </c>
      <c r="P20" s="46">
        <f>IFERROR(__xludf.DUMMYFUNCTION("""COMPUTED_VALUE"""),2.0)</f>
        <v>2</v>
      </c>
      <c r="Q20" s="92">
        <f>IFERROR(__xludf.DUMMYFUNCTION("""COMPUTED_VALUE"""),170.0)</f>
        <v>170</v>
      </c>
      <c r="R20" s="92">
        <f>IFERROR(__xludf.DUMMYFUNCTION("""COMPUTED_VALUE"""),90.0)</f>
        <v>90</v>
      </c>
      <c r="S20" s="87" t="str">
        <f>IFERROR(__xludf.DUMMYFUNCTION("""COMPUTED_VALUE""")," ")</f>
        <v> </v>
      </c>
      <c r="T20" s="46" t="str">
        <f>IFERROR(__xludf.DUMMYFUNCTION("""COMPUTED_VALUE"""),"Neiva")</f>
        <v>Neiva</v>
      </c>
      <c r="U20" s="87" t="str">
        <f>IFERROR(__xludf.DUMMYFUNCTION("""COMPUTED_VALUE"""),"2")</f>
        <v>2</v>
      </c>
      <c r="V20" s="46" t="str">
        <f>IFERROR(__xludf.DUMMYFUNCTION("""COMPUTED_VALUE"""),"Medianera")</f>
        <v>Medianera</v>
      </c>
      <c r="W20" s="46"/>
      <c r="X20" s="46">
        <f>IFERROR(__xludf.DUMMYFUNCTION("""COMPUTED_VALUE"""),3.0)</f>
        <v>3</v>
      </c>
      <c r="Y20" s="46" t="str">
        <f>IFERROR(__xludf.DUMMYFUNCTION("""COMPUTED_VALUE"""),"No tiene")</f>
        <v>No tiene</v>
      </c>
      <c r="Z20" s="90" t="str">
        <f>IFERROR(__xludf.DUMMYFUNCTION("""COMPUTED_VALUE"""),"No aplica")</f>
        <v>No aplica</v>
      </c>
      <c r="AA20" s="33" t="str">
        <f>IFERROR(__xludf.DUMMYFUNCTION("""COMPUTED_VALUE"""),"No aplica")</f>
        <v>No aplica</v>
      </c>
      <c r="AB20" s="96" t="str">
        <f>IFERROR(__xludf.DUMMYFUNCTION("""COMPUTED_VALUE"""),"https://photos.app.goo.gl/vvuK4Dk7b1CK5kZF9")</f>
        <v>https://photos.app.goo.gl/vvuK4Dk7b1CK5kZF9</v>
      </c>
      <c r="AC20" s="46" t="str">
        <f>IFERROR(__xludf.DUMMYFUNCTION("""COMPUTED_VALUE"""),"Esta amplia y acogedora casa de dos plantas de estrato 2, ubicada en el tradicional barrio El Jardín en la zona Oriente de Neiva, ofrece una excelente distribución de espacios y una ubicación estratégica con fácil acceso a comercios y transporte público. "&amp;"Al ingresar al primer piso, se recibe a los visitantes con un antejardín enrejado y un cómodo parqueadero privado, dando paso a una iluminada sala y un comedor independiente con pisos de mármol claro pulido. Este nivel se destaca por su funcionalidad al i"&amp;"ntegrar una cocina integral, un baño social, un espacioso patio de ropas ideal para los entusiastas de las plantas y el jardín, y una habitación de servicio con su propio baño privado. Una escalera de diseño clásico con barandas blancas y detalles dorados"&amp;" conecta con el segundo piso, donde la zona privada ofrece 3 habitaciones equipadas con clóset, incluyendo la alcoba principal que goza de baño privado y acceso a un balcón con excelente ventilación natural, complementado con un baño auxiliar para las hab"&amp;"itaciones secundarias (para un total de 3 baños en toda la propiedad).")</f>
        <v>Esta amplia y acogedora casa de dos plantas de estrato 2, ubicada en el tradicional barrio El Jardín en la zona Oriente de Neiva, ofrece una excelente distribución de espacios y una ubicación estratégica con fácil acceso a comercios y transporte público. Al ingresar al primer piso, se recibe a los visitantes con un antejardín enrejado y un cómodo parqueadero privado, dando paso a una iluminada sala y un comedor independiente con pisos de mármol claro pulido. Este nivel se destaca por su funcionalidad al integrar una cocina integral, un baño social, un espacioso patio de ropas ideal para los entusiastas de las plantas y el jardín, y una habitación de servicio con su propio baño privado. Una escalera de diseño clásico con barandas blancas y detalles dorados conecta con el segundo piso, donde la zona privada ofrece 3 habitaciones equipadas con clóset, incluyendo la alcoba principal que goza de baño privado y acceso a un balcón con excelente ventilación natural, complementado con un baño auxiliar para las habitaciones secundarias (para un total de 3 baños en toda la propiedad).</v>
      </c>
      <c r="AD20" s="46" t="str">
        <f>IFERROR(__xludf.DUMMYFUNCTION("""COMPUTED_VALUE"""),"Con una generosa área de 90 m² de lote y unos impresionantes 170 m² construidos, esta vivienda representa una oportunidad perfecta para familias numerosas que buscan comodidad, amplitud y una inversión segura con alta proyección de valorización. Su diseño"&amp;" interior, con techos altos y acabados en madera, garantiza un ambiente fresco y agradable durante todo el año, ideal para resguardarse del clima de la ciudad. Además, la propiedad cuenta con todos sus documentos completamente al día y listos para escritu"&amp;"rar, convirtiéndola en una opción sumamente atractiva y de entrega inmediata para quienes desean mudarse sin complicaciones a un sector residencial tranquilo, seguro y con una conectividad inmejorable en el oriente neivano.")</f>
        <v>Con una generosa área de 90 m² de lote y unos impresionantes 170 m² construidos, esta vivienda representa una oportunidad perfecta para familias numerosas que buscan comodidad, amplitud y una inversión segura con alta proyección de valorización. Su diseño interior, con techos altos y acabados en madera, garantiza un ambiente fresco y agradable durante todo el año, ideal para resguardarse del clima de la ciudad. Además, la propiedad cuenta con todos sus documentos completamente al día y listos para escriturar, convirtiéndola en una opción sumamente atractiva y de entrega inmediata para quienes desean mudarse sin complicaciones a un sector residencial tranquilo, seguro y con una conectividad inmejorable en el oriente neivano.</v>
      </c>
      <c r="AE20" s="46"/>
      <c r="AF20" s="46" t="str">
        <f>IFERROR(__xludf.DUMMYFUNCTION("""COMPUTED_VALUE"""),"integral")</f>
        <v>integral</v>
      </c>
      <c r="AG20" s="46"/>
      <c r="AH20" s="46" t="str">
        <f>IFERROR(__xludf.DUMMYFUNCTION("""COMPUTED_VALUE"""),"Aliado")</f>
        <v>Aliado</v>
      </c>
      <c r="AI20" s="92" t="str">
        <f>IFERROR(__xludf.DUMMYFUNCTION("""COMPUTED_VALUE"""),"https://lh3.googleusercontent.com/pw/AP1GczPgdPFKgqTP4XpilLTNMiSJjGv3Hir55__WXnwTbgraHZmAxOgwMPBerumeX7wBWY6z8ZEutFWqkEbXOK2ygd1zsCqoDjL7NNb4waPOfXCSGTtLZH0k=w1200|https://lh3.googleusercontent.com/pw/AP1GczNzikQ-IRabUk57YAsKmKxsaUCKuszAbGCNSrC-nB_EY2QYqN"&amp;"mAJXEsHcuxxIWdGLTARP4sQWQmPEKHwFMAcdp_PZ3jJASvpWu0aDBbJzX-3fY-Fv7E=w1200|https://lh3.googleusercontent.com/pw/AP1GczO8-UKORBJpSuY6ucH6G_F_nxaRkK6mXmx41nx_ShfsaqcoRVO1v4QdhwdpoUr9VPIIsUiYdim5IBsxPlo1PLLVvpb1lid0TUEPeuhuvXk2j6zDX3Ep=w1200|https://lh3.google"&amp;"usercontent.com/pw/AP1GczNVwzwuxjGSfJWuNYZhwz03u00Fy9fgZxniP_wgC9XMe_h5EXYsquC9LhsISistF5HV621rtgZqbSOlYYLMQB9A4QzPkNpx6IVP1LRanUOOmQTM3c9l=w1200|https://lh3.googleusercontent.com/pw/AP1GczPQ3Bl27BV301v3bMPMFXKqTwCn07UBUvgEz574AkSksVBa55b2hubRKoPy_kuDHUpv"&amp;"YVEzzcTwOa8jNnuti_a1QhMIOuKGN5I-_eRqUjmSdrHMrAQx=w1200|https://lh3.googleusercontent.com/pw/AP1GczPP88UEcrGKrmq5QL9s-dgrTGifelY_JqR6Gp5BSUOowApQQihYgMLKE0PjpOLs7E-QeETbCBFhvNCFXcBzKQxwEIa9TbEwhl_EXI9rg8j1Ak7ZUfRS=w1200|https://lh3.googleusercontent.com/pw"&amp;"/AP1GczOLjEFWb2WrbMI1IE9I-Vt2L9-JVC8jpzZfXwrvgyOFdyK_ADeEF7GESzJ1lYyogva-Kb_yG8xFdLdyc5wug85MFuy8K6odN0mbznFdV1-3bA_0QiDD=w1200|https://lh3.googleusercontent.com/pw/AP1GczNy-SHAPN4jcPjwRJWci9_6IzSnp41t_2UDuoL5K-stGWuOuHSDImxgUfUovIZGDaIMMavP3O9f7-6bCDnPNA"&amp;"L8-CpK074By2EuB4udhVZjxdrkkNK6=w1200")</f>
        <v>https://lh3.googleusercontent.com/pw/AP1GczPgdPFKgqTP4XpilLTNMiSJjGv3Hir55__WXnwTbgraHZmAxOgwMPBerumeX7wBWY6z8ZEutFWqkEbXOK2ygd1zsCqoDjL7NNb4waPOfXCSGTtLZH0k=w1200|https://lh3.googleusercontent.com/pw/AP1GczNzikQ-IRabUk57YAsKmKxsaUCKuszAbGCNSrC-nB_EY2QYqNmAJXEsHcuxxIWdGLTARP4sQWQmPEKHwFMAcdp_PZ3jJASvpWu0aDBbJzX-3fY-Fv7E=w1200|https://lh3.googleusercontent.com/pw/AP1GczO8-UKORBJpSuY6ucH6G_F_nxaRkK6mXmx41nx_ShfsaqcoRVO1v4QdhwdpoUr9VPIIsUiYdim5IBsxPlo1PLLVvpb1lid0TUEPeuhuvXk2j6zDX3Ep=w1200|https://lh3.googleusercontent.com/pw/AP1GczNVwzwuxjGSfJWuNYZhwz03u00Fy9fgZxniP_wgC9XMe_h5EXYsquC9LhsISistF5HV621rtgZqbSOlYYLMQB9A4QzPkNpx6IVP1LRanUOOmQTM3c9l=w1200|https://lh3.googleusercontent.com/pw/AP1GczPQ3Bl27BV301v3bMPMFXKqTwCn07UBUvgEz574AkSksVBa55b2hubRKoPy_kuDHUpvYVEzzcTwOa8jNnuti_a1QhMIOuKGN5I-_eRqUjmSdrHMrAQx=w1200|https://lh3.googleusercontent.com/pw/AP1GczPP88UEcrGKrmq5QL9s-dgrTGifelY_JqR6Gp5BSUOowApQQihYgMLKE0PjpOLs7E-QeETbCBFhvNCFXcBzKQxwEIa9TbEwhl_EXI9rg8j1Ak7ZUfRS=w1200|https://lh3.googleusercontent.com/pw/AP1GczOLjEFWb2WrbMI1IE9I-Vt2L9-JVC8jpzZfXwrvgyOFdyK_ADeEF7GESzJ1lYyogva-Kb_yG8xFdLdyc5wug85MFuy8K6odN0mbznFdV1-3bA_0QiDD=w1200|https://lh3.googleusercontent.com/pw/AP1GczNy-SHAPN4jcPjwRJWci9_6IzSnp41t_2UDuoL5K-stGWuOuHSDImxgUfUovIZGDaIMMavP3O9f7-6bCDnPNAL8-CpK074By2EuB4udhVZjxdrkkNK6=w1200</v>
      </c>
      <c r="AJ20" s="46"/>
      <c r="AK20" s="46"/>
      <c r="AL20" s="46"/>
      <c r="AM20" s="46"/>
      <c r="AN20" s="46"/>
      <c r="AO20" s="46"/>
      <c r="AP20" s="46"/>
      <c r="AQ20" s="46"/>
      <c r="AR20" s="46"/>
      <c r="AS20" s="46"/>
      <c r="AT20" s="46"/>
      <c r="AU20" s="46"/>
      <c r="AV20" s="46"/>
      <c r="AW20" s="46"/>
      <c r="AX20" s="46"/>
      <c r="AY20" s="46"/>
      <c r="AZ20" s="46"/>
      <c r="BA20" s="46"/>
      <c r="BB20" s="46"/>
      <c r="BC20" s="46"/>
      <c r="BD20" s="46"/>
      <c r="BE20" s="46"/>
      <c r="BF20" s="46"/>
      <c r="BG20" s="46"/>
      <c r="BH20" s="46"/>
      <c r="BI20" s="46"/>
      <c r="BJ20" s="46"/>
      <c r="BK20" s="46"/>
      <c r="BL20" s="46"/>
      <c r="BM20" s="46"/>
      <c r="BN20" s="46"/>
      <c r="BO20" s="46"/>
      <c r="BP20" s="46"/>
      <c r="BQ20" s="46"/>
      <c r="BR20" s="46"/>
      <c r="BS20" s="46"/>
      <c r="BT20" s="46"/>
      <c r="BU20" s="46"/>
      <c r="BV20" s="46"/>
      <c r="BW20" s="46"/>
      <c r="BX20" s="46"/>
      <c r="BY20" s="46"/>
      <c r="BZ20" s="46"/>
      <c r="CA20" s="46"/>
      <c r="CB20" s="46"/>
      <c r="CC20" s="46"/>
    </row>
    <row r="21">
      <c r="A21" s="87" t="str">
        <f>IFERROR(__xludf.DUMMYFUNCTION("""COMPUTED_VALUE"""),"361")</f>
        <v>361</v>
      </c>
      <c r="B21" s="46" t="str">
        <f>IFERROR(__xludf.DUMMYFUNCTION("""COMPUTED_VALUE"""),"Casa en barrio Los Manzanos - Sur")</f>
        <v>Casa en barrio Los Manzanos - Sur</v>
      </c>
      <c r="C21" s="46" t="str">
        <f>IFERROR(__xludf.DUMMYFUNCTION("""COMPUTED_VALUE"""),"Casa")</f>
        <v>Casa</v>
      </c>
      <c r="D21" s="46" t="str">
        <f>IFERROR(__xludf.DUMMYFUNCTION("""COMPUTED_VALUE"""),"Los Manzanos")</f>
        <v>Los Manzanos</v>
      </c>
      <c r="E21" s="46"/>
      <c r="F21" s="90">
        <f>IFERROR(__xludf.DUMMYFUNCTION("""COMPUTED_VALUE"""),2.8E8)</f>
        <v>280000000</v>
      </c>
      <c r="G21" s="46" t="str">
        <f>IFERROR(__xludf.DUMMYFUNCTION("""COMPUTED_VALUE"""),"$200'000.000 a $300'000.000")</f>
        <v>$200'000.000 a $300'000.000</v>
      </c>
      <c r="H21" s="46"/>
      <c r="I21" s="46"/>
      <c r="J21" s="46" t="str">
        <f>IFERROR(__xludf.DUMMYFUNCTION("""COMPUTED_VALUE"""),"Sur")</f>
        <v>Sur</v>
      </c>
      <c r="K21" s="87" t="str">
        <f>IFERROR(__xludf.DUMMYFUNCTION("""COMPUTED_VALUE"""),"6")</f>
        <v>6</v>
      </c>
      <c r="L21" s="46">
        <f>IFERROR(__xludf.DUMMYFUNCTION("""COMPUTED_VALUE"""),3.0)</f>
        <v>3</v>
      </c>
      <c r="M21" s="46"/>
      <c r="N21" s="46">
        <f>IFERROR(__xludf.DUMMYFUNCTION("""COMPUTED_VALUE"""),3.0)</f>
        <v>3</v>
      </c>
      <c r="O21" s="46">
        <f>IFERROR(__xludf.DUMMYFUNCTION("""COMPUTED_VALUE"""),1.0)</f>
        <v>1</v>
      </c>
      <c r="P21" s="46">
        <f>IFERROR(__xludf.DUMMYFUNCTION("""COMPUTED_VALUE"""),2.0)</f>
        <v>2</v>
      </c>
      <c r="Q21" s="92">
        <f>IFERROR(__xludf.DUMMYFUNCTION("""COMPUTED_VALUE"""),150.0)</f>
        <v>150</v>
      </c>
      <c r="R21" s="92">
        <f>IFERROR(__xludf.DUMMYFUNCTION("""COMPUTED_VALUE"""),84.0)</f>
        <v>84</v>
      </c>
      <c r="S21" s="87" t="str">
        <f>IFERROR(__xludf.DUMMYFUNCTION("""COMPUTED_VALUE""")," ")</f>
        <v> </v>
      </c>
      <c r="T21" s="46" t="str">
        <f>IFERROR(__xludf.DUMMYFUNCTION("""COMPUTED_VALUE"""),"Neiva")</f>
        <v>Neiva</v>
      </c>
      <c r="U21" s="87" t="str">
        <f>IFERROR(__xludf.DUMMYFUNCTION("""COMPUTED_VALUE"""),"2")</f>
        <v>2</v>
      </c>
      <c r="V21" s="46" t="str">
        <f>IFERROR(__xludf.DUMMYFUNCTION("""COMPUTED_VALUE"""),"Medianera")</f>
        <v>Medianera</v>
      </c>
      <c r="W21" s="46"/>
      <c r="X21" s="46">
        <f>IFERROR(__xludf.DUMMYFUNCTION("""COMPUTED_VALUE"""),3.0)</f>
        <v>3</v>
      </c>
      <c r="Y21" s="46" t="str">
        <f>IFERROR(__xludf.DUMMYFUNCTION("""COMPUTED_VALUE"""),"No tiene")</f>
        <v>No tiene</v>
      </c>
      <c r="Z21" s="90" t="str">
        <f>IFERROR(__xludf.DUMMYFUNCTION("""COMPUTED_VALUE"""),"No aplica")</f>
        <v>No aplica</v>
      </c>
      <c r="AA21" s="33" t="str">
        <f>IFERROR(__xludf.DUMMYFUNCTION("""COMPUTED_VALUE"""),"No aplica")</f>
        <v>No aplica</v>
      </c>
      <c r="AB21" s="96" t="str">
        <f>IFERROR(__xludf.DUMMYFUNCTION("""COMPUTED_VALUE"""),"https://photos.app.goo.gl/rDyBvhQL57ggLCTr5")</f>
        <v>https://photos.app.goo.gl/rDyBvhQL57ggLCTr5</v>
      </c>
      <c r="AC21" s="46" t="str">
        <f>IFERROR(__xludf.DUMMYFUNCTION("""COMPUTED_VALUE"""),"Esta hermosa casa de dos pisos de estrato 2, ubicada en el barrio Los Manzanos en la zona Sur de Neiva, destaca por sus amplios espacios y su gran potencial de ampliación en un área de 84 m². Al ingresar a la propiedad, se encuentra una sala-comedor muy e"&amp;"spaciosa y fresca con pisos de cerámica clara, muros en tonos neutros y buena iluminación natural. Este nivel cuenta con una cocina semi-integral, un baño social y un garaje cubierto con capacidad para un vehículo. Además, la vivienda dispone de una cómod"&amp;"a zona de lavandería independiente y un amplio patio social techado con muros en ladrillo a la vista, el cual ofrece un excelente espacio familiar ideal para proyectar una cuarta habitación o expandir la construcción a futuro. En la segunda planta se dist"&amp;"ribuye el área privada con un total de 3 alcobas y baños adicionales que completan 3 baños en toda la propiedad.")</f>
        <v>Esta hermosa casa de dos pisos de estrato 2, ubicada en el barrio Los Manzanos en la zona Sur de Neiva, destaca por sus amplios espacios y su gran potencial de ampliación en un área de 84 m². Al ingresar a la propiedad, se encuentra una sala-comedor muy espaciosa y fresca con pisos de cerámica clara, muros en tonos neutros y buena iluminación natural. Este nivel cuenta con una cocina semi-integral, un baño social y un garaje cubierto con capacidad para un vehículo. Además, la vivienda dispone de una cómoda zona de lavandería independiente y un amplio patio social techado con muros en ladrillo a la vista, el cual ofrece un excelente espacio familiar ideal para proyectar una cuarta habitación o expandir la construcción a futuro. En la segunda planta se distribuye el área privada con un total de 3 alcobas y baños adicionales que completan 3 baños en toda la propiedad.</v>
      </c>
      <c r="AD21" s="46" t="str">
        <f>IFERROR(__xludf.DUMMYFUNCTION("""COMPUTED_VALUE"""),"La propiedad goza de una ubicación residencial estratégica y muy tranquila, situándose a tan solo dos cuadras de la avenida principal del sur de la ciudad. Vivir en este sector garantiza un acceso inmediato a transporte público, restaurantes, droguerías y"&amp;" comercios variados, además de encontrarse muy cerca de supermercados reconocidos como Popular. Gracias a su excelente distribución, comodidad de sus ambientes y conectividad inmejorable, esta casa se consolida como una alternativa sumamente atractiva de "&amp;"vivienda y como una inversión segura con un alto potencial de valorización constante en el mercado local.")</f>
        <v>La propiedad goza de una ubicación residencial estratégica y muy tranquila, situándose a tan solo dos cuadras de la avenida principal del sur de la ciudad. Vivir en este sector garantiza un acceso inmediato a transporte público, restaurantes, droguerías y comercios variados, además de encontrarse muy cerca de supermercados reconocidos como Popular. Gracias a su excelente distribución, comodidad de sus ambientes y conectividad inmejorable, esta casa se consolida como una alternativa sumamente atractiva de vivienda y como una inversión segura con un alto potencial de valorización constante en el mercado local.</v>
      </c>
      <c r="AE21" s="46"/>
      <c r="AF21" s="46" t="str">
        <f>IFERROR(__xludf.DUMMYFUNCTION("""COMPUTED_VALUE"""),"semi-integral")</f>
        <v>semi-integral</v>
      </c>
      <c r="AG21" s="46"/>
      <c r="AH21" s="46" t="str">
        <f>IFERROR(__xludf.DUMMYFUNCTION("""COMPUTED_VALUE"""),"Aliado")</f>
        <v>Aliado</v>
      </c>
      <c r="AI21" s="92" t="str">
        <f>IFERROR(__xludf.DUMMYFUNCTION("""COMPUTED_VALUE"""),"https://lh3.googleusercontent.com/pw/AP1GczPz-S0243EiBPnA-0P89QMDGtN48-Qvw6r7tC7AJ0Jy_Il7k7P8c02I8GRuI2sknv8Wn4DzZBPjcxQmbJePMZXEvuob-B87ujbbHJCafc2mrbGzho8h=w1200|https://lh3.googleusercontent.com/pw/AP1GczPiXfAOb0KxHLZEmI0mbzjemuWl74mOq4PgG_jnNjLo_q-VOY"&amp;"KyQLCiD7OVHfVbzv4FEY1icgXBeLZQM9koF_xnsBNt1LBP7fZpYwafy6Rn4al8XjsW=w1200|https://lh3.googleusercontent.com/pw/AP1GczPgcjIs0TCK8UpgO-Z1wLd5HSQubOpga8zFi6XLSIo24fdQP53vcQAXpGcsT6HlGTzDBiRMNigORwVA3lHJC5NmtkLtjXYfynJJifIkM2nBc17XOuO6=w1200|https://lh3.google"&amp;"usercontent.com/pw/AP1GczNKKNVhIwJ2EqLgUWXpo6e0DVsILJGGX90wPGhAVM_K47Dki2SNapwffJcu7D0_nP-s5BAS7GCkzCcK9hi32MwuLrU8YvKM-a2GJPHJBJJ1NbkxUlGE=w1200|https://lh3.googleusercontent.com/pw/AP1GczPOTmZ1TfGCnkM0I-JnSJOCXFrvHWdWzQ9LpjGjSoFZIsMujoZsEN0UxDWsUVAUZUfM"&amp;"ubdGXKJjGhUZS8MVVA-8Z1jj7c0lP_lgVSAe3xOqYYXGAYtI=w1200|https://lh3.googleusercontent.com/pw/AP1GczMEI3zrPgXHUT_dIFGOp1sFWQhSjxoCNloQ93iiu2CZp_85HuBAH9KIuWZzHJb1c-D8oQ-4dA3lowoXcgEPCkMTxfVuXWSCC6K0tqMUQ0ABp6nCIrDr=w1200|https://lh3.googleusercontent.com/pw"&amp;"/AP1GczNAIzyQ3Zar7YzDL4J5DWXhZCZwuhARjKd3scCvgVK5Jt5nWp9GgW3InKhIRlCsPQbMllUk7v3RQN9OcC8If5X6NcafhG4FtwDBJGGWfLKMMh2KNbMJ=w1200|https://lh3.googleusercontent.com/pw/AP1GczP-0bnqr6h6PyhcXIt6dPLsE1kuI2Mbx3B_1yk6-An_F4S03FDp66G3hD6BNsCtrhjOuQsGB31P5Wt-5PPhmd"&amp;"G0A7OXKQcT9w8UeNVnOl_yTSGlJmh4=w1200|https://lh3.googleusercontent.com/pw/AP1GczODHrDlP-dukkACVIIcHacUT4xp0UUs3ORLn2nL_q_w0AvH4GxTNanf6Orb3jdWqL1pKnAbas9nbfrDsqBMGVvUmyqxsRgSHrGDqbql0M7FszsgzvyX=w1200")</f>
        <v>https://lh3.googleusercontent.com/pw/AP1GczPz-S0243EiBPnA-0P89QMDGtN48-Qvw6r7tC7AJ0Jy_Il7k7P8c02I8GRuI2sknv8Wn4DzZBPjcxQmbJePMZXEvuob-B87ujbbHJCafc2mrbGzho8h=w1200|https://lh3.googleusercontent.com/pw/AP1GczPiXfAOb0KxHLZEmI0mbzjemuWl74mOq4PgG_jnNjLo_q-VOYKyQLCiD7OVHfVbzv4FEY1icgXBeLZQM9koF_xnsBNt1LBP7fZpYwafy6Rn4al8XjsW=w1200|https://lh3.googleusercontent.com/pw/AP1GczPgcjIs0TCK8UpgO-Z1wLd5HSQubOpga8zFi6XLSIo24fdQP53vcQAXpGcsT6HlGTzDBiRMNigORwVA3lHJC5NmtkLtjXYfynJJifIkM2nBc17XOuO6=w1200|https://lh3.googleusercontent.com/pw/AP1GczNKKNVhIwJ2EqLgUWXpo6e0DVsILJGGX90wPGhAVM_K47Dki2SNapwffJcu7D0_nP-s5BAS7GCkzCcK9hi32MwuLrU8YvKM-a2GJPHJBJJ1NbkxUlGE=w1200|https://lh3.googleusercontent.com/pw/AP1GczPOTmZ1TfGCnkM0I-JnSJOCXFrvHWdWzQ9LpjGjSoFZIsMujoZsEN0UxDWsUVAUZUfMubdGXKJjGhUZS8MVVA-8Z1jj7c0lP_lgVSAe3xOqYYXGAYtI=w1200|https://lh3.googleusercontent.com/pw/AP1GczMEI3zrPgXHUT_dIFGOp1sFWQhSjxoCNloQ93iiu2CZp_85HuBAH9KIuWZzHJb1c-D8oQ-4dA3lowoXcgEPCkMTxfVuXWSCC6K0tqMUQ0ABp6nCIrDr=w1200|https://lh3.googleusercontent.com/pw/AP1GczNAIzyQ3Zar7YzDL4J5DWXhZCZwuhARjKd3scCvgVK5Jt5nWp9GgW3InKhIRlCsPQbMllUk7v3RQN9OcC8If5X6NcafhG4FtwDBJGGWfLKMMh2KNbMJ=w1200|https://lh3.googleusercontent.com/pw/AP1GczP-0bnqr6h6PyhcXIt6dPLsE1kuI2Mbx3B_1yk6-An_F4S03FDp66G3hD6BNsCtrhjOuQsGB31P5Wt-5PPhmdG0A7OXKQcT9w8UeNVnOl_yTSGlJmh4=w1200|https://lh3.googleusercontent.com/pw/AP1GczODHrDlP-dukkACVIIcHacUT4xp0UUs3ORLn2nL_q_w0AvH4GxTNanf6Orb3jdWqL1pKnAbas9nbfrDsqBMGVvUmyqxsRgSHrGDqbql0M7FszsgzvyX=w1200</v>
      </c>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c r="BM21" s="46"/>
      <c r="BN21" s="46"/>
      <c r="BO21" s="46"/>
      <c r="BP21" s="46"/>
      <c r="BQ21" s="46"/>
      <c r="BR21" s="46"/>
      <c r="BS21" s="46"/>
      <c r="BT21" s="46"/>
      <c r="BU21" s="46"/>
      <c r="BV21" s="46"/>
      <c r="BW21" s="46"/>
      <c r="BX21" s="46"/>
      <c r="BY21" s="46"/>
      <c r="BZ21" s="46"/>
      <c r="CA21" s="46"/>
      <c r="CB21" s="46"/>
      <c r="CC21" s="46"/>
    </row>
    <row r="22">
      <c r="A22" s="87" t="str">
        <f>IFERROR(__xludf.DUMMYFUNCTION("""COMPUTED_VALUE"""),"583")</f>
        <v>583</v>
      </c>
      <c r="B22" s="46" t="str">
        <f>IFERROR(__xludf.DUMMYFUNCTION("""COMPUTED_VALUE"""),"Casa en barrio Solo verde - Oriente")</f>
        <v>Casa en barrio Solo verde - Oriente</v>
      </c>
      <c r="C22" s="46" t="str">
        <f>IFERROR(__xludf.DUMMYFUNCTION("""COMPUTED_VALUE"""),"Casa")</f>
        <v>Casa</v>
      </c>
      <c r="D22" s="46" t="str">
        <f>IFERROR(__xludf.DUMMYFUNCTION("""COMPUTED_VALUE"""),"Solo Verde")</f>
        <v>Solo Verde</v>
      </c>
      <c r="E22" s="46"/>
      <c r="F22" s="90">
        <f>IFERROR(__xludf.DUMMYFUNCTION("""COMPUTED_VALUE"""),2.7E8)</f>
        <v>270000000</v>
      </c>
      <c r="G22" s="46" t="str">
        <f>IFERROR(__xludf.DUMMYFUNCTION("""COMPUTED_VALUE"""),"$200'000.000 a $300'000.000")</f>
        <v>$200'000.000 a $300'000.000</v>
      </c>
      <c r="H22" s="46"/>
      <c r="I22" s="46"/>
      <c r="J22" s="46" t="str">
        <f>IFERROR(__xludf.DUMMYFUNCTION("""COMPUTED_VALUE"""),"Oriente")</f>
        <v>Oriente</v>
      </c>
      <c r="K22" s="87" t="str">
        <f>IFERROR(__xludf.DUMMYFUNCTION("""COMPUTED_VALUE"""),"10")</f>
        <v>10</v>
      </c>
      <c r="L22" s="46">
        <f>IFERROR(__xludf.DUMMYFUNCTION("""COMPUTED_VALUE"""),3.0)</f>
        <v>3</v>
      </c>
      <c r="M22" s="46"/>
      <c r="N22" s="46">
        <f>IFERROR(__xludf.DUMMYFUNCTION("""COMPUTED_VALUE"""),2.0)</f>
        <v>2</v>
      </c>
      <c r="O22" s="46">
        <f>IFERROR(__xludf.DUMMYFUNCTION("""COMPUTED_VALUE"""),1.0)</f>
        <v>1</v>
      </c>
      <c r="P22" s="46">
        <f>IFERROR(__xludf.DUMMYFUNCTION("""COMPUTED_VALUE"""),1.0)</f>
        <v>1</v>
      </c>
      <c r="Q22" s="92">
        <f>IFERROR(__xludf.DUMMYFUNCTION("""COMPUTED_VALUE"""),90.0)</f>
        <v>90</v>
      </c>
      <c r="R22" s="92">
        <f>IFERROR(__xludf.DUMMYFUNCTION("""COMPUTED_VALUE"""),90.0)</f>
        <v>90</v>
      </c>
      <c r="S22" s="87" t="str">
        <f>IFERROR(__xludf.DUMMYFUNCTION("""COMPUTED_VALUE""")," ")</f>
        <v> </v>
      </c>
      <c r="T22" s="46" t="str">
        <f>IFERROR(__xludf.DUMMYFUNCTION("""COMPUTED_VALUE"""),"Neiva")</f>
        <v>Neiva</v>
      </c>
      <c r="U22" s="87" t="str">
        <f>IFERROR(__xludf.DUMMYFUNCTION("""COMPUTED_VALUE"""),"2")</f>
        <v>2</v>
      </c>
      <c r="V22" s="46" t="str">
        <f>IFERROR(__xludf.DUMMYFUNCTION("""COMPUTED_VALUE"""),"Medianera")</f>
        <v>Medianera</v>
      </c>
      <c r="W22" s="46"/>
      <c r="X22" s="46">
        <f>IFERROR(__xludf.DUMMYFUNCTION("""COMPUTED_VALUE"""),3.0)</f>
        <v>3</v>
      </c>
      <c r="Y22" s="46" t="str">
        <f>IFERROR(__xludf.DUMMYFUNCTION("""COMPUTED_VALUE"""),"No tiene")</f>
        <v>No tiene</v>
      </c>
      <c r="Z22" s="90" t="str">
        <f>IFERROR(__xludf.DUMMYFUNCTION("""COMPUTED_VALUE"""),"No aplica")</f>
        <v>No aplica</v>
      </c>
      <c r="AA22" s="33" t="str">
        <f>IFERROR(__xludf.DUMMYFUNCTION("""COMPUTED_VALUE"""),"No aplica")</f>
        <v>No aplica</v>
      </c>
      <c r="AB22" s="96" t="str">
        <f>IFERROR(__xludf.DUMMYFUNCTION("""COMPUTED_VALUE"""),"https://photos.app.goo.gl/r22fhDk7SJap2JfB8")</f>
        <v>https://photos.app.goo.gl/r22fhDk7SJap2JfB8</v>
      </c>
      <c r="AC22" s="46" t="str">
        <f>IFERROR(__xludf.DUMMYFUNCTION("""COMPUTED_VALUE"""),"Esta hermosa casa de un solo piso de estrato 2, ubicada en el tranquilo y fresco barrio Solo Verde en la zona Oriente de Neiva, destaca por su excelente estado de conservación y sus acabados modernos listos para disfrutar sin necesidad de remodelaciones. "&amp;"Al ingresar a la propiedad, se encuentra un antejardín enrejado con espacio de parqueadero para un vehículo, el cual da paso a una amplia sala-comedor excelentemente iluminada con pisos de cerámica clara y luces empotradas en un elegante cielo raso de dry"&amp;"wall. El espacio social integra perfectamente una moderna cocina americana con mesón de granito oscuro y gabinetes flotantes en tonos madera, conectando de manera fluida hacia el fondo con un patio de ropas independiente que cuenta con piso texturizado de"&amp;" piedra y una excelente ventilación. En la zona privada se disponen 3 cómodas habitaciones con clósets empotrados en madera clara; la habitación principal está equipada con aire acondicionado y cuenta con su propio baño privado con acabados de lujo y divi"&amp;"sión en vidrio templado, complementándose con un baño auxiliar completo para las alcobas secundarias (para un total de 2 baños en el inmueble).")</f>
        <v>Esta hermosa casa de un solo piso de estrato 2, ubicada en el tranquilo y fresco barrio Solo Verde en la zona Oriente de Neiva, destaca por su excelente estado de conservación y sus acabados modernos listos para disfrutar sin necesidad de remodelaciones. Al ingresar a la propiedad, se encuentra un antejardín enrejado con espacio de parqueadero para un vehículo, el cual da paso a una amplia sala-comedor excelentemente iluminada con pisos de cerámica clara y luces empotradas en un elegante cielo raso de drywall. El espacio social integra perfectamente una moderna cocina americana con mesón de granito oscuro y gabinetes flotantes en tonos madera, conectando de manera fluida hacia el fondo con un patio de ropas independiente que cuenta con piso texturizado de piedra y una excelente ventilación. En la zona privada se disponen 3 cómodas habitaciones con clósets empotrados en madera clara; la habitación principal está equipada con aire acondicionado y cuenta con su propio baño privado con acabados de lujo y división en vidrio templado, complementándose con un baño auxiliar completo para las alcobas secundarias (para un total de 2 baños en el inmueble).</v>
      </c>
      <c r="AD22" s="46" t="str">
        <f>IFERROR(__xludf.DUMMYFUNCTION("""COMPUTED_VALUE"""),"Con un área total de 90 m², esta vivienda se consolida como una oportunidad excepcional tanto para familias que buscan comodidad inmediata como para inversores con visión de futuro, gracias a que su estructura cuenta con plancha lista para la construcción"&amp;" de un segundo piso. Su ubicación estratégica en un sector residencial muy tranquilo garantiza un ambiente fresco, gran proyección de valorización y un acceso sumamente fácil a redes de transporte, zonas comerciales y servicios esenciales en el oriente de"&amp;" la ciudad. Además, la casa se encuentra completamente lista para traspaso inmediato con toda su documentación al día, convirtiéndose en la opción perfecta para quienes desean mudarse de inmediato a un hogar con excelente distribución, estatus y un alto p"&amp;"otencial de expansión.")</f>
        <v>Con un área total de 90 m², esta vivienda se consolida como una oportunidad excepcional tanto para familias que buscan comodidad inmediata como para inversores con visión de futuro, gracias a que su estructura cuenta con plancha lista para la construcción de un segundo piso. Su ubicación estratégica en un sector residencial muy tranquilo garantiza un ambiente fresco, gran proyección de valorización y un acceso sumamente fácil a redes de transporte, zonas comerciales y servicios esenciales en el oriente de la ciudad. Además, la casa se encuentra completamente lista para traspaso inmediato con toda su documentación al día, convirtiéndose en la opción perfecta para quienes desean mudarse de inmediato a un hogar con excelente distribución, estatus y un alto potencial de expansión.</v>
      </c>
      <c r="AE22" s="46"/>
      <c r="AF22" s="46" t="str">
        <f>IFERROR(__xludf.DUMMYFUNCTION("""COMPUTED_VALUE"""),"integral")</f>
        <v>integral</v>
      </c>
      <c r="AG22" s="46"/>
      <c r="AH22" s="46" t="str">
        <f>IFERROR(__xludf.DUMMYFUNCTION("""COMPUTED_VALUE"""),"Aliado")</f>
        <v>Aliado</v>
      </c>
      <c r="AI22" s="92" t="str">
        <f>IFERROR(__xludf.DUMMYFUNCTION("""COMPUTED_VALUE"""),"https://lh3.googleusercontent.com/pw/AP1GczOhrm5LQINQAJqd1GsJgAa99PZprrDjUd7B0fPKq87VExHSd97zqPcOYRNm2f58tX6VZqs38mpPl099vhHSZ2wj7n6enL_K1ElkWQaAr4ZImmTd7FhC=w1200|https://lh3.googleusercontent.com/pw/AP1GczOBuLIWrApWjl0-Hl3oqYPPPNBSEjXFZtGWzA6lOoZ_by0jht"&amp;"S2M_YBJybhVPYl_fPzRPGT62FvnBR-Zp92DorB8Tvy3piyL_ipO7chbanPIjpLXsz7=w1200|https://lh3.googleusercontent.com/pw/AP1GczPHU84rUwcda1xU-vcoesOwX0dgoDnik1UPswNeM_tRvFj2ygvKLjpHnXw6C60ubxCOeMDTd-edzskHRkjdpSSrQwNwt40BJerVp9xAEhPUGoG8aL8i=w1200|https://lh3.google"&amp;"usercontent.com/pw/AP1GczOd5pnn7yXlsG4Jnu63b3CraWKWAzdoIqNPugo1RhhXrboKfA_vf0cUHvWkMFpSS3Ss5Xeh56k7FpbI3aeOp2Cea2FvndXhZ-SDZ-qC7t73yiLTosL4=w1200|https://lh3.googleusercontent.com/pw/AP1GczOJyA4cpdbGx8IFVaUOfT_2i-NBqg1D7JCRJ3M_ULhz0hI33cBBMmhoG-q1uxrcMIBe"&amp;"lsxoVHFymvFE6Z7Tuvhc-VLoXNChv0te0QSSNVOjyZFrEQmL=w1200|https://lh3.googleusercontent.com/pw/AP1GczPxDYiWjLuKMo2q3Vbmbax86Z_EZ7wLEZGVY3y0_dMdwZkPcI6w67JUXZCfgd0YRT9kHvcVtMrg238RgCi60gxQQQdizJtBbWn6E5kyMhtkzhBl2-UG=w1200|https://lh3.googleusercontent.com/pw"&amp;"/AP1GczOVRrcugt8RgVLWvIBsT0HNLuUOWtAMLZuYDPfoj_b9oxlAR7pnLepvYaU1bKaogpheRsYuCS8_IUysDW1U0e4ESaaiPsoDLmvpF93yqgd9YcWW0Bby=w1200|https://lh3.googleusercontent.com/pw/AP1GczPddSdc4HGJHSyRM4mqes_pg1mcNrFB90Wo3CpNKbzLsivglubgn9fXiUoVsn8fpXs4o9k3TSGZ1S7q1tOLKH"&amp;"SeAv1mvgUC1qElDaZQ47gmjCak7_3T=w1200")</f>
        <v>https://lh3.googleusercontent.com/pw/AP1GczOhrm5LQINQAJqd1GsJgAa99PZprrDjUd7B0fPKq87VExHSd97zqPcOYRNm2f58tX6VZqs38mpPl099vhHSZ2wj7n6enL_K1ElkWQaAr4ZImmTd7FhC=w1200|https://lh3.googleusercontent.com/pw/AP1GczOBuLIWrApWjl0-Hl3oqYPPPNBSEjXFZtGWzA6lOoZ_by0jhtS2M_YBJybhVPYl_fPzRPGT62FvnBR-Zp92DorB8Tvy3piyL_ipO7chbanPIjpLXsz7=w1200|https://lh3.googleusercontent.com/pw/AP1GczPHU84rUwcda1xU-vcoesOwX0dgoDnik1UPswNeM_tRvFj2ygvKLjpHnXw6C60ubxCOeMDTd-edzskHRkjdpSSrQwNwt40BJerVp9xAEhPUGoG8aL8i=w1200|https://lh3.googleusercontent.com/pw/AP1GczOd5pnn7yXlsG4Jnu63b3CraWKWAzdoIqNPugo1RhhXrboKfA_vf0cUHvWkMFpSS3Ss5Xeh56k7FpbI3aeOp2Cea2FvndXhZ-SDZ-qC7t73yiLTosL4=w1200|https://lh3.googleusercontent.com/pw/AP1GczOJyA4cpdbGx8IFVaUOfT_2i-NBqg1D7JCRJ3M_ULhz0hI33cBBMmhoG-q1uxrcMIBelsxoVHFymvFE6Z7Tuvhc-VLoXNChv0te0QSSNVOjyZFrEQmL=w1200|https://lh3.googleusercontent.com/pw/AP1GczPxDYiWjLuKMo2q3Vbmbax86Z_EZ7wLEZGVY3y0_dMdwZkPcI6w67JUXZCfgd0YRT9kHvcVtMrg238RgCi60gxQQQdizJtBbWn6E5kyMhtkzhBl2-UG=w1200|https://lh3.googleusercontent.com/pw/AP1GczOVRrcugt8RgVLWvIBsT0HNLuUOWtAMLZuYDPfoj_b9oxlAR7pnLepvYaU1bKaogpheRsYuCS8_IUysDW1U0e4ESaaiPsoDLmvpF93yqgd9YcWW0Bby=w1200|https://lh3.googleusercontent.com/pw/AP1GczPddSdc4HGJHSyRM4mqes_pg1mcNrFB90Wo3CpNKbzLsivglubgn9fXiUoVsn8fpXs4o9k3TSGZ1S7q1tOLKHSeAv1mvgUC1qElDaZQ47gmjCak7_3T=w1200</v>
      </c>
      <c r="AJ22" s="46"/>
      <c r="AK22" s="46"/>
      <c r="AL22" s="46"/>
      <c r="AM22" s="46"/>
      <c r="AN22" s="46"/>
      <c r="AO22" s="46"/>
      <c r="AP22" s="46"/>
      <c r="AQ22" s="46"/>
      <c r="AR22" s="46"/>
      <c r="AS22" s="46"/>
      <c r="AT22" s="46"/>
      <c r="AU22" s="46"/>
      <c r="AV22" s="46"/>
      <c r="AW22" s="46"/>
      <c r="AX22" s="46"/>
      <c r="AY22" s="46"/>
      <c r="AZ22" s="46"/>
      <c r="BA22" s="46"/>
      <c r="BB22" s="46"/>
      <c r="BC22" s="46"/>
      <c r="BD22" s="46"/>
      <c r="BE22" s="46"/>
      <c r="BF22" s="46"/>
      <c r="BG22" s="46"/>
      <c r="BH22" s="46"/>
      <c r="BI22" s="46"/>
      <c r="BJ22" s="46"/>
      <c r="BK22" s="46"/>
      <c r="BL22" s="46"/>
      <c r="BM22" s="46"/>
      <c r="BN22" s="46"/>
      <c r="BO22" s="46"/>
      <c r="BP22" s="46"/>
      <c r="BQ22" s="46"/>
      <c r="BR22" s="46"/>
      <c r="BS22" s="46"/>
      <c r="BT22" s="46"/>
      <c r="BU22" s="46"/>
      <c r="BV22" s="46"/>
      <c r="BW22" s="46"/>
      <c r="BX22" s="46"/>
      <c r="BY22" s="46"/>
      <c r="BZ22" s="46"/>
      <c r="CA22" s="46"/>
      <c r="CB22" s="46"/>
      <c r="CC22" s="46"/>
    </row>
    <row r="23">
      <c r="A23" s="87" t="str">
        <f>IFERROR(__xludf.DUMMYFUNCTION("""COMPUTED_VALUE"""),"338")</f>
        <v>338</v>
      </c>
      <c r="B23" s="46" t="str">
        <f>IFERROR(__xludf.DUMMYFUNCTION("""COMPUTED_VALUE"""),"Casa en barrio Buganviles Primavera - Oriente")</f>
        <v>Casa en barrio Buganviles Primavera - Oriente</v>
      </c>
      <c r="C23" s="46" t="str">
        <f>IFERROR(__xludf.DUMMYFUNCTION("""COMPUTED_VALUE"""),"Casa")</f>
        <v>Casa</v>
      </c>
      <c r="D23" s="46" t="str">
        <f>IFERROR(__xludf.DUMMYFUNCTION("""COMPUTED_VALUE"""),"Buganviles primavera")</f>
        <v>Buganviles primavera</v>
      </c>
      <c r="E23" s="46"/>
      <c r="F23" s="90">
        <f>IFERROR(__xludf.DUMMYFUNCTION("""COMPUTED_VALUE"""),2.7E8)</f>
        <v>270000000</v>
      </c>
      <c r="G23" s="46" t="str">
        <f>IFERROR(__xludf.DUMMYFUNCTION("""COMPUTED_VALUE"""),"$200'000.000 a $300'000.000")</f>
        <v>$200'000.000 a $300'000.000</v>
      </c>
      <c r="H23" s="46"/>
      <c r="I23" s="46"/>
      <c r="J23" s="46" t="str">
        <f>IFERROR(__xludf.DUMMYFUNCTION("""COMPUTED_VALUE"""),"Oriente")</f>
        <v>Oriente</v>
      </c>
      <c r="K23" s="87"/>
      <c r="L23" s="46">
        <f>IFERROR(__xludf.DUMMYFUNCTION("""COMPUTED_VALUE"""),3.0)</f>
        <v>3</v>
      </c>
      <c r="M23" s="46"/>
      <c r="N23" s="46">
        <f>IFERROR(__xludf.DUMMYFUNCTION("""COMPUTED_VALUE"""),2.0)</f>
        <v>2</v>
      </c>
      <c r="O23" s="46">
        <f>IFERROR(__xludf.DUMMYFUNCTION("""COMPUTED_VALUE"""),1.0)</f>
        <v>1</v>
      </c>
      <c r="P23" s="46">
        <f>IFERROR(__xludf.DUMMYFUNCTION("""COMPUTED_VALUE"""),1.0)</f>
        <v>1</v>
      </c>
      <c r="Q23" s="92">
        <f>IFERROR(__xludf.DUMMYFUNCTION("""COMPUTED_VALUE"""),101.0)</f>
        <v>101</v>
      </c>
      <c r="R23" s="92">
        <f>IFERROR(__xludf.DUMMYFUNCTION("""COMPUTED_VALUE"""),101.0)</f>
        <v>101</v>
      </c>
      <c r="S23" s="87" t="str">
        <f>IFERROR(__xludf.DUMMYFUNCTION("""COMPUTED_VALUE""")," ")</f>
        <v> </v>
      </c>
      <c r="T23" s="46" t="str">
        <f>IFERROR(__xludf.DUMMYFUNCTION("""COMPUTED_VALUE"""),"Neiva")</f>
        <v>Neiva</v>
      </c>
      <c r="U23" s="87" t="str">
        <f>IFERROR(__xludf.DUMMYFUNCTION("""COMPUTED_VALUE"""),"4")</f>
        <v>4</v>
      </c>
      <c r="V23" s="46" t="str">
        <f>IFERROR(__xludf.DUMMYFUNCTION("""COMPUTED_VALUE"""),"Medianera")</f>
        <v>Medianera</v>
      </c>
      <c r="W23" s="46"/>
      <c r="X23" s="46">
        <f>IFERROR(__xludf.DUMMYFUNCTION("""COMPUTED_VALUE"""),3.0)</f>
        <v>3</v>
      </c>
      <c r="Y23" s="46" t="str">
        <f>IFERROR(__xludf.DUMMYFUNCTION("""COMPUTED_VALUE"""),"No tiene")</f>
        <v>No tiene</v>
      </c>
      <c r="Z23" s="90" t="str">
        <f>IFERROR(__xludf.DUMMYFUNCTION("""COMPUTED_VALUE"""),"No aplica")</f>
        <v>No aplica</v>
      </c>
      <c r="AA23" s="33" t="str">
        <f>IFERROR(__xludf.DUMMYFUNCTION("""COMPUTED_VALUE"""),"No aplica")</f>
        <v>No aplica</v>
      </c>
      <c r="AB23" s="96" t="str">
        <f>IFERROR(__xludf.DUMMYFUNCTION("""COMPUTED_VALUE"""),"https://photos.app.goo.gl/TKVhauFUqALAtFu48")</f>
        <v>https://photos.app.goo.gl/TKVhauFUqALAtFu48</v>
      </c>
      <c r="AC23" s="46" t="str">
        <f>IFERROR(__xludf.DUMMYFUNCTION("""COMPUTED_VALUE"""),"Esta encantadora casa de un solo piso de estrato 4, ubicada en el barrio Buganviles Primavera al Oriente de Neiva, cuenta con un área total de lote de 101.25 m² con dimensiones de 6.75 metros de frente por 15 metros de fondo. Su distribución interior ofre"&amp;"ce una amplia sala-comedor revestida con pisos de porcelanato claro de alto brillo y muros blancos impecables, complementada por un mueble de entretenimiento empotrado en madera y una cocina integral moderna con mesón de granito texturizado y gabinetes fl"&amp;"otantes en tonos madera clara. La zona privada dispone de 3 habitaciones y 2 baños completos con divisiones de ducha en vidrio templado, azulejos de lujo tipo mármol y modernos lavamanos tipo vasija sobre muebles flotantes. Adicionalmente, el inmueble inc"&amp;"luye un antejardín con reja, un puesto de parqueadero para carro y un funcional patio techado y enrejado para mayor seguridad, el cual destaca por su llamativo piso de piedra en tonos ocres y un muro enchapado con apliques de iluminación moderna.")</f>
        <v>Esta encantadora casa de un solo piso de estrato 4, ubicada en el barrio Buganviles Primavera al Oriente de Neiva, cuenta con un área total de lote de 101.25 m² con dimensiones de 6.75 metros de frente por 15 metros de fondo. Su distribución interior ofrece una amplia sala-comedor revestida con pisos de porcelanato claro de alto brillo y muros blancos impecables, complementada por un mueble de entretenimiento empotrado en madera y una cocina integral moderna con mesón de granito texturizado y gabinetes flotantes en tonos madera clara. La zona privada dispone de 3 habitaciones y 2 baños completos con divisiones de ducha en vidrio templado, azulejos de lujo tipo mármol y modernos lavamanos tipo vasija sobre muebles flotantes. Adicionalmente, el inmueble incluye un antejardín con reja, un puesto de parqueadero para carro y un funcional patio techado y enrejado para mayor seguridad, el cual destaca por su llamativo piso de piedra en tonos ocres y un muro enchapado con apliques de iluminación moderna.</v>
      </c>
      <c r="AD23" s="46" t="str">
        <f>IFERROR(__xludf.DUMMYFUNCTION("""COMPUTED_VALUE"""),"Esta propiedad representa una oportunidad de vivienda excepcional, ideal para familias que buscan un hogar funcional, seguro y con una distribución perfecta lista para mudarse de inmediato. Su ubicación residencial estratégica en el sector de Buganviles P"&amp;"rimavera garantiza un estilo de vida sumamente tranquilo con fácil acceso a todos los servicios esenciales, comercios y vías principales de la zona. Al encontrarse en una de las áreas de mayor crecimiento, proyección y constante valorización de la ciudad,"&amp;" este inmueble asegura una inversión inteligente y altamente atractiva tanto para habitar a largo plazo como para consolidar su patrimonio en el oriente neivano.")</f>
        <v>Esta propiedad representa una oportunidad de vivienda excepcional, ideal para familias que buscan un hogar funcional, seguro y con una distribución perfecta lista para mudarse de inmediato. Su ubicación residencial estratégica en el sector de Buganviles Primavera garantiza un estilo de vida sumamente tranquilo con fácil acceso a todos los servicios esenciales, comercios y vías principales de la zona. Al encontrarse en una de las áreas de mayor crecimiento, proyección y constante valorización de la ciudad, este inmueble asegura una inversión inteligente y altamente atractiva tanto para habitar a largo plazo como para consolidar su patrimonio en el oriente neivano.</v>
      </c>
      <c r="AE23" s="46"/>
      <c r="AF23" s="46" t="str">
        <f>IFERROR(__xludf.DUMMYFUNCTION("""COMPUTED_VALUE"""),"integral")</f>
        <v>integral</v>
      </c>
      <c r="AG23" s="46"/>
      <c r="AH23" s="46" t="str">
        <f>IFERROR(__xludf.DUMMYFUNCTION("""COMPUTED_VALUE"""),"Aliado")</f>
        <v>Aliado</v>
      </c>
      <c r="AI23" s="92" t="str">
        <f>IFERROR(__xludf.DUMMYFUNCTION("""COMPUTED_VALUE"""),"https://lh3.googleusercontent.com/pw/AP1GczN3Enzes4L6Z6R_-UZdLvOWYaR2Rw-UDJ2h-psc38vyzW9tnS70WY905zVk059gJbKh4IIK_Wt5x5kOf0JDvI9XKWufce_5FGoYLkix4eYCDe7Czq-V=w1200|https://lh3.googleusercontent.com/pw/AP1GczNACNs1MiNbpkiCdZj0O-NoUXrCb8RFJXI0sY0wYb7bOGcvXd"&amp;"809L2m-KbaxN9A6wK1klsE_AfG5iSQw8-GCifq5YkPavfWFmsIh41b37RYaFNWcrY-=w1200|https://lh3.googleusercontent.com/pw/AP1GczNNmRE0OgvRHmOoGdD1GjETE3Nn5YP0iSztpZsXcbeCLd4mwl__frJvvrqG3NDMJ4xludGhTE4wlOIEr0fRtexuAmds2QUBy11EYPePct73WM0XcIeb=w1200|https://lh3.google"&amp;"usercontent.com/pw/AP1GczPImxu28M85F7WpPR70C_i56DX4zHK8oW6oA_8vtpZ9eTLjxWF_5x6JH1NdCR8WcZNlfm8woyqgfH9mmU7fQGaMuDljUt3Ba-2gMFeLTNiTMSEx34cx=w1200")</f>
        <v>https://lh3.googleusercontent.com/pw/AP1GczN3Enzes4L6Z6R_-UZdLvOWYaR2Rw-UDJ2h-psc38vyzW9tnS70WY905zVk059gJbKh4IIK_Wt5x5kOf0JDvI9XKWufce_5FGoYLkix4eYCDe7Czq-V=w1200|https://lh3.googleusercontent.com/pw/AP1GczNACNs1MiNbpkiCdZj0O-NoUXrCb8RFJXI0sY0wYb7bOGcvXd809L2m-KbaxN9A6wK1klsE_AfG5iSQw8-GCifq5YkPavfWFmsIh41b37RYaFNWcrY-=w1200|https://lh3.googleusercontent.com/pw/AP1GczNNmRE0OgvRHmOoGdD1GjETE3Nn5YP0iSztpZsXcbeCLd4mwl__frJvvrqG3NDMJ4xludGhTE4wlOIEr0fRtexuAmds2QUBy11EYPePct73WM0XcIeb=w1200|https://lh3.googleusercontent.com/pw/AP1GczPImxu28M85F7WpPR70C_i56DX4zHK8oW6oA_8vtpZ9eTLjxWF_5x6JH1NdCR8WcZNlfm8woyqgfH9mmU7fQGaMuDljUt3Ba-2gMFeLTNiTMSEx34cx=w1200</v>
      </c>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row>
    <row r="24">
      <c r="A24" s="87" t="str">
        <f>IFERROR(__xludf.DUMMYFUNCTION("""COMPUTED_VALUE"""),"376")</f>
        <v>376</v>
      </c>
      <c r="B24" s="46" t="str">
        <f>IFERROR(__xludf.DUMMYFUNCTION("""COMPUTED_VALUE"""),"Casa en barrio Mamzanares V Etapa - Sur")</f>
        <v>Casa en barrio Mamzanares V Etapa - Sur</v>
      </c>
      <c r="C24" s="46" t="str">
        <f>IFERROR(__xludf.DUMMYFUNCTION("""COMPUTED_VALUE"""),"Casa")</f>
        <v>Casa</v>
      </c>
      <c r="D24" s="46" t="str">
        <f>IFERROR(__xludf.DUMMYFUNCTION("""COMPUTED_VALUE"""),"Manzanares")</f>
        <v>Manzanares</v>
      </c>
      <c r="E24" s="46"/>
      <c r="F24" s="90">
        <f>IFERROR(__xludf.DUMMYFUNCTION("""COMPUTED_VALUE"""),2.6E8)</f>
        <v>260000000</v>
      </c>
      <c r="G24" s="46" t="str">
        <f>IFERROR(__xludf.DUMMYFUNCTION("""COMPUTED_VALUE"""),"$200'000.000 a $300'000.000")</f>
        <v>$200'000.000 a $300'000.000</v>
      </c>
      <c r="H24" s="46"/>
      <c r="I24" s="46"/>
      <c r="J24" s="46" t="str">
        <f>IFERROR(__xludf.DUMMYFUNCTION("""COMPUTED_VALUE"""),"Sur")</f>
        <v>Sur</v>
      </c>
      <c r="K24" s="87" t="str">
        <f>IFERROR(__xludf.DUMMYFUNCTION("""COMPUTED_VALUE"""),"6")</f>
        <v>6</v>
      </c>
      <c r="L24" s="46">
        <f>IFERROR(__xludf.DUMMYFUNCTION("""COMPUTED_VALUE"""),4.0)</f>
        <v>4</v>
      </c>
      <c r="M24" s="46"/>
      <c r="N24" s="46">
        <f>IFERROR(__xludf.DUMMYFUNCTION("""COMPUTED_VALUE"""),2.0)</f>
        <v>2</v>
      </c>
      <c r="O24" s="46">
        <f>IFERROR(__xludf.DUMMYFUNCTION("""COMPUTED_VALUE"""),1.0)</f>
        <v>1</v>
      </c>
      <c r="P24" s="46">
        <f>IFERROR(__xludf.DUMMYFUNCTION("""COMPUTED_VALUE"""),2.0)</f>
        <v>2</v>
      </c>
      <c r="Q24" s="92">
        <f>IFERROR(__xludf.DUMMYFUNCTION("""COMPUTED_VALUE"""),120.0)</f>
        <v>120</v>
      </c>
      <c r="R24" s="92">
        <f>IFERROR(__xludf.DUMMYFUNCTION("""COMPUTED_VALUE"""),78.0)</f>
        <v>78</v>
      </c>
      <c r="S24" s="87" t="str">
        <f>IFERROR(__xludf.DUMMYFUNCTION("""COMPUTED_VALUE""")," ")</f>
        <v> </v>
      </c>
      <c r="T24" s="46" t="str">
        <f>IFERROR(__xludf.DUMMYFUNCTION("""COMPUTED_VALUE"""),"Neiva")</f>
        <v>Neiva</v>
      </c>
      <c r="U24" s="87" t="str">
        <f>IFERROR(__xludf.DUMMYFUNCTION("""COMPUTED_VALUE"""),"2")</f>
        <v>2</v>
      </c>
      <c r="V24" s="46" t="str">
        <f>IFERROR(__xludf.DUMMYFUNCTION("""COMPUTED_VALUE"""),"Medianera")</f>
        <v>Medianera</v>
      </c>
      <c r="W24" s="46"/>
      <c r="X24" s="46">
        <f>IFERROR(__xludf.DUMMYFUNCTION("""COMPUTED_VALUE"""),3.0)</f>
        <v>3</v>
      </c>
      <c r="Y24" s="46" t="str">
        <f>IFERROR(__xludf.DUMMYFUNCTION("""COMPUTED_VALUE"""),"No tiene")</f>
        <v>No tiene</v>
      </c>
      <c r="Z24" s="90" t="str">
        <f>IFERROR(__xludf.DUMMYFUNCTION("""COMPUTED_VALUE"""),"No aplica")</f>
        <v>No aplica</v>
      </c>
      <c r="AA24" s="33" t="str">
        <f>IFERROR(__xludf.DUMMYFUNCTION("""COMPUTED_VALUE"""),"No aplica")</f>
        <v>No aplica</v>
      </c>
      <c r="AB24" s="96" t="str">
        <f>IFERROR(__xludf.DUMMYFUNCTION("""COMPUTED_VALUE"""),"https://photos.app.goo.gl/CH4YEvTXutjj2dCF7")</f>
        <v>https://photos.app.goo.gl/CH4YEvTXutjj2dCF7</v>
      </c>
      <c r="AC24" s="46" t="str">
        <f>IFERROR(__xludf.DUMMYFUNCTION("""COMPUTED_VALUE"""),"Este exclusivo apartamento de estrato 4, destaca por sus impecables acabados modernos y una distribución inteligente que optimiza cada espacio. La zona social cuenta con pisos en porcelanato brillante de gran formato y muros con pintura lisa blanca que po"&amp;"tencian la iluminación natural, conectando con un balcón privado ideal para disfrutar de la vista urbana. La cocina integral de concepto abierto está completamente equipada con estufa empotrada, campana extractora, horno, mesón en granito oscuro y elegant"&amp;"es muebles superiores e inferiores en RH texturizado de tono madera. El inmueble dispone de 3 habitaciones con amplios clósets empotrados de techo a piso y 2 baños modernos con divisiones en vidrio templado, grifería de alta gama, lavamanos sobre mesón y "&amp;"enchapes cerámicos de lujo en las zonas húmedas; complementando su funcionalidad con una zona de ropas independiente, un estudio o sala de TV y un garaje privado cubierto en sótano.")</f>
        <v>Este exclusivo apartamento de estrato 4, destaca por sus impecables acabados modernos y una distribución inteligente que optimiza cada espacio. La zona social cuenta con pisos en porcelanato brillante de gran formato y muros con pintura lisa blanca que potencian la iluminación natural, conectando con un balcón privado ideal para disfrutar de la vista urbana. La cocina integral de concepto abierto está completamente equipada con estufa empotrada, campana extractora, horno, mesón en granito oscuro y elegantes muebles superiores e inferiores en RH texturizado de tono madera. El inmueble dispone de 3 habitaciones con amplios clósets empotrados de techo a piso y 2 baños modernos con divisiones en vidrio templado, grifería de alta gama, lavamanos sobre mesón y enchapes cerámicos de lujo en las zonas húmedas; complementando su funcionalidad con una zona de ropas independiente, un estudio o sala de TV y un garaje privado cubierto en sótano.</v>
      </c>
      <c r="AD24" s="46" t="str">
        <f>IFERROR(__xludf.DUMMYFUNCTION("""COMPUTED_VALUE"""),"Ubicado en una de las zonas de mayor valorización de Neiva, este apartamento es la oportunidad perfecta para quienes buscan confort, estatus y una inversión segura. Su diseño contemporáneo y listos acabados garantizan que no tendrá que gastar un solo peso"&amp;" en remodelaciones, mientras que sus amplios ventanales aseguran frescura constante y una iluminación envidiable durante todo el día. Además, el conjunto residencial ofrece una experiencia de vida tipo club con exclusivas amenidades que incluyen piscina p"&amp;"ara adultos y niños, parque infantil, zonas verdes, gimnasio equipado, salón social y vigilancia privada las 24 horas, todo esto a pocos minutos de centros comerciales, colegios y las principales vías de la ciudad.")</f>
        <v>Ubicado en una de las zonas de mayor valorización de Neiva, este apartamento es la oportunidad perfecta para quienes buscan confort, estatus y una inversión segura. Su diseño contemporáneo y listos acabados garantizan que no tendrá que gastar un solo peso en remodelaciones, mientras que sus amplios ventanales aseguran frescura constante y una iluminación envidiable durante todo el día. Además, el conjunto residencial ofrece una experiencia de vida tipo club con exclusivas amenidades que incluyen piscina para adultos y niños, parque infantil, zonas verdes, gimnasio equipado, salón social y vigilancia privada las 24 horas, todo esto a pocos minutos de centros comerciales, colegios y las principales vías de la ciudad.</v>
      </c>
      <c r="AE24" s="46"/>
      <c r="AF24" s="46" t="str">
        <f>IFERROR(__xludf.DUMMYFUNCTION("""COMPUTED_VALUE"""),"básica")</f>
        <v>básica</v>
      </c>
      <c r="AG24" s="46"/>
      <c r="AH24" s="46" t="str">
        <f>IFERROR(__xludf.DUMMYFUNCTION("""COMPUTED_VALUE"""),"Aliado")</f>
        <v>Aliado</v>
      </c>
      <c r="AI24" s="92" t="str">
        <f>IFERROR(__xludf.DUMMYFUNCTION("""COMPUTED_VALUE"""),"https://lh3.googleusercontent.com/pw/AP1GczMYtBlS7xJVI_-plI9Pet-2qR5V9-kCSiy64DgoZxfsYJbJ5bKDX1aZ2h5MLpbTERIj3hln5YvbeClhGfr_TPD3xkALw5kL6Ht4_V4iXAbxjBcpxPvc=w1200|https://lh3.googleusercontent.com/pw/AP1GczPTtJq6hQAVkUprOohuHqHNnN-dhXsT7TJCnSyJqaf-OXZeVX"&amp;"W8L1D-5zgCjdy1WVmf6lZ53T4RK55uYcxVCuUfOCaARcTj97dbqPrRL5Nb-rR4zrXB=w1200|https://lh3.googleusercontent.com/pw/AP1GczMALEgAWlVBsB46N38SHcc0hdrJYhn45xffPDNODDlCr5DDQMYB18feQq-wOMzdGCLCZbZaNTH629hL3uktmWQY_OySXzfxdeF31zmx17NEklTmUlgU=w1200|https://lh3.google"&amp;"usercontent.com/pw/AP1GczMIZ3tbt36tPE4z52o_NTvdHv9e2GAYECC-6nnowqxMaQohWupATXhDA6TIyvegQV7FfdcAMgO50vMhMK6PW18zguplev7EgG5uskQ0xUVhLCwml5k0=w1200|https://lh3.googleusercontent.com/pw/AP1GczP8mCCfMc_gYbxRiCJqxf8gfAQRSu-hmidp6fKCijQ9ONnHBxbgyLjdxZpbyVZdw4-D"&amp;"dyzgLYYdVDJZiS5rS9kq6RP7L-ZREUp5EzYim_DNIb9TGewY=w1200|https://lh3.googleusercontent.com/pw/AP1GczP5RGfLd55IxoKIGgwkTvMkeOADv2FaFJQxKhxCp1GveQNOYQ_rN4HIcA3pR76rKY1TmTiym1OtRKWyAM-v-5IORRbyHTt68X5Hf7yIlksQc0EIdrF7=w1200|https://lh3.googleusercontent.com/pw"&amp;"/AP1GczPMsiPsSMB9ogyvfPi6SeG_ba3H0XmA9MhKDkdIijzrl87ciw6_d55MOppUmDykkrIPRnI--Bp6777qN4uS61KBNU0vBhStjhxhEXRUAD71SCNgfVJL=w1200|https://lh3.googleusercontent.com/pw/AP1GczMwa-DB_e89PMznapfzn9B4ygeT0gfdyT1nGbaembjF6Jr8UN04XWr1eu1BxMM6VxSACYVmqSALXzhM_FeZsV"&amp;"f7K-4Fm6YErFSVLhyPRGMhSujSAsrb=w1200|https://lh3.googleusercontent.com/pw/AP1GczOASsW7b0ClUQdbSWVNZU423hRLUSVYmvOWw5BeVeysuVIWOte0TyUuTsPssRwHq-3w28a8azaN8FUO7Kquvk-ImSj7VzniztfrrfMJNX4kIQnBZYLD=w1200")</f>
        <v>https://lh3.googleusercontent.com/pw/AP1GczMYtBlS7xJVI_-plI9Pet-2qR5V9-kCSiy64DgoZxfsYJbJ5bKDX1aZ2h5MLpbTERIj3hln5YvbeClhGfr_TPD3xkALw5kL6Ht4_V4iXAbxjBcpxPvc=w1200|https://lh3.googleusercontent.com/pw/AP1GczPTtJq6hQAVkUprOohuHqHNnN-dhXsT7TJCnSyJqaf-OXZeVXW8L1D-5zgCjdy1WVmf6lZ53T4RK55uYcxVCuUfOCaARcTj97dbqPrRL5Nb-rR4zrXB=w1200|https://lh3.googleusercontent.com/pw/AP1GczMALEgAWlVBsB46N38SHcc0hdrJYhn45xffPDNODDlCr5DDQMYB18feQq-wOMzdGCLCZbZaNTH629hL3uktmWQY_OySXzfxdeF31zmx17NEklTmUlgU=w1200|https://lh3.googleusercontent.com/pw/AP1GczMIZ3tbt36tPE4z52o_NTvdHv9e2GAYECC-6nnowqxMaQohWupATXhDA6TIyvegQV7FfdcAMgO50vMhMK6PW18zguplev7EgG5uskQ0xUVhLCwml5k0=w1200|https://lh3.googleusercontent.com/pw/AP1GczP8mCCfMc_gYbxRiCJqxf8gfAQRSu-hmidp6fKCijQ9ONnHBxbgyLjdxZpbyVZdw4-DdyzgLYYdVDJZiS5rS9kq6RP7L-ZREUp5EzYim_DNIb9TGewY=w1200|https://lh3.googleusercontent.com/pw/AP1GczP5RGfLd55IxoKIGgwkTvMkeOADv2FaFJQxKhxCp1GveQNOYQ_rN4HIcA3pR76rKY1TmTiym1OtRKWyAM-v-5IORRbyHTt68X5Hf7yIlksQc0EIdrF7=w1200|https://lh3.googleusercontent.com/pw/AP1GczPMsiPsSMB9ogyvfPi6SeG_ba3H0XmA9MhKDkdIijzrl87ciw6_d55MOppUmDykkrIPRnI--Bp6777qN4uS61KBNU0vBhStjhxhEXRUAD71SCNgfVJL=w1200|https://lh3.googleusercontent.com/pw/AP1GczMwa-DB_e89PMznapfzn9B4ygeT0gfdyT1nGbaembjF6Jr8UN04XWr1eu1BxMM6VxSACYVmqSALXzhM_FeZsVf7K-4Fm6YErFSVLhyPRGMhSujSAsrb=w1200|https://lh3.googleusercontent.com/pw/AP1GczOASsW7b0ClUQdbSWVNZU423hRLUSVYmvOWw5BeVeysuVIWOte0TyUuTsPssRwHq-3w28a8azaN8FUO7Kquvk-ImSj7VzniztfrrfMJNX4kIQnBZYLD=w1200</v>
      </c>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row>
    <row r="25">
      <c r="A25" s="87" t="str">
        <f>IFERROR(__xludf.DUMMYFUNCTION("""COMPUTED_VALUE"""),"281")</f>
        <v>281</v>
      </c>
      <c r="B25" s="46" t="str">
        <f>IFERROR(__xludf.DUMMYFUNCTION("""COMPUTED_VALUE"""),"Lote - Sur (Unicentro)")</f>
        <v>Lote - Sur (Unicentro)</v>
      </c>
      <c r="C25" s="46" t="str">
        <f>IFERROR(__xludf.DUMMYFUNCTION("""COMPUTED_VALUE"""),"Lote")</f>
        <v>Lote</v>
      </c>
      <c r="D25" s="46"/>
      <c r="E25" s="46"/>
      <c r="F25" s="90">
        <f>IFERROR(__xludf.DUMMYFUNCTION("""COMPUTED_VALUE"""),2.2E8)</f>
        <v>220000000</v>
      </c>
      <c r="G25" s="46" t="str">
        <f>IFERROR(__xludf.DUMMYFUNCTION("""COMPUTED_VALUE"""),"$200'000.000 a $300'000.000")</f>
        <v>$200'000.000 a $300'000.000</v>
      </c>
      <c r="H25" s="46"/>
      <c r="I25" s="46"/>
      <c r="J25" s="46" t="str">
        <f>IFERROR(__xludf.DUMMYFUNCTION("""COMPUTED_VALUE"""),"Sur")</f>
        <v>Sur</v>
      </c>
      <c r="K25" s="87"/>
      <c r="L25" s="46">
        <f>IFERROR(__xludf.DUMMYFUNCTION("""COMPUTED_VALUE"""),0.0)</f>
        <v>0</v>
      </c>
      <c r="M25" s="46"/>
      <c r="N25" s="46">
        <f>IFERROR(__xludf.DUMMYFUNCTION("""COMPUTED_VALUE"""),0.0)</f>
        <v>0</v>
      </c>
      <c r="O25" s="46">
        <f>IFERROR(__xludf.DUMMYFUNCTION("""COMPUTED_VALUE"""),0.0)</f>
        <v>0</v>
      </c>
      <c r="P25" s="46">
        <f>IFERROR(__xludf.DUMMYFUNCTION("""COMPUTED_VALUE"""),0.0)</f>
        <v>0</v>
      </c>
      <c r="Q25" s="92">
        <f>IFERROR(__xludf.DUMMYFUNCTION("""COMPUTED_VALUE"""),0.0)</f>
        <v>0</v>
      </c>
      <c r="R25" s="92">
        <f>IFERROR(__xludf.DUMMYFUNCTION("""COMPUTED_VALUE"""),517.0)</f>
        <v>517</v>
      </c>
      <c r="S25" s="87" t="str">
        <f>IFERROR(__xludf.DUMMYFUNCTION("""COMPUTED_VALUE""")," ")</f>
        <v> </v>
      </c>
      <c r="T25" s="46" t="str">
        <f>IFERROR(__xludf.DUMMYFUNCTION("""COMPUTED_VALUE"""),"Neiva")</f>
        <v>Neiva</v>
      </c>
      <c r="U25" s="87"/>
      <c r="V25" s="46" t="str">
        <f>IFERROR(__xludf.DUMMYFUNCTION("""COMPUTED_VALUE"""),"Medianero")</f>
        <v>Medianero</v>
      </c>
      <c r="W25" s="46"/>
      <c r="X25" s="46">
        <f>IFERROR(__xludf.DUMMYFUNCTION("""COMPUTED_VALUE"""),0.0)</f>
        <v>0</v>
      </c>
      <c r="Y25" s="46" t="str">
        <f>IFERROR(__xludf.DUMMYFUNCTION("""COMPUTED_VALUE"""),"Social")</f>
        <v>Social</v>
      </c>
      <c r="Z25" s="90"/>
      <c r="AA25" s="33" t="str">
        <f>IFERROR(__xludf.DUMMYFUNCTION("""COMPUTED_VALUE"""),"No aplica")</f>
        <v>No aplica</v>
      </c>
      <c r="AB25" s="96" t="str">
        <f>IFERROR(__xludf.DUMMYFUNCTION("""COMPUTED_VALUE"""),"https://photos.app.goo.gl/NS7pzPKcrED8cEss8")</f>
        <v>https://photos.app.goo.gl/NS7pzPKcrED8cEss8</v>
      </c>
      <c r="AC25" s="46" t="str">
        <f>IFERROR(__xludf.DUMMYFUNCTION("""COMPUTED_VALUE"""),"Terreno en venta ideal para desarrollo constructivo, por lo que no cuenta con una edificación interna con acabados, muros o habitaciones tradicionales. El lote posee un área total aproximada de 517 metros cuadrados, de los cuales cuenta con un área constr"&amp;"uible definida de 325.2 metros cuadrados, mientras que el espacio restante está destinado para un antejardín aprovechable para zonas comunes o lúdicas. Adicionalmente, cuenta con un importante frente en bahía de 34.5 metros que ya incorpora 3 parqueaderos"&amp;" establecidos, con la viabilidad técnica y normativa de habilitar hasta 5 parqueaderos adicionales (de 2.30 m x 5 m) para consolidar un total de 8 estacionamientos exteriores.")</f>
        <v>Terreno en venta ideal para desarrollo constructivo, por lo que no cuenta con una edificación interna con acabados, muros o habitaciones tradicionales. El lote posee un área total aproximada de 517 metros cuadrados, de los cuales cuenta con un área construible definida de 325.2 metros cuadrados, mientras que el espacio restante está destinado para un antejardín aprovechable para zonas comunes o lúdicas. Adicionalmente, cuenta con un importante frente en bahía de 34.5 metros que ya incorpora 3 parqueaderos establecidos, con la viabilidad técnica y normativa de habilitar hasta 5 parqueaderos adicionales (de 2.30 m x 5 m) para consolidar un total de 8 estacionamientos exteriores.</v>
      </c>
      <c r="AD25" s="46" t="str">
        <f>IFERROR(__xludf.DUMMYFUNCTION("""COMPUTED_VALUE"""),"La oportunidad de adquirir este predio destaca de inmediato gracias a sus extraordinarios beneficios normativos y de ubicación, ya que la reglamentación vigente autoriza la construcción de un edificio de hasta 10 pisos. Al estar situado dentro de una unid"&amp;"ad cerrada con portería, el proyecto se beneficiará directamente de excelentes amenidades ya disponibles como piscinas, dos canchas deportivas, juegos infantiles y amplias zonas verdes, con la enorme ventaja jurídica de no estar cobijado por la Ley 675 de"&amp;" propiedad horizontal, otorgando total libertad para edificar dentro del conjunto. Su localización estratégica en Neiva, a solo unos pasos del centro comercial Unicentro, entidades bancarias y a escasos 5 minutos del centro de la ciudad, lo convierte en u"&amp;"na opción inigualable y de altísima demanda para inversionistas que deseen desarrollar un proyecto de alto valor con un potencial radicalmente superior al de los edificios circundantes del sector.")</f>
        <v>La oportunidad de adquirir este predio destaca de inmediato gracias a sus extraordinarios beneficios normativos y de ubicación, ya que la reglamentación vigente autoriza la construcción de un edificio de hasta 10 pisos. Al estar situado dentro de una unidad cerrada con portería, el proyecto se beneficiará directamente de excelentes amenidades ya disponibles como piscinas, dos canchas deportivas, juegos infantiles y amplias zonas verdes, con la enorme ventaja jurídica de no estar cobijado por la Ley 675 de propiedad horizontal, otorgando total libertad para edificar dentro del conjunto. Su localización estratégica en Neiva, a solo unos pasos del centro comercial Unicentro, entidades bancarias y a escasos 5 minutos del centro de la ciudad, lo convierte en una opción inigualable y de altísima demanda para inversionistas que deseen desarrollar un proyecto de alto valor con un potencial radicalmente superior al de los edificios circundantes del sector.</v>
      </c>
      <c r="AE25" s="46"/>
      <c r="AF25" s="46">
        <f>IFERROR(__xludf.DUMMYFUNCTION("""COMPUTED_VALUE"""),0.0)</f>
        <v>0</v>
      </c>
      <c r="AG25" s="46"/>
      <c r="AH25" s="46" t="str">
        <f>IFERROR(__xludf.DUMMYFUNCTION("""COMPUTED_VALUE"""),"Aliado")</f>
        <v>Aliado</v>
      </c>
      <c r="AI25" s="92" t="str">
        <f>IFERROR(__xludf.DUMMYFUNCTION("""COMPUTED_VALUE"""),"https://lh3.googleusercontent.com/pw/AP1GczNiaaacT0E7rOrGf0FGcHezc76gHFyaWIX2lsi97o6OA3xUry9WDx6foGmoOcOTHJH5EtXG7zPdCaX--HhsjgSNLXldapukVxod3vCDmclOocoGpY-w=w1200|https://lh3.googleusercontent.com/pw/AP1GczMtEcqTxRz-lVEIhMceManGDO67sTIvbsZIJaFVtG7h4J8uBp"&amp;"jigJBpVs04fGTFf-cY0jnXBtGja0AYwSH4CQXeAB2tDdAFjKtgGjSUgAiNWmF_duN6=w1200|https://lh3.googleusercontent.com/pw/AP1GczNEcgvnI3uXI52TKSynGIjjxf7hP7GsPUfBOcswNvSY5WwuA7TRt94D9s3aSJhpPOBprbQcEt4rtinwEnlqQS6N5T293vAJK665TCHPsAJyUZG6bE73=w1200|https://lh3.google"&amp;"usercontent.com/pw/AP1GczOGB_lmu8yhdT0dpNUcqi3cOFbbk4ASt7Vfd-Tago6Cnepi9j2eC77PifUscxhb35mmJ10Fjz-RNXxzl3C31jZW6JPbRdiFVdD_V7Yxz707HVCsU2ZF=w1200|https://lh3.googleusercontent.com/pw/AP1GczPLnqd59zOgurZmOX8ObYWIEMz7bn4bVEkhgrlmbcTaPNDHDKcVEcWTh6WTmZA7HNOy"&amp;"oY2Akdu7Rmm58MU1wxUOSq-eBzJ9YtFUn_M4uea85ieRyg5F=w1200|https://lh3.googleusercontent.com/pw/AP1GczN4tv-Pcm6yTAiI81xZFz7vGLqIAeYKG2pr9iQu04A9LkS9Nz4z533CERlyZhDi8UumS_Lk3tc9X5vLtNHqa_QKswrSFD2uyu62xnDOHBRu_LxCPb1r=w1200|https://lh3.googleusercontent.com/pw"&amp;"/AP1GczP706dzLU-OPAhoY5HLWWU3y2-nfefA4l5UUhXCSfXJqW9K6BtxwxbxqW_79ExewNCIdpsOgGKNmbQLYuDu1Q9QSxAmyhJI4W5x9ocmqtU_vfQZF2PP=w1200|https://lh3.googleusercontent.com/pw/AP1GczOzRnGohvWTcWA9QherqZddOaPPi3KsbrixKI7Yq9QRrxahO1P6-QY8wJfpSf_-KCCnyM9s4ZHt4u9ZUi_cSc"&amp;"H22FKjqhY3XYwJoen7vJWHHjv4TPtc=w1200|https://lh3.googleusercontent.com/pw/AP1GczPocFo5RjZgIZFl5nSlxhW8_OpsvAN70Md3tSieJXFc1UeAskigGnPLsI0d2Ef9R0noWJUxD69VZeWwR2V1oACSzvK3uPbIKihNgWuM9Pp3zeurL1E4=w1200")</f>
        <v>https://lh3.googleusercontent.com/pw/AP1GczNiaaacT0E7rOrGf0FGcHezc76gHFyaWIX2lsi97o6OA3xUry9WDx6foGmoOcOTHJH5EtXG7zPdCaX--HhsjgSNLXldapukVxod3vCDmclOocoGpY-w=w1200|https://lh3.googleusercontent.com/pw/AP1GczMtEcqTxRz-lVEIhMceManGDO67sTIvbsZIJaFVtG7h4J8uBpjigJBpVs04fGTFf-cY0jnXBtGja0AYwSH4CQXeAB2tDdAFjKtgGjSUgAiNWmF_duN6=w1200|https://lh3.googleusercontent.com/pw/AP1GczNEcgvnI3uXI52TKSynGIjjxf7hP7GsPUfBOcswNvSY5WwuA7TRt94D9s3aSJhpPOBprbQcEt4rtinwEnlqQS6N5T293vAJK665TCHPsAJyUZG6bE73=w1200|https://lh3.googleusercontent.com/pw/AP1GczOGB_lmu8yhdT0dpNUcqi3cOFbbk4ASt7Vfd-Tago6Cnepi9j2eC77PifUscxhb35mmJ10Fjz-RNXxzl3C31jZW6JPbRdiFVdD_V7Yxz707HVCsU2ZF=w1200|https://lh3.googleusercontent.com/pw/AP1GczPLnqd59zOgurZmOX8ObYWIEMz7bn4bVEkhgrlmbcTaPNDHDKcVEcWTh6WTmZA7HNOyoY2Akdu7Rmm58MU1wxUOSq-eBzJ9YtFUn_M4uea85ieRyg5F=w1200|https://lh3.googleusercontent.com/pw/AP1GczN4tv-Pcm6yTAiI81xZFz7vGLqIAeYKG2pr9iQu04A9LkS9Nz4z533CERlyZhDi8UumS_Lk3tc9X5vLtNHqa_QKswrSFD2uyu62xnDOHBRu_LxCPb1r=w1200|https://lh3.googleusercontent.com/pw/AP1GczP706dzLU-OPAhoY5HLWWU3y2-nfefA4l5UUhXCSfXJqW9K6BtxwxbxqW_79ExewNCIdpsOgGKNmbQLYuDu1Q9QSxAmyhJI4W5x9ocmqtU_vfQZF2PP=w1200|https://lh3.googleusercontent.com/pw/AP1GczOzRnGohvWTcWA9QherqZddOaPPi3KsbrixKI7Yq9QRrxahO1P6-QY8wJfpSf_-KCCnyM9s4ZHt4u9ZUi_cScH22FKjqhY3XYwJoen7vJWHHjv4TPtc=w1200|https://lh3.googleusercontent.com/pw/AP1GczPocFo5RjZgIZFl5nSlxhW8_OpsvAN70Md3tSieJXFc1UeAskigGnPLsI0d2Ef9R0noWJUxD69VZeWwR2V1oACSzvK3uPbIKihNgWuM9Pp3zeurL1E4=w1200</v>
      </c>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row>
    <row r="26">
      <c r="A26" s="87" t="str">
        <f>IFERROR(__xludf.DUMMYFUNCTION("""COMPUTED_VALUE"""),"880")</f>
        <v>880</v>
      </c>
      <c r="B26" s="46" t="str">
        <f>IFERROR(__xludf.DUMMYFUNCTION("""COMPUTED_VALUE"""),"Apartamento en conjunto Residencial Goya Sur")</f>
        <v>Apartamento en conjunto Residencial Goya Sur</v>
      </c>
      <c r="C26" s="46" t="str">
        <f>IFERROR(__xludf.DUMMYFUNCTION("""COMPUTED_VALUE"""),"Apartamento en conjunto")</f>
        <v>Apartamento en conjunto</v>
      </c>
      <c r="D26" s="46"/>
      <c r="E26" s="46" t="str">
        <f>IFERROR(__xludf.DUMMYFUNCTION("""COMPUTED_VALUE"""),"Conjunto Residencial Goya")</f>
        <v>Conjunto Residencial Goya</v>
      </c>
      <c r="F26" s="90">
        <f>IFERROR(__xludf.DUMMYFUNCTION("""COMPUTED_VALUE"""),1.55E8)</f>
        <v>155000000</v>
      </c>
      <c r="G26" s="46" t="str">
        <f>IFERROR(__xludf.DUMMYFUNCTION("""COMPUTED_VALUE"""),"$100'000.000 a $200'000.000")</f>
        <v>$100'000.000 a $200'000.000</v>
      </c>
      <c r="H26" s="46"/>
      <c r="I26" s="46"/>
      <c r="J26" s="46" t="str">
        <f>IFERROR(__xludf.DUMMYFUNCTION("""COMPUTED_VALUE"""),"Sur")</f>
        <v>Sur</v>
      </c>
      <c r="K26" s="87"/>
      <c r="L26" s="46">
        <f>IFERROR(__xludf.DUMMYFUNCTION("""COMPUTED_VALUE"""),3.0)</f>
        <v>3</v>
      </c>
      <c r="M26" s="46"/>
      <c r="N26" s="46">
        <f>IFERROR(__xludf.DUMMYFUNCTION("""COMPUTED_VALUE"""),1.0)</f>
        <v>1</v>
      </c>
      <c r="O26" s="46">
        <f>IFERROR(__xludf.DUMMYFUNCTION("""COMPUTED_VALUE"""),1.0)</f>
        <v>1</v>
      </c>
      <c r="P26" s="46">
        <f>IFERROR(__xludf.DUMMYFUNCTION("""COMPUTED_VALUE"""),2.0)</f>
        <v>2</v>
      </c>
      <c r="Q26" s="92">
        <f>IFERROR(__xludf.DUMMYFUNCTION("""COMPUTED_VALUE"""),50.0)</f>
        <v>50</v>
      </c>
      <c r="R26" s="92">
        <f>IFERROR(__xludf.DUMMYFUNCTION("""COMPUTED_VALUE"""),50.0)</f>
        <v>50</v>
      </c>
      <c r="S26" s="87" t="str">
        <f>IFERROR(__xludf.DUMMYFUNCTION("""COMPUTED_VALUE""")," ")</f>
        <v> </v>
      </c>
      <c r="T26" s="46" t="str">
        <f>IFERROR(__xludf.DUMMYFUNCTION("""COMPUTED_VALUE"""),"Neiva")</f>
        <v>Neiva</v>
      </c>
      <c r="U26" s="87" t="str">
        <f>IFERROR(__xludf.DUMMYFUNCTION("""COMPUTED_VALUE"""),"3")</f>
        <v>3</v>
      </c>
      <c r="V26" s="46" t="str">
        <f>IFERROR(__xludf.DUMMYFUNCTION("""COMPUTED_VALUE"""),"2o.")</f>
        <v>2o.</v>
      </c>
      <c r="W26" s="46"/>
      <c r="X26" s="46">
        <f>IFERROR(__xludf.DUMMYFUNCTION("""COMPUTED_VALUE"""),3.0)</f>
        <v>3</v>
      </c>
      <c r="Y26" s="46" t="str">
        <f>IFERROR(__xludf.DUMMYFUNCTION("""COMPUTED_VALUE"""),"Social")</f>
        <v>Social</v>
      </c>
      <c r="Z26" s="90">
        <f>IFERROR(__xludf.DUMMYFUNCTION("""COMPUTED_VALUE"""),121000.0)</f>
        <v>121000</v>
      </c>
      <c r="AA26" s="33" t="str">
        <f>IFERROR(__xludf.DUMMYFUNCTION("""COMPUTED_VALUE"""),"No aplica")</f>
        <v>No aplica</v>
      </c>
      <c r="AB26" s="96" t="str">
        <f>IFERROR(__xludf.DUMMYFUNCTION("""COMPUTED_VALUE"""),"https://photos.app.goo.gl/wWHWhsTijAo9dYEY6")</f>
        <v>https://photos.app.goo.gl/wWHWhsTijAo9dYEY6</v>
      </c>
      <c r="AC26" s="46" t="str">
        <f>IFERROR(__xludf.DUMMYFUNCTION("""COMPUTED_VALUE"""),"Este acogedor apartamento de 50 m², ubicado en el segundo piso del Conjunto Residencial Goya, se destaca por su excelente iluminación natural y modernos acabados listos para estrenar. Su distribución inteligente optimiza cada espacio, ofreciendo una cómod"&amp;"a sala-comedor con balcón privado, cocina integral equipada, patio de ropas independiente, tres confortables habitaciones (dos de ellas con clóset integrado) y un baño social completamente terminado con detalles de excelente gusto.")</f>
        <v>Este acogedor apartamento de 50 m², ubicado en el segundo piso del Conjunto Residencial Goya, se destaca por su excelente iluminación natural y modernos acabados listos para estrenar. Su distribución inteligente optimiza cada espacio, ofreciendo una cómoda sala-comedor con balcón privado, cocina integral equipada, patio de ropas independiente, tres confortables habitaciones (dos de ellas con clóset integrado) y un baño social completamente terminado con detalles de excelente gusto.</v>
      </c>
      <c r="AD26" s="46" t="str">
        <f>IFERROR(__xludf.DUMMYFUNCTION("""COMPUTED_VALUE"""),"Situado en una zona de alta valorización y con un entorno muy tranquilo en el sur de Neiva, este inmueble de estrato 3 es la alternativa perfecta tanto para familias que buscan su hogar ideal como para inversionistas. El conjunto residencial garantiza una"&amp;" gran calidad de vida gracias a sus completas zonas sociales, que incluyen piscina para adultos y niños, parque infantil, salón social y un esquema de portería con vigilancia privada, asegurando confort, conectividad y bienestar total. Parqueadero Comunal"&amp;".")</f>
        <v>Situado en una zona de alta valorización y con un entorno muy tranquilo en el sur de Neiva, este inmueble de estrato 3 es la alternativa perfecta tanto para familias que buscan su hogar ideal como para inversionistas. El conjunto residencial garantiza una gran calidad de vida gracias a sus completas zonas sociales, que incluyen piscina para adultos y niños, parque infantil, salón social y un esquema de portería con vigilancia privada, asegurando confort, conectividad y bienestar total. Parqueadero Comunal.</v>
      </c>
      <c r="AE26" s="46"/>
      <c r="AF26" s="46" t="str">
        <f>IFERROR(__xludf.DUMMYFUNCTION("""COMPUTED_VALUE"""),"integral")</f>
        <v>integral</v>
      </c>
      <c r="AG26" s="46"/>
      <c r="AH26" s="46" t="str">
        <f>IFERROR(__xludf.DUMMYFUNCTION("""COMPUTED_VALUE"""),"Aliado")</f>
        <v>Aliado</v>
      </c>
      <c r="AI26" s="92" t="str">
        <f>IFERROR(__xludf.DUMMYFUNCTION("""COMPUTED_VALUE"""),"https://lh3.googleusercontent.com/pw/AP1GczMH4Bqj0S_tARbhXG-5P34rQAHquaruJIDxJ4k8HFkJLvBkanwHWaUKL-azmLlSm1GkaKm23aMuNgeUo2nc94PR1_RpWUZeG1qH4gjzehAP50nCbabq=w1200|https://lh3.googleusercontent.com/pw/AP1GczPxEHVZdeY_oiLzhmdH-YpHl0gI8fWXVq5z-HLvDfPydX_3du"&amp;"Q-JLQn3pFrUIhVHhuknpnt_f7anvU4I8T5jk0qOZEX0peBLCS6Hym-D-4VCnxIvf0z=w1200|https://lh3.googleusercontent.com/pw/AP1GczNJGmhJIBFnGfLKvtleLsliQhkX1FIJbT5kWaFZvt0IiQsIXXpvDvAk044up9cqtcyC70VLjrMscTTVRdx-icyWJQQ7lphtEnL9Jt3U9PTcElde-Xgk=w1200|https://lh3.google"&amp;"usercontent.com/pw/AP1GczOmwW3J7JBUg2saiqXFb7VtqxFLq2P_zl_F4wTr6d64ORZMWdair0TyBUK5fzAemqHIuF9NuDKv6yn_B5eMcZr3OHQdSQ7HwL9YFe6KtD-8ZMFhXyrT=w1200|https://lh3.googleusercontent.com/pw/AP1GczNou8aDqcWczOXnjjP9GQNMkd5XfOsbUbHwlYbKaQexYcQaG-7N0pacXPDEb4bmBTOc"&amp;"z9eqVdHzjJD-FFD5zle66VKNB9TQ6ybQ00-fkekUVuaGVgeO=w1200|https://lh3.googleusercontent.com/pw/AP1GczP4OWUp3Ch9VEfUMNLGCSnNMEHdl40VMnTGXCXtoDGiKTSFHISu-TxV4FGjSaty6yRHf9le0K8nkYXLe879vSDULd_klwRlC-LlZk3AIq7DTe-N8Svj=w1200|https://lh3.googleusercontent.com/pw"&amp;"/AP1GczOl6zFTgJB5ntBbq-pWREq0jfmM_cCJiT3EEkEdL23prMWILNkyPjU54hYPz208duJO6uFeCXT7JR7-qGNo3p36vwwom4P4neqWPm560EtPhYRwPptz=w1200|https://lh3.googleusercontent.com/pw/AP1GczNrXMkWziP-rUqVFcB56-woW5mrBn792EMk6M8OfJu7Iojosp-_wFyo3AOxJVjizED3Kfz8AUOukGw5M7FxL_"&amp;"B-QgWnO1Ibhwv9awDrNAPWIpAJwfQc=w1200|https://lh3.googleusercontent.com/pw/AP1GczO2y8IvPJq1Hup5GIOqyL1fAaxd2QgMfn8jrYfPghq89pCqNnlF7gqRzGVmRqBK_PDHG6HEIG-mTl0Hqvjx5xmWDhs0GC7Rwu1EbRKEwZkhNnlvlXL3=w1200|https://lh3.googleusercontent.com/pw/AP1GczPZb4XEAqAH6"&amp;"ksk3R2Ef9Lite2JuEZEKK_94E-3fqOsAZ5-YLMv5KVR0DGMiyikGidQXRJFA7IQwV3i0wBznHhLvuT5KhgoK58nsnIL46n3TEnDxEvb=w1200|https://lh3.googleusercontent.com/pw/AP1GczNQ5qHIEGWxpxZ0bsB_TZX3eeeCjkhSzqoRKtiobEmrtyUEH_7xzYxRqfQ_JWcsaLYUiZV1k8DoLFnMQQCf3CEJqehfUOlalmii9LM0"&amp;"DvzhhlMGSusb=w1200|https://lh3.googleusercontent.com/pw/AP1GczM98PQIlBZ8kxwkDBO_jMUKHMqRzX6pdvttGzOaYLKga7so27O7oe5BnuaHZW4tVIhYXXT9Jy3MkM84xelTAmlPkozPNDgmpQ7j7jGyIJKhiIrGtq-l=w1200|https://lh3.googleusercontent.com/pw/AP1GczND8jwA4k0esCBTQq2tVA9kpub9QIN"&amp;"xRyzIpfa8TbsiCYEULwBL_2bC3zXUSWjj3uZpgolk_I5e8FNg6qcAdB7w1oaeVaNIshMJujiUtLOrBC04oeGS=w1200|https://lh3.googleusercontent.com/pw/AP1GczMl9yPAkq1P0wjdfB57nzC-S-Hh3qC21T02F6_CDU7DbguHP5uoNu95hHK0PFL74iCMYMVq1ZCPezcHoP1hFBpDCT6vQphcGNnYb6Jp3eewuR4dqLYx=w1200")</f>
        <v>https://lh3.googleusercontent.com/pw/AP1GczMH4Bqj0S_tARbhXG-5P34rQAHquaruJIDxJ4k8HFkJLvBkanwHWaUKL-azmLlSm1GkaKm23aMuNgeUo2nc94PR1_RpWUZeG1qH4gjzehAP50nCbabq=w1200|https://lh3.googleusercontent.com/pw/AP1GczPxEHVZdeY_oiLzhmdH-YpHl0gI8fWXVq5z-HLvDfPydX_3duQ-JLQn3pFrUIhVHhuknpnt_f7anvU4I8T5jk0qOZEX0peBLCS6Hym-D-4VCnxIvf0z=w1200|https://lh3.googleusercontent.com/pw/AP1GczNJGmhJIBFnGfLKvtleLsliQhkX1FIJbT5kWaFZvt0IiQsIXXpvDvAk044up9cqtcyC70VLjrMscTTVRdx-icyWJQQ7lphtEnL9Jt3U9PTcElde-Xgk=w1200|https://lh3.googleusercontent.com/pw/AP1GczOmwW3J7JBUg2saiqXFb7VtqxFLq2P_zl_F4wTr6d64ORZMWdair0TyBUK5fzAemqHIuF9NuDKv6yn_B5eMcZr3OHQdSQ7HwL9YFe6KtD-8ZMFhXyrT=w1200|https://lh3.googleusercontent.com/pw/AP1GczNou8aDqcWczOXnjjP9GQNMkd5XfOsbUbHwlYbKaQexYcQaG-7N0pacXPDEb4bmBTOcz9eqVdHzjJD-FFD5zle66VKNB9TQ6ybQ00-fkekUVuaGVgeO=w1200|https://lh3.googleusercontent.com/pw/AP1GczP4OWUp3Ch9VEfUMNLGCSnNMEHdl40VMnTGXCXtoDGiKTSFHISu-TxV4FGjSaty6yRHf9le0K8nkYXLe879vSDULd_klwRlC-LlZk3AIq7DTe-N8Svj=w1200|https://lh3.googleusercontent.com/pw/AP1GczOl6zFTgJB5ntBbq-pWREq0jfmM_cCJiT3EEkEdL23prMWILNkyPjU54hYPz208duJO6uFeCXT7JR7-qGNo3p36vwwom4P4neqWPm560EtPhYRwPptz=w1200|https://lh3.googleusercontent.com/pw/AP1GczNrXMkWziP-rUqVFcB56-woW5mrBn792EMk6M8OfJu7Iojosp-_wFyo3AOxJVjizED3Kfz8AUOukGw5M7FxL_B-QgWnO1Ibhwv9awDrNAPWIpAJwfQc=w1200|https://lh3.googleusercontent.com/pw/AP1GczO2y8IvPJq1Hup5GIOqyL1fAaxd2QgMfn8jrYfPghq89pCqNnlF7gqRzGVmRqBK_PDHG6HEIG-mTl0Hqvjx5xmWDhs0GC7Rwu1EbRKEwZkhNnlvlXL3=w1200|https://lh3.googleusercontent.com/pw/AP1GczPZb4XEAqAH6ksk3R2Ef9Lite2JuEZEKK_94E-3fqOsAZ5-YLMv5KVR0DGMiyikGidQXRJFA7IQwV3i0wBznHhLvuT5KhgoK58nsnIL46n3TEnDxEvb=w1200|https://lh3.googleusercontent.com/pw/AP1GczNQ5qHIEGWxpxZ0bsB_TZX3eeeCjkhSzqoRKtiobEmrtyUEH_7xzYxRqfQ_JWcsaLYUiZV1k8DoLFnMQQCf3CEJqehfUOlalmii9LM0DvzhhlMGSusb=w1200|https://lh3.googleusercontent.com/pw/AP1GczM98PQIlBZ8kxwkDBO_jMUKHMqRzX6pdvttGzOaYLKga7so27O7oe5BnuaHZW4tVIhYXXT9Jy3MkM84xelTAmlPkozPNDgmpQ7j7jGyIJKhiIrGtq-l=w1200|https://lh3.googleusercontent.com/pw/AP1GczND8jwA4k0esCBTQq2tVA9kpub9QINxRyzIpfa8TbsiCYEULwBL_2bC3zXUSWjj3uZpgolk_I5e8FNg6qcAdB7w1oaeVaNIshMJujiUtLOrBC04oeGS=w1200|https://lh3.googleusercontent.com/pw/AP1GczMl9yPAkq1P0wjdfB57nzC-S-Hh3qC21T02F6_CDU7DbguHP5uoNu95hHK0PFL74iCMYMVq1ZCPezcHoP1hFBpDCT6vQphcGNnYb6Jp3eewuR4dqLYx=w1200</v>
      </c>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row>
    <row r="27">
      <c r="A27" s="87" t="str">
        <f>IFERROR(__xludf.DUMMYFUNCTION("""COMPUTED_VALUE"""),"548")</f>
        <v>548</v>
      </c>
      <c r="B27" s="46" t="str">
        <f>IFERROR(__xludf.DUMMYFUNCTION("""COMPUTED_VALUE"""),"Apartamento en Conjunto Residencial El Tesoro - Oriente")</f>
        <v>Apartamento en Conjunto Residencial El Tesoro - Oriente</v>
      </c>
      <c r="C27" s="46" t="str">
        <f>IFERROR(__xludf.DUMMYFUNCTION("""COMPUTED_VALUE"""),"Apartamento en conjunto")</f>
        <v>Apartamento en conjunto</v>
      </c>
      <c r="D27" s="46"/>
      <c r="E27" s="46" t="str">
        <f>IFERROR(__xludf.DUMMYFUNCTION("""COMPUTED_VALUE"""),"Conjunto Residencial El Tesoro ")</f>
        <v>Conjunto Residencial El Tesoro </v>
      </c>
      <c r="F27" s="90">
        <f>IFERROR(__xludf.DUMMYFUNCTION("""COMPUTED_VALUE"""),1.5E8)</f>
        <v>150000000</v>
      </c>
      <c r="G27" s="46" t="str">
        <f>IFERROR(__xludf.DUMMYFUNCTION("""COMPUTED_VALUE"""),"$100'000.000 a $200'000.000")</f>
        <v>$100'000.000 a $200'000.000</v>
      </c>
      <c r="H27" s="46"/>
      <c r="I27" s="46"/>
      <c r="J27" s="46" t="str">
        <f>IFERROR(__xludf.DUMMYFUNCTION("""COMPUTED_VALUE"""),"Oriente")</f>
        <v>Oriente</v>
      </c>
      <c r="K27" s="87"/>
      <c r="L27" s="46">
        <f>IFERROR(__xludf.DUMMYFUNCTION("""COMPUTED_VALUE"""),3.0)</f>
        <v>3</v>
      </c>
      <c r="M27" s="46"/>
      <c r="N27" s="46">
        <f>IFERROR(__xludf.DUMMYFUNCTION("""COMPUTED_VALUE"""),1.0)</f>
        <v>1</v>
      </c>
      <c r="O27" s="46">
        <f>IFERROR(__xludf.DUMMYFUNCTION("""COMPUTED_VALUE"""),1.0)</f>
        <v>1</v>
      </c>
      <c r="P27" s="46">
        <f>IFERROR(__xludf.DUMMYFUNCTION("""COMPUTED_VALUE"""),5.0)</f>
        <v>5</v>
      </c>
      <c r="Q27" s="92">
        <f>IFERROR(__xludf.DUMMYFUNCTION("""COMPUTED_VALUE"""),57.0)</f>
        <v>57</v>
      </c>
      <c r="R27" s="92">
        <f>IFERROR(__xludf.DUMMYFUNCTION("""COMPUTED_VALUE"""),57.0)</f>
        <v>57</v>
      </c>
      <c r="S27" s="87" t="str">
        <f>IFERROR(__xludf.DUMMYFUNCTION("""COMPUTED_VALUE""")," ")</f>
        <v> </v>
      </c>
      <c r="T27" s="46" t="str">
        <f>IFERROR(__xludf.DUMMYFUNCTION("""COMPUTED_VALUE"""),"Neiva")</f>
        <v>Neiva</v>
      </c>
      <c r="U27" s="87" t="str">
        <f>IFERROR(__xludf.DUMMYFUNCTION("""COMPUTED_VALUE"""),"2")</f>
        <v>2</v>
      </c>
      <c r="V27" s="46" t="str">
        <f>IFERROR(__xludf.DUMMYFUNCTION("""COMPUTED_VALUE"""),"5to.")</f>
        <v>5to.</v>
      </c>
      <c r="W27" s="46"/>
      <c r="X27" s="46">
        <f>IFERROR(__xludf.DUMMYFUNCTION("""COMPUTED_VALUE"""),3.0)</f>
        <v>3</v>
      </c>
      <c r="Y27" s="46" t="str">
        <f>IFERROR(__xludf.DUMMYFUNCTION("""COMPUTED_VALUE"""),"Social")</f>
        <v>Social</v>
      </c>
      <c r="Z27" s="90"/>
      <c r="AA27" s="33" t="str">
        <f>IFERROR(__xludf.DUMMYFUNCTION("""COMPUTED_VALUE"""),"No aplica")</f>
        <v>No aplica</v>
      </c>
      <c r="AB27" s="96" t="str">
        <f>IFERROR(__xludf.DUMMYFUNCTION("""COMPUTED_VALUE"""),"https://photos.app.goo.gl/265YVLp17oWXSbTu9")</f>
        <v>https://photos.app.goo.gl/265YVLp17oWXSbTu9</v>
      </c>
      <c r="AC27" s="46" t="str">
        <f>IFERROR(__xludf.DUMMYFUNCTION("""COMPUTED_VALUE"""),"Este moderno apartamento SIN ESTRENAR de 57 m² ofrece un diseño inteligente y funcional que maximiza cada metro cuadrado para su comodidad. Ubicado en un quinto piso, destaca por su excelente iluminación natural y una frescura envidiable en todas sus área"&amp;"s. Su distribución incluye una amplia sala-comedor ideal para compartir en familia, una cocina sencilla lista para adaptar a su gusto, y tres habitaciones bien distribuidas que optimizan la privacidad. La habitación principal está diseñada como un espacio"&amp;" especialmente fresco y confortable, conectando de manera práctica con el baño del hogar, convirtiendo este apartamento en el lienzo en blanco perfecto para comenzar una nueva etapa.")</f>
        <v>Este moderno apartamento SIN ESTRENAR de 57 m² ofrece un diseño inteligente y funcional que maximiza cada metro cuadrado para su comodidad. Ubicado en un quinto piso, destaca por su excelente iluminación natural y una frescura envidiable en todas sus áreas. Su distribución incluye una amplia sala-comedor ideal para compartir en familia, una cocina sencilla lista para adaptar a su gusto, y tres habitaciones bien distribuidas que optimizan la privacidad. La habitación principal está diseñada como un espacio especialmente fresco y confortable, conectando de manera práctica con el baño del hogar, convirtiendo este apartamento en el lienzo en blanco perfecto para comenzar una nueva etapa.</v>
      </c>
      <c r="AD27" s="46" t="str">
        <f>IFERROR(__xludf.DUMMYFUNCTION("""COMPUTED_VALUE"""),"Situado en el cotizado sector oriente de Neiva, dentro del Condominio El Tesoro, esta propiedad representa una oportunidad de inversión insuperable en estrato 2, garantizando bajos costos fijos y una altísima demanda de arrendamiento. El conjunto residenc"&amp;"ial ofrece un estilo de vida ideal con amenidades como piscina para adultos y niños, salón social para sus eventos y un parqueadero comunal amplio y suficiente. Además, cuenta con el gran atractivo de recibir Caja Honor, facilitando el proceso de compra p"&amp;"ara miembros de las fuerzas públicas. Es la opción perfecta para asegurar su patrimonio en una zona tranquila, segura y con una proyección de valorización imparable.")</f>
        <v>Situado en el cotizado sector oriente de Neiva, dentro del Condominio El Tesoro, esta propiedad representa una oportunidad de inversión insuperable en estrato 2, garantizando bajos costos fijos y una altísima demanda de arrendamiento. El conjunto residencial ofrece un estilo de vida ideal con amenidades como piscina para adultos y niños, salón social para sus eventos y un parqueadero comunal amplio y suficiente. Además, cuenta con el gran atractivo de recibir Caja Honor, facilitando el proceso de compra para miembros de las fuerzas públicas. Es la opción perfecta para asegurar su patrimonio en una zona tranquila, segura y con una proyección de valorización imparable.</v>
      </c>
      <c r="AE27" s="46"/>
      <c r="AF27" s="46" t="str">
        <f>IFERROR(__xludf.DUMMYFUNCTION("""COMPUTED_VALUE"""),"básica")</f>
        <v>básica</v>
      </c>
      <c r="AG27" s="46"/>
      <c r="AH27" s="46" t="str">
        <f>IFERROR(__xludf.DUMMYFUNCTION("""COMPUTED_VALUE"""),"Aliado")</f>
        <v>Aliado</v>
      </c>
      <c r="AI27" s="92" t="str">
        <f>IFERROR(__xludf.DUMMYFUNCTION("""COMPUTED_VALUE"""),"https://lh3.googleusercontent.com/pw/AP1GczP3aEwmok9iWUu0F31SqI0PbPE5sdtYLAvMJ4dRT5Z-xE8HVAr17P_c2uoLqk9zH68Ab-W0TZVYnVPEwe18fQ0Hb1f2wndywAryYMOiZWBa1OTBwMwQ=w1200|https://lh3.googleusercontent.com/pw/AP1GczO9b_Ro-r1PEDzKIqxHuQcmQnxtHgYX4J7tVmuxVmIzL0o5k-"&amp;"_bdrhbRLKz6A7jQT0Ojnc3UD7aCf82J7cvBhfcNDjU1_mE0-9KLrEyQErGAly6QFvq=w1200|https://lh3.googleusercontent.com/pw/AP1GczOmcJzA1V0VnDftCovRgJId5SH4VeaDvxBtUL6SmCW9dB4XTifp_KT8fH4J5J8kkG6f_UK3gjB8CQZffyukbfIOrrKtf5QfsXL8CvEo45bTqiNBPycn=w1200|https://lh3.google"&amp;"usercontent.com/pw/AP1GczNVYx0y04_8utCsaY3CgK2IeOunHYnz_PorlWpeWCXjGViuo3gSjIfQtxYiV3OioVpMwW3nItMzx2D4hUwTYhJc8Y9qta0PJF6klz2qN5J5zZvnQ7d_=w1200")</f>
        <v>https://lh3.googleusercontent.com/pw/AP1GczP3aEwmok9iWUu0F31SqI0PbPE5sdtYLAvMJ4dRT5Z-xE8HVAr17P_c2uoLqk9zH68Ab-W0TZVYnVPEwe18fQ0Hb1f2wndywAryYMOiZWBa1OTBwMwQ=w1200|https://lh3.googleusercontent.com/pw/AP1GczO9b_Ro-r1PEDzKIqxHuQcmQnxtHgYX4J7tVmuxVmIzL0o5k-_bdrhbRLKz6A7jQT0Ojnc3UD7aCf82J7cvBhfcNDjU1_mE0-9KLrEyQErGAly6QFvq=w1200|https://lh3.googleusercontent.com/pw/AP1GczOmcJzA1V0VnDftCovRgJId5SH4VeaDvxBtUL6SmCW9dB4XTifp_KT8fH4J5J8kkG6f_UK3gjB8CQZffyukbfIOrrKtf5QfsXL8CvEo45bTqiNBPycn=w1200|https://lh3.googleusercontent.com/pw/AP1GczNVYx0y04_8utCsaY3CgK2IeOunHYnz_PorlWpeWCXjGViuo3gSjIfQtxYiV3OioVpMwW3nItMzx2D4hUwTYhJc8Y9qta0PJF6klz2qN5J5zZvnQ7d_=w1200</v>
      </c>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row>
    <row r="28">
      <c r="A28" s="87" t="str">
        <f>IFERROR(__xludf.DUMMYFUNCTION("""COMPUTED_VALUE"""),"077")</f>
        <v>077</v>
      </c>
      <c r="B28" s="46" t="str">
        <f>IFERROR(__xludf.DUMMYFUNCTION("""COMPUTED_VALUE"""),"Lote campestre en conjunto Novaterra - Palermo")</f>
        <v>Lote campestre en conjunto Novaterra - Palermo</v>
      </c>
      <c r="C28" s="46" t="str">
        <f>IFERROR(__xludf.DUMMYFUNCTION("""COMPUTED_VALUE"""),"Lote campestre en conjunto")</f>
        <v>Lote campestre en conjunto</v>
      </c>
      <c r="D28" s="46"/>
      <c r="E28" s="46" t="str">
        <f>IFERROR(__xludf.DUMMYFUNCTION("""COMPUTED_VALUE"""),"Conjunto Novaterra")</f>
        <v>Conjunto Novaterra</v>
      </c>
      <c r="F28" s="90">
        <f>IFERROR(__xludf.DUMMYFUNCTION("""COMPUTED_VALUE"""),1.36E8)</f>
        <v>136000000</v>
      </c>
      <c r="G28" s="46" t="str">
        <f>IFERROR(__xludf.DUMMYFUNCTION("""COMPUTED_VALUE"""),"$100'000.000 a $200'000.000")</f>
        <v>$100'000.000 a $200'000.000</v>
      </c>
      <c r="H28" s="46"/>
      <c r="I28" s="46"/>
      <c r="J28" s="46" t="str">
        <f>IFERROR(__xludf.DUMMYFUNCTION("""COMPUTED_VALUE"""),"Sur")</f>
        <v>Sur</v>
      </c>
      <c r="K28" s="87"/>
      <c r="L28" s="46">
        <f>IFERROR(__xludf.DUMMYFUNCTION("""COMPUTED_VALUE"""),0.0)</f>
        <v>0</v>
      </c>
      <c r="M28" s="46"/>
      <c r="N28" s="46">
        <f>IFERROR(__xludf.DUMMYFUNCTION("""COMPUTED_VALUE"""),0.0)</f>
        <v>0</v>
      </c>
      <c r="O28" s="46">
        <f>IFERROR(__xludf.DUMMYFUNCTION("""COMPUTED_VALUE"""),0.0)</f>
        <v>0</v>
      </c>
      <c r="P28" s="46">
        <f>IFERROR(__xludf.DUMMYFUNCTION("""COMPUTED_VALUE"""),0.0)</f>
        <v>0</v>
      </c>
      <c r="Q28" s="92">
        <f>IFERROR(__xludf.DUMMYFUNCTION("""COMPUTED_VALUE"""),0.0)</f>
        <v>0</v>
      </c>
      <c r="R28" s="92">
        <f>IFERROR(__xludf.DUMMYFUNCTION("""COMPUTED_VALUE"""),800.0)</f>
        <v>800</v>
      </c>
      <c r="S28" s="87" t="str">
        <f>IFERROR(__xludf.DUMMYFUNCTION("""COMPUTED_VALUE""")," ")</f>
        <v> </v>
      </c>
      <c r="T28" s="46" t="str">
        <f>IFERROR(__xludf.DUMMYFUNCTION("""COMPUTED_VALUE"""),"Palermo")</f>
        <v>Palermo</v>
      </c>
      <c r="U28" s="87"/>
      <c r="V28" s="46" t="str">
        <f>IFERROR(__xludf.DUMMYFUNCTION("""COMPUTED_VALUE"""),"Medianera")</f>
        <v>Medianera</v>
      </c>
      <c r="W28" s="46"/>
      <c r="X28" s="46">
        <f>IFERROR(__xludf.DUMMYFUNCTION("""COMPUTED_VALUE"""),0.0)</f>
        <v>0</v>
      </c>
      <c r="Y28" s="46" t="str">
        <f>IFERROR(__xludf.DUMMYFUNCTION("""COMPUTED_VALUE"""),"Social")</f>
        <v>Social</v>
      </c>
      <c r="Z28" s="90"/>
      <c r="AA28" s="33" t="str">
        <f>IFERROR(__xludf.DUMMYFUNCTION("""COMPUTED_VALUE"""),"No aplica")</f>
        <v>No aplica</v>
      </c>
      <c r="AB28" s="96" t="str">
        <f>IFERROR(__xludf.DUMMYFUNCTION("""COMPUTED_VALUE"""),"https://photos.app.goo.gl/nzGMWLi6Lcst9YPD9")</f>
        <v>https://photos.app.goo.gl/nzGMWLi6Lcst9YPD9</v>
      </c>
      <c r="AC28" s="46" t="str">
        <f>IFERROR(__xludf.DUMMYFUNCTION("""COMPUTED_VALUE"""),"Este exclusivo proyecto de lotes campestres, ubicado en el Condominio Novaterra, ofrece amplios terrenos ideales para construir viviendas personalizadas con la distribución y número de habitaciones, baños, garajes y áreas recreativas que usted elija. Al t"&amp;"ratarse de una venta de lotes listos para construir desde cero, brinda la oportunidad total de diseñar una infraestructura a su medida, seleccionando con total libertad la calidad de los acabados, tipos de piso, muros y muebles empotrados. El complejo est"&amp;"á completamente urbanizado, por lo cual cada terreno se entrega con la infraestructura necesaria para la conexión inmediata a los servicios públicos esenciales de agua, energía eléctrica y alcantarillado, garantizando un entorno campestre con todas las fa"&amp;"cilidades de la vida moderna.")</f>
        <v>Este exclusivo proyecto de lotes campestres, ubicado en el Condominio Novaterra, ofrece amplios terrenos ideales para construir viviendas personalizadas con la distribución y número de habitaciones, baños, garajes y áreas recreativas que usted elija. Al tratarse de una venta de lotes listos para construir desde cero, brinda la oportunidad total de diseñar una infraestructura a su medida, seleccionando con total libertad la calidad de los acabados, tipos de piso, muros y muebles empotrados. El complejo está completamente urbanizado, por lo cual cada terreno se entrega con la infraestructura necesaria para la conexión inmediata a los servicios públicos esenciales de agua, energía eléctrica y alcantarillado, garantizando un entorno campestre con todas las facilidades de la vida moderna.</v>
      </c>
      <c r="AD28" s="46" t="str">
        <f>IFERROR(__xludf.DUMMYFUNCTION("""COMPUTED_VALUE"""),"El verdadero atractivo de esta inversión radica en sus incomparables beneficios, destacando el valor por metro cuadrado más económico del mercado actual y una atractiva opción de financiación directa de hasta 12 meses sin intereses. El condominio está dis"&amp;"eñado para ofrecer una calidad de vida superior, equipado con un salón social, piscina para niños y adultos, parque infantil, canchas de fútbol y voleibol, y senderos ecológicos ideales para el senderismo. Con una entrega inmediata y una ubicación estraté"&amp;"gica a solo 15 minutos de Neiva, esta propuesta combina de forma perfecta la tranquilidad de la naturaleza con un acceso rápido a la ciudad, convirtiéndose en la oportunidad de compra ideal para asegurar su patrimonio de inmediato.")</f>
        <v>El verdadero atractivo de esta inversión radica en sus incomparables beneficios, destacando el valor por metro cuadrado más económico del mercado actual y una atractiva opción de financiación directa de hasta 12 meses sin intereses. El condominio está diseñado para ofrecer una calidad de vida superior, equipado con un salón social, piscina para niños y adultos, parque infantil, canchas de fútbol y voleibol, y senderos ecológicos ideales para el senderismo. Con una entrega inmediata y una ubicación estratégica a solo 15 minutos de Neiva, esta propuesta combina de forma perfecta la tranquilidad de la naturaleza con un acceso rápido a la ciudad, convirtiéndose en la oportunidad de compra ideal para asegurar su patrimonio de inmediato.</v>
      </c>
      <c r="AE28" s="46"/>
      <c r="AF28" s="46">
        <f>IFERROR(__xludf.DUMMYFUNCTION("""COMPUTED_VALUE"""),0.0)</f>
        <v>0</v>
      </c>
      <c r="AG28" s="46"/>
      <c r="AH28" s="46" t="str">
        <f>IFERROR(__xludf.DUMMYFUNCTION("""COMPUTED_VALUE"""),"Aliado")</f>
        <v>Aliado</v>
      </c>
      <c r="AI28" s="92" t="str">
        <f>IFERROR(__xludf.DUMMYFUNCTION("""COMPUTED_VALUE"""),"https://lh3.googleusercontent.com/pw/AP1GczPo9B9sCOHHAE5cmh6bOHVH6UrCVJ492P_01fkrYkJ5oOmrJRRFcpzRrcZQ7QultRLcs6KvuP0qCdsZVXsATKB_OB5Az37ddZU6gMRkDaI3L-qPinY9=w1200|https://lh3.googleusercontent.com/pw/AP1GczOazCRVBwvJciq-lc6ZedBWNhtYJFyWiVhXiqJXhSdVNZrrS2"&amp;"aRF__H_8WLnLGPsSuSi4_peGRXIHD2_-t_PIO3AScVO7yWkoE6zDbVibHpSghdWPZ2=w1200|https://lh3.googleusercontent.com/pw/AP1GczOozdWVjFVHWqIYyAhsqsjd8envin_KBl4avvmtlXv7h1EGmVm-RuQX1r-gMtmy42KkTsPBppey_4ihijjkd--DHylVCiaQtQaawCTaA_WBdH4IiwyN=w1200|https://lh3.google"&amp;"usercontent.com/pw/AP1GczNsTHMps5pcavsOyQ-hhCVdUv0KRxwZz_iJPERV_Nhljkd81eSt_tu1Ded4S0WPLEFb_YojxUyhc5Bfwd-fzDiVK0d5IYBNAX_b3XAUq8Pr_UXFXKjY=w1200|https://lh3.googleusercontent.com/pw/AP1GczOSLANqnZz3wvauJNmZVbwl2D_qGi4eAxRMOxgx-BIR5ePyBQlL97YZCCG7b5kvBHyv"&amp;"PlJGige4ThEOQbVa92bMq7nMp2rQGyIAUQvgRgvP2LcvBnyn=w1200|https://lh3.googleusercontent.com/pw/AP1GczOjgpspepmGh9GRF4p3z5UtZueERiT0aHWSSF6Hdz_YhKAkKEH4oO8tGGL7V8xsW--v3cNQqYsrUPc6cBavFv3xJf-ydA8fg8T14YX3j-2kprkswEsu=w1200|https://lh3.googleusercontent.com/pw"&amp;"/AP1GczOaisbScLVQvw9Vdhof2Hx_pvfEJ0mNiY6YBeGkNxcvV7yqQpd_783JrvUiKP7h3Q83GdD0XTJNBmzEcrNNF3TZ4ZphVrqICEm0HsG9PmMslX-mMWdd=w1200")</f>
        <v>https://lh3.googleusercontent.com/pw/AP1GczPo9B9sCOHHAE5cmh6bOHVH6UrCVJ492P_01fkrYkJ5oOmrJRRFcpzRrcZQ7QultRLcs6KvuP0qCdsZVXsATKB_OB5Az37ddZU6gMRkDaI3L-qPinY9=w1200|https://lh3.googleusercontent.com/pw/AP1GczOazCRVBwvJciq-lc6ZedBWNhtYJFyWiVhXiqJXhSdVNZrrS2aRF__H_8WLnLGPsSuSi4_peGRXIHD2_-t_PIO3AScVO7yWkoE6zDbVibHpSghdWPZ2=w1200|https://lh3.googleusercontent.com/pw/AP1GczOozdWVjFVHWqIYyAhsqsjd8envin_KBl4avvmtlXv7h1EGmVm-RuQX1r-gMtmy42KkTsPBppey_4ihijjkd--DHylVCiaQtQaawCTaA_WBdH4IiwyN=w1200|https://lh3.googleusercontent.com/pw/AP1GczNsTHMps5pcavsOyQ-hhCVdUv0KRxwZz_iJPERV_Nhljkd81eSt_tu1Ded4S0WPLEFb_YojxUyhc5Bfwd-fzDiVK0d5IYBNAX_b3XAUq8Pr_UXFXKjY=w1200|https://lh3.googleusercontent.com/pw/AP1GczOSLANqnZz3wvauJNmZVbwl2D_qGi4eAxRMOxgx-BIR5ePyBQlL97YZCCG7b5kvBHyvPlJGige4ThEOQbVa92bMq7nMp2rQGyIAUQvgRgvP2LcvBnyn=w1200|https://lh3.googleusercontent.com/pw/AP1GczOjgpspepmGh9GRF4p3z5UtZueERiT0aHWSSF6Hdz_YhKAkKEH4oO8tGGL7V8xsW--v3cNQqYsrUPc6cBavFv3xJf-ydA8fg8T14YX3j-2kprkswEsu=w1200|https://lh3.googleusercontent.com/pw/AP1GczOaisbScLVQvw9Vdhof2Hx_pvfEJ0mNiY6YBeGkNxcvV7yqQpd_783JrvUiKP7h3Q83GdD0XTJNBmzEcrNNF3TZ4ZphVrqICEm0HsG9PmMslX-mMWdd=w1200</v>
      </c>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row>
    <row r="29">
      <c r="A29" s="87" t="str">
        <f>IFERROR(__xludf.DUMMYFUNCTION("""COMPUTED_VALUE"""),"856")</f>
        <v>856</v>
      </c>
      <c r="B29" s="46" t="str">
        <f>IFERROR(__xludf.DUMMYFUNCTION("""COMPUTED_VALUE"""),"Apartamento en conjunto El Tesoro - Oriente")</f>
        <v>Apartamento en conjunto El Tesoro - Oriente</v>
      </c>
      <c r="C29" s="46" t="str">
        <f>IFERROR(__xludf.DUMMYFUNCTION("""COMPUTED_VALUE"""),"Apartamento en conjunto")</f>
        <v>Apartamento en conjunto</v>
      </c>
      <c r="D29" s="46" t="str">
        <f>IFERROR(__xludf.DUMMYFUNCTION("""COMPUTED_VALUE"""),"El Tesoro")</f>
        <v>El Tesoro</v>
      </c>
      <c r="E29" s="46" t="str">
        <f>IFERROR(__xludf.DUMMYFUNCTION("""COMPUTED_VALUE"""),"Conjunto El Tesoro")</f>
        <v>Conjunto El Tesoro</v>
      </c>
      <c r="F29" s="90">
        <f>IFERROR(__xludf.DUMMYFUNCTION("""COMPUTED_VALUE"""),1.35E8)</f>
        <v>135000000</v>
      </c>
      <c r="G29" s="46" t="str">
        <f>IFERROR(__xludf.DUMMYFUNCTION("""COMPUTED_VALUE"""),"$100'000.000 a $200'000.000")</f>
        <v>$100'000.000 a $200'000.000</v>
      </c>
      <c r="H29" s="46"/>
      <c r="I29" s="46"/>
      <c r="J29" s="46" t="str">
        <f>IFERROR(__xludf.DUMMYFUNCTION("""COMPUTED_VALUE"""),"Oriente")</f>
        <v>Oriente</v>
      </c>
      <c r="K29" s="87" t="str">
        <f>IFERROR(__xludf.DUMMYFUNCTION("""COMPUTED_VALUE"""),"10")</f>
        <v>10</v>
      </c>
      <c r="L29" s="46">
        <f>IFERROR(__xludf.DUMMYFUNCTION("""COMPUTED_VALUE"""),3.0)</f>
        <v>3</v>
      </c>
      <c r="M29" s="46"/>
      <c r="N29" s="46">
        <f>IFERROR(__xludf.DUMMYFUNCTION("""COMPUTED_VALUE"""),1.0)</f>
        <v>1</v>
      </c>
      <c r="O29" s="46">
        <f>IFERROR(__xludf.DUMMYFUNCTION("""COMPUTED_VALUE"""),1.0)</f>
        <v>1</v>
      </c>
      <c r="P29" s="46">
        <f>IFERROR(__xludf.DUMMYFUNCTION("""COMPUTED_VALUE"""),5.0)</f>
        <v>5</v>
      </c>
      <c r="Q29" s="92">
        <f>IFERROR(__xludf.DUMMYFUNCTION("""COMPUTED_VALUE"""),57.0)</f>
        <v>57</v>
      </c>
      <c r="R29" s="92">
        <f>IFERROR(__xludf.DUMMYFUNCTION("""COMPUTED_VALUE"""),57.0)</f>
        <v>57</v>
      </c>
      <c r="S29" s="87" t="str">
        <f>IFERROR(__xludf.DUMMYFUNCTION("""COMPUTED_VALUE""")," ")</f>
        <v> </v>
      </c>
      <c r="T29" s="46" t="str">
        <f>IFERROR(__xludf.DUMMYFUNCTION("""COMPUTED_VALUE"""),"Neiva")</f>
        <v>Neiva</v>
      </c>
      <c r="U29" s="87" t="str">
        <f>IFERROR(__xludf.DUMMYFUNCTION("""COMPUTED_VALUE"""),"3")</f>
        <v>3</v>
      </c>
      <c r="V29" s="46" t="str">
        <f>IFERROR(__xludf.DUMMYFUNCTION("""COMPUTED_VALUE"""),"5to.")</f>
        <v>5to.</v>
      </c>
      <c r="W29" s="46"/>
      <c r="X29" s="46">
        <f>IFERROR(__xludf.DUMMYFUNCTION("""COMPUTED_VALUE"""),3.0)</f>
        <v>3</v>
      </c>
      <c r="Y29" s="46" t="str">
        <f>IFERROR(__xludf.DUMMYFUNCTION("""COMPUTED_VALUE"""),"Social")</f>
        <v>Social</v>
      </c>
      <c r="Z29" s="90">
        <f>IFERROR(__xludf.DUMMYFUNCTION("""COMPUTED_VALUE"""),197000.0)</f>
        <v>197000</v>
      </c>
      <c r="AA29" s="33" t="str">
        <f>IFERROR(__xludf.DUMMYFUNCTION("""COMPUTED_VALUE"""),"No aplica")</f>
        <v>No aplica</v>
      </c>
      <c r="AB29" s="96" t="str">
        <f>IFERROR(__xludf.DUMMYFUNCTION("""COMPUTED_VALUE"""),"https://photos.app.goo.gl/erXE6RJXtocjff119")</f>
        <v>https://photos.app.goo.gl/erXE6RJXtocjff119</v>
      </c>
      <c r="AC29" s="46" t="str">
        <f>IFERROR(__xludf.DUMMYFUNCTION("""COMPUTED_VALUE"""),"Este acogedor apartamento de 57 m² se encuentra en perfectas condiciones y está estratégicamente ubicado en el barrio El Tesoro, al oriente de Neiva. Situado en un quinto piso, el inmueble ofrece una excelente distribución que aprovecha al máximo el espac"&amp;"io en un entorno de estrato 3. Cuenta con tres confortables habitaciones equipadas con sus respectivos clósets, un baño completo y una moderna cocina integral que resalta por sus acabados con luces LED. Además, sus dos balcones garantizan una ventilación "&amp;"e iluminación natural excepcionales para todo el hogar")</f>
        <v>Este acogedor apartamento de 57 m² se encuentra en perfectas condiciones y está estratégicamente ubicado en el barrio El Tesoro, al oriente de Neiva. Situado en un quinto piso, el inmueble ofrece una excelente distribución que aprovecha al máximo el espacio en un entorno de estrato 3. Cuenta con tres confortables habitaciones equipadas con sus respectivos clósets, un baño completo y una moderna cocina integral que resalta por sus acabados con luces LED. Además, sus dos balcones garantizan una ventilación e iluminación natural excepcionales para todo el hogar</v>
      </c>
      <c r="AD29" s="46" t="str">
        <f>IFERROR(__xludf.DUMMYFUNCTION("""COMPUTED_VALUE"""),"¡Ideal para la tranquilidad y el disfrute familiar! Este conjunto residencial te ofrece vigilancia 24/7 para garantizar tu total seguridad y paz mental. Como residente, tendrás acceso a completas zonas comunes diseñadas para el esparcimiento, que incluyen"&amp;" piscina para adultos y niños, un parque infantil y un amplio salón social perfecto para tus eventos. Es una excelente oportunidad para invertir en calidad de vida con todas las facilidades a tu alcance (Nota: el acceso al quinto piso es sin ascensor).  P"&amp;"arqueadero Comunal.")</f>
        <v>¡Ideal para la tranquilidad y el disfrute familiar! Este conjunto residencial te ofrece vigilancia 24/7 para garantizar tu total seguridad y paz mental. Como residente, tendrás acceso a completas zonas comunes diseñadas para el esparcimiento, que incluyen piscina para adultos y niños, un parque infantil y un amplio salón social perfecto para tus eventos. Es una excelente oportunidad para invertir en calidad de vida con todas las facilidades a tu alcance (Nota: el acceso al quinto piso es sin ascensor).  Parqueadero Comunal.</v>
      </c>
      <c r="AE29" s="46"/>
      <c r="AF29" s="46" t="str">
        <f>IFERROR(__xludf.DUMMYFUNCTION("""COMPUTED_VALUE"""),"integral")</f>
        <v>integral</v>
      </c>
      <c r="AG29" s="46"/>
      <c r="AH29" s="46" t="str">
        <f>IFERROR(__xludf.DUMMYFUNCTION("""COMPUTED_VALUE"""),"Aliado")</f>
        <v>Aliado</v>
      </c>
      <c r="AI29" s="92" t="str">
        <f>IFERROR(__xludf.DUMMYFUNCTION("""COMPUTED_VALUE"""),"https://lh3.googleusercontent.com/pw/AP1GczMSdMLwN0D5CS0H9qgI5tfeaAhZXXly_kd9olDd4HvSGRcIZUV-7PD2FANkYLzwQ2Rj-3vC1nQ3fPDxgYHj_RB9gCmZBtL6rwfvVkdY-mheex4OmwKL=w1200|https://lh3.googleusercontent.com/pw/AP1GczPM2ErotZfXWVvhT3J4T5B5VxbuNlqSCnqWvz4df5S54j66B1"&amp;"V-jQ42trYt_FiLF5tHdk9OJC_Wam5xN6fT1ai8hedI0hw7ByaX7miLWMT5MPDoxDoH=w1200|https://lh3.googleusercontent.com/pw/AP1GczMKHumz0aUbE1hE04qD1Pw2OpBzYFNdu12IGlFrXTe-S7zNrKZEjOCG6c4CbZfWTVwnuMybol9SVe5DcuX9Ifc71fQaydRlmoSNWi4rUoIB3lD6FBCj=w1200|https://lh3.google"&amp;"usercontent.com/pw/AP1GczPNl7i1fTxWgNeDt7qpdAh6eMevItvSpwXIy-J-6Aec_A7VjHTUkDegDbcnKElFzszVEcDv_W3lJgRHHWg1U5lFw7OjncMccLtYMwbAKFzjTCFRzRlL=w1200|https://lh3.googleusercontent.com/pw/AP1GczM42jfnXnC7KcILjA9DhHHlEDrSE7fmyiDfe2HxFel754cF8qhbmm-xmTzrybqgwMWi"&amp;"nWlFUaOCEdWdXIMJHHvWh2MFQbcVsdax6BSsghFnWs9vYhPj=w1200|https://lh3.googleusercontent.com/pw/AP1GczO0GQCzg43YczHgc0zfmO9q-Et4-SfbMFEuYkriAfha4_QEavsHZdfVo_u9NWCgj9ahySzp6frjEB9C5nkSzoXbf-04nS5bOuEB0C8fhflalU4oxUrd=w1200|https://lh3.googleusercontent.com/pw"&amp;"/AP1GczOG9kkTjy63zfHgrVc58b9QkIfvjPaj079aHaqMxBquhdKxG4Gl6dk3MA246bIILe5DxqyqXwAg-BYaUVM6IL6asPV3_67U7sxDVo3ZObVG_A3JzHRT=w1200|https://lh3.googleusercontent.com/pw/AP1GczM03AV-UDmqjhD91mahOYtp1k8UZ4ir4m4ZxpZWWtCAe8TpOMOH55C8D2uU7kIrJdDneAKKnyxUPV9EqvKbNS"&amp;"NxmbgG7tiwZ6ZaZCR1FJT4ZSPIam_q=w1200|https://lh3.googleusercontent.com/pw/AP1GczPsk4gkNIjZFjWvhcBpdnGmW-qNRu-sNSqlguJ2-9PQZ7Ji0x745njrhsMTqOq9ccGMG6tHC1wy02YWu7n9TACCr9xd9Akbu92mjFd8XahPnlqiOYab=w1200")</f>
        <v>https://lh3.googleusercontent.com/pw/AP1GczMSdMLwN0D5CS0H9qgI5tfeaAhZXXly_kd9olDd4HvSGRcIZUV-7PD2FANkYLzwQ2Rj-3vC1nQ3fPDxgYHj_RB9gCmZBtL6rwfvVkdY-mheex4OmwKL=w1200|https://lh3.googleusercontent.com/pw/AP1GczPM2ErotZfXWVvhT3J4T5B5VxbuNlqSCnqWvz4df5S54j66B1V-jQ42trYt_FiLF5tHdk9OJC_Wam5xN6fT1ai8hedI0hw7ByaX7miLWMT5MPDoxDoH=w1200|https://lh3.googleusercontent.com/pw/AP1GczMKHumz0aUbE1hE04qD1Pw2OpBzYFNdu12IGlFrXTe-S7zNrKZEjOCG6c4CbZfWTVwnuMybol9SVe5DcuX9Ifc71fQaydRlmoSNWi4rUoIB3lD6FBCj=w1200|https://lh3.googleusercontent.com/pw/AP1GczPNl7i1fTxWgNeDt7qpdAh6eMevItvSpwXIy-J-6Aec_A7VjHTUkDegDbcnKElFzszVEcDv_W3lJgRHHWg1U5lFw7OjncMccLtYMwbAKFzjTCFRzRlL=w1200|https://lh3.googleusercontent.com/pw/AP1GczM42jfnXnC7KcILjA9DhHHlEDrSE7fmyiDfe2HxFel754cF8qhbmm-xmTzrybqgwMWinWlFUaOCEdWdXIMJHHvWh2MFQbcVsdax6BSsghFnWs9vYhPj=w1200|https://lh3.googleusercontent.com/pw/AP1GczO0GQCzg43YczHgc0zfmO9q-Et4-SfbMFEuYkriAfha4_QEavsHZdfVo_u9NWCgj9ahySzp6frjEB9C5nkSzoXbf-04nS5bOuEB0C8fhflalU4oxUrd=w1200|https://lh3.googleusercontent.com/pw/AP1GczOG9kkTjy63zfHgrVc58b9QkIfvjPaj079aHaqMxBquhdKxG4Gl6dk3MA246bIILe5DxqyqXwAg-BYaUVM6IL6asPV3_67U7sxDVo3ZObVG_A3JzHRT=w1200|https://lh3.googleusercontent.com/pw/AP1GczM03AV-UDmqjhD91mahOYtp1k8UZ4ir4m4ZxpZWWtCAe8TpOMOH55C8D2uU7kIrJdDneAKKnyxUPV9EqvKbNSNxmbgG7tiwZ6ZaZCR1FJT4ZSPIam_q=w1200|https://lh3.googleusercontent.com/pw/AP1GczPsk4gkNIjZFjWvhcBpdnGmW-qNRu-sNSqlguJ2-9PQZ7Ji0x745njrhsMTqOq9ccGMG6tHC1wy02YWu7n9TACCr9xd9Akbu92mjFd8XahPnlqiOYab=w1200</v>
      </c>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row>
    <row r="30">
      <c r="A30" s="87" t="str">
        <f>IFERROR(__xludf.DUMMYFUNCTION("""COMPUTED_VALUE"""),"164")</f>
        <v>164</v>
      </c>
      <c r="B30" s="46" t="str">
        <f>IFERROR(__xludf.DUMMYFUNCTION("""COMPUTED_VALUE"""),"Lote campestre en conjunto Condominio Altos de la Sabana - Palermo - Z. Industrial")</f>
        <v>Lote campestre en conjunto Condominio Altos de la Sabana - Palermo - Z. Industrial</v>
      </c>
      <c r="C30" s="46" t="str">
        <f>IFERROR(__xludf.DUMMYFUNCTION("""COMPUTED_VALUE"""),"Lote campestre en conjunto")</f>
        <v>Lote campestre en conjunto</v>
      </c>
      <c r="D30" s="46"/>
      <c r="E30" s="46" t="str">
        <f>IFERROR(__xludf.DUMMYFUNCTION("""COMPUTED_VALUE""")," Conjunto Condominio Altos de la Sabana")</f>
        <v> Conjunto Condominio Altos de la Sabana</v>
      </c>
      <c r="F30" s="90">
        <f>IFERROR(__xludf.DUMMYFUNCTION("""COMPUTED_VALUE"""),1.3E8)</f>
        <v>130000000</v>
      </c>
      <c r="G30" s="46" t="str">
        <f>IFERROR(__xludf.DUMMYFUNCTION("""COMPUTED_VALUE"""),"$100'000.000 a $200'000.000")</f>
        <v>$100'000.000 a $200'000.000</v>
      </c>
      <c r="H30" s="46"/>
      <c r="I30" s="46"/>
      <c r="J30" s="46" t="str">
        <f>IFERROR(__xludf.DUMMYFUNCTION("""COMPUTED_VALUE"""),"Sur")</f>
        <v>Sur</v>
      </c>
      <c r="K30" s="87"/>
      <c r="L30" s="46">
        <f>IFERROR(__xludf.DUMMYFUNCTION("""COMPUTED_VALUE"""),0.0)</f>
        <v>0</v>
      </c>
      <c r="M30" s="46"/>
      <c r="N30" s="46">
        <f>IFERROR(__xludf.DUMMYFUNCTION("""COMPUTED_VALUE"""),0.0)</f>
        <v>0</v>
      </c>
      <c r="O30" s="46">
        <f>IFERROR(__xludf.DUMMYFUNCTION("""COMPUTED_VALUE"""),0.0)</f>
        <v>0</v>
      </c>
      <c r="P30" s="46">
        <f>IFERROR(__xludf.DUMMYFUNCTION("""COMPUTED_VALUE"""),0.0)</f>
        <v>0</v>
      </c>
      <c r="Q30" s="92">
        <f>IFERROR(__xludf.DUMMYFUNCTION("""COMPUTED_VALUE"""),0.0)</f>
        <v>0</v>
      </c>
      <c r="R30" s="92">
        <f>IFERROR(__xludf.DUMMYFUNCTION("""COMPUTED_VALUE"""),520.0)</f>
        <v>520</v>
      </c>
      <c r="S30" s="87" t="str">
        <f>IFERROR(__xludf.DUMMYFUNCTION("""COMPUTED_VALUE""")," ")</f>
        <v> </v>
      </c>
      <c r="T30" s="46" t="str">
        <f>IFERROR(__xludf.DUMMYFUNCTION("""COMPUTED_VALUE"""),"Palermo")</f>
        <v>Palermo</v>
      </c>
      <c r="U30" s="87"/>
      <c r="V30" s="46" t="str">
        <f>IFERROR(__xludf.DUMMYFUNCTION("""COMPUTED_VALUE"""),"Medianera")</f>
        <v>Medianera</v>
      </c>
      <c r="W30" s="46"/>
      <c r="X30" s="46">
        <f>IFERROR(__xludf.DUMMYFUNCTION("""COMPUTED_VALUE"""),0.0)</f>
        <v>0</v>
      </c>
      <c r="Y30" s="46" t="str">
        <f>IFERROR(__xludf.DUMMYFUNCTION("""COMPUTED_VALUE"""),"Social")</f>
        <v>Social</v>
      </c>
      <c r="Z30" s="90">
        <f>IFERROR(__xludf.DUMMYFUNCTION("""COMPUTED_VALUE"""),280000.0)</f>
        <v>280000</v>
      </c>
      <c r="AA30" s="33" t="str">
        <f>IFERROR(__xludf.DUMMYFUNCTION("""COMPUTED_VALUE"""),"No aplica")</f>
        <v>No aplica</v>
      </c>
      <c r="AB30" s="96" t="str">
        <f>IFERROR(__xludf.DUMMYFUNCTION("""COMPUTED_VALUE"""),"https://photos.app.goo.gl/e9sA8bxfEh3dNjkq7")</f>
        <v>https://photos.app.goo.gl/e9sA8bxfEh3dNjkq7</v>
      </c>
      <c r="AC30" s="46" t="str">
        <f>IFERROR(__xludf.DUMMYFUNCTION("""COMPUTED_VALUE"""),"Este espectacular lote campestre de $520\text{ m}^2$ se encuentra ubicado en el municipio de Palermo, dentro del exclusivo condominio Altos de la Sabana, una localización estratégica que permite disfrutar de la tranquilidad de la naturaleza a tan solo 10 "&amp;"minutos de Neiva. El terreno cuenta con un excelente acceso a través de una vía totalmente pavimentada, facilitando una llegada cómoda y rápida. Pensado para el desarrollo inmediato de proyectos de vivienda, el lote ya dispone de la infraestructura básica"&amp;" para la conexión de los servicios esenciales de agua y energía eléctrica.")</f>
        <v>Este espectacular lote campestre de $520\text{ m}^2$ se encuentra ubicado en el municipio de Palermo, dentro del exclusivo condominio Altos de la Sabana, una localización estratégica que permite disfrutar de la tranquilidad de la naturaleza a tan solo 10 minutos de Neiva. El terreno cuenta con un excelente acceso a través de una vía totalmente pavimentada, facilitando una llegada cómoda y rápida. Pensado para el desarrollo inmediato de proyectos de vivienda, el lote ya dispone de la infraestructura básica para la conexión de los servicios esenciales de agua y energía eléctrica.</v>
      </c>
      <c r="AD30" s="46" t="str">
        <f>IFERROR(__xludf.DUMMYFUNCTION("""COMPUTED_VALUE"""),"Por otra parte, el condominio Altos de la Sabana ofrece un entorno natural, seguro y de alta valorización con completas amenidades diseñadas para el disfrute y esparcimiento de toda la familia. Entre sus áreas comunes destacan una refrescante piscina, una"&amp;" cancha de fútbol para actividades deportivas y una capilla privada dentro del conjunto. Esta combinación de servicios, ubicación privilegiada y espacios recreativos lo convierte en el lugar ideal para construir una casa de campo a medida, uniendo de mane"&amp;"ra perfecta la comodidad y la naturaleza en un solo lugar.")</f>
        <v>Por otra parte, el condominio Altos de la Sabana ofrece un entorno natural, seguro y de alta valorización con completas amenidades diseñadas para el disfrute y esparcimiento de toda la familia. Entre sus áreas comunes destacan una refrescante piscina, una cancha de fútbol para actividades deportivas y una capilla privada dentro del conjunto. Esta combinación de servicios, ubicación privilegiada y espacios recreativos lo convierte en el lugar ideal para construir una casa de campo a medida, uniendo de manera perfecta la comodidad y la naturaleza en un solo lugar.</v>
      </c>
      <c r="AE30" s="46"/>
      <c r="AF30" s="46">
        <f>IFERROR(__xludf.DUMMYFUNCTION("""COMPUTED_VALUE"""),0.0)</f>
        <v>0</v>
      </c>
      <c r="AG30" s="46"/>
      <c r="AH30" s="46" t="str">
        <f>IFERROR(__xludf.DUMMYFUNCTION("""COMPUTED_VALUE"""),"Aliado")</f>
        <v>Aliado</v>
      </c>
      <c r="AI30" s="92" t="str">
        <f>IFERROR(__xludf.DUMMYFUNCTION("""COMPUTED_VALUE"""),"https://lh3.googleusercontent.com/pw/AP1GczM3BjrWisR7DzQ-l43ZrDbXIfkBmGgyRtoDszRJTgKo9YIObxcDr1B7mCYBxeJ53J-_7N7v08Hm4RQ6g6WYDwc7L_FE6Pdngi8g9tv0Emrtmt9bm-rA=w1200|https://lh3.googleusercontent.com/pw/AP1GczPSYoTGn5PasyOeMbQnRD0omTrctGeKM6ee6lI7edzaI2FnUd"&amp;"nL1fujBP8Glk2skTJ8n_guKiasUshTvnVmKCdd03Pv0fZlJ9r0ioOgtAyFe_2K9wJ_=w1200|https://lh3.googleusercontent.com/pw/AP1GczMaBFa2OsHVcN2MOjr34ITtYLSP8vMKKLw3K6Gp5PGBhDWFxNnLp1QfLVU9PjJAPIudRUQeiyC4Kd6XxTEW1Cp5v4pEIjdkhx2cq3ZOa8yAUytrpOnB=w1200|https://lh3.google"&amp;"usercontent.com/pw/AP1GczPySzKmsNxpgdporHcaLHJl02Zti_NcILBHRT0HBw7akJTMybn4XxpUL1rlbM9hQUTmEpr43_93TfFAwyHRJThRP_T3PrGj4tLvuMwUqjKkYxyopzFX=w1200|https://lh3.googleusercontent.com/pw/AP1GczNTnrMtPYSvJQj4YhWw8d2KvZpl-yDzJQ1zLAevkz0ROfDbHOSMKJT85jFBe_8bChee"&amp;"IipARMLB0dZ0fm0kf9rm1Ok2ER_68pMwgRh7lULSW8z4_Rb-=w1200|https://lh3.googleusercontent.com/pw/AP1GczNZxX1a7-6q4sz1Whd-aeUx1S1GQtJW0Yg3BwxZ2c6NtK8_9h1dCIKd_u2uf9g7VqsS9cRgRzDM6C8AsBzYwW16Q7thLbYX3ywkY9Cjc1QGz0n6lw6o=w1200|https://lh3.googleusercontent.com/pw"&amp;"/AP1GczMNwtKq1pbVsik5qHV5JYjzoe6qXuunPSf8mV4wXQ1VvARDfA11wZr2yTGqDxq0Dzm4yuIJba6ZUG4yBF1yc6h6r7Jj2ky3liA8l6ImostgZSaDLn9x=w1200|https://lh3.googleusercontent.com/pw/AP1GczO8AGdJ1uc61zJAswr39arRDvRmyMfH8KUu2FwBFJLZCgD7yxOvAxf-MDD-px1NCaP_2X9IwO_Y23XMZBanhL"&amp;"W5CX2GK9UtzwyEnSwgJRtKYC50gy_0=w1200|https://lh3.googleusercontent.com/pw/AP1GczNOE7auLw8TfbCY7VTiKOY2jfvisZ6TzaWnwDlWrpEKBXKm1VMZotoXg-DP_YzjJopgM6_RRi96Vx90x0LND-qh83ls1Fm1yFNC9BA1jOiHToNwRcaE=w1200")</f>
        <v>https://lh3.googleusercontent.com/pw/AP1GczM3BjrWisR7DzQ-l43ZrDbXIfkBmGgyRtoDszRJTgKo9YIObxcDr1B7mCYBxeJ53J-_7N7v08Hm4RQ6g6WYDwc7L_FE6Pdngi8g9tv0Emrtmt9bm-rA=w1200|https://lh3.googleusercontent.com/pw/AP1GczPSYoTGn5PasyOeMbQnRD0omTrctGeKM6ee6lI7edzaI2FnUdnL1fujBP8Glk2skTJ8n_guKiasUshTvnVmKCdd03Pv0fZlJ9r0ioOgtAyFe_2K9wJ_=w1200|https://lh3.googleusercontent.com/pw/AP1GczMaBFa2OsHVcN2MOjr34ITtYLSP8vMKKLw3K6Gp5PGBhDWFxNnLp1QfLVU9PjJAPIudRUQeiyC4Kd6XxTEW1Cp5v4pEIjdkhx2cq3ZOa8yAUytrpOnB=w1200|https://lh3.googleusercontent.com/pw/AP1GczPySzKmsNxpgdporHcaLHJl02Zti_NcILBHRT0HBw7akJTMybn4XxpUL1rlbM9hQUTmEpr43_93TfFAwyHRJThRP_T3PrGj4tLvuMwUqjKkYxyopzFX=w1200|https://lh3.googleusercontent.com/pw/AP1GczNTnrMtPYSvJQj4YhWw8d2KvZpl-yDzJQ1zLAevkz0ROfDbHOSMKJT85jFBe_8bCheeIipARMLB0dZ0fm0kf9rm1Ok2ER_68pMwgRh7lULSW8z4_Rb-=w1200|https://lh3.googleusercontent.com/pw/AP1GczNZxX1a7-6q4sz1Whd-aeUx1S1GQtJW0Yg3BwxZ2c6NtK8_9h1dCIKd_u2uf9g7VqsS9cRgRzDM6C8AsBzYwW16Q7thLbYX3ywkY9Cjc1QGz0n6lw6o=w1200|https://lh3.googleusercontent.com/pw/AP1GczMNwtKq1pbVsik5qHV5JYjzoe6qXuunPSf8mV4wXQ1VvARDfA11wZr2yTGqDxq0Dzm4yuIJba6ZUG4yBF1yc6h6r7Jj2ky3liA8l6ImostgZSaDLn9x=w1200|https://lh3.googleusercontent.com/pw/AP1GczO8AGdJ1uc61zJAswr39arRDvRmyMfH8KUu2FwBFJLZCgD7yxOvAxf-MDD-px1NCaP_2X9IwO_Y23XMZBanhLW5CX2GK9UtzwyEnSwgJRtKYC50gy_0=w1200|https://lh3.googleusercontent.com/pw/AP1GczNOE7auLw8TfbCY7VTiKOY2jfvisZ6TzaWnwDlWrpEKBXKm1VMZotoXg-DP_YzjJopgM6_RRi96Vx90x0LND-qh83ls1Fm1yFNC9BA1jOiHToNwRcaE=w1200</v>
      </c>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row>
    <row r="31">
      <c r="A31" s="87" t="str">
        <f>IFERROR(__xludf.DUMMYFUNCTION("""COMPUTED_VALUE"""),"088")</f>
        <v>088</v>
      </c>
      <c r="B31" s="46" t="str">
        <f>IFERROR(__xludf.DUMMYFUNCTION("""COMPUTED_VALUE"""),"Lote campestre en conjunto Condominio Altos de la Sabana - Palermo - Z. Industrial")</f>
        <v>Lote campestre en conjunto Condominio Altos de la Sabana - Palermo - Z. Industrial</v>
      </c>
      <c r="C31" s="46" t="str">
        <f>IFERROR(__xludf.DUMMYFUNCTION("""COMPUTED_VALUE"""),"Lote campestre en conjunto")</f>
        <v>Lote campestre en conjunto</v>
      </c>
      <c r="D31" s="46"/>
      <c r="E31" s="46" t="str">
        <f>IFERROR(__xludf.DUMMYFUNCTION("""COMPUTED_VALUE""")," Conjunto Condominio Altos de la Sabana")</f>
        <v> Conjunto Condominio Altos de la Sabana</v>
      </c>
      <c r="F31" s="90">
        <f>IFERROR(__xludf.DUMMYFUNCTION("""COMPUTED_VALUE"""),1.13E8)</f>
        <v>113000000</v>
      </c>
      <c r="G31" s="46" t="str">
        <f>IFERROR(__xludf.DUMMYFUNCTION("""COMPUTED_VALUE"""),"$100'000.000 a $200'000.000")</f>
        <v>$100'000.000 a $200'000.000</v>
      </c>
      <c r="H31" s="46"/>
      <c r="I31" s="46"/>
      <c r="J31" s="46" t="str">
        <f>IFERROR(__xludf.DUMMYFUNCTION("""COMPUTED_VALUE"""),"Sur")</f>
        <v>Sur</v>
      </c>
      <c r="K31" s="87"/>
      <c r="L31" s="46">
        <f>IFERROR(__xludf.DUMMYFUNCTION("""COMPUTED_VALUE"""),0.0)</f>
        <v>0</v>
      </c>
      <c r="M31" s="46"/>
      <c r="N31" s="46">
        <f>IFERROR(__xludf.DUMMYFUNCTION("""COMPUTED_VALUE"""),0.0)</f>
        <v>0</v>
      </c>
      <c r="O31" s="46">
        <f>IFERROR(__xludf.DUMMYFUNCTION("""COMPUTED_VALUE"""),0.0)</f>
        <v>0</v>
      </c>
      <c r="P31" s="46">
        <f>IFERROR(__xludf.DUMMYFUNCTION("""COMPUTED_VALUE"""),0.0)</f>
        <v>0</v>
      </c>
      <c r="Q31" s="92">
        <f>IFERROR(__xludf.DUMMYFUNCTION("""COMPUTED_VALUE"""),0.0)</f>
        <v>0</v>
      </c>
      <c r="R31" s="92">
        <f>IFERROR(__xludf.DUMMYFUNCTION("""COMPUTED_VALUE"""),400.0)</f>
        <v>400</v>
      </c>
      <c r="S31" s="87" t="str">
        <f>IFERROR(__xludf.DUMMYFUNCTION("""COMPUTED_VALUE""")," ")</f>
        <v> </v>
      </c>
      <c r="T31" s="46" t="str">
        <f>IFERROR(__xludf.DUMMYFUNCTION("""COMPUTED_VALUE"""),"Palermo")</f>
        <v>Palermo</v>
      </c>
      <c r="U31" s="87"/>
      <c r="V31" s="46" t="str">
        <f>IFERROR(__xludf.DUMMYFUNCTION("""COMPUTED_VALUE"""),"Esquinera")</f>
        <v>Esquinera</v>
      </c>
      <c r="W31" s="46"/>
      <c r="X31" s="46">
        <f>IFERROR(__xludf.DUMMYFUNCTION("""COMPUTED_VALUE"""),0.0)</f>
        <v>0</v>
      </c>
      <c r="Y31" s="46" t="str">
        <f>IFERROR(__xludf.DUMMYFUNCTION("""COMPUTED_VALUE"""),"Social")</f>
        <v>Social</v>
      </c>
      <c r="Z31" s="90">
        <f>IFERROR(__xludf.DUMMYFUNCTION("""COMPUTED_VALUE"""),214000.0)</f>
        <v>214000</v>
      </c>
      <c r="AA31" s="33" t="str">
        <f>IFERROR(__xludf.DUMMYFUNCTION("""COMPUTED_VALUE"""),"No aplica")</f>
        <v>No aplica</v>
      </c>
      <c r="AB31" s="96" t="str">
        <f>IFERROR(__xludf.DUMMYFUNCTION("""COMPUTED_VALUE"""),"https://photos.app.goo.gl/1hkjovUYZCbwF5Py8")</f>
        <v>https://photos.app.goo.gl/1hkjovUYZCbwF5Py8</v>
      </c>
      <c r="AC31" s="46" t="str">
        <f>IFERROR(__xludf.DUMMYFUNCTION("""COMPUTED_VALUE"""),"Este hermoso lote esquinero de $400\text{ m}^2$ se encuentra ubicado en el municipio de Palermo, dentro del reconocido condominio campestre Altos de la Sabana, considerado uno de los sectores de mayor valorización en Neiva. Situado estratégicamente sobre "&amp;"la vía Palermo, el terreno cuenta con excelentes vías de acceso y una fácil conectividad con la ciudad, lo que lo convierte en una inversión inteligente y en el espacio ideal para construir la casa de tus sueños. El entorno destaca por ofrecer un ambiente"&amp;" totalmente tranquilo, seguro y rodeado de naturaleza, perfecto para aquellas familias o inversionistas que priorizan la calidad de vida y el bienestar sin perder la cercanía urbana.")</f>
        <v>Este hermoso lote esquinero de $400\text{ m}^2$ se encuentra ubicado en el municipio de Palermo, dentro del reconocido condominio campestre Altos de la Sabana, considerado uno de los sectores de mayor valorización en Neiva. Situado estratégicamente sobre la vía Palermo, el terreno cuenta con excelentes vías de acceso y una fácil conectividad con la ciudad, lo que lo convierte en una inversión inteligente y en el espacio ideal para construir la casa de tus sueños. El entorno destaca por ofrecer un ambiente totalmente tranquilo, seguro y rodeado de naturaleza, perfecto para aquellas familias o inversionistas que priorizan la calidad de vida y el bienestar sin perder la cercanía urbana.</v>
      </c>
      <c r="AD31" s="46" t="str">
        <f>IFERROR(__xludf.DUMMYFUNCTION("""COMPUTED_VALUE"""),"Por su parte, el conjunto residencial complementa la experiencia campestre al ofrecer completas zonas comunes diseñadas para la comodidad, la seguridad y el entretenimiento de sus copropietarios. Entre sus principales servicios y amenidades se destacan la"&amp;" vigilancia privada las 24 horas del día, los 7 días de la semana ($24/7$), amplias zonas verdes y una refrescante piscina. Asimismo, el condominio cuenta con una cancha de microfútbol para actividades deportivas, zonas sociales especialmente acondicionad"&amp;"as para eventos y parqueaderos disponibles para visitantes, garantizando así una alta proyección de valorización y un estilo de vida campestre con todas las comodidades.")</f>
        <v>Por su parte, el conjunto residencial complementa la experiencia campestre al ofrecer completas zonas comunes diseñadas para la comodidad, la seguridad y el entretenimiento de sus copropietarios. Entre sus principales servicios y amenidades se destacan la vigilancia privada las 24 horas del día, los 7 días de la semana ($24/7$), amplias zonas verdes y una refrescante piscina. Asimismo, el condominio cuenta con una cancha de microfútbol para actividades deportivas, zonas sociales especialmente acondicionadas para eventos y parqueaderos disponibles para visitantes, garantizando así una alta proyección de valorización y un estilo de vida campestre con todas las comodidades.</v>
      </c>
      <c r="AE31" s="46"/>
      <c r="AF31" s="46">
        <f>IFERROR(__xludf.DUMMYFUNCTION("""COMPUTED_VALUE"""),0.0)</f>
        <v>0</v>
      </c>
      <c r="AG31" s="46"/>
      <c r="AH31" s="46" t="str">
        <f>IFERROR(__xludf.DUMMYFUNCTION("""COMPUTED_VALUE"""),"Aliado")</f>
        <v>Aliado</v>
      </c>
      <c r="AI31" s="92" t="str">
        <f>IFERROR(__xludf.DUMMYFUNCTION("""COMPUTED_VALUE"""),"https://lh3.googleusercontent.com/pw/AP1GczOdprzsSr31dTUXAfVBfVucv0QV4EqRgv8c-nKRJzKU98nA-rFv-AskXbOn3lok8dPEVhTnSh6TQ-SNQVauOA9kvYgbOavhdPB9iXBNoAq-QIBXNU4B=w1200|https://lh3.googleusercontent.com/pw/AP1GczMKzyknLszrq1yFphwN_Wip9jAfaIMfr2oME2EhUWobi3UdPa"&amp;"6996Qc4cL6Uuut6lnFT9mRxXUAlr39hPtkNQo1gnHjYMfvzr2EYM3AbksPOcoDWrDG=w1200|https://lh3.googleusercontent.com/pw/AP1GczO9rqGrQ66HyXjDJe_oWbfUSCLbia6z-K1PE2y0W9PMSiiWxNwyEAIG99xLZeYFKHC3XsY9CXmIdxZw7RHsi6t5t3qp0fbbIw3p1uogJjMcOJAs7Pa_=w1200|https://lh3.google"&amp;"usercontent.com/pw/AP1GczP7swLrGVg-Jit8PbQkOi6xdFgsGxmDkVrWKv1cNXbQvppw2e7cHgt2GtzvX6IDl3x_eW3WduSrJH9OM-COVJJr4HQzROfqvndMhgVofOQV7sq1R_Ga=w1200|https://lh3.googleusercontent.com/pw/AP1GczMy-yTpcNA-PBpJrCMlUf2HXdQ_miKwCB7-asTPOx3wd1zFfzsEHACYoG1VYry1aiOl"&amp;"nXQDDh4OAKHaQXRvrRP1uTYZzhPctlnfwnFVa_FssabP9HUN=w1200|https://lh3.googleusercontent.com/pw/AP1GczPeWk5Sb7D5XcvpmgZK0d1foCxh4PXU93nrPyDABGNUzQodn67o29_dbZ2s8-Qwacqr64LUws21lsOxO7j0PzkpATBF-i-ZmOXcGWv9tmkBlUNmL-h6=w1200|https://lh3.googleusercontent.com/pw"&amp;"/AP1GczOIPFmm15jg87rVJE1rgPHFXENI-z25VU623WFp5Fq2nRKrndNKsIkygsgCk144uoxAtaG5B0XA8N7rn4TgpSshR2tZS0dlYpT0Yz6GBkc3D2pQdq4s=w1200")</f>
        <v>https://lh3.googleusercontent.com/pw/AP1GczOdprzsSr31dTUXAfVBfVucv0QV4EqRgv8c-nKRJzKU98nA-rFv-AskXbOn3lok8dPEVhTnSh6TQ-SNQVauOA9kvYgbOavhdPB9iXBNoAq-QIBXNU4B=w1200|https://lh3.googleusercontent.com/pw/AP1GczMKzyknLszrq1yFphwN_Wip9jAfaIMfr2oME2EhUWobi3UdPa6996Qc4cL6Uuut6lnFT9mRxXUAlr39hPtkNQo1gnHjYMfvzr2EYM3AbksPOcoDWrDG=w1200|https://lh3.googleusercontent.com/pw/AP1GczO9rqGrQ66HyXjDJe_oWbfUSCLbia6z-K1PE2y0W9PMSiiWxNwyEAIG99xLZeYFKHC3XsY9CXmIdxZw7RHsi6t5t3qp0fbbIw3p1uogJjMcOJAs7Pa_=w1200|https://lh3.googleusercontent.com/pw/AP1GczP7swLrGVg-Jit8PbQkOi6xdFgsGxmDkVrWKv1cNXbQvppw2e7cHgt2GtzvX6IDl3x_eW3WduSrJH9OM-COVJJr4HQzROfqvndMhgVofOQV7sq1R_Ga=w1200|https://lh3.googleusercontent.com/pw/AP1GczMy-yTpcNA-PBpJrCMlUf2HXdQ_miKwCB7-asTPOx3wd1zFfzsEHACYoG1VYry1aiOlnXQDDh4OAKHaQXRvrRP1uTYZzhPctlnfwnFVa_FssabP9HUN=w1200|https://lh3.googleusercontent.com/pw/AP1GczPeWk5Sb7D5XcvpmgZK0d1foCxh4PXU93nrPyDABGNUzQodn67o29_dbZ2s8-Qwacqr64LUws21lsOxO7j0PzkpATBF-i-ZmOXcGWv9tmkBlUNmL-h6=w1200|https://lh3.googleusercontent.com/pw/AP1GczOIPFmm15jg87rVJE1rgPHFXENI-z25VU623WFp5Fq2nRKrndNKsIkygsgCk144uoxAtaG5B0XA8N7rn4TgpSshR2tZS0dlYpT0Yz6GBkc3D2pQdq4s=w1200</v>
      </c>
      <c r="AJ31" s="46"/>
      <c r="AK31" s="46"/>
      <c r="AL31" s="46"/>
      <c r="AM31" s="46"/>
      <c r="AN31" s="46"/>
      <c r="AO31" s="46"/>
      <c r="AP31" s="46"/>
      <c r="AQ31" s="46"/>
      <c r="AR31" s="46"/>
      <c r="AS31" s="46"/>
      <c r="AT31" s="46"/>
      <c r="AU31" s="46"/>
      <c r="AV31" s="46"/>
      <c r="AW31" s="46"/>
      <c r="AX31" s="46"/>
      <c r="AY31" s="46"/>
      <c r="AZ31" s="46"/>
      <c r="BA31" s="46"/>
      <c r="BB31" s="46"/>
      <c r="BC31" s="46"/>
      <c r="BD31" s="46"/>
      <c r="BE31" s="46"/>
      <c r="BF31" s="46"/>
      <c r="BG31" s="46"/>
      <c r="BH31" s="46"/>
      <c r="BI31" s="46"/>
      <c r="BJ31" s="46"/>
      <c r="BK31" s="46"/>
      <c r="BL31" s="46"/>
      <c r="BM31" s="46"/>
      <c r="BN31" s="46"/>
      <c r="BO31" s="46"/>
      <c r="BP31" s="46"/>
      <c r="BQ31" s="46"/>
      <c r="BR31" s="46"/>
      <c r="BS31" s="46"/>
      <c r="BT31" s="46"/>
      <c r="BU31" s="46"/>
      <c r="BV31" s="46"/>
      <c r="BW31" s="46"/>
      <c r="BX31" s="46"/>
      <c r="BY31" s="46"/>
      <c r="BZ31" s="46"/>
      <c r="CA31" s="46"/>
      <c r="CB31" s="46"/>
      <c r="CC31" s="46"/>
    </row>
    <row r="32">
      <c r="A32" s="87" t="str">
        <f>IFERROR(__xludf.DUMMYFUNCTION("""COMPUTED_VALUE"""),"701")</f>
        <v>701</v>
      </c>
      <c r="B32" s="46" t="str">
        <f>IFERROR(__xludf.DUMMYFUNCTION("""COMPUTED_VALUE"""),"Lote campestre en conjunto Condominio Campestre Valle Grande - Sur - Palermo")</f>
        <v>Lote campestre en conjunto Condominio Campestre Valle Grande - Sur - Palermo</v>
      </c>
      <c r="C32" s="46" t="str">
        <f>IFERROR(__xludf.DUMMYFUNCTION("""COMPUTED_VALUE"""),"Lote campestre en conjunto")</f>
        <v>Lote campestre en conjunto</v>
      </c>
      <c r="D32" s="46"/>
      <c r="E32" s="46" t="str">
        <f>IFERROR(__xludf.DUMMYFUNCTION("""COMPUTED_VALUE"""),"Comdominio Campestre Valle Grande")</f>
        <v>Comdominio Campestre Valle Grande</v>
      </c>
      <c r="F32" s="90">
        <f>IFERROR(__xludf.DUMMYFUNCTION("""COMPUTED_VALUE"""),6.0E7)</f>
        <v>60000000</v>
      </c>
      <c r="G32" s="46" t="str">
        <f>IFERROR(__xludf.DUMMYFUNCTION("""COMPUTED_VALUE"""),"$0 a $100'000.000")</f>
        <v>$0 a $100'000.000</v>
      </c>
      <c r="H32" s="46"/>
      <c r="I32" s="46"/>
      <c r="J32" s="46" t="str">
        <f>IFERROR(__xludf.DUMMYFUNCTION("""COMPUTED_VALUE"""),"Sur")</f>
        <v>Sur</v>
      </c>
      <c r="K32" s="87"/>
      <c r="L32" s="46">
        <f>IFERROR(__xludf.DUMMYFUNCTION("""COMPUTED_VALUE"""),0.0)</f>
        <v>0</v>
      </c>
      <c r="M32" s="46"/>
      <c r="N32" s="46">
        <f>IFERROR(__xludf.DUMMYFUNCTION("""COMPUTED_VALUE"""),0.0)</f>
        <v>0</v>
      </c>
      <c r="O32" s="46">
        <f>IFERROR(__xludf.DUMMYFUNCTION("""COMPUTED_VALUE"""),0.0)</f>
        <v>0</v>
      </c>
      <c r="P32" s="46">
        <f>IFERROR(__xludf.DUMMYFUNCTION("""COMPUTED_VALUE"""),0.0)</f>
        <v>0</v>
      </c>
      <c r="Q32" s="92">
        <f>IFERROR(__xludf.DUMMYFUNCTION("""COMPUTED_VALUE"""),0.0)</f>
        <v>0</v>
      </c>
      <c r="R32" s="92">
        <f>IFERROR(__xludf.DUMMYFUNCTION("""COMPUTED_VALUE"""),400.0)</f>
        <v>400</v>
      </c>
      <c r="S32" s="87" t="str">
        <f>IFERROR(__xludf.DUMMYFUNCTION("""COMPUTED_VALUE""")," ")</f>
        <v> </v>
      </c>
      <c r="T32" s="46" t="str">
        <f>IFERROR(__xludf.DUMMYFUNCTION("""COMPUTED_VALUE"""),"Palermo")</f>
        <v>Palermo</v>
      </c>
      <c r="U32" s="87"/>
      <c r="V32" s="46" t="str">
        <f>IFERROR(__xludf.DUMMYFUNCTION("""COMPUTED_VALUE"""),"Medianera")</f>
        <v>Medianera</v>
      </c>
      <c r="W32" s="46"/>
      <c r="X32" s="46">
        <f>IFERROR(__xludf.DUMMYFUNCTION("""COMPUTED_VALUE"""),0.0)</f>
        <v>0</v>
      </c>
      <c r="Y32" s="46" t="str">
        <f>IFERROR(__xludf.DUMMYFUNCTION("""COMPUTED_VALUE"""),"Social")</f>
        <v>Social</v>
      </c>
      <c r="Z32" s="90"/>
      <c r="AA32" s="33" t="str">
        <f>IFERROR(__xludf.DUMMYFUNCTION("""COMPUTED_VALUE"""),"No aplica")</f>
        <v>No aplica</v>
      </c>
      <c r="AB32" s="96" t="str">
        <f>IFERROR(__xludf.DUMMYFUNCTION("""COMPUTED_VALUE"""),"https://photos.app.goo.gl/TGs6ftsvn2eGKbWu5")</f>
        <v>https://photos.app.goo.gl/TGs6ftsvn2eGKbWu5</v>
      </c>
      <c r="AC32" s="46" t="str">
        <f>IFERROR(__xludf.DUMMYFUNCTION("""COMPUTED_VALUE"""),"Hermoso Condominio Campestre Valle Grande, destacando su ubicación privilegiada en la Vereda El Juncal, municipio de Palermo - Huila, a tan solo 15 minutos de Neiva, lo que permite disfrutar de la tranquilidad del campo sin alejarse de la ciudad. Asimismo"&amp;", se resalta que el proyecto cuenta con la documentación al día, incluyendo la administración e impuestos completamente pagos. El anuncio concluye con una invitación a invertir y construir la casa de los sueños en un entorno exclusivo, seguro y rodeado de"&amp;" naturaleza.")</f>
        <v>Hermoso Condominio Campestre Valle Grande, destacando su ubicación privilegiada en la Vereda El Juncal, municipio de Palermo - Huila, a tan solo 15 minutos de Neiva, lo que permite disfrutar de la tranquilidad del campo sin alejarse de la ciudad. Asimismo, se resalta que el proyecto cuenta con la documentación al día, incluyendo la administración e impuestos completamente pagos. El anuncio concluye con una invitación a invertir y construir la casa de los sueños en un entorno exclusivo, seguro y rodeado de naturaleza.</v>
      </c>
      <c r="AD32" s="46" t="str">
        <f>IFERROR(__xludf.DUMMYFUNCTION("""COMPUTED_VALUE"""),"Condominio campestre cuenta con exclusivas zonas sociales y todas las comodidades divididas en dos sectores. La Zona social 1 ofrece una portería de lujo con vigilancia 24/7, 2 amplias zonas sociales, cancha de tenis, cancha múltiple, piscinas para adulto"&amp;"s y niños, gimnasio totalmente dotado, salón social, senderos peatonales, 4 zonas BBQ, parque infantil y parqueaderos. Por su parte, la Zona social 2 complementa la oferta con una capilla, gimnasio biosaludable, parque infantil, senderos verdes y una fuen"&amp;"te de agua de dos niveles.")</f>
        <v>Condominio campestre cuenta con exclusivas zonas sociales y todas las comodidades divididas en dos sectores. La Zona social 1 ofrece una portería de lujo con vigilancia 24/7, 2 amplias zonas sociales, cancha de tenis, cancha múltiple, piscinas para adultos y niños, gimnasio totalmente dotado, salón social, senderos peatonales, 4 zonas BBQ, parque infantil y parqueaderos. Por su parte, la Zona social 2 complementa la oferta con una capilla, gimnasio biosaludable, parque infantil, senderos verdes y una fuente de agua de dos niveles.</v>
      </c>
      <c r="AE32" s="46"/>
      <c r="AF32" s="46">
        <f>IFERROR(__xludf.DUMMYFUNCTION("""COMPUTED_VALUE"""),0.0)</f>
        <v>0</v>
      </c>
      <c r="AG32" s="46"/>
      <c r="AH32" s="46" t="str">
        <f>IFERROR(__xludf.DUMMYFUNCTION("""COMPUTED_VALUE"""),"Aliado")</f>
        <v>Aliado</v>
      </c>
      <c r="AI32" s="92" t="str">
        <f>IFERROR(__xludf.DUMMYFUNCTION("""COMPUTED_VALUE"""),"https://lh3.googleusercontent.com/pw/AP1GczNXlqaQeofQQgAqI0sKupCnusOB438ya1kKdVbNEaoxZLAwYJAFTsUU1-T5xqW1XNhx17I5WdOnyOo5PMRzwB9u9GqdjCYBRWZSEspo8RkREQEWDf-8=w1200|https://lh3.googleusercontent.com/pw/AP1GczPJfI4RZYa2cCubqyxWwnBe1_6ZwjcUKwid95vfvEfXcaZTdp"&amp;"wWk0HW76_aWpBNUea5oDoIvoDXnQLd2gd3Gw84QqM1sk8mch5744bGN5G8C2IDZCFX=w1200|https://lh3.googleusercontent.com/pw/AP1GczN2dBNU__cLZVFIKl4z381_qilZUHqIs2Q3qLWD98l49ujN5p-h1YmosSgr-HreSjpAsIdDZRgdK_0BGrdiWSAKIxX8XWVEEyP0b7LTSUSGnUYahgKk=w1200|https://lh3.google"&amp;"usercontent.com/pw/AP1GczOOsOVFSzIQHlBPlgxc1oXXOxTZimyqGaIhJ7Y5LhoOlGZOebmvPobTaT7bl3Xb8SBFvJ8RJyECsYM4smui6ohtJtOaTieaE_spU0Lp1h_ETnQxTpMF=w1200|https://lh3.googleusercontent.com/pw/AP1GczP9V9UWc9kBNagtQ7NbYIB4L2J62793jjD_E7R81NJV8JAQ8CdOGhLKDgxU_AKFblaA"&amp;"DEGkawTLqHVu5TvkVWMptyXJ3vDMZGqODwaki5vpadmbIJF9=w1200")</f>
        <v>https://lh3.googleusercontent.com/pw/AP1GczNXlqaQeofQQgAqI0sKupCnusOB438ya1kKdVbNEaoxZLAwYJAFTsUU1-T5xqW1XNhx17I5WdOnyOo5PMRzwB9u9GqdjCYBRWZSEspo8RkREQEWDf-8=w1200|https://lh3.googleusercontent.com/pw/AP1GczPJfI4RZYa2cCubqyxWwnBe1_6ZwjcUKwid95vfvEfXcaZTdpwWk0HW76_aWpBNUea5oDoIvoDXnQLd2gd3Gw84QqM1sk8mch5744bGN5G8C2IDZCFX=w1200|https://lh3.googleusercontent.com/pw/AP1GczN2dBNU__cLZVFIKl4z381_qilZUHqIs2Q3qLWD98l49ujN5p-h1YmosSgr-HreSjpAsIdDZRgdK_0BGrdiWSAKIxX8XWVEEyP0b7LTSUSGnUYahgKk=w1200|https://lh3.googleusercontent.com/pw/AP1GczOOsOVFSzIQHlBPlgxc1oXXOxTZimyqGaIhJ7Y5LhoOlGZOebmvPobTaT7bl3Xb8SBFvJ8RJyECsYM4smui6ohtJtOaTieaE_spU0Lp1h_ETnQxTpMF=w1200|https://lh3.googleusercontent.com/pw/AP1GczP9V9UWc9kBNagtQ7NbYIB4L2J62793jjD_E7R81NJV8JAQ8CdOGhLKDgxU_AKFblaADEGkawTLqHVu5TvkVWMptyXJ3vDMZGqODwaki5vpadmbIJF9=w1200</v>
      </c>
      <c r="AJ32" s="46"/>
      <c r="AK32" s="46"/>
      <c r="AL32" s="46"/>
      <c r="AM32" s="46"/>
      <c r="AN32" s="46"/>
      <c r="AO32" s="46"/>
      <c r="AP32" s="46"/>
      <c r="AQ32" s="46"/>
      <c r="AR32" s="46"/>
      <c r="AS32" s="46"/>
      <c r="AT32" s="46"/>
      <c r="AU32" s="46"/>
      <c r="AV32" s="46"/>
      <c r="AW32" s="46"/>
      <c r="AX32" s="46"/>
      <c r="AY32" s="46"/>
      <c r="AZ32" s="46"/>
      <c r="BA32" s="46"/>
      <c r="BB32" s="46"/>
      <c r="BC32" s="46"/>
      <c r="BD32" s="46"/>
      <c r="BE32" s="46"/>
      <c r="BF32" s="46"/>
      <c r="BG32" s="46"/>
      <c r="BH32" s="46"/>
      <c r="BI32" s="46"/>
      <c r="BJ32" s="46"/>
      <c r="BK32" s="46"/>
      <c r="BL32" s="46"/>
      <c r="BM32" s="46"/>
      <c r="BN32" s="46"/>
      <c r="BO32" s="46"/>
      <c r="BP32" s="46"/>
      <c r="BQ32" s="46"/>
      <c r="BR32" s="46"/>
      <c r="BS32" s="46"/>
      <c r="BT32" s="46"/>
      <c r="BU32" s="46"/>
      <c r="BV32" s="46"/>
      <c r="BW32" s="46"/>
      <c r="BX32" s="46"/>
      <c r="BY32" s="46"/>
      <c r="BZ32" s="46"/>
      <c r="CA32" s="46"/>
      <c r="CB32" s="46"/>
      <c r="CC32" s="46"/>
    </row>
    <row r="33">
      <c r="A33" s="87" t="str">
        <f>IFERROR(__xludf.DUMMYFUNCTION("""COMPUTED_VALUE"""),"652")</f>
        <v>652</v>
      </c>
      <c r="B33" s="46" t="str">
        <f>IFERROR(__xludf.DUMMYFUNCTION("""COMPUTED_VALUE"""),"Casa en barrio San Jorge")</f>
        <v>Casa en barrio San Jorge</v>
      </c>
      <c r="C33" s="46" t="str">
        <f>IFERROR(__xludf.DUMMYFUNCTION("""COMPUTED_VALUE"""),"Casa")</f>
        <v>Casa</v>
      </c>
      <c r="D33" s="46" t="str">
        <f>IFERROR(__xludf.DUMMYFUNCTION("""COMPUTED_VALUE"""),"San Jorge")</f>
        <v>San Jorge</v>
      </c>
      <c r="E33" s="46"/>
      <c r="F33" s="90">
        <f>IFERROR(__xludf.DUMMYFUNCTION("""COMPUTED_VALUE"""),2.69E8)</f>
        <v>269000000</v>
      </c>
      <c r="G33" s="46" t="str">
        <f>IFERROR(__xludf.DUMMYFUNCTION("""COMPUTED_VALUE"""),"$200'000.000 a $300'000.000")</f>
        <v>$200'000.000 a $300'000.000</v>
      </c>
      <c r="H33" s="46"/>
      <c r="I33" s="46"/>
      <c r="J33" s="46" t="str">
        <f>IFERROR(__xludf.DUMMYFUNCTION("""COMPUTED_VALUE"""),"Sur")</f>
        <v>Sur</v>
      </c>
      <c r="K33" s="87"/>
      <c r="L33" s="46">
        <f>IFERROR(__xludf.DUMMYFUNCTION("""COMPUTED_VALUE"""),3.0)</f>
        <v>3</v>
      </c>
      <c r="M33" s="46"/>
      <c r="N33" s="46">
        <f>IFERROR(__xludf.DUMMYFUNCTION("""COMPUTED_VALUE"""),2.0)</f>
        <v>2</v>
      </c>
      <c r="O33" s="46">
        <f>IFERROR(__xludf.DUMMYFUNCTION("""COMPUTED_VALUE"""),2.0)</f>
        <v>2</v>
      </c>
      <c r="P33" s="46">
        <f>IFERROR(__xludf.DUMMYFUNCTION("""COMPUTED_VALUE"""),1.0)</f>
        <v>1</v>
      </c>
      <c r="Q33" s="92">
        <f>IFERROR(__xludf.DUMMYFUNCTION("""COMPUTED_VALUE"""),106.0)</f>
        <v>106</v>
      </c>
      <c r="R33" s="92">
        <f>IFERROR(__xludf.DUMMYFUNCTION("""COMPUTED_VALUE"""),186.0)</f>
        <v>186</v>
      </c>
      <c r="S33" s="87" t="str">
        <f>IFERROR(__xludf.DUMMYFUNCTION("""COMPUTED_VALUE""")," ")</f>
        <v> </v>
      </c>
      <c r="T33" s="46" t="str">
        <f>IFERROR(__xludf.DUMMYFUNCTION("""COMPUTED_VALUE"""),"Neiva")</f>
        <v>Neiva</v>
      </c>
      <c r="U33" s="87" t="str">
        <f>IFERROR(__xludf.DUMMYFUNCTION("""COMPUTED_VALUE"""),"2")</f>
        <v>2</v>
      </c>
      <c r="V33" s="46" t="str">
        <f>IFERROR(__xludf.DUMMYFUNCTION("""COMPUTED_VALUE"""),"Esquinera")</f>
        <v>Esquinera</v>
      </c>
      <c r="W33" s="46"/>
      <c r="X33" s="46">
        <f>IFERROR(__xludf.DUMMYFUNCTION("""COMPUTED_VALUE"""),3.0)</f>
        <v>3</v>
      </c>
      <c r="Y33" s="46" t="str">
        <f>IFERROR(__xludf.DUMMYFUNCTION("""COMPUTED_VALUE"""),"No tiene")</f>
        <v>No tiene</v>
      </c>
      <c r="Z33" s="90" t="str">
        <f>IFERROR(__xludf.DUMMYFUNCTION("""COMPUTED_VALUE"""),"No aplica")</f>
        <v>No aplica</v>
      </c>
      <c r="AA33" s="33" t="str">
        <f>IFERROR(__xludf.DUMMYFUNCTION("""COMPUTED_VALUE"""),"No aplica")</f>
        <v>No aplica</v>
      </c>
      <c r="AB33" s="96" t="str">
        <f>IFERROR(__xludf.DUMMYFUNCTION("""COMPUTED_VALUE"""),"https://photos.app.goo.gl/vfxi3Gq9wwtCJTBC9")</f>
        <v>https://photos.app.goo.gl/vfxi3Gq9wwtCJTBC9</v>
      </c>
      <c r="AC33" s="46" t="str">
        <f>IFERROR(__xludf.DUMMYFUNCTION("""COMPUTED_VALUE"""),"Esta atractiva casa esquinera de un piso, ubicada en el estrato 2 de la zona Sur de Neiva, cuenta con un área total de 186 m² y 106 m² construidos. Su distribución interior ofrece una sala independiente con piso cerámico terracota, un comedor amplio con p"&amp;"isos de cerámica clara brillante y una cocina semi-integral con barra americana. La zona privada dispone de 3 habitaciones (la principal con baño privado), un baño auxiliar, un patio y zona de lavandería, complementados en el exterior por un garaje cubier"&amp;"to con estructura metálica ideal para vehículos.")</f>
        <v>Esta atractiva casa esquinera de un piso, ubicada en el estrato 2 de la zona Sur de Neiva, cuenta con un área total de 186 m² y 106 m² construidos. Su distribución interior ofrece una sala independiente con piso cerámico terracota, un comedor amplio con pisos de cerámica clara brillante y una cocina semi-integral con barra americana. La zona privada dispone de 3 habitaciones (la principal con baño privado), un baño auxiliar, un patio y zona de lavandería, complementados en el exterior por un garaje cubierto con estructura metálica ideal para vehículos.</v>
      </c>
      <c r="AD33" s="46" t="str">
        <f>IFERROR(__xludf.DUMMYFUNCTION("""COMPUTED_VALUE"""),"Situada en el barrio San Jorge, esta propiedad es una oportunidad excepcional de inversión gracias a su ubicación esquinera estratégica y excelente visibilidad. Su diseño funcional de un solo nivel y su lote amplio con gran frente la hacen perfecta tanto "&amp;"para vivienda como para desarrollar proyectos rentables, ya sean locales, restaurantes o apartaestudios. Esta versatilidad en una zona de alta valorización garantiza un flujo constante de clientes y una sólida generación de ingresos pasivos inmediatos.")</f>
        <v>Situada en el barrio San Jorge, esta propiedad es una oportunidad excepcional de inversión gracias a su ubicación esquinera estratégica y excelente visibilidad. Su diseño funcional de un solo nivel y su lote amplio con gran frente la hacen perfecta tanto para vivienda como para desarrollar proyectos rentables, ya sean locales, restaurantes o apartaestudios. Esta versatilidad en una zona de alta valorización garantiza un flujo constante de clientes y una sólida generación de ingresos pasivos inmediatos.</v>
      </c>
      <c r="AE33" s="46"/>
      <c r="AF33" s="46" t="str">
        <f>IFERROR(__xludf.DUMMYFUNCTION("""COMPUTED_VALUE"""),"semi-integral")</f>
        <v>semi-integral</v>
      </c>
      <c r="AG33" s="46"/>
      <c r="AH33" s="46" t="str">
        <f>IFERROR(__xludf.DUMMYFUNCTION("""COMPUTED_VALUE"""),"Aliado")</f>
        <v>Aliado</v>
      </c>
      <c r="AI33" s="92" t="str">
        <f>IFERROR(__xludf.DUMMYFUNCTION("""COMPUTED_VALUE"""),"https://lh3.googleusercontent.com/pw/AP1GczP8iu-5-D9NsdPAWJGDCt8iXSIHLaCXpaZLHt1y6wcgS4oiMs4tu62UX1vqIprZHEQbCq3UWdLThXHVWgEStvNUqRqjt0_wEcs7rui5H0Rc5_vxbuhB=w1200|https://lh3.googleusercontent.com/pw/AP1GczP-__8Bf3UaVqp2hEUg65sL1vL6ISG4KpxE3YcUdVubykHR_L"&amp;"g5SqU6HXww12elfTP_4kQ77YKwhoNAVSXTGGYp8ms-q98SPsWiLjD78-Tv2vKRkz_R=w1200|https://lh3.googleusercontent.com/pw/AP1GczN_yZtYE_cIROiDKdvz8pK2uQbRw-D3sua6ciRF9UyvZRfSv_cneX3KFGa3KboiEmyuYENzJzWXbQ3ylHhP4NYRg0Z2HDyCqmsG8e0lwnSyZRuZM1rD=w1200|https://lh3.google"&amp;"usercontent.com/pw/AP1GczMa2C48fGT6m-JwtTpYS-sDPLlCTAaLrgmt3VbLM5H8xX8tnl14xuW1BUTTOWoe9PfINirj8HuXK4LKuCGk4vcGvC0LqTanTSBhp2gGGMSd62S7ZgRw=w1200|https://lh3.googleusercontent.com/pw/AP1GczPf_G2_CuWQCIKNUnLxvDPS-mIU0XR0ht0bWFaTtyqG11ywdsgcMYNf3j4rSzu_cQ3X"&amp;"JEEGOsC1MLPjIcCXTUG4TI9iGv3SXglct4fXZXeERf_q6NQv=w1200|https://lh3.googleusercontent.com/pw/AP1GczN0NPJzFIThrDqSp07eOmpFic940AHMb_x5Sp0Q-ZLF-IF1ras6pwtJ3DB2Izh7du5pUvfT5WgRLIPdQqKHzP5wJ3_21wjQ7r6n_hs5lc5qXHUzMdG-=w1200|https://lh3.googleusercontent.com/pw"&amp;"/AP1GczMH2BIXXMDDryS1Rys05E2VgKae1z5EBV-VKbyYkoJFbLPEhJgMrm8iE7vPPh8ut2lDPhx-3_tHlP37pL1YkiAMhshVP2SCANUIHsGV2sGhDFc0Myv-=w1200")</f>
        <v>https://lh3.googleusercontent.com/pw/AP1GczP8iu-5-D9NsdPAWJGDCt8iXSIHLaCXpaZLHt1y6wcgS4oiMs4tu62UX1vqIprZHEQbCq3UWdLThXHVWgEStvNUqRqjt0_wEcs7rui5H0Rc5_vxbuhB=w1200|https://lh3.googleusercontent.com/pw/AP1GczP-__8Bf3UaVqp2hEUg65sL1vL6ISG4KpxE3YcUdVubykHR_Lg5SqU6HXww12elfTP_4kQ77YKwhoNAVSXTGGYp8ms-q98SPsWiLjD78-Tv2vKRkz_R=w1200|https://lh3.googleusercontent.com/pw/AP1GczN_yZtYE_cIROiDKdvz8pK2uQbRw-D3sua6ciRF9UyvZRfSv_cneX3KFGa3KboiEmyuYENzJzWXbQ3ylHhP4NYRg0Z2HDyCqmsG8e0lwnSyZRuZM1rD=w1200|https://lh3.googleusercontent.com/pw/AP1GczMa2C48fGT6m-JwtTpYS-sDPLlCTAaLrgmt3VbLM5H8xX8tnl14xuW1BUTTOWoe9PfINirj8HuXK4LKuCGk4vcGvC0LqTanTSBhp2gGGMSd62S7ZgRw=w1200|https://lh3.googleusercontent.com/pw/AP1GczPf_G2_CuWQCIKNUnLxvDPS-mIU0XR0ht0bWFaTtyqG11ywdsgcMYNf3j4rSzu_cQ3XJEEGOsC1MLPjIcCXTUG4TI9iGv3SXglct4fXZXeERf_q6NQv=w1200|https://lh3.googleusercontent.com/pw/AP1GczN0NPJzFIThrDqSp07eOmpFic940AHMb_x5Sp0Q-ZLF-IF1ras6pwtJ3DB2Izh7du5pUvfT5WgRLIPdQqKHzP5wJ3_21wjQ7r6n_hs5lc5qXHUzMdG-=w1200|https://lh3.googleusercontent.com/pw/AP1GczMH2BIXXMDDryS1Rys05E2VgKae1z5EBV-VKbyYkoJFbLPEhJgMrm8iE7vPPh8ut2lDPhx-3_tHlP37pL1YkiAMhshVP2SCANUIHsGV2sGhDFc0Myv-=w1200</v>
      </c>
      <c r="AJ33" s="46"/>
      <c r="AK33" s="46"/>
      <c r="AL33" s="46"/>
      <c r="AM33" s="46"/>
      <c r="AN33" s="46"/>
      <c r="AO33" s="46"/>
      <c r="AP33" s="46"/>
      <c r="AQ33" s="46"/>
      <c r="AR33" s="46"/>
      <c r="AS33" s="46"/>
      <c r="AT33" s="46"/>
      <c r="AU33" s="46"/>
      <c r="AV33" s="46"/>
      <c r="AW33" s="46"/>
      <c r="AX33" s="46"/>
      <c r="AY33" s="46"/>
      <c r="AZ33" s="46"/>
      <c r="BA33" s="46"/>
      <c r="BB33" s="46"/>
      <c r="BC33" s="46"/>
      <c r="BD33" s="46"/>
      <c r="BE33" s="46"/>
      <c r="BF33" s="46"/>
      <c r="BG33" s="46"/>
      <c r="BH33" s="46"/>
      <c r="BI33" s="46"/>
      <c r="BJ33" s="46"/>
      <c r="BK33" s="46"/>
      <c r="BL33" s="46"/>
      <c r="BM33" s="46"/>
      <c r="BN33" s="46"/>
      <c r="BO33" s="46"/>
      <c r="BP33" s="46"/>
      <c r="BQ33" s="46"/>
      <c r="BR33" s="46"/>
      <c r="BS33" s="46"/>
      <c r="BT33" s="46"/>
      <c r="BU33" s="46"/>
      <c r="BV33" s="46"/>
      <c r="BW33" s="46"/>
      <c r="BX33" s="46"/>
      <c r="BY33" s="46"/>
      <c r="BZ33" s="46"/>
      <c r="CA33" s="46"/>
      <c r="CB33" s="46"/>
      <c r="CC33" s="46"/>
    </row>
    <row r="34">
      <c r="A34" s="87" t="str">
        <f>IFERROR(__xludf.DUMMYFUNCTION("""COMPUTED_VALUE"""),"1757")</f>
        <v>1757</v>
      </c>
      <c r="B34" s="46" t="str">
        <f>IFERROR(__xludf.DUMMYFUNCTION("""COMPUTED_VALUE"""),"Bodega en zona industrial Palermo - Condominio Industrial Terpel")</f>
        <v>Bodega en zona industrial Palermo - Condominio Industrial Terpel</v>
      </c>
      <c r="C34" s="46" t="str">
        <f>IFERROR(__xludf.DUMMYFUNCTION("""COMPUTED_VALUE"""),"Oficina")</f>
        <v>Oficina</v>
      </c>
      <c r="D34" s="46"/>
      <c r="E34" s="46"/>
      <c r="F34" s="90">
        <f>IFERROR(__xludf.DUMMYFUNCTION("""COMPUTED_VALUE"""),3.0E9)</f>
        <v>3000000000</v>
      </c>
      <c r="G34" s="46" t="str">
        <f>IFERROR(__xludf.DUMMYFUNCTION("""COMPUTED_VALUE"""),"Más de $1.000'000.000")</f>
        <v>Más de $1.000'000.000</v>
      </c>
      <c r="H34" s="46"/>
      <c r="I34" s="46"/>
      <c r="J34" s="46" t="str">
        <f>IFERROR(__xludf.DUMMYFUNCTION("""COMPUTED_VALUE"""),"Sur")</f>
        <v>Sur</v>
      </c>
      <c r="K34" s="87"/>
      <c r="L34" s="46">
        <f>IFERROR(__xludf.DUMMYFUNCTION("""COMPUTED_VALUE"""),0.0)</f>
        <v>0</v>
      </c>
      <c r="M34" s="46"/>
      <c r="N34" s="46">
        <f>IFERROR(__xludf.DUMMYFUNCTION("""COMPUTED_VALUE"""),4.0)</f>
        <v>4</v>
      </c>
      <c r="O34" s="46"/>
      <c r="P34" s="46">
        <f>IFERROR(__xludf.DUMMYFUNCTION("""COMPUTED_VALUE"""),2.0)</f>
        <v>2</v>
      </c>
      <c r="Q34" s="92" t="str">
        <f>IFERROR(__xludf.DUMMYFUNCTION("""COMPUTED_VALUE"""),"1.096.46")</f>
        <v>1.096.46</v>
      </c>
      <c r="R34" s="92">
        <f>IFERROR(__xludf.DUMMYFUNCTION("""COMPUTED_VALUE"""),1949.0)</f>
        <v>1949</v>
      </c>
      <c r="S34" s="87" t="str">
        <f>IFERROR(__xludf.DUMMYFUNCTION("""COMPUTED_VALUE""")," ")</f>
        <v> </v>
      </c>
      <c r="T34" s="46" t="str">
        <f>IFERROR(__xludf.DUMMYFUNCTION("""COMPUTED_VALUE"""),"Palermo")</f>
        <v>Palermo</v>
      </c>
      <c r="U34" s="87"/>
      <c r="V34" s="46" t="str">
        <f>IFERROR(__xludf.DUMMYFUNCTION("""COMPUTED_VALUE"""),"Medianera")</f>
        <v>Medianera</v>
      </c>
      <c r="W34" s="46"/>
      <c r="X34" s="46">
        <f>IFERROR(__xludf.DUMMYFUNCTION("""COMPUTED_VALUE"""),0.0)</f>
        <v>0</v>
      </c>
      <c r="Y34" s="46" t="str">
        <f>IFERROR(__xludf.DUMMYFUNCTION("""COMPUTED_VALUE"""),"No tiene")</f>
        <v>No tiene</v>
      </c>
      <c r="Z34" s="90"/>
      <c r="AA34" s="33" t="str">
        <f>IFERROR(__xludf.DUMMYFUNCTION("""COMPUTED_VALUE"""),"No aplica")</f>
        <v>No aplica</v>
      </c>
      <c r="AB34" s="96" t="str">
        <f>IFERROR(__xludf.DUMMYFUNCTION("""COMPUTED_VALUE"""),"https://photos.app.goo.gl/RgwVPydVaU34BZ5x9")</f>
        <v>https://photos.app.goo.gl/RgwVPydVaU34BZ5x9</v>
      </c>
      <c r="AC34" s="46" t="str">
        <f>IFERROR(__xludf.DUMMYFUNCTION("""COMPUTED_VALUE"""),"Tipo de propiedad: Inmueble rural con amplias instalaciones industriales y comerciales. Características principales: Lote de 1.949 m² - Área construida: 1.096,46 m² - Cerramiento en ladrillo tolete con vigas y columnas de concreto — máxima seguridad y res"&amp;"istencia. Usos del inmueble: Industrial y comercial-Uso actual: Centro de Diagnóstico Automotriz (CDA).")</f>
        <v>Tipo de propiedad: Inmueble rural con amplias instalaciones industriales y comerciales. Características principales: Lote de 1.949 m² - Área construida: 1.096,46 m² - Cerramiento en ladrillo tolete con vigas y columnas de concreto — máxima seguridad y resistencia. Usos del inmueble: Industrial y comercial-Uso actual: Centro de Diagnóstico Automotriz (CDA).</v>
      </c>
      <c r="AD34" s="46" t="str">
        <f>IFERROR(__xludf.DUMMYFUNCTION("""COMPUTED_VALUE"""),"Bloque de oficinas: 225,16 m² - Hangar o patio cubierto: 871,30 m² - Patio en concreto: 617,52 m² - Muro de cerramiento: 555 m².")</f>
        <v>Bloque de oficinas: 225,16 m² - Hangar o patio cubierto: 871,30 m² - Patio en concreto: 617,52 m² - Muro de cerramiento: 555 m².</v>
      </c>
      <c r="AE34" s="46"/>
      <c r="AF34" s="46">
        <f>IFERROR(__xludf.DUMMYFUNCTION("""COMPUTED_VALUE"""),0.0)</f>
        <v>0</v>
      </c>
      <c r="AG34" s="46"/>
      <c r="AH34" s="46" t="str">
        <f>IFERROR(__xludf.DUMMYFUNCTION("""COMPUTED_VALUE"""),"Aliado")</f>
        <v>Aliado</v>
      </c>
      <c r="AI34" s="92" t="str">
        <f>IFERROR(__xludf.DUMMYFUNCTION("""COMPUTED_VALUE"""),"https://lh3.googleusercontent.com/pw/AP1GczP7G9f75FCDhH9j6BH0X6TVLO6HfFqALBeys8VqqKEgKbauV0rhmvsQoDpasLG6_5Y9K7Hbh9wOLg5ieYRnuJtSRbFvP4TLKbWmehzf31FvTxUDWOaC=w1200|https://lh3.googleusercontent.com/pw/AP1GczPLoSyoTtKmy4RaTnsMwaMSTHklSnBDtsfiXPlxvE1e-1kVP6"&amp;"TlmaogDTfw6dwl3YFwzyJAdIn8fPNcPA9OgL2c82GRKcdGF27B8zt3GNvH1JuMudEu=w1200|https://lh3.googleusercontent.com/pw/AP1GczOE1DCMJOWPjUknjrGaVbOClGT9hnutK9At_1xC64zNlptAWNRpcd-hvwaNjqmTwJaHA2wUkfghRJSuVoT_KanFS-l3WhjEW8VaRFbB1AU2HuelJlgS=w1200|https://lh3.google"&amp;"usercontent.com/pw/AP1GczNkGpx9WdZ8NDt8iTnNYvOxmDLY2wZVW_E3nBxbE0ZY4pzYLyhPG4S6EiYNdiUBvqeRjNxXaY3pEkEfra-kWr_aA28pnoeG9ExcqsJHTynVldy3f623=w1200|https://lh3.googleusercontent.com/pw/AP1GczNKDH9ZbPghmSDte80jAHJq-JJExY62phdh_AfvNeJIizimvN2gqHpIPWkJBUbuPgoI"&amp;"tZk0UFtd73xnP70-GQCL3GWadi0nUHlSja9eyMzOwXPrh6Vm=w1200|https://lh3.googleusercontent.com/pw/AP1GczNPs5GDA6w6ROvZjBufdhNMQjzSFBS3VCyPeyqwxQVPssuqj4yMvAK2w1xGNfvLkwfong275CaGlPZCg0SHbH9ZXnr3HoB19MiFkcrr8D4euzXNoFjv=w1200|https://lh3.googleusercontent.com/pw"&amp;"/AP1GczN5m-pIatoAu39eL9N7dIKnTtnI-hOZz4TJgIhZA5qV4lahKDHhuXAOJWm4VyDTUSb0MvWTxosNYeNRyUJiR1gSYht4VVmOiZ_1yStHD1UvR3UuiERI=w1200|https://lh3.googleusercontent.com/pw/AP1GczO-jeh7T5sEwm5T_vsmK8GStrj09cIiDqgU30oxi_Zq_7E1itYJVVT4-l2EDn5tWspZctG35ePoL8urwXp4Y6"&amp;"aNF5D0A1vh6V2oebkI4_SpbQzomvdK=w1200|https://lh3.googleusercontent.com/pw/AP1GczOHWhFwwzwiq9EYGqq6VF-GWVBUHlOtBTBzMEaxDF7P_PZD_BST2z49IqvcHRTt0Rbp7idrQK5Y0ku2UYIvCwvvRfuSbAD5oFjddB0_Zb3COoVF13ed=w1200|https://lh3.googleusercontent.com/pw/AP1GczN7bqIf-Nr_v"&amp;"nVpcUO6HdidkDutByaK_d1jjlHkXaRKuS2ZBXbys2mrgJh6KbyTuXviFVBUyJWmWRVsLxy0XdCfzB155b7h0wv2dMVA0vvBU4eE62X0=w1200|https://lh3.googleusercontent.com/pw/AP1GczN7f1nqwJsJOCUy7XXtdP6tDS1mFSfJ5deblerZUNFepybU5td3FjbGljvauQmYgBOcZLn2jIkhXlekuKi4tV4irFB-dd2lCzcyXywP"&amp;"YfEhmC1NF6GJ=w1200|https://lh3.googleusercontent.com/pw/AP1GczN31vWqejE-QKZHflxK-rdhJmcfDka7FJHc8FUfWQheXJ1SFgrElq6Gwzu97V-sw3YF62aCstHTJt7D7rqRYTPosCNvB6q_D4CRWoRJ6Pv1SjabHcHP=w1200|https://lh3.googleusercontent.com/pw/AP1GczPktWk6XO5n0FkyAh8AdivH3u1I89D"&amp;"BtaEbVhyam8iLRxk1KG7DGzZTpNeBrSyll7g7D-7VNptrpj1DlLS1szF3FF7aCyWvdcpD88RU4nTEiNFDowlR=w1200|https://lh3.googleusercontent.com/pw/AP1GczNNFXVhab2rpFexHH_RfQfThsEXq1sZqI8CvMmb-mSqVT6sleMcZx0LMDV3SOLHnv77bz-uzIUZPBpxQQhN130F0KVRmspIyA3HwI-wNDnMR4_cFo1T=w1200"&amp;"|https://lh3.googleusercontent.com/pw/AP1GczNAKEN056O0le3I-ES5w-FO1gDJx10ipniXCYIvZf5Dy5BFM7xQLWPdIaIe-L1zQK4nmDC5dy6YAU07EggBhzsLlUjF-M552qHUmsGtrUQKPNWsLdDo=w1200")</f>
        <v>https://lh3.googleusercontent.com/pw/AP1GczP7G9f75FCDhH9j6BH0X6TVLO6HfFqALBeys8VqqKEgKbauV0rhmvsQoDpasLG6_5Y9K7Hbh9wOLg5ieYRnuJtSRbFvP4TLKbWmehzf31FvTxUDWOaC=w1200|https://lh3.googleusercontent.com/pw/AP1GczPLoSyoTtKmy4RaTnsMwaMSTHklSnBDtsfiXPlxvE1e-1kVP6TlmaogDTfw6dwl3YFwzyJAdIn8fPNcPA9OgL2c82GRKcdGF27B8zt3GNvH1JuMudEu=w1200|https://lh3.googleusercontent.com/pw/AP1GczOE1DCMJOWPjUknjrGaVbOClGT9hnutK9At_1xC64zNlptAWNRpcd-hvwaNjqmTwJaHA2wUkfghRJSuVoT_KanFS-l3WhjEW8VaRFbB1AU2HuelJlgS=w1200|https://lh3.googleusercontent.com/pw/AP1GczNkGpx9WdZ8NDt8iTnNYvOxmDLY2wZVW_E3nBxbE0ZY4pzYLyhPG4S6EiYNdiUBvqeRjNxXaY3pEkEfra-kWr_aA28pnoeG9ExcqsJHTynVldy3f623=w1200|https://lh3.googleusercontent.com/pw/AP1GczNKDH9ZbPghmSDte80jAHJq-JJExY62phdh_AfvNeJIizimvN2gqHpIPWkJBUbuPgoItZk0UFtd73xnP70-GQCL3GWadi0nUHlSja9eyMzOwXPrh6Vm=w1200|https://lh3.googleusercontent.com/pw/AP1GczNPs5GDA6w6ROvZjBufdhNMQjzSFBS3VCyPeyqwxQVPssuqj4yMvAK2w1xGNfvLkwfong275CaGlPZCg0SHbH9ZXnr3HoB19MiFkcrr8D4euzXNoFjv=w1200|https://lh3.googleusercontent.com/pw/AP1GczN5m-pIatoAu39eL9N7dIKnTtnI-hOZz4TJgIhZA5qV4lahKDHhuXAOJWm4VyDTUSb0MvWTxosNYeNRyUJiR1gSYht4VVmOiZ_1yStHD1UvR3UuiERI=w1200|https://lh3.googleusercontent.com/pw/AP1GczO-jeh7T5sEwm5T_vsmK8GStrj09cIiDqgU30oxi_Zq_7E1itYJVVT4-l2EDn5tWspZctG35ePoL8urwXp4Y6aNF5D0A1vh6V2oebkI4_SpbQzomvdK=w1200|https://lh3.googleusercontent.com/pw/AP1GczOHWhFwwzwiq9EYGqq6VF-GWVBUHlOtBTBzMEaxDF7P_PZD_BST2z49IqvcHRTt0Rbp7idrQK5Y0ku2UYIvCwvvRfuSbAD5oFjddB0_Zb3COoVF13ed=w1200|https://lh3.googleusercontent.com/pw/AP1GczN7bqIf-Nr_vnVpcUO6HdidkDutByaK_d1jjlHkXaRKuS2ZBXbys2mrgJh6KbyTuXviFVBUyJWmWRVsLxy0XdCfzB155b7h0wv2dMVA0vvBU4eE62X0=w1200|https://lh3.googleusercontent.com/pw/AP1GczN7f1nqwJsJOCUy7XXtdP6tDS1mFSfJ5deblerZUNFepybU5td3FjbGljvauQmYgBOcZLn2jIkhXlekuKi4tV4irFB-dd2lCzcyXywPYfEhmC1NF6GJ=w1200|https://lh3.googleusercontent.com/pw/AP1GczN31vWqejE-QKZHflxK-rdhJmcfDka7FJHc8FUfWQheXJ1SFgrElq6Gwzu97V-sw3YF62aCstHTJt7D7rqRYTPosCNvB6q_D4CRWoRJ6Pv1SjabHcHP=w1200|https://lh3.googleusercontent.com/pw/AP1GczPktWk6XO5n0FkyAh8AdivH3u1I89DBtaEbVhyam8iLRxk1KG7DGzZTpNeBrSyll7g7D-7VNptrpj1DlLS1szF3FF7aCyWvdcpD88RU4nTEiNFDowlR=w1200|https://lh3.googleusercontent.com/pw/AP1GczNNFXVhab2rpFexHH_RfQfThsEXq1sZqI8CvMmb-mSqVT6sleMcZx0LMDV3SOLHnv77bz-uzIUZPBpxQQhN130F0KVRmspIyA3HwI-wNDnMR4_cFo1T=w1200|https://lh3.googleusercontent.com/pw/AP1GczNAKEN056O0le3I-ES5w-FO1gDJx10ipniXCYIvZf5Dy5BFM7xQLWPdIaIe-L1zQK4nmDC5dy6YAU07EggBhzsLlUjF-M552qHUmsGtrUQKPNWsLdDo=w1200</v>
      </c>
      <c r="AJ34" s="46"/>
      <c r="AK34" s="46"/>
      <c r="AL34" s="46"/>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46"/>
      <c r="BK34" s="46"/>
      <c r="BL34" s="46"/>
      <c r="BM34" s="46"/>
      <c r="BN34" s="46"/>
      <c r="BO34" s="46"/>
      <c r="BP34" s="46"/>
      <c r="BQ34" s="46"/>
      <c r="BR34" s="46"/>
      <c r="BS34" s="46"/>
      <c r="BT34" s="46"/>
      <c r="BU34" s="46"/>
      <c r="BV34" s="46"/>
      <c r="BW34" s="46"/>
      <c r="BX34" s="46"/>
      <c r="BY34" s="46"/>
      <c r="BZ34" s="46"/>
      <c r="CA34" s="46"/>
      <c r="CB34" s="46"/>
      <c r="CC34" s="46"/>
    </row>
    <row r="35">
      <c r="A35" s="87" t="str">
        <f>IFERROR(__xludf.DUMMYFUNCTION("""COMPUTED_VALUE"""),"1773")</f>
        <v>1773</v>
      </c>
      <c r="B35" s="46" t="str">
        <f>IFERROR(__xludf.DUMMYFUNCTION("""COMPUTED_VALUE"""),"Casa campestre en conjunto Condominio Altos de la Pradera - Oriente - Neiva")</f>
        <v>Casa campestre en conjunto Condominio Altos de la Pradera - Oriente - Neiva</v>
      </c>
      <c r="C35" s="46" t="str">
        <f>IFERROR(__xludf.DUMMYFUNCTION("""COMPUTED_VALUE"""),"Casa campestre en conjunto")</f>
        <v>Casa campestre en conjunto</v>
      </c>
      <c r="D35" s="46" t="str">
        <f>IFERROR(__xludf.DUMMYFUNCTION("""COMPUTED_VALUE"""),"Ipanema")</f>
        <v>Ipanema</v>
      </c>
      <c r="E35" s="46" t="str">
        <f>IFERROR(__xludf.DUMMYFUNCTION("""COMPUTED_VALUE"""),"Conjunto Condominio Campestre Altos de la Pradera")</f>
        <v>Conjunto Condominio Campestre Altos de la Pradera</v>
      </c>
      <c r="F35" s="90">
        <f>IFERROR(__xludf.DUMMYFUNCTION("""COMPUTED_VALUE"""),2.7E9)</f>
        <v>2700000000</v>
      </c>
      <c r="G35" s="46" t="str">
        <f>IFERROR(__xludf.DUMMYFUNCTION("""COMPUTED_VALUE"""),"Más de $1.000'000.000")</f>
        <v>Más de $1.000'000.000</v>
      </c>
      <c r="H35" s="46"/>
      <c r="I35" s="46"/>
      <c r="J35" s="46" t="str">
        <f>IFERROR(__xludf.DUMMYFUNCTION("""COMPUTED_VALUE"""),"Oriente")</f>
        <v>Oriente</v>
      </c>
      <c r="K35" s="87" t="str">
        <f>IFERROR(__xludf.DUMMYFUNCTION("""COMPUTED_VALUE"""),"8")</f>
        <v>8</v>
      </c>
      <c r="L35" s="46">
        <f>IFERROR(__xludf.DUMMYFUNCTION("""COMPUTED_VALUE"""),5.0)</f>
        <v>5</v>
      </c>
      <c r="M35" s="46"/>
      <c r="N35" s="46">
        <f>IFERROR(__xludf.DUMMYFUNCTION("""COMPUTED_VALUE"""),4.0)</f>
        <v>4</v>
      </c>
      <c r="O35" s="46">
        <f>IFERROR(__xludf.DUMMYFUNCTION("""COMPUTED_VALUE"""),3.0)</f>
        <v>3</v>
      </c>
      <c r="P35" s="46">
        <f>IFERROR(__xludf.DUMMYFUNCTION("""COMPUTED_VALUE"""),1.0)</f>
        <v>1</v>
      </c>
      <c r="Q35" s="92">
        <f>IFERROR(__xludf.DUMMYFUNCTION("""COMPUTED_VALUE"""),500.0)</f>
        <v>500</v>
      </c>
      <c r="R35" s="92">
        <f>IFERROR(__xludf.DUMMYFUNCTION("""COMPUTED_VALUE"""),2028.0)</f>
        <v>2028</v>
      </c>
      <c r="S35" s="87" t="str">
        <f>IFERROR(__xludf.DUMMYFUNCTION("""COMPUTED_VALUE""")," ")</f>
        <v> </v>
      </c>
      <c r="T35" s="46" t="str">
        <f>IFERROR(__xludf.DUMMYFUNCTION("""COMPUTED_VALUE"""),"Neiva")</f>
        <v>Neiva</v>
      </c>
      <c r="U35" s="87" t="str">
        <f>IFERROR(__xludf.DUMMYFUNCTION("""COMPUTED_VALUE"""),"4")</f>
        <v>4</v>
      </c>
      <c r="V35" s="46" t="str">
        <f>IFERROR(__xludf.DUMMYFUNCTION("""COMPUTED_VALUE"""),"Medianera")</f>
        <v>Medianera</v>
      </c>
      <c r="W35" s="46"/>
      <c r="X35" s="46">
        <f>IFERROR(__xludf.DUMMYFUNCTION("""COMPUTED_VALUE"""),5.0)</f>
        <v>5</v>
      </c>
      <c r="Y35" s="46" t="str">
        <f>IFERROR(__xludf.DUMMYFUNCTION("""COMPUTED_VALUE"""),"Privada")</f>
        <v>Privada</v>
      </c>
      <c r="Z35" s="90"/>
      <c r="AA35" s="33" t="str">
        <f>IFERROR(__xludf.DUMMYFUNCTION("""COMPUTED_VALUE"""),"No aplica")</f>
        <v>No aplica</v>
      </c>
      <c r="AB35" s="96" t="str">
        <f>IFERROR(__xludf.DUMMYFUNCTION("""COMPUTED_VALUE"""),"https://photos.app.goo.gl/2kDZbdGwKZUnE4zM8")</f>
        <v>https://photos.app.goo.gl/2kDZbdGwKZUnE4zM8</v>
      </c>
      <c r="AC35" s="46" t="str">
        <f>IFERROR(__xludf.DUMMYFUNCTION("""COMPUTED_VALUE"""),"Casa de un piso, amplia,cuenta con naturalez, lujo y alta valorización. ")</f>
        <v>Casa de un piso, amplia,cuenta con naturalez, lujo y alta valorización. </v>
      </c>
      <c r="AD35" s="46" t="str">
        <f>IFERROR(__xludf.DUMMYFUNCTION("""COMPUTED_VALUE"""),"Cuenta con excelentes acabados, páneles solares.Todas las habitaciones iluminadas y ventiladas, ademas cuenta cada una con aire acondicionado.")</f>
        <v>Cuenta con excelentes acabados, páneles solares.Todas las habitaciones iluminadas y ventiladas, ademas cuenta cada una con aire acondicionado.</v>
      </c>
      <c r="AE35" s="46"/>
      <c r="AF35" s="46" t="str">
        <f>IFERROR(__xludf.DUMMYFUNCTION("""COMPUTED_VALUE"""),"integral")</f>
        <v>integral</v>
      </c>
      <c r="AG35" s="46"/>
      <c r="AH35" s="46" t="str">
        <f>IFERROR(__xludf.DUMMYFUNCTION("""COMPUTED_VALUE"""),"Aliado")</f>
        <v>Aliado</v>
      </c>
      <c r="AI35" s="92" t="str">
        <f>IFERROR(__xludf.DUMMYFUNCTION("""COMPUTED_VALUE"""),"https://lh3.googleusercontent.com/pw/AP1GczPWGliUJPfo5pjktq2GdSaP17zJlunWBG850HKZ4hlcJqjuXH046vUcWcVh_EL6kJuY05j9TMjwss_8H92EifJXrjmL0wP58P6tUk7nsl6CbGYVuU6z=w1200|https://lh3.googleusercontent.com/pw/AP1GczOcpZM1WtWWx0bmXstQ9zypg_d8LWn6I85pj_TeTzUcCYwQ8A"&amp;"6RWRUOz68n8wl5nTJl6f595pEkcfeRspflkaIRf96B-pX1qcSx-aL3tUg3QiYDKKj1=w1200|https://lh3.googleusercontent.com/pw/AP1GczMk2sYCR4SU_mPuTjP43GXXHlLZsk6amQpA8LoUA_hZ2fNQenDSvpQrpJOb1jm4uWPWUhfenWudDv2495FMtihbiQ9qWa9_DnW9Z4byoy4D1Cc4atXN=w1200|https://lh3.google"&amp;"usercontent.com/pw/AP1GczM03LrQAToqyLUveOs9DYzKANeLRaRr00E74lTVTOyc1OnSeolLdtiC6pp0i-HhpGdlE3pTJj1ZauWrmH1W3rSyXhiiDuGivtCb9og87n17nm29NYbx=w1200|https://lh3.googleusercontent.com/pw/AP1GczOhB2ulgR0Pl7R7jscvwsW2Rso3L7U9sascDg9f60UDqbwb5piSNCEPGcce9Pf3ZmL8"&amp;"AITUzuYH4GoBx2TXe-8gSDqcTQOekF8wtMZ8Yj6s4s0g3lid=w1200|https://lh3.googleusercontent.com/pw/AP1GczM1KxI0NByMIr9pa8vyP1Wm7_fudGToEVWLJW7IIMGLJbqUamNSxJuE3LEYfpTcwzOVanzOch5iTI1UmV1A6jQHSTaPa8Eciw8ugGRDAVxf6FEMVlyP=w1200|https://lh3.googleusercontent.com/pw"&amp;"/AP1GczNwPn5XusLxxKQHLWojOaeQODzcjINdu7NWkGoiPPHtOJkoH9CRAm5js78iPxob2Rz1zHl60bEAwuI1EveloYPzdO7xafDSotYhpIabJ1VoTOHoUZOh=w1200|https://lh3.googleusercontent.com/pw/AP1GczMhHh7Iei9zRBuaSMYCuUoxVJAMfRFhNtol1ufi_fRGIjeXSiAnmOP395-OW9yv_PEEn-zwJTS7mERJLkvrSW"&amp;"3cZmiYW1SYtIKe5t62u3193qAUn459=w1200|https://lh3.googleusercontent.com/pw/AP1GczMoPryv3iS4LtjU4FMFQTWSys4Hdj0ZtMbf_DF5yj49I-snfQcXzCg3KmzgjM-vyPsIex6b8snbaA9ztrPT9eb1ZvtKAcGsYUPv1MLi1jJfp8ka0QAb=w1200|https://lh3.googleusercontent.com/pw/AP1GczMh-KihMBXRL"&amp;"-3U0AtD0QuN10KK-QRjDuDBwzKj4328IHG0zfdQV0lAi9J_qc8NfARUkCyQu6NJQP_rEf3KzJzs6DQPzD4KVYqjSLqmoUbklZRWzDlk=w1200|https://lh3.googleusercontent.com/pw/AP1GczMDbvqQ2jIRfl6i-JWBkaSIDsUmTZyHgGe71Q96wLgvO7ttbj3ChU3hW8vI07Cvd6Q4lXtAaNiPjVfIvnF_Y5wGwSc0c3sIKpTOw3Zh"&amp;"JjMEL-Z0wxgo=w1200|https://lh3.googleusercontent.com/pw/AP1GczPBNyDuSmJMHeHyYhb7kuVmTRYpPONIIyIe6A2vdUF-Q_K20Bc_RCPuvHvkdf-iszMHDe46yET9MVbXs0kqDbig-pvtr8IRX6mfpEIvExZIwxi3HCzO=w1200|https://lh3.googleusercontent.com/pw/AP1GczPs3a4Nkt30D0bkcwb2BK_wHpHei89"&amp;"0QSE7d5WIuU-UOdpkWIgSH52Ku2Rwgy9uGxyv34kyXWd6saa5td27WqZ3dCcef1O8fn-Jow0TnGC_9nGg3XfF=w1200|https://lh3.googleusercontent.com/pw/AP1GczMjEPmuRcpB8L04DykYR-IwBV2D1TculIsevnOuyliHifU1LJtesmzQK6loKqvwxEyex-oyd5RnHe20hJjhvJ5V9ambj6sUHKkrfDYPG0aATfvHhnnl=w1200"&amp;"|https://lh3.googleusercontent.com/pw/AP1GczNMJxFLDF2cLAtijG7OAdqVfjMQr_uClPKAGoF_2ejvOrOVoW3QXVgdqbBkw87pzoZ9TbBiBte12DCQtCkOL8Pg6_aNMVyuzhD_HqqHOX8p2ZBt69X3=w1200|https://lh3.googleusercontent.com/pw/AP1GczPg83GefoQ5NlMPd3zG-tgb6VqyXFO1wYlUYIuMmAZ75yFIx"&amp;"BFmZzq1AzHppPFk7v-_CxAtjNEo9TGn5IPjerIsU74_c2W3MXK536rRIt2meUuqfXqB=w1200|https://lh3.googleusercontent.com/pw/AP1GczPkVrF46sK5nNeH24_xWaBrhmvk8WorpxTwsGJA2VDgqMtp-3QJMkTVezw9HY3OyzAmd_XLPnP7hou2aqkc0aEqSkPetOdsoDL6l-JWIk_g1B7fY2FN=w1200")</f>
        <v>https://lh3.googleusercontent.com/pw/AP1GczPWGliUJPfo5pjktq2GdSaP17zJlunWBG850HKZ4hlcJqjuXH046vUcWcVh_EL6kJuY05j9TMjwss_8H92EifJXrjmL0wP58P6tUk7nsl6CbGYVuU6z=w1200|https://lh3.googleusercontent.com/pw/AP1GczOcpZM1WtWWx0bmXstQ9zypg_d8LWn6I85pj_TeTzUcCYwQ8A6RWRUOz68n8wl5nTJl6f595pEkcfeRspflkaIRf96B-pX1qcSx-aL3tUg3QiYDKKj1=w1200|https://lh3.googleusercontent.com/pw/AP1GczMk2sYCR4SU_mPuTjP43GXXHlLZsk6amQpA8LoUA_hZ2fNQenDSvpQrpJOb1jm4uWPWUhfenWudDv2495FMtihbiQ9qWa9_DnW9Z4byoy4D1Cc4atXN=w1200|https://lh3.googleusercontent.com/pw/AP1GczM03LrQAToqyLUveOs9DYzKANeLRaRr00E74lTVTOyc1OnSeolLdtiC6pp0i-HhpGdlE3pTJj1ZauWrmH1W3rSyXhiiDuGivtCb9og87n17nm29NYbx=w1200|https://lh3.googleusercontent.com/pw/AP1GczOhB2ulgR0Pl7R7jscvwsW2Rso3L7U9sascDg9f60UDqbwb5piSNCEPGcce9Pf3ZmL8AITUzuYH4GoBx2TXe-8gSDqcTQOekF8wtMZ8Yj6s4s0g3lid=w1200|https://lh3.googleusercontent.com/pw/AP1GczM1KxI0NByMIr9pa8vyP1Wm7_fudGToEVWLJW7IIMGLJbqUamNSxJuE3LEYfpTcwzOVanzOch5iTI1UmV1A6jQHSTaPa8Eciw8ugGRDAVxf6FEMVlyP=w1200|https://lh3.googleusercontent.com/pw/AP1GczNwPn5XusLxxKQHLWojOaeQODzcjINdu7NWkGoiPPHtOJkoH9CRAm5js78iPxob2Rz1zHl60bEAwuI1EveloYPzdO7xafDSotYhpIabJ1VoTOHoUZOh=w1200|https://lh3.googleusercontent.com/pw/AP1GczMhHh7Iei9zRBuaSMYCuUoxVJAMfRFhNtol1ufi_fRGIjeXSiAnmOP395-OW9yv_PEEn-zwJTS7mERJLkvrSW3cZmiYW1SYtIKe5t62u3193qAUn459=w1200|https://lh3.googleusercontent.com/pw/AP1GczMoPryv3iS4LtjU4FMFQTWSys4Hdj0ZtMbf_DF5yj49I-snfQcXzCg3KmzgjM-vyPsIex6b8snbaA9ztrPT9eb1ZvtKAcGsYUPv1MLi1jJfp8ka0QAb=w1200|https://lh3.googleusercontent.com/pw/AP1GczMh-KihMBXRL-3U0AtD0QuN10KK-QRjDuDBwzKj4328IHG0zfdQV0lAi9J_qc8NfARUkCyQu6NJQP_rEf3KzJzs6DQPzD4KVYqjSLqmoUbklZRWzDlk=w1200|https://lh3.googleusercontent.com/pw/AP1GczMDbvqQ2jIRfl6i-JWBkaSIDsUmTZyHgGe71Q96wLgvO7ttbj3ChU3hW8vI07Cvd6Q4lXtAaNiPjVfIvnF_Y5wGwSc0c3sIKpTOw3ZhJjMEL-Z0wxgo=w1200|https://lh3.googleusercontent.com/pw/AP1GczPBNyDuSmJMHeHyYhb7kuVmTRYpPONIIyIe6A2vdUF-Q_K20Bc_RCPuvHvkdf-iszMHDe46yET9MVbXs0kqDbig-pvtr8IRX6mfpEIvExZIwxi3HCzO=w1200|https://lh3.googleusercontent.com/pw/AP1GczPs3a4Nkt30D0bkcwb2BK_wHpHei890QSE7d5WIuU-UOdpkWIgSH52Ku2Rwgy9uGxyv34kyXWd6saa5td27WqZ3dCcef1O8fn-Jow0TnGC_9nGg3XfF=w1200|https://lh3.googleusercontent.com/pw/AP1GczMjEPmuRcpB8L04DykYR-IwBV2D1TculIsevnOuyliHifU1LJtesmzQK6loKqvwxEyex-oyd5RnHe20hJjhvJ5V9ambj6sUHKkrfDYPG0aATfvHhnnl=w1200|https://lh3.googleusercontent.com/pw/AP1GczNMJxFLDF2cLAtijG7OAdqVfjMQr_uClPKAGoF_2ejvOrOVoW3QXVgdqbBkw87pzoZ9TbBiBte12DCQtCkOL8Pg6_aNMVyuzhD_HqqHOX8p2ZBt69X3=w1200|https://lh3.googleusercontent.com/pw/AP1GczPg83GefoQ5NlMPd3zG-tgb6VqyXFO1wYlUYIuMmAZ75yFIxBFmZzq1AzHppPFk7v-_CxAtjNEo9TGn5IPjerIsU74_c2W3MXK536rRIt2meUuqfXqB=w1200|https://lh3.googleusercontent.com/pw/AP1GczPkVrF46sK5nNeH24_xWaBrhmvk8WorpxTwsGJA2VDgqMtp-3QJMkTVezw9HY3OyzAmd_XLPnP7hou2aqkc0aEqSkPetOdsoDL6l-JWIk_g1B7fY2FN=w1200</v>
      </c>
      <c r="AJ35" s="46"/>
      <c r="AK35" s="46"/>
      <c r="AL35" s="46"/>
      <c r="AM35" s="46"/>
      <c r="AN35" s="46"/>
      <c r="AO35" s="46"/>
      <c r="AP35" s="46"/>
      <c r="AQ35" s="46"/>
      <c r="AR35" s="46"/>
      <c r="AS35" s="46"/>
      <c r="AT35" s="46"/>
      <c r="AU35" s="46"/>
      <c r="AV35" s="46"/>
      <c r="AW35" s="46"/>
      <c r="AX35" s="46"/>
      <c r="AY35" s="46"/>
      <c r="AZ35" s="46"/>
      <c r="BA35" s="46"/>
      <c r="BB35" s="46"/>
      <c r="BC35" s="46"/>
      <c r="BD35" s="46"/>
      <c r="BE35" s="46"/>
      <c r="BF35" s="46"/>
      <c r="BG35" s="46"/>
      <c r="BH35" s="46"/>
      <c r="BI35" s="46"/>
      <c r="BJ35" s="46"/>
      <c r="BK35" s="46"/>
      <c r="BL35" s="46"/>
      <c r="BM35" s="46"/>
      <c r="BN35" s="46"/>
      <c r="BO35" s="46"/>
      <c r="BP35" s="46"/>
      <c r="BQ35" s="46"/>
      <c r="BR35" s="46"/>
      <c r="BS35" s="46"/>
      <c r="BT35" s="46"/>
      <c r="BU35" s="46"/>
      <c r="BV35" s="46"/>
      <c r="BW35" s="46"/>
      <c r="BX35" s="46"/>
      <c r="BY35" s="46"/>
      <c r="BZ35" s="46"/>
      <c r="CA35" s="46"/>
      <c r="CB35" s="46"/>
      <c r="CC35" s="46"/>
    </row>
    <row r="36">
      <c r="A36" s="87" t="str">
        <f>IFERROR(__xludf.DUMMYFUNCTION("""COMPUTED_VALUE"""),"1758")</f>
        <v>1758</v>
      </c>
      <c r="B36" s="46" t="str">
        <f>IFERROR(__xludf.DUMMYFUNCTION("""COMPUTED_VALUE"""),"Casa Campestre en conjunto condominio Campestre Verde Sol Melgar - Tolima")</f>
        <v>Casa Campestre en conjunto condominio Campestre Verde Sol Melgar - Tolima</v>
      </c>
      <c r="C36" s="46" t="str">
        <f>IFERROR(__xludf.DUMMYFUNCTION("""COMPUTED_VALUE"""),"Casa campestre en conjunto")</f>
        <v>Casa campestre en conjunto</v>
      </c>
      <c r="D36" s="46"/>
      <c r="E36" s="46" t="str">
        <f>IFERROR(__xludf.DUMMYFUNCTION("""COMPUTED_VALUE"""),"Condominio Campestre Verde Sol Melgar")</f>
        <v>Condominio Campestre Verde Sol Melgar</v>
      </c>
      <c r="F36" s="90">
        <f>IFERROR(__xludf.DUMMYFUNCTION("""COMPUTED_VALUE"""),2.5E9)</f>
        <v>2500000000</v>
      </c>
      <c r="G36" s="46" t="str">
        <f>IFERROR(__xludf.DUMMYFUNCTION("""COMPUTED_VALUE"""),"Más de $1.000'000.000")</f>
        <v>Más de $1.000'000.000</v>
      </c>
      <c r="H36" s="46"/>
      <c r="I36" s="46"/>
      <c r="J36" s="46" t="str">
        <f>IFERROR(__xludf.DUMMYFUNCTION("""COMPUTED_VALUE"""),"Norte")</f>
        <v>Norte</v>
      </c>
      <c r="K36" s="87"/>
      <c r="L36" s="46">
        <f>IFERROR(__xludf.DUMMYFUNCTION("""COMPUTED_VALUE"""),5.0)</f>
        <v>5</v>
      </c>
      <c r="M36" s="46"/>
      <c r="N36" s="46">
        <f>IFERROR(__xludf.DUMMYFUNCTION("""COMPUTED_VALUE"""),5.0)</f>
        <v>5</v>
      </c>
      <c r="O36" s="46">
        <f>IFERROR(__xludf.DUMMYFUNCTION("""COMPUTED_VALUE"""),3.0)</f>
        <v>3</v>
      </c>
      <c r="P36" s="46">
        <f>IFERROR(__xludf.DUMMYFUNCTION("""COMPUTED_VALUE"""),2.0)</f>
        <v>2</v>
      </c>
      <c r="Q36" s="92">
        <f>IFERROR(__xludf.DUMMYFUNCTION("""COMPUTED_VALUE"""),774.0)</f>
        <v>774</v>
      </c>
      <c r="R36" s="92">
        <f>IFERROR(__xludf.DUMMYFUNCTION("""COMPUTED_VALUE"""),1000000.0)</f>
        <v>1000000</v>
      </c>
      <c r="S36" s="87" t="str">
        <f>IFERROR(__xludf.DUMMYFUNCTION("""COMPUTED_VALUE""")," ")</f>
        <v> </v>
      </c>
      <c r="T36" s="46" t="str">
        <f>IFERROR(__xludf.DUMMYFUNCTION("""COMPUTED_VALUE"""),"Melgar")</f>
        <v>Melgar</v>
      </c>
      <c r="U36" s="87" t="str">
        <f>IFERROR(__xludf.DUMMYFUNCTION("""COMPUTED_VALUE"""),"5")</f>
        <v>5</v>
      </c>
      <c r="V36" s="46" t="str">
        <f>IFERROR(__xludf.DUMMYFUNCTION("""COMPUTED_VALUE"""),"Medianera")</f>
        <v>Medianera</v>
      </c>
      <c r="W36" s="46"/>
      <c r="X36" s="46">
        <f>IFERROR(__xludf.DUMMYFUNCTION("""COMPUTED_VALUE"""),5.0)</f>
        <v>5</v>
      </c>
      <c r="Y36" s="46" t="str">
        <f>IFERROR(__xludf.DUMMYFUNCTION("""COMPUTED_VALUE"""),"Privada")</f>
        <v>Privada</v>
      </c>
      <c r="Z36" s="90">
        <f>IFERROR(__xludf.DUMMYFUNCTION("""COMPUTED_VALUE"""),450000.0)</f>
        <v>450000</v>
      </c>
      <c r="AA36" s="33" t="str">
        <f>IFERROR(__xludf.DUMMYFUNCTION("""COMPUTED_VALUE"""),"No aplica")</f>
        <v>No aplica</v>
      </c>
      <c r="AB36" s="96" t="str">
        <f>IFERROR(__xludf.DUMMYFUNCTION("""COMPUTED_VALUE"""),"https://photos.app.goo.gl/QeeLYVewpQZuc1tx8")</f>
        <v>https://photos.app.goo.gl/QeeLYVewpQZuc1tx8</v>
      </c>
      <c r="AC36" s="46" t="str">
        <f>IFERROR(__xludf.DUMMYFUNCTION("""COMPUTED_VALUE"""),"Primer piso: Star amplio, puerta doble de madera, barra con 6 puestos, lavaplatos eléctrico, zona de lavandería, alberca, calentador a gas, habitación de servicio con baño privado, 2 habitaciones con A.A y baño auxiliar, piscina, terraza, zona de hamacas."&amp;" Segundo piso: 4 habitaciones con baño y closet, 2 de ellas con terraza. Excelentes acabados.")</f>
        <v>Primer piso: Star amplio, puerta doble de madera, barra con 6 puestos, lavaplatos eléctrico, zona de lavandería, alberca, calentador a gas, habitación de servicio con baño privado, 2 habitaciones con A.A y baño auxiliar, piscina, terraza, zona de hamacas. Segundo piso: 4 habitaciones con baño y closet, 2 de ellas con terraza. Excelentes acabados.</v>
      </c>
      <c r="AD36" s="46" t="str">
        <f>IFERROR(__xludf.DUMMYFUNCTION("""COMPUTED_VALUE"""),"Casa campestre en una zona de gran proyección y valorización, Ideal para disfrutar en familia, con cómodas zonas sociales y habitaciones donde puedes disfrutar de una espectacular vista, con terrazas y balcones amplios, piscina amplia con cascada y jacuzz"&amp;"i, sauna, duchas, zona de BBQ, salón de juegos, cuarto de depósito, una casa que combina elegancia, comodidad y privacidad en un entorno seguro y tranquilo. Area social Capilla, Polideportivo,canchas deportivas, zona infantil, pequeña pista de patinaje.")</f>
        <v>Casa campestre en una zona de gran proyección y valorización, Ideal para disfrutar en familia, con cómodas zonas sociales y habitaciones donde puedes disfrutar de una espectacular vista, con terrazas y balcones amplios, piscina amplia con cascada y jacuzzi, sauna, duchas, zona de BBQ, salón de juegos, cuarto de depósito, una casa que combina elegancia, comodidad y privacidad en un entorno seguro y tranquilo. Area social Capilla, Polideportivo,canchas deportivas, zona infantil, pequeña pista de patinaje.</v>
      </c>
      <c r="AE36" s="46"/>
      <c r="AF36" s="46" t="str">
        <f>IFERROR(__xludf.DUMMYFUNCTION("""COMPUTED_VALUE"""),"integral")</f>
        <v>integral</v>
      </c>
      <c r="AG36" s="46"/>
      <c r="AH36" s="46" t="str">
        <f>IFERROR(__xludf.DUMMYFUNCTION("""COMPUTED_VALUE"""),"Aliado")</f>
        <v>Aliado</v>
      </c>
      <c r="AI36" s="92" t="str">
        <f>IFERROR(__xludf.DUMMYFUNCTION("""COMPUTED_VALUE"""),"https://lh3.googleusercontent.com/pw/AP1GczMj6YOe4CNpNn2Mkybqs8GVjxmXpdkzfXJOK773UgN3M_4S4IajdO-t437ngu3HPBelnD0rH37BW4DtYgxTtcrh4QQ6vJMKCT_HonAJSnIjxpOCM1Fj=w1200|https://lh3.googleusercontent.com/pw/AP1GczOdLim0-RwLMhX76sxqH_eua_OiZ0uf24VWRsdi6e7cd2RH3V"&amp;"4BJrkE2derhyKDhvbUc30HoQhktJ3XKQSLvG8o8W9c8dLV0GuyNQfdYGFUZoUXKKPV=w1200|https://lh3.googleusercontent.com/pw/AP1GczNLVQo7VQJkxbok6mhzuSCKqftsVXWxH2lrqA3xE7lZ6ud3Povx1_YZn1uC9ZOvOwLsQPd4dvGuc9c0QIAGytq4AA03202IWvpTXA0PwVn_GoBmob2T=w1200|https://lh3.google"&amp;"usercontent.com/pw/AP1GczP9FO2zSQUHFZLlYYmC9uNxxZ9PsjXXqAZF4bVqjwJEHuer3JrP4cLKHySfD9KR05RRrbpCFC3Bz5vnXb0wHnmkMZ1LwH49yuqySk8AkR997FFCTA1t=w1200|https://lh3.googleusercontent.com/pw/AP1GczPRelAosvYvvw0oIluPnn_KDAiuVCSd8YdcwaM3t0RQUG_0NKlEC6lcbj9ryzSijBUP"&amp;"t97DANvJJfy5EsvZDmfBkidnLsL84cg9Jc5J4QFzBpdzEeh6=w1200|https://lh3.googleusercontent.com/pw/AP1GczMeWzK0rLzLQqZvHX2n3DjyGb-qKkY3e_brrZBQ1RD0EtslA1QqE7TGs1VV_dUPsxs6W0KqC9Xsb9-4S271NWiuUdrVL2Uo4xxOfkmhgknubHYb86v2=w1200|https://lh3.googleusercontent.com/pw"&amp;"/AP1GczPklNgbiLaoDhsddUgKlaD9aifeyCn2ZBWWVb7QohpbLdpmZexvDtYHxOM8wuTn0tzRMUEoWysocEGszVnCjY329Xf0GcCgbzu_PnuGBGMa71yDO-Q6=w1200|https://lh3.googleusercontent.com/pw/AP1GczNCPry4Q6M2OhII9eQEXUTEg4lCCO9GPjRhBf0Omp3xm9rAVo-jN_CZ7yAKCXi8_B3hZ-hujdr-wVMRdysBNC"&amp;"9h4KK_YDyPP9ONwcRtbiM4BwITAX6K=w1200|https://lh3.googleusercontent.com/pw/AP1GczP0i-wFjgNhz8sbMEDxktk-rDj_DaxzlgmFZjHEClBFeqffeO5c66IGiY8nteZ6qbG1MBP6Ko7q2Dqd6comgykJMdvglBj4eDRjGPgUU2vK-DY8wcfC=w1200|https://lh3.googleusercontent.com/pw/AP1GczM1wWzPSoyl0"&amp;"d8w2pWjQFi0lKLF67H4WBJbkn6X2uWYrWic6eXMQ3U_vPPvFQ6SqHPLT1aVEEuDc3jY06PkyrPI_iiYzTvK_itkmcBA1LS5AarJWgS-=w1200|https://lh3.googleusercontent.com/pw/AP1GczOFo9H89BBFLQ5VOWy4bMtsR4SbTJpX3TU4MN3gzuD22axeE9MtBijB-1kK6skGqmCtd1EoTnsQRtyKLWefvtIfCDKGqMOD_pw4zB52"&amp;"Y0vYrDTeW_9b=w1200|https://lh3.googleusercontent.com/pw/AP1GczMyn2ff832UhBfHwOAqRpJsujur9aW_shLbG5U_YT7qN4bpibNCcSsZW5Rwva4j57jk6SKFR2kgkygBQtcxTOzKEf6MJPS4ak8CJA2hPmkdDubebBN6=w1200|https://lh3.googleusercontent.com/pw/AP1GczNW5KOekpZYgf3vkXReA48ssDsq47d"&amp;"t01U_QwwCC7Me0LvJSSh2Z0-VrysPcm_ZdED-B1CZKtcJPxwaGWe9diI1fNvWnn2_zINNknTaYlcX8q4_N9Cj=w1200|https://lh3.googleusercontent.com/pw/AP1GczMUIeSXqBP8Lr7JUG32dLdZlnjo31ZXCvRwUq8CWTjgRW0ZibYoOKwXPsS16UM0ioDL-kin1hwUTzM-5WMlBvuDXULc9sytal4X0BJWsRsRM7zbb2g4=w1200"&amp;"|https://lh3.googleusercontent.com/pw/AP1GczPRF4bHWJgxg8FrLCBwP9OIE-nZhEX7dEtHROmsVdZDGJ-KsAy6MBfUAAxuxoYz32BdxVHkRo8JQv6WKjPRSPpIboAElAWityiZKIhUVVAfi7S383cp=w1200|https://lh3.googleusercontent.com/pw/AP1GczOG_Ac_f_nnrvcPGA9D3dIAcAtl7h5-kbr_EqWiFXVAO0G6i"&amp;"_oNgerJKmmWuk8r-1DLSgKlU6h1j2ctvYriwZ1PFwvg7o2GsRacFcHgTNxU95GIGO8D=w1200|https://lh3.googleusercontent.com/pw/AP1GczNnev88xnhIAT7OQuDt9N4QwQzmy_o9rrGmQGWQgG_yKHlZddfkAAIkrG-65498oDmiRcaiHvKsBmXGXRmSOQfWfoUA29aw82vT_ogIiEDD3rKOrAXG=w1200|https://lh3.googl"&amp;"eusercontent.com/pw/AP1GczPR3fx-_UX16NTa4c-9PpAWvpbEVkeEONhiE9kmoUOhwhhl3nWG3BxQldGXmsYSZJOweDiXJZKXTsK2sX-xpLrn1WDXG7JAuBeZFFB0JRjEnKdAai4Q=w1200")</f>
        <v>https://lh3.googleusercontent.com/pw/AP1GczMj6YOe4CNpNn2Mkybqs8GVjxmXpdkzfXJOK773UgN3M_4S4IajdO-t437ngu3HPBelnD0rH37BW4DtYgxTtcrh4QQ6vJMKCT_HonAJSnIjxpOCM1Fj=w1200|https://lh3.googleusercontent.com/pw/AP1GczOdLim0-RwLMhX76sxqH_eua_OiZ0uf24VWRsdi6e7cd2RH3V4BJrkE2derhyKDhvbUc30HoQhktJ3XKQSLvG8o8W9c8dLV0GuyNQfdYGFUZoUXKKPV=w1200|https://lh3.googleusercontent.com/pw/AP1GczNLVQo7VQJkxbok6mhzuSCKqftsVXWxH2lrqA3xE7lZ6ud3Povx1_YZn1uC9ZOvOwLsQPd4dvGuc9c0QIAGytq4AA03202IWvpTXA0PwVn_GoBmob2T=w1200|https://lh3.googleusercontent.com/pw/AP1GczP9FO2zSQUHFZLlYYmC9uNxxZ9PsjXXqAZF4bVqjwJEHuer3JrP4cLKHySfD9KR05RRrbpCFC3Bz5vnXb0wHnmkMZ1LwH49yuqySk8AkR997FFCTA1t=w1200|https://lh3.googleusercontent.com/pw/AP1GczPRelAosvYvvw0oIluPnn_KDAiuVCSd8YdcwaM3t0RQUG_0NKlEC6lcbj9ryzSijBUPt97DANvJJfy5EsvZDmfBkidnLsL84cg9Jc5J4QFzBpdzEeh6=w1200|https://lh3.googleusercontent.com/pw/AP1GczMeWzK0rLzLQqZvHX2n3DjyGb-qKkY3e_brrZBQ1RD0EtslA1QqE7TGs1VV_dUPsxs6W0KqC9Xsb9-4S271NWiuUdrVL2Uo4xxOfkmhgknubHYb86v2=w1200|https://lh3.googleusercontent.com/pw/AP1GczPklNgbiLaoDhsddUgKlaD9aifeyCn2ZBWWVb7QohpbLdpmZexvDtYHxOM8wuTn0tzRMUEoWysocEGszVnCjY329Xf0GcCgbzu_PnuGBGMa71yDO-Q6=w1200|https://lh3.googleusercontent.com/pw/AP1GczNCPry4Q6M2OhII9eQEXUTEg4lCCO9GPjRhBf0Omp3xm9rAVo-jN_CZ7yAKCXi8_B3hZ-hujdr-wVMRdysBNC9h4KK_YDyPP9ONwcRtbiM4BwITAX6K=w1200|https://lh3.googleusercontent.com/pw/AP1GczP0i-wFjgNhz8sbMEDxktk-rDj_DaxzlgmFZjHEClBFeqffeO5c66IGiY8nteZ6qbG1MBP6Ko7q2Dqd6comgykJMdvglBj4eDRjGPgUU2vK-DY8wcfC=w1200|https://lh3.googleusercontent.com/pw/AP1GczM1wWzPSoyl0d8w2pWjQFi0lKLF67H4WBJbkn6X2uWYrWic6eXMQ3U_vPPvFQ6SqHPLT1aVEEuDc3jY06PkyrPI_iiYzTvK_itkmcBA1LS5AarJWgS-=w1200|https://lh3.googleusercontent.com/pw/AP1GczOFo9H89BBFLQ5VOWy4bMtsR4SbTJpX3TU4MN3gzuD22axeE9MtBijB-1kK6skGqmCtd1EoTnsQRtyKLWefvtIfCDKGqMOD_pw4zB52Y0vYrDTeW_9b=w1200|https://lh3.googleusercontent.com/pw/AP1GczMyn2ff832UhBfHwOAqRpJsujur9aW_shLbG5U_YT7qN4bpibNCcSsZW5Rwva4j57jk6SKFR2kgkygBQtcxTOzKEf6MJPS4ak8CJA2hPmkdDubebBN6=w1200|https://lh3.googleusercontent.com/pw/AP1GczNW5KOekpZYgf3vkXReA48ssDsq47dt01U_QwwCC7Me0LvJSSh2Z0-VrysPcm_ZdED-B1CZKtcJPxwaGWe9diI1fNvWnn2_zINNknTaYlcX8q4_N9Cj=w1200|https://lh3.googleusercontent.com/pw/AP1GczMUIeSXqBP8Lr7JUG32dLdZlnjo31ZXCvRwUq8CWTjgRW0ZibYoOKwXPsS16UM0ioDL-kin1hwUTzM-5WMlBvuDXULc9sytal4X0BJWsRsRM7zbb2g4=w1200|https://lh3.googleusercontent.com/pw/AP1GczPRF4bHWJgxg8FrLCBwP9OIE-nZhEX7dEtHROmsVdZDGJ-KsAy6MBfUAAxuxoYz32BdxVHkRo8JQv6WKjPRSPpIboAElAWityiZKIhUVVAfi7S383cp=w1200|https://lh3.googleusercontent.com/pw/AP1GczOG_Ac_f_nnrvcPGA9D3dIAcAtl7h5-kbr_EqWiFXVAO0G6i_oNgerJKmmWuk8r-1DLSgKlU6h1j2ctvYriwZ1PFwvg7o2GsRacFcHgTNxU95GIGO8D=w1200|https://lh3.googleusercontent.com/pw/AP1GczNnev88xnhIAT7OQuDt9N4QwQzmy_o9rrGmQGWQgG_yKHlZddfkAAIkrG-65498oDmiRcaiHvKsBmXGXRmSOQfWfoUA29aw82vT_ogIiEDD3rKOrAXG=w1200|https://lh3.googleusercontent.com/pw/AP1GczPR3fx-_UX16NTa4c-9PpAWvpbEVkeEONhiE9kmoUOhwhhl3nWG3BxQldGXmsYSZJOweDiXJZKXTsK2sX-xpLrn1WDXG7JAuBeZFFB0JRjEnKdAai4Q=w1200</v>
      </c>
      <c r="AJ36" s="46"/>
      <c r="AK36" s="46"/>
      <c r="AL36" s="46"/>
      <c r="AM36" s="46"/>
      <c r="AN36" s="46"/>
      <c r="AO36" s="46"/>
      <c r="AP36" s="46"/>
      <c r="AQ36" s="46"/>
      <c r="AR36" s="46"/>
      <c r="AS36" s="46"/>
      <c r="AT36" s="46"/>
      <c r="AU36" s="46"/>
      <c r="AV36" s="46"/>
      <c r="AW36" s="46"/>
      <c r="AX36" s="46"/>
      <c r="AY36" s="46"/>
      <c r="AZ36" s="46"/>
      <c r="BA36" s="46"/>
      <c r="BB36" s="46"/>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6"/>
      <c r="CA36" s="46"/>
      <c r="CB36" s="46"/>
      <c r="CC36" s="46"/>
    </row>
    <row r="37">
      <c r="A37" s="87" t="str">
        <f>IFERROR(__xludf.DUMMYFUNCTION("""COMPUTED_VALUE"""),"1718")</f>
        <v>1718</v>
      </c>
      <c r="B37" s="46" t="str">
        <f>IFERROR(__xludf.DUMMYFUNCTION("""COMPUTED_VALUE"""),"Casa con tres locales en barrio Altico")</f>
        <v>Casa con tres locales en barrio Altico</v>
      </c>
      <c r="C37" s="46" t="str">
        <f>IFERROR(__xludf.DUMMYFUNCTION("""COMPUTED_VALUE"""),"Casa rentable")</f>
        <v>Casa rentable</v>
      </c>
      <c r="D37" s="46" t="str">
        <f>IFERROR(__xludf.DUMMYFUNCTION("""COMPUTED_VALUE"""),"El Altico")</f>
        <v>El Altico</v>
      </c>
      <c r="E37" s="90"/>
      <c r="F37" s="90">
        <f>IFERROR(__xludf.DUMMYFUNCTION("""COMPUTED_VALUE"""),1.7E9)</f>
        <v>1700000000</v>
      </c>
      <c r="G37" s="46" t="str">
        <f>IFERROR(__xludf.DUMMYFUNCTION("""COMPUTED_VALUE"""),"Más de $1.000'000.000")</f>
        <v>Más de $1.000'000.000</v>
      </c>
      <c r="H37" s="46"/>
      <c r="I37" s="46"/>
      <c r="J37" s="46" t="str">
        <f>IFERROR(__xludf.DUMMYFUNCTION("""COMPUTED_VALUE"""),"Centro")</f>
        <v>Centro</v>
      </c>
      <c r="K37" s="87" t="str">
        <f>IFERROR(__xludf.DUMMYFUNCTION("""COMPUTED_VALUE"""),"4")</f>
        <v>4</v>
      </c>
      <c r="L37" s="46">
        <f>IFERROR(__xludf.DUMMYFUNCTION("""COMPUTED_VALUE"""),3.0)</f>
        <v>3</v>
      </c>
      <c r="M37" s="46"/>
      <c r="N37" s="46">
        <f>IFERROR(__xludf.DUMMYFUNCTION("""COMPUTED_VALUE"""),3.0)</f>
        <v>3</v>
      </c>
      <c r="O37" s="46">
        <f>IFERROR(__xludf.DUMMYFUNCTION("""COMPUTED_VALUE"""),3.0)</f>
        <v>3</v>
      </c>
      <c r="P37" s="46">
        <f>IFERROR(__xludf.DUMMYFUNCTION("""COMPUTED_VALUE"""),1.0)</f>
        <v>1</v>
      </c>
      <c r="Q37" s="92">
        <f>IFERROR(__xludf.DUMMYFUNCTION("""COMPUTED_VALUE"""),405.75)</f>
        <v>405.75</v>
      </c>
      <c r="R37" s="92"/>
      <c r="S37" s="87" t="str">
        <f>IFERROR(__xludf.DUMMYFUNCTION("""COMPUTED_VALUE""")," ")</f>
        <v> </v>
      </c>
      <c r="T37" s="46" t="str">
        <f>IFERROR(__xludf.DUMMYFUNCTION("""COMPUTED_VALUE"""),"Neiva")</f>
        <v>Neiva</v>
      </c>
      <c r="U37" s="87" t="str">
        <f>IFERROR(__xludf.DUMMYFUNCTION("""COMPUTED_VALUE"""),"3")</f>
        <v>3</v>
      </c>
      <c r="V37" s="46" t="str">
        <f>IFERROR(__xludf.DUMMYFUNCTION("""COMPUTED_VALUE"""),"Esquinera")</f>
        <v>Esquinera</v>
      </c>
      <c r="W37" s="46"/>
      <c r="X37" s="46">
        <f>IFERROR(__xludf.DUMMYFUNCTION("""COMPUTED_VALUE"""),0.0)</f>
        <v>0</v>
      </c>
      <c r="Y37" s="46" t="str">
        <f>IFERROR(__xludf.DUMMYFUNCTION("""COMPUTED_VALUE"""),"No tiene")</f>
        <v>No tiene</v>
      </c>
      <c r="Z37" s="90" t="str">
        <f>IFERROR(__xludf.DUMMYFUNCTION("""COMPUTED_VALUE"""),"No aplica")</f>
        <v>No aplica</v>
      </c>
      <c r="AA37" s="33" t="str">
        <f>IFERROR(__xludf.DUMMYFUNCTION("""COMPUTED_VALUE"""),"No aplica")</f>
        <v>No aplica</v>
      </c>
      <c r="AB37" s="144" t="str">
        <f>IFERROR(__xludf.DUMMYFUNCTION("""COMPUTED_VALUE"""),"https://photos.google.com/share/AF1QipPG-PD5M4WUkiQhJVm385g60lmQEVyp_B0NgU_pvWQbKm2VESwkvNDmSfhOMpDoKA?key=VUJzaVRyc3JrN0pRSGlTazlkX2tmaVpEemx2ZC1B")</f>
        <v>https://photos.google.com/share/AF1QipPG-PD5M4WUkiQhJVm385g60lmQEVyp_B0NgU_pvWQbKm2VESwkvNDmSfhOMpDoKA?key=VUJzaVRyc3JrN0pRSGlTazlkX2tmaVpEemx2ZC1B</v>
      </c>
      <c r="AC37" s="46" t="str">
        <f>IFERROR(__xludf.DUMMYFUNCTION("""COMPUTED_VALUE"""),"Propiedad rentable de 405,75 m² con 3 locales comerciales listos para producir ingresos.
En excelente ubicación, esta propiedad cuenta con tres locales comerciales totalmente independientes, ideales para generar ingresos desde el primer día.
Distribución:"&amp;"
Local 1: Terraza, cocina, oficina, salón social, 2 baños y bodega.
Local 2: Terraza, cocina, bar, salón social, barra y 2 baños.
Local 3: Terraza interna, salón principal, salón de barrio y 2 baños.")</f>
        <v>Propiedad rentable de 405,75 m² con 3 locales comerciales listos para producir ingresos.
En excelente ubicación, esta propiedad cuenta con tres locales comerciales totalmente independientes, ideales para generar ingresos desde el primer día.
Distribución:
Local 1: Terraza, cocina, oficina, salón social, 2 baños y bodega.
Local 2: Terraza, cocina, bar, salón social, barra y 2 baños.
Local 3: Terraza interna, salón principal, salón de barrio y 2 baños.</v>
      </c>
      <c r="AD37" s="46"/>
      <c r="AE37" s="46"/>
      <c r="AF37" s="46" t="str">
        <f>IFERROR(__xludf.DUMMYFUNCTION("""COMPUTED_VALUE"""),"básica")</f>
        <v>básica</v>
      </c>
      <c r="AG37" s="46"/>
      <c r="AH37" s="46" t="str">
        <f>IFERROR(__xludf.DUMMYFUNCTION("""COMPUTED_VALUE"""),"Aliado")</f>
        <v>Aliado</v>
      </c>
      <c r="AI37" s="92" t="str">
        <f>IFERROR(__xludf.DUMMYFUNCTION("""COMPUTED_VALUE"""),"https://lh3.googleusercontent.com/pw/AP1GczPkg7DGAGcdm6B17xyBegy1dbTLrQC1LjjLtWgDKR8F6aO0FtpsPVL47d98L5MLh5NoO_DABDYvMtVs2gGqwNNprMRGYi7-JhRe-qcGOyEKI-igTgb1=w1200|https://lh3.googleusercontent.com/pw/AP1GczNrm1H4oDe1uBR2NOA0Nayao6VxcUE2aaPFO382p3TpUvf-he"&amp;"lEPwXzSD0WrmzQyQb0Q3Wncvgytvq8Hw6HD5YPetjcUZXw6gEwVyZBXYKlMACoOsiE=w1200|https://lh3.googleusercontent.com/pw/AP1GczO_dgzrpaXKEJ6pPwi04ko2W3rVjOuwJ2kcUV0l3oDWu-3Rkmw5-RnC3e_p3c2YJh9d1pmfhl-xPCpVnhgM7d7dLhO0EIHIyFIfzwAd-cro1s6r1vx3=w1200|https://lh3.google"&amp;"usercontent.com/pw/AP1GczPTyPqEj4eG4E2tLR76imfOKNQe9PbLG9ZjEhtPKw1hY8NhBON4UHQO6O33BvtPKUMJNgw_ADkEFfKVjX493fW34jJJJGBuXicCSNbPVSo-4C68YRr7=w1200|https://lh3.googleusercontent.com/pw/AP1GczPXQUV81cpXGX-rKwMR_WTonwx0Mvt-zfSG5G9wmi2pgGmCsLIlA5i2vLm_VEXfzJV7"&amp;"JwFHcX2b74In_iDK9ptitK65wObJVULjzi2hcYvxLkZzDfvG=w1200|https://lh3.googleusercontent.com/pw/AP1GczMz6cOw8oYIrkI1HOfHWNsEjVo-fubxDk-X-FD77hFbK9c4dESydHco8khVOc9SgA2U31ZLIVYeWfP_N7iz3k9PIsnfzS8vspGUGdNroUHz3TrlikAn=w1200|https://lh3.googleusercontent.com/pw"&amp;"/AP1GczPDwKOZy2Vk6glCHE3PhKVaeuR6rIbdnmuatEIHt3GV1YYzExOH_GgC1SvOMZb2a55aZ8AZj9lmvIGFswCTRcFlfmtvOwyPmr4bAtXR86sGc2F9m52N=w1200|https://lh3.googleusercontent.com/pw/AP1GczNebndSWLxQNXTfrxizEWDdRETeqvz7Fd3AwjTO1RF8RI85Q2JANa_mcm5rhe8_l4t3AGhkhB6kdHcBh5E7fY"&amp;"j-uSbT4O5_5RqR1OCoU3b_xePZj544=w1200")</f>
        <v>https://lh3.googleusercontent.com/pw/AP1GczPkg7DGAGcdm6B17xyBegy1dbTLrQC1LjjLtWgDKR8F6aO0FtpsPVL47d98L5MLh5NoO_DABDYvMtVs2gGqwNNprMRGYi7-JhRe-qcGOyEKI-igTgb1=w1200|https://lh3.googleusercontent.com/pw/AP1GczNrm1H4oDe1uBR2NOA0Nayao6VxcUE2aaPFO382p3TpUvf-helEPwXzSD0WrmzQyQb0Q3Wncvgytvq8Hw6HD5YPetjcUZXw6gEwVyZBXYKlMACoOsiE=w1200|https://lh3.googleusercontent.com/pw/AP1GczO_dgzrpaXKEJ6pPwi04ko2W3rVjOuwJ2kcUV0l3oDWu-3Rkmw5-RnC3e_p3c2YJh9d1pmfhl-xPCpVnhgM7d7dLhO0EIHIyFIfzwAd-cro1s6r1vx3=w1200|https://lh3.googleusercontent.com/pw/AP1GczPTyPqEj4eG4E2tLR76imfOKNQe9PbLG9ZjEhtPKw1hY8NhBON4UHQO6O33BvtPKUMJNgw_ADkEFfKVjX493fW34jJJJGBuXicCSNbPVSo-4C68YRr7=w1200|https://lh3.googleusercontent.com/pw/AP1GczPXQUV81cpXGX-rKwMR_WTonwx0Mvt-zfSG5G9wmi2pgGmCsLIlA5i2vLm_VEXfzJV7JwFHcX2b74In_iDK9ptitK65wObJVULjzi2hcYvxLkZzDfvG=w1200|https://lh3.googleusercontent.com/pw/AP1GczMz6cOw8oYIrkI1HOfHWNsEjVo-fubxDk-X-FD77hFbK9c4dESydHco8khVOc9SgA2U31ZLIVYeWfP_N7iz3k9PIsnfzS8vspGUGdNroUHz3TrlikAn=w1200|https://lh3.googleusercontent.com/pw/AP1GczPDwKOZy2Vk6glCHE3PhKVaeuR6rIbdnmuatEIHt3GV1YYzExOH_GgC1SvOMZb2a55aZ8AZj9lmvIGFswCTRcFlfmtvOwyPmr4bAtXR86sGc2F9m52N=w1200|https://lh3.googleusercontent.com/pw/AP1GczNebndSWLxQNXTfrxizEWDdRETeqvz7Fd3AwjTO1RF8RI85Q2JANa_mcm5rhe8_l4t3AGhkhB6kdHcBh5E7fYj-uSbT4O5_5RqR1OCoU3b_xePZj544=w1200</v>
      </c>
      <c r="AJ37" s="46"/>
      <c r="AK37" s="46"/>
      <c r="AL37" s="46"/>
      <c r="AM37" s="46"/>
      <c r="AN37" s="46"/>
      <c r="AO37" s="46"/>
      <c r="AP37" s="46"/>
      <c r="AQ37" s="46"/>
      <c r="AR37" s="46"/>
      <c r="AS37" s="46"/>
      <c r="AT37" s="46"/>
      <c r="AU37" s="46"/>
      <c r="AV37" s="46"/>
      <c r="AW37" s="46"/>
      <c r="AX37" s="46"/>
      <c r="AY37" s="46"/>
      <c r="AZ37" s="46"/>
      <c r="BA37" s="46"/>
      <c r="BB37" s="46"/>
      <c r="BC37" s="46"/>
      <c r="BD37" s="46"/>
      <c r="BE37" s="46"/>
      <c r="BF37" s="46"/>
      <c r="BG37" s="46"/>
      <c r="BH37" s="46"/>
      <c r="BI37" s="46"/>
      <c r="BJ37" s="46"/>
      <c r="BK37" s="46"/>
      <c r="BL37" s="46"/>
      <c r="BM37" s="46"/>
      <c r="BN37" s="46"/>
      <c r="BO37" s="46"/>
      <c r="BP37" s="46"/>
      <c r="BQ37" s="46"/>
      <c r="BR37" s="46"/>
      <c r="BS37" s="46"/>
      <c r="BT37" s="46"/>
      <c r="BU37" s="46"/>
      <c r="BV37" s="46"/>
      <c r="BW37" s="46"/>
      <c r="BX37" s="46"/>
      <c r="BY37" s="46"/>
      <c r="BZ37" s="46"/>
      <c r="CA37" s="46"/>
      <c r="CB37" s="46"/>
      <c r="CC37" s="46"/>
    </row>
    <row r="38">
      <c r="A38" s="87" t="str">
        <f>IFERROR(__xludf.DUMMYFUNCTION("""COMPUTED_VALUE"""),"1060")</f>
        <v>1060</v>
      </c>
      <c r="B38" s="46" t="str">
        <f>IFERROR(__xludf.DUMMYFUNCTION("""COMPUTED_VALUE"""),"Lote urbano en barrio Sevilla - Centro")</f>
        <v>Lote urbano en barrio Sevilla - Centro</v>
      </c>
      <c r="C38" s="46" t="str">
        <f>IFERROR(__xludf.DUMMYFUNCTION("""COMPUTED_VALUE"""),"Lote")</f>
        <v>Lote</v>
      </c>
      <c r="D38" s="46" t="str">
        <f>IFERROR(__xludf.DUMMYFUNCTION("""COMPUTED_VALUE"""),"Sevilla")</f>
        <v>Sevilla</v>
      </c>
      <c r="E38" s="46"/>
      <c r="F38" s="90">
        <f>IFERROR(__xludf.DUMMYFUNCTION("""COMPUTED_VALUE"""),1.5E9)</f>
        <v>1500000000</v>
      </c>
      <c r="G38" s="46" t="str">
        <f>IFERROR(__xludf.DUMMYFUNCTION("""COMPUTED_VALUE"""),"Más de $1.000'000.000")</f>
        <v>Más de $1.000'000.000</v>
      </c>
      <c r="H38" s="46"/>
      <c r="I38" s="46"/>
      <c r="J38" s="46" t="str">
        <f>IFERROR(__xludf.DUMMYFUNCTION("""COMPUTED_VALUE"""),"Centro")</f>
        <v>Centro</v>
      </c>
      <c r="K38" s="87" t="str">
        <f>IFERROR(__xludf.DUMMYFUNCTION("""COMPUTED_VALUE"""),"3")</f>
        <v>3</v>
      </c>
      <c r="L38" s="46">
        <f>IFERROR(__xludf.DUMMYFUNCTION("""COMPUTED_VALUE"""),0.0)</f>
        <v>0</v>
      </c>
      <c r="M38" s="46"/>
      <c r="N38" s="46">
        <f>IFERROR(__xludf.DUMMYFUNCTION("""COMPUTED_VALUE"""),1.0)</f>
        <v>1</v>
      </c>
      <c r="O38" s="46">
        <f>IFERROR(__xludf.DUMMYFUNCTION("""COMPUTED_VALUE"""),0.0)</f>
        <v>0</v>
      </c>
      <c r="P38" s="46">
        <f>IFERROR(__xludf.DUMMYFUNCTION("""COMPUTED_VALUE"""),0.0)</f>
        <v>0</v>
      </c>
      <c r="Q38" s="92">
        <f>IFERROR(__xludf.DUMMYFUNCTION("""COMPUTED_VALUE"""),0.0)</f>
        <v>0</v>
      </c>
      <c r="R38" s="92">
        <f>IFERROR(__xludf.DUMMYFUNCTION("""COMPUTED_VALUE"""),1250.0)</f>
        <v>1250</v>
      </c>
      <c r="S38" s="87" t="str">
        <f>IFERROR(__xludf.DUMMYFUNCTION("""COMPUTED_VALUE""")," ")</f>
        <v> </v>
      </c>
      <c r="T38" s="46" t="str">
        <f>IFERROR(__xludf.DUMMYFUNCTION("""COMPUTED_VALUE"""),"Neiva")</f>
        <v>Neiva</v>
      </c>
      <c r="U38" s="87" t="str">
        <f>IFERROR(__xludf.DUMMYFUNCTION("""COMPUTED_VALUE"""),"4")</f>
        <v>4</v>
      </c>
      <c r="V38" s="46" t="str">
        <f>IFERROR(__xludf.DUMMYFUNCTION("""COMPUTED_VALUE"""),"Esquinera")</f>
        <v>Esquinera</v>
      </c>
      <c r="W38" s="46"/>
      <c r="X38" s="46">
        <f>IFERROR(__xludf.DUMMYFUNCTION("""COMPUTED_VALUE"""),0.0)</f>
        <v>0</v>
      </c>
      <c r="Y38" s="46" t="str">
        <f>IFERROR(__xludf.DUMMYFUNCTION("""COMPUTED_VALUE"""),"No tiene")</f>
        <v>No tiene</v>
      </c>
      <c r="Z38" s="90" t="str">
        <f>IFERROR(__xludf.DUMMYFUNCTION("""COMPUTED_VALUE"""),"No aplica")</f>
        <v>No aplica</v>
      </c>
      <c r="AA38" s="33" t="str">
        <f>IFERROR(__xludf.DUMMYFUNCTION("""COMPUTED_VALUE"""),"No aplica")</f>
        <v>No aplica</v>
      </c>
      <c r="AB38" s="96" t="str">
        <f>IFERROR(__xludf.DUMMYFUNCTION("""COMPUTED_VALUE"""),"https://photos.app.goo.gl/pUMDJpGPKCcyKLPj8")</f>
        <v>https://photos.app.goo.gl/pUMDJpGPKCcyKLPj8</v>
      </c>
      <c r="AC38" s="46" t="str">
        <f>IFERROR(__xludf.DUMMYFUNCTION("""COMPUTED_VALUE"""),"Lote con un área de 1.250 m2 ubicado en uno de los sectores tradicionales de la ciudad. Cerca a la carrera 5, carrera 7 y calle 21 Tenerife.")</f>
        <v>Lote con un área de 1.250 m2 ubicado en uno de los sectores tradicionales de la ciudad. Cerca a la carrera 5, carrera 7 y calle 21 Tenerife.</v>
      </c>
      <c r="AD38" s="46" t="str">
        <f>IFERROR(__xludf.DUMMYFUNCTION("""COMPUTED_VALUE"""),"Uso de suelos mixto, estrato comercial.  Aljibe a una profundidad de 5mts.")</f>
        <v>Uso de suelos mixto, estrato comercial.  Aljibe a una profundidad de 5mts.</v>
      </c>
      <c r="AE38" s="46"/>
      <c r="AF38" s="46">
        <f>IFERROR(__xludf.DUMMYFUNCTION("""COMPUTED_VALUE"""),0.0)</f>
        <v>0</v>
      </c>
      <c r="AG38" s="46"/>
      <c r="AH38" s="46" t="str">
        <f>IFERROR(__xludf.DUMMYFUNCTION("""COMPUTED_VALUE"""),"Aliado")</f>
        <v>Aliado</v>
      </c>
      <c r="AI38" s="92" t="str">
        <f>IFERROR(__xludf.DUMMYFUNCTION("""COMPUTED_VALUE"""),"https://lh3.googleusercontent.com/pw/AP1GczM0hk4v6d5w80dFt1Wj-4MLPJ6hd2sIOLEgN9OoHFjUjEX1_tB2QO-VS3J_DXw8NSO628EMvPtsfSVivnxU0JNeiNdErSgQQHwMR4ZuBJugC41kPLOU=w1200|https://lh3.googleusercontent.com/pw/AP1GczOpFZBdhahpxX1RQVvthUR9VsbZkpmWmIB10keglIsHm0QwJV"&amp;"u_pqGbWTmd2sE6bnf1faS5pQU1O0On7z8BtdYGs8_g1FME_QsfI-oJoPJN_kwvX3LO=w1200|https://lh3.googleusercontent.com/pw/AP1GczPCyCy60KKVtcLQ21JG_GNl5uXDrz3lkgUz_4WlPfHAXkoSY_BlyLuOmob1n-L_OswcyoZ3PGOX22HNumVMc6r7Jj7kQZFcDgzbfLJjpPjhgmYJlc46=w1200|https://lh3.google"&amp;"usercontent.com/pw/AP1GczNZfE5Xe0IIJfzn9C7pAer3aQuqTcwxwAXNiBVpxz6u3CHbWZAmnXEx0Fv_jme8s7X8zuVIQ8LAkmqIAgzPdP9ZzuZZi0dJR2a0PEe7Y1s_-1slmIbz=w1200|https://lh3.googleusercontent.com/pw/AP1GczMgKogleBU0XmGMcbvjr6fuzfnCTnlzG2PBgvFUsoMmnW0pxHRbMW-qArsqFhuWWLx7"&amp;"LhYxUqZhtYWQk0gH7kXIyCq6HTeyswdJqdqFIEBskGy2grUB=w1200|https://lh3.googleusercontent.com/pw/AP1GczPRsxdXRcmwT_UkRdSR-lZHkADMYyjdV5ru_r_fIUaEmj3UHjogOFYlfEXIURraAzbOGyKLUarkJ5u20xKTYot9_nppYSsvhTrge6lWCINRqoRnPyUk=w1200")</f>
        <v>https://lh3.googleusercontent.com/pw/AP1GczM0hk4v6d5w80dFt1Wj-4MLPJ6hd2sIOLEgN9OoHFjUjEX1_tB2QO-VS3J_DXw8NSO628EMvPtsfSVivnxU0JNeiNdErSgQQHwMR4ZuBJugC41kPLOU=w1200|https://lh3.googleusercontent.com/pw/AP1GczOpFZBdhahpxX1RQVvthUR9VsbZkpmWmIB10keglIsHm0QwJVu_pqGbWTmd2sE6bnf1faS5pQU1O0On7z8BtdYGs8_g1FME_QsfI-oJoPJN_kwvX3LO=w1200|https://lh3.googleusercontent.com/pw/AP1GczPCyCy60KKVtcLQ21JG_GNl5uXDrz3lkgUz_4WlPfHAXkoSY_BlyLuOmob1n-L_OswcyoZ3PGOX22HNumVMc6r7Jj7kQZFcDgzbfLJjpPjhgmYJlc46=w1200|https://lh3.googleusercontent.com/pw/AP1GczNZfE5Xe0IIJfzn9C7pAer3aQuqTcwxwAXNiBVpxz6u3CHbWZAmnXEx0Fv_jme8s7X8zuVIQ8LAkmqIAgzPdP9ZzuZZi0dJR2a0PEe7Y1s_-1slmIbz=w1200|https://lh3.googleusercontent.com/pw/AP1GczMgKogleBU0XmGMcbvjr6fuzfnCTnlzG2PBgvFUsoMmnW0pxHRbMW-qArsqFhuWWLx7LhYxUqZhtYWQk0gH7kXIyCq6HTeyswdJqdqFIEBskGy2grUB=w1200|https://lh3.googleusercontent.com/pw/AP1GczPRsxdXRcmwT_UkRdSR-lZHkADMYyjdV5ru_r_fIUaEmj3UHjogOFYlfEXIURraAzbOGyKLUarkJ5u20xKTYot9_nppYSsvhTrge6lWCINRqoRnPyUk=w1200</v>
      </c>
      <c r="AJ38" s="46"/>
      <c r="AK38" s="46"/>
      <c r="AL38" s="46"/>
      <c r="AM38" s="46"/>
      <c r="AN38" s="46"/>
      <c r="AO38" s="46"/>
      <c r="AP38" s="46"/>
      <c r="AQ38" s="46"/>
      <c r="AR38" s="46"/>
      <c r="AS38" s="46"/>
      <c r="AT38" s="46"/>
      <c r="AU38" s="46"/>
      <c r="AV38" s="46"/>
      <c r="AW38" s="46"/>
      <c r="AX38" s="46"/>
      <c r="AY38" s="46"/>
      <c r="AZ38" s="46"/>
      <c r="BA38" s="46"/>
      <c r="BB38" s="46"/>
      <c r="BC38" s="46"/>
      <c r="BD38" s="46"/>
      <c r="BE38" s="46"/>
      <c r="BF38" s="46"/>
      <c r="BG38" s="46"/>
      <c r="BH38" s="46"/>
      <c r="BI38" s="46"/>
      <c r="BJ38" s="46"/>
      <c r="BK38" s="46"/>
      <c r="BL38" s="46"/>
      <c r="BM38" s="46"/>
      <c r="BN38" s="46"/>
      <c r="BO38" s="46"/>
      <c r="BP38" s="46"/>
      <c r="BQ38" s="46"/>
      <c r="BR38" s="46"/>
      <c r="BS38" s="46"/>
      <c r="BT38" s="46"/>
      <c r="BU38" s="46"/>
      <c r="BV38" s="46"/>
      <c r="BW38" s="46"/>
      <c r="BX38" s="46"/>
      <c r="BY38" s="46"/>
      <c r="BZ38" s="46"/>
      <c r="CA38" s="46"/>
      <c r="CB38" s="46"/>
      <c r="CC38" s="46"/>
    </row>
    <row r="39">
      <c r="A39" s="87" t="str">
        <f>IFERROR(__xludf.DUMMYFUNCTION("""COMPUTED_VALUE"""),"988")</f>
        <v>988</v>
      </c>
      <c r="B39" s="46" t="str">
        <f>IFERROR(__xludf.DUMMYFUNCTION("""COMPUTED_VALUE"""),"Edificio rentable con 13 Aparta estudios y un Apartamento en barrio El Centro")</f>
        <v>Edificio rentable con 13 Aparta estudios y un Apartamento en barrio El Centro</v>
      </c>
      <c r="C39" s="46" t="str">
        <f>IFERROR(__xludf.DUMMYFUNCTION("""COMPUTED_VALUE"""),"Edificio rentable")</f>
        <v>Edificio rentable</v>
      </c>
      <c r="D39" s="46" t="str">
        <f>IFERROR(__xludf.DUMMYFUNCTION("""COMPUTED_VALUE"""),"Centro")</f>
        <v>Centro</v>
      </c>
      <c r="E39" s="90"/>
      <c r="F39" s="90">
        <f>IFERROR(__xludf.DUMMYFUNCTION("""COMPUTED_VALUE"""),1.4E9)</f>
        <v>1400000000</v>
      </c>
      <c r="G39" s="46" t="str">
        <f>IFERROR(__xludf.DUMMYFUNCTION("""COMPUTED_VALUE"""),"Más de $1.000'000.000")</f>
        <v>Más de $1.000'000.000</v>
      </c>
      <c r="H39" s="46"/>
      <c r="I39" s="46"/>
      <c r="J39" s="46" t="str">
        <f>IFERROR(__xludf.DUMMYFUNCTION("""COMPUTED_VALUE"""),"Centro")</f>
        <v>Centro</v>
      </c>
      <c r="K39" s="87" t="str">
        <f>IFERROR(__xludf.DUMMYFUNCTION("""COMPUTED_VALUE"""),"4")</f>
        <v>4</v>
      </c>
      <c r="L39" s="46">
        <f>IFERROR(__xludf.DUMMYFUNCTION("""COMPUTED_VALUE"""),15.0)</f>
        <v>15</v>
      </c>
      <c r="M39" s="46"/>
      <c r="N39" s="46">
        <f>IFERROR(__xludf.DUMMYFUNCTION("""COMPUTED_VALUE"""),13.0)</f>
        <v>13</v>
      </c>
      <c r="O39" s="46">
        <f>IFERROR(__xludf.DUMMYFUNCTION("""COMPUTED_VALUE"""),0.0)</f>
        <v>0</v>
      </c>
      <c r="P39" s="46">
        <f>IFERROR(__xludf.DUMMYFUNCTION("""COMPUTED_VALUE"""),4.0)</f>
        <v>4</v>
      </c>
      <c r="Q39" s="92">
        <f>IFERROR(__xludf.DUMMYFUNCTION("""COMPUTED_VALUE"""),608.0)</f>
        <v>608</v>
      </c>
      <c r="R39" s="92">
        <f>IFERROR(__xludf.DUMMYFUNCTION("""COMPUTED_VALUE"""),132.0)</f>
        <v>132</v>
      </c>
      <c r="S39" s="87" t="str">
        <f>IFERROR(__xludf.DUMMYFUNCTION("""COMPUTED_VALUE"""),"Rentabilidad $8,200,000")</f>
        <v>Rentabilidad $8,200,000</v>
      </c>
      <c r="T39" s="46" t="str">
        <f>IFERROR(__xludf.DUMMYFUNCTION("""COMPUTED_VALUE"""),"Neiva")</f>
        <v>Neiva</v>
      </c>
      <c r="U39" s="87" t="str">
        <f>IFERROR(__xludf.DUMMYFUNCTION("""COMPUTED_VALUE"""),"3")</f>
        <v>3</v>
      </c>
      <c r="V39" s="46" t="str">
        <f>IFERROR(__xludf.DUMMYFUNCTION("""COMPUTED_VALUE"""),"Esquinera")</f>
        <v>Esquinera</v>
      </c>
      <c r="W39" s="46"/>
      <c r="X39" s="46">
        <f>IFERROR(__xludf.DUMMYFUNCTION("""COMPUTED_VALUE"""),13.0)</f>
        <v>13</v>
      </c>
      <c r="Y39" s="46" t="str">
        <f>IFERROR(__xludf.DUMMYFUNCTION("""COMPUTED_VALUE"""),"No tiene")</f>
        <v>No tiene</v>
      </c>
      <c r="Z39" s="90"/>
      <c r="AA39" s="33" t="str">
        <f>IFERROR(__xludf.DUMMYFUNCTION("""COMPUTED_VALUE"""),"14 años")</f>
        <v>14 años</v>
      </c>
      <c r="AB39" s="96" t="str">
        <f>IFERROR(__xludf.DUMMYFUNCTION("""COMPUTED_VALUE"""),"https://photos.app.goo.gl/pyEqhR858X2ukSTi6")</f>
        <v>https://photos.app.goo.gl/pyEqhR858X2ukSTi6</v>
      </c>
      <c r="AC39" s="46" t="str">
        <f>IFERROR(__xludf.DUMMYFUNCTION("""COMPUTED_VALUE"""),"Edificio rentable que consta de: 2do piso: Cuenta con un área de 132.70 Mts2 tiene 3 aparta estudios, 2 de ellos amoblados, y con aires acondicionados en cada uno de ellos, además 1 apartamento de 2 habitaciones, sala, comedor, patio de ropas, 2 baños. 3c"&amp;"er Piso: tiene 5 aparta estudios amoblados, 4 con aires acondicionados. 4to Piso: con un área de 149.45 Mts2 tiene 5 aparta estudios, 2 de ellos con aire acondicionado. Estrato 3, circuito de cámaras incluido.")</f>
        <v>Edificio rentable que consta de: 2do piso: Cuenta con un área de 132.70 Mts2 tiene 3 aparta estudios, 2 de ellos amoblados, y con aires acondicionados en cada uno de ellos, además 1 apartamento de 2 habitaciones, sala, comedor, patio de ropas, 2 baños. 3cer Piso: tiene 5 aparta estudios amoblados, 4 con aires acondicionados. 4to Piso: con un área de 149.45 Mts2 tiene 5 aparta estudios, 2 de ellos con aire acondicionado. Estrato 3, circuito de cámaras incluido.</v>
      </c>
      <c r="AD39" s="46" t="str">
        <f>IFERROR(__xludf.DUMMYFUNCTION("""COMPUTED_VALUE"""),"Edificio bien ubicado, central, estrato 3 y con circuito de  cámaras de seguridad.")</f>
        <v>Edificio bien ubicado, central, estrato 3 y con circuito de  cámaras de seguridad.</v>
      </c>
      <c r="AE39" s="46"/>
      <c r="AF39" s="46" t="str">
        <f>IFERROR(__xludf.DUMMYFUNCTION("""COMPUTED_VALUE"""),"integral")</f>
        <v>integral</v>
      </c>
      <c r="AG39" s="46"/>
      <c r="AH39" s="46" t="str">
        <f>IFERROR(__xludf.DUMMYFUNCTION("""COMPUTED_VALUE"""),"Aliado")</f>
        <v>Aliado</v>
      </c>
      <c r="AI39" s="92" t="str">
        <f>IFERROR(__xludf.DUMMYFUNCTION("""COMPUTED_VALUE"""),"https://lh3.googleusercontent.com/pw/AP1GczPdiQMMcc9FeHSlhXZViF46Q7zdAKwGPAHZ2hr6DAumVto9Q3JWPOEJm3rmzXVlPp9h12rq0PoYhKmCWVSQWu7f3DH0H5WAsY8OIBKFyeTFG5UXfSgj=w1200|https://lh3.googleusercontent.com/pw/AP1GczNfBuM7W-sWVapBaCCZ0DeLtAoJ2Cc3rmNEQfB_51Q5aqaj6C"&amp;"yCGfTEdkYKk5DXDnKBttNAa_aXP4Lq6gjqqKxLarGe4JLLCbanLapDsdT5ys6F9VlG=w1200|https://lh3.googleusercontent.com/pw/AP1GczNZ4iDP8rB62Y4LuJ1qrSLrHrf2Tl5Des2YJ6sKkW-DA2-B6Oti2eAMlNAJAGKXOU1abqKM_kGiMA-h8sMKErQLJ-phDmzbtIjpFnjy3nD77LxSwU0X=w1200|https://lh3.google"&amp;"usercontent.com/pw/AP1GczOFW0_JeKe6isSraMjvHG2cCbDuHGNLV75bxvAh4BbqAmYTSSjcE0a0Dio6E2tylAnwxmvYBx8ZMlN3SWJ5LpqiOYCAi0_IWIT4dRMD6tjT1ZYGSPJA=w1200|https://lh3.googleusercontent.com/pw/AP1GczMYK-qh0pa9UXjBEz-LphhLUD8kYSVt7kSIec17lpElniH3T7w2V6xSRrmbcn4IU6qL"&amp;"fmpo2ZSHP53_4OHiHHnV-zkUKkDb5Tx8pvBl72pUJqG8YTCh=w1200|https://lh3.googleusercontent.com/pw/AP1GczM32dqP_FFnuPDX1NtfRY479KQQRltd5sdefdz8vOHK41pBnYDu2qmq090PHEX9M0MRS_z4dTJlOinFEFmnQ3zEDbuoE0J3qsjdg8VaHrBYTxldSVsw=w1200|https://lh3.googleusercontent.com/pw"&amp;"/AP1GczOP9ELjBwieeeGk1bpidTBj4Iy-TA_ZqE5p3R1Oyd619AECrUa4OAGtH3cJAiRRAogWOJoJlJ8uYotfyBSutO0wgYeW7c3hEUcgXAJM82H-v2zDKgEY=w1200|https://lh3.googleusercontent.com/pw/AP1GczPnylDQEKQWJ8rZ_0XV5mg4mjWnWg5m8_g_Xt2hJbIiffURIFO5g4KtdOKdkeNlhicrkrGumy-HMiiwFQKt7f"&amp;"NOUdOXqoEIAlB5hN0nnKe-db_zlAiP=w1200|https://lh3.googleusercontent.com/pw/AP1GczNn7jrP73zoWUq2r84B66fdacDJj6fJglzC7hDuOzxUhhVgOcC7Wra0m6v3EHq1svRxddqmb5ck5vjfNSs6VNvbSqSQak9XA0kXwoqDK3hEenXyLV1s=w1200|https://lh3.googleusercontent.com/pw/AP1GczMm24vwOdBnu"&amp;"r29WoGoajGmU_bfN75R8ylQZxMhOuFxueqTFh49HdPJklNS71xaOTUX6QJoU1J9AEIHEcwNZrOz4MLcxYTgbeSTlL19O4QJ4Ij-oLKB=w1200|https://lh3.googleusercontent.com/pw/AP1GczMk73GMjbtx9jsgUSyyLv3c7x7zsRPReO4gDSs1QCNbvjrPnuWn13YDet3N0mXEDtR-0FkvROTx1RJRoZjQtnQtV29UD-d2kgkRRBph"&amp;"kUsT2PvNdwpZ=w1200|https://lh3.googleusercontent.com/pw/AP1GczN4xUlT0i4IaxOYQgGrTWAT0dc-QkdFLg4ErsHJdOw5YbDi_2O3rwmfp0LleATjVw_Rw6UGewWD_-qRxWlfhf3M1jrlsPv7eIOG4q91Tr3AcIACOvAu=w1200|https://lh3.googleusercontent.com/pw/AP1GczNKcijYt3SER8D3mR0kUeBKJh4Hqjn"&amp;"-trctAbgLWFkzkpd7XtMz7-8gf4XDWI9ttPibjnD6F0-1p7oVO3KWKnhL6lWpXgWLbIveyXOKzl1-fKnwmXNp=w1200|https://lh3.googleusercontent.com/pw/AP1GczPWVJFaExOgeN0K5_2aIQi-NU6AzYawzCD32CgJ3bS4PW-FOp96hlGWOZdLdscC5WGmN0tYQHk4zEmDZrSAzZx4tf44GJbVOCnayz0649Wc0GsvnMZc=w1200"&amp;"|https://lh3.googleusercontent.com/pw/AP1GczPDhzuZiv__pVrJhWJdX2RGI5KykO6NQncq6Te5C3O_ofQ7WT3dMOqE9VnZelJgaIEXkfQVyBI9Hs9MdHCjvUm1a_qRpPVJkUxk2m0LASy0mWOfQD0u=w1200|https://lh3.googleusercontent.com/pw/AP1GczOoZztq63dAv6rxbLoqwOTQY36dwcrwIBQPoxN6SLuz4OY9L"&amp;"YrHvWjDU5ncIhRJEoRciuxgk7mKY-JGZv4uS-tVyNvE61fvhdxMVCEc9B08z3fLvQgW=w1200")</f>
        <v>https://lh3.googleusercontent.com/pw/AP1GczPdiQMMcc9FeHSlhXZViF46Q7zdAKwGPAHZ2hr6DAumVto9Q3JWPOEJm3rmzXVlPp9h12rq0PoYhKmCWVSQWu7f3DH0H5WAsY8OIBKFyeTFG5UXfSgj=w1200|https://lh3.googleusercontent.com/pw/AP1GczNfBuM7W-sWVapBaCCZ0DeLtAoJ2Cc3rmNEQfB_51Q5aqaj6CyCGfTEdkYKk5DXDnKBttNAa_aXP4Lq6gjqqKxLarGe4JLLCbanLapDsdT5ys6F9VlG=w1200|https://lh3.googleusercontent.com/pw/AP1GczNZ4iDP8rB62Y4LuJ1qrSLrHrf2Tl5Des2YJ6sKkW-DA2-B6Oti2eAMlNAJAGKXOU1abqKM_kGiMA-h8sMKErQLJ-phDmzbtIjpFnjy3nD77LxSwU0X=w1200|https://lh3.googleusercontent.com/pw/AP1GczOFW0_JeKe6isSraMjvHG2cCbDuHGNLV75bxvAh4BbqAmYTSSjcE0a0Dio6E2tylAnwxmvYBx8ZMlN3SWJ5LpqiOYCAi0_IWIT4dRMD6tjT1ZYGSPJA=w1200|https://lh3.googleusercontent.com/pw/AP1GczMYK-qh0pa9UXjBEz-LphhLUD8kYSVt7kSIec17lpElniH3T7w2V6xSRrmbcn4IU6qLfmpo2ZSHP53_4OHiHHnV-zkUKkDb5Tx8pvBl72pUJqG8YTCh=w1200|https://lh3.googleusercontent.com/pw/AP1GczM32dqP_FFnuPDX1NtfRY479KQQRltd5sdefdz8vOHK41pBnYDu2qmq090PHEX9M0MRS_z4dTJlOinFEFmnQ3zEDbuoE0J3qsjdg8VaHrBYTxldSVsw=w1200|https://lh3.googleusercontent.com/pw/AP1GczOP9ELjBwieeeGk1bpidTBj4Iy-TA_ZqE5p3R1Oyd619AECrUa4OAGtH3cJAiRRAogWOJoJlJ8uYotfyBSutO0wgYeW7c3hEUcgXAJM82H-v2zDKgEY=w1200|https://lh3.googleusercontent.com/pw/AP1GczPnylDQEKQWJ8rZ_0XV5mg4mjWnWg5m8_g_Xt2hJbIiffURIFO5g4KtdOKdkeNlhicrkrGumy-HMiiwFQKt7fNOUdOXqoEIAlB5hN0nnKe-db_zlAiP=w1200|https://lh3.googleusercontent.com/pw/AP1GczNn7jrP73zoWUq2r84B66fdacDJj6fJglzC7hDuOzxUhhVgOcC7Wra0m6v3EHq1svRxddqmb5ck5vjfNSs6VNvbSqSQak9XA0kXwoqDK3hEenXyLV1s=w1200|https://lh3.googleusercontent.com/pw/AP1GczMm24vwOdBnur29WoGoajGmU_bfN75R8ylQZxMhOuFxueqTFh49HdPJklNS71xaOTUX6QJoU1J9AEIHEcwNZrOz4MLcxYTgbeSTlL19O4QJ4Ij-oLKB=w1200|https://lh3.googleusercontent.com/pw/AP1GczMk73GMjbtx9jsgUSyyLv3c7x7zsRPReO4gDSs1QCNbvjrPnuWn13YDet3N0mXEDtR-0FkvROTx1RJRoZjQtnQtV29UD-d2kgkRRBphkUsT2PvNdwpZ=w1200|https://lh3.googleusercontent.com/pw/AP1GczN4xUlT0i4IaxOYQgGrTWAT0dc-QkdFLg4ErsHJdOw5YbDi_2O3rwmfp0LleATjVw_Rw6UGewWD_-qRxWlfhf3M1jrlsPv7eIOG4q91Tr3AcIACOvAu=w1200|https://lh3.googleusercontent.com/pw/AP1GczNKcijYt3SER8D3mR0kUeBKJh4Hqjn-trctAbgLWFkzkpd7XtMz7-8gf4XDWI9ttPibjnD6F0-1p7oVO3KWKnhL6lWpXgWLbIveyXOKzl1-fKnwmXNp=w1200|https://lh3.googleusercontent.com/pw/AP1GczPWVJFaExOgeN0K5_2aIQi-NU6AzYawzCD32CgJ3bS4PW-FOp96hlGWOZdLdscC5WGmN0tYQHk4zEmDZrSAzZx4tf44GJbVOCnayz0649Wc0GsvnMZc=w1200|https://lh3.googleusercontent.com/pw/AP1GczPDhzuZiv__pVrJhWJdX2RGI5KykO6NQncq6Te5C3O_ofQ7WT3dMOqE9VnZelJgaIEXkfQVyBI9Hs9MdHCjvUm1a_qRpPVJkUxk2m0LASy0mWOfQD0u=w1200|https://lh3.googleusercontent.com/pw/AP1GczOoZztq63dAv6rxbLoqwOTQY36dwcrwIBQPoxN6SLuz4OY9LYrHvWjDU5ncIhRJEoRciuxgk7mKY-JGZv4uS-tVyNvE61fvhdxMVCEc9B08z3fLvQgW=w1200</v>
      </c>
      <c r="AJ39" s="46"/>
      <c r="AK39" s="46"/>
      <c r="AL39" s="46"/>
      <c r="AM39" s="46"/>
      <c r="AN39" s="46"/>
      <c r="AO39" s="46"/>
      <c r="AP39" s="46"/>
      <c r="AQ39" s="46"/>
      <c r="AR39" s="46"/>
      <c r="AS39" s="46"/>
      <c r="AT39" s="46"/>
      <c r="AU39" s="46"/>
      <c r="AV39" s="46"/>
      <c r="AW39" s="46"/>
      <c r="AX39" s="46"/>
      <c r="AY39" s="46"/>
      <c r="AZ39" s="46"/>
      <c r="BA39" s="46"/>
      <c r="BB39" s="46"/>
      <c r="BC39" s="46"/>
      <c r="BD39" s="46"/>
      <c r="BE39" s="46"/>
      <c r="BF39" s="46"/>
      <c r="BG39" s="46"/>
      <c r="BH39" s="46"/>
      <c r="BI39" s="46"/>
      <c r="BJ39" s="46"/>
      <c r="BK39" s="46"/>
      <c r="BL39" s="46"/>
      <c r="BM39" s="46"/>
      <c r="BN39" s="46"/>
      <c r="BO39" s="46"/>
      <c r="BP39" s="46"/>
      <c r="BQ39" s="46"/>
      <c r="BR39" s="46"/>
      <c r="BS39" s="46"/>
      <c r="BT39" s="46"/>
      <c r="BU39" s="46"/>
      <c r="BV39" s="46"/>
      <c r="BW39" s="46"/>
      <c r="BX39" s="46"/>
      <c r="BY39" s="46"/>
      <c r="BZ39" s="46"/>
      <c r="CA39" s="46"/>
      <c r="CB39" s="46"/>
      <c r="CC39" s="46"/>
    </row>
    <row r="40">
      <c r="A40" s="87" t="str">
        <f>IFERROR(__xludf.DUMMYFUNCTION("""COMPUTED_VALUE"""),"845")</f>
        <v>845</v>
      </c>
      <c r="B40" s="46" t="str">
        <f>IFERROR(__xludf.DUMMYFUNCTION("""COMPUTED_VALUE"""),"Finca - Rivera - Huila")</f>
        <v>Finca - Rivera - Huila</v>
      </c>
      <c r="C40" s="46" t="str">
        <f>IFERROR(__xludf.DUMMYFUNCTION("""COMPUTED_VALUE"""),"Finca")</f>
        <v>Finca</v>
      </c>
      <c r="D40" s="46"/>
      <c r="E40" s="46"/>
      <c r="F40" s="90">
        <f>IFERROR(__xludf.DUMMYFUNCTION("""COMPUTED_VALUE"""),1.2E9)</f>
        <v>1200000000</v>
      </c>
      <c r="G40" s="46" t="str">
        <f>IFERROR(__xludf.DUMMYFUNCTION("""COMPUTED_VALUE"""),"Más de $1.000'000.000")</f>
        <v>Más de $1.000'000.000</v>
      </c>
      <c r="H40" s="46"/>
      <c r="I40" s="46"/>
      <c r="J40" s="46" t="str">
        <f>IFERROR(__xludf.DUMMYFUNCTION("""COMPUTED_VALUE"""),"Rural")</f>
        <v>Rural</v>
      </c>
      <c r="K40" s="87"/>
      <c r="L40" s="46">
        <f>IFERROR(__xludf.DUMMYFUNCTION("""COMPUTED_VALUE"""),5.0)</f>
        <v>5</v>
      </c>
      <c r="M40" s="46"/>
      <c r="N40" s="46">
        <f>IFERROR(__xludf.DUMMYFUNCTION("""COMPUTED_VALUE"""),3.0)</f>
        <v>3</v>
      </c>
      <c r="O40" s="46">
        <f>IFERROR(__xludf.DUMMYFUNCTION("""COMPUTED_VALUE"""),1.0)</f>
        <v>1</v>
      </c>
      <c r="P40" s="46">
        <f>IFERROR(__xludf.DUMMYFUNCTION("""COMPUTED_VALUE"""),1.0)</f>
        <v>1</v>
      </c>
      <c r="Q40" s="92">
        <f>IFERROR(__xludf.DUMMYFUNCTION("""COMPUTED_VALUE"""),230.0)</f>
        <v>230</v>
      </c>
      <c r="R40" s="92">
        <f>IFERROR(__xludf.DUMMYFUNCTION("""COMPUTED_VALUE"""),20000.0)</f>
        <v>20000</v>
      </c>
      <c r="S40" s="87"/>
      <c r="T40" s="46" t="str">
        <f>IFERROR(__xludf.DUMMYFUNCTION("""COMPUTED_VALUE"""),"Rivera")</f>
        <v>Rivera</v>
      </c>
      <c r="U40" s="87"/>
      <c r="V40" s="46"/>
      <c r="W40" s="46"/>
      <c r="X40" s="46">
        <f>IFERROR(__xludf.DUMMYFUNCTION("""COMPUTED_VALUE"""),2.0)</f>
        <v>2</v>
      </c>
      <c r="Y40" s="46" t="str">
        <f>IFERROR(__xludf.DUMMYFUNCTION("""COMPUTED_VALUE"""),"No tiene")</f>
        <v>No tiene</v>
      </c>
      <c r="Z40" s="90" t="str">
        <f>IFERROR(__xludf.DUMMYFUNCTION("""COMPUTED_VALUE"""),"No aplica")</f>
        <v>No aplica</v>
      </c>
      <c r="AA40" s="33" t="str">
        <f>IFERROR(__xludf.DUMMYFUNCTION("""COMPUTED_VALUE"""),"No aplica")</f>
        <v>No aplica</v>
      </c>
      <c r="AB40" s="96" t="str">
        <f>IFERROR(__xludf.DUMMYFUNCTION("""COMPUTED_VALUE"""),"https://photos.app.goo.gl/dtdF2Uam6ykmVrUn6")</f>
        <v>https://photos.app.goo.gl/dtdF2Uam6ykmVrUn6</v>
      </c>
      <c r="AC40" s="46" t="str">
        <f>IFERROR(__xludf.DUMMYFUNCTION("""COMPUTED_VALUE"""),"La casa principal tiene 150 MT2 construidos, tres habitaciones, dos baños, cocina enchapada, casa para mayordomo con dos habitaciones, un baño, cocina, zona de lavandería, área construida 60 MT2,")</f>
        <v>La casa principal tiene 150 MT2 construidos, tres habitaciones, dos baños, cocina enchapada, casa para mayordomo con dos habitaciones, un baño, cocina, zona de lavandería, área construida 60 MT2,</v>
      </c>
      <c r="AD40" s="46" t="str">
        <f>IFERROR(__xludf.DUMMYFUNCTION("""COMPUTED_VALUE"""),"Finca ubicado en Rivera Huila en la vereda bajo pedregal, uso de suelos semi urbano, consta de dos hectáreas, cuenta con tres vías de ingresos, en la parte sur pasa la quebrada la maquina, tiene acueducto municipal y aljibe. Tiene 4 pesebreras construidas"&amp;" con ladrillo a la vista.")</f>
        <v>Finca ubicado en Rivera Huila en la vereda bajo pedregal, uso de suelos semi urbano, consta de dos hectáreas, cuenta con tres vías de ingresos, en la parte sur pasa la quebrada la maquina, tiene acueducto municipal y aljibe. Tiene 4 pesebreras construidas con ladrillo a la vista.</v>
      </c>
      <c r="AE40" s="46"/>
      <c r="AF40" s="46" t="str">
        <f>IFERROR(__xludf.DUMMYFUNCTION("""COMPUTED_VALUE"""),"básica")</f>
        <v>básica</v>
      </c>
      <c r="AG40" s="46"/>
      <c r="AH40" s="46" t="str">
        <f>IFERROR(__xludf.DUMMYFUNCTION("""COMPUTED_VALUE"""),"Aliado")</f>
        <v>Aliado</v>
      </c>
      <c r="AI40" s="92" t="str">
        <f>IFERROR(__xludf.DUMMYFUNCTION("""COMPUTED_VALUE"""),"https://lh3.googleusercontent.com/pw/AP1GczPPoKPCbIHZgrvyhhfFsWU3t3TcvW2x9hl3gHezUUzIvXYjq79Fb3yqs6skx55Qq8ijMiVWw0z798MK9Ko3mw2_zi9lNkqrOs8pTDgA3SbuLz6pZhuv=w1200|https://lh3.googleusercontent.com/pw/AP1GczMeDWXNH3CIi9yE7A2W5l7U6ZnGqxQNHeT5sgneEZmhoRKu3-"&amp;"3YmAj8m5HTifqsT3a_xMMuD8aJCuLHECx6xBzeRLPiGckv8G0Ph-HJenfO5gNencng=w1200|https://lh3.googleusercontent.com/pw/AP1GczMVL1Umk3IkLxxiFhT1HTu-3-DMhj6srbocMmKOA6TZ257R_4K86b4-1D4Vhy9I-hLSd_nkjBd7hZ4JIV1bBL89dkY3_owmLTe0a9AGSfRVHrU4ICm_=w1200|https://lh3.google"&amp;"usercontent.com/pw/AP1GczNq8VsDsU2kKL8P6kUupp4CCMl3sXTpInn1jBpljHMALjOb8x5APU1rya3ybTZuH7mipT6wP8rFR7RuC4XH1etB1yURx-IvWNpwr17BNuOTUnvm0WBw=w1200|https://lh3.googleusercontent.com/pw/AP1GczM_sEDNdsVfMWBqCMzYybVYZCDwam0R_m4pq3Cr_jz8dHnXdkoiRzQkFNoR8oMImk-5"&amp;"GuF3_d6qQrv2Fq2SApg9ZEHXhCgj65srlfVAf0CulvXv79lR=w1200|https://lh3.googleusercontent.com/pw/AP1GczOwGf0aFYLXaN56yLqAhBBftOHe5vmG40wlLHrdyrYf2Qdb9UFnW2LG1r9BiQC-oMHmwkQvUaS7O9XSxEQtS62fAU10uwkUuW5M3z23-dFBLznuZQAL=w1200|https://lh3.googleusercontent.com/pw"&amp;"/AP1GczOeTuF2ST1jwgpD43rxP3-Pj_vp9Tfw8U5P4Bjg41-rIyfWI-eVPZ-17ca4jHZY8s-W6my0CEm41uMUrHg8uSLQKmhrd9EYEMKsvY5AZV8jRU2G3hDK=w1200|https://lh3.googleusercontent.com/pw/AP1GczPdDlK4nEqa1YXW2NgN105gLhEpUr3Mum9ZSnc2weEcKOUgdLiWMkNssEwiRQNjjrv_K2wmPlYUpMQZHnTo6e"&amp;"riePtu1p3uJfEA4icD65ZNl4cPHkF5=w1200|https://lh3.googleusercontent.com/pw/AP1GczNM4sRaF1nAJqOTORr9TG0H1djTiuhJ5-CI6cKes7AGGRV8glRPnvEbqRetSvLMi0Vi0lCDbsc5G9MLv1wTUpnM3UWm5emrQ9JSdDuCJuQHqE2-CM0F=w1200|https://lh3.googleusercontent.com/pw/AP1GczOTJQkbZIFF7"&amp;"bhzR_HeinvRZ2kKRZlsS6bF39dhFNFZmwBmiUttgKo7DcFdefUUHS5GMapDQRTycWPEsrY5SAytGrLXs6lprKLdDrdpydi3EWVyc10v=w1200|https://lh3.googleusercontent.com/pw/AP1GczMYzypy7_ugt83G-XVEEh_BEEYndmje8Ii2Ll-iMn70uhq5FGUfCbZiIG_QSoal3PgCn0k4f1XkInn4_NV2XUk_byqhqaqfSRnoLwyv"&amp;"eSyLou9ypHWN=w1200|https://lh3.googleusercontent.com/pw/AP1GczPgdHAeAckf3ychNHf7jfAB6RnB69ff3dfie6QdrTUf79q0ln0rVUIDR-1lV-Kvz-bdGiSYuTiqj4-zNXfWJ8-7xd-_uEOc-YnkRIsvubfP2EH1Z2o4=w1200|https://lh3.googleusercontent.com/pw/AP1GczN9jWYgrXUZwY7SEa56F51vftWSaqL"&amp;"zzIbfhm0jEEDpYqqLk3NHITfZ4IAtBhTKtVeGMYactLImdp2l5OS7-yBFlkUTkIkbC3JA0hdvTKfz5sjHXh_q=w1200")</f>
        <v>https://lh3.googleusercontent.com/pw/AP1GczPPoKPCbIHZgrvyhhfFsWU3t3TcvW2x9hl3gHezUUzIvXYjq79Fb3yqs6skx55Qq8ijMiVWw0z798MK9Ko3mw2_zi9lNkqrOs8pTDgA3SbuLz6pZhuv=w1200|https://lh3.googleusercontent.com/pw/AP1GczMeDWXNH3CIi9yE7A2W5l7U6ZnGqxQNHeT5sgneEZmhoRKu3-3YmAj8m5HTifqsT3a_xMMuD8aJCuLHECx6xBzeRLPiGckv8G0Ph-HJenfO5gNencng=w1200|https://lh3.googleusercontent.com/pw/AP1GczMVL1Umk3IkLxxiFhT1HTu-3-DMhj6srbocMmKOA6TZ257R_4K86b4-1D4Vhy9I-hLSd_nkjBd7hZ4JIV1bBL89dkY3_owmLTe0a9AGSfRVHrU4ICm_=w1200|https://lh3.googleusercontent.com/pw/AP1GczNq8VsDsU2kKL8P6kUupp4CCMl3sXTpInn1jBpljHMALjOb8x5APU1rya3ybTZuH7mipT6wP8rFR7RuC4XH1etB1yURx-IvWNpwr17BNuOTUnvm0WBw=w1200|https://lh3.googleusercontent.com/pw/AP1GczM_sEDNdsVfMWBqCMzYybVYZCDwam0R_m4pq3Cr_jz8dHnXdkoiRzQkFNoR8oMImk-5GuF3_d6qQrv2Fq2SApg9ZEHXhCgj65srlfVAf0CulvXv79lR=w1200|https://lh3.googleusercontent.com/pw/AP1GczOwGf0aFYLXaN56yLqAhBBftOHe5vmG40wlLHrdyrYf2Qdb9UFnW2LG1r9BiQC-oMHmwkQvUaS7O9XSxEQtS62fAU10uwkUuW5M3z23-dFBLznuZQAL=w1200|https://lh3.googleusercontent.com/pw/AP1GczOeTuF2ST1jwgpD43rxP3-Pj_vp9Tfw8U5P4Bjg41-rIyfWI-eVPZ-17ca4jHZY8s-W6my0CEm41uMUrHg8uSLQKmhrd9EYEMKsvY5AZV8jRU2G3hDK=w1200|https://lh3.googleusercontent.com/pw/AP1GczPdDlK4nEqa1YXW2NgN105gLhEpUr3Mum9ZSnc2weEcKOUgdLiWMkNssEwiRQNjjrv_K2wmPlYUpMQZHnTo6eriePtu1p3uJfEA4icD65ZNl4cPHkF5=w1200|https://lh3.googleusercontent.com/pw/AP1GczNM4sRaF1nAJqOTORr9TG0H1djTiuhJ5-CI6cKes7AGGRV8glRPnvEbqRetSvLMi0Vi0lCDbsc5G9MLv1wTUpnM3UWm5emrQ9JSdDuCJuQHqE2-CM0F=w1200|https://lh3.googleusercontent.com/pw/AP1GczOTJQkbZIFF7bhzR_HeinvRZ2kKRZlsS6bF39dhFNFZmwBmiUttgKo7DcFdefUUHS5GMapDQRTycWPEsrY5SAytGrLXs6lprKLdDrdpydi3EWVyc10v=w1200|https://lh3.googleusercontent.com/pw/AP1GczMYzypy7_ugt83G-XVEEh_BEEYndmje8Ii2Ll-iMn70uhq5FGUfCbZiIG_QSoal3PgCn0k4f1XkInn4_NV2XUk_byqhqaqfSRnoLwyveSyLou9ypHWN=w1200|https://lh3.googleusercontent.com/pw/AP1GczPgdHAeAckf3ychNHf7jfAB6RnB69ff3dfie6QdrTUf79q0ln0rVUIDR-1lV-Kvz-bdGiSYuTiqj4-zNXfWJ8-7xd-_uEOc-YnkRIsvubfP2EH1Z2o4=w1200|https://lh3.googleusercontent.com/pw/AP1GczN9jWYgrXUZwY7SEa56F51vftWSaqLzzIbfhm0jEEDpYqqLk3NHITfZ4IAtBhTKtVeGMYactLImdp2l5OS7-yBFlkUTkIkbC3JA0hdvTKfz5sjHXh_q=w1200</v>
      </c>
      <c r="AJ40" s="46"/>
      <c r="AK40" s="46"/>
      <c r="AL40" s="46"/>
      <c r="AM40" s="46"/>
      <c r="AN40" s="46"/>
      <c r="AO40" s="46"/>
      <c r="AP40" s="46"/>
      <c r="AQ40" s="46"/>
      <c r="AR40" s="46"/>
      <c r="AS40" s="46"/>
      <c r="AT40" s="46"/>
      <c r="AU40" s="46"/>
      <c r="AV40" s="46"/>
      <c r="AW40" s="46"/>
      <c r="AX40" s="46"/>
      <c r="AY40" s="46"/>
      <c r="AZ40" s="46"/>
      <c r="BA40" s="46"/>
      <c r="BB40" s="46"/>
      <c r="BC40" s="46"/>
      <c r="BD40" s="46"/>
      <c r="BE40" s="46"/>
      <c r="BF40" s="46"/>
      <c r="BG40" s="46"/>
      <c r="BH40" s="46"/>
      <c r="BI40" s="46"/>
      <c r="BJ40" s="46"/>
      <c r="BK40" s="46"/>
      <c r="BL40" s="46"/>
      <c r="BM40" s="46"/>
      <c r="BN40" s="46"/>
      <c r="BO40" s="46"/>
      <c r="BP40" s="46"/>
      <c r="BQ40" s="46"/>
      <c r="BR40" s="46"/>
      <c r="BS40" s="46"/>
      <c r="BT40" s="46"/>
      <c r="BU40" s="46"/>
      <c r="BV40" s="46"/>
      <c r="BW40" s="46"/>
      <c r="BX40" s="46"/>
      <c r="BY40" s="46"/>
      <c r="BZ40" s="46"/>
      <c r="CA40" s="46"/>
      <c r="CB40" s="46"/>
      <c r="CC40" s="46"/>
    </row>
    <row r="41">
      <c r="A41" s="87" t="str">
        <f>IFERROR(__xludf.DUMMYFUNCTION("""COMPUTED_VALUE"""),"1433")</f>
        <v>1433</v>
      </c>
      <c r="B41" s="46" t="str">
        <f>IFERROR(__xludf.DUMMYFUNCTION("""COMPUTED_VALUE"""),"Casa + 3 Apartamentos en barrio La Floresta - Ipanema")</f>
        <v>Casa + 3 Apartamentos en barrio La Floresta - Ipanema</v>
      </c>
      <c r="C41" s="46" t="str">
        <f>IFERROR(__xludf.DUMMYFUNCTION("""COMPUTED_VALUE"""),"Casa rentable")</f>
        <v>Casa rentable</v>
      </c>
      <c r="D41" s="46" t="str">
        <f>IFERROR(__xludf.DUMMYFUNCTION("""COMPUTED_VALUE"""),"La Floresta")</f>
        <v>La Floresta</v>
      </c>
      <c r="E41" s="46"/>
      <c r="F41" s="90">
        <f>IFERROR(__xludf.DUMMYFUNCTION("""COMPUTED_VALUE"""),9.5E8)</f>
        <v>950000000</v>
      </c>
      <c r="G41" s="46" t="str">
        <f>IFERROR(__xludf.DUMMYFUNCTION("""COMPUTED_VALUE"""),"$500'000.000 a $1.000'000.000")</f>
        <v>$500'000.000 a $1.000'000.000</v>
      </c>
      <c r="H41" s="46"/>
      <c r="I41" s="46"/>
      <c r="J41" s="46" t="str">
        <f>IFERROR(__xludf.DUMMYFUNCTION("""COMPUTED_VALUE"""),"Oriente")</f>
        <v>Oriente</v>
      </c>
      <c r="K41" s="87" t="str">
        <f>IFERROR(__xludf.DUMMYFUNCTION("""COMPUTED_VALUE"""),"7")</f>
        <v>7</v>
      </c>
      <c r="L41" s="46">
        <f>IFERROR(__xludf.DUMMYFUNCTION("""COMPUTED_VALUE"""),11.0)</f>
        <v>11</v>
      </c>
      <c r="M41" s="46"/>
      <c r="N41" s="46">
        <f>IFERROR(__xludf.DUMMYFUNCTION("""COMPUTED_VALUE"""),5.0)</f>
        <v>5</v>
      </c>
      <c r="O41" s="46">
        <f>IFERROR(__xludf.DUMMYFUNCTION("""COMPUTED_VALUE"""),2.0)</f>
        <v>2</v>
      </c>
      <c r="P41" s="46">
        <f>IFERROR(__xludf.DUMMYFUNCTION("""COMPUTED_VALUE"""),2.0)</f>
        <v>2</v>
      </c>
      <c r="Q41" s="92">
        <f>IFERROR(__xludf.DUMMYFUNCTION("""COMPUTED_VALUE"""),300.0)</f>
        <v>300</v>
      </c>
      <c r="R41" s="92">
        <f>IFERROR(__xludf.DUMMYFUNCTION("""COMPUTED_VALUE"""),160.0)</f>
        <v>160</v>
      </c>
      <c r="S41" s="87" t="str">
        <f>IFERROR(__xludf.DUMMYFUNCTION("""COMPUTED_VALUE"""),"Rentabilidad $2,800,000")</f>
        <v>Rentabilidad $2,800,000</v>
      </c>
      <c r="T41" s="46" t="str">
        <f>IFERROR(__xludf.DUMMYFUNCTION("""COMPUTED_VALUE"""),"Neiva")</f>
        <v>Neiva</v>
      </c>
      <c r="U41" s="87" t="str">
        <f>IFERROR(__xludf.DUMMYFUNCTION("""COMPUTED_VALUE"""),"3")</f>
        <v>3</v>
      </c>
      <c r="V41" s="46" t="str">
        <f>IFERROR(__xludf.DUMMYFUNCTION("""COMPUTED_VALUE"""),"Esquinera")</f>
        <v>Esquinera</v>
      </c>
      <c r="W41" s="46"/>
      <c r="X41" s="46">
        <f>IFERROR(__xludf.DUMMYFUNCTION("""COMPUTED_VALUE"""),10.0)</f>
        <v>10</v>
      </c>
      <c r="Y41" s="46" t="str">
        <f>IFERROR(__xludf.DUMMYFUNCTION("""COMPUTED_VALUE"""),"No tiene")</f>
        <v>No tiene</v>
      </c>
      <c r="Z41" s="90" t="str">
        <f>IFERROR(__xludf.DUMMYFUNCTION("""COMPUTED_VALUE"""),"No aplica")</f>
        <v>No aplica</v>
      </c>
      <c r="AA41" s="33" t="str">
        <f>IFERROR(__xludf.DUMMYFUNCTION("""COMPUTED_VALUE"""),"28 años")</f>
        <v>28 años</v>
      </c>
      <c r="AB41" s="144" t="str">
        <f>IFERROR(__xludf.DUMMYFUNCTION("""COMPUTED_VALUE"""),"https://photos.app.goo.gl/kvkXhcgMQWmAPRiE7")</f>
        <v>https://photos.app.goo.gl/kvkXhcgMQWmAPRiE7</v>
      </c>
      <c r="AC41" s="46" t="str">
        <f>IFERROR(__xludf.DUMMYFUNCTION("""COMPUTED_VALUE"""),"Casa Rentable en el Barrio la Floresta con un área del lote de 160.0 m2, la casa consta de: Sala, Comedor, 3 habitaciones, la principal con baño privado, cocina integral, baño, patio de ropa, zona de lavandería, garaje. La Casa cuenta con 3 apartamentos i"&amp;"ndependientes, 2 de ellos con sala comedor, 3 habitaciones, baño, cocina, zona de lavandería, el otro con dos habitaciones.")</f>
        <v>Casa Rentable en el Barrio la Floresta con un área del lote de 160.0 m2, la casa consta de: Sala, Comedor, 3 habitaciones, la principal con baño privado, cocina integral, baño, patio de ropa, zona de lavandería, garaje. La Casa cuenta con 3 apartamentos independientes, 2 de ellos con sala comedor, 3 habitaciones, baño, cocina, zona de lavandería, el otro con dos habitaciones.</v>
      </c>
      <c r="AD41" s="46" t="str">
        <f>IFERROR(__xludf.DUMMYFUNCTION("""COMPUTED_VALUE"""),"Casa rentable, bien ubicada y con buenos acabados.")</f>
        <v>Casa rentable, bien ubicada y con buenos acabados.</v>
      </c>
      <c r="AE41" s="46"/>
      <c r="AF41" s="46" t="str">
        <f>IFERROR(__xludf.DUMMYFUNCTION("""COMPUTED_VALUE"""),"integral")</f>
        <v>integral</v>
      </c>
      <c r="AG41" s="46"/>
      <c r="AH41" s="46" t="str">
        <f>IFERROR(__xludf.DUMMYFUNCTION("""COMPUTED_VALUE"""),"Aliado")</f>
        <v>Aliado</v>
      </c>
      <c r="AI41" s="92" t="str">
        <f>IFERROR(__xludf.DUMMYFUNCTION("""COMPUTED_VALUE"""),"https://lh3.googleusercontent.com/pw/AP1GczPGIZkgu_C1gUYh4KUo6yCV31g47zf0hIAgpe4oBxsOH82fGvv5v2fbCK9KpvXVCrJZSrBYIecZ4jGOePivggPvq8PW6tqGzH4ZMHoODH5HTbKL2CNp=w1200|https://lh3.googleusercontent.com/pw/AP1GczOkXmWmS8lrWbQ4w5--IpvQ5TyTMxdP-PNxNFvR4rKVdsciT_"&amp;"RGH_OgqqMkgIXqVbDhgWtiP2K6kY_nVVNhj8HBoY7kCXnt-CPC5lUKdQMGwykZjIDN=w1200|https://lh3.googleusercontent.com/pw/AP1GczOQFgcU1ndZh3Fy2vQ6YWMYiQ-DiFgiaKHK3v8HGN4b-8uQpDJuCh-YQwPQiraboq71Pz-6yhpbE5p41Aw7pO14JuUuOc_lR45pHWQe3PnwxhUpMPE-=w1200|https://lh3.google"&amp;"usercontent.com/pw/AP1GczPFW9lu9gEW_xPXp3LdySLzKxx-_U7t06jE4UVfiATjk41ls1z-yTwJ5UMl-D5ILkAu9vUHmxviqn9T4PE5W3Idwb3fbgHsWtqwvmWTkJfqU_lc6I1y=w1200|https://lh3.googleusercontent.com/pw/AP1GczOSlQlAtRSSZIa9v3iBmPeC5zlBqGAIxoqAnY5zUlotEHon4p3onN4RVLOswl94alcq"&amp;"YuZayzGGAxsqmoiZ_2RuhUDzKEcBPQdYXecKld2slDfXmOC3=w1200|https://lh3.googleusercontent.com/pw/AP1GczNNV300BRg6JocC5U3nXIrww-9TMyC0HkCR_XyNly2JT6r9iJq51fydod6V4lT3ReWCyPnsQhYaQf4n3GmN7JnNf95DjquC7_74gthC7YW6rInMz0Ic=w1200|https://lh3.googleusercontent.com/pw"&amp;"/AP1GczMVajYxMmr4Sw-dG_qOFW3q3dSh1SUHYlVvR73fXkuYw-NVLrzC007vay-hp8-uRdwaSKmOs9b1N4gGFl-Kib0eZ6tctC23B_Lp5a2i_wTmzAlKBao0=w1200|https://lh3.googleusercontent.com/pw/AP1GczPmL_wi7wQ1-WpI3ifYFEUsig8y5Fj0lLrcHNnojtc25_5h1tbpgw3FMK3qxOVLLrQqzcaviepe7D_NhaXo15"&amp;"1JPxdi9s2szgdcLs9b0Cw5sN9kvZ7R=w1200|https://lh3.googleusercontent.com/pw/AP1GczOsk9-s0ptZnWB13HiJVihriXQkqT7b9NCGxBPkmIqnPLLi57HXI-qkm4qjBdTJ56p7F2WbIWgho0u07JvOm7fsWV17oHd_9PUv7BgdQep0Cm050MP0=w1200|https://lh3.googleusercontent.com/pw/AP1GczPRiakXGottS"&amp;"72bdgOERofZg9eRPfNzfSFlLKd5qvSeGRYz5A-2f_--GJeX066ZXfzwpId1S91Mpb9AXT8pIMSp_jz5Veka_bjCOrCRhvuncm_QhQK0=w1200|https://lh3.googleusercontent.com/pw/AP1GczNnuHEc1gk_8FQt6BjEP_c7zIs5wRJfx2syDqdmsEB0WYOlOEmY3MNpOx7hcY1tqe7weoRy9dsczvw_5awt_LmoDv3VMquyrSgFq-Dw"&amp;"qO1vcT3SSEu8=w1200|https://lh3.googleusercontent.com/pw/AP1GczNy6JmxlYG5sNFZh3SjOq2SRVPhFp9dfWnjKDULf-qwG4U-0OLpMby-SRXxxDJhHSMLeMMvgads0TnfSNIE9SKcavtd6wlEDjddrwQNZxPC3AHPsWf_=w1200")</f>
        <v>https://lh3.googleusercontent.com/pw/AP1GczPGIZkgu_C1gUYh4KUo6yCV31g47zf0hIAgpe4oBxsOH82fGvv5v2fbCK9KpvXVCrJZSrBYIecZ4jGOePivggPvq8PW6tqGzH4ZMHoODH5HTbKL2CNp=w1200|https://lh3.googleusercontent.com/pw/AP1GczOkXmWmS8lrWbQ4w5--IpvQ5TyTMxdP-PNxNFvR4rKVdsciT_RGH_OgqqMkgIXqVbDhgWtiP2K6kY_nVVNhj8HBoY7kCXnt-CPC5lUKdQMGwykZjIDN=w1200|https://lh3.googleusercontent.com/pw/AP1GczOQFgcU1ndZh3Fy2vQ6YWMYiQ-DiFgiaKHK3v8HGN4b-8uQpDJuCh-YQwPQiraboq71Pz-6yhpbE5p41Aw7pO14JuUuOc_lR45pHWQe3PnwxhUpMPE-=w1200|https://lh3.googleusercontent.com/pw/AP1GczPFW9lu9gEW_xPXp3LdySLzKxx-_U7t06jE4UVfiATjk41ls1z-yTwJ5UMl-D5ILkAu9vUHmxviqn9T4PE5W3Idwb3fbgHsWtqwvmWTkJfqU_lc6I1y=w1200|https://lh3.googleusercontent.com/pw/AP1GczOSlQlAtRSSZIa9v3iBmPeC5zlBqGAIxoqAnY5zUlotEHon4p3onN4RVLOswl94alcqYuZayzGGAxsqmoiZ_2RuhUDzKEcBPQdYXecKld2slDfXmOC3=w1200|https://lh3.googleusercontent.com/pw/AP1GczNNV300BRg6JocC5U3nXIrww-9TMyC0HkCR_XyNly2JT6r9iJq51fydod6V4lT3ReWCyPnsQhYaQf4n3GmN7JnNf95DjquC7_74gthC7YW6rInMz0Ic=w1200|https://lh3.googleusercontent.com/pw/AP1GczMVajYxMmr4Sw-dG_qOFW3q3dSh1SUHYlVvR73fXkuYw-NVLrzC007vay-hp8-uRdwaSKmOs9b1N4gGFl-Kib0eZ6tctC23B_Lp5a2i_wTmzAlKBao0=w1200|https://lh3.googleusercontent.com/pw/AP1GczPmL_wi7wQ1-WpI3ifYFEUsig8y5Fj0lLrcHNnojtc25_5h1tbpgw3FMK3qxOVLLrQqzcaviepe7D_NhaXo151JPxdi9s2szgdcLs9b0Cw5sN9kvZ7R=w1200|https://lh3.googleusercontent.com/pw/AP1GczOsk9-s0ptZnWB13HiJVihriXQkqT7b9NCGxBPkmIqnPLLi57HXI-qkm4qjBdTJ56p7F2WbIWgho0u07JvOm7fsWV17oHd_9PUv7BgdQep0Cm050MP0=w1200|https://lh3.googleusercontent.com/pw/AP1GczPRiakXGottS72bdgOERofZg9eRPfNzfSFlLKd5qvSeGRYz5A-2f_--GJeX066ZXfzwpId1S91Mpb9AXT8pIMSp_jz5Veka_bjCOrCRhvuncm_QhQK0=w1200|https://lh3.googleusercontent.com/pw/AP1GczNnuHEc1gk_8FQt6BjEP_c7zIs5wRJfx2syDqdmsEB0WYOlOEmY3MNpOx7hcY1tqe7weoRy9dsczvw_5awt_LmoDv3VMquyrSgFq-DwqO1vcT3SSEu8=w1200|https://lh3.googleusercontent.com/pw/AP1GczNy6JmxlYG5sNFZh3SjOq2SRVPhFp9dfWnjKDULf-qwG4U-0OLpMby-SRXxxDJhHSMLeMMvgads0TnfSNIE9SKcavtd6wlEDjddrwQNZxPC3AHPsWf_=w1200</v>
      </c>
      <c r="AJ41" s="46"/>
      <c r="AK41" s="46"/>
      <c r="AL41" s="46"/>
      <c r="AM41" s="46"/>
      <c r="AN41" s="46"/>
      <c r="AO41" s="46"/>
      <c r="AP41" s="46"/>
      <c r="AQ41" s="46"/>
      <c r="AR41" s="46"/>
      <c r="AS41" s="46"/>
      <c r="AT41" s="46"/>
      <c r="AU41" s="46"/>
      <c r="AV41" s="46"/>
      <c r="AW41" s="46"/>
      <c r="AX41" s="46"/>
      <c r="AY41" s="46"/>
      <c r="AZ41" s="46"/>
      <c r="BA41" s="46"/>
      <c r="BB41" s="46"/>
      <c r="BC41" s="46"/>
      <c r="BD41" s="46"/>
      <c r="BE41" s="46"/>
      <c r="BF41" s="46"/>
      <c r="BG41" s="46"/>
      <c r="BH41" s="46"/>
      <c r="BI41" s="46"/>
      <c r="BJ41" s="46"/>
      <c r="BK41" s="46"/>
      <c r="BL41" s="46"/>
      <c r="BM41" s="46"/>
      <c r="BN41" s="46"/>
      <c r="BO41" s="46"/>
      <c r="BP41" s="46"/>
      <c r="BQ41" s="46"/>
      <c r="BR41" s="46"/>
      <c r="BS41" s="46"/>
      <c r="BT41" s="46"/>
      <c r="BU41" s="46"/>
      <c r="BV41" s="46"/>
      <c r="BW41" s="46"/>
      <c r="BX41" s="46"/>
      <c r="BY41" s="46"/>
      <c r="BZ41" s="46"/>
      <c r="CA41" s="46"/>
      <c r="CB41" s="46"/>
      <c r="CC41" s="46"/>
    </row>
    <row r="42">
      <c r="A42" s="87" t="str">
        <f>IFERROR(__xludf.DUMMYFUNCTION("""COMPUTED_VALUE"""),"1246")</f>
        <v>1246</v>
      </c>
      <c r="B42" s="46" t="str">
        <f>IFERROR(__xludf.DUMMYFUNCTION("""COMPUTED_VALUE"""),"Casa con dos apartamentos y tres oficinas en barrio La Toma")</f>
        <v>Casa con dos apartamentos y tres oficinas en barrio La Toma</v>
      </c>
      <c r="C42" s="46" t="str">
        <f>IFERROR(__xludf.DUMMYFUNCTION("""COMPUTED_VALUE"""),"Casa rentable")</f>
        <v>Casa rentable</v>
      </c>
      <c r="D42" s="46" t="str">
        <f>IFERROR(__xludf.DUMMYFUNCTION("""COMPUTED_VALUE"""),"La Toma")</f>
        <v>La Toma</v>
      </c>
      <c r="E42" s="90" t="str">
        <f>IFERROR(__xludf.DUMMYFUNCTION("""COMPUTED_VALUE""")," ")</f>
        <v> </v>
      </c>
      <c r="F42" s="90">
        <f>IFERROR(__xludf.DUMMYFUNCTION("""COMPUTED_VALUE"""),8.0E8)</f>
        <v>800000000</v>
      </c>
      <c r="G42" s="46" t="str">
        <f>IFERROR(__xludf.DUMMYFUNCTION("""COMPUTED_VALUE"""),"$500'000.000 a $1.000'000.000")</f>
        <v>$500'000.000 a $1.000'000.000</v>
      </c>
      <c r="H42" s="46"/>
      <c r="I42" s="46"/>
      <c r="J42" s="46" t="str">
        <f>IFERROR(__xludf.DUMMYFUNCTION("""COMPUTED_VALUE"""),"Centro")</f>
        <v>Centro</v>
      </c>
      <c r="K42" s="87" t="str">
        <f>IFERROR(__xludf.DUMMYFUNCTION("""COMPUTED_VALUE"""),"3")</f>
        <v>3</v>
      </c>
      <c r="L42" s="46">
        <f>IFERROR(__xludf.DUMMYFUNCTION("""COMPUTED_VALUE"""),9.0)</f>
        <v>9</v>
      </c>
      <c r="M42" s="46"/>
      <c r="N42" s="46">
        <f>IFERROR(__xludf.DUMMYFUNCTION("""COMPUTED_VALUE"""),5.0)</f>
        <v>5</v>
      </c>
      <c r="O42" s="46">
        <f>IFERROR(__xludf.DUMMYFUNCTION("""COMPUTED_VALUE"""),3.0)</f>
        <v>3</v>
      </c>
      <c r="P42" s="46">
        <f>IFERROR(__xludf.DUMMYFUNCTION("""COMPUTED_VALUE"""),3.0)</f>
        <v>3</v>
      </c>
      <c r="Q42" s="92"/>
      <c r="R42" s="92">
        <f>IFERROR(__xludf.DUMMYFUNCTION("""COMPUTED_VALUE"""),121.0)</f>
        <v>121</v>
      </c>
      <c r="S42" s="87" t="str">
        <f>IFERROR(__xludf.DUMMYFUNCTION("""COMPUTED_VALUE"""),"Rentabilidad $2,300,000")</f>
        <v>Rentabilidad $2,300,000</v>
      </c>
      <c r="T42" s="46" t="str">
        <f>IFERROR(__xludf.DUMMYFUNCTION("""COMPUTED_VALUE"""),"Neiva")</f>
        <v>Neiva</v>
      </c>
      <c r="U42" s="87" t="str">
        <f>IFERROR(__xludf.DUMMYFUNCTION("""COMPUTED_VALUE"""),"3")</f>
        <v>3</v>
      </c>
      <c r="V42" s="46" t="str">
        <f>IFERROR(__xludf.DUMMYFUNCTION("""COMPUTED_VALUE"""),"Medianera")</f>
        <v>Medianera</v>
      </c>
      <c r="W42" s="46"/>
      <c r="X42" s="46">
        <f>IFERROR(__xludf.DUMMYFUNCTION("""COMPUTED_VALUE"""),6.0)</f>
        <v>6</v>
      </c>
      <c r="Y42" s="46" t="str">
        <f>IFERROR(__xludf.DUMMYFUNCTION("""COMPUTED_VALUE"""),"No tiene")</f>
        <v>No tiene</v>
      </c>
      <c r="Z42" s="90" t="str">
        <f>IFERROR(__xludf.DUMMYFUNCTION("""COMPUTED_VALUE"""),"No aplica")</f>
        <v>No aplica</v>
      </c>
      <c r="AA42" s="33" t="str">
        <f>IFERROR(__xludf.DUMMYFUNCTION("""COMPUTED_VALUE"""),"29 años")</f>
        <v>29 años</v>
      </c>
      <c r="AB42" s="96" t="str">
        <f>IFERROR(__xludf.DUMMYFUNCTION("""COMPUTED_VALUE"""),"https://photos.app.goo.gl/ifKcNM57JsW8PTto8")</f>
        <v>https://photos.app.goo.gl/ifKcNM57JsW8PTto8</v>
      </c>
      <c r="AC42" s="46" t="str">
        <f>IFERROR(__xludf.DUMMYFUNCTION("""COMPUTED_VALUE"""),"Se Vende casa de 3 pisos con un área de 121 m2 consta:                  Primer piso: 3 oficinas, baño privado, baño auxiliar, 3 parqueaderos.           Segundo piso: 3 habitaciones, baño privado, baño auxiliar, 3 closets de madera, 2 A.A, cocina integral,"&amp;" la divisiones de los baños son en vidrios, sala comedor, patio de ropas, zona de lavandería.       Tercer piso: 3 habitaciones, sala comedor, baño privado, baño auxiliar, 3 closets de madera, 1 A.A, cocina semiintegral, el baño auxiliar tiene divisiones "&amp;"en vidrio,patio de ropas, zona de lavandería, garaje.")</f>
        <v>Se Vende casa de 3 pisos con un área de 121 m2 consta:                  Primer piso: 3 oficinas, baño privado, baño auxiliar, 3 parqueaderos.           Segundo piso: 3 habitaciones, baño privado, baño auxiliar, 3 closets de madera, 2 A.A, cocina integral, la divisiones de los baños son en vidrios, sala comedor, patio de ropas, zona de lavandería.       Tercer piso: 3 habitaciones, sala comedor, baño privado, baño auxiliar, 3 closets de madera, 1 A.A, cocina semiintegral, el baño auxiliar tiene divisiones en vidrio,patio de ropas, zona de lavandería, garaje.</v>
      </c>
      <c r="AD42" s="46"/>
      <c r="AE42" s="46"/>
      <c r="AF42" s="46" t="str">
        <f>IFERROR(__xludf.DUMMYFUNCTION("""COMPUTED_VALUE"""),"semi-integral")</f>
        <v>semi-integral</v>
      </c>
      <c r="AG42" s="46"/>
      <c r="AH42" s="46" t="str">
        <f>IFERROR(__xludf.DUMMYFUNCTION("""COMPUTED_VALUE"""),"Aliado")</f>
        <v>Aliado</v>
      </c>
      <c r="AI42" s="92" t="str">
        <f>IFERROR(__xludf.DUMMYFUNCTION("""COMPUTED_VALUE"""),"https://lh3.googleusercontent.com/pw/AP1GczNc9V_zOX1I5Vo0-TJMJZPQnsUyo5dHvS45ar1gHQNmgLOlf9BhkBu3Jsu1u0vgPqSthU61tk05uH31jOQmKRu-yj2IzIxmSTPYkfV90qard0F76CqE=w1200|https://lh3.googleusercontent.com/pw/AP1GczM_vrVuds_4Xn5s3EpZn8nTSbiMN_4xRJoHK6syWY70YPjIjw"&amp;"lpvpTe76VHFeK0qETMjXytkFdvwfR05rsjCN96-ML0zUXec5iJzPtBv6C23oncxzvU=w1200|https://lh3.googleusercontent.com/pw/AP1GczMUzsCUU7xlyTPUE1LU0gpMjepnJnAbDPPhbHkA09QQqrJrwXb3RiOdCOmHd6cZuClMtt8NC5Gqtio_-sB5BMXuDm7ivwoaYs1wQPHNz_bam4bReEJA=w1200|https://lh3.google"&amp;"usercontent.com/pw/AP1GczMG_jbiCM-pEj1_r1dED_h5qgbv-L88KdTckPSZxGLqYErGnkZNwhorjnVtGUHOdLfePzuLWDFNtWVqByTngNfhCrWsmK3NSLqZ_BUwZiGfEKZfLAWX=w1200|https://lh3.googleusercontent.com/pw/AP1GczNQ_--b9jbZcGUMSMwpunX1kMZiVWTFCpjQNf2nrlrN4NQkJaxLGvGMwU0GC1P1bQpC"&amp;"m0bxaEy4ep9cV2ulkPuHRNn_efD4oUA430rKsvJIrgLSDfUh=w1200|https://lh3.googleusercontent.com/pw/AP1GczMplg7WAe0RcdAP1bRlXkUQCqtSXhNjGxitCWZa9C6h0ZzyawNPVWbPuE_1hdGQisevnhGFL415SKQaepPlxNqHZBOdzFi8PFeORk0__fvKWLyVYAJ7=w1200|https://lh3.googleusercontent.com/pw"&amp;"/AP1GczP0E9UY-jzh_i78FjIkoRZBR867FOFLPVuhcuT4ZFQqTk4WEYlQ5vFO6GuZWCkkCfW8B9TFQA64urTDyp34TC8k5S-20OweQl831p6ZODOnfaukyKXX=w1200|https://lh3.googleusercontent.com/pw/AP1GczMFbDWi4BgICAdAA0d0FHvli9abwy7ywGe4DyS1XD5vosYRLynBVN9gszL43_qoZMJCSRlzu4yrrzyCJmtxb9"&amp;"NF575p8TGgH7o9VhXbnHpG4E0b6I3D=w1200|https://lh3.googleusercontent.com/pw/AP1GczMwa7vZzb-Mxdgu6HoBFK4ygSbpV6Y_ayUqLtl8p_7B17YIQNy9zNRQTBAvR4JQN3_SCDuafRgRx7pFLmE5V2sDHGSUnC4LVrAZ2zi3raCUkZH29n7J=w1200|https://lh3.googleusercontent.com/pw/AP1GczMflwtWuopM4"&amp;"VI_5Y4XJIJd9ujybfsQ62s1yGWETEqHw6YtPqRglcdUEc8hF9znUFzbp6mWKRfyu5D4uynB_XzR27k9Wd4krAJJQKvPFJGKSN87pI9N=w1200|https://lh3.googleusercontent.com/pw/AP1GczN6f3RS_tBt_Kf__y8_w76R_ftRx_CwDxIh8eGaHg_NjxQ1SIdDS3jhBRcQ9bsWxG1IGbkz1WRzF3HxpBrWTRNfVouwpse4OE7-HiwQ"&amp;"ozHlF4Var59h=w1200|https://lh3.googleusercontent.com/pw/AP1GczOuouHUYqJwV0L9gxYqtpcrkF1JduK2jLDwbtk0YU7Fqc4evxhyIqTnqte60OaPGYOSC32EmiCbuLmwB4FBLHIbTajCQFEliTzQosltAJWFpurOnITX=w1200|https://lh3.googleusercontent.com/pw/AP1GczPem6fsrEpGb_X-JjtyEQcO6GPnDNp"&amp;"COy5jGkk4ci25kpe9dkN4sDfcDopOznjC9k9SokVvTpbjs1iytJuXqSYO8HFtUi3YWF2BMgR0UwwqMNSidzrS=w1200|https://lh3.googleusercontent.com/pw/AP1GczOF6MAvHp0jVYty0uT3aJNB0l9XY9ViwzL0qOC__EvWo1RSLf8OIameA1ANqvybKLJX_5heRrJwwA3-MpXs8zvj-vQK5rtOx7KU0RN1_pea_uZjkq0G=w1200"&amp;"|https://lh3.googleusercontent.com/pw/AP1GczNp7EiaFXurdX_5uAH2lfQ02jNx8dnoyZbDjaBpircYno1zwUWquYElLpV1qm93KclVLIyUCqHom5hOoKG-GwCzuH1Ln8TjsuEzdNhJ6IWydxlQxNQo=w1200|https://lh3.googleusercontent.com/pw/AP1GczPovAuwPGGGIzZKBthzoSEzjILGa0MGcjZ1GUkY3hauqngeT"&amp;"bCl9PUae5LCRGUzLQmIj0rGSu_dAhz9EFdoRHfwFJUZTe-sTt6ZrJOdZRtMZ4xhDyXW=w1200|https://lh3.googleusercontent.com/pw/AP1GczOL-Ie6Xbiz10NvOowR1bmi5z_CUHoyqlRLTpdcFNvIAoz8x0YRsway8K9IdILkn3UMLWhn-Hub2FZeDhhcnhGZ_Xx6QUrjA8IsaT-nC546gejDUsdg=w1200|https://lh3.googl"&amp;"eusercontent.com/pw/AP1GczNcc-36TgCoeHjDnsGuXqetTZrAV6tpF2jCcPdPqPPKmT5gliiQ6JwTmKTDV7JyihQL--F_FGtW1iTi6SnI9D9ZGr2j82DIiW-d_IS5-PaXhgx_NOhz=w1200|https://lh3.googleusercontent.com/pw/AP1GczPWxRZ-b5U9MZ8x4eyJ2PQy_jDQWFZ86n_DeP_CRtOu-CvGewMSP5Ka2tGT192_A2r"&amp;"_sO9cdcOgdGaNUGoxH9-_nDxFEo7_a0u-QhPa2l558IOUsHri=w1200")</f>
        <v>https://lh3.googleusercontent.com/pw/AP1GczNc9V_zOX1I5Vo0-TJMJZPQnsUyo5dHvS45ar1gHQNmgLOlf9BhkBu3Jsu1u0vgPqSthU61tk05uH31jOQmKRu-yj2IzIxmSTPYkfV90qard0F76CqE=w1200|https://lh3.googleusercontent.com/pw/AP1GczM_vrVuds_4Xn5s3EpZn8nTSbiMN_4xRJoHK6syWY70YPjIjwlpvpTe76VHFeK0qETMjXytkFdvwfR05rsjCN96-ML0zUXec5iJzPtBv6C23oncxzvU=w1200|https://lh3.googleusercontent.com/pw/AP1GczMUzsCUU7xlyTPUE1LU0gpMjepnJnAbDPPhbHkA09QQqrJrwXb3RiOdCOmHd6cZuClMtt8NC5Gqtio_-sB5BMXuDm7ivwoaYs1wQPHNz_bam4bReEJA=w1200|https://lh3.googleusercontent.com/pw/AP1GczMG_jbiCM-pEj1_r1dED_h5qgbv-L88KdTckPSZxGLqYErGnkZNwhorjnVtGUHOdLfePzuLWDFNtWVqByTngNfhCrWsmK3NSLqZ_BUwZiGfEKZfLAWX=w1200|https://lh3.googleusercontent.com/pw/AP1GczNQ_--b9jbZcGUMSMwpunX1kMZiVWTFCpjQNf2nrlrN4NQkJaxLGvGMwU0GC1P1bQpCm0bxaEy4ep9cV2ulkPuHRNn_efD4oUA430rKsvJIrgLSDfUh=w1200|https://lh3.googleusercontent.com/pw/AP1GczMplg7WAe0RcdAP1bRlXkUQCqtSXhNjGxitCWZa9C6h0ZzyawNPVWbPuE_1hdGQisevnhGFL415SKQaepPlxNqHZBOdzFi8PFeORk0__fvKWLyVYAJ7=w1200|https://lh3.googleusercontent.com/pw/AP1GczP0E9UY-jzh_i78FjIkoRZBR867FOFLPVuhcuT4ZFQqTk4WEYlQ5vFO6GuZWCkkCfW8B9TFQA64urTDyp34TC8k5S-20OweQl831p6ZODOnfaukyKXX=w1200|https://lh3.googleusercontent.com/pw/AP1GczMFbDWi4BgICAdAA0d0FHvli9abwy7ywGe4DyS1XD5vosYRLynBVN9gszL43_qoZMJCSRlzu4yrrzyCJmtxb9NF575p8TGgH7o9VhXbnHpG4E0b6I3D=w1200|https://lh3.googleusercontent.com/pw/AP1GczMwa7vZzb-Mxdgu6HoBFK4ygSbpV6Y_ayUqLtl8p_7B17YIQNy9zNRQTBAvR4JQN3_SCDuafRgRx7pFLmE5V2sDHGSUnC4LVrAZ2zi3raCUkZH29n7J=w1200|https://lh3.googleusercontent.com/pw/AP1GczMflwtWuopM4VI_5Y4XJIJd9ujybfsQ62s1yGWETEqHw6YtPqRglcdUEc8hF9znUFzbp6mWKRfyu5D4uynB_XzR27k9Wd4krAJJQKvPFJGKSN87pI9N=w1200|https://lh3.googleusercontent.com/pw/AP1GczN6f3RS_tBt_Kf__y8_w76R_ftRx_CwDxIh8eGaHg_NjxQ1SIdDS3jhBRcQ9bsWxG1IGbkz1WRzF3HxpBrWTRNfVouwpse4OE7-HiwQozHlF4Var59h=w1200|https://lh3.googleusercontent.com/pw/AP1GczOuouHUYqJwV0L9gxYqtpcrkF1JduK2jLDwbtk0YU7Fqc4evxhyIqTnqte60OaPGYOSC32EmiCbuLmwB4FBLHIbTajCQFEliTzQosltAJWFpurOnITX=w1200|https://lh3.googleusercontent.com/pw/AP1GczPem6fsrEpGb_X-JjtyEQcO6GPnDNpCOy5jGkk4ci25kpe9dkN4sDfcDopOznjC9k9SokVvTpbjs1iytJuXqSYO8HFtUi3YWF2BMgR0UwwqMNSidzrS=w1200|https://lh3.googleusercontent.com/pw/AP1GczOF6MAvHp0jVYty0uT3aJNB0l9XY9ViwzL0qOC__EvWo1RSLf8OIameA1ANqvybKLJX_5heRrJwwA3-MpXs8zvj-vQK5rtOx7KU0RN1_pea_uZjkq0G=w1200|https://lh3.googleusercontent.com/pw/AP1GczNp7EiaFXurdX_5uAH2lfQ02jNx8dnoyZbDjaBpircYno1zwUWquYElLpV1qm93KclVLIyUCqHom5hOoKG-GwCzuH1Ln8TjsuEzdNhJ6IWydxlQxNQo=w1200|https://lh3.googleusercontent.com/pw/AP1GczPovAuwPGGGIzZKBthzoSEzjILGa0MGcjZ1GUkY3hauqngeTbCl9PUae5LCRGUzLQmIj0rGSu_dAhz9EFdoRHfwFJUZTe-sTt6ZrJOdZRtMZ4xhDyXW=w1200|https://lh3.googleusercontent.com/pw/AP1GczOL-Ie6Xbiz10NvOowR1bmi5z_CUHoyqlRLTpdcFNvIAoz8x0YRsway8K9IdILkn3UMLWhn-Hub2FZeDhhcnhGZ_Xx6QUrjA8IsaT-nC546gejDUsdg=w1200|https://lh3.googleusercontent.com/pw/AP1GczNcc-36TgCoeHjDnsGuXqetTZrAV6tpF2jCcPdPqPPKmT5gliiQ6JwTmKTDV7JyihQL--F_FGtW1iTi6SnI9D9ZGr2j82DIiW-d_IS5-PaXhgx_NOhz=w1200|https://lh3.googleusercontent.com/pw/AP1GczPWxRZ-b5U9MZ8x4eyJ2PQy_jDQWFZ86n_DeP_CRtOu-CvGewMSP5Ka2tGT192_A2r_sO9cdcOgdGaNUGoxH9-_nDxFEo7_a0u-QhPa2l558IOUsHri=w1200</v>
      </c>
      <c r="AJ42" s="46"/>
      <c r="AK42" s="46"/>
      <c r="AL42" s="46"/>
      <c r="AM42" s="46"/>
      <c r="AN42" s="46"/>
      <c r="AO42" s="46"/>
      <c r="AP42" s="46"/>
      <c r="AQ42" s="46"/>
      <c r="AR42" s="46"/>
      <c r="AS42" s="46"/>
      <c r="AT42" s="46"/>
      <c r="AU42" s="46"/>
      <c r="AV42" s="46"/>
      <c r="AW42" s="46"/>
      <c r="AX42" s="46"/>
      <c r="AY42" s="46"/>
      <c r="AZ42" s="46"/>
      <c r="BA42" s="46"/>
      <c r="BB42" s="46"/>
      <c r="BC42" s="46"/>
      <c r="BD42" s="46"/>
      <c r="BE42" s="46"/>
      <c r="BF42" s="46"/>
      <c r="BG42" s="46"/>
      <c r="BH42" s="46"/>
      <c r="BI42" s="46"/>
      <c r="BJ42" s="46"/>
      <c r="BK42" s="46"/>
      <c r="BL42" s="46"/>
      <c r="BM42" s="46"/>
      <c r="BN42" s="46"/>
      <c r="BO42" s="46"/>
      <c r="BP42" s="46"/>
      <c r="BQ42" s="46"/>
      <c r="BR42" s="46"/>
      <c r="BS42" s="46"/>
      <c r="BT42" s="46"/>
      <c r="BU42" s="46"/>
      <c r="BV42" s="46"/>
      <c r="BW42" s="46"/>
      <c r="BX42" s="46"/>
      <c r="BY42" s="46"/>
      <c r="BZ42" s="46"/>
      <c r="CA42" s="46"/>
      <c r="CB42" s="46"/>
      <c r="CC42" s="46"/>
    </row>
    <row r="43">
      <c r="A43" s="87" t="str">
        <f>IFERROR(__xludf.DUMMYFUNCTION("""COMPUTED_VALUE"""),"900")</f>
        <v>900</v>
      </c>
      <c r="B43" s="46" t="str">
        <f>IFERROR(__xludf.DUMMYFUNCTION("""COMPUTED_VALUE"""),"Casa en conjunto Santorini II - Ipanema - Oriente")</f>
        <v>Casa en conjunto Santorini II - Ipanema - Oriente</v>
      </c>
      <c r="C43" s="46" t="str">
        <f>IFERROR(__xludf.DUMMYFUNCTION("""COMPUTED_VALUE"""),"Casa en conjunto")</f>
        <v>Casa en conjunto</v>
      </c>
      <c r="D43" s="46" t="str">
        <f>IFERROR(__xludf.DUMMYFUNCTION("""COMPUTED_VALUE"""),"Ipanema")</f>
        <v>Ipanema</v>
      </c>
      <c r="E43" s="90" t="str">
        <f>IFERROR(__xludf.DUMMYFUNCTION("""COMPUTED_VALUE"""),"Conjunto Santorini 2")</f>
        <v>Conjunto Santorini 2</v>
      </c>
      <c r="F43" s="90">
        <f>IFERROR(__xludf.DUMMYFUNCTION("""COMPUTED_VALUE"""),7.5E8)</f>
        <v>750000000</v>
      </c>
      <c r="G43" s="46" t="str">
        <f>IFERROR(__xludf.DUMMYFUNCTION("""COMPUTED_VALUE"""),"$500'000.000 a $1.000'000.000")</f>
        <v>$500'000.000 a $1.000'000.000</v>
      </c>
      <c r="H43" s="46"/>
      <c r="I43" s="46"/>
      <c r="J43" s="46" t="str">
        <f>IFERROR(__xludf.DUMMYFUNCTION("""COMPUTED_VALUE"""),"Oriente")</f>
        <v>Oriente</v>
      </c>
      <c r="K43" s="87" t="str">
        <f>IFERROR(__xludf.DUMMYFUNCTION("""COMPUTED_VALUE"""),"7")</f>
        <v>7</v>
      </c>
      <c r="L43" s="46">
        <f>IFERROR(__xludf.DUMMYFUNCTION("""COMPUTED_VALUE"""),4.0)</f>
        <v>4</v>
      </c>
      <c r="M43" s="46"/>
      <c r="N43" s="46">
        <f>IFERROR(__xludf.DUMMYFUNCTION("""COMPUTED_VALUE"""),3.0)</f>
        <v>3</v>
      </c>
      <c r="O43" s="46">
        <f>IFERROR(__xludf.DUMMYFUNCTION("""COMPUTED_VALUE"""),1.0)</f>
        <v>1</v>
      </c>
      <c r="P43" s="46">
        <f>IFERROR(__xludf.DUMMYFUNCTION("""COMPUTED_VALUE"""),2.0)</f>
        <v>2</v>
      </c>
      <c r="Q43" s="92">
        <f>IFERROR(__xludf.DUMMYFUNCTION("""COMPUTED_VALUE"""),200.0)</f>
        <v>200</v>
      </c>
      <c r="R43" s="92">
        <f>IFERROR(__xludf.DUMMYFUNCTION("""COMPUTED_VALUE"""),164.0)</f>
        <v>164</v>
      </c>
      <c r="S43" s="87" t="str">
        <f>IFERROR(__xludf.DUMMYFUNCTION("""COMPUTED_VALUE""")," ")</f>
        <v> </v>
      </c>
      <c r="T43" s="46" t="str">
        <f>IFERROR(__xludf.DUMMYFUNCTION("""COMPUTED_VALUE"""),"Neiva")</f>
        <v>Neiva</v>
      </c>
      <c r="U43" s="87" t="str">
        <f>IFERROR(__xludf.DUMMYFUNCTION("""COMPUTED_VALUE"""),"5")</f>
        <v>5</v>
      </c>
      <c r="V43" s="46" t="str">
        <f>IFERROR(__xludf.DUMMYFUNCTION("""COMPUTED_VALUE"""),"Medianera")</f>
        <v>Medianera</v>
      </c>
      <c r="W43" s="46"/>
      <c r="X43" s="46">
        <f>IFERROR(__xludf.DUMMYFUNCTION("""COMPUTED_VALUE"""),4.0)</f>
        <v>4</v>
      </c>
      <c r="Y43" s="46" t="str">
        <f>IFERROR(__xludf.DUMMYFUNCTION("""COMPUTED_VALUE"""),"Social")</f>
        <v>Social</v>
      </c>
      <c r="Z43" s="90">
        <f>IFERROR(__xludf.DUMMYFUNCTION("""COMPUTED_VALUE"""),520000.0)</f>
        <v>520000</v>
      </c>
      <c r="AA43" s="33" t="str">
        <f>IFERROR(__xludf.DUMMYFUNCTION("""COMPUTED_VALUE"""),"No aplica")</f>
        <v>No aplica</v>
      </c>
      <c r="AB43" s="96" t="str">
        <f>IFERROR(__xludf.DUMMYFUNCTION("""COMPUTED_VALUE"""),"https://photos.app.goo.gl/yiy8HNjFhhsszHcG9")</f>
        <v>https://photos.app.goo.gl/yiy8HNjFhhsszHcG9</v>
      </c>
      <c r="AC43" s="46" t="str">
        <f>IFERROR(__xludf.DUMMYFUNCTION("""COMPUTED_VALUE"""),"Casa de 2 pisos, área de 164m2, estrato 5, consta de primer piso: sala, comedor, baño social, estudio, biblioteca, cocina integral, alcoba de servicio con baño, patio de ropas, patio interno, cortinas, garaje, lámparas, 2do piso, hall de alcobas, balcón, "&amp;"3 alcobas, aires acondicionados, cortinas, 3 closet, 2 baños (1 privado). El conjunto ofrece: vigilancia las 24 horas, zona infantil, piscinas, zonas verdes, citófono, salón social, garaje de visitantes.")</f>
        <v>Casa de 2 pisos, área de 164m2, estrato 5, consta de primer piso: sala, comedor, baño social, estudio, biblioteca, cocina integral, alcoba de servicio con baño, patio de ropas, patio interno, cortinas, garaje, lámparas, 2do piso, hall de alcobas, balcón, 3 alcobas, aires acondicionados, cortinas, 3 closet, 2 baños (1 privado). El conjunto ofrece: vigilancia las 24 horas, zona infantil, piscinas, zonas verdes, citófono, salón social, garaje de visitantes.</v>
      </c>
      <c r="AD43" s="46"/>
      <c r="AE43" s="46"/>
      <c r="AF43" s="46" t="str">
        <f>IFERROR(__xludf.DUMMYFUNCTION("""COMPUTED_VALUE"""),"integral")</f>
        <v>integral</v>
      </c>
      <c r="AG43" s="46"/>
      <c r="AH43" s="46" t="str">
        <f>IFERROR(__xludf.DUMMYFUNCTION("""COMPUTED_VALUE"""),"Aliado")</f>
        <v>Aliado</v>
      </c>
      <c r="AI43" s="92" t="str">
        <f>IFERROR(__xludf.DUMMYFUNCTION("""COMPUTED_VALUE"""),"https://lh3.googleusercontent.com/pw/AP1GczPUpRe6Ak3EPJKPZPWzhbaS4lz-Q1AiCDsJ_LTA_KyYnnKUOxlvswuF6dv_SDtnRlFMbLDMsR2QUMz635CIwplAfYeJxpg9dj1IqflyBN48EZYTx-e0=w1200|https://lh3.googleusercontent.com/pw/AP1GczMQrr1E5Gj8Vl0MXfmW-1PSDXJvZgKMNBc8flqL0iYw-aoxQ1"&amp;"ouEdnYOzqjmrDXfqHOr9Sayr6Rqfi2xlLuRw-aH-5IPPAzJ7hkgCQ88nPANi1juUyt=w1200|https://lh3.googleusercontent.com/pw/AP1GczMAYseW_EiImCFl0U1znUQGzxnXSKB_KWwbMAHMeqtBvtmnauGDxkkKtA1yhDhHp87k3yw9yShhsaG4-bhozHdFQWzjWf4-s-kjyaMvVr6-Az5qvYvU=w1200|https://lh3.google"&amp;"usercontent.com/pw/AP1GczOO2dWxHPXiGxlUMy7qMF-lLs2_SCougzH00_FCS69ZV_AUMSQFbMSjChzZ62cpu2sf5Nn4PYp2XAAKWNJ4esFYnRmdUpK1JaM0_KMK368TyFKYiKHy=w1200|https://lh3.googleusercontent.com/pw/AP1GczMskOIa6FNz-AFKMCAgs9wid9sDHEAFbfXJt6kdO5zHyWxq3OKpK-lGe_gplzeGjQPV"&amp;"wY5CBnJI-jmdoK8CpazwjVRgILRKA9_k1uxZcjtlYqabRkfb=w1200|https://lh3.googleusercontent.com/pw/AP1GczMi5PsvYbC6xFba37csn8s--Hx4kCS0A7aNScXZyZk92RTGNDoNwKrb1LN_t5AFoYlk9BLQoYGgOeB95uT1UcdUIW10SLtN2sSx79Jf00wzHEyeXZUr=w1200|https://lh3.googleusercontent.com/pw"&amp;"/AP1GczPiI6KbZunHpHs1OvgfdF_06OTRd95ttQ-Ff7zuT-DTYhiRe66hzIF1lAwADI5VS4nnnkJbr1iI7-NDC9pSOMbS4FSW8QIDhIm0xrovrPRA1Iu9UZDf=w1200|https://lh3.googleusercontent.com/pw/AP1GczPxuxoUUvRqeDG6ef3O5n4bXsYU8O1Lkmwqrx-9jDOgQ3_tPNj9NrOtb-qzQD5NYiMy2SGtfyHIYanL2JOlnL"&amp;"uqu8NxHwgaS61ltlrolMyUkJb1yhMq=w1200|https://lh3.googleusercontent.com/pw/AP1GczNRhIK1fW8Omm8BZ18IcYWzR9eh0M5j6QL62WC3_E-_shQoX2R3hG3pGyA9zAtnhFqu2ctqjJVSwgLoY9Fy4kLSHGWqmbGfFfBFjy0yGU-rOL1hcX4W=w1200|https://lh3.googleusercontent.com/pw/AP1GczPZgoNaxAeWn"&amp;"vewcrlMj0vb1jM-rS02IYOPsYdNN0pbkvCZXcL5ygMmg4AWNLylBfmZ9PU0xh0BwBEFOdTGZPBjdi7kTr7Ap1eHewt_vRwcuIpvsEcu=w1200|https://lh3.googleusercontent.com/pw/AP1GczOvq7ejBPC7rNb1Z8fE0nxWdfhismdv8iIEhwPduKGeZp7czB0zGvg6Dp4rDkTG54hc6u9ceHhI8JQ9mSgaF5QKk14LOf2Enuaixx0C"&amp;"qcV_W5ntTCm6=w1200|https://lh3.googleusercontent.com/pw/AP1GczOqC0eMZ2eY5U7j6qcdMTbsuc6lbjyV0633QUlEb_ePG6qibq4bgY-qEDk7CHBWTNy89Q3hOhwf4Ge6VMGAyEX35FTpWBcfSedsJtIeodr2ijq40KoO=w1200|https://lh3.googleusercontent.com/pw/AP1GczO3wbh0SdCarIbrndpG7GOoL5ZLvz2"&amp;"zjE-Ca8Z0vvH4zgtcKeFMZW9jn9gnCR3xDjKq75uU-ClQzYqbeNxi8zinzFieEXHucq842uCi4KgDox1wxymo=w1200|https://lh3.googleusercontent.com/pw/AP1GczOlTKMBV-0iRTQ7r8BBSzR_JkVwdOVr7Sf2nhya-_NE-AyHUShxkigoJAq0tAL4DdNYpnXTzpAF3gwh2hbYVNRBS6de_LCjkd0XOxNlWX6g_yS8qIEe=w1200"&amp;"|https://lh3.googleusercontent.com/pw/AP1GczOdpzSaI9msjLYslI5gI556ZZUmEjpuuxva3VzHffccmAuPEFcOVNVdf8OCn3nJq--xvCWG2zKP7uR3mMqoFlPWfiPmsMmSDdtPAs9eXrLE_QsHsFQn=w1200|https://lh3.googleusercontent.com/pw/AP1GczOA_l2a-0e5d6deT7vvKmSq2dtm95sFCWmIUSvh5BJI6w_jl"&amp;"qeV-N1fXBDYlscsNfK1M9ZOq19maA1WiYE7x8pMfZZ14ly8-8cRdPnXBFo_5axg4SyV=w1200|https://lh3.googleusercontent.com/pw/AP1GczPJjWjkT2HB_e4b7S0IN6XbWJ_9rkiobCw4IxRRR_Sw5EhOAYrNr_yqMUIw6fTrqkaHjP9k826Dp_qQBmphKMMN0aUBg6TBPWr4T5r0duustkXIeZht=w1200|https://lh3.googl"&amp;"eusercontent.com/pw/AP1GczNrJIh7TQ_ip87BkYzU3rFaLHuJ-uNlGJqP4iCkhnlxBmeGQjjc2dyrM6zPG6O5_FYMASnLRy5SwpRO-hUpP6aWD4fNmt6yXIVdcZvPZzONTtkTcLJd=w1200|https://lh3.googleusercontent.com/pw/AP1GczNS5I_3HZ43U-9l5kwW1QtGWUH0smgx2w8AKba9N4sapbJolidtk9LgqrlGEggMjje"&amp;"8FsUnKlniiq9b810V0jwMAV4TkUQEdHj-YdQp0DndB1FRASSr=w1200|https://lh3.googleusercontent.com/pw/AP1GczO-w0memEmL6r_bONkfN8UBe5-YNxCFWOlKTS3DYHHS47hdT8m67uy-AllK3m6EHcoNQeMSrUAUMonYUaCPRHY-atROQ-0syj9h7D8CwsRLLqDyJX1f=w1200")</f>
        <v>https://lh3.googleusercontent.com/pw/AP1GczPUpRe6Ak3EPJKPZPWzhbaS4lz-Q1AiCDsJ_LTA_KyYnnKUOxlvswuF6dv_SDtnRlFMbLDMsR2QUMz635CIwplAfYeJxpg9dj1IqflyBN48EZYTx-e0=w1200|https://lh3.googleusercontent.com/pw/AP1GczMQrr1E5Gj8Vl0MXfmW-1PSDXJvZgKMNBc8flqL0iYw-aoxQ1ouEdnYOzqjmrDXfqHOr9Sayr6Rqfi2xlLuRw-aH-5IPPAzJ7hkgCQ88nPANi1juUyt=w1200|https://lh3.googleusercontent.com/pw/AP1GczMAYseW_EiImCFl0U1znUQGzxnXSKB_KWwbMAHMeqtBvtmnauGDxkkKtA1yhDhHp87k3yw9yShhsaG4-bhozHdFQWzjWf4-s-kjyaMvVr6-Az5qvYvU=w1200|https://lh3.googleusercontent.com/pw/AP1GczOO2dWxHPXiGxlUMy7qMF-lLs2_SCougzH00_FCS69ZV_AUMSQFbMSjChzZ62cpu2sf5Nn4PYp2XAAKWNJ4esFYnRmdUpK1JaM0_KMK368TyFKYiKHy=w1200|https://lh3.googleusercontent.com/pw/AP1GczMskOIa6FNz-AFKMCAgs9wid9sDHEAFbfXJt6kdO5zHyWxq3OKpK-lGe_gplzeGjQPVwY5CBnJI-jmdoK8CpazwjVRgILRKA9_k1uxZcjtlYqabRkfb=w1200|https://lh3.googleusercontent.com/pw/AP1GczMi5PsvYbC6xFba37csn8s--Hx4kCS0A7aNScXZyZk92RTGNDoNwKrb1LN_t5AFoYlk9BLQoYGgOeB95uT1UcdUIW10SLtN2sSx79Jf00wzHEyeXZUr=w1200|https://lh3.googleusercontent.com/pw/AP1GczPiI6KbZunHpHs1OvgfdF_06OTRd95ttQ-Ff7zuT-DTYhiRe66hzIF1lAwADI5VS4nnnkJbr1iI7-NDC9pSOMbS4FSW8QIDhIm0xrovrPRA1Iu9UZDf=w1200|https://lh3.googleusercontent.com/pw/AP1GczPxuxoUUvRqeDG6ef3O5n4bXsYU8O1Lkmwqrx-9jDOgQ3_tPNj9NrOtb-qzQD5NYiMy2SGtfyHIYanL2JOlnLuqu8NxHwgaS61ltlrolMyUkJb1yhMq=w1200|https://lh3.googleusercontent.com/pw/AP1GczNRhIK1fW8Omm8BZ18IcYWzR9eh0M5j6QL62WC3_E-_shQoX2R3hG3pGyA9zAtnhFqu2ctqjJVSwgLoY9Fy4kLSHGWqmbGfFfBFjy0yGU-rOL1hcX4W=w1200|https://lh3.googleusercontent.com/pw/AP1GczPZgoNaxAeWnvewcrlMj0vb1jM-rS02IYOPsYdNN0pbkvCZXcL5ygMmg4AWNLylBfmZ9PU0xh0BwBEFOdTGZPBjdi7kTr7Ap1eHewt_vRwcuIpvsEcu=w1200|https://lh3.googleusercontent.com/pw/AP1GczOvq7ejBPC7rNb1Z8fE0nxWdfhismdv8iIEhwPduKGeZp7czB0zGvg6Dp4rDkTG54hc6u9ceHhI8JQ9mSgaF5QKk14LOf2Enuaixx0CqcV_W5ntTCm6=w1200|https://lh3.googleusercontent.com/pw/AP1GczOqC0eMZ2eY5U7j6qcdMTbsuc6lbjyV0633QUlEb_ePG6qibq4bgY-qEDk7CHBWTNy89Q3hOhwf4Ge6VMGAyEX35FTpWBcfSedsJtIeodr2ijq40KoO=w1200|https://lh3.googleusercontent.com/pw/AP1GczO3wbh0SdCarIbrndpG7GOoL5ZLvz2zjE-Ca8Z0vvH4zgtcKeFMZW9jn9gnCR3xDjKq75uU-ClQzYqbeNxi8zinzFieEXHucq842uCi4KgDox1wxymo=w1200|https://lh3.googleusercontent.com/pw/AP1GczOlTKMBV-0iRTQ7r8BBSzR_JkVwdOVr7Sf2nhya-_NE-AyHUShxkigoJAq0tAL4DdNYpnXTzpAF3gwh2hbYVNRBS6de_LCjkd0XOxNlWX6g_yS8qIEe=w1200|https://lh3.googleusercontent.com/pw/AP1GczOdpzSaI9msjLYslI5gI556ZZUmEjpuuxva3VzHffccmAuPEFcOVNVdf8OCn3nJq--xvCWG2zKP7uR3mMqoFlPWfiPmsMmSDdtPAs9eXrLE_QsHsFQn=w1200|https://lh3.googleusercontent.com/pw/AP1GczOA_l2a-0e5d6deT7vvKmSq2dtm95sFCWmIUSvh5BJI6w_jlqeV-N1fXBDYlscsNfK1M9ZOq19maA1WiYE7x8pMfZZ14ly8-8cRdPnXBFo_5axg4SyV=w1200|https://lh3.googleusercontent.com/pw/AP1GczPJjWjkT2HB_e4b7S0IN6XbWJ_9rkiobCw4IxRRR_Sw5EhOAYrNr_yqMUIw6fTrqkaHjP9k826Dp_qQBmphKMMN0aUBg6TBPWr4T5r0duustkXIeZht=w1200|https://lh3.googleusercontent.com/pw/AP1GczNrJIh7TQ_ip87BkYzU3rFaLHuJ-uNlGJqP4iCkhnlxBmeGQjjc2dyrM6zPG6O5_FYMASnLRy5SwpRO-hUpP6aWD4fNmt6yXIVdcZvPZzONTtkTcLJd=w1200|https://lh3.googleusercontent.com/pw/AP1GczNS5I_3HZ43U-9l5kwW1QtGWUH0smgx2w8AKba9N4sapbJolidtk9LgqrlGEggMjje8FsUnKlniiq9b810V0jwMAV4TkUQEdHj-YdQp0DndB1FRASSr=w1200|https://lh3.googleusercontent.com/pw/AP1GczO-w0memEmL6r_bONkfN8UBe5-YNxCFWOlKTS3DYHHS47hdT8m67uy-AllK3m6EHcoNQeMSrUAUMonYUaCPRHY-atROQ-0syj9h7D8CwsRLLqDyJX1f=w1200</v>
      </c>
      <c r="AJ43" s="46"/>
      <c r="AK43" s="46"/>
      <c r="AL43" s="46"/>
      <c r="AM43" s="46"/>
      <c r="AN43" s="46"/>
      <c r="AO43" s="46"/>
      <c r="AP43" s="46"/>
      <c r="AQ43" s="46"/>
      <c r="AR43" s="46"/>
      <c r="AS43" s="46"/>
      <c r="AT43" s="46"/>
      <c r="AU43" s="46"/>
      <c r="AV43" s="46"/>
      <c r="AW43" s="46"/>
      <c r="AX43" s="46"/>
      <c r="AY43" s="46"/>
      <c r="AZ43" s="46"/>
      <c r="BA43" s="46"/>
      <c r="BB43" s="46"/>
      <c r="BC43" s="46"/>
      <c r="BD43" s="46"/>
      <c r="BE43" s="46"/>
      <c r="BF43" s="46"/>
      <c r="BG43" s="46"/>
      <c r="BH43" s="46"/>
      <c r="BI43" s="46"/>
      <c r="BJ43" s="46"/>
      <c r="BK43" s="46"/>
      <c r="BL43" s="46"/>
      <c r="BM43" s="46"/>
      <c r="BN43" s="46"/>
      <c r="BO43" s="46"/>
      <c r="BP43" s="46"/>
      <c r="BQ43" s="46"/>
      <c r="BR43" s="46"/>
      <c r="BS43" s="46"/>
      <c r="BT43" s="46"/>
      <c r="BU43" s="46"/>
      <c r="BV43" s="46"/>
      <c r="BW43" s="46"/>
      <c r="BX43" s="46"/>
      <c r="BY43" s="46"/>
      <c r="BZ43" s="46"/>
      <c r="CA43" s="46"/>
      <c r="CB43" s="46"/>
      <c r="CC43" s="46"/>
    </row>
    <row r="44">
      <c r="A44" s="87" t="str">
        <f>IFERROR(__xludf.DUMMYFUNCTION("""COMPUTED_VALUE"""),"1800")</f>
        <v>1800</v>
      </c>
      <c r="B44" s="46" t="str">
        <f>IFERROR(__xludf.DUMMYFUNCTION("""COMPUTED_VALUE"""),"Casa en barrio La Gaitana - Oriente")</f>
        <v>Casa en barrio La Gaitana - Oriente</v>
      </c>
      <c r="C44" s="46" t="str">
        <f>IFERROR(__xludf.DUMMYFUNCTION("""COMPUTED_VALUE"""),"Casa")</f>
        <v>Casa</v>
      </c>
      <c r="D44" s="46" t="str">
        <f>IFERROR(__xludf.DUMMYFUNCTION("""COMPUTED_VALUE"""),"La Gaitana")</f>
        <v>La Gaitana</v>
      </c>
      <c r="E44" s="46"/>
      <c r="F44" s="90">
        <f>IFERROR(__xludf.DUMMYFUNCTION("""COMPUTED_VALUE"""),6.7E8)</f>
        <v>670000000</v>
      </c>
      <c r="G44" s="46" t="str">
        <f>IFERROR(__xludf.DUMMYFUNCTION("""COMPUTED_VALUE"""),"$500'000.000 a $1.000'000.000")</f>
        <v>$500'000.000 a $1.000'000.000</v>
      </c>
      <c r="H44" s="46"/>
      <c r="I44" s="46"/>
      <c r="J44" s="46" t="str">
        <f>IFERROR(__xludf.DUMMYFUNCTION("""COMPUTED_VALUE"""),"Oriente")</f>
        <v>Oriente</v>
      </c>
      <c r="K44" s="87" t="str">
        <f>IFERROR(__xludf.DUMMYFUNCTION("""COMPUTED_VALUE"""),"7")</f>
        <v>7</v>
      </c>
      <c r="L44" s="46">
        <f>IFERROR(__xludf.DUMMYFUNCTION("""COMPUTED_VALUE"""),4.0)</f>
        <v>4</v>
      </c>
      <c r="M44" s="46"/>
      <c r="N44" s="46">
        <f>IFERROR(__xludf.DUMMYFUNCTION("""COMPUTED_VALUE"""),3.0)</f>
        <v>3</v>
      </c>
      <c r="O44" s="46">
        <f>IFERROR(__xludf.DUMMYFUNCTION("""COMPUTED_VALUE"""),2.0)</f>
        <v>2</v>
      </c>
      <c r="P44" s="46">
        <f>IFERROR(__xludf.DUMMYFUNCTION("""COMPUTED_VALUE"""),2.0)</f>
        <v>2</v>
      </c>
      <c r="Q44" s="92">
        <f>IFERROR(__xludf.DUMMYFUNCTION("""COMPUTED_VALUE"""),161.0)</f>
        <v>161</v>
      </c>
      <c r="R44" s="92">
        <f>IFERROR(__xludf.DUMMYFUNCTION("""COMPUTED_VALUE"""),95.0)</f>
        <v>95</v>
      </c>
      <c r="S44" s="87" t="str">
        <f>IFERROR(__xludf.DUMMYFUNCTION("""COMPUTED_VALUE""")," ")</f>
        <v> </v>
      </c>
      <c r="T44" s="46" t="str">
        <f>IFERROR(__xludf.DUMMYFUNCTION("""COMPUTED_VALUE"""),"Neiva")</f>
        <v>Neiva</v>
      </c>
      <c r="U44" s="87" t="str">
        <f>IFERROR(__xludf.DUMMYFUNCTION("""COMPUTED_VALUE"""),"4")</f>
        <v>4</v>
      </c>
      <c r="V44" s="46" t="str">
        <f>IFERROR(__xludf.DUMMYFUNCTION("""COMPUTED_VALUE"""),"Esquinera")</f>
        <v>Esquinera</v>
      </c>
      <c r="W44" s="46"/>
      <c r="X44" s="46">
        <f>IFERROR(__xludf.DUMMYFUNCTION("""COMPUTED_VALUE"""),3.0)</f>
        <v>3</v>
      </c>
      <c r="Y44" s="46" t="str">
        <f>IFERROR(__xludf.DUMMYFUNCTION("""COMPUTED_VALUE"""),"No tiene")</f>
        <v>No tiene</v>
      </c>
      <c r="Z44" s="90"/>
      <c r="AA44" s="33" t="str">
        <f>IFERROR(__xludf.DUMMYFUNCTION("""COMPUTED_VALUE"""),"No aplica")</f>
        <v>No aplica</v>
      </c>
      <c r="AB44" s="96" t="str">
        <f>IFERROR(__xludf.DUMMYFUNCTION("""COMPUTED_VALUE"""),"https://photos.app.goo.gl/28r95BFi95kWrdew7")</f>
        <v>https://photos.app.goo.gl/28r95BFi95kWrdew7</v>
      </c>
      <c r="AC44" s="46" t="str">
        <f>IFERROR(__xludf.DUMMYFUNCTION("""COMPUTED_VALUE"""),"Distribución del inmueble: Primer Piso: Parqueadero techado y enrejado para 2 vehículo Sala amplia Comedor Cocina Integral. Zona de lavandería independiente y Patio Baño de Visitas1 habitación. Closets en habitación Estudio. Segundo Piso: Sala amplia 2 Ba"&amp;"ños 3 habitaciones. Closets en las 3 habitaciones Tercer Piso: Amplia Terraza y BBQ.")</f>
        <v>Distribución del inmueble: Primer Piso: Parqueadero techado y enrejado para 2 vehículo Sala amplia Comedor Cocina Integral. Zona de lavandería independiente y Patio Baño de Visitas1 habitación. Closets en habitación Estudio. Segundo Piso: Sala amplia 2 Baños 3 habitaciones. Closets en las 3 habitaciones Tercer Piso: Amplia Terraza y BBQ.</v>
      </c>
      <c r="AD44" s="46" t="str">
        <f>IFERROR(__xludf.DUMMYFUNCTION("""COMPUTED_VALUE"""),"Ubicada al Oriente de la ciudad, en una zona de gran accesibilidad y buena ubicación, esta excelente casa cuenta con 2 pisos y terraza en el tercer piso con BBQ, combina, comodidad, ventilación natural, muy buena iluminación y privacidad en un entorno tra"&amp;"nquilo. Estrato 4.")</f>
        <v>Ubicada al Oriente de la ciudad, en una zona de gran accesibilidad y buena ubicación, esta excelente casa cuenta con 2 pisos y terraza en el tercer piso con BBQ, combina, comodidad, ventilación natural, muy buena iluminación y privacidad en un entorno tranquilo. Estrato 4.</v>
      </c>
      <c r="AE44" s="46"/>
      <c r="AF44" s="46" t="str">
        <f>IFERROR(__xludf.DUMMYFUNCTION("""COMPUTED_VALUE"""),"integral")</f>
        <v>integral</v>
      </c>
      <c r="AG44" s="46"/>
      <c r="AH44" s="46" t="str">
        <f>IFERROR(__xludf.DUMMYFUNCTION("""COMPUTED_VALUE"""),"Aliado")</f>
        <v>Aliado</v>
      </c>
      <c r="AI44" s="92" t="str">
        <f>IFERROR(__xludf.DUMMYFUNCTION("""COMPUTED_VALUE"""),"https://lh3.googleusercontent.com/pw/AP1GczP14A8W_Wz3H72L6Fic1zVGUBl8JvqDBcm3rXPIULxi-o1XvyJ9zskLu3sUcfj4NWD5Ozm4ZBddoA28iAd_ecYp-nkkL53pX38TO9SSKnWUx-AAw1t9=w1200|https://lh3.googleusercontent.com/pw/AP1GczNuPsYtexuLjkK7viCUN4OTQRQ8kTbYWTQDFk-VUBdl9ZCppD"&amp;"7QFOqc7NpMmH53tUw1QH0neB7LyesX6B-Sp2lGI3kiJ9YQMtxbEwlLw_pF0MzcPrDu=w1200|https://lh3.googleusercontent.com/pw/AP1GczOSFtgg3apNYPCLZIfON2yeMm8lXhvrcaeWd4cmul2QLLvvcEHkSvLckK4h67ZDoWfjglws_BMgfvWXsKpO8DWuH-tuSAwlvZD774Nr_wNabZ69QEGf=w1200|https://lh3.google"&amp;"usercontent.com/pw/AP1GczN3QX0lGj7vLLCiO2gDUQCx7Zo_zGX9ICJonaCu0tJTRB37TTSzba4ryMKhg-WpuIlyKffocUhmfZU6Lp6jsOHQw71v-Qdv-K8Gj6T6oG4yYE-tv-nP=w1200|https://lh3.googleusercontent.com/pw/AP1GczNM6Y59pSxjRBjzDMcgmF9S2Vtc4lr8oVzc8QuvfL_Fz9KeYpk3cHTbrm1if79eXiPL"&amp;"RNjwHRHwIX1fCtexaX53bndQlrRHOVgwh7DF7yTr2CPZ-YUd=w1200|https://lh3.googleusercontent.com/pw/AP1GczO0I0tfvjGGW86lyRvl8IFcsekK-YCc-1JoE1l4CoCv31zbTaA0HzQmluGZ5xtWwJFP_IIDj4NVVF8N4Yr4qU7srkHYeV1SuVrgVyigsTBPt0Fg8jZO=w1200|https://lh3.googleusercontent.com/pw"&amp;"/AP1GczPVP5dZ87-ETI4w5LRBWv1DaiEy9n8FF3HJh1gRr2npeCpQxCaoV6jJvYDJW9wadrqqp1eLpKgHeYWzVpNgvZ0zFIwqWXPLH5ym24H12H_fW90FvowY=w1200|https://lh3.googleusercontent.com/pw/AP1GczM0784lxPCvAEUTItH3uHqk6aC9z0HPGjHGGoPGZBvdJMm2Eik0Rx9bKtKVdLWqiWs7vK7gmgsiPTaANo3SdJ"&amp;"l0qMHRx5ZpdEaywXr1bU-1zyyHeu0c=w1200|https://lh3.googleusercontent.com/pw/AP1GczNpeifNkvrZ-fuTZg6Pv7q4Ftrp3zWioCFc_6Xffwd7zR63HLa38PENV6N7GiCewWzlVy1WlhkY10pcBOP1Qen-z_wsL-Lbr1kHDNnohZOtOvWopi81=w1200|https://lh3.googleusercontent.com/pw/AP1GczORwTbuxaBez"&amp;"Y5w8p7Thpe2YHDjzBNfcBsstEHmYI39O3XwphP7Ur3KOkrWE-zvsPNDhmnDkOMoOLwPxyKJS8d3Ng6yZOG4_xGPl0z9908eUfcBk0P0=w1200|https://lh3.googleusercontent.com/pw/AP1GczMK-sG99RilCcW_t-PyEiQLUw9Y9X7YKF2j1H6vW4F3pCQuWvUF1J7PnibtehM_ZVeAAFfHtMF5pNJMxbI13YExhBqt5XVO8w0exdjT"&amp;"mwZOEO_nLJGG=w1200|https://lh3.googleusercontent.com/pw/AP1GczPuRouUL1rUeiKCUoCI_7UUGxmffion7RERowgNvddtbjhAcXBVCiPyISP7o9kZ4hB9i1vmOM54erMhU9m_8gEWwE2CH8eI2xaP43wBIIJIekHiNs5j=w1200|https://lh3.googleusercontent.com/pw/AP1GczMPv9zUNcZ-hzDODGdT6RrBnCLcLvU"&amp;"CmWtasJm0tb_ncmlO91Sy9q20HMRs4_UIKI2Wp6JWSFOBk02NnwdTpin9OLq9Kou01022Pos5AC6NWtQhMeVj=w1200|https://lh3.googleusercontent.com/pw/AP1GczPz1Rp6d8gXhhEBCDSRvUEbZoIvUbXuVo-BYuC-M9IkRsBpFM6KJMtR0kWL3Tq-e84FE3ZjOsQ1RYaeygqeLLzuML34eQFaNPpqT43IzfAl4mXY1hFA=w1200"&amp;"|https://lh3.googleusercontent.com/pw/AP1GczM49IClQ04w2NisgDwDIMNvppBMAFSUHz_YSlVg52knv9hFpyoVBONCpjTAdLwetwzLUNDYJ8-vsIJ4iQH-lUovd9IliKeqhcpbWeUGMdcptS2i8oFE=w1200|https://lh3.googleusercontent.com/pw/AP1GczNqbwJTS1Jh6CPWKtrXbZyG7EkqUlsePm_yoOvEmlR9vLGK8"&amp;"NLZGUUEAGs1jSo1GKsFgqcWtYjG3GwnhXFMfOqtO8GiY_Vy9b2n6WMyCcA9x55ByxO7=w1200|https://lh3.googleusercontent.com/pw/AP1GczMb6c5IP_ilJvgwWUBsvbxbznfDiW400rBRDMmzqTGYqTsIrbrnVGDyGcE0O_e4PA5Wt56_BHBcJKhullOmph6L6QdLkb2G7SbWxXet65XHoriH7JQm=w1200")</f>
        <v>https://lh3.googleusercontent.com/pw/AP1GczP14A8W_Wz3H72L6Fic1zVGUBl8JvqDBcm3rXPIULxi-o1XvyJ9zskLu3sUcfj4NWD5Ozm4ZBddoA28iAd_ecYp-nkkL53pX38TO9SSKnWUx-AAw1t9=w1200|https://lh3.googleusercontent.com/pw/AP1GczNuPsYtexuLjkK7viCUN4OTQRQ8kTbYWTQDFk-VUBdl9ZCppD7QFOqc7NpMmH53tUw1QH0neB7LyesX6B-Sp2lGI3kiJ9YQMtxbEwlLw_pF0MzcPrDu=w1200|https://lh3.googleusercontent.com/pw/AP1GczOSFtgg3apNYPCLZIfON2yeMm8lXhvrcaeWd4cmul2QLLvvcEHkSvLckK4h67ZDoWfjglws_BMgfvWXsKpO8DWuH-tuSAwlvZD774Nr_wNabZ69QEGf=w1200|https://lh3.googleusercontent.com/pw/AP1GczN3QX0lGj7vLLCiO2gDUQCx7Zo_zGX9ICJonaCu0tJTRB37TTSzba4ryMKhg-WpuIlyKffocUhmfZU6Lp6jsOHQw71v-Qdv-K8Gj6T6oG4yYE-tv-nP=w1200|https://lh3.googleusercontent.com/pw/AP1GczNM6Y59pSxjRBjzDMcgmF9S2Vtc4lr8oVzc8QuvfL_Fz9KeYpk3cHTbrm1if79eXiPLRNjwHRHwIX1fCtexaX53bndQlrRHOVgwh7DF7yTr2CPZ-YUd=w1200|https://lh3.googleusercontent.com/pw/AP1GczO0I0tfvjGGW86lyRvl8IFcsekK-YCc-1JoE1l4CoCv31zbTaA0HzQmluGZ5xtWwJFP_IIDj4NVVF8N4Yr4qU7srkHYeV1SuVrgVyigsTBPt0Fg8jZO=w1200|https://lh3.googleusercontent.com/pw/AP1GczPVP5dZ87-ETI4w5LRBWv1DaiEy9n8FF3HJh1gRr2npeCpQxCaoV6jJvYDJW9wadrqqp1eLpKgHeYWzVpNgvZ0zFIwqWXPLH5ym24H12H_fW90FvowY=w1200|https://lh3.googleusercontent.com/pw/AP1GczM0784lxPCvAEUTItH3uHqk6aC9z0HPGjHGGoPGZBvdJMm2Eik0Rx9bKtKVdLWqiWs7vK7gmgsiPTaANo3SdJl0qMHRx5ZpdEaywXr1bU-1zyyHeu0c=w1200|https://lh3.googleusercontent.com/pw/AP1GczNpeifNkvrZ-fuTZg6Pv7q4Ftrp3zWioCFc_6Xffwd7zR63HLa38PENV6N7GiCewWzlVy1WlhkY10pcBOP1Qen-z_wsL-Lbr1kHDNnohZOtOvWopi81=w1200|https://lh3.googleusercontent.com/pw/AP1GczORwTbuxaBezY5w8p7Thpe2YHDjzBNfcBsstEHmYI39O3XwphP7Ur3KOkrWE-zvsPNDhmnDkOMoOLwPxyKJS8d3Ng6yZOG4_xGPl0z9908eUfcBk0P0=w1200|https://lh3.googleusercontent.com/pw/AP1GczMK-sG99RilCcW_t-PyEiQLUw9Y9X7YKF2j1H6vW4F3pCQuWvUF1J7PnibtehM_ZVeAAFfHtMF5pNJMxbI13YExhBqt5XVO8w0exdjTmwZOEO_nLJGG=w1200|https://lh3.googleusercontent.com/pw/AP1GczPuRouUL1rUeiKCUoCI_7UUGxmffion7RERowgNvddtbjhAcXBVCiPyISP7o9kZ4hB9i1vmOM54erMhU9m_8gEWwE2CH8eI2xaP43wBIIJIekHiNs5j=w1200|https://lh3.googleusercontent.com/pw/AP1GczMPv9zUNcZ-hzDODGdT6RrBnCLcLvUCmWtasJm0tb_ncmlO91Sy9q20HMRs4_UIKI2Wp6JWSFOBk02NnwdTpin9OLq9Kou01022Pos5AC6NWtQhMeVj=w1200|https://lh3.googleusercontent.com/pw/AP1GczPz1Rp6d8gXhhEBCDSRvUEbZoIvUbXuVo-BYuC-M9IkRsBpFM6KJMtR0kWL3Tq-e84FE3ZjOsQ1RYaeygqeLLzuML34eQFaNPpqT43IzfAl4mXY1hFA=w1200|https://lh3.googleusercontent.com/pw/AP1GczM49IClQ04w2NisgDwDIMNvppBMAFSUHz_YSlVg52knv9hFpyoVBONCpjTAdLwetwzLUNDYJ8-vsIJ4iQH-lUovd9IliKeqhcpbWeUGMdcptS2i8oFE=w1200|https://lh3.googleusercontent.com/pw/AP1GczNqbwJTS1Jh6CPWKtrXbZyG7EkqUlsePm_yoOvEmlR9vLGK8NLZGUUEAGs1jSo1GKsFgqcWtYjG3GwnhXFMfOqtO8GiY_Vy9b2n6WMyCcA9x55ByxO7=w1200|https://lh3.googleusercontent.com/pw/AP1GczMb6c5IP_ilJvgwWUBsvbxbznfDiW400rBRDMmzqTGYqTsIrbrnVGDyGcE0O_e4PA5Wt56_BHBcJKhullOmph6L6QdLkb2G7SbWxXet65XHoriH7JQm=w1200</v>
      </c>
      <c r="AJ44" s="46"/>
      <c r="AK44" s="46"/>
      <c r="AL44" s="46"/>
      <c r="AM44" s="46"/>
      <c r="AN44" s="46"/>
      <c r="AO44" s="46"/>
      <c r="AP44" s="46"/>
      <c r="AQ44" s="46"/>
      <c r="AR44" s="46"/>
      <c r="AS44" s="46"/>
      <c r="AT44" s="46"/>
      <c r="AU44" s="46"/>
      <c r="AV44" s="46"/>
      <c r="AW44" s="46"/>
      <c r="AX44" s="46"/>
      <c r="AY44" s="46"/>
      <c r="AZ44" s="46"/>
      <c r="BA44" s="46"/>
      <c r="BB44" s="46"/>
      <c r="BC44" s="46"/>
      <c r="BD44" s="46"/>
      <c r="BE44" s="46"/>
      <c r="BF44" s="46"/>
      <c r="BG44" s="46"/>
      <c r="BH44" s="46"/>
      <c r="BI44" s="46"/>
      <c r="BJ44" s="46"/>
      <c r="BK44" s="46"/>
      <c r="BL44" s="46"/>
      <c r="BM44" s="46"/>
      <c r="BN44" s="46"/>
      <c r="BO44" s="46"/>
      <c r="BP44" s="46"/>
      <c r="BQ44" s="46"/>
      <c r="BR44" s="46"/>
      <c r="BS44" s="46"/>
      <c r="BT44" s="46"/>
      <c r="BU44" s="46"/>
      <c r="BV44" s="46"/>
      <c r="BW44" s="46"/>
      <c r="BX44" s="46"/>
      <c r="BY44" s="46"/>
      <c r="BZ44" s="46"/>
      <c r="CA44" s="46"/>
      <c r="CB44" s="46"/>
      <c r="CC44" s="46"/>
    </row>
    <row r="45">
      <c r="A45" s="87" t="str">
        <f>IFERROR(__xludf.DUMMYFUNCTION("""COMPUTED_VALUE"""),"935")</f>
        <v>935</v>
      </c>
      <c r="B45" s="46" t="str">
        <f>IFERROR(__xludf.DUMMYFUNCTION("""COMPUTED_VALUE"""),"Edificio de 6 apartamentos en barrio Cándido")</f>
        <v>Edificio de 6 apartamentos en barrio Cándido</v>
      </c>
      <c r="C45" s="46" t="str">
        <f>IFERROR(__xludf.DUMMYFUNCTION("""COMPUTED_VALUE"""),"Edificio rentable")</f>
        <v>Edificio rentable</v>
      </c>
      <c r="D45" s="46" t="str">
        <f>IFERROR(__xludf.DUMMYFUNCTION("""COMPUTED_VALUE"""),"Cándido Leguizamo")</f>
        <v>Cándido Leguizamo</v>
      </c>
      <c r="E45" s="46"/>
      <c r="F45" s="90">
        <f>IFERROR(__xludf.DUMMYFUNCTION("""COMPUTED_VALUE"""),6.5E8)</f>
        <v>650000000</v>
      </c>
      <c r="G45" s="46" t="str">
        <f>IFERROR(__xludf.DUMMYFUNCTION("""COMPUTED_VALUE"""),"$500'000.000 a $1.000'000.000")</f>
        <v>$500'000.000 a $1.000'000.000</v>
      </c>
      <c r="H45" s="46"/>
      <c r="I45" s="46"/>
      <c r="J45" s="46" t="str">
        <f>IFERROR(__xludf.DUMMYFUNCTION("""COMPUTED_VALUE"""),"Norte")</f>
        <v>Norte</v>
      </c>
      <c r="K45" s="87" t="str">
        <f>IFERROR(__xludf.DUMMYFUNCTION("""COMPUTED_VALUE"""),"1")</f>
        <v>1</v>
      </c>
      <c r="L45" s="46">
        <f>IFERROR(__xludf.DUMMYFUNCTION("""COMPUTED_VALUE"""),12.0)</f>
        <v>12</v>
      </c>
      <c r="M45" s="46"/>
      <c r="N45" s="46">
        <f>IFERROR(__xludf.DUMMYFUNCTION("""COMPUTED_VALUE"""),6.0)</f>
        <v>6</v>
      </c>
      <c r="O45" s="46">
        <f>IFERROR(__xludf.DUMMYFUNCTION("""COMPUTED_VALUE"""),0.0)</f>
        <v>0</v>
      </c>
      <c r="P45" s="46">
        <f>IFERROR(__xludf.DUMMYFUNCTION("""COMPUTED_VALUE"""),3.0)</f>
        <v>3</v>
      </c>
      <c r="Q45" s="92">
        <f>IFERROR(__xludf.DUMMYFUNCTION("""COMPUTED_VALUE"""),0.0)</f>
        <v>0</v>
      </c>
      <c r="R45" s="92">
        <f>IFERROR(__xludf.DUMMYFUNCTION("""COMPUTED_VALUE"""),178.0)</f>
        <v>178</v>
      </c>
      <c r="S45" s="87" t="str">
        <f>IFERROR(__xludf.DUMMYFUNCTION("""COMPUTED_VALUE""")," ")</f>
        <v> </v>
      </c>
      <c r="T45" s="46" t="str">
        <f>IFERROR(__xludf.DUMMYFUNCTION("""COMPUTED_VALUE"""),"Neiva")</f>
        <v>Neiva</v>
      </c>
      <c r="U45" s="87" t="str">
        <f>IFERROR(__xludf.DUMMYFUNCTION("""COMPUTED_VALUE"""),"2")</f>
        <v>2</v>
      </c>
      <c r="V45" s="46" t="str">
        <f>IFERROR(__xludf.DUMMYFUNCTION("""COMPUTED_VALUE"""),"Esquinera")</f>
        <v>Esquinera</v>
      </c>
      <c r="W45" s="46"/>
      <c r="X45" s="46">
        <f>IFERROR(__xludf.DUMMYFUNCTION("""COMPUTED_VALUE"""),0.0)</f>
        <v>0</v>
      </c>
      <c r="Y45" s="46" t="str">
        <f>IFERROR(__xludf.DUMMYFUNCTION("""COMPUTED_VALUE"""),"No tiene")</f>
        <v>No tiene</v>
      </c>
      <c r="Z45" s="90" t="str">
        <f>IFERROR(__xludf.DUMMYFUNCTION("""COMPUTED_VALUE"""),"No aplica")</f>
        <v>No aplica</v>
      </c>
      <c r="AA45" s="33" t="str">
        <f>IFERROR(__xludf.DUMMYFUNCTION("""COMPUTED_VALUE"""),"No aplica")</f>
        <v>No aplica</v>
      </c>
      <c r="AB45" s="144" t="str">
        <f>IFERROR(__xludf.DUMMYFUNCTION("""COMPUTED_VALUE"""),"https://photos.app.goo.gl/tGEhZ2E57tK96mKg9")</f>
        <v>https://photos.app.goo.gl/tGEhZ2E57tK96mKg9</v>
      </c>
      <c r="AC45" s="46" t="str">
        <f>IFERROR(__xludf.DUMMYFUNCTION("""COMPUTED_VALUE"""),"Se vende Edificio de apartamentos, excelente ubicación, 2 apartamentos por piso, pisos en porcelanato, acabados en madera, Cada Apartamento constan de 2 habitaciones, sala comedor, cocina integral, zona de lavandería, baño, servicios independientes, tiene"&amp;" bases para construir otro apartamento si así se desea.")</f>
        <v>Se vende Edificio de apartamentos, excelente ubicación, 2 apartamentos por piso, pisos en porcelanato, acabados en madera, Cada Apartamento constan de 2 habitaciones, sala comedor, cocina integral, zona de lavandería, baño, servicios independientes, tiene bases para construir otro apartamento si así se desea.</v>
      </c>
      <c r="AD45" s="46"/>
      <c r="AE45" s="46"/>
      <c r="AF45" s="46" t="str">
        <f>IFERROR(__xludf.DUMMYFUNCTION("""COMPUTED_VALUE"""),"integral")</f>
        <v>integral</v>
      </c>
      <c r="AG45" s="46"/>
      <c r="AH45" s="46" t="str">
        <f>IFERROR(__xludf.DUMMYFUNCTION("""COMPUTED_VALUE"""),"Aliado")</f>
        <v>Aliado</v>
      </c>
      <c r="AI45" s="92" t="str">
        <f>IFERROR(__xludf.DUMMYFUNCTION("""COMPUTED_VALUE"""),"https://lh3.googleusercontent.com/pw/AP1GczPl6exDm87Ae44gHgZ1cfbVmIapJoDDVN0P8llGkeYgN36OdIauFNrx0Uy5uCe72jAdQy60vLkkjozv8IUd0DxSOUYPdXNjI63l1Xo6VUBEFlvpff1q=w1200|https://lh3.googleusercontent.com/pw/AP1GczOvCrCnE9k_QgmsTJInJeGqtzaSHANy93qoz-0i1-O3BU6arF"&amp;"kESSLtvdy6flvQYZm8vu8geBznVT46hfHt3xKRcTGO3pV5DRBjECUs9trOKmCpcwT9=w1200|https://lh3.googleusercontent.com/pw/AP1GczPDGOuNZ8EuNuA-lrTm7cByHJiGQi96FvSRz8mIAlImB3lcq8j1So4wQ5GfzztCSof6el76XVexeVEDJEkySygmQEA9CuNuhtOM61l8cjfC7w3c-YYL=w1200|https://lh3.google"&amp;"usercontent.com/pw/AP1GczPXTacAmR7pVPn7qxx3Y2DEAUD4piqbC6XMHHwouMEQkfSyuWNSoWmpCQrvjEFl8cKoGvDXyb0gp9CZ5MaMuiWt_0wgSdZ2H-wIMySYdm28eg_rlvMF=w1200|https://lh3.googleusercontent.com/pw/AP1GczPvR2IBzahWarrldlL6qXfWK4L3Cby_ZTXiJCQLUMKtnnAk6KTnwuw3LU5BBEMEgjdr"&amp;"ZHr6EDyuD7LRGlE3fNBLO4qNbsQXRyQSnaQDjjO0wPpETiuc=w1200|https://lh3.googleusercontent.com/pw/AP1GczOSVgXXGLsKAX-PQRmGjjCSmRrR58_rEZz_qNjq2mN0SsuVBP1W0Vo-sAyRk2tCvDvbsoB_GdcP78wD2Bm4hrvlEBbwd-1O99P4ra8Af6va_lvBjPms=w1200|https://lh3.googleusercontent.com/pw"&amp;"/AP1GczMCuFUPerlRNsOSzMPcmLzm-ywqRlHkY3CblkPM1VujdqBREsPgqKQT-5BHZRXWVK4cY9o0R70S7cchdDcrr8zOE_K3iRhiB1ujksyaXSQO9ISA8-IR=w1200|https://lh3.googleusercontent.com/pw/AP1GczOx4NUipXHG2Vc61-e4VfK-e89cBFEb4NFst5k51W-u2XhWTSu7ahem-x1rlmrfevt2SB8NTo7cgBUbnFxEoY"&amp;"_NLvzjj_ZOHl_hrIUbf_ZGaEN6HvJh=w1200|https://lh3.googleusercontent.com/pw/AP1GczNROysO4oIf4b4BxxSWtfQFfQXg03ZA_OnKjqaHWqZ13ncI3Tytx9JNquqZUuLTe757clwE0Q0ElQJXSGK7-ul1bkpC6gW6MyiXwBD-QbJxdlCcTzFv=w1200|https://lh3.googleusercontent.com/pw/AP1GczOPfp3oEPeT2"&amp;"gjdr6BRj4aDNzeEO_SbXrrgUF0bYJsSPOBxvImXb9CPC4EnRYlvUzfZvCOYzDbwM6WGLDI5ey1ZgDCv3vv0i82fq-pgrLk_S_GCbay2=w1200|https://lh3.googleusercontent.com/pw/AP1GczNGWqgqqDcugErW4U90M8iIJ_YvLpPACAWQ0AOOfSxIsRf8xJPu6HUWhuQJsAmoTFZfLxujJW2L4rfSzNJvvV8vYv28szP7j9HXAEQP"&amp;"Np08GFOuNaaG=w1200|https://lh3.googleusercontent.com/pw/AP1GczN-JIlyop59ATyg5fzv5ImNCTIX30CPXskWlJ-W6S6HikTQgccYWGZlN7RVoFzVHz271xnTI2xb3xgKMuxtGgrnsdCyasSdVlE9KnxXCc9wkq1XGUhX=w1200")</f>
        <v>https://lh3.googleusercontent.com/pw/AP1GczPl6exDm87Ae44gHgZ1cfbVmIapJoDDVN0P8llGkeYgN36OdIauFNrx0Uy5uCe72jAdQy60vLkkjozv8IUd0DxSOUYPdXNjI63l1Xo6VUBEFlvpff1q=w1200|https://lh3.googleusercontent.com/pw/AP1GczOvCrCnE9k_QgmsTJInJeGqtzaSHANy93qoz-0i1-O3BU6arFkESSLtvdy6flvQYZm8vu8geBznVT46hfHt3xKRcTGO3pV5DRBjECUs9trOKmCpcwT9=w1200|https://lh3.googleusercontent.com/pw/AP1GczPDGOuNZ8EuNuA-lrTm7cByHJiGQi96FvSRz8mIAlImB3lcq8j1So4wQ5GfzztCSof6el76XVexeVEDJEkySygmQEA9CuNuhtOM61l8cjfC7w3c-YYL=w1200|https://lh3.googleusercontent.com/pw/AP1GczPXTacAmR7pVPn7qxx3Y2DEAUD4piqbC6XMHHwouMEQkfSyuWNSoWmpCQrvjEFl8cKoGvDXyb0gp9CZ5MaMuiWt_0wgSdZ2H-wIMySYdm28eg_rlvMF=w1200|https://lh3.googleusercontent.com/pw/AP1GczPvR2IBzahWarrldlL6qXfWK4L3Cby_ZTXiJCQLUMKtnnAk6KTnwuw3LU5BBEMEgjdrZHr6EDyuD7LRGlE3fNBLO4qNbsQXRyQSnaQDjjO0wPpETiuc=w1200|https://lh3.googleusercontent.com/pw/AP1GczOSVgXXGLsKAX-PQRmGjjCSmRrR58_rEZz_qNjq2mN0SsuVBP1W0Vo-sAyRk2tCvDvbsoB_GdcP78wD2Bm4hrvlEBbwd-1O99P4ra8Af6va_lvBjPms=w1200|https://lh3.googleusercontent.com/pw/AP1GczMCuFUPerlRNsOSzMPcmLzm-ywqRlHkY3CblkPM1VujdqBREsPgqKQT-5BHZRXWVK4cY9o0R70S7cchdDcrr8zOE_K3iRhiB1ujksyaXSQO9ISA8-IR=w1200|https://lh3.googleusercontent.com/pw/AP1GczOx4NUipXHG2Vc61-e4VfK-e89cBFEb4NFst5k51W-u2XhWTSu7ahem-x1rlmrfevt2SB8NTo7cgBUbnFxEoY_NLvzjj_ZOHl_hrIUbf_ZGaEN6HvJh=w1200|https://lh3.googleusercontent.com/pw/AP1GczNROysO4oIf4b4BxxSWtfQFfQXg03ZA_OnKjqaHWqZ13ncI3Tytx9JNquqZUuLTe757clwE0Q0ElQJXSGK7-ul1bkpC6gW6MyiXwBD-QbJxdlCcTzFv=w1200|https://lh3.googleusercontent.com/pw/AP1GczOPfp3oEPeT2gjdr6BRj4aDNzeEO_SbXrrgUF0bYJsSPOBxvImXb9CPC4EnRYlvUzfZvCOYzDbwM6WGLDI5ey1ZgDCv3vv0i82fq-pgrLk_S_GCbay2=w1200|https://lh3.googleusercontent.com/pw/AP1GczNGWqgqqDcugErW4U90M8iIJ_YvLpPACAWQ0AOOfSxIsRf8xJPu6HUWhuQJsAmoTFZfLxujJW2L4rfSzNJvvV8vYv28szP7j9HXAEQPNp08GFOuNaaG=w1200|https://lh3.googleusercontent.com/pw/AP1GczN-JIlyop59ATyg5fzv5ImNCTIX30CPXskWlJ-W6S6HikTQgccYWGZlN7RVoFzVHz271xnTI2xb3xgKMuxtGgrnsdCyasSdVlE9KnxXCc9wkq1XGUhX=w1200</v>
      </c>
      <c r="AJ45" s="46"/>
      <c r="AK45" s="46"/>
      <c r="AL45" s="46"/>
      <c r="AM45" s="46"/>
      <c r="AN45" s="46"/>
      <c r="AO45" s="46"/>
      <c r="AP45" s="46"/>
      <c r="AQ45" s="46"/>
      <c r="AR45" s="46"/>
      <c r="AS45" s="46"/>
      <c r="AT45" s="46"/>
      <c r="AU45" s="46"/>
      <c r="AV45" s="46"/>
      <c r="AW45" s="46"/>
      <c r="AX45" s="46"/>
      <c r="AY45" s="46"/>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row>
    <row r="46">
      <c r="A46" s="87" t="str">
        <f>IFERROR(__xludf.DUMMYFUNCTION("""COMPUTED_VALUE"""),"1778")</f>
        <v>1778</v>
      </c>
      <c r="B46" s="46" t="str">
        <f>IFERROR(__xludf.DUMMYFUNCTION("""COMPUTED_VALUE"""),"Apartamento en condominio Bellavista - Oriente")</f>
        <v>Apartamento en condominio Bellavista - Oriente</v>
      </c>
      <c r="C46" s="46" t="str">
        <f>IFERROR(__xludf.DUMMYFUNCTION("""COMPUTED_VALUE"""),"Apartamento en conjunto")</f>
        <v>Apartamento en conjunto</v>
      </c>
      <c r="D46" s="46" t="str">
        <f>IFERROR(__xludf.DUMMYFUNCTION("""COMPUTED_VALUE"""),"La Gaitana")</f>
        <v>La Gaitana</v>
      </c>
      <c r="E46" s="46" t="str">
        <f>IFERROR(__xludf.DUMMYFUNCTION("""COMPUTED_VALUE"""),"Bellavista")</f>
        <v>Bellavista</v>
      </c>
      <c r="F46" s="90">
        <f>IFERROR(__xludf.DUMMYFUNCTION("""COMPUTED_VALUE"""),6.5E8)</f>
        <v>650000000</v>
      </c>
      <c r="G46" s="46" t="str">
        <f>IFERROR(__xludf.DUMMYFUNCTION("""COMPUTED_VALUE"""),"$500'000.000 a $1.000'000.000")</f>
        <v>$500'000.000 a $1.000'000.000</v>
      </c>
      <c r="H46" s="46"/>
      <c r="I46" s="46"/>
      <c r="J46" s="46" t="str">
        <f>IFERROR(__xludf.DUMMYFUNCTION("""COMPUTED_VALUE"""),"Oriente")</f>
        <v>Oriente</v>
      </c>
      <c r="K46" s="87" t="str">
        <f>IFERROR(__xludf.DUMMYFUNCTION("""COMPUTED_VALUE"""),"7")</f>
        <v>7</v>
      </c>
      <c r="L46" s="46">
        <f>IFERROR(__xludf.DUMMYFUNCTION("""COMPUTED_VALUE"""),3.0)</f>
        <v>3</v>
      </c>
      <c r="M46" s="46"/>
      <c r="N46" s="46">
        <f>IFERROR(__xludf.DUMMYFUNCTION("""COMPUTED_VALUE"""),3.0)</f>
        <v>3</v>
      </c>
      <c r="O46" s="46">
        <f>IFERROR(__xludf.DUMMYFUNCTION("""COMPUTED_VALUE"""),2.0)</f>
        <v>2</v>
      </c>
      <c r="P46" s="46">
        <f>IFERROR(__xludf.DUMMYFUNCTION("""COMPUTED_VALUE"""),2.0)</f>
        <v>2</v>
      </c>
      <c r="Q46" s="92">
        <f>IFERROR(__xludf.DUMMYFUNCTION("""COMPUTED_VALUE"""),155.0)</f>
        <v>155</v>
      </c>
      <c r="R46" s="92">
        <f>IFERROR(__xludf.DUMMYFUNCTION("""COMPUTED_VALUE"""),155.0)</f>
        <v>155</v>
      </c>
      <c r="S46" s="87" t="str">
        <f>IFERROR(__xludf.DUMMYFUNCTION("""COMPUTED_VALUE""")," ")</f>
        <v> </v>
      </c>
      <c r="T46" s="46" t="str">
        <f>IFERROR(__xludf.DUMMYFUNCTION("""COMPUTED_VALUE"""),"Neiva")</f>
        <v>Neiva</v>
      </c>
      <c r="U46" s="87" t="str">
        <f>IFERROR(__xludf.DUMMYFUNCTION("""COMPUTED_VALUE"""),"4")</f>
        <v>4</v>
      </c>
      <c r="V46" s="46" t="str">
        <f>IFERROR(__xludf.DUMMYFUNCTION("""COMPUTED_VALUE"""),"2do.")</f>
        <v>2do.</v>
      </c>
      <c r="W46" s="46"/>
      <c r="X46" s="46">
        <f>IFERROR(__xludf.DUMMYFUNCTION("""COMPUTED_VALUE"""),3.0)</f>
        <v>3</v>
      </c>
      <c r="Y46" s="46" t="str">
        <f>IFERROR(__xludf.DUMMYFUNCTION("""COMPUTED_VALUE"""),"Social")</f>
        <v>Social</v>
      </c>
      <c r="Z46" s="90"/>
      <c r="AA46" s="33" t="str">
        <f>IFERROR(__xludf.DUMMYFUNCTION("""COMPUTED_VALUE"""),"No aplica")</f>
        <v>No aplica</v>
      </c>
      <c r="AB46" s="96" t="str">
        <f>IFERROR(__xludf.DUMMYFUNCTION("""COMPUTED_VALUE"""),"https://photos.app.goo.gl/Nisg4Mnh6UHJigyi6")</f>
        <v>https://photos.app.goo.gl/Nisg4Mnh6UHJigyi6</v>
      </c>
      <c r="AC46" s="46" t="str">
        <f>IFERROR(__xludf.DUMMYFUNCTION("""COMPUTED_VALUE"""),"Área de 155.0 m², ubicado en segundo piso con vista hacia el oriente, ideal para disfrutar de luz natural y agradables amaneceres. Sala–comedor amplio con balcón y excelente iluminación natural. Cocina integral moderna Zona de lavandería independiente. Cu"&amp;"arto de servicio con baño privado Sala de estar o estudio, perfecta para home office 3 habitaciones, todas con clóset Baño auxiliar Habitación principal con baño privado.")</f>
        <v>Área de 155.0 m², ubicado en segundo piso con vista hacia el oriente, ideal para disfrutar de luz natural y agradables amaneceres. Sala–comedor amplio con balcón y excelente iluminación natural. Cocina integral moderna Zona de lavandería independiente. Cuarto de servicio con baño privado Sala de estar o estudio, perfecta para home office 3 habitaciones, todas con clóset Baño auxiliar Habitación principal con baño privado.</v>
      </c>
      <c r="AD46" s="46" t="str">
        <f>IFERROR(__xludf.DUMMYFUNCTION("""COMPUTED_VALUE"""),"Apartamento de lujo recién remodelado. Condominio Bellavista – Barrio La Gaitana Vive el confort y la exclusividad en este espectacular apartamento. Cuenta con 2 parqueaderos. Depósito Zonas comunes premium: Portería y vigilancia 24/7 Piscina Sauna, jacuz"&amp;"zi y baño turco Salón social Un inmueble que lo tiene todo: lujo, comodidad y excelente ubicación.")</f>
        <v>Apartamento de lujo recién remodelado. Condominio Bellavista – Barrio La Gaitana Vive el confort y la exclusividad en este espectacular apartamento. Cuenta con 2 parqueaderos. Depósito Zonas comunes premium: Portería y vigilancia 24/7 Piscina Sauna, jacuzzi y baño turco Salón social Un inmueble que lo tiene todo: lujo, comodidad y excelente ubicación.</v>
      </c>
      <c r="AE46" s="46"/>
      <c r="AF46" s="46" t="str">
        <f>IFERROR(__xludf.DUMMYFUNCTION("""COMPUTED_VALUE"""),"integral")</f>
        <v>integral</v>
      </c>
      <c r="AG46" s="46"/>
      <c r="AH46" s="46" t="str">
        <f>IFERROR(__xludf.DUMMYFUNCTION("""COMPUTED_VALUE"""),"Aliado")</f>
        <v>Aliado</v>
      </c>
      <c r="AI46" s="92" t="str">
        <f>IFERROR(__xludf.DUMMYFUNCTION("""COMPUTED_VALUE"""),"https://lh3.googleusercontent.com/pw/AP1GczMIBRiRYSoLlV70h7zUpV3XjL3VGYWehgeZviWg7zjgYcSdvezzZdjILQQmSI95DL_YiqJ6zGM1bGjdDByywxJA6YaxwNXIUHGX9g8mhhyC8XXgv6iI=w1200|https://lh3.googleusercontent.com/pw/AP1GczOIRdpsh4VWmEcRPFZZB65Ii-vlmlDMH24Y1jbYtR3HXEY4oG"&amp;"UJMbp-vQv1aV3YgpE4z5gtff-qGsuPybCF5IOniF3mWjUPLFaZ10iBelkzaIex7rod=w1200|https://lh3.googleusercontent.com/pw/AP1GczPvodOkejcGd9SBKeSvysPhFPyITx_1mfeklHZmFMlASkT2R1HFQsyn3RadrP9ISyeuBdAV3uHMkdeLuZIUvy0cTgs3saoiqM4alTrN7oWeYwjlDf9s=w1200|https://lh3.google"&amp;"usercontent.com/pw/AP1GczN_toxKrMCkzj5dUcsJMkhLsEAhxsEf81OMW-V5awg1E_C9-qMn6BTzY7kGM5hnSuRoXPU44JqvDYzEd_7tA0G4jPV6JLnPXrg3vAPGbU4E7ZaaQCC0=w1200|https://lh3.googleusercontent.com/pw/AP1GczM_Cn1qzQ6yMfXIPIqNVT_N77mYJJv5mn7BNNPeOHZXqp9N0LfdaAuZ0Ub2gMf3-3DS"&amp;"FkNRxp8WOscrAIQj9dLMFcpm1ZuV6lj0lwpfIRZl2PGAarn-=w1200|https://lh3.googleusercontent.com/pw/AP1GczOND8uga_QzfxG4E6Z8T67K3IsO0-64S4qlA-9SNH-Szr_mMEMF3V1LpmwvlZsO8vu3NJc3NvEKhSAp-5vgAl2Jl1iL8_apr1Hl7OLTGMk1G0N5NIhD=w1200|https://lh3.googleusercontent.com/pw"&amp;"/AP1GczOMMuvvKbaIb5b9B8N9-Mv1xymKj441siJch6mT-fI25RVzU7QhqNnsl4j_bM0sZvbAcbAAHM04DMYaPbhFn_3L1R4cLicqDHvxWin4r0pT5z3-07Sk=w1200|https://lh3.googleusercontent.com/pw/AP1GczMjkp1KwhAAATxO3_ZDKT095U4k-Y3s7fdB-GWj9M2h318m--tKQfFWVqi9yY6d856OR3EbqLgZI937I79ymL"&amp;"QnpIpBG2PRz178rlv749apaSQzkB6R=w1200|https://lh3.googleusercontent.com/pw/AP1GczOd5J3FJ7MBHKvKeVEkQKsgza8LnLsKBEAL-iTfVZq8u3YD2osndj1Ilh0Br0vEk8o4bOIkTKsLOKiAkOcFPNOLkW3H6kjsbum0EuxxYST-pcr_6dBD=w1200|https://lh3.googleusercontent.com/pw/AP1GczPhPzLi_uvuy"&amp;"fYLVcvx1OBp6pyRjr2TnDV2n3ZgK4WEtuH6fc2VbSgTP5yWvPF1WJQ2sruUIEjasQTwHigwaDJKc-KzV-7wSq37pMLLZcXP6B1TV-28=w1200|https://lh3.googleusercontent.com/pw/AP1GczPu2pCeIMhJbxVBvsQW1nJbthiQl_4iMeJ18qt-uORPnFXM9sBgtjUxuKRD6000NtRPgNcKxy-ZVLTbepsiYaYWIFAHAwNAPH-c9364"&amp;"j-9uJfq9C8db=w1200|https://lh3.googleusercontent.com/pw/AP1GczPTFofD2s_PoKngmna-NIBISt4X0rrwm7i10D1PZVyy3Gmjx-WzVsavJjpYhN_Q1-futw3UfNXCCncly3jsLYjpPD8xws_GmOO4UKMaNIsLxv9_irLG=w1200|https://lh3.googleusercontent.com/pw/AP1GczOw8aGNXZ3_2ZZyGAHdlUPTf9HfNZ9"&amp;"PLntwxUXie92-CflrLn4bK1dW_V16TlYPMX73LyM5ribcD3yi2WfuoN3dCX5EuvtikITu4cNE5MxC6YZZIrWt=w1200|https://lh3.googleusercontent.com/pw/AP1GczPIj1UVMf9iErWXpzzko0RY7ZrVkvIpqe7ps6Pm9ze_qw-fTHq5QHWx6YNSip9AfV92IqOCeQGZC_cTGdg1lXkmgnm3-jpdZX2q3njXqbfJ3xNLFQ_y=w1200"&amp;"|https://lh3.googleusercontent.com/pw/AP1GczM4MTdOMjVT6abaveN8k2XR4b-fNcMBusmeodsW9H6fWIyhWV7NlOYdr-TLzCFksm-6ERg0bvYZy31c6vtq7xBtT0ZaKC5sayfep11xtnk4plJxR8Wv=w1200|https://lh3.googleusercontent.com/pw/AP1GczMh9fTlm4cDAN6iJsDn0mvW77mDQig26IK2q50VmlyTfuksU"&amp;"rqEnNGlZ3UUVJlUI16W8zt1KdwH9NoUSnbSKWU5orKMuJKY6OLs7MSSLOz2SDcIZmwF=w1200|https://lh3.googleusercontent.com/pw/AP1GczPHPS3DesrjBuPkeq3jRqc5CKFij5XSToKcOLKsizXyX2I0qgMhKHlmglhELe8gTbSSE6ceAyDuQ9IM2GEkq51fhDnAAeujqpmk0YAfskxINaOtfmiW=w1200")</f>
        <v>https://lh3.googleusercontent.com/pw/AP1GczMIBRiRYSoLlV70h7zUpV3XjL3VGYWehgeZviWg7zjgYcSdvezzZdjILQQmSI95DL_YiqJ6zGM1bGjdDByywxJA6YaxwNXIUHGX9g8mhhyC8XXgv6iI=w1200|https://lh3.googleusercontent.com/pw/AP1GczOIRdpsh4VWmEcRPFZZB65Ii-vlmlDMH24Y1jbYtR3HXEY4oGUJMbp-vQv1aV3YgpE4z5gtff-qGsuPybCF5IOniF3mWjUPLFaZ10iBelkzaIex7rod=w1200|https://lh3.googleusercontent.com/pw/AP1GczPvodOkejcGd9SBKeSvysPhFPyITx_1mfeklHZmFMlASkT2R1HFQsyn3RadrP9ISyeuBdAV3uHMkdeLuZIUvy0cTgs3saoiqM4alTrN7oWeYwjlDf9s=w1200|https://lh3.googleusercontent.com/pw/AP1GczN_toxKrMCkzj5dUcsJMkhLsEAhxsEf81OMW-V5awg1E_C9-qMn6BTzY7kGM5hnSuRoXPU44JqvDYzEd_7tA0G4jPV6JLnPXrg3vAPGbU4E7ZaaQCC0=w1200|https://lh3.googleusercontent.com/pw/AP1GczM_Cn1qzQ6yMfXIPIqNVT_N77mYJJv5mn7BNNPeOHZXqp9N0LfdaAuZ0Ub2gMf3-3DSFkNRxp8WOscrAIQj9dLMFcpm1ZuV6lj0lwpfIRZl2PGAarn-=w1200|https://lh3.googleusercontent.com/pw/AP1GczOND8uga_QzfxG4E6Z8T67K3IsO0-64S4qlA-9SNH-Szr_mMEMF3V1LpmwvlZsO8vu3NJc3NvEKhSAp-5vgAl2Jl1iL8_apr1Hl7OLTGMk1G0N5NIhD=w1200|https://lh3.googleusercontent.com/pw/AP1GczOMMuvvKbaIb5b9B8N9-Mv1xymKj441siJch6mT-fI25RVzU7QhqNnsl4j_bM0sZvbAcbAAHM04DMYaPbhFn_3L1R4cLicqDHvxWin4r0pT5z3-07Sk=w1200|https://lh3.googleusercontent.com/pw/AP1GczMjkp1KwhAAATxO3_ZDKT095U4k-Y3s7fdB-GWj9M2h318m--tKQfFWVqi9yY6d856OR3EbqLgZI937I79ymLQnpIpBG2PRz178rlv749apaSQzkB6R=w1200|https://lh3.googleusercontent.com/pw/AP1GczOd5J3FJ7MBHKvKeVEkQKsgza8LnLsKBEAL-iTfVZq8u3YD2osndj1Ilh0Br0vEk8o4bOIkTKsLOKiAkOcFPNOLkW3H6kjsbum0EuxxYST-pcr_6dBD=w1200|https://lh3.googleusercontent.com/pw/AP1GczPhPzLi_uvuyfYLVcvx1OBp6pyRjr2TnDV2n3ZgK4WEtuH6fc2VbSgTP5yWvPF1WJQ2sruUIEjasQTwHigwaDJKc-KzV-7wSq37pMLLZcXP6B1TV-28=w1200|https://lh3.googleusercontent.com/pw/AP1GczPu2pCeIMhJbxVBvsQW1nJbthiQl_4iMeJ18qt-uORPnFXM9sBgtjUxuKRD6000NtRPgNcKxy-ZVLTbepsiYaYWIFAHAwNAPH-c9364j-9uJfq9C8db=w1200|https://lh3.googleusercontent.com/pw/AP1GczPTFofD2s_PoKngmna-NIBISt4X0rrwm7i10D1PZVyy3Gmjx-WzVsavJjpYhN_Q1-futw3UfNXCCncly3jsLYjpPD8xws_GmOO4UKMaNIsLxv9_irLG=w1200|https://lh3.googleusercontent.com/pw/AP1GczOw8aGNXZ3_2ZZyGAHdlUPTf9HfNZ9PLntwxUXie92-CflrLn4bK1dW_V16TlYPMX73LyM5ribcD3yi2WfuoN3dCX5EuvtikITu4cNE5MxC6YZZIrWt=w1200|https://lh3.googleusercontent.com/pw/AP1GczPIj1UVMf9iErWXpzzko0RY7ZrVkvIpqe7ps6Pm9ze_qw-fTHq5QHWx6YNSip9AfV92IqOCeQGZC_cTGdg1lXkmgnm3-jpdZX2q3njXqbfJ3xNLFQ_y=w1200|https://lh3.googleusercontent.com/pw/AP1GczM4MTdOMjVT6abaveN8k2XR4b-fNcMBusmeodsW9H6fWIyhWV7NlOYdr-TLzCFksm-6ERg0bvYZy31c6vtq7xBtT0ZaKC5sayfep11xtnk4plJxR8Wv=w1200|https://lh3.googleusercontent.com/pw/AP1GczMh9fTlm4cDAN6iJsDn0mvW77mDQig26IK2q50VmlyTfuksUrqEnNGlZ3UUVJlUI16W8zt1KdwH9NoUSnbSKWU5orKMuJKY6OLs7MSSLOz2SDcIZmwF=w1200|https://lh3.googleusercontent.com/pw/AP1GczPHPS3DesrjBuPkeq3jRqc5CKFij5XSToKcOLKsizXyX2I0qgMhKHlmglhELe8gTbSSE6ceAyDuQ9IM2GEkq51fhDnAAeujqpmk0YAfskxINaOtfmiW=w1200</v>
      </c>
      <c r="AJ46" s="46"/>
      <c r="AK46" s="46"/>
      <c r="AL46" s="46"/>
      <c r="AM46" s="46"/>
      <c r="AN46" s="46"/>
      <c r="AO46" s="46"/>
      <c r="AP46" s="46"/>
      <c r="AQ46" s="46"/>
      <c r="AR46" s="46"/>
      <c r="AS46" s="46"/>
      <c r="AT46" s="46"/>
      <c r="AU46" s="46"/>
      <c r="AV46" s="46"/>
      <c r="AW46" s="46"/>
      <c r="AX46" s="46"/>
      <c r="AY46" s="46"/>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row>
    <row r="47">
      <c r="A47" s="87" t="str">
        <f>IFERROR(__xludf.DUMMYFUNCTION("""COMPUTED_VALUE"""),"1739")</f>
        <v>1739</v>
      </c>
      <c r="B47" s="46" t="str">
        <f>IFERROR(__xludf.DUMMYFUNCTION("""COMPUTED_VALUE"""),"Casa de 3 locales, 1 apartamento y 1 apartaestudio en barrio Villa Regina")</f>
        <v>Casa de 3 locales, 1 apartamento y 1 apartaestudio en barrio Villa Regina</v>
      </c>
      <c r="C47" s="46" t="str">
        <f>IFERROR(__xludf.DUMMYFUNCTION("""COMPUTED_VALUE"""),"Casa rentable")</f>
        <v>Casa rentable</v>
      </c>
      <c r="D47" s="46" t="str">
        <f>IFERROR(__xludf.DUMMYFUNCTION("""COMPUTED_VALUE"""),"Villa Regina")</f>
        <v>Villa Regina</v>
      </c>
      <c r="E47" s="46"/>
      <c r="F47" s="90">
        <f>IFERROR(__xludf.DUMMYFUNCTION("""COMPUTED_VALUE"""),6.5E8)</f>
        <v>650000000</v>
      </c>
      <c r="G47" s="46" t="str">
        <f>IFERROR(__xludf.DUMMYFUNCTION("""COMPUTED_VALUE"""),"$500'000.000 a $1.000'000.000")</f>
        <v>$500'000.000 a $1.000'000.000</v>
      </c>
      <c r="H47" s="46"/>
      <c r="I47" s="46"/>
      <c r="J47" s="46" t="str">
        <f>IFERROR(__xludf.DUMMYFUNCTION("""COMPUTED_VALUE"""),"Oriente")</f>
        <v>Oriente</v>
      </c>
      <c r="K47" s="87" t="str">
        <f>IFERROR(__xludf.DUMMYFUNCTION("""COMPUTED_VALUE"""),"7")</f>
        <v>7</v>
      </c>
      <c r="L47" s="46">
        <f>IFERROR(__xludf.DUMMYFUNCTION("""COMPUTED_VALUE"""),3.0)</f>
        <v>3</v>
      </c>
      <c r="M47" s="46"/>
      <c r="N47" s="46">
        <f>IFERROR(__xludf.DUMMYFUNCTION("""COMPUTED_VALUE"""),4.0)</f>
        <v>4</v>
      </c>
      <c r="O47" s="46">
        <f>IFERROR(__xludf.DUMMYFUNCTION("""COMPUTED_VALUE"""),1.0)</f>
        <v>1</v>
      </c>
      <c r="P47" s="46">
        <f>IFERROR(__xludf.DUMMYFUNCTION("""COMPUTED_VALUE"""),2.0)</f>
        <v>2</v>
      </c>
      <c r="Q47" s="92">
        <f>IFERROR(__xludf.DUMMYFUNCTION("""COMPUTED_VALUE"""),182.0)</f>
        <v>182</v>
      </c>
      <c r="R47" s="92">
        <f>IFERROR(__xludf.DUMMYFUNCTION("""COMPUTED_VALUE"""),96.0)</f>
        <v>96</v>
      </c>
      <c r="S47" s="87" t="str">
        <f>IFERROR(__xludf.DUMMYFUNCTION("""COMPUTED_VALUE""")," ")</f>
        <v> </v>
      </c>
      <c r="T47" s="46" t="str">
        <f>IFERROR(__xludf.DUMMYFUNCTION("""COMPUTED_VALUE"""),"Neiva")</f>
        <v>Neiva</v>
      </c>
      <c r="U47" s="87" t="str">
        <f>IFERROR(__xludf.DUMMYFUNCTION("""COMPUTED_VALUE"""),"3")</f>
        <v>3</v>
      </c>
      <c r="V47" s="46" t="str">
        <f>IFERROR(__xludf.DUMMYFUNCTION("""COMPUTED_VALUE"""),"Esquinera")</f>
        <v>Esquinera</v>
      </c>
      <c r="W47" s="46"/>
      <c r="X47" s="46">
        <f>IFERROR(__xludf.DUMMYFUNCTION("""COMPUTED_VALUE"""),2.0)</f>
        <v>2</v>
      </c>
      <c r="Y47" s="46" t="str">
        <f>IFERROR(__xludf.DUMMYFUNCTION("""COMPUTED_VALUE"""),"No tiene")</f>
        <v>No tiene</v>
      </c>
      <c r="Z47" s="90" t="str">
        <f>IFERROR(__xludf.DUMMYFUNCTION("""COMPUTED_VALUE"""),"No aplica")</f>
        <v>No aplica</v>
      </c>
      <c r="AA47" s="33" t="str">
        <f>IFERROR(__xludf.DUMMYFUNCTION("""COMPUTED_VALUE"""),"No aplica")</f>
        <v>No aplica</v>
      </c>
      <c r="AB47" s="144" t="str">
        <f>IFERROR(__xludf.DUMMYFUNCTION("""COMPUTED_VALUE"""),"https://photos.app.goo.gl/WXvsDsDkXAHqLN3w7")</f>
        <v>https://photos.app.goo.gl/WXvsDsDkXAHqLN3w7</v>
      </c>
      <c r="AC47" s="46" t="str">
        <f>IFERROR(__xludf.DUMMYFUNCTION("""COMPUTED_VALUE"""),"¡PROPIEDAD ESQUINERA RENTABLE EN VENTA!   Área construida: 180 m², Área de lote: 96 m²    Primer piso: 3 locales amplios. Local esquinero con baño interno, 2 locales con baño compartido.    Segundo piso: Apartamento: Sala-comedor, cocina semi integral, zo"&amp;"na de lavandería, 1 baño, sin parqueadero, comparte agua y gas con el apartaestudio. Apartaestudio: Sala independiente, habitación en un solo ambiente, cocina semi integral, 1 baño, zona de lavandería, balcón con vista a la calle, sin parqueadero, compart"&amp;"e agua y gas con el apartamento, comparte energía con un local.   Oportunidad única: ideal para renta, negocio y vivienda en una zona estratégica. ")</f>
        <v>¡PROPIEDAD ESQUINERA RENTABLE EN VENTA!   Área construida: 180 m², Área de lote: 96 m²    Primer piso: 3 locales amplios. Local esquinero con baño interno, 2 locales con baño compartido.    Segundo piso: Apartamento: Sala-comedor, cocina semi integral, zona de lavandería, 1 baño, sin parqueadero, comparte agua y gas con el apartaestudio. Apartaestudio: Sala independiente, habitación en un solo ambiente, cocina semi integral, 1 baño, zona de lavandería, balcón con vista a la calle, sin parqueadero, comparte agua y gas con el apartamento, comparte energía con un local.   Oportunidad única: ideal para renta, negocio y vivienda en una zona estratégica. </v>
      </c>
      <c r="AD47" s="46"/>
      <c r="AE47" s="46"/>
      <c r="AF47" s="46" t="str">
        <f>IFERROR(__xludf.DUMMYFUNCTION("""COMPUTED_VALUE"""),"semi-integral")</f>
        <v>semi-integral</v>
      </c>
      <c r="AG47" s="46"/>
      <c r="AH47" s="46" t="str">
        <f>IFERROR(__xludf.DUMMYFUNCTION("""COMPUTED_VALUE"""),"Aliado")</f>
        <v>Aliado</v>
      </c>
      <c r="AI47" s="92" t="str">
        <f>IFERROR(__xludf.DUMMYFUNCTION("""COMPUTED_VALUE"""),"https://lh3.googleusercontent.com/pw/AP1GczO5nYb4T1uk7REaWNNEGAFBphsj_L11kEnNc3vbIiPA4B_21FAS9K3l7s-Qb48bnt6b-avqQ41pGvdQJ92bBbv_GR6gsUFh8VCoe3TGjJO2CXP7sSng=w1200|https://lh3.googleusercontent.com/pw/AP1GczNaVzcP0coEjMe3j9iHZ4pzTKZnfP9yrNsWJR0tvfQWk4G7oW"&amp;"W1DFCRejHUNwV1I1YBdXmCQj-UyRT_Z_eMIaVhHNhzYSHAj6IbmFJ4oXUaVIePIpu2=w1200|https://lh3.googleusercontent.com/pw/AP1GczM_nxcv7tLlHpcgEpR4TYOFMifqljoKEMe_Del8wMw_3Hh6B7ZHace8zkNPxWp4pLtJT14NKpVpxKXAqq4aU0YH5PuTGus4MbdJN-KtWf5NJ6P0UR6I=w1200|https://lh3.google"&amp;"usercontent.com/pw/AP1GczPlllXNIjBjI9rr0qE_jQTW_CMAWYArVQSpCmxN6idCj76maGXrUug3_up3K650SmF0Bok7OA7BrQNEPrKSFrDFpUcOynPWv7ubGUzIyyMkMaUpGDGG=w1200|https://lh3.googleusercontent.com/pw/AP1GczMQI5r1mf6E7mr7q-UuBB5_59QXRwWfqzVpA52uCRpK6cGY9fWTsjaqFJ4_2F7dvLHS"&amp;"FfFR9cegODToppcse7U2XN0OVX_Z-NOn4y0cvmQseyMJPzNp=w1200|https://lh3.googleusercontent.com/pw/AP1GczOrLhPS8tovFOJLgnYOh8X6dXrO56raRbml-PFNHUhg-wSTlPKc9j3KK2bN_rngfTfTaV1xbx7vz3EA8E2p4d_7fL8zqBw6khtCQH6GTnjz7DeaBAAh=w1200|https://lh3.googleusercontent.com/pw"&amp;"/AP1GczPQVSQR7OlskhR8QG86fqZp5hp5BgCN0M7-x8L7KUKKJb3V8qvXHGJpC8x7fmt9KPTXkgGyUczANBfyOyAVTk0ScAUqtFWDdCi7GluAGTYXF-mBJJH2=w1200|https://lh3.googleusercontent.com/pw/AP1GczM7sqKoGL8BE-BY3Wli3V0LYXKZ0Y_otaV2vWMoAerUUHhK-5Bh1sSxh-N_A3ENM1dxiR5PQqtgZW8M_jtE7Z"&amp;"GlyumcERmV2ZwcjCVoputGRpGT-w57=w1200|https://lh3.googleusercontent.com/pw/AP1GczPRA1EmUfm3Um1zPhIeUUn3B7wCYcZ0yBJqgEKVp0GfaLrNfPyATbFFKyGAd3tYYmECybTNKxNivS5bGfcbtrd4kIwWg5GoDoV53zdKjoAYaiUBQTnG=w1200|https://lh3.googleusercontent.com/pw/AP1GczMmo52m3liWt"&amp;"m-keA2Ce16KC2lELLqk-MIQvuhLkvK_8PkOvo8XHXbEBGa_lyqRsP2lg3F2IaXIpy_4HHXDx0jU7oqSXrMxG1QbmmW0pxxhE-6AyqTL=w1200|https://lh3.googleusercontent.com/pw/AP1GczPcegFvGzTYCfKn3JqLVRUVfGohFPZf-sxVjqKEPheV5img2CbqKGaQPm1uQazdUyXjEL4KT3aeGAJYGEDWhUhm1XZT8Wlbql7taNJo"&amp;"LSldeOQXyZAP=w1200|https://lh3.googleusercontent.com/pw/AP1GczPw79pun_yQ8Drf2YnKAk08SrLOsqoQ-RJs9FTTmOI5RbgklI5W9RmbNjZUSvrr_teR_Pp-bXlnEUAXNx-kFd4pwRorytVyDNFNcg6nklk261sgKADF=w1200|https://lh3.googleusercontent.com/pw/AP1GczOtu4CDTsqvfN9SZ4EyGeZL0Hqmp-y"&amp;"GkFZFFIH8yOwdjRkzxfR7FO08nR7xecQdkUUudsPk6tyQieepp7ngkVvGCxhNcXuIVTyAIZNZqemyF1XC4PNY=w1200|https://lh3.googleusercontent.com/pw/AP1GczNq1eYnauJeiehA1VWhJfcqGwtdWCtiI34wqZeZeQ69Q6HZP0PymKA-UK74KqhX-HPjQBwND2V-f0ZuPgiNk-dMzszN08rdfZQJT8EjV3OiIKh4pKfE=w1200"&amp;"|https://lh3.googleusercontent.com/pw/AP1GczOZwD-fN4f9K6eE_S38Ai95XMesxATwHplEjYv_dX1mvCl2_dhJCnei-Xv6VD--FugcEHTN5BK8deVvmaQEguZN4bUIjqbOLKN4U0pv0t_pozFPDZf2=w1200|https://lh3.googleusercontent.com/pw/AP1GczPzXN9chLW9QLY-l8tugBDrFmxqxc30pmH_3CkpkhRM_2gbY"&amp;"fLyVP1nIKzoF8IexV3zpSTRPU4RfvosDrVQ0JiwZCKDMmkaynoHOrpFzyPO53-pceQY=w1200|https://lh3.googleusercontent.com/pw/AP1GczM3f_7mPKpKYNI9-mkm4Zbgj65BaKusAcCC_VtWj3tujKXVuZeRFVtFcyIAIHE76RuLu-naXHiEC3DpEO10rTng6j4hrAUpA0byQy2no1RjyPGN935g=w1200|https://lh3.googl"&amp;"eusercontent.com/pw/AP1GczP4xIG7U7EJ0D8f5JMAMdZlfJZuuV2J6f--ulLlcwFykCbnRdf0kcwQ6SppPJmiKQjk1NfhBYKFMaNfQ5oIYIg46oQKc5prRKfyGyt5M2yNBXBOBV-l=w1200|https://lh3.googleusercontent.com/pw/AP1GczOVUZrspdqDDpRjMUYEnkmsupHBr9x0E49mWVL0x7MXKwGpbLSYCLWN6GtnbpMPdzP"&amp;"76s5hf4Bi1PixeoJZMp5k5HE6RgKAAbgiEz_Oqvj7e-EQxxio=w1200|https://lh3.googleusercontent.com/pw/AP1GczPFfw-L3vSo5JZjQshyqiSIq9h1g65CwVOA5d3dKqyFy5tnydid-zDXMkDR0C0ym2hm3KbvHV7aEAG5AwZNNA4VPH6B4N_mSr3VExOWQpI2Wqx-uELG=w1200|https://lh3.googleusercontent.com/p"&amp;"w/AP1GczNHcQ__NYZGuS2KnfKWrdW8_eb6JOEuG42FV5eg8Q7WSuGVJFs3eQ4R07bddtR4Mpssd0Exhf2U3ZLO8TJNzMZ_QpTmVhM10HQDfFnGJcbmlnK6ugGZ=w1200|https://lh3.googleusercontent.com/pw/AP1GczMNqnHh_ypM8T6S6WLMeFc2mwNW_2ccP5ftvMGrZ8KpdZjf1MkkHSkZGIVJYTM2YOSqdnO6BlDfp-4Fo4juD"&amp;"vJKSLXsvIQO_Wx-KR_tRzNJCZ_CYXVb=w1200|https://lh3.googleusercontent.com/pw/AP1GczOkgHhCqFQBWm_ytDZDwJQLlt-ww5nU40JyikEffhVBmGDIdTA0FeFiwm-OoC6Qntiqr60ptBwg1DTsDMwpIXHsiETyfFlD7jWLK78K2Z4zYNIlCYI0=w1200|https://lh3.googleusercontent.com/pw/AP1GczPNFV7uwMMw"&amp;"uHa6iXipe2tjcnhuGMbXahfQfLT6E04r_2yMss5FArzIpS8OEUN4kvKnCgcuTYWYHM1RT2yJ-9BQLKF5rBs2K6SoBbdrAm1Rag0Da0t9=w1200|https://lh3.googleusercontent.com/pw/AP1GczP-l3_Ip0qSi3ZBFBEAFlPbTibnEWBGEqHfm-QknO-W-fhs5l6-Y6FEghAee0kN__j1RrLvEnVYcrqBfwuf2ytP0l8axj3-KjZKg8S"&amp;"xdIxD8xpQuNsV=w1200|https://lh3.googleusercontent.com/pw/AP1GczOw0iNGGNRDWidn3R1PHU4cv5Bln5aPCgPBOxXkS6vZBymvatkzBDMpzDFsRpcm2V2Alec0tOvdnxsIJyW87ZgTAX4T1QPVFPlkhfLzukL63iDgnkBI=w1200|https://lh3.googleusercontent.com/pw/AP1GczPkMHL6uzaR2lsCQsc8_aXdvYE9tW"&amp;"TTtiAsV-zZyN8unsi5T56E1OewLx3tlF1xyrODxnDik2FfrWC77cqzRpMl35zTK2R4NnU4DP0InbJ57rGmWXrj=w1200|https://lh3.googleusercontent.com/pw/AP1GczO7ZvnnZSVh9cixND5EFqE-16V7Y97Wtgd_MkIMFGnVYVO6wnpf1hlDtK7SEMckvHl-zFo9b0mVhWO2y5kwYVN5pE-BhGzFDX4JoJ5-A9izIIZkyowI=w120"&amp;"0")</f>
        <v>https://lh3.googleusercontent.com/pw/AP1GczO5nYb4T1uk7REaWNNEGAFBphsj_L11kEnNc3vbIiPA4B_21FAS9K3l7s-Qb48bnt6b-avqQ41pGvdQJ92bBbv_GR6gsUFh8VCoe3TGjJO2CXP7sSng=w1200|https://lh3.googleusercontent.com/pw/AP1GczNaVzcP0coEjMe3j9iHZ4pzTKZnfP9yrNsWJR0tvfQWk4G7oWW1DFCRejHUNwV1I1YBdXmCQj-UyRT_Z_eMIaVhHNhzYSHAj6IbmFJ4oXUaVIePIpu2=w1200|https://lh3.googleusercontent.com/pw/AP1GczM_nxcv7tLlHpcgEpR4TYOFMifqljoKEMe_Del8wMw_3Hh6B7ZHace8zkNPxWp4pLtJT14NKpVpxKXAqq4aU0YH5PuTGus4MbdJN-KtWf5NJ6P0UR6I=w1200|https://lh3.googleusercontent.com/pw/AP1GczPlllXNIjBjI9rr0qE_jQTW_CMAWYArVQSpCmxN6idCj76maGXrUug3_up3K650SmF0Bok7OA7BrQNEPrKSFrDFpUcOynPWv7ubGUzIyyMkMaUpGDGG=w1200|https://lh3.googleusercontent.com/pw/AP1GczMQI5r1mf6E7mr7q-UuBB5_59QXRwWfqzVpA52uCRpK6cGY9fWTsjaqFJ4_2F7dvLHSFfFR9cegODToppcse7U2XN0OVX_Z-NOn4y0cvmQseyMJPzNp=w1200|https://lh3.googleusercontent.com/pw/AP1GczOrLhPS8tovFOJLgnYOh8X6dXrO56raRbml-PFNHUhg-wSTlPKc9j3KK2bN_rngfTfTaV1xbx7vz3EA8E2p4d_7fL8zqBw6khtCQH6GTnjz7DeaBAAh=w1200|https://lh3.googleusercontent.com/pw/AP1GczPQVSQR7OlskhR8QG86fqZp5hp5BgCN0M7-x8L7KUKKJb3V8qvXHGJpC8x7fmt9KPTXkgGyUczANBfyOyAVTk0ScAUqtFWDdCi7GluAGTYXF-mBJJH2=w1200|https://lh3.googleusercontent.com/pw/AP1GczM7sqKoGL8BE-BY3Wli3V0LYXKZ0Y_otaV2vWMoAerUUHhK-5Bh1sSxh-N_A3ENM1dxiR5PQqtgZW8M_jtE7ZGlyumcERmV2ZwcjCVoputGRpGT-w57=w1200|https://lh3.googleusercontent.com/pw/AP1GczPRA1EmUfm3Um1zPhIeUUn3B7wCYcZ0yBJqgEKVp0GfaLrNfPyATbFFKyGAd3tYYmECybTNKxNivS5bGfcbtrd4kIwWg5GoDoV53zdKjoAYaiUBQTnG=w1200|https://lh3.googleusercontent.com/pw/AP1GczMmo52m3liWtm-keA2Ce16KC2lELLqk-MIQvuhLkvK_8PkOvo8XHXbEBGa_lyqRsP2lg3F2IaXIpy_4HHXDx0jU7oqSXrMxG1QbmmW0pxxhE-6AyqTL=w1200|https://lh3.googleusercontent.com/pw/AP1GczPcegFvGzTYCfKn3JqLVRUVfGohFPZf-sxVjqKEPheV5img2CbqKGaQPm1uQazdUyXjEL4KT3aeGAJYGEDWhUhm1XZT8Wlbql7taNJoLSldeOQXyZAP=w1200|https://lh3.googleusercontent.com/pw/AP1GczPw79pun_yQ8Drf2YnKAk08SrLOsqoQ-RJs9FTTmOI5RbgklI5W9RmbNjZUSvrr_teR_Pp-bXlnEUAXNx-kFd4pwRorytVyDNFNcg6nklk261sgKADF=w1200|https://lh3.googleusercontent.com/pw/AP1GczOtu4CDTsqvfN9SZ4EyGeZL0Hqmp-yGkFZFFIH8yOwdjRkzxfR7FO08nR7xecQdkUUudsPk6tyQieepp7ngkVvGCxhNcXuIVTyAIZNZqemyF1XC4PNY=w1200|https://lh3.googleusercontent.com/pw/AP1GczNq1eYnauJeiehA1VWhJfcqGwtdWCtiI34wqZeZeQ69Q6HZP0PymKA-UK74KqhX-HPjQBwND2V-f0ZuPgiNk-dMzszN08rdfZQJT8EjV3OiIKh4pKfE=w1200|https://lh3.googleusercontent.com/pw/AP1GczOZwD-fN4f9K6eE_S38Ai95XMesxATwHplEjYv_dX1mvCl2_dhJCnei-Xv6VD--FugcEHTN5BK8deVvmaQEguZN4bUIjqbOLKN4U0pv0t_pozFPDZf2=w1200|https://lh3.googleusercontent.com/pw/AP1GczPzXN9chLW9QLY-l8tugBDrFmxqxc30pmH_3CkpkhRM_2gbYfLyVP1nIKzoF8IexV3zpSTRPU4RfvosDrVQ0JiwZCKDMmkaynoHOrpFzyPO53-pceQY=w1200|https://lh3.googleusercontent.com/pw/AP1GczM3f_7mPKpKYNI9-mkm4Zbgj65BaKusAcCC_VtWj3tujKXVuZeRFVtFcyIAIHE76RuLu-naXHiEC3DpEO10rTng6j4hrAUpA0byQy2no1RjyPGN935g=w1200|https://lh3.googleusercontent.com/pw/AP1GczP4xIG7U7EJ0D8f5JMAMdZlfJZuuV2J6f--ulLlcwFykCbnRdf0kcwQ6SppPJmiKQjk1NfhBYKFMaNfQ5oIYIg46oQKc5prRKfyGyt5M2yNBXBOBV-l=w1200|https://lh3.googleusercontent.com/pw/AP1GczOVUZrspdqDDpRjMUYEnkmsupHBr9x0E49mWVL0x7MXKwGpbLSYCLWN6GtnbpMPdzP76s5hf4Bi1PixeoJZMp5k5HE6RgKAAbgiEz_Oqvj7e-EQxxio=w1200|https://lh3.googleusercontent.com/pw/AP1GczPFfw-L3vSo5JZjQshyqiSIq9h1g65CwVOA5d3dKqyFy5tnydid-zDXMkDR0C0ym2hm3KbvHV7aEAG5AwZNNA4VPH6B4N_mSr3VExOWQpI2Wqx-uELG=w1200|https://lh3.googleusercontent.com/pw/AP1GczNHcQ__NYZGuS2KnfKWrdW8_eb6JOEuG42FV5eg8Q7WSuGVJFs3eQ4R07bddtR4Mpssd0Exhf2U3ZLO8TJNzMZ_QpTmVhM10HQDfFnGJcbmlnK6ugGZ=w1200|https://lh3.googleusercontent.com/pw/AP1GczMNqnHh_ypM8T6S6WLMeFc2mwNW_2ccP5ftvMGrZ8KpdZjf1MkkHSkZGIVJYTM2YOSqdnO6BlDfp-4Fo4juDvJKSLXsvIQO_Wx-KR_tRzNJCZ_CYXVb=w1200|https://lh3.googleusercontent.com/pw/AP1GczOkgHhCqFQBWm_ytDZDwJQLlt-ww5nU40JyikEffhVBmGDIdTA0FeFiwm-OoC6Qntiqr60ptBwg1DTsDMwpIXHsiETyfFlD7jWLK78K2Z4zYNIlCYI0=w1200|https://lh3.googleusercontent.com/pw/AP1GczPNFV7uwMMwuHa6iXipe2tjcnhuGMbXahfQfLT6E04r_2yMss5FArzIpS8OEUN4kvKnCgcuTYWYHM1RT2yJ-9BQLKF5rBs2K6SoBbdrAm1Rag0Da0t9=w1200|https://lh3.googleusercontent.com/pw/AP1GczP-l3_Ip0qSi3ZBFBEAFlPbTibnEWBGEqHfm-QknO-W-fhs5l6-Y6FEghAee0kN__j1RrLvEnVYcrqBfwuf2ytP0l8axj3-KjZKg8SxdIxD8xpQuNsV=w1200|https://lh3.googleusercontent.com/pw/AP1GczOw0iNGGNRDWidn3R1PHU4cv5Bln5aPCgPBOxXkS6vZBymvatkzBDMpzDFsRpcm2V2Alec0tOvdnxsIJyW87ZgTAX4T1QPVFPlkhfLzukL63iDgnkBI=w1200|https://lh3.googleusercontent.com/pw/AP1GczPkMHL6uzaR2lsCQsc8_aXdvYE9tWTTtiAsV-zZyN8unsi5T56E1OewLx3tlF1xyrODxnDik2FfrWC77cqzRpMl35zTK2R4NnU4DP0InbJ57rGmWXrj=w1200|https://lh3.googleusercontent.com/pw/AP1GczO7ZvnnZSVh9cixND5EFqE-16V7Y97Wtgd_MkIMFGnVYVO6wnpf1hlDtK7SEMckvHl-zFo9b0mVhWO2y5kwYVN5pE-BhGzFDX4JoJ5-A9izIIZkyowI=w1200</v>
      </c>
      <c r="AJ47" s="46"/>
      <c r="AK47" s="46"/>
      <c r="AL47" s="46"/>
      <c r="AM47" s="46"/>
      <c r="AN47" s="46"/>
      <c r="AO47" s="46"/>
      <c r="AP47" s="46"/>
      <c r="AQ47" s="46"/>
      <c r="AR47" s="46"/>
      <c r="AS47" s="46"/>
      <c r="AT47" s="46"/>
      <c r="AU47" s="46"/>
      <c r="AV47" s="46"/>
      <c r="AW47" s="46"/>
      <c r="AX47" s="46"/>
      <c r="AY47" s="46"/>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row>
    <row r="48">
      <c r="A48" s="87" t="str">
        <f>IFERROR(__xludf.DUMMYFUNCTION("""COMPUTED_VALUE"""),"1660")</f>
        <v>1660</v>
      </c>
      <c r="B48" s="46" t="str">
        <f>IFERROR(__xludf.DUMMYFUNCTION("""COMPUTED_VALUE"""),"Finca campestre en Rivera - Huila")</f>
        <v>Finca campestre en Rivera - Huila</v>
      </c>
      <c r="C48" s="46" t="str">
        <f>IFERROR(__xludf.DUMMYFUNCTION("""COMPUTED_VALUE"""),"Finca")</f>
        <v>Finca</v>
      </c>
      <c r="D48" s="46"/>
      <c r="E48" s="46"/>
      <c r="F48" s="90">
        <f>IFERROR(__xludf.DUMMYFUNCTION("""COMPUTED_VALUE"""),6.5E8)</f>
        <v>650000000</v>
      </c>
      <c r="G48" s="46" t="str">
        <f>IFERROR(__xludf.DUMMYFUNCTION("""COMPUTED_VALUE"""),"$500'000.000 a $1.000'000.000")</f>
        <v>$500'000.000 a $1.000'000.000</v>
      </c>
      <c r="H48" s="46"/>
      <c r="I48" s="46"/>
      <c r="J48" s="46" t="str">
        <f>IFERROR(__xludf.DUMMYFUNCTION("""COMPUTED_VALUE"""),"Rural")</f>
        <v>Rural</v>
      </c>
      <c r="K48" s="87"/>
      <c r="L48" s="46">
        <f>IFERROR(__xludf.DUMMYFUNCTION("""COMPUTED_VALUE"""),8.0)</f>
        <v>8</v>
      </c>
      <c r="M48" s="46"/>
      <c r="N48" s="46">
        <f>IFERROR(__xludf.DUMMYFUNCTION("""COMPUTED_VALUE"""),10.0)</f>
        <v>10</v>
      </c>
      <c r="O48" s="46">
        <f>IFERROR(__xludf.DUMMYFUNCTION("""COMPUTED_VALUE"""),20.0)</f>
        <v>20</v>
      </c>
      <c r="P48" s="46">
        <f>IFERROR(__xludf.DUMMYFUNCTION("""COMPUTED_VALUE"""),2.0)</f>
        <v>2</v>
      </c>
      <c r="Q48" s="92">
        <f>IFERROR(__xludf.DUMMYFUNCTION("""COMPUTED_VALUE"""),0.0)</f>
        <v>0</v>
      </c>
      <c r="R48" s="92">
        <f>IFERROR(__xludf.DUMMYFUNCTION("""COMPUTED_VALUE"""),30000.0)</f>
        <v>30000</v>
      </c>
      <c r="S48" s="87"/>
      <c r="T48" s="46" t="str">
        <f>IFERROR(__xludf.DUMMYFUNCTION("""COMPUTED_VALUE"""),"Rivera")</f>
        <v>Rivera</v>
      </c>
      <c r="U48" s="87"/>
      <c r="V48" s="46"/>
      <c r="W48" s="46"/>
      <c r="X48" s="46">
        <f>IFERROR(__xludf.DUMMYFUNCTION("""COMPUTED_VALUE"""),8.0)</f>
        <v>8</v>
      </c>
      <c r="Y48" s="46" t="str">
        <f>IFERROR(__xludf.DUMMYFUNCTION("""COMPUTED_VALUE"""),"Privada")</f>
        <v>Privada</v>
      </c>
      <c r="Z48" s="90" t="str">
        <f>IFERROR(__xludf.DUMMYFUNCTION("""COMPUTED_VALUE"""),"No aplica")</f>
        <v>No aplica</v>
      </c>
      <c r="AA48" s="33" t="str">
        <f>IFERROR(__xludf.DUMMYFUNCTION("""COMPUTED_VALUE"""),"No aplica")</f>
        <v>No aplica</v>
      </c>
      <c r="AB48" s="96" t="str">
        <f>IFERROR(__xludf.DUMMYFUNCTION("""COMPUTED_VALUE"""),"https://photos.app.goo.gl/2aGpJXVnmwJrN1JUA")</f>
        <v>https://photos.app.goo.gl/2aGpJXVnmwJrN1JUA</v>
      </c>
      <c r="AC48" s="46" t="str">
        <f>IFERROR(__xludf.DUMMYFUNCTION("""COMPUTED_VALUE"""),"La finca cuenta con un área aproximada de 3 hectáreas, excelentes vías de acceso por a placa huella; consta de casa principal con habitaciones amobladas con camas y camarotes, sala, cocina, baños independientes. 4 Habitaciones privadas con su respectiva c"&amp;"ama y baño privado, Piscina de agua natural, Kiosco, amplias zonas verdes, espacio para fogata, cocina amplia con hornilla, horno de barro, cuarto de leña y cuarto amplio de deposito de enceres y sillas, 150 palos de limón común, pesebreras, colinos de pl"&amp;"átano, tanque de 3x3 amplio de reserva agua, herramientas de campo motor picadora y guadaña.")</f>
        <v>La finca cuenta con un área aproximada de 3 hectáreas, excelentes vías de acceso por a placa huella; consta de casa principal con habitaciones amobladas con camas y camarotes, sala, cocina, baños independientes. 4 Habitaciones privadas con su respectiva cama y baño privado, Piscina de agua natural, Kiosco, amplias zonas verdes, espacio para fogata, cocina amplia con hornilla, horno de barro, cuarto de leña y cuarto amplio de deposito de enceres y sillas, 150 palos de limón común, pesebreras, colinos de plátano, tanque de 3x3 amplio de reserva agua, herramientas de campo motor picadora y guadaña.</v>
      </c>
      <c r="AD48" s="46" t="str">
        <f>IFERROR(__xludf.DUMMYFUNCTION("""COMPUTED_VALUE"""),"Por la finca atraviesa un riachuelo, casa para mayordomo, cancha de vóleibol o micro futbol.  Cuenta con servicios de agua, energía y gas.")</f>
        <v>Por la finca atraviesa un riachuelo, casa para mayordomo, cancha de vóleibol o micro futbol.  Cuenta con servicios de agua, energía y gas.</v>
      </c>
      <c r="AE48" s="46"/>
      <c r="AF48" s="46" t="str">
        <f>IFERROR(__xludf.DUMMYFUNCTION("""COMPUTED_VALUE"""),"semi-integral")</f>
        <v>semi-integral</v>
      </c>
      <c r="AG48" s="46"/>
      <c r="AH48" s="46" t="str">
        <f>IFERROR(__xludf.DUMMYFUNCTION("""COMPUTED_VALUE"""),"Aliado")</f>
        <v>Aliado</v>
      </c>
      <c r="AI48" s="92" t="str">
        <f>IFERROR(__xludf.DUMMYFUNCTION("""COMPUTED_VALUE"""),"https://lh3.googleusercontent.com/pw/AP1GczMYj-Kc83ylQBCtz7ytlnSHQT7Das27r6qwvmDUieJ3y8aZqVMyVUdoWie12Jx0_D_tDE-h0qpSgLh4tACNme8uTr2d-ghsD4hDhYgr13yCtoI5CwzE=w1200|https://lh3.googleusercontent.com/pw/AP1GczMpBkTDzB900r0zHNivWVkHGyI54izfBcX2LTu4eXfCvj-Glf"&amp;"BT6VR94a-FrM5NNG-h9hw-HawA_4U72xQwlspqHyvDYLv5bKsXSXnahaxspbLszOEy=w1200|https://lh3.googleusercontent.com/pw/AP1GczN4XNmCLyWrSdeAEIup_sR7pf2fOffyasUQ_FLU5dQhPYVMLGIbZljq1FtkrNRWh-ssQnQ5GNCNtUJ8OgwmGFi3aXgP3lUDpmLGHKd4LfEyFwSSq_ry=w1200|https://lh3.google"&amp;"usercontent.com/pw/AP1GczNKKzRrdM4cB-7WTRTSK0goJAq75PmISFc6T93MehCz_ME1RKZAM96Klb3gs9Y2OL1P4Bz34m1yDMxkOcQe3k7vIg4N6eTJ8vNv1UcSwGd4xOEJ5WEu=w1200|https://lh3.googleusercontent.com/pw/AP1GczO8BBaqdpr-Oo94yetAsItQSpiMJlTzfwQn93RorM6TyP8GsOsV_12LfRXr60GFhwGc"&amp;"zpJX-G4WjyUCck0S3c13LgKkGtxoNqrSMszfWcsXygmv2i3d=w1200|https://lh3.googleusercontent.com/pw/AP1GczPtsbHv1MXFGM_icgDvDlt--CJoIIRkQlZlzgIRv4S3FCseAG1t5A6BglUvNj8-GKBvTHYfxKx6fJFz0dbnjYx4-DuQsxRop53MuMz-1Uvy3n_J5OiO=w1200")</f>
        <v>https://lh3.googleusercontent.com/pw/AP1GczMYj-Kc83ylQBCtz7ytlnSHQT7Das27r6qwvmDUieJ3y8aZqVMyVUdoWie12Jx0_D_tDE-h0qpSgLh4tACNme8uTr2d-ghsD4hDhYgr13yCtoI5CwzE=w1200|https://lh3.googleusercontent.com/pw/AP1GczMpBkTDzB900r0zHNivWVkHGyI54izfBcX2LTu4eXfCvj-GlfBT6VR94a-FrM5NNG-h9hw-HawA_4U72xQwlspqHyvDYLv5bKsXSXnahaxspbLszOEy=w1200|https://lh3.googleusercontent.com/pw/AP1GczN4XNmCLyWrSdeAEIup_sR7pf2fOffyasUQ_FLU5dQhPYVMLGIbZljq1FtkrNRWh-ssQnQ5GNCNtUJ8OgwmGFi3aXgP3lUDpmLGHKd4LfEyFwSSq_ry=w1200|https://lh3.googleusercontent.com/pw/AP1GczNKKzRrdM4cB-7WTRTSK0goJAq75PmISFc6T93MehCz_ME1RKZAM96Klb3gs9Y2OL1P4Bz34m1yDMxkOcQe3k7vIg4N6eTJ8vNv1UcSwGd4xOEJ5WEu=w1200|https://lh3.googleusercontent.com/pw/AP1GczO8BBaqdpr-Oo94yetAsItQSpiMJlTzfwQn93RorM6TyP8GsOsV_12LfRXr60GFhwGczpJX-G4WjyUCck0S3c13LgKkGtxoNqrSMszfWcsXygmv2i3d=w1200|https://lh3.googleusercontent.com/pw/AP1GczPtsbHv1MXFGM_icgDvDlt--CJoIIRkQlZlzgIRv4S3FCseAG1t5A6BglUvNj8-GKBvTHYfxKx6fJFz0dbnjYx4-DuQsxRop53MuMz-1Uvy3n_J5OiO=w1200</v>
      </c>
      <c r="AJ48" s="46"/>
      <c r="AK48" s="46"/>
      <c r="AL48" s="46"/>
      <c r="AM48" s="46"/>
      <c r="AN48" s="46"/>
      <c r="AO48" s="46"/>
      <c r="AP48" s="46"/>
      <c r="AQ48" s="46"/>
      <c r="AR48" s="46"/>
      <c r="AS48" s="46"/>
      <c r="AT48" s="46"/>
      <c r="AU48" s="46"/>
      <c r="AV48" s="46"/>
      <c r="AW48" s="46"/>
      <c r="AX48" s="46"/>
      <c r="AY48" s="46"/>
      <c r="AZ48" s="46"/>
      <c r="BA48" s="46"/>
      <c r="BB48" s="46"/>
      <c r="BC48" s="46"/>
      <c r="BD48" s="46"/>
      <c r="BE48" s="46"/>
      <c r="BF48" s="46"/>
      <c r="BG48" s="46"/>
      <c r="BH48" s="46"/>
      <c r="BI48" s="46"/>
      <c r="BJ48" s="46"/>
      <c r="BK48" s="46"/>
      <c r="BL48" s="46"/>
      <c r="BM48" s="46"/>
      <c r="BN48" s="46"/>
      <c r="BO48" s="46"/>
      <c r="BP48" s="46"/>
      <c r="BQ48" s="46"/>
      <c r="BR48" s="46"/>
      <c r="BS48" s="46"/>
      <c r="BT48" s="46"/>
      <c r="BU48" s="46"/>
      <c r="BV48" s="46"/>
      <c r="BW48" s="46"/>
      <c r="BX48" s="46"/>
      <c r="BY48" s="46"/>
      <c r="BZ48" s="46"/>
      <c r="CA48" s="46"/>
      <c r="CB48" s="46"/>
      <c r="CC48" s="46"/>
    </row>
    <row r="49">
      <c r="A49" s="87" t="str">
        <f>IFERROR(__xludf.DUMMYFUNCTION("""COMPUTED_VALUE"""),"912")</f>
        <v>912</v>
      </c>
      <c r="B49" s="46" t="str">
        <f>IFERROR(__xludf.DUMMYFUNCTION("""COMPUTED_VALUE"""),"Casa con un apartaestudio y dos locales en barrio Sevilla")</f>
        <v>Casa con un apartaestudio y dos locales en barrio Sevilla</v>
      </c>
      <c r="C49" s="46" t="str">
        <f>IFERROR(__xludf.DUMMYFUNCTION("""COMPUTED_VALUE"""),"Casa rentable")</f>
        <v>Casa rentable</v>
      </c>
      <c r="D49" s="46" t="str">
        <f>IFERROR(__xludf.DUMMYFUNCTION("""COMPUTED_VALUE"""),"Sevilla")</f>
        <v>Sevilla</v>
      </c>
      <c r="E49" s="46"/>
      <c r="F49" s="90">
        <f>IFERROR(__xludf.DUMMYFUNCTION("""COMPUTED_VALUE"""),6.3E8)</f>
        <v>630000000</v>
      </c>
      <c r="G49" s="46" t="str">
        <f>IFERROR(__xludf.DUMMYFUNCTION("""COMPUTED_VALUE"""),"$500'000.000 a $1.000'000.000")</f>
        <v>$500'000.000 a $1.000'000.000</v>
      </c>
      <c r="H49" s="46"/>
      <c r="I49" s="46"/>
      <c r="J49" s="46" t="str">
        <f>IFERROR(__xludf.DUMMYFUNCTION("""COMPUTED_VALUE"""),"Centro")</f>
        <v>Centro</v>
      </c>
      <c r="K49" s="87" t="str">
        <f>IFERROR(__xludf.DUMMYFUNCTION("""COMPUTED_VALUE"""),"3")</f>
        <v>3</v>
      </c>
      <c r="L49" s="46">
        <f>IFERROR(__xludf.DUMMYFUNCTION("""COMPUTED_VALUE"""),6.0)</f>
        <v>6</v>
      </c>
      <c r="M49" s="46"/>
      <c r="N49" s="46">
        <f>IFERROR(__xludf.DUMMYFUNCTION("""COMPUTED_VALUE"""),4.0)</f>
        <v>4</v>
      </c>
      <c r="O49" s="46">
        <f>IFERROR(__xludf.DUMMYFUNCTION("""COMPUTED_VALUE"""),1.0)</f>
        <v>1</v>
      </c>
      <c r="P49" s="46">
        <f>IFERROR(__xludf.DUMMYFUNCTION("""COMPUTED_VALUE"""),1.0)</f>
        <v>1</v>
      </c>
      <c r="Q49" s="92">
        <f>IFERROR(__xludf.DUMMYFUNCTION("""COMPUTED_VALUE"""),171.0)</f>
        <v>171</v>
      </c>
      <c r="R49" s="92">
        <f>IFERROR(__xludf.DUMMYFUNCTION("""COMPUTED_VALUE"""),171.0)</f>
        <v>171</v>
      </c>
      <c r="S49" s="87" t="str">
        <f>IFERROR(__xludf.DUMMYFUNCTION("""COMPUTED_VALUE"""),"Rentabilidad $1,500,000")</f>
        <v>Rentabilidad $1,500,000</v>
      </c>
      <c r="T49" s="46" t="str">
        <f>IFERROR(__xludf.DUMMYFUNCTION("""COMPUTED_VALUE"""),"Neiva")</f>
        <v>Neiva</v>
      </c>
      <c r="U49" s="87" t="str">
        <f>IFERROR(__xludf.DUMMYFUNCTION("""COMPUTED_VALUE"""),"4")</f>
        <v>4</v>
      </c>
      <c r="V49" s="46" t="str">
        <f>IFERROR(__xludf.DUMMYFUNCTION("""COMPUTED_VALUE"""),"Esquinera")</f>
        <v>Esquinera</v>
      </c>
      <c r="W49" s="46"/>
      <c r="X49" s="46">
        <f>IFERROR(__xludf.DUMMYFUNCTION("""COMPUTED_VALUE"""),4.0)</f>
        <v>4</v>
      </c>
      <c r="Y49" s="46" t="str">
        <f>IFERROR(__xludf.DUMMYFUNCTION("""COMPUTED_VALUE"""),"No tiene")</f>
        <v>No tiene</v>
      </c>
      <c r="Z49" s="90" t="str">
        <f>IFERROR(__xludf.DUMMYFUNCTION("""COMPUTED_VALUE"""),"No aplica")</f>
        <v>No aplica</v>
      </c>
      <c r="AA49" s="33" t="str">
        <f>IFERROR(__xludf.DUMMYFUNCTION("""COMPUTED_VALUE"""),"35 años")</f>
        <v>35 años</v>
      </c>
      <c r="AB49" s="144" t="str">
        <f>IFERROR(__xludf.DUMMYFUNCTION("""COMPUTED_VALUE"""),"https://photos.app.goo.gl/xZQqFfPcjaiK5Ky9A")</f>
        <v>https://photos.app.goo.gl/xZQqFfPcjaiK5Ky9A</v>
      </c>
      <c r="AC49" s="46" t="str">
        <f>IFERROR(__xludf.DUMMYFUNCTION("""COMPUTED_VALUE"""),"Casa esquinera con 171 mts2 estrato 2 consta de: 3 habitaciones 2 con baño, sala comedor, cocina semi-integral, zona de lavandería, patio, baño social, garaje, cuenta con 2 locales, 1 Aparta estudio con entrada independiente, pisos en cerámica, techo en M"&amp;"achimbre tipo español.")</f>
        <v>Casa esquinera con 171 mts2 estrato 2 consta de: 3 habitaciones 2 con baño, sala comedor, cocina semi-integral, zona de lavandería, patio, baño social, garaje, cuenta con 2 locales, 1 Aparta estudio con entrada independiente, pisos en cerámica, techo en Machimbre tipo español.</v>
      </c>
      <c r="AD49" s="46" t="str">
        <f>IFERROR(__xludf.DUMMYFUNCTION("""COMPUTED_VALUE"""),"Esquinera")</f>
        <v>Esquinera</v>
      </c>
      <c r="AE49" s="46"/>
      <c r="AF49" s="46" t="str">
        <f>IFERROR(__xludf.DUMMYFUNCTION("""COMPUTED_VALUE"""),"semi-integral")</f>
        <v>semi-integral</v>
      </c>
      <c r="AG49" s="46"/>
      <c r="AH49" s="46" t="str">
        <f>IFERROR(__xludf.DUMMYFUNCTION("""COMPUTED_VALUE"""),"Aliado")</f>
        <v>Aliado</v>
      </c>
      <c r="AI49" s="92" t="str">
        <f>IFERROR(__xludf.DUMMYFUNCTION("""COMPUTED_VALUE"""),"https://lh3.googleusercontent.com/pw/AP1GczPLo5Q331sbe9YG4Mi9fH1FRORONzn-SYT9WOZuzs8S_AnhXRZAnas2vvJ2-Cx-cJqXSip1IyVUFFYXZi3r8TYeT4PgJNuSMmGFwnJGcXzTjN85o7Ll=w1200|https://lh3.googleusercontent.com/pw/AP1GczP7RUimfVxtA8SwNEEyyiAOEZMOgc-P9GWfe7EPd6Rer-kIg5"&amp;"Et8H3dgSAmh1aCc21NjD9t9QWkW-1FiYgLEe4roKnr1lx5eCEl_zfNAaDnFQGYJ-MT=w1200|https://lh3.googleusercontent.com/pw/AP1GczPAWVx-YXXte2ohAua27OF9xoNwuYtvsBh5e7dE13ZOUeDjASRIoMMpgw91afZNOHjdfgWxofu1Plq4OrwhP4618hrQE_ICi3vohT7ftFWavClT1dPV=w1200|https://lh3.google"&amp;"usercontent.com/pw/AP1GczOvplp8R-dFJezR_PQtWm9wvej6FKIpzN87K7G6w6brXY9vh4J8qb6K4guoItjiMgh9fFEJA_dr98LlU_mCneE7QXhv39whocvE1P19wJuin82EufRX=w1200|https://lh3.googleusercontent.com/pw/AP1GczMZEZtkDpokxw_lkKWcpXkF2-fE-7RI1ndpiLL0-RYbIyp4_foURK_3qFlp6212tuv4"&amp;"VyX9LWXYYI1pihV4z1yN98vAe6QARQ6AyeSu0A2YM9oIBV7K=w1200|https://lh3.googleusercontent.com/pw/AP1GczMAM1xM-bigovV0DlpXOzN-CouhQ79PEeXUfG8lvJgdOXBvdvZzEpcUEfG5bMPVrHwzKqXlF3Wz-KRbwIitrD7AT2dLfhNSPNAM9ALyXEJe1S59hC3a=w1200|https://lh3.googleusercontent.com/pw"&amp;"/AP1GczMor3UuszLYfqiNjv_APOI3sRvVO_LslUxZSLCfRv7z7aVfuHghdqQPLVEPQUqlA8Ww7MCQZn6LJX6slLUE1dpiNNsWCIkdF6KhRvDpvVTHW1ZBOCTq=w1200|https://lh3.googleusercontent.com/pw/AP1GczPG4-s_mtE200Yz8sZ77rKG7b91UISwlgRfimhRWis3OQSezQbqaYPh9UTTu7EdhS9Lk826wWwO7bX576LECh"&amp;"p7ReoObfjam0OiAejHl59Je49C4hi9=w1200|https://lh3.googleusercontent.com/pw/AP1GczM99CMa7dz5ftA62NOypiZPcPHzqUphhqxQG4k57tmwrROhK7zhVkaq6WaHyrrBwg6JDwPYe1yLCFafJa_WFykfLVMUvwIY_GWxP8t39tXUhKfAda4u=w1200|https://lh3.googleusercontent.com/pw/AP1GczOWCJ5EiqHWn"&amp;"Cy_dIdH8uEvJHIzpYZFAYa3oNHBjzVgjD6vD7n28ZKx3hGGrzzt-11wxfGl_pcIkEJpNr2PUl_T7cvNuWwQOLkOcw321nx18hOfs1m0=w1200|https://lh3.googleusercontent.com/pw/AP1GczMOYHgbVKyq5RG8FE_aIKqSjYHOVNRjVaGi-67dCqv6_UPvH7blVrb9IdnxR4a3MZJRFO6ofwGYxemS6cdG39xNwW_XkOZb7QvdFdft"&amp;"jkPjx_mnIA5U=w1200|https://lh3.googleusercontent.com/pw/AP1GczPiyJsd-COrwrZqBML6LWopMzpMntBfcTNSNEqY0zT-RnhvzMALpTf3wWpyLmt1R3qbZPAJd7YsKju05j5RgWdHWa-C4Rs9ZgHrNdozdnkWNSvHpbh9=w1200|https://lh3.googleusercontent.com/pw/AP1GczM0Ol29TITRNr5VKEcln0GYxFSzXm5"&amp;"HJlcsLaij0fZaK3eSUEXuIx6onFR0gktiVsrUmZX5iYrw-3z121_PvDVOGx9qbM5kQHvGVkFVugA0WsI647Gz=w1200|https://lh3.googleusercontent.com/pw/AP1GczOaypFfuKRnXcwGkJHp-wSPS5hDbAitmei5SDoivWUZPwFaYiUWc0LQONOjs-vnKBqzqqLyes2WqRzhLv_Rg5iygpYI4Y2he5t014h6xjJOMPpqVMaO=w1200"&amp;"|https://lh3.googleusercontent.com/pw/AP1GczPh9kCZTs0ETIivaf9A9j9R6ULr4GN7sBuIXgYAKAAg7yGv130hTnlhUaTr1ZWu7dkx_PR-xN26kNMBjB4Kmb5KWk43GjDqezhoz2-49uln-VJkYpQK=w1200|https://lh3.googleusercontent.com/pw/AP1GczMFuqWI85fNTkt_Du0pqUs2JNjiIS_yT_NEC8FtXi2FdqkSy"&amp;"gbkE8l7vI3tec2II2Beg9ouXr4V6UWO8ctOCjabpbAlK-QbVKrJ05itLF5fEGOl_wxh=w1200|https://lh3.googleusercontent.com/pw/AP1GczOXNdihgP9MKOPhFtIyMWYoBe8XfyVMvgEGcxsP8WHHZ3Ab8eowAWc0B746pLmv0K2VTe_gtFcFjoCey1PkxejFEjT-pJMAPV8cbKcKxWxVyfkeb92G=w1200|https://lh3.googl"&amp;"eusercontent.com/pw/AP1GczOYpFGbR14CZgHmzP06j8ej12S2XXwahgwyRmPT474vV08ERgUuPyShfeblYiIYPSeISBqDXdRNvE-0TfffC8uYJfIgzeHw3jsLpNZuinwukDMZKKDa=w1200|https://lh3.googleusercontent.com/pw/AP1GczPeN9rAVe2LV8rvEYXS7Zq9MNslS61ehRlal-R0i6bp1G6pl4Ch6Eup4MK-bT7eCqS"&amp;"vlk9fOucRHUW6UV8xN6pDLqNGtwcOfBAherC6m3LVJ9BkAXyL=w1200|https://lh3.googleusercontent.com/pw/AP1GczP1C8nX63LKbiysSCIKT-FnhOlvzlsNxORwvGHYQaKVNLOu3g4AhTUOxeTrEkUQdt6mSgRjNvv3bIi9C8C7Puh3fbJWTLfQevsDx2YTR4g-YmbXoZWd=w1200|https://lh3.googleusercontent.com/p"&amp;"w/AP1GczNK7a_A771EH67_Vpq3Slp1NSzStYCR_QmSPCAKMIeG534LL0djnI-QwSmymTqMwfePk8YtBpumh0fElA6gZ-UC5242PtnTYmhfONNTe9Br94liEkia=w1200|https://lh3.googleusercontent.com/pw/AP1GczOtzu6qHKbOJxGGg5THp8KtEjtuBDT-xgVb9kem0Ym7MWi-m4bm2vIySPtcXDGARLm0XdMDqiTzH4aT5Nzii"&amp;"qMLV4Vh6q78ptNMUiq7uvurvvjp0B_b=w1200|https://lh3.googleusercontent.com/pw/AP1GczOm5GJNFmsbeCHTZi2XL-uE6354gpyyQyrcvsaceollez0U_5_HrXdDa1-oHwjqDj_ZHsosqqZtmfXZHwexZ2-Z4yOOj2uPGQJFrcDEUE4sTKVGYop8=w1200|https://lh3.googleusercontent.com/pw/AP1GczO6siIkWK6u"&amp;"sxCTXyihif5jsqJRlhw8VasJvP8PiO21rShiG6pFH-KFGPNg8m3ruskFWHJNLL45JkSEwwVfydhPes3qOmiuI4talxzy07aCQToVZKhZ=w1200|https://lh3.googleusercontent.com/pw/AP1GczOhSbRP1QzrrLq-uuTD99ZoKxlWXPKIZ4WskWhFFuicctbdvFwoL91JDfF5ppaQSb9p-BnTRHLh0rDvkJOwxTURV5H43WT1UcAQX5e"&amp;"0ovSVIjgR1M5P=w1200|https://lh3.googleusercontent.com/pw/AP1GczN63pws2TgN-g9KUuc0T8sX-nz-_kaWnOUH30TvN6ueZBtRnxvmMUSPSbH2fAVIrafXsmlQ2xYxwx-w7i9dsUUWsvKw7UtUkUN3SBdPI_rFMyh9S3Rr=w1200|https://lh3.googleusercontent.com/pw/AP1GczPr6x1xGJJXf3_HllcuVuEcuzkLCw"&amp;"UO4EiYHq5oR0i8H6INp6T1YYutbl42GrGanFQk-Iiyx6M4BBT6eAthfMYwXyVbgIzbYzUhjZe3XSjLwvIG15iZ=w1200")</f>
        <v>https://lh3.googleusercontent.com/pw/AP1GczPLo5Q331sbe9YG4Mi9fH1FRORONzn-SYT9WOZuzs8S_AnhXRZAnas2vvJ2-Cx-cJqXSip1IyVUFFYXZi3r8TYeT4PgJNuSMmGFwnJGcXzTjN85o7Ll=w1200|https://lh3.googleusercontent.com/pw/AP1GczP7RUimfVxtA8SwNEEyyiAOEZMOgc-P9GWfe7EPd6Rer-kIg5Et8H3dgSAmh1aCc21NjD9t9QWkW-1FiYgLEe4roKnr1lx5eCEl_zfNAaDnFQGYJ-MT=w1200|https://lh3.googleusercontent.com/pw/AP1GczPAWVx-YXXte2ohAua27OF9xoNwuYtvsBh5e7dE13ZOUeDjASRIoMMpgw91afZNOHjdfgWxofu1Plq4OrwhP4618hrQE_ICi3vohT7ftFWavClT1dPV=w1200|https://lh3.googleusercontent.com/pw/AP1GczOvplp8R-dFJezR_PQtWm9wvej6FKIpzN87K7G6w6brXY9vh4J8qb6K4guoItjiMgh9fFEJA_dr98LlU_mCneE7QXhv39whocvE1P19wJuin82EufRX=w1200|https://lh3.googleusercontent.com/pw/AP1GczMZEZtkDpokxw_lkKWcpXkF2-fE-7RI1ndpiLL0-RYbIyp4_foURK_3qFlp6212tuv4VyX9LWXYYI1pihV4z1yN98vAe6QARQ6AyeSu0A2YM9oIBV7K=w1200|https://lh3.googleusercontent.com/pw/AP1GczMAM1xM-bigovV0DlpXOzN-CouhQ79PEeXUfG8lvJgdOXBvdvZzEpcUEfG5bMPVrHwzKqXlF3Wz-KRbwIitrD7AT2dLfhNSPNAM9ALyXEJe1S59hC3a=w1200|https://lh3.googleusercontent.com/pw/AP1GczMor3UuszLYfqiNjv_APOI3sRvVO_LslUxZSLCfRv7z7aVfuHghdqQPLVEPQUqlA8Ww7MCQZn6LJX6slLUE1dpiNNsWCIkdF6KhRvDpvVTHW1ZBOCTq=w1200|https://lh3.googleusercontent.com/pw/AP1GczPG4-s_mtE200Yz8sZ77rKG7b91UISwlgRfimhRWis3OQSezQbqaYPh9UTTu7EdhS9Lk826wWwO7bX576LEChp7ReoObfjam0OiAejHl59Je49C4hi9=w1200|https://lh3.googleusercontent.com/pw/AP1GczM99CMa7dz5ftA62NOypiZPcPHzqUphhqxQG4k57tmwrROhK7zhVkaq6WaHyrrBwg6JDwPYe1yLCFafJa_WFykfLVMUvwIY_GWxP8t39tXUhKfAda4u=w1200|https://lh3.googleusercontent.com/pw/AP1GczOWCJ5EiqHWnCy_dIdH8uEvJHIzpYZFAYa3oNHBjzVgjD6vD7n28ZKx3hGGrzzt-11wxfGl_pcIkEJpNr2PUl_T7cvNuWwQOLkOcw321nx18hOfs1m0=w1200|https://lh3.googleusercontent.com/pw/AP1GczMOYHgbVKyq5RG8FE_aIKqSjYHOVNRjVaGi-67dCqv6_UPvH7blVrb9IdnxR4a3MZJRFO6ofwGYxemS6cdG39xNwW_XkOZb7QvdFdftjkPjx_mnIA5U=w1200|https://lh3.googleusercontent.com/pw/AP1GczPiyJsd-COrwrZqBML6LWopMzpMntBfcTNSNEqY0zT-RnhvzMALpTf3wWpyLmt1R3qbZPAJd7YsKju05j5RgWdHWa-C4Rs9ZgHrNdozdnkWNSvHpbh9=w1200|https://lh3.googleusercontent.com/pw/AP1GczM0Ol29TITRNr5VKEcln0GYxFSzXm5HJlcsLaij0fZaK3eSUEXuIx6onFR0gktiVsrUmZX5iYrw-3z121_PvDVOGx9qbM5kQHvGVkFVugA0WsI647Gz=w1200|https://lh3.googleusercontent.com/pw/AP1GczOaypFfuKRnXcwGkJHp-wSPS5hDbAitmei5SDoivWUZPwFaYiUWc0LQONOjs-vnKBqzqqLyes2WqRzhLv_Rg5iygpYI4Y2he5t014h6xjJOMPpqVMaO=w1200|https://lh3.googleusercontent.com/pw/AP1GczPh9kCZTs0ETIivaf9A9j9R6ULr4GN7sBuIXgYAKAAg7yGv130hTnlhUaTr1ZWu7dkx_PR-xN26kNMBjB4Kmb5KWk43GjDqezhoz2-49uln-VJkYpQK=w1200|https://lh3.googleusercontent.com/pw/AP1GczMFuqWI85fNTkt_Du0pqUs2JNjiIS_yT_NEC8FtXi2FdqkSygbkE8l7vI3tec2II2Beg9ouXr4V6UWO8ctOCjabpbAlK-QbVKrJ05itLF5fEGOl_wxh=w1200|https://lh3.googleusercontent.com/pw/AP1GczOXNdihgP9MKOPhFtIyMWYoBe8XfyVMvgEGcxsP8WHHZ3Ab8eowAWc0B746pLmv0K2VTe_gtFcFjoCey1PkxejFEjT-pJMAPV8cbKcKxWxVyfkeb92G=w1200|https://lh3.googleusercontent.com/pw/AP1GczOYpFGbR14CZgHmzP06j8ej12S2XXwahgwyRmPT474vV08ERgUuPyShfeblYiIYPSeISBqDXdRNvE-0TfffC8uYJfIgzeHw3jsLpNZuinwukDMZKKDa=w1200|https://lh3.googleusercontent.com/pw/AP1GczPeN9rAVe2LV8rvEYXS7Zq9MNslS61ehRlal-R0i6bp1G6pl4Ch6Eup4MK-bT7eCqSvlk9fOucRHUW6UV8xN6pDLqNGtwcOfBAherC6m3LVJ9BkAXyL=w1200|https://lh3.googleusercontent.com/pw/AP1GczP1C8nX63LKbiysSCIKT-FnhOlvzlsNxORwvGHYQaKVNLOu3g4AhTUOxeTrEkUQdt6mSgRjNvv3bIi9C8C7Puh3fbJWTLfQevsDx2YTR4g-YmbXoZWd=w1200|https://lh3.googleusercontent.com/pw/AP1GczNK7a_A771EH67_Vpq3Slp1NSzStYCR_QmSPCAKMIeG534LL0djnI-QwSmymTqMwfePk8YtBpumh0fElA6gZ-UC5242PtnTYmhfONNTe9Br94liEkia=w1200|https://lh3.googleusercontent.com/pw/AP1GczOtzu6qHKbOJxGGg5THp8KtEjtuBDT-xgVb9kem0Ym7MWi-m4bm2vIySPtcXDGARLm0XdMDqiTzH4aT5NziiqMLV4Vh6q78ptNMUiq7uvurvvjp0B_b=w1200|https://lh3.googleusercontent.com/pw/AP1GczOm5GJNFmsbeCHTZi2XL-uE6354gpyyQyrcvsaceollez0U_5_HrXdDa1-oHwjqDj_ZHsosqqZtmfXZHwexZ2-Z4yOOj2uPGQJFrcDEUE4sTKVGYop8=w1200|https://lh3.googleusercontent.com/pw/AP1GczO6siIkWK6usxCTXyihif5jsqJRlhw8VasJvP8PiO21rShiG6pFH-KFGPNg8m3ruskFWHJNLL45JkSEwwVfydhPes3qOmiuI4talxzy07aCQToVZKhZ=w1200|https://lh3.googleusercontent.com/pw/AP1GczOhSbRP1QzrrLq-uuTD99ZoKxlWXPKIZ4WskWhFFuicctbdvFwoL91JDfF5ppaQSb9p-BnTRHLh0rDvkJOwxTURV5H43WT1UcAQX5e0ovSVIjgR1M5P=w1200|https://lh3.googleusercontent.com/pw/AP1GczN63pws2TgN-g9KUuc0T8sX-nz-_kaWnOUH30TvN6ueZBtRnxvmMUSPSbH2fAVIrafXsmlQ2xYxwx-w7i9dsUUWsvKw7UtUkUN3SBdPI_rFMyh9S3Rr=w1200|https://lh3.googleusercontent.com/pw/AP1GczPr6x1xGJJXf3_HllcuVuEcuzkLCwUO4EiYHq5oR0i8H6INp6T1YYutbl42GrGanFQk-Iiyx6M4BBT6eAthfMYwXyVbgIzbYzUhjZe3XSjLwvIG15iZ=w1200</v>
      </c>
      <c r="AJ49" s="46"/>
      <c r="AK49" s="46"/>
      <c r="AL49" s="46"/>
      <c r="AM49" s="46"/>
      <c r="AN49" s="46"/>
      <c r="AO49" s="46"/>
      <c r="AP49" s="46"/>
      <c r="AQ49" s="46"/>
      <c r="AR49" s="46"/>
      <c r="AS49" s="46"/>
      <c r="AT49" s="46"/>
      <c r="AU49" s="46"/>
      <c r="AV49" s="46"/>
      <c r="AW49" s="46"/>
      <c r="AX49" s="46"/>
      <c r="AY49" s="46"/>
      <c r="AZ49" s="46"/>
      <c r="BA49" s="46"/>
      <c r="BB49" s="46"/>
      <c r="BC49" s="46"/>
      <c r="BD49" s="46"/>
      <c r="BE49" s="46"/>
      <c r="BF49" s="46"/>
      <c r="BG49" s="46"/>
      <c r="BH49" s="46"/>
      <c r="BI49" s="46"/>
      <c r="BJ49" s="46"/>
      <c r="BK49" s="46"/>
      <c r="BL49" s="46"/>
      <c r="BM49" s="46"/>
      <c r="BN49" s="46"/>
      <c r="BO49" s="46"/>
      <c r="BP49" s="46"/>
      <c r="BQ49" s="46"/>
      <c r="BR49" s="46"/>
      <c r="BS49" s="46"/>
      <c r="BT49" s="46"/>
      <c r="BU49" s="46"/>
      <c r="BV49" s="46"/>
      <c r="BW49" s="46"/>
      <c r="BX49" s="46"/>
      <c r="BY49" s="46"/>
      <c r="BZ49" s="46"/>
      <c r="CA49" s="46"/>
      <c r="CB49" s="46"/>
      <c r="CC49" s="46"/>
    </row>
    <row r="50">
      <c r="A50" s="87" t="str">
        <f>IFERROR(__xludf.DUMMYFUNCTION("""COMPUTED_VALUE"""),"1687")</f>
        <v>1687</v>
      </c>
      <c r="B50" s="46" t="str">
        <f>IFERROR(__xludf.DUMMYFUNCTION("""COMPUTED_VALUE"""),"Casa en conjunto Prado Alto")</f>
        <v>Casa en conjunto Prado Alto</v>
      </c>
      <c r="C50" s="46" t="str">
        <f>IFERROR(__xludf.DUMMYFUNCTION("""COMPUTED_VALUE"""),"Casa en conjunto")</f>
        <v>Casa en conjunto</v>
      </c>
      <c r="D50" s="46"/>
      <c r="E50" s="90" t="str">
        <f>IFERROR(__xludf.DUMMYFUNCTION("""COMPUTED_VALUE"""),"Conjunto Condominio Prado Alto")</f>
        <v>Conjunto Condominio Prado Alto</v>
      </c>
      <c r="F50" s="90">
        <f>IFERROR(__xludf.DUMMYFUNCTION("""COMPUTED_VALUE"""),6.0E8)</f>
        <v>600000000</v>
      </c>
      <c r="G50" s="46" t="str">
        <f>IFERROR(__xludf.DUMMYFUNCTION("""COMPUTED_VALUE"""),"$500'000.000 a $1.000'000.000")</f>
        <v>$500'000.000 a $1.000'000.000</v>
      </c>
      <c r="H50" s="46"/>
      <c r="I50" s="46"/>
      <c r="J50" s="46" t="str">
        <f>IFERROR(__xludf.DUMMYFUNCTION("""COMPUTED_VALUE"""),"Oriente")</f>
        <v>Oriente</v>
      </c>
      <c r="K50" s="87"/>
      <c r="L50" s="46">
        <f>IFERROR(__xludf.DUMMYFUNCTION("""COMPUTED_VALUE"""),3.0)</f>
        <v>3</v>
      </c>
      <c r="M50" s="46"/>
      <c r="N50" s="46">
        <f>IFERROR(__xludf.DUMMYFUNCTION("""COMPUTED_VALUE"""),3.0)</f>
        <v>3</v>
      </c>
      <c r="O50" s="46">
        <f>IFERROR(__xludf.DUMMYFUNCTION("""COMPUTED_VALUE"""),1.0)</f>
        <v>1</v>
      </c>
      <c r="P50" s="46">
        <f>IFERROR(__xludf.DUMMYFUNCTION("""COMPUTED_VALUE"""),2.0)</f>
        <v>2</v>
      </c>
      <c r="Q50" s="92">
        <f>IFERROR(__xludf.DUMMYFUNCTION("""COMPUTED_VALUE"""),127.0)</f>
        <v>127</v>
      </c>
      <c r="R50" s="92">
        <f>IFERROR(__xludf.DUMMYFUNCTION("""COMPUTED_VALUE"""),110.0)</f>
        <v>110</v>
      </c>
      <c r="S50" s="87" t="str">
        <f>IFERROR(__xludf.DUMMYFUNCTION("""COMPUTED_VALUE""")," ")</f>
        <v> </v>
      </c>
      <c r="T50" s="46" t="str">
        <f>IFERROR(__xludf.DUMMYFUNCTION("""COMPUTED_VALUE"""),"Neiva")</f>
        <v>Neiva</v>
      </c>
      <c r="U50" s="87" t="str">
        <f>IFERROR(__xludf.DUMMYFUNCTION("""COMPUTED_VALUE"""),"4")</f>
        <v>4</v>
      </c>
      <c r="V50" s="46" t="str">
        <f>IFERROR(__xludf.DUMMYFUNCTION("""COMPUTED_VALUE"""),"Medianera")</f>
        <v>Medianera</v>
      </c>
      <c r="W50" s="46"/>
      <c r="X50" s="46">
        <f>IFERROR(__xludf.DUMMYFUNCTION("""COMPUTED_VALUE"""),3.0)</f>
        <v>3</v>
      </c>
      <c r="Y50" s="46" t="str">
        <f>IFERROR(__xludf.DUMMYFUNCTION("""COMPUTED_VALUE"""),"Social")</f>
        <v>Social</v>
      </c>
      <c r="Z50" s="90">
        <f>IFERROR(__xludf.DUMMYFUNCTION("""COMPUTED_VALUE"""),0.0)</f>
        <v>0</v>
      </c>
      <c r="AA50" s="33" t="str">
        <f>IFERROR(__xludf.DUMMYFUNCTION("""COMPUTED_VALUE"""),"No aplica")</f>
        <v>No aplica</v>
      </c>
      <c r="AB50" s="96" t="str">
        <f>IFERROR(__xludf.DUMMYFUNCTION("""COMPUTED_VALUE"""),"https://photos.app.goo.gl/TGt2f1jyWRnTtP9N8")</f>
        <v>https://photos.app.goo.gl/TGt2f1jyWRnTtP9N8</v>
      </c>
      <c r="AC50" s="46" t="str">
        <f>IFERROR(__xludf.DUMMYFUNCTION("""COMPUTED_VALUE"""),"Casa de 2 pisos ubicada en uno de los sectores más exclusivos y centrales de la ciudad. Perfecta para quienes buscan seguridad, tranquilidad y una excelente calidad de vida. Distribución del inmueble: Primer Piso: Parqueadero privado. Sala amplia y comedo"&amp;"r independiente. Estudio ideal para home office. Cocina integral con barra auxiliar. Zona de lavandería con alacena. Depósitos uno interno y el otro externo. Baño de visitas. Amplia terraza interna. Acceso directo a reserva natural, perfecta para disfruta"&amp;"r de la tranquilidad y el aire puro. Segundo Piso: Sala de televisión o habitación sin closet 3 habitaciones con excelente iluminación. Baño auxiliar. Habitación principal con baño privado y vista privilegiada. Closets en madera de alta calidad.")</f>
        <v>Casa de 2 pisos ubicada en uno de los sectores más exclusivos y centrales de la ciudad. Perfecta para quienes buscan seguridad, tranquilidad y una excelente calidad de vida. Distribución del inmueble: Primer Piso: Parqueadero privado. Sala amplia y comedor independiente. Estudio ideal para home office. Cocina integral con barra auxiliar. Zona de lavandería con alacena. Depósitos uno interno y el otro externo. Baño de visitas. Amplia terraza interna. Acceso directo a reserva natural, perfecta para disfrutar de la tranquilidad y el aire puro. Segundo Piso: Sala de televisión o habitación sin closet 3 habitaciones con excelente iluminación. Baño auxiliar. Habitación principal con baño privado y vista privilegiada. Closets en madera de alta calidad.</v>
      </c>
      <c r="AD50" s="46" t="str">
        <f>IFERROR(__xludf.DUMMYFUNCTION("""COMPUTED_VALUE"""),"Casa bien ubicada y con buenos acabados.")</f>
        <v>Casa bien ubicada y con buenos acabados.</v>
      </c>
      <c r="AE50" s="46"/>
      <c r="AF50" s="46" t="str">
        <f>IFERROR(__xludf.DUMMYFUNCTION("""COMPUTED_VALUE"""),"integral")</f>
        <v>integral</v>
      </c>
      <c r="AG50" s="46"/>
      <c r="AH50" s="46" t="str">
        <f>IFERROR(__xludf.DUMMYFUNCTION("""COMPUTED_VALUE"""),"Aliado")</f>
        <v>Aliado</v>
      </c>
      <c r="AI50" s="92" t="str">
        <f>IFERROR(__xludf.DUMMYFUNCTION("""COMPUTED_VALUE"""),"https://lh3.googleusercontent.com/pw/AP1GczMlNo0IE1rNsrW_-MKZRiaY7CGprxzjmSJBNQIZXBAJOVPNKcXZ4M0H1obIgT424OgTeqW0PmNqwXMjHXlFk2mcqvKACU_gGAD_77Tb8F4CgRIf5hcW=w1200|https://lh3.googleusercontent.com/pw/AP1GczOUjokWC-94oCrnOWVrKHmV_nP8y0oRXDH9A7YrD3ifuuO4OO"&amp;"QsdPTDBawQiV40AOkZgM2O1FsxzFBLX9_cpl-ahrKb135K7Z_-TkQQ_zmMG-Fs0h9O=w1200|https://lh3.googleusercontent.com/pw/AP1GczPGKwxiIZKfDf6nRlSnQ5wuqyUzZ6GXDjL8bQOzv3F67PY6x-QKxv_Ss5itvSwzx-FZugNlvMWmVvoNGPU9lCIwfpVsDrjqyRCQuHxIlm0-7S3kbRVw=w1200|https://lh3.google"&amp;"usercontent.com/pw/AP1GczPYKqUFa9owmUDEO4V8DLqbXF3iW3OhwZS6CrNSJezfJlcsSvPMfjMO9Q2nafZ27BRTUtJHZbFuNfhi0Vo1L4YQDyGox76G731hpT1BGtN0gg-84Rum=w1200|https://lh3.googleusercontent.com/pw/AP1GczOY17viyNHR283oc472IqleoReEP4IlKs6WPkiQ6qlYloEkNugH2JYUtFdB5sRe5q1q"&amp;"i7-LkYHmU0zNpFYfABtubn4RD4eNgL7QxoAy_uAGeprPCOmh=w1200|https://lh3.googleusercontent.com/pw/AP1GczMaxxKa2_946ncsSxqb4ymo7lEQlQxaqtBTmEe9XJv7yJ4o_tvXcuSfrAXZLFSkEuVftmGFaKTgn9JUWXW8FKVXW7jyEe1wbfIj1kMhWs9gRySgGkKl=w1200|https://lh3.googleusercontent.com/pw"&amp;"/AP1GczOp8Q7XKOZnKY3_X9a_dxZreyK4jjwBzaOvUGbsFBeXIUqfaVEO-sGyNyAWVnEqxWYueWtC16eJIWw14FbwPq9Z2wapyLY07k90rH4f1Ru-FB6hQdLD=w1200|https://lh3.googleusercontent.com/pw/AP1GczMlCT6bReJJa8KuGMiih7_ncM5wW7P6QFEsCAT7VEMAbiKVKSx9EbHVG9DqpcbOv_6Be6-B14W68P730guyHH"&amp;"LPEsWHUmIJ11cP9yKn_UA5YgeRlyJs=w1200|https://lh3.googleusercontent.com/pw/AP1GczPjsUbSHtbz9_SXSa9-0NRPYIz2DOW_meFT3Sx86I0BpGnDiAWTPE6F2gy6oDNyoOoFYffoX28h2ndkT7PCGdbx2UUg7IufwpDirFp5E1uMDw_juAHw=w1200|https://lh3.googleusercontent.com/pw/AP1GczOwmpxf6yvGE"&amp;"-KvxqWFdrmpUeWPiBO-kw45jQSlZMMRiIPPni6UQCrJnHAhvVSzanQMV8QY30cFmM3IjB1_6tkho4m6JiZ5ecVceB5TWzBZY2_RoR_V=w1200|https://lh3.googleusercontent.com/pw/AP1GczNxtHVw3Oe8dxxdMTHxjwOZ-2QnPdZ36f6bonkL4Ws704YYIg-VOSLnAKe5C2SymaKxSDKhuqg6ZgK116D27SzMsltqTpCekUMuHIi_"&amp;"2U8ox48DLiyf=w1200|https://lh3.googleusercontent.com/pw/AP1GczPx_mnE5XVhpv6m6ZoaTsAq2qI9zcp9l09lCQQm20ZoWWY_9eu-PYP5DSLvPgjPAPONa5ZcEV_F-xV9alVCm5-jMTJSuQo94lngyw5MQYM5xiMvnZbk=w1200|https://lh3.googleusercontent.com/pw/AP1GczOaJJT1twu3pUIYqSV2QCAq-jSfnaK"&amp;"JknYoUKxyEznHVnWt64987Knz8_MRGvFu_n_cyuAaE5fW7nQbHBr6SaZobZEYHJN_hH6ytJy_q_waTqRjM2Hp=w1200|https://lh3.googleusercontent.com/pw/AP1GczPkW4pWiyDfQAtc3xXMiQv9eYNSA9p7mWzo9sYLQCpjchTWUAtvSVHwHC1qpfv8_f1-KMM_N_CfcQfAkkwrQF7_R02iKQAyTHpWPxfFh6uAq0DiUypb=w1200"&amp;"|https://lh3.googleusercontent.com/pw/AP1GczPdxmI2QQwOhT-uDxv02YSLGu4deGGFBPXNNBdS7toL60v8dV5Zo0FQcu8dLie24yWoioKh8HGm9HLFToFKGuX7mdLQcTCONq6moo4WCPkYXZXthyUH=w1200|https://lh3.googleusercontent.com/pw/AP1GczPMROHu5_wNTqNdiMvL1CqiDfk7PYI8cU7lq3kFqQ0B3bbYx"&amp;"xaTi_Bp2_Q01V_EO1tVboxy_XnjS5LW0REFDJAJhCv6HAuRc1roYETNGNWUyE0c4ZyD=w1200|https://lh3.googleusercontent.com/pw/AP1GczNfKwo8xJjBLvSCQQsEwst4p43otLPGmB_idtnsGz9okyd7L6y79fSredFYLQWjEcAICJLoCzAqapl4ZeXfub467Gbsp9589Hr14QQQNHz8Nkfud5rc=w1200|https://lh3.googl"&amp;"eusercontent.com/pw/AP1GczNw_VheVs4EMd217e1g6VYg5EkwVyuP8hzg9WAyfGpnSJDGGu2XUnpjwXggSJKxes5b9BvhTlUVHH4Swkljfc8FXuNq5ZpIMCX4HtoJJIrzUzh2vK25=w1200|https://lh3.googleusercontent.com/pw/AP1GczOLJ91mezaWZtbdI_8s1pjy_585rP8oQ3eVRNokbgV-PHtDyyLtuRDp9GnLwDRJKvI"&amp;"Ncp1PRIMbMcqxUHDG6L5PepuzPD5jLDLx8bXDLtHtQr4TVtSp=w1200|https://lh3.googleusercontent.com/pw/AP1GczMeDwEuUAv3xV2EWNviz-KyfxxlCfNfokqkgZgafofqxjH5CoxYe2EHY8-yqkGaNTmZebvtCwmiDJqnFyUoVqXje1gw_XJGa1rF4UYjixjpbgsA6clP=w1200|https://lh3.googleusercontent.com/p"&amp;"w/AP1GczM6OTtiKpYqtewwtuaripNGDhLCeXqzOz9oE-nqUsC3in8YrZLUWdObILc4bnSyvbAKA25sqQl08jh5i4gPPr3W12fwxhYpYoi-IRQ8ykxDW_Gii9X9=w1200|https://lh3.googleusercontent.com/pw/AP1GczOhjqgsLEt744ATqPknojFXgTTFPYBO5OXt0UPLKMXQd4KrYG4zhmwrmEMhXXIzXzndD_0fX3iFuuOCC1eCP"&amp;"ZHmaC98ukHUMMY4NJfrvWqNT0KWOrvq=w1200|https://lh3.googleusercontent.com/pw/AP1GczM1yIPscQs6crxr8mHoSZHUAxsF7B0E5UXxY_w6EpDKbqFP89oL9wIC1dtcqo7RdMCcFJxD0cCPaPTkA8ZGpLra0ysYpDCnY5ICp2o_vSgaGHpV13B_=w1200|https://lh3.googleusercontent.com/pw/AP1GczNcCSqtIr3l"&amp;"V3PRleBhaMtzMaTh2qLj8CYAqYjqS_rMY8DnuPwfaZskLA9YO6fBZrP72MIr_YuTmiO7oprdwyw231lzygsUelKc14zqronVI_TyTKJz=w1200")</f>
        <v>https://lh3.googleusercontent.com/pw/AP1GczMlNo0IE1rNsrW_-MKZRiaY7CGprxzjmSJBNQIZXBAJOVPNKcXZ4M0H1obIgT424OgTeqW0PmNqwXMjHXlFk2mcqvKACU_gGAD_77Tb8F4CgRIf5hcW=w1200|https://lh3.googleusercontent.com/pw/AP1GczOUjokWC-94oCrnOWVrKHmV_nP8y0oRXDH9A7YrD3ifuuO4OOQsdPTDBawQiV40AOkZgM2O1FsxzFBLX9_cpl-ahrKb135K7Z_-TkQQ_zmMG-Fs0h9O=w1200|https://lh3.googleusercontent.com/pw/AP1GczPGKwxiIZKfDf6nRlSnQ5wuqyUzZ6GXDjL8bQOzv3F67PY6x-QKxv_Ss5itvSwzx-FZugNlvMWmVvoNGPU9lCIwfpVsDrjqyRCQuHxIlm0-7S3kbRVw=w1200|https://lh3.googleusercontent.com/pw/AP1GczPYKqUFa9owmUDEO4V8DLqbXF3iW3OhwZS6CrNSJezfJlcsSvPMfjMO9Q2nafZ27BRTUtJHZbFuNfhi0Vo1L4YQDyGox76G731hpT1BGtN0gg-84Rum=w1200|https://lh3.googleusercontent.com/pw/AP1GczOY17viyNHR283oc472IqleoReEP4IlKs6WPkiQ6qlYloEkNugH2JYUtFdB5sRe5q1qi7-LkYHmU0zNpFYfABtubn4RD4eNgL7QxoAy_uAGeprPCOmh=w1200|https://lh3.googleusercontent.com/pw/AP1GczMaxxKa2_946ncsSxqb4ymo7lEQlQxaqtBTmEe9XJv7yJ4o_tvXcuSfrAXZLFSkEuVftmGFaKTgn9JUWXW8FKVXW7jyEe1wbfIj1kMhWs9gRySgGkKl=w1200|https://lh3.googleusercontent.com/pw/AP1GczOp8Q7XKOZnKY3_X9a_dxZreyK4jjwBzaOvUGbsFBeXIUqfaVEO-sGyNyAWVnEqxWYueWtC16eJIWw14FbwPq9Z2wapyLY07k90rH4f1Ru-FB6hQdLD=w1200|https://lh3.googleusercontent.com/pw/AP1GczMlCT6bReJJa8KuGMiih7_ncM5wW7P6QFEsCAT7VEMAbiKVKSx9EbHVG9DqpcbOv_6Be6-B14W68P730guyHHLPEsWHUmIJ11cP9yKn_UA5YgeRlyJs=w1200|https://lh3.googleusercontent.com/pw/AP1GczPjsUbSHtbz9_SXSa9-0NRPYIz2DOW_meFT3Sx86I0BpGnDiAWTPE6F2gy6oDNyoOoFYffoX28h2ndkT7PCGdbx2UUg7IufwpDirFp5E1uMDw_juAHw=w1200|https://lh3.googleusercontent.com/pw/AP1GczOwmpxf6yvGE-KvxqWFdrmpUeWPiBO-kw45jQSlZMMRiIPPni6UQCrJnHAhvVSzanQMV8QY30cFmM3IjB1_6tkho4m6JiZ5ecVceB5TWzBZY2_RoR_V=w1200|https://lh3.googleusercontent.com/pw/AP1GczNxtHVw3Oe8dxxdMTHxjwOZ-2QnPdZ36f6bonkL4Ws704YYIg-VOSLnAKe5C2SymaKxSDKhuqg6ZgK116D27SzMsltqTpCekUMuHIi_2U8ox48DLiyf=w1200|https://lh3.googleusercontent.com/pw/AP1GczPx_mnE5XVhpv6m6ZoaTsAq2qI9zcp9l09lCQQm20ZoWWY_9eu-PYP5DSLvPgjPAPONa5ZcEV_F-xV9alVCm5-jMTJSuQo94lngyw5MQYM5xiMvnZbk=w1200|https://lh3.googleusercontent.com/pw/AP1GczOaJJT1twu3pUIYqSV2QCAq-jSfnaKJknYoUKxyEznHVnWt64987Knz8_MRGvFu_n_cyuAaE5fW7nQbHBr6SaZobZEYHJN_hH6ytJy_q_waTqRjM2Hp=w1200|https://lh3.googleusercontent.com/pw/AP1GczPkW4pWiyDfQAtc3xXMiQv9eYNSA9p7mWzo9sYLQCpjchTWUAtvSVHwHC1qpfv8_f1-KMM_N_CfcQfAkkwrQF7_R02iKQAyTHpWPxfFh6uAq0DiUypb=w1200|https://lh3.googleusercontent.com/pw/AP1GczPdxmI2QQwOhT-uDxv02YSLGu4deGGFBPXNNBdS7toL60v8dV5Zo0FQcu8dLie24yWoioKh8HGm9HLFToFKGuX7mdLQcTCONq6moo4WCPkYXZXthyUH=w1200|https://lh3.googleusercontent.com/pw/AP1GczPMROHu5_wNTqNdiMvL1CqiDfk7PYI8cU7lq3kFqQ0B3bbYxxaTi_Bp2_Q01V_EO1tVboxy_XnjS5LW0REFDJAJhCv6HAuRc1roYETNGNWUyE0c4ZyD=w1200|https://lh3.googleusercontent.com/pw/AP1GczNfKwo8xJjBLvSCQQsEwst4p43otLPGmB_idtnsGz9okyd7L6y79fSredFYLQWjEcAICJLoCzAqapl4ZeXfub467Gbsp9589Hr14QQQNHz8Nkfud5rc=w1200|https://lh3.googleusercontent.com/pw/AP1GczNw_VheVs4EMd217e1g6VYg5EkwVyuP8hzg9WAyfGpnSJDGGu2XUnpjwXggSJKxes5b9BvhTlUVHH4Swkljfc8FXuNq5ZpIMCX4HtoJJIrzUzh2vK25=w1200|https://lh3.googleusercontent.com/pw/AP1GczOLJ91mezaWZtbdI_8s1pjy_585rP8oQ3eVRNokbgV-PHtDyyLtuRDp9GnLwDRJKvINcp1PRIMbMcqxUHDG6L5PepuzPD5jLDLx8bXDLtHtQr4TVtSp=w1200|https://lh3.googleusercontent.com/pw/AP1GczMeDwEuUAv3xV2EWNviz-KyfxxlCfNfokqkgZgafofqxjH5CoxYe2EHY8-yqkGaNTmZebvtCwmiDJqnFyUoVqXje1gw_XJGa1rF4UYjixjpbgsA6clP=w1200|https://lh3.googleusercontent.com/pw/AP1GczM6OTtiKpYqtewwtuaripNGDhLCeXqzOz9oE-nqUsC3in8YrZLUWdObILc4bnSyvbAKA25sqQl08jh5i4gPPr3W12fwxhYpYoi-IRQ8ykxDW_Gii9X9=w1200|https://lh3.googleusercontent.com/pw/AP1GczOhjqgsLEt744ATqPknojFXgTTFPYBO5OXt0UPLKMXQd4KrYG4zhmwrmEMhXXIzXzndD_0fX3iFuuOCC1eCPZHmaC98ukHUMMY4NJfrvWqNT0KWOrvq=w1200|https://lh3.googleusercontent.com/pw/AP1GczM1yIPscQs6crxr8mHoSZHUAxsF7B0E5UXxY_w6EpDKbqFP89oL9wIC1dtcqo7RdMCcFJxD0cCPaPTkA8ZGpLra0ysYpDCnY5ICp2o_vSgaGHpV13B_=w1200|https://lh3.googleusercontent.com/pw/AP1GczNcCSqtIr3lV3PRleBhaMtzMaTh2qLj8CYAqYjqS_rMY8DnuPwfaZskLA9YO6fBZrP72MIr_YuTmiO7oprdwyw231lzygsUelKc14zqronVI_TyTKJz=w1200</v>
      </c>
      <c r="AJ50" s="46"/>
      <c r="AK50" s="46"/>
      <c r="AL50" s="46"/>
      <c r="AM50" s="46"/>
      <c r="AN50" s="46"/>
      <c r="AO50" s="46"/>
      <c r="AP50" s="46"/>
      <c r="AQ50" s="46"/>
      <c r="AR50" s="46"/>
      <c r="AS50" s="46"/>
      <c r="AT50" s="46"/>
      <c r="AU50" s="46"/>
      <c r="AV50" s="46"/>
      <c r="AW50" s="46"/>
      <c r="AX50" s="46"/>
      <c r="AY50" s="46"/>
      <c r="AZ50" s="46"/>
      <c r="BA50" s="46"/>
      <c r="BB50" s="46"/>
      <c r="BC50" s="46"/>
      <c r="BD50" s="46"/>
      <c r="BE50" s="46"/>
      <c r="BF50" s="46"/>
      <c r="BG50" s="46"/>
      <c r="BH50" s="46"/>
      <c r="BI50" s="46"/>
      <c r="BJ50" s="46"/>
      <c r="BK50" s="46"/>
      <c r="BL50" s="46"/>
      <c r="BM50" s="46"/>
      <c r="BN50" s="46"/>
      <c r="BO50" s="46"/>
      <c r="BP50" s="46"/>
      <c r="BQ50" s="46"/>
      <c r="BR50" s="46"/>
      <c r="BS50" s="46"/>
      <c r="BT50" s="46"/>
      <c r="BU50" s="46"/>
      <c r="BV50" s="46"/>
      <c r="BW50" s="46"/>
      <c r="BX50" s="46"/>
      <c r="BY50" s="46"/>
      <c r="BZ50" s="46"/>
      <c r="CA50" s="46"/>
      <c r="CB50" s="46"/>
      <c r="CC50" s="46"/>
    </row>
    <row r="51">
      <c r="A51" s="87" t="str">
        <f>IFERROR(__xludf.DUMMYFUNCTION("""COMPUTED_VALUE"""),"1499")</f>
        <v>1499</v>
      </c>
      <c r="B51" s="46" t="str">
        <f>IFERROR(__xludf.DUMMYFUNCTION("""COMPUTED_VALUE"""),"Lote campestre en urbanización Villa de los Angeles - Palermo")</f>
        <v>Lote campestre en urbanización Villa de los Angeles - Palermo</v>
      </c>
      <c r="C51" s="46" t="str">
        <f>IFERROR(__xludf.DUMMYFUNCTION("""COMPUTED_VALUE"""),"Lote")</f>
        <v>Lote</v>
      </c>
      <c r="D51" s="46" t="str">
        <f>IFERROR(__xludf.DUMMYFUNCTION("""COMPUTED_VALUE"""),"Villa de los Angeles")</f>
        <v>Villa de los Angeles</v>
      </c>
      <c r="E51" s="46"/>
      <c r="F51" s="90">
        <f>IFERROR(__xludf.DUMMYFUNCTION("""COMPUTED_VALUE"""),6.0E8)</f>
        <v>600000000</v>
      </c>
      <c r="G51" s="46" t="str">
        <f>IFERROR(__xludf.DUMMYFUNCTION("""COMPUTED_VALUE"""),"$500'000.000 a $1.000'000.000")</f>
        <v>$500'000.000 a $1.000'000.000</v>
      </c>
      <c r="H51" s="46"/>
      <c r="I51" s="46"/>
      <c r="J51" s="46" t="str">
        <f>IFERROR(__xludf.DUMMYFUNCTION("""COMPUTED_VALUE"""),"Sur")</f>
        <v>Sur</v>
      </c>
      <c r="K51" s="87"/>
      <c r="L51" s="46">
        <f>IFERROR(__xludf.DUMMYFUNCTION("""COMPUTED_VALUE"""),0.0)</f>
        <v>0</v>
      </c>
      <c r="M51" s="46"/>
      <c r="N51" s="46">
        <f>IFERROR(__xludf.DUMMYFUNCTION("""COMPUTED_VALUE"""),0.0)</f>
        <v>0</v>
      </c>
      <c r="O51" s="46">
        <f>IFERROR(__xludf.DUMMYFUNCTION("""COMPUTED_VALUE"""),0.0)</f>
        <v>0</v>
      </c>
      <c r="P51" s="46">
        <f>IFERROR(__xludf.DUMMYFUNCTION("""COMPUTED_VALUE"""),0.0)</f>
        <v>0</v>
      </c>
      <c r="Q51" s="92">
        <f>IFERROR(__xludf.DUMMYFUNCTION("""COMPUTED_VALUE"""),100.0)</f>
        <v>100</v>
      </c>
      <c r="R51" s="92">
        <f>IFERROR(__xludf.DUMMYFUNCTION("""COMPUTED_VALUE"""),1456.0)</f>
        <v>1456</v>
      </c>
      <c r="S51" s="87" t="str">
        <f>IFERROR(__xludf.DUMMYFUNCTION("""COMPUTED_VALUE""")," ")</f>
        <v> </v>
      </c>
      <c r="T51" s="46" t="str">
        <f>IFERROR(__xludf.DUMMYFUNCTION("""COMPUTED_VALUE"""),"Palermo")</f>
        <v>Palermo</v>
      </c>
      <c r="U51" s="87"/>
      <c r="V51" s="46" t="str">
        <f>IFERROR(__xludf.DUMMYFUNCTION("""COMPUTED_VALUE"""),"Medianera")</f>
        <v>Medianera</v>
      </c>
      <c r="W51" s="46"/>
      <c r="X51" s="46">
        <f>IFERROR(__xludf.DUMMYFUNCTION("""COMPUTED_VALUE"""),0.0)</f>
        <v>0</v>
      </c>
      <c r="Y51" s="46" t="str">
        <f>IFERROR(__xludf.DUMMYFUNCTION("""COMPUTED_VALUE"""),"No tiene")</f>
        <v>No tiene</v>
      </c>
      <c r="Z51" s="90"/>
      <c r="AA51" s="33" t="str">
        <f>IFERROR(__xludf.DUMMYFUNCTION("""COMPUTED_VALUE"""),"No aplica")</f>
        <v>No aplica</v>
      </c>
      <c r="AB51" s="96" t="str">
        <f>IFERROR(__xludf.DUMMYFUNCTION("""COMPUTED_VALUE"""),"https://photos.app.goo.gl/miJXk3Vn6KxRUDot5")</f>
        <v>https://photos.app.goo.gl/miJXk3Vn6KxRUDot5</v>
      </c>
      <c r="AC51" s="46" t="str">
        <f>IFERROR(__xludf.DUMMYFUNCTION("""COMPUTED_VALUE"""),"lote campestre con un área de 1.456 M2, con servicio de energía, agua y alcantarillado, está ubicado en urbanización villa de los ángeles Palermo-Hula.")</f>
        <v>lote campestre con un área de 1.456 M2, con servicio de energía, agua y alcantarillado, está ubicado en urbanización villa de los ángeles Palermo-Hula.</v>
      </c>
      <c r="AD51" s="46" t="str">
        <f>IFERROR(__xludf.DUMMYFUNCTION("""COMPUTED_VALUE"""),"Lote bien ubicado.")</f>
        <v>Lote bien ubicado.</v>
      </c>
      <c r="AE51" s="46"/>
      <c r="AF51" s="46">
        <f>IFERROR(__xludf.DUMMYFUNCTION("""COMPUTED_VALUE"""),0.0)</f>
        <v>0</v>
      </c>
      <c r="AG51" s="46"/>
      <c r="AH51" s="46" t="str">
        <f>IFERROR(__xludf.DUMMYFUNCTION("""COMPUTED_VALUE"""),"Aliado")</f>
        <v>Aliado</v>
      </c>
      <c r="AI51" s="92" t="str">
        <f>IFERROR(__xludf.DUMMYFUNCTION("""COMPUTED_VALUE"""),"https://lh3.googleusercontent.com/pw/AP1GczMqr5NsZRQoaI4piI6sKpd5M-TEmaTvSl17-BE097QEzCaww55u8yQ-lEZtw2fWv1Ncs1wTju_F_36mIqxtETlFUd9lVGUjjR9vXjMpiakIL2AI0ZuM=w1200|https://lh3.googleusercontent.com/pw/AP1GczPWx4prwlW2_mlmH4qiJ4kbezmZ7AGAf8g2OH67Dx8t4oeGVr"&amp;"fPFKizlC1lbLM-zxiV3f0zaXxg5dnF-7e73ilI6UEbwlRur11kaD_4VQ375B7LEgvx=w1200|https://lh3.googleusercontent.com/pw/AP1GczMRuTEjnYpXGZiDbepYZ4F1sSFdJ0_qrWyY1-CFv5Q0Z9aTf7kCe9jVO3jMLronyZjd-690WoEULBtJMNinJibQKHAubBEUGXCkSrOHcRK68-Tjdo8u=w1200|https://lh3.google"&amp;"usercontent.com/pw/AP1GczOFGZEE52AbxmY7PpC78tHI24q1ZcLknBP0J9NrUjAlm8xVG7I9EuWY1B9iovg3p-fXC1pjzNTuME7pfvkWtj_iVk4bMOauGd-Nr2_T7vbYzV_9UK0Z=w1200|https://lh3.googleusercontent.com/pw/AP1GczPwOkrmL8Y6F0WvOPf2F8yDVls7NBO2sN-CawkY7M9EWja4d0RrOvtaLC8GbF2Eg6Jd"&amp;"8BU36LoXmYTUGMIqceJ3OYSOmHKzcfBmUQB1DdWojfVv8bA5=w1200|https://lh3.googleusercontent.com/pw/AP1GczMB5I3-byhnyeDDtABYcrYbBP9WrAtWacvyW7hHBp6cE5DtrpF8Z3QlyUDGhJESmEGyAZ8segbXP4e_5sB87JNiTM-x8cVeyjDe0_Mpe3ZvH0cxCiC0=w1200|https://lh3.googleusercontent.com/pw"&amp;"/AP1GczOHiYW3rQUrOSPBO9isPn9j3NXVXz-uOBADVfmadhYNuInh9nzldAzM_O6rwCWAtaVppZMMSAwW8zo3frKTNGQ3rKHvE8u6FeapzTQTH9ep1z-tfbl7=w1200|https://lh3.googleusercontent.com/pw/AP1GczNZNC3OsOJg3D_bjLEbrot_wdP9CPyfo9Kx8maV8JQSM-czphcHOEVyCdAJ76N78c7-YhveRqv7BB6aFSctgC"&amp;"BrnXomCX-lnThGJDj5Z_m0VXiGWucs=w1200|https://lh3.googleusercontent.com/pw/AP1GczMKBLjvdYnhTFPVbUSGnIutHTB4sI73yvmTurnHrJVt9e4AZQXYYOpPgqfGECBoRrbZJwfV96aZVzTMUE7jtx_VIazuIrISCf7M23IIS6mAsoXl2Ijy=w1200|https://lh3.googleusercontent.com/pw/AP1GczPP-YXy9S4Oy"&amp;"Q2kQ-IUAEZqWCrOqHVWUlEE7hJSHMM-YA5_zL48mvLzlUhSsU7wBIqlR8GOZ8VgLUSeu6e6n9qaJHxymczH1qzZK5B8VsZ1wIO3ZIDK=w1200|https://lh3.googleusercontent.com/pw/AP1GczPBO9Ne9VGxhUcaenhHm9jQvLtkE9MbPZSA_kVjyzWCLysit3ekuhDO1QJbYkXwzLdzl_znvS5htLZxCEs-D8nkj-1PSB4CHMlrM_l-"&amp;"zb4402f3SBfZ=w1200|https://lh3.googleusercontent.com/pw/AP1GczOzbmNfUIo9BGESyy7vzFVRNS-AVDZS1arVkVhk_XTJa1N2lk9-je26veHNVmC-oHHOl9MXroLObqh8VVGNF6QljfVeZq8F6U_R2cF3ondPf0aWhej-=w1200|https://lh3.googleusercontent.com/pw/AP1GczMBYi3N3R0HKQINni5NgZHyUAM1acp"&amp;"BFOPO35jgSKL5UelhF1-MTgdsCO-WnNN3mFQKH_ksb0ss8gDuw-TFKxFL5pcskogOtoLgsSSnl1xW2TGc7qMX=w1200|https://lh3.googleusercontent.com/pw/AP1GczMoAPtz2COYLRoSKc8fIYcQurf7icVdJz1mvduF3-SzFUyyfLut0VH6X_kS4sFV0SRAULHfzHjoc4MVd9SY-LHz9Ler2g_dtBZCEOk2U0td7r4S3OgG=w1200")</f>
        <v>https://lh3.googleusercontent.com/pw/AP1GczMqr5NsZRQoaI4piI6sKpd5M-TEmaTvSl17-BE097QEzCaww55u8yQ-lEZtw2fWv1Ncs1wTju_F_36mIqxtETlFUd9lVGUjjR9vXjMpiakIL2AI0ZuM=w1200|https://lh3.googleusercontent.com/pw/AP1GczPWx4prwlW2_mlmH4qiJ4kbezmZ7AGAf8g2OH67Dx8t4oeGVrfPFKizlC1lbLM-zxiV3f0zaXxg5dnF-7e73ilI6UEbwlRur11kaD_4VQ375B7LEgvx=w1200|https://lh3.googleusercontent.com/pw/AP1GczMRuTEjnYpXGZiDbepYZ4F1sSFdJ0_qrWyY1-CFv5Q0Z9aTf7kCe9jVO3jMLronyZjd-690WoEULBtJMNinJibQKHAubBEUGXCkSrOHcRK68-Tjdo8u=w1200|https://lh3.googleusercontent.com/pw/AP1GczOFGZEE52AbxmY7PpC78tHI24q1ZcLknBP0J9NrUjAlm8xVG7I9EuWY1B9iovg3p-fXC1pjzNTuME7pfvkWtj_iVk4bMOauGd-Nr2_T7vbYzV_9UK0Z=w1200|https://lh3.googleusercontent.com/pw/AP1GczPwOkrmL8Y6F0WvOPf2F8yDVls7NBO2sN-CawkY7M9EWja4d0RrOvtaLC8GbF2Eg6Jd8BU36LoXmYTUGMIqceJ3OYSOmHKzcfBmUQB1DdWojfVv8bA5=w1200|https://lh3.googleusercontent.com/pw/AP1GczMB5I3-byhnyeDDtABYcrYbBP9WrAtWacvyW7hHBp6cE5DtrpF8Z3QlyUDGhJESmEGyAZ8segbXP4e_5sB87JNiTM-x8cVeyjDe0_Mpe3ZvH0cxCiC0=w1200|https://lh3.googleusercontent.com/pw/AP1GczOHiYW3rQUrOSPBO9isPn9j3NXVXz-uOBADVfmadhYNuInh9nzldAzM_O6rwCWAtaVppZMMSAwW8zo3frKTNGQ3rKHvE8u6FeapzTQTH9ep1z-tfbl7=w1200|https://lh3.googleusercontent.com/pw/AP1GczNZNC3OsOJg3D_bjLEbrot_wdP9CPyfo9Kx8maV8JQSM-czphcHOEVyCdAJ76N78c7-YhveRqv7BB6aFSctgCBrnXomCX-lnThGJDj5Z_m0VXiGWucs=w1200|https://lh3.googleusercontent.com/pw/AP1GczMKBLjvdYnhTFPVbUSGnIutHTB4sI73yvmTurnHrJVt9e4AZQXYYOpPgqfGECBoRrbZJwfV96aZVzTMUE7jtx_VIazuIrISCf7M23IIS6mAsoXl2Ijy=w1200|https://lh3.googleusercontent.com/pw/AP1GczPP-YXy9S4OyQ2kQ-IUAEZqWCrOqHVWUlEE7hJSHMM-YA5_zL48mvLzlUhSsU7wBIqlR8GOZ8VgLUSeu6e6n9qaJHxymczH1qzZK5B8VsZ1wIO3ZIDK=w1200|https://lh3.googleusercontent.com/pw/AP1GczPBO9Ne9VGxhUcaenhHm9jQvLtkE9MbPZSA_kVjyzWCLysit3ekuhDO1QJbYkXwzLdzl_znvS5htLZxCEs-D8nkj-1PSB4CHMlrM_l-zb4402f3SBfZ=w1200|https://lh3.googleusercontent.com/pw/AP1GczOzbmNfUIo9BGESyy7vzFVRNS-AVDZS1arVkVhk_XTJa1N2lk9-je26veHNVmC-oHHOl9MXroLObqh8VVGNF6QljfVeZq8F6U_R2cF3ondPf0aWhej-=w1200|https://lh3.googleusercontent.com/pw/AP1GczMBYi3N3R0HKQINni5NgZHyUAM1acpBFOPO35jgSKL5UelhF1-MTgdsCO-WnNN3mFQKH_ksb0ss8gDuw-TFKxFL5pcskogOtoLgsSSnl1xW2TGc7qMX=w1200|https://lh3.googleusercontent.com/pw/AP1GczMoAPtz2COYLRoSKc8fIYcQurf7icVdJz1mvduF3-SzFUyyfLut0VH6X_kS4sFV0SRAULHfzHjoc4MVd9SY-LHz9Ler2g_dtBZCEOk2U0td7r4S3OgG=w1200</v>
      </c>
      <c r="AJ51" s="46"/>
      <c r="AK51" s="46"/>
      <c r="AL51" s="46"/>
      <c r="AM51" s="46"/>
      <c r="AN51" s="46"/>
      <c r="AO51" s="46"/>
      <c r="AP51" s="46"/>
      <c r="AQ51" s="46"/>
      <c r="AR51" s="46"/>
      <c r="AS51" s="46"/>
      <c r="AT51" s="46"/>
      <c r="AU51" s="46"/>
      <c r="AV51" s="46"/>
      <c r="AW51" s="46"/>
      <c r="AX51" s="46"/>
      <c r="AY51" s="46"/>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row>
    <row r="52">
      <c r="A52" s="87" t="str">
        <f>IFERROR(__xludf.DUMMYFUNCTION("""COMPUTED_VALUE"""),"1754")</f>
        <v>1754</v>
      </c>
      <c r="B52" s="46" t="str">
        <f>IFERROR(__xludf.DUMMYFUNCTION("""COMPUTED_VALUE"""),"Apartamento en Conjunto Residencial Tangara Ciudadela Nio - Av. 26")</f>
        <v>Apartamento en Conjunto Residencial Tangara Ciudadela Nio - Av. 26</v>
      </c>
      <c r="C52" s="46" t="str">
        <f>IFERROR(__xludf.DUMMYFUNCTION("""COMPUTED_VALUE"""),"Apartamento en conjunto")</f>
        <v>Apartamento en conjunto</v>
      </c>
      <c r="D52" s="46" t="str">
        <f>IFERROR(__xludf.DUMMYFUNCTION("""COMPUTED_VALUE"""),"Las Granjas")</f>
        <v>Las Granjas</v>
      </c>
      <c r="E52" s="90" t="str">
        <f>IFERROR(__xludf.DUMMYFUNCTION("""COMPUTED_VALUE"""),"Tangara NIO")</f>
        <v>Tangara NIO</v>
      </c>
      <c r="F52" s="90">
        <f>IFERROR(__xludf.DUMMYFUNCTION("""COMPUTED_VALUE"""),5.5E8)</f>
        <v>550000000</v>
      </c>
      <c r="G52" s="46" t="str">
        <f>IFERROR(__xludf.DUMMYFUNCTION("""COMPUTED_VALUE"""),"$500'000.000 a $1.000'000.000")</f>
        <v>$500'000.000 a $1.000'000.000</v>
      </c>
      <c r="H52" s="46"/>
      <c r="I52" s="46"/>
      <c r="J52" s="46" t="str">
        <f>IFERROR(__xludf.DUMMYFUNCTION("""COMPUTED_VALUE"""),"Norte")</f>
        <v>Norte</v>
      </c>
      <c r="K52" s="87" t="str">
        <f>IFERROR(__xludf.DUMMYFUNCTION("""COMPUTED_VALUE"""),"2")</f>
        <v>2</v>
      </c>
      <c r="L52" s="46">
        <f>IFERROR(__xludf.DUMMYFUNCTION("""COMPUTED_VALUE"""),3.0)</f>
        <v>3</v>
      </c>
      <c r="M52" s="46"/>
      <c r="N52" s="46">
        <f>IFERROR(__xludf.DUMMYFUNCTION("""COMPUTED_VALUE"""),2.0)</f>
        <v>2</v>
      </c>
      <c r="O52" s="46">
        <f>IFERROR(__xludf.DUMMYFUNCTION("""COMPUTED_VALUE"""),1.0)</f>
        <v>1</v>
      </c>
      <c r="P52" s="46">
        <f>IFERROR(__xludf.DUMMYFUNCTION("""COMPUTED_VALUE"""),7.0)</f>
        <v>7</v>
      </c>
      <c r="Q52" s="92">
        <f>IFERROR(__xludf.DUMMYFUNCTION("""COMPUTED_VALUE"""),115.0)</f>
        <v>115</v>
      </c>
      <c r="R52" s="92">
        <f>IFERROR(__xludf.DUMMYFUNCTION("""COMPUTED_VALUE"""),115.0)</f>
        <v>115</v>
      </c>
      <c r="S52" s="87" t="str">
        <f>IFERROR(__xludf.DUMMYFUNCTION("""COMPUTED_VALUE""")," ")</f>
        <v> </v>
      </c>
      <c r="T52" s="46" t="str">
        <f>IFERROR(__xludf.DUMMYFUNCTION("""COMPUTED_VALUE"""),"Neiva")</f>
        <v>Neiva</v>
      </c>
      <c r="U52" s="87" t="str">
        <f>IFERROR(__xludf.DUMMYFUNCTION("""COMPUTED_VALUE"""),"4")</f>
        <v>4</v>
      </c>
      <c r="V52" s="46" t="str">
        <f>IFERROR(__xludf.DUMMYFUNCTION("""COMPUTED_VALUE"""),"7mo.")</f>
        <v>7mo.</v>
      </c>
      <c r="W52" s="46"/>
      <c r="X52" s="46">
        <f>IFERROR(__xludf.DUMMYFUNCTION("""COMPUTED_VALUE"""),3.0)</f>
        <v>3</v>
      </c>
      <c r="Y52" s="46" t="str">
        <f>IFERROR(__xludf.DUMMYFUNCTION("""COMPUTED_VALUE"""),"Social")</f>
        <v>Social</v>
      </c>
      <c r="Z52" s="90">
        <f>IFERROR(__xludf.DUMMYFUNCTION("""COMPUTED_VALUE"""),359000.0)</f>
        <v>359000</v>
      </c>
      <c r="AA52" s="33" t="str">
        <f>IFERROR(__xludf.DUMMYFUNCTION("""COMPUTED_VALUE"""),"No aplica")</f>
        <v>No aplica</v>
      </c>
      <c r="AB52" s="96" t="str">
        <f>IFERROR(__xludf.DUMMYFUNCTION("""COMPUTED_VALUE"""),"https://photos.app.goo.gl/cNY2uJopLj7HEEue6")</f>
        <v>https://photos.app.goo.gl/cNY2uJopLj7HEEue6</v>
      </c>
      <c r="AC52" s="46" t="str">
        <f>IFERROR(__xludf.DUMMYFUNCTION("""COMPUTED_VALUE"""),"Apartamento en un séptimo piso, en una zona de gran valorización, este hermoso apartamento combina elegancia, comodidad y tranquilidad. Distribución del inmueble: sala-comedor amplia y acogedora con aire acondicionado, estudio moderna cocina integral abie"&amp;"rta, amplia e iluminada")</f>
        <v>Apartamento en un séptimo piso, en una zona de gran valorización, este hermoso apartamento combina elegancia, comodidad y tranquilidad. Distribución del inmueble: sala-comedor amplia y acogedora con aire acondicionado, estudio moderna cocina integral abierta, amplia e iluminada</v>
      </c>
      <c r="AD52" s="46" t="str">
        <f>IFERROR(__xludf.DUMMYFUNCTION("""COMPUTED_VALUE"""),"Apartamento bien ubicado y con buenos aacabados.")</f>
        <v>Apartamento bien ubicado y con buenos aacabados.</v>
      </c>
      <c r="AE52" s="46"/>
      <c r="AF52" s="46" t="str">
        <f>IFERROR(__xludf.DUMMYFUNCTION("""COMPUTED_VALUE"""),"integral")</f>
        <v>integral</v>
      </c>
      <c r="AG52" s="46"/>
      <c r="AH52" s="46" t="str">
        <f>IFERROR(__xludf.DUMMYFUNCTION("""COMPUTED_VALUE"""),"Aliado")</f>
        <v>Aliado</v>
      </c>
      <c r="AI52" s="92" t="str">
        <f>IFERROR(__xludf.DUMMYFUNCTION("""COMPUTED_VALUE"""),"https://lh3.googleusercontent.com/pw/AP1GczN8haUwFXiZMaPMGm7Ng02eeR6Crva--FaIqoMatJvt1Ag80681tSex6FT3Gn3w0g1lXaPlx-1tflKlHxoBE2Xj0i3_vInX0TZONh3EOkoLnmACfFTn=w1200|https://lh3.googleusercontent.com/pw/AP1GczMRh3amiwbhexpbu2WhP9-EZg7h9Ad8BfD-Ku3fVQi3qwBU1z"&amp;"aybokRYRKMlCnjN6wk2SoSFqQgA3KzFwTrpU9UELZjR8d_LPD2dAyTemDtcCkXABek=w1200|https://lh3.googleusercontent.com/pw/AP1GczPKZt1ivMl1bfBLmm05YZVor34rapq1hgtoEmfpg0NQNv8fvF1oLs9WzPpbA3aJ8ZpXskHRPmXFKLaNrif_zUS1A94v4-Ek-znyeO1tSK0klaU-2Xem=w1200|https://lh3.google"&amp;"usercontent.com/pw/AP1GczNczYjlMOwPUYICb5ETnYMjqlei4yUJrmavllO2TXbSvKFwXMVXpd6OTLwLfds9GUAUwB_iFVZdPkxTv-pi00ir0vdCBgVw8LQCyH9IN5yLgTRBB_CY=w1200|https://lh3.googleusercontent.com/pw/AP1GczOtJ7cGdhGxzL4X3hfl30tWshyuF3L4GgyCNhH4MWUUnv-xBwE1mRlMlqiOH6SC6KQ2"&amp;"39T1VlsnM5HT7Mv0nugJF6bqW5EU6uOVH9CkfWSkrFRXCyFg=w1200|https://lh3.googleusercontent.com/pw/AP1GczMlFepCRMdogg_Q1O1_M6HLrShAlMLoRxaYZmuLqYsjYs86Lwf8gZ1Jy-o9jPnH_-kw6B-FBiAq7wGrZnoajel7htceYyagWJmT-snOKnDn09Wdjbjg=w1200|https://lh3.googleusercontent.com/pw"&amp;"/AP1GczNVo8Qyfl9M-fBeRIXptKpfhU1LVwrif5sgbpfxfEp6KFxt38ud006tEk4HWnGQ4HpB2gE43sYyAYNKrUtdiv78e94Gfa1CcoQmuTYKvNznGUq20_sf=w1200|https://lh3.googleusercontent.com/pw/AP1GczOZij3Q-zS8CcDG3PlfYfwJPJPVn2iK9XPyRu1kVITI5V-UcG9k2T2dVpb-lmGf1wNIJtBujk11OCSi_BKYar"&amp;"MBN6KWzkS0UisupareSjXlvTaPrwnz=w1200|https://lh3.googleusercontent.com/pw/AP1GczMECcaGXdF062I9h0IEzXkmpDU8Nr5VqT53M1j6ZT114OkQWW0FwAvhAEO0I3VXep1ceq9vakCwodsNnBRgDHv3hwpuVNa4iyP-_oPr3fKemMofh4Ed=w1200|https://lh3.googleusercontent.com/pw/AP1GczPVO3uNG6zeT"&amp;"rO_p1mlEUht3OkuKga1Q-CvDcNn6Zc3QzGKzmJ1XNTPu_BFWsRo90oruYTc5HrmZnlG7aqYjyZ1EE17HWH5L4WIeDRMr0bAfRKibvMk=w1200|https://lh3.googleusercontent.com/pw/AP1GczP7leTzcAjUhdeCC6sS8MG0ep1d7GDWcKKBjqz2fkgzthh6KScCLDeZJ34di4ywO2g0wAKgf-gsG6BR5hY-1AH3R4nEpFACZa7lJQVS"&amp;"8v3v07IkoLyW=w1200|https://lh3.googleusercontent.com/pw/AP1GczOr2Izpka4tcS16BlLxYxW2Vz980NZbKC3a5L_81b6fQB4WZQ65MazG3-Y2oLjFvtyi0D9ZbQ80OoK7ymALZuK92fNiz8WfUbrKyiOMW_OzqE8cJI-g=w1200|https://lh3.googleusercontent.com/pw/AP1GczO_lxOwz7ZRH63vgJZMHY_CsjjEzJQ"&amp;"unXQX0xat7kkW0kZeJg6BzxBzjP6c1_FF0Id1BfvNlsB7z9xDQhyP8wk5CShmhktF8-o8VuLzFLehp_uO1VJ8=w1200|https://lh3.googleusercontent.com/pw/AP1GczNL2C2EMdbC7DjpLqPpphmXE_zUof8fBLfZQ6-ibUttvFrxMMcUwjh0lkbgXMGe-ZNFWHGCEzzHkJc2DDhQ0Jeptf5VZXhieVMnxV6waMOb6BtQtT_I=w1200"&amp;"|https://lh3.googleusercontent.com/pw/AP1GczOg31qnewrl4ljDpML9FzKyyRbls8lOQCsRDuJGaJ36QPeF5a3KqKsMFdie9lCLG_1ZBF9Lnm7_TCoKSPth7jm-jEJy-G6J0VmjfgbV__g_VJNm2Dq6=w1200|https://lh3.googleusercontent.com/pw/AP1GczNc-lf0534hYKSrQ0ACa0YhUF_vGAjyIvfulYIqaqnDXxSw2"&amp;"FAcPCoC8Jq1nqlrOr9uu-nFBe02_JiFx7NvVcWo9oAQbd3DwMN_FOYEsoTYk9en6wHO=w1200")</f>
        <v>https://lh3.googleusercontent.com/pw/AP1GczN8haUwFXiZMaPMGm7Ng02eeR6Crva--FaIqoMatJvt1Ag80681tSex6FT3Gn3w0g1lXaPlx-1tflKlHxoBE2Xj0i3_vInX0TZONh3EOkoLnmACfFTn=w1200|https://lh3.googleusercontent.com/pw/AP1GczMRh3amiwbhexpbu2WhP9-EZg7h9Ad8BfD-Ku3fVQi3qwBU1zaybokRYRKMlCnjN6wk2SoSFqQgA3KzFwTrpU9UELZjR8d_LPD2dAyTemDtcCkXABek=w1200|https://lh3.googleusercontent.com/pw/AP1GczPKZt1ivMl1bfBLmm05YZVor34rapq1hgtoEmfpg0NQNv8fvF1oLs9WzPpbA3aJ8ZpXskHRPmXFKLaNrif_zUS1A94v4-Ek-znyeO1tSK0klaU-2Xem=w1200|https://lh3.googleusercontent.com/pw/AP1GczNczYjlMOwPUYICb5ETnYMjqlei4yUJrmavllO2TXbSvKFwXMVXpd6OTLwLfds9GUAUwB_iFVZdPkxTv-pi00ir0vdCBgVw8LQCyH9IN5yLgTRBB_CY=w1200|https://lh3.googleusercontent.com/pw/AP1GczOtJ7cGdhGxzL4X3hfl30tWshyuF3L4GgyCNhH4MWUUnv-xBwE1mRlMlqiOH6SC6KQ239T1VlsnM5HT7Mv0nugJF6bqW5EU6uOVH9CkfWSkrFRXCyFg=w1200|https://lh3.googleusercontent.com/pw/AP1GczMlFepCRMdogg_Q1O1_M6HLrShAlMLoRxaYZmuLqYsjYs86Lwf8gZ1Jy-o9jPnH_-kw6B-FBiAq7wGrZnoajel7htceYyagWJmT-snOKnDn09Wdjbjg=w1200|https://lh3.googleusercontent.com/pw/AP1GczNVo8Qyfl9M-fBeRIXptKpfhU1LVwrif5sgbpfxfEp6KFxt38ud006tEk4HWnGQ4HpB2gE43sYyAYNKrUtdiv78e94Gfa1CcoQmuTYKvNznGUq20_sf=w1200|https://lh3.googleusercontent.com/pw/AP1GczOZij3Q-zS8CcDG3PlfYfwJPJPVn2iK9XPyRu1kVITI5V-UcG9k2T2dVpb-lmGf1wNIJtBujk11OCSi_BKYarMBN6KWzkS0UisupareSjXlvTaPrwnz=w1200|https://lh3.googleusercontent.com/pw/AP1GczMECcaGXdF062I9h0IEzXkmpDU8Nr5VqT53M1j6ZT114OkQWW0FwAvhAEO0I3VXep1ceq9vakCwodsNnBRgDHv3hwpuVNa4iyP-_oPr3fKemMofh4Ed=w1200|https://lh3.googleusercontent.com/pw/AP1GczPVO3uNG6zeTrO_p1mlEUht3OkuKga1Q-CvDcNn6Zc3QzGKzmJ1XNTPu_BFWsRo90oruYTc5HrmZnlG7aqYjyZ1EE17HWH5L4WIeDRMr0bAfRKibvMk=w1200|https://lh3.googleusercontent.com/pw/AP1GczP7leTzcAjUhdeCC6sS8MG0ep1d7GDWcKKBjqz2fkgzthh6KScCLDeZJ34di4ywO2g0wAKgf-gsG6BR5hY-1AH3R4nEpFACZa7lJQVS8v3v07IkoLyW=w1200|https://lh3.googleusercontent.com/pw/AP1GczOr2Izpka4tcS16BlLxYxW2Vz980NZbKC3a5L_81b6fQB4WZQ65MazG3-Y2oLjFvtyi0D9ZbQ80OoK7ymALZuK92fNiz8WfUbrKyiOMW_OzqE8cJI-g=w1200|https://lh3.googleusercontent.com/pw/AP1GczO_lxOwz7ZRH63vgJZMHY_CsjjEzJQunXQX0xat7kkW0kZeJg6BzxBzjP6c1_FF0Id1BfvNlsB7z9xDQhyP8wk5CShmhktF8-o8VuLzFLehp_uO1VJ8=w1200|https://lh3.googleusercontent.com/pw/AP1GczNL2C2EMdbC7DjpLqPpphmXE_zUof8fBLfZQ6-ibUttvFrxMMcUwjh0lkbgXMGe-ZNFWHGCEzzHkJc2DDhQ0Jeptf5VZXhieVMnxV6waMOb6BtQtT_I=w1200|https://lh3.googleusercontent.com/pw/AP1GczOg31qnewrl4ljDpML9FzKyyRbls8lOQCsRDuJGaJ36QPeF5a3KqKsMFdie9lCLG_1ZBF9Lnm7_TCoKSPth7jm-jEJy-G6J0VmjfgbV__g_VJNm2Dq6=w1200|https://lh3.googleusercontent.com/pw/AP1GczNc-lf0534hYKSrQ0ACa0YhUF_vGAjyIvfulYIqaqnDXxSw2FAcPCoC8Jq1nqlrOr9uu-nFBe02_JiFx7NvVcWo9oAQbd3DwMN_FOYEsoTYk9en6wHO=w1200</v>
      </c>
      <c r="AJ52" s="46"/>
      <c r="AK52" s="46"/>
      <c r="AL52" s="46"/>
      <c r="AM52" s="46"/>
      <c r="AN52" s="46"/>
      <c r="AO52" s="46"/>
      <c r="AP52" s="46"/>
      <c r="AQ52" s="46"/>
      <c r="AR52" s="46"/>
      <c r="AS52" s="46"/>
      <c r="AT52" s="46"/>
      <c r="AU52" s="46"/>
      <c r="AV52" s="46"/>
      <c r="AW52" s="46"/>
      <c r="AX52" s="46"/>
      <c r="AY52" s="46"/>
      <c r="AZ52" s="46"/>
      <c r="BA52" s="46"/>
      <c r="BB52" s="46"/>
      <c r="BC52" s="46"/>
      <c r="BD52" s="46"/>
      <c r="BE52" s="46"/>
      <c r="BF52" s="46"/>
      <c r="BG52" s="46"/>
      <c r="BH52" s="46"/>
      <c r="BI52" s="46"/>
      <c r="BJ52" s="46"/>
      <c r="BK52" s="46"/>
      <c r="BL52" s="46"/>
      <c r="BM52" s="46"/>
      <c r="BN52" s="46"/>
      <c r="BO52" s="46"/>
      <c r="BP52" s="46"/>
      <c r="BQ52" s="46"/>
      <c r="BR52" s="46"/>
      <c r="BS52" s="46"/>
      <c r="BT52" s="46"/>
      <c r="BU52" s="46"/>
      <c r="BV52" s="46"/>
      <c r="BW52" s="46"/>
      <c r="BX52" s="46"/>
      <c r="BY52" s="46"/>
      <c r="BZ52" s="46"/>
      <c r="CA52" s="46"/>
      <c r="CB52" s="46"/>
      <c r="CC52" s="46"/>
    </row>
    <row r="53">
      <c r="A53" s="87" t="str">
        <f>IFERROR(__xludf.DUMMYFUNCTION("""COMPUTED_VALUE"""),"1509")</f>
        <v>1509</v>
      </c>
      <c r="B53" s="46" t="str">
        <f>IFERROR(__xludf.DUMMYFUNCTION("""COMPUTED_VALUE"""),"Apartamento en edificio Puerto Madero - Av. La Toma")</f>
        <v>Apartamento en edificio Puerto Madero - Av. La Toma</v>
      </c>
      <c r="C53" s="46" t="str">
        <f>IFERROR(__xludf.DUMMYFUNCTION("""COMPUTED_VALUE"""),"Apartamento")</f>
        <v>Apartamento</v>
      </c>
      <c r="D53" s="46" t="str">
        <f>IFERROR(__xludf.DUMMYFUNCTION("""COMPUTED_VALUE"""),"Centro")</f>
        <v>Centro</v>
      </c>
      <c r="E53" s="90"/>
      <c r="F53" s="90">
        <f>IFERROR(__xludf.DUMMYFUNCTION("""COMPUTED_VALUE"""),5.5E8)</f>
        <v>550000000</v>
      </c>
      <c r="G53" s="46" t="str">
        <f>IFERROR(__xludf.DUMMYFUNCTION("""COMPUTED_VALUE"""),"$500'000.000 a $1.000'000.000")</f>
        <v>$500'000.000 a $1.000'000.000</v>
      </c>
      <c r="H53" s="46"/>
      <c r="I53" s="46"/>
      <c r="J53" s="46" t="str">
        <f>IFERROR(__xludf.DUMMYFUNCTION("""COMPUTED_VALUE"""),"Centro")</f>
        <v>Centro</v>
      </c>
      <c r="K53" s="87" t="str">
        <f>IFERROR(__xludf.DUMMYFUNCTION("""COMPUTED_VALUE"""),"4")</f>
        <v>4</v>
      </c>
      <c r="L53" s="46">
        <f>IFERROR(__xludf.DUMMYFUNCTION("""COMPUTED_VALUE"""),3.0)</f>
        <v>3</v>
      </c>
      <c r="M53" s="46"/>
      <c r="N53" s="46">
        <f>IFERROR(__xludf.DUMMYFUNCTION("""COMPUTED_VALUE"""),4.0)</f>
        <v>4</v>
      </c>
      <c r="O53" s="46">
        <f>IFERROR(__xludf.DUMMYFUNCTION("""COMPUTED_VALUE"""),2.0)</f>
        <v>2</v>
      </c>
      <c r="P53" s="46">
        <f>IFERROR(__xludf.DUMMYFUNCTION("""COMPUTED_VALUE"""),11.0)</f>
        <v>11</v>
      </c>
      <c r="Q53" s="92">
        <f>IFERROR(__xludf.DUMMYFUNCTION("""COMPUTED_VALUE"""),121.0)</f>
        <v>121</v>
      </c>
      <c r="R53" s="92">
        <f>IFERROR(__xludf.DUMMYFUNCTION("""COMPUTED_VALUE"""),121.0)</f>
        <v>121</v>
      </c>
      <c r="S53" s="87" t="str">
        <f>IFERROR(__xludf.DUMMYFUNCTION("""COMPUTED_VALUE""")," ")</f>
        <v> </v>
      </c>
      <c r="T53" s="46" t="str">
        <f>IFERROR(__xludf.DUMMYFUNCTION("""COMPUTED_VALUE"""),"Neiva")</f>
        <v>Neiva</v>
      </c>
      <c r="U53" s="87" t="str">
        <f>IFERROR(__xludf.DUMMYFUNCTION("""COMPUTED_VALUE"""),"5")</f>
        <v>5</v>
      </c>
      <c r="V53" s="46" t="str">
        <f>IFERROR(__xludf.DUMMYFUNCTION("""COMPUTED_VALUE"""),"11vo.")</f>
        <v>11vo.</v>
      </c>
      <c r="W53" s="46"/>
      <c r="X53" s="46">
        <f>IFERROR(__xludf.DUMMYFUNCTION("""COMPUTED_VALUE"""),3.0)</f>
        <v>3</v>
      </c>
      <c r="Y53" s="46" t="str">
        <f>IFERROR(__xludf.DUMMYFUNCTION("""COMPUTED_VALUE"""),"Social")</f>
        <v>Social</v>
      </c>
      <c r="Z53" s="90">
        <f>IFERROR(__xludf.DUMMYFUNCTION("""COMPUTED_VALUE"""),413000.0)</f>
        <v>413000</v>
      </c>
      <c r="AA53" s="33" t="str">
        <f>IFERROR(__xludf.DUMMYFUNCTION("""COMPUTED_VALUE"""),"No aplica")</f>
        <v>No aplica</v>
      </c>
      <c r="AB53" s="96" t="str">
        <f>IFERROR(__xludf.DUMMYFUNCTION("""COMPUTED_VALUE"""),"https://photos.app.goo.gl/WuMAyVsKhxwLkpPZ8")</f>
        <v>https://photos.app.goo.gl/WuMAyVsKhxwLkpPZ8</v>
      </c>
      <c r="AC53" s="46" t="str">
        <f>IFERROR(__xludf.DUMMYFUNCTION("""COMPUTED_VALUE"""),"Se vende Apto ubicado en el 11º piso en el Edificio Puerto Madero, con un área de 120.92 m2 Consta de: 3 Habitaciones con closet en madera, dos de ellas con aire acondicionado, las 3 habitaciones cuentan con baño privado y balcón, sala, comedor, baño soci"&amp;"al, cocina integral, Baño Auxiliar, zona de lavandería. El apartamento cuenta con Aire acondicionado central para todo el apartamento, cortinas eléctricas, depósito y 2 parqueaderos. El edificio cuenta con 2 salones sociales, zona de BBQ, piscina, parque "&amp;"infantil, gimnasio, sauna. ESTRATO 5.")</f>
        <v>Se vende Apto ubicado en el 11º piso en el Edificio Puerto Madero, con un área de 120.92 m2 Consta de: 3 Habitaciones con closet en madera, dos de ellas con aire acondicionado, las 3 habitaciones cuentan con baño privado y balcón, sala, comedor, baño social, cocina integral, Baño Auxiliar, zona de lavandería. El apartamento cuenta con Aire acondicionado central para todo el apartamento, cortinas eléctricas, depósito y 2 parqueaderos. El edificio cuenta con 2 salones sociales, zona de BBQ, piscina, parque infantil, gimnasio, sauna. ESTRATO 5.</v>
      </c>
      <c r="AD53" s="46" t="str">
        <f>IFERROR(__xludf.DUMMYFUNCTION("""COMPUTED_VALUE"""),"Apartamento bien ubicado sobre la Av. La Toma y con buenos acabados. Cortinas eléctricas y aire central.")</f>
        <v>Apartamento bien ubicado sobre la Av. La Toma y con buenos acabados. Cortinas eléctricas y aire central.</v>
      </c>
      <c r="AE53" s="46"/>
      <c r="AF53" s="46" t="str">
        <f>IFERROR(__xludf.DUMMYFUNCTION("""COMPUTED_VALUE"""),"integral")</f>
        <v>integral</v>
      </c>
      <c r="AG53" s="46"/>
      <c r="AH53" s="46" t="str">
        <f>IFERROR(__xludf.DUMMYFUNCTION("""COMPUTED_VALUE"""),"Aliado")</f>
        <v>Aliado</v>
      </c>
      <c r="AI53" s="92" t="str">
        <f>IFERROR(__xludf.DUMMYFUNCTION("""COMPUTED_VALUE"""),"https://lh3.googleusercontent.com/pw/AP1GczM1If7vI1bnKDI3bLbnvyYES4Tj41QEgTF-0hHdI-88-MA5sfM_FwJLu5Vux7wbVLMRT091o19Cw2PMrbQaV4o9e_T5jeCNyarIbGVVIexgfKhsm4GN=w1200|https://lh3.googleusercontent.com/pw/AP1GczMbdoWSCn7-sVLmT3_uZlZBUHOycx7x0Y4sd-iLcu5s6NzEzl"&amp;"JrZ1eTQnf1WpIl_8lJGrUl5wbinG6H2M9wGKcAl98S7NAmVaGfCwRVaNDrmnSF71zl=w1200|https://lh3.googleusercontent.com/pw/AP1GczNwFywUkzve7vdOyRIjhobE5BDL5lkXAxAhTJyjBonu5VXvUHQEqaHvhCc3xwxy31UVsH-q6rIKliQt-tYEhwZZkLs4L9mqNSp0TXb0r2N2lm74xIoS=w1200|https://lh3.google"&amp;"usercontent.com/pw/AP1GczPf-86dVq8fatCRs3VaZ972Qcv0WvO1GsCNFJguQc2CgF98WTy-luShYvPBtljNOAZNVyKIFUoZgZ9NAEq0xmwq_CTAP8nuout6oWfnkCEorG6KBONX=w1200|https://lh3.googleusercontent.com/pw/AP1GczN8j9pWIYs7CC0jet1cj5VSuwO3VgM6bYLc5_00Mnq12WG9u4xNljvOMehK5pCf3RZo"&amp;"rT36MBhdf5nnSQ3dQ-4Bl8S4OCIqzX6PD7SET8bo288T4Isp=w1200|https://lh3.googleusercontent.com/pw/AP1GczOOiUsHFFvdCcH5aQNpUOmQQ5qHWXUUDLNOrt_X3CxoGCxJCFftajV_Gr2u5hs0s-nO48dy96WLdy-BQoBanTIguagNNHPiN6_LTpo_WZJKMoF__GJI=w1200|https://lh3.googleusercontent.com/pw"&amp;"/AP1GczN_guE1pRupQO-iW6MdqsJIvgMzgwN3vZTbDwCSOPwVOy6ZwPIMox2YAsaIQAlmSw-kZVa64kHCpFyc46y8OQXrpiEeF-0nluUBkz1IvWOHnOvdXqeI=w1200|https://lh3.googleusercontent.com/pw/AP1GczOTTbzQChQX-64cawpPMxKSBn0N37BCzkA9RkuNSI3Oqw0iBupXAkkjbjjxVWyzgK-fCA-mVkSoRsWRUs2sRT"&amp;"QNmph4JOF78y71Rsaz5-u_CB_xF3m9=w1200|https://lh3.googleusercontent.com/pw/AP1GczN24UHtPvtNWcjwlZUuFfQStuDAmRXuquVCJ_FrlCuGu-Y7EpntOBpzYWgM45syjVKgJ_Na4p9D94G4eEw2QfdB0QH8EnaOFQup16qYGKqx64IQ2etF=w1200|https://lh3.googleusercontent.com/pw/AP1GczP7FZ43Gntms"&amp;"gF_0KoJTJvmHcLEXmYTJzHrx7S4SdkX5_7Selswsl0Kjbi5Yg_A2b_5o0cXz755hYrKlGDjzTS5MUj8loU3PTtrCbDftTSVv6x-aYBm=w1200|https://lh3.googleusercontent.com/pw/AP1GczOaT-0nO6JRnpgVdwXhdI5q46auj9kCvFVOjogZH0-PPx_mwkiYWIuSATLBX8PEnCFgPB_Z8d4wLXlZZdMrcWWhhgVi8NjcXdfqykMe"&amp;"Bf1PFPxkJXWG=w1200|https://lh3.googleusercontent.com/pw/AP1GczOzbToACJbaTBH2wu3F-F0Pkf3-ajmhwsk2p-DNtbF-7WyRKiPVRrpTBiRADqMOTzHxx9d-i8WqOTMceDrxI-RIR7hWs0wtzQaU0vpeDGt-QbKoCB62=w1200|https://lh3.googleusercontent.com/pw/AP1GczO6AQ_9KGiaeXVM4wCF6f7e9VeXcT8"&amp;"QXqkF5xiyoVWeA9p6m_935lUy_Y58sB7fJOyYsEwHV1P3-SAV-Y5eD6r4Wkkg9ZgoHHNkySR_yVLQq2zpQUuI=w1200|https://lh3.googleusercontent.com/pw/AP1GczNFmS5wPd4HG8cEyd6c5anj4DmlWiuzZZLwOsZQVz6a1W76XkDMAo10V_x6FPYb4shnvqUuqfTvQ_VTjktlDdBmB2uKOrs7F5nWLVpMmX0se7KW6LZE=w1200"&amp;"|https://lh3.googleusercontent.com/pw/AP1GczMgLSQix1W3YXqopvkOmhwzuEE6dPt6F-IjHhAVwuwWITWVu5KAITDoAapCnfKPqQeALzwoQQQU7NJ-2elBUWW7dHAcWtR_4eDcx8gIVTnzU9pu5xhF=w1200|https://lh3.googleusercontent.com/pw/AP1GczMx_3LYLRCl-BwJvarIqLnldChOjxgUaaTBpEOxKQ8RL18WD"&amp;"ScuLILtNkf_AGBg2vuTqsfzeK1g24eXik5GMp5yOaKw9YCsWdwgcUav-ANno0_yY2e8=w1200|https://lh3.googleusercontent.com/pw/AP1GczMznyCgMVMkRA9e9Pezu45jz8OKwoT6Hv6It_U0jOxZEn5GrUJQzLHzg-svmjxs12-M4a8mmVvOLp7HvMlJCX8tOhwD3JuCj6e5QUWVBk8jvj45vmaz=w1200|https://lh3.googl"&amp;"eusercontent.com/pw/AP1GczP9KIH-GqnsGYRfdil8lMD_H9cLa9Rr6Qg_A8wfgy9DZ4bwRHwbV2qFkdCzbJjlJH3PgT2iD3ZckCotFXXVnz116dvDipI3gmJ5Q9ZqOgLU6R-qD6Pw=w1200|https://lh3.googleusercontent.com/pw/AP1GczPFT5KdrqMq7kpnzWZBUe0bhMQu56R2onLPh7NG8pFFAabWjJH_RVY_op_qwl-I2Pe"&amp;"fIzXgXUi9vecmkLMulQgYqAxdNhHa7waBPo9aG_H6ba6wjewC=w1200|https://lh3.googleusercontent.com/pw/AP1GczMMRUaWSYheKSU8co77aqHkM6-lSmWktEOHYW0ZY_RBjltrwVccT1SuPslSjTKGZV-ID8XxS2N_il9pGGr4Notikh63s3mfUOZID2mrufx2TrhiLmcr=w1200")</f>
        <v>https://lh3.googleusercontent.com/pw/AP1GczM1If7vI1bnKDI3bLbnvyYES4Tj41QEgTF-0hHdI-88-MA5sfM_FwJLu5Vux7wbVLMRT091o19Cw2PMrbQaV4o9e_T5jeCNyarIbGVVIexgfKhsm4GN=w1200|https://lh3.googleusercontent.com/pw/AP1GczMbdoWSCn7-sVLmT3_uZlZBUHOycx7x0Y4sd-iLcu5s6NzEzlJrZ1eTQnf1WpIl_8lJGrUl5wbinG6H2M9wGKcAl98S7NAmVaGfCwRVaNDrmnSF71zl=w1200|https://lh3.googleusercontent.com/pw/AP1GczNwFywUkzve7vdOyRIjhobE5BDL5lkXAxAhTJyjBonu5VXvUHQEqaHvhCc3xwxy31UVsH-q6rIKliQt-tYEhwZZkLs4L9mqNSp0TXb0r2N2lm74xIoS=w1200|https://lh3.googleusercontent.com/pw/AP1GczPf-86dVq8fatCRs3VaZ972Qcv0WvO1GsCNFJguQc2CgF98WTy-luShYvPBtljNOAZNVyKIFUoZgZ9NAEq0xmwq_CTAP8nuout6oWfnkCEorG6KBONX=w1200|https://lh3.googleusercontent.com/pw/AP1GczN8j9pWIYs7CC0jet1cj5VSuwO3VgM6bYLc5_00Mnq12WG9u4xNljvOMehK5pCf3RZorT36MBhdf5nnSQ3dQ-4Bl8S4OCIqzX6PD7SET8bo288T4Isp=w1200|https://lh3.googleusercontent.com/pw/AP1GczOOiUsHFFvdCcH5aQNpUOmQQ5qHWXUUDLNOrt_X3CxoGCxJCFftajV_Gr2u5hs0s-nO48dy96WLdy-BQoBanTIguagNNHPiN6_LTpo_WZJKMoF__GJI=w1200|https://lh3.googleusercontent.com/pw/AP1GczN_guE1pRupQO-iW6MdqsJIvgMzgwN3vZTbDwCSOPwVOy6ZwPIMox2YAsaIQAlmSw-kZVa64kHCpFyc46y8OQXrpiEeF-0nluUBkz1IvWOHnOvdXqeI=w1200|https://lh3.googleusercontent.com/pw/AP1GczOTTbzQChQX-64cawpPMxKSBn0N37BCzkA9RkuNSI3Oqw0iBupXAkkjbjjxVWyzgK-fCA-mVkSoRsWRUs2sRTQNmph4JOF78y71Rsaz5-u_CB_xF3m9=w1200|https://lh3.googleusercontent.com/pw/AP1GczN24UHtPvtNWcjwlZUuFfQStuDAmRXuquVCJ_FrlCuGu-Y7EpntOBpzYWgM45syjVKgJ_Na4p9D94G4eEw2QfdB0QH8EnaOFQup16qYGKqx64IQ2etF=w1200|https://lh3.googleusercontent.com/pw/AP1GczP7FZ43GntmsgF_0KoJTJvmHcLEXmYTJzHrx7S4SdkX5_7Selswsl0Kjbi5Yg_A2b_5o0cXz755hYrKlGDjzTS5MUj8loU3PTtrCbDftTSVv6x-aYBm=w1200|https://lh3.googleusercontent.com/pw/AP1GczOaT-0nO6JRnpgVdwXhdI5q46auj9kCvFVOjogZH0-PPx_mwkiYWIuSATLBX8PEnCFgPB_Z8d4wLXlZZdMrcWWhhgVi8NjcXdfqykMeBf1PFPxkJXWG=w1200|https://lh3.googleusercontent.com/pw/AP1GczOzbToACJbaTBH2wu3F-F0Pkf3-ajmhwsk2p-DNtbF-7WyRKiPVRrpTBiRADqMOTzHxx9d-i8WqOTMceDrxI-RIR7hWs0wtzQaU0vpeDGt-QbKoCB62=w1200|https://lh3.googleusercontent.com/pw/AP1GczO6AQ_9KGiaeXVM4wCF6f7e9VeXcT8QXqkF5xiyoVWeA9p6m_935lUy_Y58sB7fJOyYsEwHV1P3-SAV-Y5eD6r4Wkkg9ZgoHHNkySR_yVLQq2zpQUuI=w1200|https://lh3.googleusercontent.com/pw/AP1GczNFmS5wPd4HG8cEyd6c5anj4DmlWiuzZZLwOsZQVz6a1W76XkDMAo10V_x6FPYb4shnvqUuqfTvQ_VTjktlDdBmB2uKOrs7F5nWLVpMmX0se7KW6LZE=w1200|https://lh3.googleusercontent.com/pw/AP1GczMgLSQix1W3YXqopvkOmhwzuEE6dPt6F-IjHhAVwuwWITWVu5KAITDoAapCnfKPqQeALzwoQQQU7NJ-2elBUWW7dHAcWtR_4eDcx8gIVTnzU9pu5xhF=w1200|https://lh3.googleusercontent.com/pw/AP1GczMx_3LYLRCl-BwJvarIqLnldChOjxgUaaTBpEOxKQ8RL18WDScuLILtNkf_AGBg2vuTqsfzeK1g24eXik5GMp5yOaKw9YCsWdwgcUav-ANno0_yY2e8=w1200|https://lh3.googleusercontent.com/pw/AP1GczMznyCgMVMkRA9e9Pezu45jz8OKwoT6Hv6It_U0jOxZEn5GrUJQzLHzg-svmjxs12-M4a8mmVvOLp7HvMlJCX8tOhwD3JuCj6e5QUWVBk8jvj45vmaz=w1200|https://lh3.googleusercontent.com/pw/AP1GczP9KIH-GqnsGYRfdil8lMD_H9cLa9Rr6Qg_A8wfgy9DZ4bwRHwbV2qFkdCzbJjlJH3PgT2iD3ZckCotFXXVnz116dvDipI3gmJ5Q9ZqOgLU6R-qD6Pw=w1200|https://lh3.googleusercontent.com/pw/AP1GczPFT5KdrqMq7kpnzWZBUe0bhMQu56R2onLPh7NG8pFFAabWjJH_RVY_op_qwl-I2PefIzXgXUi9vecmkLMulQgYqAxdNhHa7waBPo9aG_H6ba6wjewC=w1200|https://lh3.googleusercontent.com/pw/AP1GczMMRUaWSYheKSU8co77aqHkM6-lSmWktEOHYW0ZY_RBjltrwVccT1SuPslSjTKGZV-ID8XxS2N_il9pGGr4Notikh63s3mfUOZID2mrufx2TrhiLmcr=w1200</v>
      </c>
      <c r="AJ53" s="46"/>
      <c r="AK53" s="46"/>
      <c r="AL53" s="46"/>
      <c r="AM53" s="46"/>
      <c r="AN53" s="46"/>
      <c r="AO53" s="46"/>
      <c r="AP53" s="46"/>
      <c r="AQ53" s="46"/>
      <c r="AR53" s="46"/>
      <c r="AS53" s="46"/>
      <c r="AT53" s="46"/>
      <c r="AU53" s="46"/>
      <c r="AV53" s="46"/>
      <c r="AW53" s="46"/>
      <c r="AX53" s="46"/>
      <c r="AY53" s="46"/>
      <c r="AZ53" s="46"/>
      <c r="BA53" s="46"/>
      <c r="BB53" s="46"/>
      <c r="BC53" s="46"/>
      <c r="BD53" s="46"/>
      <c r="BE53" s="46"/>
      <c r="BF53" s="46"/>
      <c r="BG53" s="46"/>
      <c r="BH53" s="46"/>
      <c r="BI53" s="46"/>
      <c r="BJ53" s="46"/>
      <c r="BK53" s="46"/>
      <c r="BL53" s="46"/>
      <c r="BM53" s="46"/>
      <c r="BN53" s="46"/>
      <c r="BO53" s="46"/>
      <c r="BP53" s="46"/>
      <c r="BQ53" s="46"/>
      <c r="BR53" s="46"/>
      <c r="BS53" s="46"/>
      <c r="BT53" s="46"/>
      <c r="BU53" s="46"/>
      <c r="BV53" s="46"/>
      <c r="BW53" s="46"/>
      <c r="BX53" s="46"/>
      <c r="BY53" s="46"/>
      <c r="BZ53" s="46"/>
      <c r="CA53" s="46"/>
      <c r="CB53" s="46"/>
      <c r="CC53" s="46"/>
    </row>
    <row r="54">
      <c r="A54" s="87" t="str">
        <f>IFERROR(__xludf.DUMMYFUNCTION("""COMPUTED_VALUE"""),"1158")</f>
        <v>1158</v>
      </c>
      <c r="B54" s="46" t="str">
        <f>IFERROR(__xludf.DUMMYFUNCTION("""COMPUTED_VALUE"""),"Casa con apartamento independiente en barrio Altico")</f>
        <v>Casa con apartamento independiente en barrio Altico</v>
      </c>
      <c r="C54" s="46" t="str">
        <f>IFERROR(__xludf.DUMMYFUNCTION("""COMPUTED_VALUE"""),"Casa rentable")</f>
        <v>Casa rentable</v>
      </c>
      <c r="D54" s="46" t="str">
        <f>IFERROR(__xludf.DUMMYFUNCTION("""COMPUTED_VALUE"""),"El Altico")</f>
        <v>El Altico</v>
      </c>
      <c r="E54" s="90"/>
      <c r="F54" s="90">
        <f>IFERROR(__xludf.DUMMYFUNCTION("""COMPUTED_VALUE"""),5.5E8)</f>
        <v>550000000</v>
      </c>
      <c r="G54" s="46" t="str">
        <f>IFERROR(__xludf.DUMMYFUNCTION("""COMPUTED_VALUE"""),"$500'000.000 a $1.000'000.000")</f>
        <v>$500'000.000 a $1.000'000.000</v>
      </c>
      <c r="H54" s="46"/>
      <c r="I54" s="46"/>
      <c r="J54" s="46" t="str">
        <f>IFERROR(__xludf.DUMMYFUNCTION("""COMPUTED_VALUE"""),"Centro")</f>
        <v>Centro</v>
      </c>
      <c r="K54" s="87" t="str">
        <f>IFERROR(__xludf.DUMMYFUNCTION("""COMPUTED_VALUE"""),"4")</f>
        <v>4</v>
      </c>
      <c r="L54" s="46">
        <f>IFERROR(__xludf.DUMMYFUNCTION("""COMPUTED_VALUE"""),6.0)</f>
        <v>6</v>
      </c>
      <c r="M54" s="46"/>
      <c r="N54" s="46">
        <f>IFERROR(__xludf.DUMMYFUNCTION("""COMPUTED_VALUE"""),3.0)</f>
        <v>3</v>
      </c>
      <c r="O54" s="46">
        <f>IFERROR(__xludf.DUMMYFUNCTION("""COMPUTED_VALUE"""),1.0)</f>
        <v>1</v>
      </c>
      <c r="P54" s="46">
        <f>IFERROR(__xludf.DUMMYFUNCTION("""COMPUTED_VALUE"""),2.0)</f>
        <v>2</v>
      </c>
      <c r="Q54" s="92">
        <f>IFERROR(__xludf.DUMMYFUNCTION("""COMPUTED_VALUE"""),316.0)</f>
        <v>316</v>
      </c>
      <c r="R54" s="92"/>
      <c r="S54" s="87" t="str">
        <f>IFERROR(__xludf.DUMMYFUNCTION("""COMPUTED_VALUE""")," ")</f>
        <v> </v>
      </c>
      <c r="T54" s="46" t="str">
        <f>IFERROR(__xludf.DUMMYFUNCTION("""COMPUTED_VALUE"""),"Neiva")</f>
        <v>Neiva</v>
      </c>
      <c r="U54" s="87" t="str">
        <f>IFERROR(__xludf.DUMMYFUNCTION("""COMPUTED_VALUE"""),"3")</f>
        <v>3</v>
      </c>
      <c r="V54" s="46" t="str">
        <f>IFERROR(__xludf.DUMMYFUNCTION("""COMPUTED_VALUE"""),"Medianera")</f>
        <v>Medianera</v>
      </c>
      <c r="W54" s="46"/>
      <c r="X54" s="46">
        <f>IFERROR(__xludf.DUMMYFUNCTION("""COMPUTED_VALUE"""),6.0)</f>
        <v>6</v>
      </c>
      <c r="Y54" s="46" t="str">
        <f>IFERROR(__xludf.DUMMYFUNCTION("""COMPUTED_VALUE"""),"No tiene")</f>
        <v>No tiene</v>
      </c>
      <c r="Z54" s="90" t="str">
        <f>IFERROR(__xludf.DUMMYFUNCTION("""COMPUTED_VALUE"""),"No aplica")</f>
        <v>No aplica</v>
      </c>
      <c r="AA54" s="33" t="str">
        <f>IFERROR(__xludf.DUMMYFUNCTION("""COMPUTED_VALUE"""),"No aplica")</f>
        <v>No aplica</v>
      </c>
      <c r="AB54" s="144" t="str">
        <f>IFERROR(__xludf.DUMMYFUNCTION("""COMPUTED_VALUE"""),"https://photos.google.com/share/AF1QipOLLpr5C_uObIpgoE-Uhi_ilxGVAZl79MMy0XbHYpQI2QTQe7WlMZz_Z9xJSEWlvQ?key=MDV0SHFwUVEwa2pfZjcxb2J5dmhfUEVTZG1GX1RR")</f>
        <v>https://photos.google.com/share/AF1QipOLLpr5C_uObIpgoE-Uhi_ilxGVAZl79MMy0XbHYpQI2QTQe7WlMZz_Z9xJSEWlvQ?key=MDV0SHFwUVEwa2pfZjcxb2J5dmhfUEVTZG1GX1RR</v>
      </c>
      <c r="AC54" s="46" t="str">
        <f>IFERROR(__xludf.DUMMYFUNCTION("""COMPUTED_VALUE"""),"La casa tiene construcción tipo colonial por niveles y tiene un apartamento con las mismas especificaciones. La casa consta de: Sala, comedor, estudio, terraza, baño social, cocina normal, 3 habitaciones que comunican al patio interior de la casa, baño au"&amp;"xiliary, pisos en baldosa.  Apartamento continuo a la casa consta de: Garaje interno, Segundo nivel 3 habitaciones, baño, tercer nivel, cocina normal, habitacion, baño, patio interno y de ropas, piso en madera y baldosas.")</f>
        <v>La casa tiene construcción tipo colonial por niveles y tiene un apartamento con las mismas especificaciones. La casa consta de: Sala, comedor, estudio, terraza, baño social, cocina normal, 3 habitaciones que comunican al patio interior de la casa, baño auxiliary, pisos en baldosa.  Apartamento continuo a la casa consta de: Garaje interno, Segundo nivel 3 habitaciones, baño, tercer nivel, cocina normal, habitacion, baño, patio interno y de ropas, piso en madera y baldosas.</v>
      </c>
      <c r="AD54" s="46"/>
      <c r="AE54" s="46"/>
      <c r="AF54" s="46" t="str">
        <f>IFERROR(__xludf.DUMMYFUNCTION("""COMPUTED_VALUE"""),"básica")</f>
        <v>básica</v>
      </c>
      <c r="AG54" s="46"/>
      <c r="AH54" s="46" t="str">
        <f>IFERROR(__xludf.DUMMYFUNCTION("""COMPUTED_VALUE"""),"Aliado")</f>
        <v>Aliado</v>
      </c>
      <c r="AI54" s="92" t="str">
        <f>IFERROR(__xludf.DUMMYFUNCTION("""COMPUTED_VALUE"""),"https://lh3.googleusercontent.com/pw/AP1GczOJ8QDXprdIsyJHNGNHL7Tb5HoHbRI1pX6bB1FraY0gDSlI4LWnHeWiZKCpqzdgfQpxC8s7AsnzdKbYQuRjf5rh0XG46YP9IQdbntPKLA1TxRmbKPX1=w1200|https://lh3.googleusercontent.com/pw/AP1GczPjyl7yp4wWMi97vtOx3yu6JV7FxBksbxEWnZ79DsrfE0ZHoa"&amp;"EReMuU_UyQQU_3jUxKoRr2LAxjZeBVAgfV0jq7-jNV9CBFkvmyA_laIsN-adaWCbZj=w1200|https://lh3.googleusercontent.com/pw/AP1GczMojqXCsiV80CoVasnKH3AKAvskcItF-0Y1_IXai5F26TAWyBrgQoEftDVMY9UbauZ7y-wNpEb00ik-pmVM9BsnpO_tpAW8lhJZzDD_xHuMRXm9Mxi2=w1200|https://lh3.google"&amp;"usercontent.com/pw/AP1GczMOtLVRz_OWxbGUszMlE_o482mt0iqVODrUWtZnPCiU0caotQEGWkciyjOLbzTlJMcLbgqHll4y-Us_H60N6bzdhMN-TH6RDHnr3x6rEQkaWwu5y4xZ=w1200|https://lh3.googleusercontent.com/pw/AP1GczOFE0VWU-M3gotkRtVMJEf7h0IDVXZB1Qm2fZmJkJxughjPoo4pL7cLOp3NbSQXaDIM"&amp;"CxsTpFCgOgR_Tg9MdQzH9DAi6seXfTXe8O0kTYMpBggqbc3h=w1200|https://lh3.googleusercontent.com/pw/AP1GczO7A33pAzKHStVx6ccBr1Eo0ew5lMKlP9BnI8lIrlkBP5nSrjd4mgroJ50CLZ6UjQtnAFd3jb9iBjRPtgO0Pp44cppoBxDANio-jvgqVH8DlnMJngSv=w1200|https://lh3.googleusercontent.com/pw"&amp;"/AP1GczNZ7_K3n5nk4LX7Mb6p2pc8p8JBCVAfahJMHdjyCtpCAh8Gxvmu1kxcBa45XXSZNlfKxE0mNrVM3ZoXsKTre4dsPWRmy3Fvpm6mmsfqoruCilN_f6Zx=w1200|https://lh3.googleusercontent.com/pw/AP1GczM41PfIg7DdizIm6XdHhuyHIj0Na9-jXmkjZSb3PGuy1fdoJsWUvHyVNaQRuRNbrgmTBiDEyAkRSRqcfgN5lL"&amp;"BdojRMKP530Ou5D28vICVGIYWduLuV=w1200|https://lh3.googleusercontent.com/pw/AP1GczPesUzsHSB9eAz0KSv3-L5lNHKIe-pNX6BrQ61mQvHBBwfUl1brixJx5qyDUb_xbRm0dnJn1DLxbcr1_-MVh5i34kpjXM1uLrIgJ0TfZSiTK7th4v9e=w1200|https://lh3.googleusercontent.com/pw/AP1GczPLGQkT2g9i5"&amp;"Vj_x9UWWDeHHOuCoCnspgJy3VttiMsZPuL40FyoQOTbahlMvycFxoOSf_jDmSC_IlLml_BWWv-4RMqwE7JBIMfz8PbiNcLYFkVGi7DN=w1200|https://lh3.googleusercontent.com/pw/AP1GczMDfaSAyLTOTrZjAOvk6rGSM9NGxJI2r1n2rXnqUMErdKnebnndkMuDNLHH3dVj9KWkxA1ExVIB3tt6scOszTExqSNCgkfgfqSSBU2W"&amp;"8Ae-d5jwsDdd=w1200|https://lh3.googleusercontent.com/pw/AP1GczNXZ2sZKH_64Nh0iDsk_Lzjbqc0rl6WaR3oZI7n07zq4DoabxdoPCnmEi1K_2ZKpiItDfsY84nN41QNvhHs5i3QRSRKgzinPk2ZN_cOQi9YbFvTs7Ht=w1200|https://lh3.googleusercontent.com/pw/AP1GczPT6NXdHaB6GXjsQ1IvhMxzuHGq5Z1"&amp;"w6QAALY85soLbvmh-g6yn95UL-3FOEAGiIq7BKIKsVp5t3dIbR-O4-Ocl6qmK9UvQoVncFNd_JWBMWCQGPy5p=w1200|https://lh3.googleusercontent.com/pw/AP1GczPBvpIMTF7AIQsWSsn0-LK2QIDf4IsC2dwBJlRpc46pOEdFpdufeOZm5yfz0wH_VG1tpmghBjeStsG0i4MsGkauJC9k_ZGyOr3IKngDPpTW6MuPdSvm=w1200"&amp;"|https://lh3.googleusercontent.com/pw/AP1GczN-rJ45Nq8xx3TNI4-n35b7WyKuw1eVgdbEFZZWetr8UB3OVX42r5JjjFQCuZDmdFNALHAGbSN1BlgnlZo5ZbFnTtYYgSwgRainxllrtpY5yuyRxSgj=w1200")</f>
        <v>https://lh3.googleusercontent.com/pw/AP1GczOJ8QDXprdIsyJHNGNHL7Tb5HoHbRI1pX6bB1FraY0gDSlI4LWnHeWiZKCpqzdgfQpxC8s7AsnzdKbYQuRjf5rh0XG46YP9IQdbntPKLA1TxRmbKPX1=w1200|https://lh3.googleusercontent.com/pw/AP1GczPjyl7yp4wWMi97vtOx3yu6JV7FxBksbxEWnZ79DsrfE0ZHoaEReMuU_UyQQU_3jUxKoRr2LAxjZeBVAgfV0jq7-jNV9CBFkvmyA_laIsN-adaWCbZj=w1200|https://lh3.googleusercontent.com/pw/AP1GczMojqXCsiV80CoVasnKH3AKAvskcItF-0Y1_IXai5F26TAWyBrgQoEftDVMY9UbauZ7y-wNpEb00ik-pmVM9BsnpO_tpAW8lhJZzDD_xHuMRXm9Mxi2=w1200|https://lh3.googleusercontent.com/pw/AP1GczMOtLVRz_OWxbGUszMlE_o482mt0iqVODrUWtZnPCiU0caotQEGWkciyjOLbzTlJMcLbgqHll4y-Us_H60N6bzdhMN-TH6RDHnr3x6rEQkaWwu5y4xZ=w1200|https://lh3.googleusercontent.com/pw/AP1GczOFE0VWU-M3gotkRtVMJEf7h0IDVXZB1Qm2fZmJkJxughjPoo4pL7cLOp3NbSQXaDIMCxsTpFCgOgR_Tg9MdQzH9DAi6seXfTXe8O0kTYMpBggqbc3h=w1200|https://lh3.googleusercontent.com/pw/AP1GczO7A33pAzKHStVx6ccBr1Eo0ew5lMKlP9BnI8lIrlkBP5nSrjd4mgroJ50CLZ6UjQtnAFd3jb9iBjRPtgO0Pp44cppoBxDANio-jvgqVH8DlnMJngSv=w1200|https://lh3.googleusercontent.com/pw/AP1GczNZ7_K3n5nk4LX7Mb6p2pc8p8JBCVAfahJMHdjyCtpCAh8Gxvmu1kxcBa45XXSZNlfKxE0mNrVM3ZoXsKTre4dsPWRmy3Fvpm6mmsfqoruCilN_f6Zx=w1200|https://lh3.googleusercontent.com/pw/AP1GczM41PfIg7DdizIm6XdHhuyHIj0Na9-jXmkjZSb3PGuy1fdoJsWUvHyVNaQRuRNbrgmTBiDEyAkRSRqcfgN5lLBdojRMKP530Ou5D28vICVGIYWduLuV=w1200|https://lh3.googleusercontent.com/pw/AP1GczPesUzsHSB9eAz0KSv3-L5lNHKIe-pNX6BrQ61mQvHBBwfUl1brixJx5qyDUb_xbRm0dnJn1DLxbcr1_-MVh5i34kpjXM1uLrIgJ0TfZSiTK7th4v9e=w1200|https://lh3.googleusercontent.com/pw/AP1GczPLGQkT2g9i5Vj_x9UWWDeHHOuCoCnspgJy3VttiMsZPuL40FyoQOTbahlMvycFxoOSf_jDmSC_IlLml_BWWv-4RMqwE7JBIMfz8PbiNcLYFkVGi7DN=w1200|https://lh3.googleusercontent.com/pw/AP1GczMDfaSAyLTOTrZjAOvk6rGSM9NGxJI2r1n2rXnqUMErdKnebnndkMuDNLHH3dVj9KWkxA1ExVIB3tt6scOszTExqSNCgkfgfqSSBU2W8Ae-d5jwsDdd=w1200|https://lh3.googleusercontent.com/pw/AP1GczNXZ2sZKH_64Nh0iDsk_Lzjbqc0rl6WaR3oZI7n07zq4DoabxdoPCnmEi1K_2ZKpiItDfsY84nN41QNvhHs5i3QRSRKgzinPk2ZN_cOQi9YbFvTs7Ht=w1200|https://lh3.googleusercontent.com/pw/AP1GczPT6NXdHaB6GXjsQ1IvhMxzuHGq5Z1w6QAALY85soLbvmh-g6yn95UL-3FOEAGiIq7BKIKsVp5t3dIbR-O4-Ocl6qmK9UvQoVncFNd_JWBMWCQGPy5p=w1200|https://lh3.googleusercontent.com/pw/AP1GczPBvpIMTF7AIQsWSsn0-LK2QIDf4IsC2dwBJlRpc46pOEdFpdufeOZm5yfz0wH_VG1tpmghBjeStsG0i4MsGkauJC9k_ZGyOr3IKngDPpTW6MuPdSvm=w1200|https://lh3.googleusercontent.com/pw/AP1GczN-rJ45Nq8xx3TNI4-n35b7WyKuw1eVgdbEFZZWetr8UB3OVX42r5JjjFQCuZDmdFNALHAGbSN1BlgnlZo5ZbFnTtYYgSwgRainxllrtpY5yuyRxSgj=w1200</v>
      </c>
      <c r="AJ54" s="46"/>
      <c r="AK54" s="46"/>
      <c r="AL54" s="46"/>
      <c r="AM54" s="46"/>
      <c r="AN54" s="46"/>
      <c r="AO54" s="46"/>
      <c r="AP54" s="46"/>
      <c r="AQ54" s="46"/>
      <c r="AR54" s="46"/>
      <c r="AS54" s="46"/>
      <c r="AT54" s="46"/>
      <c r="AU54" s="46"/>
      <c r="AV54" s="46"/>
      <c r="AW54" s="46"/>
      <c r="AX54" s="46"/>
      <c r="AY54" s="46"/>
      <c r="AZ54" s="46"/>
      <c r="BA54" s="46"/>
      <c r="BB54" s="46"/>
      <c r="BC54" s="46"/>
      <c r="BD54" s="46"/>
      <c r="BE54" s="46"/>
      <c r="BF54" s="46"/>
      <c r="BG54" s="46"/>
      <c r="BH54" s="46"/>
      <c r="BI54" s="46"/>
      <c r="BJ54" s="46"/>
      <c r="BK54" s="46"/>
      <c r="BL54" s="46"/>
      <c r="BM54" s="46"/>
      <c r="BN54" s="46"/>
      <c r="BO54" s="46"/>
      <c r="BP54" s="46"/>
      <c r="BQ54" s="46"/>
      <c r="BR54" s="46"/>
      <c r="BS54" s="46"/>
      <c r="BT54" s="46"/>
      <c r="BU54" s="46"/>
      <c r="BV54" s="46"/>
      <c r="BW54" s="46"/>
      <c r="BX54" s="46"/>
      <c r="BY54" s="46"/>
      <c r="BZ54" s="46"/>
      <c r="CA54" s="46"/>
      <c r="CB54" s="46"/>
      <c r="CC54" s="46"/>
    </row>
    <row r="55">
      <c r="A55" s="87" t="str">
        <f>IFERROR(__xludf.DUMMYFUNCTION("""COMPUTED_VALUE"""),"1785")</f>
        <v>1785</v>
      </c>
      <c r="B55" s="46" t="str">
        <f>IFERROR(__xludf.DUMMYFUNCTION("""COMPUTED_VALUE"""),"Apartamento en conjunto Residencial Reserva de la Sierra - Oriente")</f>
        <v>Apartamento en conjunto Residencial Reserva de la Sierra - Oriente</v>
      </c>
      <c r="C55" s="46" t="str">
        <f>IFERROR(__xludf.DUMMYFUNCTION("""COMPUTED_VALUE"""),"Apartamento en conjunto")</f>
        <v>Apartamento en conjunto</v>
      </c>
      <c r="D55" s="46"/>
      <c r="E55" s="46" t="str">
        <f>IFERROR(__xludf.DUMMYFUNCTION("""COMPUTED_VALUE"""),"Conjunto Resiencial Reserva de la Sierra")</f>
        <v>Conjunto Resiencial Reserva de la Sierra</v>
      </c>
      <c r="F55" s="90">
        <f>IFERROR(__xludf.DUMMYFUNCTION("""COMPUTED_VALUE"""),4.7E8)</f>
        <v>470000000</v>
      </c>
      <c r="G55" s="46" t="str">
        <f>IFERROR(__xludf.DUMMYFUNCTION("""COMPUTED_VALUE"""),"$400'000.000 a $500'000.000")</f>
        <v>$400'000.000 a $500'000.000</v>
      </c>
      <c r="H55" s="46"/>
      <c r="I55" s="46"/>
      <c r="J55" s="46" t="str">
        <f>IFERROR(__xludf.DUMMYFUNCTION("""COMPUTED_VALUE"""),"Oriente")</f>
        <v>Oriente</v>
      </c>
      <c r="K55" s="87" t="str">
        <f>IFERROR(__xludf.DUMMYFUNCTION("""COMPUTED_VALUE"""),"7")</f>
        <v>7</v>
      </c>
      <c r="L55" s="46">
        <f>IFERROR(__xludf.DUMMYFUNCTION("""COMPUTED_VALUE"""),2.0)</f>
        <v>2</v>
      </c>
      <c r="M55" s="46"/>
      <c r="N55" s="46">
        <f>IFERROR(__xludf.DUMMYFUNCTION("""COMPUTED_VALUE"""),2.0)</f>
        <v>2</v>
      </c>
      <c r="O55" s="46">
        <f>IFERROR(__xludf.DUMMYFUNCTION("""COMPUTED_VALUE"""),2.0)</f>
        <v>2</v>
      </c>
      <c r="P55" s="46">
        <f>IFERROR(__xludf.DUMMYFUNCTION("""COMPUTED_VALUE"""),13.0)</f>
        <v>13</v>
      </c>
      <c r="Q55" s="92">
        <f>IFERROR(__xludf.DUMMYFUNCTION("""COMPUTED_VALUE"""),78.0)</f>
        <v>78</v>
      </c>
      <c r="R55" s="92">
        <f>IFERROR(__xludf.DUMMYFUNCTION("""COMPUTED_VALUE"""),78.0)</f>
        <v>78</v>
      </c>
      <c r="S55" s="87" t="str">
        <f>IFERROR(__xludf.DUMMYFUNCTION("""COMPUTED_VALUE""")," ")</f>
        <v> </v>
      </c>
      <c r="T55" s="46" t="str">
        <f>IFERROR(__xludf.DUMMYFUNCTION("""COMPUTED_VALUE"""),"Neiva")</f>
        <v>Neiva</v>
      </c>
      <c r="U55" s="87" t="str">
        <f>IFERROR(__xludf.DUMMYFUNCTION("""COMPUTED_VALUE"""),"5")</f>
        <v>5</v>
      </c>
      <c r="V55" s="46" t="str">
        <f>IFERROR(__xludf.DUMMYFUNCTION("""COMPUTED_VALUE"""),"13o.")</f>
        <v>13o.</v>
      </c>
      <c r="W55" s="46"/>
      <c r="X55" s="46">
        <f>IFERROR(__xludf.DUMMYFUNCTION("""COMPUTED_VALUE"""),2.0)</f>
        <v>2</v>
      </c>
      <c r="Y55" s="46" t="str">
        <f>IFERROR(__xludf.DUMMYFUNCTION("""COMPUTED_VALUE"""),"Social")</f>
        <v>Social</v>
      </c>
      <c r="Z55" s="90"/>
      <c r="AA55" s="33" t="str">
        <f>IFERROR(__xludf.DUMMYFUNCTION("""COMPUTED_VALUE"""),"No aplica")</f>
        <v>No aplica</v>
      </c>
      <c r="AB55" s="96" t="str">
        <f>IFERROR(__xludf.DUMMYFUNCTION("""COMPUTED_VALUE"""),"https://photos.app.goo.gl/PEB1SFtFhpqpzGDW8")</f>
        <v>https://photos.app.goo.gl/PEB1SFtFhpqpzGDW8</v>
      </c>
      <c r="AC55" s="46" t="str">
        <f>IFERROR(__xludf.DUMMYFUNCTION("""COMPUTED_VALUE"""),"Distribución: Sala – Comedor elegante y minimalista. Baño auxiliar Cocina Integral totalmente equipada. Zona de lavandería con Lavadora y Secadora 2 habitaciones con closets en madera Aires Acondicionado en cada habitación y Sala comedor Balcón que une zo"&amp;"na privada de la zona social. Habitación principal con baño privado. 2 parqueaderos.")</f>
        <v>Distribución: Sala – Comedor elegante y minimalista. Baño auxiliar Cocina Integral totalmente equipada. Zona de lavandería con Lavadora y Secadora 2 habitaciones con closets en madera Aires Acondicionado en cada habitación y Sala comedor Balcón que une zona privada de la zona social. Habitación principal con baño privado. 2 parqueaderos.</v>
      </c>
      <c r="AD55" s="46" t="str">
        <f>IFERROR(__xludf.DUMMYFUNCTION("""COMPUTED_VALUE"""),"Apartamento símbolo de la elegancia, espacio y una excelente ubicación. Apartamento amoblado ubicado en uno de los conjuntos residenciales más exclusivos de la ciudad. Estrato 5. Conjunto Residencial Reserva de la Sierra. Apto con área de 78 m².")</f>
        <v>Apartamento símbolo de la elegancia, espacio y una excelente ubicación. Apartamento amoblado ubicado en uno de los conjuntos residenciales más exclusivos de la ciudad. Estrato 5. Conjunto Residencial Reserva de la Sierra. Apto con área de 78 m².</v>
      </c>
      <c r="AE55" s="46"/>
      <c r="AF55" s="46" t="str">
        <f>IFERROR(__xludf.DUMMYFUNCTION("""COMPUTED_VALUE"""),"integral")</f>
        <v>integral</v>
      </c>
      <c r="AG55" s="46"/>
      <c r="AH55" s="46" t="str">
        <f>IFERROR(__xludf.DUMMYFUNCTION("""COMPUTED_VALUE"""),"Aliado")</f>
        <v>Aliado</v>
      </c>
      <c r="AI55" s="92" t="str">
        <f>IFERROR(__xludf.DUMMYFUNCTION("""COMPUTED_VALUE"""),"https://lh3.googleusercontent.com/pw/AP1GczPec7vhQbGkgy1ioTjxMiFrcj062a7_2vs14VxbgwS1HD4bE19A4MABVjjcghgIyFAfCm_mDBDXaVldwqYlaiWopkMqEz4-Fl9V35M0uEgnr574jR40=w1200|https://lh3.googleusercontent.com/pw/AP1GczPMdLEKEYYJ7w2A9NmW0Arr3P283kwIeGQaPOKi0mw9Ttnk-s"&amp;"SJXWEHuFLUMcJu9O9DurKdUmdkEDD3ZF6xNJ4fLkYF1dQifNwd5QJyBF-6Cw_BGlgK=w1200|https://lh3.googleusercontent.com/pw/AP1GczMyYipTvdR6KedNNtcR0ndiORKu9Wn71X2n_zCOH5JrqtEB1YBR0idfzNezdixFS3aslXDCiTIzitIvyvqelgDji_axYvcYjnNUjbCO0jknF2NAfFgR=w1200|https://lh3.google"&amp;"usercontent.com/pw/AP1GczPvlfjjYSlih0WqPek7VKkiv51xvj-IP5_9BHDDfDgh9WoXuaI2dN41Y_wLt5V8n6tGi2GGfOUpSNcb0ZBV7DVImqsp-B8czh5czzMs-phQnKCUeZtY=w1200|https://lh3.googleusercontent.com/pw/AP1GczP-MSIqxyhkd-EkoYDyEAN49fgn9jxcQLnQ7XVIHLxfY6O2ZCZ8_7u51XanL1CSatvq"&amp;"7gD0PksC9Oe-YT9or9r_btqHQuBL1quEBQiGkpJLu2OpBQWl=w1200|https://lh3.googleusercontent.com/pw/AP1GczPInhQ6vQs4-4RflG3kyVelexUpNBEQhZxKbBNDU70JsAqYapSsfoBoi__xjhYT85C7_IDJll951maCqNNc22t-vlLFIPGKdtvcxoEi-9Hc_KqPBEJE=w1200|https://lh3.googleusercontent.com/pw"&amp;"/AP1GczOFhIoq6szKQWWas-4NSzbObE59sgjGfU3IFZLKkw-WlJ-pjJiUxvgsGSKVRWl6MkrhJxd5SvaEH3T_n9N6c1g6n-f_70C6vLM2WYQLWTIDbCCYDVuq=w1200|https://lh3.googleusercontent.com/pw/AP1GczMdDiMLjPMxpalqT8TEszNyDiVGa6MUvTqO4DozYC5ijjwFSVKzONum2DMOY9Zq2ZyYaGb7wg3NXyW1XynLdg"&amp;"JJJypJHxSS9lORXF73-r_2KHgW9zY5=w1200|https://lh3.googleusercontent.com/pw/AP1GczOc-FJqqcsN3EZK_K4e8G3EzLEGhG7MRgBfo4l3EUSEaO1O0Ydgmv6DTSE00jzVUzi57biGF9h5uMVg-FMFiuchNomj-BvwXN0zMpBPGACp0o5KJU_l=w1200|https://lh3.googleusercontent.com/pw/AP1GczNzjqsvI7dxf"&amp;"9kXoom3XtU56rLAVp9CHD0hnBWPhBbI64PlZkEgMdSOvAWZ5Wbs_Sc_J-wPRLtIANzPpZZvJq7VvLtX6kRWQhPtjkDVs-3Sz9PfkfZO=w1200|https://lh3.googleusercontent.com/pw/AP1GczM7bPBemUES7Og3nUPQN934Yp-cwc0FjgjOT_1tozBA9uO4bW_RImf338yd_t2mD37LhwaFVaXKnDo6yZjGg0h0V1zyUwsYP6HfXoZA"&amp;"ZlfnAs0UTxIp=w1200|https://lh3.googleusercontent.com/pw/AP1GczNw8CzomYy7n2ok-rqnB5OYv5rMnlGbUMW4OM_3Vuq6T-f3DVQLYH6vg6zv82YiMRHG1hWDx55zk6LwcWR037YljEFWk3WwGvX1RPDU67QFexbCatsc=w1200|https://lh3.googleusercontent.com/pw/AP1GczOWqoiQDRaRr-Wg8MudfRiwrTwV0lO"&amp;"99T-OA45n6anSHCzaxBHNH-agk1ph0R5Avk88Cb8EZ0nze1ThD5eeZOnDa8EoVQSZYNcIoMpEq_ulXqpgV13L=w1200|https://lh3.googleusercontent.com/pw/AP1GczOwdXkIjVRlR5y7O8fn4MPl3vJgpLPIpswqPZKWuW_h5SXuggV24hZBB_OcCMfsuEA3WZ8k_NR5nI9B2A1DjPaBUou59lol2zx2F_zaEBXhobk0UnaD=w1200"&amp;"|https://lh3.googleusercontent.com/pw/AP1GczMsDu6DFhXtax1u0w3hkweCdEikhdnrDSmPjpYoDHxWkdU3_OWKvcZGWfycc9DphOqINXHFO5mDvi6_4KL1QPvTCqknUMmHeyBglbN4M3532OztCHAe=w1200|https://lh3.googleusercontent.com/pw/AP1GczPelNMEzVq3N6aPQUUCKguo9U9VubFMwSn3u-5X_7JOnbEWZ"&amp;"v-Dp_LDWwqKb-r-7Vle0wCeQuOwu2mRCPfeZhlb6E_EUxrbKtat1zefIqJdNXP4X9Nx=w1200|https://lh3.googleusercontent.com/pw/AP1GczNcqRK6a7pDgNO_bx6dkkD2uCpTVrBOPvgXeLh0JtCqG9gtKuP16EtqSv4e-cmC3t-NMojj-98pY1Yec3mbcM-ueQxHvqcaF171wTm9mW9gbOj5ZaH9=w1200|https://lh3.googl"&amp;"eusercontent.com/pw/AP1GczN0CjUCkYB1tEnONQ_yH_qD7-RVCGSuJr2MOKzKAKibYjE0MPPxJ2MHUJkGKARiSaSasddjGhHSYG0z7YoIAht2GgYvOWNTVk7-Xv8W5yuZoMvGpaa5=w1200|https://lh3.googleusercontent.com/pw/AP1GczNaWdMNZmlFgm_IpvAKAiPfyJ20HKQ_lSYjNUZgEsJUBlOYc65aQQkrfFTZ6u_kpFI"&amp;"iBNXbWyQyS95gXGAYlttZmoVV7j0ND0_8ykf7Lf683zvIDIzL=w1200|https://lh3.googleusercontent.com/pw/AP1GczN62jX29XoHhLQ33AcXac2jvkNq2HzrPwurrQdJPpKvwG8fanHdMet-dtSG5L8dcznaCmvkGjtK261t5oY_4sTcf_3fvOwKXu8tf1pa0B450R9QNxdX=w1200")</f>
        <v>https://lh3.googleusercontent.com/pw/AP1GczPec7vhQbGkgy1ioTjxMiFrcj062a7_2vs14VxbgwS1HD4bE19A4MABVjjcghgIyFAfCm_mDBDXaVldwqYlaiWopkMqEz4-Fl9V35M0uEgnr574jR40=w1200|https://lh3.googleusercontent.com/pw/AP1GczPMdLEKEYYJ7w2A9NmW0Arr3P283kwIeGQaPOKi0mw9Ttnk-sSJXWEHuFLUMcJu9O9DurKdUmdkEDD3ZF6xNJ4fLkYF1dQifNwd5QJyBF-6Cw_BGlgK=w1200|https://lh3.googleusercontent.com/pw/AP1GczMyYipTvdR6KedNNtcR0ndiORKu9Wn71X2n_zCOH5JrqtEB1YBR0idfzNezdixFS3aslXDCiTIzitIvyvqelgDji_axYvcYjnNUjbCO0jknF2NAfFgR=w1200|https://lh3.googleusercontent.com/pw/AP1GczPvlfjjYSlih0WqPek7VKkiv51xvj-IP5_9BHDDfDgh9WoXuaI2dN41Y_wLt5V8n6tGi2GGfOUpSNcb0ZBV7DVImqsp-B8czh5czzMs-phQnKCUeZtY=w1200|https://lh3.googleusercontent.com/pw/AP1GczP-MSIqxyhkd-EkoYDyEAN49fgn9jxcQLnQ7XVIHLxfY6O2ZCZ8_7u51XanL1CSatvq7gD0PksC9Oe-YT9or9r_btqHQuBL1quEBQiGkpJLu2OpBQWl=w1200|https://lh3.googleusercontent.com/pw/AP1GczPInhQ6vQs4-4RflG3kyVelexUpNBEQhZxKbBNDU70JsAqYapSsfoBoi__xjhYT85C7_IDJll951maCqNNc22t-vlLFIPGKdtvcxoEi-9Hc_KqPBEJE=w1200|https://lh3.googleusercontent.com/pw/AP1GczOFhIoq6szKQWWas-4NSzbObE59sgjGfU3IFZLKkw-WlJ-pjJiUxvgsGSKVRWl6MkrhJxd5SvaEH3T_n9N6c1g6n-f_70C6vLM2WYQLWTIDbCCYDVuq=w1200|https://lh3.googleusercontent.com/pw/AP1GczMdDiMLjPMxpalqT8TEszNyDiVGa6MUvTqO4DozYC5ijjwFSVKzONum2DMOY9Zq2ZyYaGb7wg3NXyW1XynLdgJJJypJHxSS9lORXF73-r_2KHgW9zY5=w1200|https://lh3.googleusercontent.com/pw/AP1GczOc-FJqqcsN3EZK_K4e8G3EzLEGhG7MRgBfo4l3EUSEaO1O0Ydgmv6DTSE00jzVUzi57biGF9h5uMVg-FMFiuchNomj-BvwXN0zMpBPGACp0o5KJU_l=w1200|https://lh3.googleusercontent.com/pw/AP1GczNzjqsvI7dxf9kXoom3XtU56rLAVp9CHD0hnBWPhBbI64PlZkEgMdSOvAWZ5Wbs_Sc_J-wPRLtIANzPpZZvJq7VvLtX6kRWQhPtjkDVs-3Sz9PfkfZO=w1200|https://lh3.googleusercontent.com/pw/AP1GczM7bPBemUES7Og3nUPQN934Yp-cwc0FjgjOT_1tozBA9uO4bW_RImf338yd_t2mD37LhwaFVaXKnDo6yZjGg0h0V1zyUwsYP6HfXoZAZlfnAs0UTxIp=w1200|https://lh3.googleusercontent.com/pw/AP1GczNw8CzomYy7n2ok-rqnB5OYv5rMnlGbUMW4OM_3Vuq6T-f3DVQLYH6vg6zv82YiMRHG1hWDx55zk6LwcWR037YljEFWk3WwGvX1RPDU67QFexbCatsc=w1200|https://lh3.googleusercontent.com/pw/AP1GczOWqoiQDRaRr-Wg8MudfRiwrTwV0lO99T-OA45n6anSHCzaxBHNH-agk1ph0R5Avk88Cb8EZ0nze1ThD5eeZOnDa8EoVQSZYNcIoMpEq_ulXqpgV13L=w1200|https://lh3.googleusercontent.com/pw/AP1GczOwdXkIjVRlR5y7O8fn4MPl3vJgpLPIpswqPZKWuW_h5SXuggV24hZBB_OcCMfsuEA3WZ8k_NR5nI9B2A1DjPaBUou59lol2zx2F_zaEBXhobk0UnaD=w1200|https://lh3.googleusercontent.com/pw/AP1GczMsDu6DFhXtax1u0w3hkweCdEikhdnrDSmPjpYoDHxWkdU3_OWKvcZGWfycc9DphOqINXHFO5mDvi6_4KL1QPvTCqknUMmHeyBglbN4M3532OztCHAe=w1200|https://lh3.googleusercontent.com/pw/AP1GczPelNMEzVq3N6aPQUUCKguo9U9VubFMwSn3u-5X_7JOnbEWZv-Dp_LDWwqKb-r-7Vle0wCeQuOwu2mRCPfeZhlb6E_EUxrbKtat1zefIqJdNXP4X9Nx=w1200|https://lh3.googleusercontent.com/pw/AP1GczNcqRK6a7pDgNO_bx6dkkD2uCpTVrBOPvgXeLh0JtCqG9gtKuP16EtqSv4e-cmC3t-NMojj-98pY1Yec3mbcM-ueQxHvqcaF171wTm9mW9gbOj5ZaH9=w1200|https://lh3.googleusercontent.com/pw/AP1GczN0CjUCkYB1tEnONQ_yH_qD7-RVCGSuJr2MOKzKAKibYjE0MPPxJ2MHUJkGKARiSaSasddjGhHSYG0z7YoIAht2GgYvOWNTVk7-Xv8W5yuZoMvGpaa5=w1200|https://lh3.googleusercontent.com/pw/AP1GczNaWdMNZmlFgm_IpvAKAiPfyJ20HKQ_lSYjNUZgEsJUBlOYc65aQQkrfFTZ6u_kpFIiBNXbWyQyS95gXGAYlttZmoVV7j0ND0_8ykf7Lf683zvIDIzL=w1200|https://lh3.googleusercontent.com/pw/AP1GczN62jX29XoHhLQ33AcXac2jvkNq2HzrPwurrQdJPpKvwG8fanHdMet-dtSG5L8dcznaCmvkGjtK261t5oY_4sTcf_3fvOwKXu8tf1pa0B450R9QNxdX=w1200</v>
      </c>
      <c r="AJ55" s="46"/>
      <c r="AK55" s="46"/>
      <c r="AL55" s="46"/>
      <c r="AM55" s="46"/>
      <c r="AN55" s="46"/>
      <c r="AO55" s="46"/>
      <c r="AP55" s="46"/>
      <c r="AQ55" s="46"/>
      <c r="AR55" s="46"/>
      <c r="AS55" s="46"/>
      <c r="AT55" s="46"/>
      <c r="AU55" s="46"/>
      <c r="AV55" s="46"/>
      <c r="AW55" s="46"/>
      <c r="AX55" s="46"/>
      <c r="AY55" s="46"/>
      <c r="AZ55" s="46"/>
      <c r="BA55" s="46"/>
      <c r="BB55" s="46"/>
      <c r="BC55" s="46"/>
      <c r="BD55" s="46"/>
      <c r="BE55" s="46"/>
      <c r="BF55" s="46"/>
      <c r="BG55" s="46"/>
      <c r="BH55" s="46"/>
      <c r="BI55" s="46"/>
      <c r="BJ55" s="46"/>
      <c r="BK55" s="46"/>
      <c r="BL55" s="46"/>
      <c r="BM55" s="46"/>
      <c r="BN55" s="46"/>
      <c r="BO55" s="46"/>
      <c r="BP55" s="46"/>
      <c r="BQ55" s="46"/>
      <c r="BR55" s="46"/>
      <c r="BS55" s="46"/>
      <c r="BT55" s="46"/>
      <c r="BU55" s="46"/>
      <c r="BV55" s="46"/>
      <c r="BW55" s="46"/>
      <c r="BX55" s="46"/>
      <c r="BY55" s="46"/>
      <c r="BZ55" s="46"/>
      <c r="CA55" s="46"/>
      <c r="CB55" s="46"/>
      <c r="CC55" s="46"/>
    </row>
    <row r="56">
      <c r="A56" s="87" t="str">
        <f>IFERROR(__xludf.DUMMYFUNCTION("""COMPUTED_VALUE"""),"670")</f>
        <v>670</v>
      </c>
      <c r="B56" s="46" t="str">
        <f>IFERROR(__xludf.DUMMYFUNCTION("""COMPUTED_VALUE"""),"Apartamento en edificio El Caimo - La Toma - Centro")</f>
        <v>Apartamento en edificio El Caimo - La Toma - Centro</v>
      </c>
      <c r="C56" s="46" t="str">
        <f>IFERROR(__xludf.DUMMYFUNCTION("""COMPUTED_VALUE"""),"Apartamento")</f>
        <v>Apartamento</v>
      </c>
      <c r="D56" s="46" t="str">
        <f>IFERROR(__xludf.DUMMYFUNCTION("""COMPUTED_VALUE"""),"Centro")</f>
        <v>Centro</v>
      </c>
      <c r="E56" s="90"/>
      <c r="F56" s="90">
        <f>IFERROR(__xludf.DUMMYFUNCTION("""COMPUTED_VALUE"""),4.5E8)</f>
        <v>450000000</v>
      </c>
      <c r="G56" s="46" t="str">
        <f>IFERROR(__xludf.DUMMYFUNCTION("""COMPUTED_VALUE"""),"$400'000.000 a $500'000.000")</f>
        <v>$400'000.000 a $500'000.000</v>
      </c>
      <c r="H56" s="46"/>
      <c r="I56" s="46"/>
      <c r="J56" s="46" t="str">
        <f>IFERROR(__xludf.DUMMYFUNCTION("""COMPUTED_VALUE"""),"Centro")</f>
        <v>Centro</v>
      </c>
      <c r="K56" s="87" t="str">
        <f>IFERROR(__xludf.DUMMYFUNCTION("""COMPUTED_VALUE"""),"6")</f>
        <v>6</v>
      </c>
      <c r="L56" s="46">
        <f>IFERROR(__xludf.DUMMYFUNCTION("""COMPUTED_VALUE"""),4.0)</f>
        <v>4</v>
      </c>
      <c r="M56" s="46"/>
      <c r="N56" s="46">
        <f>IFERROR(__xludf.DUMMYFUNCTION("""COMPUTED_VALUE"""),3.0)</f>
        <v>3</v>
      </c>
      <c r="O56" s="46">
        <f>IFERROR(__xludf.DUMMYFUNCTION("""COMPUTED_VALUE"""),2.0)</f>
        <v>2</v>
      </c>
      <c r="P56" s="46">
        <f>IFERROR(__xludf.DUMMYFUNCTION("""COMPUTED_VALUE"""),8.0)</f>
        <v>8</v>
      </c>
      <c r="Q56" s="92">
        <f>IFERROR(__xludf.DUMMYFUNCTION("""COMPUTED_VALUE"""),200.0)</f>
        <v>200</v>
      </c>
      <c r="R56" s="92">
        <f>IFERROR(__xludf.DUMMYFUNCTION("""COMPUTED_VALUE"""),98.0)</f>
        <v>98</v>
      </c>
      <c r="S56" s="87" t="str">
        <f>IFERROR(__xludf.DUMMYFUNCTION("""COMPUTED_VALUE""")," ")</f>
        <v> </v>
      </c>
      <c r="T56" s="46" t="str">
        <f>IFERROR(__xludf.DUMMYFUNCTION("""COMPUTED_VALUE"""),"Neiva")</f>
        <v>Neiva</v>
      </c>
      <c r="U56" s="87" t="str">
        <f>IFERROR(__xludf.DUMMYFUNCTION("""COMPUTED_VALUE"""),"4")</f>
        <v>4</v>
      </c>
      <c r="V56" s="46" t="str">
        <f>IFERROR(__xludf.DUMMYFUNCTION("""COMPUTED_VALUE"""),"8vo.")</f>
        <v>8vo.</v>
      </c>
      <c r="W56" s="46"/>
      <c r="X56" s="46">
        <f>IFERROR(__xludf.DUMMYFUNCTION("""COMPUTED_VALUE"""),4.0)</f>
        <v>4</v>
      </c>
      <c r="Y56" s="46" t="str">
        <f>IFERROR(__xludf.DUMMYFUNCTION("""COMPUTED_VALUE"""),"Social")</f>
        <v>Social</v>
      </c>
      <c r="Z56" s="90">
        <f>IFERROR(__xludf.DUMMYFUNCTION("""COMPUTED_VALUE"""),0.0)</f>
        <v>0</v>
      </c>
      <c r="AA56" s="33" t="str">
        <f>IFERROR(__xludf.DUMMYFUNCTION("""COMPUTED_VALUE"""),"No aplica")</f>
        <v>No aplica</v>
      </c>
      <c r="AB56" s="144" t="str">
        <f>IFERROR(__xludf.DUMMYFUNCTION("""COMPUTED_VALUE"""),"https://photos.app.goo.gl/tLjia1GpMQi3sNR78")</f>
        <v>https://photos.app.goo.gl/tLjia1GpMQi3sNR78</v>
      </c>
      <c r="AC56" s="46" t="str">
        <f>IFERROR(__xludf.DUMMYFUNCTION("""COMPUTED_VALUE"""),"Se vende Apto ubicado en el 8º. Piso.  Área 200 M2, consta de Primer piso: sala comedor, estudio, cocina integral, zona de lavandería, terraza, baño interno, estar de T.V, balcón y terraza. Segundo piso: estar de alcobas, 4 habitaciones, la principal con "&amp;"baño privado, balcón, baño auxiliar, closets en madera y 2 parqueaderos.")</f>
        <v>Se vende Apto ubicado en el 8º. Piso.  Área 200 M2, consta de Primer piso: sala comedor, estudio, cocina integral, zona de lavandería, terraza, baño interno, estar de T.V, balcón y terraza. Segundo piso: estar de alcobas, 4 habitaciones, la principal con baño privado, balcón, baño auxiliar, closets en madera y 2 parqueaderos.</v>
      </c>
      <c r="AD56" s="46" t="str">
        <f>IFERROR(__xludf.DUMMYFUNCTION("""COMPUTED_VALUE"""),"Apartamento bien ubicado, Av. La Toma, Clinica Medilaser. Cuenta con buenos acabados.")</f>
        <v>Apartamento bien ubicado, Av. La Toma, Clinica Medilaser. Cuenta con buenos acabados.</v>
      </c>
      <c r="AE56" s="46"/>
      <c r="AF56" s="46" t="str">
        <f>IFERROR(__xludf.DUMMYFUNCTION("""COMPUTED_VALUE"""),"integral")</f>
        <v>integral</v>
      </c>
      <c r="AG56" s="46"/>
      <c r="AH56" s="46" t="str">
        <f>IFERROR(__xludf.DUMMYFUNCTION("""COMPUTED_VALUE"""),"Aliado")</f>
        <v>Aliado</v>
      </c>
      <c r="AI56" s="92" t="str">
        <f>IFERROR(__xludf.DUMMYFUNCTION("""COMPUTED_VALUE"""),"https://lh3.googleusercontent.com/pw/AP1GczNFtQAneL5OVIYOCKp2yjXh-TPLa1DFUUNG5bzSskUclPY0lYNx2AB1d3rHVP9TG0v8jdpGsarpYcvqhzh74EoQDFRj580DKa2c3hxteUA_dRp9YLIN=w1200|https://lh3.googleusercontent.com/pw/AP1GczPKvkoALuPgGueJEX3YYiwCpgvMMNxP3JK8VtqGfhyMTLreg2"&amp;"NF6lmYkOSsPY1VztZURPEAu3JXU08zewCVy3QZltfZngfeRWOc4alssAYguH2tnIHj=w1200|https://lh3.googleusercontent.com/pw/AP1GczMMrPSrmfRD_rts-wUusco4P5G1pctAZIcAEZS7jy2hql4MOfDBHc7vEvJu_PzMLHwiZYfE5bXpOcPcpYJxWSy7cARfkqKzUWcNcSPaEh2VbgZrggOD=w1200|https://lh3.google"&amp;"usercontent.com/pw/AP1GczMcaRvtq7_iz8O-8eoPPQOJOg8lQcbjXbMD08kYJYIwjT80yvZ8n-_iUWjy0nx18h0NU1cDPwtCWRe1iH-nAEBRp4hRLPjpsCP4KFDS-PkNtzNk_99v=w1200|https://lh3.googleusercontent.com/pw/AP1GczNCov7MMcDMlPkI-W_C-e1O8cA7ihq5oKNTrVfb-Epa1bcOD-_efB4nMDc46keWc2yZ"&amp;"OsBNA9-XsTAwdtdfwJ0DUufxyXqBsK6TQHdbqkJn_02ADEYr=w1200|https://lh3.googleusercontent.com/pw/AP1GczMRzeX7ESA9lLEboMG6ppeS3GO0ohgFxedQE2btP2zTT50yA3LLor2kIbkqe3xMXRES--JJIYjhYEc1_zkNdgneO-x-mZvxGSsER_LkM2p_Z-zdByk7=w1200|https://lh3.googleusercontent.com/pw"&amp;"/AP1GczO54BJv6Tpl2rlsz0wqheRABjvsi72Y7eFmObSaXirRiRVM-H3gSMOjtANULf6y8F-U1VxsnQo_MTiwpQ8K0mATK_XPBAw33NbIbBI_Iicu4LrLMITR=w1200|https://lh3.googleusercontent.com/pw/AP1GczOvuoy6ochNwSCdKWorJw7mQzid5Zfdr87FGj0HMN-B4ZCzo3s6TJSvsoQ1ysNw3TxcBSTBwf9l5atOqNiYFb"&amp;"EQQVBkkr_3QGZ3qactvOs1PeAHRxLu=w1200|https://lh3.googleusercontent.com/pw/AP1GczPXpNUdVC1begyXk4Fikvwvd_G5O4Xd0aLuLYkeJuXEgZdF1AGnpPi2BO6CNXFdHmtLHlKFnIm7hoSBeKnijuQDuCdvImvsTQd-EPZMoTdCdQEPFlNY=w1200|https://lh3.googleusercontent.com/pw/AP1GczPnQb8ZRhtE1"&amp;"Qesdyd2WZUsCdjr2igGi4vwkOwIU_T3n2Kt0ZH3ry82OhJmeLzZdy4819OuZjjmsEr2qNrZNqAT_leqKX0iD_7SArS10_v-w-IUhMxw=w1200|https://lh3.googleusercontent.com/pw/AP1GczNgWokkMcjtnuodXsBryh5IOePg0NB8EH4Ux_RaksFxqsyntNlHdlPKPM2_bJz0_MF3EwDX4zUGx8NwdnCrBjTGwdbRwaq4vpr3mqno"&amp;"lsWvcgsLyV3R=w1200|https://lh3.googleusercontent.com/pw/AP1GczNR4lKF6XhMBoEwT7BwChmsbRJcjZVYYvP9kPuMbSwZXktyu7UbtMBjQ7Upl9g7bvq7sUdradNNJmoNd3hunJxzFie1KFSz_Es_2tjCKokPo5Wr9Gq-=w1200|https://lh3.googleusercontent.com/pw/AP1GczPe7qo06L4ucmz3kMbIUO99TDK_Dnt"&amp;"AU4_cWdSn6FWfAa4fRPIXWuhb9jzohpwcapl9J9HOBVZ0pC_rX6Pc6f6a9F1UC8J08uGPKFYwBDhAcXYF_-07=w1200")</f>
        <v>https://lh3.googleusercontent.com/pw/AP1GczNFtQAneL5OVIYOCKp2yjXh-TPLa1DFUUNG5bzSskUclPY0lYNx2AB1d3rHVP9TG0v8jdpGsarpYcvqhzh74EoQDFRj580DKa2c3hxteUA_dRp9YLIN=w1200|https://lh3.googleusercontent.com/pw/AP1GczPKvkoALuPgGueJEX3YYiwCpgvMMNxP3JK8VtqGfhyMTLreg2NF6lmYkOSsPY1VztZURPEAu3JXU08zewCVy3QZltfZngfeRWOc4alssAYguH2tnIHj=w1200|https://lh3.googleusercontent.com/pw/AP1GczMMrPSrmfRD_rts-wUusco4P5G1pctAZIcAEZS7jy2hql4MOfDBHc7vEvJu_PzMLHwiZYfE5bXpOcPcpYJxWSy7cARfkqKzUWcNcSPaEh2VbgZrggOD=w1200|https://lh3.googleusercontent.com/pw/AP1GczMcaRvtq7_iz8O-8eoPPQOJOg8lQcbjXbMD08kYJYIwjT80yvZ8n-_iUWjy0nx18h0NU1cDPwtCWRe1iH-nAEBRp4hRLPjpsCP4KFDS-PkNtzNk_99v=w1200|https://lh3.googleusercontent.com/pw/AP1GczNCov7MMcDMlPkI-W_C-e1O8cA7ihq5oKNTrVfb-Epa1bcOD-_efB4nMDc46keWc2yZOsBNA9-XsTAwdtdfwJ0DUufxyXqBsK6TQHdbqkJn_02ADEYr=w1200|https://lh3.googleusercontent.com/pw/AP1GczMRzeX7ESA9lLEboMG6ppeS3GO0ohgFxedQE2btP2zTT50yA3LLor2kIbkqe3xMXRES--JJIYjhYEc1_zkNdgneO-x-mZvxGSsER_LkM2p_Z-zdByk7=w1200|https://lh3.googleusercontent.com/pw/AP1GczO54BJv6Tpl2rlsz0wqheRABjvsi72Y7eFmObSaXirRiRVM-H3gSMOjtANULf6y8F-U1VxsnQo_MTiwpQ8K0mATK_XPBAw33NbIbBI_Iicu4LrLMITR=w1200|https://lh3.googleusercontent.com/pw/AP1GczOvuoy6ochNwSCdKWorJw7mQzid5Zfdr87FGj0HMN-B4ZCzo3s6TJSvsoQ1ysNw3TxcBSTBwf9l5atOqNiYFbEQQVBkkr_3QGZ3qactvOs1PeAHRxLu=w1200|https://lh3.googleusercontent.com/pw/AP1GczPXpNUdVC1begyXk4Fikvwvd_G5O4Xd0aLuLYkeJuXEgZdF1AGnpPi2BO6CNXFdHmtLHlKFnIm7hoSBeKnijuQDuCdvImvsTQd-EPZMoTdCdQEPFlNY=w1200|https://lh3.googleusercontent.com/pw/AP1GczPnQb8ZRhtE1Qesdyd2WZUsCdjr2igGi4vwkOwIU_T3n2Kt0ZH3ry82OhJmeLzZdy4819OuZjjmsEr2qNrZNqAT_leqKX0iD_7SArS10_v-w-IUhMxw=w1200|https://lh3.googleusercontent.com/pw/AP1GczNgWokkMcjtnuodXsBryh5IOePg0NB8EH4Ux_RaksFxqsyntNlHdlPKPM2_bJz0_MF3EwDX4zUGx8NwdnCrBjTGwdbRwaq4vpr3mqnolsWvcgsLyV3R=w1200|https://lh3.googleusercontent.com/pw/AP1GczNR4lKF6XhMBoEwT7BwChmsbRJcjZVYYvP9kPuMbSwZXktyu7UbtMBjQ7Upl9g7bvq7sUdradNNJmoNd3hunJxzFie1KFSz_Es_2tjCKokPo5Wr9Gq-=w1200|https://lh3.googleusercontent.com/pw/AP1GczPe7qo06L4ucmz3kMbIUO99TDK_DntAU4_cWdSn6FWfAa4fRPIXWuhb9jzohpwcapl9J9HOBVZ0pC_rX6Pc6f6a9F1UC8J08uGPKFYwBDhAcXYF_-07=w1200</v>
      </c>
      <c r="AJ56" s="46"/>
      <c r="AK56" s="46"/>
      <c r="AL56" s="46"/>
      <c r="AM56" s="46"/>
      <c r="AN56" s="46"/>
      <c r="AO56" s="46"/>
      <c r="AP56" s="46"/>
      <c r="AQ56" s="46"/>
      <c r="AR56" s="46"/>
      <c r="AS56" s="46"/>
      <c r="AT56" s="46"/>
      <c r="AU56" s="46"/>
      <c r="AV56" s="46"/>
      <c r="AW56" s="46"/>
      <c r="AX56" s="46"/>
      <c r="AY56" s="46"/>
      <c r="AZ56" s="46"/>
      <c r="BA56" s="46"/>
      <c r="BB56" s="46"/>
      <c r="BC56" s="46"/>
      <c r="BD56" s="46"/>
      <c r="BE56" s="46"/>
      <c r="BF56" s="46"/>
      <c r="BG56" s="46"/>
      <c r="BH56" s="46"/>
      <c r="BI56" s="46"/>
      <c r="BJ56" s="46"/>
      <c r="BK56" s="46"/>
      <c r="BL56" s="46"/>
      <c r="BM56" s="46"/>
      <c r="BN56" s="46"/>
      <c r="BO56" s="46"/>
      <c r="BP56" s="46"/>
      <c r="BQ56" s="46"/>
      <c r="BR56" s="46"/>
      <c r="BS56" s="46"/>
      <c r="BT56" s="46"/>
      <c r="BU56" s="46"/>
      <c r="BV56" s="46"/>
      <c r="BW56" s="46"/>
      <c r="BX56" s="46"/>
      <c r="BY56" s="46"/>
      <c r="BZ56" s="46"/>
      <c r="CA56" s="46"/>
      <c r="CB56" s="46"/>
      <c r="CC56" s="46"/>
    </row>
    <row r="57">
      <c r="A57" s="87" t="str">
        <f>IFERROR(__xludf.DUMMYFUNCTION("""COMPUTED_VALUE"""),"1795")</f>
        <v>1795</v>
      </c>
      <c r="B57" s="46" t="str">
        <f>IFERROR(__xludf.DUMMYFUNCTION("""COMPUTED_VALUE"""),"Casa campestre en conjunto La Portada - Rivera")</f>
        <v>Casa campestre en conjunto La Portada - Rivera</v>
      </c>
      <c r="C57" s="46" t="str">
        <f>IFERROR(__xludf.DUMMYFUNCTION("""COMPUTED_VALUE"""),"Casa campestre en conjunto")</f>
        <v>Casa campestre en conjunto</v>
      </c>
      <c r="D57" s="46"/>
      <c r="E57" s="46" t="str">
        <f>IFERROR(__xludf.DUMMYFUNCTION("""COMPUTED_VALUE"""),"Conjunto La Portada")</f>
        <v>Conjunto La Portada</v>
      </c>
      <c r="F57" s="90">
        <f>IFERROR(__xludf.DUMMYFUNCTION("""COMPUTED_VALUE"""),4.5E8)</f>
        <v>450000000</v>
      </c>
      <c r="G57" s="46" t="str">
        <f>IFERROR(__xludf.DUMMYFUNCTION("""COMPUTED_VALUE"""),"$400'000.000 a $500'000.000")</f>
        <v>$400'000.000 a $500'000.000</v>
      </c>
      <c r="H57" s="46"/>
      <c r="I57" s="46"/>
      <c r="J57" s="46" t="str">
        <f>IFERROR(__xludf.DUMMYFUNCTION("""COMPUTED_VALUE"""),"Sur")</f>
        <v>Sur</v>
      </c>
      <c r="K57" s="87"/>
      <c r="L57" s="46">
        <f>IFERROR(__xludf.DUMMYFUNCTION("""COMPUTED_VALUE"""),4.0)</f>
        <v>4</v>
      </c>
      <c r="M57" s="46"/>
      <c r="N57" s="46">
        <f>IFERROR(__xludf.DUMMYFUNCTION("""COMPUTED_VALUE"""),3.0)</f>
        <v>3</v>
      </c>
      <c r="O57" s="46">
        <f>IFERROR(__xludf.DUMMYFUNCTION("""COMPUTED_VALUE"""),1.0)</f>
        <v>1</v>
      </c>
      <c r="P57" s="46">
        <f>IFERROR(__xludf.DUMMYFUNCTION("""COMPUTED_VALUE"""),1.0)</f>
        <v>1</v>
      </c>
      <c r="Q57" s="92">
        <f>IFERROR(__xludf.DUMMYFUNCTION("""COMPUTED_VALUE"""),250.0)</f>
        <v>250</v>
      </c>
      <c r="R57" s="92">
        <f>IFERROR(__xludf.DUMMYFUNCTION("""COMPUTED_VALUE"""),1000.0)</f>
        <v>1000</v>
      </c>
      <c r="S57" s="87" t="str">
        <f>IFERROR(__xludf.DUMMYFUNCTION("""COMPUTED_VALUE""")," ")</f>
        <v> </v>
      </c>
      <c r="T57" s="46" t="str">
        <f>IFERROR(__xludf.DUMMYFUNCTION("""COMPUTED_VALUE"""),"Rivera")</f>
        <v>Rivera</v>
      </c>
      <c r="U57" s="87" t="str">
        <f>IFERROR(__xludf.DUMMYFUNCTION("""COMPUTED_VALUE"""),"2")</f>
        <v>2</v>
      </c>
      <c r="V57" s="46"/>
      <c r="W57" s="46"/>
      <c r="X57" s="46">
        <f>IFERROR(__xludf.DUMMYFUNCTION("""COMPUTED_VALUE"""),4.0)</f>
        <v>4</v>
      </c>
      <c r="Y57" s="46" t="str">
        <f>IFERROR(__xludf.DUMMYFUNCTION("""COMPUTED_VALUE"""),"Privada")</f>
        <v>Privada</v>
      </c>
      <c r="Z57" s="90"/>
      <c r="AA57" s="33" t="str">
        <f>IFERROR(__xludf.DUMMYFUNCTION("""COMPUTED_VALUE"""),"No aplica")</f>
        <v>No aplica</v>
      </c>
      <c r="AB57" s="96" t="str">
        <f>IFERROR(__xludf.DUMMYFUNCTION("""COMPUTED_VALUE"""),"https://photos.app.goo.gl/SZ7rH2tqFytPeZxw5")</f>
        <v>https://photos.app.goo.gl/SZ7rH2tqFytPeZxw5</v>
      </c>
      <c r="AC57" s="46" t="str">
        <f>IFERROR(__xludf.DUMMYFUNCTION("""COMPUTED_VALUE"""),"Distribución del inmueble: Zona de Parqueadero. Comedor con excelente espacio. Sala acogedora e iluminada. Cocina Semi Integral. Zona de lavandería. 3 baños. 4 habitaciones con excelente iluminación natural. Closets en las 4 habitaciones. Piscina con plan"&amp;"ta de tratamiento. Zona de Asados y BBQ. Corredores Enmallado los 4 lados de la Casa. Acabados tipo Colonial.")</f>
        <v>Distribución del inmueble: Zona de Parqueadero. Comedor con excelente espacio. Sala acogedora e iluminada. Cocina Semi Integral. Zona de lavandería. 3 baños. 4 habitaciones con excelente iluminación natural. Closets en las 4 habitaciones. Piscina con planta de tratamiento. Zona de Asados y BBQ. Corredores Enmallado los 4 lados de la Casa. Acabados tipo Colonial.</v>
      </c>
      <c r="AD57" s="46" t="str">
        <f>IFERROR(__xludf.DUMMYFUNCTION("""COMPUTED_VALUE"""),"Casa de Campo Ubicada en el municipio de Rivera – Huila / Conjunto La Portada Vereda Riverita, cuenta con un Área de 1.000 m². Estrato 2. Cuenta con Servicios Públicos de Energía, Agua y Gas. Aire Acondicionado en cada habitación. Cámaras de Seguridad. Al"&amp;"jibe con Hidroflow.")</f>
        <v>Casa de Campo Ubicada en el municipio de Rivera – Huila / Conjunto La Portada Vereda Riverita, cuenta con un Área de 1.000 m². Estrato 2. Cuenta con Servicios Públicos de Energía, Agua y Gas. Aire Acondicionado en cada habitación. Cámaras de Seguridad. Aljibe con Hidroflow.</v>
      </c>
      <c r="AE57" s="46"/>
      <c r="AF57" s="46" t="str">
        <f>IFERROR(__xludf.DUMMYFUNCTION("""COMPUTED_VALUE"""),"semi-integral")</f>
        <v>semi-integral</v>
      </c>
      <c r="AG57" s="46"/>
      <c r="AH57" s="46" t="str">
        <f>IFERROR(__xludf.DUMMYFUNCTION("""COMPUTED_VALUE"""),"Aliado")</f>
        <v>Aliado</v>
      </c>
      <c r="AI57" s="92" t="str">
        <f>IFERROR(__xludf.DUMMYFUNCTION("""COMPUTED_VALUE"""),"https://lh3.googleusercontent.com/pw/AP1GczMqCLOnZRnoNi5qE-Hegpu63bCvO9ZeU8pOLiPlF8S2Gra1wLaYgt5Zn55hdDiwpGPvQv_-9eKCFDh5DCWQq410g8EQwn6miDL6-wN-RXfk4JM4JRUc=w1200|https://lh3.googleusercontent.com/pw/AP1GczMi4tWBP53XfGcL9Hh6UoArjZWwcou1OXc3eXGrcHZl_iOiJh"&amp;"CsGrQiK5UZEvowNItRgVJ8Jb2hJbN5-CPbzEnYdVCRLmlfnanJOiSiFJs3WbMajuDf=w1200|https://lh3.googleusercontent.com/pw/AP1GczPEANWSGZTW2XQHFMPkSgU1boGJq_qLzXBNMved_QRrT2tBU4JggAdCu-B0REdXvEggyVqxZVcWQgQBnCaNHEdUZ115Tv3QvUrmcOwwwP6tyWdvt2DD=w1200|https://lh3.google"&amp;"usercontent.com/pw/AP1GczOQy-AzD_aMwQacknuh83pfyrzKEs9mhtc7qGNLWY6TAUiewoXI1ug1imiyhVdo-z1p6hVBKYLUd_-w-jWmXcwA9AGmCFEO5lh9raAU2v39WoLULLnU=w1200|https://lh3.googleusercontent.com/pw/AP1GczN6ZcaGVSEHkIrQr_hWTYgn8_6MfNkJzbBMu9qJnxFIzZD9hAzWPUu8MRsuPruAJv4w"&amp;"m5fnDrA70ZUqxjZW4P6v6bZTEBZ8OX-QVcjviQLGPBvH7aIV=w1200|https://lh3.googleusercontent.com/pw/AP1GczN78RIiU9LohA75PJ0KF5VsxbXs_LVQVlJZoRjLvA53WRbWezWgOA49KLHKnBRmDK7ayBWXgzlI1BsnLvBZPUu8H8Z5-Xf2QrpKAyIYYuNWOcUeR3RR=w1200|https://lh3.googleusercontent.com/pw"&amp;"/AP1GczO6K6qinIBVF312wmzq8wAnmzgIj-ZEzbL3taNtyxkuYY23c8EmTAgMUV9AAobCl3l3pAWCOdH_FBk3lv7xTvd09WFn-XdK6LP8gO2qSLUOxXRFvtBs=w1200|https://lh3.googleusercontent.com/pw/AP1GczMnRwIxs6NG7Hyv6-LipNJfDWUDt0VThv7IJmlYp2dl_ycxx2s1i7bJl-Rtsci7bALlBaoAEaJ-WISh5PLL9R"&amp;"TyYWIzTW5tbyvEVta8QswA5f-U9Ndn=w1200|https://lh3.googleusercontent.com/pw/AP1GczOtmzD8WCStgXarFkvf7RJ74sYB543QFFHyOu0USrtFHRqRZlF88Y5H88GdT8FSZDjOq-H2m2CofuAkSKK0qCUYdYgqqlniZrWVVYBXHpsx1sAnA1JM=w1200|https://lh3.googleusercontent.com/pw/AP1GczOFdTfcvgVN4"&amp;"nBsCsLXW_utt6xM2VFfBPdtEVwTAkh9Bz2z33Pf9LWONr0FZ6u6MHtQvcmMH8cHAyX5Yx4Ks65xpC0EiRdbLi-SCUa21a84XHqraHzg=w1200|https://lh3.googleusercontent.com/pw/AP1GczPoRk8X6HH_Yky2SNpvGFzWYvwJq5sZ7VV3aSWM1X9sxiEXFI4-MYEDR1v0Dj4XM-C67ttCOzShLsXb3uJ33SGRQ4iNVDrDmt3Fm-It"&amp;"WK1_X7nUegc_=w1200|https://lh3.googleusercontent.com/pw/AP1GczPznrFOTHP6DTaRKBQMnjEc6kBstkJAixvVHwe3f4BSVkOxx5tidqMPK9dAbJXpaNIGFyN9tSN3hBM0S5qL_KYsd94cxcP1GWUT-_381boCs_mSichz=w1200|https://lh3.googleusercontent.com/pw/AP1GczPJKEHvEqbBtS0D2bwc9JCyVWWH_Qt"&amp;"DS4V4akoeMTyShZtiktca342pyfZtU3aYhmMqvL0W_2Y2HAlzL6kd0HPsmE_1oZDe8mKuBxjVF1edL-A_QjEm=w1200|https://lh3.googleusercontent.com/pw/AP1GczNEeoNnqcRO8pDetsw1AmWEhxLM5aYFmS6OATY7Ecv1bAERddqZ1VeyDPn6dzivPqAaLOujAFt6s7UiyGw8B108WKJZbJUisDYI1qrRtSjO9FxJFWrv=w1200"&amp;"|https://lh3.googleusercontent.com/pw/AP1GczOv8_VP734ElWnmX2bY-4UBBBihW0NRtlPNEPv_EJ_kHKYyPUNa-D1k6vDH1MT5UEHxlWj72KL4PKDvwBq7XRr3-jexFpBOlnUT-vKzmOA3_NCsLJhL=w1200|https://lh3.googleusercontent.com/pw/AP1GczNDMAD1qyiAZzmrlg9wyfPRHaahZB6LZgYCh20MJ_Yycos9w"&amp;"NKYIeCJiP58q7nmAD5oyS3-R7PSQBxrdmkETuFkANJ2_LKkOmv9h5QRimGNqfFjWfg6=w1200|https://lh3.googleusercontent.com/pw/AP1GczMCZEG_MVF7u6YnTQXCBK3ZLbDaJ2dKYnekHu8sWT1hvrV6mjkh5y9QIF7Qg5EEvHatHuXrdQrEXe-h4ITB3rQSyFxlYPVA7CC_lVjKPuwdSi0k7gQx=w1200|https://lh3.googl"&amp;"eusercontent.com/pw/AP1GczNrzF12rFan3jXwtD1RZZBpPvk39qa1c5Cv5W11yevT5DV9-vRgO-S7X86Xc4RQkNkT8rABNUZzNa44it_O5yV6QYpcUwZqN3hvUbnZjNELP5wK3SMZ=w1200|https://lh3.googleusercontent.com/pw/AP1GczOkbQwGoa5bae4P5Ha0lxCu5bcs2VJiYe_Ct9h1i4saTjxgP3kPANg6jZbaMXVxhu5"&amp;"NqvRuqRrc7nOQ-xUz8PL2t8y_BVr8J7kahpg0XU0HyLcrgL1_=w1200|https://lh3.googleusercontent.com/pw/AP1GczOX2C0QQC7ImLuEKylfIx6svuW5qURTImParhjixLZsKK3m11JzuScNW9GIDrbwGxRSVlvJHCH4tpgSARZL0jtCCVQa-acYGYEKj449r1bHSB6ujxi5=w1200")</f>
        <v>https://lh3.googleusercontent.com/pw/AP1GczMqCLOnZRnoNi5qE-Hegpu63bCvO9ZeU8pOLiPlF8S2Gra1wLaYgt5Zn55hdDiwpGPvQv_-9eKCFDh5DCWQq410g8EQwn6miDL6-wN-RXfk4JM4JRUc=w1200|https://lh3.googleusercontent.com/pw/AP1GczMi4tWBP53XfGcL9Hh6UoArjZWwcou1OXc3eXGrcHZl_iOiJhCsGrQiK5UZEvowNItRgVJ8Jb2hJbN5-CPbzEnYdVCRLmlfnanJOiSiFJs3WbMajuDf=w1200|https://lh3.googleusercontent.com/pw/AP1GczPEANWSGZTW2XQHFMPkSgU1boGJq_qLzXBNMved_QRrT2tBU4JggAdCu-B0REdXvEggyVqxZVcWQgQBnCaNHEdUZ115Tv3QvUrmcOwwwP6tyWdvt2DD=w1200|https://lh3.googleusercontent.com/pw/AP1GczOQy-AzD_aMwQacknuh83pfyrzKEs9mhtc7qGNLWY6TAUiewoXI1ug1imiyhVdo-z1p6hVBKYLUd_-w-jWmXcwA9AGmCFEO5lh9raAU2v39WoLULLnU=w1200|https://lh3.googleusercontent.com/pw/AP1GczN6ZcaGVSEHkIrQr_hWTYgn8_6MfNkJzbBMu9qJnxFIzZD9hAzWPUu8MRsuPruAJv4wm5fnDrA70ZUqxjZW4P6v6bZTEBZ8OX-QVcjviQLGPBvH7aIV=w1200|https://lh3.googleusercontent.com/pw/AP1GczN78RIiU9LohA75PJ0KF5VsxbXs_LVQVlJZoRjLvA53WRbWezWgOA49KLHKnBRmDK7ayBWXgzlI1BsnLvBZPUu8H8Z5-Xf2QrpKAyIYYuNWOcUeR3RR=w1200|https://lh3.googleusercontent.com/pw/AP1GczO6K6qinIBVF312wmzq8wAnmzgIj-ZEzbL3taNtyxkuYY23c8EmTAgMUV9AAobCl3l3pAWCOdH_FBk3lv7xTvd09WFn-XdK6LP8gO2qSLUOxXRFvtBs=w1200|https://lh3.googleusercontent.com/pw/AP1GczMnRwIxs6NG7Hyv6-LipNJfDWUDt0VThv7IJmlYp2dl_ycxx2s1i7bJl-Rtsci7bALlBaoAEaJ-WISh5PLL9RTyYWIzTW5tbyvEVta8QswA5f-U9Ndn=w1200|https://lh3.googleusercontent.com/pw/AP1GczOtmzD8WCStgXarFkvf7RJ74sYB543QFFHyOu0USrtFHRqRZlF88Y5H88GdT8FSZDjOq-H2m2CofuAkSKK0qCUYdYgqqlniZrWVVYBXHpsx1sAnA1JM=w1200|https://lh3.googleusercontent.com/pw/AP1GczOFdTfcvgVN4nBsCsLXW_utt6xM2VFfBPdtEVwTAkh9Bz2z33Pf9LWONr0FZ6u6MHtQvcmMH8cHAyX5Yx4Ks65xpC0EiRdbLi-SCUa21a84XHqraHzg=w1200|https://lh3.googleusercontent.com/pw/AP1GczPoRk8X6HH_Yky2SNpvGFzWYvwJq5sZ7VV3aSWM1X9sxiEXFI4-MYEDR1v0Dj4XM-C67ttCOzShLsXb3uJ33SGRQ4iNVDrDmt3Fm-ItWK1_X7nUegc_=w1200|https://lh3.googleusercontent.com/pw/AP1GczPznrFOTHP6DTaRKBQMnjEc6kBstkJAixvVHwe3f4BSVkOxx5tidqMPK9dAbJXpaNIGFyN9tSN3hBM0S5qL_KYsd94cxcP1GWUT-_381boCs_mSichz=w1200|https://lh3.googleusercontent.com/pw/AP1GczPJKEHvEqbBtS0D2bwc9JCyVWWH_QtDS4V4akoeMTyShZtiktca342pyfZtU3aYhmMqvL0W_2Y2HAlzL6kd0HPsmE_1oZDe8mKuBxjVF1edL-A_QjEm=w1200|https://lh3.googleusercontent.com/pw/AP1GczNEeoNnqcRO8pDetsw1AmWEhxLM5aYFmS6OATY7Ecv1bAERddqZ1VeyDPn6dzivPqAaLOujAFt6s7UiyGw8B108WKJZbJUisDYI1qrRtSjO9FxJFWrv=w1200|https://lh3.googleusercontent.com/pw/AP1GczOv8_VP734ElWnmX2bY-4UBBBihW0NRtlPNEPv_EJ_kHKYyPUNa-D1k6vDH1MT5UEHxlWj72KL4PKDvwBq7XRr3-jexFpBOlnUT-vKzmOA3_NCsLJhL=w1200|https://lh3.googleusercontent.com/pw/AP1GczNDMAD1qyiAZzmrlg9wyfPRHaahZB6LZgYCh20MJ_Yycos9wNKYIeCJiP58q7nmAD5oyS3-R7PSQBxrdmkETuFkANJ2_LKkOmv9h5QRimGNqfFjWfg6=w1200|https://lh3.googleusercontent.com/pw/AP1GczMCZEG_MVF7u6YnTQXCBK3ZLbDaJ2dKYnekHu8sWT1hvrV6mjkh5y9QIF7Qg5EEvHatHuXrdQrEXe-h4ITB3rQSyFxlYPVA7CC_lVjKPuwdSi0k7gQx=w1200|https://lh3.googleusercontent.com/pw/AP1GczNrzF12rFan3jXwtD1RZZBpPvk39qa1c5Cv5W11yevT5DV9-vRgO-S7X86Xc4RQkNkT8rABNUZzNa44it_O5yV6QYpcUwZqN3hvUbnZjNELP5wK3SMZ=w1200|https://lh3.googleusercontent.com/pw/AP1GczOkbQwGoa5bae4P5Ha0lxCu5bcs2VJiYe_Ct9h1i4saTjxgP3kPANg6jZbaMXVxhu5NqvRuqRrc7nOQ-xUz8PL2t8y_BVr8J7kahpg0XU0HyLcrgL1_=w1200|https://lh3.googleusercontent.com/pw/AP1GczOX2C0QQC7ImLuEKylfIx6svuW5qURTImParhjixLZsKK3m11JzuScNW9GIDrbwGxRSVlvJHCH4tpgSARZL0jtCCVQa-acYGYEKj449r1bHSB6ujxi5=w1200</v>
      </c>
      <c r="AJ57" s="46"/>
      <c r="AK57" s="46"/>
      <c r="AL57" s="46"/>
      <c r="AM57" s="46"/>
      <c r="AN57" s="46"/>
      <c r="AO57" s="46"/>
      <c r="AP57" s="46"/>
      <c r="AQ57" s="46"/>
      <c r="AR57" s="46"/>
      <c r="AS57" s="46"/>
      <c r="AT57" s="46"/>
      <c r="AU57" s="46"/>
      <c r="AV57" s="46"/>
      <c r="AW57" s="46"/>
      <c r="AX57" s="46"/>
      <c r="AY57" s="46"/>
      <c r="AZ57" s="46"/>
      <c r="BA57" s="46"/>
      <c r="BB57" s="46"/>
      <c r="BC57" s="46"/>
      <c r="BD57" s="46"/>
      <c r="BE57" s="46"/>
      <c r="BF57" s="46"/>
      <c r="BG57" s="46"/>
      <c r="BH57" s="46"/>
      <c r="BI57" s="46"/>
      <c r="BJ57" s="46"/>
      <c r="BK57" s="46"/>
      <c r="BL57" s="46"/>
      <c r="BM57" s="46"/>
      <c r="BN57" s="46"/>
      <c r="BO57" s="46"/>
      <c r="BP57" s="46"/>
      <c r="BQ57" s="46"/>
      <c r="BR57" s="46"/>
      <c r="BS57" s="46"/>
      <c r="BT57" s="46"/>
      <c r="BU57" s="46"/>
      <c r="BV57" s="46"/>
      <c r="BW57" s="46"/>
      <c r="BX57" s="46"/>
      <c r="BY57" s="46"/>
      <c r="BZ57" s="46"/>
      <c r="CA57" s="46"/>
      <c r="CB57" s="46"/>
      <c r="CC57" s="46"/>
    </row>
    <row r="58">
      <c r="A58" s="87" t="str">
        <f>IFERROR(__xludf.DUMMYFUNCTION("""COMPUTED_VALUE"""),"1771")</f>
        <v>1771</v>
      </c>
      <c r="B58" s="46" t="str">
        <f>IFERROR(__xludf.DUMMYFUNCTION("""COMPUTED_VALUE"""),"Apartamento en Conjunto Residencial Bosques de Baviera - Sur")</f>
        <v>Apartamento en Conjunto Residencial Bosques de Baviera - Sur</v>
      </c>
      <c r="C58" s="46" t="str">
        <f>IFERROR(__xludf.DUMMYFUNCTION("""COMPUTED_VALUE"""),"Apartamento en conjunto")</f>
        <v>Apartamento en conjunto</v>
      </c>
      <c r="D58" s="46"/>
      <c r="E58" s="46" t="str">
        <f>IFERROR(__xludf.DUMMYFUNCTION("""COMPUTED_VALUE""")," Conjunto Residencial Bosques de Baviera.")</f>
        <v> Conjunto Residencial Bosques de Baviera.</v>
      </c>
      <c r="F58" s="90">
        <f>IFERROR(__xludf.DUMMYFUNCTION("""COMPUTED_VALUE"""),4.5E8)</f>
        <v>450000000</v>
      </c>
      <c r="G58" s="46" t="str">
        <f>IFERROR(__xludf.DUMMYFUNCTION("""COMPUTED_VALUE"""),"$400'000.000 a $500'000.000")</f>
        <v>$400'000.000 a $500'000.000</v>
      </c>
      <c r="H58" s="46"/>
      <c r="I58" s="46"/>
      <c r="J58" s="46" t="str">
        <f>IFERROR(__xludf.DUMMYFUNCTION("""COMPUTED_VALUE"""),"Sur")</f>
        <v>Sur</v>
      </c>
      <c r="K58" s="87" t="str">
        <f>IFERROR(__xludf.DUMMYFUNCTION("""COMPUTED_VALUE"""),"6")</f>
        <v>6</v>
      </c>
      <c r="L58" s="46">
        <f>IFERROR(__xludf.DUMMYFUNCTION("""COMPUTED_VALUE"""),3.0)</f>
        <v>3</v>
      </c>
      <c r="M58" s="46"/>
      <c r="N58" s="46">
        <f>IFERROR(__xludf.DUMMYFUNCTION("""COMPUTED_VALUE"""),2.0)</f>
        <v>2</v>
      </c>
      <c r="O58" s="46">
        <f>IFERROR(__xludf.DUMMYFUNCTION("""COMPUTED_VALUE"""),1.0)</f>
        <v>1</v>
      </c>
      <c r="P58" s="46">
        <f>IFERROR(__xludf.DUMMYFUNCTION("""COMPUTED_VALUE"""),3.0)</f>
        <v>3</v>
      </c>
      <c r="Q58" s="92">
        <f>IFERROR(__xludf.DUMMYFUNCTION("""COMPUTED_VALUE"""),113.0)</f>
        <v>113</v>
      </c>
      <c r="R58" s="92">
        <f>IFERROR(__xludf.DUMMYFUNCTION("""COMPUTED_VALUE"""),113.0)</f>
        <v>113</v>
      </c>
      <c r="S58" s="87" t="str">
        <f>IFERROR(__xludf.DUMMYFUNCTION("""COMPUTED_VALUE""")," ")</f>
        <v> </v>
      </c>
      <c r="T58" s="46" t="str">
        <f>IFERROR(__xludf.DUMMYFUNCTION("""COMPUTED_VALUE"""),"Neiva")</f>
        <v>Neiva</v>
      </c>
      <c r="U58" s="87" t="str">
        <f>IFERROR(__xludf.DUMMYFUNCTION("""COMPUTED_VALUE"""),"3")</f>
        <v>3</v>
      </c>
      <c r="V58" s="46" t="str">
        <f>IFERROR(__xludf.DUMMYFUNCTION("""COMPUTED_VALUE"""),"3er.")</f>
        <v>3er.</v>
      </c>
      <c r="W58" s="46"/>
      <c r="X58" s="46">
        <f>IFERROR(__xludf.DUMMYFUNCTION("""COMPUTED_VALUE"""),3.0)</f>
        <v>3</v>
      </c>
      <c r="Y58" s="46" t="str">
        <f>IFERROR(__xludf.DUMMYFUNCTION("""COMPUTED_VALUE"""),"Social")</f>
        <v>Social</v>
      </c>
      <c r="Z58" s="90"/>
      <c r="AA58" s="33" t="str">
        <f>IFERROR(__xludf.DUMMYFUNCTION("""COMPUTED_VALUE"""),"No aplica")</f>
        <v>No aplica</v>
      </c>
      <c r="AB58" s="96" t="str">
        <f>IFERROR(__xludf.DUMMYFUNCTION("""COMPUTED_VALUE"""),"https://photos.app.goo.gl/1GzKJEyhd5QUDEhe7")</f>
        <v>https://photos.app.goo.gl/1GzKJEyhd5QUDEhe7</v>
      </c>
      <c r="AC58" s="46" t="str">
        <f>IFERROR(__xludf.DUMMYFUNCTION("""COMPUTED_VALUE"""),"Apartamento de 113 m², ideal para disfrutar tranquilidad y confort  3 habitaciones, todas con clóset Habitación principal con baño privado y balcón Baño auxilia Sala – comedor amplia con balcón Cocina integral Zona de lavandería independiente Estar de TV "&amp;"o estudio Parqueadero privado Conjunto residencial con excelentes zonas sociales: Piscina Salón social Zonas verdes y parque Portería y vigilancia 24 horas.")</f>
        <v>Apartamento de 113 m², ideal para disfrutar tranquilidad y confort  3 habitaciones, todas con clóset Habitación principal con baño privado y balcón Baño auxilia Sala – comedor amplia con balcón Cocina integral Zona de lavandería independiente Estar de TV o estudio Parqueadero privado Conjunto residencial con excelentes zonas sociales: Piscina Salón social Zonas verdes y parque Portería y vigilancia 24 horas.</v>
      </c>
      <c r="AD58" s="46" t="str">
        <f>IFERROR(__xludf.DUMMYFUNCTION("""COMPUTED_VALUE"""),"Apartamento con vista al exterior del conjunto. Tercer piso. Conjunto ubicado en una zona de alto desarrollo y gran valorización, perfecta para vivir o invertir.")</f>
        <v>Apartamento con vista al exterior del conjunto. Tercer piso. Conjunto ubicado en una zona de alto desarrollo y gran valorización, perfecta para vivir o invertir.</v>
      </c>
      <c r="AE58" s="46"/>
      <c r="AF58" s="46" t="str">
        <f>IFERROR(__xludf.DUMMYFUNCTION("""COMPUTED_VALUE"""),"integral")</f>
        <v>integral</v>
      </c>
      <c r="AG58" s="46"/>
      <c r="AH58" s="46" t="str">
        <f>IFERROR(__xludf.DUMMYFUNCTION("""COMPUTED_VALUE"""),"Aliado")</f>
        <v>Aliado</v>
      </c>
      <c r="AI58" s="92" t="str">
        <f>IFERROR(__xludf.DUMMYFUNCTION("""COMPUTED_VALUE"""),"https://lh3.googleusercontent.com/pw/AP1GczP7eZlZGdpcl_4QQYkC9osp3X4Vwwc5FVS5GB6IKt_n_FvpXm_FAbGEuBtBvr1aU_0f4WRvvaj1EvCtxtXvR4wt6S__6r9YhaqcAmlre_kUbP7q--N2=w1200|https://lh3.googleusercontent.com/pw/AP1GczNC7cQ86dwCC5pFBoXc0fmgDYkaLwYOvWYLJ_gp-9LEplfUF-"&amp;"UcAgkcRTrvj4UILdMTcZa9_U-Ex2Y6QtR3b4m5_PRjMvHapN_vHKsBPHGZbVTAe3t8=w1200|https://lh3.googleusercontent.com/pw/AP1GczPWCfTt-fCd2jUqO-pIiGCUt_tTVNcqr9_k-YMLImY0NSiwx4dciQ2IlyOY9UJkz9HPaTwIqK1QpCcxnTtAxSBr60PtVC7eG218Pg0xCQDk-kjZmnHP=w1200|https://lh3.google"&amp;"usercontent.com/pw/AP1GczOUy6tk7M6OubllVCQUYTRQSBPYb0HttSkR5qHphwofXF6qGZL703epjal1Pt4rqmq1mlTGdMoKN8Bka0ZcxR4vGPuOClB7VnpdRZkQ4Yjc8NA71t9Q=w1200|https://lh3.googleusercontent.com/pw/AP1GczPS1EkqezFtRUoh_R0fZP_cYzQcUKpryQK_KcbPvwaM8_MT3GwHZMpeei-CSRccBekG"&amp;"N5sbUKmsCLAI-Pe-xWS7PHm7Vlyv1X3Kxoo1vDsXYpmpl7rN=w1200|https://lh3.googleusercontent.com/pw/AP1GczNNB1FjvWntZM9lEZdThMiE2Bpj70hvdWFtOyK4goOqf3VFkY75W1Ku5tYJfOj2w8br_zWtAC1tR7x5CM59MyEcRJqxuc-6oQlsaXU9Kk5_6Amsvp6o=w1200|https://lh3.googleusercontent.com/pw"&amp;"/AP1GczPRHvVqMsDW1kYCL0Hau3URUK8aZh6ITU5_4zE97aktRhfT_7Rg-kDrRw0wTYCtU66LYfMIvIlIAM1WCLZZb4g8SI0m0zqyxy15BPVWzcl-ncEZby_z=w1200|https://lh3.googleusercontent.com/pw/AP1GczMR5BaSwEL-Y-cAKwI5bgdTNjOEIwmeYBkzdATlSztFASTuoCXfqDRPRR4A5y1wedxCBtvradoZ11mbxefCBt"&amp;"aWWuB8HtkPBXXQvGqawwi_FYQ10qG2=w1200|https://lh3.googleusercontent.com/pw/AP1GczOcVQQhnY8orx_B5dgtpuwzVcWfQ8nUlanwRwENlPQEbHKd4AX2Q7z_aqnrjCjsjoMaPUgg2XjyysU_1lqoTBhq-6x3WSWceKGMbWyZhQhM48qMZ1n4=w1200|https://lh3.googleusercontent.com/pw/AP1GczPCM5_5_7SVG"&amp;"slAY-vuFOJxdoHc89Smh1nItGLCP908-7_pr5fZlZdjbyhTYusPe4n5oQFTBqZMMHqKaakNHabz1lQbu5eRRcpl2t1_D2okhcjdGDOt=w1200|https://lh3.googleusercontent.com/pw/AP1GczMjAmJlCgcpYhFJKyTNHCRvNajPBghME1cGH4thmmVytOw780zOTWVqR3U4cz-QwpxsHZVPZyJAGt3O9rHGl-0rYsS5c1tkqgKUb8Gv"&amp;"FRCrnJHXE1M1=w1200|https://lh3.googleusercontent.com/pw/AP1GczPfeCCxkvHLTHySeRAA4-MkJVMNbBR-sGFpJNRM7qTqLhDOzmUp1LBAUE4Cvl8dJbPVLtGk0ghMigAIRD_d2pGVPY5BExiXTFGSh81-OzwwA1Y1iyey=w1200|https://lh3.googleusercontent.com/pw/AP1GczONhGsd-Aad_CkOWP8qTR50BOrvmSM"&amp;"O__qgSwEGsLAAQXsek_VJaDIMz-IjEfud0eGEkdpISjhpExDpz0fTdQnzWgzhN0rRb1qk2J5JGe8rPElBUPKN=w1200|https://lh3.googleusercontent.com/pw/AP1GczP0e7gMWP9a_YCsZZktzRIUKF4nKauZ_JkKuMxq2FmLC39tWstIbNMecqCBghJOqsl4BTHvD9q4tzpI0bVo6iuXzeWWk4MoeqpPv4xAnaRPEIwQbOMp=w1200"&amp;"|https://lh3.googleusercontent.com/pw/AP1GczO1Gwn90VqBS5WXgSYj7V9_4BHotgR4BUdGYWmm25mYjBPMqhcCMvRySaWk1FDC3JceV_3VcGMcx2a95RQeFfve-JuxSoqqB2UoBYoGadtnvU3VMOUy=w1200|https://lh3.googleusercontent.com/pw/AP1GczP2mT2-F3K0IWUrg71-mf9ngGPc1qjZWsLQ-r5N8e9CsWLMz"&amp;"c8AU9DMl1-Y2pvCvEL0P9Nd8ra7FPXt4MAF2J5na-L4Hy1KS5MjK45RtLcX2w0ZsZGV=w1200|https://lh3.googleusercontent.com/pw/AP1GczPu-3FfdbSwOvri6ZjjX8f49MVgWEqQ0XFm-DuTMog6FVcWE26zdSuiz48yIAtP9bNPgRG3kSPG0yr3TNE5iE6o846-Yv7Q1F8DXHVAJkB7NIC5pb7o=w1200|https://lh3.googl"&amp;"eusercontent.com/pw/AP1GczOAgPgHNjanUplXQ_JJnuY23kIGfW5Cq-NDgjFSBhgzhssDrKfDZoh_M-_LlTHE6QlcsB-5tPaT7x-twOOnlKGacGXdmA7v0nwyonMeKud5ihjbTgpc=w1200|https://lh3.googleusercontent.com/pw/AP1GczPhlVA9HJUKwDLfMki164S3wJShX6gc4OnqAa1WBKL8pLwichesvVEbiKjpxrrsy-O"&amp;"yMX3yM8abr8EbMRVFjh0eNqBZuC-bddmuoseCk7HTd2hBxIq-=w1200|https://lh3.googleusercontent.com/pw/AP1GczNLl8E1aBpXuXl0wlF5DFQF_rnWY0EFRyPacQDXgQNZ0aPsIxerixtcB7aTJ32zOQU6-J6bMAmRB8rg6cygknbys43_AzJ1vBFexCGulTjaHmmszNDK=w1200|https://lh3.googleusercontent.com/p"&amp;"w/AP1GczNneWmJO2Cwfe2Pm67x1bOjrbMNYUZB9ptKmcu-5sJX3WGXVf_hIKaPgtDqvH3QltWKSw4cxjIIXvjd-Pb2tFcTWncjgtEVa-gowldBc4QIp9nFuGN8=w1200|https://lh3.googleusercontent.com/pw/AP1GczNpY-VPCWL4vU9YyheNwbB5xg54zgN7MrMDRGYREeeQwq_3H_5iO6eeYs-sIMI6dl11txD9zv9ilPT5yBqTT"&amp;"JNjnasDu1jBaXsQF3XqJlFqm9jbAjn1=w1200|https://lh3.googleusercontent.com/pw/AP1GczNhzD6GgFMQ5sm-8IrGBZDc3sBIUy68VzxlcyjfaSmMXe28Fu0Im9JDHMvCppdNQWCLJKozIwZwS3GBp2JRGwDEaDYBi0ZAs8jAZETS5ZuCLok-pXPI=w1200|https://lh3.googleusercontent.com/pw/AP1GczOMHMTU-jiJ"&amp;"j4L0LsyOmQzdXnlZ5O-bk-_BGOO2YzGMk2AqeYE9eb-CvFc0rDGA1w8yoOcAtkpm-QAwQcgNQJz7jfj04RyEni0HQTXV981XsUymeQMi=w1200|https://lh3.googleusercontent.com/pw/AP1GczOkkkdiTBrcBibLYg1RWpTBJk0in8t6DwLEPp9weT2mgwnXqJZWkd4PAy-bKp3ctNIyb06sXLmY4uupzSlIs4gDr5cVv__NZdGVhtR"&amp;"qfHsAqm28ZU_X=w1200|https://lh3.googleusercontent.com/pw/AP1GczPjKYVtXSrc51HffYNc0j0049af4Iz-4WBY-9nUFn0wNrjxtwvq-rzK2xH2jjVepWm6KuP07NagEDDdR-jJA9J_eDjvn_-ni8h8mz-l3UDkqYxGiWbN=w1200")</f>
        <v>https://lh3.googleusercontent.com/pw/AP1GczP7eZlZGdpcl_4QQYkC9osp3X4Vwwc5FVS5GB6IKt_n_FvpXm_FAbGEuBtBvr1aU_0f4WRvvaj1EvCtxtXvR4wt6S__6r9YhaqcAmlre_kUbP7q--N2=w1200|https://lh3.googleusercontent.com/pw/AP1GczNC7cQ86dwCC5pFBoXc0fmgDYkaLwYOvWYLJ_gp-9LEplfUF-UcAgkcRTrvj4UILdMTcZa9_U-Ex2Y6QtR3b4m5_PRjMvHapN_vHKsBPHGZbVTAe3t8=w1200|https://lh3.googleusercontent.com/pw/AP1GczPWCfTt-fCd2jUqO-pIiGCUt_tTVNcqr9_k-YMLImY0NSiwx4dciQ2IlyOY9UJkz9HPaTwIqK1QpCcxnTtAxSBr60PtVC7eG218Pg0xCQDk-kjZmnHP=w1200|https://lh3.googleusercontent.com/pw/AP1GczOUy6tk7M6OubllVCQUYTRQSBPYb0HttSkR5qHphwofXF6qGZL703epjal1Pt4rqmq1mlTGdMoKN8Bka0ZcxR4vGPuOClB7VnpdRZkQ4Yjc8NA71t9Q=w1200|https://lh3.googleusercontent.com/pw/AP1GczPS1EkqezFtRUoh_R0fZP_cYzQcUKpryQK_KcbPvwaM8_MT3GwHZMpeei-CSRccBekGN5sbUKmsCLAI-Pe-xWS7PHm7Vlyv1X3Kxoo1vDsXYpmpl7rN=w1200|https://lh3.googleusercontent.com/pw/AP1GczNNB1FjvWntZM9lEZdThMiE2Bpj70hvdWFtOyK4goOqf3VFkY75W1Ku5tYJfOj2w8br_zWtAC1tR7x5CM59MyEcRJqxuc-6oQlsaXU9Kk5_6Amsvp6o=w1200|https://lh3.googleusercontent.com/pw/AP1GczPRHvVqMsDW1kYCL0Hau3URUK8aZh6ITU5_4zE97aktRhfT_7Rg-kDrRw0wTYCtU66LYfMIvIlIAM1WCLZZb4g8SI0m0zqyxy15BPVWzcl-ncEZby_z=w1200|https://lh3.googleusercontent.com/pw/AP1GczMR5BaSwEL-Y-cAKwI5bgdTNjOEIwmeYBkzdATlSztFASTuoCXfqDRPRR4A5y1wedxCBtvradoZ11mbxefCBtaWWuB8HtkPBXXQvGqawwi_FYQ10qG2=w1200|https://lh3.googleusercontent.com/pw/AP1GczOcVQQhnY8orx_B5dgtpuwzVcWfQ8nUlanwRwENlPQEbHKd4AX2Q7z_aqnrjCjsjoMaPUgg2XjyysU_1lqoTBhq-6x3WSWceKGMbWyZhQhM48qMZ1n4=w1200|https://lh3.googleusercontent.com/pw/AP1GczPCM5_5_7SVGslAY-vuFOJxdoHc89Smh1nItGLCP908-7_pr5fZlZdjbyhTYusPe4n5oQFTBqZMMHqKaakNHabz1lQbu5eRRcpl2t1_D2okhcjdGDOt=w1200|https://lh3.googleusercontent.com/pw/AP1GczMjAmJlCgcpYhFJKyTNHCRvNajPBghME1cGH4thmmVytOw780zOTWVqR3U4cz-QwpxsHZVPZyJAGt3O9rHGl-0rYsS5c1tkqgKUb8GvFRCrnJHXE1M1=w1200|https://lh3.googleusercontent.com/pw/AP1GczPfeCCxkvHLTHySeRAA4-MkJVMNbBR-sGFpJNRM7qTqLhDOzmUp1LBAUE4Cvl8dJbPVLtGk0ghMigAIRD_d2pGVPY5BExiXTFGSh81-OzwwA1Y1iyey=w1200|https://lh3.googleusercontent.com/pw/AP1GczONhGsd-Aad_CkOWP8qTR50BOrvmSMO__qgSwEGsLAAQXsek_VJaDIMz-IjEfud0eGEkdpISjhpExDpz0fTdQnzWgzhN0rRb1qk2J5JGe8rPElBUPKN=w1200|https://lh3.googleusercontent.com/pw/AP1GczP0e7gMWP9a_YCsZZktzRIUKF4nKauZ_JkKuMxq2FmLC39tWstIbNMecqCBghJOqsl4BTHvD9q4tzpI0bVo6iuXzeWWk4MoeqpPv4xAnaRPEIwQbOMp=w1200|https://lh3.googleusercontent.com/pw/AP1GczO1Gwn90VqBS5WXgSYj7V9_4BHotgR4BUdGYWmm25mYjBPMqhcCMvRySaWk1FDC3JceV_3VcGMcx2a95RQeFfve-JuxSoqqB2UoBYoGadtnvU3VMOUy=w1200|https://lh3.googleusercontent.com/pw/AP1GczP2mT2-F3K0IWUrg71-mf9ngGPc1qjZWsLQ-r5N8e9CsWLMzc8AU9DMl1-Y2pvCvEL0P9Nd8ra7FPXt4MAF2J5na-L4Hy1KS5MjK45RtLcX2w0ZsZGV=w1200|https://lh3.googleusercontent.com/pw/AP1GczPu-3FfdbSwOvri6ZjjX8f49MVgWEqQ0XFm-DuTMog6FVcWE26zdSuiz48yIAtP9bNPgRG3kSPG0yr3TNE5iE6o846-Yv7Q1F8DXHVAJkB7NIC5pb7o=w1200|https://lh3.googleusercontent.com/pw/AP1GczOAgPgHNjanUplXQ_JJnuY23kIGfW5Cq-NDgjFSBhgzhssDrKfDZoh_M-_LlTHE6QlcsB-5tPaT7x-twOOnlKGacGXdmA7v0nwyonMeKud5ihjbTgpc=w1200|https://lh3.googleusercontent.com/pw/AP1GczPhlVA9HJUKwDLfMki164S3wJShX6gc4OnqAa1WBKL8pLwichesvVEbiKjpxrrsy-OyMX3yM8abr8EbMRVFjh0eNqBZuC-bddmuoseCk7HTd2hBxIq-=w1200|https://lh3.googleusercontent.com/pw/AP1GczNLl8E1aBpXuXl0wlF5DFQF_rnWY0EFRyPacQDXgQNZ0aPsIxerixtcB7aTJ32zOQU6-J6bMAmRB8rg6cygknbys43_AzJ1vBFexCGulTjaHmmszNDK=w1200|https://lh3.googleusercontent.com/pw/AP1GczNneWmJO2Cwfe2Pm67x1bOjrbMNYUZB9ptKmcu-5sJX3WGXVf_hIKaPgtDqvH3QltWKSw4cxjIIXvjd-Pb2tFcTWncjgtEVa-gowldBc4QIp9nFuGN8=w1200|https://lh3.googleusercontent.com/pw/AP1GczNpY-VPCWL4vU9YyheNwbB5xg54zgN7MrMDRGYREeeQwq_3H_5iO6eeYs-sIMI6dl11txD9zv9ilPT5yBqTTJNjnasDu1jBaXsQF3XqJlFqm9jbAjn1=w1200|https://lh3.googleusercontent.com/pw/AP1GczNhzD6GgFMQ5sm-8IrGBZDc3sBIUy68VzxlcyjfaSmMXe28Fu0Im9JDHMvCppdNQWCLJKozIwZwS3GBp2JRGwDEaDYBi0ZAs8jAZETS5ZuCLok-pXPI=w1200|https://lh3.googleusercontent.com/pw/AP1GczOMHMTU-jiJj4L0LsyOmQzdXnlZ5O-bk-_BGOO2YzGMk2AqeYE9eb-CvFc0rDGA1w8yoOcAtkpm-QAwQcgNQJz7jfj04RyEni0HQTXV981XsUymeQMi=w1200|https://lh3.googleusercontent.com/pw/AP1GczOkkkdiTBrcBibLYg1RWpTBJk0in8t6DwLEPp9weT2mgwnXqJZWkd4PAy-bKp3ctNIyb06sXLmY4uupzSlIs4gDr5cVv__NZdGVhtRqfHsAqm28ZU_X=w1200|https://lh3.googleusercontent.com/pw/AP1GczPjKYVtXSrc51HffYNc0j0049af4Iz-4WBY-9nUFn0wNrjxtwvq-rzK2xH2jjVepWm6KuP07NagEDDdR-jJA9J_eDjvn_-ni8h8mz-l3UDkqYxGiWbN=w1200</v>
      </c>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c r="BJ58" s="46"/>
      <c r="BK58" s="46"/>
      <c r="BL58" s="46"/>
      <c r="BM58" s="46"/>
      <c r="BN58" s="46"/>
      <c r="BO58" s="46"/>
      <c r="BP58" s="46"/>
      <c r="BQ58" s="46"/>
      <c r="BR58" s="46"/>
      <c r="BS58" s="46"/>
      <c r="BT58" s="46"/>
      <c r="BU58" s="46"/>
      <c r="BV58" s="46"/>
      <c r="BW58" s="46"/>
      <c r="BX58" s="46"/>
      <c r="BY58" s="46"/>
      <c r="BZ58" s="46"/>
      <c r="CA58" s="46"/>
      <c r="CB58" s="46"/>
      <c r="CC58" s="46"/>
    </row>
    <row r="59">
      <c r="A59" s="87" t="str">
        <f>IFERROR(__xludf.DUMMYFUNCTION("""COMPUTED_VALUE"""),"1471")</f>
        <v>1471</v>
      </c>
      <c r="B59" s="46" t="str">
        <f>IFERROR(__xludf.DUMMYFUNCTION("""COMPUTED_VALUE"""),"Casa con apartamento independiente en barrio Altico")</f>
        <v>Casa con apartamento independiente en barrio Altico</v>
      </c>
      <c r="C59" s="46" t="str">
        <f>IFERROR(__xludf.DUMMYFUNCTION("""COMPUTED_VALUE"""),"Casa rentable")</f>
        <v>Casa rentable</v>
      </c>
      <c r="D59" s="46" t="str">
        <f>IFERROR(__xludf.DUMMYFUNCTION("""COMPUTED_VALUE"""),"El Altico")</f>
        <v>El Altico</v>
      </c>
      <c r="E59" s="90"/>
      <c r="F59" s="90">
        <f>IFERROR(__xludf.DUMMYFUNCTION("""COMPUTED_VALUE"""),4.5E8)</f>
        <v>450000000</v>
      </c>
      <c r="G59" s="46" t="str">
        <f>IFERROR(__xludf.DUMMYFUNCTION("""COMPUTED_VALUE"""),"$400'000.000 a $500'000.000")</f>
        <v>$400'000.000 a $500'000.000</v>
      </c>
      <c r="H59" s="46"/>
      <c r="I59" s="46"/>
      <c r="J59" s="46" t="str">
        <f>IFERROR(__xludf.DUMMYFUNCTION("""COMPUTED_VALUE"""),"Centro")</f>
        <v>Centro</v>
      </c>
      <c r="K59" s="87" t="str">
        <f>IFERROR(__xludf.DUMMYFUNCTION("""COMPUTED_VALUE"""),"4")</f>
        <v>4</v>
      </c>
      <c r="L59" s="46">
        <f>IFERROR(__xludf.DUMMYFUNCTION("""COMPUTED_VALUE"""),5.0)</f>
        <v>5</v>
      </c>
      <c r="M59" s="46"/>
      <c r="N59" s="46">
        <f>IFERROR(__xludf.DUMMYFUNCTION("""COMPUTED_VALUE"""),3.0)</f>
        <v>3</v>
      </c>
      <c r="O59" s="46">
        <f>IFERROR(__xludf.DUMMYFUNCTION("""COMPUTED_VALUE"""),1.0)</f>
        <v>1</v>
      </c>
      <c r="P59" s="46">
        <f>IFERROR(__xludf.DUMMYFUNCTION("""COMPUTED_VALUE"""),1.0)</f>
        <v>1</v>
      </c>
      <c r="Q59" s="92">
        <f>IFERROR(__xludf.DUMMYFUNCTION("""COMPUTED_VALUE"""),220.0)</f>
        <v>220</v>
      </c>
      <c r="R59" s="92"/>
      <c r="S59" s="87" t="str">
        <f>IFERROR(__xludf.DUMMYFUNCTION("""COMPUTED_VALUE""")," ")</f>
        <v> </v>
      </c>
      <c r="T59" s="46" t="str">
        <f>IFERROR(__xludf.DUMMYFUNCTION("""COMPUTED_VALUE"""),"Neiva")</f>
        <v>Neiva</v>
      </c>
      <c r="U59" s="87" t="str">
        <f>IFERROR(__xludf.DUMMYFUNCTION("""COMPUTED_VALUE"""),"3")</f>
        <v>3</v>
      </c>
      <c r="V59" s="46" t="str">
        <f>IFERROR(__xludf.DUMMYFUNCTION("""COMPUTED_VALUE"""),"Medianera")</f>
        <v>Medianera</v>
      </c>
      <c r="W59" s="46"/>
      <c r="X59" s="46">
        <f>IFERROR(__xludf.DUMMYFUNCTION("""COMPUTED_VALUE"""),0.0)</f>
        <v>0</v>
      </c>
      <c r="Y59" s="46" t="str">
        <f>IFERROR(__xludf.DUMMYFUNCTION("""COMPUTED_VALUE"""),"No tiene")</f>
        <v>No tiene</v>
      </c>
      <c r="Z59" s="90" t="str">
        <f>IFERROR(__xludf.DUMMYFUNCTION("""COMPUTED_VALUE"""),"No aplica")</f>
        <v>No aplica</v>
      </c>
      <c r="AA59" s="33" t="str">
        <f>IFERROR(__xludf.DUMMYFUNCTION("""COMPUTED_VALUE"""),"No aplica")</f>
        <v>No aplica</v>
      </c>
      <c r="AB59" s="144" t="str">
        <f>IFERROR(__xludf.DUMMYFUNCTION("""COMPUTED_VALUE"""),"https://photos.google.com/share/AF1QipObINDaOpVLn4u0sk_OrmabNgl-3sCIPjj43V_2tIj9IX0GR2UgiprYKEEtTV_YxA?key=UWtUSExYd1NqQ2VXbmdhb05LSDEwNEdZVm9ZRERR")</f>
        <v>https://photos.google.com/share/AF1QipObINDaOpVLn4u0sk_OrmabNgl-3sCIPjj43V_2tIj9IX0GR2UgiprYKEEtTV_YxA?key=UWtUSExYd1NqQ2VXbmdhb05LSDEwNEdZVm9ZRERR</v>
      </c>
      <c r="AC59" s="46" t="str">
        <f>IFERROR(__xludf.DUMMYFUNCTION("""COMPUTED_VALUE"""),"Casa rentable en el barrio el Altico con un área de 220m2, consta de: Sala amplia, Comedor, baño auxiliar, cocina, 4 habitaciones, y una habitación de servicio, patio de ropa, zona de lavandería, garaje. La casa cuenta con un apartamento independiente de "&amp;"entrada y servicios, el cual cuenta con sala, comedor, baño, cocina integral, 2 habitaciones y zona de lavandería. Estrato 3.")</f>
        <v>Casa rentable en el barrio el Altico con un área de 220m2, consta de: Sala amplia, Comedor, baño auxiliar, cocina, 4 habitaciones, y una habitación de servicio, patio de ropa, zona de lavandería, garaje. La casa cuenta con un apartamento independiente de entrada y servicios, el cual cuenta con sala, comedor, baño, cocina integral, 2 habitaciones y zona de lavandería. Estrato 3.</v>
      </c>
      <c r="AD59" s="46"/>
      <c r="AE59" s="46"/>
      <c r="AF59" s="46" t="str">
        <f>IFERROR(__xludf.DUMMYFUNCTION("""COMPUTED_VALUE"""),"básica")</f>
        <v>básica</v>
      </c>
      <c r="AG59" s="46"/>
      <c r="AH59" s="46" t="str">
        <f>IFERROR(__xludf.DUMMYFUNCTION("""COMPUTED_VALUE"""),"Aliado")</f>
        <v>Aliado</v>
      </c>
      <c r="AI59" s="92" t="str">
        <f>IFERROR(__xludf.DUMMYFUNCTION("""COMPUTED_VALUE"""),"https://lh3.googleusercontent.com/pw/AP1GczN5FSmsD1o-DsFvTKspXojN1dalru_BFtW0g47NorVM1WCRq87NkW5Tewie-1xNb9-hNHEDktAFJuXuY6g0UheyLW3X3ATm8z0U7qCRloOIi9eUs_mU=w1200|https://lh3.googleusercontent.com/pw/AP1GczOFkV1VBZjmc8XISwl5GiFb3X7iNSz4GDFQiz6zz5On0fFAsR"&amp;"2n0in53gsnDYG2o06iE-RMj1mDS820M9c07ptdNMIcbbU3AUzUxuhikbLOgyf_EQnZ=w1200|https://lh3.googleusercontent.com/pw/AP1GczN4TgH0By2-hIcwZZIIJPcgA4xuicKEostFhfmObBiiallHFpdTE_G9WQiM3AY5-wvYMlTcCpLlKKhqPFHaFmKyZ_W7D2TuGK-NfL6Sr5zfmx5eJ8Il=w1200|https://lh3.google"&amp;"usercontent.com/pw/AP1GczNTccFbwv1hQf6vKKGcnP-wzN2_DllkLmJ6PN_FwDFMT3MlpUGaY_4wM1OsqJgDyBOAkymF8SUODRfR9q69LRoXoUKuE70x20ZtM0tPAbZdy4AVA2gD=w1200|https://lh3.googleusercontent.com/pw/AP1GczNEbClkLThsGxXSx5xjIL0wS3G-QKV1HuniF1O42MMzxqlom_SaiS1YB-2VjJPGD0h_"&amp;"MQEkKpbZHA7szsXZ0zD_s6K4BJXZOOVtzxHMgek6bwxk1CBt=w1200|https://lh3.googleusercontent.com/pw/AP1GczOLx3MLYQAcJt75VphztcP2nA6-vq9fI82GV5DKIYgEC6rDpi3yFlkhCxzQG5hczSryavVBJ1yMbJ3sqZ0l_07IBasQ1voVIpjCm8-88iJmgLURQgE8=w1200|https://lh3.googleusercontent.com/pw"&amp;"/AP1GczNJ9xZiidsMDKuuLiEFCz4NAVAGLpqeORodMjMbHxMhN-SRJprDESDsr1GWc3PRWpRqGl5NBp6GkWfqSmOjPJ-Gu5NnZL01aF1R3iuLBDaepG32FPu1=w1200|https://lh3.googleusercontent.com/pw/AP1GczOaWrCrnvCI8uNwO19PhDhIWTlJqbRUOcg_7YWpv9SsbW1rB96_lWaGlRsFdd_4wJzq7I8FtQVaK-jeWvfYcO"&amp;"e5eKeQ-x34ZTU6zY2DNil9hyNPrTgL=w1200|https://lh3.googleusercontent.com/pw/AP1GczP0b0XJIsQVukxbTOECF9HEMmNRwnqC2hUzIu3Z3FzktzG1PgvEzOi72urEP_WqA0Fea7AFD_fHKJM3-e6nTwNHDWtdV3GXb2nbA7tRWUdCPn0iVRs6=w1200|https://lh3.googleusercontent.com/pw/AP1GczMd7ropBMkjx"&amp;"pR9m8P4XhNd3TZy7e-itTvu4BtCtM53KVZLcZWMknM5H-DjMtzqcMC0bsJTJbCr9NGtVOlHVEb344TsvXWM52mbX0qOz4OTfvj-Ghnl=w1200|https://lh3.googleusercontent.com/pw/AP1GczPz_Mw04uk8tGeeR-3WeqZBJQhRwxam4GYJ72-7kvQWJucgVMM7djein2MnAu6A5nQScE3uNg3gsEquCZKEEzSFmkXjjgW8S7AOqfa7"&amp;"D7PqKzRGL6Bj=w1200|https://lh3.googleusercontent.com/pw/AP1GczMLaevyaKwCgoeAfoJsgzCJhQDLXTubyWk__OlvY0D2c6G4ZczYpVW2hppI2elcdq51w7UXl9i-zYajeRyMAQtOCV1HW5kUoR570efTX3HPFOpFv-FB=w1200|https://lh3.googleusercontent.com/pw/AP1GczOYDGSEI9Q5nxq_ajwRHP8Z1Ez80cd"&amp;"uMKCErY0eZPhDUlOJfS7ARHjCoLnr_8Ejx1ZI9AVK9tJMHsx1la8A3etQjhf0PjxWKMMlOQABxhLhPG-H3upw=w1200|https://lh3.googleusercontent.com/pw/AP1GczPN_sE4Q2fiS1O2msQMw2VQzWG068cnm_gEdhbrrHXFg2n7t0_E8HxlPzSNAJPOjquhUlrN4PClE07PYpnAgGKYsLq7ZQMXjAojacBQyfzGteBfg_nO=w1200"&amp;"|https://lh3.googleusercontent.com/pw/AP1GczO1QsCJ2eojexYOjtPk1ljaYjTXUtTN0u6UvxCi0tj1TU1YsqBaZ9esJr6iwIWCYsVpdiKTwqnbw6NvxUfjCfO948CHFsqIbhgqdL-rtYOfdhs378yf=w1200|https://lh3.googleusercontent.com/pw/AP1GczN_uyOubTSzrYJUdWFaB5TyKdB_UYXUNRefaLdltU8X00TDU"&amp;"cZBST4iEbut4MWVgqSa6Un0p9EGY_PsIlOkzh2Qojjk1zRRXR6MvlwR2Hv00jMmGjCX=w1200|https://lh3.googleusercontent.com/pw/AP1GczMFoIS0U2ojFIEiiMEKn0jES4_HANe3qNBzHHmIZMWFDQmryMugLuAtYGrTGFvfv3Yw4s7SwhSss6oyXVHZLQ0SjXhrIED-xFJqk4OC1WMz1TLy5DDH=w1200")</f>
        <v>https://lh3.googleusercontent.com/pw/AP1GczN5FSmsD1o-DsFvTKspXojN1dalru_BFtW0g47NorVM1WCRq87NkW5Tewie-1xNb9-hNHEDktAFJuXuY6g0UheyLW3X3ATm8z0U7qCRloOIi9eUs_mU=w1200|https://lh3.googleusercontent.com/pw/AP1GczOFkV1VBZjmc8XISwl5GiFb3X7iNSz4GDFQiz6zz5On0fFAsR2n0in53gsnDYG2o06iE-RMj1mDS820M9c07ptdNMIcbbU3AUzUxuhikbLOgyf_EQnZ=w1200|https://lh3.googleusercontent.com/pw/AP1GczN4TgH0By2-hIcwZZIIJPcgA4xuicKEostFhfmObBiiallHFpdTE_G9WQiM3AY5-wvYMlTcCpLlKKhqPFHaFmKyZ_W7D2TuGK-NfL6Sr5zfmx5eJ8Il=w1200|https://lh3.googleusercontent.com/pw/AP1GczNTccFbwv1hQf6vKKGcnP-wzN2_DllkLmJ6PN_FwDFMT3MlpUGaY_4wM1OsqJgDyBOAkymF8SUODRfR9q69LRoXoUKuE70x20ZtM0tPAbZdy4AVA2gD=w1200|https://lh3.googleusercontent.com/pw/AP1GczNEbClkLThsGxXSx5xjIL0wS3G-QKV1HuniF1O42MMzxqlom_SaiS1YB-2VjJPGD0h_MQEkKpbZHA7szsXZ0zD_s6K4BJXZOOVtzxHMgek6bwxk1CBt=w1200|https://lh3.googleusercontent.com/pw/AP1GczOLx3MLYQAcJt75VphztcP2nA6-vq9fI82GV5DKIYgEC6rDpi3yFlkhCxzQG5hczSryavVBJ1yMbJ3sqZ0l_07IBasQ1voVIpjCm8-88iJmgLURQgE8=w1200|https://lh3.googleusercontent.com/pw/AP1GczNJ9xZiidsMDKuuLiEFCz4NAVAGLpqeORodMjMbHxMhN-SRJprDESDsr1GWc3PRWpRqGl5NBp6GkWfqSmOjPJ-Gu5NnZL01aF1R3iuLBDaepG32FPu1=w1200|https://lh3.googleusercontent.com/pw/AP1GczOaWrCrnvCI8uNwO19PhDhIWTlJqbRUOcg_7YWpv9SsbW1rB96_lWaGlRsFdd_4wJzq7I8FtQVaK-jeWvfYcOe5eKeQ-x34ZTU6zY2DNil9hyNPrTgL=w1200|https://lh3.googleusercontent.com/pw/AP1GczP0b0XJIsQVukxbTOECF9HEMmNRwnqC2hUzIu3Z3FzktzG1PgvEzOi72urEP_WqA0Fea7AFD_fHKJM3-e6nTwNHDWtdV3GXb2nbA7tRWUdCPn0iVRs6=w1200|https://lh3.googleusercontent.com/pw/AP1GczMd7ropBMkjxpR9m8P4XhNd3TZy7e-itTvu4BtCtM53KVZLcZWMknM5H-DjMtzqcMC0bsJTJbCr9NGtVOlHVEb344TsvXWM52mbX0qOz4OTfvj-Ghnl=w1200|https://lh3.googleusercontent.com/pw/AP1GczPz_Mw04uk8tGeeR-3WeqZBJQhRwxam4GYJ72-7kvQWJucgVMM7djein2MnAu6A5nQScE3uNg3gsEquCZKEEzSFmkXjjgW8S7AOqfa7D7PqKzRGL6Bj=w1200|https://lh3.googleusercontent.com/pw/AP1GczMLaevyaKwCgoeAfoJsgzCJhQDLXTubyWk__OlvY0D2c6G4ZczYpVW2hppI2elcdq51w7UXl9i-zYajeRyMAQtOCV1HW5kUoR570efTX3HPFOpFv-FB=w1200|https://lh3.googleusercontent.com/pw/AP1GczOYDGSEI9Q5nxq_ajwRHP8Z1Ez80cduMKCErY0eZPhDUlOJfS7ARHjCoLnr_8Ejx1ZI9AVK9tJMHsx1la8A3etQjhf0PjxWKMMlOQABxhLhPG-H3upw=w1200|https://lh3.googleusercontent.com/pw/AP1GczPN_sE4Q2fiS1O2msQMw2VQzWG068cnm_gEdhbrrHXFg2n7t0_E8HxlPzSNAJPOjquhUlrN4PClE07PYpnAgGKYsLq7ZQMXjAojacBQyfzGteBfg_nO=w1200|https://lh3.googleusercontent.com/pw/AP1GczO1QsCJ2eojexYOjtPk1ljaYjTXUtTN0u6UvxCi0tj1TU1YsqBaZ9esJr6iwIWCYsVpdiKTwqnbw6NvxUfjCfO948CHFsqIbhgqdL-rtYOfdhs378yf=w1200|https://lh3.googleusercontent.com/pw/AP1GczN_uyOubTSzrYJUdWFaB5TyKdB_UYXUNRefaLdltU8X00TDUcZBST4iEbut4MWVgqSa6Un0p9EGY_PsIlOkzh2Qojjk1zRRXR6MvlwR2Hv00jMmGjCX=w1200|https://lh3.googleusercontent.com/pw/AP1GczMFoIS0U2ojFIEiiMEKn0jES4_HANe3qNBzHHmIZMWFDQmryMugLuAtYGrTGFvfv3Yw4s7SwhSss6oyXVHZLQ0SjXhrIED-xFJqk4OC1WMz1TLy5DDH=w1200</v>
      </c>
      <c r="AJ59" s="46"/>
      <c r="AK59" s="46"/>
      <c r="AL59" s="46"/>
      <c r="AM59" s="46"/>
      <c r="AN59" s="46"/>
      <c r="AO59" s="46"/>
      <c r="AP59" s="46"/>
      <c r="AQ59" s="46"/>
      <c r="AR59" s="46"/>
      <c r="AS59" s="46"/>
      <c r="AT59" s="46"/>
      <c r="AU59" s="46"/>
      <c r="AV59" s="46"/>
      <c r="AW59" s="46"/>
      <c r="AX59" s="46"/>
      <c r="AY59" s="46"/>
      <c r="AZ59" s="46"/>
      <c r="BA59" s="46"/>
      <c r="BB59" s="46"/>
      <c r="BC59" s="46"/>
      <c r="BD59" s="46"/>
      <c r="BE59" s="46"/>
      <c r="BF59" s="46"/>
      <c r="BG59" s="46"/>
      <c r="BH59" s="46"/>
      <c r="BI59" s="46"/>
      <c r="BJ59" s="46"/>
      <c r="BK59" s="46"/>
      <c r="BL59" s="46"/>
      <c r="BM59" s="46"/>
      <c r="BN59" s="46"/>
      <c r="BO59" s="46"/>
      <c r="BP59" s="46"/>
      <c r="BQ59" s="46"/>
      <c r="BR59" s="46"/>
      <c r="BS59" s="46"/>
      <c r="BT59" s="46"/>
      <c r="BU59" s="46"/>
      <c r="BV59" s="46"/>
      <c r="BW59" s="46"/>
      <c r="BX59" s="46"/>
      <c r="BY59" s="46"/>
      <c r="BZ59" s="46"/>
      <c r="CA59" s="46"/>
      <c r="CB59" s="46"/>
      <c r="CC59" s="46"/>
    </row>
    <row r="60">
      <c r="A60" s="87" t="str">
        <f>IFERROR(__xludf.DUMMYFUNCTION("""COMPUTED_VALUE"""),"1004")</f>
        <v>1004</v>
      </c>
      <c r="B60" s="46" t="str">
        <f>IFERROR(__xludf.DUMMYFUNCTION("""COMPUTED_VALUE"""),"Apartamento en Conjunto Condominio Mediterraneo - Norte - Andaquíes")</f>
        <v>Apartamento en Conjunto Condominio Mediterraneo - Norte - Andaquíes</v>
      </c>
      <c r="C60" s="46" t="str">
        <f>IFERROR(__xludf.DUMMYFUNCTION("""COMPUTED_VALUE"""),"Apartamento en conjunto")</f>
        <v>Apartamento en conjunto</v>
      </c>
      <c r="D60" s="46"/>
      <c r="E60" s="90" t="str">
        <f>IFERROR(__xludf.DUMMYFUNCTION("""COMPUTED_VALUE"""),"Conjunto Mediterráneo")</f>
        <v>Conjunto Mediterráneo</v>
      </c>
      <c r="F60" s="90">
        <f>IFERROR(__xludf.DUMMYFUNCTION("""COMPUTED_VALUE"""),4.5E8)</f>
        <v>450000000</v>
      </c>
      <c r="G60" s="46" t="str">
        <f>IFERROR(__xludf.DUMMYFUNCTION("""COMPUTED_VALUE"""),"$400'000.000 a $500'000.000")</f>
        <v>$400'000.000 a $500'000.000</v>
      </c>
      <c r="H60" s="46"/>
      <c r="I60" s="46"/>
      <c r="J60" s="46" t="str">
        <f>IFERROR(__xludf.DUMMYFUNCTION("""COMPUTED_VALUE"""),"Norte")</f>
        <v>Norte</v>
      </c>
      <c r="K60" s="87"/>
      <c r="L60" s="46">
        <f>IFERROR(__xludf.DUMMYFUNCTION("""COMPUTED_VALUE"""),3.0)</f>
        <v>3</v>
      </c>
      <c r="M60" s="46"/>
      <c r="N60" s="46">
        <f>IFERROR(__xludf.DUMMYFUNCTION("""COMPUTED_VALUE"""),2.0)</f>
        <v>2</v>
      </c>
      <c r="O60" s="46">
        <f>IFERROR(__xludf.DUMMYFUNCTION("""COMPUTED_VALUE"""),2.0)</f>
        <v>2</v>
      </c>
      <c r="P60" s="46">
        <f>IFERROR(__xludf.DUMMYFUNCTION("""COMPUTED_VALUE"""),9.0)</f>
        <v>9</v>
      </c>
      <c r="Q60" s="92">
        <f>IFERROR(__xludf.DUMMYFUNCTION("""COMPUTED_VALUE"""),112.0)</f>
        <v>112</v>
      </c>
      <c r="R60" s="92">
        <f>IFERROR(__xludf.DUMMYFUNCTION("""COMPUTED_VALUE"""),112.0)</f>
        <v>112</v>
      </c>
      <c r="S60" s="87" t="str">
        <f>IFERROR(__xludf.DUMMYFUNCTION("""COMPUTED_VALUE""")," ")</f>
        <v> </v>
      </c>
      <c r="T60" s="46" t="str">
        <f>IFERROR(__xludf.DUMMYFUNCTION("""COMPUTED_VALUE"""),"Neiva")</f>
        <v>Neiva</v>
      </c>
      <c r="U60" s="87" t="str">
        <f>IFERROR(__xludf.DUMMYFUNCTION("""COMPUTED_VALUE"""),"4")</f>
        <v>4</v>
      </c>
      <c r="V60" s="46" t="str">
        <f>IFERROR(__xludf.DUMMYFUNCTION("""COMPUTED_VALUE"""),"9o.")</f>
        <v>9o.</v>
      </c>
      <c r="W60" s="46"/>
      <c r="X60" s="46">
        <f>IFERROR(__xludf.DUMMYFUNCTION("""COMPUTED_VALUE"""),3.0)</f>
        <v>3</v>
      </c>
      <c r="Y60" s="46" t="str">
        <f>IFERROR(__xludf.DUMMYFUNCTION("""COMPUTED_VALUE"""),"Social")</f>
        <v>Social</v>
      </c>
      <c r="Z60" s="90">
        <f>IFERROR(__xludf.DUMMYFUNCTION("""COMPUTED_VALUE"""),330000.0)</f>
        <v>330000</v>
      </c>
      <c r="AA60" s="33" t="str">
        <f>IFERROR(__xludf.DUMMYFUNCTION("""COMPUTED_VALUE"""),"No aplica")</f>
        <v>No aplica</v>
      </c>
      <c r="AB60" s="96" t="str">
        <f>IFERROR(__xludf.DUMMYFUNCTION("""COMPUTED_VALUE"""),"https://photos.app.goo.gl/CNHnPeShbGKLhdbf8")</f>
        <v>https://photos.app.goo.gl/CNHnPeShbGKLhdbf8</v>
      </c>
      <c r="AC60" s="46" t="str">
        <f>IFERROR(__xludf.DUMMYFUNCTION("""COMPUTED_VALUE"""),"Apartamento 9° piso, área de 112 m2, consta de 3 alcobas, 3 closet en madera, 2 baños (1 privado), sala, comedor, estudio, cocina integral, balcón, cortinas, deposito, 2 garajes, zona de lavandería, pisos en porcelanato y techo en driwall. El conjunto ofr"&amp;"ece: vigilancia las 24 horas, piscina, jacuzzi, zona bbqq, cancha de micro, lobby, cuarto de juegos.")</f>
        <v>Apartamento 9° piso, área de 112 m2, consta de 3 alcobas, 3 closet en madera, 2 baños (1 privado), sala, comedor, estudio, cocina integral, balcón, cortinas, deposito, 2 garajes, zona de lavandería, pisos en porcelanato y techo en driwall. El conjunto ofrece: vigilancia las 24 horas, piscina, jacuzzi, zona bbqq, cancha de micro, lobby, cuarto de juegos.</v>
      </c>
      <c r="AD60" s="46" t="str">
        <f>IFERROR(__xludf.DUMMYFUNCTION("""COMPUTED_VALUE"""),"Apartamento bien ubicado, excelente vista, cuenta con buenos acabados y ascensor.")</f>
        <v>Apartamento bien ubicado, excelente vista, cuenta con buenos acabados y ascensor.</v>
      </c>
      <c r="AE60" s="46"/>
      <c r="AF60" s="46" t="str">
        <f>IFERROR(__xludf.DUMMYFUNCTION("""COMPUTED_VALUE"""),"integral")</f>
        <v>integral</v>
      </c>
      <c r="AG60" s="46"/>
      <c r="AH60" s="46" t="str">
        <f>IFERROR(__xludf.DUMMYFUNCTION("""COMPUTED_VALUE"""),"Aliado")</f>
        <v>Aliado</v>
      </c>
      <c r="AI60" s="92" t="str">
        <f>IFERROR(__xludf.DUMMYFUNCTION("""COMPUTED_VALUE"""),"https://lh3.googleusercontent.com/pw/AP1GczPPVH-l1CHu1QNm_enyi9GI_g2UjgJ8Y0QQt5XfYbm1nM9_KODAvsgXMBh0EaIqsR-mKJmVjz_prKjot8DW3iV9yg0A2cQ6xcgEAitgjRxfoiqrV2Pm=w1200|https://lh3.googleusercontent.com/pw/AP1GczPiqZ-rUJ_iQgyoguJqbGDtm1nUAWzMWQAfQ4Gtk8qXwl2ADb"&amp;"aiCIaqdBbhgBAjIQBqsNVb1vKjUuQdSy6h38jT-dlr7weFXk7mdWDZDFUL7YoGOYOY=w1200|https://lh3.googleusercontent.com/pw/AP1GczMgVqk7dSqDCyd4foqZaNDcK6bgYGli1qTOvq4_EHFrp7zjD79-zBGw82yi08GSlL8U4-PksGeLC09_NIBdalQSsfjaosUOejEb2Or-YXSlqAW3lWw4=w1200|https://lh3.google"&amp;"usercontent.com/pw/AP1GczNgP-s2N0fcJAJvLg0-9nlvFTpmKvv9L76-OV9JtA9RrlrdBvtOfrHzPVVlqua5EP-LZ0YMfAODtUSTeNBJj4oqdFpGcx6ELDgIOvba9ozgtwrObpFb=w1200|https://lh3.googleusercontent.com/pw/AP1GczPCELG7_G3ScioexuG6s8vlQS_DnkTg8BvXdZKJ2jy0Gr7IssllvRO7PEwU47or8neN"&amp;"rIH3ZkjMuuZA9zUpzeseTC_gSbk60i8lEWS4JF42jMw0XFth=w1200|https://lh3.googleusercontent.com/pw/AP1GczM-Iu6XO1cRjSVjuU7kNiYwCu1FxXLUX7Crhf5cVrMPO4jXUGIaT70Sh32iMczT7E99S5wtLILNtJQ-MIZWePAFZRUkCOYznn21E9svP6zvfGDimPHl=w1200|https://lh3.googleusercontent.com/pw"&amp;"/AP1GczNQqmj212SGNnzx49hc8P-VkggbPo2DyW-N1d9JJtBhhfx8qIiYKwPRO4GvWr4spMUiSD45r65T9lisFZm1yA8SCw6Xw-pDdvgDZeNfyhtp5aqy4WBq=w1200|https://lh3.googleusercontent.com/pw/AP1GczN7VbZDrHAViiHhFowmOhgrKhCOCOILFMFgOIS_zD1jQyfb3l5YDhAjhouijjXwB21Ah3FfogSHaxFwmWOxCc"&amp;"hcCVVIyB9uHtaDLz72WP_VFpdzE48u=w1200|https://lh3.googleusercontent.com/pw/AP1GczM3Q2Ln6ORPDhcNQGMz1nXLpoFR0BXd3rC-IFIbMCJ94nwP1PE3UfGH3899gZktEJzbFvnvzd3vLyFPxKzGvbjAXKwfmgFncv-pSdYPyq9kxocT9W4T=w1200|https://lh3.googleusercontent.com/pw/AP1GczOabfQbnav-K"&amp;"85ZL4Hb3NXZh6WLxj8KOpHA6lsNeuoB9CzNXvfiEdTEjAyhNrVAyPpWRElI12RRoVOM6yERpUVWrdX92C9l06qraL1WrB8CfARRAzcn=w1200|https://lh3.googleusercontent.com/pw/AP1GczOlsmMkk9xn_20f8pbspowuZp1yi8S6kfak_Ekw9T1dtFqLECty6QUkrSkEgPx5j-jOGo7fIIP-XCcZulX_BEwRjVX5j-2F7-3COBiH"&amp;"8-gi65OEmF4Q=w1200|https://lh3.googleusercontent.com/pw/AP1GczPPYoLqjAE7Ubg1XhJxLidsQO4JwYgv31rKizQNWbOX_jQoRGdFmwPaNDbGpxT5_YfK4k8aEDkm9lE1rnXiuyiP1c551SrzWneOnsi-ZlXENkYc1KgH=w1200|https://lh3.googleusercontent.com/pw/AP1GczPtOUJyBa8ceg__jH0WHnyt-jfpcGn"&amp;"oSmg-kjopAWERUlqMz2dDN0byVtN1qvUyXRUJQ6xLlb5XLn44y1EjFm8xA-r7ixI-f1jja92lhhiH1JDC0_WQ=w1200|https://lh3.googleusercontent.com/pw/AP1GczO41fEJgmHZJbnPc-j-xhHr6Mz5sASuwvNLuKSE0mM4koxAaF4JL29SR_7N3i8jSieRTLLtDQOKkmfMwx8aim5mt4BysbPlnwCyX1D_vgbppFshcwBd=w1200"&amp;"|https://lh3.googleusercontent.com/pw/AP1GczMOiV52Sc8ijuAfcpeZITv9ocpPW0w3AiMmVTBbkq8aOscqYoKBeGQdOVjRML8r6HLmAIcuEF2ILeKRMcf7SZU-RdIO9J_YTLPF4TkDR1KqohzYbNJ1=w1200|https://lh3.googleusercontent.com/pw/AP1GczOHHi_-APeWxSeWjFAyv0Q4hUIN5mPfhUJGMMJxoEZVDOnbv"&amp;"kW2K_rs2YxMpehESmjowdWyVxe40fWbnMFbHWmwcY3a9iU9-TSFl-c676Hsc785ZWbM=w1200|https://lh3.googleusercontent.com/pw/AP1GczOTPAucLLSBpfjy2xag8paklPHk5O9SQeg3OMtiB_ZLGypdubEv8ENBs3huXFCwqAr3r_uUwvGARGLd40RAPtupwKwQrUe3lTxcjoeFdMmPA-dYlkI2=w1200|https://lh3.googl"&amp;"eusercontent.com/pw/AP1GczPG1sg1Wh-CQYrggdE9YOMYjMI9PbgwQ9kR9QyFf898ni-YluT3Ge_VLouSGYmMytxhxze_aIvdvmt9n6pjnA40aREpDCpC2d_ruDUOp9Z1XMs1krxb=w1200")</f>
        <v>https://lh3.googleusercontent.com/pw/AP1GczPPVH-l1CHu1QNm_enyi9GI_g2UjgJ8Y0QQt5XfYbm1nM9_KODAvsgXMBh0EaIqsR-mKJmVjz_prKjot8DW3iV9yg0A2cQ6xcgEAitgjRxfoiqrV2Pm=w1200|https://lh3.googleusercontent.com/pw/AP1GczPiqZ-rUJ_iQgyoguJqbGDtm1nUAWzMWQAfQ4Gtk8qXwl2ADbaiCIaqdBbhgBAjIQBqsNVb1vKjUuQdSy6h38jT-dlr7weFXk7mdWDZDFUL7YoGOYOY=w1200|https://lh3.googleusercontent.com/pw/AP1GczMgVqk7dSqDCyd4foqZaNDcK6bgYGli1qTOvq4_EHFrp7zjD79-zBGw82yi08GSlL8U4-PksGeLC09_NIBdalQSsfjaosUOejEb2Or-YXSlqAW3lWw4=w1200|https://lh3.googleusercontent.com/pw/AP1GczNgP-s2N0fcJAJvLg0-9nlvFTpmKvv9L76-OV9JtA9RrlrdBvtOfrHzPVVlqua5EP-LZ0YMfAODtUSTeNBJj4oqdFpGcx6ELDgIOvba9ozgtwrObpFb=w1200|https://lh3.googleusercontent.com/pw/AP1GczPCELG7_G3ScioexuG6s8vlQS_DnkTg8BvXdZKJ2jy0Gr7IssllvRO7PEwU47or8neNrIH3ZkjMuuZA9zUpzeseTC_gSbk60i8lEWS4JF42jMw0XFth=w1200|https://lh3.googleusercontent.com/pw/AP1GczM-Iu6XO1cRjSVjuU7kNiYwCu1FxXLUX7Crhf5cVrMPO4jXUGIaT70Sh32iMczT7E99S5wtLILNtJQ-MIZWePAFZRUkCOYznn21E9svP6zvfGDimPHl=w1200|https://lh3.googleusercontent.com/pw/AP1GczNQqmj212SGNnzx49hc8P-VkggbPo2DyW-N1d9JJtBhhfx8qIiYKwPRO4GvWr4spMUiSD45r65T9lisFZm1yA8SCw6Xw-pDdvgDZeNfyhtp5aqy4WBq=w1200|https://lh3.googleusercontent.com/pw/AP1GczN7VbZDrHAViiHhFowmOhgrKhCOCOILFMFgOIS_zD1jQyfb3l5YDhAjhouijjXwB21Ah3FfogSHaxFwmWOxCchcCVVIyB9uHtaDLz72WP_VFpdzE48u=w1200|https://lh3.googleusercontent.com/pw/AP1GczM3Q2Ln6ORPDhcNQGMz1nXLpoFR0BXd3rC-IFIbMCJ94nwP1PE3UfGH3899gZktEJzbFvnvzd3vLyFPxKzGvbjAXKwfmgFncv-pSdYPyq9kxocT9W4T=w1200|https://lh3.googleusercontent.com/pw/AP1GczOabfQbnav-K85ZL4Hb3NXZh6WLxj8KOpHA6lsNeuoB9CzNXvfiEdTEjAyhNrVAyPpWRElI12RRoVOM6yERpUVWrdX92C9l06qraL1WrB8CfARRAzcn=w1200|https://lh3.googleusercontent.com/pw/AP1GczOlsmMkk9xn_20f8pbspowuZp1yi8S6kfak_Ekw9T1dtFqLECty6QUkrSkEgPx5j-jOGo7fIIP-XCcZulX_BEwRjVX5j-2F7-3COBiH8-gi65OEmF4Q=w1200|https://lh3.googleusercontent.com/pw/AP1GczPPYoLqjAE7Ubg1XhJxLidsQO4JwYgv31rKizQNWbOX_jQoRGdFmwPaNDbGpxT5_YfK4k8aEDkm9lE1rnXiuyiP1c551SrzWneOnsi-ZlXENkYc1KgH=w1200|https://lh3.googleusercontent.com/pw/AP1GczPtOUJyBa8ceg__jH0WHnyt-jfpcGnoSmg-kjopAWERUlqMz2dDN0byVtN1qvUyXRUJQ6xLlb5XLn44y1EjFm8xA-r7ixI-f1jja92lhhiH1JDC0_WQ=w1200|https://lh3.googleusercontent.com/pw/AP1GczO41fEJgmHZJbnPc-j-xhHr6Mz5sASuwvNLuKSE0mM4koxAaF4JL29SR_7N3i8jSieRTLLtDQOKkmfMwx8aim5mt4BysbPlnwCyX1D_vgbppFshcwBd=w1200|https://lh3.googleusercontent.com/pw/AP1GczMOiV52Sc8ijuAfcpeZITv9ocpPW0w3AiMmVTBbkq8aOscqYoKBeGQdOVjRML8r6HLmAIcuEF2ILeKRMcf7SZU-RdIO9J_YTLPF4TkDR1KqohzYbNJ1=w1200|https://lh3.googleusercontent.com/pw/AP1GczOHHi_-APeWxSeWjFAyv0Q4hUIN5mPfhUJGMMJxoEZVDOnbvkW2K_rs2YxMpehESmjowdWyVxe40fWbnMFbHWmwcY3a9iU9-TSFl-c676Hsc785ZWbM=w1200|https://lh3.googleusercontent.com/pw/AP1GczOTPAucLLSBpfjy2xag8paklPHk5O9SQeg3OMtiB_ZLGypdubEv8ENBs3huXFCwqAr3r_uUwvGARGLd40RAPtupwKwQrUe3lTxcjoeFdMmPA-dYlkI2=w1200|https://lh3.googleusercontent.com/pw/AP1GczPG1sg1Wh-CQYrggdE9YOMYjMI9PbgwQ9kR9QyFf898ni-YluT3Ge_VLouSGYmMytxhxze_aIvdvmt9n6pjnA40aREpDCpC2d_ruDUOp9Z1XMs1krxb=w1200</v>
      </c>
      <c r="AJ60" s="46"/>
      <c r="AK60" s="46"/>
      <c r="AL60" s="46"/>
      <c r="AM60" s="46"/>
      <c r="AN60" s="46"/>
      <c r="AO60" s="46"/>
      <c r="AP60" s="46"/>
      <c r="AQ60" s="46"/>
      <c r="AR60" s="46"/>
      <c r="AS60" s="46"/>
      <c r="AT60" s="46"/>
      <c r="AU60" s="46"/>
      <c r="AV60" s="46"/>
      <c r="AW60" s="46"/>
      <c r="AX60" s="46"/>
      <c r="AY60" s="46"/>
      <c r="AZ60" s="46"/>
      <c r="BA60" s="46"/>
      <c r="BB60" s="46"/>
      <c r="BC60" s="46"/>
      <c r="BD60" s="46"/>
      <c r="BE60" s="46"/>
      <c r="BF60" s="46"/>
      <c r="BG60" s="46"/>
      <c r="BH60" s="46"/>
      <c r="BI60" s="46"/>
      <c r="BJ60" s="46"/>
      <c r="BK60" s="46"/>
      <c r="BL60" s="46"/>
      <c r="BM60" s="46"/>
      <c r="BN60" s="46"/>
      <c r="BO60" s="46"/>
      <c r="BP60" s="46"/>
      <c r="BQ60" s="46"/>
      <c r="BR60" s="46"/>
      <c r="BS60" s="46"/>
      <c r="BT60" s="46"/>
      <c r="BU60" s="46"/>
      <c r="BV60" s="46"/>
      <c r="BW60" s="46"/>
      <c r="BX60" s="46"/>
      <c r="BY60" s="46"/>
      <c r="BZ60" s="46"/>
      <c r="CA60" s="46"/>
      <c r="CB60" s="46"/>
      <c r="CC60" s="46"/>
    </row>
    <row r="61">
      <c r="A61" s="87" t="str">
        <f>IFERROR(__xludf.DUMMYFUNCTION("""COMPUTED_VALUE"""),"860")</f>
        <v>860</v>
      </c>
      <c r="B61" s="46" t="str">
        <f>IFERROR(__xludf.DUMMYFUNCTION("""COMPUTED_VALUE"""),"Casa + 2 Apartamentos en barrio Floresta - Ipanema")</f>
        <v>Casa + 2 Apartamentos en barrio Floresta - Ipanema</v>
      </c>
      <c r="C61" s="46" t="str">
        <f>IFERROR(__xludf.DUMMYFUNCTION("""COMPUTED_VALUE"""),"Casa rentable")</f>
        <v>Casa rentable</v>
      </c>
      <c r="D61" s="46" t="str">
        <f>IFERROR(__xludf.DUMMYFUNCTION("""COMPUTED_VALUE"""),"Floresta")</f>
        <v>Floresta</v>
      </c>
      <c r="E61" s="90"/>
      <c r="F61" s="90">
        <f>IFERROR(__xludf.DUMMYFUNCTION("""COMPUTED_VALUE"""),4.3E8)</f>
        <v>430000000</v>
      </c>
      <c r="G61" s="46" t="str">
        <f>IFERROR(__xludf.DUMMYFUNCTION("""COMPUTED_VALUE"""),"$400'000.000 a $500'000.000")</f>
        <v>$400'000.000 a $500'000.000</v>
      </c>
      <c r="H61" s="46"/>
      <c r="I61" s="46"/>
      <c r="J61" s="46" t="str">
        <f>IFERROR(__xludf.DUMMYFUNCTION("""COMPUTED_VALUE"""),"Oriente")</f>
        <v>Oriente</v>
      </c>
      <c r="K61" s="87" t="str">
        <f>IFERROR(__xludf.DUMMYFUNCTION("""COMPUTED_VALUE"""),"7")</f>
        <v>7</v>
      </c>
      <c r="L61" s="46">
        <f>IFERROR(__xludf.DUMMYFUNCTION("""COMPUTED_VALUE"""),7.0)</f>
        <v>7</v>
      </c>
      <c r="M61" s="46"/>
      <c r="N61" s="46">
        <f>IFERROR(__xludf.DUMMYFUNCTION("""COMPUTED_VALUE"""),4.0)</f>
        <v>4</v>
      </c>
      <c r="O61" s="46">
        <f>IFERROR(__xludf.DUMMYFUNCTION("""COMPUTED_VALUE"""),1.0)</f>
        <v>1</v>
      </c>
      <c r="P61" s="46">
        <f>IFERROR(__xludf.DUMMYFUNCTION("""COMPUTED_VALUE"""),2.0)</f>
        <v>2</v>
      </c>
      <c r="Q61" s="92">
        <f>IFERROR(__xludf.DUMMYFUNCTION("""COMPUTED_VALUE"""),280.0)</f>
        <v>280</v>
      </c>
      <c r="R61" s="92">
        <f>IFERROR(__xludf.DUMMYFUNCTION("""COMPUTED_VALUE"""),140.0)</f>
        <v>140</v>
      </c>
      <c r="S61" s="87" t="str">
        <f>IFERROR(__xludf.DUMMYFUNCTION("""COMPUTED_VALUE"""),"Rentabilidad $2,000,000")</f>
        <v>Rentabilidad $2,000,000</v>
      </c>
      <c r="T61" s="46" t="str">
        <f>IFERROR(__xludf.DUMMYFUNCTION("""COMPUTED_VALUE"""),"Neiva")</f>
        <v>Neiva</v>
      </c>
      <c r="U61" s="87" t="str">
        <f>IFERROR(__xludf.DUMMYFUNCTION("""COMPUTED_VALUE"""),"3")</f>
        <v>3</v>
      </c>
      <c r="V61" s="46" t="str">
        <f>IFERROR(__xludf.DUMMYFUNCTION("""COMPUTED_VALUE"""),"Medianera")</f>
        <v>Medianera</v>
      </c>
      <c r="W61" s="46"/>
      <c r="X61" s="46">
        <f>IFERROR(__xludf.DUMMYFUNCTION("""COMPUTED_VALUE"""),3.0)</f>
        <v>3</v>
      </c>
      <c r="Y61" s="46" t="str">
        <f>IFERROR(__xludf.DUMMYFUNCTION("""COMPUTED_VALUE"""),"No tiene")</f>
        <v>No tiene</v>
      </c>
      <c r="Z61" s="90" t="str">
        <f>IFERROR(__xludf.DUMMYFUNCTION("""COMPUTED_VALUE"""),"No aplica")</f>
        <v>No aplica</v>
      </c>
      <c r="AA61" s="33" t="str">
        <f>IFERROR(__xludf.DUMMYFUNCTION("""COMPUTED_VALUE"""),"18 años")</f>
        <v>18 años</v>
      </c>
      <c r="AB61" s="144" t="str">
        <f>IFERROR(__xludf.DUMMYFUNCTION("""COMPUTED_VALUE"""),"https://photos.app.goo.gl/uKBv5dw33Ri8x29v7")</f>
        <v>https://photos.app.goo.gl/uKBv5dw33Ri8x29v7</v>
      </c>
      <c r="AC61" s="46" t="str">
        <f>IFERROR(__xludf.DUMMYFUNCTION("""COMPUTED_VALUE"""),"Casa de 2 pisos, estrato 2, área de lote 140 m2, área construida de 280, 1er piso consta de 3 alcobas, 2 closet en madera, sala, comedor, garaje interno,2 baños (1 privado), 1 tanque de agua, enrejada, cocina semintegral, patio de ropas, zona de lavanderí"&amp;"a, deposito, pisos en cerámica, techo en placa. 2 Apartamentos 74 m2 201 y 202 ,estrato 2, consta de sala-comedor, 2 alcobas, 2 closet en madera, baños, zona de lavandería, patio de ropas, garaje, techo en machimbre, pisos en cerámica, 1 tanque de agua.")</f>
        <v>Casa de 2 pisos, estrato 2, área de lote 140 m2, área construida de 280, 1er piso consta de 3 alcobas, 2 closet en madera, sala, comedor, garaje interno,2 baños (1 privado), 1 tanque de agua, enrejada, cocina semintegral, patio de ropas, zona de lavandería, deposito, pisos en cerámica, techo en placa. 2 Apartamentos 74 m2 201 y 202 ,estrato 2, consta de sala-comedor, 2 alcobas, 2 closet en madera, baños, zona de lavandería, patio de ropas, garaje, techo en machimbre, pisos en cerámica, 1 tanque de agua.</v>
      </c>
      <c r="AD61" s="46" t="str">
        <f>IFERROR(__xludf.DUMMYFUNCTION("""COMPUTED_VALUE"""),"Casa bien bicada y con buenos acabados.")</f>
        <v>Casa bien bicada y con buenos acabados.</v>
      </c>
      <c r="AE61" s="46"/>
      <c r="AF61" s="46" t="str">
        <f>IFERROR(__xludf.DUMMYFUNCTION("""COMPUTED_VALUE"""),"semi-integral")</f>
        <v>semi-integral</v>
      </c>
      <c r="AG61" s="46"/>
      <c r="AH61" s="46" t="str">
        <f>IFERROR(__xludf.DUMMYFUNCTION("""COMPUTED_VALUE"""),"Aliado")</f>
        <v>Aliado</v>
      </c>
      <c r="AI61" s="46" t="str">
        <f>IFERROR(__xludf.DUMMYFUNCTION("""COMPUTED_VALUE"""),"https://lh3.googleusercontent.com/pw/AP1GczPZmFQLwrJ1WDwyb-HN-a9yYSWq7JiydH2PGyepX8t96Fn0GTlvMeNuXI-BsOrDHzTGwMUCDLuKeRoMt3uHPZ3_MIzxfA4nymGdxNahE7tnWlcABXm2=w1200|https://lh3.googleusercontent.com/pw/AP1GczOltczoKu4W6ejuys7nEnjuIwXN1nNV8WfsPIVDH1pgSfWrxK"&amp;"m_gsNthbyhN0tG_WG7QpqRtz5XYKixUSRuNbfh6Xs258su2vdRjMBqFrw0iorSp0Pt=w1200|https://lh3.googleusercontent.com/pw/AP1GczMfu4Q7T-wGVWpaiIa0aw9CeAZNS4Wq8OGgUmx05zBaI6oEJpTVBMGEq6l9y42ICP6WhB91gcdx9FkI9xEag3fw1_PgrSb9be-byHE2FawGOww4-0Qu=w1200|https://lh3.google"&amp;"usercontent.com/pw/AP1GczMiCACFSf23PV8MokHpAAnM7ns7ihc8Ol9fpXF9ZMqOgzI-GAkjDjXb1qsTduNIJHTlNGyYqz-zmRYwU74LxYhwj7uKY3MFX3AQylxHXP4co7gdSPpb=w1200|https://lh3.googleusercontent.com/pw/AP1GczNQP5E-6kp0My5tJnBb3JPCfK_4VSW5z1IavSNyuK7hpLR-V5TVDvyBpqxb_CMUuHFt"&amp;"c_KLJnZnNi1y8wqjDRJaskpnmE6_2Nq3YHY4V-K0ktbRNAXv=w1200|https://lh3.googleusercontent.com/pw/AP1GczNKjfbzniBcCY6Q_LPPgl5MSS9V4u6e7GO1QxKAlGo0KrhM6NpbSYCsQTEDlHy4oSapRqFSzJi9VvTur9SaRFBrIaX18FS1wtVKDeA6X3nasY5rH54T=w1200|https://lh3.googleusercontent.com/pw"&amp;"/AP1GczN1JzUoqIhwy9dPfLBDa_6dd4S68QP0-TqpEm-GsMp1ENdSGLuI5duE72uBbnw6Vs62FEh8DDEcDbBGNCaYelUh-hYJQ-BlTYf-o31EqV5wP3zDcEWB=w1200|https://lh3.googleusercontent.com/pw/AP1GczMeMolaQXAOYILbXknioL4MQ3btBrK_rsB5TOZuIfrlvzqOvtaeVCBmdUVEGzTnl6raMP-n-_8M6i63hH3VoA"&amp;"9AzBQn2eR_TZkUUW8TjOGE0TwqshCH=w1200|https://lh3.googleusercontent.com/pw/AP1GczMLiL4LXLrjJOfVoTn2fUSAOQUsARrDPseYDWSftXz2bO48LysSREUcrIM-xCmV3P61vzpvYXTbwfHKiRsBMZqyqKTZywmvF5B2PfYTF3PtQVyak_TY=w1200|https://lh3.googleusercontent.com/pw/AP1GczPmScnISpxbD"&amp;"332W501Ta-YNo4cXcrHoM9Fhat79sXE0ZTYaFrXF_KB4fLp1UouFNBszbueI9QWHLpE9JLKQY_66KG2Rn_RPrKZhH91lx0jNQKSTbyk=w1200|https://lh3.googleusercontent.com/pw/AP1GczNyKNIbuGllyWnR1W7SzCiKm3J5PISbtbQ5K-kfRta9CFpuXHtrKz8eQ0gA1zHx3tJ7uk5xNGos2tncYKznwEPPCUbYqcFexbosd_CF"&amp;"qnICPhQQ2g43=w1200|https://lh3.googleusercontent.com/pw/AP1GczPqkjEcIjBp1m13UQymoam8Q1LVYfsmqYwP3n0GbEGvEOTz56dYuDM7LKdoWpBDOd241duR22Y9rvd51DrXlGV3mB1qMyb8wWxDbt-9p1mTrsR5nJr_=w1200|https://lh3.googleusercontent.com/pw/AP1GczMupHN-OLkdK5ksbG84W47eYR5EIFf"&amp;"kRIU6XvXVcASp1kC-FaZ_0RIJBHAc8Bx1GeTScWmK5aJiPx3YLjv9ImepzyqKTt14Octpk8wRHyOQ7glc3B-r=w1200|https://lh3.googleusercontent.com/pw/AP1GczN7rKQk2U8QojDKBvB3ws-1O2ixW7C7Ntw05ZtVpGMqh3OQY7K7yvlUa8tCdre7eE6ZXsWoWCj6odxeqsh2P0wC2D1QZBq-UNlpXgn1S0uwPwDP17St=w1200"&amp;"|https://lh3.googleusercontent.com/pw/AP1GczMphbX75cTgaDGhQ6BG1gPTCpEAtQeayXrF_yQoDUQIUmCbrXcb07jjbv0KMZpzi7NdllP8JC6PO_NWh8BariORgRKRV7WgHhI4WzDSP0Uc7t3gxgGy=w1200|https://lh3.googleusercontent.com/pw/AP1GczOUMiU_TlwKCJUPBmNshwgHGixa1clU1noBrb30q054onB49"&amp;"bFKEdyOxTmtvdHwMFlVAX0w1ghUiX_RlV5-GPEDxbR4yjFAeuIKmUwU84f-cipdw_u8=w1200|https://lh3.googleusercontent.com/pw/AP1GczPFCDk1iaGhlJK5nHvaChncj01SeOoRdg3vkwfprKMGkqyrJ0_qVrmXMoKOrTMUYmiq-Q_661BN4OOMEUkt_e-Zwhr3Cwlz8VvV10Xla-yRYVhYFN7t=w1200|https://lh3.googl"&amp;"eusercontent.com/pw/AP1GczOUufNcUflBX1ieuQXpbVIJGgjBAAErJq3VS60jmpGjzUrHILKmCogURDGCiqg3zkRLBHxfTv3g_CJgx4A-DZH1Iy13nK5YigGuwjkGM5703XwyNxek=w1200")</f>
        <v>https://lh3.googleusercontent.com/pw/AP1GczPZmFQLwrJ1WDwyb-HN-a9yYSWq7JiydH2PGyepX8t96Fn0GTlvMeNuXI-BsOrDHzTGwMUCDLuKeRoMt3uHPZ3_MIzxfA4nymGdxNahE7tnWlcABXm2=w1200|https://lh3.googleusercontent.com/pw/AP1GczOltczoKu4W6ejuys7nEnjuIwXN1nNV8WfsPIVDH1pgSfWrxKm_gsNthbyhN0tG_WG7QpqRtz5XYKixUSRuNbfh6Xs258su2vdRjMBqFrw0iorSp0Pt=w1200|https://lh3.googleusercontent.com/pw/AP1GczMfu4Q7T-wGVWpaiIa0aw9CeAZNS4Wq8OGgUmx05zBaI6oEJpTVBMGEq6l9y42ICP6WhB91gcdx9FkI9xEag3fw1_PgrSb9be-byHE2FawGOww4-0Qu=w1200|https://lh3.googleusercontent.com/pw/AP1GczMiCACFSf23PV8MokHpAAnM7ns7ihc8Ol9fpXF9ZMqOgzI-GAkjDjXb1qsTduNIJHTlNGyYqz-zmRYwU74LxYhwj7uKY3MFX3AQylxHXP4co7gdSPpb=w1200|https://lh3.googleusercontent.com/pw/AP1GczNQP5E-6kp0My5tJnBb3JPCfK_4VSW5z1IavSNyuK7hpLR-V5TVDvyBpqxb_CMUuHFtc_KLJnZnNi1y8wqjDRJaskpnmE6_2Nq3YHY4V-K0ktbRNAXv=w1200|https://lh3.googleusercontent.com/pw/AP1GczNKjfbzniBcCY6Q_LPPgl5MSS9V4u6e7GO1QxKAlGo0KrhM6NpbSYCsQTEDlHy4oSapRqFSzJi9VvTur9SaRFBrIaX18FS1wtVKDeA6X3nasY5rH54T=w1200|https://lh3.googleusercontent.com/pw/AP1GczN1JzUoqIhwy9dPfLBDa_6dd4S68QP0-TqpEm-GsMp1ENdSGLuI5duE72uBbnw6Vs62FEh8DDEcDbBGNCaYelUh-hYJQ-BlTYf-o31EqV5wP3zDcEWB=w1200|https://lh3.googleusercontent.com/pw/AP1GczMeMolaQXAOYILbXknioL4MQ3btBrK_rsB5TOZuIfrlvzqOvtaeVCBmdUVEGzTnl6raMP-n-_8M6i63hH3VoA9AzBQn2eR_TZkUUW8TjOGE0TwqshCH=w1200|https://lh3.googleusercontent.com/pw/AP1GczMLiL4LXLrjJOfVoTn2fUSAOQUsARrDPseYDWSftXz2bO48LysSREUcrIM-xCmV3P61vzpvYXTbwfHKiRsBMZqyqKTZywmvF5B2PfYTF3PtQVyak_TY=w1200|https://lh3.googleusercontent.com/pw/AP1GczPmScnISpxbD332W501Ta-YNo4cXcrHoM9Fhat79sXE0ZTYaFrXF_KB4fLp1UouFNBszbueI9QWHLpE9JLKQY_66KG2Rn_RPrKZhH91lx0jNQKSTbyk=w1200|https://lh3.googleusercontent.com/pw/AP1GczNyKNIbuGllyWnR1W7SzCiKm3J5PISbtbQ5K-kfRta9CFpuXHtrKz8eQ0gA1zHx3tJ7uk5xNGos2tncYKznwEPPCUbYqcFexbosd_CFqnICPhQQ2g43=w1200|https://lh3.googleusercontent.com/pw/AP1GczPqkjEcIjBp1m13UQymoam8Q1LVYfsmqYwP3n0GbEGvEOTz56dYuDM7LKdoWpBDOd241duR22Y9rvd51DrXlGV3mB1qMyb8wWxDbt-9p1mTrsR5nJr_=w1200|https://lh3.googleusercontent.com/pw/AP1GczMupHN-OLkdK5ksbG84W47eYR5EIFfkRIU6XvXVcASp1kC-FaZ_0RIJBHAc8Bx1GeTScWmK5aJiPx3YLjv9ImepzyqKTt14Octpk8wRHyOQ7glc3B-r=w1200|https://lh3.googleusercontent.com/pw/AP1GczN7rKQk2U8QojDKBvB3ws-1O2ixW7C7Ntw05ZtVpGMqh3OQY7K7yvlUa8tCdre7eE6ZXsWoWCj6odxeqsh2P0wC2D1QZBq-UNlpXgn1S0uwPwDP17St=w1200|https://lh3.googleusercontent.com/pw/AP1GczMphbX75cTgaDGhQ6BG1gPTCpEAtQeayXrF_yQoDUQIUmCbrXcb07jjbv0KMZpzi7NdllP8JC6PO_NWh8BariORgRKRV7WgHhI4WzDSP0Uc7t3gxgGy=w1200|https://lh3.googleusercontent.com/pw/AP1GczOUMiU_TlwKCJUPBmNshwgHGixa1clU1noBrb30q054onB49bFKEdyOxTmtvdHwMFlVAX0w1ghUiX_RlV5-GPEDxbR4yjFAeuIKmUwU84f-cipdw_u8=w1200|https://lh3.googleusercontent.com/pw/AP1GczPFCDk1iaGhlJK5nHvaChncj01SeOoRdg3vkwfprKMGkqyrJ0_qVrmXMoKOrTMUYmiq-Q_661BN4OOMEUkt_e-Zwhr3Cwlz8VvV10Xla-yRYVhYFN7t=w1200|https://lh3.googleusercontent.com/pw/AP1GczOUufNcUflBX1ieuQXpbVIJGgjBAAErJq3VS60jmpGjzUrHILKmCogURDGCiqg3zkRLBHxfTv3g_CJgx4A-DZH1Iy13nK5YigGuwjkGM5703XwyNxek=w1200</v>
      </c>
      <c r="AJ61" s="46"/>
      <c r="AK61" s="46"/>
      <c r="AL61" s="46"/>
      <c r="AM61" s="46"/>
      <c r="AN61" s="46"/>
      <c r="AO61" s="46"/>
      <c r="AP61" s="46"/>
      <c r="AQ61" s="46"/>
      <c r="AR61" s="46"/>
      <c r="AS61" s="46"/>
      <c r="AT61" s="46"/>
      <c r="AU61" s="46"/>
      <c r="AV61" s="46"/>
      <c r="AW61" s="46"/>
      <c r="AX61" s="46"/>
      <c r="AY61" s="46"/>
      <c r="AZ61" s="46"/>
      <c r="BA61" s="46"/>
      <c r="BB61" s="46"/>
      <c r="BC61" s="46"/>
      <c r="BD61" s="46"/>
      <c r="BE61" s="46"/>
      <c r="BF61" s="46"/>
      <c r="BG61" s="46"/>
      <c r="BH61" s="46"/>
      <c r="BI61" s="46"/>
      <c r="BJ61" s="46"/>
      <c r="BK61" s="46"/>
      <c r="BL61" s="46"/>
      <c r="BM61" s="46"/>
      <c r="BN61" s="46"/>
      <c r="BO61" s="46"/>
      <c r="BP61" s="46"/>
      <c r="BQ61" s="46"/>
      <c r="BR61" s="46"/>
      <c r="BS61" s="46"/>
      <c r="BT61" s="46"/>
      <c r="BU61" s="46"/>
      <c r="BV61" s="46"/>
      <c r="BW61" s="46"/>
      <c r="BX61" s="46"/>
      <c r="BY61" s="46"/>
      <c r="BZ61" s="46"/>
      <c r="CA61" s="46"/>
      <c r="CB61" s="46"/>
      <c r="CC61" s="46"/>
    </row>
    <row r="62">
      <c r="A62" s="87" t="str">
        <f>IFERROR(__xludf.DUMMYFUNCTION("""COMPUTED_VALUE"""),"1725")</f>
        <v>1725</v>
      </c>
      <c r="B62" s="46" t="str">
        <f>IFERROR(__xludf.DUMMYFUNCTION("""COMPUTED_VALUE"""),"Oficina en edificio Plaza Real - Centro")</f>
        <v>Oficina en edificio Plaza Real - Centro</v>
      </c>
      <c r="C62" s="46" t="str">
        <f>IFERROR(__xludf.DUMMYFUNCTION("""COMPUTED_VALUE"""),"Oficina")</f>
        <v>Oficina</v>
      </c>
      <c r="D62" s="46" t="str">
        <f>IFERROR(__xludf.DUMMYFUNCTION("""COMPUTED_VALUE"""),"Centro")</f>
        <v>Centro</v>
      </c>
      <c r="E62" s="90"/>
      <c r="F62" s="90">
        <f>IFERROR(__xludf.DUMMYFUNCTION("""COMPUTED_VALUE"""),4.3E8)</f>
        <v>430000000</v>
      </c>
      <c r="G62" s="46" t="str">
        <f>IFERROR(__xludf.DUMMYFUNCTION("""COMPUTED_VALUE"""),"$400'000.000 a $500'000.000")</f>
        <v>$400'000.000 a $500'000.000</v>
      </c>
      <c r="H62" s="46"/>
      <c r="I62" s="46"/>
      <c r="J62" s="46" t="str">
        <f>IFERROR(__xludf.DUMMYFUNCTION("""COMPUTED_VALUE"""),"Centro")</f>
        <v>Centro</v>
      </c>
      <c r="K62" s="87" t="str">
        <f>IFERROR(__xludf.DUMMYFUNCTION("""COMPUTED_VALUE"""),"4")</f>
        <v>4</v>
      </c>
      <c r="L62" s="46">
        <f>IFERROR(__xludf.DUMMYFUNCTION("""COMPUTED_VALUE"""),0.0)</f>
        <v>0</v>
      </c>
      <c r="M62" s="46"/>
      <c r="N62" s="46">
        <f>IFERROR(__xludf.DUMMYFUNCTION("""COMPUTED_VALUE"""),1.0)</f>
        <v>1</v>
      </c>
      <c r="O62" s="46">
        <f>IFERROR(__xludf.DUMMYFUNCTION("""COMPUTED_VALUE"""),2.0)</f>
        <v>2</v>
      </c>
      <c r="P62" s="46">
        <f>IFERROR(__xludf.DUMMYFUNCTION("""COMPUTED_VALUE"""),4.0)</f>
        <v>4</v>
      </c>
      <c r="Q62" s="92">
        <f>IFERROR(__xludf.DUMMYFUNCTION("""COMPUTED_VALUE"""),91.0)</f>
        <v>91</v>
      </c>
      <c r="R62" s="92">
        <f>IFERROR(__xludf.DUMMYFUNCTION("""COMPUTED_VALUE"""),91.0)</f>
        <v>91</v>
      </c>
      <c r="S62" s="87" t="str">
        <f>IFERROR(__xludf.DUMMYFUNCTION("""COMPUTED_VALUE""")," ")</f>
        <v> </v>
      </c>
      <c r="T62" s="46" t="str">
        <f>IFERROR(__xludf.DUMMYFUNCTION("""COMPUTED_VALUE"""),"Neiva")</f>
        <v>Neiva</v>
      </c>
      <c r="U62" s="87" t="str">
        <f>IFERROR(__xludf.DUMMYFUNCTION("""COMPUTED_VALUE"""),"Comercial")</f>
        <v>Comercial</v>
      </c>
      <c r="V62" s="46" t="str">
        <f>IFERROR(__xludf.DUMMYFUNCTION("""COMPUTED_VALUE"""),"4to.")</f>
        <v>4to.</v>
      </c>
      <c r="W62" s="46"/>
      <c r="X62" s="46">
        <f>IFERROR(__xludf.DUMMYFUNCTION("""COMPUTED_VALUE"""),0.0)</f>
        <v>0</v>
      </c>
      <c r="Y62" s="46" t="str">
        <f>IFERROR(__xludf.DUMMYFUNCTION("""COMPUTED_VALUE"""),"No tiene")</f>
        <v>No tiene</v>
      </c>
      <c r="Z62" s="90">
        <f>IFERROR(__xludf.DUMMYFUNCTION("""COMPUTED_VALUE"""),0.0)</f>
        <v>0</v>
      </c>
      <c r="AA62" s="33" t="str">
        <f>IFERROR(__xludf.DUMMYFUNCTION("""COMPUTED_VALUE"""),"No aplica")</f>
        <v>No aplica</v>
      </c>
      <c r="AB62" s="96" t="str">
        <f>IFERROR(__xludf.DUMMYFUNCTION("""COMPUTED_VALUE"""),"https://photos.app.goo.gl/skRULc1XbMU1RPC27")</f>
        <v>https://photos.app.goo.gl/skRULc1XbMU1RPC27</v>
      </c>
      <c r="AC62" s="46" t="str">
        <f>IFERROR(__xludf.DUMMYFUNCTION("""COMPUTED_VALUE"""),"Ubicación: Centro de Neiva, Cuarto piso  - Área: 91 Mt² / Estrato: Comercial ¡Oportunidad única en Neiva - Se vende oficina en el exclusivo Edificio Plaza Real, ¡en pleno centro de la ciudad! 91 m² de espacio amplio y luminoso - Incluye 2 parqueaderos con"&amp;" 24 Mt² - Baño privado- Excelente vista para crear el ambiente que deseas. Ubicación privilegiada en el corazón de Neiva. Ideal para oficinas, consultorios o tu próximo proyecto empresarial.")</f>
        <v>Ubicación: Centro de Neiva, Cuarto piso  - Área: 91 Mt² / Estrato: Comercial ¡Oportunidad única en Neiva - Se vende oficina en el exclusivo Edificio Plaza Real, ¡en pleno centro de la ciudad! 91 m² de espacio amplio y luminoso - Incluye 2 parqueaderos con 24 Mt² - Baño privado- Excelente vista para crear el ambiente que deseas. Ubicación privilegiada en el corazón de Neiva. Ideal para oficinas, consultorios o tu próximo proyecto empresarial.</v>
      </c>
      <c r="AD62" s="46" t="str">
        <f>IFERROR(__xludf.DUMMYFUNCTION("""COMPUTED_VALUE"""),"Oficina bien ubicada sobre la carrera 5ta.   y con buenos acabados.")</f>
        <v>Oficina bien ubicada sobre la carrera 5ta.   y con buenos acabados.</v>
      </c>
      <c r="AE62" s="46"/>
      <c r="AF62" s="46">
        <f>IFERROR(__xludf.DUMMYFUNCTION("""COMPUTED_VALUE"""),0.0)</f>
        <v>0</v>
      </c>
      <c r="AG62" s="46"/>
      <c r="AH62" s="46" t="str">
        <f>IFERROR(__xludf.DUMMYFUNCTION("""COMPUTED_VALUE"""),"Aliado")</f>
        <v>Aliado</v>
      </c>
      <c r="AI62" s="46" t="str">
        <f>IFERROR(__xludf.DUMMYFUNCTION("""COMPUTED_VALUE"""),"https://lh3.googleusercontent.com/pw/AP1GczN2qSGA0OO3tUkdB9RL8tVbjUHG45EYIgCpX1Fg8nZ3Pfh9Y35tGhmY05-SGnl8UoxMnO_hUPo0ju3iNyy0Mk-sDOT-iKtJPxy9dVN8JkWNN1S-xshT=w1200|https://lh3.googleusercontent.com/pw/AP1GczP82T-gSMTxYu4X0DCLAr2g0pdQxgvZXAnE1N6rieybwcwd-b"&amp;"OgGD5Fu42SOZUZone-dB1MouP1l6_g1ifBHpM7P9zfTHPIiysuH8G_ExyezHQHT1z7=w1200|https://lh3.googleusercontent.com/pw/AP1GczOauTqWXzUhMlsAysnfXfgvUeO9Lzx-vXOtlED9IvisanOY0Jlk_CLZqpREuECetstB1Nv7ip53T0UiPKS75BxY4qT_OGegkEkyM7cmjAsniIHkD9KQ=w1200|https://lh3.google"&amp;"usercontent.com/pw/AP1GczNysTmdvkNwAXg7MHqKl1M30EoNVwstuKNaC35c2Je9ca8_XvJdX3RmCHIPbiBRtS-F8nD6CpTdvgHzpX5lUQf2n3JbuxdRhyP3kq0nhMBuULs7a-jc=w1200|https://lh3.googleusercontent.com/pw/AP1GczMyKImSnrfO9fwZr_p9j19zItvsx1orhvoE5dICmrkTvIw3VaJ5OXT7QR1dgiPNjRG6"&amp;"jxhcaIVOIpz8M0n_GvIO2n4lKXCU9fMLTbyeiYv62zlZN1Yf=w1200|https://lh3.googleusercontent.com/pw/AP1GczMX5gTgWpEGPz6pkpOtDyooXQFu0oqCe_lNnp6L52xwts7fFd5LduSWkEvhCALhgFTvCAYFXm5jQEcgEZYIIiFcDNgYxV04-VOzUkNM-RHuOFoTvSSK=w1200|https://lh3.googleusercontent.com/pw"&amp;"/AP1GczOaBJETwPPxgYjYnCl54_J5UKRY-40tuuSGfhZQntuDuYo8nD8rcg_f_7Vs4PBnOtpwLNCC8OaR6o05H1XB89whd0-Kjr_n1L7l_TtiWXXOQF0iD3Is=w1200|https://lh3.googleusercontent.com/pw/AP1GczOmAKtX4jLRAzSzThR9U_fyn1UYNtrk18OG0wqpQVuB7ix8N7r3bAdoO_c1tERV7rF34DvGCPdMmHsrV0xu7b"&amp;"BBZz3n7S-e12jTrGc566dyngAv1vah=w1200|https://lh3.googleusercontent.com/pw/AP1GczOOHRexHdndurNUAb7q51BBmsxWIEeyhs8ml3aU53ajapudUYX_1-gI_hRQoeXmRR4uRDmA932f7lWSF3S645iRbCq0sl-RgJ0q6qtBL8C1E_gBoo2O=w1200|https://lh3.googleusercontent.com/pw/AP1GczOnOByawq87V"&amp;"tw8dKJXDQQx33UrKM65Li_GagYhTcSM5HZKOZefJajVAJ8rT1a2ClHYEy8JHjmef2Lf22RqZ-Sb-UNH1Cb6zyuIAY40JkkbFL089S3G=w1200|https://lh3.googleusercontent.com/pw/AP1GczNT27tNFPKl04OC51qgCG-gZOhPgEsBCzsOxUEcmx7_qDxTF7iHES9Sm6TUpE4H4OlyU47zgoXv2vMI2EHiVn51Kmez2Kv65TSIRQyD"&amp;"tPY5ttIDGQvm=w1200|https://lh3.googleusercontent.com/pw/AP1GczNQNZHdJlrExgxvx5D8F9sJHRHmogj5Q4Yh6isqScBWf7L-McWhRXPQjimNeljtpRVYxXyLGklsZ0XmNreWRisUmU454nhwqra5EkNwajVTxKIgSGXS=w1200|https://lh3.googleusercontent.com/pw/AP1GczO_WjZ2zOjXpuu7dEGfA1rpVpC11dt"&amp;"Yi1kZKyGtWzFQls1ucXw0rEEA0Rf9de24K1Rw-6Vzc8_wB1SI54VAeheWqJxLeQB2wRp1TWn_NGNs4ByfcSQ8=w1200|https://lh3.googleusercontent.com/pw/AP1GczMIZrhzEn1_jusmvAdLt1CSgH7tNuzEBXk54TsQW-MLooAK1k4Ua1qy-GQk9o7hm4jsQ5E2gCOrVYBrvO43HsXL59LjuuX2_yaiUJtfqepmQO-QTQdu=w1200")</f>
        <v>https://lh3.googleusercontent.com/pw/AP1GczN2qSGA0OO3tUkdB9RL8tVbjUHG45EYIgCpX1Fg8nZ3Pfh9Y35tGhmY05-SGnl8UoxMnO_hUPo0ju3iNyy0Mk-sDOT-iKtJPxy9dVN8JkWNN1S-xshT=w1200|https://lh3.googleusercontent.com/pw/AP1GczP82T-gSMTxYu4X0DCLAr2g0pdQxgvZXAnE1N6rieybwcwd-bOgGD5Fu42SOZUZone-dB1MouP1l6_g1ifBHpM7P9zfTHPIiysuH8G_ExyezHQHT1z7=w1200|https://lh3.googleusercontent.com/pw/AP1GczOauTqWXzUhMlsAysnfXfgvUeO9Lzx-vXOtlED9IvisanOY0Jlk_CLZqpREuECetstB1Nv7ip53T0UiPKS75BxY4qT_OGegkEkyM7cmjAsniIHkD9KQ=w1200|https://lh3.googleusercontent.com/pw/AP1GczNysTmdvkNwAXg7MHqKl1M30EoNVwstuKNaC35c2Je9ca8_XvJdX3RmCHIPbiBRtS-F8nD6CpTdvgHzpX5lUQf2n3JbuxdRhyP3kq0nhMBuULs7a-jc=w1200|https://lh3.googleusercontent.com/pw/AP1GczMyKImSnrfO9fwZr_p9j19zItvsx1orhvoE5dICmrkTvIw3VaJ5OXT7QR1dgiPNjRG6jxhcaIVOIpz8M0n_GvIO2n4lKXCU9fMLTbyeiYv62zlZN1Yf=w1200|https://lh3.googleusercontent.com/pw/AP1GczMX5gTgWpEGPz6pkpOtDyooXQFu0oqCe_lNnp6L52xwts7fFd5LduSWkEvhCALhgFTvCAYFXm5jQEcgEZYIIiFcDNgYxV04-VOzUkNM-RHuOFoTvSSK=w1200|https://lh3.googleusercontent.com/pw/AP1GczOaBJETwPPxgYjYnCl54_J5UKRY-40tuuSGfhZQntuDuYo8nD8rcg_f_7Vs4PBnOtpwLNCC8OaR6o05H1XB89whd0-Kjr_n1L7l_TtiWXXOQF0iD3Is=w1200|https://lh3.googleusercontent.com/pw/AP1GczOmAKtX4jLRAzSzThR9U_fyn1UYNtrk18OG0wqpQVuB7ix8N7r3bAdoO_c1tERV7rF34DvGCPdMmHsrV0xu7bBBZz3n7S-e12jTrGc566dyngAv1vah=w1200|https://lh3.googleusercontent.com/pw/AP1GczOOHRexHdndurNUAb7q51BBmsxWIEeyhs8ml3aU53ajapudUYX_1-gI_hRQoeXmRR4uRDmA932f7lWSF3S645iRbCq0sl-RgJ0q6qtBL8C1E_gBoo2O=w1200|https://lh3.googleusercontent.com/pw/AP1GczOnOByawq87Vtw8dKJXDQQx33UrKM65Li_GagYhTcSM5HZKOZefJajVAJ8rT1a2ClHYEy8JHjmef2Lf22RqZ-Sb-UNH1Cb6zyuIAY40JkkbFL089S3G=w1200|https://lh3.googleusercontent.com/pw/AP1GczNT27tNFPKl04OC51qgCG-gZOhPgEsBCzsOxUEcmx7_qDxTF7iHES9Sm6TUpE4H4OlyU47zgoXv2vMI2EHiVn51Kmez2Kv65TSIRQyDtPY5ttIDGQvm=w1200|https://lh3.googleusercontent.com/pw/AP1GczNQNZHdJlrExgxvx5D8F9sJHRHmogj5Q4Yh6isqScBWf7L-McWhRXPQjimNeljtpRVYxXyLGklsZ0XmNreWRisUmU454nhwqra5EkNwajVTxKIgSGXS=w1200|https://lh3.googleusercontent.com/pw/AP1GczO_WjZ2zOjXpuu7dEGfA1rpVpC11dtYi1kZKyGtWzFQls1ucXw0rEEA0Rf9de24K1Rw-6Vzc8_wB1SI54VAeheWqJxLeQB2wRp1TWn_NGNs4ByfcSQ8=w1200|https://lh3.googleusercontent.com/pw/AP1GczMIZrhzEn1_jusmvAdLt1CSgH7tNuzEBXk54TsQW-MLooAK1k4Ua1qy-GQk9o7hm4jsQ5E2gCOrVYBrvO43HsXL59LjuuX2_yaiUJtfqepmQO-QTQdu=w1200</v>
      </c>
      <c r="AJ62" s="46"/>
      <c r="AK62" s="46"/>
      <c r="AL62" s="46"/>
      <c r="AM62" s="46"/>
      <c r="AN62" s="46"/>
      <c r="AO62" s="46"/>
      <c r="AP62" s="46"/>
      <c r="AQ62" s="46"/>
      <c r="AR62" s="46"/>
      <c r="AS62" s="46"/>
      <c r="AT62" s="46"/>
      <c r="AU62" s="46"/>
      <c r="AV62" s="46"/>
      <c r="AW62" s="46"/>
      <c r="AX62" s="46"/>
      <c r="AY62" s="46"/>
      <c r="AZ62" s="46"/>
      <c r="BA62" s="46"/>
      <c r="BB62" s="46"/>
      <c r="BC62" s="46"/>
      <c r="BD62" s="46"/>
      <c r="BE62" s="46"/>
      <c r="BF62" s="46"/>
      <c r="BG62" s="46"/>
      <c r="BH62" s="46"/>
      <c r="BI62" s="46"/>
      <c r="BJ62" s="46"/>
      <c r="BK62" s="46"/>
      <c r="BL62" s="46"/>
      <c r="BM62" s="46"/>
      <c r="BN62" s="46"/>
      <c r="BO62" s="46"/>
      <c r="BP62" s="46"/>
      <c r="BQ62" s="46"/>
      <c r="BR62" s="46"/>
      <c r="BS62" s="46"/>
      <c r="BT62" s="46"/>
      <c r="BU62" s="46"/>
      <c r="BV62" s="46"/>
      <c r="BW62" s="46"/>
      <c r="BX62" s="46"/>
      <c r="BY62" s="46"/>
      <c r="BZ62" s="46"/>
      <c r="CA62" s="46"/>
      <c r="CB62" s="46"/>
      <c r="CC62" s="46"/>
    </row>
    <row r="63">
      <c r="A63" s="87" t="str">
        <f>IFERROR(__xludf.DUMMYFUNCTION("""COMPUTED_VALUE"""),"821")</f>
        <v>821</v>
      </c>
      <c r="B63" s="46" t="str">
        <f>IFERROR(__xludf.DUMMYFUNCTION("""COMPUTED_VALUE"""),"Casa en barrio Urdaneta - Centro")</f>
        <v>Casa en barrio Urdaneta - Centro</v>
      </c>
      <c r="C63" s="46" t="str">
        <f>IFERROR(__xludf.DUMMYFUNCTION("""COMPUTED_VALUE"""),"Casa")</f>
        <v>Casa</v>
      </c>
      <c r="D63" s="46" t="str">
        <f>IFERROR(__xludf.DUMMYFUNCTION("""COMPUTED_VALUE"""),"Centro")</f>
        <v>Centro</v>
      </c>
      <c r="E63" s="90"/>
      <c r="F63" s="90">
        <f>IFERROR(__xludf.DUMMYFUNCTION("""COMPUTED_VALUE"""),4.25E8)</f>
        <v>425000000</v>
      </c>
      <c r="G63" s="46" t="str">
        <f>IFERROR(__xludf.DUMMYFUNCTION("""COMPUTED_VALUE"""),"$400'000.000 a $500'000.000")</f>
        <v>$400'000.000 a $500'000.000</v>
      </c>
      <c r="H63" s="46"/>
      <c r="I63" s="46"/>
      <c r="J63" s="46" t="str">
        <f>IFERROR(__xludf.DUMMYFUNCTION("""COMPUTED_VALUE"""),"Centro")</f>
        <v>Centro</v>
      </c>
      <c r="K63" s="87" t="str">
        <f>IFERROR(__xludf.DUMMYFUNCTION("""COMPUTED_VALUE"""),"4")</f>
        <v>4</v>
      </c>
      <c r="L63" s="46">
        <f>IFERROR(__xludf.DUMMYFUNCTION("""COMPUTED_VALUE"""),4.0)</f>
        <v>4</v>
      </c>
      <c r="M63" s="46"/>
      <c r="N63" s="46">
        <f>IFERROR(__xludf.DUMMYFUNCTION("""COMPUTED_VALUE"""),3.0)</f>
        <v>3</v>
      </c>
      <c r="O63" s="46">
        <f>IFERROR(__xludf.DUMMYFUNCTION("""COMPUTED_VALUE"""),1.0)</f>
        <v>1</v>
      </c>
      <c r="P63" s="46">
        <f>IFERROR(__xludf.DUMMYFUNCTION("""COMPUTED_VALUE"""),2.0)</f>
        <v>2</v>
      </c>
      <c r="Q63" s="92">
        <f>IFERROR(__xludf.DUMMYFUNCTION("""COMPUTED_VALUE"""),179.0)</f>
        <v>179</v>
      </c>
      <c r="R63" s="92">
        <f>IFERROR(__xludf.DUMMYFUNCTION("""COMPUTED_VALUE"""),153.0)</f>
        <v>153</v>
      </c>
      <c r="S63" s="87" t="str">
        <f>IFERROR(__xludf.DUMMYFUNCTION("""COMPUTED_VALUE""")," ")</f>
        <v> </v>
      </c>
      <c r="T63" s="46" t="str">
        <f>IFERROR(__xludf.DUMMYFUNCTION("""COMPUTED_VALUE"""),"Neiva")</f>
        <v>Neiva</v>
      </c>
      <c r="U63" s="87" t="str">
        <f>IFERROR(__xludf.DUMMYFUNCTION("""COMPUTED_VALUE"""),"4")</f>
        <v>4</v>
      </c>
      <c r="V63" s="46" t="str">
        <f>IFERROR(__xludf.DUMMYFUNCTION("""COMPUTED_VALUE"""),"Medianera")</f>
        <v>Medianera</v>
      </c>
      <c r="W63" s="46"/>
      <c r="X63" s="46">
        <f>IFERROR(__xludf.DUMMYFUNCTION("""COMPUTED_VALUE"""),2.0)</f>
        <v>2</v>
      </c>
      <c r="Y63" s="46" t="str">
        <f>IFERROR(__xludf.DUMMYFUNCTION("""COMPUTED_VALUE"""),"No tiene")</f>
        <v>No tiene</v>
      </c>
      <c r="Z63" s="90" t="str">
        <f>IFERROR(__xludf.DUMMYFUNCTION("""COMPUTED_VALUE"""),"No aplica")</f>
        <v>No aplica</v>
      </c>
      <c r="AA63" s="33" t="str">
        <f>IFERROR(__xludf.DUMMYFUNCTION("""COMPUTED_VALUE"""),"No aplica")</f>
        <v>No aplica</v>
      </c>
      <c r="AB63" s="144" t="str">
        <f>IFERROR(__xludf.DUMMYFUNCTION("""COMPUTED_VALUE"""),"https://photos.app.goo.gl/mHnVe33GeDJVbxN68")</f>
        <v>https://photos.app.goo.gl/mHnVe33GeDJVbxN68</v>
      </c>
      <c r="AC63" s="46" t="str">
        <f>IFERROR(__xludf.DUMMYFUNCTION("""COMPUTED_VALUE"""),"Casa de dos pisos ubicada en zona central de gran desarrollo comercial, con muy buenas vías de acceso y transporte, es ideal para adecuar o construir según tu gusto y necesidades, área construida de 179 MT2, área terreno 153 MT2, consta de dos salas, come"&amp;"dor, cuatro habitaciones, la principal con baño privado, un closet en madera, un balcón, dos baños auxiliares, cocina semi-integral, garaje, zona de lavandería y patio de ropas, pisos en tableta y mármol, terraza amplia, tejas en ethernet, estrato 4.")</f>
        <v>Casa de dos pisos ubicada en zona central de gran desarrollo comercial, con muy buenas vías de acceso y transporte, es ideal para adecuar o construir según tu gusto y necesidades, área construida de 179 MT2, área terreno 153 MT2, consta de dos salas, comedor, cuatro habitaciones, la principal con baño privado, un closet en madera, un balcón, dos baños auxiliares, cocina semi-integral, garaje, zona de lavandería y patio de ropas, pisos en tableta y mármol, terraza amplia, tejas en ethernet, estrato 4.</v>
      </c>
      <c r="AD63" s="46" t="str">
        <f>IFERROR(__xludf.DUMMYFUNCTION("""COMPUTED_VALUE"""),"Casa bien ubicada sobre la avenida Circunvalar.")</f>
        <v>Casa bien ubicada sobre la avenida Circunvalar.</v>
      </c>
      <c r="AE63" s="46"/>
      <c r="AF63" s="46" t="str">
        <f>IFERROR(__xludf.DUMMYFUNCTION("""COMPUTED_VALUE"""),"semi-integral")</f>
        <v>semi-integral</v>
      </c>
      <c r="AG63" s="46"/>
      <c r="AH63" s="46" t="str">
        <f>IFERROR(__xludf.DUMMYFUNCTION("""COMPUTED_VALUE"""),"Aliado")</f>
        <v>Aliado</v>
      </c>
      <c r="AI63" s="92" t="str">
        <f>IFERROR(__xludf.DUMMYFUNCTION("""COMPUTED_VALUE"""),"https://lh3.googleusercontent.com/pw/AP1GczPpBpcW_KOheXqvrCshxvZ7bI5MaqM6J0KeHa3EcEpuBe3Y_6iDTCkNQMfS27oAN-IyJkKd57WNdB5S-WfAZJmFjv7l4ekawhcbRcYoQKbSkFSNsKTs=w1200|https://lh3.googleusercontent.com/pw/AP1GczPRUsZmUf_Kpm7pJngEJlfRvvzoX-c3e5vWmy7cINf3_Vtp9U"&amp;"SQlHGL7Yt_okbcgBkoNrTItsefTd8mSgatHOR-VPya0TiFQWGCRHzRi1a2einpA8ve=w1200|https://lh3.googleusercontent.com/pw/AP1GczM1FOFJLKw4T4Vwy9jSUHT0xqE1JR9cqq-lpLO-9lu4rPcepxi9vp2-DcMH126ow3xzBAlPsbSY5WyaydnRmthgKuX3EFv-lPj73NL0aSOqDQiD6sxK=w1200|https://lh3.google"&amp;"usercontent.com/pw/AP1GczOrGULUkik1klJOCbkt0ME0fr40RIjCY7S0ivLFJfW6Y6IA394yfjw-lfh-Mf-e2g6igzbcTITXX2ekjMSg3qJoSwoY82zbj2cSzFm5zpQ2z2_shv1J=w1200|https://lh3.googleusercontent.com/pw/AP1GczPPcpQJ2BSX1qt5aEYKe-VyY_TIsZmaqdP0Y8l5bwqJr19uuDIjOaQoNn0lZf-WFgyX"&amp;"sMBNqmninGm3LJv6ZoKHRO_ureeQitnPoXoCYbXIIrb3rPoO=w1200|https://lh3.googleusercontent.com/pw/AP1GczOBVBDkN4xIJ42B-ChSl8fpoTS9Bx8XsJGU1t4Btu7e9Xr-BBQYIbLBuSmpZlQFBVnpdVIzqGC1zzhKQrk0HFxlTYQUCHHh_-VhgMYTk54dkceVU09s=w1200|https://lh3.googleusercontent.com/pw"&amp;"/AP1GczP-21ZsT1A7e-mo42lANFFv8rIVTT3z34mydYUe77jOd01dDqfDW9Y5mdxoum2H9iunQjPozxmo-hSVzj6cRV-bU-hB-3k9UgQQI51KN2zw5hMV-RZu=w1200|https://lh3.googleusercontent.com/pw/AP1GczO0FZvkAYdOFce2O0OgCgH9WyvlQNoiqGGbsW10wXtz29n-UA8MqhE6WBC06L7id_QqmllunOuq-fSFyv3UGw"&amp;"3Y5zqJEMjQF6vjnMA00hG6-79njKyr=w1200|https://lh3.googleusercontent.com/pw/AP1GczNfTQw9RvY6y8AOge4q4Pg6-g7LaGufnnXHTJuYXFl_1gqNx8usz8dJmPlqBtw-4JQ1VIAPhQRleBjrQTqENZTsa8weKrnt9-VCvTFKtinjny_dUWgT=w1200|https://lh3.googleusercontent.com/pw/AP1GczOjNDGq-llo_"&amp;"6FSwmW1TQa-do4Hesur7HghYfQD5ubEt2bPMbV6aC6PLKWiX1HmITZgWYweGfgir827y_8KdHI6Oyx7xGKt7L3hG5fJ84ACPgfzcCDz=w1200|https://lh3.googleusercontent.com/pw/AP1GczP71KmHMac9sILYypP2UZqVSA74G_KjB3p9NKf5RvwVc1-vTAU8mJPbldSoS6GZO5X7IcpesnozXOsQv9EbABqaJ7ua7lKgcOCMfjKa"&amp;"rSnoe3Fr_QXO=w1200|https://lh3.googleusercontent.com/pw/AP1GczPbFpPmH_5MyAk6i6jXrnsthYwx_JGJwF4Yq8mG38ZyXP3NdqZD5ZJmC6VryMj8R8WKxWLudIMhieehF1Tn2IuqZMcMHMxdR5MvMnp2wLJy9exdN-Vo=w1200|https://lh3.googleusercontent.com/pw/AP1GczO-G2Nf_jIq4Rxwf1WyxAGL5EHH2pO"&amp;"tTbEmnj_ZNAsMPzSvynCg-23PFAjtZRfN0AFPyXXrX2FObruARjt-w59GbvTNp3IB9RaD8p_5jY6fYex5B76U=w1200|https://lh3.googleusercontent.com/pw/AP1GczMNzhPE-AFIC7Z5UbkhSYKICjiaf73DOeeEQhp00deJDRbeBzjtjbTg5vvJL3AB_rnmLBIaY_8FKtjaK01dKcuaua_y7HcxIXNLD1rZOb9LO2ziYhZw=w1200"&amp;"|https://lh3.googleusercontent.com/pw/AP1GczO-c9j3iml_kkuh7-TAzTdqBgeytWKCuZeTUeb8-s6rmjhDm_qugjuAnzWskZPlBPTlH2Hziwb88M0FHDh7MfoEFRp0zjV8irWQBvRcH50Fn_Xx467O=w1200")</f>
        <v>https://lh3.googleusercontent.com/pw/AP1GczPpBpcW_KOheXqvrCshxvZ7bI5MaqM6J0KeHa3EcEpuBe3Y_6iDTCkNQMfS27oAN-IyJkKd57WNdB5S-WfAZJmFjv7l4ekawhcbRcYoQKbSkFSNsKTs=w1200|https://lh3.googleusercontent.com/pw/AP1GczPRUsZmUf_Kpm7pJngEJlfRvvzoX-c3e5vWmy7cINf3_Vtp9USQlHGL7Yt_okbcgBkoNrTItsefTd8mSgatHOR-VPya0TiFQWGCRHzRi1a2einpA8ve=w1200|https://lh3.googleusercontent.com/pw/AP1GczM1FOFJLKw4T4Vwy9jSUHT0xqE1JR9cqq-lpLO-9lu4rPcepxi9vp2-DcMH126ow3xzBAlPsbSY5WyaydnRmthgKuX3EFv-lPj73NL0aSOqDQiD6sxK=w1200|https://lh3.googleusercontent.com/pw/AP1GczOrGULUkik1klJOCbkt0ME0fr40RIjCY7S0ivLFJfW6Y6IA394yfjw-lfh-Mf-e2g6igzbcTITXX2ekjMSg3qJoSwoY82zbj2cSzFm5zpQ2z2_shv1J=w1200|https://lh3.googleusercontent.com/pw/AP1GczPPcpQJ2BSX1qt5aEYKe-VyY_TIsZmaqdP0Y8l5bwqJr19uuDIjOaQoNn0lZf-WFgyXsMBNqmninGm3LJv6ZoKHRO_ureeQitnPoXoCYbXIIrb3rPoO=w1200|https://lh3.googleusercontent.com/pw/AP1GczOBVBDkN4xIJ42B-ChSl8fpoTS9Bx8XsJGU1t4Btu7e9Xr-BBQYIbLBuSmpZlQFBVnpdVIzqGC1zzhKQrk0HFxlTYQUCHHh_-VhgMYTk54dkceVU09s=w1200|https://lh3.googleusercontent.com/pw/AP1GczP-21ZsT1A7e-mo42lANFFv8rIVTT3z34mydYUe77jOd01dDqfDW9Y5mdxoum2H9iunQjPozxmo-hSVzj6cRV-bU-hB-3k9UgQQI51KN2zw5hMV-RZu=w1200|https://lh3.googleusercontent.com/pw/AP1GczO0FZvkAYdOFce2O0OgCgH9WyvlQNoiqGGbsW10wXtz29n-UA8MqhE6WBC06L7id_QqmllunOuq-fSFyv3UGw3Y5zqJEMjQF6vjnMA00hG6-79njKyr=w1200|https://lh3.googleusercontent.com/pw/AP1GczNfTQw9RvY6y8AOge4q4Pg6-g7LaGufnnXHTJuYXFl_1gqNx8usz8dJmPlqBtw-4JQ1VIAPhQRleBjrQTqENZTsa8weKrnt9-VCvTFKtinjny_dUWgT=w1200|https://lh3.googleusercontent.com/pw/AP1GczOjNDGq-llo_6FSwmW1TQa-do4Hesur7HghYfQD5ubEt2bPMbV6aC6PLKWiX1HmITZgWYweGfgir827y_8KdHI6Oyx7xGKt7L3hG5fJ84ACPgfzcCDz=w1200|https://lh3.googleusercontent.com/pw/AP1GczP71KmHMac9sILYypP2UZqVSA74G_KjB3p9NKf5RvwVc1-vTAU8mJPbldSoS6GZO5X7IcpesnozXOsQv9EbABqaJ7ua7lKgcOCMfjKarSnoe3Fr_QXO=w1200|https://lh3.googleusercontent.com/pw/AP1GczPbFpPmH_5MyAk6i6jXrnsthYwx_JGJwF4Yq8mG38ZyXP3NdqZD5ZJmC6VryMj8R8WKxWLudIMhieehF1Tn2IuqZMcMHMxdR5MvMnp2wLJy9exdN-Vo=w1200|https://lh3.googleusercontent.com/pw/AP1GczO-G2Nf_jIq4Rxwf1WyxAGL5EHH2pOtTbEmnj_ZNAsMPzSvynCg-23PFAjtZRfN0AFPyXXrX2FObruARjt-w59GbvTNp3IB9RaD8p_5jY6fYex5B76U=w1200|https://lh3.googleusercontent.com/pw/AP1GczMNzhPE-AFIC7Z5UbkhSYKICjiaf73DOeeEQhp00deJDRbeBzjtjbTg5vvJL3AB_rnmLBIaY_8FKtjaK01dKcuaua_y7HcxIXNLD1rZOb9LO2ziYhZw=w1200|https://lh3.googleusercontent.com/pw/AP1GczO-c9j3iml_kkuh7-TAzTdqBgeytWKCuZeTUeb8-s6rmjhDm_qugjuAnzWskZPlBPTlH2Hziwb88M0FHDh7MfoEFRp0zjV8irWQBvRcH50Fn_Xx467O=w1200</v>
      </c>
      <c r="AJ63" s="46"/>
      <c r="AK63" s="46"/>
      <c r="AL63" s="46"/>
      <c r="AM63" s="46"/>
      <c r="AN63" s="46"/>
      <c r="AO63" s="46"/>
      <c r="AP63" s="46"/>
      <c r="AQ63" s="46"/>
      <c r="AR63" s="46"/>
      <c r="AS63" s="46"/>
      <c r="AT63" s="46"/>
      <c r="AU63" s="46"/>
      <c r="AV63" s="46"/>
      <c r="AW63" s="46"/>
      <c r="AX63" s="46"/>
      <c r="AY63" s="46"/>
      <c r="AZ63" s="46"/>
      <c r="BA63" s="46"/>
      <c r="BB63" s="46"/>
      <c r="BC63" s="46"/>
      <c r="BD63" s="46"/>
      <c r="BE63" s="46"/>
      <c r="BF63" s="46"/>
      <c r="BG63" s="46"/>
      <c r="BH63" s="46"/>
      <c r="BI63" s="46"/>
      <c r="BJ63" s="46"/>
      <c r="BK63" s="46"/>
      <c r="BL63" s="46"/>
      <c r="BM63" s="46"/>
      <c r="BN63" s="46"/>
      <c r="BO63" s="46"/>
      <c r="BP63" s="46"/>
      <c r="BQ63" s="46"/>
      <c r="BR63" s="46"/>
      <c r="BS63" s="46"/>
      <c r="BT63" s="46"/>
      <c r="BU63" s="46"/>
      <c r="BV63" s="46"/>
      <c r="BW63" s="46"/>
      <c r="BX63" s="46"/>
      <c r="BY63" s="46"/>
      <c r="BZ63" s="46"/>
      <c r="CA63" s="46"/>
      <c r="CB63" s="46"/>
      <c r="CC63" s="46"/>
    </row>
    <row r="64">
      <c r="A64" s="87" t="str">
        <f>IFERROR(__xludf.DUMMYFUNCTION("""COMPUTED_VALUE"""),"906")</f>
        <v>906</v>
      </c>
      <c r="B64" s="46" t="str">
        <f>IFERROR(__xludf.DUMMYFUNCTION("""COMPUTED_VALUE"""),"Apartamento en Conjunto Condominio Mediterraneo - Norte - Andaquíes")</f>
        <v>Apartamento en Conjunto Condominio Mediterraneo - Norte - Andaquíes</v>
      </c>
      <c r="C64" s="46" t="str">
        <f>IFERROR(__xludf.DUMMYFUNCTION("""COMPUTED_VALUE"""),"Apartamento en conjunto")</f>
        <v>Apartamento en conjunto</v>
      </c>
      <c r="D64" s="46" t="str">
        <f>IFERROR(__xludf.DUMMYFUNCTION("""COMPUTED_VALUE"""),"Andaquíe")</f>
        <v>Andaquíe</v>
      </c>
      <c r="E64" s="46" t="str">
        <f>IFERROR(__xludf.DUMMYFUNCTION("""COMPUTED_VALUE"""),"Conjunto Condominio Mediterraneo")</f>
        <v>Conjunto Condominio Mediterraneo</v>
      </c>
      <c r="F64" s="90">
        <f>IFERROR(__xludf.DUMMYFUNCTION("""COMPUTED_VALUE"""),4.1E8)</f>
        <v>410000000</v>
      </c>
      <c r="G64" s="46" t="str">
        <f>IFERROR(__xludf.DUMMYFUNCTION("""COMPUTED_VALUE"""),"$400'000.000 a $500'000.000")</f>
        <v>$400'000.000 a $500'000.000</v>
      </c>
      <c r="H64" s="46"/>
      <c r="I64" s="46"/>
      <c r="J64" s="46" t="str">
        <f>IFERROR(__xludf.DUMMYFUNCTION("""COMPUTED_VALUE"""),"Norte")</f>
        <v>Norte</v>
      </c>
      <c r="K64" s="87"/>
      <c r="L64" s="46">
        <f>IFERROR(__xludf.DUMMYFUNCTION("""COMPUTED_VALUE"""),3.0)</f>
        <v>3</v>
      </c>
      <c r="M64" s="46"/>
      <c r="N64" s="46">
        <f>IFERROR(__xludf.DUMMYFUNCTION("""COMPUTED_VALUE"""),2.0)</f>
        <v>2</v>
      </c>
      <c r="O64" s="46">
        <f>IFERROR(__xludf.DUMMYFUNCTION("""COMPUTED_VALUE"""),1.0)</f>
        <v>1</v>
      </c>
      <c r="P64" s="46">
        <f>IFERROR(__xludf.DUMMYFUNCTION("""COMPUTED_VALUE"""),6.0)</f>
        <v>6</v>
      </c>
      <c r="Q64" s="92">
        <f>IFERROR(__xludf.DUMMYFUNCTION("""COMPUTED_VALUE"""),112.0)</f>
        <v>112</v>
      </c>
      <c r="R64" s="92">
        <f>IFERROR(__xludf.DUMMYFUNCTION("""COMPUTED_VALUE"""),112.0)</f>
        <v>112</v>
      </c>
      <c r="S64" s="87" t="str">
        <f>IFERROR(__xludf.DUMMYFUNCTION("""COMPUTED_VALUE""")," ")</f>
        <v> </v>
      </c>
      <c r="T64" s="46" t="str">
        <f>IFERROR(__xludf.DUMMYFUNCTION("""COMPUTED_VALUE"""),"Neiva")</f>
        <v>Neiva</v>
      </c>
      <c r="U64" s="87" t="str">
        <f>IFERROR(__xludf.DUMMYFUNCTION("""COMPUTED_VALUE"""),"4")</f>
        <v>4</v>
      </c>
      <c r="V64" s="46" t="str">
        <f>IFERROR(__xludf.DUMMYFUNCTION("""COMPUTED_VALUE"""),"6to.")</f>
        <v>6to.</v>
      </c>
      <c r="W64" s="46"/>
      <c r="X64" s="46">
        <f>IFERROR(__xludf.DUMMYFUNCTION("""COMPUTED_VALUE"""),3.0)</f>
        <v>3</v>
      </c>
      <c r="Y64" s="46" t="str">
        <f>IFERROR(__xludf.DUMMYFUNCTION("""COMPUTED_VALUE"""),"Social")</f>
        <v>Social</v>
      </c>
      <c r="Z64" s="90">
        <f>IFERROR(__xludf.DUMMYFUNCTION("""COMPUTED_VALUE"""),330000.0)</f>
        <v>330000</v>
      </c>
      <c r="AA64" s="33" t="str">
        <f>IFERROR(__xludf.DUMMYFUNCTION("""COMPUTED_VALUE"""),"No aplica")</f>
        <v>No aplica</v>
      </c>
      <c r="AB64" s="96" t="str">
        <f>IFERROR(__xludf.DUMMYFUNCTION("""COMPUTED_VALUE"""),"https://photos.app.goo.gl/yRPTt3PCofBbGXZp8")</f>
        <v>https://photos.app.goo.gl/yRPTt3PCofBbGXZp8</v>
      </c>
      <c r="AC64" s="46" t="str">
        <f>IFERROR(__xludf.DUMMYFUNCTION("""COMPUTED_VALUE"""),"Apartamento ubicado en un 6to. piso, área de 112.0 m2, consta de 3 alcobas, 3 closet en madera, 2 baños (1 privado), sala, comedor, estudio, cocina integral, balcón, cortinas, deposito, garaje, zona de lavandería, pisos en porcelanato y techo en driwall.")</f>
        <v>Apartamento ubicado en un 6to. piso, área de 112.0 m2, consta de 3 alcobas, 3 closet en madera, 2 baños (1 privado), sala, comedor, estudio, cocina integral, balcón, cortinas, deposito, garaje, zona de lavandería, pisos en porcelanato y techo en driwall.</v>
      </c>
      <c r="AD64" s="46" t="str">
        <f>IFERROR(__xludf.DUMMYFUNCTION("""COMPUTED_VALUE"""),"El conjunto ofrece: vigilancia las 24 horas, piscina, jacuzzi, zona bqq, cancha de micro, lobby, cuarto de juegos.")</f>
        <v>El conjunto ofrece: vigilancia las 24 horas, piscina, jacuzzi, zona bqq, cancha de micro, lobby, cuarto de juegos.</v>
      </c>
      <c r="AE64" s="46"/>
      <c r="AF64" s="46" t="str">
        <f>IFERROR(__xludf.DUMMYFUNCTION("""COMPUTED_VALUE"""),"integral")</f>
        <v>integral</v>
      </c>
      <c r="AG64" s="46"/>
      <c r="AH64" s="46" t="str">
        <f>IFERROR(__xludf.DUMMYFUNCTION("""COMPUTED_VALUE"""),"Aliado")</f>
        <v>Aliado</v>
      </c>
      <c r="AI64" s="92" t="str">
        <f>IFERROR(__xludf.DUMMYFUNCTION("""COMPUTED_VALUE"""),"https://lh3.googleusercontent.com/pw/AP1GczNOorq7AvXoQGoLz1BHQXBEsmhR5qilcJEiK_wXbh9MbyLpvrKBK58qRe_88M5pXWieNVPuUV0XIse6LCdItZe6UC145jdrkPFeWa89BgxRuhWFEdu2=w1200|https://lh3.googleusercontent.com/pw/AP1GczOhy4yimKRhS3aPwqBf0bJvw-oCvoks3AabpUfyRtzsaPp3iU"&amp;"J994Kbbw_hh7NXUgQbKpyrZk8XFx6Tfp76bVOkwiW3XW7Fuh8BVV5Yv5r6v9VLzISJ=w1200|https://lh3.googleusercontent.com/pw/AP1GczOjEkZFV4RcoiIaGmaGLnMPaC3XqzEXxMl-QT41zwOVQiIPh0X-Kwdra541sIxNjIIL5fDIsqWIhNLdvyQcRAjXXRA50zHUTSCOSTTKN1O01gN63GUy=w1200|https://lh3.google"&amp;"usercontent.com/pw/AP1GczOBMRevI7WYAvVapk16dGfMuUMBkL7AyM4DWLogm-gZZOT3_PMr5AFZpglaOJI1BcQcUG4BdTsNeSFHFjcpiM3cFyBemh1hVNfunMyFNYUbzfPeq-04=w1200|https://lh3.googleusercontent.com/pw/AP1GczO5qWtH4hVs7ZmdcYgf9fHu6Uak-KR7miNGRV-GFUD1iFMwRnQKbK2IWL81l9aoqUUX"&amp;"l3Sp6vyonxtu1VI--jGntwoTxCdVlDBrekxCPCdPaB_fNk0S=w1200|https://lh3.googleusercontent.com/pw/AP1GczPjdKL4dzSGNqY8HDPlFBvMKvLIHCjspjoEUJ4YSybI1GHVf688d-IOsi-GR1d_2NMVhPmVw-I2weKjfNnmn8EntnCl7MRQgc1801OczKHb0Y8BT_k8=w1200|https://lh3.googleusercontent.com/pw"&amp;"/AP1GczP5MhJdt_1Xnl_reg_M_Dbr-6ngCKP1YLkgBLm8t9ADbjDtwcNklKPGu4uLV1Jvh8j8VHotuLHexGtRNKQ7oJi9JANOx70wc_okY-iva7-Dlx_BPvnR=w1200|https://lh3.googleusercontent.com/pw/AP1GczPK5KGtYq9RnA6JGkpWLy2PqIxtASd5v1lrLXdMauphTzCNBAzNV7jTp1Ca5_Zr3fFqbFkoz2lQOMzLVFLPxs"&amp;"-Wn0sT0x29HKxv8niVZW5YIsWvQiU7=w1200|https://lh3.googleusercontent.com/pw/AP1GczOI6-mur2LL5_65l62wL0TaKwpVfM6sjXSBjOoQo-fRMFFL0Hfzm5NxWG_f2mG9nK1IPQvedInd6OPjn8ZoJVMvgUZcJh5nXWTL_0n4AX1yz3HyFDng=w1200|https://lh3.googleusercontent.com/pw/AP1GczORPxWL4_IjI"&amp;"n4OA9Q2tojgVuE-WlKsTAJEkj6TLiTQoF7roVpLzNriStgoDDCPFbGMzW73-8HMSY26OP79ErJ2p4YdGmkBz30o84har1FApOdC4nHQ=w1200|https://lh3.googleusercontent.com/pw/AP1GczOxKmmouL2dYrpwEUPiYyC4ZHFxD7w75qAm4H-j5EdT3P_TIg99nVv4ewEdjfycYSjW2Cj4-Zf2peCsNinITOiOdaj76dj3IRG_QwJ_"&amp;"59r29Q30AQ4d=w1200|https://lh3.googleusercontent.com/pw/AP1GczOmxLhFjgezoFMlrRjl9Mm4Cm-3xWBnIO_d5wZXdZY0nS5czkbAgw3umStkAcmAkRHFl5EFWkCkfeVK6iHin_wQa0LEjcQn2bngAjuIcPGnK4PojJJM=w1200|https://lh3.googleusercontent.com/pw/AP1GczNgqHddbnpGvGVrGU6d5KGczX3roY-"&amp;"kKGZrhfcXsb5uOlQhGbY_N7y4H8xFne9L4Jh-PPQI6QN-jUbpHqC-Ldm7LYL8Zov5McTqqc1fV--Xl5xquiTl=w1200|https://lh3.googleusercontent.com/pw/AP1GczOD9VJ5p82-CBvXSrefOPz-pEXWa1RpxHIuuzwzSPdy5Eojm23ANKnyEs6y9Qi5pmTvSrTDRQBjm-_8-evKrzyOnMjR5p3Tz4R290dgYzkacGUZX47w=w1200"&amp;"|https://lh3.googleusercontent.com/pw/AP1GczMCuikIayISs_e1LrV5Tb4m_Xp1a_bO4sRRRKlApVtaehNEd-FMRPpUiX3-bd9WKUdMCx3KOZDnpxAuBNCMnSWLJ2ih_ZJ7b6-CpUEtQlCnT-tYBf45=w1200|https://lh3.googleusercontent.com/pw/AP1GczMHroG-__tV8INzfVOkcaF06PpJHwnrefLJd16z_l5NQZC-A"&amp;"iXXZsu3wIC26OuKmah6GAQ3euDUT2Idseyggyg4ZfI4yOtPZYgk9k4J5XSIq65bSDiD=w1200|https://lh3.googleusercontent.com/pw/AP1GczMyagI-XDNhFe19LZgm1gfPgRVPcqiJvPd6-YXNd_NLfBSG982-AmQN00p0Ukbn1hcYPFFl5UJEfx3zYLxC4XcrPbl7pESm27v8eOnt--X7BlSKHJh0=w1200|https://lh3.googl"&amp;"eusercontent.com/pw/AP1GczO4ZU-rVqf24n31nxWLlSPzBCw0PMmg9mr2kuTXtNmYUmaKDuyCeR38uEyWAVImanCuqbxvmAOZPMP8BpqODnYpTJtymj93bmU22xvXtXmzPiBg6HjZ=w1200|https://lh3.googleusercontent.com/pw/AP1GczPE8vmMuN45QvwMZEq6R9oUKSlcHXIPEP20r30uAPDsFjTX4yPoAiLWI6Jv9PrdwTA"&amp;"NobWhv8LmpbNKSTVAGJXDm1-l4Z6Tr4-SWEWSRlJ6uIYwWagr=w1200|https://lh3.googleusercontent.com/pw/AP1GczOOM0B2suIi_-kSvbIpHsh-ncI2OJRYsxiKp1_NRkM9PQYM9E5TbLNK84x1Ir9db7ITHmj2Heo0Wp2QGy6HrTBXSy4zL4pUx7lPOgtRCv9JEtp1gC3w=w1200|https://lh3.googleusercontent.com/p"&amp;"w/AP1GczMQ6VUFmJXw-HUE9vmvRwvtlncpd_BqnvFUpgxRnvQE1C8lisIhxUK91NHaz4T4phGi8dXTaUwgbnyFGZYznoHQ4pztCnAS-wL2Q15YEuu98y_JAtLT=w1200|https://lh3.googleusercontent.com/pw/AP1GczOmKYXghA5bdNdLUVBy-F7I3fj5j6GMoiGnDNB9nUZZM8w5i6D4kigHGG05J2fvAP8vYd9SAJ03ZIEWmRv22"&amp;"XbzgQpYjB9UMm5zxS8RhOp3XJMRaACi=w1200|https://lh3.googleusercontent.com/pw/AP1GczPo1YG6EyVQhDS2l3-jxQx8q34zaefL6YKfyC7k2BccBqP44MU0fX6kNhREp5kgl1DEnqYa0ISdOzLos23MIyzpe0cbops8bWCMJrQEaGUnBFqFH6jL=w1200|https://lh3.googleusercontent.com/pw/AP1GczNWl2H4AqLx"&amp;"TdobU4cNdquy2KfJeEk8noer84YkKwg9T6KJGMZTQYs2NvfJCDjjgzPRMeEiTB65pdrP2Aql9LR_XGRGpxCpwqftu-nALMHo378I5DRb=w1200|https://lh3.googleusercontent.com/pw/AP1GczPOMdoSyi_0Ad3mci5VFFs9xcFIbtqcjuxAR4Hm4NoD9OVbgOJXU0QuVqVQNHnybu-uBfuALvmnU8KlxrktKZWIRxrU4SbKUarDVjQ"&amp;"cKXUo3XLlYqmB=w1200|https://lh3.googleusercontent.com/pw/AP1GczO1Q3ZlrZuaBoyK9LlAIxruHTyL62eJMYYMS1QtC1y7Hx75WNvhvz5d4wQcyZ2hHYswAivMS1alpUBfKXZOsGx32wwZmg1NxKoJ6nBR_ZWuvPFpLl34=w1200|https://lh3.googleusercontent.com/pw/AP1GczMZ36WClX-b_nQH-vBCVl5DhK6mDk"&amp;"FiEODYfjcysWZJhBZnlSdBeIUx4MgUTE0EwByuO-lxXMzn12vLSwKhj04XPYyNYVbV7VkE69UrQgAmKJ7yMsTd=w1200|https://lh3.googleusercontent.com/pw/AP1GczMfq0U1UHCfPZg_z5vAl-afZahZbTlKuU0n41jnbn_gs0tIt7ZpxF7Dh8x4C39LcXuINBXJbWAIO8k8Vji9zGOX4InBI0nmBEW_LvZwDypU9E3iHqly=w120"&amp;"0|https://lh3.googleusercontent.com/pw/AP1GczNDCT5chxMYxzB_HS4XL7Ap8WCD9DQb_uIoIeEU_7yJJ2n9iQPC8QovQddsdqJ7XPsRzqRaCTnr-8R0P78M7zBCxvBs3EJJpr4xhDeVhRraovxdYyXU=w1200|https://lh3.googleusercontent.com/pw/AP1GczPnJqi2VdzTLTXaaZAgvZ_2OXz4jgc6HHSoQJzv3_tCNG2L"&amp;"XET_hSegrCHVs0aceqmFwRU08JZXwGted7IUdBYQw8p7nrMxw_qgfwVgeVmhRB5jCdTp=w1200|https://lh3.googleusercontent.com/pw/AP1GczNhkwqh0Tht9QMQjd1Y8y17dFphb4y5O7jk9zlq57MRZyJZm26WpzxfyrGIkK_Zf9c7KjgTYNiio5QeJ6BGz4_SDPsH8UfXVD4Tzpp0cqh8UKZzcu7x=w1200|https://lh3.goog"&amp;"leusercontent.com/pw/AP1GczNypBZOUNsFHP5Vc0YfD-q5-38ughNUudqNgbPtUFuNGwptc071jDMVMPElheheqqYSNwUIJ3WXpy5KeZMcp8iN1RYNnCB3dNqEBW_tTj954iZMAauQ=w1200|https://lh3.googleusercontent.com/pw/AP1GczNs03AmZDafIys28GbgVMovZVgNrkrH1V_VSWvSIqhOVfN5hiKa1BPpgjiHHngEmw"&amp;"dWsMM23Z5luGRalbyAt0hY-VKfni5YxO-xGZEehsgR_f7J_xGt=w1200|https://lh3.googleusercontent.com/pw/AP1GczPPCXWxd9p86zs_4XLLBF1A5TwuDY43WJetjmGyCIUiZbNOO6GdIayrigCYquWDVtFtGZBJp5jbEIq4A9PJZ1wDoyze9GwkClMv6aMuBMFCIVcu4WeH=w1200|https://lh3.googleusercontent.com/"&amp;"pw/AP1GczNRU1XBxtPhqX2x0inT2F1vFV4s5DHhPJRdRKqmlMlTo4mrEVgVgEglKn_g7cg_vMIIaWZiXrBLlWRFBZtCPiGrmyUivrLNedjABde8wljphCVgI8g7=w1200|https://lh3.googleusercontent.com/pw/AP1GczOBrCLz0bNN8z4KatyJrHlXQq_E7uQ8qB-2jH_u9lWshRXZgXItnNcWWJgSQW14ROtmRyESQnXBDuu0FG-e"&amp;"YRhqrUvGnRKyJrRP-kw6UaeXYKiNYQ8t=w1200")</f>
        <v>https://lh3.googleusercontent.com/pw/AP1GczNOorq7AvXoQGoLz1BHQXBEsmhR5qilcJEiK_wXbh9MbyLpvrKBK58qRe_88M5pXWieNVPuUV0XIse6LCdItZe6UC145jdrkPFeWa89BgxRuhWFEdu2=w1200|https://lh3.googleusercontent.com/pw/AP1GczOhy4yimKRhS3aPwqBf0bJvw-oCvoks3AabpUfyRtzsaPp3iUJ994Kbbw_hh7NXUgQbKpyrZk8XFx6Tfp76bVOkwiW3XW7Fuh8BVV5Yv5r6v9VLzISJ=w1200|https://lh3.googleusercontent.com/pw/AP1GczOjEkZFV4RcoiIaGmaGLnMPaC3XqzEXxMl-QT41zwOVQiIPh0X-Kwdra541sIxNjIIL5fDIsqWIhNLdvyQcRAjXXRA50zHUTSCOSTTKN1O01gN63GUy=w1200|https://lh3.googleusercontent.com/pw/AP1GczOBMRevI7WYAvVapk16dGfMuUMBkL7AyM4DWLogm-gZZOT3_PMr5AFZpglaOJI1BcQcUG4BdTsNeSFHFjcpiM3cFyBemh1hVNfunMyFNYUbzfPeq-04=w1200|https://lh3.googleusercontent.com/pw/AP1GczO5qWtH4hVs7ZmdcYgf9fHu6Uak-KR7miNGRV-GFUD1iFMwRnQKbK2IWL81l9aoqUUXl3Sp6vyonxtu1VI--jGntwoTxCdVlDBrekxCPCdPaB_fNk0S=w1200|https://lh3.googleusercontent.com/pw/AP1GczPjdKL4dzSGNqY8HDPlFBvMKvLIHCjspjoEUJ4YSybI1GHVf688d-IOsi-GR1d_2NMVhPmVw-I2weKjfNnmn8EntnCl7MRQgc1801OczKHb0Y8BT_k8=w1200|https://lh3.googleusercontent.com/pw/AP1GczP5MhJdt_1Xnl_reg_M_Dbr-6ngCKP1YLkgBLm8t9ADbjDtwcNklKPGu4uLV1Jvh8j8VHotuLHexGtRNKQ7oJi9JANOx70wc_okY-iva7-Dlx_BPvnR=w1200|https://lh3.googleusercontent.com/pw/AP1GczPK5KGtYq9RnA6JGkpWLy2PqIxtASd5v1lrLXdMauphTzCNBAzNV7jTp1Ca5_Zr3fFqbFkoz2lQOMzLVFLPxs-Wn0sT0x29HKxv8niVZW5YIsWvQiU7=w1200|https://lh3.googleusercontent.com/pw/AP1GczOI6-mur2LL5_65l62wL0TaKwpVfM6sjXSBjOoQo-fRMFFL0Hfzm5NxWG_f2mG9nK1IPQvedInd6OPjn8ZoJVMvgUZcJh5nXWTL_0n4AX1yz3HyFDng=w1200|https://lh3.googleusercontent.com/pw/AP1GczORPxWL4_IjIn4OA9Q2tojgVuE-WlKsTAJEkj6TLiTQoF7roVpLzNriStgoDDCPFbGMzW73-8HMSY26OP79ErJ2p4YdGmkBz30o84har1FApOdC4nHQ=w1200|https://lh3.googleusercontent.com/pw/AP1GczOxKmmouL2dYrpwEUPiYyC4ZHFxD7w75qAm4H-j5EdT3P_TIg99nVv4ewEdjfycYSjW2Cj4-Zf2peCsNinITOiOdaj76dj3IRG_QwJ_59r29Q30AQ4d=w1200|https://lh3.googleusercontent.com/pw/AP1GczOmxLhFjgezoFMlrRjl9Mm4Cm-3xWBnIO_d5wZXdZY0nS5czkbAgw3umStkAcmAkRHFl5EFWkCkfeVK6iHin_wQa0LEjcQn2bngAjuIcPGnK4PojJJM=w1200|https://lh3.googleusercontent.com/pw/AP1GczNgqHddbnpGvGVrGU6d5KGczX3roY-kKGZrhfcXsb5uOlQhGbY_N7y4H8xFne9L4Jh-PPQI6QN-jUbpHqC-Ldm7LYL8Zov5McTqqc1fV--Xl5xquiTl=w1200|https://lh3.googleusercontent.com/pw/AP1GczOD9VJ5p82-CBvXSrefOPz-pEXWa1RpxHIuuzwzSPdy5Eojm23ANKnyEs6y9Qi5pmTvSrTDRQBjm-_8-evKrzyOnMjR5p3Tz4R290dgYzkacGUZX47w=w1200|https://lh3.googleusercontent.com/pw/AP1GczMCuikIayISs_e1LrV5Tb4m_Xp1a_bO4sRRRKlApVtaehNEd-FMRPpUiX3-bd9WKUdMCx3KOZDnpxAuBNCMnSWLJ2ih_ZJ7b6-CpUEtQlCnT-tYBf45=w1200|https://lh3.googleusercontent.com/pw/AP1GczMHroG-__tV8INzfVOkcaF06PpJHwnrefLJd16z_l5NQZC-AiXXZsu3wIC26OuKmah6GAQ3euDUT2Idseyggyg4ZfI4yOtPZYgk9k4J5XSIq65bSDiD=w1200|https://lh3.googleusercontent.com/pw/AP1GczMyagI-XDNhFe19LZgm1gfPgRVPcqiJvPd6-YXNd_NLfBSG982-AmQN00p0Ukbn1hcYPFFl5UJEfx3zYLxC4XcrPbl7pESm27v8eOnt--X7BlSKHJh0=w1200|https://lh3.googleusercontent.com/pw/AP1GczO4ZU-rVqf24n31nxWLlSPzBCw0PMmg9mr2kuTXtNmYUmaKDuyCeR38uEyWAVImanCuqbxvmAOZPMP8BpqODnYpTJtymj93bmU22xvXtXmzPiBg6HjZ=w1200|https://lh3.googleusercontent.com/pw/AP1GczPE8vmMuN45QvwMZEq6R9oUKSlcHXIPEP20r30uAPDsFjTX4yPoAiLWI6Jv9PrdwTANobWhv8LmpbNKSTVAGJXDm1-l4Z6Tr4-SWEWSRlJ6uIYwWagr=w1200|https://lh3.googleusercontent.com/pw/AP1GczOOM0B2suIi_-kSvbIpHsh-ncI2OJRYsxiKp1_NRkM9PQYM9E5TbLNK84x1Ir9db7ITHmj2Heo0Wp2QGy6HrTBXSy4zL4pUx7lPOgtRCv9JEtp1gC3w=w1200|https://lh3.googleusercontent.com/pw/AP1GczMQ6VUFmJXw-HUE9vmvRwvtlncpd_BqnvFUpgxRnvQE1C8lisIhxUK91NHaz4T4phGi8dXTaUwgbnyFGZYznoHQ4pztCnAS-wL2Q15YEuu98y_JAtLT=w1200|https://lh3.googleusercontent.com/pw/AP1GczOmKYXghA5bdNdLUVBy-F7I3fj5j6GMoiGnDNB9nUZZM8w5i6D4kigHGG05J2fvAP8vYd9SAJ03ZIEWmRv22XbzgQpYjB9UMm5zxS8RhOp3XJMRaACi=w1200|https://lh3.googleusercontent.com/pw/AP1GczPo1YG6EyVQhDS2l3-jxQx8q34zaefL6YKfyC7k2BccBqP44MU0fX6kNhREp5kgl1DEnqYa0ISdOzLos23MIyzpe0cbops8bWCMJrQEaGUnBFqFH6jL=w1200|https://lh3.googleusercontent.com/pw/AP1GczNWl2H4AqLxTdobU4cNdquy2KfJeEk8noer84YkKwg9T6KJGMZTQYs2NvfJCDjjgzPRMeEiTB65pdrP2Aql9LR_XGRGpxCpwqftu-nALMHo378I5DRb=w1200|https://lh3.googleusercontent.com/pw/AP1GczPOMdoSyi_0Ad3mci5VFFs9xcFIbtqcjuxAR4Hm4NoD9OVbgOJXU0QuVqVQNHnybu-uBfuALvmnU8KlxrktKZWIRxrU4SbKUarDVjQcKXUo3XLlYqmB=w1200|https://lh3.googleusercontent.com/pw/AP1GczO1Q3ZlrZuaBoyK9LlAIxruHTyL62eJMYYMS1QtC1y7Hx75WNvhvz5d4wQcyZ2hHYswAivMS1alpUBfKXZOsGx32wwZmg1NxKoJ6nBR_ZWuvPFpLl34=w1200|https://lh3.googleusercontent.com/pw/AP1GczMZ36WClX-b_nQH-vBCVl5DhK6mDkFiEODYfjcysWZJhBZnlSdBeIUx4MgUTE0EwByuO-lxXMzn12vLSwKhj04XPYyNYVbV7VkE69UrQgAmKJ7yMsTd=w1200|https://lh3.googleusercontent.com/pw/AP1GczMfq0U1UHCfPZg_z5vAl-afZahZbTlKuU0n41jnbn_gs0tIt7ZpxF7Dh8x4C39LcXuINBXJbWAIO8k8Vji9zGOX4InBI0nmBEW_LvZwDypU9E3iHqly=w1200|https://lh3.googleusercontent.com/pw/AP1GczNDCT5chxMYxzB_HS4XL7Ap8WCD9DQb_uIoIeEU_7yJJ2n9iQPC8QovQddsdqJ7XPsRzqRaCTnr-8R0P78M7zBCxvBs3EJJpr4xhDeVhRraovxdYyXU=w1200|https://lh3.googleusercontent.com/pw/AP1GczPnJqi2VdzTLTXaaZAgvZ_2OXz4jgc6HHSoQJzv3_tCNG2LXET_hSegrCHVs0aceqmFwRU08JZXwGted7IUdBYQw8p7nrMxw_qgfwVgeVmhRB5jCdTp=w1200|https://lh3.googleusercontent.com/pw/AP1GczNhkwqh0Tht9QMQjd1Y8y17dFphb4y5O7jk9zlq57MRZyJZm26WpzxfyrGIkK_Zf9c7KjgTYNiio5QeJ6BGz4_SDPsH8UfXVD4Tzpp0cqh8UKZzcu7x=w1200|https://lh3.googleusercontent.com/pw/AP1GczNypBZOUNsFHP5Vc0YfD-q5-38ughNUudqNgbPtUFuNGwptc071jDMVMPElheheqqYSNwUIJ3WXpy5KeZMcp8iN1RYNnCB3dNqEBW_tTj954iZMAauQ=w1200|https://lh3.googleusercontent.com/pw/AP1GczNs03AmZDafIys28GbgVMovZVgNrkrH1V_VSWvSIqhOVfN5hiKa1BPpgjiHHngEmwdWsMM23Z5luGRalbyAt0hY-VKfni5YxO-xGZEehsgR_f7J_xGt=w1200|https://lh3.googleusercontent.com/pw/AP1GczPPCXWxd9p86zs_4XLLBF1A5TwuDY43WJetjmGyCIUiZbNOO6GdIayrigCYquWDVtFtGZBJp5jbEIq4A9PJZ1wDoyze9GwkClMv6aMuBMFCIVcu4WeH=w1200|https://lh3.googleusercontent.com/pw/AP1GczNRU1XBxtPhqX2x0inT2F1vFV4s5DHhPJRdRKqmlMlTo4mrEVgVgEglKn_g7cg_vMIIaWZiXrBLlWRFBZtCPiGrmyUivrLNedjABde8wljphCVgI8g7=w1200|https://lh3.googleusercontent.com/pw/AP1GczOBrCLz0bNN8z4KatyJrHlXQq_E7uQ8qB-2jH_u9lWshRXZgXItnNcWWJgSQW14ROtmRyESQnXBDuu0FG-eYRhqrUvGnRKyJrRP-kw6UaeXYKiNYQ8t=w1200</v>
      </c>
      <c r="AJ64" s="46"/>
      <c r="AK64" s="46"/>
      <c r="AL64" s="46"/>
      <c r="AM64" s="46"/>
      <c r="AN64" s="46"/>
      <c r="AO64" s="46"/>
      <c r="AP64" s="46"/>
      <c r="AQ64" s="46"/>
      <c r="AR64" s="46"/>
      <c r="AS64" s="46"/>
      <c r="AT64" s="46"/>
      <c r="AU64" s="46"/>
      <c r="AV64" s="46"/>
      <c r="AW64" s="46"/>
      <c r="AX64" s="46"/>
      <c r="AY64" s="46"/>
      <c r="AZ64" s="46"/>
      <c r="BA64" s="46"/>
      <c r="BB64" s="46"/>
      <c r="BC64" s="46"/>
      <c r="BD64" s="46"/>
      <c r="BE64" s="46"/>
      <c r="BF64" s="46"/>
      <c r="BG64" s="46"/>
      <c r="BH64" s="46"/>
      <c r="BI64" s="46"/>
      <c r="BJ64" s="46"/>
      <c r="BK64" s="46"/>
      <c r="BL64" s="46"/>
      <c r="BM64" s="46"/>
      <c r="BN64" s="46"/>
      <c r="BO64" s="46"/>
      <c r="BP64" s="46"/>
      <c r="BQ64" s="46"/>
      <c r="BR64" s="46"/>
      <c r="BS64" s="46"/>
      <c r="BT64" s="46"/>
      <c r="BU64" s="46"/>
      <c r="BV64" s="46"/>
      <c r="BW64" s="46"/>
      <c r="BX64" s="46"/>
      <c r="BY64" s="46"/>
      <c r="BZ64" s="46"/>
      <c r="CA64" s="46"/>
      <c r="CB64" s="46"/>
      <c r="CC64" s="46"/>
    </row>
    <row r="65">
      <c r="A65" s="87" t="str">
        <f>IFERROR(__xludf.DUMMYFUNCTION("""COMPUTED_VALUE"""),"1755")</f>
        <v>1755</v>
      </c>
      <c r="B65" s="46" t="str">
        <f>IFERROR(__xludf.DUMMYFUNCTION("""COMPUTED_VALUE"""),"Casa en barrio Altico - Centro")</f>
        <v>Casa en barrio Altico - Centro</v>
      </c>
      <c r="C65" s="46" t="str">
        <f>IFERROR(__xludf.DUMMYFUNCTION("""COMPUTED_VALUE"""),"Casa")</f>
        <v>Casa</v>
      </c>
      <c r="D65" s="46" t="str">
        <f>IFERROR(__xludf.DUMMYFUNCTION("""COMPUTED_VALUE"""),"Altico")</f>
        <v>Altico</v>
      </c>
      <c r="E65" s="90"/>
      <c r="F65" s="90">
        <f>IFERROR(__xludf.DUMMYFUNCTION("""COMPUTED_VALUE"""),4.0E8)</f>
        <v>400000000</v>
      </c>
      <c r="G65" s="46" t="str">
        <f>IFERROR(__xludf.DUMMYFUNCTION("""COMPUTED_VALUE"""),"$400'000.000 a $500'000.000")</f>
        <v>$400'000.000 a $500'000.000</v>
      </c>
      <c r="H65" s="46"/>
      <c r="I65" s="46"/>
      <c r="J65" s="46" t="str">
        <f>IFERROR(__xludf.DUMMYFUNCTION("""COMPUTED_VALUE"""),"Centro")</f>
        <v>Centro</v>
      </c>
      <c r="K65" s="87" t="str">
        <f>IFERROR(__xludf.DUMMYFUNCTION("""COMPUTED_VALUE"""),"4")</f>
        <v>4</v>
      </c>
      <c r="L65" s="46">
        <f>IFERROR(__xludf.DUMMYFUNCTION("""COMPUTED_VALUE"""),4.0)</f>
        <v>4</v>
      </c>
      <c r="M65" s="46"/>
      <c r="N65" s="46">
        <f>IFERROR(__xludf.DUMMYFUNCTION("""COMPUTED_VALUE"""),3.0)</f>
        <v>3</v>
      </c>
      <c r="O65" s="46">
        <f>IFERROR(__xludf.DUMMYFUNCTION("""COMPUTED_VALUE"""),1.0)</f>
        <v>1</v>
      </c>
      <c r="P65" s="46">
        <f>IFERROR(__xludf.DUMMYFUNCTION("""COMPUTED_VALUE"""),1.0)</f>
        <v>1</v>
      </c>
      <c r="Q65" s="92">
        <f>IFERROR(__xludf.DUMMYFUNCTION("""COMPUTED_VALUE"""),186.0)</f>
        <v>186</v>
      </c>
      <c r="R65" s="92">
        <f>IFERROR(__xludf.DUMMYFUNCTION("""COMPUTED_VALUE"""),186.0)</f>
        <v>186</v>
      </c>
      <c r="S65" s="87" t="str">
        <f>IFERROR(__xludf.DUMMYFUNCTION("""COMPUTED_VALUE""")," ")</f>
        <v> </v>
      </c>
      <c r="T65" s="46" t="str">
        <f>IFERROR(__xludf.DUMMYFUNCTION("""COMPUTED_VALUE"""),"Neiva")</f>
        <v>Neiva</v>
      </c>
      <c r="U65" s="87" t="str">
        <f>IFERROR(__xludf.DUMMYFUNCTION("""COMPUTED_VALUE"""),"3")</f>
        <v>3</v>
      </c>
      <c r="V65" s="46" t="str">
        <f>IFERROR(__xludf.DUMMYFUNCTION("""COMPUTED_VALUE"""),"Medianera")</f>
        <v>Medianera</v>
      </c>
      <c r="W65" s="46"/>
      <c r="X65" s="46">
        <f>IFERROR(__xludf.DUMMYFUNCTION("""COMPUTED_VALUE"""),3.0)</f>
        <v>3</v>
      </c>
      <c r="Y65" s="46" t="str">
        <f>IFERROR(__xludf.DUMMYFUNCTION("""COMPUTED_VALUE"""),"No tiene")</f>
        <v>No tiene</v>
      </c>
      <c r="Z65" s="90" t="str">
        <f>IFERROR(__xludf.DUMMYFUNCTION("""COMPUTED_VALUE"""),"No aplica")</f>
        <v>No aplica</v>
      </c>
      <c r="AA65" s="33" t="str">
        <f>IFERROR(__xludf.DUMMYFUNCTION("""COMPUTED_VALUE"""),"No aplica")</f>
        <v>No aplica</v>
      </c>
      <c r="AB65" s="144" t="str">
        <f>IFERROR(__xludf.DUMMYFUNCTION("""COMPUTED_VALUE"""),"https://photos.app.goo.gl/kgGtacyC5ih4t8yu6")</f>
        <v>https://photos.app.goo.gl/kgGtacyC5ih4t8yu6</v>
      </c>
      <c r="AC65" s="46" t="str">
        <f>IFERROR(__xludf.DUMMYFUNCTION("""COMPUTED_VALUE"""),"Casa ubicada en un sector céntrico dela ciudad, con muy buena iluminación natural y ventilación. Sala amplia, comedor. Cocina integral cómoda y espaciosa. 4 habitaciones, closets en madera. Habitación principal con baña privado. Baño auxiliar. Pisos en ce"&amp;"rámica. Cielo raso en machimbre y pvc. Zona de lavandería + patio de ropas con rejas. Fachada con espacio para parquear carro o moto.")</f>
        <v>Casa ubicada en un sector céntrico dela ciudad, con muy buena iluminación natural y ventilación. Sala amplia, comedor. Cocina integral cómoda y espaciosa. 4 habitaciones, closets en madera. Habitación principal con baña privado. Baño auxiliar. Pisos en cerámica. Cielo raso en machimbre y pvc. Zona de lavandería + patio de ropas con rejas. Fachada con espacio para parquear carro o moto.</v>
      </c>
      <c r="AD65" s="46" t="str">
        <f>IFERROR(__xludf.DUMMYFUNCTION("""COMPUTED_VALUE"""),"Casa ubicada de manera estrategica,  facil acceso  vial.")</f>
        <v>Casa ubicada de manera estrategica,  facil acceso  vial.</v>
      </c>
      <c r="AE65" s="46"/>
      <c r="AF65" s="46" t="str">
        <f>IFERROR(__xludf.DUMMYFUNCTION("""COMPUTED_VALUE"""),"integral")</f>
        <v>integral</v>
      </c>
      <c r="AG65" s="46"/>
      <c r="AH65" s="46" t="str">
        <f>IFERROR(__xludf.DUMMYFUNCTION("""COMPUTED_VALUE"""),"Aliado")</f>
        <v>Aliado</v>
      </c>
      <c r="AI65" s="92" t="str">
        <f>IFERROR(__xludf.DUMMYFUNCTION("""COMPUTED_VALUE"""),"https://lh3.googleusercontent.com/pw/AP1GczOAZmVN3hfFLrfl1kP03iCC2bUr2chYW5GKXZBl-MZSWKcyoxy3mG1xG1_AywyPxfr6W3VaSDWFMUKxmpSdnmoG4KxYBAWGOb8UnbxhKhvUYQ5BoP1c=w1200|https://lh3.googleusercontent.com/pw/AP1GczP36n-pDRnT85Co9cpqSDnALaKspm0dKedSaVUSk_DBCpp1Fh"&amp;"yne33ZMu1V8enfsF5L4uKtuuQPu4tzT6wZ3YfHkvac5JDwQGN098UCNU3EALa0XdWN=w1200|https://lh3.googleusercontent.com/pw/AP1GczM1G6fSWUofMTPPl1qcQfnUc9zjCcaGluAERxjVHTz8TwU5u1J7uCpUI05DLR6Obj-nBPUsmqmSa6mO5eDKG7P9h7UF89bD_gBcHQqI3O5TyZKgDOLG=w1200|https://lh3.google"&amp;"usercontent.com/pw/AP1GczP_T-cbC15bbtdtKSvgdoUjm1Q9rgwIN9EfnHsCClaJ55BA2DJJlmgce9hsRshzzG9F6xLXFlQQFgSg7rbS4QbgRUD69apMK9-_JGjPKCa3gYy7OeEf=w1200|https://lh3.googleusercontent.com/pw/AP1GczPD2EbOfY6zDmkx3pyaLr9GtH0Vft4ZgSDKx0H5Kskcv9ld-0qSBsJ8b6op357zm2Gc"&amp;"s4cgCgkTVC4wQ0x68ppYNGyu2pgWBzjyAdc5ZV6SrgAydDIL=w1200|https://lh3.googleusercontent.com/pw/AP1GczO9CcolxIhJH4_MZDJBztvJ8U3jrLmnedr4KsEpd_u8QAw1wx2aNMIWHKJcsxTmZx30jv9ECkXV1F1KLBZhFlSWjrLRaWMO28EbAo-66Ba-7_OwTtqd=w1200|https://lh3.googleusercontent.com/pw"&amp;"/AP1GczNW9l6Ufwb9Ym8RBA0cEZGpsopJa8X5MEDaoEjVpFoCWs43DrxsPIMnraui-nGwjSP6ph-lQa1WAdiNq7kdfMSTG6z_eOHpkEGNjNbAlWWGrYRQjDLq=w1200|https://lh3.googleusercontent.com/pw/AP1GczPqAh0ooBSbwOUpVlvHDdTTODtbJIIfwsJbtbWO3dlMdiwBEbukF_oPvZof3hqjwIUSHRLL6OP_gnQYXO6dsK"&amp;"H57rIG21yQpwoY9DfxDIV6vQqw5sSQ=w1200|https://lh3.googleusercontent.com/pw/AP1GczMio6XjAQY-tyNdRixLmjMlKGpOfDzdK3J7bCAX6FIr5dwBB2ssOdyB1-1DgxgBBNFCGk_gOi-NeUrUst7sHwZo8NQNS-ecisgvXBqHTanS71F737mZ=w1200|https://lh3.googleusercontent.com/pw/AP1GczPBz-K9XMY4p"&amp;"HGxkw2TBfpO8gFNU6CCPi9gAcFnluDB1JSxESsMZBcJuC8bHrjEFivm3H37zJET5CPbZ5JmY15xWxvxDEejfJ7neo4h_PWhPaMskR29=w1200|https://lh3.googleusercontent.com/pw/AP1GczM9QPMxY18RqES-GCmLzmLsiB5nCerpg9xw2ijUQ4rt7SJZqrEopDaFwk_mFLvBNvEK5wv6y8GE16-pw9Z5Jo6XmZUOmwWy4kT6_gIo"&amp;"8jW6-qjW2oIc=w1200|https://lh3.googleusercontent.com/pw/AP1GczNZKseu09FFuA-BoScJNNPJlMa49zhfT5UtEBhGljuk00KlPW0-67N_mq9v7Xt5LyBYgSh4KJEh1S9DBe33cWB2HdAdfCHjhPHb9ep9dVv08AZm6Coe=w1200|https://lh3.googleusercontent.com/pw/AP1GczPhaFloaTrjNw4rF9ElBFoKkuHV9Mo"&amp;"4zF3nI0OT9_6Lf2oke14cUUgRn7pj3FNgZuiir_lQH2aKx3m-XvK0x4g_NnumR2_zjJPafycwQzJfbAAYWMuS=w1200|https://lh3.googleusercontent.com/pw/AP1GczPv0bKi9WPX8UAy1NqA6wPHHzv0sz1ch6RXsUUK7vYofETwRen9ODgcB9pU7w4meQ0hHnlU4FRfQJfroD2zuh2rI3k6r9RwqnHfOuddvBlGAm5AJZ2I=w1200"&amp;"|https://lh3.googleusercontent.com/pw/AP1GczM5m8TEpzAbMJVSMvwn5_b_9bj1K9K2MCyQlPAVosIdkwvHFtDOiDjI4DjQUGtDC_QpK3Q_Ccx1aiN7Q-J3GGkMRs2fJPg9tFM1tTwt-P430AUTcGpx=w1200|https://lh3.googleusercontent.com/pw/AP1GczNe4P5qn4G0CEepMmgCf5H050v2VCCbF3TtylMPOCQanZnEf"&amp;"V3dnttbpb44JSiHtp3tN6Bu5g_IcF4qh3Ql3AJ1xDKQetCECXkvAyiNyZshZ7-LzIMw=w1200|https://lh3.googleusercontent.com/pw/AP1GczOq1MbYJiH4D8ua0flsrep1WUp_PHl_OtwQjSsnEhWJlraWShgmVfSl8XIiHGhyAh5uCrV_giYcK26Z5JZs-xyHyt-XNVd-SpVfDKNmZpf_3UJid4de=w1200|https://lh3.googl"&amp;"eusercontent.com/pw/AP1GczPr2t6K8dqa3QLGme85V9D3Ug5Y-S2ok7AUBngo4IWx89OfQry2-D9sIaJnhGEq8a6CzuDxy0p_EMaNO7S0c1Lb5i03xOYpM36Rp707mZR7LQCXqiHu=w1200|https://lh3.googleusercontent.com/pw/AP1GczNOboJ6MNxosk1M_Oj37KO4_j6r9SFCjG3yX6vcncbf9t7kvhzG9STvuq3M_0XL4B6"&amp;"mZ7k7zwmW5Un95Fx1ZfCaJ16Hf5BRTnDXTNoGNtB3Pxf3w6aT=w1200")</f>
        <v>https://lh3.googleusercontent.com/pw/AP1GczOAZmVN3hfFLrfl1kP03iCC2bUr2chYW5GKXZBl-MZSWKcyoxy3mG1xG1_AywyPxfr6W3VaSDWFMUKxmpSdnmoG4KxYBAWGOb8UnbxhKhvUYQ5BoP1c=w1200|https://lh3.googleusercontent.com/pw/AP1GczP36n-pDRnT85Co9cpqSDnALaKspm0dKedSaVUSk_DBCpp1Fhyne33ZMu1V8enfsF5L4uKtuuQPu4tzT6wZ3YfHkvac5JDwQGN098UCNU3EALa0XdWN=w1200|https://lh3.googleusercontent.com/pw/AP1GczM1G6fSWUofMTPPl1qcQfnUc9zjCcaGluAERxjVHTz8TwU5u1J7uCpUI05DLR6Obj-nBPUsmqmSa6mO5eDKG7P9h7UF89bD_gBcHQqI3O5TyZKgDOLG=w1200|https://lh3.googleusercontent.com/pw/AP1GczP_T-cbC15bbtdtKSvgdoUjm1Q9rgwIN9EfnHsCClaJ55BA2DJJlmgce9hsRshzzG9F6xLXFlQQFgSg7rbS4QbgRUD69apMK9-_JGjPKCa3gYy7OeEf=w1200|https://lh3.googleusercontent.com/pw/AP1GczPD2EbOfY6zDmkx3pyaLr9GtH0Vft4ZgSDKx0H5Kskcv9ld-0qSBsJ8b6op357zm2Gcs4cgCgkTVC4wQ0x68ppYNGyu2pgWBzjyAdc5ZV6SrgAydDIL=w1200|https://lh3.googleusercontent.com/pw/AP1GczO9CcolxIhJH4_MZDJBztvJ8U3jrLmnedr4KsEpd_u8QAw1wx2aNMIWHKJcsxTmZx30jv9ECkXV1F1KLBZhFlSWjrLRaWMO28EbAo-66Ba-7_OwTtqd=w1200|https://lh3.googleusercontent.com/pw/AP1GczNW9l6Ufwb9Ym8RBA0cEZGpsopJa8X5MEDaoEjVpFoCWs43DrxsPIMnraui-nGwjSP6ph-lQa1WAdiNq7kdfMSTG6z_eOHpkEGNjNbAlWWGrYRQjDLq=w1200|https://lh3.googleusercontent.com/pw/AP1GczPqAh0ooBSbwOUpVlvHDdTTODtbJIIfwsJbtbWO3dlMdiwBEbukF_oPvZof3hqjwIUSHRLL6OP_gnQYXO6dsKH57rIG21yQpwoY9DfxDIV6vQqw5sSQ=w1200|https://lh3.googleusercontent.com/pw/AP1GczMio6XjAQY-tyNdRixLmjMlKGpOfDzdK3J7bCAX6FIr5dwBB2ssOdyB1-1DgxgBBNFCGk_gOi-NeUrUst7sHwZo8NQNS-ecisgvXBqHTanS71F737mZ=w1200|https://lh3.googleusercontent.com/pw/AP1GczPBz-K9XMY4pHGxkw2TBfpO8gFNU6CCPi9gAcFnluDB1JSxESsMZBcJuC8bHrjEFivm3H37zJET5CPbZ5JmY15xWxvxDEejfJ7neo4h_PWhPaMskR29=w1200|https://lh3.googleusercontent.com/pw/AP1GczM9QPMxY18RqES-GCmLzmLsiB5nCerpg9xw2ijUQ4rt7SJZqrEopDaFwk_mFLvBNvEK5wv6y8GE16-pw9Z5Jo6XmZUOmwWy4kT6_gIo8jW6-qjW2oIc=w1200|https://lh3.googleusercontent.com/pw/AP1GczNZKseu09FFuA-BoScJNNPJlMa49zhfT5UtEBhGljuk00KlPW0-67N_mq9v7Xt5LyBYgSh4KJEh1S9DBe33cWB2HdAdfCHjhPHb9ep9dVv08AZm6Coe=w1200|https://lh3.googleusercontent.com/pw/AP1GczPhaFloaTrjNw4rF9ElBFoKkuHV9Mo4zF3nI0OT9_6Lf2oke14cUUgRn7pj3FNgZuiir_lQH2aKx3m-XvK0x4g_NnumR2_zjJPafycwQzJfbAAYWMuS=w1200|https://lh3.googleusercontent.com/pw/AP1GczPv0bKi9WPX8UAy1NqA6wPHHzv0sz1ch6RXsUUK7vYofETwRen9ODgcB9pU7w4meQ0hHnlU4FRfQJfroD2zuh2rI3k6r9RwqnHfOuddvBlGAm5AJZ2I=w1200|https://lh3.googleusercontent.com/pw/AP1GczM5m8TEpzAbMJVSMvwn5_b_9bj1K9K2MCyQlPAVosIdkwvHFtDOiDjI4DjQUGtDC_QpK3Q_Ccx1aiN7Q-J3GGkMRs2fJPg9tFM1tTwt-P430AUTcGpx=w1200|https://lh3.googleusercontent.com/pw/AP1GczNe4P5qn4G0CEepMmgCf5H050v2VCCbF3TtylMPOCQanZnEfV3dnttbpb44JSiHtp3tN6Bu5g_IcF4qh3Ql3AJ1xDKQetCECXkvAyiNyZshZ7-LzIMw=w1200|https://lh3.googleusercontent.com/pw/AP1GczOq1MbYJiH4D8ua0flsrep1WUp_PHl_OtwQjSsnEhWJlraWShgmVfSl8XIiHGhyAh5uCrV_giYcK26Z5JZs-xyHyt-XNVd-SpVfDKNmZpf_3UJid4de=w1200|https://lh3.googleusercontent.com/pw/AP1GczPr2t6K8dqa3QLGme85V9D3Ug5Y-S2ok7AUBngo4IWx89OfQry2-D9sIaJnhGEq8a6CzuDxy0p_EMaNO7S0c1Lb5i03xOYpM36Rp707mZR7LQCXqiHu=w1200|https://lh3.googleusercontent.com/pw/AP1GczNOboJ6MNxosk1M_Oj37KO4_j6r9SFCjG3yX6vcncbf9t7kvhzG9STvuq3M_0XL4B6mZ7k7zwmW5Un95Fx1ZfCaJ16Hf5BRTnDXTNoGNtB3Pxf3w6aT=w1200</v>
      </c>
      <c r="AJ65" s="46"/>
      <c r="AK65" s="46"/>
      <c r="AL65" s="46"/>
      <c r="AM65" s="46"/>
      <c r="AN65" s="46"/>
      <c r="AO65" s="46"/>
      <c r="AP65" s="46"/>
      <c r="AQ65" s="46"/>
      <c r="AR65" s="46"/>
      <c r="AS65" s="46"/>
      <c r="AT65" s="46"/>
      <c r="AU65" s="46"/>
      <c r="AV65" s="46"/>
      <c r="AW65" s="46"/>
      <c r="AX65" s="46"/>
      <c r="AY65" s="46"/>
      <c r="AZ65" s="46"/>
      <c r="BA65" s="46"/>
      <c r="BB65" s="46"/>
      <c r="BC65" s="46"/>
      <c r="BD65" s="46"/>
      <c r="BE65" s="46"/>
      <c r="BF65" s="46"/>
      <c r="BG65" s="46"/>
      <c r="BH65" s="46"/>
      <c r="BI65" s="46"/>
      <c r="BJ65" s="46"/>
      <c r="BK65" s="46"/>
      <c r="BL65" s="46"/>
      <c r="BM65" s="46"/>
      <c r="BN65" s="46"/>
      <c r="BO65" s="46"/>
      <c r="BP65" s="46"/>
      <c r="BQ65" s="46"/>
      <c r="BR65" s="46"/>
      <c r="BS65" s="46"/>
      <c r="BT65" s="46"/>
      <c r="BU65" s="46"/>
      <c r="BV65" s="46"/>
      <c r="BW65" s="46"/>
      <c r="BX65" s="46"/>
      <c r="BY65" s="46"/>
      <c r="BZ65" s="46"/>
      <c r="CA65" s="46"/>
      <c r="CB65" s="46"/>
      <c r="CC65" s="46"/>
    </row>
    <row r="66">
      <c r="A66" s="87" t="str">
        <f>IFERROR(__xludf.DUMMYFUNCTION("""COMPUTED_VALUE"""),"1682")</f>
        <v>1682</v>
      </c>
      <c r="B66" s="46" t="str">
        <f>IFERROR(__xludf.DUMMYFUNCTION("""COMPUTED_VALUE"""),"Casa con apartaestudio en barrio Balcones del Norte")</f>
        <v>Casa con apartaestudio en barrio Balcones del Norte</v>
      </c>
      <c r="C66" s="46" t="str">
        <f>IFERROR(__xludf.DUMMYFUNCTION("""COMPUTED_VALUE"""),"Casa rentable")</f>
        <v>Casa rentable</v>
      </c>
      <c r="D66" s="46" t="str">
        <f>IFERROR(__xludf.DUMMYFUNCTION("""COMPUTED_VALUE"""),"Balcones del Norte")</f>
        <v>Balcones del Norte</v>
      </c>
      <c r="E66" s="90"/>
      <c r="F66" s="90">
        <f>IFERROR(__xludf.DUMMYFUNCTION("""COMPUTED_VALUE"""),4.0E8)</f>
        <v>400000000</v>
      </c>
      <c r="G66" s="46" t="str">
        <f>IFERROR(__xludf.DUMMYFUNCTION("""COMPUTED_VALUE"""),"$400'000.000 a $500'000.000")</f>
        <v>$400'000.000 a $500'000.000</v>
      </c>
      <c r="H66" s="46"/>
      <c r="I66" s="46"/>
      <c r="J66" s="46" t="str">
        <f>IFERROR(__xludf.DUMMYFUNCTION("""COMPUTED_VALUE"""),"Norte")</f>
        <v>Norte</v>
      </c>
      <c r="K66" s="87" t="str">
        <f>IFERROR(__xludf.DUMMYFUNCTION("""COMPUTED_VALUE"""),"2")</f>
        <v>2</v>
      </c>
      <c r="L66" s="46">
        <f>IFERROR(__xludf.DUMMYFUNCTION("""COMPUTED_VALUE"""),4.0)</f>
        <v>4</v>
      </c>
      <c r="M66" s="46"/>
      <c r="N66" s="46">
        <f>IFERROR(__xludf.DUMMYFUNCTION("""COMPUTED_VALUE"""),4.0)</f>
        <v>4</v>
      </c>
      <c r="O66" s="46">
        <f>IFERROR(__xludf.DUMMYFUNCTION("""COMPUTED_VALUE"""),2.0)</f>
        <v>2</v>
      </c>
      <c r="P66" s="46">
        <f>IFERROR(__xludf.DUMMYFUNCTION("""COMPUTED_VALUE"""),2.0)</f>
        <v>2</v>
      </c>
      <c r="Q66" s="92">
        <f>IFERROR(__xludf.DUMMYFUNCTION("""COMPUTED_VALUE"""),152.0)</f>
        <v>152</v>
      </c>
      <c r="R66" s="92">
        <f>IFERROR(__xludf.DUMMYFUNCTION("""COMPUTED_VALUE"""),152.0)</f>
        <v>152</v>
      </c>
      <c r="S66" s="87" t="str">
        <f>IFERROR(__xludf.DUMMYFUNCTION("""COMPUTED_VALUE""")," ")</f>
        <v> </v>
      </c>
      <c r="T66" s="46" t="str">
        <f>IFERROR(__xludf.DUMMYFUNCTION("""COMPUTED_VALUE"""),"Neiva")</f>
        <v>Neiva</v>
      </c>
      <c r="U66" s="87" t="str">
        <f>IFERROR(__xludf.DUMMYFUNCTION("""COMPUTED_VALUE"""),"3")</f>
        <v>3</v>
      </c>
      <c r="V66" s="46" t="str">
        <f>IFERROR(__xludf.DUMMYFUNCTION("""COMPUTED_VALUE"""),"Medianera")</f>
        <v>Medianera</v>
      </c>
      <c r="W66" s="46"/>
      <c r="X66" s="46">
        <f>IFERROR(__xludf.DUMMYFUNCTION("""COMPUTED_VALUE"""),3.0)</f>
        <v>3</v>
      </c>
      <c r="Y66" s="46" t="str">
        <f>IFERROR(__xludf.DUMMYFUNCTION("""COMPUTED_VALUE"""),"No tiene")</f>
        <v>No tiene</v>
      </c>
      <c r="Z66" s="90" t="str">
        <f>IFERROR(__xludf.DUMMYFUNCTION("""COMPUTED_VALUE"""),"No aplica")</f>
        <v>No aplica</v>
      </c>
      <c r="AA66" s="33" t="str">
        <f>IFERROR(__xludf.DUMMYFUNCTION("""COMPUTED_VALUE"""),"No aplica")</f>
        <v>No aplica</v>
      </c>
      <c r="AB66" s="96" t="str">
        <f>IFERROR(__xludf.DUMMYFUNCTION("""COMPUTED_VALUE"""),"https://photos.google.com/share/AF1QipOyGipHtovkXKZoZlzlIbwvLLiAwmBH2jVluLO3WwBXirU0F8JC-AA0l15406lO-Q?key=SzV3WkVJUEdNQlBrcFF2akV1WmUzaTBMal9idVhB")</f>
        <v>https://photos.google.com/share/AF1QipOyGipHtovkXKZoZlzlIbwvLLiAwmBH2jVluLO3WwBXirU0F8JC-AA0l15406lO-Q?key=SzV3WkVJUEdNQlBrcFF2akV1WmUzaTBMal9idVhB</v>
      </c>
      <c r="AC66" s="46" t="str">
        <f>IFERROR(__xludf.DUMMYFUNCTION("""COMPUTED_VALUE"""),"Casa de dos pisos con apartaestudio independiente, ideal para inversión o vivienda familiar.
Primer piso:
Sala
comedor
baño de visitas
Cocina integral
Patio de ropas
Depósito pequeño
Segundo piso:
Sala de T.V.
3 habitaciones amplias con closets en mader"&amp;"a
Baño privado y baño auxiliar
Balcón amplio
Apartaestudio con entrada independiente:
1 habitación
Sala comedor
Cocina integral
Baño
Patio de ropas
✔️ Buena ventilación e iluminación.
✔️ Cerca a colegios, tiendas, transporte público.")</f>
        <v>Casa de dos pisos con apartaestudio independiente, ideal para inversión o vivienda familiar.
Primer piso:
Sala
comedor
baño de visitas
Cocina integral
Patio de ropas
Depósito pequeño
Segundo piso:
Sala de T.V.
3 habitaciones amplias con closets en madera
Baño privado y baño auxiliar
Balcón amplio
Apartaestudio con entrada independiente:
1 habitación
Sala comedor
Cocina integral
Baño
Patio de ropas
✔️ Buena ventilación e iluminación.
✔️ Cerca a colegios, tiendas, transporte público.</v>
      </c>
      <c r="AD66" s="46"/>
      <c r="AE66" s="46"/>
      <c r="AF66" s="46" t="str">
        <f>IFERROR(__xludf.DUMMYFUNCTION("""COMPUTED_VALUE"""),"integral")</f>
        <v>integral</v>
      </c>
      <c r="AG66" s="46"/>
      <c r="AH66" s="46" t="str">
        <f>IFERROR(__xludf.DUMMYFUNCTION("""COMPUTED_VALUE"""),"Aliado")</f>
        <v>Aliado</v>
      </c>
      <c r="AI66" s="92" t="str">
        <f>IFERROR(__xludf.DUMMYFUNCTION("""COMPUTED_VALUE"""),"https://lh3.googleusercontent.com/pw/AP1GczOSGsrPdi7D5NwnqBmoS78lRfDJ5yEmi3mr53EB2awo_dbuZSXags6hu8r2TINLv5WTp7GFhNZHLWufy7igvVn8GQKYMzym2tGo-nCxJJvr4sgXBlGz=w1200|https://lh3.googleusercontent.com/pw/AP1GczPSVV3dEegYZfg9RYy4UZubKgOnVOANgv_sY5eaJtY-3zEQj7"&amp;"DFqOfGkGMgYHUP2CGoAgwC98AYymZhv4Fq2AjqLZdlYRngGEDHl0dK57XvM42EUShj=w1200|https://lh3.googleusercontent.com/pw/AP1GczMMlXNpG4nQ0gzx6Z5WBHW_1Cv76eoYWmqWOuTKRLqkh_KmagNxp5qARp1q7xf0xIbO5GeQJFdpkhumPKo3pL7S1Ujvh-ZidBCFl86lg1bMxNiOAhH4=w1200|https://lh3.google"&amp;"usercontent.com/pw/AP1GczPHvQDi0I7v7UrpwHrG3VoLD9f9rspSLM9_VHsqqmHBAAw6k5WNA_Vc_YRaxgIT1-ioBBtLFqWQ2zkYwc12yHB50K-C5b1aazyOxTf8Lfx-kTgid-1M=w1200|https://lh3.googleusercontent.com/pw/AP1GczP3k1gsdOZYEWaNBKCz40sg1Hj6mlA0HbpMIM_rCe-_7uQ90atrPFcGQDlLiH5i_Yvi"&amp;"hZl8SFY0sipF8RLCRFeigSevmVLbBYkd5CkcBA2O3uaIunSD=w1200|https://lh3.googleusercontent.com/pw/AP1GczOBkQA_VI1iU2EegPPskRVOx1JMxsqWhtfHSnioAY9M0pkHw784gswRZ732nXe5KUID6t0XCiV4T3FlxzsaGnixfGbvXgaXqVgwi6j6UunETQC-OYYR=w1200|https://lh3.googleusercontent.com/pw"&amp;"/AP1GczOys1O9JWGhFdbMiHWmJwvWBJvh5o2lBOgdLSqEDMKchnFcPtD3JieP70PqU7TtrBfGsIJB3bQRLS1Hv7XiYKvrWb4307XRKnETAFvdQoHP8qZ3-ZbK=w1200|https://lh3.googleusercontent.com/pw/AP1GczMPkaWJIWcmP-vRs_W9-PavHZxDmHrP-9hzxpeT9_Alth-3gMLpunMzAPgmpZBxcnnrN15GE_11IP-QxLE-At"&amp;"G5GToNnR70KR8s0-6z2xF3I6lnOYPZ=w1200|https://lh3.googleusercontent.com/pw/AP1GczMaXXqI8GoXButEgrRgUO6XCaptLMxPOuEyqPnySQS-5IZd4gVtR7SfKXMkWSAhEK75Bjb8CuD_frA3AnJSU9FWIuYPIQ06bcbJ-aE8JQkBKuF8ZXTO=w1200|https://lh3.googleusercontent.com/pw/AP1GczNljjM4nPW0x"&amp;"J-j8E2VbORTerWc8FoDAkWyBdMIYXUnO0Rg6QWUpPYQRWqWzsNLQFRipeNdRjZUQjpfJMobO_Tumnm6d9lwHbgdafcXlqf3oH41GapC=w1200|https://lh3.googleusercontent.com/pw/AP1GczO36leL77aA1MqVTYNi-kJGf2PGM4RXfPN4Eq38xWVSFd3D7kli-q82pXENB572zhE3XV94RpYx0e5ILHrHkHtki0sdRAta5-9kidoP"&amp;"KHN04NmHeAoY=w1200|https://lh3.googleusercontent.com/pw/AP1GczP0tfcyYYXrcZGF0J_WXpQdZLnHihnjdyImP8wF9AwMhgIrIKHENLPXUU0Yqay1sG1bXLbubGuTO73FLlqTJdEhcljMU75Oe960Ui2HyBDSE_lH1ILc=w1200|https://lh3.googleusercontent.com/pw/AP1GczPHB42tCxcROqan7ELboOKlcYt5OJD"&amp;"V0-pJMADachTSWgrpnuN5ENyPWFXd6OZ_yxtUYuwhTS4vyFnOJGY2yIDwzseP7eDNX2i6grC7gl2wkB9Vyv-6=w1200|https://lh3.googleusercontent.com/pw/AP1GczOStTaAFncu6SnSLp4wMOn61XZMfhaAlugggOgKck4Ov8E6gybJTXPVhAXi9sJXWLWubDnTf3fGXwGgkmAUyKO7kok9PtpRmuHdVvQa2HSBTFrPWs29=w1200"&amp;"|https://lh3.googleusercontent.com/pw/AP1GczPMiiLUzaclnCMEmTbD0yOh9Uhh_MIZ_u04XuKYhqOvnMgjtd8_xxG_biVw4ind8NATim51DhUp7pOWnwBXIoi47eUkksxi4WHLoygpN4xwtzERjzEA=w1200|https://lh3.googleusercontent.com/pw/AP1GczNQ2mS3wibxsgvGunZHMcrUTWigHmFMLuBCbANsKAOE8lQkM"&amp;"y0SYw-p2JOhIlLdH_HTBEeYBWaQslYrVKhECkSY9Coj3RKOMzzjEtdzJmxWxYGO4rBh=w1200|https://lh3.googleusercontent.com/pw/AP1GczNU4QqzTtqL0k9ARa6fi1n62Qu2bCVTZ0rQwmmpRmuoYqnlUenmRscwx-11fMiIwXJg437ASORFrKl0FP2id2jyTJdLjXVVUk6hlVkgO-XYHtaKH05H=w1200")</f>
        <v>https://lh3.googleusercontent.com/pw/AP1GczOSGsrPdi7D5NwnqBmoS78lRfDJ5yEmi3mr53EB2awo_dbuZSXags6hu8r2TINLv5WTp7GFhNZHLWufy7igvVn8GQKYMzym2tGo-nCxJJvr4sgXBlGz=w1200|https://lh3.googleusercontent.com/pw/AP1GczPSVV3dEegYZfg9RYy4UZubKgOnVOANgv_sY5eaJtY-3zEQj7DFqOfGkGMgYHUP2CGoAgwC98AYymZhv4Fq2AjqLZdlYRngGEDHl0dK57XvM42EUShj=w1200|https://lh3.googleusercontent.com/pw/AP1GczMMlXNpG4nQ0gzx6Z5WBHW_1Cv76eoYWmqWOuTKRLqkh_KmagNxp5qARp1q7xf0xIbO5GeQJFdpkhumPKo3pL7S1Ujvh-ZidBCFl86lg1bMxNiOAhH4=w1200|https://lh3.googleusercontent.com/pw/AP1GczPHvQDi0I7v7UrpwHrG3VoLD9f9rspSLM9_VHsqqmHBAAw6k5WNA_Vc_YRaxgIT1-ioBBtLFqWQ2zkYwc12yHB50K-C5b1aazyOxTf8Lfx-kTgid-1M=w1200|https://lh3.googleusercontent.com/pw/AP1GczP3k1gsdOZYEWaNBKCz40sg1Hj6mlA0HbpMIM_rCe-_7uQ90atrPFcGQDlLiH5i_YvihZl8SFY0sipF8RLCRFeigSevmVLbBYkd5CkcBA2O3uaIunSD=w1200|https://lh3.googleusercontent.com/pw/AP1GczOBkQA_VI1iU2EegPPskRVOx1JMxsqWhtfHSnioAY9M0pkHw784gswRZ732nXe5KUID6t0XCiV4T3FlxzsaGnixfGbvXgaXqVgwi6j6UunETQC-OYYR=w1200|https://lh3.googleusercontent.com/pw/AP1GczOys1O9JWGhFdbMiHWmJwvWBJvh5o2lBOgdLSqEDMKchnFcPtD3JieP70PqU7TtrBfGsIJB3bQRLS1Hv7XiYKvrWb4307XRKnETAFvdQoHP8qZ3-ZbK=w1200|https://lh3.googleusercontent.com/pw/AP1GczMPkaWJIWcmP-vRs_W9-PavHZxDmHrP-9hzxpeT9_Alth-3gMLpunMzAPgmpZBxcnnrN15GE_11IP-QxLE-AtG5GToNnR70KR8s0-6z2xF3I6lnOYPZ=w1200|https://lh3.googleusercontent.com/pw/AP1GczMaXXqI8GoXButEgrRgUO6XCaptLMxPOuEyqPnySQS-5IZd4gVtR7SfKXMkWSAhEK75Bjb8CuD_frA3AnJSU9FWIuYPIQ06bcbJ-aE8JQkBKuF8ZXTO=w1200|https://lh3.googleusercontent.com/pw/AP1GczNljjM4nPW0xJ-j8E2VbORTerWc8FoDAkWyBdMIYXUnO0Rg6QWUpPYQRWqWzsNLQFRipeNdRjZUQjpfJMobO_Tumnm6d9lwHbgdafcXlqf3oH41GapC=w1200|https://lh3.googleusercontent.com/pw/AP1GczO36leL77aA1MqVTYNi-kJGf2PGM4RXfPN4Eq38xWVSFd3D7kli-q82pXENB572zhE3XV94RpYx0e5ILHrHkHtki0sdRAta5-9kidoPKHN04NmHeAoY=w1200|https://lh3.googleusercontent.com/pw/AP1GczP0tfcyYYXrcZGF0J_WXpQdZLnHihnjdyImP8wF9AwMhgIrIKHENLPXUU0Yqay1sG1bXLbubGuTO73FLlqTJdEhcljMU75Oe960Ui2HyBDSE_lH1ILc=w1200|https://lh3.googleusercontent.com/pw/AP1GczPHB42tCxcROqan7ELboOKlcYt5OJDV0-pJMADachTSWgrpnuN5ENyPWFXd6OZ_yxtUYuwhTS4vyFnOJGY2yIDwzseP7eDNX2i6grC7gl2wkB9Vyv-6=w1200|https://lh3.googleusercontent.com/pw/AP1GczOStTaAFncu6SnSLp4wMOn61XZMfhaAlugggOgKck4Ov8E6gybJTXPVhAXi9sJXWLWubDnTf3fGXwGgkmAUyKO7kok9PtpRmuHdVvQa2HSBTFrPWs29=w1200|https://lh3.googleusercontent.com/pw/AP1GczPMiiLUzaclnCMEmTbD0yOh9Uhh_MIZ_u04XuKYhqOvnMgjtd8_xxG_biVw4ind8NATim51DhUp7pOWnwBXIoi47eUkksxi4WHLoygpN4xwtzERjzEA=w1200|https://lh3.googleusercontent.com/pw/AP1GczNQ2mS3wibxsgvGunZHMcrUTWigHmFMLuBCbANsKAOE8lQkMy0SYw-p2JOhIlLdH_HTBEeYBWaQslYrVKhECkSY9Coj3RKOMzzjEtdzJmxWxYGO4rBh=w1200|https://lh3.googleusercontent.com/pw/AP1GczNU4QqzTtqL0k9ARa6fi1n62Qu2bCVTZ0rQwmmpRmuoYqnlUenmRscwx-11fMiIwXJg437ASORFrKl0FP2id2jyTJdLjXVVUk6hlVkgO-XYHtaKH05H=w1200</v>
      </c>
      <c r="AJ66" s="46"/>
      <c r="AK66" s="46"/>
      <c r="AL66" s="46"/>
      <c r="AM66" s="46"/>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row>
    <row r="67">
      <c r="A67" s="87" t="str">
        <f>IFERROR(__xludf.DUMMYFUNCTION("""COMPUTED_VALUE"""),"1568")</f>
        <v>1568</v>
      </c>
      <c r="B67" s="46" t="str">
        <f>IFERROR(__xludf.DUMMYFUNCTION("""COMPUTED_VALUE"""),"Casa en conjunto Reserva Botánica Montemadero -  Sur")</f>
        <v>Casa en conjunto Reserva Botánica Montemadero -  Sur</v>
      </c>
      <c r="C67" s="46" t="str">
        <f>IFERROR(__xludf.DUMMYFUNCTION("""COMPUTED_VALUE"""),"Casa en conjunto")</f>
        <v>Casa en conjunto</v>
      </c>
      <c r="D67" s="46" t="str">
        <f>IFERROR(__xludf.DUMMYFUNCTION("""COMPUTED_VALUE"""),"Canaima")</f>
        <v>Canaima</v>
      </c>
      <c r="E67" s="46" t="str">
        <f>IFERROR(__xludf.DUMMYFUNCTION("""COMPUTED_VALUE"""),"Conjunto Reserva Botánica Montemadero")</f>
        <v>Conjunto Reserva Botánica Montemadero</v>
      </c>
      <c r="F67" s="90">
        <f>IFERROR(__xludf.DUMMYFUNCTION("""COMPUTED_VALUE"""),4.0E8)</f>
        <v>400000000</v>
      </c>
      <c r="G67" s="46" t="str">
        <f>IFERROR(__xludf.DUMMYFUNCTION("""COMPUTED_VALUE"""),"$400'000.000 a $500'000.000")</f>
        <v>$400'000.000 a $500'000.000</v>
      </c>
      <c r="H67" s="46"/>
      <c r="I67" s="46"/>
      <c r="J67" s="46" t="str">
        <f>IFERROR(__xludf.DUMMYFUNCTION("""COMPUTED_VALUE"""),"Sur")</f>
        <v>Sur</v>
      </c>
      <c r="K67" s="87" t="str">
        <f>IFERROR(__xludf.DUMMYFUNCTION("""COMPUTED_VALUE"""),"6")</f>
        <v>6</v>
      </c>
      <c r="L67" s="46">
        <f>IFERROR(__xludf.DUMMYFUNCTION("""COMPUTED_VALUE"""),3.0)</f>
        <v>3</v>
      </c>
      <c r="M67" s="46"/>
      <c r="N67" s="46">
        <f>IFERROR(__xludf.DUMMYFUNCTION("""COMPUTED_VALUE"""),2.0)</f>
        <v>2</v>
      </c>
      <c r="O67" s="46">
        <f>IFERROR(__xludf.DUMMYFUNCTION("""COMPUTED_VALUE"""),1.0)</f>
        <v>1</v>
      </c>
      <c r="P67" s="46">
        <f>IFERROR(__xludf.DUMMYFUNCTION("""COMPUTED_VALUE"""),2.0)</f>
        <v>2</v>
      </c>
      <c r="Q67" s="92">
        <f>IFERROR(__xludf.DUMMYFUNCTION("""COMPUTED_VALUE"""),104.6)</f>
        <v>104.6</v>
      </c>
      <c r="R67" s="92">
        <f>IFERROR(__xludf.DUMMYFUNCTION("""COMPUTED_VALUE"""),95.84)</f>
        <v>95.84</v>
      </c>
      <c r="S67" s="87" t="str">
        <f>IFERROR(__xludf.DUMMYFUNCTION("""COMPUTED_VALUE""")," ")</f>
        <v> </v>
      </c>
      <c r="T67" s="46" t="str">
        <f>IFERROR(__xludf.DUMMYFUNCTION("""COMPUTED_VALUE"""),"Neiva")</f>
        <v>Neiva</v>
      </c>
      <c r="U67" s="87" t="str">
        <f>IFERROR(__xludf.DUMMYFUNCTION("""COMPUTED_VALUE"""),"4")</f>
        <v>4</v>
      </c>
      <c r="V67" s="46" t="str">
        <f>IFERROR(__xludf.DUMMYFUNCTION("""COMPUTED_VALUE"""),"Medianera")</f>
        <v>Medianera</v>
      </c>
      <c r="W67" s="46"/>
      <c r="X67" s="46">
        <f>IFERROR(__xludf.DUMMYFUNCTION("""COMPUTED_VALUE"""),3.0)</f>
        <v>3</v>
      </c>
      <c r="Y67" s="46" t="str">
        <f>IFERROR(__xludf.DUMMYFUNCTION("""COMPUTED_VALUE"""),"Social")</f>
        <v>Social</v>
      </c>
      <c r="Z67" s="90"/>
      <c r="AA67" s="33" t="str">
        <f>IFERROR(__xludf.DUMMYFUNCTION("""COMPUTED_VALUE"""),"No aplica")</f>
        <v>No aplica</v>
      </c>
      <c r="AB67" s="144" t="str">
        <f>IFERROR(__xludf.DUMMYFUNCTION("""COMPUTED_VALUE"""),"https://photos.app.goo.gl/jLtrDFZy4WbQ4FwMA")</f>
        <v>https://photos.app.goo.gl/jLtrDFZy4WbQ4FwMA</v>
      </c>
      <c r="AC67" s="46" t="str">
        <f>IFERROR(__xludf.DUMMYFUNCTION("""COMPUTED_VALUE"""),"Casa de 2 piso Conjunto Cerrado Reserva Botánica Montemadero, con un área de 104,60 mt2 construidos un área privada de 95.84mt2 y un área común de 8.76mt2, estrato 4. Consta de Sala comedor, cocina integral, baño auxiliar, estudio con muebles y entrepaños"&amp;" en Cedro, patio y zona de lavandería, en el 2do piso 3 habitaciones con closets en madera y A.A, la habitación principal con baño privado, y terraza amplia y con excelente vista, baño de visitas, garaje privado y depósito. El conjunto cuenta con excelent"&amp;"es zonas sociales, piscinas, zoma BBQ, jardín infantil, zona de fumadores, sendero, espacio para meditación, parqueadero de visitantes.")</f>
        <v>Casa de 2 piso Conjunto Cerrado Reserva Botánica Montemadero, con un área de 104,60 mt2 construidos un área privada de 95.84mt2 y un área común de 8.76mt2, estrato 4. Consta de Sala comedor, cocina integral, baño auxiliar, estudio con muebles y entrepaños en Cedro, patio y zona de lavandería, en el 2do piso 3 habitaciones con closets en madera y A.A, la habitación principal con baño privado, y terraza amplia y con excelente vista, baño de visitas, garaje privado y depósito. El conjunto cuenta con excelentes zonas sociales, piscinas, zoma BBQ, jardín infantil, zona de fumadores, sendero, espacio para meditación, parqueadero de visitantes.</v>
      </c>
      <c r="AD67" s="46" t="str">
        <f>IFERROR(__xludf.DUMMYFUNCTION("""COMPUTED_VALUE"""),"Casa bien ubicada y con buenos acabados.")</f>
        <v>Casa bien ubicada y con buenos acabados.</v>
      </c>
      <c r="AE67" s="46"/>
      <c r="AF67" s="46" t="str">
        <f>IFERROR(__xludf.DUMMYFUNCTION("""COMPUTED_VALUE"""),"integral")</f>
        <v>integral</v>
      </c>
      <c r="AG67" s="46"/>
      <c r="AH67" s="46" t="str">
        <f>IFERROR(__xludf.DUMMYFUNCTION("""COMPUTED_VALUE"""),"Aliado")</f>
        <v>Aliado</v>
      </c>
      <c r="AI67" s="92" t="str">
        <f>IFERROR(__xludf.DUMMYFUNCTION("""COMPUTED_VALUE"""),"https://lh3.googleusercontent.com/pw/AP1GczMflWiVkDxxhtt-g-IRjgiQozTMGYEvPPWdYW_m7Sjv7nararhO0ct2yWvi72bKOXhnwD1iogT6WX_bmutd0GOOz8sDvlIcb5nL3cla8m216EA9XsOq=w1200|https://lh3.googleusercontent.com/pw/AP1GczMnNUvae2d4ydHMeVfS9c9-gjcpWjBRAAXi2CqApERYOOdvY7"&amp;"zjjUuYN7oCmNQqA2amqR-_rNZoGPf0z9I08hmcpJ0KSnavHhBMDb37fA3fZaVDdeTm=w1200|https://lh3.googleusercontent.com/pw/AP1GczOxITLtZP-WzSJfz00u43lMq0JZlNyYgzS1m88DyiNOmZimW0WVEYSuSOqcNpirU5tquK4nmLQ5onj3MIVwFrIjkyw2SoUQTR74y0W_JR3ehrpQ1LpX=w1200|https://lh3.google"&amp;"usercontent.com/pw/AP1GczMfa31NWBCi6kBT553bH4jHV-Dk9RbiI-5l_p6me4EuN0FuCCKEVAlGbsB6GRVVOiXmX_waLLT-PcNNYA1T9UEbAubAC_zP2ykMLS6bAyxzjHQoI0Pr=w1200|https://lh3.googleusercontent.com/pw/AP1GczM2zaR41--O6lMUj-SCf2dwXUCZdo4EuLKbsWOL1cvSVgUNltaW866i3TH3_bf11pVt"&amp;"NVYLc_a9TLJYXE9R0yDFrimsuOoKghnEDySNprOQAoAYv3M7=w1200|https://lh3.googleusercontent.com/pw/AP1GczPIorvvsj_82tnC8vgWanLjMU6lnj_UOeFZh_ZXJAN4cEGoqehEjohAtlWlA8hNJLKvHTVtV1INgEbNLnYdMglJ6SFfgRXSd-z8gjrkpSXkCwd3B-hp=w1200|https://lh3.googleusercontent.com/pw"&amp;"/AP1GczO4dVaaNPfsL0VQa4c_jR7v-bavKD5WF0N161NdfVxkqgFQjYJ3c-vJysfanWy3E1iXREz4zNfuc1kJAtDCf2rW_ToRVdV88NSZuc98uGDXnHtOX9e8=w1200|https://lh3.googleusercontent.com/pw/AP1GczNobZz5pQ2ycdNIIuAzknnn6bizSJY6M6bRLemRmJK6_1ghyz4oStqRtBuqRos8WTFO7TszZt7iCGFvNIyg6V"&amp;"u6BaEGiPNA3as2ridtjVzHlhc1NdUV=w1200|https://lh3.googleusercontent.com/pw/AP1GczOpW25gLkYNdQEvwSxmG6T3gWsn0feC9J6P94XfoqO7EfqSUxF4Dom_gGx2kZpa3Z2aiwLMm07HAaLAZCN4fBN9Wy42UGruMBwY8TL40S9r8lxjulaR=w1200|https://lh3.googleusercontent.com/pw/AP1GczMvYtTxXDnco"&amp;"1XlkXOcVXRn5m1GT_k7YRKNc1uV8SyE-DgnIIxMetE7He1dfCeHjiaqyWQFaXptEP7Ws00zwCXVgkNEWT_dcywLjFIl6_yWI38hUn0F=w1200|https://lh3.googleusercontent.com/pw/AP1GczMjVZnOUc1HH8INyMsDY0vmYqb6BqSLPBnllLgJLuTu0bU3YWbfl8Rh3NC-w0cbUlTq25_T344A9WlJy6ShT_7w08TUR47QJUSbFGhn"&amp;"3G4ZYboqhEW9=w1200|https://lh3.googleusercontent.com/pw/AP1GczO6FFagi-qbAH-3glpmolzyHxdTiaQGdJWGJUhtSZxjZrBDj-sdhoz79jKBo1Gwh6tk21YYYf2CQSKvJ8XwFRECVEjyJKBkbg5s0Xm8XXY21fz_nPHZ=w1200|https://lh3.googleusercontent.com/pw/AP1GczMklUvZorqfO4WDDYi9-dMh2ySJmsz"&amp;"lOrcBAYHGZXTCxL_rx5wCKZrx1dvQ2qkmM7-nXNRki37-5UYF-LohiwC6aBCccN38hqTuA6br6LXzh8zY4r0D=w1200|https://lh3.googleusercontent.com/pw/AP1GczNHwmm8kfiO0Ld_W4js5m8U5-9IkCEErjaUE1GoTCU1OZ_xc6pFDOq8o1H7m6lWwyOdCiCvipi9-Hm9TfnwhoU_CN3wlgyjTpK6ueoIMIMxV1qMR45L=w1200"&amp;"|https://lh3.googleusercontent.com/pw/AP1GczMgWVya3LCOsYr2z3u-znThoUwpfcoZxJ4UjctOoAAGgIsNbz3tklvjXdHsbIf6A9eJOVuXJtA9gWSrm0GXO6IWzB57oaOh6l7AzA70JK7KnOpIiuBN=w1200|https://lh3.googleusercontent.com/pw/AP1GczONWPbh8zW7yNd59tFEXdiqxYTTnKP1ZJ-kI5HMvcQC6um5o"&amp;"eqNhcuzDUmw_tawXRWnSP_0G_gB0Deh4we0kaqaLfl484FAjtQ4SylMiHlfNbfcjUHZ=w1200")</f>
        <v>https://lh3.googleusercontent.com/pw/AP1GczMflWiVkDxxhtt-g-IRjgiQozTMGYEvPPWdYW_m7Sjv7nararhO0ct2yWvi72bKOXhnwD1iogT6WX_bmutd0GOOz8sDvlIcb5nL3cla8m216EA9XsOq=w1200|https://lh3.googleusercontent.com/pw/AP1GczMnNUvae2d4ydHMeVfS9c9-gjcpWjBRAAXi2CqApERYOOdvY7zjjUuYN7oCmNQqA2amqR-_rNZoGPf0z9I08hmcpJ0KSnavHhBMDb37fA3fZaVDdeTm=w1200|https://lh3.googleusercontent.com/pw/AP1GczOxITLtZP-WzSJfz00u43lMq0JZlNyYgzS1m88DyiNOmZimW0WVEYSuSOqcNpirU5tquK4nmLQ5onj3MIVwFrIjkyw2SoUQTR74y0W_JR3ehrpQ1LpX=w1200|https://lh3.googleusercontent.com/pw/AP1GczMfa31NWBCi6kBT553bH4jHV-Dk9RbiI-5l_p6me4EuN0FuCCKEVAlGbsB6GRVVOiXmX_waLLT-PcNNYA1T9UEbAubAC_zP2ykMLS6bAyxzjHQoI0Pr=w1200|https://lh3.googleusercontent.com/pw/AP1GczM2zaR41--O6lMUj-SCf2dwXUCZdo4EuLKbsWOL1cvSVgUNltaW866i3TH3_bf11pVtNVYLc_a9TLJYXE9R0yDFrimsuOoKghnEDySNprOQAoAYv3M7=w1200|https://lh3.googleusercontent.com/pw/AP1GczPIorvvsj_82tnC8vgWanLjMU6lnj_UOeFZh_ZXJAN4cEGoqehEjohAtlWlA8hNJLKvHTVtV1INgEbNLnYdMglJ6SFfgRXSd-z8gjrkpSXkCwd3B-hp=w1200|https://lh3.googleusercontent.com/pw/AP1GczO4dVaaNPfsL0VQa4c_jR7v-bavKD5WF0N161NdfVxkqgFQjYJ3c-vJysfanWy3E1iXREz4zNfuc1kJAtDCf2rW_ToRVdV88NSZuc98uGDXnHtOX9e8=w1200|https://lh3.googleusercontent.com/pw/AP1GczNobZz5pQ2ycdNIIuAzknnn6bizSJY6M6bRLemRmJK6_1ghyz4oStqRtBuqRos8WTFO7TszZt7iCGFvNIyg6Vu6BaEGiPNA3as2ridtjVzHlhc1NdUV=w1200|https://lh3.googleusercontent.com/pw/AP1GczOpW25gLkYNdQEvwSxmG6T3gWsn0feC9J6P94XfoqO7EfqSUxF4Dom_gGx2kZpa3Z2aiwLMm07HAaLAZCN4fBN9Wy42UGruMBwY8TL40S9r8lxjulaR=w1200|https://lh3.googleusercontent.com/pw/AP1GczMvYtTxXDnco1XlkXOcVXRn5m1GT_k7YRKNc1uV8SyE-DgnIIxMetE7He1dfCeHjiaqyWQFaXptEP7Ws00zwCXVgkNEWT_dcywLjFIl6_yWI38hUn0F=w1200|https://lh3.googleusercontent.com/pw/AP1GczMjVZnOUc1HH8INyMsDY0vmYqb6BqSLPBnllLgJLuTu0bU3YWbfl8Rh3NC-w0cbUlTq25_T344A9WlJy6ShT_7w08TUR47QJUSbFGhn3G4ZYboqhEW9=w1200|https://lh3.googleusercontent.com/pw/AP1GczO6FFagi-qbAH-3glpmolzyHxdTiaQGdJWGJUhtSZxjZrBDj-sdhoz79jKBo1Gwh6tk21YYYf2CQSKvJ8XwFRECVEjyJKBkbg5s0Xm8XXY21fz_nPHZ=w1200|https://lh3.googleusercontent.com/pw/AP1GczMklUvZorqfO4WDDYi9-dMh2ySJmszlOrcBAYHGZXTCxL_rx5wCKZrx1dvQ2qkmM7-nXNRki37-5UYF-LohiwC6aBCccN38hqTuA6br6LXzh8zY4r0D=w1200|https://lh3.googleusercontent.com/pw/AP1GczNHwmm8kfiO0Ld_W4js5m8U5-9IkCEErjaUE1GoTCU1OZ_xc6pFDOq8o1H7m6lWwyOdCiCvipi9-Hm9TfnwhoU_CN3wlgyjTpK6ueoIMIMxV1qMR45L=w1200|https://lh3.googleusercontent.com/pw/AP1GczMgWVya3LCOsYr2z3u-znThoUwpfcoZxJ4UjctOoAAGgIsNbz3tklvjXdHsbIf6A9eJOVuXJtA9gWSrm0GXO6IWzB57oaOh6l7AzA70JK7KnOpIiuBN=w1200|https://lh3.googleusercontent.com/pw/AP1GczONWPbh8zW7yNd59tFEXdiqxYTTnKP1ZJ-kI5HMvcQC6um5oeqNhcuzDUmw_tawXRWnSP_0G_gB0Deh4we0kaqaLfl484FAjtQ4SylMiHlfNbfcjUHZ=w1200</v>
      </c>
      <c r="AJ67" s="46"/>
      <c r="AK67" s="46"/>
      <c r="AL67" s="46"/>
      <c r="AM67" s="46"/>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row>
    <row r="68">
      <c r="A68" s="87" t="str">
        <f>IFERROR(__xludf.DUMMYFUNCTION("""COMPUTED_VALUE"""),"1099")</f>
        <v>1099</v>
      </c>
      <c r="B68" s="46" t="str">
        <f>IFERROR(__xludf.DUMMYFUNCTION("""COMPUTED_VALUE"""),"Casa en barrio Los Guaduales - Oriente")</f>
        <v>Casa en barrio Los Guaduales - Oriente</v>
      </c>
      <c r="C68" s="46" t="str">
        <f>IFERROR(__xludf.DUMMYFUNCTION("""COMPUTED_VALUE"""),"Casa")</f>
        <v>Casa</v>
      </c>
      <c r="D68" s="46" t="str">
        <f>IFERROR(__xludf.DUMMYFUNCTION("""COMPUTED_VALUE"""),"Los Guaduales")</f>
        <v>Los Guaduales</v>
      </c>
      <c r="E68" s="46"/>
      <c r="F68" s="90">
        <f>IFERROR(__xludf.DUMMYFUNCTION("""COMPUTED_VALUE"""),4.0E8)</f>
        <v>400000000</v>
      </c>
      <c r="G68" s="46" t="str">
        <f>IFERROR(__xludf.DUMMYFUNCTION("""COMPUTED_VALUE"""),"$400'000.000 a $500'000.000")</f>
        <v>$400'000.000 a $500'000.000</v>
      </c>
      <c r="H68" s="46"/>
      <c r="I68" s="46"/>
      <c r="J68" s="46" t="str">
        <f>IFERROR(__xludf.DUMMYFUNCTION("""COMPUTED_VALUE"""),"Oriente")</f>
        <v>Oriente</v>
      </c>
      <c r="K68" s="87" t="str">
        <f>IFERROR(__xludf.DUMMYFUNCTION("""COMPUTED_VALUE"""),"5")</f>
        <v>5</v>
      </c>
      <c r="L68" s="46">
        <f>IFERROR(__xludf.DUMMYFUNCTION("""COMPUTED_VALUE"""),4.0)</f>
        <v>4</v>
      </c>
      <c r="M68" s="46"/>
      <c r="N68" s="46">
        <f>IFERROR(__xludf.DUMMYFUNCTION("""COMPUTED_VALUE"""),4.0)</f>
        <v>4</v>
      </c>
      <c r="O68" s="46">
        <f>IFERROR(__xludf.DUMMYFUNCTION("""COMPUTED_VALUE"""),1.0)</f>
        <v>1</v>
      </c>
      <c r="P68" s="46">
        <f>IFERROR(__xludf.DUMMYFUNCTION("""COMPUTED_VALUE"""),2.0)</f>
        <v>2</v>
      </c>
      <c r="Q68" s="92">
        <f>IFERROR(__xludf.DUMMYFUNCTION("""COMPUTED_VALUE"""),0.0)</f>
        <v>0</v>
      </c>
      <c r="R68" s="92">
        <f>IFERROR(__xludf.DUMMYFUNCTION("""COMPUTED_VALUE"""),180.0)</f>
        <v>180</v>
      </c>
      <c r="S68" s="87" t="str">
        <f>IFERROR(__xludf.DUMMYFUNCTION("""COMPUTED_VALUE""")," ")</f>
        <v> </v>
      </c>
      <c r="T68" s="46" t="str">
        <f>IFERROR(__xludf.DUMMYFUNCTION("""COMPUTED_VALUE"""),"Neiva")</f>
        <v>Neiva</v>
      </c>
      <c r="U68" s="87" t="str">
        <f>IFERROR(__xludf.DUMMYFUNCTION("""COMPUTED_VALUE"""),"3")</f>
        <v>3</v>
      </c>
      <c r="V68" s="46" t="str">
        <f>IFERROR(__xludf.DUMMYFUNCTION("""COMPUTED_VALUE"""),"Medianera")</f>
        <v>Medianera</v>
      </c>
      <c r="W68" s="46"/>
      <c r="X68" s="46">
        <f>IFERROR(__xludf.DUMMYFUNCTION("""COMPUTED_VALUE"""),4.0)</f>
        <v>4</v>
      </c>
      <c r="Y68" s="46" t="str">
        <f>IFERROR(__xludf.DUMMYFUNCTION("""COMPUTED_VALUE"""),"No tiene")</f>
        <v>No tiene</v>
      </c>
      <c r="Z68" s="90"/>
      <c r="AA68" s="33" t="str">
        <f>IFERROR(__xludf.DUMMYFUNCTION("""COMPUTED_VALUE"""),"No aplica")</f>
        <v>No aplica</v>
      </c>
      <c r="AB68" s="144" t="str">
        <f>IFERROR(__xludf.DUMMYFUNCTION("""COMPUTED_VALUE"""),"https://photos.app.goo.gl/hHao2T54ywh6DF797")</f>
        <v>https://photos.app.goo.gl/hHao2T54ywh6DF797</v>
      </c>
      <c r="AC68" s="46" t="str">
        <f>IFERROR(__xludf.DUMMYFUNCTION("""COMPUTED_VALUE"""),"Casa de 2 pisos, área de 180m2, estrato 3, enrejada, techada, tanque de agua, cuarto de gimnasio, lamparas parte exterior, consta de 1er piso: sala, comedor, estar de tv, baño social con ducha, cocina americana integral, patio de ropas, zona de lavandería"&amp;", garaje cubierto, 1 alcoba con baño amplia y closet metálico, estudio,biblioteca, 2do piso: 3 alcobas, 3 closet en metálicos, 2 baños (1 privado),2 a.a, cortinas persianas, pisos en cerámica., techo en driwall.")</f>
        <v>Casa de 2 pisos, área de 180m2, estrato 3, enrejada, techada, tanque de agua, cuarto de gimnasio, lamparas parte exterior, consta de 1er piso: sala, comedor, estar de tv, baño social con ducha, cocina americana integral, patio de ropas, zona de lavandería, garaje cubierto, 1 alcoba con baño amplia y closet metálico, estudio,biblioteca, 2do piso: 3 alcobas, 3 closet en metálicos, 2 baños (1 privado),2 a.a, cortinas persianas, pisos en cerámica., techo en driwall.</v>
      </c>
      <c r="AD68" s="46"/>
      <c r="AE68" s="46"/>
      <c r="AF68" s="46" t="str">
        <f>IFERROR(__xludf.DUMMYFUNCTION("""COMPUTED_VALUE"""),"integral")</f>
        <v>integral</v>
      </c>
      <c r="AG68" s="46"/>
      <c r="AH68" s="46" t="str">
        <f>IFERROR(__xludf.DUMMYFUNCTION("""COMPUTED_VALUE"""),"Aliado")</f>
        <v>Aliado</v>
      </c>
      <c r="AI68" s="92" t="str">
        <f>IFERROR(__xludf.DUMMYFUNCTION("""COMPUTED_VALUE"""),"https://lh3.googleusercontent.com/pw/AP1GczMfJhzPRf_BvJHrkhwPFwhJUm4iEwXZRKRrNjm1mW8gBhwcayKqkTWYi498pXMjWkS-L04NHp_kF-s-gpZ5Z93pOPtbNr9-2tWzU2DqjaUkhBB3kkpw=w1200|https://lh3.googleusercontent.com/pw/AP1GczMak7PNEyj-ypGXhUogPb1UtqKXDlZwaE46AnnhPnJSLkMilh"&amp;"jR732b5pLoX33rXcdv0mZPUolgJTxGnl7bLWUxNaHzyMiq_dMo1IGu9qljNSDV_84G=w1200|https://lh3.googleusercontent.com/pw/AP1GczNySXPSNfiThuhcd8bUH26R-tD_DcJCjee3zddCnfdULIFKDTA2gkF6h8_mJ-Nvr8uywb6bqEsRO2ijP6F3t3YApG8RDQFQhKD8a0eddAonHLHamFBu=w1200|https://lh3.google"&amp;"usercontent.com/pw/AP1GczOefCpYXhkv1PPCY647nwGcwxAJ9nAPuFwHXyP12qZWp26Jy2WQiObNcWSNu-KM4Pg_pRwe04N4Wi98FDfgWYOz3Qa5_8lpfMA4wrZKLDtCnoW5dJhG=w1200|https://lh3.googleusercontent.com/pw/AP1GczMhKj-4rsUrfHIQgkcwO-7mYfZLHUIs5RCcuUdl8rkV5NS9yNUZZQDNft_ugKrFhbTn"&amp;"RdY7QBQWVDSEOo2JCzHMvjcKIQAUlgUARG18-98qWQp24_2v=w1200|https://lh3.googleusercontent.com/pw/AP1GczMcCvSGimpqxGCOT1RQ1q1c4HSwupz_QymCGtxqGu93oqfYKcKMJXkgP3TqnRYuTzNjNMv6gqpm2Hwhhqf7ep5qcp-0Uk39eei4WQl32ZArOegB3sFi=w1200|https://lh3.googleusercontent.com/pw"&amp;"/AP1GczMZj4clUPh3G2l_mtULnGcKmBl8CvN62gelQuX8KzX8belKLDjr7QXQcRijQV75f3RtRCG7GoiXeRm0o_qWR1B0Hisi7D-46CuIsvG8iUVxeR4R1nYD=w1200|https://lh3.googleusercontent.com/pw/AP1GczMu5QQ45_AeulsBaTCGuwf5yOOUWXFpwooVAjc0_91EqfxtPlpCbYhfQv5jW6Q_L1-rqRNoHpT1RIT259jP1i"&amp;"N7OhuBbDdSudWSY5LqpmLtmidu-GkZ=w1200|https://lh3.googleusercontent.com/pw/AP1GczOXFId6msryrcb2hbARpO9yLwnoUiKz6E3v0Db_Ry00fSrDUURLgaI1CFdVy9l9tmsso9h_2Kpycd9yj1Ja121QURffKaK45mnMJ6vWEfsr78BzNBnH=w1200|https://lh3.googleusercontent.com/pw/AP1GczNo1WJoZqFBQ"&amp;"HkSx7a_QZ0C-5yhNkp2Bf7h3_9DPe2IsBc-WK5RLwaB5r2jX0WvrrVGmVdPIDAA26PiSFBlrr8GXoTCVfVAN7_pwMZ3cevzVlCTV95m=w1200|https://lh3.googleusercontent.com/pw/AP1GczMZ5vI2tqviWrg0ir0OjscM7D8_hLSFfLW_vtQ4N3dwDCJhs3T73cHOLsXP_1Y9ptw05Bjl3XYGD91DAQV8Ni8ukb9FHS7tlwB0OTqr"&amp;"kis9bu47u5z5=w1200|https://lh3.googleusercontent.com/pw/AP1GczMfzXRnZoOfvDV4G4QeLJfdTGf-vaRAWbRTJ3h6Syd_aI2ZHIKpj_ITkZ-mXW85wMwVz4X1OuayfncntJsA9orj6BOY4GeDLXab26jmRTBp23l-_17u=w1200|https://lh3.googleusercontent.com/pw/AP1GczOiw6fgjSR_hDfRjlHBCuT-k3t479s"&amp;"jz74nMPOdH1wEodV2ZJ5hdJ7BiwlCIvzmaph0lBpMmV3oN2Wu_t6QIz3rPU0ajT2Th4r6408IjqC5fwfWm5xO=w1200|https://lh3.googleusercontent.com/pw/AP1GczPoRlkNKZSocU4OLOBH29HU2m0Jbm59XMM264wJHcQ2fYKxd_qCen4wMLwZxPAr0-7zJfBKl-wHGZ0sg440Kt3gQnKhoAVGLKs4eJoL12nFw2TuPyr7=w1200")</f>
        <v>https://lh3.googleusercontent.com/pw/AP1GczMfJhzPRf_BvJHrkhwPFwhJUm4iEwXZRKRrNjm1mW8gBhwcayKqkTWYi498pXMjWkS-L04NHp_kF-s-gpZ5Z93pOPtbNr9-2tWzU2DqjaUkhBB3kkpw=w1200|https://lh3.googleusercontent.com/pw/AP1GczMak7PNEyj-ypGXhUogPb1UtqKXDlZwaE46AnnhPnJSLkMilhjR732b5pLoX33rXcdv0mZPUolgJTxGnl7bLWUxNaHzyMiq_dMo1IGu9qljNSDV_84G=w1200|https://lh3.googleusercontent.com/pw/AP1GczNySXPSNfiThuhcd8bUH26R-tD_DcJCjee3zddCnfdULIFKDTA2gkF6h8_mJ-Nvr8uywb6bqEsRO2ijP6F3t3YApG8RDQFQhKD8a0eddAonHLHamFBu=w1200|https://lh3.googleusercontent.com/pw/AP1GczOefCpYXhkv1PPCY647nwGcwxAJ9nAPuFwHXyP12qZWp26Jy2WQiObNcWSNu-KM4Pg_pRwe04N4Wi98FDfgWYOz3Qa5_8lpfMA4wrZKLDtCnoW5dJhG=w1200|https://lh3.googleusercontent.com/pw/AP1GczMhKj-4rsUrfHIQgkcwO-7mYfZLHUIs5RCcuUdl8rkV5NS9yNUZZQDNft_ugKrFhbTnRdY7QBQWVDSEOo2JCzHMvjcKIQAUlgUARG18-98qWQp24_2v=w1200|https://lh3.googleusercontent.com/pw/AP1GczMcCvSGimpqxGCOT1RQ1q1c4HSwupz_QymCGtxqGu93oqfYKcKMJXkgP3TqnRYuTzNjNMv6gqpm2Hwhhqf7ep5qcp-0Uk39eei4WQl32ZArOegB3sFi=w1200|https://lh3.googleusercontent.com/pw/AP1GczMZj4clUPh3G2l_mtULnGcKmBl8CvN62gelQuX8KzX8belKLDjr7QXQcRijQV75f3RtRCG7GoiXeRm0o_qWR1B0Hisi7D-46CuIsvG8iUVxeR4R1nYD=w1200|https://lh3.googleusercontent.com/pw/AP1GczMu5QQ45_AeulsBaTCGuwf5yOOUWXFpwooVAjc0_91EqfxtPlpCbYhfQv5jW6Q_L1-rqRNoHpT1RIT259jP1iN7OhuBbDdSudWSY5LqpmLtmidu-GkZ=w1200|https://lh3.googleusercontent.com/pw/AP1GczOXFId6msryrcb2hbARpO9yLwnoUiKz6E3v0Db_Ry00fSrDUURLgaI1CFdVy9l9tmsso9h_2Kpycd9yj1Ja121QURffKaK45mnMJ6vWEfsr78BzNBnH=w1200|https://lh3.googleusercontent.com/pw/AP1GczNo1WJoZqFBQHkSx7a_QZ0C-5yhNkp2Bf7h3_9DPe2IsBc-WK5RLwaB5r2jX0WvrrVGmVdPIDAA26PiSFBlrr8GXoTCVfVAN7_pwMZ3cevzVlCTV95m=w1200|https://lh3.googleusercontent.com/pw/AP1GczMZ5vI2tqviWrg0ir0OjscM7D8_hLSFfLW_vtQ4N3dwDCJhs3T73cHOLsXP_1Y9ptw05Bjl3XYGD91DAQV8Ni8ukb9FHS7tlwB0OTqrkis9bu47u5z5=w1200|https://lh3.googleusercontent.com/pw/AP1GczMfzXRnZoOfvDV4G4QeLJfdTGf-vaRAWbRTJ3h6Syd_aI2ZHIKpj_ITkZ-mXW85wMwVz4X1OuayfncntJsA9orj6BOY4GeDLXab26jmRTBp23l-_17u=w1200|https://lh3.googleusercontent.com/pw/AP1GczOiw6fgjSR_hDfRjlHBCuT-k3t479sjz74nMPOdH1wEodV2ZJ5hdJ7BiwlCIvzmaph0lBpMmV3oN2Wu_t6QIz3rPU0ajT2Th4r6408IjqC5fwfWm5xO=w1200|https://lh3.googleusercontent.com/pw/AP1GczPoRlkNKZSocU4OLOBH29HU2m0Jbm59XMM264wJHcQ2fYKxd_qCen4wMLwZxPAr0-7zJfBKl-wHGZ0sg440Kt3gQnKhoAVGLKs4eJoL12nFw2TuPyr7=w1200</v>
      </c>
      <c r="AJ68" s="46"/>
      <c r="AK68" s="46"/>
      <c r="AL68" s="46"/>
      <c r="AM68" s="46"/>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row>
    <row r="69">
      <c r="A69" s="87" t="str">
        <f>IFERROR(__xludf.DUMMYFUNCTION("""COMPUTED_VALUE"""),"1588")</f>
        <v>1588</v>
      </c>
      <c r="B69" s="46" t="str">
        <f>IFERROR(__xludf.DUMMYFUNCTION("""COMPUTED_VALUE"""),"Apartamento en Conjunto Condominio Mediterraneo - Norte - Andaquíes")</f>
        <v>Apartamento en Conjunto Condominio Mediterraneo - Norte - Andaquíes</v>
      </c>
      <c r="C69" s="46" t="str">
        <f>IFERROR(__xludf.DUMMYFUNCTION("""COMPUTED_VALUE"""),"Apartamento en conjunto")</f>
        <v>Apartamento en conjunto</v>
      </c>
      <c r="D69" s="46"/>
      <c r="E69" s="90" t="str">
        <f>IFERROR(__xludf.DUMMYFUNCTION("""COMPUTED_VALUE"""),"Conjunto Mediterráneo")</f>
        <v>Conjunto Mediterráneo</v>
      </c>
      <c r="F69" s="90">
        <f>IFERROR(__xludf.DUMMYFUNCTION("""COMPUTED_VALUE"""),3.95E8)</f>
        <v>395000000</v>
      </c>
      <c r="G69" s="46" t="str">
        <f>IFERROR(__xludf.DUMMYFUNCTION("""COMPUTED_VALUE"""),"$300'000.000 a $400'000.000")</f>
        <v>$300'000.000 a $400'000.000</v>
      </c>
      <c r="H69" s="46"/>
      <c r="I69" s="46"/>
      <c r="J69" s="46" t="str">
        <f>IFERROR(__xludf.DUMMYFUNCTION("""COMPUTED_VALUE"""),"Norte")</f>
        <v>Norte</v>
      </c>
      <c r="K69" s="87"/>
      <c r="L69" s="46">
        <f>IFERROR(__xludf.DUMMYFUNCTION("""COMPUTED_VALUE"""),3.0)</f>
        <v>3</v>
      </c>
      <c r="M69" s="46"/>
      <c r="N69" s="46">
        <f>IFERROR(__xludf.DUMMYFUNCTION("""COMPUTED_VALUE"""),2.0)</f>
        <v>2</v>
      </c>
      <c r="O69" s="46">
        <f>IFERROR(__xludf.DUMMYFUNCTION("""COMPUTED_VALUE"""),1.0)</f>
        <v>1</v>
      </c>
      <c r="P69" s="46">
        <f>IFERROR(__xludf.DUMMYFUNCTION("""COMPUTED_VALUE"""),7.0)</f>
        <v>7</v>
      </c>
      <c r="Q69" s="92">
        <f>IFERROR(__xludf.DUMMYFUNCTION("""COMPUTED_VALUE"""),112.0)</f>
        <v>112</v>
      </c>
      <c r="R69" s="92">
        <f>IFERROR(__xludf.DUMMYFUNCTION("""COMPUTED_VALUE"""),112.0)</f>
        <v>112</v>
      </c>
      <c r="S69" s="87" t="str">
        <f>IFERROR(__xludf.DUMMYFUNCTION("""COMPUTED_VALUE""")," ")</f>
        <v> </v>
      </c>
      <c r="T69" s="46" t="str">
        <f>IFERROR(__xludf.DUMMYFUNCTION("""COMPUTED_VALUE"""),"Neiva")</f>
        <v>Neiva</v>
      </c>
      <c r="U69" s="87" t="str">
        <f>IFERROR(__xludf.DUMMYFUNCTION("""COMPUTED_VALUE"""),"4")</f>
        <v>4</v>
      </c>
      <c r="V69" s="46" t="str">
        <f>IFERROR(__xludf.DUMMYFUNCTION("""COMPUTED_VALUE"""),"7mo.")</f>
        <v>7mo.</v>
      </c>
      <c r="W69" s="46"/>
      <c r="X69" s="46">
        <f>IFERROR(__xludf.DUMMYFUNCTION("""COMPUTED_VALUE"""),3.0)</f>
        <v>3</v>
      </c>
      <c r="Y69" s="46" t="str">
        <f>IFERROR(__xludf.DUMMYFUNCTION("""COMPUTED_VALUE"""),"Social")</f>
        <v>Social</v>
      </c>
      <c r="Z69" s="90">
        <f>IFERROR(__xludf.DUMMYFUNCTION("""COMPUTED_VALUE"""),330000.0)</f>
        <v>330000</v>
      </c>
      <c r="AA69" s="33" t="str">
        <f>IFERROR(__xludf.DUMMYFUNCTION("""COMPUTED_VALUE"""),"No aplica")</f>
        <v>No aplica</v>
      </c>
      <c r="AB69" s="96" t="str">
        <f>IFERROR(__xludf.DUMMYFUNCTION("""COMPUTED_VALUE"""),"https://photos.app.goo.gl/VtUD7sCEF1dZ3QH37")</f>
        <v>https://photos.app.goo.gl/VtUD7sCEF1dZ3QH37</v>
      </c>
      <c r="AC69" s="46" t="str">
        <f>IFERROR(__xludf.DUMMYFUNCTION("""COMPUTED_VALUE"""),"Se vende apto 707 piso 7 área de 112m2, consta de sala –comedor, estudio,3 alcobas, 3 closet en madera y puntos para A.A, 2 baños (1 privado), cocina integral, balcón amplio, deposito, garaje, zona de lavandería, pisos en porcelanato y techo en drywall. E"&amp;"l conjunto ofrece: vigilancia las 24 horas, piscina, jacuzzi, zona bqq, cancha de micro, lobby, cuarto de juegos.")</f>
        <v>Se vende apto 707 piso 7 área de 112m2, consta de sala –comedor, estudio,3 alcobas, 3 closet en madera y puntos para A.A, 2 baños (1 privado), cocina integral, balcón amplio, deposito, garaje, zona de lavandería, pisos en porcelanato y techo en drywall. El conjunto ofrece: vigilancia las 24 horas, piscina, jacuzzi, zona bqq, cancha de micro, lobby, cuarto de juegos.</v>
      </c>
      <c r="AD69" s="46" t="str">
        <f>IFERROR(__xludf.DUMMYFUNCTION("""COMPUTED_VALUE"""),"Apartamento bien ubicado, excelente vista, cuenta con buenos acabados y ascensor.")</f>
        <v>Apartamento bien ubicado, excelente vista, cuenta con buenos acabados y ascensor.</v>
      </c>
      <c r="AE69" s="46"/>
      <c r="AF69" s="46" t="str">
        <f>IFERROR(__xludf.DUMMYFUNCTION("""COMPUTED_VALUE"""),"integral")</f>
        <v>integral</v>
      </c>
      <c r="AG69" s="46"/>
      <c r="AH69" s="46" t="str">
        <f>IFERROR(__xludf.DUMMYFUNCTION("""COMPUTED_VALUE"""),"Aliado")</f>
        <v>Aliado</v>
      </c>
      <c r="AI69" s="92" t="str">
        <f>IFERROR(__xludf.DUMMYFUNCTION("""COMPUTED_VALUE"""),"https://lh3.googleusercontent.com/pw/AP1GczMa2PdR3rga_DFKoP_KUIfqVeeae4PyRj0sPp__BBZrXd9lDeRNb6RJtF8e95c5BODKOlnP4eq7mVnaksR2AqOGce4vYi3k-c99DY5pwI_3epIxHAGy=w1200|https://lh3.googleusercontent.com/pw/AP1GczMZ2Y9AIrq8OCtKnGptHkjgVa6D1Vnykv6OCCDWRN6kV4c1bq"&amp;"jQQP-2KZGiMMyh57KAL6y2d_UxMLfoFA7w67NhgMe9eXXecXAaBPDtqXPj6AEpUZL0=w1200|https://lh3.googleusercontent.com/pw/AP1GczP8SaMHYY8vtFBR0-c72mPdhS9UZyqTcW2VnXi-39E-C1nOfSnUoLJjOAnQnvMFsEgrek-qwCL8Nm99NirUMuvzaacvxKBzMb-uaDyfqxmiT6qsa_iX=w1200|https://lh3.google"&amp;"usercontent.com/pw/AP1GczN2Cgb9UIxha-BWQAjrgHLCtvPf1MNp7f4bqqT-EUUecJVWQQiTzpwvl7JVSfr1-Fqbu6BtxN1YwkueH98E18zUOeN7FHj2qFGOZHmX_R-tS7e7Nypq=w1200|https://lh3.googleusercontent.com/pw/AP1GczPLK4qziUYh0zfuMHSqOwVh_WJBckdjgNjFxz9FS02qpRu8I3k-RQOEkFI6iGksRnp6"&amp;"n42MC1PTW_yTMvK3_dMQff8tRziRZa0kedrtqeV3YVhRRQhx=w1200|https://lh3.googleusercontent.com/pw/AP1GczNHw4IBvf-oL1hjM6LOpleTf7M6J5gulJ3RiDEhcM4tr03sQfnVTLvtew4wNzgEHNl5kDUH7eYzjYPyBXHMcBPCwU5cxIpj-ZhVoH9iRfDlq0uEahol=w1200|https://lh3.googleusercontent.com/pw"&amp;"/AP1GczNBWK5hxeCOX_QidQ11N98a4Cw8gOQ-xynLElG30F7G1J9bm-m39-G-OfM-pmR3oRwxF0mHpxO3zE6E86ZETAuF_RmR0jPw5N2zboK7DyoAsugzAvmx=w1200|https://lh3.googleusercontent.com/pw/AP1GczPX9RLrwlVb8LWgS3SArsFOPADqwK0LF3OCwOoaMlNI12kwpNwj5Ej-cwtQXlRW1gFFzYn13ygGPQi1T5f2hh"&amp;"he_Z-9UxYJGkMGEQ7FCDluye8RBzoJ=w1200|https://lh3.googleusercontent.com/pw/AP1GczPJDJFzooq3Pnn57epwMEUoyY6pgX9W51oVELK77mFMyIZKZLkFK0sBQz8taTJQpSNdsQ0ryf2zPpSqitcUVlfVZmZAi8F5p3XS2bRRHjJ81IlnwQCG=w1200|https://lh3.googleusercontent.com/pw/AP1GczM8qqUiiO1Lg"&amp;"42e_67xK7HAlwsYcD1TJzOP9SnbGz4lPlZim9PeFgjwi3O973-WngNnoe23fGy9OvBEba5oWPD7zuaxtFMJEk8zQlXsMqiFFFsaCbed=w1200|https://lh3.googleusercontent.com/pw/AP1GczNuSty5p8WMARJgsXYbGH7Oc5HfExYk2D9jrWNcyTJdGsxSOowderZYsCYP7hNIeCRL9OKBMQWPPlPorejvxQz2BnxEVHuiDDXTEtzQ"&amp;"ipB6tEkQxwm4=w1200|https://lh3.googleusercontent.com/pw/AP1GczOCfeqkYtQdutmxRvyYNFhn-8rYu7cSG7Cr66E2O-DJjZ28dkhEmll3W9mXcP-i05eyuyL4WlXJu9girnmAclsvqcXdI52ywGJlDLHRkOBnAxFh2hAg=w1200|https://lh3.googleusercontent.com/pw/AP1GczNhGOOkJGmRf1FfvCy4euklgE2KzT5"&amp;"fAUeGxuRqey1vsNVynv9Elu0K9dKh0pLgdW9rivQyPoQx3pDQa4vRtHkyeVwAm1EjGcd-m1ARep694uGoY_rh=w1200|https://lh3.googleusercontent.com/pw/AP1GczMWSGIq36Zj5bogKkaVe3l2WSYGOB_wwc2rdBUzxffuKlBKbVjp27CWztcDRwy1eqNonoRzZ9xpxibI3XBGwTxIXaQIt92Te1JPaQCsYr88RhNQ1uHx=w1200"&amp;"|https://lh3.googleusercontent.com/pw/AP1GczPcANqn6Gs-y7ITRYMIlFV6quDlDnasHXAY8hUULbMUoHWzN5BeY4-OQYnE2VZ9l_bBr4Q8LKQ1_qhwWWNFN60bDhrwjgIZ8BPTfxqFXCc9pBlB2yyc=w1200|https://lh3.googleusercontent.com/pw/AP1GczNxy84r7C3wUBTXD9y3dgiCrVxpylIkaQk8jY9iaIF7MCsoZ"&amp;"VaWjD5hIMT1LrUOkoT468z88FKU45FXU-zcmK3I2L-7udIj-T-bfejCp2e8FFw1BPYp=w1200|https://lh3.googleusercontent.com/pw/AP1GczOv6lQfApGbmzwiLaGaqLu35aioSztc0PtTXSrocuHKvFxad9E7WYHVwODOzhficovNB56P6HdoDuO2QxMq5GgJ8OoqWQ4PW_p2YF5Fak5LnZfi-OTr=w1200|https://lh3.googl"&amp;"eusercontent.com/pw/AP1GczN8UzGGczkmnCqrgVUYfJdyssjx2J1lO8lwBGLlfQejpfmabIlgJ6LDuTtt06B0WjHxaKM8pHg7UiuCOi1Cwm1lN6iOkUNLyhMeiLJxuagy5PhjqZcc=w1200|https://lh3.googleusercontent.com/pw/AP1GczO4QF8e3OrfdXl8BLH369Qb5MLV1nPc_iiHlVaUUNKhJgnGnw2DpGVl8wi6NaD7VNs"&amp;"TOxmFL97frfMLB_gJUZoROsxXUPs6ZqC8PzHMVNWbbhe4njXR=w1200|https://lh3.googleusercontent.com/pw/AP1GczMhEAlu2kq_oKlhtnrPrGRnAzXthTl-eTU5EifWv9qQH-czNMBeYocMI2Yfkj92gSDjRx34gjTKBQnCODOvIbF9V4RI3Xw1Pppqvg_WpdYpXLuoi_ef=w1200|https://lh3.googleusercontent.com/p"&amp;"w/AP1GczNbKsrPaxlLYBAkgLHD_jzkn9FP5O_BxOtJK61RaCZ8qcSNsIeaK4DortzddsFnQW5q5vNn2gsstIpA631yx-flIkcaxAidbYHcmywd8vEqUTrmO99D=w1200|https://lh3.googleusercontent.com/pw/AP1GczPWRLjzU8rrH5tGxk122_V9DgYf8ORjRWgLQ0v9Z197ZaIZt1_YRJ9GD0wXu91TJOgcw0DcH9TKM3N-crX9u"&amp;"bIqjJXTfeB7czjlgXe6TiRnvqP7kJzT=w1200")</f>
        <v>https://lh3.googleusercontent.com/pw/AP1GczMa2PdR3rga_DFKoP_KUIfqVeeae4PyRj0sPp__BBZrXd9lDeRNb6RJtF8e95c5BODKOlnP4eq7mVnaksR2AqOGce4vYi3k-c99DY5pwI_3epIxHAGy=w1200|https://lh3.googleusercontent.com/pw/AP1GczMZ2Y9AIrq8OCtKnGptHkjgVa6D1Vnykv6OCCDWRN6kV4c1bqjQQP-2KZGiMMyh57KAL6y2d_UxMLfoFA7w67NhgMe9eXXecXAaBPDtqXPj6AEpUZL0=w1200|https://lh3.googleusercontent.com/pw/AP1GczP8SaMHYY8vtFBR0-c72mPdhS9UZyqTcW2VnXi-39E-C1nOfSnUoLJjOAnQnvMFsEgrek-qwCL8Nm99NirUMuvzaacvxKBzMb-uaDyfqxmiT6qsa_iX=w1200|https://lh3.googleusercontent.com/pw/AP1GczN2Cgb9UIxha-BWQAjrgHLCtvPf1MNp7f4bqqT-EUUecJVWQQiTzpwvl7JVSfr1-Fqbu6BtxN1YwkueH98E18zUOeN7FHj2qFGOZHmX_R-tS7e7Nypq=w1200|https://lh3.googleusercontent.com/pw/AP1GczPLK4qziUYh0zfuMHSqOwVh_WJBckdjgNjFxz9FS02qpRu8I3k-RQOEkFI6iGksRnp6n42MC1PTW_yTMvK3_dMQff8tRziRZa0kedrtqeV3YVhRRQhx=w1200|https://lh3.googleusercontent.com/pw/AP1GczNHw4IBvf-oL1hjM6LOpleTf7M6J5gulJ3RiDEhcM4tr03sQfnVTLvtew4wNzgEHNl5kDUH7eYzjYPyBXHMcBPCwU5cxIpj-ZhVoH9iRfDlq0uEahol=w1200|https://lh3.googleusercontent.com/pw/AP1GczNBWK5hxeCOX_QidQ11N98a4Cw8gOQ-xynLElG30F7G1J9bm-m39-G-OfM-pmR3oRwxF0mHpxO3zE6E86ZETAuF_RmR0jPw5N2zboK7DyoAsugzAvmx=w1200|https://lh3.googleusercontent.com/pw/AP1GczPX9RLrwlVb8LWgS3SArsFOPADqwK0LF3OCwOoaMlNI12kwpNwj5Ej-cwtQXlRW1gFFzYn13ygGPQi1T5f2hhhe_Z-9UxYJGkMGEQ7FCDluye8RBzoJ=w1200|https://lh3.googleusercontent.com/pw/AP1GczPJDJFzooq3Pnn57epwMEUoyY6pgX9W51oVELK77mFMyIZKZLkFK0sBQz8taTJQpSNdsQ0ryf2zPpSqitcUVlfVZmZAi8F5p3XS2bRRHjJ81IlnwQCG=w1200|https://lh3.googleusercontent.com/pw/AP1GczM8qqUiiO1Lg42e_67xK7HAlwsYcD1TJzOP9SnbGz4lPlZim9PeFgjwi3O973-WngNnoe23fGy9OvBEba5oWPD7zuaxtFMJEk8zQlXsMqiFFFsaCbed=w1200|https://lh3.googleusercontent.com/pw/AP1GczNuSty5p8WMARJgsXYbGH7Oc5HfExYk2D9jrWNcyTJdGsxSOowderZYsCYP7hNIeCRL9OKBMQWPPlPorejvxQz2BnxEVHuiDDXTEtzQipB6tEkQxwm4=w1200|https://lh3.googleusercontent.com/pw/AP1GczOCfeqkYtQdutmxRvyYNFhn-8rYu7cSG7Cr66E2O-DJjZ28dkhEmll3W9mXcP-i05eyuyL4WlXJu9girnmAclsvqcXdI52ywGJlDLHRkOBnAxFh2hAg=w1200|https://lh3.googleusercontent.com/pw/AP1GczNhGOOkJGmRf1FfvCy4euklgE2KzT5fAUeGxuRqey1vsNVynv9Elu0K9dKh0pLgdW9rivQyPoQx3pDQa4vRtHkyeVwAm1EjGcd-m1ARep694uGoY_rh=w1200|https://lh3.googleusercontent.com/pw/AP1GczMWSGIq36Zj5bogKkaVe3l2WSYGOB_wwc2rdBUzxffuKlBKbVjp27CWztcDRwy1eqNonoRzZ9xpxibI3XBGwTxIXaQIt92Te1JPaQCsYr88RhNQ1uHx=w1200|https://lh3.googleusercontent.com/pw/AP1GczPcANqn6Gs-y7ITRYMIlFV6quDlDnasHXAY8hUULbMUoHWzN5BeY4-OQYnE2VZ9l_bBr4Q8LKQ1_qhwWWNFN60bDhrwjgIZ8BPTfxqFXCc9pBlB2yyc=w1200|https://lh3.googleusercontent.com/pw/AP1GczNxy84r7C3wUBTXD9y3dgiCrVxpylIkaQk8jY9iaIF7MCsoZVaWjD5hIMT1LrUOkoT468z88FKU45FXU-zcmK3I2L-7udIj-T-bfejCp2e8FFw1BPYp=w1200|https://lh3.googleusercontent.com/pw/AP1GczOv6lQfApGbmzwiLaGaqLu35aioSztc0PtTXSrocuHKvFxad9E7WYHVwODOzhficovNB56P6HdoDuO2QxMq5GgJ8OoqWQ4PW_p2YF5Fak5LnZfi-OTr=w1200|https://lh3.googleusercontent.com/pw/AP1GczN8UzGGczkmnCqrgVUYfJdyssjx2J1lO8lwBGLlfQejpfmabIlgJ6LDuTtt06B0WjHxaKM8pHg7UiuCOi1Cwm1lN6iOkUNLyhMeiLJxuagy5PhjqZcc=w1200|https://lh3.googleusercontent.com/pw/AP1GczO4QF8e3OrfdXl8BLH369Qb5MLV1nPc_iiHlVaUUNKhJgnGnw2DpGVl8wi6NaD7VNsTOxmFL97frfMLB_gJUZoROsxXUPs6ZqC8PzHMVNWbbhe4njXR=w1200|https://lh3.googleusercontent.com/pw/AP1GczMhEAlu2kq_oKlhtnrPrGRnAzXthTl-eTU5EifWv9qQH-czNMBeYocMI2Yfkj92gSDjRx34gjTKBQnCODOvIbF9V4RI3Xw1Pppqvg_WpdYpXLuoi_ef=w1200|https://lh3.googleusercontent.com/pw/AP1GczNbKsrPaxlLYBAkgLHD_jzkn9FP5O_BxOtJK61RaCZ8qcSNsIeaK4DortzddsFnQW5q5vNn2gsstIpA631yx-flIkcaxAidbYHcmywd8vEqUTrmO99D=w1200|https://lh3.googleusercontent.com/pw/AP1GczPWRLjzU8rrH5tGxk122_V9DgYf8ORjRWgLQ0v9Z197ZaIZt1_YRJ9GD0wXu91TJOgcw0DcH9TKM3N-crX9ubIqjJXTfeB7czjlgXe6TiRnvqP7kJzT=w1200</v>
      </c>
      <c r="AJ69" s="46"/>
      <c r="AK69" s="46"/>
      <c r="AL69" s="46"/>
      <c r="AM69" s="46"/>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row>
    <row r="70">
      <c r="A70" s="87" t="str">
        <f>IFERROR(__xludf.DUMMYFUNCTION("""COMPUTED_VALUE"""),"818")</f>
        <v>818</v>
      </c>
      <c r="B70" s="46" t="str">
        <f>IFERROR(__xludf.DUMMYFUNCTION("""COMPUTED_VALUE"""),"Casa de 2 pisos independientes en barrio Prado Norte - Alamos")</f>
        <v>Casa de 2 pisos independientes en barrio Prado Norte - Alamos</v>
      </c>
      <c r="C70" s="46" t="str">
        <f>IFERROR(__xludf.DUMMYFUNCTION("""COMPUTED_VALUE"""),"Casa rentable")</f>
        <v>Casa rentable</v>
      </c>
      <c r="D70" s="46" t="str">
        <f>IFERROR(__xludf.DUMMYFUNCTION("""COMPUTED_VALUE"""),"Prado norte")</f>
        <v>Prado norte</v>
      </c>
      <c r="E70" s="46"/>
      <c r="F70" s="90">
        <f>IFERROR(__xludf.DUMMYFUNCTION("""COMPUTED_VALUE"""),3.8E8)</f>
        <v>380000000</v>
      </c>
      <c r="G70" s="46" t="str">
        <f>IFERROR(__xludf.DUMMYFUNCTION("""COMPUTED_VALUE"""),"$300'000.000 a $400'000.000")</f>
        <v>$300'000.000 a $400'000.000</v>
      </c>
      <c r="H70" s="46"/>
      <c r="I70" s="46"/>
      <c r="J70" s="46" t="str">
        <f>IFERROR(__xludf.DUMMYFUNCTION("""COMPUTED_VALUE"""),"Norte")</f>
        <v>Norte</v>
      </c>
      <c r="K70" s="87" t="str">
        <f>IFERROR(__xludf.DUMMYFUNCTION("""COMPUTED_VALUE"""),"2")</f>
        <v>2</v>
      </c>
      <c r="L70" s="46">
        <f>IFERROR(__xludf.DUMMYFUNCTION("""COMPUTED_VALUE"""),7.0)</f>
        <v>7</v>
      </c>
      <c r="M70" s="46"/>
      <c r="N70" s="46">
        <f>IFERROR(__xludf.DUMMYFUNCTION("""COMPUTED_VALUE"""),3.0)</f>
        <v>3</v>
      </c>
      <c r="O70" s="46">
        <f>IFERROR(__xludf.DUMMYFUNCTION("""COMPUTED_VALUE"""),0.0)</f>
        <v>0</v>
      </c>
      <c r="P70" s="46">
        <f>IFERROR(__xludf.DUMMYFUNCTION("""COMPUTED_VALUE"""),2.0)</f>
        <v>2</v>
      </c>
      <c r="Q70" s="92">
        <f>IFERROR(__xludf.DUMMYFUNCTION("""COMPUTED_VALUE"""),250.0)</f>
        <v>250</v>
      </c>
      <c r="R70" s="92">
        <f>IFERROR(__xludf.DUMMYFUNCTION("""COMPUTED_VALUE"""),115.0)</f>
        <v>115</v>
      </c>
      <c r="S70" s="87" t="str">
        <f>IFERROR(__xludf.DUMMYFUNCTION("""COMPUTED_VALUE"""),"Rentabilidad $1,400,000")</f>
        <v>Rentabilidad $1,400,000</v>
      </c>
      <c r="T70" s="46" t="str">
        <f>IFERROR(__xludf.DUMMYFUNCTION("""COMPUTED_VALUE"""),"Neiva")</f>
        <v>Neiva</v>
      </c>
      <c r="U70" s="87" t="str">
        <f>IFERROR(__xludf.DUMMYFUNCTION("""COMPUTED_VALUE"""),"2")</f>
        <v>2</v>
      </c>
      <c r="V70" s="46" t="str">
        <f>IFERROR(__xludf.DUMMYFUNCTION("""COMPUTED_VALUE"""),"Medianera")</f>
        <v>Medianera</v>
      </c>
      <c r="W70" s="46"/>
      <c r="X70" s="46">
        <f>IFERROR(__xludf.DUMMYFUNCTION("""COMPUTED_VALUE"""),2.0)</f>
        <v>2</v>
      </c>
      <c r="Y70" s="46" t="str">
        <f>IFERROR(__xludf.DUMMYFUNCTION("""COMPUTED_VALUE"""),"No tiene")</f>
        <v>No tiene</v>
      </c>
      <c r="Z70" s="90" t="str">
        <f>IFERROR(__xludf.DUMMYFUNCTION("""COMPUTED_VALUE"""),"No aplica")</f>
        <v>No aplica</v>
      </c>
      <c r="AA70" s="33" t="str">
        <f>IFERROR(__xludf.DUMMYFUNCTION("""COMPUTED_VALUE"""),"23 años")</f>
        <v>23 años</v>
      </c>
      <c r="AB70" s="144" t="str">
        <f>IFERROR(__xludf.DUMMYFUNCTION("""COMPUTED_VALUE"""),"https://photos.app.goo.gl/CUG7CxVGsfA3Q99r6")</f>
        <v>https://photos.app.goo.gl/CUG7CxVGsfA3Q99r6</v>
      </c>
      <c r="AC70" s="46" t="str">
        <f>IFERROR(__xludf.DUMMYFUNCTION("""COMPUTED_VALUE"""),"Casa de 2 pisos, estrato 2, área de 250.0 m2 aproxi, servicios independientes consta de dos Apartamentos: 1er piso: Apto de 3 alcobas, sala, comedor, 1 baño, garaje, 1 closet en madera, cocina normal, patio de ropas, zona de lavandería, pisos en cerámica."&amp;" 2do piso: Ato de 4 alcobas, sala-comedor, 2 baños, 1 closet en madera, garaje para motos, 1 a.a, 1 terraza, cocina semintegral, patio de ropas, zona de lavandería y pisos en porcelanato.")</f>
        <v>Casa de 2 pisos, estrato 2, área de 250.0 m2 aproxi, servicios independientes consta de dos Apartamentos: 1er piso: Apto de 3 alcobas, sala, comedor, 1 baño, garaje, 1 closet en madera, cocina normal, patio de ropas, zona de lavandería, pisos en cerámica. 2do piso: Ato de 4 alcobas, sala-comedor, 2 baños, 1 closet en madera, garaje para motos, 1 a.a, 1 terraza, cocina semintegral, patio de ropas, zona de lavandería y pisos en porcelanato.</v>
      </c>
      <c r="AD70" s="46" t="str">
        <f>IFERROR(__xludf.DUMMYFUNCTION("""COMPUTED_VALUE"""),"Casa bien ubicada, con buenos acabados, piso en porcelanato y  cielo raso en Driwall.")</f>
        <v>Casa bien ubicada, con buenos acabados, piso en porcelanato y  cielo raso en Driwall.</v>
      </c>
      <c r="AE70" s="46"/>
      <c r="AF70" s="46" t="str">
        <f>IFERROR(__xludf.DUMMYFUNCTION("""COMPUTED_VALUE"""),"semi-integral")</f>
        <v>semi-integral</v>
      </c>
      <c r="AG70" s="46"/>
      <c r="AH70" s="46" t="str">
        <f>IFERROR(__xludf.DUMMYFUNCTION("""COMPUTED_VALUE"""),"Aliado")</f>
        <v>Aliado</v>
      </c>
      <c r="AI70" s="92" t="str">
        <f>IFERROR(__xludf.DUMMYFUNCTION("""COMPUTED_VALUE"""),"https://lh3.googleusercontent.com/pw/AP1GczOVRh2uf4OLVBWScM97B6IVzfdokJqpr7rfdowDLd8IolqHKd9sscrVi-OcsBT9kjyxQz4YUoGSZYHAGe5Ep-hQO9FaCAsbEDTBpu7oYGCtgP1QMkVr=w1200|https://lh3.googleusercontent.com/pw/AP1GczOGafAFOOB-S-MXLsSTJ_TBgfzGEVw0oKrDQkUoQzz9mAL5Fn"&amp;"yuFTPuqRADoE--xYSxvn4QJHd5oN9qR13GygUxDgL6S8QcAvycjXkHXSalfhnbHmlx=w1200|https://lh3.googleusercontent.com/pw/AP1GczMYJpxxiAgLk7O9VpKGUVruANQ_sjSLwIJFeI5637iFeRB76Ltl_H-adgRNs32LZDH7ASesLQ9HvXikZjiJjpVlOtb9BPk4S-Vx1saWLj5TYWTpY-HX=w1200|https://lh3.google"&amp;"usercontent.com/pw/AP1GczNXoO41fTDR-tkUy4lvxL77IeQO9BdIEH4c9ck4OoAnD8ITEgydqTHC4duHAE6_vXjE6d9dgIu_pXZSCxWWTOSoEi2FYz6n2A_JQIEOpDtWird5-i0x=w1200|https://lh3.googleusercontent.com/pw/AP1GczNKA7TDjBGTeCb96fddnnUVJieT_Fr6MzPa2V0HJIXy4SqrOre1iWSTSVQlzJKNGun9"&amp;"nWL4Q8VVvaXvesOh8VA2XfgMKJQfAuo7WBCo16hx4lM1u9_A=w1200|https://lh3.googleusercontent.com/pw/AP1GczOA_lCxUUKhgKNyVmLX_s-rocLkSWa1_7ggd4nVYA0xhPOoLtlKE4klSvQWuP-U6EFU-gOemUSanGQCuxS91ssA-r4EWB8mUJyORvdF6wzco1mipzrt=w1200|https://lh3.googleusercontent.com/pw"&amp;"/AP1GczNqO8UYxV8KsRc64sDGDMFRKMQ5R_CFheTdw4mzVTr8gC4ufs3VVZ35c6S4a7kOX2inJwh14u8loMpMfSg0eZwhsKqQ_f7VXNsBwbPaV1vZEBHC0nbP=w1200|https://lh3.googleusercontent.com/pw/AP1GczP--ukUErhCz4SM1jgtGEkfuIwYspfCl8RGcgt3pKrGbY7mbAZDEnOlDEShNQiaIgMch4cUdCXOxpe6S56sk0"&amp;"phh_Tg7sNbfDXQRuyRs1ZeEw581Los=w1200|https://lh3.googleusercontent.com/pw/AP1GczNJ36sv4gbHC0fKlCTGtgcMXhsJpbTEfjhUniyTCPAh1jC38BoFIrXGB81BmU852JvVLa5xvsQqavir5cqLfSvdrfT5Tp91FNWzbYkKgbYPD6HtpUOQ=w1200|https://lh3.googleusercontent.com/pw/AP1GczPmLOzKTHV1P"&amp;"9JP7EH-Luk91IyUTNXI5UhkL1QUgWn0kBgob3Gpfe198_78WFGnU_968lw9mzlgZHOyHoHJRpXKo1VJHFxZXioiR4nYM4kYtnqnLd18=w1200|https://lh3.googleusercontent.com/pw/AP1GczO4B8GgLhDdE4aA2WQM-ixlXgYd2uiePBQtgQeAUTpixtRL5ebKj7gEuleeRMq3sOXXXPpXY3kyjpNUg8dsGznQGcXwMqwNIlFV0RzL"&amp;"nncca7Dd2pcG=w1200|https://lh3.googleusercontent.com/pw/AP1GczPGQmF1rNKb34y7snPADFyqW6RCchuUWATRwrOXKLb0uj3wjzJe__K4pbKROxyJiYsq1sQQtBUaXoewNpjlLIz4VG8f-FE38D4aaiQqvm02UleWAUNt=w1200|https://lh3.googleusercontent.com/pw/AP1GczNAfr968MvoopvK3WTrsMoGr5TPHKO"&amp;"-DpGBoZNfvzuTaQ34FAouaWdUksvlJKAOnaFFxRVdtb6AwZTNvq-cykNU-8vbMnshtRVTKYRogqCw5rIfnuzW=w1200|https://lh3.googleusercontent.com/pw/AP1GczPOP1m-VwvnVZrqSrgSHhurEs4aO3mce3_j3dh29N96vVIR4Z0Yby3y3thoXgPDn1vRjPmr9kBrFm2ZIfv9iixYwX6jz9jfTGjxq9voZ5UjwP8iC27q=w1200"&amp;"|https://lh3.googleusercontent.com/pw/AP1GczMzlPjkLpjgw9xAJlc56pQzHfGbQN4VrvJEZmWbMZ_ifMfQjGeWbZts3EJ9xmQWHdrnJ5saRgiUGhhET3rd5R66shc5loRs0_oORiIEzZgCw9c25f_V=w1200|https://lh3.googleusercontent.com/pw/AP1GczNrKLXpP7C2ADQZBrdGL_R-Uc9ocTCT6y90eYnqz5x_pr7j0"&amp;"yyMj_qJRrLQXWptmdkMquIzAqGrcSP84mB3pH1wS04pIJghBkJ2L_m1dlRVrrIx0hi8=w1200|https://lh3.googleusercontent.com/pw/AP1GczNHwZnAZUaOZI95AU5PtlKiNGuN0p8f8AeQE9Ic6IZH-Fa4t43F5sqNzg-FoIz1pw4DktLWw7utywO6TUCTmqDzNEN46q2KBTJ4waN6hXxdM3l4kX-v=w1200")</f>
        <v>https://lh3.googleusercontent.com/pw/AP1GczOVRh2uf4OLVBWScM97B6IVzfdokJqpr7rfdowDLd8IolqHKd9sscrVi-OcsBT9kjyxQz4YUoGSZYHAGe5Ep-hQO9FaCAsbEDTBpu7oYGCtgP1QMkVr=w1200|https://lh3.googleusercontent.com/pw/AP1GczOGafAFOOB-S-MXLsSTJ_TBgfzGEVw0oKrDQkUoQzz9mAL5FnyuFTPuqRADoE--xYSxvn4QJHd5oN9qR13GygUxDgL6S8QcAvycjXkHXSalfhnbHmlx=w1200|https://lh3.googleusercontent.com/pw/AP1GczMYJpxxiAgLk7O9VpKGUVruANQ_sjSLwIJFeI5637iFeRB76Ltl_H-adgRNs32LZDH7ASesLQ9HvXikZjiJjpVlOtb9BPk4S-Vx1saWLj5TYWTpY-HX=w1200|https://lh3.googleusercontent.com/pw/AP1GczNXoO41fTDR-tkUy4lvxL77IeQO9BdIEH4c9ck4OoAnD8ITEgydqTHC4duHAE6_vXjE6d9dgIu_pXZSCxWWTOSoEi2FYz6n2A_JQIEOpDtWird5-i0x=w1200|https://lh3.googleusercontent.com/pw/AP1GczNKA7TDjBGTeCb96fddnnUVJieT_Fr6MzPa2V0HJIXy4SqrOre1iWSTSVQlzJKNGun9nWL4Q8VVvaXvesOh8VA2XfgMKJQfAuo7WBCo16hx4lM1u9_A=w1200|https://lh3.googleusercontent.com/pw/AP1GczOA_lCxUUKhgKNyVmLX_s-rocLkSWa1_7ggd4nVYA0xhPOoLtlKE4klSvQWuP-U6EFU-gOemUSanGQCuxS91ssA-r4EWB8mUJyORvdF6wzco1mipzrt=w1200|https://lh3.googleusercontent.com/pw/AP1GczNqO8UYxV8KsRc64sDGDMFRKMQ5R_CFheTdw4mzVTr8gC4ufs3VVZ35c6S4a7kOX2inJwh14u8loMpMfSg0eZwhsKqQ_f7VXNsBwbPaV1vZEBHC0nbP=w1200|https://lh3.googleusercontent.com/pw/AP1GczP--ukUErhCz4SM1jgtGEkfuIwYspfCl8RGcgt3pKrGbY7mbAZDEnOlDEShNQiaIgMch4cUdCXOxpe6S56sk0phh_Tg7sNbfDXQRuyRs1ZeEw581Los=w1200|https://lh3.googleusercontent.com/pw/AP1GczNJ36sv4gbHC0fKlCTGtgcMXhsJpbTEfjhUniyTCPAh1jC38BoFIrXGB81BmU852JvVLa5xvsQqavir5cqLfSvdrfT5Tp91FNWzbYkKgbYPD6HtpUOQ=w1200|https://lh3.googleusercontent.com/pw/AP1GczPmLOzKTHV1P9JP7EH-Luk91IyUTNXI5UhkL1QUgWn0kBgob3Gpfe198_78WFGnU_968lw9mzlgZHOyHoHJRpXKo1VJHFxZXioiR4nYM4kYtnqnLd18=w1200|https://lh3.googleusercontent.com/pw/AP1GczO4B8GgLhDdE4aA2WQM-ixlXgYd2uiePBQtgQeAUTpixtRL5ebKj7gEuleeRMq3sOXXXPpXY3kyjpNUg8dsGznQGcXwMqwNIlFV0RzLnncca7Dd2pcG=w1200|https://lh3.googleusercontent.com/pw/AP1GczPGQmF1rNKb34y7snPADFyqW6RCchuUWATRwrOXKLb0uj3wjzJe__K4pbKROxyJiYsq1sQQtBUaXoewNpjlLIz4VG8f-FE38D4aaiQqvm02UleWAUNt=w1200|https://lh3.googleusercontent.com/pw/AP1GczNAfr968MvoopvK3WTrsMoGr5TPHKO-DpGBoZNfvzuTaQ34FAouaWdUksvlJKAOnaFFxRVdtb6AwZTNvq-cykNU-8vbMnshtRVTKYRogqCw5rIfnuzW=w1200|https://lh3.googleusercontent.com/pw/AP1GczPOP1m-VwvnVZrqSrgSHhurEs4aO3mce3_j3dh29N96vVIR4Z0Yby3y3thoXgPDn1vRjPmr9kBrFm2ZIfv9iixYwX6jz9jfTGjxq9voZ5UjwP8iC27q=w1200|https://lh3.googleusercontent.com/pw/AP1GczMzlPjkLpjgw9xAJlc56pQzHfGbQN4VrvJEZmWbMZ_ifMfQjGeWbZts3EJ9xmQWHdrnJ5saRgiUGhhET3rd5R66shc5loRs0_oORiIEzZgCw9c25f_V=w1200|https://lh3.googleusercontent.com/pw/AP1GczNrKLXpP7C2ADQZBrdGL_R-Uc9ocTCT6y90eYnqz5x_pr7j0yyMj_qJRrLQXWptmdkMquIzAqGrcSP84mB3pH1wS04pIJghBkJ2L_m1dlRVrrIx0hi8=w1200|https://lh3.googleusercontent.com/pw/AP1GczNHwZnAZUaOZI95AU5PtlKiNGuN0p8f8AeQE9Ic6IZH-Fa4t43F5sqNzg-FoIz1pw4DktLWw7utywO6TUCTmqDzNEN46q2KBTJ4waN6hXxdM3l4kX-v=w1200</v>
      </c>
      <c r="AJ70" s="46"/>
      <c r="AK70" s="46"/>
      <c r="AL70" s="46"/>
      <c r="AM70" s="46"/>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row>
    <row r="71">
      <c r="A71" s="87" t="str">
        <f>IFERROR(__xludf.DUMMYFUNCTION("""COMPUTED_VALUE"""),"1648")</f>
        <v>1648</v>
      </c>
      <c r="B71" s="46" t="str">
        <f>IFERROR(__xludf.DUMMYFUNCTION("""COMPUTED_VALUE"""),"Casa con local en barrio Santa Clara - Cámbulos II")</f>
        <v>Casa con local en barrio Santa Clara - Cámbulos II</v>
      </c>
      <c r="C71" s="46" t="str">
        <f>IFERROR(__xludf.DUMMYFUNCTION("""COMPUTED_VALUE"""),"Casa rentable")</f>
        <v>Casa rentable</v>
      </c>
      <c r="D71" s="46" t="str">
        <f>IFERROR(__xludf.DUMMYFUNCTION("""COMPUTED_VALUE"""),"Santa Clara")</f>
        <v>Santa Clara</v>
      </c>
      <c r="E71" s="46"/>
      <c r="F71" s="90">
        <f>IFERROR(__xludf.DUMMYFUNCTION("""COMPUTED_VALUE"""),3.8E8)</f>
        <v>380000000</v>
      </c>
      <c r="G71" s="46" t="str">
        <f>IFERROR(__xludf.DUMMYFUNCTION("""COMPUTED_VALUE"""),"$300'000.000 a $400'000.000")</f>
        <v>$300'000.000 a $400'000.000</v>
      </c>
      <c r="H71" s="46"/>
      <c r="I71" s="46"/>
      <c r="J71" s="46" t="str">
        <f>IFERROR(__xludf.DUMMYFUNCTION("""COMPUTED_VALUE"""),"Norte")</f>
        <v>Norte</v>
      </c>
      <c r="K71" s="87" t="str">
        <f>IFERROR(__xludf.DUMMYFUNCTION("""COMPUTED_VALUE"""),"2")</f>
        <v>2</v>
      </c>
      <c r="L71" s="46">
        <f>IFERROR(__xludf.DUMMYFUNCTION("""COMPUTED_VALUE"""),3.0)</f>
        <v>3</v>
      </c>
      <c r="M71" s="46"/>
      <c r="N71" s="46">
        <f>IFERROR(__xludf.DUMMYFUNCTION("""COMPUTED_VALUE"""),3.0)</f>
        <v>3</v>
      </c>
      <c r="O71" s="46">
        <f>IFERROR(__xludf.DUMMYFUNCTION("""COMPUTED_VALUE"""),1.0)</f>
        <v>1</v>
      </c>
      <c r="P71" s="46">
        <f>IFERROR(__xludf.DUMMYFUNCTION("""COMPUTED_VALUE"""),2.0)</f>
        <v>2</v>
      </c>
      <c r="Q71" s="92">
        <f>IFERROR(__xludf.DUMMYFUNCTION("""COMPUTED_VALUE"""),0.0)</f>
        <v>0</v>
      </c>
      <c r="R71" s="92">
        <f>IFERROR(__xludf.DUMMYFUNCTION("""COMPUTED_VALUE"""),97.0)</f>
        <v>97</v>
      </c>
      <c r="S71" s="87" t="str">
        <f>IFERROR(__xludf.DUMMYFUNCTION("""COMPUTED_VALUE""")," ")</f>
        <v> </v>
      </c>
      <c r="T71" s="46" t="str">
        <f>IFERROR(__xludf.DUMMYFUNCTION("""COMPUTED_VALUE"""),"Neiva")</f>
        <v>Neiva</v>
      </c>
      <c r="U71" s="87" t="str">
        <f>IFERROR(__xludf.DUMMYFUNCTION("""COMPUTED_VALUE"""),"3")</f>
        <v>3</v>
      </c>
      <c r="V71" s="46" t="str">
        <f>IFERROR(__xludf.DUMMYFUNCTION("""COMPUTED_VALUE"""),"Medianera")</f>
        <v>Medianera</v>
      </c>
      <c r="W71" s="46"/>
      <c r="X71" s="46">
        <f>IFERROR(__xludf.DUMMYFUNCTION("""COMPUTED_VALUE"""),3.0)</f>
        <v>3</v>
      </c>
      <c r="Y71" s="46" t="str">
        <f>IFERROR(__xludf.DUMMYFUNCTION("""COMPUTED_VALUE"""),"No tiene")</f>
        <v>No tiene</v>
      </c>
      <c r="Z71" s="90" t="str">
        <f>IFERROR(__xludf.DUMMYFUNCTION("""COMPUTED_VALUE"""),"No aplica")</f>
        <v>No aplica</v>
      </c>
      <c r="AA71" s="33" t="str">
        <f>IFERROR(__xludf.DUMMYFUNCTION("""COMPUTED_VALUE"""),"No aplica")</f>
        <v>No aplica</v>
      </c>
      <c r="AB71" s="144" t="str">
        <f>IFERROR(__xludf.DUMMYFUNCTION("""COMPUTED_VALUE"""),"https://photos.app.goo.gl/fSaSXTFLumJN5a7h9")</f>
        <v>https://photos.app.goo.gl/fSaSXTFLumJN5a7h9</v>
      </c>
      <c r="AC71" s="46" t="str">
        <f>IFERROR(__xludf.DUMMYFUNCTION("""COMPUTED_VALUE"""),"Casa de 2 pisos por toda la Avenida 26, para uso comercial o de vivienda. B/ Santa Clara, con un área de 97 mts 2, estrato 3 consta de: Primer Piso: Sala amplia, comedor, cocina integral, garaje interno, patio de ropas, baño auxiliar, pisos en baldosa, y "&amp;"techo en PVC, paredes decorativas. Segundo Piso: 3 habitaciones, la principal con Amplio baño con tina, closets en madera y baño auxiliar.")</f>
        <v>Casa de 2 pisos por toda la Avenida 26, para uso comercial o de vivienda. B/ Santa Clara, con un área de 97 mts 2, estrato 3 consta de: Primer Piso: Sala amplia, comedor, cocina integral, garaje interno, patio de ropas, baño auxiliar, pisos en baldosa, y techo en PVC, paredes decorativas. Segundo Piso: 3 habitaciones, la principal con Amplio baño con tina, closets en madera y baño auxiliar.</v>
      </c>
      <c r="AD71" s="46"/>
      <c r="AE71" s="46"/>
      <c r="AF71" s="46" t="str">
        <f>IFERROR(__xludf.DUMMYFUNCTION("""COMPUTED_VALUE"""),"integral")</f>
        <v>integral</v>
      </c>
      <c r="AG71" s="46"/>
      <c r="AH71" s="46" t="str">
        <f>IFERROR(__xludf.DUMMYFUNCTION("""COMPUTED_VALUE"""),"Aliado")</f>
        <v>Aliado</v>
      </c>
      <c r="AI71" s="92" t="str">
        <f>IFERROR(__xludf.DUMMYFUNCTION("""COMPUTED_VALUE"""),"https://lh3.googleusercontent.com/pw/AP1GczPi4K_xNvS8GWiFu_kSPaJ4uusK1Q00n13ZP4BsfOTeGeQgjJVDdLegQBRUYBTLT3nlHNXH80rzOePhtJDLnTSapxfU94JNTshhl1vAgnm4GATAfXHq=w1200|https://lh3.googleusercontent.com/pw/AP1GczNKwHJ3NxA0XB1NcB9V1OSgc7lgaKZerxpKf_czyEoTc4qAtT"&amp;"LXDkW88GM3q-Lb2wLcpJ8K_e59q2Tfx9EpBQ8ANdSJQ2vJCbX5Pm2HOjYxp22mPB9X=w1200|https://lh3.googleusercontent.com/pw/AP1GczP6pbccvz7xrQrLQFFmnAJSNIebMNR7ssrdB8FEioB1HqvWHKBAMdgCz-gxjvtKtV7PXiV8sPhc1APElF1RId92WGjwLDFeppXje7eFlY4_kP3h6a76=w1200|https://lh3.google"&amp;"usercontent.com/pw/AP1GczNZrFKe3QROQlxsPKYgFkhCs0YuVdMADTH2eHtgIc_kwnNW5n8lT7QvghnAEQSi2tKtYYhx04atglUF7C4ROznN5bfNG2_wpHwsJ6tNMcSIJ5yqnb9T=w1200|https://lh3.googleusercontent.com/pw/AP1GczNxvONgYW_XGpnzwZcYnTCj5cqCziri_XsgtAjhOVXEVVRwU2ymq6Nn2-fPrZ0YLacm"&amp;"c-2bY8CX8j9-LYs1iUZEArtlHpzDda5u6Hge4WoJAa6XbBCB=w1200|https://lh3.googleusercontent.com/pw/AP1GczPtlwqN6-1u5eWyQihKnFEf23fe81dvqeJ-ST_rTENddWTQ1dBpry8qOQz9JNDil9lTLIbpc8twVJnBmXL_MCOFj7R46A89Xv6rl22WJJqSvTmo0XeF=w1200|https://lh3.googleusercontent.com/pw"&amp;"/AP1GczPQCoNnAL0aDTvfAmyRYbq2FLkK0fbMHexl4yuj2LZjc8HOJpqKE-qumRQlVV0n-G0LRYP24pNlek2cSuzSBylqI6H2siUIbscBqmBrrYwpokPRBst3=w1200|https://lh3.googleusercontent.com/pw/AP1GczOp-h0e6boiu6ufq7r27Rf89lv_QWKET7duqZWkVHNchD3OZY62hGCDkfIBkxB-3dTgMU-7p0QFUNuj9ubE55"&amp;"6QSPnbWtCyem6D5ry-WMzmOpiQlWOs=w1200|https://lh3.googleusercontent.com/pw/AP1GczPJKOXx-z9Lncw-Tx0nKeL0GpYk0aJF2AZqqeA_I3CS69anqH2dWD4W5qYoQuED3mStl3EGxTS0qnJnNHca2Dp6k0p6UgOjwqS88Asb9DzY4O7X7Z7f=w1200|https://lh3.googleusercontent.com/pw/AP1GczPc8mmtgLq2o"&amp;"XYKnbdCuHlQMHHblvHeAhNfFlPQuQ-ewcxR9eXzDXhIKsIU9FC3Lib2Gd1ABp1Ch4PrHdUZoaap8-iLtrhrV1dQf6bMZAq_XYyDiWOI=w1200|https://lh3.googleusercontent.com/pw/AP1GczOjHifDb_xrUs9Vl7HBMk_ilfuI4d7IKQaT2QmXfTg2MrS5KXLSQX8_ZpSMCsY4xg8IHEQvCeYLxSFavtRqOzERd6eCKaQeGZiqgQRC"&amp;"XRxd2lKOVFT3=w1200|https://lh3.googleusercontent.com/pw/AP1GczP2qeNunU-A6rw8EH_YNjn_E6itU1_drnZefEsbfstltzOlTx0E_AzNUH4Qi31jFYa2K4pYyYwRi2Vav1Qn-DUXUYlOP5C2NLfr_i9Sj3h7ZdN1XO7k=w1200|https://lh3.googleusercontent.com/pw/AP1GczMQ2-ZOS4BzHOtOzyy-hYwKgEOJ0ae"&amp;"Vr_PqFV0kWevqi9nkDTs6lzbo2cp6BGmg9-MLBOcnA55JSrqbnKKIeomUVIxM7tqfADIOW8zbdJ6gZxAhXfsF=w1200|https://lh3.googleusercontent.com/pw/AP1GczMMUMvEGWhdxD5gZlx52JjJF3MmVrP_xpmJ3Gm95rmZ60cZKdLgWSaluePKeY1TI1qzFpzGF5t3gZj-1tJQ_aTH8ucpjxw3iH87BgpILbBZLY_02z5F=w1200"&amp;"|https://lh3.googleusercontent.com/pw/AP1GczP0vKvyTlxkt6PjgbcpbYvSZD60XuLfGQgRgai9Q4Fv72L7m1xWkIiaATTHmWuhH7MT7dXzIBS7aYPIv7z1koI3jAfWIBtxFTYRIHYvNxopWjryg5Ly=w1200|https://lh3.googleusercontent.com/pw/AP1GczOm3tO6sFBZP7Mzm7pcnorpLtYZYEalT5Uowr1cy7--bogu3"&amp;"OdtfuO_rOmQxkqocsPA7UQ2pp8JyNn2seJTtXClAAESip6Sjwlld-v1syDHLyx_8auy=w1200|https://lh3.googleusercontent.com/pw/AP1GczPBLhVqZQH4an7SCigjBmioQGN2IljzChPa4fZQnDoXa-r2i5OP1YNJ8VANCD8byVB9iNYbOmtcxxtBcQvf3QCTnt7R4BwTQkxDNQh2RGVSYUEQ3jQA=w1200|https://lh3.googl"&amp;"eusercontent.com/pw/AP1GczOqAvHUtmoVc5_X_WbVT2ETCeSIDMrd-I9zIYY7oWNqFLz8gOY8-M4auHw9ytoh0MjQGRMDgeRe2Q-o52WZ76KEyIHJvQaoUwyLQpcEwga8D6ji6y72=w1200|https://lh3.googleusercontent.com/pw/AP1GczNc-pBFpuIygrNGzKojepQVZv7lEyHa5miQGCIqsySJ8yDeYqPixGX-ms2VwUPIbjz"&amp;"M8BZy0bVG60uhMY0D2hY0VKcmHBnbCTRCs9VoMTHOoYaojYat=w1200")</f>
        <v>https://lh3.googleusercontent.com/pw/AP1GczPi4K_xNvS8GWiFu_kSPaJ4uusK1Q00n13ZP4BsfOTeGeQgjJVDdLegQBRUYBTLT3nlHNXH80rzOePhtJDLnTSapxfU94JNTshhl1vAgnm4GATAfXHq=w1200|https://lh3.googleusercontent.com/pw/AP1GczNKwHJ3NxA0XB1NcB9V1OSgc7lgaKZerxpKf_czyEoTc4qAtTLXDkW88GM3q-Lb2wLcpJ8K_e59q2Tfx9EpBQ8ANdSJQ2vJCbX5Pm2HOjYxp22mPB9X=w1200|https://lh3.googleusercontent.com/pw/AP1GczP6pbccvz7xrQrLQFFmnAJSNIebMNR7ssrdB8FEioB1HqvWHKBAMdgCz-gxjvtKtV7PXiV8sPhc1APElF1RId92WGjwLDFeppXje7eFlY4_kP3h6a76=w1200|https://lh3.googleusercontent.com/pw/AP1GczNZrFKe3QROQlxsPKYgFkhCs0YuVdMADTH2eHtgIc_kwnNW5n8lT7QvghnAEQSi2tKtYYhx04atglUF7C4ROznN5bfNG2_wpHwsJ6tNMcSIJ5yqnb9T=w1200|https://lh3.googleusercontent.com/pw/AP1GczNxvONgYW_XGpnzwZcYnTCj5cqCziri_XsgtAjhOVXEVVRwU2ymq6Nn2-fPrZ0YLacmc-2bY8CX8j9-LYs1iUZEArtlHpzDda5u6Hge4WoJAa6XbBCB=w1200|https://lh3.googleusercontent.com/pw/AP1GczPtlwqN6-1u5eWyQihKnFEf23fe81dvqeJ-ST_rTENddWTQ1dBpry8qOQz9JNDil9lTLIbpc8twVJnBmXL_MCOFj7R46A89Xv6rl22WJJqSvTmo0XeF=w1200|https://lh3.googleusercontent.com/pw/AP1GczPQCoNnAL0aDTvfAmyRYbq2FLkK0fbMHexl4yuj2LZjc8HOJpqKE-qumRQlVV0n-G0LRYP24pNlek2cSuzSBylqI6H2siUIbscBqmBrrYwpokPRBst3=w1200|https://lh3.googleusercontent.com/pw/AP1GczOp-h0e6boiu6ufq7r27Rf89lv_QWKET7duqZWkVHNchD3OZY62hGCDkfIBkxB-3dTgMU-7p0QFUNuj9ubE556QSPnbWtCyem6D5ry-WMzmOpiQlWOs=w1200|https://lh3.googleusercontent.com/pw/AP1GczPJKOXx-z9Lncw-Tx0nKeL0GpYk0aJF2AZqqeA_I3CS69anqH2dWD4W5qYoQuED3mStl3EGxTS0qnJnNHca2Dp6k0p6UgOjwqS88Asb9DzY4O7X7Z7f=w1200|https://lh3.googleusercontent.com/pw/AP1GczPc8mmtgLq2oXYKnbdCuHlQMHHblvHeAhNfFlPQuQ-ewcxR9eXzDXhIKsIU9FC3Lib2Gd1ABp1Ch4PrHdUZoaap8-iLtrhrV1dQf6bMZAq_XYyDiWOI=w1200|https://lh3.googleusercontent.com/pw/AP1GczOjHifDb_xrUs9Vl7HBMk_ilfuI4d7IKQaT2QmXfTg2MrS5KXLSQX8_ZpSMCsY4xg8IHEQvCeYLxSFavtRqOzERd6eCKaQeGZiqgQRCXRxd2lKOVFT3=w1200|https://lh3.googleusercontent.com/pw/AP1GczP2qeNunU-A6rw8EH_YNjn_E6itU1_drnZefEsbfstltzOlTx0E_AzNUH4Qi31jFYa2K4pYyYwRi2Vav1Qn-DUXUYlOP5C2NLfr_i9Sj3h7ZdN1XO7k=w1200|https://lh3.googleusercontent.com/pw/AP1GczMQ2-ZOS4BzHOtOzyy-hYwKgEOJ0aeVr_PqFV0kWevqi9nkDTs6lzbo2cp6BGmg9-MLBOcnA55JSrqbnKKIeomUVIxM7tqfADIOW8zbdJ6gZxAhXfsF=w1200|https://lh3.googleusercontent.com/pw/AP1GczMMUMvEGWhdxD5gZlx52JjJF3MmVrP_xpmJ3Gm95rmZ60cZKdLgWSaluePKeY1TI1qzFpzGF5t3gZj-1tJQ_aTH8ucpjxw3iH87BgpILbBZLY_02z5F=w1200|https://lh3.googleusercontent.com/pw/AP1GczP0vKvyTlxkt6PjgbcpbYvSZD60XuLfGQgRgai9Q4Fv72L7m1xWkIiaATTHmWuhH7MT7dXzIBS7aYPIv7z1koI3jAfWIBtxFTYRIHYvNxopWjryg5Ly=w1200|https://lh3.googleusercontent.com/pw/AP1GczOm3tO6sFBZP7Mzm7pcnorpLtYZYEalT5Uowr1cy7--bogu3OdtfuO_rOmQxkqocsPA7UQ2pp8JyNn2seJTtXClAAESip6Sjwlld-v1syDHLyx_8auy=w1200|https://lh3.googleusercontent.com/pw/AP1GczPBLhVqZQH4an7SCigjBmioQGN2IljzChPa4fZQnDoXa-r2i5OP1YNJ8VANCD8byVB9iNYbOmtcxxtBcQvf3QCTnt7R4BwTQkxDNQh2RGVSYUEQ3jQA=w1200|https://lh3.googleusercontent.com/pw/AP1GczOqAvHUtmoVc5_X_WbVT2ETCeSIDMrd-I9zIYY7oWNqFLz8gOY8-M4auHw9ytoh0MjQGRMDgeRe2Q-o52WZ76KEyIHJvQaoUwyLQpcEwga8D6ji6y72=w1200|https://lh3.googleusercontent.com/pw/AP1GczNc-pBFpuIygrNGzKojepQVZv7lEyHa5miQGCIqsySJ8yDeYqPixGX-ms2VwUPIbjzM8BZy0bVG60uhMY0D2hY0VKcmHBnbCTRCs9VoMTHOoYaojYat=w1200</v>
      </c>
      <c r="AJ71" s="46"/>
      <c r="AK71" s="46"/>
      <c r="AL71" s="46"/>
      <c r="AM71" s="46"/>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row>
    <row r="72">
      <c r="A72" s="87" t="str">
        <f>IFERROR(__xludf.DUMMYFUNCTION("""COMPUTED_VALUE"""),"1230")</f>
        <v>1230</v>
      </c>
      <c r="B72" s="46" t="str">
        <f>IFERROR(__xludf.DUMMYFUNCTION("""COMPUTED_VALUE"""),"Casa + Aparta estudio en barrio Gualanday - Norte")</f>
        <v>Casa + Aparta estudio en barrio Gualanday - Norte</v>
      </c>
      <c r="C72" s="46" t="str">
        <f>IFERROR(__xludf.DUMMYFUNCTION("""COMPUTED_VALUE"""),"Casa rentable")</f>
        <v>Casa rentable</v>
      </c>
      <c r="D72" s="46" t="str">
        <f>IFERROR(__xludf.DUMMYFUNCTION("""COMPUTED_VALUE"""),"Gualanday")</f>
        <v>Gualanday</v>
      </c>
      <c r="E72" s="90"/>
      <c r="F72" s="90">
        <f>IFERROR(__xludf.DUMMYFUNCTION("""COMPUTED_VALUE"""),3.8E8)</f>
        <v>380000000</v>
      </c>
      <c r="G72" s="46" t="str">
        <f>IFERROR(__xludf.DUMMYFUNCTION("""COMPUTED_VALUE"""),"$300'000.000 a $400'000.000")</f>
        <v>$300'000.000 a $400'000.000</v>
      </c>
      <c r="H72" s="46"/>
      <c r="I72" s="46"/>
      <c r="J72" s="46" t="str">
        <f>IFERROR(__xludf.DUMMYFUNCTION("""COMPUTED_VALUE"""),"Norte")</f>
        <v>Norte</v>
      </c>
      <c r="K72" s="87" t="str">
        <f>IFERROR(__xludf.DUMMYFUNCTION("""COMPUTED_VALUE"""),"2")</f>
        <v>2</v>
      </c>
      <c r="L72" s="46">
        <f>IFERROR(__xludf.DUMMYFUNCTION("""COMPUTED_VALUE"""),5.0)</f>
        <v>5</v>
      </c>
      <c r="M72" s="46"/>
      <c r="N72" s="46">
        <f>IFERROR(__xludf.DUMMYFUNCTION("""COMPUTED_VALUE"""),3.0)</f>
        <v>3</v>
      </c>
      <c r="O72" s="46">
        <f>IFERROR(__xludf.DUMMYFUNCTION("""COMPUTED_VALUE"""),1.0)</f>
        <v>1</v>
      </c>
      <c r="P72" s="46">
        <f>IFERROR(__xludf.DUMMYFUNCTION("""COMPUTED_VALUE"""),3.0)</f>
        <v>3</v>
      </c>
      <c r="Q72" s="92">
        <f>IFERROR(__xludf.DUMMYFUNCTION("""COMPUTED_VALUE"""),210.0)</f>
        <v>210</v>
      </c>
      <c r="R72" s="92">
        <f>IFERROR(__xludf.DUMMYFUNCTION("""COMPUTED_VALUE"""),90.0)</f>
        <v>90</v>
      </c>
      <c r="S72" s="87" t="str">
        <f>IFERROR(__xludf.DUMMYFUNCTION("""COMPUTED_VALUE"""),"Rentabilidad $1,300,000")</f>
        <v>Rentabilidad $1,300,000</v>
      </c>
      <c r="T72" s="46" t="str">
        <f>IFERROR(__xludf.DUMMYFUNCTION("""COMPUTED_VALUE"""),"Neiva")</f>
        <v>Neiva</v>
      </c>
      <c r="U72" s="87" t="str">
        <f>IFERROR(__xludf.DUMMYFUNCTION("""COMPUTED_VALUE"""),"2")</f>
        <v>2</v>
      </c>
      <c r="V72" s="46" t="str">
        <f>IFERROR(__xludf.DUMMYFUNCTION("""COMPUTED_VALUE"""),"Medianera")</f>
        <v>Medianera</v>
      </c>
      <c r="W72" s="46"/>
      <c r="X72" s="46">
        <f>IFERROR(__xludf.DUMMYFUNCTION("""COMPUTED_VALUE"""),4.0)</f>
        <v>4</v>
      </c>
      <c r="Y72" s="46" t="str">
        <f>IFERROR(__xludf.DUMMYFUNCTION("""COMPUTED_VALUE"""),"No tiene")</f>
        <v>No tiene</v>
      </c>
      <c r="Z72" s="90" t="str">
        <f>IFERROR(__xludf.DUMMYFUNCTION("""COMPUTED_VALUE"""),"No aplica")</f>
        <v>No aplica</v>
      </c>
      <c r="AA72" s="33" t="str">
        <f>IFERROR(__xludf.DUMMYFUNCTION("""COMPUTED_VALUE"""),"24 años")</f>
        <v>24 años</v>
      </c>
      <c r="AB72" s="144" t="str">
        <f>IFERROR(__xludf.DUMMYFUNCTION("""COMPUTED_VALUE"""),"https://photos.app.goo.gl/aLgM5xncdjjhSwX38")</f>
        <v>https://photos.app.goo.gl/aLgM5xncdjjhSwX38</v>
      </c>
      <c r="AC72" s="46" t="str">
        <f>IFERROR(__xludf.DUMMYFUNCTION("""COMPUTED_VALUE"""),"Se Vende propiedad consta de: Primer piso: 3 habitaciones con closet baño privado y baño de visitas cocina integral, sala garaje, mueble de madera empotrado, patio, cascada acuario gigante balcón interno. Segundo piso: Balcón, habitación principal closet "&amp;"mueble de baño, tina, sala de estudio, biblioteca empotrada, habitación con baño privado patio de ropa, zona de lavandería balcón interno. Tercer piso construido en la parte de atrás, el aparta estudio.")</f>
        <v>Se Vende propiedad consta de: Primer piso: 3 habitaciones con closet baño privado y baño de visitas cocina integral, sala garaje, mueble de madera empotrado, patio, cascada acuario gigante balcón interno. Segundo piso: Balcón, habitación principal closet mueble de baño, tina, sala de estudio, biblioteca empotrada, habitación con baño privado patio de ropa, zona de lavandería balcón interno. Tercer piso construido en la parte de atrás, el aparta estudio.</v>
      </c>
      <c r="AD72" s="46" t="str">
        <f>IFERROR(__xludf.DUMMYFUNCTION("""COMPUTED_VALUE"""),"Casa bien ubicada y con buenos acabados.")</f>
        <v>Casa bien ubicada y con buenos acabados.</v>
      </c>
      <c r="AE72" s="46"/>
      <c r="AF72" s="46" t="str">
        <f>IFERROR(__xludf.DUMMYFUNCTION("""COMPUTED_VALUE"""),"integral")</f>
        <v>integral</v>
      </c>
      <c r="AG72" s="46"/>
      <c r="AH72" s="46" t="str">
        <f>IFERROR(__xludf.DUMMYFUNCTION("""COMPUTED_VALUE"""),"Aliado")</f>
        <v>Aliado</v>
      </c>
      <c r="AI72" s="92" t="str">
        <f>IFERROR(__xludf.DUMMYFUNCTION("""COMPUTED_VALUE"""),"https://lh3.googleusercontent.com/pw/AP1GczM9NZw6jCFx51p0UdTnKQjHbDemvkHHs9BYTYvOSI21bUyVcAVMytzmopSA6REcAewzLcbcx_NoE92bUu-peOt4bJ3XZUhQWbWKFAc0nEafb8C_tHLV=w1200|https://lh3.googleusercontent.com/pw/AP1GczPaleIVKDgzeSOe3XcovSZr3F1tHeYCN0DteLQEkopWP7fUZi"&amp;"aEjiWc14BHmYVLwvJkDURKhqI9rIr2Ol-sMXsN25Fwt3BMz3Pc9P8ueBoE8BlO84tG=w1200|https://lh3.googleusercontent.com/pw/AP1GczOxL5JL71t6C-MS6wIGRiRWJJdDK7nqPMYW6ke0ILX5E8B9hY1FVElcjYCX9WolaOuP5mnsz8NjVOL0DiWn9YR1-h4HJxmWvOfPWppvy7-fgZGpsrhV=w1200|https://lh3.google"&amp;"usercontent.com/pw/AP1GczMVrABT1IFhgtLdbxep_NnRVQHxx6Xzl1S4pSX-ip4dwqBKP7qRxFZwugsRogIVlRAAh4cp0Otl1-8_p1uwXai-UFYHTQoD3dxPagaRc5wyGmbsq2rs=w1200|https://lh3.googleusercontent.com/pw/AP1GczOrWbQzyvDyLmJhglRbZQ-vSW5SqEMNouU6Q4SK8iBdop0hbUU3iPeB9d-5frZnxoO4"&amp;"UkDkYn4UKSb86m8Mj3xIcyAzlLyJD_oYuLoGCFwu6hczixYT=w1200|https://lh3.googleusercontent.com/pw/AP1GczMBxWCFbGijbscknV3qofZo7j3VHIm-tNs--x4GpS9EqWxsFvVkJjfSTSkXphzRgnP4GwX4eKrhMBLj6il31b0Uqy2zwuONtZxRAwE0zW8_EOLEqrnL=w1200|https://lh3.googleusercontent.com/pw"&amp;"/AP1GczNb45RsbvqjddOoLh-pD5gaigg2v8IsWXNnX3j9I-_p8JJxlv03gyT0RFdfTVetc1SvjWi9apDY4OW0mHnZpdvpjn-JLQMpVTOFDKTFnpRbsDf3Se9k=w1200|https://lh3.googleusercontent.com/pw/AP1GczPOTmqf0qiCMMQEy_tDIMPpt5lNNfvvxVA1lI7YX1ga2pfRRCmNqenFB3NZhbYUhyPGNIkP3qxKAjhz14eKPO"&amp;"_WMCtbOEtZq8GZhnpgKIXMNpmyBMnZ=w1200|https://lh3.googleusercontent.com/pw/AP1GczO7a_h2EHp40tcQJdZ2RY1azc9p5AfeyTiS56CH1nbJa9Wt3HAqt9DxoKxgsab0bPkCzFRno7HwhYz4YSRBNMukHZ3Be7ZZOFaXwvaw5hCYthm0PIt9=w1200|https://lh3.googleusercontent.com/pw/AP1GczOfdQR4BR9Ph"&amp;"ZgwCpSMZ3ofEoimHt7vj86ieog9b-MsPmx-XBz67Cx-T7_9_A68NoFONdHoj-t_yxey8tCXAlgvPFbweEWG2t2NBaDQEF06vgWdCjTi=w1200|https://lh3.googleusercontent.com/pw/AP1GczN-yiIw3a-Y9y--pQWYh02P3vaP11QQNOmM5gX7vTE1iksYYKQRJThEcZ5J9sLQQ4XurH39e8FbUhYodQsIIOhR8H854B4VieDFaDSb"&amp;"T_V5GmFfu8V1=w1200|https://lh3.googleusercontent.com/pw/AP1GczNy4UDFO8cRtXUKnQEK5ZG8ukhunNBQPSNW30iYT8UWxXZlPziGjKQDGJUxFvt9ic8CjfJ070ziecyeLwWKXr8DWcS_0eLWhh0tEUukksKekHK9zs4O=w1200|https://lh3.googleusercontent.com/pw/AP1GczMbYS0Ai_EH_GbyDjd-dARFyHwTo3v"&amp;"D575eltoT9fXUjlpJFPQEc3rPECf82KqhFVkRkYQwi8uL9ZIdljkBSsUWh-FwOt5WJgLJRdjbbHm--Zmsc78G=w1200|https://lh3.googleusercontent.com/pw/AP1GczPBkTP8yr7HbMlhWX2MRdA1HuKwSBbmuYOT5SbnD4z99MS1HGYbTRfxbVbTyxvB4NGPkbU-_xXCiEHXgk8HnXYVJnQMVMYTZALj10AF5kukYb5qOYIE=w1200")</f>
        <v>https://lh3.googleusercontent.com/pw/AP1GczM9NZw6jCFx51p0UdTnKQjHbDemvkHHs9BYTYvOSI21bUyVcAVMytzmopSA6REcAewzLcbcx_NoE92bUu-peOt4bJ3XZUhQWbWKFAc0nEafb8C_tHLV=w1200|https://lh3.googleusercontent.com/pw/AP1GczPaleIVKDgzeSOe3XcovSZr3F1tHeYCN0DteLQEkopWP7fUZiaEjiWc14BHmYVLwvJkDURKhqI9rIr2Ol-sMXsN25Fwt3BMz3Pc9P8ueBoE8BlO84tG=w1200|https://lh3.googleusercontent.com/pw/AP1GczOxL5JL71t6C-MS6wIGRiRWJJdDK7nqPMYW6ke0ILX5E8B9hY1FVElcjYCX9WolaOuP5mnsz8NjVOL0DiWn9YR1-h4HJxmWvOfPWppvy7-fgZGpsrhV=w1200|https://lh3.googleusercontent.com/pw/AP1GczMVrABT1IFhgtLdbxep_NnRVQHxx6Xzl1S4pSX-ip4dwqBKP7qRxFZwugsRogIVlRAAh4cp0Otl1-8_p1uwXai-UFYHTQoD3dxPagaRc5wyGmbsq2rs=w1200|https://lh3.googleusercontent.com/pw/AP1GczOrWbQzyvDyLmJhglRbZQ-vSW5SqEMNouU6Q4SK8iBdop0hbUU3iPeB9d-5frZnxoO4UkDkYn4UKSb86m8Mj3xIcyAzlLyJD_oYuLoGCFwu6hczixYT=w1200|https://lh3.googleusercontent.com/pw/AP1GczMBxWCFbGijbscknV3qofZo7j3VHIm-tNs--x4GpS9EqWxsFvVkJjfSTSkXphzRgnP4GwX4eKrhMBLj6il31b0Uqy2zwuONtZxRAwE0zW8_EOLEqrnL=w1200|https://lh3.googleusercontent.com/pw/AP1GczNb45RsbvqjddOoLh-pD5gaigg2v8IsWXNnX3j9I-_p8JJxlv03gyT0RFdfTVetc1SvjWi9apDY4OW0mHnZpdvpjn-JLQMpVTOFDKTFnpRbsDf3Se9k=w1200|https://lh3.googleusercontent.com/pw/AP1GczPOTmqf0qiCMMQEy_tDIMPpt5lNNfvvxVA1lI7YX1ga2pfRRCmNqenFB3NZhbYUhyPGNIkP3qxKAjhz14eKPO_WMCtbOEtZq8GZhnpgKIXMNpmyBMnZ=w1200|https://lh3.googleusercontent.com/pw/AP1GczO7a_h2EHp40tcQJdZ2RY1azc9p5AfeyTiS56CH1nbJa9Wt3HAqt9DxoKxgsab0bPkCzFRno7HwhYz4YSRBNMukHZ3Be7ZZOFaXwvaw5hCYthm0PIt9=w1200|https://lh3.googleusercontent.com/pw/AP1GczOfdQR4BR9PhZgwCpSMZ3ofEoimHt7vj86ieog9b-MsPmx-XBz67Cx-T7_9_A68NoFONdHoj-t_yxey8tCXAlgvPFbweEWG2t2NBaDQEF06vgWdCjTi=w1200|https://lh3.googleusercontent.com/pw/AP1GczN-yiIw3a-Y9y--pQWYh02P3vaP11QQNOmM5gX7vTE1iksYYKQRJThEcZ5J9sLQQ4XurH39e8FbUhYodQsIIOhR8H854B4VieDFaDSbT_V5GmFfu8V1=w1200|https://lh3.googleusercontent.com/pw/AP1GczNy4UDFO8cRtXUKnQEK5ZG8ukhunNBQPSNW30iYT8UWxXZlPziGjKQDGJUxFvt9ic8CjfJ070ziecyeLwWKXr8DWcS_0eLWhh0tEUukksKekHK9zs4O=w1200|https://lh3.googleusercontent.com/pw/AP1GczMbYS0Ai_EH_GbyDjd-dARFyHwTo3vD575eltoT9fXUjlpJFPQEc3rPECf82KqhFVkRkYQwi8uL9ZIdljkBSsUWh-FwOt5WJgLJRdjbbHm--Zmsc78G=w1200|https://lh3.googleusercontent.com/pw/AP1GczPBkTP8yr7HbMlhWX2MRdA1HuKwSBbmuYOT5SbnD4z99MS1HGYbTRfxbVbTyxvB4NGPkbU-_xXCiEHXgk8HnXYVJnQMVMYTZALj10AF5kukYb5qOYIE=w1200</v>
      </c>
      <c r="AJ72" s="46"/>
      <c r="AK72" s="46"/>
      <c r="AL72" s="46"/>
      <c r="AM72" s="46"/>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row>
    <row r="73">
      <c r="A73" s="87" t="str">
        <f>IFERROR(__xludf.DUMMYFUNCTION("""COMPUTED_VALUE"""),"1678")</f>
        <v>1678</v>
      </c>
      <c r="B73" s="46" t="str">
        <f>IFERROR(__xludf.DUMMYFUNCTION("""COMPUTED_VALUE"""),"Apartamento en Conjunto Residencial Bambu")</f>
        <v>Apartamento en Conjunto Residencial Bambu</v>
      </c>
      <c r="C73" s="46" t="str">
        <f>IFERROR(__xludf.DUMMYFUNCTION("""COMPUTED_VALUE"""),"Apartamento en conjunto")</f>
        <v>Apartamento en conjunto</v>
      </c>
      <c r="D73" s="46" t="str">
        <f>IFERROR(__xludf.DUMMYFUNCTION("""COMPUTED_VALUE"""),"Canaima")</f>
        <v>Canaima</v>
      </c>
      <c r="E73" s="90" t="str">
        <f>IFERROR(__xludf.DUMMYFUNCTION("""COMPUTED_VALUE"""),"Bambu")</f>
        <v>Bambu</v>
      </c>
      <c r="F73" s="90">
        <f>IFERROR(__xludf.DUMMYFUNCTION("""COMPUTED_VALUE"""),3.7E8)</f>
        <v>370000000</v>
      </c>
      <c r="G73" s="46" t="str">
        <f>IFERROR(__xludf.DUMMYFUNCTION("""COMPUTED_VALUE"""),"$300'000.000 a $400'000.000")</f>
        <v>$300'000.000 a $400'000.000</v>
      </c>
      <c r="H73" s="46"/>
      <c r="I73" s="46"/>
      <c r="J73" s="46" t="str">
        <f>IFERROR(__xludf.DUMMYFUNCTION("""COMPUTED_VALUE"""),"Sur")</f>
        <v>Sur</v>
      </c>
      <c r="K73" s="87" t="str">
        <f>IFERROR(__xludf.DUMMYFUNCTION("""COMPUTED_VALUE"""),"0")</f>
        <v>0</v>
      </c>
      <c r="L73" s="46">
        <f>IFERROR(__xludf.DUMMYFUNCTION("""COMPUTED_VALUE"""),3.0)</f>
        <v>3</v>
      </c>
      <c r="M73" s="46"/>
      <c r="N73" s="46">
        <f>IFERROR(__xludf.DUMMYFUNCTION("""COMPUTED_VALUE"""),2.0)</f>
        <v>2</v>
      </c>
      <c r="O73" s="46">
        <f>IFERROR(__xludf.DUMMYFUNCTION("""COMPUTED_VALUE"""),1.0)</f>
        <v>1</v>
      </c>
      <c r="P73" s="46">
        <f>IFERROR(__xludf.DUMMYFUNCTION("""COMPUTED_VALUE"""),3.0)</f>
        <v>3</v>
      </c>
      <c r="Q73" s="92">
        <f>IFERROR(__xludf.DUMMYFUNCTION("""COMPUTED_VALUE"""),77.0)</f>
        <v>77</v>
      </c>
      <c r="R73" s="92">
        <f>IFERROR(__xludf.DUMMYFUNCTION("""COMPUTED_VALUE"""),77.0)</f>
        <v>77</v>
      </c>
      <c r="S73" s="87" t="str">
        <f>IFERROR(__xludf.DUMMYFUNCTION("""COMPUTED_VALUE""")," ")</f>
        <v> </v>
      </c>
      <c r="T73" s="46" t="str">
        <f>IFERROR(__xludf.DUMMYFUNCTION("""COMPUTED_VALUE"""),"Neiva")</f>
        <v>Neiva</v>
      </c>
      <c r="U73" s="87" t="str">
        <f>IFERROR(__xludf.DUMMYFUNCTION("""COMPUTED_VALUE"""),"4")</f>
        <v>4</v>
      </c>
      <c r="V73" s="46" t="str">
        <f>IFERROR(__xludf.DUMMYFUNCTION("""COMPUTED_VALUE"""),"3er.")</f>
        <v>3er.</v>
      </c>
      <c r="W73" s="46"/>
      <c r="X73" s="46">
        <f>IFERROR(__xludf.DUMMYFUNCTION("""COMPUTED_VALUE"""),3.0)</f>
        <v>3</v>
      </c>
      <c r="Y73" s="46" t="str">
        <f>IFERROR(__xludf.DUMMYFUNCTION("""COMPUTED_VALUE"""),"Social")</f>
        <v>Social</v>
      </c>
      <c r="Z73" s="90">
        <f>IFERROR(__xludf.DUMMYFUNCTION("""COMPUTED_VALUE"""),260000.0)</f>
        <v>260000</v>
      </c>
      <c r="AA73" s="33" t="str">
        <f>IFERROR(__xludf.DUMMYFUNCTION("""COMPUTED_VALUE"""),"No aplica")</f>
        <v>No aplica</v>
      </c>
      <c r="AB73" s="96" t="str">
        <f>IFERROR(__xludf.DUMMYFUNCTION("""COMPUTED_VALUE"""),"https://photos.app.goo.gl/wo4gwGMQcpstqwSZ7")</f>
        <v>https://photos.app.goo.gl/wo4gwGMQcpstqwSZ7</v>
      </c>
      <c r="AC73" s="46" t="str">
        <f>IFERROR(__xludf.DUMMYFUNCTION("""COMPUTED_VALUE"""),"Cuenta con: Sala-comedor, cocina integral, balcón amplio con vista al exterior, zona de lavandería, habitación principal con closets en madera, baño privado y A.A, 2 habitaciones auxiliares con closet en madera y A.A, Baño social, parqueadero privado. El "&amp;"edificio cuenta con: Vigilancia 24 horas Salón social, 2 Piscinas (adultos-niños), Gimnasio, amplias zonas verdes, parque infantil, 2 Canchas de futbol.")</f>
        <v>Cuenta con: Sala-comedor, cocina integral, balcón amplio con vista al exterior, zona de lavandería, habitación principal con closets en madera, baño privado y A.A, 2 habitaciones auxiliares con closet en madera y A.A, Baño social, parqueadero privado. El edificio cuenta con: Vigilancia 24 horas Salón social, 2 Piscinas (adultos-niños), Gimnasio, amplias zonas verdes, parque infantil, 2 Canchas de futbol.</v>
      </c>
      <c r="AD73" s="46" t="str">
        <f>IFERROR(__xludf.DUMMYFUNCTION("""COMPUTED_VALUE"""),"Apartamento con buenos acabados.")</f>
        <v>Apartamento con buenos acabados.</v>
      </c>
      <c r="AE73" s="46"/>
      <c r="AF73" s="46" t="str">
        <f>IFERROR(__xludf.DUMMYFUNCTION("""COMPUTED_VALUE"""),"integral")</f>
        <v>integral</v>
      </c>
      <c r="AG73" s="46"/>
      <c r="AH73" s="46" t="str">
        <f>IFERROR(__xludf.DUMMYFUNCTION("""COMPUTED_VALUE"""),"Aliado")</f>
        <v>Aliado</v>
      </c>
      <c r="AI73" s="92" t="str">
        <f>IFERROR(__xludf.DUMMYFUNCTION("""COMPUTED_VALUE"""),"https://lh3.googleusercontent.com/pw/AP1GczPENZql7Q05PzMhDlUEp5RUKQL6CYuEYBnSdrCa-8ZvgKRSLEskN3RIC8DiCqEAIX7dHUhEgSBVIw9OqTnVXeklzX_Ltms-k1mm5q6AgEyDl2dFIkxc=w1200|https://lh3.googleusercontent.com/pw/AP1GczNoN69DPP4zWMqou4nLa62IDs37vHhTxDDfx14P57WLiEdSRj"&amp;"rKO6oZ8-JO0V8iR9rOwk7-_YC-2tncyjbHXGqryDliSPyoGvsLuyHynujXDZwxz5DA=w1200|https://lh3.googleusercontent.com/pw/AP1GczMGG61GEC0P8VMvci9foKsYTyRm-T3SFQj8cKSKmqlG0QpvMQupYtb_NW3t7LYfCjC0fhJKzpfC5GJGx7MRu-D3soJzhh3X9STXuWN-19J3MCrndxZp=w1200|https://lh3.google"&amp;"usercontent.com/pw/AP1GczNCy1Id9b5vO3U5j_05BVrBWwNuH8tjuJrHKs11J1a3shpdHpDt3VuB7bTn1_z_SSSfkUrzOU-TyWCIxE83rJsJsGkKBzcB6lNZcWjBWgDhI2I6l36i=w1200|https://lh3.googleusercontent.com/pw/AP1GczMrap1rVJCrBMzI2I0CMaNmAja8A-RlB6WLX74jPBSiD45vBs-XhPfx8RElMSypgBnA"&amp;"QQJq_YqvQH8p0Urko8WyA5_qENVc-U39QnLSmI3eoEWcKK0P=w1200|https://lh3.googleusercontent.com/pw/AP1GczNKYEc41XSsdb_UFt4NH9XCmyNH_o7SJph4yPGSIM_W8rGuffVJgoS6tWv5l1bba9wGG3ZAH0mjfm2GBI88h0ZKc8J5vc_BmNfXxZEJ8eTCmMAkjv5q=w1200|https://lh3.googleusercontent.com/pw"&amp;"/AP1GczN3jYA9brfqAumrsGtVqRo43zZw3kLmZ_jIp6hOt__N3NmcI3Om5NjrQT6ineFc39KQTY1nspi-jI5f7LO1SM2hnSoNb-2X4H-woPZh2ir-EaZJ5QRB=w1200|https://lh3.googleusercontent.com/pw/AP1GczNScUug0POPzOx0bl8-KuGfFBo7h7_yM8kEIuXU_NHKMm_18OUDRKqU3awPtrX2XFh1DnB_Qun3BgwmggeQ8_"&amp;"bYln-s07od-uEzsyoghxc_KTO-FQi3=w1200|https://lh3.googleusercontent.com/pw/AP1GczOkwKkK-RWQDEAcMKa1jwIp58b5hEVaJ32D-aKCUE0tPVykfB2EaTPhcchqWd-TNb-QFLypa-Uu655w3w8Gof8rMAGbqkukRVQTpu84kENoGq6OCplx=w1200|https://lh3.googleusercontent.com/pw/AP1GczODdrMUZtxE4"&amp;"jAIWWfF5LwBakuOSXXyTfyq_nCEBHToNtCB9ACMN6C5ELSdHxTEk7yIvFFVHHvATeGXd9oAngCEZ3R72nILjCmnYKgsKoKKJ8It_2P5=w1200|https://lh3.googleusercontent.com/pw/AP1GczNz7FF4pqH1puDY0jPIERMEByyuxPeljkclTmfivKfWcmY9FsRhFLtvdkEYVGu6aVuVhdDDro32lEG-PgOggAMrr85VzGYNvopT6Ne0"&amp;"tahZ95cWkuJa=w1200|https://lh3.googleusercontent.com/pw/AP1GczPfN2z8HK24mRf4wzeWZxyZrxK090FozbGX0vGGwytMbQfYyCRjd_PDeEei1jbyzEn-Fkwqh6vJ_ULE0-UZQi-14umNgngslnk3WBq5CyyVx6itmg_7=w1200|https://lh3.googleusercontent.com/pw/AP1GczOIlmoBACeS4aOoz9Wp0gnGw5dSlCM"&amp;"JXG9HMC7X_uuUxepuybeXueoMjObXsKaUfZ6_zKqCzpOlj9ffUx60FRvu_f5YsiLyFGfmK9bIDmIJ_t8pxzed=w1200|https://lh3.googleusercontent.com/pw/AP1GczNo0o-Slene63-HOziUigxYWlSPfJzdlvZqtbSMCxcnZ0j7usfPfceEDtgSNIHz1boPpWz0K4M0st1VwNdoptvjIYih_2Sn97yQzx7_smnIxIPA8fB0=w1200"&amp;"|https://lh3.googleusercontent.com/pw/AP1GczNuR5sU4zXm2DR-tJdW8MY9rNEdUcFplvr6qKq3u21gLPZ87jwwUjr1NhZnukfUaZMr6Xm-harrVwLPg0QDMTtnGSkqe-0KowMnrewBPWBDEY5gTfkz=w1200|https://lh3.googleusercontent.com/pw/AP1GczOlcoJ-07KO0uNgm_-yDgvfzyfvr-6FRbWIAFZViQ7ogwCgp"&amp;"abt5l_3luOQb5LRYDZOIVho3ApqmpTjw6QoUYoYFaBjo-QiwjltbjceAk56RRfEHlWK=w1200|https://lh3.googleusercontent.com/pw/AP1GczOsUh8E8msMRYuCDGsEkieMuuTpjFs25gChBWukSpeFY9RbmiqXydXc3RriJ_IAD_RUnZC4_x5yIGfSZ8uUIeAzsRCIiFA7x4S6ha5CFo9EIqekhm0e=w1200")</f>
        <v>https://lh3.googleusercontent.com/pw/AP1GczPENZql7Q05PzMhDlUEp5RUKQL6CYuEYBnSdrCa-8ZvgKRSLEskN3RIC8DiCqEAIX7dHUhEgSBVIw9OqTnVXeklzX_Ltms-k1mm5q6AgEyDl2dFIkxc=w1200|https://lh3.googleusercontent.com/pw/AP1GczNoN69DPP4zWMqou4nLa62IDs37vHhTxDDfx14P57WLiEdSRjrKO6oZ8-JO0V8iR9rOwk7-_YC-2tncyjbHXGqryDliSPyoGvsLuyHynujXDZwxz5DA=w1200|https://lh3.googleusercontent.com/pw/AP1GczMGG61GEC0P8VMvci9foKsYTyRm-T3SFQj8cKSKmqlG0QpvMQupYtb_NW3t7LYfCjC0fhJKzpfC5GJGx7MRu-D3soJzhh3X9STXuWN-19J3MCrndxZp=w1200|https://lh3.googleusercontent.com/pw/AP1GczNCy1Id9b5vO3U5j_05BVrBWwNuH8tjuJrHKs11J1a3shpdHpDt3VuB7bTn1_z_SSSfkUrzOU-TyWCIxE83rJsJsGkKBzcB6lNZcWjBWgDhI2I6l36i=w1200|https://lh3.googleusercontent.com/pw/AP1GczMrap1rVJCrBMzI2I0CMaNmAja8A-RlB6WLX74jPBSiD45vBs-XhPfx8RElMSypgBnAQQJq_YqvQH8p0Urko8WyA5_qENVc-U39QnLSmI3eoEWcKK0P=w1200|https://lh3.googleusercontent.com/pw/AP1GczNKYEc41XSsdb_UFt4NH9XCmyNH_o7SJph4yPGSIM_W8rGuffVJgoS6tWv5l1bba9wGG3ZAH0mjfm2GBI88h0ZKc8J5vc_BmNfXxZEJ8eTCmMAkjv5q=w1200|https://lh3.googleusercontent.com/pw/AP1GczN3jYA9brfqAumrsGtVqRo43zZw3kLmZ_jIp6hOt__N3NmcI3Om5NjrQT6ineFc39KQTY1nspi-jI5f7LO1SM2hnSoNb-2X4H-woPZh2ir-EaZJ5QRB=w1200|https://lh3.googleusercontent.com/pw/AP1GczNScUug0POPzOx0bl8-KuGfFBo7h7_yM8kEIuXU_NHKMm_18OUDRKqU3awPtrX2XFh1DnB_Qun3BgwmggeQ8_bYln-s07od-uEzsyoghxc_KTO-FQi3=w1200|https://lh3.googleusercontent.com/pw/AP1GczOkwKkK-RWQDEAcMKa1jwIp58b5hEVaJ32D-aKCUE0tPVykfB2EaTPhcchqWd-TNb-QFLypa-Uu655w3w8Gof8rMAGbqkukRVQTpu84kENoGq6OCplx=w1200|https://lh3.googleusercontent.com/pw/AP1GczODdrMUZtxE4jAIWWfF5LwBakuOSXXyTfyq_nCEBHToNtCB9ACMN6C5ELSdHxTEk7yIvFFVHHvATeGXd9oAngCEZ3R72nILjCmnYKgsKoKKJ8It_2P5=w1200|https://lh3.googleusercontent.com/pw/AP1GczNz7FF4pqH1puDY0jPIERMEByyuxPeljkclTmfivKfWcmY9FsRhFLtvdkEYVGu6aVuVhdDDro32lEG-PgOggAMrr85VzGYNvopT6Ne0tahZ95cWkuJa=w1200|https://lh3.googleusercontent.com/pw/AP1GczPfN2z8HK24mRf4wzeWZxyZrxK090FozbGX0vGGwytMbQfYyCRjd_PDeEei1jbyzEn-Fkwqh6vJ_ULE0-UZQi-14umNgngslnk3WBq5CyyVx6itmg_7=w1200|https://lh3.googleusercontent.com/pw/AP1GczOIlmoBACeS4aOoz9Wp0gnGw5dSlCMJXG9HMC7X_uuUxepuybeXueoMjObXsKaUfZ6_zKqCzpOlj9ffUx60FRvu_f5YsiLyFGfmK9bIDmIJ_t8pxzed=w1200|https://lh3.googleusercontent.com/pw/AP1GczNo0o-Slene63-HOziUigxYWlSPfJzdlvZqtbSMCxcnZ0j7usfPfceEDtgSNIHz1boPpWz0K4M0st1VwNdoptvjIYih_2Sn97yQzx7_smnIxIPA8fB0=w1200|https://lh3.googleusercontent.com/pw/AP1GczNuR5sU4zXm2DR-tJdW8MY9rNEdUcFplvr6qKq3u21gLPZ87jwwUjr1NhZnukfUaZMr6Xm-harrVwLPg0QDMTtnGSkqe-0KowMnrewBPWBDEY5gTfkz=w1200|https://lh3.googleusercontent.com/pw/AP1GczOlcoJ-07KO0uNgm_-yDgvfzyfvr-6FRbWIAFZViQ7ogwCgpabt5l_3luOQb5LRYDZOIVho3ApqmpTjw6QoUYoYFaBjo-QiwjltbjceAk56RRfEHlWK=w1200|https://lh3.googleusercontent.com/pw/AP1GczOsUh8E8msMRYuCDGsEkieMuuTpjFs25gChBWukSpeFY9RbmiqXydXc3RriJ_IAD_RUnZC4_x5yIGfSZ8uUIeAzsRCIiFA7x4S6ha5CFo9EIqekhm0e=w1200</v>
      </c>
      <c r="AJ73" s="46"/>
      <c r="AK73" s="46"/>
      <c r="AL73" s="46"/>
      <c r="AM73" s="46"/>
      <c r="AN73" s="46"/>
      <c r="AO73" s="46"/>
      <c r="AP73" s="46"/>
      <c r="AQ73" s="46"/>
      <c r="AR73" s="46"/>
      <c r="AS73" s="46"/>
      <c r="AT73" s="46"/>
      <c r="AU73" s="46"/>
      <c r="AV73" s="46"/>
      <c r="AW73" s="46"/>
      <c r="AX73" s="46"/>
      <c r="AY73" s="46"/>
      <c r="AZ73" s="46"/>
      <c r="BA73" s="46"/>
      <c r="BB73" s="46"/>
      <c r="BC73" s="46"/>
      <c r="BD73" s="46"/>
      <c r="BE73" s="46"/>
      <c r="BF73" s="46"/>
      <c r="BG73" s="46"/>
      <c r="BH73" s="46"/>
      <c r="BI73" s="46"/>
      <c r="BJ73" s="46"/>
      <c r="BK73" s="46"/>
      <c r="BL73" s="46"/>
      <c r="BM73" s="46"/>
      <c r="BN73" s="46"/>
      <c r="BO73" s="46"/>
      <c r="BP73" s="46"/>
      <c r="BQ73" s="46"/>
      <c r="BR73" s="46"/>
      <c r="BS73" s="46"/>
      <c r="BT73" s="46"/>
      <c r="BU73" s="46"/>
      <c r="BV73" s="46"/>
      <c r="BW73" s="46"/>
      <c r="BX73" s="46"/>
      <c r="BY73" s="46"/>
      <c r="BZ73" s="46"/>
      <c r="CA73" s="46"/>
      <c r="CB73" s="46"/>
      <c r="CC73" s="46"/>
    </row>
    <row r="74">
      <c r="A74" s="87" t="str">
        <f>IFERROR(__xludf.DUMMYFUNCTION("""COMPUTED_VALUE"""),"1790")</f>
        <v>1790</v>
      </c>
      <c r="B74" s="46" t="str">
        <f>IFERROR(__xludf.DUMMYFUNCTION("""COMPUTED_VALUE"""),"Local  centro comercial Santa Lucía - Oriente")</f>
        <v>Local  centro comercial Santa Lucía - Oriente</v>
      </c>
      <c r="C74" s="46" t="str">
        <f>IFERROR(__xludf.DUMMYFUNCTION("""COMPUTED_VALUE"""),"Local")</f>
        <v>Local</v>
      </c>
      <c r="D74" s="46" t="str">
        <f>IFERROR(__xludf.DUMMYFUNCTION("""COMPUTED_VALUE"""),"Ipanema")</f>
        <v>Ipanema</v>
      </c>
      <c r="E74" s="46"/>
      <c r="F74" s="90">
        <f>IFERROR(__xludf.DUMMYFUNCTION("""COMPUTED_VALUE"""),3.6E8)</f>
        <v>360000000</v>
      </c>
      <c r="G74" s="46" t="str">
        <f>IFERROR(__xludf.DUMMYFUNCTION("""COMPUTED_VALUE"""),"$300'000.000 a $400'000.000")</f>
        <v>$300'000.000 a $400'000.000</v>
      </c>
      <c r="H74" s="46"/>
      <c r="I74" s="46"/>
      <c r="J74" s="46" t="str">
        <f>IFERROR(__xludf.DUMMYFUNCTION("""COMPUTED_VALUE"""),"Oriente")</f>
        <v>Oriente</v>
      </c>
      <c r="K74" s="87" t="str">
        <f>IFERROR(__xludf.DUMMYFUNCTION("""COMPUTED_VALUE"""),"7")</f>
        <v>7</v>
      </c>
      <c r="L74" s="46">
        <f>IFERROR(__xludf.DUMMYFUNCTION("""COMPUTED_VALUE"""),0.0)</f>
        <v>0</v>
      </c>
      <c r="M74" s="46"/>
      <c r="N74" s="46">
        <f>IFERROR(__xludf.DUMMYFUNCTION("""COMPUTED_VALUE"""),0.0)</f>
        <v>0</v>
      </c>
      <c r="O74" s="46">
        <f>IFERROR(__xludf.DUMMYFUNCTION("""COMPUTED_VALUE"""),0.0)</f>
        <v>0</v>
      </c>
      <c r="P74" s="46">
        <f>IFERROR(__xludf.DUMMYFUNCTION("""COMPUTED_VALUE"""),3.0)</f>
        <v>3</v>
      </c>
      <c r="Q74" s="92">
        <f>IFERROR(__xludf.DUMMYFUNCTION("""COMPUTED_VALUE"""),37.7)</f>
        <v>37.7</v>
      </c>
      <c r="R74" s="92">
        <f>IFERROR(__xludf.DUMMYFUNCTION("""COMPUTED_VALUE"""),40.89)</f>
        <v>40.89</v>
      </c>
      <c r="S74" s="87" t="str">
        <f>IFERROR(__xludf.DUMMYFUNCTION("""COMPUTED_VALUE""")," ")</f>
        <v> </v>
      </c>
      <c r="T74" s="46" t="str">
        <f>IFERROR(__xludf.DUMMYFUNCTION("""COMPUTED_VALUE"""),"Neiva")</f>
        <v>Neiva</v>
      </c>
      <c r="U74" s="87" t="str">
        <f>IFERROR(__xludf.DUMMYFUNCTION("""COMPUTED_VALUE"""),"Comercial")</f>
        <v>Comercial</v>
      </c>
      <c r="V74" s="46" t="str">
        <f>IFERROR(__xludf.DUMMYFUNCTION("""COMPUTED_VALUE"""),"3ro.")</f>
        <v>3ro.</v>
      </c>
      <c r="W74" s="46"/>
      <c r="X74" s="46">
        <f>IFERROR(__xludf.DUMMYFUNCTION("""COMPUTED_VALUE"""),0.0)</f>
        <v>0</v>
      </c>
      <c r="Y74" s="46" t="str">
        <f>IFERROR(__xludf.DUMMYFUNCTION("""COMPUTED_VALUE"""),"No tiene")</f>
        <v>No tiene</v>
      </c>
      <c r="Z74" s="90"/>
      <c r="AA74" s="33" t="str">
        <f>IFERROR(__xludf.DUMMYFUNCTION("""COMPUTED_VALUE"""),"No aplica")</f>
        <v>No aplica</v>
      </c>
      <c r="AB74" s="96" t="str">
        <f>IFERROR(__xludf.DUMMYFUNCTION("""COMPUTED_VALUE"""),"https://photos.app.goo.gl/PQQrQfE4hGm6jSU86")</f>
        <v>https://photos.app.goo.gl/PQQrQfE4hGm6jSU86</v>
      </c>
      <c r="AC74" s="46" t="str">
        <f>IFERROR(__xludf.DUMMYFUNCTION("""COMPUTED_VALUE"""),"Local comercial que combina ubicación estratégica, con mayor crecimiento, rodeado de comercio, servicios, oficinas y constante flujo de clientes, rentabilidad inmediata y valorización asegurada.")</f>
        <v>Local comercial que combina ubicación estratégica, con mayor crecimiento, rodeado de comercio, servicios, oficinas y constante flujo de clientes, rentabilidad inmediata y valorización asegurada.</v>
      </c>
      <c r="AD74" s="46" t="str">
        <f>IFERROR(__xludf.DUMMYFUNCTION("""COMPUTED_VALUE"""),"Local ubicado en Tercer Piso / contiguo a los baños públicos. Área: Privada: 37.16 m² Construida: 40.89 m². Nota: El valor no incluye mobiliario.")</f>
        <v>Local ubicado en Tercer Piso / contiguo a los baños públicos. Área: Privada: 37.16 m² Construida: 40.89 m². Nota: El valor no incluye mobiliario.</v>
      </c>
      <c r="AE74" s="46"/>
      <c r="AF74" s="46">
        <f>IFERROR(__xludf.DUMMYFUNCTION("""COMPUTED_VALUE"""),0.0)</f>
        <v>0</v>
      </c>
      <c r="AG74" s="46"/>
      <c r="AH74" s="46" t="str">
        <f>IFERROR(__xludf.DUMMYFUNCTION("""COMPUTED_VALUE"""),"Aliado")</f>
        <v>Aliado</v>
      </c>
      <c r="AI74" s="92" t="str">
        <f>IFERROR(__xludf.DUMMYFUNCTION("""COMPUTED_VALUE"""),"https://lh3.googleusercontent.com/pw/AP1GczOno08DH0Zx1Wz1oPpFGw-CW4V5dkQt6cAYSNgvYdthswBWcJLZhJUzoaY-VJhOm2p0GoaCgugcrooiBQDrkledjt1xgT743qecTo3OC1Oq1Pb2ByqL=w1200|https://lh3.googleusercontent.com/pw/AP1GczOteQMYwjyOS0gRNDu9l2czM0s3fWuZV8Mi9PNhiBkYbAmMQe"&amp;"1DPYzgdA-eE7AWYcCI8hOAucADanpAadXPyEkoP79HDIupFe1uUWHBRTu1_F7SpcvV=w1200|https://lh3.googleusercontent.com/pw/AP1GczOQUw8pmLakOLEUkCqvbjU7sYnLFh90dJ1lbWg734ETUsAIcL5vRSkOKEN5MIeei66yZ4V6_EX4N34SrNPORHQ7NJyoTaLUtKmyI7vc9IhvbwrrDaEK=w1200|https://lh3.google"&amp;"usercontent.com/pw/AP1GczO_yZy2yV4ImpSy7d63EmboE7ukInvyy90fAtWYkipBt7_Cgp3gGRUW3s5apXvWB38gPdqugf3Vb_RDX43cQC6j-2GIUv8m327kt5uhmuDxNDIXFzn9=w1200|https://lh3.googleusercontent.com/pw/AP1GczMhitMLBKCrpSO_9Lo4HC-eS14ygYqEKVXRCuAnDd2ATQ3XWzLH054iFjJNcAFBlJXj"&amp;"y9hd8HQ316v5G2aGnSxhQYeugnkk8VPzsNkT4inrQYk1XE5M=w1200|https://lh3.googleusercontent.com/pw/AP1GczNoJaXPB8FkkgLU8H-d-amHL6y59jYCtahx_2SBfRK6jJY6d5J_vw_sU2jcDgyZE17zXWP8PoMF9DrTYwAUwCzX7MVuetZFGIiPydAdI8tca_mtReLS=w1200|https://lh3.googleusercontent.com/pw"&amp;"/AP1GczONUj7hComBa1eO3LZqt9ztSiII8Dbr3auDLYUiwboY1SzrXeTFCYj9V7js1DX-ZbSxggmSTsAp38QsEXP2w2lw4HbHZor_QEL86sU9Hqw6DHY3ZDY2=w1200|https://lh3.googleusercontent.com/pw/AP1GczNBg7TtJC3Hs_WLQoauyPcslXb9mT2HsxGEhCbfRG6k7w1514XqWugdtlY1lyLw3p3P924s0TSmTe3wBDiYau"&amp;"OdCdKkBWzugEvLVb9wl37I2JtFyV-o=w1200|https://lh3.googleusercontent.com/pw/AP1GczMgesWubHA72bEIbpf0cxwECo_DoBvtwo872wbHUpbrzq8XQzvlJMd_mx128cfbuBpPQSnQ3mjhKeF2umNq9d8VjEfcLSsFSkTXbR6pOwwsKVk9isXu=w1200")</f>
        <v>https://lh3.googleusercontent.com/pw/AP1GczOno08DH0Zx1Wz1oPpFGw-CW4V5dkQt6cAYSNgvYdthswBWcJLZhJUzoaY-VJhOm2p0GoaCgugcrooiBQDrkledjt1xgT743qecTo3OC1Oq1Pb2ByqL=w1200|https://lh3.googleusercontent.com/pw/AP1GczOteQMYwjyOS0gRNDu9l2czM0s3fWuZV8Mi9PNhiBkYbAmMQe1DPYzgdA-eE7AWYcCI8hOAucADanpAadXPyEkoP79HDIupFe1uUWHBRTu1_F7SpcvV=w1200|https://lh3.googleusercontent.com/pw/AP1GczOQUw8pmLakOLEUkCqvbjU7sYnLFh90dJ1lbWg734ETUsAIcL5vRSkOKEN5MIeei66yZ4V6_EX4N34SrNPORHQ7NJyoTaLUtKmyI7vc9IhvbwrrDaEK=w1200|https://lh3.googleusercontent.com/pw/AP1GczO_yZy2yV4ImpSy7d63EmboE7ukInvyy90fAtWYkipBt7_Cgp3gGRUW3s5apXvWB38gPdqugf3Vb_RDX43cQC6j-2GIUv8m327kt5uhmuDxNDIXFzn9=w1200|https://lh3.googleusercontent.com/pw/AP1GczMhitMLBKCrpSO_9Lo4HC-eS14ygYqEKVXRCuAnDd2ATQ3XWzLH054iFjJNcAFBlJXjy9hd8HQ316v5G2aGnSxhQYeugnkk8VPzsNkT4inrQYk1XE5M=w1200|https://lh3.googleusercontent.com/pw/AP1GczNoJaXPB8FkkgLU8H-d-amHL6y59jYCtahx_2SBfRK6jJY6d5J_vw_sU2jcDgyZE17zXWP8PoMF9DrTYwAUwCzX7MVuetZFGIiPydAdI8tca_mtReLS=w1200|https://lh3.googleusercontent.com/pw/AP1GczONUj7hComBa1eO3LZqt9ztSiII8Dbr3auDLYUiwboY1SzrXeTFCYj9V7js1DX-ZbSxggmSTsAp38QsEXP2w2lw4HbHZor_QEL86sU9Hqw6DHY3ZDY2=w1200|https://lh3.googleusercontent.com/pw/AP1GczNBg7TtJC3Hs_WLQoauyPcslXb9mT2HsxGEhCbfRG6k7w1514XqWugdtlY1lyLw3p3P924s0TSmTe3wBDiYauOdCdKkBWzugEvLVb9wl37I2JtFyV-o=w1200|https://lh3.googleusercontent.com/pw/AP1GczMgesWubHA72bEIbpf0cxwECo_DoBvtwo872wbHUpbrzq8XQzvlJMd_mx128cfbuBpPQSnQ3mjhKeF2umNq9d8VjEfcLSsFSkTXbR6pOwwsKVk9isXu=w1200</v>
      </c>
      <c r="AJ74" s="46"/>
      <c r="AK74" s="46"/>
      <c r="AL74" s="46"/>
      <c r="AM74" s="46"/>
      <c r="AN74" s="46"/>
      <c r="AO74" s="46"/>
      <c r="AP74" s="46"/>
      <c r="AQ74" s="46"/>
      <c r="AR74" s="46"/>
      <c r="AS74" s="46"/>
      <c r="AT74" s="46"/>
      <c r="AU74" s="46"/>
      <c r="AV74" s="46"/>
      <c r="AW74" s="46"/>
      <c r="AX74" s="46"/>
      <c r="AY74" s="46"/>
      <c r="AZ74" s="46"/>
      <c r="BA74" s="46"/>
      <c r="BB74" s="46"/>
      <c r="BC74" s="46"/>
      <c r="BD74" s="46"/>
      <c r="BE74" s="46"/>
      <c r="BF74" s="46"/>
      <c r="BG74" s="46"/>
      <c r="BH74" s="46"/>
      <c r="BI74" s="46"/>
      <c r="BJ74" s="46"/>
      <c r="BK74" s="46"/>
      <c r="BL74" s="46"/>
      <c r="BM74" s="46"/>
      <c r="BN74" s="46"/>
      <c r="BO74" s="46"/>
      <c r="BP74" s="46"/>
      <c r="BQ74" s="46"/>
      <c r="BR74" s="46"/>
      <c r="BS74" s="46"/>
      <c r="BT74" s="46"/>
      <c r="BU74" s="46"/>
      <c r="BV74" s="46"/>
      <c r="BW74" s="46"/>
      <c r="BX74" s="46"/>
      <c r="BY74" s="46"/>
      <c r="BZ74" s="46"/>
      <c r="CA74" s="46"/>
      <c r="CB74" s="46"/>
      <c r="CC74" s="46"/>
    </row>
    <row r="75">
      <c r="A75" s="87" t="str">
        <f>IFERROR(__xludf.DUMMYFUNCTION("""COMPUTED_VALUE"""),"1714")</f>
        <v>1714</v>
      </c>
      <c r="B75" s="46" t="str">
        <f>IFERROR(__xludf.DUMMYFUNCTION("""COMPUTED_VALUE"""),"Casa en (Conjunto) Urbanización Andalucia V Etapa - Terminal")</f>
        <v>Casa en (Conjunto) Urbanización Andalucia V Etapa - Terminal</v>
      </c>
      <c r="C75" s="46" t="str">
        <f>IFERROR(__xludf.DUMMYFUNCTION("""COMPUTED_VALUE"""),"Casa en conjunto")</f>
        <v>Casa en conjunto</v>
      </c>
      <c r="D75" s="46"/>
      <c r="E75" s="46" t="str">
        <f>IFERROR(__xludf.DUMMYFUNCTION("""COMPUTED_VALUE"""),"Andalucía V Etapa")</f>
        <v>Andalucía V Etapa</v>
      </c>
      <c r="F75" s="90">
        <f>IFERROR(__xludf.DUMMYFUNCTION("""COMPUTED_VALUE"""),3.6E8)</f>
        <v>360000000</v>
      </c>
      <c r="G75" s="46" t="str">
        <f>IFERROR(__xludf.DUMMYFUNCTION("""COMPUTED_VALUE"""),"$300'000.000 a $400'000.000")</f>
        <v>$300'000.000 a $400'000.000</v>
      </c>
      <c r="H75" s="46"/>
      <c r="I75" s="46"/>
      <c r="J75" s="46" t="str">
        <f>IFERROR(__xludf.DUMMYFUNCTION("""COMPUTED_VALUE"""),"Sur")</f>
        <v>Sur</v>
      </c>
      <c r="K75" s="87" t="str">
        <f>IFERROR(__xludf.DUMMYFUNCTION("""COMPUTED_VALUE"""),"6")</f>
        <v>6</v>
      </c>
      <c r="L75" s="46">
        <f>IFERROR(__xludf.DUMMYFUNCTION("""COMPUTED_VALUE"""),4.0)</f>
        <v>4</v>
      </c>
      <c r="M75" s="46"/>
      <c r="N75" s="46">
        <f>IFERROR(__xludf.DUMMYFUNCTION("""COMPUTED_VALUE"""),4.0)</f>
        <v>4</v>
      </c>
      <c r="O75" s="46">
        <f>IFERROR(__xludf.DUMMYFUNCTION("""COMPUTED_VALUE"""),1.0)</f>
        <v>1</v>
      </c>
      <c r="P75" s="46">
        <f>IFERROR(__xludf.DUMMYFUNCTION("""COMPUTED_VALUE"""),2.0)</f>
        <v>2</v>
      </c>
      <c r="Q75" s="92">
        <f>IFERROR(__xludf.DUMMYFUNCTION("""COMPUTED_VALUE"""),160.0)</f>
        <v>160</v>
      </c>
      <c r="R75" s="92">
        <f>IFERROR(__xludf.DUMMYFUNCTION("""COMPUTED_VALUE"""),93.0)</f>
        <v>93</v>
      </c>
      <c r="S75" s="87" t="str">
        <f>IFERROR(__xludf.DUMMYFUNCTION("""COMPUTED_VALUE""")," ")</f>
        <v> </v>
      </c>
      <c r="T75" s="46" t="str">
        <f>IFERROR(__xludf.DUMMYFUNCTION("""COMPUTED_VALUE"""),"Neiva")</f>
        <v>Neiva</v>
      </c>
      <c r="U75" s="87" t="str">
        <f>IFERROR(__xludf.DUMMYFUNCTION("""COMPUTED_VALUE"""),"3")</f>
        <v>3</v>
      </c>
      <c r="V75" s="46" t="str">
        <f>IFERROR(__xludf.DUMMYFUNCTION("""COMPUTED_VALUE"""),"Medianera")</f>
        <v>Medianera</v>
      </c>
      <c r="W75" s="46"/>
      <c r="X75" s="46">
        <f>IFERROR(__xludf.DUMMYFUNCTION("""COMPUTED_VALUE"""),4.0)</f>
        <v>4</v>
      </c>
      <c r="Y75" s="46" t="str">
        <f>IFERROR(__xludf.DUMMYFUNCTION("""COMPUTED_VALUE"""),"Social")</f>
        <v>Social</v>
      </c>
      <c r="Z75" s="90"/>
      <c r="AA75" s="33" t="str">
        <f>IFERROR(__xludf.DUMMYFUNCTION("""COMPUTED_VALUE"""),"No aplica")</f>
        <v>No aplica</v>
      </c>
      <c r="AB75" s="144" t="str">
        <f>IFERROR(__xludf.DUMMYFUNCTION("""COMPUTED_VALUE"""),"https://photos.app.goo.gl/5kt5qMWR95e7hGct6")</f>
        <v>https://photos.app.goo.gl/5kt5qMWR95e7hGct6</v>
      </c>
      <c r="AC75" s="46" t="str">
        <f>IFERROR(__xludf.DUMMYFUNCTION("""COMPUTED_VALUE"""),"Espectacular casa de 2 pisos, diseñada para ofrecerte espacios modernos, funcionales y acogedores para toda la familia. Primer Piso: Garaje Sala y comedor. Sala de TV. Estudio. Patio interno techado. Cocina integral. 2 baños. 1 habitación de huéspedes. Pi"&amp;"sos en mármol y tableta. Cielo raso en drywall con molduras en yeso y acabado veneciano. Segundo Piso: 3 Habitaciones con closets de madera. Habitación principal doble con baño privado. Habitación auxiliar con baño privado. Baño auxiliar. Pisos en mármol "&amp;"y techo en drywall.")</f>
        <v>Espectacular casa de 2 pisos, diseñada para ofrecerte espacios modernos, funcionales y acogedores para toda la familia. Primer Piso: Garaje Sala y comedor. Sala de TV. Estudio. Patio interno techado. Cocina integral. 2 baños. 1 habitación de huéspedes. Pisos en mármol y tableta. Cielo raso en drywall con molduras en yeso y acabado veneciano. Segundo Piso: 3 Habitaciones con closets de madera. Habitación principal doble con baño privado. Habitación auxiliar con baño privado. Baño auxiliar. Pisos en mármol y techo en drywall.</v>
      </c>
      <c r="AD75" s="46" t="str">
        <f>IFERROR(__xludf.DUMMYFUNCTION("""COMPUTED_VALUE"""),"Casa bien ubicada, remodelada y con buenoas acabados.")</f>
        <v>Casa bien ubicada, remodelada y con buenoas acabados.</v>
      </c>
      <c r="AE75" s="46"/>
      <c r="AF75" s="46" t="str">
        <f>IFERROR(__xludf.DUMMYFUNCTION("""COMPUTED_VALUE"""),"integral")</f>
        <v>integral</v>
      </c>
      <c r="AG75" s="46"/>
      <c r="AH75" s="46" t="str">
        <f>IFERROR(__xludf.DUMMYFUNCTION("""COMPUTED_VALUE"""),"Aliado")</f>
        <v>Aliado</v>
      </c>
      <c r="AI75" s="92" t="str">
        <f>IFERROR(__xludf.DUMMYFUNCTION("""COMPUTED_VALUE"""),"https://lh3.googleusercontent.com/pw/AP1GczNxY_FDjMdFhZabxumu9RhRl5ALTC9dX2YR8hRCXxjfN-kCtinxHMwpYjR8pHs7n-u6sgjF6_z6wYCll3VziWdq4TFhJlc63ZE8bBjj756G6t_8fJ95=w1200|https://lh3.googleusercontent.com/pw/AP1GczMTXPXsKYWLxWLO_ISl7XCn9cx3cN-ZmejcrQG8rMq8XPwkbt"&amp;"CiTP8IWNtQrqzFlTV2vjq7vF6OeM-Qy3zzs7cwXqTcwIagm4Mp9qANq0gk3Ko19zJo=w1200|https://lh3.googleusercontent.com/pw/AP1GczMfrTjPGlD2_AmXRyGQIvwQev7_t-Mwo5214jBvsi8hGXZxSMH6obKszwKOTeO6SEGgAkZo9PItva482NzPVy97qBwvYW_zW3i_vy56ttHkzRpwNpjo=w1200|https://lh3.google"&amp;"usercontent.com/pw/AP1GczNVdDeOVqJYLkUBUvqVLQmD4VHrqdqAMd71P5jvLg3L98ixVPR1GmBb4xUWq5B7ynexFWFhKh6FNq-cl4WVnP0a7EyyDaS_kGsPcDeaEdxLSjSZAkGr=w1200|https://lh3.googleusercontent.com/pw/AP1GczNRYpkaIYv1ynv_vXkzVaCJhTIEf94PpOOMC19LhOrEQNHcYv5oBQQodsjWK9FcBC3l"&amp;"yIJTcds2QUDVdfjLxuFBFivGW7sOu_KtJ03oE4DEGefwirxu=w1200|https://lh3.googleusercontent.com/pw/AP1GczOpGY1HBBgFrwZEjdnza6EQn6Bmt_kXIMXwXlIr11VJf9qE4K1Lhktzl2-Vg1dGDmdzeaxmenlh_Ca_EJoVFFBsv2DqscV1qddQSAUbdKhy1YNv6F0x=w1200|https://lh3.googleusercontent.com/pw"&amp;"/AP1GczNBrh39OihKKAg_F4oIvVqDjhaFijHZvNu4zN2jGdhAQqH84X-HuzcUXu4oe1JNanqQrOxG4XFuB5xpB13tx-AFh6XWMxpIXIgXwCxNqphPiDlGRc3y=w1200|https://lh3.googleusercontent.com/pw/AP1GczOLKQ6yNMZ6Ndrvaq2U5eNlUlQAN9Rybk-7L9Oe455XtNcv2Q8EWsl5GNK_dJWftEpVpN0dxKym7bkN2CWWn0"&amp;"1V7KYUXrOPApX1F6urFip9SiGWQOB0=w1200|https://lh3.googleusercontent.com/pw/AP1GczMY5kepKiE5Vb5ME55lNTASatmemyJcqopoGTrh-P1f9E9mEy6v_nGUiShLCeGMOetWg9LuBnqls2kpwCLjN-CH2tqRWgiRs9wL4bCclHEj9WaD7kTR=w1200|https://lh3.googleusercontent.com/pw/AP1GczPCoplIlV1uv"&amp;"yf0MKAtHmBilYUHtirpatRl9dwQjXggesywN_L50GUFgFLCTE4WGOqWgOvAcR-VHCPHVamHOAMsRTg1zYAf5HObeEpzSxaGxxI5I74X=w1200|https://lh3.googleusercontent.com/pw/AP1GczM1T_p0jL_UGlOphxSjXy599Wwn_kzgJHhbY2fGhdVB_6vCt0Nxda3WqTwmfP0cKymA3yUXsmp0ifyd0wiMNjZgTxLzjK7Tw3FL9Ehn"&amp;"l5FCDJ3j1Y7F=w1200|https://lh3.googleusercontent.com/pw/AP1GczNI72F0YrBoi_SeHyDDWr7DRnjb47Sx7ipe9f8PVsS1qcvqhwL62AE61wXhUtSirMZMC_H0Kt-trR3qlhwycxSMOL5sqNB18noqyQ2LiewSAnKtgVJn=w1200|https://lh3.googleusercontent.com/pw/AP1GczMq5HyKRhGjWEHy_TXetHsXw-Ko_mz"&amp;"8WYTBGAjuA5s-tUUyLMi12c85Nzi9O_TJIe0CSgTk5n4P2WshBWEP76wnM-a-zfhkDhMQQMqeRHw1xGHhmHdt=w1200|https://lh3.googleusercontent.com/pw/AP1GczNSg6K2lwoeel6-Fc_qguwyZzhZRSeDqWy3wfqvonlzWWxCn9OvGB0rMNPn6V69pek6HtoNJ0L_RTQSVfu9M1yYMWZOgqnuRp9IvYscKNj4UFile9mf=w1200"&amp;"|https://lh3.googleusercontent.com/pw/AP1GczMo1W07CHFo1ZO7H1ExuxOWXYRxWLvrHaiv4XYT2d6fzNBbFMRQClqOn76GMMBvSc_WRCRPJdin75q2j8fuZBujIH9na2ZHdnB3gOYVz4b8XWjRrlws=w1200|https://lh3.googleusercontent.com/pw/AP1GczNJ9AsW0NJCcfMEbm7_PxqgCF3IqnPDLDHxTlPn1BqLp6uet"&amp;"lDKO6e-tmYtJlc7YEP9_tVQVe7B15EE46WcHW6xXyr_LOTKIHtmnM1-hqXyV_LNrakt=w1200|https://lh3.googleusercontent.com/pw/AP1GczOMdDEgc1S7eYIsVmFkFtKAL6RXSuAKIGj3n6HUrxzBSVZxvgjRJTYyYyw3Wmi-HRZuOc5nyMh5RLpjMTUczJleYAMea7O7s8g7dMs7_D4hpypeKGK1=w1200|https://lh3.googl"&amp;"eusercontent.com/pw/AP1GczPHnvbocHb5dojxI-SrbxOWJ67p4hD-vQesxxrejWWxT_rtHiQ6_zVwNSL4-afwtGApuitWfRC86tZcYQZYQs-qY-jCHkBmzoaHGEBqWPzJVBwDTvch=w1200|https://lh3.googleusercontent.com/pw/AP1GczP6_UyQLKW4C1Ue_N6ZIBfEBR8Qr2cHJSD-zMCKwwuxoR9VJavsR5uX6KEnBL2Obee"&amp;"xWmlqmdUBX-xwz-hcaiG_xwVhZMBCBFFUeoRTg0sBpZy-f7pl=w1200")</f>
        <v>https://lh3.googleusercontent.com/pw/AP1GczNxY_FDjMdFhZabxumu9RhRl5ALTC9dX2YR8hRCXxjfN-kCtinxHMwpYjR8pHs7n-u6sgjF6_z6wYCll3VziWdq4TFhJlc63ZE8bBjj756G6t_8fJ95=w1200|https://lh3.googleusercontent.com/pw/AP1GczMTXPXsKYWLxWLO_ISl7XCn9cx3cN-ZmejcrQG8rMq8XPwkbtCiTP8IWNtQrqzFlTV2vjq7vF6OeM-Qy3zzs7cwXqTcwIagm4Mp9qANq0gk3Ko19zJo=w1200|https://lh3.googleusercontent.com/pw/AP1GczMfrTjPGlD2_AmXRyGQIvwQev7_t-Mwo5214jBvsi8hGXZxSMH6obKszwKOTeO6SEGgAkZo9PItva482NzPVy97qBwvYW_zW3i_vy56ttHkzRpwNpjo=w1200|https://lh3.googleusercontent.com/pw/AP1GczNVdDeOVqJYLkUBUvqVLQmD4VHrqdqAMd71P5jvLg3L98ixVPR1GmBb4xUWq5B7ynexFWFhKh6FNq-cl4WVnP0a7EyyDaS_kGsPcDeaEdxLSjSZAkGr=w1200|https://lh3.googleusercontent.com/pw/AP1GczNRYpkaIYv1ynv_vXkzVaCJhTIEf94PpOOMC19LhOrEQNHcYv5oBQQodsjWK9FcBC3lyIJTcds2QUDVdfjLxuFBFivGW7sOu_KtJ03oE4DEGefwirxu=w1200|https://lh3.googleusercontent.com/pw/AP1GczOpGY1HBBgFrwZEjdnza6EQn6Bmt_kXIMXwXlIr11VJf9qE4K1Lhktzl2-Vg1dGDmdzeaxmenlh_Ca_EJoVFFBsv2DqscV1qddQSAUbdKhy1YNv6F0x=w1200|https://lh3.googleusercontent.com/pw/AP1GczNBrh39OihKKAg_F4oIvVqDjhaFijHZvNu4zN2jGdhAQqH84X-HuzcUXu4oe1JNanqQrOxG4XFuB5xpB13tx-AFh6XWMxpIXIgXwCxNqphPiDlGRc3y=w1200|https://lh3.googleusercontent.com/pw/AP1GczOLKQ6yNMZ6Ndrvaq2U5eNlUlQAN9Rybk-7L9Oe455XtNcv2Q8EWsl5GNK_dJWftEpVpN0dxKym7bkN2CWWn01V7KYUXrOPApX1F6urFip9SiGWQOB0=w1200|https://lh3.googleusercontent.com/pw/AP1GczMY5kepKiE5Vb5ME55lNTASatmemyJcqopoGTrh-P1f9E9mEy6v_nGUiShLCeGMOetWg9LuBnqls2kpwCLjN-CH2tqRWgiRs9wL4bCclHEj9WaD7kTR=w1200|https://lh3.googleusercontent.com/pw/AP1GczPCoplIlV1uvyf0MKAtHmBilYUHtirpatRl9dwQjXggesywN_L50GUFgFLCTE4WGOqWgOvAcR-VHCPHVamHOAMsRTg1zYAf5HObeEpzSxaGxxI5I74X=w1200|https://lh3.googleusercontent.com/pw/AP1GczM1T_p0jL_UGlOphxSjXy599Wwn_kzgJHhbY2fGhdVB_6vCt0Nxda3WqTwmfP0cKymA3yUXsmp0ifyd0wiMNjZgTxLzjK7Tw3FL9Ehnl5FCDJ3j1Y7F=w1200|https://lh3.googleusercontent.com/pw/AP1GczNI72F0YrBoi_SeHyDDWr7DRnjb47Sx7ipe9f8PVsS1qcvqhwL62AE61wXhUtSirMZMC_H0Kt-trR3qlhwycxSMOL5sqNB18noqyQ2LiewSAnKtgVJn=w1200|https://lh3.googleusercontent.com/pw/AP1GczMq5HyKRhGjWEHy_TXetHsXw-Ko_mz8WYTBGAjuA5s-tUUyLMi12c85Nzi9O_TJIe0CSgTk5n4P2WshBWEP76wnM-a-zfhkDhMQQMqeRHw1xGHhmHdt=w1200|https://lh3.googleusercontent.com/pw/AP1GczNSg6K2lwoeel6-Fc_qguwyZzhZRSeDqWy3wfqvonlzWWxCn9OvGB0rMNPn6V69pek6HtoNJ0L_RTQSVfu9M1yYMWZOgqnuRp9IvYscKNj4UFile9mf=w1200|https://lh3.googleusercontent.com/pw/AP1GczMo1W07CHFo1ZO7H1ExuxOWXYRxWLvrHaiv4XYT2d6fzNBbFMRQClqOn76GMMBvSc_WRCRPJdin75q2j8fuZBujIH9na2ZHdnB3gOYVz4b8XWjRrlws=w1200|https://lh3.googleusercontent.com/pw/AP1GczNJ9AsW0NJCcfMEbm7_PxqgCF3IqnPDLDHxTlPn1BqLp6uetlDKO6e-tmYtJlc7YEP9_tVQVe7B15EE46WcHW6xXyr_LOTKIHtmnM1-hqXyV_LNrakt=w1200|https://lh3.googleusercontent.com/pw/AP1GczOMdDEgc1S7eYIsVmFkFtKAL6RXSuAKIGj3n6HUrxzBSVZxvgjRJTYyYyw3Wmi-HRZuOc5nyMh5RLpjMTUczJleYAMea7O7s8g7dMs7_D4hpypeKGK1=w1200|https://lh3.googleusercontent.com/pw/AP1GczPHnvbocHb5dojxI-SrbxOWJ67p4hD-vQesxxrejWWxT_rtHiQ6_zVwNSL4-afwtGApuitWfRC86tZcYQZYQs-qY-jCHkBmzoaHGEBqWPzJVBwDTvch=w1200|https://lh3.googleusercontent.com/pw/AP1GczP6_UyQLKW4C1Ue_N6ZIBfEBR8Qr2cHJSD-zMCKwwuxoR9VJavsR5uX6KEnBL2ObeexWmlqmdUBX-xwz-hcaiG_xwVhZMBCBFFUeoRTg0sBpZy-f7pl=w1200</v>
      </c>
      <c r="AJ75" s="46"/>
      <c r="AK75" s="46"/>
      <c r="AL75" s="46"/>
      <c r="AM75" s="46"/>
      <c r="AN75" s="46"/>
      <c r="AO75" s="46"/>
      <c r="AP75" s="46"/>
      <c r="AQ75" s="46"/>
      <c r="AR75" s="46"/>
      <c r="AS75" s="46"/>
      <c r="AT75" s="46"/>
      <c r="AU75" s="46"/>
      <c r="AV75" s="46"/>
      <c r="AW75" s="46"/>
      <c r="AX75" s="46"/>
      <c r="AY75" s="46"/>
      <c r="AZ75" s="46"/>
      <c r="BA75" s="46"/>
      <c r="BB75" s="46"/>
      <c r="BC75" s="46"/>
      <c r="BD75" s="46"/>
      <c r="BE75" s="46"/>
      <c r="BF75" s="46"/>
      <c r="BG75" s="46"/>
      <c r="BH75" s="46"/>
      <c r="BI75" s="46"/>
      <c r="BJ75" s="46"/>
      <c r="BK75" s="46"/>
      <c r="BL75" s="46"/>
      <c r="BM75" s="46"/>
      <c r="BN75" s="46"/>
      <c r="BO75" s="46"/>
      <c r="BP75" s="46"/>
      <c r="BQ75" s="46"/>
      <c r="BR75" s="46"/>
      <c r="BS75" s="46"/>
      <c r="BT75" s="46"/>
      <c r="BU75" s="46"/>
      <c r="BV75" s="46"/>
      <c r="BW75" s="46"/>
      <c r="BX75" s="46"/>
      <c r="BY75" s="46"/>
      <c r="BZ75" s="46"/>
      <c r="CA75" s="46"/>
      <c r="CB75" s="46"/>
      <c r="CC75" s="46"/>
    </row>
    <row r="76">
      <c r="A76" s="87" t="str">
        <f>IFERROR(__xludf.DUMMYFUNCTION("""COMPUTED_VALUE"""),"1689")</f>
        <v>1689</v>
      </c>
      <c r="B76" s="87" t="str">
        <f>IFERROR(__xludf.DUMMYFUNCTION("""COMPUTED_VALUE"""),"Apartamento en conjunto residencial Bambú ")</f>
        <v>Apartamento en conjunto residencial Bambú </v>
      </c>
      <c r="C76" s="46" t="str">
        <f>IFERROR(__xludf.DUMMYFUNCTION("""COMPUTED_VALUE"""),"Apartamento en conjunto")</f>
        <v>Apartamento en conjunto</v>
      </c>
      <c r="D76" s="46"/>
      <c r="E76" s="90" t="str">
        <f>IFERROR(__xludf.DUMMYFUNCTION("""COMPUTED_VALUE"""),"Conjunto Residencial Bambú")</f>
        <v>Conjunto Residencial Bambú</v>
      </c>
      <c r="F76" s="90">
        <f>IFERROR(__xludf.DUMMYFUNCTION("""COMPUTED_VALUE"""),3.5E8)</f>
        <v>350000000</v>
      </c>
      <c r="G76" s="46" t="str">
        <f>IFERROR(__xludf.DUMMYFUNCTION("""COMPUTED_VALUE"""),"$300'000.000 a $400'000.000")</f>
        <v>$300'000.000 a $400'000.000</v>
      </c>
      <c r="H76" s="46"/>
      <c r="I76" s="46"/>
      <c r="J76" s="46" t="str">
        <f>IFERROR(__xludf.DUMMYFUNCTION("""COMPUTED_VALUE"""),"Sur")</f>
        <v>Sur</v>
      </c>
      <c r="K76" s="87"/>
      <c r="L76" s="46">
        <f>IFERROR(__xludf.DUMMYFUNCTION("""COMPUTED_VALUE"""),3.0)</f>
        <v>3</v>
      </c>
      <c r="M76" s="46"/>
      <c r="N76" s="46">
        <f>IFERROR(__xludf.DUMMYFUNCTION("""COMPUTED_VALUE"""),2.0)</f>
        <v>2</v>
      </c>
      <c r="O76" s="46">
        <f>IFERROR(__xludf.DUMMYFUNCTION("""COMPUTED_VALUE"""),1.0)</f>
        <v>1</v>
      </c>
      <c r="P76" s="46">
        <f>IFERROR(__xludf.DUMMYFUNCTION("""COMPUTED_VALUE"""),9.0)</f>
        <v>9</v>
      </c>
      <c r="Q76" s="92">
        <f>IFERROR(__xludf.DUMMYFUNCTION("""COMPUTED_VALUE"""),89.0)</f>
        <v>89</v>
      </c>
      <c r="R76" s="92">
        <f>IFERROR(__xludf.DUMMYFUNCTION("""COMPUTED_VALUE"""),89.0)</f>
        <v>89</v>
      </c>
      <c r="S76" s="87" t="str">
        <f>IFERROR(__xludf.DUMMYFUNCTION("""COMPUTED_VALUE""")," ")</f>
        <v> </v>
      </c>
      <c r="T76" s="46" t="str">
        <f>IFERROR(__xludf.DUMMYFUNCTION("""COMPUTED_VALUE"""),"Neiva")</f>
        <v>Neiva</v>
      </c>
      <c r="U76" s="87"/>
      <c r="V76" s="46" t="str">
        <f>IFERROR(__xludf.DUMMYFUNCTION("""COMPUTED_VALUE"""),"9o.")</f>
        <v>9o.</v>
      </c>
      <c r="W76" s="46"/>
      <c r="X76" s="46">
        <f>IFERROR(__xludf.DUMMYFUNCTION("""COMPUTED_VALUE"""),3.0)</f>
        <v>3</v>
      </c>
      <c r="Y76" s="46" t="str">
        <f>IFERROR(__xludf.DUMMYFUNCTION("""COMPUTED_VALUE"""),"Social")</f>
        <v>Social</v>
      </c>
      <c r="Z76" s="90">
        <f>IFERROR(__xludf.DUMMYFUNCTION("""COMPUTED_VALUE"""),260000.0)</f>
        <v>260000</v>
      </c>
      <c r="AA76" s="33" t="str">
        <f>IFERROR(__xludf.DUMMYFUNCTION("""COMPUTED_VALUE"""),"No aplica")</f>
        <v>No aplica</v>
      </c>
      <c r="AB76" s="96" t="str">
        <f>IFERROR(__xludf.DUMMYFUNCTION("""COMPUTED_VALUE"""),"https://photos.app.goo.gl/S8Uf6ADeRATd5fkDA")</f>
        <v>https://photos.app.goo.gl/S8Uf6ADeRATd5fkDA</v>
      </c>
      <c r="AC76" s="46" t="str">
        <f>IFERROR(__xludf.DUMMYFUNCTION("""COMPUTED_VALUE"""),"Características destacadas: Sala comedor amplia. Balcón con una vista espectacular. Cocina integral abierta, moderna y funcional. Zona de lavandería independiente. Estudio ideal para trabajar o estudiar desde casa. Baño auxiliar para mayor comodidad. 3 ha"&amp;"bitaciones con aire acondicionado y closets en madera. Habitación principal con vestier y baño privado. Parqueadero privado incluido. Además, disfruta de exclusivas zonas sociales pensadas para ofrecer bienestar, entretenimiento y estilo de vida familiar.")</f>
        <v>Características destacadas: Sala comedor amplia. Balcón con una vista espectacular. Cocina integral abierta, moderna y funcional. Zona de lavandería independiente. Estudio ideal para trabajar o estudiar desde casa. Baño auxiliar para mayor comodidad. 3 habitaciones con aire acondicionado y closets en madera. Habitación principal con vestier y baño privado. Parqueadero privado incluido. Además, disfruta de exclusivas zonas sociales pensadas para ofrecer bienestar, entretenimiento y estilo de vida familiar.</v>
      </c>
      <c r="AD76" s="46" t="str">
        <f>IFERROR(__xludf.DUMMYFUNCTION("""COMPUTED_VALUE"""),"Apartamento bien ubicado, excelente vista, cuenta con buenos acabados y ascensor.")</f>
        <v>Apartamento bien ubicado, excelente vista, cuenta con buenos acabados y ascensor.</v>
      </c>
      <c r="AE76" s="46"/>
      <c r="AF76" s="46" t="str">
        <f>IFERROR(__xludf.DUMMYFUNCTION("""COMPUTED_VALUE"""),"integral")</f>
        <v>integral</v>
      </c>
      <c r="AG76" s="46"/>
      <c r="AH76" s="46" t="str">
        <f>IFERROR(__xludf.DUMMYFUNCTION("""COMPUTED_VALUE"""),"Aliado")</f>
        <v>Aliado</v>
      </c>
      <c r="AI76" s="92" t="str">
        <f>IFERROR(__xludf.DUMMYFUNCTION("""COMPUTED_VALUE"""),"https://lh3.googleusercontent.com/pw/AP1GczP5iyqI3i75TrqCkKZL1Rost7kNo91XISzCDhmnxSzKghZ-RfvssR-z1xfafYYt5_JB1-ZkVwbWbktWQo6HKwaGBIN53xODGNCByUVZcdlg5ju8UApS=w1200|https://lh3.googleusercontent.com/pw/AP1GczMH3fAO9B_kENp2Iqm0Xwic0gB8fr2L2jeXCFMHUZ_DXLkM3e"&amp;"LWrAGyBX4BP9hY67LwTiRKIR-sX5RrdbgYOzkGLpvlszn0ORHmdBDJd84EYNvkm1lh=w1200|https://lh3.googleusercontent.com/pw/AP1GczPhmhF5jMzt024cWD3JdKiFsZCxUkuR6cfmiJX6gJ3xr9OXSoWj6ppvTCWk5aVPSeTSgw3nZgcW5UrbQK32yfSTjU9TS7e6OAhfpzVYm5cX6MoTuyrQ=w1200|https://lh3.google"&amp;"usercontent.com/pw/AP1GczOBBNJauaLWjrUkN51e1fVFueyDjdw7fq3gU6zh4BcO_-zFy-I9Tg5soId0GhFP3j8zCUJ8Nubqs9OxgTPPepKPzN_pOeBOthUTyJTsK44hLSay8tC6=w1200|https://lh3.googleusercontent.com/pw/AP1GczMIcniUKJVCI8D2gX1nTfuw52wL8zhed-7h4T_ssTyM7BWDqM1bOlXd9UUa1ccq1Qvk"&amp;"mRM6twUkSK9Q2X4IxSqdTGTSBqF9Mn5h6lEpOzh3DC1tSLr5=w1200|https://lh3.googleusercontent.com/pw/AP1GczOQWX4bX-hNCU02Yd9VMC6WADzvwHRar7kOiaoka_U54Cs4MjtXTNvHTMyEdQZHooWEMUk8u5EHY-eWew6_s0lKt0jZLCq3TKKjcibqCWt3sVK1SeQw=w1200|https://lh3.googleusercontent.com/pw"&amp;"/AP1GczNbPCNEA09lH88IG20ZOdAjhdY9LsWySWc0EAcQl1DLz5Hqdx2dlETlb2CJTunDH9r84g9YaAfq5cSJcDhNrDGI0O6g0qew0ZL9nABy8kUeXPa5_z6y=w1200|https://lh3.googleusercontent.com/pw/AP1GczOvjMg31wMCq21TZeJDQjNVd05PkrGeqvTCTd42tZSJb9urnxdMaIIl4tY9Pvdad0Fge3SVRvmW3dewMMeLAh"&amp;"ONQXdEIeT-cME9QH1rTF0hryPi2crv=w1200|https://lh3.googleusercontent.com/pw/AP1GczNOXpyHC3sBGhUyZ9SV_udGmIoGxFUe-RobQ_YhdC1VEebjKNAUlPgQA1MtI5RuUSgHllcX0j28HX_3GKsdlMIuhLLcPOQToDnlvInrNgv1sRzF7_Hw=w1200|https://lh3.googleusercontent.com/pw/AP1GczM1qFcVMQ7MR"&amp;"ITyirAdL9f7ofKGGvrfvkzGz1xIqob76HmoraJ77lMskdmVYwz7G0CbgE9l9T_SU7tsuaWHKMprm8s_aRcw5pq4GSY9B622un_TkPh_=w1200|https://lh3.googleusercontent.com/pw/AP1GczM2pntFZBUE52xfhyhuUk9CpOO4v8DWkbKXHI3F1qcUY3-c4znMOebbkH0n3Vw72urVHmbDunX5c08xPESwLZJzLMGX2oiOnZjK6s_3"&amp;"NiUo9NELRI0r=w1200|https://lh3.googleusercontent.com/pw/AP1GczM7frc1j8TDfywX1aigWXL_PCv__XeKZ4gCwQ5CsTGDOoRAAD8XbN-x0eln0Ts4NjPs2bqOCppeElp6jo5pU5jwqSkZj877Ip0-I4QfANECqrO002Oa=w1200|https://lh3.googleusercontent.com/pw/AP1GczPHZP04SaPzPaxMDJzso5lNaAMzppr"&amp;"S-clauhn74i5-1koEOydDS02wwLV4eQ9amfwNthj2p4sb3i6_5uuF2NnkzdnQIk5gf7fdiELx21eyQzmkt1Ml=w1200|https://lh3.googleusercontent.com/pw/AP1GczP5WSZoFbTKcyNZZ1Zn7OhTNSYgJbJKnRyWEro0KqoyuFPipXwNASrOUQ2RF7AymSN3eDAFIaojpNQIVJbNr4Xrpb8XNo6xJ-Tj5m4Sg-k482q37s2p=w1200"&amp;"|https://lh3.googleusercontent.com/pw/AP1GczN6fXmqFoxY1Xnh_hbjHmAdI7AWJzxwrIneDBaoN6E-FeZOa3Dko8o7a5EDMTFiWQfEMSutLkE-rlLLDlkvHGfDDXCorN7nTJOKU6PLuGpJb4HtAFtL=w1200|https://lh3.googleusercontent.com/pw/AP1GczPNWjaK4wOZf16-SUGY2oR_nag5bxzeTs5WGQbs4ZMkI3pfL"&amp;"brIZoI_ebpST-30Cei3RL1H3Gx6PP7GneRX3LEaGXKJB1v5XevUQCfmF0yz1FXLNjbS=w1200|https://lh3.googleusercontent.com/pw/AP1GczPdjNrX5OhLWVDvXktFJY53vsMPzsCe5Y79yvcWL0vfHf4v5dHrb3fDmavk7o9tPc0Vil9zJOwGX-S5aVt7VXyZCHjCKDQ_xqh9Vno43zKC7KtPmQJ4=w1200|https://lh3.googl"&amp;"eusercontent.com/pw/AP1GczP9bA0BUDnopGYh-RfD4Q4BxOdWGnbGH8m2OUMH2sZ771zSylY4hrvsYq7NnPuj1fi3RBIxnE2WXXPaiSbfsrTKORLhRKDYk-YRATrpaSGRZoFT_XQs=w1200|https://lh3.googleusercontent.com/pw/AP1GczMi_OJW88JPrZuHwV8D2ymjKB94ji_nnuwSkuVgK1_t_0IRUZk6kXrTKzQ2UITM-Sv"&amp;"9dwdPOuSTTmyP92eCpOc1wfs8fOgrlz5iWH_6cTMpC3XVP114=w1200|https://lh3.googleusercontent.com/pw/AP1GczMgsiwOU2FCfAFi4Inj-HqWgoRT9VxuByJE7ki0VdPkJWdHNOEt63AjOi7ZlVlGZ2LYpHJhEkD-uuv3zLVsEKXKJfgT-KKoXMNzNPtrAp0-FsVmlMkH=w1200|https://lh3.googleusercontent.com/p"&amp;"w/AP1GczMZf5t0yy_YIkA4Zgjuc1Jcwozs_CNbhkPSZb4-AxjsqKcb8TwuApF5IALvif191Bg82A7OCXStPd3G-r-O8seVU-EeROBy3D_NwmATuS0u5E_HmIel=w1200")</f>
        <v>https://lh3.googleusercontent.com/pw/AP1GczP5iyqI3i75TrqCkKZL1Rost7kNo91XISzCDhmnxSzKghZ-RfvssR-z1xfafYYt5_JB1-ZkVwbWbktWQo6HKwaGBIN53xODGNCByUVZcdlg5ju8UApS=w1200|https://lh3.googleusercontent.com/pw/AP1GczMH3fAO9B_kENp2Iqm0Xwic0gB8fr2L2jeXCFMHUZ_DXLkM3eLWrAGyBX4BP9hY67LwTiRKIR-sX5RrdbgYOzkGLpvlszn0ORHmdBDJd84EYNvkm1lh=w1200|https://lh3.googleusercontent.com/pw/AP1GczPhmhF5jMzt024cWD3JdKiFsZCxUkuR6cfmiJX6gJ3xr9OXSoWj6ppvTCWk5aVPSeTSgw3nZgcW5UrbQK32yfSTjU9TS7e6OAhfpzVYm5cX6MoTuyrQ=w1200|https://lh3.googleusercontent.com/pw/AP1GczOBBNJauaLWjrUkN51e1fVFueyDjdw7fq3gU6zh4BcO_-zFy-I9Tg5soId0GhFP3j8zCUJ8Nubqs9OxgTPPepKPzN_pOeBOthUTyJTsK44hLSay8tC6=w1200|https://lh3.googleusercontent.com/pw/AP1GczMIcniUKJVCI8D2gX1nTfuw52wL8zhed-7h4T_ssTyM7BWDqM1bOlXd9UUa1ccq1QvkmRM6twUkSK9Q2X4IxSqdTGTSBqF9Mn5h6lEpOzh3DC1tSLr5=w1200|https://lh3.googleusercontent.com/pw/AP1GczOQWX4bX-hNCU02Yd9VMC6WADzvwHRar7kOiaoka_U54Cs4MjtXTNvHTMyEdQZHooWEMUk8u5EHY-eWew6_s0lKt0jZLCq3TKKjcibqCWt3sVK1SeQw=w1200|https://lh3.googleusercontent.com/pw/AP1GczNbPCNEA09lH88IG20ZOdAjhdY9LsWySWc0EAcQl1DLz5Hqdx2dlETlb2CJTunDH9r84g9YaAfq5cSJcDhNrDGI0O6g0qew0ZL9nABy8kUeXPa5_z6y=w1200|https://lh3.googleusercontent.com/pw/AP1GczOvjMg31wMCq21TZeJDQjNVd05PkrGeqvTCTd42tZSJb9urnxdMaIIl4tY9Pvdad0Fge3SVRvmW3dewMMeLAhONQXdEIeT-cME9QH1rTF0hryPi2crv=w1200|https://lh3.googleusercontent.com/pw/AP1GczNOXpyHC3sBGhUyZ9SV_udGmIoGxFUe-RobQ_YhdC1VEebjKNAUlPgQA1MtI5RuUSgHllcX0j28HX_3GKsdlMIuhLLcPOQToDnlvInrNgv1sRzF7_Hw=w1200|https://lh3.googleusercontent.com/pw/AP1GczM1qFcVMQ7MRITyirAdL9f7ofKGGvrfvkzGz1xIqob76HmoraJ77lMskdmVYwz7G0CbgE9l9T_SU7tsuaWHKMprm8s_aRcw5pq4GSY9B622un_TkPh_=w1200|https://lh3.googleusercontent.com/pw/AP1GczM2pntFZBUE52xfhyhuUk9CpOO4v8DWkbKXHI3F1qcUY3-c4znMOebbkH0n3Vw72urVHmbDunX5c08xPESwLZJzLMGX2oiOnZjK6s_3NiUo9NELRI0r=w1200|https://lh3.googleusercontent.com/pw/AP1GczM7frc1j8TDfywX1aigWXL_PCv__XeKZ4gCwQ5CsTGDOoRAAD8XbN-x0eln0Ts4NjPs2bqOCppeElp6jo5pU5jwqSkZj877Ip0-I4QfANECqrO002Oa=w1200|https://lh3.googleusercontent.com/pw/AP1GczPHZP04SaPzPaxMDJzso5lNaAMzpprS-clauhn74i5-1koEOydDS02wwLV4eQ9amfwNthj2p4sb3i6_5uuF2NnkzdnQIk5gf7fdiELx21eyQzmkt1Ml=w1200|https://lh3.googleusercontent.com/pw/AP1GczP5WSZoFbTKcyNZZ1Zn7OhTNSYgJbJKnRyWEro0KqoyuFPipXwNASrOUQ2RF7AymSN3eDAFIaojpNQIVJbNr4Xrpb8XNo6xJ-Tj5m4Sg-k482q37s2p=w1200|https://lh3.googleusercontent.com/pw/AP1GczN6fXmqFoxY1Xnh_hbjHmAdI7AWJzxwrIneDBaoN6E-FeZOa3Dko8o7a5EDMTFiWQfEMSutLkE-rlLLDlkvHGfDDXCorN7nTJOKU6PLuGpJb4HtAFtL=w1200|https://lh3.googleusercontent.com/pw/AP1GczPNWjaK4wOZf16-SUGY2oR_nag5bxzeTs5WGQbs4ZMkI3pfLbrIZoI_ebpST-30Cei3RL1H3Gx6PP7GneRX3LEaGXKJB1v5XevUQCfmF0yz1FXLNjbS=w1200|https://lh3.googleusercontent.com/pw/AP1GczPdjNrX5OhLWVDvXktFJY53vsMPzsCe5Y79yvcWL0vfHf4v5dHrb3fDmavk7o9tPc0Vil9zJOwGX-S5aVt7VXyZCHjCKDQ_xqh9Vno43zKC7KtPmQJ4=w1200|https://lh3.googleusercontent.com/pw/AP1GczP9bA0BUDnopGYh-RfD4Q4BxOdWGnbGH8m2OUMH2sZ771zSylY4hrvsYq7NnPuj1fi3RBIxnE2WXXPaiSbfsrTKORLhRKDYk-YRATrpaSGRZoFT_XQs=w1200|https://lh3.googleusercontent.com/pw/AP1GczMi_OJW88JPrZuHwV8D2ymjKB94ji_nnuwSkuVgK1_t_0IRUZk6kXrTKzQ2UITM-Sv9dwdPOuSTTmyP92eCpOc1wfs8fOgrlz5iWH_6cTMpC3XVP114=w1200|https://lh3.googleusercontent.com/pw/AP1GczMgsiwOU2FCfAFi4Inj-HqWgoRT9VxuByJE7ki0VdPkJWdHNOEt63AjOi7ZlVlGZ2LYpHJhEkD-uuv3zLVsEKXKJfgT-KKoXMNzNPtrAp0-FsVmlMkH=w1200|https://lh3.googleusercontent.com/pw/AP1GczMZf5t0yy_YIkA4Zgjuc1Jcwozs_CNbhkPSZb4-AxjsqKcb8TwuApF5IALvif191Bg82A7OCXStPd3G-r-O8seVU-EeROBy3D_NwmATuS0u5E_HmIel=w1200</v>
      </c>
      <c r="AJ76" s="46"/>
      <c r="AK76" s="46"/>
      <c r="AL76" s="46"/>
      <c r="AM76" s="46"/>
      <c r="AN76" s="46"/>
      <c r="AO76" s="46"/>
      <c r="AP76" s="46"/>
      <c r="AQ76" s="46"/>
      <c r="AR76" s="46"/>
      <c r="AS76" s="46"/>
      <c r="AT76" s="46"/>
      <c r="AU76" s="46"/>
      <c r="AV76" s="46"/>
      <c r="AW76" s="46"/>
      <c r="AX76" s="46"/>
      <c r="AY76" s="46"/>
      <c r="AZ76" s="46"/>
      <c r="BA76" s="46"/>
      <c r="BB76" s="46"/>
      <c r="BC76" s="46"/>
      <c r="BD76" s="46"/>
      <c r="BE76" s="46"/>
      <c r="BF76" s="46"/>
      <c r="BG76" s="46"/>
      <c r="BH76" s="46"/>
      <c r="BI76" s="46"/>
      <c r="BJ76" s="46"/>
      <c r="BK76" s="46"/>
      <c r="BL76" s="46"/>
      <c r="BM76" s="46"/>
      <c r="BN76" s="46"/>
      <c r="BO76" s="46"/>
      <c r="BP76" s="46"/>
      <c r="BQ76" s="46"/>
      <c r="BR76" s="46"/>
      <c r="BS76" s="46"/>
      <c r="BT76" s="46"/>
      <c r="BU76" s="46"/>
      <c r="BV76" s="46"/>
      <c r="BW76" s="46"/>
      <c r="BX76" s="46"/>
      <c r="BY76" s="46"/>
      <c r="BZ76" s="46"/>
      <c r="CA76" s="46"/>
      <c r="CB76" s="46"/>
      <c r="CC76" s="46"/>
    </row>
    <row r="77">
      <c r="A77" s="87" t="str">
        <f>IFERROR(__xludf.DUMMYFUNCTION("""COMPUTED_VALUE"""),"1379")</f>
        <v>1379</v>
      </c>
      <c r="B77" s="46" t="str">
        <f>IFERROR(__xludf.DUMMYFUNCTION("""COMPUTED_VALUE"""),"Casa en barrio La Rioja")</f>
        <v>Casa en barrio La Rioja</v>
      </c>
      <c r="C77" s="46" t="str">
        <f>IFERROR(__xludf.DUMMYFUNCTION("""COMPUTED_VALUE"""),"Casa")</f>
        <v>Casa</v>
      </c>
      <c r="D77" s="46" t="str">
        <f>IFERROR(__xludf.DUMMYFUNCTION("""COMPUTED_VALUE"""),"La Rioja")</f>
        <v>La Rioja</v>
      </c>
      <c r="E77" s="46"/>
      <c r="F77" s="90">
        <f>IFERROR(__xludf.DUMMYFUNCTION("""COMPUTED_VALUE"""),3.5E8)</f>
        <v>350000000</v>
      </c>
      <c r="G77" s="46" t="str">
        <f>IFERROR(__xludf.DUMMYFUNCTION("""COMPUTED_VALUE"""),"$300'000.000 a $400'000.000")</f>
        <v>$300'000.000 a $400'000.000</v>
      </c>
      <c r="H77" s="46"/>
      <c r="I77" s="46"/>
      <c r="J77" s="46" t="str">
        <f>IFERROR(__xludf.DUMMYFUNCTION("""COMPUTED_VALUE"""),"Oriente")</f>
        <v>Oriente</v>
      </c>
      <c r="K77" s="87" t="str">
        <f>IFERROR(__xludf.DUMMYFUNCTION("""COMPUTED_VALUE"""),"10")</f>
        <v>10</v>
      </c>
      <c r="L77" s="46">
        <f>IFERROR(__xludf.DUMMYFUNCTION("""COMPUTED_VALUE"""),4.0)</f>
        <v>4</v>
      </c>
      <c r="M77" s="46"/>
      <c r="N77" s="46">
        <f>IFERROR(__xludf.DUMMYFUNCTION("""COMPUTED_VALUE"""),3.0)</f>
        <v>3</v>
      </c>
      <c r="O77" s="46">
        <f>IFERROR(__xludf.DUMMYFUNCTION("""COMPUTED_VALUE"""),1.0)</f>
        <v>1</v>
      </c>
      <c r="P77" s="46">
        <f>IFERROR(__xludf.DUMMYFUNCTION("""COMPUTED_VALUE"""),2.0)</f>
        <v>2</v>
      </c>
      <c r="Q77" s="92">
        <f>IFERROR(__xludf.DUMMYFUNCTION("""COMPUTED_VALUE"""),0.0)</f>
        <v>0</v>
      </c>
      <c r="R77" s="92">
        <f>IFERROR(__xludf.DUMMYFUNCTION("""COMPUTED_VALUE"""),191.0)</f>
        <v>191</v>
      </c>
      <c r="S77" s="87" t="str">
        <f>IFERROR(__xludf.DUMMYFUNCTION("""COMPUTED_VALUE""")," ")</f>
        <v> </v>
      </c>
      <c r="T77" s="46" t="str">
        <f>IFERROR(__xludf.DUMMYFUNCTION("""COMPUTED_VALUE"""),"Neiva")</f>
        <v>Neiva</v>
      </c>
      <c r="U77" s="87" t="str">
        <f>IFERROR(__xludf.DUMMYFUNCTION("""COMPUTED_VALUE"""),"2")</f>
        <v>2</v>
      </c>
      <c r="V77" s="46" t="str">
        <f>IFERROR(__xludf.DUMMYFUNCTION("""COMPUTED_VALUE"""),"Medianera")</f>
        <v>Medianera</v>
      </c>
      <c r="W77" s="46"/>
      <c r="X77" s="46">
        <f>IFERROR(__xludf.DUMMYFUNCTION("""COMPUTED_VALUE"""),3.0)</f>
        <v>3</v>
      </c>
      <c r="Y77" s="46" t="str">
        <f>IFERROR(__xludf.DUMMYFUNCTION("""COMPUTED_VALUE"""),"No tiene")</f>
        <v>No tiene</v>
      </c>
      <c r="Z77" s="90"/>
      <c r="AA77" s="33" t="str">
        <f>IFERROR(__xludf.DUMMYFUNCTION("""COMPUTED_VALUE"""),"No aplica")</f>
        <v>No aplica</v>
      </c>
      <c r="AB77" s="144" t="str">
        <f>IFERROR(__xludf.DUMMYFUNCTION("""COMPUTED_VALUE"""),"https://photos.app.goo.gl/L8drHzcKfcH6K37f8")</f>
        <v>https://photos.app.goo.gl/L8drHzcKfcH6K37f8</v>
      </c>
      <c r="AC77" s="46" t="str">
        <f>IFERROR(__xludf.DUMMYFUNCTION("""COMPUTED_VALUE"""),"Se Vende Casa Barrio la Rioja con un área de 109m2 consta de Sala, comedor, parqueadero interno y externo, baño auxiliar, 3 habitaciones con closet en madera, una habitación con baño privado, patio de ropas, patio exterior, cocina integral, un apartaestud"&amp;"io interno en Segundo piso con sala de tv, estudio, baño privado, habitación con A.A. y balcón.")</f>
        <v>Se Vende Casa Barrio la Rioja con un área de 109m2 consta de Sala, comedor, parqueadero interno y externo, baño auxiliar, 3 habitaciones con closet en madera, una habitación con baño privado, patio de ropas, patio exterior, cocina integral, un apartaestudio interno en Segundo piso con sala de tv, estudio, baño privado, habitación con A.A. y balcón.</v>
      </c>
      <c r="AD77" s="46"/>
      <c r="AE77" s="46"/>
      <c r="AF77" s="46" t="str">
        <f>IFERROR(__xludf.DUMMYFUNCTION("""COMPUTED_VALUE"""),"integral")</f>
        <v>integral</v>
      </c>
      <c r="AG77" s="46"/>
      <c r="AH77" s="46" t="str">
        <f>IFERROR(__xludf.DUMMYFUNCTION("""COMPUTED_VALUE"""),"Aliado")</f>
        <v>Aliado</v>
      </c>
      <c r="AI77" s="92" t="str">
        <f>IFERROR(__xludf.DUMMYFUNCTION("""COMPUTED_VALUE"""),"https://lh3.googleusercontent.com/pw/AP1GczNh5C8ZQk0Fb2m7qMJ5-VVSUAiLrILclN0YYdom9mBRJQVE8iqQKmH-uD-gC64q8BMDcuWFkDw-ODqGxDmfgtChGbXwemVJpCAUBrg8zgOdmBt5aKe0=w1200|https://lh3.googleusercontent.com/pw/AP1GczNsIDG1Y9pJJ0ljX3PjUwY6sOF5HE1JfVP50bEu8mjODtYjtn"&amp;"DZV3LcOVMIiaq8X3z-yLlnJIEjpTnKJRUV1DiS0krguF9oomOdsVpMqxd1Pu1xpzZZ=w1200|https://lh3.googleusercontent.com/pw/AP1GczNA3brrnIJsZu9WgQZxyLbIgYn36_52X9QF4pPaBvhrB_viQuUKkuEIXrRkRoTkrwh_Rdw0xtTRgl2aDiO47wC-kQ8KEiLJXp6qEFyNa9bud7en-8z8=w1200|https://lh3.google"&amp;"usercontent.com/pw/AP1GczMWPIuU1V5Hii-_FHSb-s5beu_QY9kbahtoFGG3GvMiGrMz6WtCRnwAi-7tYsOXeiBawt0J6Jcmat0Tk8IBK77ttoQOG_A1t8KrxeLwYA2ct_QTT7bZ=w1200|https://lh3.googleusercontent.com/pw/AP1GczNPVfTuDC4Awd0INBr_ltG_9M-sTuqUwWs62ESfD4gVn-QHEOACTr3dqCuekM10GE6V"&amp;"uB4B1JwsRylGuiSWVkgzodkU1154qMIn4_gJ7ypE7XjeGVw5=w1200|https://lh3.googleusercontent.com/pw/AP1GczNBDCNwtfIm-jcB2d5D96BEQlAKQYVlDyGRVTyXy-PmuqO2LmYH2e2DOUW9A2B4PqX9gaa0PZ2CzsqftWHuVe0ND0sfxx7UaVMEpcj3tPJJQazt5af2=w1200|https://lh3.googleusercontent.com/pw"&amp;"/AP1GczMKdManN8trFKULcazHUv5y19ObP6_IPAtv75razq9JPfWAyesHduJpHhpo644I6HF7z2iZzQSOVsCGaz6lMND-cIVREX9qX7nrOGC2i5cWt7N0gD0b=w1200|https://lh3.googleusercontent.com/pw/AP1GczNLy8dK-L223EMluYkS7LldRcbMtHtiDrW5u16mqdZ7WU5RLgIqXgidcHr_jh4GZY3wdvplRtdNPMFaNhQlxI"&amp;"a-1HXORugPZkoYOyFmMumQD_wZyqUp=w1200|https://lh3.googleusercontent.com/pw/AP1GczPEZC2KmH-Ms_YRiWC9Y6wrQfXghVsBgc17V3xy9j1NsuaI1g-_Ep1OkUQZ_qRwhrtH_XmTzBbGFevCYYlsiHNUA_uxD26RHgiDcRJkRFc7e6aNzDRt=w1200|https://lh3.googleusercontent.com/pw/AP1GczPSCk8NOffAC"&amp;"5DqUI3VqxxYuH4a6bWklZe5gfaFVQA3V8mDnuSyWev73vbLI36upWsFYJBYa0YxGss2RuE8e9I-_5WqT_wFXmEv6398D_rKU3yTyRqM=w1200|https://lh3.googleusercontent.com/pw/AP1GczPb24MvjGyh7yJ-jE1pexgi-EH2jYCgNjkZV0FnNYzBoBUhFWe-9z_sDEwtd20d49FfMQ761uvbbBj76U-3hbg-Aup9YT7DbSDj_iM3"&amp;"ZA791flOs6Mg=w1200|https://lh3.googleusercontent.com/pw/AP1GczMmEs-B5ade8ZYgc8Ij45RE5NpfSwATioPxiYizupd86qxg4C-SMOoo-pExCwSGj3F9pKgDdYyq37i-AK3MCAQZP9qg5keRLk7cWR_H1PcrFyDhKOE0=w1200|https://lh3.googleusercontent.com/pw/AP1GczNBhzkGEycwnHEPhWjVcROGOs_D64-"&amp;"NRj2POioPrXuLVTYgzms3oWU76GhE-HAGqLi1nI7Ib466cIdxOiFwSht4EA9vFZRRJoKsdu2Qpsoavn8orFjg=w1200|https://lh3.googleusercontent.com/pw/AP1GczPlzmnRTCTk5sYyYbVTyrgq65jL98ckTjNBNBa2VxVuwNfe9ZQeUK8dnE9BTt8L8bSFqtWlSe8R_xQ18lnIVMB08cybvmjn79SbtaJbS1AUu64vpcuN=w1200"&amp;"|https://lh3.googleusercontent.com/pw/AP1GczPzgFAJ_0niHDvmOd2uNBrTpw3iliwMffJOMeaWRztq06Z-86JliM0OZ3yLXVUG4nY7lNb3kfnG6jsbyPrkz0021etcUFufiwJJ5UfRuYadgAhGkagd=w1200|https://lh3.googleusercontent.com/pw/AP1GczN4NRM09xs5OJRVJI5xmK-1cnOKxCGinGXHmsVufQAH0tgY1"&amp;"DvW0m7w1c6fg8Yayh12ZLZtS7fYLG532VFZ7zAjUXeHKlgtlwrUAijfN52XJfeU4fSd=w1200|https://lh3.googleusercontent.com/pw/AP1GczOTph_-aj60dwEtP_3nVdkLQahmakYGk2RWFjP9pnSpDTQqmFmOCm59Sw6Uhm2hwgKQUwLkHbVk4JYlK-mSor5jGS_OwRjiCWLFEMBmL7ZFLQNNA0vU=w1200")</f>
        <v>https://lh3.googleusercontent.com/pw/AP1GczNh5C8ZQk0Fb2m7qMJ5-VVSUAiLrILclN0YYdom9mBRJQVE8iqQKmH-uD-gC64q8BMDcuWFkDw-ODqGxDmfgtChGbXwemVJpCAUBrg8zgOdmBt5aKe0=w1200|https://lh3.googleusercontent.com/pw/AP1GczNsIDG1Y9pJJ0ljX3PjUwY6sOF5HE1JfVP50bEu8mjODtYjtnDZV3LcOVMIiaq8X3z-yLlnJIEjpTnKJRUV1DiS0krguF9oomOdsVpMqxd1Pu1xpzZZ=w1200|https://lh3.googleusercontent.com/pw/AP1GczNA3brrnIJsZu9WgQZxyLbIgYn36_52X9QF4pPaBvhrB_viQuUKkuEIXrRkRoTkrwh_Rdw0xtTRgl2aDiO47wC-kQ8KEiLJXp6qEFyNa9bud7en-8z8=w1200|https://lh3.googleusercontent.com/pw/AP1GczMWPIuU1V5Hii-_FHSb-s5beu_QY9kbahtoFGG3GvMiGrMz6WtCRnwAi-7tYsOXeiBawt0J6Jcmat0Tk8IBK77ttoQOG_A1t8KrxeLwYA2ct_QTT7bZ=w1200|https://lh3.googleusercontent.com/pw/AP1GczNPVfTuDC4Awd0INBr_ltG_9M-sTuqUwWs62ESfD4gVn-QHEOACTr3dqCuekM10GE6VuB4B1JwsRylGuiSWVkgzodkU1154qMIn4_gJ7ypE7XjeGVw5=w1200|https://lh3.googleusercontent.com/pw/AP1GczNBDCNwtfIm-jcB2d5D96BEQlAKQYVlDyGRVTyXy-PmuqO2LmYH2e2DOUW9A2B4PqX9gaa0PZ2CzsqftWHuVe0ND0sfxx7UaVMEpcj3tPJJQazt5af2=w1200|https://lh3.googleusercontent.com/pw/AP1GczMKdManN8trFKULcazHUv5y19ObP6_IPAtv75razq9JPfWAyesHduJpHhpo644I6HF7z2iZzQSOVsCGaz6lMND-cIVREX9qX7nrOGC2i5cWt7N0gD0b=w1200|https://lh3.googleusercontent.com/pw/AP1GczNLy8dK-L223EMluYkS7LldRcbMtHtiDrW5u16mqdZ7WU5RLgIqXgidcHr_jh4GZY3wdvplRtdNPMFaNhQlxIa-1HXORugPZkoYOyFmMumQD_wZyqUp=w1200|https://lh3.googleusercontent.com/pw/AP1GczPEZC2KmH-Ms_YRiWC9Y6wrQfXghVsBgc17V3xy9j1NsuaI1g-_Ep1OkUQZ_qRwhrtH_XmTzBbGFevCYYlsiHNUA_uxD26RHgiDcRJkRFc7e6aNzDRt=w1200|https://lh3.googleusercontent.com/pw/AP1GczPSCk8NOffAC5DqUI3VqxxYuH4a6bWklZe5gfaFVQA3V8mDnuSyWev73vbLI36upWsFYJBYa0YxGss2RuE8e9I-_5WqT_wFXmEv6398D_rKU3yTyRqM=w1200|https://lh3.googleusercontent.com/pw/AP1GczPb24MvjGyh7yJ-jE1pexgi-EH2jYCgNjkZV0FnNYzBoBUhFWe-9z_sDEwtd20d49FfMQ761uvbbBj76U-3hbg-Aup9YT7DbSDj_iM3ZA791flOs6Mg=w1200|https://lh3.googleusercontent.com/pw/AP1GczMmEs-B5ade8ZYgc8Ij45RE5NpfSwATioPxiYizupd86qxg4C-SMOoo-pExCwSGj3F9pKgDdYyq37i-AK3MCAQZP9qg5keRLk7cWR_H1PcrFyDhKOE0=w1200|https://lh3.googleusercontent.com/pw/AP1GczNBhzkGEycwnHEPhWjVcROGOs_D64-NRj2POioPrXuLVTYgzms3oWU76GhE-HAGqLi1nI7Ib466cIdxOiFwSht4EA9vFZRRJoKsdu2Qpsoavn8orFjg=w1200|https://lh3.googleusercontent.com/pw/AP1GczPlzmnRTCTk5sYyYbVTyrgq65jL98ckTjNBNBa2VxVuwNfe9ZQeUK8dnE9BTt8L8bSFqtWlSe8R_xQ18lnIVMB08cybvmjn79SbtaJbS1AUu64vpcuN=w1200|https://lh3.googleusercontent.com/pw/AP1GczPzgFAJ_0niHDvmOd2uNBrTpw3iliwMffJOMeaWRztq06Z-86JliM0OZ3yLXVUG4nY7lNb3kfnG6jsbyPrkz0021etcUFufiwJJ5UfRuYadgAhGkagd=w1200|https://lh3.googleusercontent.com/pw/AP1GczN4NRM09xs5OJRVJI5xmK-1cnOKxCGinGXHmsVufQAH0tgY1DvW0m7w1c6fg8Yayh12ZLZtS7fYLG532VFZ7zAjUXeHKlgtlwrUAijfN52XJfeU4fSd=w1200|https://lh3.googleusercontent.com/pw/AP1GczOTph_-aj60dwEtP_3nVdkLQahmakYGk2RWFjP9pnSpDTQqmFmOCm59Sw6Uhm2hwgKQUwLkHbVk4JYlK-mSor5jGS_OwRjiCWLFEMBmL7ZFLQNNA0vU=w1200</v>
      </c>
      <c r="AJ77" s="46"/>
      <c r="AK77" s="46"/>
      <c r="AL77" s="46"/>
      <c r="AM77" s="46"/>
      <c r="AN77" s="46"/>
      <c r="AO77" s="46"/>
      <c r="AP77" s="46"/>
      <c r="AQ77" s="46"/>
      <c r="AR77" s="46"/>
      <c r="AS77" s="46"/>
      <c r="AT77" s="46"/>
      <c r="AU77" s="46"/>
      <c r="AV77" s="46"/>
      <c r="AW77" s="46"/>
      <c r="AX77" s="46"/>
      <c r="AY77" s="46"/>
      <c r="AZ77" s="46"/>
      <c r="BA77" s="46"/>
      <c r="BB77" s="46"/>
      <c r="BC77" s="46"/>
      <c r="BD77" s="46"/>
      <c r="BE77" s="46"/>
      <c r="BF77" s="46"/>
      <c r="BG77" s="46"/>
      <c r="BH77" s="46"/>
      <c r="BI77" s="46"/>
      <c r="BJ77" s="46"/>
      <c r="BK77" s="46"/>
      <c r="BL77" s="46"/>
      <c r="BM77" s="46"/>
      <c r="BN77" s="46"/>
      <c r="BO77" s="46"/>
      <c r="BP77" s="46"/>
      <c r="BQ77" s="46"/>
      <c r="BR77" s="46"/>
      <c r="BS77" s="46"/>
      <c r="BT77" s="46"/>
      <c r="BU77" s="46"/>
      <c r="BV77" s="46"/>
      <c r="BW77" s="46"/>
      <c r="BX77" s="46"/>
      <c r="BY77" s="46"/>
      <c r="BZ77" s="46"/>
      <c r="CA77" s="46"/>
      <c r="CB77" s="46"/>
      <c r="CC77" s="46"/>
    </row>
    <row r="78">
      <c r="A78" s="87" t="str">
        <f>IFERROR(__xludf.DUMMYFUNCTION("""COMPUTED_VALUE"""),"179")</f>
        <v>179</v>
      </c>
      <c r="B78" s="46" t="str">
        <f>IFERROR(__xludf.DUMMYFUNCTION("""COMPUTED_VALUE"""),"Casa con local y dos apartamentos en barrio Las Granjas")</f>
        <v>Casa con local y dos apartamentos en barrio Las Granjas</v>
      </c>
      <c r="C78" s="46" t="str">
        <f>IFERROR(__xludf.DUMMYFUNCTION("""COMPUTED_VALUE"""),"Casa rentable")</f>
        <v>Casa rentable</v>
      </c>
      <c r="D78" s="46" t="str">
        <f>IFERROR(__xludf.DUMMYFUNCTION("""COMPUTED_VALUE"""),"Las Granjas")</f>
        <v>Las Granjas</v>
      </c>
      <c r="E78" s="90" t="str">
        <f>IFERROR(__xludf.DUMMYFUNCTION("""COMPUTED_VALUE""")," ")</f>
        <v> </v>
      </c>
      <c r="F78" s="90">
        <f>IFERROR(__xludf.DUMMYFUNCTION("""COMPUTED_VALUE"""),3.2E8)</f>
        <v>320000000</v>
      </c>
      <c r="G78" s="46" t="str">
        <f>IFERROR(__xludf.DUMMYFUNCTION("""COMPUTED_VALUE"""),"$300'000.000 a $400'000.000")</f>
        <v>$300'000.000 a $400'000.000</v>
      </c>
      <c r="H78" s="46"/>
      <c r="I78" s="46"/>
      <c r="J78" s="46" t="str">
        <f>IFERROR(__xludf.DUMMYFUNCTION("""COMPUTED_VALUE"""),"Norte")</f>
        <v>Norte</v>
      </c>
      <c r="K78" s="87" t="str">
        <f>IFERROR(__xludf.DUMMYFUNCTION("""COMPUTED_VALUE"""),"2")</f>
        <v>2</v>
      </c>
      <c r="L78" s="46">
        <f>IFERROR(__xludf.DUMMYFUNCTION("""COMPUTED_VALUE"""),5.0)</f>
        <v>5</v>
      </c>
      <c r="M78" s="46"/>
      <c r="N78" s="46">
        <f>IFERROR(__xludf.DUMMYFUNCTION("""COMPUTED_VALUE"""),3.0)</f>
        <v>3</v>
      </c>
      <c r="O78" s="46">
        <f>IFERROR(__xludf.DUMMYFUNCTION("""COMPUTED_VALUE"""),0.0)</f>
        <v>0</v>
      </c>
      <c r="P78" s="46">
        <f>IFERROR(__xludf.DUMMYFUNCTION("""COMPUTED_VALUE"""),1.0)</f>
        <v>1</v>
      </c>
      <c r="Q78" s="92">
        <f>IFERROR(__xludf.DUMMYFUNCTION("""COMPUTED_VALUE"""),180.0)</f>
        <v>180</v>
      </c>
      <c r="R78" s="92">
        <f>IFERROR(__xludf.DUMMYFUNCTION("""COMPUTED_VALUE"""),180.0)</f>
        <v>180</v>
      </c>
      <c r="S78" s="87" t="str">
        <f>IFERROR(__xludf.DUMMYFUNCTION("""COMPUTED_VALUE"""),"Rentabilidad $1,500,000")</f>
        <v>Rentabilidad $1,500,000</v>
      </c>
      <c r="T78" s="46" t="str">
        <f>IFERROR(__xludf.DUMMYFUNCTION("""COMPUTED_VALUE"""),"Neiva")</f>
        <v>Neiva</v>
      </c>
      <c r="U78" s="87" t="str">
        <f>IFERROR(__xludf.DUMMYFUNCTION("""COMPUTED_VALUE"""),"2")</f>
        <v>2</v>
      </c>
      <c r="V78" s="46" t="str">
        <f>IFERROR(__xludf.DUMMYFUNCTION("""COMPUTED_VALUE"""),"Medianera")</f>
        <v>Medianera</v>
      </c>
      <c r="W78" s="46"/>
      <c r="X78" s="46">
        <f>IFERROR(__xludf.DUMMYFUNCTION("""COMPUTED_VALUE"""),0.0)</f>
        <v>0</v>
      </c>
      <c r="Y78" s="179" t="str">
        <f>IFERROR(__xludf.DUMMYFUNCTION("""COMPUTED_VALUE"""),"No tiene")</f>
        <v>No tiene</v>
      </c>
      <c r="Z78" s="90" t="str">
        <f>IFERROR(__xludf.DUMMYFUNCTION("""COMPUTED_VALUE"""),"No aplica")</f>
        <v>No aplica</v>
      </c>
      <c r="AA78" s="33" t="str">
        <f>IFERROR(__xludf.DUMMYFUNCTION("""COMPUTED_VALUE"""),"18 años")</f>
        <v>18 años</v>
      </c>
      <c r="AB78" s="144" t="str">
        <f>IFERROR(__xludf.DUMMYFUNCTION("""COMPUTED_VALUE"""),"https://photos.app.goo.gl/cuREDmpg6MZf8hSS9")</f>
        <v>https://photos.app.goo.gl/cuREDmpg6MZf8hSS9</v>
      </c>
      <c r="AC78" s="46"/>
      <c r="AD78" s="46"/>
      <c r="AE78" s="46"/>
      <c r="AF78" s="46" t="str">
        <f>IFERROR(__xludf.DUMMYFUNCTION("""COMPUTED_VALUE"""),"básica")</f>
        <v>básica</v>
      </c>
      <c r="AG78" s="46"/>
      <c r="AH78" s="46" t="str">
        <f>IFERROR(__xludf.DUMMYFUNCTION("""COMPUTED_VALUE"""),"Aliado")</f>
        <v>Aliado</v>
      </c>
      <c r="AI78" s="46" t="str">
        <f>IFERROR(__xludf.DUMMYFUNCTION("""COMPUTED_VALUE"""),"https://lh3.googleusercontent.com/pw/AP1GczNYfpCn1VcCWoDriiCb6r5dRQvs5kLb4EMmNQWkJpuP29eFHcTUTvsY_hl0V3ILCvh8OkXJtburnDeO-9ta-9jyakurlkSrkMnFkSkIRGOw37WXUHm8=w1200|https://lh3.googleusercontent.com/pw/AP1GczNPZOL_1pzM8MKfVALYdJ4-bWGrCrSPTUzdbpeC5IsGDlZwB5"&amp;"dj_8NcMzFZEhXQHnQk1IJ2tI2-s5QgSESciMDWpG05vxX28lx5-aSR-9zcwyS7Uw4D=w1200|https://lh3.googleusercontent.com/pw/AP1GczMQVVNABH3mjuUN0HgyTVxHCYdlryszoEdYL9-gqbKY-u8oiye_slvT206pwts2BXSsQfkpdn72K4Q6zs1xOABKZVMvptxJkU2KaqAoYMxa_M9thza3=w1200|https://lh3.google"&amp;"usercontent.com/pw/AP1GczMXI0fMUyQpcTenMmTbsk8ZP_j70CW_-F4C6OpaIdHFKWGWrZKvUc-tsSm98SxqBnlUJ9cQoycvNsbG9dZFWD0BfkHtU54p0kIDIrIOSrdkKum6Tfft=w1200|https://lh3.googleusercontent.com/pw/AP1GczMZShn4JWpMN1_bxukU44S77sx9T3fweAk3Y3jfPjZqSr4vvAKluXfEEclgfyeXesZz"&amp;"agBFytpvOCCBptu-45LTwIz852Qz0gRsC1naEJ4ygvmKRrCx=w1200|https://lh3.googleusercontent.com/pw/AP1GczNAmGz1idZSwpFcAbWQNcKyCQycb1SvxRn3FwXStvNE0oUQvne38eiz_UWCJN32hCqABd1uAmzwa1E3RSO0GZsa_2jNqQQFaI7qd0iwmiUqFKuYsmwv=w1200")</f>
        <v>https://lh3.googleusercontent.com/pw/AP1GczNYfpCn1VcCWoDriiCb6r5dRQvs5kLb4EMmNQWkJpuP29eFHcTUTvsY_hl0V3ILCvh8OkXJtburnDeO-9ta-9jyakurlkSrkMnFkSkIRGOw37WXUHm8=w1200|https://lh3.googleusercontent.com/pw/AP1GczNPZOL_1pzM8MKfVALYdJ4-bWGrCrSPTUzdbpeC5IsGDlZwB5dj_8NcMzFZEhXQHnQk1IJ2tI2-s5QgSESciMDWpG05vxX28lx5-aSR-9zcwyS7Uw4D=w1200|https://lh3.googleusercontent.com/pw/AP1GczMQVVNABH3mjuUN0HgyTVxHCYdlryszoEdYL9-gqbKY-u8oiye_slvT206pwts2BXSsQfkpdn72K4Q6zs1xOABKZVMvptxJkU2KaqAoYMxa_M9thza3=w1200|https://lh3.googleusercontent.com/pw/AP1GczMXI0fMUyQpcTenMmTbsk8ZP_j70CW_-F4C6OpaIdHFKWGWrZKvUc-tsSm98SxqBnlUJ9cQoycvNsbG9dZFWD0BfkHtU54p0kIDIrIOSrdkKum6Tfft=w1200|https://lh3.googleusercontent.com/pw/AP1GczMZShn4JWpMN1_bxukU44S77sx9T3fweAk3Y3jfPjZqSr4vvAKluXfEEclgfyeXesZzagBFytpvOCCBptu-45LTwIz852Qz0gRsC1naEJ4ygvmKRrCx=w1200|https://lh3.googleusercontent.com/pw/AP1GczNAmGz1idZSwpFcAbWQNcKyCQycb1SvxRn3FwXStvNE0oUQvne38eiz_UWCJN32hCqABd1uAmzwa1E3RSO0GZsa_2jNqQQFaI7qd0iwmiUqFKuYsmwv=w1200</v>
      </c>
      <c r="AJ78" s="46"/>
      <c r="AK78" s="46"/>
      <c r="AL78" s="46"/>
      <c r="AM78" s="46"/>
      <c r="AN78" s="46"/>
      <c r="AO78" s="46"/>
      <c r="AP78" s="46"/>
      <c r="AQ78" s="46"/>
      <c r="AR78" s="46"/>
      <c r="AS78" s="46"/>
      <c r="AT78" s="46"/>
      <c r="AU78" s="46"/>
      <c r="AV78" s="46"/>
      <c r="AW78" s="46"/>
      <c r="AX78" s="46"/>
      <c r="AY78" s="46"/>
      <c r="AZ78" s="46"/>
      <c r="BA78" s="46"/>
      <c r="BB78" s="46"/>
      <c r="BC78" s="46"/>
      <c r="BD78" s="46"/>
      <c r="BE78" s="46"/>
      <c r="BF78" s="46"/>
      <c r="BG78" s="46"/>
      <c r="BH78" s="46"/>
      <c r="BI78" s="46"/>
      <c r="BJ78" s="46"/>
      <c r="BK78" s="46"/>
      <c r="BL78" s="46"/>
      <c r="BM78" s="46"/>
      <c r="BN78" s="46"/>
      <c r="BO78" s="46"/>
      <c r="BP78" s="46"/>
      <c r="BQ78" s="46"/>
      <c r="BR78" s="46"/>
      <c r="BS78" s="46"/>
      <c r="BT78" s="46"/>
      <c r="BU78" s="46"/>
      <c r="BV78" s="46"/>
      <c r="BW78" s="46"/>
      <c r="BX78" s="46"/>
      <c r="BY78" s="46"/>
      <c r="BZ78" s="46"/>
      <c r="CA78" s="46"/>
      <c r="CB78" s="46"/>
      <c r="CC78" s="46"/>
    </row>
    <row r="79">
      <c r="A79" s="87" t="str">
        <f>IFERROR(__xludf.DUMMYFUNCTION("""COMPUTED_VALUE"""),"1482")</f>
        <v>1482</v>
      </c>
      <c r="B79" s="46" t="str">
        <f>IFERROR(__xludf.DUMMYFUNCTION("""COMPUTED_VALUE"""),"Casa de 2 pisos independientes en barrio Los Tamas - Rivera")</f>
        <v>Casa de 2 pisos independientes en barrio Los Tamas - Rivera</v>
      </c>
      <c r="C79" s="46" t="str">
        <f>IFERROR(__xludf.DUMMYFUNCTION("""COMPUTED_VALUE"""),"Casa rentable")</f>
        <v>Casa rentable</v>
      </c>
      <c r="D79" s="46" t="str">
        <f>IFERROR(__xludf.DUMMYFUNCTION("""COMPUTED_VALUE"""),"Los Tamas")</f>
        <v>Los Tamas</v>
      </c>
      <c r="E79" s="46"/>
      <c r="F79" s="90">
        <f>IFERROR(__xludf.DUMMYFUNCTION("""COMPUTED_VALUE"""),3.2E8)</f>
        <v>320000000</v>
      </c>
      <c r="G79" s="46" t="str">
        <f>IFERROR(__xludf.DUMMYFUNCTION("""COMPUTED_VALUE"""),"$300'000.000 a $400'000.000")</f>
        <v>$300'000.000 a $400'000.000</v>
      </c>
      <c r="H79" s="46"/>
      <c r="I79" s="46"/>
      <c r="J79" s="46"/>
      <c r="K79" s="87"/>
      <c r="L79" s="46">
        <f>IFERROR(__xludf.DUMMYFUNCTION("""COMPUTED_VALUE"""),6.0)</f>
        <v>6</v>
      </c>
      <c r="M79" s="46"/>
      <c r="N79" s="46">
        <f>IFERROR(__xludf.DUMMYFUNCTION("""COMPUTED_VALUE"""),3.0)</f>
        <v>3</v>
      </c>
      <c r="O79" s="46">
        <f>IFERROR(__xludf.DUMMYFUNCTION("""COMPUTED_VALUE"""),1.0)</f>
        <v>1</v>
      </c>
      <c r="P79" s="46">
        <f>IFERROR(__xludf.DUMMYFUNCTION("""COMPUTED_VALUE"""),2.0)</f>
        <v>2</v>
      </c>
      <c r="Q79" s="92">
        <f>IFERROR(__xludf.DUMMYFUNCTION("""COMPUTED_VALUE"""),0.0)</f>
        <v>0</v>
      </c>
      <c r="R79" s="92">
        <f>IFERROR(__xludf.DUMMYFUNCTION("""COMPUTED_VALUE"""),90.0)</f>
        <v>90</v>
      </c>
      <c r="S79" s="87" t="str">
        <f>IFERROR(__xludf.DUMMYFUNCTION("""COMPUTED_VALUE""")," ")</f>
        <v> </v>
      </c>
      <c r="T79" s="46" t="str">
        <f>IFERROR(__xludf.DUMMYFUNCTION("""COMPUTED_VALUE"""),"Rivera")</f>
        <v>Rivera</v>
      </c>
      <c r="U79" s="87" t="str">
        <f>IFERROR(__xludf.DUMMYFUNCTION("""COMPUTED_VALUE"""),"2")</f>
        <v>2</v>
      </c>
      <c r="V79" s="46" t="str">
        <f>IFERROR(__xludf.DUMMYFUNCTION("""COMPUTED_VALUE"""),"Medianera")</f>
        <v>Medianera</v>
      </c>
      <c r="W79" s="46"/>
      <c r="X79" s="46">
        <f>IFERROR(__xludf.DUMMYFUNCTION("""COMPUTED_VALUE"""),0.0)</f>
        <v>0</v>
      </c>
      <c r="Y79" s="46" t="str">
        <f>IFERROR(__xludf.DUMMYFUNCTION("""COMPUTED_VALUE"""),"No tiene")</f>
        <v>No tiene</v>
      </c>
      <c r="Z79" s="90" t="str">
        <f>IFERROR(__xludf.DUMMYFUNCTION("""COMPUTED_VALUE"""),"No aplica")</f>
        <v>No aplica</v>
      </c>
      <c r="AA79" s="33" t="str">
        <f>IFERROR(__xludf.DUMMYFUNCTION("""COMPUTED_VALUE"""),"No aplica")</f>
        <v>No aplica</v>
      </c>
      <c r="AB79" s="144" t="str">
        <f>IFERROR(__xludf.DUMMYFUNCTION("""COMPUTED_VALUE"""),"https://photos.app.goo.gl/tsPPRAq8Z52u2RqQA")</f>
        <v>https://photos.app.goo.gl/tsPPRAq8Z52u2RqQA</v>
      </c>
      <c r="AC79" s="46" t="str">
        <f>IFERROR(__xludf.DUMMYFUNCTION("""COMPUTED_VALUE"""),"Casa de dos pisos Rentable de dos apartamentos independientes con un área total de 90 M2 en Rivera Huila a tan solo dos cuadras del parque principal del pueblo.    Primer piso consta de: sala, comedor cocina integral, 3 habitaciones, baño patio de ropas y"&amp;" parqueadero para moto.  Segundo piso consta de sala, comedor cocina integral, 3 habitaciones la principal con baño privado, baño auxiliar y patio de ropas. Cuenta con parqueadero para vehículo y bodega pequeña.")</f>
        <v>Casa de dos pisos Rentable de dos apartamentos independientes con un área total de 90 M2 en Rivera Huila a tan solo dos cuadras del parque principal del pueblo.    Primer piso consta de: sala, comedor cocina integral, 3 habitaciones, baño patio de ropas y parqueadero para moto.  Segundo piso consta de sala, comedor cocina integral, 3 habitaciones la principal con baño privado, baño auxiliar y patio de ropas. Cuenta con parqueadero para vehículo y bodega pequeña.</v>
      </c>
      <c r="AD79" s="46" t="str">
        <f>IFERROR(__xludf.DUMMYFUNCTION("""COMPUTED_VALUE"""),"Casa de dos pisos independientes en Rivera.")</f>
        <v>Casa de dos pisos independientes en Rivera.</v>
      </c>
      <c r="AE79" s="46"/>
      <c r="AF79" s="46" t="str">
        <f>IFERROR(__xludf.DUMMYFUNCTION("""COMPUTED_VALUE"""),"integral")</f>
        <v>integral</v>
      </c>
      <c r="AG79" s="46"/>
      <c r="AH79" s="46" t="str">
        <f>IFERROR(__xludf.DUMMYFUNCTION("""COMPUTED_VALUE"""),"Aliado")</f>
        <v>Aliado</v>
      </c>
      <c r="AI79" s="92" t="str">
        <f>IFERROR(__xludf.DUMMYFUNCTION("""COMPUTED_VALUE"""),"https://lh3.googleusercontent.com/pw/AP1GczP2wsOAmYtFd3Xa7HUK1JjiBcxh4oz5EcMmSdh1uyVAC47ISzj2u-BW1_Lz-8Y1jo13fRFx22KOimYwHuFoOUURIlBbWm4vT7ieNY6SZ34ZcEo2R3Rr=w1200|https://lh3.googleusercontent.com/pw/AP1GczNYCFZZ6e0xTcBAxJPYGUTsN-z9N601MhZASfMg661F9MPAV9"&amp;"q2FaYdAeS4koiv8rTXhE-J3DVRIiaEtJDCQAzrxTrvsNczvdbo-9KiOwYQYmhUf-Vj=w1200|https://lh3.googleusercontent.com/pw/AP1GczN84M4NXLPEv3yolwTe2Sv-DpBasqZx7jhHygsJp-yGk8czK46hbTlXzHAA9zoqJgV95acSLnnJicJwuYIZCOVYfhIWIiPfO7-6nWaBUA2ehwv3TUE8=w1200|https://lh3.google"&amp;"usercontent.com/pw/AP1GczNwE6vIyagkg77bWQKGnOxPiW6UIRpPiBfEqI-3TaCoVVQa-9F7Z6QW5razKWiuPmMyr1Msm1sztAoNUAlC7lIWThtX52Eom4JHc2z_3aHzc3W_VTDq=w1200|https://lh3.googleusercontent.com/pw/AP1GczM-OrFC1s8ZmWd1L09ZN8uYGB-M-8M3my4YCm6xNEMVX7VObt3cB7KW8Uj1wiQQJOzM"&amp;"D7aUDIrAB1i_9rylRBCS4paEmc1iMxYAHVCYOUst-fNsZM0b=w1200|https://lh3.googleusercontent.com/pw/AP1GczM8vbsyCP5Q4DA8dQwKFMjPK0ZAxX7fe36hgXv2eeCdPpAALNC84YNxv26mE0GIk-a1Q2p-22oTsjq6vgwQB7IxW24ZC77hNcHqMdlgt5Aa03YxZLcl=w1200|https://lh3.googleusercontent.com/pw"&amp;"/AP1GczMB7KJX_sTptnX2o8d9d7N_YviHM-k1PxEfVmKtuHKdrPVDXZhqfVXgVDQJMK4myho7WEq92_0IazQChV77uL2a0krWEhBz6nviBw49-IM8SkpQ9aNS=w1200|https://lh3.googleusercontent.com/pw/AP1GczNhHg8bmYRf4RsKCv6jNZkM_-zun-CY9ihhNTLRqUBASWJ-1wLLTAsKBMDN0nnJq63H5U1cZAks_4qAyer5fl"&amp;"Ohq2Qi87Wsg5fnefxsT94bHuopHYsi=w1200|https://lh3.googleusercontent.com/pw/AP1GczO24Lj7eJ2drrV5VW5JsnuM-9-kXBgCfsIboh4UwZghsRvBORshVSewOhALqBYJd92DZ1JF63T-e5-8IaPPSGbZfL1k_NpOS1Qa058KEwMr6J2dhSxt=w1200|https://lh3.googleusercontent.com/pw/AP1GczPZQcuRFqusV"&amp;"Qieltde37Fw2PBXTKgxVom6kCQdaMKXSmFNJoFnHqctEl7D8Uirb7aG521rMx0vkUYnZYDlX1fIveyD9ZBUuutpEwkYpvOhczzIAbk_=w1200|https://lh3.googleusercontent.com/pw/AP1GczP531f31a9j1bnZNfJ-jnVPUsA1pmT-KPzYte1gzkfy5Xm5ekRoaAgBU7EK_ge_czzc8_ydRW-o88svcXtBAzi6uMI3cgOcdt9aduVC"&amp;"emLunCvqwmjV=w1200|https://lh3.googleusercontent.com/pw/AP1GczNAnN4ElsKiBlMswYv7C2WtWeUvif0t6mTVaq4ZaymVLwaEIPYShg2QKLNXBmz01fa9ejh_QKInixh1zqb_TA-HdeQ8l-SB0tDEYYV5oR4RKKcdyGih=w1200|https://lh3.googleusercontent.com/pw/AP1GczNw4fg4ZdiZ3GmCi6zhub4mUMOX65U"&amp;"UWwKOyue1b56KXdIgsdXoSbKzqqKk6ymHVUK4_706oNqaF6lcW9gHSUuClLIwF9PI44dnF_dI0NRQvbpoLjAT=w1200|https://lh3.googleusercontent.com/pw/AP1GczMM0rua4EgcbH5PwfcSte_laBKQxnW2aJSQK_TDSC-3mmX-2TQuz7iHxldCE4Mc3J-TWt-Ynufq0_jBfBooWZHBeaTI1a4roEAdAR-ys7p7ZGcdd-9z=w1200"&amp;"|https://lh3.googleusercontent.com/pw/AP1GczPGvqCN2SWo6Br6AuI4jYnU6XBKlRyCFWdezeSEIKggDm26rDRcPq-pOxaLU3v72AEGX4ZdHn1vZgrlmfnPF2DfsTMOs4Eqb_t4E_0AGZCBB8pbhuvS=w1200")</f>
        <v>https://lh3.googleusercontent.com/pw/AP1GczP2wsOAmYtFd3Xa7HUK1JjiBcxh4oz5EcMmSdh1uyVAC47ISzj2u-BW1_Lz-8Y1jo13fRFx22KOimYwHuFoOUURIlBbWm4vT7ieNY6SZ34ZcEo2R3Rr=w1200|https://lh3.googleusercontent.com/pw/AP1GczNYCFZZ6e0xTcBAxJPYGUTsN-z9N601MhZASfMg661F9MPAV9q2FaYdAeS4koiv8rTXhE-J3DVRIiaEtJDCQAzrxTrvsNczvdbo-9KiOwYQYmhUf-Vj=w1200|https://lh3.googleusercontent.com/pw/AP1GczN84M4NXLPEv3yolwTe2Sv-DpBasqZx7jhHygsJp-yGk8czK46hbTlXzHAA9zoqJgV95acSLnnJicJwuYIZCOVYfhIWIiPfO7-6nWaBUA2ehwv3TUE8=w1200|https://lh3.googleusercontent.com/pw/AP1GczNwE6vIyagkg77bWQKGnOxPiW6UIRpPiBfEqI-3TaCoVVQa-9F7Z6QW5razKWiuPmMyr1Msm1sztAoNUAlC7lIWThtX52Eom4JHc2z_3aHzc3W_VTDq=w1200|https://lh3.googleusercontent.com/pw/AP1GczM-OrFC1s8ZmWd1L09ZN8uYGB-M-8M3my4YCm6xNEMVX7VObt3cB7KW8Uj1wiQQJOzMD7aUDIrAB1i_9rylRBCS4paEmc1iMxYAHVCYOUst-fNsZM0b=w1200|https://lh3.googleusercontent.com/pw/AP1GczM8vbsyCP5Q4DA8dQwKFMjPK0ZAxX7fe36hgXv2eeCdPpAALNC84YNxv26mE0GIk-a1Q2p-22oTsjq6vgwQB7IxW24ZC77hNcHqMdlgt5Aa03YxZLcl=w1200|https://lh3.googleusercontent.com/pw/AP1GczMB7KJX_sTptnX2o8d9d7N_YviHM-k1PxEfVmKtuHKdrPVDXZhqfVXgVDQJMK4myho7WEq92_0IazQChV77uL2a0krWEhBz6nviBw49-IM8SkpQ9aNS=w1200|https://lh3.googleusercontent.com/pw/AP1GczNhHg8bmYRf4RsKCv6jNZkM_-zun-CY9ihhNTLRqUBASWJ-1wLLTAsKBMDN0nnJq63H5U1cZAks_4qAyer5flOhq2Qi87Wsg5fnefxsT94bHuopHYsi=w1200|https://lh3.googleusercontent.com/pw/AP1GczO24Lj7eJ2drrV5VW5JsnuM-9-kXBgCfsIboh4UwZghsRvBORshVSewOhALqBYJd92DZ1JF63T-e5-8IaPPSGbZfL1k_NpOS1Qa058KEwMr6J2dhSxt=w1200|https://lh3.googleusercontent.com/pw/AP1GczPZQcuRFqusVQieltde37Fw2PBXTKgxVom6kCQdaMKXSmFNJoFnHqctEl7D8Uirb7aG521rMx0vkUYnZYDlX1fIveyD9ZBUuutpEwkYpvOhczzIAbk_=w1200|https://lh3.googleusercontent.com/pw/AP1GczP531f31a9j1bnZNfJ-jnVPUsA1pmT-KPzYte1gzkfy5Xm5ekRoaAgBU7EK_ge_czzc8_ydRW-o88svcXtBAzi6uMI3cgOcdt9aduVCemLunCvqwmjV=w1200|https://lh3.googleusercontent.com/pw/AP1GczNAnN4ElsKiBlMswYv7C2WtWeUvif0t6mTVaq4ZaymVLwaEIPYShg2QKLNXBmz01fa9ejh_QKInixh1zqb_TA-HdeQ8l-SB0tDEYYV5oR4RKKcdyGih=w1200|https://lh3.googleusercontent.com/pw/AP1GczNw4fg4ZdiZ3GmCi6zhub4mUMOX65UUWwKOyue1b56KXdIgsdXoSbKzqqKk6ymHVUK4_706oNqaF6lcW9gHSUuClLIwF9PI44dnF_dI0NRQvbpoLjAT=w1200|https://lh3.googleusercontent.com/pw/AP1GczMM0rua4EgcbH5PwfcSte_laBKQxnW2aJSQK_TDSC-3mmX-2TQuz7iHxldCE4Mc3J-TWt-Ynufq0_jBfBooWZHBeaTI1a4roEAdAR-ys7p7ZGcdd-9z=w1200|https://lh3.googleusercontent.com/pw/AP1GczPGvqCN2SWo6Br6AuI4jYnU6XBKlRyCFWdezeSEIKggDm26rDRcPq-pOxaLU3v72AEGX4ZdHn1vZgrlmfnPF2DfsTMOs4Eqb_t4E_0AGZCBB8pbhuvS=w1200</v>
      </c>
      <c r="AJ79" s="46"/>
      <c r="AK79" s="46"/>
      <c r="AL79" s="46"/>
      <c r="AM79" s="46"/>
      <c r="AN79" s="46"/>
      <c r="AO79" s="46"/>
      <c r="AP79" s="46"/>
      <c r="AQ79" s="46"/>
      <c r="AR79" s="46"/>
      <c r="AS79" s="46"/>
      <c r="AT79" s="46"/>
      <c r="AU79" s="46"/>
      <c r="AV79" s="46"/>
      <c r="AW79" s="46"/>
      <c r="AX79" s="46"/>
      <c r="AY79" s="46"/>
      <c r="AZ79" s="46"/>
      <c r="BA79" s="46"/>
      <c r="BB79" s="46"/>
      <c r="BC79" s="46"/>
      <c r="BD79" s="46"/>
      <c r="BE79" s="46"/>
      <c r="BF79" s="46"/>
      <c r="BG79" s="46"/>
      <c r="BH79" s="46"/>
      <c r="BI79" s="46"/>
      <c r="BJ79" s="46"/>
      <c r="BK79" s="46"/>
      <c r="BL79" s="46"/>
      <c r="BM79" s="46"/>
      <c r="BN79" s="46"/>
      <c r="BO79" s="46"/>
      <c r="BP79" s="46"/>
      <c r="BQ79" s="46"/>
      <c r="BR79" s="46"/>
      <c r="BS79" s="46"/>
      <c r="BT79" s="46"/>
      <c r="BU79" s="46"/>
      <c r="BV79" s="46"/>
      <c r="BW79" s="46"/>
      <c r="BX79" s="46"/>
      <c r="BY79" s="46"/>
      <c r="BZ79" s="46"/>
      <c r="CA79" s="46"/>
      <c r="CB79" s="46"/>
      <c r="CC79" s="46"/>
    </row>
    <row r="80">
      <c r="A80" s="87" t="str">
        <f>IFERROR(__xludf.DUMMYFUNCTION("""COMPUTED_VALUE"""),"1709")</f>
        <v>1709</v>
      </c>
      <c r="B80" s="46" t="str">
        <f>IFERROR(__xludf.DUMMYFUNCTION("""COMPUTED_VALUE"""),"Casa  con 2 Apartamentos en barrio Villa Milena - Norte")</f>
        <v>Casa  con 2 Apartamentos en barrio Villa Milena - Norte</v>
      </c>
      <c r="C80" s="46" t="str">
        <f>IFERROR(__xludf.DUMMYFUNCTION("""COMPUTED_VALUE"""),"Casa rentable")</f>
        <v>Casa rentable</v>
      </c>
      <c r="D80" s="46" t="str">
        <f>IFERROR(__xludf.DUMMYFUNCTION("""COMPUTED_VALUE"""),"Villa Milena")</f>
        <v>Villa Milena</v>
      </c>
      <c r="E80" s="46"/>
      <c r="F80" s="90">
        <f>IFERROR(__xludf.DUMMYFUNCTION("""COMPUTED_VALUE"""),3.1E8)</f>
        <v>310000000</v>
      </c>
      <c r="G80" s="46" t="str">
        <f>IFERROR(__xludf.DUMMYFUNCTION("""COMPUTED_VALUE"""),"$300'000.000 a $400'000.000")</f>
        <v>$300'000.000 a $400'000.000</v>
      </c>
      <c r="H80" s="46"/>
      <c r="I80" s="46"/>
      <c r="J80" s="46" t="str">
        <f>IFERROR(__xludf.DUMMYFUNCTION("""COMPUTED_VALUE"""),"Norte")</f>
        <v>Norte</v>
      </c>
      <c r="K80" s="87" t="str">
        <f>IFERROR(__xludf.DUMMYFUNCTION("""COMPUTED_VALUE"""),"2")</f>
        <v>2</v>
      </c>
      <c r="L80" s="46">
        <f>IFERROR(__xludf.DUMMYFUNCTION("""COMPUTED_VALUE"""),6.0)</f>
        <v>6</v>
      </c>
      <c r="M80" s="46"/>
      <c r="N80" s="46">
        <f>IFERROR(__xludf.DUMMYFUNCTION("""COMPUTED_VALUE"""),3.0)</f>
        <v>3</v>
      </c>
      <c r="O80" s="46">
        <f>IFERROR(__xludf.DUMMYFUNCTION("""COMPUTED_VALUE"""),2.0)</f>
        <v>2</v>
      </c>
      <c r="P80" s="46">
        <f>IFERROR(__xludf.DUMMYFUNCTION("""COMPUTED_VALUE"""),3.0)</f>
        <v>3</v>
      </c>
      <c r="Q80" s="92">
        <f>IFERROR(__xludf.DUMMYFUNCTION("""COMPUTED_VALUE"""),250.0)</f>
        <v>250</v>
      </c>
      <c r="R80" s="92">
        <f>IFERROR(__xludf.DUMMYFUNCTION("""COMPUTED_VALUE"""),90.0)</f>
        <v>90</v>
      </c>
      <c r="S80" s="87" t="str">
        <f>IFERROR(__xludf.DUMMYFUNCTION("""COMPUTED_VALUE"""),"Rentabilidad $1,200,000")</f>
        <v>Rentabilidad $1,200,000</v>
      </c>
      <c r="T80" s="46" t="str">
        <f>IFERROR(__xludf.DUMMYFUNCTION("""COMPUTED_VALUE"""),"Neiva")</f>
        <v>Neiva</v>
      </c>
      <c r="U80" s="87" t="str">
        <f>IFERROR(__xludf.DUMMYFUNCTION("""COMPUTED_VALUE"""),"2")</f>
        <v>2</v>
      </c>
      <c r="V80" s="46" t="str">
        <f>IFERROR(__xludf.DUMMYFUNCTION("""COMPUTED_VALUE"""),"Medianera")</f>
        <v>Medianera</v>
      </c>
      <c r="W80" s="46"/>
      <c r="X80" s="46">
        <f>IFERROR(__xludf.DUMMYFUNCTION("""COMPUTED_VALUE"""),5.0)</f>
        <v>5</v>
      </c>
      <c r="Y80" s="46" t="str">
        <f>IFERROR(__xludf.DUMMYFUNCTION("""COMPUTED_VALUE"""),"No tiene")</f>
        <v>No tiene</v>
      </c>
      <c r="Z80" s="90" t="str">
        <f>IFERROR(__xludf.DUMMYFUNCTION("""COMPUTED_VALUE"""),"No aplica")</f>
        <v>No aplica</v>
      </c>
      <c r="AA80" s="33" t="str">
        <f>IFERROR(__xludf.DUMMYFUNCTION("""COMPUTED_VALUE"""),"22 años")</f>
        <v>22 años</v>
      </c>
      <c r="AB80" s="144" t="str">
        <f>IFERROR(__xludf.DUMMYFUNCTION("""COMPUTED_VALUE"""),"https://photos.app.goo.gl/nYRoNs4d96geQ5wF6")</f>
        <v>https://photos.app.goo.gl/nYRoNs4d96geQ5wF6</v>
      </c>
      <c r="AC80" s="46" t="str">
        <f>IFERROR(__xludf.DUMMYFUNCTION("""COMPUTED_VALUE"""),"Primer Nivel (Apartamento). Sala – comedor. Sala de star. 3 habitaciones (2 con clóset en madera). Habitación principal con baño privado. Baño auxiliar. Cocina semi-integral. Zona de lavandería. Garaje para moto. Pisos en cerámica. Cielo raso en drywall. "&amp;"Segundo nivel (Apartamento)Sala – comedor. 3 habitaciones. Baño auxiliar. Cocina. Zona de lavandería. Garaje para moto. Pisos en cerámica. Tercer Nivel (Terraza en obra gris).")</f>
        <v>Primer Nivel (Apartamento). Sala – comedor. Sala de star. 3 habitaciones (2 con clóset en madera). Habitación principal con baño privado. Baño auxiliar. Cocina semi-integral. Zona de lavandería. Garaje para moto. Pisos en cerámica. Cielo raso en drywall. Segundo nivel (Apartamento)Sala – comedor. 3 habitaciones. Baño auxiliar. Cocina. Zona de lavandería. Garaje para moto. Pisos en cerámica. Tercer Nivel (Terraza en obra gris).</v>
      </c>
      <c r="AD80" s="46"/>
      <c r="AE80" s="46"/>
      <c r="AF80" s="46" t="str">
        <f>IFERROR(__xludf.DUMMYFUNCTION("""COMPUTED_VALUE"""),"semi-integral")</f>
        <v>semi-integral</v>
      </c>
      <c r="AG80" s="46"/>
      <c r="AH80" s="46" t="str">
        <f>IFERROR(__xludf.DUMMYFUNCTION("""COMPUTED_VALUE"""),"Aliado")</f>
        <v>Aliado</v>
      </c>
      <c r="AI80" s="92" t="str">
        <f>IFERROR(__xludf.DUMMYFUNCTION("""COMPUTED_VALUE"""),"https://lh3.googleusercontent.com/pw/AP1GczNOQXgMMXDfmV-LEfpR_9tX9joSxsT6wn4TWXGbX7s_tlkdukhBVzlbjoHAPRb2oE7Z6JEL0PD02GfivHUqRdGtPMhJV6JxsVUzjP8tH_lbOZ8Kzp8A=w1200|https://lh3.googleusercontent.com/pw/AP1GczP1_OPtLUqqyPvKkaxJq5EcQ5GyghSXb63xR-3ct_-vxP7CgP"&amp;"0D8wuQurf4bdcBFOgaxh3pZzd5iCCr-s-E_VyTqOURveHZzl3QCAKJ7xON739psd2K=w1200|https://lh3.googleusercontent.com/pw/AP1GczPTPhm7I52suydHvfKOwgs_8ny82CskjtKIy-MaNeOQSsAP8tiCiqyUcyX79ARljqMoL-1Du8TO64ng9tnr8Z4Ol1DxXiSe7GB4RxUjfvdgNTJzixKh=w1200|https://lh3.google"&amp;"usercontent.com/pw/AP1GczP9IDHLvFn4dpy-e2z3_P64lvb1vIPUS_kRy8JTiFbPPh2JBReAyCOPCEue7VElyKMvBCD4RhgJZiztBrGypyqirugYlAShG7yu6OmCPwvKXkBYIwxb=w1200|https://lh3.googleusercontent.com/pw/AP1GczP3pX1nOLSJvIfxqVicgeGs_TvqFZUd4jsP09gO5OUNgu_S5b09nc4vU71MsM0RTFs3"&amp;"p-yQVx8kIPvj41WhkTXrg-zGv2dEvlFP8S3VDNZpTD_G7nVp=w1200|https://lh3.googleusercontent.com/pw/AP1GczOillflYQZ6sEIAss-n4lUfqConijvPEdsRqhiSWPl4PQr_7yOz4LAg65Qc5UDVSrQn-Tepb-jJEFBn-HKsQWXkPfveQKQe_klf8f8xCjOHUwmBMoqZ=w1200|https://lh3.googleusercontent.com/pw"&amp;"/AP1GczOabKMF4xU3o5jlPAiywOcr2O-JVnL9-OyN7Djg6r61IY2fwijvmjOOc_SmPu7XISZddfOW_SQ9HnLdAfuGrSo5Pjt44qcc_mg_T3K5s7aVzg2mQdEq=w1200|https://lh3.googleusercontent.com/pw/AP1GczPskf0R-k0_Xi0Y5Z38wH25dsfaOdLWWKMF2ksTjGLZVY25NoJqbc1AiQ9Ez4C_N_ZIRHGLpLPSWxa07vhIqk"&amp;"bP6rJGb3ST-xLxM6T6C1SnzWB3DpXh=w1200|https://lh3.googleusercontent.com/pw/AP1GczPVdmJeUu3Sb7a5ESvDr_Reh_KYGQEBubv7RB-HQ8BSQi1QhTJy7zajdgPPc0BrUG9hrNb2mjh8uSKNHH5rqAntMnc_QSAHZzBMf5QH9cssjNqz5YZA=w1200|https://lh3.googleusercontent.com/pw/AP1GczPHpQEAT-YMY"&amp;"CgeUCxZ9h73zTZjchT-k_Iay6C6OT2OxNUeUnBQv_yGj8-qInwxtSsHNTsS0XnYet8pCZSdhXPy80NXFnk6HG-DdbmDY1dqdCNc2HuA=w1200|https://lh3.googleusercontent.com/pw/AP1GczPU2zPJuKuu--XMpk7QfGovLTM7UX_WEmm7ediaaISJCXbHa3XHbM505KCfIxz18GKmoQGHshqpdoDsG_rnfg5I7TA0JM1rAEr4hac3"&amp;"whUC03DobEB7=w1200|https://lh3.googleusercontent.com/pw/AP1GczPxrJ685OVS2loNrlyOI60hBuWzwRpLtVS9kswp85R-3laLaYhq5il-lHhHKzkZJJTQfCjiNYbGBl0bCADPfZlH6h3yfNLF3BoVYECtZV9zBebjnV6x=w1200|https://lh3.googleusercontent.com/pw/AP1GczO00xEAzIiTDNuuQKXqQw6Ox5xRelk"&amp;"4m5KIDyiXOMLbsbMulvvOEE8LtiVP-akkxsIFHNxL71F-5zVilPMKpJ_usolDHixJ2gbGHGqxXhbry-yamsZV=w1200|https://lh3.googleusercontent.com/pw/AP1GczMRle2b-IDrNbbpz2wXoQJE7-0uJV2WBZl-06t9Y7K5Qe_AVAfQt8wIeMCv1YPiNIZnFkNXvlYN_hL_bmRxPLZpew2iDknQXrf0qhgZJQOC9nGJxODA=w1200"&amp;"|https://lh3.googleusercontent.com/pw/AP1GczPr7G6K3uXz0eqCW_c8Q2A-gPE7II9zpCyKqO8AD49ND7VO1YiFcruTRyL6q5Q94uyjw_uZB2G4dFPJAWDvMim04sUjrLEIbbfInpIEoMBoesvZvkPQ=w1200")</f>
        <v>https://lh3.googleusercontent.com/pw/AP1GczNOQXgMMXDfmV-LEfpR_9tX9joSxsT6wn4TWXGbX7s_tlkdukhBVzlbjoHAPRb2oE7Z6JEL0PD02GfivHUqRdGtPMhJV6JxsVUzjP8tH_lbOZ8Kzp8A=w1200|https://lh3.googleusercontent.com/pw/AP1GczP1_OPtLUqqyPvKkaxJq5EcQ5GyghSXb63xR-3ct_-vxP7CgP0D8wuQurf4bdcBFOgaxh3pZzd5iCCr-s-E_VyTqOURveHZzl3QCAKJ7xON739psd2K=w1200|https://lh3.googleusercontent.com/pw/AP1GczPTPhm7I52suydHvfKOwgs_8ny82CskjtKIy-MaNeOQSsAP8tiCiqyUcyX79ARljqMoL-1Du8TO64ng9tnr8Z4Ol1DxXiSe7GB4RxUjfvdgNTJzixKh=w1200|https://lh3.googleusercontent.com/pw/AP1GczP9IDHLvFn4dpy-e2z3_P64lvb1vIPUS_kRy8JTiFbPPh2JBReAyCOPCEue7VElyKMvBCD4RhgJZiztBrGypyqirugYlAShG7yu6OmCPwvKXkBYIwxb=w1200|https://lh3.googleusercontent.com/pw/AP1GczP3pX1nOLSJvIfxqVicgeGs_TvqFZUd4jsP09gO5OUNgu_S5b09nc4vU71MsM0RTFs3p-yQVx8kIPvj41WhkTXrg-zGv2dEvlFP8S3VDNZpTD_G7nVp=w1200|https://lh3.googleusercontent.com/pw/AP1GczOillflYQZ6sEIAss-n4lUfqConijvPEdsRqhiSWPl4PQr_7yOz4LAg65Qc5UDVSrQn-Tepb-jJEFBn-HKsQWXkPfveQKQe_klf8f8xCjOHUwmBMoqZ=w1200|https://lh3.googleusercontent.com/pw/AP1GczOabKMF4xU3o5jlPAiywOcr2O-JVnL9-OyN7Djg6r61IY2fwijvmjOOc_SmPu7XISZddfOW_SQ9HnLdAfuGrSo5Pjt44qcc_mg_T3K5s7aVzg2mQdEq=w1200|https://lh3.googleusercontent.com/pw/AP1GczPskf0R-k0_Xi0Y5Z38wH25dsfaOdLWWKMF2ksTjGLZVY25NoJqbc1AiQ9Ez4C_N_ZIRHGLpLPSWxa07vhIqkbP6rJGb3ST-xLxM6T6C1SnzWB3DpXh=w1200|https://lh3.googleusercontent.com/pw/AP1GczPVdmJeUu3Sb7a5ESvDr_Reh_KYGQEBubv7RB-HQ8BSQi1QhTJy7zajdgPPc0BrUG9hrNb2mjh8uSKNHH5rqAntMnc_QSAHZzBMf5QH9cssjNqz5YZA=w1200|https://lh3.googleusercontent.com/pw/AP1GczPHpQEAT-YMYCgeUCxZ9h73zTZjchT-k_Iay6C6OT2OxNUeUnBQv_yGj8-qInwxtSsHNTsS0XnYet8pCZSdhXPy80NXFnk6HG-DdbmDY1dqdCNc2HuA=w1200|https://lh3.googleusercontent.com/pw/AP1GczPU2zPJuKuu--XMpk7QfGovLTM7UX_WEmm7ediaaISJCXbHa3XHbM505KCfIxz18GKmoQGHshqpdoDsG_rnfg5I7TA0JM1rAEr4hac3whUC03DobEB7=w1200|https://lh3.googleusercontent.com/pw/AP1GczPxrJ685OVS2loNrlyOI60hBuWzwRpLtVS9kswp85R-3laLaYhq5il-lHhHKzkZJJTQfCjiNYbGBl0bCADPfZlH6h3yfNLF3BoVYECtZV9zBebjnV6x=w1200|https://lh3.googleusercontent.com/pw/AP1GczO00xEAzIiTDNuuQKXqQw6Ox5xRelk4m5KIDyiXOMLbsbMulvvOEE8LtiVP-akkxsIFHNxL71F-5zVilPMKpJ_usolDHixJ2gbGHGqxXhbry-yamsZV=w1200|https://lh3.googleusercontent.com/pw/AP1GczMRle2b-IDrNbbpz2wXoQJE7-0uJV2WBZl-06t9Y7K5Qe_AVAfQt8wIeMCv1YPiNIZnFkNXvlYN_hL_bmRxPLZpew2iDknQXrf0qhgZJQOC9nGJxODA=w1200|https://lh3.googleusercontent.com/pw/AP1GczPr7G6K3uXz0eqCW_c8Q2A-gPE7II9zpCyKqO8AD49ND7VO1YiFcruTRyL6q5Q94uyjw_uZB2G4dFPJAWDvMim04sUjrLEIbbfInpIEoMBoesvZvkPQ=w1200</v>
      </c>
      <c r="AJ80" s="46"/>
      <c r="AK80" s="46"/>
      <c r="AL80" s="46"/>
      <c r="AM80" s="46"/>
      <c r="AN80" s="46"/>
      <c r="AO80" s="46"/>
      <c r="AP80" s="46"/>
      <c r="AQ80" s="46"/>
      <c r="AR80" s="46"/>
      <c r="AS80" s="46"/>
      <c r="AT80" s="46"/>
      <c r="AU80" s="46"/>
      <c r="AV80" s="46"/>
      <c r="AW80" s="46"/>
      <c r="AX80" s="46"/>
      <c r="AY80" s="46"/>
      <c r="AZ80" s="46"/>
      <c r="BA80" s="46"/>
      <c r="BB80" s="46"/>
      <c r="BC80" s="46"/>
      <c r="BD80" s="46"/>
      <c r="BE80" s="46"/>
      <c r="BF80" s="46"/>
      <c r="BG80" s="46"/>
      <c r="BH80" s="46"/>
      <c r="BI80" s="46"/>
      <c r="BJ80" s="46"/>
      <c r="BK80" s="46"/>
      <c r="BL80" s="46"/>
      <c r="BM80" s="46"/>
      <c r="BN80" s="46"/>
      <c r="BO80" s="46"/>
      <c r="BP80" s="46"/>
      <c r="BQ80" s="46"/>
      <c r="BR80" s="46"/>
      <c r="BS80" s="46"/>
      <c r="BT80" s="46"/>
      <c r="BU80" s="46"/>
      <c r="BV80" s="46"/>
      <c r="BW80" s="46"/>
      <c r="BX80" s="46"/>
      <c r="BY80" s="46"/>
      <c r="BZ80" s="46"/>
      <c r="CA80" s="46"/>
      <c r="CB80" s="46"/>
      <c r="CC80" s="46"/>
    </row>
    <row r="81">
      <c r="A81" s="87" t="str">
        <f>IFERROR(__xludf.DUMMYFUNCTION("""COMPUTED_VALUE"""),"752")</f>
        <v>752</v>
      </c>
      <c r="B81" s="46" t="str">
        <f>IFERROR(__xludf.DUMMYFUNCTION("""COMPUTED_VALUE"""),"Casa en barrio Santander - La Rioja")</f>
        <v>Casa en barrio Santander - La Rioja</v>
      </c>
      <c r="C81" s="46" t="str">
        <f>IFERROR(__xludf.DUMMYFUNCTION("""COMPUTED_VALUE"""),"Casa")</f>
        <v>Casa</v>
      </c>
      <c r="D81" s="46" t="str">
        <f>IFERROR(__xludf.DUMMYFUNCTION("""COMPUTED_VALUE"""),"Santander")</f>
        <v>Santander</v>
      </c>
      <c r="E81" s="46"/>
      <c r="F81" s="90">
        <f>IFERROR(__xludf.DUMMYFUNCTION("""COMPUTED_VALUE"""),3.0E8)</f>
        <v>300000000</v>
      </c>
      <c r="G81" s="46" t="str">
        <f>IFERROR(__xludf.DUMMYFUNCTION("""COMPUTED_VALUE"""),"$300'000.000 a $400'000.000")</f>
        <v>$300'000.000 a $400'000.000</v>
      </c>
      <c r="H81" s="46"/>
      <c r="I81" s="46"/>
      <c r="J81" s="46" t="str">
        <f>IFERROR(__xludf.DUMMYFUNCTION("""COMPUTED_VALUE"""),"Oriente")</f>
        <v>Oriente</v>
      </c>
      <c r="K81" s="87" t="str">
        <f>IFERROR(__xludf.DUMMYFUNCTION("""COMPUTED_VALUE"""),"5")</f>
        <v>5</v>
      </c>
      <c r="L81" s="46">
        <f>IFERROR(__xludf.DUMMYFUNCTION("""COMPUTED_VALUE"""),4.0)</f>
        <v>4</v>
      </c>
      <c r="M81" s="46"/>
      <c r="N81" s="46">
        <f>IFERROR(__xludf.DUMMYFUNCTION("""COMPUTED_VALUE"""),3.0)</f>
        <v>3</v>
      </c>
      <c r="O81" s="46">
        <f>IFERROR(__xludf.DUMMYFUNCTION("""COMPUTED_VALUE"""),1.0)</f>
        <v>1</v>
      </c>
      <c r="P81" s="46">
        <f>IFERROR(__xludf.DUMMYFUNCTION("""COMPUTED_VALUE"""),2.0)</f>
        <v>2</v>
      </c>
      <c r="Q81" s="92">
        <f>IFERROR(__xludf.DUMMYFUNCTION("""COMPUTED_VALUE"""),200.0)</f>
        <v>200</v>
      </c>
      <c r="R81" s="92">
        <f>IFERROR(__xludf.DUMMYFUNCTION("""COMPUTED_VALUE"""),100.0)</f>
        <v>100</v>
      </c>
      <c r="S81" s="87" t="str">
        <f>IFERROR(__xludf.DUMMYFUNCTION("""COMPUTED_VALUE""")," ")</f>
        <v> </v>
      </c>
      <c r="T81" s="46" t="str">
        <f>IFERROR(__xludf.DUMMYFUNCTION("""COMPUTED_VALUE"""),"Neiva")</f>
        <v>Neiva</v>
      </c>
      <c r="U81" s="87" t="str">
        <f>IFERROR(__xludf.DUMMYFUNCTION("""COMPUTED_VALUE"""),"2")</f>
        <v>2</v>
      </c>
      <c r="V81" s="46" t="str">
        <f>IFERROR(__xludf.DUMMYFUNCTION("""COMPUTED_VALUE"""),"Medianera")</f>
        <v>Medianera</v>
      </c>
      <c r="W81" s="46"/>
      <c r="X81" s="46">
        <f>IFERROR(__xludf.DUMMYFUNCTION("""COMPUTED_VALUE"""),4.0)</f>
        <v>4</v>
      </c>
      <c r="Y81" s="46" t="str">
        <f>IFERROR(__xludf.DUMMYFUNCTION("""COMPUTED_VALUE"""),"No tiene")</f>
        <v>No tiene</v>
      </c>
      <c r="Z81" s="90" t="str">
        <f>IFERROR(__xludf.DUMMYFUNCTION("""COMPUTED_VALUE"""),"No aplica")</f>
        <v>No aplica</v>
      </c>
      <c r="AA81" s="33" t="str">
        <f>IFERROR(__xludf.DUMMYFUNCTION("""COMPUTED_VALUE"""),"No aplica")</f>
        <v>No aplica</v>
      </c>
      <c r="AB81" s="144" t="str">
        <f>IFERROR(__xludf.DUMMYFUNCTION("""COMPUTED_VALUE"""),"https://photos.app.goo.gl/6EiPhjJq1zuaPHXeA")</f>
        <v>https://photos.app.goo.gl/6EiPhjJq1zuaPHXeA</v>
      </c>
      <c r="AC81" s="46" t="str">
        <f>IFERROR(__xludf.DUMMYFUNCTION("""COMPUTED_VALUE"""),"Casa de dos pisos, estrato 2, cómoda, amplia, área de 200 m2 aproximadamente, 2 tanques de agua de 1.000 m3, se entrega con lámparas, 1 ventilador de techo, consta de 3 alcobas, 1 alcoba de servicio, sala, comedor, sala de tv, 3 baños con ducha, depósitos"&amp;", estudio con biblioteca, 4 closet en madera, 1 Vestier principal, garaje, balcón, cocina integral, patio de ropas, zona de lavandería, cortinas, pisos en cerámica.")</f>
        <v>Casa de dos pisos, estrato 2, cómoda, amplia, área de 200 m2 aproximadamente, 2 tanques de agua de 1.000 m3, se entrega con lámparas, 1 ventilador de techo, consta de 3 alcobas, 1 alcoba de servicio, sala, comedor, sala de tv, 3 baños con ducha, depósitos, estudio con biblioteca, 4 closet en madera, 1 Vestier principal, garaje, balcón, cocina integral, patio de ropas, zona de lavandería, cortinas, pisos en cerámica.</v>
      </c>
      <c r="AD81" s="46" t="str">
        <f>IFERROR(__xludf.DUMMYFUNCTION("""COMPUTED_VALUE"""),"Casa bien ubicada y con buenos acabados.")</f>
        <v>Casa bien ubicada y con buenos acabados.</v>
      </c>
      <c r="AE81" s="46"/>
      <c r="AF81" s="46" t="str">
        <f>IFERROR(__xludf.DUMMYFUNCTION("""COMPUTED_VALUE"""),"integral")</f>
        <v>integral</v>
      </c>
      <c r="AG81" s="46"/>
      <c r="AH81" s="46" t="str">
        <f>IFERROR(__xludf.DUMMYFUNCTION("""COMPUTED_VALUE"""),"Aliado")</f>
        <v>Aliado</v>
      </c>
      <c r="AI81" s="92" t="str">
        <f>IFERROR(__xludf.DUMMYFUNCTION("""COMPUTED_VALUE"""),"https://lh3.googleusercontent.com/pw/AP1GczOPRKNXz50DM-59UFkXaB5tbio1WJV1ek4-RuMEFm426_zsHxvY0gB5IBTGabnNKV1PwA_cpFg_nzS1goBqobXffiQ4xmH4AcL1aZme57f8c44DtwTF=w1200|https://lh3.googleusercontent.com/pw/AP1GczNPHAf--cfomfKpkwpSJfAa8cGhT7fBFJ4xxIYRoShL1EknhL"&amp;"76X3u0kCx0Uh66bvXD5rDtfvZhumh21e4z2nyF4yalP3uXiFcgJN-XKEHPvxBDtMdH=w1200|https://lh3.googleusercontent.com/pw/AP1GczOz-5oIlsZVV2Q-1F2ibs7pj6SvDtneFkGkduwlf-9CkseneDjXs_3DsW80-sfvNLN9zwNUUgVJzeLkYRG2WP-Yl88_qoWApceCmSSWzkDozyts22nz=w1200|https://lh3.google"&amp;"usercontent.com/pw/AP1GczPFV0e-ocLrwvfAtrpo8oRfUMQJOXaY5Dv6rGbyTMiw7FAUfgDQDyM6Y5HKAAxpQqZvpgNHkgkIaCPPWhceLv1IlVvsFDTpFqXqqxDrnoDb7LbiG7vl=w1200|https://lh3.googleusercontent.com/pw/AP1GczN1gwOZEPhkUSNHGDiWoaleN-jkxeusCGsaFSIw6-cMvs3-jh8CoR43xz_FVYzZljFq"&amp;"-zq-44ZTeJTsttoqjr8xqWy9m7qaGCzNjIold4dRHnTdLZyu=w1200|https://lh3.googleusercontent.com/pw/AP1GczNT5gzIzkHdDll7HGePN3qCM87HJbSpJ4W2lvIvTctr4Da1ClYq7q4QatgY12uJKimk3KOLYYWnnHZwiD_Nd0oBpk1cUgDv7GzXHQJfOiLed2fmQ__K=w1200|https://lh3.googleusercontent.com/pw"&amp;"/AP1GczOJaTT8eeL4OCCsIFbo5Zh-fZE864cmtOMwKi3Ff52z5B0-uOrFok7HUOp6GP5Lj6hMJaf_6t7mWi-Nayoe4Wllw7szPhnspCEaXm5HhzF61Nt5Odfo=w1200|https://lh3.googleusercontent.com/pw/AP1GczO-2P6b4L7C1Mf1GC-xA9a6-1_dnmdWSiy3A6W0pdmpc9E6dWTNmeoQq0RCgIomDFKBp1OUAq_7x_vkOHR0AG"&amp;"Tmp-BBXmodTyKCKe6v_b-SrST6FLFN=w1200|https://lh3.googleusercontent.com/pw/AP1GczMJxI4IbhJsO3tZf7Ws7sT0j2ARa6xDTWnoq-BQ5rCWfdO3c4uDCmGImErYtGysq86iGLEXuCcQffOWc8l7-gRoNIuZKVH7xgtbgx3zRPo0P3k16apo=w1200|https://lh3.googleusercontent.com/pw/AP1GczM0ITXN40AKH"&amp;"asPkzvot8Y8wgp935ks1nwWg7tGoHti6zco2hq_JVMwX4xUVMhUyzLIaEkzrqYBlTIuSvUsQYAg5rnwkc8MunxN64Ugu-59nVKy7i--=w1200|https://lh3.googleusercontent.com/pw/AP1GczNU6h9FPcz9N9EmW1AGasdmbn_uPh7RSgptgbdPreCfdEiQwLP9dVgqjb25Qwg2hTwc8hp5NkYAyMDlOcGPz9PLUH5LWTq7o5B6jw8t"&amp;"FroIbLwioJYd=w1200|https://lh3.googleusercontent.com/pw/AP1GczNYp8GkSa6mEA-RKkp-svl9COHNnbNNYw9lncQObqSevbkLk8_iBEPezhZ-y3DdxWjyZFl3de9uH3hinjbamgMNBvcp-ln1drOil1DhBCz4PuGSW29n=w1200|https://lh3.googleusercontent.com/pw/AP1GczMjXmjZ8MsuIn5R8SVc1-bKtrDr2Fi"&amp;"fSrtmxmF_n02Sbsh4PntoO8eBWsKc5KONURuCPplb_Grz5p-Du-swHI4dleHc2Ns1cn4q2reIN10AivaBYYwT=w1200|https://lh3.googleusercontent.com/pw/AP1GczNERNIEWCQ0RGSa9fLwD2ThBqEBx-rvdk8DrAWWvO1Q91v20qNqXLSK66ud51n7LcP6xwgjfaR_5nR5xOeAEv0qyVkZI4XcbSuiT5FXXNd7yj-FScyk=w1200"&amp;"|https://lh3.googleusercontent.com/pw/AP1GczOTe3W-f2V2urF-OlNbY1Mja2eIfiBWpaiUafLLiqCLIZOVs1znz_mz7Q0hMrRvFz0wSdvCP4_epS0w0M4tqFzUCHJFv2nHgHF1i8K5iHgi4V4jippP=w1200|https://lh3.googleusercontent.com/pw/AP1GczOqiywDjpwQhcHdASFl4xmqg_5NfgNbAErz5vtWZ5XcbNyfB"&amp;"idN1ehbqdL67aMaLMyMNbkrV-tOqjhvlj_HT4n7JfGT09k0VhJUZsk8nOujGNc7Cur_=w1200|https://lh3.googleusercontent.com/pw/AP1GczMbYPIZOiBwr0RrpXkb6IxZe_G__UlAgb3GlXh_PFyw7iu2Te5ArsferVrfVFdNad_WEtBy3eP8-hmSbs3BXtKfzoh-0FzS3cJrCtFkYIPRUnkKkMnO=w1200|https://lh3.googl"&amp;"eusercontent.com/pw/AP1GczPNr-Cs0cJuCRtOIynCHjn9ApAOduNCcMo6HCKyfcAUQIv3BKBkMq0BODu1aJJjCVh8E3-AvOyPNjGS1bwdrTY925cKnAw-7w34NnJnNc2bLQG2ObVS=w1200|https://lh3.googleusercontent.com/pw/AP1GczPD3lKfttbx-rJrO0EXzOqgQM4yIJSX7QizIsqJMhSGITopuW4jlCVRJWy8tvEN7en"&amp;"zIllxY5_7Z6gbr9LKnVpKjT8anuEg3uUatiHPz7h5veAGdZjp=w1200|https://lh3.googleusercontent.com/pw/AP1GczN1VcvKDdl3HICDTOmn4vQlUKbKZGBT5a7f4d-chivzwU40zNpy0RkB5MR5FtQhIJItEcMxWMOID3jkguzhhKR719XjKXxGNsWAG1XZnaRIFS75yBMd=w1200|https://lh3.googleusercontent.com/p"&amp;"w/AP1GczMDNPC9NvDtfhuOPOs81gCJGsRIFRrNPU5jPwcHyXMzUGdsKv-oUcpJbMhGiJtM5yfoGaWs_D_rP8du1lXFz5eGBtl02ThLDuAF-fiacWruZs-4ys54=w1200|https://lh3.googleusercontent.com/pw/AP1GczM8XvnRWVyLcxGxhVSJKGQVRU8yQV_OdQZZSPylLhFEAlxvxAQJppSMrCIvLqKXZIclHP_OO0BPTJBIWPLyx"&amp;"jFkHZcbswx0pfLW7NeHrOXkYp1xfpzE=w1200|https://lh3.googleusercontent.com/pw/AP1GczPFRA_Wz1jpJmgQOyxtjDhdGqtOJlA4Ve-0TlQ348DnWg_Ydt2f6bSQL6msGmfTUXI46Dl25sVD5F6mD9M-olAXnItogO01EAd_Vdb5hWuGgg-8d_g4=w1200|https://lh3.googleusercontent.com/pw/AP1GczPe8ZzkbRp2"&amp;"keGdtEJvMS_nc19hMY4Y6y7t6Ti5mEY8iL7ufBElvX0vnTAigiqocL9guhrAg_LJzmQtBiWS9BZE7mK8pg6UXCpdN3m-lmipgGLLeLoV=w1200")</f>
        <v>https://lh3.googleusercontent.com/pw/AP1GczOPRKNXz50DM-59UFkXaB5tbio1WJV1ek4-RuMEFm426_zsHxvY0gB5IBTGabnNKV1PwA_cpFg_nzS1goBqobXffiQ4xmH4AcL1aZme57f8c44DtwTF=w1200|https://lh3.googleusercontent.com/pw/AP1GczNPHAf--cfomfKpkwpSJfAa8cGhT7fBFJ4xxIYRoShL1EknhL76X3u0kCx0Uh66bvXD5rDtfvZhumh21e4z2nyF4yalP3uXiFcgJN-XKEHPvxBDtMdH=w1200|https://lh3.googleusercontent.com/pw/AP1GczOz-5oIlsZVV2Q-1F2ibs7pj6SvDtneFkGkduwlf-9CkseneDjXs_3DsW80-sfvNLN9zwNUUgVJzeLkYRG2WP-Yl88_qoWApceCmSSWzkDozyts22nz=w1200|https://lh3.googleusercontent.com/pw/AP1GczPFV0e-ocLrwvfAtrpo8oRfUMQJOXaY5Dv6rGbyTMiw7FAUfgDQDyM6Y5HKAAxpQqZvpgNHkgkIaCPPWhceLv1IlVvsFDTpFqXqqxDrnoDb7LbiG7vl=w1200|https://lh3.googleusercontent.com/pw/AP1GczN1gwOZEPhkUSNHGDiWoaleN-jkxeusCGsaFSIw6-cMvs3-jh8CoR43xz_FVYzZljFq-zq-44ZTeJTsttoqjr8xqWy9m7qaGCzNjIold4dRHnTdLZyu=w1200|https://lh3.googleusercontent.com/pw/AP1GczNT5gzIzkHdDll7HGePN3qCM87HJbSpJ4W2lvIvTctr4Da1ClYq7q4QatgY12uJKimk3KOLYYWnnHZwiD_Nd0oBpk1cUgDv7GzXHQJfOiLed2fmQ__K=w1200|https://lh3.googleusercontent.com/pw/AP1GczOJaTT8eeL4OCCsIFbo5Zh-fZE864cmtOMwKi3Ff52z5B0-uOrFok7HUOp6GP5Lj6hMJaf_6t7mWi-Nayoe4Wllw7szPhnspCEaXm5HhzF61Nt5Odfo=w1200|https://lh3.googleusercontent.com/pw/AP1GczO-2P6b4L7C1Mf1GC-xA9a6-1_dnmdWSiy3A6W0pdmpc9E6dWTNmeoQq0RCgIomDFKBp1OUAq_7x_vkOHR0AGTmp-BBXmodTyKCKe6v_b-SrST6FLFN=w1200|https://lh3.googleusercontent.com/pw/AP1GczMJxI4IbhJsO3tZf7Ws7sT0j2ARa6xDTWnoq-BQ5rCWfdO3c4uDCmGImErYtGysq86iGLEXuCcQffOWc8l7-gRoNIuZKVH7xgtbgx3zRPo0P3k16apo=w1200|https://lh3.googleusercontent.com/pw/AP1GczM0ITXN40AKHasPkzvot8Y8wgp935ks1nwWg7tGoHti6zco2hq_JVMwX4xUVMhUyzLIaEkzrqYBlTIuSvUsQYAg5rnwkc8MunxN64Ugu-59nVKy7i--=w1200|https://lh3.googleusercontent.com/pw/AP1GczNU6h9FPcz9N9EmW1AGasdmbn_uPh7RSgptgbdPreCfdEiQwLP9dVgqjb25Qwg2hTwc8hp5NkYAyMDlOcGPz9PLUH5LWTq7o5B6jw8tFroIbLwioJYd=w1200|https://lh3.googleusercontent.com/pw/AP1GczNYp8GkSa6mEA-RKkp-svl9COHNnbNNYw9lncQObqSevbkLk8_iBEPezhZ-y3DdxWjyZFl3de9uH3hinjbamgMNBvcp-ln1drOil1DhBCz4PuGSW29n=w1200|https://lh3.googleusercontent.com/pw/AP1GczMjXmjZ8MsuIn5R8SVc1-bKtrDr2FifSrtmxmF_n02Sbsh4PntoO8eBWsKc5KONURuCPplb_Grz5p-Du-swHI4dleHc2Ns1cn4q2reIN10AivaBYYwT=w1200|https://lh3.googleusercontent.com/pw/AP1GczNERNIEWCQ0RGSa9fLwD2ThBqEBx-rvdk8DrAWWvO1Q91v20qNqXLSK66ud51n7LcP6xwgjfaR_5nR5xOeAEv0qyVkZI4XcbSuiT5FXXNd7yj-FScyk=w1200|https://lh3.googleusercontent.com/pw/AP1GczOTe3W-f2V2urF-OlNbY1Mja2eIfiBWpaiUafLLiqCLIZOVs1znz_mz7Q0hMrRvFz0wSdvCP4_epS0w0M4tqFzUCHJFv2nHgHF1i8K5iHgi4V4jippP=w1200|https://lh3.googleusercontent.com/pw/AP1GczOqiywDjpwQhcHdASFl4xmqg_5NfgNbAErz5vtWZ5XcbNyfBidN1ehbqdL67aMaLMyMNbkrV-tOqjhvlj_HT4n7JfGT09k0VhJUZsk8nOujGNc7Cur_=w1200|https://lh3.googleusercontent.com/pw/AP1GczMbYPIZOiBwr0RrpXkb6IxZe_G__UlAgb3GlXh_PFyw7iu2Te5ArsferVrfVFdNad_WEtBy3eP8-hmSbs3BXtKfzoh-0FzS3cJrCtFkYIPRUnkKkMnO=w1200|https://lh3.googleusercontent.com/pw/AP1GczPNr-Cs0cJuCRtOIynCHjn9ApAOduNCcMo6HCKyfcAUQIv3BKBkMq0BODu1aJJjCVh8E3-AvOyPNjGS1bwdrTY925cKnAw-7w34NnJnNc2bLQG2ObVS=w1200|https://lh3.googleusercontent.com/pw/AP1GczPD3lKfttbx-rJrO0EXzOqgQM4yIJSX7QizIsqJMhSGITopuW4jlCVRJWy8tvEN7enzIllxY5_7Z6gbr9LKnVpKjT8anuEg3uUatiHPz7h5veAGdZjp=w1200|https://lh3.googleusercontent.com/pw/AP1GczN1VcvKDdl3HICDTOmn4vQlUKbKZGBT5a7f4d-chivzwU40zNpy0RkB5MR5FtQhIJItEcMxWMOID3jkguzhhKR719XjKXxGNsWAG1XZnaRIFS75yBMd=w1200|https://lh3.googleusercontent.com/pw/AP1GczMDNPC9NvDtfhuOPOs81gCJGsRIFRrNPU5jPwcHyXMzUGdsKv-oUcpJbMhGiJtM5yfoGaWs_D_rP8du1lXFz5eGBtl02ThLDuAF-fiacWruZs-4ys54=w1200|https://lh3.googleusercontent.com/pw/AP1GczM8XvnRWVyLcxGxhVSJKGQVRU8yQV_OdQZZSPylLhFEAlxvxAQJppSMrCIvLqKXZIclHP_OO0BPTJBIWPLyxjFkHZcbswx0pfLW7NeHrOXkYp1xfpzE=w1200|https://lh3.googleusercontent.com/pw/AP1GczPFRA_Wz1jpJmgQOyxtjDhdGqtOJlA4Ve-0TlQ348DnWg_Ydt2f6bSQL6msGmfTUXI46Dl25sVD5F6mD9M-olAXnItogO01EAd_Vdb5hWuGgg-8d_g4=w1200|https://lh3.googleusercontent.com/pw/AP1GczPe8ZzkbRp2keGdtEJvMS_nc19hMY4Y6y7t6Ti5mEY8iL7ufBElvX0vnTAigiqocL9guhrAg_LJzmQtBiWS9BZE7mK8pg6UXCpdN3m-lmipgGLLeLoV=w1200</v>
      </c>
      <c r="AJ81" s="46"/>
      <c r="AK81" s="46"/>
      <c r="AL81" s="46"/>
      <c r="AM81" s="46"/>
      <c r="AN81" s="46"/>
      <c r="AO81" s="46"/>
      <c r="AP81" s="46"/>
      <c r="AQ81" s="46"/>
      <c r="AR81" s="46"/>
      <c r="AS81" s="46"/>
      <c r="AT81" s="46"/>
      <c r="AU81" s="46"/>
      <c r="AV81" s="46"/>
      <c r="AW81" s="46"/>
      <c r="AX81" s="46"/>
      <c r="AY81" s="46"/>
      <c r="AZ81" s="46"/>
      <c r="BA81" s="46"/>
      <c r="BB81" s="46"/>
      <c r="BC81" s="46"/>
      <c r="BD81" s="46"/>
      <c r="BE81" s="46"/>
      <c r="BF81" s="46"/>
      <c r="BG81" s="46"/>
      <c r="BH81" s="46"/>
      <c r="BI81" s="46"/>
      <c r="BJ81" s="46"/>
      <c r="BK81" s="46"/>
      <c r="BL81" s="46"/>
      <c r="BM81" s="46"/>
      <c r="BN81" s="46"/>
      <c r="BO81" s="46"/>
      <c r="BP81" s="46"/>
      <c r="BQ81" s="46"/>
      <c r="BR81" s="46"/>
      <c r="BS81" s="46"/>
      <c r="BT81" s="46"/>
      <c r="BU81" s="46"/>
      <c r="BV81" s="46"/>
      <c r="BW81" s="46"/>
      <c r="BX81" s="46"/>
      <c r="BY81" s="46"/>
      <c r="BZ81" s="46"/>
      <c r="CA81" s="46"/>
      <c r="CB81" s="46"/>
      <c r="CC81" s="46"/>
    </row>
    <row r="82">
      <c r="A82" s="87" t="str">
        <f>IFERROR(__xludf.DUMMYFUNCTION("""COMPUTED_VALUE"""),"184")</f>
        <v>184</v>
      </c>
      <c r="B82" s="46" t="str">
        <f>IFERROR(__xludf.DUMMYFUNCTION("""COMPUTED_VALUE"""),"Casa en barrio Carlos Pizarro")</f>
        <v>Casa en barrio Carlos Pizarro</v>
      </c>
      <c r="C82" s="46" t="str">
        <f>IFERROR(__xludf.DUMMYFUNCTION("""COMPUTED_VALUE"""),"Casa")</f>
        <v>Casa</v>
      </c>
      <c r="D82" s="46" t="str">
        <f>IFERROR(__xludf.DUMMYFUNCTION("""COMPUTED_VALUE"""),"Carlos Pizarro")</f>
        <v>Carlos Pizarro</v>
      </c>
      <c r="E82" s="46"/>
      <c r="F82" s="90">
        <f>IFERROR(__xludf.DUMMYFUNCTION("""COMPUTED_VALUE"""),3.0E8)</f>
        <v>300000000</v>
      </c>
      <c r="G82" s="46" t="str">
        <f>IFERROR(__xludf.DUMMYFUNCTION("""COMPUTED_VALUE"""),"$300'000.000 a $400'000.000")</f>
        <v>$300'000.000 a $400'000.000</v>
      </c>
      <c r="H82" s="46"/>
      <c r="I82" s="46"/>
      <c r="J82" s="46" t="str">
        <f>IFERROR(__xludf.DUMMYFUNCTION("""COMPUTED_VALUE"""),"Norte")</f>
        <v>Norte</v>
      </c>
      <c r="K82" s="87" t="str">
        <f>IFERROR(__xludf.DUMMYFUNCTION("""COMPUTED_VALUE"""),"1")</f>
        <v>1</v>
      </c>
      <c r="L82" s="46">
        <f>IFERROR(__xludf.DUMMYFUNCTION("""COMPUTED_VALUE"""),4.0)</f>
        <v>4</v>
      </c>
      <c r="M82" s="46"/>
      <c r="N82" s="46">
        <f>IFERROR(__xludf.DUMMYFUNCTION("""COMPUTED_VALUE"""),3.0)</f>
        <v>3</v>
      </c>
      <c r="O82" s="46">
        <f>IFERROR(__xludf.DUMMYFUNCTION("""COMPUTED_VALUE"""),2.0)</f>
        <v>2</v>
      </c>
      <c r="P82" s="46">
        <f>IFERROR(__xludf.DUMMYFUNCTION("""COMPUTED_VALUE"""),2.0)</f>
        <v>2</v>
      </c>
      <c r="Q82" s="92">
        <f>IFERROR(__xludf.DUMMYFUNCTION("""COMPUTED_VALUE"""),170.0)</f>
        <v>170</v>
      </c>
      <c r="R82" s="92">
        <f>IFERROR(__xludf.DUMMYFUNCTION("""COMPUTED_VALUE"""),170.0)</f>
        <v>170</v>
      </c>
      <c r="S82" s="87" t="str">
        <f>IFERROR(__xludf.DUMMYFUNCTION("""COMPUTED_VALUE""")," ")</f>
        <v> </v>
      </c>
      <c r="T82" s="46" t="str">
        <f>IFERROR(__xludf.DUMMYFUNCTION("""COMPUTED_VALUE"""),"Neiva")</f>
        <v>Neiva</v>
      </c>
      <c r="U82" s="87" t="str">
        <f>IFERROR(__xludf.DUMMYFUNCTION("""COMPUTED_VALUE"""),"3")</f>
        <v>3</v>
      </c>
      <c r="V82" s="46" t="str">
        <f>IFERROR(__xludf.DUMMYFUNCTION("""COMPUTED_VALUE"""),"Esquinera")</f>
        <v>Esquinera</v>
      </c>
      <c r="W82" s="46"/>
      <c r="X82" s="46">
        <f>IFERROR(__xludf.DUMMYFUNCTION("""COMPUTED_VALUE"""),0.0)</f>
        <v>0</v>
      </c>
      <c r="Y82" s="46" t="str">
        <f>IFERROR(__xludf.DUMMYFUNCTION("""COMPUTED_VALUE"""),"No tiene")</f>
        <v>No tiene</v>
      </c>
      <c r="Z82" s="90" t="str">
        <f>IFERROR(__xludf.DUMMYFUNCTION("""COMPUTED_VALUE"""),"No aplica")</f>
        <v>No aplica</v>
      </c>
      <c r="AA82" s="33" t="str">
        <f>IFERROR(__xludf.DUMMYFUNCTION("""COMPUTED_VALUE"""),"No aplica")</f>
        <v>No aplica</v>
      </c>
      <c r="AB82" s="144" t="str">
        <f>IFERROR(__xludf.DUMMYFUNCTION("""COMPUTED_VALUE"""),"https://photos.google.com/u/1/share/AF1QipOvg8N7lkh9bSRuNFfKF7XfNtpeOlIEG3bs_Un8YsTgcl1V0gM0UI9pcejqm0rD9Q?hl=es&amp;key=MGF1Z2M0REhhVi1SSEQ4VG85N3B2YWhjWG9mNnNR")</f>
        <v>https://photos.google.com/u/1/share/AF1QipOvg8N7lkh9bSRuNFfKF7XfNtpeOlIEG3bs_Un8YsTgcl1V0gM0UI9pcejqm0rD9Q?hl=es&amp;key=MGF1Z2M0REhhVi1SSEQ4VG85N3B2YWhjWG9mNnNR</v>
      </c>
      <c r="AC82" s="46" t="str">
        <f>IFERROR(__xludf.DUMMYFUNCTION("""COMPUTED_VALUE"""),"Casa de dos pisos con un área de 170m2, con 7 años de construcción, estrato 2, consta de sala-comedor, antesala, 4 habitaciones, 2 baños con tina, estudio, estar de tv, 2 garajes, balcón, cocina integral, patio de ropas, reja hacia la calle, pisos en cerá"&amp;"mica, techo en tableta
Features:")</f>
        <v>Casa de dos pisos con un área de 170m2, con 7 años de construcción, estrato 2, consta de sala-comedor, antesala, 4 habitaciones, 2 baños con tina, estudio, estar de tv, 2 garajes, balcón, cocina integral, patio de ropas, reja hacia la calle, pisos en cerámica, techo en tableta
Features:</v>
      </c>
      <c r="AD82" s="46"/>
      <c r="AE82" s="46"/>
      <c r="AF82" s="46" t="str">
        <f>IFERROR(__xludf.DUMMYFUNCTION("""COMPUTED_VALUE"""),"integral")</f>
        <v>integral</v>
      </c>
      <c r="AG82" s="46"/>
      <c r="AH82" s="46" t="str">
        <f>IFERROR(__xludf.DUMMYFUNCTION("""COMPUTED_VALUE"""),"Aliado")</f>
        <v>Aliado</v>
      </c>
      <c r="AI82" s="92" t="str">
        <f>IFERROR(__xludf.DUMMYFUNCTION("""COMPUTED_VALUE"""),"https://lh3.googleusercontent.com/pw/AP1GczPNWvCXysIqxubz4BplZsHmcGPHxBmVx9xWQYVGRdzp-EKIV6d3QMq3Kgk9eB3A2MPT3umKXDUjZZK295AmcAxVyy2Zc9I1rq0Mq2zsWyZd8o5wFP9j=w1200|https://lh3.googleusercontent.com/pw/AP1GczMEg7ILpXGCp6Ul2HFEPp0dYMLX7_Bdk-hbA38Lfdn1F79rOr"&amp;"8a35rwcGmbzYxKYUbV-qGqnRsDnldsI1ijS1DCi4_lt7WNR010Dk2y-J08zcrqPF5e=w1200|https://lh3.googleusercontent.com/pw/AP1GczOLHOhfMJxEOreBGrZzg__COQ7ILwKNITrY68LMlE5zGON44O9w3n3ibylOxBMe2dQ_ZrpR2IvbLgVqY2pUY_VoIJx6x5N4LocT-cV1q6_ZDHQOc6zY=w1200|https://lh3.google"&amp;"usercontent.com/pw/AP1GczPOSm9pvyfJ8fq2n_rc_UcO7oc64fb3UXjug7yNQr8WgLPWgRuidFoMaZMVNqmlrFhLtUtLERUyYNikRz2WL_Px3VctyUF5uT7uJTXXmQKaE6f-EVBb=w1200|https://lh3.googleusercontent.com/pw/AP1GczOUCLwMoMQIpkMm5KIfUNorj4Wg-QYUnKM5EDhMrm-zL-nXb8YGAu8kQQr7fkOe0gge"&amp;"B89f-OdLyaTUJ7iwyJYOMLEeCYyRsWS9zM0Rf860rYVPabTP=w1200|https://lh3.googleusercontent.com/pw/AP1GczM3SqZz6YzBuDLtX07YGoNsWxmBX0CC_gWQ4ArFlTtD4Ec65vOHf6yv4tUV3hjXKmgaBvprdAM-R6nZmeagwXcQ9u1go17aWbwQF3d6pXNyfglUnwH7=w1200|https://lh3.googleusercontent.com/pw"&amp;"/AP1GczNUPC1YZVAxRV7WT_JRaEqZOeqHf0dWUOmCFj4piC6UhFwZCgov2MHSVQzxhRYL3fvOtIDjDgWOOfkh7UpgCZrq_lzNfXBidctOX3jDs7BM-wq6tFcs=w1200|https://lh3.googleusercontent.com/pw/AP1GczOnq0BtXlvKdbvG1MP9HIQECeXMfhahewHSAthyIUXKKdfnJpOWRzB_TnjWfNKgj8lMLX3ZaI6_TO-KRosh_f"&amp;"-oMXMchbjsc7Tg0pf0zOVuTbJTugyH=w1200|https://lh3.googleusercontent.com/pw/AP1GczOzTf_16Nvb7kB5wHkZKf0RuiwfOzV2fOg5jRUYiKJbjBsxSKAaU8_-OOKaunj4CAR5ICz2EXx1RPyqNnWaSyxXvIvjAZzkDyqyKgyi7mVIKbXySIIR=w1200|https://lh3.googleusercontent.com/pw/AP1GczOSekeD0KuzH"&amp;"pFKo3ZCVnIuSFwO3CI8JIqsEKxWUm0X72DFZrIpY-5gBQsTHuiY0DPC7n2AlQTRHL9S448tb-QSwYQR6Q2A9KxvBUyvUCCHBVsxw5B5=w1200|https://lh3.googleusercontent.com/pw/AP1GczMjmoJ14gVtQusInUiWHVHBEP5qcq_Mme-vpWNk0cI8CFHORu9xiw9WWY1v0xSQEi28mtBv42Zm-Vp1R-XlFlP2RUmAtGW97zLo-pUy"&amp;"TzE6CmCS5KYJ=w1200|https://lh3.googleusercontent.com/pw/AP1GczMJY3X8yARLMWIoGfkWeM9M0iHIzMkPQ81CfIW2iNfxmquQjdrOf0YaOsin6yn8jFHWGvORmQsYkbHEfxCbl7R0GCkhLdviKdQV4WIDgBfFEryIeVRm=w1200|https://lh3.googleusercontent.com/pw/AP1GczPWNKI92n39FAoIBsjyv_DdlTuQXXO"&amp;"dewDq2VpcLayx_uhPy13iBNl_vOMXhdJqxWgO1UuzzlckoMlhQr8JQufkxlrV-s_-_bjzDYVZkQmAINgPTfRK=w1200|https://lh3.googleusercontent.com/pw/AP1GczP54h4EvGKpEYVk4-pb0d2cy1P79njfDSpKXF2ix25sg9N3ROI9mJZT3gWXHDockJ73CmO8DhEd0x7K5CqoUXhzHzfBlMdwsunvXeFUrakGDNGtMXqT=w1200"&amp;"|https://lh3.googleusercontent.com/pw/AP1GczOh284fTgMukau7zfvQ6kv_TPOhHD5mbwhxi0P91yc73LtW-eIONEbLz5BoBxLVJ1xRN1rKE115r-RwDTKhKdWBHxivaPbfUVDyV-Wsm36nWYM7rdCK=w1200|https://lh3.googleusercontent.com/pw/AP1GczOqkZlvri_LKNTC82Q1nJHCoWYtoUlxZfU-PvWuwrO-CBSCR"&amp;"BID3EaRT0vw-y0g7lJdBXsx6Z5oy7Xdgmnq9-BWq4uWa9_2Jl7TD1QVsGsozCeVGs_m=w1200|https://lh3.googleusercontent.com/pw/AP1GczNLmNAPkIkA9K6gOVCan7b_Rj-MZ9WskuxARxM0QlnAYx8Cfy0_5IT2DQZVbTmO_sikbbkN1sXV0DrlRk28D-h3EKBk0gNQ3BbSpQSo94VjgUX2kOx8=w1200|https://lh3.googl"&amp;"eusercontent.com/pw/AP1GczNbtuIqoGdG0qIG9Xjk5HnQJIVMUTNZ-oBhgH7QOKU1LAAUZjLdiIvp_nPn2IfOfqHNfb8bp9mkqWDNJjHUqrBKKhL81lKRuoFyaemHaVSUh9qK6Hvu=w1200|https://lh3.googleusercontent.com/pw/AP1GczN2yCx5LpcEIpRSJ-mr0DygTDSmScU6FlUjqZAI8_qY--5rWwHLOz32h-1w2RuDZe2"&amp;"4nSDto88oe3TyyGS4KRROJRA1ntUKjA9iqPAxaApmA-0xpZPn=w1200")</f>
        <v>https://lh3.googleusercontent.com/pw/AP1GczPNWvCXysIqxubz4BplZsHmcGPHxBmVx9xWQYVGRdzp-EKIV6d3QMq3Kgk9eB3A2MPT3umKXDUjZZK295AmcAxVyy2Zc9I1rq0Mq2zsWyZd8o5wFP9j=w1200|https://lh3.googleusercontent.com/pw/AP1GczMEg7ILpXGCp6Ul2HFEPp0dYMLX7_Bdk-hbA38Lfdn1F79rOr8a35rwcGmbzYxKYUbV-qGqnRsDnldsI1ijS1DCi4_lt7WNR010Dk2y-J08zcrqPF5e=w1200|https://lh3.googleusercontent.com/pw/AP1GczOLHOhfMJxEOreBGrZzg__COQ7ILwKNITrY68LMlE5zGON44O9w3n3ibylOxBMe2dQ_ZrpR2IvbLgVqY2pUY_VoIJx6x5N4LocT-cV1q6_ZDHQOc6zY=w1200|https://lh3.googleusercontent.com/pw/AP1GczPOSm9pvyfJ8fq2n_rc_UcO7oc64fb3UXjug7yNQr8WgLPWgRuidFoMaZMVNqmlrFhLtUtLERUyYNikRz2WL_Px3VctyUF5uT7uJTXXmQKaE6f-EVBb=w1200|https://lh3.googleusercontent.com/pw/AP1GczOUCLwMoMQIpkMm5KIfUNorj4Wg-QYUnKM5EDhMrm-zL-nXb8YGAu8kQQr7fkOe0ggeB89f-OdLyaTUJ7iwyJYOMLEeCYyRsWS9zM0Rf860rYVPabTP=w1200|https://lh3.googleusercontent.com/pw/AP1GczM3SqZz6YzBuDLtX07YGoNsWxmBX0CC_gWQ4ArFlTtD4Ec65vOHf6yv4tUV3hjXKmgaBvprdAM-R6nZmeagwXcQ9u1go17aWbwQF3d6pXNyfglUnwH7=w1200|https://lh3.googleusercontent.com/pw/AP1GczNUPC1YZVAxRV7WT_JRaEqZOeqHf0dWUOmCFj4piC6UhFwZCgov2MHSVQzxhRYL3fvOtIDjDgWOOfkh7UpgCZrq_lzNfXBidctOX3jDs7BM-wq6tFcs=w1200|https://lh3.googleusercontent.com/pw/AP1GczOnq0BtXlvKdbvG1MP9HIQECeXMfhahewHSAthyIUXKKdfnJpOWRzB_TnjWfNKgj8lMLX3ZaI6_TO-KRosh_f-oMXMchbjsc7Tg0pf0zOVuTbJTugyH=w1200|https://lh3.googleusercontent.com/pw/AP1GczOzTf_16Nvb7kB5wHkZKf0RuiwfOzV2fOg5jRUYiKJbjBsxSKAaU8_-OOKaunj4CAR5ICz2EXx1RPyqNnWaSyxXvIvjAZzkDyqyKgyi7mVIKbXySIIR=w1200|https://lh3.googleusercontent.com/pw/AP1GczOSekeD0KuzHpFKo3ZCVnIuSFwO3CI8JIqsEKxWUm0X72DFZrIpY-5gBQsTHuiY0DPC7n2AlQTRHL9S448tb-QSwYQR6Q2A9KxvBUyvUCCHBVsxw5B5=w1200|https://lh3.googleusercontent.com/pw/AP1GczMjmoJ14gVtQusInUiWHVHBEP5qcq_Mme-vpWNk0cI8CFHORu9xiw9WWY1v0xSQEi28mtBv42Zm-Vp1R-XlFlP2RUmAtGW97zLo-pUyTzE6CmCS5KYJ=w1200|https://lh3.googleusercontent.com/pw/AP1GczMJY3X8yARLMWIoGfkWeM9M0iHIzMkPQ81CfIW2iNfxmquQjdrOf0YaOsin6yn8jFHWGvORmQsYkbHEfxCbl7R0GCkhLdviKdQV4WIDgBfFEryIeVRm=w1200|https://lh3.googleusercontent.com/pw/AP1GczPWNKI92n39FAoIBsjyv_DdlTuQXXOdewDq2VpcLayx_uhPy13iBNl_vOMXhdJqxWgO1UuzzlckoMlhQr8JQufkxlrV-s_-_bjzDYVZkQmAINgPTfRK=w1200|https://lh3.googleusercontent.com/pw/AP1GczP54h4EvGKpEYVk4-pb0d2cy1P79njfDSpKXF2ix25sg9N3ROI9mJZT3gWXHDockJ73CmO8DhEd0x7K5CqoUXhzHzfBlMdwsunvXeFUrakGDNGtMXqT=w1200|https://lh3.googleusercontent.com/pw/AP1GczOh284fTgMukau7zfvQ6kv_TPOhHD5mbwhxi0P91yc73LtW-eIONEbLz5BoBxLVJ1xRN1rKE115r-RwDTKhKdWBHxivaPbfUVDyV-Wsm36nWYM7rdCK=w1200|https://lh3.googleusercontent.com/pw/AP1GczOqkZlvri_LKNTC82Q1nJHCoWYtoUlxZfU-PvWuwrO-CBSCRBID3EaRT0vw-y0g7lJdBXsx6Z5oy7Xdgmnq9-BWq4uWa9_2Jl7TD1QVsGsozCeVGs_m=w1200|https://lh3.googleusercontent.com/pw/AP1GczNLmNAPkIkA9K6gOVCan7b_Rj-MZ9WskuxARxM0QlnAYx8Cfy0_5IT2DQZVbTmO_sikbbkN1sXV0DrlRk28D-h3EKBk0gNQ3BbSpQSo94VjgUX2kOx8=w1200|https://lh3.googleusercontent.com/pw/AP1GczNbtuIqoGdG0qIG9Xjk5HnQJIVMUTNZ-oBhgH7QOKU1LAAUZjLdiIvp_nPn2IfOfqHNfb8bp9mkqWDNJjHUqrBKKhL81lKRuoFyaemHaVSUh9qK6Hvu=w1200|https://lh3.googleusercontent.com/pw/AP1GczN2yCx5LpcEIpRSJ-mr0DygTDSmScU6FlUjqZAI8_qY--5rWwHLOz32h-1w2RuDZe24nSDto88oe3TyyGS4KRROJRA1ntUKjA9iqPAxaApmA-0xpZPn=w1200</v>
      </c>
      <c r="AJ82" s="46"/>
      <c r="AK82" s="46"/>
      <c r="AL82" s="46"/>
      <c r="AM82" s="46"/>
      <c r="AN82" s="46"/>
      <c r="AO82" s="46"/>
      <c r="AP82" s="46"/>
      <c r="AQ82" s="46"/>
      <c r="AR82" s="46"/>
      <c r="AS82" s="46"/>
      <c r="AT82" s="46"/>
      <c r="AU82" s="46"/>
      <c r="AV82" s="46"/>
      <c r="AW82" s="46"/>
      <c r="AX82" s="46"/>
      <c r="AY82" s="46"/>
      <c r="AZ82" s="46"/>
      <c r="BA82" s="46"/>
      <c r="BB82" s="46"/>
      <c r="BC82" s="46"/>
      <c r="BD82" s="46"/>
      <c r="BE82" s="46"/>
      <c r="BF82" s="46"/>
      <c r="BG82" s="46"/>
      <c r="BH82" s="46"/>
      <c r="BI82" s="46"/>
      <c r="BJ82" s="46"/>
      <c r="BK82" s="46"/>
      <c r="BL82" s="46"/>
      <c r="BM82" s="46"/>
      <c r="BN82" s="46"/>
      <c r="BO82" s="46"/>
      <c r="BP82" s="46"/>
      <c r="BQ82" s="46"/>
      <c r="BR82" s="46"/>
      <c r="BS82" s="46"/>
      <c r="BT82" s="46"/>
      <c r="BU82" s="46"/>
      <c r="BV82" s="46"/>
      <c r="BW82" s="46"/>
      <c r="BX82" s="46"/>
      <c r="BY82" s="46"/>
      <c r="BZ82" s="46"/>
      <c r="CA82" s="46"/>
      <c r="CB82" s="46"/>
      <c r="CC82" s="46"/>
    </row>
    <row r="83">
      <c r="A83" s="87" t="str">
        <f>IFERROR(__xludf.DUMMYFUNCTION("""COMPUTED_VALUE"""),"1796")</f>
        <v>1796</v>
      </c>
      <c r="B83" s="46" t="str">
        <f>IFERROR(__xludf.DUMMYFUNCTION("""COMPUTED_VALUE"""),"Casa con 2 apartamentos Independientes en barrio Altico ")</f>
        <v>Casa con 2 apartamentos Independientes en barrio Altico </v>
      </c>
      <c r="C83" s="46" t="str">
        <f>IFERROR(__xludf.DUMMYFUNCTION("""COMPUTED_VALUE"""),"Casa rentable")</f>
        <v>Casa rentable</v>
      </c>
      <c r="D83" s="46" t="str">
        <f>IFERROR(__xludf.DUMMYFUNCTION("""COMPUTED_VALUE"""),"Altico")</f>
        <v>Altico</v>
      </c>
      <c r="E83" s="46"/>
      <c r="F83" s="90">
        <f>IFERROR(__xludf.DUMMYFUNCTION("""COMPUTED_VALUE"""),3.0E8)</f>
        <v>300000000</v>
      </c>
      <c r="G83" s="46" t="str">
        <f>IFERROR(__xludf.DUMMYFUNCTION("""COMPUTED_VALUE"""),"$300'000.000 a $400'000.000")</f>
        <v>$300'000.000 a $400'000.000</v>
      </c>
      <c r="H83" s="46"/>
      <c r="I83" s="46"/>
      <c r="J83" s="46" t="str">
        <f>IFERROR(__xludf.DUMMYFUNCTION("""COMPUTED_VALUE"""),"Centro")</f>
        <v>Centro</v>
      </c>
      <c r="K83" s="87" t="str">
        <f>IFERROR(__xludf.DUMMYFUNCTION("""COMPUTED_VALUE"""),"4")</f>
        <v>4</v>
      </c>
      <c r="L83" s="46">
        <f>IFERROR(__xludf.DUMMYFUNCTION("""COMPUTED_VALUE"""),6.0)</f>
        <v>6</v>
      </c>
      <c r="M83" s="46"/>
      <c r="N83" s="46">
        <f>IFERROR(__xludf.DUMMYFUNCTION("""COMPUTED_VALUE"""),2.0)</f>
        <v>2</v>
      </c>
      <c r="O83" s="46">
        <f>IFERROR(__xludf.DUMMYFUNCTION("""COMPUTED_VALUE"""),1.0)</f>
        <v>1</v>
      </c>
      <c r="P83" s="46">
        <f>IFERROR(__xludf.DUMMYFUNCTION("""COMPUTED_VALUE"""),2.0)</f>
        <v>2</v>
      </c>
      <c r="Q83" s="92">
        <f>IFERROR(__xludf.DUMMYFUNCTION("""COMPUTED_VALUE"""),125.0)</f>
        <v>125</v>
      </c>
      <c r="R83" s="92">
        <f>IFERROR(__xludf.DUMMYFUNCTION("""COMPUTED_VALUE"""),125.0)</f>
        <v>125</v>
      </c>
      <c r="S83" s="87" t="str">
        <f>IFERROR(__xludf.DUMMYFUNCTION("""COMPUTED_VALUE"""),"Rentabilidad $1,200,000")</f>
        <v>Rentabilidad $1,200,000</v>
      </c>
      <c r="T83" s="46" t="str">
        <f>IFERROR(__xludf.DUMMYFUNCTION("""COMPUTED_VALUE"""),"Neiva")</f>
        <v>Neiva</v>
      </c>
      <c r="U83" s="87" t="str">
        <f>IFERROR(__xludf.DUMMYFUNCTION("""COMPUTED_VALUE"""),"2")</f>
        <v>2</v>
      </c>
      <c r="V83" s="46" t="str">
        <f>IFERROR(__xludf.DUMMYFUNCTION("""COMPUTED_VALUE"""),"Medianero")</f>
        <v>Medianero</v>
      </c>
      <c r="W83" s="46"/>
      <c r="X83" s="46">
        <f>IFERROR(__xludf.DUMMYFUNCTION("""COMPUTED_VALUE"""),4.0)</f>
        <v>4</v>
      </c>
      <c r="Y83" s="46" t="str">
        <f>IFERROR(__xludf.DUMMYFUNCTION("""COMPUTED_VALUE"""),"No tiene")</f>
        <v>No tiene</v>
      </c>
      <c r="Z83" s="90"/>
      <c r="AA83" s="33" t="str">
        <f>IFERROR(__xludf.DUMMYFUNCTION("""COMPUTED_VALUE"""),"21 años")</f>
        <v>21 años</v>
      </c>
      <c r="AB83" s="96" t="str">
        <f>IFERROR(__xludf.DUMMYFUNCTION("""COMPUTED_VALUE"""),"https://photos.app.goo.gl/Not4Z3sZoWa2rM1s9")</f>
        <v>https://photos.app.goo.gl/Not4Z3sZoWa2rM1s9</v>
      </c>
      <c r="AC83" s="46" t="str">
        <f>IFERROR(__xludf.DUMMYFUNCTION("""COMPUTED_VALUE"""),"Distribución del inmueble: Primer Piso: Parqueadero techado y enrejado para 1 vehículo. Sala y Comedor con excelente espacio. Cocina Semi Integral. Zona de lavandería independiente y Patio. Baño de VisitasBaño3 habitaciones. Closets en 2 habitaciones. Seg"&amp;"undo Piso: Sala y Comedor con excelente espacio. Cocina Semi Integral. Zona de lavandería independiente y Patio.")</f>
        <v>Distribución del inmueble: Primer Piso: Parqueadero techado y enrejado para 1 vehículo. Sala y Comedor con excelente espacio. Cocina Semi Integral. Zona de lavandería independiente y Patio. Baño de VisitasBaño3 habitaciones. Closets en 2 habitaciones. Segundo Piso: Sala y Comedor con excelente espacio. Cocina Semi Integral. Zona de lavandería independiente y Patio.</v>
      </c>
      <c r="AD83" s="46" t="str">
        <f>IFERROR(__xludf.DUMMYFUNCTION("""COMPUTED_VALUE"""),"Ubicada en estrato 2, una zona de gran accesibilidad y buena ubicación, esta excelente casa cuenta con 2 pisos que combina, comodidad, ventilación natural, muy buena iluminación y privacidad en un entorno tranquilo.")</f>
        <v>Ubicada en estrato 2, una zona de gran accesibilidad y buena ubicación, esta excelente casa cuenta con 2 pisos que combina, comodidad, ventilación natural, muy buena iluminación y privacidad en un entorno tranquilo.</v>
      </c>
      <c r="AE83" s="46"/>
      <c r="AF83" s="46" t="str">
        <f>IFERROR(__xludf.DUMMYFUNCTION("""COMPUTED_VALUE"""),"semi-integral")</f>
        <v>semi-integral</v>
      </c>
      <c r="AG83" s="46"/>
      <c r="AH83" s="46" t="str">
        <f>IFERROR(__xludf.DUMMYFUNCTION("""COMPUTED_VALUE"""),"Aliado")</f>
        <v>Aliado</v>
      </c>
      <c r="AI83" s="92" t="str">
        <f>IFERROR(__xludf.DUMMYFUNCTION("""COMPUTED_VALUE"""),"https://lh3.googleusercontent.com/pw/AP1GczO_sPGxrNRWnB03wazhS104-EjLE7qMlp-NBnkV3nDNwb7mfw1U-lbvcBseDFq19cI42JJjR6uZtBeTtJWPvocN4A87gbiqS58bpA_-HA5lBLCRvKHb=w1200|https://lh3.googleusercontent.com/pw/AP1GczM63ZgK1ZBR0hG9cjrl2MdS9vX83Hp3wD8qrmxBP2UnkOuFqM"&amp;"0AOKtkO8A7skspovogoLdQUNjd961st6yepDSDYp-6dA3pIqAWEtabRoDOWYjl3c7V=w1200|https://lh3.googleusercontent.com/pw/AP1GczP4DlGIRmOOo8J9Er5MKrwLUT61I1dqW6XjASwpypbJpTlqpOViufyq8ZxqgGLiLPFEOXNGj4nezU2YS3sGMrTsbDkrcFauiTD_HjYYBlEWM26469-X=w1200|https://lh3.google"&amp;"usercontent.com/pw/AP1GczNDS0fd7h4n9gyL3IJgHLzPtrF5p6uFmg5UjToz-yWAzcMfHOk0b_FsUTCdlKfykMR2m76q1G3Gx4TFpT-DqS_tH_4FDVAJqnJQdYy8vgPTT_CFmmH5=w1200|https://lh3.googleusercontent.com/pw/AP1GczOORfKYSKcl46m5ru4L-D9Ewe2dCBOiJU_st6Zl40m1238-gE1FDe8rs_tiSVSqIcOE"&amp;"yekR5qgWGRw5tsue9TX6FlcDPF9FQ3BZgJMHk0F4NKInPboG=w1200|https://lh3.googleusercontent.com/pw/AP1GczNnIaUXCVdiBi1IgmrRHub79A0R4x78hO7pKmAL0p920jSCFCPbzyUSyEhfXYQ4XMcXiewMOw1BSLAsXCNeSM4s5wlFibqxj5rzqsgETc8cZG0ysK0L=w1200|https://lh3.googleusercontent.com/pw"&amp;"/AP1GczOAc9QSU4UL3cGwEIiFkJbFvlCWQoDXmxtAIUzwYEmT-ThP_qaVL0UkwTdg3noE6DY_p83ToreiK6BqKz2Ul8-CXbs9NZqnzdWS0S7yRw_cVuKHX2KP=w1200|https://lh3.googleusercontent.com/pw/AP1GczOLvg9cIivr11zt6SZ3_1PmkTnzG1UUfIVudWI02y8nWiOjrZnl9vDSmnckzWh3oNylthbcXa7lx6ot0SDCZ2"&amp;"kO08Rx3RL-NCWTtIiqLqE1nO5tHlc2=w1200|https://lh3.googleusercontent.com/pw/AP1GczO-Bb_PZ6crTr7bnAGRGBlhQOxvC4cX86Q2pCCyz1HiX49zS8vguzN4fgJg74cmAiQCLgAyD7OhO8Ci5fN6LacvrnOFgXfK0Fk_DTMsA578ZfiKOMkJ=w1200|https://lh3.googleusercontent.com/pw/AP1GczNoxUkw207BN"&amp;"Pvq8vZNtum9ee5Kmi3Lat4cejHDLrp911_uaUe4ZvpB3BL9I4C3Vt-2Cx69y4-72ZCyKVfxfZDDsFM5zqJ4vWZJ2nMUk8tQ1cRDurG_=w1200|https://lh3.googleusercontent.com/pw/AP1GczNm6LW6kRhnWAH2AJd0iGy51sLdyqXDFQc_vboPNHUpq3r95hL3pMwv-8z1uZWYQ15gTHB-3oVwpzmi5M_bBhGIJBhwB_nQq4SdSiO8"&amp;"aqsuG2JhqaU4=w1200|https://lh3.googleusercontent.com/pw/AP1GczNX_Quf3iHf8E4NSrYsGshdai398Jh6AmE-sdBnZtb99lEKFllObeLrvmtfz3LDk4EfjR3_fuXeuhlSEOzw9_ba_6V8zVwDS4YCHgCg6dUxbtRHeiVZ=w1200|https://lh3.googleusercontent.com/pw/AP1GczP8oo4_KuuUuJH7RG1QrzQL7gHf4GQ"&amp;"qfDuaXDGCDq9gAKRG6s46PLoVqF-vfnsrTYgUk3PMm9X7n-h7kATDloxplzDc572QYZ5_85Udkt-7pLafDwkR=w1200|https://lh3.googleusercontent.com/pw/AP1GczNGhkFmMN1hho4VNZFDeeNzewGs58WmSNI-qSuokjs5gYrsOofMpSRzkarJuijo0aRUiFOFjWk8vbX9Lt2RMFpeWVZLEcCGyAnEiS1TVzP8fXkXbnla=w1200"&amp;"|https://lh3.googleusercontent.com/pw/AP1GczM-Ft4sYeWHUDGUCnXGJWqBppk9sAAyoig_e5gOByFmsgOqkzV6EeT_-LPNnbb40ro-aSj96OjPWnGidGpdOsBIVTSa4EAd45tXVZLNKwf-gR0ObrQO=w1200|https://lh3.googleusercontent.com/pw/AP1GczNxKuQkNNqaj_3g2P5oXCrcNSrJLsbpyuqUJtseyL9mIFNsb"&amp;"aGHvtPhoTzt5Eafkg9YhPbM5Fstc6GOSep8g3k_Za8CTBIigY-AUjql9BPwDeCIm_Xc=w1200|https://lh3.googleusercontent.com/pw/AP1GczNRnl53Srgb00lZFp67u0FW00oQhrGrzIlLC3qtvjLGA4kamiPOEK9smvgC7j4zx_qgQJlDcsimfriuE53tkKlQOsOZQ4k6C23cgc0PJ1cHkGwjvaOy=w1200|https://lh3.googl"&amp;"eusercontent.com/pw/AP1GczOdD9JkxJFTaH3PIEgtDRwOBe_g7GypZKTKCA4H1UGjP9UG0q2i3gDKaySkUHzidEB_tqElLYL3pf7y8j4q0I_Ecl3YcSjYtRIoFU7iVocfDXPeaTaj=w1200|https://lh3.googleusercontent.com/pw/AP1GczMOxZJzlvdjCXzf9loMghT9LTS1LYuE2CBg_KDQwiKEtCBojPKkW7xyCAdGo-1kzOV"&amp;"73UdKVT33rZfCrZ9Xg4B-zpv9yhJkgs-q-Yl3NTHyNCi5AOa7=w1200|https://lh3.googleusercontent.com/pw/AP1GczO1-k-V7XGl80ilOt44GiuJx9nDB3Wvz0FY3wkpnqwcquJFkRf4wNyRBa_rHQmYou5EqAMT6pFtQ9bygSWnqvDJHkHEBxNV-e4Jdt-sT1rwuKfuSILg=w1200")</f>
        <v>https://lh3.googleusercontent.com/pw/AP1GczO_sPGxrNRWnB03wazhS104-EjLE7qMlp-NBnkV3nDNwb7mfw1U-lbvcBseDFq19cI42JJjR6uZtBeTtJWPvocN4A87gbiqS58bpA_-HA5lBLCRvKHb=w1200|https://lh3.googleusercontent.com/pw/AP1GczM63ZgK1ZBR0hG9cjrl2MdS9vX83Hp3wD8qrmxBP2UnkOuFqM0AOKtkO8A7skspovogoLdQUNjd961st6yepDSDYp-6dA3pIqAWEtabRoDOWYjl3c7V=w1200|https://lh3.googleusercontent.com/pw/AP1GczP4DlGIRmOOo8J9Er5MKrwLUT61I1dqW6XjASwpypbJpTlqpOViufyq8ZxqgGLiLPFEOXNGj4nezU2YS3sGMrTsbDkrcFauiTD_HjYYBlEWM26469-X=w1200|https://lh3.googleusercontent.com/pw/AP1GczNDS0fd7h4n9gyL3IJgHLzPtrF5p6uFmg5UjToz-yWAzcMfHOk0b_FsUTCdlKfykMR2m76q1G3Gx4TFpT-DqS_tH_4FDVAJqnJQdYy8vgPTT_CFmmH5=w1200|https://lh3.googleusercontent.com/pw/AP1GczOORfKYSKcl46m5ru4L-D9Ewe2dCBOiJU_st6Zl40m1238-gE1FDe8rs_tiSVSqIcOEyekR5qgWGRw5tsue9TX6FlcDPF9FQ3BZgJMHk0F4NKInPboG=w1200|https://lh3.googleusercontent.com/pw/AP1GczNnIaUXCVdiBi1IgmrRHub79A0R4x78hO7pKmAL0p920jSCFCPbzyUSyEhfXYQ4XMcXiewMOw1BSLAsXCNeSM4s5wlFibqxj5rzqsgETc8cZG0ysK0L=w1200|https://lh3.googleusercontent.com/pw/AP1GczOAc9QSU4UL3cGwEIiFkJbFvlCWQoDXmxtAIUzwYEmT-ThP_qaVL0UkwTdg3noE6DY_p83ToreiK6BqKz2Ul8-CXbs9NZqnzdWS0S7yRw_cVuKHX2KP=w1200|https://lh3.googleusercontent.com/pw/AP1GczOLvg9cIivr11zt6SZ3_1PmkTnzG1UUfIVudWI02y8nWiOjrZnl9vDSmnckzWh3oNylthbcXa7lx6ot0SDCZ2kO08Rx3RL-NCWTtIiqLqE1nO5tHlc2=w1200|https://lh3.googleusercontent.com/pw/AP1GczO-Bb_PZ6crTr7bnAGRGBlhQOxvC4cX86Q2pCCyz1HiX49zS8vguzN4fgJg74cmAiQCLgAyD7OhO8Ci5fN6LacvrnOFgXfK0Fk_DTMsA578ZfiKOMkJ=w1200|https://lh3.googleusercontent.com/pw/AP1GczNoxUkw207BNPvq8vZNtum9ee5Kmi3Lat4cejHDLrp911_uaUe4ZvpB3BL9I4C3Vt-2Cx69y4-72ZCyKVfxfZDDsFM5zqJ4vWZJ2nMUk8tQ1cRDurG_=w1200|https://lh3.googleusercontent.com/pw/AP1GczNm6LW6kRhnWAH2AJd0iGy51sLdyqXDFQc_vboPNHUpq3r95hL3pMwv-8z1uZWYQ15gTHB-3oVwpzmi5M_bBhGIJBhwB_nQq4SdSiO8aqsuG2JhqaU4=w1200|https://lh3.googleusercontent.com/pw/AP1GczNX_Quf3iHf8E4NSrYsGshdai398Jh6AmE-sdBnZtb99lEKFllObeLrvmtfz3LDk4EfjR3_fuXeuhlSEOzw9_ba_6V8zVwDS4YCHgCg6dUxbtRHeiVZ=w1200|https://lh3.googleusercontent.com/pw/AP1GczP8oo4_KuuUuJH7RG1QrzQL7gHf4GQqfDuaXDGCDq9gAKRG6s46PLoVqF-vfnsrTYgUk3PMm9X7n-h7kATDloxplzDc572QYZ5_85Udkt-7pLafDwkR=w1200|https://lh3.googleusercontent.com/pw/AP1GczNGhkFmMN1hho4VNZFDeeNzewGs58WmSNI-qSuokjs5gYrsOofMpSRzkarJuijo0aRUiFOFjWk8vbX9Lt2RMFpeWVZLEcCGyAnEiS1TVzP8fXkXbnla=w1200|https://lh3.googleusercontent.com/pw/AP1GczM-Ft4sYeWHUDGUCnXGJWqBppk9sAAyoig_e5gOByFmsgOqkzV6EeT_-LPNnbb40ro-aSj96OjPWnGidGpdOsBIVTSa4EAd45tXVZLNKwf-gR0ObrQO=w1200|https://lh3.googleusercontent.com/pw/AP1GczNxKuQkNNqaj_3g2P5oXCrcNSrJLsbpyuqUJtseyL9mIFNsbaGHvtPhoTzt5Eafkg9YhPbM5Fstc6GOSep8g3k_Za8CTBIigY-AUjql9BPwDeCIm_Xc=w1200|https://lh3.googleusercontent.com/pw/AP1GczNRnl53Srgb00lZFp67u0FW00oQhrGrzIlLC3qtvjLGA4kamiPOEK9smvgC7j4zx_qgQJlDcsimfriuE53tkKlQOsOZQ4k6C23cgc0PJ1cHkGwjvaOy=w1200|https://lh3.googleusercontent.com/pw/AP1GczOdD9JkxJFTaH3PIEgtDRwOBe_g7GypZKTKCA4H1UGjP9UG0q2i3gDKaySkUHzidEB_tqElLYL3pf7y8j4q0I_Ecl3YcSjYtRIoFU7iVocfDXPeaTaj=w1200|https://lh3.googleusercontent.com/pw/AP1GczMOxZJzlvdjCXzf9loMghT9LTS1LYuE2CBg_KDQwiKEtCBojPKkW7xyCAdGo-1kzOV73UdKVT33rZfCrZ9Xg4B-zpv9yhJkgs-q-Yl3NTHyNCi5AOa7=w1200|https://lh3.googleusercontent.com/pw/AP1GczO1-k-V7XGl80ilOt44GiuJx9nDB3Wvz0FY3wkpnqwcquJFkRf4wNyRBa_rHQmYou5EqAMT6pFtQ9bygSWnqvDJHkHEBxNV-e4Jdt-sT1rwuKfuSILg=w1200</v>
      </c>
      <c r="AJ83" s="46"/>
      <c r="AK83" s="46"/>
      <c r="AL83" s="46"/>
      <c r="AM83" s="46"/>
      <c r="AN83" s="46"/>
      <c r="AO83" s="46"/>
      <c r="AP83" s="46"/>
      <c r="AQ83" s="46"/>
      <c r="AR83" s="46"/>
      <c r="AS83" s="46"/>
      <c r="AT83" s="46"/>
      <c r="AU83" s="46"/>
      <c r="AV83" s="46"/>
      <c r="AW83" s="46"/>
      <c r="AX83" s="46"/>
      <c r="AY83" s="46"/>
      <c r="AZ83" s="46"/>
      <c r="BA83" s="46"/>
      <c r="BB83" s="46"/>
      <c r="BC83" s="46"/>
      <c r="BD83" s="46"/>
      <c r="BE83" s="46"/>
      <c r="BF83" s="46"/>
      <c r="BG83" s="46"/>
      <c r="BH83" s="46"/>
      <c r="BI83" s="46"/>
      <c r="BJ83" s="46"/>
      <c r="BK83" s="46"/>
      <c r="BL83" s="46"/>
      <c r="BM83" s="46"/>
      <c r="BN83" s="46"/>
      <c r="BO83" s="46"/>
      <c r="BP83" s="46"/>
      <c r="BQ83" s="46"/>
      <c r="BR83" s="46"/>
      <c r="BS83" s="46"/>
      <c r="BT83" s="46"/>
      <c r="BU83" s="46"/>
      <c r="BV83" s="46"/>
      <c r="BW83" s="46"/>
      <c r="BX83" s="46"/>
      <c r="BY83" s="46"/>
      <c r="BZ83" s="46"/>
      <c r="CA83" s="46"/>
      <c r="CB83" s="46"/>
      <c r="CC83" s="46"/>
    </row>
    <row r="84">
      <c r="A84" s="87" t="str">
        <f>IFERROR(__xludf.DUMMYFUNCTION("""COMPUTED_VALUE"""),"1762")</f>
        <v>1762</v>
      </c>
      <c r="B84" s="46" t="str">
        <f>IFERROR(__xludf.DUMMYFUNCTION("""COMPUTED_VALUE"""),"Casa en barrio Villa del Río - Norte")</f>
        <v>Casa en barrio Villa del Río - Norte</v>
      </c>
      <c r="C84" s="46" t="str">
        <f>IFERROR(__xludf.DUMMYFUNCTION("""COMPUTED_VALUE"""),"Casa")</f>
        <v>Casa</v>
      </c>
      <c r="D84" s="46" t="str">
        <f>IFERROR(__xludf.DUMMYFUNCTION("""COMPUTED_VALUE"""),"Villa del Río")</f>
        <v>Villa del Río</v>
      </c>
      <c r="E84" s="46"/>
      <c r="F84" s="90">
        <f>IFERROR(__xludf.DUMMYFUNCTION("""COMPUTED_VALUE"""),3.0E8)</f>
        <v>300000000</v>
      </c>
      <c r="G84" s="46" t="str">
        <f>IFERROR(__xludf.DUMMYFUNCTION("""COMPUTED_VALUE"""),"$300'000.000 a $400'000.000")</f>
        <v>$300'000.000 a $400'000.000</v>
      </c>
      <c r="H84" s="46"/>
      <c r="I84" s="46"/>
      <c r="J84" s="46" t="str">
        <f>IFERROR(__xludf.DUMMYFUNCTION("""COMPUTED_VALUE"""),"Norte")</f>
        <v>Norte</v>
      </c>
      <c r="K84" s="87" t="str">
        <f>IFERROR(__xludf.DUMMYFUNCTION("""COMPUTED_VALUE"""),"1")</f>
        <v>1</v>
      </c>
      <c r="L84" s="46">
        <f>IFERROR(__xludf.DUMMYFUNCTION("""COMPUTED_VALUE"""),4.0)</f>
        <v>4</v>
      </c>
      <c r="M84" s="46"/>
      <c r="N84" s="46">
        <f>IFERROR(__xludf.DUMMYFUNCTION("""COMPUTED_VALUE"""),3.0)</f>
        <v>3</v>
      </c>
      <c r="O84" s="46">
        <f>IFERROR(__xludf.DUMMYFUNCTION("""COMPUTED_VALUE"""),1.0)</f>
        <v>1</v>
      </c>
      <c r="P84" s="46">
        <f>IFERROR(__xludf.DUMMYFUNCTION("""COMPUTED_VALUE"""),2.0)</f>
        <v>2</v>
      </c>
      <c r="Q84" s="92">
        <f>IFERROR(__xludf.DUMMYFUNCTION("""COMPUTED_VALUE"""),128.0)</f>
        <v>128</v>
      </c>
      <c r="R84" s="92">
        <f>IFERROR(__xludf.DUMMYFUNCTION("""COMPUTED_VALUE"""),84.0)</f>
        <v>84</v>
      </c>
      <c r="S84" s="87" t="str">
        <f>IFERROR(__xludf.DUMMYFUNCTION("""COMPUTED_VALUE""")," ")</f>
        <v> </v>
      </c>
      <c r="T84" s="46" t="str">
        <f>IFERROR(__xludf.DUMMYFUNCTION("""COMPUTED_VALUE"""),"Neiva")</f>
        <v>Neiva</v>
      </c>
      <c r="U84" s="87" t="str">
        <f>IFERROR(__xludf.DUMMYFUNCTION("""COMPUTED_VALUE"""),"3")</f>
        <v>3</v>
      </c>
      <c r="V84" s="46" t="str">
        <f>IFERROR(__xludf.DUMMYFUNCTION("""COMPUTED_VALUE"""),"Medianera")</f>
        <v>Medianera</v>
      </c>
      <c r="W84" s="46"/>
      <c r="X84" s="46">
        <f>IFERROR(__xludf.DUMMYFUNCTION("""COMPUTED_VALUE"""),3.0)</f>
        <v>3</v>
      </c>
      <c r="Y84" s="46" t="str">
        <f>IFERROR(__xludf.DUMMYFUNCTION("""COMPUTED_VALUE"""),"No tiene")</f>
        <v>No tiene</v>
      </c>
      <c r="Z84" s="90"/>
      <c r="AA84" s="33" t="str">
        <f>IFERROR(__xludf.DUMMYFUNCTION("""COMPUTED_VALUE"""),"No aplica")</f>
        <v>No aplica</v>
      </c>
      <c r="AB84" s="96" t="str">
        <f>IFERROR(__xludf.DUMMYFUNCTION("""COMPUTED_VALUE"""),"https://photos.app.goo.gl/7QnTN5NGG7gsYNyh9")</f>
        <v>https://photos.app.goo.gl/7QnTN5NGG7gsYNyh9</v>
      </c>
      <c r="AC84" s="46" t="str">
        <f>IFERROR(__xludf.DUMMYFUNCTION("""COMPUTED_VALUE"""),"Primer piso: Antejardín enrejado con espacio para parqueadero, Sala, Comedor, Cocina integral, 1 habitación, Patio, Cuarto de depósito, 1 baño, Pisos en cerámica, Cielo raso en PVC. Segundo piso: 3 habitaciones, Habitación principal con vestier, clóset en"&amp;" madera y baño privado, Habitaciones auxiliares con clósets en madera, Terraza, Cielo raso en PVC, Baño auxiliar.")</f>
        <v>Primer piso: Antejardín enrejado con espacio para parqueadero, Sala, Comedor, Cocina integral, 1 habitación, Patio, Cuarto de depósito, 1 baño, Pisos en cerámica, Cielo raso en PVC. Segundo piso: 3 habitaciones, Habitación principal con vestier, clóset en madera y baño privado, Habitaciones auxiliares con clósets en madera, Terraza, Cielo raso en PVC, Baño auxiliar.</v>
      </c>
      <c r="AD84" s="46" t="str">
        <f>IFERROR(__xludf.DUMMYFUNCTION("""COMPUTED_VALUE"""),"Casa muy bien ubicada, cerca a la universidad Surcolombiana.")</f>
        <v>Casa muy bien ubicada, cerca a la universidad Surcolombiana.</v>
      </c>
      <c r="AE84" s="46"/>
      <c r="AF84" s="46" t="str">
        <f>IFERROR(__xludf.DUMMYFUNCTION("""COMPUTED_VALUE"""),"integral")</f>
        <v>integral</v>
      </c>
      <c r="AG84" s="46"/>
      <c r="AH84" s="46" t="str">
        <f>IFERROR(__xludf.DUMMYFUNCTION("""COMPUTED_VALUE"""),"Aliado")</f>
        <v>Aliado</v>
      </c>
      <c r="AI84" s="92" t="str">
        <f>IFERROR(__xludf.DUMMYFUNCTION("""COMPUTED_VALUE"""),"https://lh3.googleusercontent.com/pw/AP1GczND9n39WaKGXYfcbgnjvPF-YqWqWV42KEgNRRwsApZ-6xgbu_geUTsBD3i87zQdMZSIRJ-fbIyMVAHdw10DfHQ_u0q2lOVum4ZVS4kPh26td-ifYOsR=w1200|https://lh3.googleusercontent.com/pw/AP1GczNYcp9OdSGcCqh5AKSFdsBk5EDBGe5a_P7c_A6lHYDnGnQdSd"&amp;"UnQC05wd6GepX_PNHNTV-ejTAAOF8duiB8jNOE66kLglWXMlMgZewprEUMYvedtPlP=w1200|https://lh3.googleusercontent.com/pw/AP1GczNQVmYYe6ncXmf1BRmbYbWvQ6H084REMBBEQhRhy4Maf0Bg6f9un3cMKyxi4YyysDx5FF8a4Yjf2l9QUgHVxh1_iljqiAoz23kX4QLeaKPTewQ_tueq=w1200|https://lh3.google"&amp;"usercontent.com/pw/AP1GczN8pZo10Zb64ezx9VmuFM0okJ-DRrVCAOYZqu3DeZOdBB9JPd7j-VbaU9M2Rp_hT6622zMtKLGeKgt0NLal0mvXKVXxU2vrXFKG9W6xBkjXe1BAoi6a=w1200|https://lh3.googleusercontent.com/pw/AP1GczPVzaQ2yCQVdsRF6dvQ-hT9uZUo68JyPTYb-5bm-gjdcpgYMUFBmw2fKH4HXwCHib3d"&amp;"-knBQlTINiMO_YofzSj976rQAUBaZ5Vz5uieMsh5QCFzDd6Q=w1200|https://lh3.googleusercontent.com/pw/AP1GczPreq2w-I-Vao-v_tA34LGENwa5lsbqdKNV7rnVmE2N64M_H6Sk8ov4T2Ydn6TrEAC5sAymr35c4ywxTYftJlpUbJ7lDdnW-AjaSPMUYSVonODFZ0gk=w1200|https://lh3.googleusercontent.com/pw"&amp;"/AP1GczP82w4LhWERwmkn2lxEbpGNzInopLs2aV4aN3Oyp17SDzneC8fiDEydnIzhD8epFnMIKyaGJ25G0B-eqbzWHn-UH9Sj7fWRACoH5Gqxwhw0WhRNyuoz=w1200|https://lh3.googleusercontent.com/pw/AP1GczMFZOUaTGuiNU1--IYV6gjXK31pHLd16zY13_ysB_raT5KA7rYKkPzYueWayDFDcCEZh7-uKLU6UrilOTZsEa"&amp;"9iJM2yOWab2-1z2cth0MEV8Rfo8bP6=w1200|https://lh3.googleusercontent.com/pw/AP1GczNQMudZl3g13uH4tEQJmynPrOBSKUcmKYfCAJD38fXW-uACDKiOACWmg8KLCuZfwclO2Zwl3OE3AY_ReqVqSEor-fa0fzXyEtmzvEE0brJP3-jBJXeC=w1200|https://lh3.googleusercontent.com/pw/AP1GczMfhc-uZUavY"&amp;"nVoR3FucbXRFbV9XFmJQqCD6amLMCZENmgKyOGlQtVf3ybPED0lzm2r6OM6x1Zv4BylIKc4tk0qMPLzXAaUDxdkaLIh6E77Yio4liJ5=w1200|https://lh3.googleusercontent.com/pw/AP1GczOA7P1k3_Xmn7qviWrteh0hl0BTSjnFmcurlhzHw5eEcNwBaUU2jwUpTGcjUrv9lfwGPislNb_TCY6lhNnSNpYpum01h1VC52JXYm5K"&amp;"2x9KwRHyZjwR=w1200|https://lh3.googleusercontent.com/pw/AP1GczNCIj5ujDK5mXMOQ4KcOADu2c9nVkCseurSZGDPga0_ldAAqAEbj-ACB842SqQkFeEklVtc3O6hXF9eYE4eM5pdBzjeNGlkLdKW-hSpY5SBH2QUhLgt=w1200|https://lh3.googleusercontent.com/pw/AP1GczNjS2CyvB5qwN_La5IEgpJJJZhWh4d"&amp;"BrWWBnFzF0okJjpe4BXEGTHnrjDbFW1Elp3cVUPBfVZ690ohGM6dDk_aQrMB0BsijqYqOH0YQrwka14unYVoq=w1200|https://lh3.googleusercontent.com/pw/AP1GczPiDzffg8tP_CK2qhnf56sIkAXp56omE5TsC_HLRyLcafvZ4euynp5Vl3EwLoyH7eUsaNBzV_M7Cxegs-xolYGPf6jzSOvMJuwmUEya0lrDn_9uyQ-H=w1200"&amp;"|https://lh3.googleusercontent.com/pw/AP1GczPYe1Wc8yf1ubQEQs_Oc1hVvq2dzOFwnDAW_7xy8BU4nWlqz8fUhypv3btXfB1YyRVModu2_8l01WQ6K7gQEq9Fac8awrsWnr76Mw_7EOCTN2Ze8viW=w1200|https://lh3.googleusercontent.com/pw/AP1GczMk93KpWbGuJ3aw1VMhSN0OQ40P0jitmUGeK304CN8r5AXyZ"&amp;"WiMAAS53ozLXdG5Uo5TmAGBdhIjaTFG9ha5OQCCTW-v9pkl6QPwElwVEG-B_8ze7Uwx=w1200|https://lh3.googleusercontent.com/pw/AP1GczNiRdV9scUgckiSgS2Zo8QKeK8OMyw1ghv8r-x_kCr_KRWxBXUIDrg-cQhyH29Yx58LlZCU2Uq7rX9UfyiySMC7KNdQyDp2wo49jPpYChREfJON_Dyu=w1200|https://lh3.googl"&amp;"eusercontent.com/pw/AP1GczNTWG2k20JEnuonGzQlx_kM5i8ef4CD9D36FK3D28hItOC1ltCzegU6VTIhxV2IuPPKB7p4eLpVdIv6yJ_iz_CXBE_LRrGItTT3MYeRABBKSmKOSL3I=w1200|https://lh3.googleusercontent.com/pw/AP1GczOuTQYzta2FQk23u3VSvJaQoza4uzYKLjehCPcFth4saS_hHlE7Fr3Z2njpGNrPAPx"&amp;"5_Iy3l6q4nQrAbNzJoxHVHY_zLCIIATZKQJtqGhlL_NtrgT5E=w1200|https://lh3.googleusercontent.com/pw/AP1GczMg8Gn3YOkjeQ-kUMEk8YyxE8mkkCQhyZC4rF3d1Ax-CXKrFPXfDH26g1QDqyBHFYPctL4W6MKPBOz8JGHxP0aSxOzM0ODSKrsyJZBNhbSyZQO-WRQB=w1200")</f>
        <v>https://lh3.googleusercontent.com/pw/AP1GczND9n39WaKGXYfcbgnjvPF-YqWqWV42KEgNRRwsApZ-6xgbu_geUTsBD3i87zQdMZSIRJ-fbIyMVAHdw10DfHQ_u0q2lOVum4ZVS4kPh26td-ifYOsR=w1200|https://lh3.googleusercontent.com/pw/AP1GczNYcp9OdSGcCqh5AKSFdsBk5EDBGe5a_P7c_A6lHYDnGnQdSdUnQC05wd6GepX_PNHNTV-ejTAAOF8duiB8jNOE66kLglWXMlMgZewprEUMYvedtPlP=w1200|https://lh3.googleusercontent.com/pw/AP1GczNQVmYYe6ncXmf1BRmbYbWvQ6H084REMBBEQhRhy4Maf0Bg6f9un3cMKyxi4YyysDx5FF8a4Yjf2l9QUgHVxh1_iljqiAoz23kX4QLeaKPTewQ_tueq=w1200|https://lh3.googleusercontent.com/pw/AP1GczN8pZo10Zb64ezx9VmuFM0okJ-DRrVCAOYZqu3DeZOdBB9JPd7j-VbaU9M2Rp_hT6622zMtKLGeKgt0NLal0mvXKVXxU2vrXFKG9W6xBkjXe1BAoi6a=w1200|https://lh3.googleusercontent.com/pw/AP1GczPVzaQ2yCQVdsRF6dvQ-hT9uZUo68JyPTYb-5bm-gjdcpgYMUFBmw2fKH4HXwCHib3d-knBQlTINiMO_YofzSj976rQAUBaZ5Vz5uieMsh5QCFzDd6Q=w1200|https://lh3.googleusercontent.com/pw/AP1GczPreq2w-I-Vao-v_tA34LGENwa5lsbqdKNV7rnVmE2N64M_H6Sk8ov4T2Ydn6TrEAC5sAymr35c4ywxTYftJlpUbJ7lDdnW-AjaSPMUYSVonODFZ0gk=w1200|https://lh3.googleusercontent.com/pw/AP1GczP82w4LhWERwmkn2lxEbpGNzInopLs2aV4aN3Oyp17SDzneC8fiDEydnIzhD8epFnMIKyaGJ25G0B-eqbzWHn-UH9Sj7fWRACoH5Gqxwhw0WhRNyuoz=w1200|https://lh3.googleusercontent.com/pw/AP1GczMFZOUaTGuiNU1--IYV6gjXK31pHLd16zY13_ysB_raT5KA7rYKkPzYueWayDFDcCEZh7-uKLU6UrilOTZsEa9iJM2yOWab2-1z2cth0MEV8Rfo8bP6=w1200|https://lh3.googleusercontent.com/pw/AP1GczNQMudZl3g13uH4tEQJmynPrOBSKUcmKYfCAJD38fXW-uACDKiOACWmg8KLCuZfwclO2Zwl3OE3AY_ReqVqSEor-fa0fzXyEtmzvEE0brJP3-jBJXeC=w1200|https://lh3.googleusercontent.com/pw/AP1GczMfhc-uZUavYnVoR3FucbXRFbV9XFmJQqCD6amLMCZENmgKyOGlQtVf3ybPED0lzm2r6OM6x1Zv4BylIKc4tk0qMPLzXAaUDxdkaLIh6E77Yio4liJ5=w1200|https://lh3.googleusercontent.com/pw/AP1GczOA7P1k3_Xmn7qviWrteh0hl0BTSjnFmcurlhzHw5eEcNwBaUU2jwUpTGcjUrv9lfwGPislNb_TCY6lhNnSNpYpum01h1VC52JXYm5K2x9KwRHyZjwR=w1200|https://lh3.googleusercontent.com/pw/AP1GczNCIj5ujDK5mXMOQ4KcOADu2c9nVkCseurSZGDPga0_ldAAqAEbj-ACB842SqQkFeEklVtc3O6hXF9eYE4eM5pdBzjeNGlkLdKW-hSpY5SBH2QUhLgt=w1200|https://lh3.googleusercontent.com/pw/AP1GczNjS2CyvB5qwN_La5IEgpJJJZhWh4dBrWWBnFzF0okJjpe4BXEGTHnrjDbFW1Elp3cVUPBfVZ690ohGM6dDk_aQrMB0BsijqYqOH0YQrwka14unYVoq=w1200|https://lh3.googleusercontent.com/pw/AP1GczPiDzffg8tP_CK2qhnf56sIkAXp56omE5TsC_HLRyLcafvZ4euynp5Vl3EwLoyH7eUsaNBzV_M7Cxegs-xolYGPf6jzSOvMJuwmUEya0lrDn_9uyQ-H=w1200|https://lh3.googleusercontent.com/pw/AP1GczPYe1Wc8yf1ubQEQs_Oc1hVvq2dzOFwnDAW_7xy8BU4nWlqz8fUhypv3btXfB1YyRVModu2_8l01WQ6K7gQEq9Fac8awrsWnr76Mw_7EOCTN2Ze8viW=w1200|https://lh3.googleusercontent.com/pw/AP1GczMk93KpWbGuJ3aw1VMhSN0OQ40P0jitmUGeK304CN8r5AXyZWiMAAS53ozLXdG5Uo5TmAGBdhIjaTFG9ha5OQCCTW-v9pkl6QPwElwVEG-B_8ze7Uwx=w1200|https://lh3.googleusercontent.com/pw/AP1GczNiRdV9scUgckiSgS2Zo8QKeK8OMyw1ghv8r-x_kCr_KRWxBXUIDrg-cQhyH29Yx58LlZCU2Uq7rX9UfyiySMC7KNdQyDp2wo49jPpYChREfJON_Dyu=w1200|https://lh3.googleusercontent.com/pw/AP1GczNTWG2k20JEnuonGzQlx_kM5i8ef4CD9D36FK3D28hItOC1ltCzegU6VTIhxV2IuPPKB7p4eLpVdIv6yJ_iz_CXBE_LRrGItTT3MYeRABBKSmKOSL3I=w1200|https://lh3.googleusercontent.com/pw/AP1GczOuTQYzta2FQk23u3VSvJaQoza4uzYKLjehCPcFth4saS_hHlE7Fr3Z2njpGNrPAPx5_Iy3l6q4nQrAbNzJoxHVHY_zLCIIATZKQJtqGhlL_NtrgT5E=w1200|https://lh3.googleusercontent.com/pw/AP1GczMg8Gn3YOkjeQ-kUMEk8YyxE8mkkCQhyZC4rF3d1Ax-CXKrFPXfDH26g1QDqyBHFYPctL4W6MKPBOz8JGHxP0aSxOzM0ODSKrsyJZBNhbSyZQO-WRQB=w1200</v>
      </c>
      <c r="AJ84" s="46"/>
      <c r="AK84" s="46"/>
      <c r="AL84" s="46"/>
      <c r="AM84" s="46"/>
      <c r="AN84" s="46"/>
      <c r="AO84" s="46"/>
      <c r="AP84" s="46"/>
      <c r="AQ84" s="46"/>
      <c r="AR84" s="46"/>
      <c r="AS84" s="46"/>
      <c r="AT84" s="46"/>
      <c r="AU84" s="46"/>
      <c r="AV84" s="46"/>
      <c r="AW84" s="46"/>
      <c r="AX84" s="46"/>
      <c r="AY84" s="46"/>
      <c r="AZ84" s="46"/>
      <c r="BA84" s="46"/>
      <c r="BB84" s="46"/>
      <c r="BC84" s="46"/>
      <c r="BD84" s="46"/>
      <c r="BE84" s="46"/>
      <c r="BF84" s="46"/>
      <c r="BG84" s="46"/>
      <c r="BH84" s="46"/>
      <c r="BI84" s="46"/>
      <c r="BJ84" s="46"/>
      <c r="BK84" s="46"/>
      <c r="BL84" s="46"/>
      <c r="BM84" s="46"/>
      <c r="BN84" s="46"/>
      <c r="BO84" s="46"/>
      <c r="BP84" s="46"/>
      <c r="BQ84" s="46"/>
      <c r="BR84" s="46"/>
      <c r="BS84" s="46"/>
      <c r="BT84" s="46"/>
      <c r="BU84" s="46"/>
      <c r="BV84" s="46"/>
      <c r="BW84" s="46"/>
      <c r="BX84" s="46"/>
      <c r="BY84" s="46"/>
      <c r="BZ84" s="46"/>
      <c r="CA84" s="46"/>
      <c r="CB84" s="46"/>
      <c r="CC84" s="46"/>
    </row>
    <row r="85">
      <c r="A85" s="87" t="str">
        <f>IFERROR(__xludf.DUMMYFUNCTION("""COMPUTED_VALUE"""),"1560")</f>
        <v>1560</v>
      </c>
      <c r="B85" s="46" t="str">
        <f>IFERROR(__xludf.DUMMYFUNCTION("""COMPUTED_VALUE"""),"Casa en barrio Minuto de Dios")</f>
        <v>Casa en barrio Minuto de Dios</v>
      </c>
      <c r="C85" s="46" t="str">
        <f>IFERROR(__xludf.DUMMYFUNCTION("""COMPUTED_VALUE"""),"Casa")</f>
        <v>Casa</v>
      </c>
      <c r="D85" s="46" t="str">
        <f>IFERROR(__xludf.DUMMYFUNCTION("""COMPUTED_VALUE"""),"Minuto de Dios")</f>
        <v>Minuto de Dios</v>
      </c>
      <c r="E85" s="46"/>
      <c r="F85" s="90">
        <f>IFERROR(__xludf.DUMMYFUNCTION("""COMPUTED_VALUE"""),3.0E8)</f>
        <v>300000000</v>
      </c>
      <c r="G85" s="46" t="str">
        <f>IFERROR(__xludf.DUMMYFUNCTION("""COMPUTED_VALUE"""),"$300'000.000 a $400'000.000")</f>
        <v>$300'000.000 a $400'000.000</v>
      </c>
      <c r="H85" s="46"/>
      <c r="I85" s="46"/>
      <c r="J85" s="46" t="str">
        <f>IFERROR(__xludf.DUMMYFUNCTION("""COMPUTED_VALUE"""),"Norte")</f>
        <v>Norte</v>
      </c>
      <c r="K85" s="87" t="str">
        <f>IFERROR(__xludf.DUMMYFUNCTION("""COMPUTED_VALUE"""),"1")</f>
        <v>1</v>
      </c>
      <c r="L85" s="46">
        <f>IFERROR(__xludf.DUMMYFUNCTION("""COMPUTED_VALUE"""),5.0)</f>
        <v>5</v>
      </c>
      <c r="M85" s="46"/>
      <c r="N85" s="46">
        <f>IFERROR(__xludf.DUMMYFUNCTION("""COMPUTED_VALUE"""),5.0)</f>
        <v>5</v>
      </c>
      <c r="O85" s="46">
        <f>IFERROR(__xludf.DUMMYFUNCTION("""COMPUTED_VALUE"""),1.0)</f>
        <v>1</v>
      </c>
      <c r="P85" s="46">
        <f>IFERROR(__xludf.DUMMYFUNCTION("""COMPUTED_VALUE"""),3.0)</f>
        <v>3</v>
      </c>
      <c r="Q85" s="92">
        <f>IFERROR(__xludf.DUMMYFUNCTION("""COMPUTED_VALUE"""),0.0)</f>
        <v>0</v>
      </c>
      <c r="R85" s="92">
        <f>IFERROR(__xludf.DUMMYFUNCTION("""COMPUTED_VALUE"""),78.0)</f>
        <v>78</v>
      </c>
      <c r="S85" s="87" t="str">
        <f>IFERROR(__xludf.DUMMYFUNCTION("""COMPUTED_VALUE""")," ")</f>
        <v> </v>
      </c>
      <c r="T85" s="46" t="str">
        <f>IFERROR(__xludf.DUMMYFUNCTION("""COMPUTED_VALUE"""),"Neiva")</f>
        <v>Neiva</v>
      </c>
      <c r="U85" s="87" t="str">
        <f>IFERROR(__xludf.DUMMYFUNCTION("""COMPUTED_VALUE"""),"2")</f>
        <v>2</v>
      </c>
      <c r="V85" s="46" t="str">
        <f>IFERROR(__xludf.DUMMYFUNCTION("""COMPUTED_VALUE"""),"Esquinera")</f>
        <v>Esquinera</v>
      </c>
      <c r="W85" s="46"/>
      <c r="X85" s="46">
        <f>IFERROR(__xludf.DUMMYFUNCTION("""COMPUTED_VALUE"""),1.0)</f>
        <v>1</v>
      </c>
      <c r="Y85" s="46" t="str">
        <f>IFERROR(__xludf.DUMMYFUNCTION("""COMPUTED_VALUE"""),"No tiene")</f>
        <v>No tiene</v>
      </c>
      <c r="Z85" s="90" t="str">
        <f>IFERROR(__xludf.DUMMYFUNCTION("""COMPUTED_VALUE"""),"No aplica")</f>
        <v>No aplica</v>
      </c>
      <c r="AA85" s="33" t="str">
        <f>IFERROR(__xludf.DUMMYFUNCTION("""COMPUTED_VALUE"""),"No aplica")</f>
        <v>No aplica</v>
      </c>
      <c r="AB85" s="144" t="str">
        <f>IFERROR(__xludf.DUMMYFUNCTION("""COMPUTED_VALUE"""),"https://photos.app.goo.gl/f8CVVuM8JMsa82dg7")</f>
        <v>https://photos.app.goo.gl/f8CVVuM8JMsa82dg7</v>
      </c>
      <c r="AC85" s="46" t="str">
        <f>IFERROR(__xludf.DUMMYFUNCTION("""COMPUTED_VALUE"""),"Consta de 3 pisos Primer piso: Sala y comedor, 1 habitación, 2 sanitarios con división en acrílico, patio de ropas y zona de lavandería.   Segundo piso: Sala de estar, 3 habitaciones con 1 closeth en madera, baño con 2 sanitarios en división en acrílico. "&amp;"  Tercer piso: Terraza en piso rustico, 1 habitación, baño, y zona de lavandería.")</f>
        <v>Consta de 3 pisos Primer piso: Sala y comedor, 1 habitación, 2 sanitarios con división en acrílico, patio de ropas y zona de lavandería.   Segundo piso: Sala de estar, 3 habitaciones con 1 closeth en madera, baño con 2 sanitarios en división en acrílico.   Tercer piso: Terraza en piso rustico, 1 habitación, baño, y zona de lavandería.</v>
      </c>
      <c r="AD85" s="46"/>
      <c r="AE85" s="46"/>
      <c r="AF85" s="46" t="str">
        <f>IFERROR(__xludf.DUMMYFUNCTION("""COMPUTED_VALUE"""),"básica")</f>
        <v>básica</v>
      </c>
      <c r="AG85" s="46"/>
      <c r="AH85" s="46" t="str">
        <f>IFERROR(__xludf.DUMMYFUNCTION("""COMPUTED_VALUE"""),"Aliado")</f>
        <v>Aliado</v>
      </c>
      <c r="AI85" s="92" t="str">
        <f>IFERROR(__xludf.DUMMYFUNCTION("""COMPUTED_VALUE"""),"https://lh3.googleusercontent.com/pw/AP1GczNJ0tt19Sb3lzgiUysYRFzx1VvDrPuvUGovIWlHtTy3Fd5z5KcuhHwK6EXOAIdqjrc984yshpPqVYMXeLBCqAs2xcCm3EVx7IFRoteQQAA_9f30i07H=w1200|https://lh3.googleusercontent.com/pw/AP1GczNTSPRAosWyTTF1Scmw2k6Yx0A8L0rAE4szXwgwR8E1q7V-l2"&amp;"kmRaFoaADT70OwYJJw44XnQCv5BkmRWvMayXpg95OuoFBmM8RGY17XiZC6DTtIEWvB=w1200|https://lh3.googleusercontent.com/pw/AP1GczNIwprbw3TKUpO2L6LK5dJ4DS3eM_WkcecxdKRy_VnRkokAPvYCte7tuv9cQVNl4hYCHB8rCE4r16bpxBmMr35K1wafWHNlUz8-ZSsQ4INYstTrJcAn=w1200|https://lh3.google"&amp;"usercontent.com/pw/AP1GczO4799eCop3g5a_g8lbZAGQPglf0FFM24ke3AqBofRDXQ3q7BHIlPsnRNbWvTv3le_jkAxG6gk2tpM_pvjsbqPAkcnlSwrZEwW2IPwquo-aePpDVp0Y=w1200|https://lh3.googleusercontent.com/pw/AP1GczO6VTgqRp_r1qIZC8g4p1u25vZkJGtxoNlioUSOzngFh2yjcihLjoUt8qXMsyW8Hkar"&amp;"UyH3Ugsgt1Ly7uJ7CV4gsWQ-NOxaAfqeCOqsL-aC6NRZCalz=w1200|https://lh3.googleusercontent.com/pw/AP1GczOd4C6gQt2s_lnvqdroZPotXERLdcCZafDBJrqCBuTWWBya3YliWY1LqFrsJ3ru187cWQYlsOLD0UVm5ywUVw-sFDyYa9-4BMeirpv6FZLnb06G-UV8=w1200|https://lh3.googleusercontent.com/pw"&amp;"/AP1GczM5i0hNwRW0525g6mvzqa_p37nlimsHMXQValGuzsTBl_ZyS2Oq6RabuOhWbNWcUV34WojMRcIMUst8Smp2RcPXCVNQnBeVeFAJD2lng92qnbWiEg1d=w1200|https://lh3.googleusercontent.com/pw/AP1GczPyGg3EDbPUEDaVU2VRgzBqOgni4Dm3GOuKX228ocnGoGlCtxOa7pqDd4WBI2VBzykO9aZui1-W0W0W4b9i6C"&amp;"WfNQRtHAyixW1lc2emoWNGI3q-TH2Z=w1200|https://lh3.googleusercontent.com/pw/AP1GczPgCgg3JHLZrB9TKfk5khWdFQ9VZ7CM2dHpvh-7rkudsO8TXXuHsSi3pvIqh_sOr5Lmx6d70TPiAoG3WloRxS3U2OfzA2ZkCOmM18KD2KxNDAO2869e=w1200|https://lh3.googleusercontent.com/pw/AP1GczNQPRCQdRIZQ"&amp;"AHwfBhMYOlerw1Rse3AGeFbr2ll7AweZ7Qi9lW5ft2uD_LBfNjFA2vIzADRAF_Q4SDA8hk7lW-fOu4dLn3U5BRgvTYtvuVUu2ALZJFx=w1200|https://lh3.googleusercontent.com/pw/AP1GczPA843Vwt8aZAvZX7I9mEyk-rg5GzSt1MpYZz5VOPEWI8DSxQw0SwMWCkLWWa-STTMqEK2ayJ93JcsC6EuCPh8KV0HjSwOyRu9kWN02"&amp;"zk-5-hd0m7t_=w1200|https://lh3.googleusercontent.com/pw/AP1GczPQcxcm9-Cv-whrVh9dPcXG8KhZj7aAZedFRRUj8sCOttLhJj5YDCbF7nfCa64tmN_vr6PCZHyLkiPDv4_p9u-WSagI9LG7n6bkxDcfHF3PH4MJ5Qfx=w1200|https://lh3.googleusercontent.com/pw/AP1GczMX-wZJNPL7IImasnxdWJnFWwEMsEw"&amp;"BWSBbxw82Npf6VuH5C4FxiSomCZQkkN-nGJGy7XgogQ8Prwcpy2vEikJhKsJ5SMMoCqYH7jz1ehAJeMT6yNZX=w1200")</f>
        <v>https://lh3.googleusercontent.com/pw/AP1GczNJ0tt19Sb3lzgiUysYRFzx1VvDrPuvUGovIWlHtTy3Fd5z5KcuhHwK6EXOAIdqjrc984yshpPqVYMXeLBCqAs2xcCm3EVx7IFRoteQQAA_9f30i07H=w1200|https://lh3.googleusercontent.com/pw/AP1GczNTSPRAosWyTTF1Scmw2k6Yx0A8L0rAE4szXwgwR8E1q7V-l2kmRaFoaADT70OwYJJw44XnQCv5BkmRWvMayXpg95OuoFBmM8RGY17XiZC6DTtIEWvB=w1200|https://lh3.googleusercontent.com/pw/AP1GczNIwprbw3TKUpO2L6LK5dJ4DS3eM_WkcecxdKRy_VnRkokAPvYCte7tuv9cQVNl4hYCHB8rCE4r16bpxBmMr35K1wafWHNlUz8-ZSsQ4INYstTrJcAn=w1200|https://lh3.googleusercontent.com/pw/AP1GczO4799eCop3g5a_g8lbZAGQPglf0FFM24ke3AqBofRDXQ3q7BHIlPsnRNbWvTv3le_jkAxG6gk2tpM_pvjsbqPAkcnlSwrZEwW2IPwquo-aePpDVp0Y=w1200|https://lh3.googleusercontent.com/pw/AP1GczO6VTgqRp_r1qIZC8g4p1u25vZkJGtxoNlioUSOzngFh2yjcihLjoUt8qXMsyW8HkarUyH3Ugsgt1Ly7uJ7CV4gsWQ-NOxaAfqeCOqsL-aC6NRZCalz=w1200|https://lh3.googleusercontent.com/pw/AP1GczOd4C6gQt2s_lnvqdroZPotXERLdcCZafDBJrqCBuTWWBya3YliWY1LqFrsJ3ru187cWQYlsOLD0UVm5ywUVw-sFDyYa9-4BMeirpv6FZLnb06G-UV8=w1200|https://lh3.googleusercontent.com/pw/AP1GczM5i0hNwRW0525g6mvzqa_p37nlimsHMXQValGuzsTBl_ZyS2Oq6RabuOhWbNWcUV34WojMRcIMUst8Smp2RcPXCVNQnBeVeFAJD2lng92qnbWiEg1d=w1200|https://lh3.googleusercontent.com/pw/AP1GczPyGg3EDbPUEDaVU2VRgzBqOgni4Dm3GOuKX228ocnGoGlCtxOa7pqDd4WBI2VBzykO9aZui1-W0W0W4b9i6CWfNQRtHAyixW1lc2emoWNGI3q-TH2Z=w1200|https://lh3.googleusercontent.com/pw/AP1GczPgCgg3JHLZrB9TKfk5khWdFQ9VZ7CM2dHpvh-7rkudsO8TXXuHsSi3pvIqh_sOr5Lmx6d70TPiAoG3WloRxS3U2OfzA2ZkCOmM18KD2KxNDAO2869e=w1200|https://lh3.googleusercontent.com/pw/AP1GczNQPRCQdRIZQAHwfBhMYOlerw1Rse3AGeFbr2ll7AweZ7Qi9lW5ft2uD_LBfNjFA2vIzADRAF_Q4SDA8hk7lW-fOu4dLn3U5BRgvTYtvuVUu2ALZJFx=w1200|https://lh3.googleusercontent.com/pw/AP1GczPA843Vwt8aZAvZX7I9mEyk-rg5GzSt1MpYZz5VOPEWI8DSxQw0SwMWCkLWWa-STTMqEK2ayJ93JcsC6EuCPh8KV0HjSwOyRu9kWN02zk-5-hd0m7t_=w1200|https://lh3.googleusercontent.com/pw/AP1GczPQcxcm9-Cv-whrVh9dPcXG8KhZj7aAZedFRRUj8sCOttLhJj5YDCbF7nfCa64tmN_vr6PCZHyLkiPDv4_p9u-WSagI9LG7n6bkxDcfHF3PH4MJ5Qfx=w1200|https://lh3.googleusercontent.com/pw/AP1GczMX-wZJNPL7IImasnxdWJnFWwEMsEwBWSBbxw82Npf6VuH5C4FxiSomCZQkkN-nGJGy7XgogQ8Prwcpy2vEikJhKsJ5SMMoCqYH7jz1ehAJeMT6yNZX=w1200</v>
      </c>
      <c r="AJ85" s="46"/>
      <c r="AK85" s="46"/>
      <c r="AL85" s="46"/>
      <c r="AM85" s="46"/>
      <c r="AN85" s="46"/>
      <c r="AO85" s="46"/>
      <c r="AP85" s="46"/>
      <c r="AQ85" s="46"/>
      <c r="AR85" s="46"/>
      <c r="AS85" s="46"/>
      <c r="AT85" s="46"/>
      <c r="AU85" s="46"/>
      <c r="AV85" s="46"/>
      <c r="AW85" s="46"/>
      <c r="AX85" s="46"/>
      <c r="AY85" s="46"/>
      <c r="AZ85" s="46"/>
      <c r="BA85" s="46"/>
      <c r="BB85" s="46"/>
      <c r="BC85" s="46"/>
      <c r="BD85" s="46"/>
      <c r="BE85" s="46"/>
      <c r="BF85" s="46"/>
      <c r="BG85" s="46"/>
      <c r="BH85" s="46"/>
      <c r="BI85" s="46"/>
      <c r="BJ85" s="46"/>
      <c r="BK85" s="46"/>
      <c r="BL85" s="46"/>
      <c r="BM85" s="46"/>
      <c r="BN85" s="46"/>
      <c r="BO85" s="46"/>
      <c r="BP85" s="46"/>
      <c r="BQ85" s="46"/>
      <c r="BR85" s="46"/>
      <c r="BS85" s="46"/>
      <c r="BT85" s="46"/>
      <c r="BU85" s="46"/>
      <c r="BV85" s="46"/>
      <c r="BW85" s="46"/>
      <c r="BX85" s="46"/>
      <c r="BY85" s="46"/>
      <c r="BZ85" s="46"/>
      <c r="CA85" s="46"/>
      <c r="CB85" s="46"/>
      <c r="CC85" s="46"/>
    </row>
    <row r="86">
      <c r="A86" s="87" t="str">
        <f>IFERROR(__xludf.DUMMYFUNCTION("""COMPUTED_VALUE"""),"1542")</f>
        <v>1542</v>
      </c>
      <c r="B86" s="46" t="str">
        <f>IFERROR(__xludf.DUMMYFUNCTION("""COMPUTED_VALUE"""),"Casa con dos apartamentos en barrio Buena Vista")</f>
        <v>Casa con dos apartamentos en barrio Buena Vista</v>
      </c>
      <c r="C86" s="46" t="str">
        <f>IFERROR(__xludf.DUMMYFUNCTION("""COMPUTED_VALUE"""),"Casa rentable")</f>
        <v>Casa rentable</v>
      </c>
      <c r="D86" s="46" t="str">
        <f>IFERROR(__xludf.DUMMYFUNCTION("""COMPUTED_VALUE"""),"Buena Vista")</f>
        <v>Buena Vista</v>
      </c>
      <c r="E86" s="46"/>
      <c r="F86" s="90">
        <f>IFERROR(__xludf.DUMMYFUNCTION("""COMPUTED_VALUE"""),3.0E8)</f>
        <v>300000000</v>
      </c>
      <c r="G86" s="46" t="str">
        <f>IFERROR(__xludf.DUMMYFUNCTION("""COMPUTED_VALUE"""),"$300'000.000 a $400'000.000")</f>
        <v>$300'000.000 a $400'000.000</v>
      </c>
      <c r="H86" s="46"/>
      <c r="I86" s="46"/>
      <c r="J86" s="46" t="str">
        <f>IFERROR(__xludf.DUMMYFUNCTION("""COMPUTED_VALUE"""),"Oriente")</f>
        <v>Oriente</v>
      </c>
      <c r="K86" s="87" t="str">
        <f>IFERROR(__xludf.DUMMYFUNCTION("""COMPUTED_VALUE"""),"7")</f>
        <v>7</v>
      </c>
      <c r="L86" s="46">
        <f>IFERROR(__xludf.DUMMYFUNCTION("""COMPUTED_VALUE"""),7.0)</f>
        <v>7</v>
      </c>
      <c r="M86" s="46"/>
      <c r="N86" s="46">
        <f>IFERROR(__xludf.DUMMYFUNCTION("""COMPUTED_VALUE"""),3.0)</f>
        <v>3</v>
      </c>
      <c r="O86" s="46">
        <f>IFERROR(__xludf.DUMMYFUNCTION("""COMPUTED_VALUE"""),1.0)</f>
        <v>1</v>
      </c>
      <c r="P86" s="46">
        <f>IFERROR(__xludf.DUMMYFUNCTION("""COMPUTED_VALUE"""),1.0)</f>
        <v>1</v>
      </c>
      <c r="Q86" s="92">
        <f>IFERROR(__xludf.DUMMYFUNCTION("""COMPUTED_VALUE"""),244.0)</f>
        <v>244</v>
      </c>
      <c r="R86" s="92">
        <f>IFERROR(__xludf.DUMMYFUNCTION("""COMPUTED_VALUE"""),244.0)</f>
        <v>244</v>
      </c>
      <c r="S86" s="87" t="str">
        <f>IFERROR(__xludf.DUMMYFUNCTION("""COMPUTED_VALUE""")," ")</f>
        <v> </v>
      </c>
      <c r="T86" s="46" t="str">
        <f>IFERROR(__xludf.DUMMYFUNCTION("""COMPUTED_VALUE"""),"Neiva")</f>
        <v>Neiva</v>
      </c>
      <c r="U86" s="87" t="str">
        <f>IFERROR(__xludf.DUMMYFUNCTION("""COMPUTED_VALUE"""),"3")</f>
        <v>3</v>
      </c>
      <c r="V86" s="46" t="str">
        <f>IFERROR(__xludf.DUMMYFUNCTION("""COMPUTED_VALUE"""),"Medianera")</f>
        <v>Medianera</v>
      </c>
      <c r="W86" s="46"/>
      <c r="X86" s="46">
        <f>IFERROR(__xludf.DUMMYFUNCTION("""COMPUTED_VALUE"""),4.0)</f>
        <v>4</v>
      </c>
      <c r="Y86" s="46" t="str">
        <f>IFERROR(__xludf.DUMMYFUNCTION("""COMPUTED_VALUE"""),"No tiene")</f>
        <v>No tiene</v>
      </c>
      <c r="Z86" s="90" t="str">
        <f>IFERROR(__xludf.DUMMYFUNCTION("""COMPUTED_VALUE"""),"No aplica")</f>
        <v>No aplica</v>
      </c>
      <c r="AA86" s="33" t="str">
        <f>IFERROR(__xludf.DUMMYFUNCTION("""COMPUTED_VALUE"""),"No aplica")</f>
        <v>No aplica</v>
      </c>
      <c r="AB86" s="144" t="str">
        <f>IFERROR(__xludf.DUMMYFUNCTION("""COMPUTED_VALUE"""),"https://photos.google.com/u/1/share/AF1QipPeRRIvYTdPiqHYgwiWZtodt7pJTz8-bUWRd1wS9ckV1VYX7O4M5I_idI96SnlJxQ?hl=es&amp;key=UTF2ZlI4elJhWndUYzd5RzRLVFRMd01KeHlJSnBn")</f>
        <v>https://photos.google.com/u/1/share/AF1QipPeRRIvYTdPiqHYgwiWZtodt7pJTz8-bUWRd1wS9ckV1VYX7O4M5I_idI96SnlJxQ?hl=es&amp;key=UTF2ZlI4elJhWndUYzd5RzRLVFRMd01KeHlJSnBn</v>
      </c>
      <c r="AC86" s="46" t="str">
        <f>IFERROR(__xludf.DUMMYFUNCTION("""COMPUTED_VALUE"""),"Consta de dos apartamentos independientes
• Apartamento N. 1: Sala - comedor, 4 habitaciones 2 con closeth metálico, 2 baños con división en acrílico auxiliares, Cocina Integral, patio de ropas amplio, zona de lavandería, cielo Razo en driwall.
• Ap"&amp;"artamento N. 2: 3 Habitaciones 2 con closeth metálico, 1 Baño con división en acrílico, cocina integral, zona de lavandería, cielo raso en drywall.")</f>
        <v>Consta de dos apartamentos independientes
• Apartamento N. 1: Sala - comedor, 4 habitaciones 2 con closeth metálico, 2 baños con división en acrílico auxiliares, Cocina Integral, patio de ropas amplio, zona de lavandería, cielo Razo en driwall.
• Apartamento N. 2: 3 Habitaciones 2 con closeth metálico, 1 Baño con división en acrílico, cocina integral, zona de lavandería, cielo raso en drywall.</v>
      </c>
      <c r="AD86" s="46"/>
      <c r="AE86" s="46"/>
      <c r="AF86" s="46" t="str">
        <f>IFERROR(__xludf.DUMMYFUNCTION("""COMPUTED_VALUE"""),"integral")</f>
        <v>integral</v>
      </c>
      <c r="AG86" s="46"/>
      <c r="AH86" s="46" t="str">
        <f>IFERROR(__xludf.DUMMYFUNCTION("""COMPUTED_VALUE"""),"Aliado")</f>
        <v>Aliado</v>
      </c>
      <c r="AI86" s="92" t="str">
        <f>IFERROR(__xludf.DUMMYFUNCTION("""COMPUTED_VALUE"""),"https://lh3.googleusercontent.com/pw/AP1GczPhRRFpwkCLwqhaeHsL5JRiPx63Wlwm85Qrm7AK1nh-Q1AT5DH3EDT0GlDic-hWviHPcWzZLeuFi0oz7arY6N3p7Pp09bbKP3hxgAyb8khI5vsvJ3RA=w1200|https://lh3.googleusercontent.com/pw/AP1GczNPCoJsThW6NDP_1LsXkGntiTYj4DhHVss4FihKdFvZIHHsZt"&amp;"bUxrlvtAsP7gHr8f1ZJDZJTgHHg97VQGBJM11XXoCD86yR2dCAM7mYhIew3APnl6cE=w1200|https://lh3.googleusercontent.com/pw/AP1GczNc5yjd5JKQOzesONI4olAApT4CUxvnDvf5AtelIr_sS2BwvOlu2V1dvGBpSR_YCC9cNuHb00cVx8LUDqdOnuS9KdL6jAEnfuOcvaq_zdq8yoK32Mkb=w1200|https://lh3.google"&amp;"usercontent.com/pw/AP1GczMSCYDD7MbSFwGpRowvn0_fFNR2FBpzkQTX5G3hRvA4oQ7NP3ScSvVBGk7qmEKt6-7qPbk607sI3dKiUHH7s7y6Pir9oaYdBUA1URIIcTDPWIVRtq2R=w1200|https://lh3.googleusercontent.com/pw/AP1GczOMPD7dELLT5Uf_NoQpL7NYBdfcJF3uLH8YEtOGNrN3f1ulQJ9-2aSIi4064Y--2LfO"&amp;"kcYOiSiJYLSOEeK2QGTEPHzcC30eT2bPSWkAqKswZgwVvzKb=w1200|https://lh3.googleusercontent.com/pw/AP1GczO-AwLvWzzik2zmr1Mt1tDK9hzYeSsWR8DYH3tA8V-Y0YScWzscmwvPhqtppy-Ntn1_7L6uqshqvbBp28XcQncQ8FkiH4O6pbgwxCP33c0pVHIoGyGe=w1200|https://lh3.googleusercontent.com/pw"&amp;"/AP1GczMttpD9UAEEj6UGxXASok1D0NGDvBQbCSJaytaMGfevU_A2TbnJUx5dnG30GKmfdx0Wd2U-DKHXuq0DxKKPSIuaPy5yHzShPhj5r8-hs5Q6pnTNvWzM=w1200|https://lh3.googleusercontent.com/pw/AP1GczMeCzFOohwFJgERSHK9jwYIJ_fWg9ruHftN2e4PyWRf06BSOBsjy33u9o1bXi7ONE8i-H1Wb-vRWF3aA1gSc1"&amp;"v8urcXkF0zHHfBgAFc5-iSpS-6MUzV=w1200|https://lh3.googleusercontent.com/pw/AP1GczPgDO9FyCyD-Gh1WPDdQc7D5y6aTTrU9JErLhD5q7ri-36aY3XeG3wRP4AI1qAkzuhH-VCEnO7XRm6HI18OsTCWKd8aJwyz0MOmLx3rffjtNcfKCo9B=w1200|https://lh3.googleusercontent.com/pw/AP1GczM88LC9Kubkw"&amp;"zI6_sl-Q0TvdO6B-YCUltRic_bleUpz2jnZHn9Mws72ttRK9BYCxyuWmbHoTlO70ARjc8xPA7nJ94LM8bejQMcgqTjOavr_Nf-Iv1Qp=w1200|https://lh3.googleusercontent.com/pw/AP1GczOtDTPenz0oH3pGarQpelFG0ysVGH4Zx66olMEaaWzlpcMeWmc1IhjE8GDiSZx00Oc5PqhUYAX7EFIiEMYCLOrOFxYwXedDlUwCwUEZ"&amp;"WeR7G4z9Nt1l=w1200|https://lh3.googleusercontent.com/pw/AP1GczMEA0yRwRdXm45KeUUvri_IPihA-rA8JIfmIqJoJ_khajm64YYaTTWHhfHef5keC-3RJuwTtz6Z-CEB-44KsMOLLLQROKB8Oc188DlihhHkw9I9x3uR=w1200|https://lh3.googleusercontent.com/pw/AP1GczPykzYT-k2G-ElW0hx6MNaLszCVRaX"&amp;"JbCZk1lHCzGdZ9zStsl6vgto7Vdf7mg4_zJbSvvLnxsvg3UOXNy478QW39K2at2PeIXbwR5eSoIrvddN68OQR=w1200|https://lh3.googleusercontent.com/pw/AP1GczOAGHqgKwS6pwrG_-dUaW_TOxYWr_jd8tXj9vY851tF1o4NsakPVZWzk70Ug7ClN7iIdM0XZZhvp5n95gJbyBah4bvFIBxSGEVkVTNo0gQ4OKq0mGgZ=w1200"&amp;"|https://lh3.googleusercontent.com/pw/AP1GczMhjTmtOrUORfJedGyTvi-PTvwxZBWdl6u0zlMZYWLa6yEBx--gUWXrK-pr_jY0CsnOdW5LvrrGlozqkds5wBwCVNqlsjEHlf6Xja_cGlhEWryZvSC7=w1200")</f>
        <v>https://lh3.googleusercontent.com/pw/AP1GczPhRRFpwkCLwqhaeHsL5JRiPx63Wlwm85Qrm7AK1nh-Q1AT5DH3EDT0GlDic-hWviHPcWzZLeuFi0oz7arY6N3p7Pp09bbKP3hxgAyb8khI5vsvJ3RA=w1200|https://lh3.googleusercontent.com/pw/AP1GczNPCoJsThW6NDP_1LsXkGntiTYj4DhHVss4FihKdFvZIHHsZtbUxrlvtAsP7gHr8f1ZJDZJTgHHg97VQGBJM11XXoCD86yR2dCAM7mYhIew3APnl6cE=w1200|https://lh3.googleusercontent.com/pw/AP1GczNc5yjd5JKQOzesONI4olAApT4CUxvnDvf5AtelIr_sS2BwvOlu2V1dvGBpSR_YCC9cNuHb00cVx8LUDqdOnuS9KdL6jAEnfuOcvaq_zdq8yoK32Mkb=w1200|https://lh3.googleusercontent.com/pw/AP1GczMSCYDD7MbSFwGpRowvn0_fFNR2FBpzkQTX5G3hRvA4oQ7NP3ScSvVBGk7qmEKt6-7qPbk607sI3dKiUHH7s7y6Pir9oaYdBUA1URIIcTDPWIVRtq2R=w1200|https://lh3.googleusercontent.com/pw/AP1GczOMPD7dELLT5Uf_NoQpL7NYBdfcJF3uLH8YEtOGNrN3f1ulQJ9-2aSIi4064Y--2LfOkcYOiSiJYLSOEeK2QGTEPHzcC30eT2bPSWkAqKswZgwVvzKb=w1200|https://lh3.googleusercontent.com/pw/AP1GczO-AwLvWzzik2zmr1Mt1tDK9hzYeSsWR8DYH3tA8V-Y0YScWzscmwvPhqtppy-Ntn1_7L6uqshqvbBp28XcQncQ8FkiH4O6pbgwxCP33c0pVHIoGyGe=w1200|https://lh3.googleusercontent.com/pw/AP1GczMttpD9UAEEj6UGxXASok1D0NGDvBQbCSJaytaMGfevU_A2TbnJUx5dnG30GKmfdx0Wd2U-DKHXuq0DxKKPSIuaPy5yHzShPhj5r8-hs5Q6pnTNvWzM=w1200|https://lh3.googleusercontent.com/pw/AP1GczMeCzFOohwFJgERSHK9jwYIJ_fWg9ruHftN2e4PyWRf06BSOBsjy33u9o1bXi7ONE8i-H1Wb-vRWF3aA1gSc1v8urcXkF0zHHfBgAFc5-iSpS-6MUzV=w1200|https://lh3.googleusercontent.com/pw/AP1GczPgDO9FyCyD-Gh1WPDdQc7D5y6aTTrU9JErLhD5q7ri-36aY3XeG3wRP4AI1qAkzuhH-VCEnO7XRm6HI18OsTCWKd8aJwyz0MOmLx3rffjtNcfKCo9B=w1200|https://lh3.googleusercontent.com/pw/AP1GczM88LC9KubkwzI6_sl-Q0TvdO6B-YCUltRic_bleUpz2jnZHn9Mws72ttRK9BYCxyuWmbHoTlO70ARjc8xPA7nJ94LM8bejQMcgqTjOavr_Nf-Iv1Qp=w1200|https://lh3.googleusercontent.com/pw/AP1GczOtDTPenz0oH3pGarQpelFG0ysVGH4Zx66olMEaaWzlpcMeWmc1IhjE8GDiSZx00Oc5PqhUYAX7EFIiEMYCLOrOFxYwXedDlUwCwUEZWeR7G4z9Nt1l=w1200|https://lh3.googleusercontent.com/pw/AP1GczMEA0yRwRdXm45KeUUvri_IPihA-rA8JIfmIqJoJ_khajm64YYaTTWHhfHef5keC-3RJuwTtz6Z-CEB-44KsMOLLLQROKB8Oc188DlihhHkw9I9x3uR=w1200|https://lh3.googleusercontent.com/pw/AP1GczPykzYT-k2G-ElW0hx6MNaLszCVRaXJbCZk1lHCzGdZ9zStsl6vgto7Vdf7mg4_zJbSvvLnxsvg3UOXNy478QW39K2at2PeIXbwR5eSoIrvddN68OQR=w1200|https://lh3.googleusercontent.com/pw/AP1GczOAGHqgKwS6pwrG_-dUaW_TOxYWr_jd8tXj9vY851tF1o4NsakPVZWzk70Ug7ClN7iIdM0XZZhvp5n95gJbyBah4bvFIBxSGEVkVTNo0gQ4OKq0mGgZ=w1200|https://lh3.googleusercontent.com/pw/AP1GczMhjTmtOrUORfJedGyTvi-PTvwxZBWdl6u0zlMZYWLa6yEBx--gUWXrK-pr_jY0CsnOdW5LvrrGlozqkds5wBwCVNqlsjEHlf6Xja_cGlhEWryZvSC7=w1200</v>
      </c>
      <c r="AJ86" s="46"/>
      <c r="AK86" s="46"/>
      <c r="AL86" s="46"/>
      <c r="AM86" s="46"/>
      <c r="AN86" s="46"/>
      <c r="AO86" s="46"/>
      <c r="AP86" s="46"/>
      <c r="AQ86" s="46"/>
      <c r="AR86" s="46"/>
      <c r="AS86" s="46"/>
      <c r="AT86" s="46"/>
      <c r="AU86" s="46"/>
      <c r="AV86" s="46"/>
      <c r="AW86" s="46"/>
      <c r="AX86" s="46"/>
      <c r="AY86" s="46"/>
      <c r="AZ86" s="46"/>
      <c r="BA86" s="46"/>
      <c r="BB86" s="46"/>
      <c r="BC86" s="46"/>
      <c r="BD86" s="46"/>
      <c r="BE86" s="46"/>
      <c r="BF86" s="46"/>
      <c r="BG86" s="46"/>
      <c r="BH86" s="46"/>
      <c r="BI86" s="46"/>
      <c r="BJ86" s="46"/>
      <c r="BK86" s="46"/>
      <c r="BL86" s="46"/>
      <c r="BM86" s="46"/>
      <c r="BN86" s="46"/>
      <c r="BO86" s="46"/>
      <c r="BP86" s="46"/>
      <c r="BQ86" s="46"/>
      <c r="BR86" s="46"/>
      <c r="BS86" s="46"/>
      <c r="BT86" s="46"/>
      <c r="BU86" s="46"/>
      <c r="BV86" s="46"/>
      <c r="BW86" s="46"/>
      <c r="BX86" s="46"/>
      <c r="BY86" s="46"/>
      <c r="BZ86" s="46"/>
      <c r="CA86" s="46"/>
      <c r="CB86" s="46"/>
      <c r="CC86" s="46"/>
    </row>
    <row r="87">
      <c r="A87" s="87" t="str">
        <f>IFERROR(__xludf.DUMMYFUNCTION("""COMPUTED_VALUE"""),"1344")</f>
        <v>1344</v>
      </c>
      <c r="B87" s="46" t="str">
        <f>IFERROR(__xludf.DUMMYFUNCTION("""COMPUTED_VALUE"""),"Casa en barrio Altico")</f>
        <v>Casa en barrio Altico</v>
      </c>
      <c r="C87" s="46" t="str">
        <f>IFERROR(__xludf.DUMMYFUNCTION("""COMPUTED_VALUE"""),"Casa")</f>
        <v>Casa</v>
      </c>
      <c r="D87" s="46" t="str">
        <f>IFERROR(__xludf.DUMMYFUNCTION("""COMPUTED_VALUE"""),"El Altico")</f>
        <v>El Altico</v>
      </c>
      <c r="E87" s="90"/>
      <c r="F87" s="90">
        <f>IFERROR(__xludf.DUMMYFUNCTION("""COMPUTED_VALUE"""),3.0E8)</f>
        <v>300000000</v>
      </c>
      <c r="G87" s="46" t="str">
        <f>IFERROR(__xludf.DUMMYFUNCTION("""COMPUTED_VALUE"""),"$300'000.000 a $400'000.000")</f>
        <v>$300'000.000 a $400'000.000</v>
      </c>
      <c r="H87" s="46"/>
      <c r="I87" s="46"/>
      <c r="J87" s="46" t="str">
        <f>IFERROR(__xludf.DUMMYFUNCTION("""COMPUTED_VALUE"""),"Centro")</f>
        <v>Centro</v>
      </c>
      <c r="K87" s="87" t="str">
        <f>IFERROR(__xludf.DUMMYFUNCTION("""COMPUTED_VALUE"""),"4")</f>
        <v>4</v>
      </c>
      <c r="L87" s="46">
        <f>IFERROR(__xludf.DUMMYFUNCTION("""COMPUTED_VALUE"""),3.0)</f>
        <v>3</v>
      </c>
      <c r="M87" s="46"/>
      <c r="N87" s="46">
        <f>IFERROR(__xludf.DUMMYFUNCTION("""COMPUTED_VALUE"""),3.0)</f>
        <v>3</v>
      </c>
      <c r="O87" s="46">
        <f>IFERROR(__xludf.DUMMYFUNCTION("""COMPUTED_VALUE"""),1.0)</f>
        <v>1</v>
      </c>
      <c r="P87" s="46">
        <f>IFERROR(__xludf.DUMMYFUNCTION("""COMPUTED_VALUE"""),2.0)</f>
        <v>2</v>
      </c>
      <c r="Q87" s="92">
        <f>IFERROR(__xludf.DUMMYFUNCTION("""COMPUTED_VALUE"""),120.0)</f>
        <v>120</v>
      </c>
      <c r="R87" s="92"/>
      <c r="S87" s="87" t="str">
        <f>IFERROR(__xludf.DUMMYFUNCTION("""COMPUTED_VALUE""")," ")</f>
        <v> </v>
      </c>
      <c r="T87" s="46" t="str">
        <f>IFERROR(__xludf.DUMMYFUNCTION("""COMPUTED_VALUE"""),"Neiva")</f>
        <v>Neiva</v>
      </c>
      <c r="U87" s="87" t="str">
        <f>IFERROR(__xludf.DUMMYFUNCTION("""COMPUTED_VALUE"""),"3")</f>
        <v>3</v>
      </c>
      <c r="V87" s="46" t="str">
        <f>IFERROR(__xludf.DUMMYFUNCTION("""COMPUTED_VALUE"""),"Medianera")</f>
        <v>Medianera</v>
      </c>
      <c r="W87" s="46"/>
      <c r="X87" s="46">
        <f>IFERROR(__xludf.DUMMYFUNCTION("""COMPUTED_VALUE"""),3.0)</f>
        <v>3</v>
      </c>
      <c r="Y87" s="179" t="str">
        <f>IFERROR(__xludf.DUMMYFUNCTION("""COMPUTED_VALUE"""),"No tiene")</f>
        <v>No tiene</v>
      </c>
      <c r="Z87" s="90" t="str">
        <f>IFERROR(__xludf.DUMMYFUNCTION("""COMPUTED_VALUE"""),"No aplica")</f>
        <v>No aplica</v>
      </c>
      <c r="AA87" s="33" t="str">
        <f>IFERROR(__xludf.DUMMYFUNCTION("""COMPUTED_VALUE"""),"No aplica")</f>
        <v>No aplica</v>
      </c>
      <c r="AB87" s="144" t="str">
        <f>IFERROR(__xludf.DUMMYFUNCTION("""COMPUTED_VALUE"""),"https://photos.app.goo.gl/wowRpimK8dXqFTKB9")</f>
        <v>https://photos.app.goo.gl/wowRpimK8dXqFTKB9</v>
      </c>
      <c r="AC87" s="46" t="str">
        <f>IFERROR(__xludf.DUMMYFUNCTION("""COMPUTED_VALUE"""),"Consta de Primer Piso: Sala, comedor, cocina semi-integral, depósito,  parqueadero cubierto, terraza, baño social. Segundo Piso: 3 habitaciones la principal con baño privado, balcón, closets en madera, baño auxiliar.")</f>
        <v>Consta de Primer Piso: Sala, comedor, cocina semi-integral, depósito,  parqueadero cubierto, terraza, baño social. Segundo Piso: 3 habitaciones la principal con baño privado, balcón, closets en madera, baño auxiliar.</v>
      </c>
      <c r="AD87" s="46" t="str">
        <f>IFERROR(__xludf.DUMMYFUNCTION("""COMPUTED_VALUE"""),"Cuenta con un aire acondicionado")</f>
        <v>Cuenta con un aire acondicionado</v>
      </c>
      <c r="AE87" s="46"/>
      <c r="AF87" s="46" t="str">
        <f>IFERROR(__xludf.DUMMYFUNCTION("""COMPUTED_VALUE"""),"semi-integral")</f>
        <v>semi-integral</v>
      </c>
      <c r="AG87" s="46"/>
      <c r="AH87" s="46" t="str">
        <f>IFERROR(__xludf.DUMMYFUNCTION("""COMPUTED_VALUE"""),"Aliado")</f>
        <v>Aliado</v>
      </c>
      <c r="AI87" s="92" t="str">
        <f>IFERROR(__xludf.DUMMYFUNCTION("""COMPUTED_VALUE"""),"https://lh3.googleusercontent.com/pw/AP1GczNjYIlUdsS6VE-Jp5h2xrwbly1kDkYPjEZwWAT5_1rA_2R9si843ZCsFueCVlXgqrxjGJfo0ghNhFW7Mv5vTchZ9iXUS2m1aVVXfDgmtFNDc5Qn5HnH=w1200|https://lh3.googleusercontent.com/pw/AP1GczPYOTkyl9E4nfFLu7nfvfml4iZinnER5FbLWGY6UEdz98Z8dR"&amp;"kmKo094Ulo9u_3hrpH9lgm60_1FyurVzsc1yCL08zonvead-Oxd4RuPaE48JrT8II9=w1200|https://lh3.googleusercontent.com/pw/AP1GczPAnlkofsrrq5sSrkXkXjLdsjGs9vj4U0qhwUIUYnZ_s4aU37iGraYGfgcmgiKFwi4bnEjrumgnGimspUqAgI6U0Ax626dv7aClmtwYKnOJqq2lND5-=w1200|https://lh3.google"&amp;"usercontent.com/pw/AP1GczP9O50-adhF4JLcvKxXz6UP651_4_nDqyfwc4B3S92gM_izUgOPWaw5foof03FKKwZwvkJfEc6yu0mhSiGHyejYhvESpi1hfZAZFlvJ78ang7ryrH_M=w1200|https://lh3.googleusercontent.com/pw/AP1GczMNGCGfQfdISj2hEqQpaoWoMIql7ARYN25dlOLuRTurAX3gAw9-AQ9Mw3nyku7wvwsZ"&amp;"-uqcQsvnk20SG23RxMdHfmeFS4NojhQ89hqX4fcrvYpAPCe4=w1200|https://lh3.googleusercontent.com/pw/AP1GczN6k0dn_TtjtfukYtMxQapDnrUyAG8Z1bAK_mLpkUxFAHnLawscbuVRprf7M9mhoshfivnPco4GRnFHdA02s7HVYShCLjbYx-3Ac8-HQTMmtFxRNCB_=w1200|https://lh3.googleusercontent.com/pw"&amp;"/AP1GczMAUfv_A4hqYMw0nmht5pWevlfhf3UI9Z0_9Q9hKUhYdSceRSoP6AO7jLmVnh_6jbZNyZA0KiXUOCNMvZx4pJfWrYQEbk3Qek59m_1p2MSgq00_3MfR=w1200|https://lh3.googleusercontent.com/pw/AP1GczOF0-3ZSxh6CiSp_cu2kPXlS_cy--KEznOyDgtxFLYI8-rvZLmC-zgJcrav1zVr7JWMteE0bW2YRulGGGiLud"&amp;"BXF7CU8MwlYLSmKFYLIeqzMY9qOkxd=w1200|https://lh3.googleusercontent.com/pw/AP1GczP58mIRtkCrU3Pezy6vx-xIrKpTw0OmncLNwUjopHgr2TijCif6l8tq-97DNNlGFIK-rKQs8umYl6khwm3bSppT6hjCTGn_Z8yBg9Ah6mn5UgaaToRd=w1200|https://lh3.googleusercontent.com/pw/AP1GczPnAsqZ255xl"&amp;"4WtGPWjycY7TCvAvOaWJ3ZoJDEU8x1StcRvXbRgo3VPsnqn_XRxDu-AmLai2nAyF5j6k-bCJKJqd4eWi2EmElNErbcyocAPCkBHrhov=w1200|https://lh3.googleusercontent.com/pw/AP1GczO5rnO2sT1_inU6pPLDEKHhj1fI854tPXMsw1cyPkzEV-SFLV55MbutlTQ3rCe4rh2K0B88hE5zVWwxhmu88LHXazCOtgltJWNOyHzx"&amp;"xUaNSVXinwcz=w1200|https://lh3.googleusercontent.com/pw/AP1GczNXFUn4i55osm0ixLD-E4jHxGcP3oHiZ9BS5Vg20rxGZQkCefUXgK1gGMe5xtDERFQ0pgdMMKJX8XfjUZkaWP1JVTEAexCxK7nD29um0woSBGJZLnYG=w1200|https://lh3.googleusercontent.com/pw/AP1GczM8-V-BBOJuJZ_LURQhW01ruy1OckH"&amp;"Dz-25nTiHBNvBueuLrZQRqhXTmjWhRh9LTlHd_k82PUYt1cJwmUqGpsSphlbamBf77sEAMgX0J97X6xHg58dY=w1200|https://lh3.googleusercontent.com/pw/AP1GczO7-k9Nmz7rNDedw2TKkOY9_KzCGph8bar8QDSOHwrD6LmiviuSeuJz4iIox69LfVAROeaKlQW9Omm_amS1M4nWLaRXSO34areaZDl2wpnYs-xsEGLN=w1200"&amp;"|https://lh3.googleusercontent.com/pw/AP1GczP95l1Ab1SYrVpPxm-_lKBZ_Bw6qYuPpE1R8uMUu4ysB3B0Lg-tRDf_gZgZfLUYZcfmXC5ajKEYTSDlUUhuyeA1ElX3VvPbPYULuvOYJovqnDv-ARDv=w1200|https://lh3.googleusercontent.com/pw/AP1GczPDcytDyIDZ23vHenEBvGUQlFSY-4F3WENmBR2sZBZ0TOoQi"&amp;"MGGSwm2Rd8USSKpTftAVGo1A8FfeDhEZLFfZTfpi5pTLXoelq64BDkOyfoSMRl42MQm=w1200|https://lh3.googleusercontent.com/pw/AP1GczPxxh2NUNbSV7vSx7DGrk6lbxm8UrEOqLgaSCVdVTSkJqPGYTv4avzxmAyFxLaunfGErIHIJVTVa55p6zSlhzVbQYAi_acpyCPygwR22GK2DvIxnUyg=w1200")</f>
        <v>https://lh3.googleusercontent.com/pw/AP1GczNjYIlUdsS6VE-Jp5h2xrwbly1kDkYPjEZwWAT5_1rA_2R9si843ZCsFueCVlXgqrxjGJfo0ghNhFW7Mv5vTchZ9iXUS2m1aVVXfDgmtFNDc5Qn5HnH=w1200|https://lh3.googleusercontent.com/pw/AP1GczPYOTkyl9E4nfFLu7nfvfml4iZinnER5FbLWGY6UEdz98Z8dRkmKo094Ulo9u_3hrpH9lgm60_1FyurVzsc1yCL08zonvead-Oxd4RuPaE48JrT8II9=w1200|https://lh3.googleusercontent.com/pw/AP1GczPAnlkofsrrq5sSrkXkXjLdsjGs9vj4U0qhwUIUYnZ_s4aU37iGraYGfgcmgiKFwi4bnEjrumgnGimspUqAgI6U0Ax626dv7aClmtwYKnOJqq2lND5-=w1200|https://lh3.googleusercontent.com/pw/AP1GczP9O50-adhF4JLcvKxXz6UP651_4_nDqyfwc4B3S92gM_izUgOPWaw5foof03FKKwZwvkJfEc6yu0mhSiGHyejYhvESpi1hfZAZFlvJ78ang7ryrH_M=w1200|https://lh3.googleusercontent.com/pw/AP1GczMNGCGfQfdISj2hEqQpaoWoMIql7ARYN25dlOLuRTurAX3gAw9-AQ9Mw3nyku7wvwsZ-uqcQsvnk20SG23RxMdHfmeFS4NojhQ89hqX4fcrvYpAPCe4=w1200|https://lh3.googleusercontent.com/pw/AP1GczN6k0dn_TtjtfukYtMxQapDnrUyAG8Z1bAK_mLpkUxFAHnLawscbuVRprf7M9mhoshfivnPco4GRnFHdA02s7HVYShCLjbYx-3Ac8-HQTMmtFxRNCB_=w1200|https://lh3.googleusercontent.com/pw/AP1GczMAUfv_A4hqYMw0nmht5pWevlfhf3UI9Z0_9Q9hKUhYdSceRSoP6AO7jLmVnh_6jbZNyZA0KiXUOCNMvZx4pJfWrYQEbk3Qek59m_1p2MSgq00_3MfR=w1200|https://lh3.googleusercontent.com/pw/AP1GczOF0-3ZSxh6CiSp_cu2kPXlS_cy--KEznOyDgtxFLYI8-rvZLmC-zgJcrav1zVr7JWMteE0bW2YRulGGGiLudBXF7CU8MwlYLSmKFYLIeqzMY9qOkxd=w1200|https://lh3.googleusercontent.com/pw/AP1GczP58mIRtkCrU3Pezy6vx-xIrKpTw0OmncLNwUjopHgr2TijCif6l8tq-97DNNlGFIK-rKQs8umYl6khwm3bSppT6hjCTGn_Z8yBg9Ah6mn5UgaaToRd=w1200|https://lh3.googleusercontent.com/pw/AP1GczPnAsqZ255xl4WtGPWjycY7TCvAvOaWJ3ZoJDEU8x1StcRvXbRgo3VPsnqn_XRxDu-AmLai2nAyF5j6k-bCJKJqd4eWi2EmElNErbcyocAPCkBHrhov=w1200|https://lh3.googleusercontent.com/pw/AP1GczO5rnO2sT1_inU6pPLDEKHhj1fI854tPXMsw1cyPkzEV-SFLV55MbutlTQ3rCe4rh2K0B88hE5zVWwxhmu88LHXazCOtgltJWNOyHzxxUaNSVXinwcz=w1200|https://lh3.googleusercontent.com/pw/AP1GczNXFUn4i55osm0ixLD-E4jHxGcP3oHiZ9BS5Vg20rxGZQkCefUXgK1gGMe5xtDERFQ0pgdMMKJX8XfjUZkaWP1JVTEAexCxK7nD29um0woSBGJZLnYG=w1200|https://lh3.googleusercontent.com/pw/AP1GczM8-V-BBOJuJZ_LURQhW01ruy1OckHDz-25nTiHBNvBueuLrZQRqhXTmjWhRh9LTlHd_k82PUYt1cJwmUqGpsSphlbamBf77sEAMgX0J97X6xHg58dY=w1200|https://lh3.googleusercontent.com/pw/AP1GczO7-k9Nmz7rNDedw2TKkOY9_KzCGph8bar8QDSOHwrD6LmiviuSeuJz4iIox69LfVAROeaKlQW9Omm_amS1M4nWLaRXSO34areaZDl2wpnYs-xsEGLN=w1200|https://lh3.googleusercontent.com/pw/AP1GczP95l1Ab1SYrVpPxm-_lKBZ_Bw6qYuPpE1R8uMUu4ysB3B0Lg-tRDf_gZgZfLUYZcfmXC5ajKEYTSDlUUhuyeA1ElX3VvPbPYULuvOYJovqnDv-ARDv=w1200|https://lh3.googleusercontent.com/pw/AP1GczPDcytDyIDZ23vHenEBvGUQlFSY-4F3WENmBR2sZBZ0TOoQiMGGSwm2Rd8USSKpTftAVGo1A8FfeDhEZLFfZTfpi5pTLXoelq64BDkOyfoSMRl42MQm=w1200|https://lh3.googleusercontent.com/pw/AP1GczPxxh2NUNbSV7vSx7DGrk6lbxm8UrEOqLgaSCVdVTSkJqPGYTv4avzxmAyFxLaunfGErIHIJVTVa55p6zSlhzVbQYAi_acpyCPygwR22GK2DvIxnUyg=w1200</v>
      </c>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row>
    <row r="88">
      <c r="A88" s="87" t="str">
        <f>IFERROR(__xludf.DUMMYFUNCTION("""COMPUTED_VALUE"""),"1316")</f>
        <v>1316</v>
      </c>
      <c r="B88" s="46" t="str">
        <f>IFERROR(__xludf.DUMMYFUNCTION("""COMPUTED_VALUE"""),"Apartamento en Conjunto Bosques de Tamarindo - Av. 26")</f>
        <v>Apartamento en Conjunto Bosques de Tamarindo - Av. 26</v>
      </c>
      <c r="C88" s="46" t="str">
        <f>IFERROR(__xludf.DUMMYFUNCTION("""COMPUTED_VALUE"""),"Apartamento en conjunto")</f>
        <v>Apartamento en conjunto</v>
      </c>
      <c r="D88" s="46" t="str">
        <f>IFERROR(__xludf.DUMMYFUNCTION("""COMPUTED_VALUE"""),"Granjas")</f>
        <v>Granjas</v>
      </c>
      <c r="E88" s="90" t="str">
        <f>IFERROR(__xludf.DUMMYFUNCTION("""COMPUTED_VALUE"""),"Bosques de Tamarindo")</f>
        <v>Bosques de Tamarindo</v>
      </c>
      <c r="F88" s="90">
        <f>IFERROR(__xludf.DUMMYFUNCTION("""COMPUTED_VALUE"""),3.0E8)</f>
        <v>300000000</v>
      </c>
      <c r="G88" s="46" t="str">
        <f>IFERROR(__xludf.DUMMYFUNCTION("""COMPUTED_VALUE"""),"$300'000.000 a $400'000.000")</f>
        <v>$300'000.000 a $400'000.000</v>
      </c>
      <c r="H88" s="46"/>
      <c r="I88" s="46"/>
      <c r="J88" s="46" t="str">
        <f>IFERROR(__xludf.DUMMYFUNCTION("""COMPUTED_VALUE"""),"Norte")</f>
        <v>Norte</v>
      </c>
      <c r="K88" s="87" t="str">
        <f>IFERROR(__xludf.DUMMYFUNCTION("""COMPUTED_VALUE"""),"2")</f>
        <v>2</v>
      </c>
      <c r="L88" s="46">
        <f>IFERROR(__xludf.DUMMYFUNCTION("""COMPUTED_VALUE"""),5.0)</f>
        <v>5</v>
      </c>
      <c r="M88" s="46"/>
      <c r="N88" s="46">
        <f>IFERROR(__xludf.DUMMYFUNCTION("""COMPUTED_VALUE"""),3.0)</f>
        <v>3</v>
      </c>
      <c r="O88" s="46">
        <f>IFERROR(__xludf.DUMMYFUNCTION("""COMPUTED_VALUE"""),1.0)</f>
        <v>1</v>
      </c>
      <c r="P88" s="46">
        <f>IFERROR(__xludf.DUMMYFUNCTION("""COMPUTED_VALUE"""),5.0)</f>
        <v>5</v>
      </c>
      <c r="Q88" s="92">
        <f>IFERROR(__xludf.DUMMYFUNCTION("""COMPUTED_VALUE"""),146.0)</f>
        <v>146</v>
      </c>
      <c r="R88" s="92">
        <f>IFERROR(__xludf.DUMMYFUNCTION("""COMPUTED_VALUE"""),146.0)</f>
        <v>146</v>
      </c>
      <c r="S88" s="87" t="str">
        <f>IFERROR(__xludf.DUMMYFUNCTION("""COMPUTED_VALUE""")," ")</f>
        <v> </v>
      </c>
      <c r="T88" s="46" t="str">
        <f>IFERROR(__xludf.DUMMYFUNCTION("""COMPUTED_VALUE"""),"Neiva")</f>
        <v>Neiva</v>
      </c>
      <c r="U88" s="87" t="str">
        <f>IFERROR(__xludf.DUMMYFUNCTION("""COMPUTED_VALUE"""),"3")</f>
        <v>3</v>
      </c>
      <c r="V88" s="46" t="str">
        <f>IFERROR(__xludf.DUMMYFUNCTION("""COMPUTED_VALUE"""),"5to.")</f>
        <v>5to.</v>
      </c>
      <c r="W88" s="46"/>
      <c r="X88" s="46">
        <f>IFERROR(__xludf.DUMMYFUNCTION("""COMPUTED_VALUE"""),2.0)</f>
        <v>2</v>
      </c>
      <c r="Y88" s="46" t="str">
        <f>IFERROR(__xludf.DUMMYFUNCTION("""COMPUTED_VALUE"""),"Social")</f>
        <v>Social</v>
      </c>
      <c r="Z88" s="90">
        <f>IFERROR(__xludf.DUMMYFUNCTION("""COMPUTED_VALUE"""),230000.0)</f>
        <v>230000</v>
      </c>
      <c r="AA88" s="33"/>
      <c r="AB88" s="96" t="str">
        <f>IFERROR(__xludf.DUMMYFUNCTION("""COMPUTED_VALUE"""),"https://photos.app.goo.gl/AeurqTdLb1BQABaNA")</f>
        <v>https://photos.app.goo.gl/AeurqTdLb1BQABaNA</v>
      </c>
      <c r="AC88" s="46" t="str">
        <f>IFERROR(__xludf.DUMMYFUNCTION("""COMPUTED_VALUE"""),"Se vende apto Conjunto Residencial Bosques de Tamarindo con un área de 146 m2, consta de Primer Nivel: Sala-Comedor, 3 habitaciones 2 con closet de madera, 2 A.A, 2 baños, cocina integral, estudio, zona de lavandería y balcón. Segundo nivel: 2 habitacione"&amp;"s, 1 closet de madera, baño y pasillo; Parqueadero, estrato 3, con vista interna al conjunto.")</f>
        <v>Se vende apto Conjunto Residencial Bosques de Tamarindo con un área de 146 m2, consta de Primer Nivel: Sala-Comedor, 3 habitaciones 2 con closet de madera, 2 A.A, 2 baños, cocina integral, estudio, zona de lavandería y balcón. Segundo nivel: 2 habitaciones, 1 closet de madera, baño y pasillo; Parqueadero, estrato 3, con vista interna al conjunto.</v>
      </c>
      <c r="AD88" s="46"/>
      <c r="AE88" s="46"/>
      <c r="AF88" s="46" t="str">
        <f>IFERROR(__xludf.DUMMYFUNCTION("""COMPUTED_VALUE"""),"integral")</f>
        <v>integral</v>
      </c>
      <c r="AG88" s="46"/>
      <c r="AH88" s="46" t="str">
        <f>IFERROR(__xludf.DUMMYFUNCTION("""COMPUTED_VALUE"""),"Aliado")</f>
        <v>Aliado</v>
      </c>
      <c r="AI88" s="92" t="str">
        <f>IFERROR(__xludf.DUMMYFUNCTION("""COMPUTED_VALUE"""),"https://lh3.googleusercontent.com/pw/AP1GczO2JeialwCVOe11oF4zYmgvAz0NoZPXteJ0-Kz7k7Mop7l507m_phFdoUDynJc5uUPh-i1FAZzPIK3NMRjb9-hShRm1g2PqEmhEPNJtF_y4Y0Yx-rmg=w1200|https://lh3.googleusercontent.com/pw/AP1GczOFJl9Rta9gOTWBMcu_Meby-4lEwUOu4qchnJQVJf2Olct-iJ"&amp;"L1q_Kw9Jb45l8ViDoSqoKTZOxkflN7MWMk5gUAGSJr3RDqiLxjwqODnj8iF2f-a4rp=w1200|https://lh3.googleusercontent.com/pw/AP1GczMrIVjxweJUZClRHG_BpFD4nfKLfgr4KIzU18aFQMlkra9KbnfnpMu-9NFDZNrheadaTRuIMJwooLJ34fCxfJ6PpoJP_lpaj64zTJMHTlaJllIK61KB=w1200|https://lh3.google"&amp;"usercontent.com/pw/AP1GczNm-Zy9NgIvgfBeWVtXdNla6Wa8L9Fxkay_JvskpbHQa26Ia6Sihc6JK2fW1p6dUwmMQEZt9ApPjQQbZYIjmc8_vinQkiR-nkVXHuwFr0yUEH9r_N7o=w1200|https://lh3.googleusercontent.com/pw/AP1GczMDwNL9X-alQ6-Eh4IJerBYG8TpPCcXgZMqioFekD2YmdnLt4U8XiGdS5H2roe169GS"&amp;"QJwG33OicKStRlKfuWhD5Ip7VmFvWsPsy_Xixv-YoNgXTuOA=w1200|https://lh3.googleusercontent.com/pw/AP1GczMXX_SS_2BGGfchiUIl-D6v2rE_dHC44jTydUPczeCT4WIpfoBNzvGeFDfacvA350xSS1oy-7JqIibEig0NSwBx7cWZg60rhmLT01ObZKAa8TKfTeOC=w1200|https://lh3.googleusercontent.com/pw"&amp;"/AP1GczPZpHZsLp_WB00j3NIAKhcJIDhwtv-7Rs2Po4KpUbrCt3ZuWpFzhq5vFX6RTg55-b1s1dIH123Wg9ZfgzvVGIo1JV1LhMpeA50gSu4xeXAsKKwqdUJc=w1200|https://lh3.googleusercontent.com/pw/AP1GczNKaHo11h4Qh3qNKYhFK2TnSllnnEgswWsi-NofSM5f10_LrIMCoe1whi_uG0MCbKEIQqqUBgKKD5rsBtZHUb"&amp;"nBlAB6TNnEw9xJuLqCi3iZB3EfIwQs=w1200|https://lh3.googleusercontent.com/pw/AP1GczPkjJ1bkRnC5XpKeLXuL4lZSPGv973PQqFG0Lz5LSJq0u0pSU-Y_BfBSlAqlWy_A9RrTKVZbiqreVe80BOncJtrvCzqrt4dJj_SZuG1wKit-QtA5KO_=w1200|https://lh3.googleusercontent.com/pw/AP1GczMthPKIYqHXy"&amp;"b0s0F8dlcuE1ssjhHTvhYlpyVgGIHQt6s0vuDwB5lnOnBJ6gzmM4Ah5AV8F9odYXRgBAJ9eQiRx31-u8Oo201ZIRLUXwn0LbOZMNXKp=w1200|https://lh3.googleusercontent.com/pw/AP1GczOux48uwD2cAR6y1VHV8QvtxTll03SPGcGngpzXAkWsdCIYzCiiByApWMG1W3vtO0Ge0JuPSRwISHP2IiqDkVXyJUw4bCQFjBrXoAho"&amp;"D6hCdBloickM=w1200|https://lh3.googleusercontent.com/pw/AP1GczPLM5FI167Isuss3daW1Hs2o8rysZXDCp4OEWOq8ySUlvdXD4by7RvlmmfOMYmfujGw-OrAHvcD8SjvdLg5THx6h0eqBR23aQi53uhmdaUJuiHfKocP=w1200|https://lh3.googleusercontent.com/pw/AP1GczMNEtPGwTTybb0_7z3VshWZsKCQ8a1"&amp;"LEl6hKxIBrjuZBoc3cdHc9rARmPr0WsN5z9z52N3J6g3ohfstwzNxFGDWC8dwIqHQMTUcOQc4fVCoVT1ipr2C=w1200|https://lh3.googleusercontent.com/pw/AP1GczPJUL5awqb8WGnW2Qdf83wKGsVBciQ7BqWkqEk48IoUIZfqtWzvctnVvumqdgZ3DTJ6EKZWifzqfC4NuXjeEE8k1_5bcPdnL_0LsPbLgwRdas61fHT3=w1200"&amp;"|https://lh3.googleusercontent.com/pw/AP1GczPTmQSm1zmVwj-UmyZUp4VF3XW5SQeg6LuNCKltDsNaWdPKATucw7xpSmCDiGQ8zr9ywhSLg0j2B8topRjtEAc5TYzkAFML3ByF3ozS1-XLZstc0mI_=w1200|https://lh3.googleusercontent.com/pw/AP1GczNEJ5ICJQPCpobOszkpJ2y7VSqqF2Gf-WMKX-yfT3KWexfnW"&amp;"a0wCj_MhmWNAezzIPZ6yYKoXCfC2vFKIPY-8zIpCCCYWjBTOKvhF7w0vG5ITj7G4n8X=w1200|https://lh3.googleusercontent.com/pw/AP1GczMLRRTWQOjyWzok7XDbGVi4e_IWD1PVwAV-3TNif4bqr2YWgjyuRuM_k_odk6Pd3syRnuWhp_b5MabZNU91Hr3HaVnZzUQfeRMPUuNsuYsxmQDWuptn=w1200|https://lh3.googl"&amp;"eusercontent.com/pw/AP1GczPu38f-gcDz4dXlUxbwDbdz13rg2wZwVHmNUPpOGIZb0A6Bhdi9iI0-95CtvwIYAukyfEG1OkyjCtyuSqLCAZGCyiOSbr5fifEJCKhuhHkuFCQQnDp7=w1200|https://lh3.googleusercontent.com/pw/AP1GczPlUtKnzxypsBUbiljNApIVrkJmMthhEi7tcltlJjzlOiCtz961SiryOpeRYk3R29u"&amp;"NArkGPvyMCB-aZ8EINeQ0Fdjomhsr0rzkjilh08HVIHuRXxQy=w1200|https://lh3.googleusercontent.com/pw/AP1GczP_u6g8D2IByKizQW5Yx-7WgfcqvpYnZhemdzESySnZM747gRsD_hUn-OhhoK0W_3OsmYmNn2kS4kcxvSDRDGSi2MrAIvI7LYr1yTUWyeatVL9WkO9U=w1200")</f>
        <v>https://lh3.googleusercontent.com/pw/AP1GczO2JeialwCVOe11oF4zYmgvAz0NoZPXteJ0-Kz7k7Mop7l507m_phFdoUDynJc5uUPh-i1FAZzPIK3NMRjb9-hShRm1g2PqEmhEPNJtF_y4Y0Yx-rmg=w1200|https://lh3.googleusercontent.com/pw/AP1GczOFJl9Rta9gOTWBMcu_Meby-4lEwUOu4qchnJQVJf2Olct-iJL1q_Kw9Jb45l8ViDoSqoKTZOxkflN7MWMk5gUAGSJr3RDqiLxjwqODnj8iF2f-a4rp=w1200|https://lh3.googleusercontent.com/pw/AP1GczMrIVjxweJUZClRHG_BpFD4nfKLfgr4KIzU18aFQMlkra9KbnfnpMu-9NFDZNrheadaTRuIMJwooLJ34fCxfJ6PpoJP_lpaj64zTJMHTlaJllIK61KB=w1200|https://lh3.googleusercontent.com/pw/AP1GczNm-Zy9NgIvgfBeWVtXdNla6Wa8L9Fxkay_JvskpbHQa26Ia6Sihc6JK2fW1p6dUwmMQEZt9ApPjQQbZYIjmc8_vinQkiR-nkVXHuwFr0yUEH9r_N7o=w1200|https://lh3.googleusercontent.com/pw/AP1GczMDwNL9X-alQ6-Eh4IJerBYG8TpPCcXgZMqioFekD2YmdnLt4U8XiGdS5H2roe169GSQJwG33OicKStRlKfuWhD5Ip7VmFvWsPsy_Xixv-YoNgXTuOA=w1200|https://lh3.googleusercontent.com/pw/AP1GczMXX_SS_2BGGfchiUIl-D6v2rE_dHC44jTydUPczeCT4WIpfoBNzvGeFDfacvA350xSS1oy-7JqIibEig0NSwBx7cWZg60rhmLT01ObZKAa8TKfTeOC=w1200|https://lh3.googleusercontent.com/pw/AP1GczPZpHZsLp_WB00j3NIAKhcJIDhwtv-7Rs2Po4KpUbrCt3ZuWpFzhq5vFX6RTg55-b1s1dIH123Wg9ZfgzvVGIo1JV1LhMpeA50gSu4xeXAsKKwqdUJc=w1200|https://lh3.googleusercontent.com/pw/AP1GczNKaHo11h4Qh3qNKYhFK2TnSllnnEgswWsi-NofSM5f10_LrIMCoe1whi_uG0MCbKEIQqqUBgKKD5rsBtZHUbnBlAB6TNnEw9xJuLqCi3iZB3EfIwQs=w1200|https://lh3.googleusercontent.com/pw/AP1GczPkjJ1bkRnC5XpKeLXuL4lZSPGv973PQqFG0Lz5LSJq0u0pSU-Y_BfBSlAqlWy_A9RrTKVZbiqreVe80BOncJtrvCzqrt4dJj_SZuG1wKit-QtA5KO_=w1200|https://lh3.googleusercontent.com/pw/AP1GczMthPKIYqHXyb0s0F8dlcuE1ssjhHTvhYlpyVgGIHQt6s0vuDwB5lnOnBJ6gzmM4Ah5AV8F9odYXRgBAJ9eQiRx31-u8Oo201ZIRLUXwn0LbOZMNXKp=w1200|https://lh3.googleusercontent.com/pw/AP1GczOux48uwD2cAR6y1VHV8QvtxTll03SPGcGngpzXAkWsdCIYzCiiByApWMG1W3vtO0Ge0JuPSRwISHP2IiqDkVXyJUw4bCQFjBrXoAhoD6hCdBloickM=w1200|https://lh3.googleusercontent.com/pw/AP1GczPLM5FI167Isuss3daW1Hs2o8rysZXDCp4OEWOq8ySUlvdXD4by7RvlmmfOMYmfujGw-OrAHvcD8SjvdLg5THx6h0eqBR23aQi53uhmdaUJuiHfKocP=w1200|https://lh3.googleusercontent.com/pw/AP1GczMNEtPGwTTybb0_7z3VshWZsKCQ8a1LEl6hKxIBrjuZBoc3cdHc9rARmPr0WsN5z9z52N3J6g3ohfstwzNxFGDWC8dwIqHQMTUcOQc4fVCoVT1ipr2C=w1200|https://lh3.googleusercontent.com/pw/AP1GczPJUL5awqb8WGnW2Qdf83wKGsVBciQ7BqWkqEk48IoUIZfqtWzvctnVvumqdgZ3DTJ6EKZWifzqfC4NuXjeEE8k1_5bcPdnL_0LsPbLgwRdas61fHT3=w1200|https://lh3.googleusercontent.com/pw/AP1GczPTmQSm1zmVwj-UmyZUp4VF3XW5SQeg6LuNCKltDsNaWdPKATucw7xpSmCDiGQ8zr9ywhSLg0j2B8topRjtEAc5TYzkAFML3ByF3ozS1-XLZstc0mI_=w1200|https://lh3.googleusercontent.com/pw/AP1GczNEJ5ICJQPCpobOszkpJ2y7VSqqF2Gf-WMKX-yfT3KWexfnWa0wCj_MhmWNAezzIPZ6yYKoXCfC2vFKIPY-8zIpCCCYWjBTOKvhF7w0vG5ITj7G4n8X=w1200|https://lh3.googleusercontent.com/pw/AP1GczMLRRTWQOjyWzok7XDbGVi4e_IWD1PVwAV-3TNif4bqr2YWgjyuRuM_k_odk6Pd3syRnuWhp_b5MabZNU91Hr3HaVnZzUQfeRMPUuNsuYsxmQDWuptn=w1200|https://lh3.googleusercontent.com/pw/AP1GczPu38f-gcDz4dXlUxbwDbdz13rg2wZwVHmNUPpOGIZb0A6Bhdi9iI0-95CtvwIYAukyfEG1OkyjCtyuSqLCAZGCyiOSbr5fifEJCKhuhHkuFCQQnDp7=w1200|https://lh3.googleusercontent.com/pw/AP1GczPlUtKnzxypsBUbiljNApIVrkJmMthhEi7tcltlJjzlOiCtz961SiryOpeRYk3R29uNArkGPvyMCB-aZ8EINeQ0Fdjomhsr0rzkjilh08HVIHuRXxQy=w1200|https://lh3.googleusercontent.com/pw/AP1GczP_u6g8D2IByKizQW5Yx-7WgfcqvpYnZhemdzESySnZM747gRsD_hUn-OhhoK0W_3OsmYmNn2kS4kcxvSDRDGSi2MrAIvI7LYr1yTUWyeatVL9WkO9U=w1200</v>
      </c>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row>
    <row r="89">
      <c r="A89" s="87" t="str">
        <f>IFERROR(__xludf.DUMMYFUNCTION("""COMPUTED_VALUE"""),"1206")</f>
        <v>1206</v>
      </c>
      <c r="B89" s="46" t="str">
        <f>IFERROR(__xludf.DUMMYFUNCTION("""COMPUTED_VALUE"""),"Casa en barrio Riviera Norte")</f>
        <v>Casa en barrio Riviera Norte</v>
      </c>
      <c r="C89" s="46" t="str">
        <f>IFERROR(__xludf.DUMMYFUNCTION("""COMPUTED_VALUE"""),"Casa")</f>
        <v>Casa</v>
      </c>
      <c r="D89" s="46" t="str">
        <f>IFERROR(__xludf.DUMMYFUNCTION("""COMPUTED_VALUE"""),"Riviera Norte")</f>
        <v>Riviera Norte</v>
      </c>
      <c r="E89" s="46"/>
      <c r="F89" s="90">
        <f>IFERROR(__xludf.DUMMYFUNCTION("""COMPUTED_VALUE"""),3.0E8)</f>
        <v>300000000</v>
      </c>
      <c r="G89" s="46" t="str">
        <f>IFERROR(__xludf.DUMMYFUNCTION("""COMPUTED_VALUE"""),"$300'000.000 a $400'000.000")</f>
        <v>$300'000.000 a $400'000.000</v>
      </c>
      <c r="H89" s="46"/>
      <c r="I89" s="46"/>
      <c r="J89" s="46" t="str">
        <f>IFERROR(__xludf.DUMMYFUNCTION("""COMPUTED_VALUE"""),"Norte")</f>
        <v>Norte</v>
      </c>
      <c r="K89" s="87" t="str">
        <f>IFERROR(__xludf.DUMMYFUNCTION("""COMPUTED_VALUE"""),"9")</f>
        <v>9</v>
      </c>
      <c r="L89" s="46">
        <f>IFERROR(__xludf.DUMMYFUNCTION("""COMPUTED_VALUE"""),6.0)</f>
        <v>6</v>
      </c>
      <c r="M89" s="46"/>
      <c r="N89" s="46">
        <f>IFERROR(__xludf.DUMMYFUNCTION("""COMPUTED_VALUE"""),2.0)</f>
        <v>2</v>
      </c>
      <c r="O89" s="46">
        <f>IFERROR(__xludf.DUMMYFUNCTION("""COMPUTED_VALUE"""),1.0)</f>
        <v>1</v>
      </c>
      <c r="P89" s="46">
        <f>IFERROR(__xludf.DUMMYFUNCTION("""COMPUTED_VALUE"""),2.0)</f>
        <v>2</v>
      </c>
      <c r="Q89" s="92">
        <f>IFERROR(__xludf.DUMMYFUNCTION("""COMPUTED_VALUE"""),112.0)</f>
        <v>112</v>
      </c>
      <c r="R89" s="92">
        <f>IFERROR(__xludf.DUMMYFUNCTION("""COMPUTED_VALUE"""),0.0)</f>
        <v>0</v>
      </c>
      <c r="S89" s="87" t="str">
        <f>IFERROR(__xludf.DUMMYFUNCTION("""COMPUTED_VALUE""")," ")</f>
        <v> </v>
      </c>
      <c r="T89" s="46" t="str">
        <f>IFERROR(__xludf.DUMMYFUNCTION("""COMPUTED_VALUE"""),"Neiva")</f>
        <v>Neiva</v>
      </c>
      <c r="U89" s="87" t="str">
        <f>IFERROR(__xludf.DUMMYFUNCTION("""COMPUTED_VALUE"""),"2")</f>
        <v>2</v>
      </c>
      <c r="V89" s="46" t="str">
        <f>IFERROR(__xludf.DUMMYFUNCTION("""COMPUTED_VALUE"""),"Medianera")</f>
        <v>Medianera</v>
      </c>
      <c r="W89" s="46"/>
      <c r="X89" s="46">
        <f>IFERROR(__xludf.DUMMYFUNCTION("""COMPUTED_VALUE"""),2.0)</f>
        <v>2</v>
      </c>
      <c r="Y89" s="46" t="str">
        <f>IFERROR(__xludf.DUMMYFUNCTION("""COMPUTED_VALUE"""),"No tiene")</f>
        <v>No tiene</v>
      </c>
      <c r="Z89" s="90" t="str">
        <f>IFERROR(__xludf.DUMMYFUNCTION("""COMPUTED_VALUE"""),"No aplica")</f>
        <v>No aplica</v>
      </c>
      <c r="AA89" s="33" t="str">
        <f>IFERROR(__xludf.DUMMYFUNCTION("""COMPUTED_VALUE"""),"No aplica")</f>
        <v>No aplica</v>
      </c>
      <c r="AB89" s="144" t="str">
        <f>IFERROR(__xludf.DUMMYFUNCTION("""COMPUTED_VALUE"""),"https://photos.app.goo.gl/N6A5PzNrqHxyQfPs8")</f>
        <v>https://photos.app.goo.gl/N6A5PzNrqHxyQfPs8</v>
      </c>
      <c r="AC89" s="46" t="str">
        <f>IFERROR(__xludf.DUMMYFUNCTION("""COMPUTED_VALUE"""),"Casa de 2 piso Barrio Riviera Norte estrato 2, con un área de 112.0 M2 consta de primer piso: garaje interno, sala comedor, cocina normal, patio, baño social, ducha independiente, 3 habitaciones, pisos en cerámica. Segundo Piso: sala de T.V, 3 habitacione"&amp;"s, 1 baño, piso en obra gris, techo en eternit.")</f>
        <v>Casa de 2 piso Barrio Riviera Norte estrato 2, con un área de 112.0 M2 consta de primer piso: garaje interno, sala comedor, cocina normal, patio, baño social, ducha independiente, 3 habitaciones, pisos en cerámica. Segundo Piso: sala de T.V, 3 habitaciones, 1 baño, piso en obra gris, techo en eternit.</v>
      </c>
      <c r="AD89" s="46" t="str">
        <f>IFERROR(__xludf.DUMMYFUNCTION("""COMPUTED_VALUE"""),"Casa bien ubicada y con buenos acabados.")</f>
        <v>Casa bien ubicada y con buenos acabados.</v>
      </c>
      <c r="AE89" s="46"/>
      <c r="AF89" s="46" t="str">
        <f>IFERROR(__xludf.DUMMYFUNCTION("""COMPUTED_VALUE"""),"básica")</f>
        <v>básica</v>
      </c>
      <c r="AG89" s="46"/>
      <c r="AH89" s="46" t="str">
        <f>IFERROR(__xludf.DUMMYFUNCTION("""COMPUTED_VALUE"""),"Aliado")</f>
        <v>Aliado</v>
      </c>
      <c r="AI89" s="92" t="str">
        <f>IFERROR(__xludf.DUMMYFUNCTION("""COMPUTED_VALUE"""),"https://lh3.googleusercontent.com/pw/AP1GczN7Ji0t-0czDu-muLoqxdzFGh9PocJKeLxJKpLa00zovQa5JJcWH35bQuD0hKWi3W1OMP_ke36pdFcXWlktnIFl77rZzkSbNPF8SGFCPtHBM8krTJ2P=w1200|https://lh3.googleusercontent.com/pw/AP1GczNDUoAS1ltPqZTkCwEt7b--4l0DSFhettL7pUCIsYovE8mPnt"&amp;"4dmUUYjdNv51SVs2KpWctpPsG3FKNNKI_Ppjn7vbzHl76fToEOpWRqWnnJglokuhcy=w1200|https://lh3.googleusercontent.com/pw/AP1GczONOnsHAPvmoZxIYv7gsrtl4yItmlN3E9nodbfP_Szp5Z2Zpsl7S6pJnfr5jbqv-kLK5Kcbv22PvpC3_eSikxhPFGfMZcABCIc-cijwVv-xMi0XlJ_4=w1200|https://lh3.google"&amp;"usercontent.com/pw/AP1GczPCAFYGf7Mgy-HeQmA4KwAcOzRPpV9OUX71hnY9SrZPIFhm5mx6thpv7pxgK8pbi_xkfHzpcv-7o3RUz-tsl4Lh2vIif2bRXOf2NQ2JX9Szm7NjHuEg=w1200|https://lh3.googleusercontent.com/pw/AP1GczP7aZ3Xy6xKr4CTXIUNSzECKqtK2-gwkcLlYBJuPL1U867lBsd8uGAVydkFb6qSi_dG"&amp;"oRWraymwNdvhq492boJHQ4cqLV4zkQbZHI6R7MTaN-bUETRq=w1200|https://lh3.googleusercontent.com/pw/AP1GczM3sH51lOjI8zuJ1HwSm62WpLpfOwF59zEDAgc9Y8_89WOHU9GT0cShgpJgsfhpPbZZFd7Njw-BDThJFDW3V6PTwC8b3J14hctUN3-000tOoV2abxnR=w1200|https://lh3.googleusercontent.com/pw"&amp;"/AP1GczPSumjfD4S89UW8UrRManyB969PpDWeq0pMJ5EY3D29jSsxfdqDBscprrSuAReLtN34J28h88_q8dxLZ0-wVX-SWyfHYE8aW_CxJpX6y0F91KmLj7SO=w1200|https://lh3.googleusercontent.com/pw/AP1GczP1XfoNfXcRnm2zz9UtX4UXKRxTWxC8xbZXGE2xuvXmxtVYDuEB9ENrgUwEBrO62geGBWiVN9zhTfK8gJ05ob"&amp;"yt9Ay3hNlIq4Zb3pGYzcGCHPyvgkUQ=w1200|https://lh3.googleusercontent.com/pw/AP1GczOfusr3BMAyly4UppKvZJkcSAjKHnZKk2umNQm6ZPXuj0gxj7aRGtJNndKMg6F8ALmejr3m8mnUFrhRYborfxEZ-e2EmQykYUMGWY-orlqjMwu0yeCj=w1200|https://lh3.googleusercontent.com/pw/AP1GczO0iO9Yq8PRK"&amp;"HP3og3MarquMlYHSBHyCnTH950_WpyhsWPMQP4hs2e1KtLZ_2Mq7I7j-SN_rA65wPJNyOw6MN6ojH_LqZ3tKLnOzeZsjt0O6zrfu2H1=w1200|https://lh3.googleusercontent.com/pw/AP1GczPv9vBis-UsVLr2N2L3cS2h1ydZeCosaxVhdj5eePlexbq0hpFof6UFAFpkr11En9INE4FNkB_ongC9f0VM9jvyC-sHH469NW3N8jFc"&amp;"TzekyieDzTbY=w1200|https://lh3.googleusercontent.com/pw/AP1GczOWhuOwxM8ji2GlQqZ1skK5clckggMjjngsG1OB6VEoiXfDPDy4Bkvg1Na7TB-t02AeQDiT8cufTSkhtLj_0phsgEZ7Vz_z12VJiK4QbltfNo8d1utd=w1200|https://lh3.googleusercontent.com/pw/AP1GczNskIh5BX8TKYmTYq3hd_cCnKRNhiP"&amp;"tdQRACXff0vrADHStVWf5bb8Vi6XozzOhQ5u_GKdH3J2OpdSIt4LQqBXoHrLqGXOlF6xi__n_-DepWlPi1Y7m=w1200|https://lh3.googleusercontent.com/pw/AP1GczPTWm6GIebs33t5gS0hT02A0V-G3R2HqDH2EHLf0G9H1bqeRve8iWrD3nBGRofuAitC1X9YWtzcL3ELYOc7Wvmh8rDNSLup9RgfwQjqDUHm_z7_p_cy=w1200"&amp;"|https://lh3.googleusercontent.com/pw/AP1GczOnkdGpII-ghBjr6IYpr4P24l93ydP6wA39NPhOs_YlRNhlDBL66RrI8FCzfvk53mUJ_3FlS_DB1t2HSJC2K2xFrZCLwQotLxMZGiSfH6ZzEqMKb5Qq=w1200|https://lh3.googleusercontent.com/pw/AP1GczMHfrLxyPnvOdHr7kc91jLsmLXTw40BPa0WAeo2mynMWfnjy"&amp;"9SLUV-ezqGNDCT6G9FMBhd6eFe_kpwgI5031272BZI0MBOogyFC8O5Mm5TiJdU9WuVc=w1200")</f>
        <v>https://lh3.googleusercontent.com/pw/AP1GczN7Ji0t-0czDu-muLoqxdzFGh9PocJKeLxJKpLa00zovQa5JJcWH35bQuD0hKWi3W1OMP_ke36pdFcXWlktnIFl77rZzkSbNPF8SGFCPtHBM8krTJ2P=w1200|https://lh3.googleusercontent.com/pw/AP1GczNDUoAS1ltPqZTkCwEt7b--4l0DSFhettL7pUCIsYovE8mPnt4dmUUYjdNv51SVs2KpWctpPsG3FKNNKI_Ppjn7vbzHl76fToEOpWRqWnnJglokuhcy=w1200|https://lh3.googleusercontent.com/pw/AP1GczONOnsHAPvmoZxIYv7gsrtl4yItmlN3E9nodbfP_Szp5Z2Zpsl7S6pJnfr5jbqv-kLK5Kcbv22PvpC3_eSikxhPFGfMZcABCIc-cijwVv-xMi0XlJ_4=w1200|https://lh3.googleusercontent.com/pw/AP1GczPCAFYGf7Mgy-HeQmA4KwAcOzRPpV9OUX71hnY9SrZPIFhm5mx6thpv7pxgK8pbi_xkfHzpcv-7o3RUz-tsl4Lh2vIif2bRXOf2NQ2JX9Szm7NjHuEg=w1200|https://lh3.googleusercontent.com/pw/AP1GczP7aZ3Xy6xKr4CTXIUNSzECKqtK2-gwkcLlYBJuPL1U867lBsd8uGAVydkFb6qSi_dGoRWraymwNdvhq492boJHQ4cqLV4zkQbZHI6R7MTaN-bUETRq=w1200|https://lh3.googleusercontent.com/pw/AP1GczM3sH51lOjI8zuJ1HwSm62WpLpfOwF59zEDAgc9Y8_89WOHU9GT0cShgpJgsfhpPbZZFd7Njw-BDThJFDW3V6PTwC8b3J14hctUN3-000tOoV2abxnR=w1200|https://lh3.googleusercontent.com/pw/AP1GczPSumjfD4S89UW8UrRManyB969PpDWeq0pMJ5EY3D29jSsxfdqDBscprrSuAReLtN34J28h88_q8dxLZ0-wVX-SWyfHYE8aW_CxJpX6y0F91KmLj7SO=w1200|https://lh3.googleusercontent.com/pw/AP1GczP1XfoNfXcRnm2zz9UtX4UXKRxTWxC8xbZXGE2xuvXmxtVYDuEB9ENrgUwEBrO62geGBWiVN9zhTfK8gJ05obyt9Ay3hNlIq4Zb3pGYzcGCHPyvgkUQ=w1200|https://lh3.googleusercontent.com/pw/AP1GczOfusr3BMAyly4UppKvZJkcSAjKHnZKk2umNQm6ZPXuj0gxj7aRGtJNndKMg6F8ALmejr3m8mnUFrhRYborfxEZ-e2EmQykYUMGWY-orlqjMwu0yeCj=w1200|https://lh3.googleusercontent.com/pw/AP1GczO0iO9Yq8PRKHP3og3MarquMlYHSBHyCnTH950_WpyhsWPMQP4hs2e1KtLZ_2Mq7I7j-SN_rA65wPJNyOw6MN6ojH_LqZ3tKLnOzeZsjt0O6zrfu2H1=w1200|https://lh3.googleusercontent.com/pw/AP1GczPv9vBis-UsVLr2N2L3cS2h1ydZeCosaxVhdj5eePlexbq0hpFof6UFAFpkr11En9INE4FNkB_ongC9f0VM9jvyC-sHH469NW3N8jFcTzekyieDzTbY=w1200|https://lh3.googleusercontent.com/pw/AP1GczOWhuOwxM8ji2GlQqZ1skK5clckggMjjngsG1OB6VEoiXfDPDy4Bkvg1Na7TB-t02AeQDiT8cufTSkhtLj_0phsgEZ7Vz_z12VJiK4QbltfNo8d1utd=w1200|https://lh3.googleusercontent.com/pw/AP1GczNskIh5BX8TKYmTYq3hd_cCnKRNhiPtdQRACXff0vrADHStVWf5bb8Vi6XozzOhQ5u_GKdH3J2OpdSIt4LQqBXoHrLqGXOlF6xi__n_-DepWlPi1Y7m=w1200|https://lh3.googleusercontent.com/pw/AP1GczPTWm6GIebs33t5gS0hT02A0V-G3R2HqDH2EHLf0G9H1bqeRve8iWrD3nBGRofuAitC1X9YWtzcL3ELYOc7Wvmh8rDNSLup9RgfwQjqDUHm_z7_p_cy=w1200|https://lh3.googleusercontent.com/pw/AP1GczOnkdGpII-ghBjr6IYpr4P24l93ydP6wA39NPhOs_YlRNhlDBL66RrI8FCzfvk53mUJ_3FlS_DB1t2HSJC2K2xFrZCLwQotLxMZGiSfH6ZzEqMKb5Qq=w1200|https://lh3.googleusercontent.com/pw/AP1GczMHfrLxyPnvOdHr7kc91jLsmLXTw40BPa0WAeo2mynMWfnjy9SLUV-ezqGNDCT6G9FMBhd6eFe_kpwgI5031272BZI0MBOogyFC8O5Mm5TiJdU9WuVc=w1200</v>
      </c>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c r="BU89" s="46"/>
      <c r="BV89" s="46"/>
      <c r="BW89" s="46"/>
      <c r="BX89" s="46"/>
      <c r="BY89" s="46"/>
      <c r="BZ89" s="46"/>
      <c r="CA89" s="46"/>
      <c r="CB89" s="46"/>
      <c r="CC89" s="46"/>
    </row>
    <row r="90">
      <c r="A90" s="87" t="str">
        <f>IFERROR(__xludf.DUMMYFUNCTION("""COMPUTED_VALUE"""),"1140")</f>
        <v>1140</v>
      </c>
      <c r="B90" s="46" t="str">
        <f>IFERROR(__xludf.DUMMYFUNCTION("""COMPUTED_VALUE"""),"Casa en barrio Los Martires - Centro")</f>
        <v>Casa en barrio Los Martires - Centro</v>
      </c>
      <c r="C90" s="46" t="str">
        <f>IFERROR(__xludf.DUMMYFUNCTION("""COMPUTED_VALUE"""),"Casa")</f>
        <v>Casa</v>
      </c>
      <c r="D90" s="46" t="str">
        <f>IFERROR(__xludf.DUMMYFUNCTION("""COMPUTED_VALUE"""),"Los Martires")</f>
        <v>Los Martires</v>
      </c>
      <c r="E90" s="46"/>
      <c r="F90" s="90">
        <f>IFERROR(__xludf.DUMMYFUNCTION("""COMPUTED_VALUE"""),3.0E8)</f>
        <v>300000000</v>
      </c>
      <c r="G90" s="46" t="str">
        <f>IFERROR(__xludf.DUMMYFUNCTION("""COMPUTED_VALUE"""),"$300'000.000 a $400'000.000")</f>
        <v>$300'000.000 a $400'000.000</v>
      </c>
      <c r="H90" s="46"/>
      <c r="I90" s="46"/>
      <c r="J90" s="46" t="str">
        <f>IFERROR(__xludf.DUMMYFUNCTION("""COMPUTED_VALUE"""),"Centro")</f>
        <v>Centro</v>
      </c>
      <c r="K90" s="87" t="str">
        <f>IFERROR(__xludf.DUMMYFUNCTION("""COMPUTED_VALUE"""),"4")</f>
        <v>4</v>
      </c>
      <c r="L90" s="46">
        <f>IFERROR(__xludf.DUMMYFUNCTION("""COMPUTED_VALUE"""),3.0)</f>
        <v>3</v>
      </c>
      <c r="M90" s="46"/>
      <c r="N90" s="46">
        <f>IFERROR(__xludf.DUMMYFUNCTION("""COMPUTED_VALUE"""),1.0)</f>
        <v>1</v>
      </c>
      <c r="O90" s="46">
        <f>IFERROR(__xludf.DUMMYFUNCTION("""COMPUTED_VALUE"""),0.0)</f>
        <v>0</v>
      </c>
      <c r="P90" s="46">
        <f>IFERROR(__xludf.DUMMYFUNCTION("""COMPUTED_VALUE"""),1.0)</f>
        <v>1</v>
      </c>
      <c r="Q90" s="92">
        <f>IFERROR(__xludf.DUMMYFUNCTION("""COMPUTED_VALUE"""),93.0)</f>
        <v>93</v>
      </c>
      <c r="R90" s="92">
        <f>IFERROR(__xludf.DUMMYFUNCTION("""COMPUTED_VALUE"""),93.0)</f>
        <v>93</v>
      </c>
      <c r="S90" s="87" t="str">
        <f>IFERROR(__xludf.DUMMYFUNCTION("""COMPUTED_VALUE""")," ")</f>
        <v> </v>
      </c>
      <c r="T90" s="46" t="str">
        <f>IFERROR(__xludf.DUMMYFUNCTION("""COMPUTED_VALUE"""),"Neiva")</f>
        <v>Neiva</v>
      </c>
      <c r="U90" s="87" t="str">
        <f>IFERROR(__xludf.DUMMYFUNCTION("""COMPUTED_VALUE"""),"2")</f>
        <v>2</v>
      </c>
      <c r="V90" s="46" t="str">
        <f>IFERROR(__xludf.DUMMYFUNCTION("""COMPUTED_VALUE"""),"Medianera")</f>
        <v>Medianera</v>
      </c>
      <c r="W90" s="46"/>
      <c r="X90" s="46">
        <f>IFERROR(__xludf.DUMMYFUNCTION("""COMPUTED_VALUE"""),2.0)</f>
        <v>2</v>
      </c>
      <c r="Y90" s="46" t="str">
        <f>IFERROR(__xludf.DUMMYFUNCTION("""COMPUTED_VALUE"""),"No tiene")</f>
        <v>No tiene</v>
      </c>
      <c r="Z90" s="90" t="str">
        <f>IFERROR(__xludf.DUMMYFUNCTION("""COMPUTED_VALUE"""),"No aplica")</f>
        <v>No aplica</v>
      </c>
      <c r="AA90" s="33" t="str">
        <f>IFERROR(__xludf.DUMMYFUNCTION("""COMPUTED_VALUE"""),"No aplica")</f>
        <v>No aplica</v>
      </c>
      <c r="AB90" s="144" t="str">
        <f>IFERROR(__xludf.DUMMYFUNCTION("""COMPUTED_VALUE"""),"https://photos.app.goo.gl/7c2Wc2AHV81pF9MQ6")</f>
        <v>https://photos.app.goo.gl/7c2Wc2AHV81pF9MQ6</v>
      </c>
      <c r="AC90" s="46" t="str">
        <f>IFERROR(__xludf.DUMMYFUNCTION("""COMPUTED_VALUE"""),"Casa con mobiliario incluido para uso de oficinas, la casa tiene una área de 93.0 Mts 2, estrato 2; Recepción, Sofa, 7 escritorios completos, papeleras metálicas, fotocopiadora, 7 archivadores de pared, archivo rodante, 5 aires acondicionados.")</f>
        <v>Casa con mobiliario incluido para uso de oficinas, la casa tiene una área de 93.0 Mts 2, estrato 2; Recepción, Sofa, 7 escritorios completos, papeleras metálicas, fotocopiadora, 7 archivadores de pared, archivo rodante, 5 aires acondicionados.</v>
      </c>
      <c r="AD90" s="46" t="str">
        <f>IFERROR(__xludf.DUMMYFUNCTION("""COMPUTED_VALUE"""),"Casa bien ubicada.")</f>
        <v>Casa bien ubicada.</v>
      </c>
      <c r="AE90" s="46"/>
      <c r="AF90" s="46" t="str">
        <f>IFERROR(__xludf.DUMMYFUNCTION("""COMPUTED_VALUE"""),"semi-integral")</f>
        <v>semi-integral</v>
      </c>
      <c r="AG90" s="46"/>
      <c r="AH90" s="46" t="str">
        <f>IFERROR(__xludf.DUMMYFUNCTION("""COMPUTED_VALUE"""),"Aliado")</f>
        <v>Aliado</v>
      </c>
      <c r="AI90" s="92" t="str">
        <f>IFERROR(__xludf.DUMMYFUNCTION("""COMPUTED_VALUE"""),"https://lh3.googleusercontent.com/pw/AP1GczOrZ99XvzVDN5PxSoSEI0Fwa3tQ8LtWi2KpLG_P4tP9DOA4WoYkihTREXMe2_gdm2Ax2Ymqf5aIr9f7ISwsU9EuhHQgMCCm1ChBO27MkXp1ckE4XLAW=w1200|https://lh3.googleusercontent.com/pw/AP1GczNOJ3Xe7ovUNHUgiPzeMumpVKRvM4tgFcrhNmukzoJIOm_3Al"&amp;"jAh8gti6BGwYdcFAi6fNoW80M8RJVlPwvH3zc0YV34Zt11OAldJlj0CZwxZdCA743S=w1200|https://lh3.googleusercontent.com/pw/AP1GczP3y75CJCNiNKCNlBb1gv7t2xxM3p8LbTwaBV1FwZq8deM-2kSe4ZGZ7JpXfZoBPNby18OfhfsG6l43eJorAabI2T7jhxKrx6SBeJU_N8oFpO3YoNnU=w1200|https://lh3.google"&amp;"usercontent.com/pw/AP1GczP-txedtar71X2ssjHqLSIOATDQFT_5gFfrgO00hG2EcnMWyKyiBKKEi-C41QSLulgeF-E912oI5BQ7piIdRZT7V-D4_cK7VD7fZg90SPIZ18aJFs9z=w1200|https://lh3.googleusercontent.com/pw/AP1GczO0cdnSIH7q2onEDEJdvF23qgvZbp-UyK1b0G1Hij4Bm2ik7869COzTWlJSvve_4iwr"&amp;"xsYGWsPkbvkLwiSnBL4jm_jO5G2UK7ocuhBk4sXrR8fOM6ru=w1200|https://lh3.googleusercontent.com/pw/AP1GczNximJ0f1ZHucZoOKusD08nipabBEdMZ3jG5sDqOcQ_B9MMVHNBsFTyMdP--ih1nrMW68sr0lG9ioevxZRXgQcOXhsgeuhdIyave8bDtfm0n3InW42Y=w1200|https://lh3.googleusercontent.com/pw"&amp;"/AP1GczNddE-I-UG5-x15t_FcWKxv0zU2tle_pLlur0S9IDiST_YKiuPyV0CSZKzP4c0HVHla61NG_OCUFvplo5k7o2ytm2yRKnvoVb7GC8qvcmtbpA_SU9x_=w1200|https://lh3.googleusercontent.com/pw/AP1GczOV8UzB3HYcywDUcOfBmJePSSq_EgZps6uPPu_2c44fV_34avg4hQ9RgyzeAr_6k7xxPNoPpK_zrD2Q7u0r1z"&amp;"U_odNONij6XzKMxwki6kovlwo0w8FC=w1200|https://lh3.googleusercontent.com/pw/AP1GczPgoUCLSsCXzMOW3XBB64-mQrY_bkpWJHOkJBTevByKxrexOmX9RC-fMB9Y_fcOYkSFty5S9mm6RRyhssRmtdISVH5tG1ZfFsM3yGd5ivwTG8Tu53V8=w1200")</f>
        <v>https://lh3.googleusercontent.com/pw/AP1GczOrZ99XvzVDN5PxSoSEI0Fwa3tQ8LtWi2KpLG_P4tP9DOA4WoYkihTREXMe2_gdm2Ax2Ymqf5aIr9f7ISwsU9EuhHQgMCCm1ChBO27MkXp1ckE4XLAW=w1200|https://lh3.googleusercontent.com/pw/AP1GczNOJ3Xe7ovUNHUgiPzeMumpVKRvM4tgFcrhNmukzoJIOm_3AljAh8gti6BGwYdcFAi6fNoW80M8RJVlPwvH3zc0YV34Zt11OAldJlj0CZwxZdCA743S=w1200|https://lh3.googleusercontent.com/pw/AP1GczP3y75CJCNiNKCNlBb1gv7t2xxM3p8LbTwaBV1FwZq8deM-2kSe4ZGZ7JpXfZoBPNby18OfhfsG6l43eJorAabI2T7jhxKrx6SBeJU_N8oFpO3YoNnU=w1200|https://lh3.googleusercontent.com/pw/AP1GczP-txedtar71X2ssjHqLSIOATDQFT_5gFfrgO00hG2EcnMWyKyiBKKEi-C41QSLulgeF-E912oI5BQ7piIdRZT7V-D4_cK7VD7fZg90SPIZ18aJFs9z=w1200|https://lh3.googleusercontent.com/pw/AP1GczO0cdnSIH7q2onEDEJdvF23qgvZbp-UyK1b0G1Hij4Bm2ik7869COzTWlJSvve_4iwrxsYGWsPkbvkLwiSnBL4jm_jO5G2UK7ocuhBk4sXrR8fOM6ru=w1200|https://lh3.googleusercontent.com/pw/AP1GczNximJ0f1ZHucZoOKusD08nipabBEdMZ3jG5sDqOcQ_B9MMVHNBsFTyMdP--ih1nrMW68sr0lG9ioevxZRXgQcOXhsgeuhdIyave8bDtfm0n3InW42Y=w1200|https://lh3.googleusercontent.com/pw/AP1GczNddE-I-UG5-x15t_FcWKxv0zU2tle_pLlur0S9IDiST_YKiuPyV0CSZKzP4c0HVHla61NG_OCUFvplo5k7o2ytm2yRKnvoVb7GC8qvcmtbpA_SU9x_=w1200|https://lh3.googleusercontent.com/pw/AP1GczOV8UzB3HYcywDUcOfBmJePSSq_EgZps6uPPu_2c44fV_34avg4hQ9RgyzeAr_6k7xxPNoPpK_zrD2Q7u0r1zU_odNONij6XzKMxwki6kovlwo0w8FC=w1200|https://lh3.googleusercontent.com/pw/AP1GczPgoUCLSsCXzMOW3XBB64-mQrY_bkpWJHOkJBTevByKxrexOmX9RC-fMB9Y_fcOYkSFty5S9mm6RRyhssRmtdISVH5tG1ZfFsM3yGd5ivwTG8Tu53V8=w1200</v>
      </c>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row>
    <row r="91">
      <c r="A91" s="87" t="str">
        <f>IFERROR(__xludf.DUMMYFUNCTION("""COMPUTED_VALUE"""),"1470")</f>
        <v>1470</v>
      </c>
      <c r="B91" s="46" t="str">
        <f>IFERROR(__xludf.DUMMYFUNCTION("""COMPUTED_VALUE"""),"Casa + Aparta estudio en barrio El Jardín - Oriente")</f>
        <v>Casa + Aparta estudio en barrio El Jardín - Oriente</v>
      </c>
      <c r="C91" s="46" t="str">
        <f>IFERROR(__xludf.DUMMYFUNCTION("""COMPUTED_VALUE"""),"Casa rentable")</f>
        <v>Casa rentable</v>
      </c>
      <c r="D91" s="46" t="str">
        <f>IFERROR(__xludf.DUMMYFUNCTION("""COMPUTED_VALUE"""),"El Jardín")</f>
        <v>El Jardín</v>
      </c>
      <c r="E91" s="90"/>
      <c r="F91" s="90">
        <f>IFERROR(__xludf.DUMMYFUNCTION("""COMPUTED_VALUE"""),2.9E8)</f>
        <v>290000000</v>
      </c>
      <c r="G91" s="46" t="str">
        <f>IFERROR(__xludf.DUMMYFUNCTION("""COMPUTED_VALUE"""),"$200'000.000 a $300'000.000")</f>
        <v>$200'000.000 a $300'000.000</v>
      </c>
      <c r="H91" s="46"/>
      <c r="I91" s="46"/>
      <c r="J91" s="46" t="str">
        <f>IFERROR(__xludf.DUMMYFUNCTION("""COMPUTED_VALUE"""),"Oriente")</f>
        <v>Oriente</v>
      </c>
      <c r="K91" s="87" t="str">
        <f>IFERROR(__xludf.DUMMYFUNCTION("""COMPUTED_VALUE"""),"5")</f>
        <v>5</v>
      </c>
      <c r="L91" s="46">
        <f>IFERROR(__xludf.DUMMYFUNCTION("""COMPUTED_VALUE"""),4.0)</f>
        <v>4</v>
      </c>
      <c r="M91" s="46"/>
      <c r="N91" s="46">
        <f>IFERROR(__xludf.DUMMYFUNCTION("""COMPUTED_VALUE"""),2.0)</f>
        <v>2</v>
      </c>
      <c r="O91" s="46">
        <f>IFERROR(__xludf.DUMMYFUNCTION("""COMPUTED_VALUE"""),1.0)</f>
        <v>1</v>
      </c>
      <c r="P91" s="46">
        <f>IFERROR(__xludf.DUMMYFUNCTION("""COMPUTED_VALUE"""),2.0)</f>
        <v>2</v>
      </c>
      <c r="Q91" s="92">
        <f>IFERROR(__xludf.DUMMYFUNCTION("""COMPUTED_VALUE"""),200.0)</f>
        <v>200</v>
      </c>
      <c r="R91" s="92">
        <f>IFERROR(__xludf.DUMMYFUNCTION("""COMPUTED_VALUE"""),110.0)</f>
        <v>110</v>
      </c>
      <c r="S91" s="87" t="str">
        <f>IFERROR(__xludf.DUMMYFUNCTION("""COMPUTED_VALUE"""),"Rentabilidad $1,300,000")</f>
        <v>Rentabilidad $1,300,000</v>
      </c>
      <c r="T91" s="46" t="str">
        <f>IFERROR(__xludf.DUMMYFUNCTION("""COMPUTED_VALUE"""),"Neiva")</f>
        <v>Neiva</v>
      </c>
      <c r="U91" s="87" t="str">
        <f>IFERROR(__xludf.DUMMYFUNCTION("""COMPUTED_VALUE"""),"2")</f>
        <v>2</v>
      </c>
      <c r="V91" s="46" t="str">
        <f>IFERROR(__xludf.DUMMYFUNCTION("""COMPUTED_VALUE"""),"Medianera")</f>
        <v>Medianera</v>
      </c>
      <c r="W91" s="46"/>
      <c r="X91" s="46">
        <f>IFERROR(__xludf.DUMMYFUNCTION("""COMPUTED_VALUE"""),2.0)</f>
        <v>2</v>
      </c>
      <c r="Y91" s="46" t="str">
        <f>IFERROR(__xludf.DUMMYFUNCTION("""COMPUTED_VALUE"""),"No tiene")</f>
        <v>No tiene</v>
      </c>
      <c r="Z91" s="90" t="str">
        <f>IFERROR(__xludf.DUMMYFUNCTION("""COMPUTED_VALUE"""),"No aplica")</f>
        <v>No aplica</v>
      </c>
      <c r="AA91" s="33" t="str">
        <f>IFERROR(__xludf.DUMMYFUNCTION("""COMPUTED_VALUE"""),"19 años")</f>
        <v>19 años</v>
      </c>
      <c r="AB91" s="144" t="str">
        <f>IFERROR(__xludf.DUMMYFUNCTION("""COMPUTED_VALUE"""),"https://photos.app.goo.gl/4cUYKAMhLmq3tfGh8")</f>
        <v>https://photos.app.goo.gl/4cUYKAMhLmq3tfGh8</v>
      </c>
      <c r="AC91" s="46" t="str">
        <f>IFERROR(__xludf.DUMMYFUNCTION("""COMPUTED_VALUE"""),"Casa rentable en el Barrio el jardín, con un área de 200m2, consta de: Sala amplia, Comedor, baño auxiliar, cocina semi integral, 3 habitaciones, la principal con closet en madera, patio de ropa, zona de lavandería, garaje. La casa cuenta con un aparta es"&amp;"tudio independiente de entrada y servicios, el cual cuenta con sala, comedor, baño, cocina integral, habitación con closet en madera y zona de lavandería.")</f>
        <v>Casa rentable en el Barrio el jardín, con un área de 200m2, consta de: Sala amplia, Comedor, baño auxiliar, cocina semi integral, 3 habitaciones, la principal con closet en madera, patio de ropa, zona de lavandería, garaje. La casa cuenta con un aparta estudio independiente de entrada y servicios, el cual cuenta con sala, comedor, baño, cocina integral, habitación con closet en madera y zona de lavandería.</v>
      </c>
      <c r="AD91" s="46" t="str">
        <f>IFERROR(__xludf.DUMMYFUNCTION("""COMPUTED_VALUE"""),"Casa bien ubicada.")</f>
        <v>Casa bien ubicada.</v>
      </c>
      <c r="AE91" s="46"/>
      <c r="AF91" s="46" t="str">
        <f>IFERROR(__xludf.DUMMYFUNCTION("""COMPUTED_VALUE"""),"semi-integral")</f>
        <v>semi-integral</v>
      </c>
      <c r="AG91" s="46"/>
      <c r="AH91" s="46" t="str">
        <f>IFERROR(__xludf.DUMMYFUNCTION("""COMPUTED_VALUE"""),"Aliado")</f>
        <v>Aliado</v>
      </c>
      <c r="AI91" s="92" t="str">
        <f>IFERROR(__xludf.DUMMYFUNCTION("""COMPUTED_VALUE"""),"https://lh3.googleusercontent.com/pw/AP1GczP4SIL3dGO8HXqV7KGQ4nDqMIzpHmFDoVRuEYCX3gtp_fdU65SWAIRB_c1L2YuXEzaJA-znIkty_K-vgGQJbNngWVJL6feSZmT1uxPhHUTzY8ToGADn=w1200|https://lh3.googleusercontent.com/pw/AP1GczOBKlk5seDxKr7COjJtv_AdcQ7_dhQN9AcJuGvyOH9DAWi5aP"&amp;"LHwZ7HnKbHCd6IGc4tNpShjpHgmBq7ZHM0OOWaTdofc7w4yAZB4CRlLtl2KcUZusCg=w1200|https://lh3.googleusercontent.com/pw/AP1GczNJiZdq7TJs8Pe6AtIjGfl_UC04uheEkdWaQRGBQLUNE3RQ3Wrbd-58svZ3mrIvY3vQh2P97Wn_AOFLcIoJvDP2xKalomdQ2lNV1Pu4XA_yI-_1DHx9=w1200|https://lh3.google"&amp;"usercontent.com/pw/AP1GczPIZzcafG9wgPnS9bm2IIXaJpnNYFrFNkOvCVgu4ZFZ-tyb9-UG2xsJP0Da_1Obtw1luNGPIIz7iyDHoas1twXtLAM3xPbPwnDAk8LlmmkvkNAjb8xv=w1200|https://lh3.googleusercontent.com/pw/AP1GczOXlf3JRDVaSKBAtYL1O9wusXMGdsi5hLakrdYrbQdTT89thDFlEoJkdZuAityTWuZq"&amp;"CircjxEBpR5KBR-1990VFoncr8wUXZtoVvzkptKfx0Y8-qdH=w1200|https://lh3.googleusercontent.com/pw/AP1GczO-rmWlR43An-uKOcPqvJeqNAddtrQPlt90IhJVB4jb0bFzIpggrLm5V5Yb9lVVSu_cf7xV4wd4JnD5n8GqAMLflYpibTibToGBRKeTo4j4dUbmWgXA=w1200|https://lh3.googleusercontent.com/pw"&amp;"/AP1GczOJOCO73vVlKX1zWd0Ixfw-SK_N0EBgW7wSLjK1_Q3GNorj6rQINrY5xGQ8O0P3TG3dqh8JMN3dmmCP64Z3SmO6pE3byHv4HOQIOj59CGWRV3HzK3fD=w1200|https://lh3.googleusercontent.com/pw/AP1GczOO1wkJft9oDDEmpSU6ndB7pKv9vhERrz-IiafLJ3DXkRi3zN6-Sim5IShJ1oz7y75lsvi19X2REJGampG0T2"&amp;"TH7J3vfkGgpAQMEFDDs4OU6CLTwXh2=w1200|https://lh3.googleusercontent.com/pw/AP1GczMbKp1l17WbkkL4-zXTA_1XVYdnQVdwGwnsdRTTSuvguWov5iEQNe7XCVp5c3ujci9FNORxdFP5cEWCE7AlSInGYiDjlAXomWgF9QvW9CRgml4Hcc2D=w1200|https://lh3.googleusercontent.com/pw/AP1GczPCWPWNYVdgc"&amp;"4wcLpLA_G4C08UV7S30EfWlEQLmZcoclDVluz5AIu3f43wA4yzFB1EVFEbLxQ2SCdzwBh2F0pUrDUyLYhsnoY8wezLmwEcFy-Fp2OJ9=w1200|https://lh3.googleusercontent.com/pw/AP1GczMy1Dc9etUAuXFKsZ-jYJGxfL4YhnMbZYvmBrpV6klRPdajN4lOazU01jlGc6NhfXG2dkp9c8gWtKevhmTZSJTtIy7ZfxrpsnJk2Lmf"&amp;"D8gLgLwhkMGx=w1200|https://lh3.googleusercontent.com/pw/AP1GczPdMvqgGDHo9knS4jHVn2kxPF9Bma-lS_A7dQBzq6Or3fEyk8C-8rHxnpZznKNrc_pLkgVNQzV7XqzMN-uGO9I1z2Vrc7avj8SLqCFjfP_SJnIyuS99=w1200|https://lh3.googleusercontent.com/pw/AP1GczMTc-QIAtXsLJAWUGBV5Xt3QscEHlq"&amp;"BBOXhtp9QSJyD1d4iy6-DGLUIwQ-78Z7XCQs1Hcu8o1lfsCHv3p2ihrzgwAhUEepms8VHyBKYPN4EDBdzj7pV=w1200|https://lh3.googleusercontent.com/pw/AP1GczM2iWIdxL7Y0QRcm0heEJEpE14zKo25vgWXXAzY47oH17_6u5Sv7Jx2He_9BA_pYt-1i9wKz8CzDzQJL4XL6xKgNnVtq1GE_zkUbRnPT0OAxNT5qiNp=w1200"&amp;"|https://lh3.googleusercontent.com/pw/AP1GczPSghlaDZi3Ypw51xv7rVqM6wJcWiOJaujfRezFsEKDHfvr3Kq9vbraVRH_PKqbzuZ8wRwNN5gr-CQWpgUoVdsPEhnbZeddY09bMEQbtucVNkvwJ9CT=w1200|https://lh3.googleusercontent.com/pw/AP1GczMCueqXigPxRy8bEpAYNlkmXr3PJKJgd2PC9fx6r7tSUdaL0"&amp;"MFOd2UHk7HftP6OS74HqxjYzeIGALFlPyYUs3zMUvpgYg1gnnmt7wbcFOlQMeFATcBD=w1200|https://lh3.googleusercontent.com/pw/AP1GczNOepHTILEZ-RwTvzw14Px2nJdxypPHswOOBV49WxKBIGsN7LLpQYGmaklYTtJLDGmQKkU57cSjDUXs8OGQ1CUiU2JgvnqdPZ5lvbXDldykIxuodia5=w1200")</f>
        <v>https://lh3.googleusercontent.com/pw/AP1GczP4SIL3dGO8HXqV7KGQ4nDqMIzpHmFDoVRuEYCX3gtp_fdU65SWAIRB_c1L2YuXEzaJA-znIkty_K-vgGQJbNngWVJL6feSZmT1uxPhHUTzY8ToGADn=w1200|https://lh3.googleusercontent.com/pw/AP1GczOBKlk5seDxKr7COjJtv_AdcQ7_dhQN9AcJuGvyOH9DAWi5aPLHwZ7HnKbHCd6IGc4tNpShjpHgmBq7ZHM0OOWaTdofc7w4yAZB4CRlLtl2KcUZusCg=w1200|https://lh3.googleusercontent.com/pw/AP1GczNJiZdq7TJs8Pe6AtIjGfl_UC04uheEkdWaQRGBQLUNE3RQ3Wrbd-58svZ3mrIvY3vQh2P97Wn_AOFLcIoJvDP2xKalomdQ2lNV1Pu4XA_yI-_1DHx9=w1200|https://lh3.googleusercontent.com/pw/AP1GczPIZzcafG9wgPnS9bm2IIXaJpnNYFrFNkOvCVgu4ZFZ-tyb9-UG2xsJP0Da_1Obtw1luNGPIIz7iyDHoas1twXtLAM3xPbPwnDAk8LlmmkvkNAjb8xv=w1200|https://lh3.googleusercontent.com/pw/AP1GczOXlf3JRDVaSKBAtYL1O9wusXMGdsi5hLakrdYrbQdTT89thDFlEoJkdZuAityTWuZqCircjxEBpR5KBR-1990VFoncr8wUXZtoVvzkptKfx0Y8-qdH=w1200|https://lh3.googleusercontent.com/pw/AP1GczO-rmWlR43An-uKOcPqvJeqNAddtrQPlt90IhJVB4jb0bFzIpggrLm5V5Yb9lVVSu_cf7xV4wd4JnD5n8GqAMLflYpibTibToGBRKeTo4j4dUbmWgXA=w1200|https://lh3.googleusercontent.com/pw/AP1GczOJOCO73vVlKX1zWd0Ixfw-SK_N0EBgW7wSLjK1_Q3GNorj6rQINrY5xGQ8O0P3TG3dqh8JMN3dmmCP64Z3SmO6pE3byHv4HOQIOj59CGWRV3HzK3fD=w1200|https://lh3.googleusercontent.com/pw/AP1GczOO1wkJft9oDDEmpSU6ndB7pKv9vhERrz-IiafLJ3DXkRi3zN6-Sim5IShJ1oz7y75lsvi19X2REJGampG0T2TH7J3vfkGgpAQMEFDDs4OU6CLTwXh2=w1200|https://lh3.googleusercontent.com/pw/AP1GczMbKp1l17WbkkL4-zXTA_1XVYdnQVdwGwnsdRTTSuvguWov5iEQNe7XCVp5c3ujci9FNORxdFP5cEWCE7AlSInGYiDjlAXomWgF9QvW9CRgml4Hcc2D=w1200|https://lh3.googleusercontent.com/pw/AP1GczPCWPWNYVdgc4wcLpLA_G4C08UV7S30EfWlEQLmZcoclDVluz5AIu3f43wA4yzFB1EVFEbLxQ2SCdzwBh2F0pUrDUyLYhsnoY8wezLmwEcFy-Fp2OJ9=w1200|https://lh3.googleusercontent.com/pw/AP1GczMy1Dc9etUAuXFKsZ-jYJGxfL4YhnMbZYvmBrpV6klRPdajN4lOazU01jlGc6NhfXG2dkp9c8gWtKevhmTZSJTtIy7ZfxrpsnJk2LmfD8gLgLwhkMGx=w1200|https://lh3.googleusercontent.com/pw/AP1GczPdMvqgGDHo9knS4jHVn2kxPF9Bma-lS_A7dQBzq6Or3fEyk8C-8rHxnpZznKNrc_pLkgVNQzV7XqzMN-uGO9I1z2Vrc7avj8SLqCFjfP_SJnIyuS99=w1200|https://lh3.googleusercontent.com/pw/AP1GczMTc-QIAtXsLJAWUGBV5Xt3QscEHlqBBOXhtp9QSJyD1d4iy6-DGLUIwQ-78Z7XCQs1Hcu8o1lfsCHv3p2ihrzgwAhUEepms8VHyBKYPN4EDBdzj7pV=w1200|https://lh3.googleusercontent.com/pw/AP1GczM2iWIdxL7Y0QRcm0heEJEpE14zKo25vgWXXAzY47oH17_6u5Sv7Jx2He_9BA_pYt-1i9wKz8CzDzQJL4XL6xKgNnVtq1GE_zkUbRnPT0OAxNT5qiNp=w1200|https://lh3.googleusercontent.com/pw/AP1GczPSghlaDZi3Ypw51xv7rVqM6wJcWiOJaujfRezFsEKDHfvr3Kq9vbraVRH_PKqbzuZ8wRwNN5gr-CQWpgUoVdsPEhnbZeddY09bMEQbtucVNkvwJ9CT=w1200|https://lh3.googleusercontent.com/pw/AP1GczMCueqXigPxRy8bEpAYNlkmXr3PJKJgd2PC9fx6r7tSUdaL0MFOd2UHk7HftP6OS74HqxjYzeIGALFlPyYUs3zMUvpgYg1gnnmt7wbcFOlQMeFATcBD=w1200|https://lh3.googleusercontent.com/pw/AP1GczNOepHTILEZ-RwTvzw14Px2nJdxypPHswOOBV49WxKBIGsN7LLpQYGmaklYTtJLDGmQKkU57cSjDUXs8OGQ1CUiU2JgvnqdPZ5lvbXDldykIxuodia5=w1200</v>
      </c>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c r="BU91" s="46"/>
      <c r="BV91" s="46"/>
      <c r="BW91" s="46"/>
      <c r="BX91" s="46"/>
      <c r="BY91" s="46"/>
      <c r="BZ91" s="46"/>
      <c r="CA91" s="46"/>
      <c r="CB91" s="46"/>
      <c r="CC91" s="46"/>
    </row>
    <row r="92">
      <c r="A92" s="87" t="str">
        <f>IFERROR(__xludf.DUMMYFUNCTION("""COMPUTED_VALUE"""),"1666")</f>
        <v>1666</v>
      </c>
      <c r="B92" s="46" t="str">
        <f>IFERROR(__xludf.DUMMYFUNCTION("""COMPUTED_VALUE"""),"Lote en conjunto Campestre Colinas de San Juan - Ulloa")</f>
        <v>Lote en conjunto Campestre Colinas de San Juan - Ulloa</v>
      </c>
      <c r="C92" s="46" t="str">
        <f>IFERROR(__xludf.DUMMYFUNCTION("""COMPUTED_VALUE"""),"Lote en conjunto")</f>
        <v>Lote en conjunto</v>
      </c>
      <c r="D92" s="46"/>
      <c r="E92" s="46" t="str">
        <f>IFERROR(__xludf.DUMMYFUNCTION("""COMPUTED_VALUE"""),"Conjunto Campestre Colinas de San Juan")</f>
        <v>Conjunto Campestre Colinas de San Juan</v>
      </c>
      <c r="F92" s="90">
        <f>IFERROR(__xludf.DUMMYFUNCTION("""COMPUTED_VALUE"""),2.88E8)</f>
        <v>288000000</v>
      </c>
      <c r="G92" s="46" t="str">
        <f>IFERROR(__xludf.DUMMYFUNCTION("""COMPUTED_VALUE"""),"$200'000.000 a $300'000.000")</f>
        <v>$200'000.000 a $300'000.000</v>
      </c>
      <c r="H92" s="46"/>
      <c r="I92" s="46"/>
      <c r="J92" s="46" t="str">
        <f>IFERROR(__xludf.DUMMYFUNCTION("""COMPUTED_VALUE"""),"Sur")</f>
        <v>Sur</v>
      </c>
      <c r="K92" s="87"/>
      <c r="L92" s="46">
        <f>IFERROR(__xludf.DUMMYFUNCTION("""COMPUTED_VALUE"""),0.0)</f>
        <v>0</v>
      </c>
      <c r="M92" s="46"/>
      <c r="N92" s="46">
        <f>IFERROR(__xludf.DUMMYFUNCTION("""COMPUTED_VALUE"""),0.0)</f>
        <v>0</v>
      </c>
      <c r="O92" s="46">
        <f>IFERROR(__xludf.DUMMYFUNCTION("""COMPUTED_VALUE"""),0.0)</f>
        <v>0</v>
      </c>
      <c r="P92" s="46">
        <f>IFERROR(__xludf.DUMMYFUNCTION("""COMPUTED_VALUE"""),0.0)</f>
        <v>0</v>
      </c>
      <c r="Q92" s="92">
        <f>IFERROR(__xludf.DUMMYFUNCTION("""COMPUTED_VALUE"""),0.0)</f>
        <v>0</v>
      </c>
      <c r="R92" s="92">
        <f>IFERROR(__xludf.DUMMYFUNCTION("""COMPUTED_VALUE"""),2399.0)</f>
        <v>2399</v>
      </c>
      <c r="S92" s="87" t="str">
        <f>IFERROR(__xludf.DUMMYFUNCTION("""COMPUTED_VALUE""")," ")</f>
        <v> </v>
      </c>
      <c r="T92" s="46" t="str">
        <f>IFERROR(__xludf.DUMMYFUNCTION("""COMPUTED_VALUE"""),"Ulloa")</f>
        <v>Ulloa</v>
      </c>
      <c r="U92" s="87"/>
      <c r="V92" s="46"/>
      <c r="W92" s="46"/>
      <c r="X92" s="46">
        <f>IFERROR(__xludf.DUMMYFUNCTION("""COMPUTED_VALUE"""),0.0)</f>
        <v>0</v>
      </c>
      <c r="Y92" s="46"/>
      <c r="Z92" s="90"/>
      <c r="AA92" s="33" t="str">
        <f>IFERROR(__xludf.DUMMYFUNCTION("""COMPUTED_VALUE"""),"No aplica")</f>
        <v>No aplica</v>
      </c>
      <c r="AB92" s="96" t="str">
        <f>IFERROR(__xludf.DUMMYFUNCTION("""COMPUTED_VALUE"""),"https://photos.app.goo.gl/HxuR49LomqaA5NBj8")</f>
        <v>https://photos.app.goo.gl/HxuR49LomqaA5NBj8</v>
      </c>
      <c r="AC92" s="46" t="str">
        <f>IFERROR(__xludf.DUMMYFUNCTION("""COMPUTED_VALUE"""),"Conjunto con excelente ubicación, sector turistico.")</f>
        <v>Conjunto con excelente ubicación, sector turistico.</v>
      </c>
      <c r="AD92" s="46" t="str">
        <f>IFERROR(__xludf.DUMMYFUNCTION("""COMPUTED_VALUE"""),"Lote amplio y bien ubicado.")</f>
        <v>Lote amplio y bien ubicado.</v>
      </c>
      <c r="AE92" s="46"/>
      <c r="AF92" s="46">
        <f>IFERROR(__xludf.DUMMYFUNCTION("""COMPUTED_VALUE"""),0.0)</f>
        <v>0</v>
      </c>
      <c r="AG92" s="46"/>
      <c r="AH92" s="46" t="str">
        <f>IFERROR(__xludf.DUMMYFUNCTION("""COMPUTED_VALUE"""),"Aliado")</f>
        <v>Aliado</v>
      </c>
      <c r="AI92" s="92" t="str">
        <f>IFERROR(__xludf.DUMMYFUNCTION("""COMPUTED_VALUE"""),"https://lh3.googleusercontent.com/pw/AP1GczNfOZN80AVYRsRygeTG8uQazHweMc5EchM3_e21vuk06ljeiFikb0EyuAs1ojpxrLeUXBJvATGiL8RWnjnl4-fOkchiDlZcAfVsss5bgWpdUws9Mi-i=w1200|https://lh3.googleusercontent.com/pw/AP1GczOxL4txcFyZSRrdVJl0SxGl-4dSnHs3WG7_5aGljoy8wVgMH3"&amp;"Oo-TbKH-RqOSXwbB0hCI-8hbUCSk_y0QN-ndOSOB5NckvHH-xHrG-7UDEUwj2Gahqd=w1200|https://lh3.googleusercontent.com/pw/AP1GczP9105RU4M_Ve4ro95snZCro8qVtVVBBqd_2E7AvyFk8YDhgvdEJU8B0-4xCwo5An1O-U6IP9rszNR1Xix3I2_L9OdWSpHaULr_qHS17ngvAx4lFXyB=w1200|https://lh3.google"&amp;"usercontent.com/pw/AP1GczMZddFMZJjxXaPYRfFRKtxyTfwBhB5Yhn3elVc5TcOmuKG77AZhXw2nDL7-RRD-X9TO9AhBv7U2k9nSkq2BBpgoGRFPwd2kvAWtX9zHj_e4gksuG754=w1200|https://lh3.googleusercontent.com/pw/AP1GczMJAIWn9u2st15ORV7-zBsi71fKdEZGtnLgwPbuNICahu2KEtpck6eVMTDtka2OviMA"&amp;"1KG9yke-Y2PcS2m1f5Wkbcoa_gMfkT5HAuvM6XobOqR03zz0=w1200|https://lh3.googleusercontent.com/pw/AP1GczMFBW68DC28FhnU5l1zN1yH8oHI1qTO9HkRyBPafG3qXq4DLtG2cQBzatE55wdNK_t-PHaAwY93Ii3UnVkXabKn2TALeeuDkLVS2sT2A2xeYzKndjuA=w1200|https://lh3.googleusercontent.com/pw"&amp;"/AP1GczOdxq0RQn5pTcDfkMvODL8sHn6Mga40nb6XxPh6XNWmZNMSY6C7yqw0FxXqG3XoR1hwxytYXa4h0zzWs1POzawTuyKa32sYglaBNLuCOSdQEZVLWo8Y=w1200|https://lh3.googleusercontent.com/pw/AP1GczNhWOrNkpXn32Ix7IKRVUtuTDdH-TSQN_VELDmBJqIRvFlYdBMDme8Th0_iDVL6JoIy6cD0YShJglU57kV2-Y"&amp;"lULyk07XBEOVilPAtDorLFWPOx30XB=w1200|https://lh3.googleusercontent.com/pw/AP1GczNkKXrb6e9xP17FUFoJPOZ3gVWYAApTTHCL7-ynnSjWybceDNAEexUp5I8PnsvMBVKNntcp0TAnndIPGBKZbrSfHGarMC8hyZQQF4DDdNaATdOKSSKo=w1200|https://lh3.googleusercontent.com/pw/AP1GczMwhA4OJsfoH"&amp;"3RXeQgs6mCMtcx7ryg_EHuvfNIB7nTvt2aJ0_kY1eZkK--HKuZ4ds9CH8KKNbjptfVzGlU0U8QIb-vdNM9BxQ8-vlKWH8NBXhvvJ09E=w1200")</f>
        <v>https://lh3.googleusercontent.com/pw/AP1GczNfOZN80AVYRsRygeTG8uQazHweMc5EchM3_e21vuk06ljeiFikb0EyuAs1ojpxrLeUXBJvATGiL8RWnjnl4-fOkchiDlZcAfVsss5bgWpdUws9Mi-i=w1200|https://lh3.googleusercontent.com/pw/AP1GczOxL4txcFyZSRrdVJl0SxGl-4dSnHs3WG7_5aGljoy8wVgMH3Oo-TbKH-RqOSXwbB0hCI-8hbUCSk_y0QN-ndOSOB5NckvHH-xHrG-7UDEUwj2Gahqd=w1200|https://lh3.googleusercontent.com/pw/AP1GczP9105RU4M_Ve4ro95snZCro8qVtVVBBqd_2E7AvyFk8YDhgvdEJU8B0-4xCwo5An1O-U6IP9rszNR1Xix3I2_L9OdWSpHaULr_qHS17ngvAx4lFXyB=w1200|https://lh3.googleusercontent.com/pw/AP1GczMZddFMZJjxXaPYRfFRKtxyTfwBhB5Yhn3elVc5TcOmuKG77AZhXw2nDL7-RRD-X9TO9AhBv7U2k9nSkq2BBpgoGRFPwd2kvAWtX9zHj_e4gksuG754=w1200|https://lh3.googleusercontent.com/pw/AP1GczMJAIWn9u2st15ORV7-zBsi71fKdEZGtnLgwPbuNICahu2KEtpck6eVMTDtka2OviMA1KG9yke-Y2PcS2m1f5Wkbcoa_gMfkT5HAuvM6XobOqR03zz0=w1200|https://lh3.googleusercontent.com/pw/AP1GczMFBW68DC28FhnU5l1zN1yH8oHI1qTO9HkRyBPafG3qXq4DLtG2cQBzatE55wdNK_t-PHaAwY93Ii3UnVkXabKn2TALeeuDkLVS2sT2A2xeYzKndjuA=w1200|https://lh3.googleusercontent.com/pw/AP1GczOdxq0RQn5pTcDfkMvODL8sHn6Mga40nb6XxPh6XNWmZNMSY6C7yqw0FxXqG3XoR1hwxytYXa4h0zzWs1POzawTuyKa32sYglaBNLuCOSdQEZVLWo8Y=w1200|https://lh3.googleusercontent.com/pw/AP1GczNhWOrNkpXn32Ix7IKRVUtuTDdH-TSQN_VELDmBJqIRvFlYdBMDme8Th0_iDVL6JoIy6cD0YShJglU57kV2-YlULyk07XBEOVilPAtDorLFWPOx30XB=w1200|https://lh3.googleusercontent.com/pw/AP1GczNkKXrb6e9xP17FUFoJPOZ3gVWYAApTTHCL7-ynnSjWybceDNAEexUp5I8PnsvMBVKNntcp0TAnndIPGBKZbrSfHGarMC8hyZQQF4DDdNaATdOKSSKo=w1200|https://lh3.googleusercontent.com/pw/AP1GczMwhA4OJsfoH3RXeQgs6mCMtcx7ryg_EHuvfNIB7nTvt2aJ0_kY1eZkK--HKuZ4ds9CH8KKNbjptfVzGlU0U8QIb-vdNM9BxQ8-vlKWH8NBXhvvJ09E=w1200</v>
      </c>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row>
    <row r="93">
      <c r="A93" s="87" t="str">
        <f>IFERROR(__xludf.DUMMYFUNCTION("""COMPUTED_VALUE"""),"1430")</f>
        <v>1430</v>
      </c>
      <c r="B93" s="46" t="str">
        <f>IFERROR(__xludf.DUMMYFUNCTION("""COMPUTED_VALUE"""),"Casa en barrio Manzanares V etapa - Sur")</f>
        <v>Casa en barrio Manzanares V etapa - Sur</v>
      </c>
      <c r="C93" s="46" t="str">
        <f>IFERROR(__xludf.DUMMYFUNCTION("""COMPUTED_VALUE"""),"Casa")</f>
        <v>Casa</v>
      </c>
      <c r="D93" s="46" t="str">
        <f>IFERROR(__xludf.DUMMYFUNCTION("""COMPUTED_VALUE"""),"Manzanares V Etapa")</f>
        <v>Manzanares V Etapa</v>
      </c>
      <c r="E93" s="46"/>
      <c r="F93" s="90">
        <f>IFERROR(__xludf.DUMMYFUNCTION("""COMPUTED_VALUE"""),2.8E8)</f>
        <v>280000000</v>
      </c>
      <c r="G93" s="46" t="str">
        <f>IFERROR(__xludf.DUMMYFUNCTION("""COMPUTED_VALUE"""),"$200'000.000 a $300'000.000")</f>
        <v>$200'000.000 a $300'000.000</v>
      </c>
      <c r="H93" s="46"/>
      <c r="I93" s="46"/>
      <c r="J93" s="46" t="str">
        <f>IFERROR(__xludf.DUMMYFUNCTION("""COMPUTED_VALUE"""),"Sur")</f>
        <v>Sur</v>
      </c>
      <c r="K93" s="87" t="str">
        <f>IFERROR(__xludf.DUMMYFUNCTION("""COMPUTED_VALUE"""),"6")</f>
        <v>6</v>
      </c>
      <c r="L93" s="46">
        <f>IFERROR(__xludf.DUMMYFUNCTION("""COMPUTED_VALUE"""),3.0)</f>
        <v>3</v>
      </c>
      <c r="M93" s="46"/>
      <c r="N93" s="46">
        <f>IFERROR(__xludf.DUMMYFUNCTION("""COMPUTED_VALUE"""),2.0)</f>
        <v>2</v>
      </c>
      <c r="O93" s="46">
        <f>IFERROR(__xludf.DUMMYFUNCTION("""COMPUTED_VALUE"""),1.0)</f>
        <v>1</v>
      </c>
      <c r="P93" s="46">
        <f>IFERROR(__xludf.DUMMYFUNCTION("""COMPUTED_VALUE"""),2.0)</f>
        <v>2</v>
      </c>
      <c r="Q93" s="92">
        <f>IFERROR(__xludf.DUMMYFUNCTION("""COMPUTED_VALUE"""),107.0)</f>
        <v>107</v>
      </c>
      <c r="R93" s="92">
        <f>IFERROR(__xludf.DUMMYFUNCTION("""COMPUTED_VALUE"""),85.0)</f>
        <v>85</v>
      </c>
      <c r="S93" s="87" t="str">
        <f>IFERROR(__xludf.DUMMYFUNCTION("""COMPUTED_VALUE""")," ")</f>
        <v> </v>
      </c>
      <c r="T93" s="46" t="str">
        <f>IFERROR(__xludf.DUMMYFUNCTION("""COMPUTED_VALUE"""),"Neiva")</f>
        <v>Neiva</v>
      </c>
      <c r="U93" s="87" t="str">
        <f>IFERROR(__xludf.DUMMYFUNCTION("""COMPUTED_VALUE"""),"2")</f>
        <v>2</v>
      </c>
      <c r="V93" s="46" t="str">
        <f>IFERROR(__xludf.DUMMYFUNCTION("""COMPUTED_VALUE"""),"Medianera")</f>
        <v>Medianera</v>
      </c>
      <c r="W93" s="46"/>
      <c r="X93" s="46">
        <f>IFERROR(__xludf.DUMMYFUNCTION("""COMPUTED_VALUE"""),2.0)</f>
        <v>2</v>
      </c>
      <c r="Y93" s="46" t="str">
        <f>IFERROR(__xludf.DUMMYFUNCTION("""COMPUTED_VALUE"""),"No tiene")</f>
        <v>No tiene</v>
      </c>
      <c r="Z93" s="90" t="str">
        <f>IFERROR(__xludf.DUMMYFUNCTION("""COMPUTED_VALUE"""),"No aplica")</f>
        <v>No aplica</v>
      </c>
      <c r="AA93" s="33" t="str">
        <f>IFERROR(__xludf.DUMMYFUNCTION("""COMPUTED_VALUE"""),"No aplica")</f>
        <v>No aplica</v>
      </c>
      <c r="AB93" s="144" t="str">
        <f>IFERROR(__xludf.DUMMYFUNCTION("""COMPUTED_VALUE"""),"https://photos.app.goo.gl/j6Lk14rJCLt3XwiZ7")</f>
        <v>https://photos.app.goo.gl/j6Lk14rJCLt3XwiZ7</v>
      </c>
      <c r="AC93" s="46" t="str">
        <f>IFERROR(__xludf.DUMMYFUNCTION("""COMPUTED_VALUE"""),"Casa de dos pisos en el Barrio Manzanares 5 etapa con un área construida de 107.0 m2, primer piso consta de: Sala, comedor, baño, cocina integral, patio amplio, garaje. Segundo piso: 3 habitaciones, la principal con baño privado, closet en madera y aire a"&amp;"condicionado, baño auxiliar.")</f>
        <v>Casa de dos pisos en el Barrio Manzanares 5 etapa con un área construida de 107.0 m2, primer piso consta de: Sala, comedor, baño, cocina integral, patio amplio, garaje. Segundo piso: 3 habitaciones, la principal con baño privado, closet en madera y aire acondicionado, baño auxiliar.</v>
      </c>
      <c r="AD93" s="46" t="str">
        <f>IFERROR(__xludf.DUMMYFUNCTION("""COMPUTED_VALUE"""),"Casa bien ubicada, sobre vía amplia pavimentada y con buenos acabados.")</f>
        <v>Casa bien ubicada, sobre vía amplia pavimentada y con buenos acabados.</v>
      </c>
      <c r="AE93" s="46"/>
      <c r="AF93" s="46" t="str">
        <f>IFERROR(__xludf.DUMMYFUNCTION("""COMPUTED_VALUE"""),"integral")</f>
        <v>integral</v>
      </c>
      <c r="AG93" s="46"/>
      <c r="AH93" s="46" t="str">
        <f>IFERROR(__xludf.DUMMYFUNCTION("""COMPUTED_VALUE"""),"Aliado")</f>
        <v>Aliado</v>
      </c>
      <c r="AI93" s="92" t="str">
        <f>IFERROR(__xludf.DUMMYFUNCTION("""COMPUTED_VALUE"""),"https://lh3.googleusercontent.com/pw/AP1GczM63i-_d7OkPKRNaEGx-tyYa1DFs7bJpGrOkb5tz4TOj34apUChWftE2hpOFHzV6CyF39sMfbFbnyZKH8yut6UpyZErMaXAlb7pamY6jPUVoGjAPEuY=w1200|https://lh3.googleusercontent.com/pw/AP1GczMzLd2oz1k2X2F3ozyWohuoibaVeFEi0p0ctHWn7Jlr-xdlXO"&amp;"fR80c_P16PqzONNQYzVE2NFtHKWv2L0yY3G1xHBaju045zSnR0ZJiJ6cIStx0gbQld=w1200|https://lh3.googleusercontent.com/pw/AP1GczPDWASY_5C2C3SSJhXPxiV4p-VvLBkTN5mdiO4KgZGzhVvU-6jcb_l5mI9SCq-rzkZEBEr1xEUNeW-Is9yjQ5X1RXndG55s2KmnXkBp-bzRpSzXrXBw=w1200|https://lh3.google"&amp;"usercontent.com/pw/AP1GczM6ruW-kC7xrJ5-GhMDFTB6k0TUBedgcbXcrFALlTiQI_x9eeVQBMm7723R2MTwRbL8oi5w-0F7kbzxCtU1bbvhh1vexymBFmoLkab3ZGNIEjD5pYSc=w1200|https://lh3.googleusercontent.com/pw/AP1GczMTLEwAawg3l0LZIcEpzlbcChNQBkBggxRfZTtqXMHzyt2rMnzBEFShTwBeIa_jndM4"&amp;"NWbOdCZ3_NJ61II1SUncXjtV9BmM0tPBRlfy8Zt3cFhtXxAB=w1200|https://lh3.googleusercontent.com/pw/AP1GczOMP6RsFhf85A-rAF4HNWXlv7JsY0Ny5FdrAVUaDK6Nbu0leZZ47L1VofCF7f1vLP5xrRrpSKeaD35Y0jMi_X1EVwr33VEvImbxooaFB4dGCKH51ohv=w1200")</f>
        <v>https://lh3.googleusercontent.com/pw/AP1GczM63i-_d7OkPKRNaEGx-tyYa1DFs7bJpGrOkb5tz4TOj34apUChWftE2hpOFHzV6CyF39sMfbFbnyZKH8yut6UpyZErMaXAlb7pamY6jPUVoGjAPEuY=w1200|https://lh3.googleusercontent.com/pw/AP1GczMzLd2oz1k2X2F3ozyWohuoibaVeFEi0p0ctHWn7Jlr-xdlXOfR80c_P16PqzONNQYzVE2NFtHKWv2L0yY3G1xHBaju045zSnR0ZJiJ6cIStx0gbQld=w1200|https://lh3.googleusercontent.com/pw/AP1GczPDWASY_5C2C3SSJhXPxiV4p-VvLBkTN5mdiO4KgZGzhVvU-6jcb_l5mI9SCq-rzkZEBEr1xEUNeW-Is9yjQ5X1RXndG55s2KmnXkBp-bzRpSzXrXBw=w1200|https://lh3.googleusercontent.com/pw/AP1GczM6ruW-kC7xrJ5-GhMDFTB6k0TUBedgcbXcrFALlTiQI_x9eeVQBMm7723R2MTwRbL8oi5w-0F7kbzxCtU1bbvhh1vexymBFmoLkab3ZGNIEjD5pYSc=w1200|https://lh3.googleusercontent.com/pw/AP1GczMTLEwAawg3l0LZIcEpzlbcChNQBkBggxRfZTtqXMHzyt2rMnzBEFShTwBeIa_jndM4NWbOdCZ3_NJ61II1SUncXjtV9BmM0tPBRlfy8Zt3cFhtXxAB=w1200|https://lh3.googleusercontent.com/pw/AP1GczOMP6RsFhf85A-rAF4HNWXlv7JsY0Ny5FdrAVUaDK6Nbu0leZZ47L1VofCF7f1vLP5xrRrpSKeaD35Y0jMi_X1EVwr33VEvImbxooaFB4dGCKH51ohv=w1200</v>
      </c>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row>
    <row r="94">
      <c r="A94" s="87" t="str">
        <f>IFERROR(__xludf.DUMMYFUNCTION("""COMPUTED_VALUE"""),"1119")</f>
        <v>1119</v>
      </c>
      <c r="B94" s="46" t="str">
        <f>IFERROR(__xludf.DUMMYFUNCTION("""COMPUTED_VALUE"""),"Casa en barrio Altos de la Ferreira")</f>
        <v>Casa en barrio Altos de la Ferreira</v>
      </c>
      <c r="C94" s="46" t="str">
        <f>IFERROR(__xludf.DUMMYFUNCTION("""COMPUTED_VALUE"""),"Casa")</f>
        <v>Casa</v>
      </c>
      <c r="D94" s="46" t="str">
        <f>IFERROR(__xludf.DUMMYFUNCTION("""COMPUTED_VALUE"""),"Altos de la Ferreira")</f>
        <v>Altos de la Ferreira</v>
      </c>
      <c r="E94" s="46"/>
      <c r="F94" s="90">
        <f>IFERROR(__xludf.DUMMYFUNCTION("""COMPUTED_VALUE"""),2.8E8)</f>
        <v>280000000</v>
      </c>
      <c r="G94" s="46" t="str">
        <f>IFERROR(__xludf.DUMMYFUNCTION("""COMPUTED_VALUE"""),"$200'000.000 a $300'000.000")</f>
        <v>$200'000.000 a $300'000.000</v>
      </c>
      <c r="H94" s="46"/>
      <c r="I94" s="46"/>
      <c r="J94" s="46" t="str">
        <f>IFERROR(__xludf.DUMMYFUNCTION("""COMPUTED_VALUE"""),"Oriente")</f>
        <v>Oriente</v>
      </c>
      <c r="K94" s="87" t="str">
        <f>IFERROR(__xludf.DUMMYFUNCTION("""COMPUTED_VALUE"""),"5")</f>
        <v>5</v>
      </c>
      <c r="L94" s="46">
        <f>IFERROR(__xludf.DUMMYFUNCTION("""COMPUTED_VALUE"""),4.0)</f>
        <v>4</v>
      </c>
      <c r="M94" s="46"/>
      <c r="N94" s="46">
        <f>IFERROR(__xludf.DUMMYFUNCTION("""COMPUTED_VALUE"""),3.0)</f>
        <v>3</v>
      </c>
      <c r="O94" s="46">
        <f>IFERROR(__xludf.DUMMYFUNCTION("""COMPUTED_VALUE"""),1.0)</f>
        <v>1</v>
      </c>
      <c r="P94" s="46">
        <f>IFERROR(__xludf.DUMMYFUNCTION("""COMPUTED_VALUE"""),2.0)</f>
        <v>2</v>
      </c>
      <c r="Q94" s="92">
        <f>IFERROR(__xludf.DUMMYFUNCTION("""COMPUTED_VALUE"""),107.0)</f>
        <v>107</v>
      </c>
      <c r="R94" s="92">
        <f>IFERROR(__xludf.DUMMYFUNCTION("""COMPUTED_VALUE"""),107.0)</f>
        <v>107</v>
      </c>
      <c r="S94" s="87" t="str">
        <f>IFERROR(__xludf.DUMMYFUNCTION("""COMPUTED_VALUE""")," ")</f>
        <v> </v>
      </c>
      <c r="T94" s="46" t="str">
        <f>IFERROR(__xludf.DUMMYFUNCTION("""COMPUTED_VALUE"""),"Neiva")</f>
        <v>Neiva</v>
      </c>
      <c r="U94" s="87" t="str">
        <f>IFERROR(__xludf.DUMMYFUNCTION("""COMPUTED_VALUE"""),"3")</f>
        <v>3</v>
      </c>
      <c r="V94" s="46" t="str">
        <f>IFERROR(__xludf.DUMMYFUNCTION("""COMPUTED_VALUE"""),"Medianera")</f>
        <v>Medianera</v>
      </c>
      <c r="W94" s="46"/>
      <c r="X94" s="46">
        <f>IFERROR(__xludf.DUMMYFUNCTION("""COMPUTED_VALUE"""),3.0)</f>
        <v>3</v>
      </c>
      <c r="Y94" s="46" t="str">
        <f>IFERROR(__xludf.DUMMYFUNCTION("""COMPUTED_VALUE"""),"No tiene")</f>
        <v>No tiene</v>
      </c>
      <c r="Z94" s="90" t="str">
        <f>IFERROR(__xludf.DUMMYFUNCTION("""COMPUTED_VALUE"""),"No aplica")</f>
        <v>No aplica</v>
      </c>
      <c r="AA94" s="33" t="str">
        <f>IFERROR(__xludf.DUMMYFUNCTION("""COMPUTED_VALUE"""),"No aplica")</f>
        <v>No aplica</v>
      </c>
      <c r="AB94" s="144" t="str">
        <f>IFERROR(__xludf.DUMMYFUNCTION("""COMPUTED_VALUE"""),"https://photos.app.goo.gl/bAQQxb6AF8xpDcyw7")</f>
        <v>https://photos.app.goo.gl/bAQQxb6AF8xpDcyw7</v>
      </c>
      <c r="AC94" s="46" t="str">
        <f>IFERROR(__xludf.DUMMYFUNCTION("""COMPUTED_VALUE"""),"El primer piso consta de: Sala, comedor, estar de T.V, cocina integral, zona de lavandería, terraza, habitación de servicio con baño privado, baño de visitas y garaje. Segundo piso: tres habitaciones la principal con baño, tina, balcón, dos habitaciones a"&amp;"uxiliares, closeth en madera y baño auxiliar, cuenta con fácil acceso avenidas principales y a tres minutos del centro comercial Santa Lucia Plaza.")</f>
        <v>El primer piso consta de: Sala, comedor, estar de T.V, cocina integral, zona de lavandería, terraza, habitación de servicio con baño privado, baño de visitas y garaje. Segundo piso: tres habitaciones la principal con baño, tina, balcón, dos habitaciones auxiliares, closeth en madera y baño auxiliar, cuenta con fácil acceso avenidas principales y a tres minutos del centro comercial Santa Lucia Plaza.</v>
      </c>
      <c r="AD94" s="46"/>
      <c r="AE94" s="46"/>
      <c r="AF94" s="46" t="str">
        <f>IFERROR(__xludf.DUMMYFUNCTION("""COMPUTED_VALUE"""),"integral")</f>
        <v>integral</v>
      </c>
      <c r="AG94" s="46"/>
      <c r="AH94" s="46" t="str">
        <f>IFERROR(__xludf.DUMMYFUNCTION("""COMPUTED_VALUE"""),"Aliado")</f>
        <v>Aliado</v>
      </c>
      <c r="AI94" s="92" t="str">
        <f>IFERROR(__xludf.DUMMYFUNCTION("""COMPUTED_VALUE"""),"https://lh3.googleusercontent.com/pw/AP1GczOvnJP0yNuVftwls23b2YtT59hAJKDddB6ApKcxlvF6XXLE8OQUFE5e32PZnMqR3XMpglRctG6iG0lVkQNjCuVJLBz0q6dUUV_ZbuAjQUN10lNkQQUA=w1200|https://lh3.googleusercontent.com/pw/AP1GczMLYyl_lyQE6rr_Lok7-IGlIlLKxAQQHr02CdttydBk9nDw57"&amp;"fl3XsuVYNBv1X7NQcxaAsd_88LripvuzQeg-QKqDpsbA2oivEKchkkKi_KNnckLBkU=w1200|https://lh3.googleusercontent.com/pw/AP1GczNxRteSScn-_U8_hUUY0Rk3KNM5k-tZZOlaYwHcq71RlLvQkqW5LTTziEYYsrRMPnwBgG_LH7r-9muVKEKyr25ImevnKWj3qygHWfCr9_UMOWMX2_gh=w1200|https://lh3.google"&amp;"usercontent.com/pw/AP1GczPBWnR7cRv2lVtzwQQVZs_TZ3FX4oxnMQN85Rqw9NCPnsuvohZThUgipTH-pjNebrllTejtlu2K2-MfjBDGYLidGITtILqj76he-dJGoBtXEY2CiCan=w1200|https://lh3.googleusercontent.com/pw/AP1GczM4ZrjvSjZkGYLdsE2d5DOXHmZB7rPLZQl-ZPpryhl960xmJgxIwjZkb7RR71wJy_Ns"&amp;"IvoTcjSldxxHvxoaCrYaIO-t1JfwvI55o1wKoSGeebvhmVim=w1200|https://lh3.googleusercontent.com/pw/AP1GczOKfW7VEzE5FYTlcL7QN2zk3OpYIbo99b1F_RoKDLkhhhVnkSUuYHHbil-r8eL4x7AqEca4EajVUWkJrxXwLCXh8Z_hQYpTuE8mm1j-E8xhw_U4gUf6=w1200|https://lh3.googleusercontent.com/pw"&amp;"/AP1GczMicq_oLBZgSpn63Vpt3CSh3RZ12qHvs9XfRIA30cMLsLsn3Trzn8hy8kbMOr7qnJ7vHW1vq6eycJFP9YS3JQoO-u4KYjXyxImG_wrP-sr3aUCKtU_o=w1200|https://lh3.googleusercontent.com/pw/AP1GczP1CEXxFFRtb4B2M-PQuOvs4TMmzLP_7heS0CcdudXLqMoMgYM42wkQ0A-7oFeFBd3gKbHihs6YOp5YuVZV5v"&amp;"o3pUOZqXbW3Ph6PV1At5X4FE4rycMF=w1200|https://lh3.googleusercontent.com/pw/AP1GczMWc_x7xAx_QRcViGaBYnHkYFDSTlPMisJ-p9cGs1WWJhXD7ThzUpuLBBanRM50NoJwkV0VX3R18n_rMYN0SGgjVpttgDckYpouBBWI4INibuWj4Jca=w1200|https://lh3.googleusercontent.com/pw/AP1GczN3CFFvOEVVd"&amp;"uWg4ULOh2onoSFkCmRviWHMQ_wfuXIY9RCFKHhTx8uw83P-NkbvZE2TEJIVg-Q1WDdecJAymdkXPmUeRpk_DOi6uV2SwGKdUgZjFnsz=w1200|https://lh3.googleusercontent.com/pw/AP1GczNO_4p_21ASDcBbcjABP-OCWuSHgzvfzae2DembyG8JvCMxA5IvyLOynhbupchqYlx4Ke2qBC7ggNE9ljZ71SV9geWkMHyKeu4w4Ps2"&amp;"q6HfAcpbRQzc=w1200|https://lh3.googleusercontent.com/pw/AP1GczPA4U7FkNj2mPyilq-L2mQrikDvoDhXU0X4R1bOiBX1gEyKLYxY7UcQLc7gxFijr6BonrjbWh5XwJwnXxarGky8GxnnQoCenjlook2os7BURCtEOvQ8=w1200|https://lh3.googleusercontent.com/pw/AP1GczPOqWHoZe2RLIZNihnJsICyPn-98rN"&amp;"XAwfM7_8JZDiqdYEcVx0c_AVYYOtNsInsI7S-K8cI3ScN4nBFsydcqhvj5fYOx8skfAlL2OsL_WNKEwCZrLjU=w1200|https://lh3.googleusercontent.com/pw/AP1GczM0T2-eizs97YM2wvc9U59d3X8-mXsD4gpe8HL5LHH5LIRB8zVih6CoIs8I0dM5I3e3R5V_j1XIbDaCRT-6MbczE2mG6NRS8XzIw5pE_Cix-soBDO22=w1200"&amp;"|https://lh3.googleusercontent.com/pw/AP1GczO7Uox0rN7vxZSke2Qel4--jCsYKCJG6jltC-OwYI45-5_pqljRbg7NhbuuPYpwrvDJ4qTq0ULI1g_u4F5V4xJ0mg9KtwzKQFGzlbX-BplpN8mgjSN3=w1200|https://lh3.googleusercontent.com/pw/AP1GczO9DrAXcFBC1O9bLgHcUtdUQ2MDCdzlhdw0d6Clu6lVEXSLb"&amp;"1tIqeriUEKvu-uz1vpDtKAZHKDoD3kKzjpxc67p2KIrGlPbkUI0S1zSIpnaZi1klZ7_=w1200|https://lh3.googleusercontent.com/pw/AP1GczPLXpkeZoNqztfQpC47MM7WZwpgM44o6ukUBljNSo9HJulS8y8oCM9GA0Rltj84Bvv2_2x9F_-zy8cw0L_ZdpA51JLwPL5mokOD8dv5zwju-eBF1kxB=w1200|https://lh3.googl"&amp;"eusercontent.com/pw/AP1GczO68fx6zGrdSunVR74qK27TehdP1KkmkikFdvohKkb3bT1AL2Iplz1acw_2OlT5lCuX7YYa_OGDab2DAc9TX297VbytNsJoH8VpsztB7Jmlen8jzJgt=w1200|https://lh3.googleusercontent.com/pw/AP1GczNg2zpmZwiB8rsqiD-2b-MV728AYk4f-qjYB4AgRA9LXJ_wx7yy6yfEkAx6Ck0ysLW"&amp;"v68iXXz2b2AoUoSFQ3-cFv3H4FgLzpiYpTxzpcAmiWxulYX7M=w1200")</f>
        <v>https://lh3.googleusercontent.com/pw/AP1GczOvnJP0yNuVftwls23b2YtT59hAJKDddB6ApKcxlvF6XXLE8OQUFE5e32PZnMqR3XMpglRctG6iG0lVkQNjCuVJLBz0q6dUUV_ZbuAjQUN10lNkQQUA=w1200|https://lh3.googleusercontent.com/pw/AP1GczMLYyl_lyQE6rr_Lok7-IGlIlLKxAQQHr02CdttydBk9nDw57fl3XsuVYNBv1X7NQcxaAsd_88LripvuzQeg-QKqDpsbA2oivEKchkkKi_KNnckLBkU=w1200|https://lh3.googleusercontent.com/pw/AP1GczNxRteSScn-_U8_hUUY0Rk3KNM5k-tZZOlaYwHcq71RlLvQkqW5LTTziEYYsrRMPnwBgG_LH7r-9muVKEKyr25ImevnKWj3qygHWfCr9_UMOWMX2_gh=w1200|https://lh3.googleusercontent.com/pw/AP1GczPBWnR7cRv2lVtzwQQVZs_TZ3FX4oxnMQN85Rqw9NCPnsuvohZThUgipTH-pjNebrllTejtlu2K2-MfjBDGYLidGITtILqj76he-dJGoBtXEY2CiCan=w1200|https://lh3.googleusercontent.com/pw/AP1GczM4ZrjvSjZkGYLdsE2d5DOXHmZB7rPLZQl-ZPpryhl960xmJgxIwjZkb7RR71wJy_NsIvoTcjSldxxHvxoaCrYaIO-t1JfwvI55o1wKoSGeebvhmVim=w1200|https://lh3.googleusercontent.com/pw/AP1GczOKfW7VEzE5FYTlcL7QN2zk3OpYIbo99b1F_RoKDLkhhhVnkSUuYHHbil-r8eL4x7AqEca4EajVUWkJrxXwLCXh8Z_hQYpTuE8mm1j-E8xhw_U4gUf6=w1200|https://lh3.googleusercontent.com/pw/AP1GczMicq_oLBZgSpn63Vpt3CSh3RZ12qHvs9XfRIA30cMLsLsn3Trzn8hy8kbMOr7qnJ7vHW1vq6eycJFP9YS3JQoO-u4KYjXyxImG_wrP-sr3aUCKtU_o=w1200|https://lh3.googleusercontent.com/pw/AP1GczP1CEXxFFRtb4B2M-PQuOvs4TMmzLP_7heS0CcdudXLqMoMgYM42wkQ0A-7oFeFBd3gKbHihs6YOp5YuVZV5vo3pUOZqXbW3Ph6PV1At5X4FE4rycMF=w1200|https://lh3.googleusercontent.com/pw/AP1GczMWc_x7xAx_QRcViGaBYnHkYFDSTlPMisJ-p9cGs1WWJhXD7ThzUpuLBBanRM50NoJwkV0VX3R18n_rMYN0SGgjVpttgDckYpouBBWI4INibuWj4Jca=w1200|https://lh3.googleusercontent.com/pw/AP1GczN3CFFvOEVVduWg4ULOh2onoSFkCmRviWHMQ_wfuXIY9RCFKHhTx8uw83P-NkbvZE2TEJIVg-Q1WDdecJAymdkXPmUeRpk_DOi6uV2SwGKdUgZjFnsz=w1200|https://lh3.googleusercontent.com/pw/AP1GczNO_4p_21ASDcBbcjABP-OCWuSHgzvfzae2DembyG8JvCMxA5IvyLOynhbupchqYlx4Ke2qBC7ggNE9ljZ71SV9geWkMHyKeu4w4Ps2q6HfAcpbRQzc=w1200|https://lh3.googleusercontent.com/pw/AP1GczPA4U7FkNj2mPyilq-L2mQrikDvoDhXU0X4R1bOiBX1gEyKLYxY7UcQLc7gxFijr6BonrjbWh5XwJwnXxarGky8GxnnQoCenjlook2os7BURCtEOvQ8=w1200|https://lh3.googleusercontent.com/pw/AP1GczPOqWHoZe2RLIZNihnJsICyPn-98rNXAwfM7_8JZDiqdYEcVx0c_AVYYOtNsInsI7S-K8cI3ScN4nBFsydcqhvj5fYOx8skfAlL2OsL_WNKEwCZrLjU=w1200|https://lh3.googleusercontent.com/pw/AP1GczM0T2-eizs97YM2wvc9U59d3X8-mXsD4gpe8HL5LHH5LIRB8zVih6CoIs8I0dM5I3e3R5V_j1XIbDaCRT-6MbczE2mG6NRS8XzIw5pE_Cix-soBDO22=w1200|https://lh3.googleusercontent.com/pw/AP1GczO7Uox0rN7vxZSke2Qel4--jCsYKCJG6jltC-OwYI45-5_pqljRbg7NhbuuPYpwrvDJ4qTq0ULI1g_u4F5V4xJ0mg9KtwzKQFGzlbX-BplpN8mgjSN3=w1200|https://lh3.googleusercontent.com/pw/AP1GczO9DrAXcFBC1O9bLgHcUtdUQ2MDCdzlhdw0d6Clu6lVEXSLb1tIqeriUEKvu-uz1vpDtKAZHKDoD3kKzjpxc67p2KIrGlPbkUI0S1zSIpnaZi1klZ7_=w1200|https://lh3.googleusercontent.com/pw/AP1GczPLXpkeZoNqztfQpC47MM7WZwpgM44o6ukUBljNSo9HJulS8y8oCM9GA0Rltj84Bvv2_2x9F_-zy8cw0L_ZdpA51JLwPL5mokOD8dv5zwju-eBF1kxB=w1200|https://lh3.googleusercontent.com/pw/AP1GczO68fx6zGrdSunVR74qK27TehdP1KkmkikFdvohKkb3bT1AL2Iplz1acw_2OlT5lCuX7YYa_OGDab2DAc9TX297VbytNsJoH8VpsztB7Jmlen8jzJgt=w1200|https://lh3.googleusercontent.com/pw/AP1GczNg2zpmZwiB8rsqiD-2b-MV728AYk4f-qjYB4AgRA9LXJ_wx7yy6yfEkAx6Ck0ysLWv68iXXz2b2AoUoSFQ3-cFv3H4FgLzpiYpTxzpcAmiWxulYX7M=w1200</v>
      </c>
      <c r="AJ94" s="46"/>
      <c r="AK94" s="46"/>
      <c r="AL94" s="46"/>
      <c r="AM94" s="46"/>
      <c r="AN94" s="46"/>
      <c r="AO94" s="46"/>
      <c r="AP94" s="46"/>
      <c r="AQ94" s="46"/>
      <c r="AR94" s="46"/>
      <c r="AS94" s="46"/>
      <c r="AT94" s="46"/>
      <c r="AU94" s="46"/>
      <c r="AV94" s="46"/>
      <c r="AW94" s="46"/>
      <c r="AX94" s="46"/>
      <c r="AY94" s="46"/>
      <c r="AZ94" s="46"/>
      <c r="BA94" s="46"/>
      <c r="BB94" s="46"/>
      <c r="BC94" s="46"/>
      <c r="BD94" s="46"/>
      <c r="BE94" s="46"/>
      <c r="BF94" s="46"/>
      <c r="BG94" s="46"/>
      <c r="BH94" s="46"/>
      <c r="BI94" s="46"/>
      <c r="BJ94" s="46"/>
      <c r="BK94" s="46"/>
      <c r="BL94" s="46"/>
      <c r="BM94" s="46"/>
      <c r="BN94" s="46"/>
      <c r="BO94" s="46"/>
      <c r="BP94" s="46"/>
      <c r="BQ94" s="46"/>
      <c r="BR94" s="46"/>
      <c r="BS94" s="46"/>
      <c r="BT94" s="46"/>
      <c r="BU94" s="46"/>
      <c r="BV94" s="46"/>
      <c r="BW94" s="46"/>
      <c r="BX94" s="46"/>
      <c r="BY94" s="46"/>
      <c r="BZ94" s="46"/>
      <c r="CA94" s="46"/>
      <c r="CB94" s="46"/>
      <c r="CC94" s="46"/>
    </row>
    <row r="95">
      <c r="A95" s="87" t="str">
        <f>IFERROR(__xludf.DUMMYFUNCTION("""COMPUTED_VALUE"""),"1786")</f>
        <v>1786</v>
      </c>
      <c r="B95" s="46" t="str">
        <f>IFERROR(__xludf.DUMMYFUNCTION("""COMPUTED_VALUE"""),"Casa en barrio Misael Pastrana - Norte")</f>
        <v>Casa en barrio Misael Pastrana - Norte</v>
      </c>
      <c r="C95" s="46" t="str">
        <f>IFERROR(__xludf.DUMMYFUNCTION("""COMPUTED_VALUE"""),"Casa")</f>
        <v>Casa</v>
      </c>
      <c r="D95" s="46" t="str">
        <f>IFERROR(__xludf.DUMMYFUNCTION("""COMPUTED_VALUE"""),"Misael Pastrana")</f>
        <v>Misael Pastrana</v>
      </c>
      <c r="E95" s="46"/>
      <c r="F95" s="90">
        <f>IFERROR(__xludf.DUMMYFUNCTION("""COMPUTED_VALUE"""),2.7E8)</f>
        <v>270000000</v>
      </c>
      <c r="G95" s="46" t="str">
        <f>IFERROR(__xludf.DUMMYFUNCTION("""COMPUTED_VALUE"""),"$200'000.000 a $300'000.000")</f>
        <v>$200'000.000 a $300'000.000</v>
      </c>
      <c r="H95" s="46"/>
      <c r="I95" s="46"/>
      <c r="J95" s="46" t="str">
        <f>IFERROR(__xludf.DUMMYFUNCTION("""COMPUTED_VALUE"""),"Oriente")</f>
        <v>Oriente</v>
      </c>
      <c r="K95" s="87" t="str">
        <f>IFERROR(__xludf.DUMMYFUNCTION("""COMPUTED_VALUE"""),"7")</f>
        <v>7</v>
      </c>
      <c r="L95" s="46">
        <f>IFERROR(__xludf.DUMMYFUNCTION("""COMPUTED_VALUE"""),3.0)</f>
        <v>3</v>
      </c>
      <c r="M95" s="46"/>
      <c r="N95" s="46">
        <f>IFERROR(__xludf.DUMMYFUNCTION("""COMPUTED_VALUE"""),1.0)</f>
        <v>1</v>
      </c>
      <c r="O95" s="46">
        <f>IFERROR(__xludf.DUMMYFUNCTION("""COMPUTED_VALUE"""),0.0)</f>
        <v>0</v>
      </c>
      <c r="P95" s="46">
        <f>IFERROR(__xludf.DUMMYFUNCTION("""COMPUTED_VALUE"""),1.0)</f>
        <v>1</v>
      </c>
      <c r="Q95" s="92">
        <f>IFERROR(__xludf.DUMMYFUNCTION("""COMPUTED_VALUE"""),98.0)</f>
        <v>98</v>
      </c>
      <c r="R95" s="92">
        <f>IFERROR(__xludf.DUMMYFUNCTION("""COMPUTED_VALUE"""),98.0)</f>
        <v>98</v>
      </c>
      <c r="S95" s="87" t="str">
        <f>IFERROR(__xludf.DUMMYFUNCTION("""COMPUTED_VALUE""")," ")</f>
        <v> </v>
      </c>
      <c r="T95" s="46" t="str">
        <f>IFERROR(__xludf.DUMMYFUNCTION("""COMPUTED_VALUE"""),"Neiva")</f>
        <v>Neiva</v>
      </c>
      <c r="U95" s="87" t="str">
        <f>IFERROR(__xludf.DUMMYFUNCTION("""COMPUTED_VALUE"""),"2")</f>
        <v>2</v>
      </c>
      <c r="V95" s="46" t="str">
        <f>IFERROR(__xludf.DUMMYFUNCTION("""COMPUTED_VALUE"""),"Medianero")</f>
        <v>Medianero</v>
      </c>
      <c r="W95" s="46"/>
      <c r="X95" s="46">
        <f>IFERROR(__xludf.DUMMYFUNCTION("""COMPUTED_VALUE"""),2.0)</f>
        <v>2</v>
      </c>
      <c r="Y95" s="46" t="str">
        <f>IFERROR(__xludf.DUMMYFUNCTION("""COMPUTED_VALUE"""),"No tiene")</f>
        <v>No tiene</v>
      </c>
      <c r="Z95" s="90"/>
      <c r="AA95" s="33" t="str">
        <f>IFERROR(__xludf.DUMMYFUNCTION("""COMPUTED_VALUE"""),"No aplica")</f>
        <v>No aplica</v>
      </c>
      <c r="AB95" s="96" t="str">
        <f>IFERROR(__xludf.DUMMYFUNCTION("""COMPUTED_VALUE"""),"https://photos.app.goo.gl/7jbhq9Tg72KahKfW7")</f>
        <v>https://photos.app.goo.gl/7jbhq9Tg72KahKfW7</v>
      </c>
      <c r="AC95" s="46" t="str">
        <f>IFERROR(__xludf.DUMMYFUNCTION("""COMPUTED_VALUE"""),"Características de la vivienda: 3 alcobas amplias (2 con closet en madera) Sala cómoda. Comedor Cocina integral. Patio de ropas. Zona de lavandería. Baños independientes. Depósito pequeño. Tanque de reserva de agua Casa enrejada, segura.")</f>
        <v>Características de la vivienda: 3 alcobas amplias (2 con closet en madera) Sala cómoda. Comedor Cocina integral. Patio de ropas. Zona de lavandería. Baños independientes. Depósito pequeño. Tanque de reserva de agua Casa enrejada, segura.</v>
      </c>
      <c r="AD95" s="46" t="str">
        <f>IFERROR(__xludf.DUMMYFUNCTION("""COMPUTED_VALUE"""),"Ubicación: Barrio Misael Pastrana – sobre avenida principal, con fácil acceso a transporte, comercio y servicios. Pisos en cerámica Techo en drywall.  Estrato 2.")</f>
        <v>Ubicación: Barrio Misael Pastrana – sobre avenida principal, con fácil acceso a transporte, comercio y servicios. Pisos en cerámica Techo en drywall.  Estrato 2.</v>
      </c>
      <c r="AE95" s="46"/>
      <c r="AF95" s="46" t="str">
        <f>IFERROR(__xludf.DUMMYFUNCTION("""COMPUTED_VALUE"""),"integral")</f>
        <v>integral</v>
      </c>
      <c r="AG95" s="46"/>
      <c r="AH95" s="46" t="str">
        <f>IFERROR(__xludf.DUMMYFUNCTION("""COMPUTED_VALUE"""),"Aliado")</f>
        <v>Aliado</v>
      </c>
      <c r="AI95" s="92" t="str">
        <f>IFERROR(__xludf.DUMMYFUNCTION("""COMPUTED_VALUE"""),"https://lh3.googleusercontent.com/pw/AP1GczMGto_-GXdyHdPAiWhMksplT9Qqm_Uz-IecjpIRJ_Al_fWv2vnDqwcyHYeQukN6EkbsmZpTDLnOS6YKyo6vYH-dVLs6Qk5WPq39AWsKX09ddnOFG81j=w1200|https://lh3.googleusercontent.com/pw/AP1GczNgXo4NDnm1cTidbgAU8iygxVoJVICnHsHAobvZCrnnyckb-s"&amp;"1_MWMN7dvmEdfTPPvI4szzh0dBMNxPbs6YWdA-BjmNRZ_bpXpf1Aorf8YcKkUCGQJP=w1200|https://lh3.googleusercontent.com/pw/AP1GczN7Q4v8BiJdydsLxEr4z_mQOZCboez4ArJJx4VFA_DstenKTXt33QXqwaqAR1MnAWkfOP4_u3BbbfIevkmp4i8sUqYqyPPaZfu1_qJ6jesBIJnODVlN=w1200|https://lh3.google"&amp;"usercontent.com/pw/AP1GczN1Ntlb3_ifbNN2utd1fa_l2a6OsfSwi9XpO2hhql0ezg5EI4NNPYxkmQ276-XLfFqIp2UyZpLn7xu5wjN-wszE1Rm6VwFQEr2fDvS_1dQYf1H_Rs2q=w1200|https://lh3.googleusercontent.com/pw/AP1GczNAAUmHHXZBOj7_aUDrSGXZTJsk0ZyxMlymrKjyplgLL6aNDyi_FF4maMLT-o0YAVFG"&amp;"KI1132TufW8-jBuFXTyAsRZz5yZw0GQR4zgSss6cy6FgWRIC=w1200|https://lh3.googleusercontent.com/pw/AP1GczMadhasvp4x7MVaUJqq9clulUdo0Ak4zw4siSUAVoLQnoYEaXQDsTGDuGha0h4oAYQQstU9tChbwZ52iwvYuF3kMqfW4vSHqMB9prWLUbi_NClI8i33=w1200|https://lh3.googleusercontent.com/pw"&amp;"/AP1GczOiK4daoWNP0ZUoHQl7xw7r451o2ZufNAkmodaG8RawWgyBGyISZSXIxXUloq-EvwJ-e_EYCat0mXXSNC1mboQcwFOO6YFuqEax2M652Wx4yGEEwy2i=w1200|https://lh3.googleusercontent.com/pw/AP1GczOLroAogHGAkeeXQdOD4FJQWlUWBk-VB430LDOqLkTMZGd3L0TmUp9eh-ysjR3VR2sST7xcQleN8pM8nOio3f"&amp;"pUz0PNGvO2koKtThSpW79zhrevxQHD=w1200|https://lh3.googleusercontent.com/pw/AP1GczN--96OCRH62K7rMU-MtqMALs0xVlitBvMFotZ-PGMnSZe1F8OnPPSI3uEMvIQFhx2ZXJwIVl9NsDnDZmRXf-ziKaaALiNnmRi_LphgOuaqvvcIFG5y=w1200|https://lh3.googleusercontent.com/pw/AP1GczMuHCAET6IKH"&amp;"5GAv-m9UnL401OzAz2meE1F_3FyxiEJj2enUhuIbMq2vGF64AuwzvBHkeoXpvuGinqhGYemQYovzXqRkWIFHRxd8_1m6eqm6t7RqnHz=w1200|https://lh3.googleusercontent.com/pw/AP1GczPt4NPkVTyutrckrxkZEan1J-Cf3jduop1XEVST9YV0y8ST1ONPCvf16WSNSzjAoYeCilE8YaY-yr_4tNCYIqRJriVMcXA4avecVfca"&amp;"-MDYzUwHTvkd=w1200|https://lh3.googleusercontent.com/pw/AP1GczNmoX-UfZcUJdDkcfLCGespF2xoTfQHL70_okYoc1WsJqYsyaQEWPbAZlUPQRuOoT07w205_2wn9juaV88uCDJHP4_JwQJY2781QETN1yOwp6EPPZTW=w1200|https://lh3.googleusercontent.com/pw/AP1GczPXllNRIbHVYbUo5qXbJL89ZxkubbZ"&amp;"1RMYoS5jYH15vFKgGo3fIMKa1AGMDuJZqm9SlLnDLq0DT14TgIGWREZnxC14wymNlIyBYGRJ2LetbNh_0Q9h8=w1200|https://lh3.googleusercontent.com/pw/AP1GczMT-NY3x3oiIMUTdY357jTFvVTdGV6-nDA3Dgih7xExIT2OssoBTXqG93v81k-cmStOCYAQnYcKtOkMniKo0VCN_sQCwppx3W4tohHtDKlGoNbfkzoE=w1200"&amp;"|https://lh3.googleusercontent.com/pw/AP1GczMgE7J2YDDueC4XePY3mbuKdwap6st50bfT-zI5YEgTzMZzjScy8q513erN1F3lz7VIPq1hhzAfaXwrD519JlVFNAcagjlFnDgjnzJlkN3_SgsOBHz8=w1200|https://lh3.googleusercontent.com/pw/AP1GczNy1mzrVRoMhtbbVdSQqNR7B_mdZbwCqQk9Pc5bf5yL5TBNP"&amp;"p5pxrvo_RT0nG9pHQ55VfaoxIfd39pxo04cG7yzlMs1S6CSkm8q71zx8mlj2pN8s9r9=w1200")</f>
        <v>https://lh3.googleusercontent.com/pw/AP1GczMGto_-GXdyHdPAiWhMksplT9Qqm_Uz-IecjpIRJ_Al_fWv2vnDqwcyHYeQukN6EkbsmZpTDLnOS6YKyo6vYH-dVLs6Qk5WPq39AWsKX09ddnOFG81j=w1200|https://lh3.googleusercontent.com/pw/AP1GczNgXo4NDnm1cTidbgAU8iygxVoJVICnHsHAobvZCrnnyckb-s1_MWMN7dvmEdfTPPvI4szzh0dBMNxPbs6YWdA-BjmNRZ_bpXpf1Aorf8YcKkUCGQJP=w1200|https://lh3.googleusercontent.com/pw/AP1GczN7Q4v8BiJdydsLxEr4z_mQOZCboez4ArJJx4VFA_DstenKTXt33QXqwaqAR1MnAWkfOP4_u3BbbfIevkmp4i8sUqYqyPPaZfu1_qJ6jesBIJnODVlN=w1200|https://lh3.googleusercontent.com/pw/AP1GczN1Ntlb3_ifbNN2utd1fa_l2a6OsfSwi9XpO2hhql0ezg5EI4NNPYxkmQ276-XLfFqIp2UyZpLn7xu5wjN-wszE1Rm6VwFQEr2fDvS_1dQYf1H_Rs2q=w1200|https://lh3.googleusercontent.com/pw/AP1GczNAAUmHHXZBOj7_aUDrSGXZTJsk0ZyxMlymrKjyplgLL6aNDyi_FF4maMLT-o0YAVFGKI1132TufW8-jBuFXTyAsRZz5yZw0GQR4zgSss6cy6FgWRIC=w1200|https://lh3.googleusercontent.com/pw/AP1GczMadhasvp4x7MVaUJqq9clulUdo0Ak4zw4siSUAVoLQnoYEaXQDsTGDuGha0h4oAYQQstU9tChbwZ52iwvYuF3kMqfW4vSHqMB9prWLUbi_NClI8i33=w1200|https://lh3.googleusercontent.com/pw/AP1GczOiK4daoWNP0ZUoHQl7xw7r451o2ZufNAkmodaG8RawWgyBGyISZSXIxXUloq-EvwJ-e_EYCat0mXXSNC1mboQcwFOO6YFuqEax2M652Wx4yGEEwy2i=w1200|https://lh3.googleusercontent.com/pw/AP1GczOLroAogHGAkeeXQdOD4FJQWlUWBk-VB430LDOqLkTMZGd3L0TmUp9eh-ysjR3VR2sST7xcQleN8pM8nOio3fpUz0PNGvO2koKtThSpW79zhrevxQHD=w1200|https://lh3.googleusercontent.com/pw/AP1GczN--96OCRH62K7rMU-MtqMALs0xVlitBvMFotZ-PGMnSZe1F8OnPPSI3uEMvIQFhx2ZXJwIVl9NsDnDZmRXf-ziKaaALiNnmRi_LphgOuaqvvcIFG5y=w1200|https://lh3.googleusercontent.com/pw/AP1GczMuHCAET6IKH5GAv-m9UnL401OzAz2meE1F_3FyxiEJj2enUhuIbMq2vGF64AuwzvBHkeoXpvuGinqhGYemQYovzXqRkWIFHRxd8_1m6eqm6t7RqnHz=w1200|https://lh3.googleusercontent.com/pw/AP1GczPt4NPkVTyutrckrxkZEan1J-Cf3jduop1XEVST9YV0y8ST1ONPCvf16WSNSzjAoYeCilE8YaY-yr_4tNCYIqRJriVMcXA4avecVfca-MDYzUwHTvkd=w1200|https://lh3.googleusercontent.com/pw/AP1GczNmoX-UfZcUJdDkcfLCGespF2xoTfQHL70_okYoc1WsJqYsyaQEWPbAZlUPQRuOoT07w205_2wn9juaV88uCDJHP4_JwQJY2781QETN1yOwp6EPPZTW=w1200|https://lh3.googleusercontent.com/pw/AP1GczPXllNRIbHVYbUo5qXbJL89ZxkubbZ1RMYoS5jYH15vFKgGo3fIMKa1AGMDuJZqm9SlLnDLq0DT14TgIGWREZnxC14wymNlIyBYGRJ2LetbNh_0Q9h8=w1200|https://lh3.googleusercontent.com/pw/AP1GczMT-NY3x3oiIMUTdY357jTFvVTdGV6-nDA3Dgih7xExIT2OssoBTXqG93v81k-cmStOCYAQnYcKtOkMniKo0VCN_sQCwppx3W4tohHtDKlGoNbfkzoE=w1200|https://lh3.googleusercontent.com/pw/AP1GczMgE7J2YDDueC4XePY3mbuKdwap6st50bfT-zI5YEgTzMZzjScy8q513erN1F3lz7VIPq1hhzAfaXwrD519JlVFNAcagjlFnDgjnzJlkN3_SgsOBHz8=w1200|https://lh3.googleusercontent.com/pw/AP1GczNy1mzrVRoMhtbbVdSQqNR7B_mdZbwCqQk9Pc5bf5yL5TBNPp5pxrvo_RT0nG9pHQ55VfaoxIfd39pxo04cG7yzlMs1S6CSkm8q71zx8mlj2pN8s9r9=w1200</v>
      </c>
      <c r="AJ95" s="46"/>
      <c r="AK95" s="46"/>
      <c r="AL95" s="46"/>
      <c r="AM95" s="46"/>
      <c r="AN95" s="46"/>
      <c r="AO95" s="46"/>
      <c r="AP95" s="46"/>
      <c r="AQ95" s="46"/>
      <c r="AR95" s="46"/>
      <c r="AS95" s="46"/>
      <c r="AT95" s="46"/>
      <c r="AU95" s="46"/>
      <c r="AV95" s="46"/>
      <c r="AW95" s="46"/>
      <c r="AX95" s="46"/>
      <c r="AY95" s="46"/>
      <c r="AZ95" s="46"/>
      <c r="BA95" s="46"/>
      <c r="BB95" s="46"/>
      <c r="BC95" s="46"/>
      <c r="BD95" s="46"/>
      <c r="BE95" s="46"/>
      <c r="BF95" s="46"/>
      <c r="BG95" s="46"/>
      <c r="BH95" s="46"/>
      <c r="BI95" s="46"/>
      <c r="BJ95" s="46"/>
      <c r="BK95" s="46"/>
      <c r="BL95" s="46"/>
      <c r="BM95" s="46"/>
      <c r="BN95" s="46"/>
      <c r="BO95" s="46"/>
      <c r="BP95" s="46"/>
      <c r="BQ95" s="46"/>
      <c r="BR95" s="46"/>
      <c r="BS95" s="46"/>
      <c r="BT95" s="46"/>
      <c r="BU95" s="46"/>
      <c r="BV95" s="46"/>
      <c r="BW95" s="46"/>
      <c r="BX95" s="46"/>
      <c r="BY95" s="46"/>
      <c r="BZ95" s="46"/>
      <c r="CA95" s="46"/>
      <c r="CB95" s="46"/>
      <c r="CC95" s="46"/>
    </row>
    <row r="96">
      <c r="A96" s="87" t="str">
        <f>IFERROR(__xludf.DUMMYFUNCTION("""COMPUTED_VALUE"""),"1345")</f>
        <v>1345</v>
      </c>
      <c r="B96" s="46" t="str">
        <f>IFERROR(__xludf.DUMMYFUNCTION("""COMPUTED_VALUE"""),"Casa con apartaestudio en barrio Las Mercedes")</f>
        <v>Casa con apartaestudio en barrio Las Mercedes</v>
      </c>
      <c r="C96" s="46" t="str">
        <f>IFERROR(__xludf.DUMMYFUNCTION("""COMPUTED_VALUE"""),"Casa rentable")</f>
        <v>Casa rentable</v>
      </c>
      <c r="D96" s="46" t="str">
        <f>IFERROR(__xludf.DUMMYFUNCTION("""COMPUTED_VALUE"""),"Las Mercedes")</f>
        <v>Las Mercedes</v>
      </c>
      <c r="E96" s="46"/>
      <c r="F96" s="90">
        <f>IFERROR(__xludf.DUMMYFUNCTION("""COMPUTED_VALUE"""),2.7E8)</f>
        <v>270000000</v>
      </c>
      <c r="G96" s="46" t="str">
        <f>IFERROR(__xludf.DUMMYFUNCTION("""COMPUTED_VALUE"""),"$200'000.000 a $300'000.000")</f>
        <v>$200'000.000 a $300'000.000</v>
      </c>
      <c r="H96" s="46"/>
      <c r="I96" s="46"/>
      <c r="J96" s="46" t="str">
        <f>IFERROR(__xludf.DUMMYFUNCTION("""COMPUTED_VALUE"""),"Norte")</f>
        <v>Norte</v>
      </c>
      <c r="K96" s="87" t="str">
        <f>IFERROR(__xludf.DUMMYFUNCTION("""COMPUTED_VALUE"""),"1")</f>
        <v>1</v>
      </c>
      <c r="L96" s="46">
        <f>IFERROR(__xludf.DUMMYFUNCTION("""COMPUTED_VALUE"""),4.0)</f>
        <v>4</v>
      </c>
      <c r="M96" s="46"/>
      <c r="N96" s="46">
        <f>IFERROR(__xludf.DUMMYFUNCTION("""COMPUTED_VALUE"""),3.0)</f>
        <v>3</v>
      </c>
      <c r="O96" s="46">
        <f>IFERROR(__xludf.DUMMYFUNCTION("""COMPUTED_VALUE"""),0.0)</f>
        <v>0</v>
      </c>
      <c r="P96" s="46">
        <f>IFERROR(__xludf.DUMMYFUNCTION("""COMPUTED_VALUE"""),1.0)</f>
        <v>1</v>
      </c>
      <c r="Q96" s="92">
        <f>IFERROR(__xludf.DUMMYFUNCTION("""COMPUTED_VALUE"""),0.0)</f>
        <v>0</v>
      </c>
      <c r="R96" s="92">
        <f>IFERROR(__xludf.DUMMYFUNCTION("""COMPUTED_VALUE"""),120.0)</f>
        <v>120</v>
      </c>
      <c r="S96" s="87" t="str">
        <f>IFERROR(__xludf.DUMMYFUNCTION("""COMPUTED_VALUE"""),"Rentabilidad $1,100,000")</f>
        <v>Rentabilidad $1,100,000</v>
      </c>
      <c r="T96" s="46" t="str">
        <f>IFERROR(__xludf.DUMMYFUNCTION("""COMPUTED_VALUE"""),"Neiva")</f>
        <v>Neiva</v>
      </c>
      <c r="U96" s="87" t="str">
        <f>IFERROR(__xludf.DUMMYFUNCTION("""COMPUTED_VALUE"""),"2")</f>
        <v>2</v>
      </c>
      <c r="V96" s="46" t="str">
        <f>IFERROR(__xludf.DUMMYFUNCTION("""COMPUTED_VALUE"""),"Medianera")</f>
        <v>Medianera</v>
      </c>
      <c r="W96" s="46"/>
      <c r="X96" s="46">
        <f>IFERROR(__xludf.DUMMYFUNCTION("""COMPUTED_VALUE"""),3.0)</f>
        <v>3</v>
      </c>
      <c r="Y96" s="46" t="str">
        <f>IFERROR(__xludf.DUMMYFUNCTION("""COMPUTED_VALUE"""),"No tiene")</f>
        <v>No tiene</v>
      </c>
      <c r="Z96" s="90"/>
      <c r="AA96" s="33" t="str">
        <f>IFERROR(__xludf.DUMMYFUNCTION("""COMPUTED_VALUE"""),"20 años")</f>
        <v>20 años</v>
      </c>
      <c r="AB96" s="96" t="str">
        <f>IFERROR(__xludf.DUMMYFUNCTION("""COMPUTED_VALUE"""),"https://photos.app.goo.gl/dNAiX3WRmirPqqvd7")</f>
        <v>https://photos.app.goo.gl/dNAiX3WRmirPqqvd7</v>
      </c>
      <c r="AC96" s="46" t="str">
        <f>IFERROR(__xludf.DUMMYFUNCTION("""COMPUTED_VALUE"""),"Se VENDE Casa Rentable ubicada en el Norte de la ciudad Barrio Las Mercedes, con un área de 120 m2, estrato 2, Consta de Apto: Sala comedor, 3 habitaciones, 2 closeth de madera, 2 baños (1 privado), cocina normal, 2 A.A, patio de ropas. Apartaestudio: Sal"&amp;"a comedor, habitación con closet en madera, cocina semi integral, baño y patio de ropas. RENTA MENSUAL: $1.100.000")</f>
        <v>Se VENDE Casa Rentable ubicada en el Norte de la ciudad Barrio Las Mercedes, con un área de 120 m2, estrato 2, Consta de Apto: Sala comedor, 3 habitaciones, 2 closeth de madera, 2 baños (1 privado), cocina normal, 2 A.A, patio de ropas. Apartaestudio: Sala comedor, habitación con closet en madera, cocina semi integral, baño y patio de ropas. RENTA MENSUAL: $1.100.000</v>
      </c>
      <c r="AD96" s="46" t="str">
        <f>IFERROR(__xludf.DUMMYFUNCTION("""COMPUTED_VALUE"""),"Casa rentable cerca a universidad Surcolombiana, con servicios independientes.")</f>
        <v>Casa rentable cerca a universidad Surcolombiana, con servicios independientes.</v>
      </c>
      <c r="AE96" s="46"/>
      <c r="AF96" s="46" t="str">
        <f>IFERROR(__xludf.DUMMYFUNCTION("""COMPUTED_VALUE"""),"básica")</f>
        <v>básica</v>
      </c>
      <c r="AG96" s="46"/>
      <c r="AH96" s="46" t="str">
        <f>IFERROR(__xludf.DUMMYFUNCTION("""COMPUTED_VALUE"""),"Aliado")</f>
        <v>Aliado</v>
      </c>
      <c r="AI96" s="92" t="str">
        <f>IFERROR(__xludf.DUMMYFUNCTION("""COMPUTED_VALUE"""),"https://lh3.googleusercontent.com/pw/AP1GczO_xOjoS5s2ENZrs-CrABYf8hawt--xH4-JRzriUI6gbMZbH-8N1urdBo02U9qDBL0KkcyPpEy-enKL-N_2a5uBujI0WrXieVGlFKDKvV_Yd5jlmIEm=w1200|https://lh3.googleusercontent.com/pw/AP1GczMcJzcAOi260tlLOjoZ62uyw166xjsFWHEkANiXJyI3GBrK-r"&amp;"_b0_8EC2QWlE7wgHrFjQ9RhAitbqAqKkPTiHczeuLWmbUoVopykLUEAuqvSAn2R0UX=w1200|https://lh3.googleusercontent.com/pw/AP1GczOFJu-7KMagd6mqTlGfL8TfIEIaWdcb20KqY_hSVxkOdYziNRYob0vcGjSkQhEbBgM5wLUsCEXgPdQPKD1ZF8rsaOcsRCRA_byiy4kqWHdRzbHSmghr=w1200|https://lh3.google"&amp;"usercontent.com/pw/AP1GczOUgJkM_w5FKL0C9u2x8peTLFbkVfldtwC0e5dhFMOf7eicE_7-2JHzItJ9amjMd9luJNa39QxHX67KghPtQl6ojGffb5LruPiUKN7GQKcgGQI_jH92=w1200|https://lh3.googleusercontent.com/pw/AP1GczM0BPgaHX6s811HTOVLPMCf7mt6tX9kiX9rKtJPdevfCcxm0MotsPK73x0sn0oSW6GG"&amp;"DXz23-dP54EpUWYYH_8rd2zRkJ_agZtW6-y7gz0AJQ7ajy7v=w1200|https://lh3.googleusercontent.com/pw/AP1GczNdhXDMC0aZTaoWRgKvb1YfW7fe9DcTXkJhQehDMRHw5E0hJ5jCtuYR6spF7dklCQdvJnduMvMh9QWzqcBaFWAWGE8MHq3YrQC4vzgR4ZSfaEK15C2_=w1200|https://lh3.googleusercontent.com/pw"&amp;"/AP1GczMzoyz0DU87z2VJaG0qUPz7-QDkwieNmYC8JJjCsv_s2fYeDPnSgevT0Cp_ey8oJ6lbD5sASeRsz7gRCalDcM9P4LnL0ZyQdNAcFxO9QR2TT5z7klFI=w1200|https://lh3.googleusercontent.com/pw/AP1GczP1I3trWsJ4jKDsUJuGpTfgWjMJABygQjUS3zC2Y7zabtN39ekyWIGBwnjOjqxC1vwtzYN2e4wnF9AsXaAzOF"&amp;"7X7Fwiav0TQrq8QUL0KPQN5dDHR_dn=w1200|https://lh3.googleusercontent.com/pw/AP1GczPm3ptDMPZJLPY4nwxaMVwRYBn4vQMx8u8QI86oNkBwzZ8qLQhaIq7693JWqM3U4M_71v4M3ycyx8p4qDZEdZ6O-latDWJ0njNyrskhH-4GbYUvh0LC=w1200|https://lh3.googleusercontent.com/pw/AP1GczOiNmlI2SBkH"&amp;"bFAGTmf-Co1ME4BEgc2imrFISxCu_e5iAfKUXvVz2RRHp-41wZMSFaYI5GssjBzzTf7sif7r5kQjWYW-iB210FXEFJ44NYkOuOlcMUM=w1200|https://lh3.googleusercontent.com/pw/AP1GczMiLlAGpNNk49FNU7ESPPQDpMd1Hy_rKzOG7YUiZcf3Nw9XkaBerENUOZtGvuIL_Mg68u71fKoNzO1Jm2PHDiUpNoQVjfI6e5YA8pGC"&amp;"aGpfFcXm8Sbh=w1200|https://lh3.googleusercontent.com/pw/AP1GczMH54e3E3E_JM69Einy9a4F1TjtdEJot3nAMWpWnHreHa_43Weo5p9pPwja1wT4JTWpiyNOFepG519BBoyHlDPoG-6hS9vdGdfDw2uA_oIVYwf2C7R7=w1200|https://lh3.googleusercontent.com/pw/AP1GczPDN_T4uduGwmZImba7YuLyN3vEHfT"&amp;"Jvb4p8kPcB31-6GvyntnuXBV4ADXWOkKd3TOuIZ9OwqdqAxuTng_n_uH0czJ0ZXr46uIpcrj22Sns2_qvcDTK=w1200|https://lh3.googleusercontent.com/pw/AP1GczNMgMKLXOzlQeUetebfonoREVRGe4DeoxtzLJJk-DIs0gdqK8iPZEnvgyqmv41zj2lIXnKpchd9R-xjngMUCMnAHzVcsAplgj8TKBmwmfA6E8fPXEHf=w1200"&amp;"|https://lh3.googleusercontent.com/pw/AP1GczPiPeE-GRkfDZRjDPp9X25NplFWhu_hh0H8TIvDSNuMOlf1i2TH_ZSYwB0u09wSQYe_3SP4w4Np7R_mI52VXNLSugMeY-hJS7i2Sx7op56RqMFl883p=w1200|https://lh3.googleusercontent.com/pw/AP1GczONBrI_gzUUILLwkekCRT5f8ocMN2mT1GQhu2nxpgAZr18Pd"&amp;"ubkwAep5xy-cU3KzH2OqgjjF0XNbzD3PFNy1RQLoES2BRqFRGycttrsLIQMBcNx8wJT=w1200")</f>
        <v>https://lh3.googleusercontent.com/pw/AP1GczO_xOjoS5s2ENZrs-CrABYf8hawt--xH4-JRzriUI6gbMZbH-8N1urdBo02U9qDBL0KkcyPpEy-enKL-N_2a5uBujI0WrXieVGlFKDKvV_Yd5jlmIEm=w1200|https://lh3.googleusercontent.com/pw/AP1GczMcJzcAOi260tlLOjoZ62uyw166xjsFWHEkANiXJyI3GBrK-r_b0_8EC2QWlE7wgHrFjQ9RhAitbqAqKkPTiHczeuLWmbUoVopykLUEAuqvSAn2R0UX=w1200|https://lh3.googleusercontent.com/pw/AP1GczOFJu-7KMagd6mqTlGfL8TfIEIaWdcb20KqY_hSVxkOdYziNRYob0vcGjSkQhEbBgM5wLUsCEXgPdQPKD1ZF8rsaOcsRCRA_byiy4kqWHdRzbHSmghr=w1200|https://lh3.googleusercontent.com/pw/AP1GczOUgJkM_w5FKL0C9u2x8peTLFbkVfldtwC0e5dhFMOf7eicE_7-2JHzItJ9amjMd9luJNa39QxHX67KghPtQl6ojGffb5LruPiUKN7GQKcgGQI_jH92=w1200|https://lh3.googleusercontent.com/pw/AP1GczM0BPgaHX6s811HTOVLPMCf7mt6tX9kiX9rKtJPdevfCcxm0MotsPK73x0sn0oSW6GGDXz23-dP54EpUWYYH_8rd2zRkJ_agZtW6-y7gz0AJQ7ajy7v=w1200|https://lh3.googleusercontent.com/pw/AP1GczNdhXDMC0aZTaoWRgKvb1YfW7fe9DcTXkJhQehDMRHw5E0hJ5jCtuYR6spF7dklCQdvJnduMvMh9QWzqcBaFWAWGE8MHq3YrQC4vzgR4ZSfaEK15C2_=w1200|https://lh3.googleusercontent.com/pw/AP1GczMzoyz0DU87z2VJaG0qUPz7-QDkwieNmYC8JJjCsv_s2fYeDPnSgevT0Cp_ey8oJ6lbD5sASeRsz7gRCalDcM9P4LnL0ZyQdNAcFxO9QR2TT5z7klFI=w1200|https://lh3.googleusercontent.com/pw/AP1GczP1I3trWsJ4jKDsUJuGpTfgWjMJABygQjUS3zC2Y7zabtN39ekyWIGBwnjOjqxC1vwtzYN2e4wnF9AsXaAzOF7X7Fwiav0TQrq8QUL0KPQN5dDHR_dn=w1200|https://lh3.googleusercontent.com/pw/AP1GczPm3ptDMPZJLPY4nwxaMVwRYBn4vQMx8u8QI86oNkBwzZ8qLQhaIq7693JWqM3U4M_71v4M3ycyx8p4qDZEdZ6O-latDWJ0njNyrskhH-4GbYUvh0LC=w1200|https://lh3.googleusercontent.com/pw/AP1GczOiNmlI2SBkHbFAGTmf-Co1ME4BEgc2imrFISxCu_e5iAfKUXvVz2RRHp-41wZMSFaYI5GssjBzzTf7sif7r5kQjWYW-iB210FXEFJ44NYkOuOlcMUM=w1200|https://lh3.googleusercontent.com/pw/AP1GczMiLlAGpNNk49FNU7ESPPQDpMd1Hy_rKzOG7YUiZcf3Nw9XkaBerENUOZtGvuIL_Mg68u71fKoNzO1Jm2PHDiUpNoQVjfI6e5YA8pGCaGpfFcXm8Sbh=w1200|https://lh3.googleusercontent.com/pw/AP1GczMH54e3E3E_JM69Einy9a4F1TjtdEJot3nAMWpWnHreHa_43Weo5p9pPwja1wT4JTWpiyNOFepG519BBoyHlDPoG-6hS9vdGdfDw2uA_oIVYwf2C7R7=w1200|https://lh3.googleusercontent.com/pw/AP1GczPDN_T4uduGwmZImba7YuLyN3vEHfTJvb4p8kPcB31-6GvyntnuXBV4ADXWOkKd3TOuIZ9OwqdqAxuTng_n_uH0czJ0ZXr46uIpcrj22Sns2_qvcDTK=w1200|https://lh3.googleusercontent.com/pw/AP1GczNMgMKLXOzlQeUetebfonoREVRGe4DeoxtzLJJk-DIs0gdqK8iPZEnvgyqmv41zj2lIXnKpchd9R-xjngMUCMnAHzVcsAplgj8TKBmwmfA6E8fPXEHf=w1200|https://lh3.googleusercontent.com/pw/AP1GczPiPeE-GRkfDZRjDPp9X25NplFWhu_hh0H8TIvDSNuMOlf1i2TH_ZSYwB0u09wSQYe_3SP4w4Np7R_mI52VXNLSugMeY-hJS7i2Sx7op56RqMFl883p=w1200|https://lh3.googleusercontent.com/pw/AP1GczONBrI_gzUUILLwkekCRT5f8ocMN2mT1GQhu2nxpgAZr18PdubkwAep5xy-cU3KzH2OqgjjF0XNbzD3PFNy1RQLoES2BRqFRGycttrsLIQMBcNx8wJT=w1200</v>
      </c>
      <c r="AJ96" s="46"/>
      <c r="AK96" s="46"/>
      <c r="AL96" s="46"/>
      <c r="AM96" s="46"/>
      <c r="AN96" s="46"/>
      <c r="AO96" s="46"/>
      <c r="AP96" s="46"/>
      <c r="AQ96" s="46"/>
      <c r="AR96" s="46"/>
      <c r="AS96" s="46"/>
      <c r="AT96" s="46"/>
      <c r="AU96" s="46"/>
      <c r="AV96" s="46"/>
      <c r="AW96" s="46"/>
      <c r="AX96" s="46"/>
      <c r="AY96" s="46"/>
      <c r="AZ96" s="46"/>
      <c r="BA96" s="46"/>
      <c r="BB96" s="46"/>
      <c r="BC96" s="46"/>
      <c r="BD96" s="46"/>
      <c r="BE96" s="46"/>
      <c r="BF96" s="46"/>
      <c r="BG96" s="46"/>
      <c r="BH96" s="46"/>
      <c r="BI96" s="46"/>
      <c r="BJ96" s="46"/>
      <c r="BK96" s="46"/>
      <c r="BL96" s="46"/>
      <c r="BM96" s="46"/>
      <c r="BN96" s="46"/>
      <c r="BO96" s="46"/>
      <c r="BP96" s="46"/>
      <c r="BQ96" s="46"/>
      <c r="BR96" s="46"/>
      <c r="BS96" s="46"/>
      <c r="BT96" s="46"/>
      <c r="BU96" s="46"/>
      <c r="BV96" s="46"/>
      <c r="BW96" s="46"/>
      <c r="BX96" s="46"/>
      <c r="BY96" s="46"/>
      <c r="BZ96" s="46"/>
      <c r="CA96" s="46"/>
      <c r="CB96" s="46"/>
      <c r="CC96" s="46"/>
    </row>
    <row r="97">
      <c r="A97" s="87" t="str">
        <f>IFERROR(__xludf.DUMMYFUNCTION("""COMPUTED_VALUE"""),"1763")</f>
        <v>1763</v>
      </c>
      <c r="B97" s="46" t="str">
        <f>IFERROR(__xludf.DUMMYFUNCTION("""COMPUTED_VALUE"""),"Apartamento en conjunto Residencial Monteverde - Av. Surabastos")</f>
        <v>Apartamento en conjunto Residencial Monteverde - Av. Surabastos</v>
      </c>
      <c r="C97" s="46" t="str">
        <f>IFERROR(__xludf.DUMMYFUNCTION("""COMPUTED_VALUE"""),"Apartamento en conjunto")</f>
        <v>Apartamento en conjunto</v>
      </c>
      <c r="D97" s="46"/>
      <c r="E97" s="46" t="str">
        <f>IFERROR(__xludf.DUMMYFUNCTION("""COMPUTED_VALUE"""),"Conjunto Residencial Monteverde")</f>
        <v>Conjunto Residencial Monteverde</v>
      </c>
      <c r="F97" s="90">
        <f>IFERROR(__xludf.DUMMYFUNCTION("""COMPUTED_VALUE"""),2.6E8)</f>
        <v>260000000</v>
      </c>
      <c r="G97" s="46" t="str">
        <f>IFERROR(__xludf.DUMMYFUNCTION("""COMPUTED_VALUE"""),"$200'000.000 a $300'000.000")</f>
        <v>$200'000.000 a $300'000.000</v>
      </c>
      <c r="H97" s="46"/>
      <c r="I97" s="46"/>
      <c r="J97" s="46" t="str">
        <f>IFERROR(__xludf.DUMMYFUNCTION("""COMPUTED_VALUE"""),"Sur")</f>
        <v>Sur</v>
      </c>
      <c r="K97" s="87"/>
      <c r="L97" s="46">
        <f>IFERROR(__xludf.DUMMYFUNCTION("""COMPUTED_VALUE"""),3.0)</f>
        <v>3</v>
      </c>
      <c r="M97" s="46"/>
      <c r="N97" s="46">
        <f>IFERROR(__xludf.DUMMYFUNCTION("""COMPUTED_VALUE"""),2.0)</f>
        <v>2</v>
      </c>
      <c r="O97" s="46">
        <f>IFERROR(__xludf.DUMMYFUNCTION("""COMPUTED_VALUE"""),1.0)</f>
        <v>1</v>
      </c>
      <c r="P97" s="46">
        <f>IFERROR(__xludf.DUMMYFUNCTION("""COMPUTED_VALUE"""),3.0)</f>
        <v>3</v>
      </c>
      <c r="Q97" s="92">
        <f>IFERROR(__xludf.DUMMYFUNCTION("""COMPUTED_VALUE"""),90.0)</f>
        <v>90</v>
      </c>
      <c r="R97" s="92">
        <f>IFERROR(__xludf.DUMMYFUNCTION("""COMPUTED_VALUE"""),90.0)</f>
        <v>90</v>
      </c>
      <c r="S97" s="87" t="str">
        <f>IFERROR(__xludf.DUMMYFUNCTION("""COMPUTED_VALUE""")," ")</f>
        <v> </v>
      </c>
      <c r="T97" s="46" t="str">
        <f>IFERROR(__xludf.DUMMYFUNCTION("""COMPUTED_VALUE"""),"Neiva")</f>
        <v>Neiva</v>
      </c>
      <c r="U97" s="87" t="str">
        <f>IFERROR(__xludf.DUMMYFUNCTION("""COMPUTED_VALUE"""),"4")</f>
        <v>4</v>
      </c>
      <c r="V97" s="46" t="str">
        <f>IFERROR(__xludf.DUMMYFUNCTION("""COMPUTED_VALUE"""),"3er.")</f>
        <v>3er.</v>
      </c>
      <c r="W97" s="46"/>
      <c r="X97" s="46">
        <f>IFERROR(__xludf.DUMMYFUNCTION("""COMPUTED_VALUE"""),3.0)</f>
        <v>3</v>
      </c>
      <c r="Y97" s="46" t="str">
        <f>IFERROR(__xludf.DUMMYFUNCTION("""COMPUTED_VALUE"""),"Social")</f>
        <v>Social</v>
      </c>
      <c r="Z97" s="90"/>
      <c r="AA97" s="33" t="str">
        <f>IFERROR(__xludf.DUMMYFUNCTION("""COMPUTED_VALUE"""),"No aplica")</f>
        <v>No aplica</v>
      </c>
      <c r="AB97" s="96" t="str">
        <f>IFERROR(__xludf.DUMMYFUNCTION("""COMPUTED_VALUE"""),"https://photos.app.goo.gl/XRqAq5D1AC3q8ro2A")</f>
        <v>https://photos.app.goo.gl/XRqAq5D1AC3q8ro2A</v>
      </c>
      <c r="AC97" s="46" t="str">
        <f>IFERROR(__xludf.DUMMYFUNCTION("""COMPUTED_VALUE""")," Características del inmueble: Estrato 4. Sala – comedor amplia y luminosa. Balcón principal con excelente vista. Cocina integral moderna. Zona de lavandería independiente. Baño auxiliar. 3 habitaciones con closets en madera, la principal con baño privado"&amp;". balcón adicional en la alcoba principal y 1 parqueadero.")</f>
        <v> Características del inmueble: Estrato 4. Sala – comedor amplia y luminosa. Balcón principal con excelente vista. Cocina integral moderna. Zona de lavandería independiente. Baño auxiliar. 3 habitaciones con closets en madera, la principal con baño privado. balcón adicional en la alcoba principal y 1 parqueadero.</v>
      </c>
      <c r="AD97" s="46" t="str">
        <f>IFERROR(__xludf.DUMMYFUNCTION("""COMPUTED_VALUE"""),"El conjunto ofrece amplias y acogedoras zonas sociales ideales para el descanso y el entretenimiento familiar. Apartamento ubicado al sur de la ciudad, este hermoso apartamento de 90.07 m² ofrece comodidad, elegancia y una vista privilegiada.")</f>
        <v>El conjunto ofrece amplias y acogedoras zonas sociales ideales para el descanso y el entretenimiento familiar. Apartamento ubicado al sur de la ciudad, este hermoso apartamento de 90.07 m² ofrece comodidad, elegancia y una vista privilegiada.</v>
      </c>
      <c r="AE97" s="46"/>
      <c r="AF97" s="46" t="str">
        <f>IFERROR(__xludf.DUMMYFUNCTION("""COMPUTED_VALUE"""),"integral")</f>
        <v>integral</v>
      </c>
      <c r="AG97" s="46"/>
      <c r="AH97" s="46" t="str">
        <f>IFERROR(__xludf.DUMMYFUNCTION("""COMPUTED_VALUE"""),"Aliado")</f>
        <v>Aliado</v>
      </c>
      <c r="AI97" s="92" t="str">
        <f>IFERROR(__xludf.DUMMYFUNCTION("""COMPUTED_VALUE"""),"https://lh3.googleusercontent.com/pw/AP1GczP-mg-euKy1U7KtiRGMpD902B0lI9ZVeIRDGIuFaandi9NymAS6C-PvX470AY1XiaikhoE1W8iG10-IOK8pGWAJqn1x3GdYiNiRxG6SZX6dHr4eSGpt=w1200|https://lh3.googleusercontent.com/pw/AP1GczPeGHYbIi_kAhTx1a7GHwHrQIO5YebRC1b--I68Sc2ouxJXC_"&amp;"aKHuEE11yI-IwYAxXP7TVOjbvQVAqmNgs1D-DOlsIGHXn0PTDiPLjsD82r8IEL9wOy=w1200|https://lh3.googleusercontent.com/pw/AP1GczMBPFD6SRre4FQRJnhFecBo8f4q_pJwx1jd1E0_upWV33RWu0OoHP0ECcFrYnjQ6mReydSsT5WAdHMi2fCyhhnkQyQe4uwfcVpnymzvd6Vhk6Y5jJPM=w1200|https://lh3.google"&amp;"usercontent.com/pw/AP1GczM8rwF7Y3F3lH6-b0xb90YIW5mEdQGcwCCcY3idoSFA7-LYuEaussT1oqxlk5bcjzxnJjxd-5Wq1gm_dOq5-SurgQsTt-Ar50sH_ejZVWf6Ntf7c1dK=w1200|https://lh3.googleusercontent.com/pw/AP1GczP0_QVcUFgDADXj5AD88sktxRpJFuiHuLNVBZlWzbHCUK4Ts-jD-SbEI_GQ3x26jH0Z"&amp;"RJC7jlbqAFhkVDsQQjtho4blyrZNpi6silb8nE7za4k7p2pa=w1200|https://lh3.googleusercontent.com/pw/AP1GczPbbUQsNsXIdlyjdre6EbfD_dqtUcWakzcEB2tuEjmcNPvUYzYCKVNroGO3di0U8JVZt3nWSf_cC5YFG4EEW6uc47VQz1YEjXx92IhiH6D6gK6hWx8q=w1200|https://lh3.googleusercontent.com/pw"&amp;"/AP1GczNv9DIWmRKbHAATEByxXqk-MNpLv5W2CM5eeNvj7NtlNhHxuY4cY3i-AgyvfZPSTTj6plQIpBGaeJBmI1yo9-sANVjFyUizvCgCkyQweDPSSTkZL3Ai=w1200|https://lh3.googleusercontent.com/pw/AP1GczOjx6SFpBAlAQvWQf8tUP5FMazSUzMv1c8TjHqEJw2s-bSlJf8pZK9gFP3svmQDCzQny-5-Mc_BAl6t5PAqtF"&amp;"8OeUXLU0LHUvPXQITT4aYXuFO9tTN5=w1200|https://lh3.googleusercontent.com/pw/AP1GczOmSJlPfKsbgBwfplrR4s3MY5hY8Q1wxx9f0SmC_FxdL-w8CfMxiMh6ICuLPwyrxLgFLSNsmsD2XRyCHItXJX_6mYoxMFPS5yfZuqoGsWMKNBJboyEn=w1200|https://lh3.googleusercontent.com/pw/AP1GczPHYQraBP1wU"&amp;"S8tF0BHD0KKZcJY2H261y1TytAqTjd7g8DwGVvch8Uk4_zPaqBonel8rQT7Z-zlx4ejzxXuFCbWmKX8pNWBgoA5jOxualP4Q3l1bi2O=w1200|https://lh3.googleusercontent.com/pw/AP1GczNh3m7jwgetHmDcAyDdXF66_meHWOvKXkq0cnGLMuv-KAIOeF0fE7_PvgWrIF_vJk15p0XnQ-E7wi_7rTa1dAZOJfROukNC9KUlAq8j"&amp;"PMyfVu0k4R3F=w1200|https://lh3.googleusercontent.com/pw/AP1GczNpgDfggGQeAtLfQAwP49KnmkfYF7SGtoW3SQppRRPOeVHUYcaaOI7EGZ489ZyJss99Ea2goSi37XlmKqgm6g1nRjK8EFhmM0-VoDDFG0BJkOqSZGfu=w1200|https://lh3.googleusercontent.com/pw/AP1GczPhLs_yAfg27sVyYsk4pwgA88TFaiC"&amp;"FiNk65HEBBus3YPWULY9C6AgfH0Y31ANi5R0cSwH19J-zbYpyb2CkEHqiO4brLahBWUwAyGHYHotxtOrG59-X=w1200|https://lh3.googleusercontent.com/pw/AP1GczOxBMeSXzYgIaxTdE8-AskhzGK1Quayfyb3qAUFv_qHXY2p8EiDePWElf_T2HiZCZ6oPWZEe5HQq3OSfCkkrjb0aRFJ6XBZyo0jW4yQsommWPyJzEz-=w1200"&amp;"|https://lh3.googleusercontent.com/pw/AP1GczP_PJLoqXv9QK6dafJjTVLmegnLKdk75QeGYrzxkw0ZGze6_SRKyEJ2zFo5rbEV9TyrT74YSAeMmyJsbd2kDchgqDStXAYZat93MXqEpq3HO_1zckw6=w1200|https://lh3.googleusercontent.com/pw/AP1GczNL5d82QoKuYQgEB9s3hB8heCcloMBlnaX33TXKJ-kxAhDgJ"&amp;"0tbRGm0tMpgrQSFfzFtzxMrUmuF8LFyNfIEi2HULGmSyaGHFWqeKEaudHZkmr1mIwKt=w1200|https://lh3.googleusercontent.com/pw/AP1GczNRKFcEqiUP1eziMFWieFHaH_Gg_Trt6RQYVqUq8omcJWZV0MP-kW-zl5aQinCmRNBOg9X71C50lLMxwwsKYQO32Srav8rCEl5uIHIer_3FLWfgWQob=w1200")</f>
        <v>https://lh3.googleusercontent.com/pw/AP1GczP-mg-euKy1U7KtiRGMpD902B0lI9ZVeIRDGIuFaandi9NymAS6C-PvX470AY1XiaikhoE1W8iG10-IOK8pGWAJqn1x3GdYiNiRxG6SZX6dHr4eSGpt=w1200|https://lh3.googleusercontent.com/pw/AP1GczPeGHYbIi_kAhTx1a7GHwHrQIO5YebRC1b--I68Sc2ouxJXC_aKHuEE11yI-IwYAxXP7TVOjbvQVAqmNgs1D-DOlsIGHXn0PTDiPLjsD82r8IEL9wOy=w1200|https://lh3.googleusercontent.com/pw/AP1GczMBPFD6SRre4FQRJnhFecBo8f4q_pJwx1jd1E0_upWV33RWu0OoHP0ECcFrYnjQ6mReydSsT5WAdHMi2fCyhhnkQyQe4uwfcVpnymzvd6Vhk6Y5jJPM=w1200|https://lh3.googleusercontent.com/pw/AP1GczM8rwF7Y3F3lH6-b0xb90YIW5mEdQGcwCCcY3idoSFA7-LYuEaussT1oqxlk5bcjzxnJjxd-5Wq1gm_dOq5-SurgQsTt-Ar50sH_ejZVWf6Ntf7c1dK=w1200|https://lh3.googleusercontent.com/pw/AP1GczP0_QVcUFgDADXj5AD88sktxRpJFuiHuLNVBZlWzbHCUK4Ts-jD-SbEI_GQ3x26jH0ZRJC7jlbqAFhkVDsQQjtho4blyrZNpi6silb8nE7za4k7p2pa=w1200|https://lh3.googleusercontent.com/pw/AP1GczPbbUQsNsXIdlyjdre6EbfD_dqtUcWakzcEB2tuEjmcNPvUYzYCKVNroGO3di0U8JVZt3nWSf_cC5YFG4EEW6uc47VQz1YEjXx92IhiH6D6gK6hWx8q=w1200|https://lh3.googleusercontent.com/pw/AP1GczNv9DIWmRKbHAATEByxXqk-MNpLv5W2CM5eeNvj7NtlNhHxuY4cY3i-AgyvfZPSTTj6plQIpBGaeJBmI1yo9-sANVjFyUizvCgCkyQweDPSSTkZL3Ai=w1200|https://lh3.googleusercontent.com/pw/AP1GczOjx6SFpBAlAQvWQf8tUP5FMazSUzMv1c8TjHqEJw2s-bSlJf8pZK9gFP3svmQDCzQny-5-Mc_BAl6t5PAqtF8OeUXLU0LHUvPXQITT4aYXuFO9tTN5=w1200|https://lh3.googleusercontent.com/pw/AP1GczOmSJlPfKsbgBwfplrR4s3MY5hY8Q1wxx9f0SmC_FxdL-w8CfMxiMh6ICuLPwyrxLgFLSNsmsD2XRyCHItXJX_6mYoxMFPS5yfZuqoGsWMKNBJboyEn=w1200|https://lh3.googleusercontent.com/pw/AP1GczPHYQraBP1wUS8tF0BHD0KKZcJY2H261y1TytAqTjd7g8DwGVvch8Uk4_zPaqBonel8rQT7Z-zlx4ejzxXuFCbWmKX8pNWBgoA5jOxualP4Q3l1bi2O=w1200|https://lh3.googleusercontent.com/pw/AP1GczNh3m7jwgetHmDcAyDdXF66_meHWOvKXkq0cnGLMuv-KAIOeF0fE7_PvgWrIF_vJk15p0XnQ-E7wi_7rTa1dAZOJfROukNC9KUlAq8jPMyfVu0k4R3F=w1200|https://lh3.googleusercontent.com/pw/AP1GczNpgDfggGQeAtLfQAwP49KnmkfYF7SGtoW3SQppRRPOeVHUYcaaOI7EGZ489ZyJss99Ea2goSi37XlmKqgm6g1nRjK8EFhmM0-VoDDFG0BJkOqSZGfu=w1200|https://lh3.googleusercontent.com/pw/AP1GczPhLs_yAfg27sVyYsk4pwgA88TFaiCFiNk65HEBBus3YPWULY9C6AgfH0Y31ANi5R0cSwH19J-zbYpyb2CkEHqiO4brLahBWUwAyGHYHotxtOrG59-X=w1200|https://lh3.googleusercontent.com/pw/AP1GczOxBMeSXzYgIaxTdE8-AskhzGK1Quayfyb3qAUFv_qHXY2p8EiDePWElf_T2HiZCZ6oPWZEe5HQq3OSfCkkrjb0aRFJ6XBZyo0jW4yQsommWPyJzEz-=w1200|https://lh3.googleusercontent.com/pw/AP1GczP_PJLoqXv9QK6dafJjTVLmegnLKdk75QeGYrzxkw0ZGze6_SRKyEJ2zFo5rbEV9TyrT74YSAeMmyJsbd2kDchgqDStXAYZat93MXqEpq3HO_1zckw6=w1200|https://lh3.googleusercontent.com/pw/AP1GczNL5d82QoKuYQgEB9s3hB8heCcloMBlnaX33TXKJ-kxAhDgJ0tbRGm0tMpgrQSFfzFtzxMrUmuF8LFyNfIEi2HULGmSyaGHFWqeKEaudHZkmr1mIwKt=w1200|https://lh3.googleusercontent.com/pw/AP1GczNRKFcEqiUP1eziMFWieFHaH_Gg_Trt6RQYVqUq8omcJWZV0MP-kW-zl5aQinCmRNBOg9X71C50lLMxwwsKYQO32Srav8rCEl5uIHIer_3FLWfgWQob=w1200</v>
      </c>
      <c r="AJ97" s="46"/>
      <c r="AK97" s="46"/>
      <c r="AL97" s="46"/>
      <c r="AM97" s="46"/>
      <c r="AN97" s="46"/>
      <c r="AO97" s="46"/>
      <c r="AP97" s="46"/>
      <c r="AQ97" s="46"/>
      <c r="AR97" s="46"/>
      <c r="AS97" s="46"/>
      <c r="AT97" s="46"/>
      <c r="AU97" s="46"/>
      <c r="AV97" s="46"/>
      <c r="AW97" s="46"/>
      <c r="AX97" s="46"/>
      <c r="AY97" s="46"/>
      <c r="AZ97" s="46"/>
      <c r="BA97" s="46"/>
      <c r="BB97" s="46"/>
      <c r="BC97" s="46"/>
      <c r="BD97" s="46"/>
      <c r="BE97" s="46"/>
      <c r="BF97" s="46"/>
      <c r="BG97" s="46"/>
      <c r="BH97" s="46"/>
      <c r="BI97" s="46"/>
      <c r="BJ97" s="46"/>
      <c r="BK97" s="46"/>
      <c r="BL97" s="46"/>
      <c r="BM97" s="46"/>
      <c r="BN97" s="46"/>
      <c r="BO97" s="46"/>
      <c r="BP97" s="46"/>
      <c r="BQ97" s="46"/>
      <c r="BR97" s="46"/>
      <c r="BS97" s="46"/>
      <c r="BT97" s="46"/>
      <c r="BU97" s="46"/>
      <c r="BV97" s="46"/>
      <c r="BW97" s="46"/>
      <c r="BX97" s="46"/>
      <c r="BY97" s="46"/>
      <c r="BZ97" s="46"/>
      <c r="CA97" s="46"/>
      <c r="CB97" s="46"/>
      <c r="CC97" s="46"/>
    </row>
    <row r="98">
      <c r="A98" s="87" t="str">
        <f>IFERROR(__xludf.DUMMYFUNCTION("""COMPUTED_VALUE"""),"1531")</f>
        <v>1531</v>
      </c>
      <c r="B98" s="46" t="str">
        <f>IFERROR(__xludf.DUMMYFUNCTION("""COMPUTED_VALUE"""),"Casa en conjunto Coruña de Berdez - Vía Palermo")</f>
        <v>Casa en conjunto Coruña de Berdez - Vía Palermo</v>
      </c>
      <c r="C98" s="46" t="str">
        <f>IFERROR(__xludf.DUMMYFUNCTION("""COMPUTED_VALUE"""),"Casa en conjunto")</f>
        <v>Casa en conjunto</v>
      </c>
      <c r="D98" s="46"/>
      <c r="E98" s="90" t="str">
        <f>IFERROR(__xludf.DUMMYFUNCTION("""COMPUTED_VALUE"""),"Coruña de Berdez")</f>
        <v>Coruña de Berdez</v>
      </c>
      <c r="F98" s="90">
        <f>IFERROR(__xludf.DUMMYFUNCTION("""COMPUTED_VALUE"""),2.6E8)</f>
        <v>260000000</v>
      </c>
      <c r="G98" s="46" t="str">
        <f>IFERROR(__xludf.DUMMYFUNCTION("""COMPUTED_VALUE"""),"$200'000.000 a $300'000.000")</f>
        <v>$200'000.000 a $300'000.000</v>
      </c>
      <c r="H98" s="46"/>
      <c r="I98" s="46"/>
      <c r="J98" s="46" t="str">
        <f>IFERROR(__xludf.DUMMYFUNCTION("""COMPUTED_VALUE"""),"Occidente")</f>
        <v>Occidente</v>
      </c>
      <c r="K98" s="87"/>
      <c r="L98" s="46">
        <f>IFERROR(__xludf.DUMMYFUNCTION("""COMPUTED_VALUE"""),3.0)</f>
        <v>3</v>
      </c>
      <c r="M98" s="46"/>
      <c r="N98" s="46">
        <f>IFERROR(__xludf.DUMMYFUNCTION("""COMPUTED_VALUE"""),3.0)</f>
        <v>3</v>
      </c>
      <c r="O98" s="46">
        <f>IFERROR(__xludf.DUMMYFUNCTION("""COMPUTED_VALUE"""),1.0)</f>
        <v>1</v>
      </c>
      <c r="P98" s="46">
        <f>IFERROR(__xludf.DUMMYFUNCTION("""COMPUTED_VALUE"""),2.0)</f>
        <v>2</v>
      </c>
      <c r="Q98" s="92">
        <f>IFERROR(__xludf.DUMMYFUNCTION("""COMPUTED_VALUE"""),104.0)</f>
        <v>104</v>
      </c>
      <c r="R98" s="92">
        <f>IFERROR(__xludf.DUMMYFUNCTION("""COMPUTED_VALUE"""),60.0)</f>
        <v>60</v>
      </c>
      <c r="S98" s="87" t="str">
        <f>IFERROR(__xludf.DUMMYFUNCTION("""COMPUTED_VALUE""")," ")</f>
        <v> </v>
      </c>
      <c r="T98" s="46" t="str">
        <f>IFERROR(__xludf.DUMMYFUNCTION("""COMPUTED_VALUE"""),"Neiva")</f>
        <v>Neiva</v>
      </c>
      <c r="U98" s="87" t="str">
        <f>IFERROR(__xludf.DUMMYFUNCTION("""COMPUTED_VALUE"""),"3")</f>
        <v>3</v>
      </c>
      <c r="V98" s="46" t="str">
        <f>IFERROR(__xludf.DUMMYFUNCTION("""COMPUTED_VALUE"""),"Medianera")</f>
        <v>Medianera</v>
      </c>
      <c r="W98" s="46"/>
      <c r="X98" s="46">
        <f>IFERROR(__xludf.DUMMYFUNCTION("""COMPUTED_VALUE"""),3.0)</f>
        <v>3</v>
      </c>
      <c r="Y98" s="46" t="str">
        <f>IFERROR(__xludf.DUMMYFUNCTION("""COMPUTED_VALUE"""),"Social")</f>
        <v>Social</v>
      </c>
      <c r="Z98" s="90">
        <f>IFERROR(__xludf.DUMMYFUNCTION("""COMPUTED_VALUE"""),85000.0)</f>
        <v>85000</v>
      </c>
      <c r="AA98" s="33" t="str">
        <f>IFERROR(__xludf.DUMMYFUNCTION("""COMPUTED_VALUE"""),"No aplica")</f>
        <v>No aplica</v>
      </c>
      <c r="AB98" s="96" t="str">
        <f>IFERROR(__xludf.DUMMYFUNCTION("""COMPUTED_VALUE"""),"https://photos.app.goo.gl/JDkeTECSy1nRr4pU8")</f>
        <v>https://photos.app.goo.gl/JDkeTECSy1nRr4pU8</v>
      </c>
      <c r="AC98" s="46" t="str">
        <f>IFERROR(__xludf.DUMMYFUNCTION("""COMPUTED_VALUE"""),"Consta de: Primer piso: sala comedor, cocina Integral, baño social, patio de ropas, zona de lavandería, parqueadero cubierto y área de depósito. Segundo piso: 3 habitaciones con closet en madera, La principal con baño privado, sala de estar, baño auxiliar"&amp;". El conjunto cuenta con salón social, 2 canchas, piscinas, parque infantil, oratorio. Estrato 3.")</f>
        <v>Consta de: Primer piso: sala comedor, cocina Integral, baño social, patio de ropas, zona de lavandería, parqueadero cubierto y área de depósito. Segundo piso: 3 habitaciones con closet en madera, La principal con baño privado, sala de estar, baño auxiliar. El conjunto cuenta con salón social, 2 canchas, piscinas, parque infantil, oratorio. Estrato 3.</v>
      </c>
      <c r="AD98" s="46" t="str">
        <f>IFERROR(__xludf.DUMMYFUNCTION("""COMPUTED_VALUE"""),"Casa bien ubicada y con buenos acabados.")</f>
        <v>Casa bien ubicada y con buenos acabados.</v>
      </c>
      <c r="AE98" s="46"/>
      <c r="AF98" s="46" t="str">
        <f>IFERROR(__xludf.DUMMYFUNCTION("""COMPUTED_VALUE"""),"integral")</f>
        <v>integral</v>
      </c>
      <c r="AG98" s="46"/>
      <c r="AH98" s="46" t="str">
        <f>IFERROR(__xludf.DUMMYFUNCTION("""COMPUTED_VALUE"""),"Aliado")</f>
        <v>Aliado</v>
      </c>
      <c r="AI98" s="92" t="str">
        <f>IFERROR(__xludf.DUMMYFUNCTION("""COMPUTED_VALUE"""),"https://lh3.googleusercontent.com/pw/AP1GczMAAHKAHFg8aRoAO3QYpTMNqQ-2BYMsvf__5Xu6m_F34uip0lGIiOtxpRDB_mtJRK4Twhzw9KtdBafnLkwurzR7Wq9du_doEZR4hGZ_bNJah9HqXJhw=w1200|https://lh3.googleusercontent.com/pw/AP1GczOPHUUC1inuVp1L3V7ND1dQh5daVcryqmxtWeEFXKq1N3FZdP"&amp;"0ivLdcQWxxi__uyTn0FKN1utEbhYuDwxxFv_jBh1bARa9ffDJdxLTcTVkocUzL1ZxK=w1200|https://lh3.googleusercontent.com/pw/AP1GczM-BLsbm6AFuyFP2jM-SLvuEhmf6e9WD3YlbzzW5PQTH2EKpw_2knllVAsvCSermKqS_HT01lKsCjSw1rs4kwm6IR0UMQv77UUNjDVgMuiWcJrQ3h40=w1200|https://lh3.google"&amp;"usercontent.com/pw/AP1GczOV5cC3RG-nE98EnobfCgIwSUH3bcKmjImhxQWhoWyQWyq8ONb9B2vFFn1UH8LV2FjMdskCLxLCEzHWxsAn-BDRVWNxE3RL1Tn9hTllgjy7fYh_Rv4D=w1200|https://lh3.googleusercontent.com/pw/AP1GczPr7kK-OObkc11aGizL0v10bfv2m045XRWtdGahuNS6NJhwIIFgNzPeOtgKH51pdMP-"&amp;"NUyrEjYGlfHWAhW6KewNanf5_q9gpvBN4F25VZOyp_afacP9=w1200|https://lh3.googleusercontent.com/pw/AP1GczNshwwbdsOTYj21kaaW8zU7ya9hxm9V78t0DEWWL9nwEq1rObXFY-1Sai_iOz8LYY8SF9IfhfDJBIZsP4YtAvAgUDDT494VLV2h0VWlJa4g72Jjscik=w1200|https://lh3.googleusercontent.com/pw"&amp;"/AP1GczOKRsdtHMnqJN2oe2mrkZ5-bNz1BwwoLS5NAwdFl6QtKorW8WgHjj2W0zo0zVCmTP_baR-Ym7qH9kQm4eGtZDxVnLOuXQr9F_IoIX85j0edi3uVIWOx=w1200|https://lh3.googleusercontent.com/pw/AP1GczOjFquPRPdY5MqszyAjf5chj7NWYeqTznlFTnEFN5xLb7yT5YtHzkW3eh6gufbjfipYtbjc_wWIto0AKx_Spq"&amp;"zxHFb4wQ_9Gw1TFYurE6TIWSDrHGTH=w1200|https://lh3.googleusercontent.com/pw/AP1GczPY_7mET3zp1pa3-iCVfg-w1wYrH_m2r50nEpiMj1SLkNdqMXFGMr-dkZrQR-2x_vHP2le-BysGZVyTYxhLtPD0clw4-vjKdg65ogVNRvOFaME1vj7B=w1200|https://lh3.googleusercontent.com/pw/AP1GczP67InLsFBEA"&amp;"ruGlCyqO-l9wW8DCY3-S3kwtdrE5nxcoKuVZWNoXnpP0ISKaMSxdJ5u0emo0rAw44fzLb0iybaLBklCsRls295oEBadIudP3M6G-OTq=w1200|https://lh3.googleusercontent.com/pw/AP1GczNy3k9QY8sC4aSlBgZPodPbvj8SIdM2BjLt6EM_wtSgiuIlZbWJ2qY73ZT1veE-qfNXdhnOOQbR4pXbhfD5vjbhFZrUNQ00d8vuRwD8"&amp;"gaXB-oyPiSib=w1200|https://lh3.googleusercontent.com/pw/AP1GczN3JpngQybtFNQEZvbPUsCyRbta1u51F-aRkjkjiWJy9QbXRfdBeWlrKqbIE_MDVz4BAdviZG6l0XcVOCyNXb4EEUYN4mmc59LKdrLgRz5YMMv7wTjx=w1200|https://lh3.googleusercontent.com/pw/AP1GczMVZFR4q6rIFpsDwDttapj1st5BeKt"&amp;"Bgxj7mhPDp9maQRO0dBFTTICQ2S_9AVxRLHI2jnshoe8fNNN4X4fIHXFVuuRKV5B2MTJ5hySl6I6_m-9qE6d0=w1200|https://lh3.googleusercontent.com/pw/AP1GczMI9SyxmKClsaYE1yjY5VlJkAlYXN4OCtZxdBw9kinmseBtWZHvr7z2D_DZF6SiQoealhdP0qU9HRnuh47qqnT3bU-r6zaL26KSfnqR0Aw8RuEv59Gz=w1200"&amp;"|https://lh3.googleusercontent.com/pw/AP1GczMvqVKZwjPgNpwq0qYI1_ObsIAkrk7zbbPT7i_Z72cE7fQbNIjZaB27rKt7J3JA9raZtIHSKEL7MAgYvqnPDDyyefpSrmj69iEG8Qw4WpCx1vhXLr5E=w1200|https://lh3.googleusercontent.com/pw/AP1GczMwUURUwvZ5ovUTUoZJuArNMg63JSjlflVbWl3SzOK1b1Qq9"&amp;"pDgkvow1d0exLRDtGALDJac0lKGzEZrD_ngprkK_d-o2jo8tYVJLq7BY5-exrLvOOlO=w1200|https://lh3.googleusercontent.com/pw/AP1GczNQ_05HIpd0Kd-PpG_nD9L9up6OY_eAcEg3qSbvqknOI_su3vU-P-xZseo-G9bsRhzaKsNKJcnatTUTby73YwcCytuHM0yuxhf85riYy6k2MaxvYcg9=w1200|https://lh3.googl"&amp;"eusercontent.com/pw/AP1GczPO9Th38tpIVCaNcJYDP8Va4HFH13j1PcJBW2FM4itD191v1OyRpGsolJyw_ZDtKxAs_GdGNUSkKG9F8UjpAYUNpfEiE5AhmNfLDLCiPQP94fpt5wE1=w1200|https://lh3.googleusercontent.com/pw/AP1GczOwdwvf3KuZChbK9svr-je7bAfQom1JkH3r599L3Qa1rsDPY5qsJQrDYweB5hAM9He"&amp;"3wDD7kBRP4nlZFbxwnEkAvGmjsbVYk0JU-Kc9luyeXAsqDowS=w1200")</f>
        <v>https://lh3.googleusercontent.com/pw/AP1GczMAAHKAHFg8aRoAO3QYpTMNqQ-2BYMsvf__5Xu6m_F34uip0lGIiOtxpRDB_mtJRK4Twhzw9KtdBafnLkwurzR7Wq9du_doEZR4hGZ_bNJah9HqXJhw=w1200|https://lh3.googleusercontent.com/pw/AP1GczOPHUUC1inuVp1L3V7ND1dQh5daVcryqmxtWeEFXKq1N3FZdP0ivLdcQWxxi__uyTn0FKN1utEbhYuDwxxFv_jBh1bARa9ffDJdxLTcTVkocUzL1ZxK=w1200|https://lh3.googleusercontent.com/pw/AP1GczM-BLsbm6AFuyFP2jM-SLvuEhmf6e9WD3YlbzzW5PQTH2EKpw_2knllVAsvCSermKqS_HT01lKsCjSw1rs4kwm6IR0UMQv77UUNjDVgMuiWcJrQ3h40=w1200|https://lh3.googleusercontent.com/pw/AP1GczOV5cC3RG-nE98EnobfCgIwSUH3bcKmjImhxQWhoWyQWyq8ONb9B2vFFn1UH8LV2FjMdskCLxLCEzHWxsAn-BDRVWNxE3RL1Tn9hTllgjy7fYh_Rv4D=w1200|https://lh3.googleusercontent.com/pw/AP1GczPr7kK-OObkc11aGizL0v10bfv2m045XRWtdGahuNS6NJhwIIFgNzPeOtgKH51pdMP-NUyrEjYGlfHWAhW6KewNanf5_q9gpvBN4F25VZOyp_afacP9=w1200|https://lh3.googleusercontent.com/pw/AP1GczNshwwbdsOTYj21kaaW8zU7ya9hxm9V78t0DEWWL9nwEq1rObXFY-1Sai_iOz8LYY8SF9IfhfDJBIZsP4YtAvAgUDDT494VLV2h0VWlJa4g72Jjscik=w1200|https://lh3.googleusercontent.com/pw/AP1GczOKRsdtHMnqJN2oe2mrkZ5-bNz1BwwoLS5NAwdFl6QtKorW8WgHjj2W0zo0zVCmTP_baR-Ym7qH9kQm4eGtZDxVnLOuXQr9F_IoIX85j0edi3uVIWOx=w1200|https://lh3.googleusercontent.com/pw/AP1GczOjFquPRPdY5MqszyAjf5chj7NWYeqTznlFTnEFN5xLb7yT5YtHzkW3eh6gufbjfipYtbjc_wWIto0AKx_SpqzxHFb4wQ_9Gw1TFYurE6TIWSDrHGTH=w1200|https://lh3.googleusercontent.com/pw/AP1GczPY_7mET3zp1pa3-iCVfg-w1wYrH_m2r50nEpiMj1SLkNdqMXFGMr-dkZrQR-2x_vHP2le-BysGZVyTYxhLtPD0clw4-vjKdg65ogVNRvOFaME1vj7B=w1200|https://lh3.googleusercontent.com/pw/AP1GczP67InLsFBEAruGlCyqO-l9wW8DCY3-S3kwtdrE5nxcoKuVZWNoXnpP0ISKaMSxdJ5u0emo0rAw44fzLb0iybaLBklCsRls295oEBadIudP3M6G-OTq=w1200|https://lh3.googleusercontent.com/pw/AP1GczNy3k9QY8sC4aSlBgZPodPbvj8SIdM2BjLt6EM_wtSgiuIlZbWJ2qY73ZT1veE-qfNXdhnOOQbR4pXbhfD5vjbhFZrUNQ00d8vuRwD8gaXB-oyPiSib=w1200|https://lh3.googleusercontent.com/pw/AP1GczN3JpngQybtFNQEZvbPUsCyRbta1u51F-aRkjkjiWJy9QbXRfdBeWlrKqbIE_MDVz4BAdviZG6l0XcVOCyNXb4EEUYN4mmc59LKdrLgRz5YMMv7wTjx=w1200|https://lh3.googleusercontent.com/pw/AP1GczMVZFR4q6rIFpsDwDttapj1st5BeKtBgxj7mhPDp9maQRO0dBFTTICQ2S_9AVxRLHI2jnshoe8fNNN4X4fIHXFVuuRKV5B2MTJ5hySl6I6_m-9qE6d0=w1200|https://lh3.googleusercontent.com/pw/AP1GczMI9SyxmKClsaYE1yjY5VlJkAlYXN4OCtZxdBw9kinmseBtWZHvr7z2D_DZF6SiQoealhdP0qU9HRnuh47qqnT3bU-r6zaL26KSfnqR0Aw8RuEv59Gz=w1200|https://lh3.googleusercontent.com/pw/AP1GczMvqVKZwjPgNpwq0qYI1_ObsIAkrk7zbbPT7i_Z72cE7fQbNIjZaB27rKt7J3JA9raZtIHSKEL7MAgYvqnPDDyyefpSrmj69iEG8Qw4WpCx1vhXLr5E=w1200|https://lh3.googleusercontent.com/pw/AP1GczMwUURUwvZ5ovUTUoZJuArNMg63JSjlflVbWl3SzOK1b1Qq9pDgkvow1d0exLRDtGALDJac0lKGzEZrD_ngprkK_d-o2jo8tYVJLq7BY5-exrLvOOlO=w1200|https://lh3.googleusercontent.com/pw/AP1GczNQ_05HIpd0Kd-PpG_nD9L9up6OY_eAcEg3qSbvqknOI_su3vU-P-xZseo-G9bsRhzaKsNKJcnatTUTby73YwcCytuHM0yuxhf85riYy6k2MaxvYcg9=w1200|https://lh3.googleusercontent.com/pw/AP1GczPO9Th38tpIVCaNcJYDP8Va4HFH13j1PcJBW2FM4itD191v1OyRpGsolJyw_ZDtKxAs_GdGNUSkKG9F8UjpAYUNpfEiE5AhmNfLDLCiPQP94fpt5wE1=w1200|https://lh3.googleusercontent.com/pw/AP1GczOwdwvf3KuZChbK9svr-je7bAfQom1JkH3r599L3Qa1rsDPY5qsJQrDYweB5hAM9He3wDD7kBRP4nlZFbxwnEkAvGmjsbVYk0JU-Kc9luyeXAsqDowS=w1200</v>
      </c>
      <c r="AJ98" s="46"/>
      <c r="AK98" s="46"/>
      <c r="AL98" s="46"/>
      <c r="AM98" s="46"/>
      <c r="AN98" s="46"/>
      <c r="AO98" s="46"/>
      <c r="AP98" s="46"/>
      <c r="AQ98" s="46"/>
      <c r="AR98" s="46"/>
      <c r="AS98" s="46"/>
      <c r="AT98" s="46"/>
      <c r="AU98" s="46"/>
      <c r="AV98" s="46"/>
      <c r="AW98" s="46"/>
      <c r="AX98" s="46"/>
      <c r="AY98" s="46"/>
      <c r="AZ98" s="46"/>
      <c r="BA98" s="46"/>
      <c r="BB98" s="46"/>
      <c r="BC98" s="46"/>
      <c r="BD98" s="46"/>
      <c r="BE98" s="46"/>
      <c r="BF98" s="46"/>
      <c r="BG98" s="46"/>
      <c r="BH98" s="46"/>
      <c r="BI98" s="46"/>
      <c r="BJ98" s="46"/>
      <c r="BK98" s="46"/>
      <c r="BL98" s="46"/>
      <c r="BM98" s="46"/>
      <c r="BN98" s="46"/>
      <c r="BO98" s="46"/>
      <c r="BP98" s="46"/>
      <c r="BQ98" s="46"/>
      <c r="BR98" s="46"/>
      <c r="BS98" s="46"/>
      <c r="BT98" s="46"/>
      <c r="BU98" s="46"/>
      <c r="BV98" s="46"/>
      <c r="BW98" s="46"/>
      <c r="BX98" s="46"/>
      <c r="BY98" s="46"/>
      <c r="BZ98" s="46"/>
      <c r="CA98" s="46"/>
      <c r="CB98" s="46"/>
      <c r="CC98" s="46"/>
    </row>
    <row r="99">
      <c r="A99" s="87" t="str">
        <f>IFERROR(__xludf.DUMMYFUNCTION("""COMPUTED_VALUE"""),"1487")</f>
        <v>1487</v>
      </c>
      <c r="B99" s="46" t="str">
        <f>IFERROR(__xludf.DUMMYFUNCTION("""COMPUTED_VALUE"""),"Casa de 2 pisos independientes en Vereda Río Frio - Rivera")</f>
        <v>Casa de 2 pisos independientes en Vereda Río Frio - Rivera</v>
      </c>
      <c r="C99" s="46" t="str">
        <f>IFERROR(__xludf.DUMMYFUNCTION("""COMPUTED_VALUE"""),"Casa rentable")</f>
        <v>Casa rentable</v>
      </c>
      <c r="D99" s="46" t="str">
        <f>IFERROR(__xludf.DUMMYFUNCTION("""COMPUTED_VALUE"""),"Río Frio")</f>
        <v>Río Frio</v>
      </c>
      <c r="E99" s="46"/>
      <c r="F99" s="90">
        <f>IFERROR(__xludf.DUMMYFUNCTION("""COMPUTED_VALUE"""),2.6E8)</f>
        <v>260000000</v>
      </c>
      <c r="G99" s="46" t="str">
        <f>IFERROR(__xludf.DUMMYFUNCTION("""COMPUTED_VALUE"""),"$200'000.000 a $300'000.000")</f>
        <v>$200'000.000 a $300'000.000</v>
      </c>
      <c r="H99" s="46"/>
      <c r="I99" s="46"/>
      <c r="J99" s="46"/>
      <c r="K99" s="87"/>
      <c r="L99" s="46">
        <f>IFERROR(__xludf.DUMMYFUNCTION("""COMPUTED_VALUE"""),5.0)</f>
        <v>5</v>
      </c>
      <c r="M99" s="46"/>
      <c r="N99" s="46">
        <f>IFERROR(__xludf.DUMMYFUNCTION("""COMPUTED_VALUE"""),3.0)</f>
        <v>3</v>
      </c>
      <c r="O99" s="46">
        <f>IFERROR(__xludf.DUMMYFUNCTION("""COMPUTED_VALUE"""),2.0)</f>
        <v>2</v>
      </c>
      <c r="P99" s="46">
        <f>IFERROR(__xludf.DUMMYFUNCTION("""COMPUTED_VALUE"""),2.0)</f>
        <v>2</v>
      </c>
      <c r="Q99" s="92">
        <f>IFERROR(__xludf.DUMMYFUNCTION("""COMPUTED_VALUE"""),0.0)</f>
        <v>0</v>
      </c>
      <c r="R99" s="92">
        <f>IFERROR(__xludf.DUMMYFUNCTION("""COMPUTED_VALUE"""),200.0)</f>
        <v>200</v>
      </c>
      <c r="S99" s="87" t="str">
        <f>IFERROR(__xludf.DUMMYFUNCTION("""COMPUTED_VALUE""")," ")</f>
        <v> </v>
      </c>
      <c r="T99" s="46" t="str">
        <f>IFERROR(__xludf.DUMMYFUNCTION("""COMPUTED_VALUE"""),"Rivera")</f>
        <v>Rivera</v>
      </c>
      <c r="U99" s="87" t="str">
        <f>IFERROR(__xludf.DUMMYFUNCTION("""COMPUTED_VALUE"""),"2")</f>
        <v>2</v>
      </c>
      <c r="V99" s="46" t="str">
        <f>IFERROR(__xludf.DUMMYFUNCTION("""COMPUTED_VALUE"""),"Medianera")</f>
        <v>Medianera</v>
      </c>
      <c r="W99" s="46"/>
      <c r="X99" s="46">
        <f>IFERROR(__xludf.DUMMYFUNCTION("""COMPUTED_VALUE"""),2.0)</f>
        <v>2</v>
      </c>
      <c r="Y99" s="46" t="str">
        <f>IFERROR(__xludf.DUMMYFUNCTION("""COMPUTED_VALUE"""),"No tiene")</f>
        <v>No tiene</v>
      </c>
      <c r="Z99" s="90" t="str">
        <f>IFERROR(__xludf.DUMMYFUNCTION("""COMPUTED_VALUE"""),"No aplica")</f>
        <v>No aplica</v>
      </c>
      <c r="AA99" s="33" t="str">
        <f>IFERROR(__xludf.DUMMYFUNCTION("""COMPUTED_VALUE"""),"No aplica")</f>
        <v>No aplica</v>
      </c>
      <c r="AB99" s="144" t="str">
        <f>IFERROR(__xludf.DUMMYFUNCTION("""COMPUTED_VALUE"""),"https://photos.app.goo.gl/Yf9uXsSJoRsJf2P7A")</f>
        <v>https://photos.app.goo.gl/Yf9uXsSJoRsJf2P7A</v>
      </c>
      <c r="AC99" s="46" t="str">
        <f>IFERROR(__xludf.DUMMYFUNCTION("""COMPUTED_VALUE"""),"Casa de 2 pisos Rentable con dos apartamentos independientes en el municipio de RIVERA-HUILA, vereda rio frio.    Primer piso consta de sala comedor, cocina, patio de ropas, 3 alcobas, baño, garaje para 4 carros.   Segundo piso: sala, comedor cocina integ"&amp;"ral, zona de lavandería, baño auxiliar, 2 alcobas amplias, la principal con baño privado.")</f>
        <v>Casa de 2 pisos Rentable con dos apartamentos independientes en el municipio de RIVERA-HUILA, vereda rio frio.    Primer piso consta de sala comedor, cocina, patio de ropas, 3 alcobas, baño, garaje para 4 carros.   Segundo piso: sala, comedor cocina integral, zona de lavandería, baño auxiliar, 2 alcobas amplias, la principal con baño privado.</v>
      </c>
      <c r="AD99" s="46"/>
      <c r="AE99" s="46"/>
      <c r="AF99" s="46" t="str">
        <f>IFERROR(__xludf.DUMMYFUNCTION("""COMPUTED_VALUE"""),"semi-integral")</f>
        <v>semi-integral</v>
      </c>
      <c r="AG99" s="46"/>
      <c r="AH99" s="46" t="str">
        <f>IFERROR(__xludf.DUMMYFUNCTION("""COMPUTED_VALUE"""),"Aliado")</f>
        <v>Aliado</v>
      </c>
      <c r="AI99" s="92" t="str">
        <f>IFERROR(__xludf.DUMMYFUNCTION("""COMPUTED_VALUE"""),"https://lh3.googleusercontent.com/pw/AP1GczNNZmx7iAEyIdyba5A3206yp1G-xEbGUyigjgZ9BID8i4wEuiYu3qXtL7Oq-SxqcxQT54zs4eo_2N7kX_Rej7IIT91warH3zIlNB28h3Jklzy0wrPmr=w1200|https://lh3.googleusercontent.com/pw/AP1GczOgVEzpmPw9GuS-gF14GFQwtd0V2qHnFdqBbFnnfR_dAAqUi9"&amp;"aYRQ2hvKgRVC9miFGNbwcowPhufC9NponqosGXOhDyd0DamGOPgE75FokkLZi69fZd=w1200|https://lh3.googleusercontent.com/pw/AP1GczMdTJH6Z7Cqofbf3qmIJlajfhY6jjprcfThApzBRsdgpcVAhWCHC2UfDBDASjwv9qUcZn4YMGSvQijlcV038hG_c2I2XdZofRDhkiaAvH6HUe7vaaC4=w1200|https://lh3.google"&amp;"usercontent.com/pw/AP1GczNcoKnCjHG5-ejE0FX56yTGPFjh3iLVpKrmuvyPiaOgiGECuUTB4p0Afebs3w_D7jVXj2iO9Tc-AxHLuts9K81GEfZw-qUysdBzF11r7OcHlQCvlJJH=w1200|https://lh3.googleusercontent.com/pw/AP1GczMcdWzrJ5wjDXJfKHLdtSLru6ogq0kmupar5YNuP0zdf5X7ZEOKNi3fQxjAwcYja4XF"&amp;"gyMzDWitJ5jOWrB6gAKBEKzNmlPhXhlmNR6XCwK-R6m0QZPD=w1200|https://lh3.googleusercontent.com/pw/AP1GczPApnY0PMv-Sht6AjjZSnfB7HWTC8_nAIBqcahR8uRolNu2niASaptu9p482v4ochDiX49OAW4JmYt-dhn6QmStUbok8ar92BPZgXaPsP-i2Kj1p6Ud=w1200|https://lh3.googleusercontent.com/pw"&amp;"/AP1GczM2DXn1l3qt6mUfOwsDcgoPPG9Nouk9kcM_2EJxOSA76t135MrLNFk2Mi7zoAiu2dwYHdnPq7i4nHtjRXwc4v-kOZviWpHoE24y9562W1V1O1n4YJD7=w1200|https://lh3.googleusercontent.com/pw/AP1GczOcyQhdoaGjMBNkWnkniCxxRaKe9pueGPfRWDlANJNV0aalqhs0texPzQm6PWFArbITVpLdvmPZXLv8YLxp2S"&amp;"OPSRVmnINirTEwIChVhprOzw4CaHyC=w1200|https://lh3.googleusercontent.com/pw/AP1GczO-iUwx6fdVuZfiV0D9dFetVT7TO-stxPHstIB6s1Xpy72fimZyukG_6cSGK2Q2hc6hDwR28vY42PiR9qBjNQHa8pv6Nd0MIy7mQTtSsX3__ADiMIvZ=w1200|https://lh3.googleusercontent.com/pw/AP1GczNWQm9XmIDVZ"&amp;"dSoEnHpni5DDXxEHEOGFOx0GtnonzSXvqzOf0q33F-p9e0EFAHwsVrm77wdKAi90oqtKETRFwj-KqzrrZKwCAhUzBzErKY_pldoeQa8=w1200|https://lh3.googleusercontent.com/pw/AP1GczPZSbSf-JY0wxCBW52f1U7PHI6OEg-vyqTcpAx_OkZavMqo07NS3xbxn0DlafqFQNh-AUszoz7TL-vgBqMbDRY_MPczcCKNj3LC8hJf"&amp;"FsF47DA57Pyg=w1200|https://lh3.googleusercontent.com/pw/AP1GczPZpCR0jjE9dNerheEtB7zcd6ZAYnBK_eq8vrB64VhUhW8NcXWzgDEMoYQvjb_jCatjuHsN36cykMSBH2F75-1e4_pBMWpURE8fVZYSXz6VImrGoyS_=w1200|https://lh3.googleusercontent.com/pw/AP1GczM3TmbFKjTk6U78v70HAfc960bM5QL"&amp;"QTrst3JZUk2vL8Zuy7GrSipHxDzqpYsmuXdAxG7ppOYuM24Jj59XxhOFJBEsc0GY5mk1f4Lwv9z6GmDjprlmc=w1200|https://lh3.googleusercontent.com/pw/AP1GczMt4srI1nlIwevZF31XjNvCgD9B5xI7QHYrbyU2mvxEEpkNLQHdCC_VZd1nRfqfwa_n4j2MILN7H60CMbMH3nXaaIiHhFOia_qwjvTta4g8L8OcToXq=w1200"&amp;"|https://lh3.googleusercontent.com/pw/AP1GczPBr20eJwfWOiRkQOaW-O83b00PJy1nYU3QNM1FmFNruIC2_bIuexQVEsQYpv5iQuAVEy4puSU_NAE_8jOrZltHK4QEs_gP9CIm7gFNhWO5Wd2RHqlL=w1200|https://lh3.googleusercontent.com/pw/AP1GczPdEG2NgCaJ-WPCnUewUonG0YU9vlywfiXaRPJN7Ef0RMBkY"&amp;"LCmysOcD3GmOoxaxcuXM-xQ52PmQikY20oxLtLL8KxUhM3l45BZcvNDY0Gt1hY6zUm8=w1200|https://lh3.googleusercontent.com/pw/AP1GczPLzAGuBRKuH0VDtoXVBM6ajfyG3BLaFNsDaoWFz21uIG9F7couoKMvG5bLcKQRvge3J1kdbPko99bQ-psEydBrAzlV3bVF1w3nFjRkRPAicagm7ptD=w1200|https://lh3.googl"&amp;"eusercontent.com/pw/AP1GczMsbpA_df5HvN7FY6I1vunX2-hZXQuYkpm73B49y-bjURfIdQzLwFgPR-PoL_eRsfZ2Or65lIu-haAM3rH6KWNtMDpNyrBlzIqW2CVNQEXBFPUYgkEZ=w1200|https://lh3.googleusercontent.com/pw/AP1GczPsmsgNO6A7bnf0v2MbmiC4dLgZy37MTR4wkWfmJPZxruoVr-S5nFormL_u-T8srGO"&amp;"BHTxp0LlEXsoEILNpBsQm-MTK9_urfCPJ_Fo2OFcuGevLW6UD=w1200|https://lh3.googleusercontent.com/pw/AP1GczNJF2aGyFlxFnqJtMgReGxXm6zGlvZ_xKzVYTmz9EfQNxT5NR8zMsPN18P9qz45SWen3NtwNrGkk5GK4JX5THhMapgPVeV2HJsv-eV-Ko4goyZbkcGK=w1200")</f>
        <v>https://lh3.googleusercontent.com/pw/AP1GczNNZmx7iAEyIdyba5A3206yp1G-xEbGUyigjgZ9BID8i4wEuiYu3qXtL7Oq-SxqcxQT54zs4eo_2N7kX_Rej7IIT91warH3zIlNB28h3Jklzy0wrPmr=w1200|https://lh3.googleusercontent.com/pw/AP1GczOgVEzpmPw9GuS-gF14GFQwtd0V2qHnFdqBbFnnfR_dAAqUi9aYRQ2hvKgRVC9miFGNbwcowPhufC9NponqosGXOhDyd0DamGOPgE75FokkLZi69fZd=w1200|https://lh3.googleusercontent.com/pw/AP1GczMdTJH6Z7Cqofbf3qmIJlajfhY6jjprcfThApzBRsdgpcVAhWCHC2UfDBDASjwv9qUcZn4YMGSvQijlcV038hG_c2I2XdZofRDhkiaAvH6HUe7vaaC4=w1200|https://lh3.googleusercontent.com/pw/AP1GczNcoKnCjHG5-ejE0FX56yTGPFjh3iLVpKrmuvyPiaOgiGECuUTB4p0Afebs3w_D7jVXj2iO9Tc-AxHLuts9K81GEfZw-qUysdBzF11r7OcHlQCvlJJH=w1200|https://lh3.googleusercontent.com/pw/AP1GczMcdWzrJ5wjDXJfKHLdtSLru6ogq0kmupar5YNuP0zdf5X7ZEOKNi3fQxjAwcYja4XFgyMzDWitJ5jOWrB6gAKBEKzNmlPhXhlmNR6XCwK-R6m0QZPD=w1200|https://lh3.googleusercontent.com/pw/AP1GczPApnY0PMv-Sht6AjjZSnfB7HWTC8_nAIBqcahR8uRolNu2niASaptu9p482v4ochDiX49OAW4JmYt-dhn6QmStUbok8ar92BPZgXaPsP-i2Kj1p6Ud=w1200|https://lh3.googleusercontent.com/pw/AP1GczM2DXn1l3qt6mUfOwsDcgoPPG9Nouk9kcM_2EJxOSA76t135MrLNFk2Mi7zoAiu2dwYHdnPq7i4nHtjRXwc4v-kOZviWpHoE24y9562W1V1O1n4YJD7=w1200|https://lh3.googleusercontent.com/pw/AP1GczOcyQhdoaGjMBNkWnkniCxxRaKe9pueGPfRWDlANJNV0aalqhs0texPzQm6PWFArbITVpLdvmPZXLv8YLxp2SOPSRVmnINirTEwIChVhprOzw4CaHyC=w1200|https://lh3.googleusercontent.com/pw/AP1GczO-iUwx6fdVuZfiV0D9dFetVT7TO-stxPHstIB6s1Xpy72fimZyukG_6cSGK2Q2hc6hDwR28vY42PiR9qBjNQHa8pv6Nd0MIy7mQTtSsX3__ADiMIvZ=w1200|https://lh3.googleusercontent.com/pw/AP1GczNWQm9XmIDVZdSoEnHpni5DDXxEHEOGFOx0GtnonzSXvqzOf0q33F-p9e0EFAHwsVrm77wdKAi90oqtKETRFwj-KqzrrZKwCAhUzBzErKY_pldoeQa8=w1200|https://lh3.googleusercontent.com/pw/AP1GczPZSbSf-JY0wxCBW52f1U7PHI6OEg-vyqTcpAx_OkZavMqo07NS3xbxn0DlafqFQNh-AUszoz7TL-vgBqMbDRY_MPczcCKNj3LC8hJfFsF47DA57Pyg=w1200|https://lh3.googleusercontent.com/pw/AP1GczPZpCR0jjE9dNerheEtB7zcd6ZAYnBK_eq8vrB64VhUhW8NcXWzgDEMoYQvjb_jCatjuHsN36cykMSBH2F75-1e4_pBMWpURE8fVZYSXz6VImrGoyS_=w1200|https://lh3.googleusercontent.com/pw/AP1GczM3TmbFKjTk6U78v70HAfc960bM5QLQTrst3JZUk2vL8Zuy7GrSipHxDzqpYsmuXdAxG7ppOYuM24Jj59XxhOFJBEsc0GY5mk1f4Lwv9z6GmDjprlmc=w1200|https://lh3.googleusercontent.com/pw/AP1GczMt4srI1nlIwevZF31XjNvCgD9B5xI7QHYrbyU2mvxEEpkNLQHdCC_VZd1nRfqfwa_n4j2MILN7H60CMbMH3nXaaIiHhFOia_qwjvTta4g8L8OcToXq=w1200|https://lh3.googleusercontent.com/pw/AP1GczPBr20eJwfWOiRkQOaW-O83b00PJy1nYU3QNM1FmFNruIC2_bIuexQVEsQYpv5iQuAVEy4puSU_NAE_8jOrZltHK4QEs_gP9CIm7gFNhWO5Wd2RHqlL=w1200|https://lh3.googleusercontent.com/pw/AP1GczPdEG2NgCaJ-WPCnUewUonG0YU9vlywfiXaRPJN7Ef0RMBkYLCmysOcD3GmOoxaxcuXM-xQ52PmQikY20oxLtLL8KxUhM3l45BZcvNDY0Gt1hY6zUm8=w1200|https://lh3.googleusercontent.com/pw/AP1GczPLzAGuBRKuH0VDtoXVBM6ajfyG3BLaFNsDaoWFz21uIG9F7couoKMvG5bLcKQRvge3J1kdbPko99bQ-psEydBrAzlV3bVF1w3nFjRkRPAicagm7ptD=w1200|https://lh3.googleusercontent.com/pw/AP1GczMsbpA_df5HvN7FY6I1vunX2-hZXQuYkpm73B49y-bjURfIdQzLwFgPR-PoL_eRsfZ2Or65lIu-haAM3rH6KWNtMDpNyrBlzIqW2CVNQEXBFPUYgkEZ=w1200|https://lh3.googleusercontent.com/pw/AP1GczPsmsgNO6A7bnf0v2MbmiC4dLgZy37MTR4wkWfmJPZxruoVr-S5nFormL_u-T8srGOBHTxp0LlEXsoEILNpBsQm-MTK9_urfCPJ_Fo2OFcuGevLW6UD=w1200|https://lh3.googleusercontent.com/pw/AP1GczNJF2aGyFlxFnqJtMgReGxXm6zGlvZ_xKzVYTmz9EfQNxT5NR8zMsPN18P9qz45SWen3NtwNrGkk5GK4JX5THhMapgPVeV2HJsv-eV-Ko4goyZbkcGK=w1200</v>
      </c>
      <c r="AJ99" s="46"/>
      <c r="AK99" s="46"/>
      <c r="AL99" s="46"/>
      <c r="AM99" s="46"/>
      <c r="AN99" s="46"/>
      <c r="AO99" s="46"/>
      <c r="AP99" s="46"/>
      <c r="AQ99" s="46"/>
      <c r="AR99" s="46"/>
      <c r="AS99" s="46"/>
      <c r="AT99" s="46"/>
      <c r="AU99" s="46"/>
      <c r="AV99" s="46"/>
      <c r="AW99" s="46"/>
      <c r="AX99" s="46"/>
      <c r="AY99" s="46"/>
      <c r="AZ99" s="46"/>
      <c r="BA99" s="46"/>
      <c r="BB99" s="46"/>
      <c r="BC99" s="46"/>
      <c r="BD99" s="46"/>
      <c r="BE99" s="46"/>
      <c r="BF99" s="46"/>
      <c r="BG99" s="46"/>
      <c r="BH99" s="46"/>
      <c r="BI99" s="46"/>
      <c r="BJ99" s="46"/>
      <c r="BK99" s="46"/>
      <c r="BL99" s="46"/>
      <c r="BM99" s="46"/>
      <c r="BN99" s="46"/>
      <c r="BO99" s="46"/>
      <c r="BP99" s="46"/>
      <c r="BQ99" s="46"/>
      <c r="BR99" s="46"/>
      <c r="BS99" s="46"/>
      <c r="BT99" s="46"/>
      <c r="BU99" s="46"/>
      <c r="BV99" s="46"/>
      <c r="BW99" s="46"/>
      <c r="BX99" s="46"/>
      <c r="BY99" s="46"/>
      <c r="BZ99" s="46"/>
      <c r="CA99" s="46"/>
      <c r="CB99" s="46"/>
      <c r="CC99" s="46"/>
    </row>
    <row r="100">
      <c r="A100" s="87" t="str">
        <f>IFERROR(__xludf.DUMMYFUNCTION("""COMPUTED_VALUE"""),"1419")</f>
        <v>1419</v>
      </c>
      <c r="B100" s="46" t="str">
        <f>IFERROR(__xludf.DUMMYFUNCTION("""COMPUTED_VALUE"""),"Casa en barrio Aldebarán de Berdez")</f>
        <v>Casa en barrio Aldebarán de Berdez</v>
      </c>
      <c r="C100" s="46" t="str">
        <f>IFERROR(__xludf.DUMMYFUNCTION("""COMPUTED_VALUE"""),"Casa")</f>
        <v>Casa</v>
      </c>
      <c r="D100" s="46" t="str">
        <f>IFERROR(__xludf.DUMMYFUNCTION("""COMPUTED_VALUE"""),"Aldebarán de Berdez")</f>
        <v>Aldebarán de Berdez</v>
      </c>
      <c r="E100" s="90"/>
      <c r="F100" s="90">
        <f>IFERROR(__xludf.DUMMYFUNCTION("""COMPUTED_VALUE"""),2.6E8)</f>
        <v>260000000</v>
      </c>
      <c r="G100" s="46" t="str">
        <f>IFERROR(__xludf.DUMMYFUNCTION("""COMPUTED_VALUE"""),"$200'000.000 a $300'000.000")</f>
        <v>$200'000.000 a $300'000.000</v>
      </c>
      <c r="H100" s="46"/>
      <c r="I100" s="46"/>
      <c r="J100" s="46" t="str">
        <f>IFERROR(__xludf.DUMMYFUNCTION("""COMPUTED_VALUE"""),"Occidente")</f>
        <v>Occidente</v>
      </c>
      <c r="K100" s="87" t="str">
        <f>IFERROR(__xludf.DUMMYFUNCTION("""COMPUTED_VALUE"""),"2")</f>
        <v>2</v>
      </c>
      <c r="L100" s="46">
        <f>IFERROR(__xludf.DUMMYFUNCTION("""COMPUTED_VALUE"""),3.0)</f>
        <v>3</v>
      </c>
      <c r="M100" s="46"/>
      <c r="N100" s="46">
        <f>IFERROR(__xludf.DUMMYFUNCTION("""COMPUTED_VALUE"""),2.0)</f>
        <v>2</v>
      </c>
      <c r="O100" s="46">
        <f>IFERROR(__xludf.DUMMYFUNCTION("""COMPUTED_VALUE"""),1.0)</f>
        <v>1</v>
      </c>
      <c r="P100" s="46">
        <f>IFERROR(__xludf.DUMMYFUNCTION("""COMPUTED_VALUE"""),2.0)</f>
        <v>2</v>
      </c>
      <c r="Q100" s="92">
        <f>IFERROR(__xludf.DUMMYFUNCTION("""COMPUTED_VALUE"""),130.0)</f>
        <v>130</v>
      </c>
      <c r="R100" s="92"/>
      <c r="S100" s="87" t="str">
        <f>IFERROR(__xludf.DUMMYFUNCTION("""COMPUTED_VALUE""")," ")</f>
        <v> </v>
      </c>
      <c r="T100" s="46" t="str">
        <f>IFERROR(__xludf.DUMMYFUNCTION("""COMPUTED_VALUE"""),"Neiva")</f>
        <v>Neiva</v>
      </c>
      <c r="U100" s="87" t="str">
        <f>IFERROR(__xludf.DUMMYFUNCTION("""COMPUTED_VALUE"""),"3")</f>
        <v>3</v>
      </c>
      <c r="V100" s="46" t="str">
        <f>IFERROR(__xludf.DUMMYFUNCTION("""COMPUTED_VALUE"""),"Medianera")</f>
        <v>Medianera</v>
      </c>
      <c r="W100" s="46"/>
      <c r="X100" s="46">
        <f>IFERROR(__xludf.DUMMYFUNCTION("""COMPUTED_VALUE"""),0.0)</f>
        <v>0</v>
      </c>
      <c r="Y100" s="179" t="str">
        <f>IFERROR(__xludf.DUMMYFUNCTION("""COMPUTED_VALUE"""),"No tiene")</f>
        <v>No tiene</v>
      </c>
      <c r="Z100" s="90" t="str">
        <f>IFERROR(__xludf.DUMMYFUNCTION("""COMPUTED_VALUE"""),"No aplica")</f>
        <v>No aplica</v>
      </c>
      <c r="AA100" s="33" t="str">
        <f>IFERROR(__xludf.DUMMYFUNCTION("""COMPUTED_VALUE"""),"No aplica")</f>
        <v>No aplica</v>
      </c>
      <c r="AB100" s="144" t="str">
        <f>IFERROR(__xludf.DUMMYFUNCTION("""COMPUTED_VALUE"""),"https://photos.app.goo.gl/cbqCbRAE4rzpqz6fA")</f>
        <v>https://photos.app.goo.gl/cbqCbRAE4rzpqz6fA</v>
      </c>
      <c r="AC100" s="46" t="str">
        <f>IFERROR(__xludf.DUMMYFUNCTION("""COMPUTED_VALUE"""),"Casa de dos pisos. El primer piso consta de sala-comedor, cocina integral con barra, patio amplio, zona de lavandería, depósito. El segundo piso consta de habitación principal con baño y balcón, 2 habitaciones auxiliares con ventanal, baño social.")</f>
        <v>Casa de dos pisos. El primer piso consta de sala-comedor, cocina integral con barra, patio amplio, zona de lavandería, depósito. El segundo piso consta de habitación principal con baño y balcón, 2 habitaciones auxiliares con ventanal, baño social.</v>
      </c>
      <c r="AD100" s="46" t="str">
        <f>IFERROR(__xludf.DUMMYFUNCTION("""COMPUTED_VALUE"""),"No cuenta con gas domiciliario")</f>
        <v>No cuenta con gas domiciliario</v>
      </c>
      <c r="AE100" s="46"/>
      <c r="AF100" s="46" t="str">
        <f>IFERROR(__xludf.DUMMYFUNCTION("""COMPUTED_VALUE"""),"integral")</f>
        <v>integral</v>
      </c>
      <c r="AG100" s="46"/>
      <c r="AH100" s="46" t="str">
        <f>IFERROR(__xludf.DUMMYFUNCTION("""COMPUTED_VALUE"""),"Aliado")</f>
        <v>Aliado</v>
      </c>
      <c r="AI100" s="92" t="str">
        <f>IFERROR(__xludf.DUMMYFUNCTION("""COMPUTED_VALUE"""),"https://lh3.googleusercontent.com/pw/AP1GczOzKE72EGydX0PIoG-nVD8qdCDGxA5I86gSfdR3gOsdOSTE7KRTPqYg-_bW4WtrYCLYNpUpcWWUcWYwGXtZ2KZgX23yhypP5EBpg2MK1Ki_XaP_6tBo=w1200|https://lh3.googleusercontent.com/pw/AP1GczN7Mo_-HJM7evuxIyy4GxYWuN5TZE_gyBt93aD-7ybjL9BCIA"&amp;"lXuQmCE1uErBQKiffIbP8XWUP3OnNvqH4WnTj-38zbYUGG-mDZWjSt7GsvW-yaKmgx=w1200|https://lh3.googleusercontent.com/pw/AP1GczPCWaYf8fpg87TkYx3ls-rBkUOI8_29z3Lsdy_vLCvfLX-wEBn8Pf_bCmxwZu-K4i_qNe8Ma5pcyyG2ghDCsL-wC_QPrp8-nEhUDr1IgC5s2kPLckAT=w1200|https://lh3.google"&amp;"usercontent.com/pw/AP1GczPTGtf8MmO2IQTAxfRFDFHwdVIg1H6X7OWXzD8FYPMN9UDdotodbvDT49FsYLw5EVPt7l6OCQjjw0eVnSBgUphcbyXt_vRn1otBIxdRdNIAspBYNYMj=w1200|https://lh3.googleusercontent.com/pw/AP1GczPOqqNca-ngffGn7h2GU9d6PPQbQq0Nqu0hrEgakvS9_gU4lWCgwCJEtnKc1Qoy6jPF"&amp;"JR_aOp6BVOLDDfgGpONZlPhkPJg_oUzxbxYhvH_mfTO9oRD5=w1200|https://lh3.googleusercontent.com/pw/AP1GczNDbS1L10Jw6xUmkcPpeCfNgRGVgsgm5xj8HmD6sXoUTYUSXAE3_hxHAQIyr5yITnv27ksGDWhqc4I9sL53Mx_ua0lSHgv-sBdJmHtfhhBf-nHgh-Ww=w1200|https://lh3.googleusercontent.com/pw"&amp;"/AP1GczP56oxOXOfQiXPiPX7Z8ko37d6oLPL9ywZCxoUiZ7Z7MkeqiJRaUYXgaNniHdG0onK4S6eE_6Z8ioUD_DEtq78WgcoYJziBP7dH1fzZRvwEf-OCJJE8=w1200|https://lh3.googleusercontent.com/pw/AP1GczOwSebx1M8qF1YM2gYnVtnnTz9ZDYaA2137lzJH42i4LuP3o2EMS469jqzK76a-2rFYQGNL9RensnocuPB4vG"&amp;"bTTmk-nHzIN-we1Mm6NqKNheib5DC-=w1200|https://lh3.googleusercontent.com/pw/AP1GczOQZoLcO5fCciJ0G9UMDW0EZIQDe9gp3VchgIvRf5ADfBK5lgHIgk47Y8eWxRlo4wl6tnjboMfbtumc6WEmKBhhvHSg74diFpJ7hW1T2RhTnpJ_a-rp=w1200|https://lh3.googleusercontent.com/pw/AP1GczP7CxvyDDJj9"&amp;"l-Y7XNl4ifkzgLuYohnJvCLJIsGOLQubvOPOCDbuPRfKhzpc706oOafRTpQRvHqZZGu02Awj5yclxV6eE8_PfIWC3s9coKDvSeZ9oes=w1200|https://lh3.googleusercontent.com/pw/AP1GczPctAU6-USCThQObFp_oVUEGWdJfzr4gMNx7Y8PwaM65HSbxlHC89IAqu4WzzwQNCVqPcT1XhCkIJuMEMPYkiiVaUkVNqVO8afoOwnV"&amp;"a-V8GxdvotZI=w1200|https://lh3.googleusercontent.com/pw/AP1GczNk5Gpd6kKmxw3Y1MXvabJBpa1_JuHVyPbM5SfwJEtr5pwfJQNjxsb6i9iqZqkTvejNC1qH3rKoA5WVFoPsDsiToUuiw_JJuj9E1zR1nEhhg7dRTkJd=w1200|https://lh3.googleusercontent.com/pw/AP1GczMVZ2iFhFnNiVTCjc9Uph5Pr9zWMpH"&amp;"66Di6dIAUxY04K60_nR1hJiI_-J2qZSsivu6S3_o2nADMNytxeCbw4PmIji_wzSFj4o5CY1JydWbQQ0I58m7c=w1200|https://lh3.googleusercontent.com/pw/AP1GczN9Z4T1pI0GfaMTVKLdJtdpq4hNpGi42Ae3eP8GGuiNX2nYdBnHgxl_pAcLB8mG4hhYCleoLTBUzMvauEhge3g5P_UnlYDBrY0KrsyxmLdGWQwzZc5s=w1200"&amp;"|https://lh3.googleusercontent.com/pw/AP1GczNdLFoGLPe3XYpvmwZVSn7ta1WR0jQSE5ZN6Q7lS4gTZBSnGjBAYp7maFLBZKpXONqvgpk2DNdmp0z3M8gifxlPr_478gwCIFPhdjEqi4i8dfmLkXpm=w1200|https://lh3.googleusercontent.com/pw/AP1GczPaUaJSVQMDKyG6BuWEbNV-uurJy-sjATA2ROYe9BYm74h9Z"&amp;"vWxafCjM8H5TfcxezmqwHLca6j6qa4I6IV6rXzk7V72ntVOZ2N6wH4XClQvkgE4QwzV=w1200|https://lh3.googleusercontent.com/pw/AP1GczOQhTDqR0NJk1hMyYKAwXImJP6dpOaC5cU9JYVOMfDMrtpB193QlDzh6uskS2C5EUX6NCUISrkSz3Ca0VeT1QS_tlgrcW9OnpKOKXg93fve6PmYbHQX=w1200")</f>
        <v>https://lh3.googleusercontent.com/pw/AP1GczOzKE72EGydX0PIoG-nVD8qdCDGxA5I86gSfdR3gOsdOSTE7KRTPqYg-_bW4WtrYCLYNpUpcWWUcWYwGXtZ2KZgX23yhypP5EBpg2MK1Ki_XaP_6tBo=w1200|https://lh3.googleusercontent.com/pw/AP1GczN7Mo_-HJM7evuxIyy4GxYWuN5TZE_gyBt93aD-7ybjL9BCIAlXuQmCE1uErBQKiffIbP8XWUP3OnNvqH4WnTj-38zbYUGG-mDZWjSt7GsvW-yaKmgx=w1200|https://lh3.googleusercontent.com/pw/AP1GczPCWaYf8fpg87TkYx3ls-rBkUOI8_29z3Lsdy_vLCvfLX-wEBn8Pf_bCmxwZu-K4i_qNe8Ma5pcyyG2ghDCsL-wC_QPrp8-nEhUDr1IgC5s2kPLckAT=w1200|https://lh3.googleusercontent.com/pw/AP1GczPTGtf8MmO2IQTAxfRFDFHwdVIg1H6X7OWXzD8FYPMN9UDdotodbvDT49FsYLw5EVPt7l6OCQjjw0eVnSBgUphcbyXt_vRn1otBIxdRdNIAspBYNYMj=w1200|https://lh3.googleusercontent.com/pw/AP1GczPOqqNca-ngffGn7h2GU9d6PPQbQq0Nqu0hrEgakvS9_gU4lWCgwCJEtnKc1Qoy6jPFJR_aOp6BVOLDDfgGpONZlPhkPJg_oUzxbxYhvH_mfTO9oRD5=w1200|https://lh3.googleusercontent.com/pw/AP1GczNDbS1L10Jw6xUmkcPpeCfNgRGVgsgm5xj8HmD6sXoUTYUSXAE3_hxHAQIyr5yITnv27ksGDWhqc4I9sL53Mx_ua0lSHgv-sBdJmHtfhhBf-nHgh-Ww=w1200|https://lh3.googleusercontent.com/pw/AP1GczP56oxOXOfQiXPiPX7Z8ko37d6oLPL9ywZCxoUiZ7Z7MkeqiJRaUYXgaNniHdG0onK4S6eE_6Z8ioUD_DEtq78WgcoYJziBP7dH1fzZRvwEf-OCJJE8=w1200|https://lh3.googleusercontent.com/pw/AP1GczOwSebx1M8qF1YM2gYnVtnnTz9ZDYaA2137lzJH42i4LuP3o2EMS469jqzK76a-2rFYQGNL9RensnocuPB4vGbTTmk-nHzIN-we1Mm6NqKNheib5DC-=w1200|https://lh3.googleusercontent.com/pw/AP1GczOQZoLcO5fCciJ0G9UMDW0EZIQDe9gp3VchgIvRf5ADfBK5lgHIgk47Y8eWxRlo4wl6tnjboMfbtumc6WEmKBhhvHSg74diFpJ7hW1T2RhTnpJ_a-rp=w1200|https://lh3.googleusercontent.com/pw/AP1GczP7CxvyDDJj9l-Y7XNl4ifkzgLuYohnJvCLJIsGOLQubvOPOCDbuPRfKhzpc706oOafRTpQRvHqZZGu02Awj5yclxV6eE8_PfIWC3s9coKDvSeZ9oes=w1200|https://lh3.googleusercontent.com/pw/AP1GczPctAU6-USCThQObFp_oVUEGWdJfzr4gMNx7Y8PwaM65HSbxlHC89IAqu4WzzwQNCVqPcT1XhCkIJuMEMPYkiiVaUkVNqVO8afoOwnVa-V8GxdvotZI=w1200|https://lh3.googleusercontent.com/pw/AP1GczNk5Gpd6kKmxw3Y1MXvabJBpa1_JuHVyPbM5SfwJEtr5pwfJQNjxsb6i9iqZqkTvejNC1qH3rKoA5WVFoPsDsiToUuiw_JJuj9E1zR1nEhhg7dRTkJd=w1200|https://lh3.googleusercontent.com/pw/AP1GczMVZ2iFhFnNiVTCjc9Uph5Pr9zWMpH66Di6dIAUxY04K60_nR1hJiI_-J2qZSsivu6S3_o2nADMNytxeCbw4PmIji_wzSFj4o5CY1JydWbQQ0I58m7c=w1200|https://lh3.googleusercontent.com/pw/AP1GczN9Z4T1pI0GfaMTVKLdJtdpq4hNpGi42Ae3eP8GGuiNX2nYdBnHgxl_pAcLB8mG4hhYCleoLTBUzMvauEhge3g5P_UnlYDBrY0KrsyxmLdGWQwzZc5s=w1200|https://lh3.googleusercontent.com/pw/AP1GczNdLFoGLPe3XYpvmwZVSn7ta1WR0jQSE5ZN6Q7lS4gTZBSnGjBAYp7maFLBZKpXONqvgpk2DNdmp0z3M8gifxlPr_478gwCIFPhdjEqi4i8dfmLkXpm=w1200|https://lh3.googleusercontent.com/pw/AP1GczPaUaJSVQMDKyG6BuWEbNV-uurJy-sjATA2ROYe9BYm74h9ZvWxafCjM8H5TfcxezmqwHLca6j6qa4I6IV6rXzk7V72ntVOZ2N6wH4XClQvkgE4QwzV=w1200|https://lh3.googleusercontent.com/pw/AP1GczOQhTDqR0NJk1hMyYKAwXImJP6dpOaC5cU9JYVOMfDMrtpB193QlDzh6uskS2C5EUX6NCUISrkSz3Ca0VeT1QS_tlgrcW9OnpKOKXg93fve6PmYbHQX=w1200</v>
      </c>
      <c r="AJ100" s="46"/>
      <c r="AK100" s="46"/>
      <c r="AL100" s="46"/>
      <c r="AM100" s="46"/>
      <c r="AN100" s="46"/>
      <c r="AO100" s="46"/>
      <c r="AP100" s="46"/>
      <c r="AQ100" s="46"/>
      <c r="AR100" s="46"/>
      <c r="AS100" s="46"/>
      <c r="AT100" s="46"/>
      <c r="AU100" s="46"/>
      <c r="AV100" s="46"/>
      <c r="AW100" s="46"/>
      <c r="AX100" s="46"/>
      <c r="AY100" s="46"/>
      <c r="AZ100" s="46"/>
      <c r="BA100" s="46"/>
      <c r="BB100" s="46"/>
      <c r="BC100" s="46"/>
      <c r="BD100" s="46"/>
      <c r="BE100" s="46"/>
      <c r="BF100" s="46"/>
      <c r="BG100" s="46"/>
      <c r="BH100" s="46"/>
      <c r="BI100" s="46"/>
      <c r="BJ100" s="46"/>
      <c r="BK100" s="46"/>
      <c r="BL100" s="46"/>
      <c r="BM100" s="46"/>
      <c r="BN100" s="46"/>
      <c r="BO100" s="46"/>
      <c r="BP100" s="46"/>
      <c r="BQ100" s="46"/>
      <c r="BR100" s="46"/>
      <c r="BS100" s="46"/>
      <c r="BT100" s="46"/>
      <c r="BU100" s="46"/>
      <c r="BV100" s="46"/>
      <c r="BW100" s="46"/>
      <c r="BX100" s="46"/>
      <c r="BY100" s="46"/>
      <c r="BZ100" s="46"/>
      <c r="CA100" s="46"/>
      <c r="CB100" s="46"/>
      <c r="CC100" s="46"/>
    </row>
    <row r="101">
      <c r="A101" s="87" t="str">
        <f>IFERROR(__xludf.DUMMYFUNCTION("""COMPUTED_VALUE"""),"1209")</f>
        <v>1209</v>
      </c>
      <c r="B101" s="46" t="str">
        <f>IFERROR(__xludf.DUMMYFUNCTION("""COMPUTED_VALUE"""),"Casa en La Plata, Huila")</f>
        <v>Casa en La Plata, Huila</v>
      </c>
      <c r="C101" s="46" t="str">
        <f>IFERROR(__xludf.DUMMYFUNCTION("""COMPUTED_VALUE"""),"Casa")</f>
        <v>Casa</v>
      </c>
      <c r="D101" s="46"/>
      <c r="E101" s="46"/>
      <c r="F101" s="90">
        <f>IFERROR(__xludf.DUMMYFUNCTION("""COMPUTED_VALUE"""),2.6E8)</f>
        <v>260000000</v>
      </c>
      <c r="G101" s="46" t="str">
        <f>IFERROR(__xludf.DUMMYFUNCTION("""COMPUTED_VALUE"""),"$200'000.000 a $300'000.000")</f>
        <v>$200'000.000 a $300'000.000</v>
      </c>
      <c r="H101" s="46"/>
      <c r="I101" s="46"/>
      <c r="J101" s="46"/>
      <c r="K101" s="87"/>
      <c r="L101" s="46">
        <f>IFERROR(__xludf.DUMMYFUNCTION("""COMPUTED_VALUE"""),4.0)</f>
        <v>4</v>
      </c>
      <c r="M101" s="46"/>
      <c r="N101" s="46">
        <f>IFERROR(__xludf.DUMMYFUNCTION("""COMPUTED_VALUE"""),3.0)</f>
        <v>3</v>
      </c>
      <c r="O101" s="46">
        <f>IFERROR(__xludf.DUMMYFUNCTION("""COMPUTED_VALUE"""),1.0)</f>
        <v>1</v>
      </c>
      <c r="P101" s="46">
        <f>IFERROR(__xludf.DUMMYFUNCTION("""COMPUTED_VALUE"""),2.0)</f>
        <v>2</v>
      </c>
      <c r="Q101" s="92">
        <f>IFERROR(__xludf.DUMMYFUNCTION("""COMPUTED_VALUE"""),0.0)</f>
        <v>0</v>
      </c>
      <c r="R101" s="92">
        <f>IFERROR(__xludf.DUMMYFUNCTION("""COMPUTED_VALUE"""),210.0)</f>
        <v>210</v>
      </c>
      <c r="S101" s="87" t="str">
        <f>IFERROR(__xludf.DUMMYFUNCTION("""COMPUTED_VALUE""")," ")</f>
        <v> </v>
      </c>
      <c r="T101" s="46" t="str">
        <f>IFERROR(__xludf.DUMMYFUNCTION("""COMPUTED_VALUE"""),"La Plata")</f>
        <v>La Plata</v>
      </c>
      <c r="U101" s="87" t="str">
        <f>IFERROR(__xludf.DUMMYFUNCTION("""COMPUTED_VALUE"""),"2")</f>
        <v>2</v>
      </c>
      <c r="V101" s="46" t="str">
        <f>IFERROR(__xludf.DUMMYFUNCTION("""COMPUTED_VALUE"""),"Esquinera")</f>
        <v>Esquinera</v>
      </c>
      <c r="W101" s="46"/>
      <c r="X101" s="46">
        <f>IFERROR(__xludf.DUMMYFUNCTION("""COMPUTED_VALUE"""),0.0)</f>
        <v>0</v>
      </c>
      <c r="Y101" s="46" t="str">
        <f>IFERROR(__xludf.DUMMYFUNCTION("""COMPUTED_VALUE"""),"No tiene")</f>
        <v>No tiene</v>
      </c>
      <c r="Z101" s="90"/>
      <c r="AA101" s="33" t="str">
        <f>IFERROR(__xludf.DUMMYFUNCTION("""COMPUTED_VALUE"""),"No aplica")</f>
        <v>No aplica</v>
      </c>
      <c r="AB101" s="144" t="str">
        <f>IFERROR(__xludf.DUMMYFUNCTION("""COMPUTED_VALUE"""),"https://photos.app.goo.gl/czFLCHxKvvzGyFuQ8")</f>
        <v>https://photos.app.goo.gl/czFLCHxKvvzGyFuQ8</v>
      </c>
      <c r="AC101" s="46" t="str">
        <f>IFERROR(__xludf.DUMMYFUNCTION("""COMPUTED_VALUE"""),"Se vende casa La Plata Huila, con un área de 210m2 consta de: Sala, comedor, 4 alcobas, 2 baños, 1 estudio, balcón, terraza, cocina integral, patio de ropas, encortinada, pisos en cerámica, estrato 2.")</f>
        <v>Se vende casa La Plata Huila, con un área de 210m2 consta de: Sala, comedor, 4 alcobas, 2 baños, 1 estudio, balcón, terraza, cocina integral, patio de ropas, encortinada, pisos en cerámica, estrato 2.</v>
      </c>
      <c r="AD101" s="46"/>
      <c r="AE101" s="46"/>
      <c r="AF101" s="46" t="str">
        <f>IFERROR(__xludf.DUMMYFUNCTION("""COMPUTED_VALUE"""),"integral")</f>
        <v>integral</v>
      </c>
      <c r="AG101" s="46"/>
      <c r="AH101" s="46" t="str">
        <f>IFERROR(__xludf.DUMMYFUNCTION("""COMPUTED_VALUE"""),"Aliado")</f>
        <v>Aliado</v>
      </c>
      <c r="AI101" s="92" t="str">
        <f>IFERROR(__xludf.DUMMYFUNCTION("""COMPUTED_VALUE"""),"https://lh3.googleusercontent.com/pw/AP1GczMg4CTmL0Mywau6tp-KaLrCkJ_jwyWhTkh5qrK5LdOW2zIVID6QaP7lKK3dX74lA73CCP7OQXtcGDXBz_jKKNKjPlLJy0z5Cl_NvXVt9TCCsF1dnbnE=w1200|https://lh3.googleusercontent.com/pw/AP1GczOKsU97ir5PITPeK74AVwESvxLan0ooXF0-fu3YLRfJQ4lIIQ"&amp;"4s4Wz0op1v9EjzTq2sJplKG2GIdJcQTL9lP2cBQI5KA3bxO4d2AMWXgSCFpwTO-vCj=w1200|https://lh3.googleusercontent.com/pw/AP1GczPpDs_4Bg4oKPn0BAZNTiTtGj5bFQiHyg_ydZa0QbrSvKNgQcF3pXU110VD0qb6eN4hMGuSFrjW4c5YWNvJvSNTRkCI62zsqTc0SUmlhGEyzRI9trZy=w1200|https://lh3.google"&amp;"usercontent.com/pw/AP1GczMW3Z0Z_35x6VAB7TM-vuF2sxFxw1w4TGRigddNaP8xONFsmmnuLXT951CZzpejiSEHT6-dDkslG-Enuw4R9SY5xiWRDbCMh1ZGZSymx0N97y5UucLr=w1200|https://lh3.googleusercontent.com/pw/AP1GczOoLAxwctS9aKOnDHIs8SwroSIHMyg4O60j4i2cykpnE_S7e8cz2-5WKhxg3ZRjgAeh"&amp;"dv1GoP-XaCAYHFORSCSAqVvQpDB71RnOSjCmf6AzHASAD0b0=w1200|https://lh3.googleusercontent.com/pw/AP1GczOWjxIglvj41ea6_GarY15NM7Fw33Grb9y4NNiO5BrgaCNqnmdirOHbvsKj8xA1bP_kHxQVuwdiK8e-VRct7pCmCNnAZCwWLQuN-dovZzPuFBZds29a=w1200|https://lh3.googleusercontent.com/pw"&amp;"/AP1GczPCeDtILcj-5z-PX-nM5gM2r3--Ft6qzyoX1Wsb9sJBo6sVU6uc1FQDpeHxNVI21JyYp-OKa5TFiMghZQ_MAdJrU_8Ire4reRaPvOxIV_R6kdYdAfzk=w1200|https://lh3.googleusercontent.com/pw/AP1GczNXmu956RJ_SRlMel-Uao0ZxPtz-p09SSkioCTk7paUZbw42_T33DfPcOmIbv0trs-Pp3msuE4v-5fCcTnWsv"&amp;"s7T0tynrBaZXRrKHwRvnIZq1Askz9t=w1200|https://lh3.googleusercontent.com/pw/AP1GczPgbDZtCfg477zXGizGTJFGMzgbDEeX8hskMSww5HlIPlQ_p71BTskzdIWXxH3zqLhmWOvTfbSIjHll1ukDdXk-HS77lq7alg7dXhdnPSRGy8BOOpF_=w1200|https://lh3.googleusercontent.com/pw/AP1GczNfTFZvVPzVF"&amp;"aJNgp4X8xxtsMwP3p4kOC0lR_XhX79o-CmhTOUlXhGm4ODTRyDEn1uDbjULpwtHA3StmAegkZFx9ZsgYDszwUeHntzII4oxGfWWsaW6=w1200|https://lh3.googleusercontent.com/pw/AP1GczPdkGdAfjd2d-_R3oY1zWby2brmMVbmbhGI8YbzDzYQgfdD0x296eByYQwcaygMCTjvwqVciJl4L2Nvr0Q1Ds94ojtWnWl6Vw7dVt32"&amp;"-DeDkH7qREpu=w1200|https://lh3.googleusercontent.com/pw/AP1GczMSRspup7G4TiKEt4BFTx_su3tuWNNefku7ZTNcikyB2TR1mNoIRQ3maUYILOnjNHwKs01IU_THx8dudt5jVkpnqur_x1daBK1lX_VJ9W05meJuLJMT=w1200|https://lh3.googleusercontent.com/pw/AP1GczMOwI3lI7BB-IgL-gpHiWr7bZR0IpV"&amp;"aJuJcm3hAuRhqx96JhgRAxIfWRsDGX19wfKvAGJC4jvkpvQtnE3LUBz7CQi16kpgHIkkdwUL00LtY1uX-wYSC=w1200")</f>
        <v>https://lh3.googleusercontent.com/pw/AP1GczMg4CTmL0Mywau6tp-KaLrCkJ_jwyWhTkh5qrK5LdOW2zIVID6QaP7lKK3dX74lA73CCP7OQXtcGDXBz_jKKNKjPlLJy0z5Cl_NvXVt9TCCsF1dnbnE=w1200|https://lh3.googleusercontent.com/pw/AP1GczOKsU97ir5PITPeK74AVwESvxLan0ooXF0-fu3YLRfJQ4lIIQ4s4Wz0op1v9EjzTq2sJplKG2GIdJcQTL9lP2cBQI5KA3bxO4d2AMWXgSCFpwTO-vCj=w1200|https://lh3.googleusercontent.com/pw/AP1GczPpDs_4Bg4oKPn0BAZNTiTtGj5bFQiHyg_ydZa0QbrSvKNgQcF3pXU110VD0qb6eN4hMGuSFrjW4c5YWNvJvSNTRkCI62zsqTc0SUmlhGEyzRI9trZy=w1200|https://lh3.googleusercontent.com/pw/AP1GczMW3Z0Z_35x6VAB7TM-vuF2sxFxw1w4TGRigddNaP8xONFsmmnuLXT951CZzpejiSEHT6-dDkslG-Enuw4R9SY5xiWRDbCMh1ZGZSymx0N97y5UucLr=w1200|https://lh3.googleusercontent.com/pw/AP1GczOoLAxwctS9aKOnDHIs8SwroSIHMyg4O60j4i2cykpnE_S7e8cz2-5WKhxg3ZRjgAehdv1GoP-XaCAYHFORSCSAqVvQpDB71RnOSjCmf6AzHASAD0b0=w1200|https://lh3.googleusercontent.com/pw/AP1GczOWjxIglvj41ea6_GarY15NM7Fw33Grb9y4NNiO5BrgaCNqnmdirOHbvsKj8xA1bP_kHxQVuwdiK8e-VRct7pCmCNnAZCwWLQuN-dovZzPuFBZds29a=w1200|https://lh3.googleusercontent.com/pw/AP1GczPCeDtILcj-5z-PX-nM5gM2r3--Ft6qzyoX1Wsb9sJBo6sVU6uc1FQDpeHxNVI21JyYp-OKa5TFiMghZQ_MAdJrU_8Ire4reRaPvOxIV_R6kdYdAfzk=w1200|https://lh3.googleusercontent.com/pw/AP1GczNXmu956RJ_SRlMel-Uao0ZxPtz-p09SSkioCTk7paUZbw42_T33DfPcOmIbv0trs-Pp3msuE4v-5fCcTnWsvs7T0tynrBaZXRrKHwRvnIZq1Askz9t=w1200|https://lh3.googleusercontent.com/pw/AP1GczPgbDZtCfg477zXGizGTJFGMzgbDEeX8hskMSww5HlIPlQ_p71BTskzdIWXxH3zqLhmWOvTfbSIjHll1ukDdXk-HS77lq7alg7dXhdnPSRGy8BOOpF_=w1200|https://lh3.googleusercontent.com/pw/AP1GczNfTFZvVPzVFaJNgp4X8xxtsMwP3p4kOC0lR_XhX79o-CmhTOUlXhGm4ODTRyDEn1uDbjULpwtHA3StmAegkZFx9ZsgYDszwUeHntzII4oxGfWWsaW6=w1200|https://lh3.googleusercontent.com/pw/AP1GczPdkGdAfjd2d-_R3oY1zWby2brmMVbmbhGI8YbzDzYQgfdD0x296eByYQwcaygMCTjvwqVciJl4L2Nvr0Q1Ds94ojtWnWl6Vw7dVt32-DeDkH7qREpu=w1200|https://lh3.googleusercontent.com/pw/AP1GczMSRspup7G4TiKEt4BFTx_su3tuWNNefku7ZTNcikyB2TR1mNoIRQ3maUYILOnjNHwKs01IU_THx8dudt5jVkpnqur_x1daBK1lX_VJ9W05meJuLJMT=w1200|https://lh3.googleusercontent.com/pw/AP1GczMOwI3lI7BB-IgL-gpHiWr7bZR0IpVaJuJcm3hAuRhqx96JhgRAxIfWRsDGX19wfKvAGJC4jvkpvQtnE3LUBz7CQi16kpgHIkkdwUL00LtY1uX-wYSC=w1200</v>
      </c>
      <c r="AJ101" s="46"/>
      <c r="AK101" s="46"/>
      <c r="AL101" s="46"/>
      <c r="AM101" s="46"/>
      <c r="AN101" s="46"/>
      <c r="AO101" s="46"/>
      <c r="AP101" s="46"/>
      <c r="AQ101" s="46"/>
      <c r="AR101" s="46"/>
      <c r="AS101" s="46"/>
      <c r="AT101" s="46"/>
      <c r="AU101" s="46"/>
      <c r="AV101" s="46"/>
      <c r="AW101" s="46"/>
      <c r="AX101" s="46"/>
      <c r="AY101" s="46"/>
      <c r="AZ101" s="46"/>
      <c r="BA101" s="46"/>
      <c r="BB101" s="46"/>
      <c r="BC101" s="46"/>
      <c r="BD101" s="46"/>
      <c r="BE101" s="46"/>
      <c r="BF101" s="46"/>
      <c r="BG101" s="46"/>
      <c r="BH101" s="46"/>
      <c r="BI101" s="46"/>
      <c r="BJ101" s="46"/>
      <c r="BK101" s="46"/>
      <c r="BL101" s="46"/>
      <c r="BM101" s="46"/>
      <c r="BN101" s="46"/>
      <c r="BO101" s="46"/>
      <c r="BP101" s="46"/>
      <c r="BQ101" s="46"/>
      <c r="BR101" s="46"/>
      <c r="BS101" s="46"/>
      <c r="BT101" s="46"/>
      <c r="BU101" s="46"/>
      <c r="BV101" s="46"/>
      <c r="BW101" s="46"/>
      <c r="BX101" s="46"/>
      <c r="BY101" s="46"/>
      <c r="BZ101" s="46"/>
      <c r="CA101" s="46"/>
      <c r="CB101" s="46"/>
      <c r="CC101" s="46"/>
    </row>
    <row r="102">
      <c r="A102" s="87" t="str">
        <f>IFERROR(__xludf.DUMMYFUNCTION("""COMPUTED_VALUE"""),"814")</f>
        <v>814</v>
      </c>
      <c r="B102" s="46" t="str">
        <f>IFERROR(__xludf.DUMMYFUNCTION("""COMPUTED_VALUE"""),"Finca - Riverita - Huila")</f>
        <v>Finca - Riverita - Huila</v>
      </c>
      <c r="C102" s="46" t="str">
        <f>IFERROR(__xludf.DUMMYFUNCTION("""COMPUTED_VALUE"""),"Finca")</f>
        <v>Finca</v>
      </c>
      <c r="D102" s="46"/>
      <c r="E102" s="46"/>
      <c r="F102" s="90">
        <f>IFERROR(__xludf.DUMMYFUNCTION("""COMPUTED_VALUE"""),2.5E8)</f>
        <v>250000000</v>
      </c>
      <c r="G102" s="46" t="str">
        <f>IFERROR(__xludf.DUMMYFUNCTION("""COMPUTED_VALUE"""),"$200'000.000 a $300'000.000")</f>
        <v>$200'000.000 a $300'000.000</v>
      </c>
      <c r="H102" s="46"/>
      <c r="I102" s="46"/>
      <c r="J102" s="46" t="str">
        <f>IFERROR(__xludf.DUMMYFUNCTION("""COMPUTED_VALUE"""),"Rural")</f>
        <v>Rural</v>
      </c>
      <c r="K102" s="87"/>
      <c r="L102" s="46">
        <f>IFERROR(__xludf.DUMMYFUNCTION("""COMPUTED_VALUE"""),2.0)</f>
        <v>2</v>
      </c>
      <c r="M102" s="46"/>
      <c r="N102" s="46">
        <f>IFERROR(__xludf.DUMMYFUNCTION("""COMPUTED_VALUE"""),2.0)</f>
        <v>2</v>
      </c>
      <c r="O102" s="46">
        <f>IFERROR(__xludf.DUMMYFUNCTION("""COMPUTED_VALUE"""),1.0)</f>
        <v>1</v>
      </c>
      <c r="P102" s="46">
        <f>IFERROR(__xludf.DUMMYFUNCTION("""COMPUTED_VALUE"""),1.0)</f>
        <v>1</v>
      </c>
      <c r="Q102" s="92">
        <f>IFERROR(__xludf.DUMMYFUNCTION("""COMPUTED_VALUE"""),0.0)</f>
        <v>0</v>
      </c>
      <c r="R102" s="92">
        <f>IFERROR(__xludf.DUMMYFUNCTION("""COMPUTED_VALUE"""),20200.0)</f>
        <v>20200</v>
      </c>
      <c r="S102" s="87"/>
      <c r="T102" s="46" t="str">
        <f>IFERROR(__xludf.DUMMYFUNCTION("""COMPUTED_VALUE"""),"Riverita")</f>
        <v>Riverita</v>
      </c>
      <c r="U102" s="87"/>
      <c r="V102" s="46"/>
      <c r="W102" s="46"/>
      <c r="X102" s="46">
        <f>IFERROR(__xludf.DUMMYFUNCTION("""COMPUTED_VALUE"""),1.0)</f>
        <v>1</v>
      </c>
      <c r="Y102" s="46" t="str">
        <f>IFERROR(__xludf.DUMMYFUNCTION("""COMPUTED_VALUE"""),"No tiene")</f>
        <v>No tiene</v>
      </c>
      <c r="Z102" s="90" t="str">
        <f>IFERROR(__xludf.DUMMYFUNCTION("""COMPUTED_VALUE"""),"No aplica")</f>
        <v>No aplica</v>
      </c>
      <c r="AA102" s="33" t="str">
        <f>IFERROR(__xludf.DUMMYFUNCTION("""COMPUTED_VALUE"""),"No aplica")</f>
        <v>No aplica</v>
      </c>
      <c r="AB102" s="96" t="str">
        <f>IFERROR(__xludf.DUMMYFUNCTION("""COMPUTED_VALUE"""),"https://photos.app.goo.gl/eqwoxA5G2yXuJyz59")</f>
        <v>https://photos.app.goo.gl/eqwoxA5G2yXuJyz59</v>
      </c>
      <c r="AC102" s="46" t="str">
        <f>IFERROR(__xludf.DUMMYFUNCTION("""COMPUTED_VALUE"""),"Finca con un area de 2.200 m2, via de acceso por la placa huella fachada en piedra, acceso amplio, construida 1 casa con dos habitaciones, cocina y corredor, pisos de baldosa y teja en zinc, baños al ingreso de el predio, y zona de lavanderia.")</f>
        <v>Finca con un area de 2.200 m2, via de acceso por la placa huella fachada en piedra, acceso amplio, construida 1 casa con dos habitaciones, cocina y corredor, pisos de baldosa y teja en zinc, baños al ingreso de el predio, y zona de lavanderia.</v>
      </c>
      <c r="AD102" s="46" t="str">
        <f>IFERROR(__xludf.DUMMYFUNCTION("""COMPUTED_VALUE"""),"La finca ubucada a 5 km de Rivera.  Cuenta con árboles frutales, servicios de agua, energia y gas.")</f>
        <v>La finca ubucada a 5 km de Rivera.  Cuenta con árboles frutales, servicios de agua, energia y gas.</v>
      </c>
      <c r="AE102" s="46"/>
      <c r="AF102" s="46" t="str">
        <f>IFERROR(__xludf.DUMMYFUNCTION("""COMPUTED_VALUE"""),"semi-integral")</f>
        <v>semi-integral</v>
      </c>
      <c r="AG102" s="46"/>
      <c r="AH102" s="46" t="str">
        <f>IFERROR(__xludf.DUMMYFUNCTION("""COMPUTED_VALUE"""),"Aliado")</f>
        <v>Aliado</v>
      </c>
      <c r="AI102" s="92" t="str">
        <f>IFERROR(__xludf.DUMMYFUNCTION("""COMPUTED_VALUE"""),"https://lh3.googleusercontent.com/pw/AP1GczN5PnxNa_nsDycZGb5oK8vKoWq2X7Fj-5Gb9aWZOphhggOxMQ5xU8i-b9u86bLYMxd8X9wVjdWVytXlIEvgVeXawLTGRhyu6rntBfFQa6MDaUjO7WKG=w1200|https://lh3.googleusercontent.com/pw/AP1GczO-SuAkmoi_6ZEOY3hDiaAoaKeS2C5vjtm1BczNUxRLe_7GGE"&amp;"Rg81GTY4PNRbt37Q0AbnSzbLNa7MEZwN-Ip9se4hEDNFEj-BFNCd3C7JbRUJpC5_Jc=w1200|https://lh3.googleusercontent.com/pw/AP1GczMw42fr7l_bN4o3-uWDlQBySbG4t5hWiLba8qzjMcsHsnCbubHxhcTG8j7e2nZlkkjB9xYUqp4WmMRapb6eF7KFblVjzJa1ewxsqZlDy6oHByZX6AnK=w1200|https://lh3.google"&amp;"usercontent.com/pw/AP1GczOtMIA71vXbsZdzm7Z1Y83IAh0lai9w5J7Ft_CaZckrJTzTjU_4sRvaOBEhgVgZM4TJsmFWAWCmgPF2CAH_YhFI8PuZg-nGq9VBH3zFGutm3s385sEc=w1200|https://lh3.googleusercontent.com/pw/AP1GczPO16GVeJyoAsebkcqgTX8UIeRQH4lIz-YOPWzMClDSfRI6m6asUdKTI-kmaB9tRoq1"&amp;"K29EimI-MUORCGU61r4LHccp7y5NdXM9Zeekv2yPfKBo0JYW=w1200|https://lh3.googleusercontent.com/pw/AP1GczOtxTtRbQZl1gKxLiIaKXlTuipq7xphgDG4m56MVMu5B3iNEmM4H5FHU1jPV5C5GPnrwnuYIEfk0fwPHn5FZOVSjYcSTDk9PQCkRxjpOF4WOURPMh30=w1200|https://lh3.googleusercontent.com/pw"&amp;"/AP1GczPYucPNR98JFMKIZWQRbL0PNyGgOBR13Hxvc2FtXLc4ls_XtikgsivRWcFkcBLPKtIViUeFq0JRoPiCelkAEiFnWwwis60cpjYdp5wuVTHP2nUhCCpA=w1200|https://lh3.googleusercontent.com/pw/AP1GczNmW7shRVqI5xrVa7gzcgWUlA9U55M3ocwlL6alnyfdrerjagRnOhs4SB2mOMNYEWu6bWMwi2PSZS8H_7szkK"&amp;"ndZbdz4N_JAmAGq0HPl2eVY62kUsUT=w1200|https://lh3.googleusercontent.com/pw/AP1GczNISX4roNb6LSpDj2nS9nGxnADDhbWTOVGZ0I_kSVkNTtZRX2Job6HRapurvKVK2o9QytActHpImTic9qeclPKXkByChQIS6Pn1RwIRKkhwUUdBXi4m=w1200|https://lh3.googleusercontent.com/pw/AP1GczOXr-C4W9oPu"&amp;"aSpdPR8IST_gZ-A8GgZ_r6DXoc7fgXWNQqZeafm5l6YcLUDrxohi_1W-jnTt3zpIPyEzRRYFncYhiyMoXCkhal6Y90k6vvr9Srddf0W=w1200|https://lh3.googleusercontent.com/pw/AP1GczNjplu5CB06AiAnxv-r_5TK6cJK_9J5m7gjss9zXxZqe9b74Ta7VEwlacg6FmwglzDzYizgqeh2mYFJSRaE0gsdA5-A-aseJH-3aLoL"&amp;"twQRd5CNHQyH=w1200|https://lh3.googleusercontent.com/pw/AP1GczMZjctCQqKI8U51z3f-cSgpjQzFAeCfL2FScZ5zMd__-DngVCTQV_8x3eXR2T9MpO3Vt25_D9H2qLFIGbhRiAn1yS71_lNudpxbT3vgvHU9xIYXgpVS=w1200|https://lh3.googleusercontent.com/pw/AP1GczPXy4bsByOdmBEpG0xSCmorLMkgEmI"&amp;"3BXSUICpY0vwu32FH6vDeUqGGpGwGFpfPBSVjeoC2wqR4eHauwOB5IZ15MhvodlRIFEuT7gFEgaFU0kvh4LiN=w1200|https://lh3.googleusercontent.com/pw/AP1GczMuTTN2_a6IqBfNbct6L3IvbPzoS3Xg9GCRL_C73gdBnryrvpPgy_gaUmtPkRRRy7gGqhMy45IqtTz4l-rSxbnHCkdEpS2huQLNKx6GuSrhVtvYb3AT=w1200")</f>
        <v>https://lh3.googleusercontent.com/pw/AP1GczN5PnxNa_nsDycZGb5oK8vKoWq2X7Fj-5Gb9aWZOphhggOxMQ5xU8i-b9u86bLYMxd8X9wVjdWVytXlIEvgVeXawLTGRhyu6rntBfFQa6MDaUjO7WKG=w1200|https://lh3.googleusercontent.com/pw/AP1GczO-SuAkmoi_6ZEOY3hDiaAoaKeS2C5vjtm1BczNUxRLe_7GGERg81GTY4PNRbt37Q0AbnSzbLNa7MEZwN-Ip9se4hEDNFEj-BFNCd3C7JbRUJpC5_Jc=w1200|https://lh3.googleusercontent.com/pw/AP1GczMw42fr7l_bN4o3-uWDlQBySbG4t5hWiLba8qzjMcsHsnCbubHxhcTG8j7e2nZlkkjB9xYUqp4WmMRapb6eF7KFblVjzJa1ewxsqZlDy6oHByZX6AnK=w1200|https://lh3.googleusercontent.com/pw/AP1GczOtMIA71vXbsZdzm7Z1Y83IAh0lai9w5J7Ft_CaZckrJTzTjU_4sRvaOBEhgVgZM4TJsmFWAWCmgPF2CAH_YhFI8PuZg-nGq9VBH3zFGutm3s385sEc=w1200|https://lh3.googleusercontent.com/pw/AP1GczPO16GVeJyoAsebkcqgTX8UIeRQH4lIz-YOPWzMClDSfRI6m6asUdKTI-kmaB9tRoq1K29EimI-MUORCGU61r4LHccp7y5NdXM9Zeekv2yPfKBo0JYW=w1200|https://lh3.googleusercontent.com/pw/AP1GczOtxTtRbQZl1gKxLiIaKXlTuipq7xphgDG4m56MVMu5B3iNEmM4H5FHU1jPV5C5GPnrwnuYIEfk0fwPHn5FZOVSjYcSTDk9PQCkRxjpOF4WOURPMh30=w1200|https://lh3.googleusercontent.com/pw/AP1GczPYucPNR98JFMKIZWQRbL0PNyGgOBR13Hxvc2FtXLc4ls_XtikgsivRWcFkcBLPKtIViUeFq0JRoPiCelkAEiFnWwwis60cpjYdp5wuVTHP2nUhCCpA=w1200|https://lh3.googleusercontent.com/pw/AP1GczNmW7shRVqI5xrVa7gzcgWUlA9U55M3ocwlL6alnyfdrerjagRnOhs4SB2mOMNYEWu6bWMwi2PSZS8H_7szkKndZbdz4N_JAmAGq0HPl2eVY62kUsUT=w1200|https://lh3.googleusercontent.com/pw/AP1GczNISX4roNb6LSpDj2nS9nGxnADDhbWTOVGZ0I_kSVkNTtZRX2Job6HRapurvKVK2o9QytActHpImTic9qeclPKXkByChQIS6Pn1RwIRKkhwUUdBXi4m=w1200|https://lh3.googleusercontent.com/pw/AP1GczOXr-C4W9oPuaSpdPR8IST_gZ-A8GgZ_r6DXoc7fgXWNQqZeafm5l6YcLUDrxohi_1W-jnTt3zpIPyEzRRYFncYhiyMoXCkhal6Y90k6vvr9Srddf0W=w1200|https://lh3.googleusercontent.com/pw/AP1GczNjplu5CB06AiAnxv-r_5TK6cJK_9J5m7gjss9zXxZqe9b74Ta7VEwlacg6FmwglzDzYizgqeh2mYFJSRaE0gsdA5-A-aseJH-3aLoLtwQRd5CNHQyH=w1200|https://lh3.googleusercontent.com/pw/AP1GczMZjctCQqKI8U51z3f-cSgpjQzFAeCfL2FScZ5zMd__-DngVCTQV_8x3eXR2T9MpO3Vt25_D9H2qLFIGbhRiAn1yS71_lNudpxbT3vgvHU9xIYXgpVS=w1200|https://lh3.googleusercontent.com/pw/AP1GczPXy4bsByOdmBEpG0xSCmorLMkgEmI3BXSUICpY0vwu32FH6vDeUqGGpGwGFpfPBSVjeoC2wqR4eHauwOB5IZ15MhvodlRIFEuT7gFEgaFU0kvh4LiN=w1200|https://lh3.googleusercontent.com/pw/AP1GczMuTTN2_a6IqBfNbct6L3IvbPzoS3Xg9GCRL_C73gdBnryrvpPgy_gaUmtPkRRRy7gGqhMy45IqtTz4l-rSxbnHCkdEpS2huQLNKx6GuSrhVtvYb3AT=w1200</v>
      </c>
      <c r="AJ102" s="46"/>
      <c r="AK102" s="46"/>
      <c r="AL102" s="46"/>
      <c r="AM102" s="46"/>
      <c r="AN102" s="46"/>
      <c r="AO102" s="46"/>
      <c r="AP102" s="46"/>
      <c r="AQ102" s="46"/>
      <c r="AR102" s="46"/>
      <c r="AS102" s="46"/>
      <c r="AT102" s="46"/>
      <c r="AU102" s="46"/>
      <c r="AV102" s="46"/>
      <c r="AW102" s="46"/>
      <c r="AX102" s="46"/>
      <c r="AY102" s="46"/>
      <c r="AZ102" s="46"/>
      <c r="BA102" s="46"/>
      <c r="BB102" s="46"/>
      <c r="BC102" s="46"/>
      <c r="BD102" s="46"/>
      <c r="BE102" s="46"/>
      <c r="BF102" s="46"/>
      <c r="BG102" s="46"/>
      <c r="BH102" s="46"/>
      <c r="BI102" s="46"/>
      <c r="BJ102" s="46"/>
      <c r="BK102" s="46"/>
      <c r="BL102" s="46"/>
      <c r="BM102" s="46"/>
      <c r="BN102" s="46"/>
      <c r="BO102" s="46"/>
      <c r="BP102" s="46"/>
      <c r="BQ102" s="46"/>
      <c r="BR102" s="46"/>
      <c r="BS102" s="46"/>
      <c r="BT102" s="46"/>
      <c r="BU102" s="46"/>
      <c r="BV102" s="46"/>
      <c r="BW102" s="46"/>
      <c r="BX102" s="46"/>
      <c r="BY102" s="46"/>
      <c r="BZ102" s="46"/>
      <c r="CA102" s="46"/>
      <c r="CB102" s="46"/>
      <c r="CC102" s="46"/>
    </row>
    <row r="103">
      <c r="A103" s="87" t="str">
        <f>IFERROR(__xludf.DUMMYFUNCTION("""COMPUTED_VALUE"""),"1766")</f>
        <v>1766</v>
      </c>
      <c r="B103" s="46" t="str">
        <f>IFERROR(__xludf.DUMMYFUNCTION("""COMPUTED_VALUE"""),"Aparta estudio en edificio Torre 8 -34 - Oriente")</f>
        <v>Aparta estudio en edificio Torre 8 -34 - Oriente</v>
      </c>
      <c r="C103" s="46" t="str">
        <f>IFERROR(__xludf.DUMMYFUNCTION("""COMPUTED_VALUE"""),"Apartamento")</f>
        <v>Apartamento</v>
      </c>
      <c r="D103" s="46" t="str">
        <f>IFERROR(__xludf.DUMMYFUNCTION("""COMPUTED_VALUE"""),"Las Brisas")</f>
        <v>Las Brisas</v>
      </c>
      <c r="E103" s="46"/>
      <c r="F103" s="90">
        <f>IFERROR(__xludf.DUMMYFUNCTION("""COMPUTED_VALUE"""),2.5E8)</f>
        <v>250000000</v>
      </c>
      <c r="G103" s="46" t="str">
        <f>IFERROR(__xludf.DUMMYFUNCTION("""COMPUTED_VALUE"""),"$200'000.000 a $300'000.000")</f>
        <v>$200'000.000 a $300'000.000</v>
      </c>
      <c r="H103" s="46"/>
      <c r="I103" s="46"/>
      <c r="J103" s="46" t="str">
        <f>IFERROR(__xludf.DUMMYFUNCTION("""COMPUTED_VALUE"""),"Oriente")</f>
        <v>Oriente</v>
      </c>
      <c r="K103" s="87" t="str">
        <f>IFERROR(__xludf.DUMMYFUNCTION("""COMPUTED_VALUE"""),"7")</f>
        <v>7</v>
      </c>
      <c r="L103" s="46">
        <f>IFERROR(__xludf.DUMMYFUNCTION("""COMPUTED_VALUE"""),1.0)</f>
        <v>1</v>
      </c>
      <c r="M103" s="46"/>
      <c r="N103" s="46">
        <f>IFERROR(__xludf.DUMMYFUNCTION("""COMPUTED_VALUE"""),1.0)</f>
        <v>1</v>
      </c>
      <c r="O103" s="46">
        <f>IFERROR(__xludf.DUMMYFUNCTION("""COMPUTED_VALUE"""),1.0)</f>
        <v>1</v>
      </c>
      <c r="P103" s="46">
        <f>IFERROR(__xludf.DUMMYFUNCTION("""COMPUTED_VALUE"""),12.0)</f>
        <v>12</v>
      </c>
      <c r="Q103" s="92">
        <f>IFERROR(__xludf.DUMMYFUNCTION("""COMPUTED_VALUE"""),59.0)</f>
        <v>59</v>
      </c>
      <c r="R103" s="92">
        <f>IFERROR(__xludf.DUMMYFUNCTION("""COMPUTED_VALUE"""),59.0)</f>
        <v>59</v>
      </c>
      <c r="S103" s="87" t="str">
        <f>IFERROR(__xludf.DUMMYFUNCTION("""COMPUTED_VALUE""")," ")</f>
        <v> </v>
      </c>
      <c r="T103" s="46" t="str">
        <f>IFERROR(__xludf.DUMMYFUNCTION("""COMPUTED_VALUE"""),"Neiva")</f>
        <v>Neiva</v>
      </c>
      <c r="U103" s="87" t="str">
        <f>IFERROR(__xludf.DUMMYFUNCTION("""COMPUTED_VALUE"""),"4")</f>
        <v>4</v>
      </c>
      <c r="V103" s="46" t="str">
        <f>IFERROR(__xludf.DUMMYFUNCTION("""COMPUTED_VALUE"""),"12o.")</f>
        <v>12o.</v>
      </c>
      <c r="W103" s="46"/>
      <c r="X103" s="46">
        <f>IFERROR(__xludf.DUMMYFUNCTION("""COMPUTED_VALUE"""),1.0)</f>
        <v>1</v>
      </c>
      <c r="Y103" s="46" t="str">
        <f>IFERROR(__xludf.DUMMYFUNCTION("""COMPUTED_VALUE"""),"Social")</f>
        <v>Social</v>
      </c>
      <c r="Z103" s="90"/>
      <c r="AA103" s="33" t="str">
        <f>IFERROR(__xludf.DUMMYFUNCTION("""COMPUTED_VALUE"""),"No aplica")</f>
        <v>No aplica</v>
      </c>
      <c r="AB103" s="96" t="str">
        <f>IFERROR(__xludf.DUMMYFUNCTION("""COMPUTED_VALUE"""),"https://photos.app.goo.gl/SzhDikLhpUyQXsNo8")</f>
        <v>https://photos.app.goo.gl/SzhDikLhpUyQXsNo8</v>
      </c>
      <c r="AC103" s="46" t="str">
        <f>IFERROR(__xludf.DUMMYFUNCTION("""COMPUTED_VALUE"""),"Consta de: Sala – Comedor elegante y minimalista. Baño. Cocina Integral. Zona de lavandería. 1 habitación con closet en madera. Aire Acondicionado. Balcón con hermosa vista y un parqueadero.")</f>
        <v>Consta de: Sala – Comedor elegante y minimalista. Baño. Cocina Integral. Zona de lavandería. 1 habitación con closet en madera. Aire Acondicionado. Balcón con hermosa vista y un parqueadero.</v>
      </c>
      <c r="AD103" s="46" t="str">
        <f>IFERROR(__xludf.DUMMYFUNCTION("""COMPUTED_VALUE"""),"Aparta estudio que ofrece . . . comodidad, elegancia, espacio y una excelente ubicación. Apto con área de 59 m² - Estrato 4.")</f>
        <v>Aparta estudio que ofrece . . . comodidad, elegancia, espacio y una excelente ubicación. Apto con área de 59 m² - Estrato 4.</v>
      </c>
      <c r="AE103" s="46"/>
      <c r="AF103" s="46" t="str">
        <f>IFERROR(__xludf.DUMMYFUNCTION("""COMPUTED_VALUE"""),"integral")</f>
        <v>integral</v>
      </c>
      <c r="AG103" s="46"/>
      <c r="AH103" s="46" t="str">
        <f>IFERROR(__xludf.DUMMYFUNCTION("""COMPUTED_VALUE"""),"Aliado")</f>
        <v>Aliado</v>
      </c>
      <c r="AI103" s="92" t="str">
        <f>IFERROR(__xludf.DUMMYFUNCTION("""COMPUTED_VALUE"""),"https://lh3.googleusercontent.com/pw/AP1GczPvYghvc8lUIQUJvm7dKlFHvwwWe9mM4Ssv8pLZbQ9Tb-EyaQQaf0EKWIl1yIHeEBQecLLq4KbDBKYz1_xA_eEXiIvw0Y934M6mOwnqLhf50eavAmgR=w1200|https://lh3.googleusercontent.com/pw/AP1GczO6Rj5qGAdHyvK0eJFmeCBGuFBJAyUE11TFgo9Bq8gFhiLMVw"&amp;"AK3d7JYwlA-Y7U-jSZnqmjjvouc8fR-DAUZsTQqNDzYHNAwyeNjnKpLrTZLKwV4rFS=w1200|https://lh3.googleusercontent.com/pw/AP1GczNhhaE6yIKGbVrJSkCdcHJwbfwHntgXGm5ux2K40WcwtTI-FWoKQ0ORBEtTCYGcD1LreAFn6mFckzxX_dcFuK93Jy-UtUwZWNLGc0zYEj09mx8MgAgh=w1200|https://lh3.google"&amp;"usercontent.com/pw/AP1GczOQuQRFAI8AgqLkFRTwZecHqdLntrr3k1l-Iqp5hx_T_p0y2icd2fU54xhV4OOjysV0MY2orSZasqMYDOxSqlni8fckrt56TmG4zIUeKXOnuE2QG4Mo=w1200|https://lh3.googleusercontent.com/pw/AP1GczNj9o_XNVtJ3QTtXmIN2r_ksi2KPC0DLHIYn0eBIJCOs0qiiSThIS5w-6tMWikqHXt2"&amp;"WO6Qusy6tXj7dNksZAnx-3__GKwM1WnMH23aD92Tupw4Gj95=w1200|https://lh3.googleusercontent.com/pw/AP1GczPONAZHEodpYm0Db5J9_yFiiKh9UsBPliIu9MQZog-LdgZZQSWFFGEwHsoCHXWq9ixvni1mrC0WlBJLJkHUg5vJ6MkOpt69tJzv0Ii9wnbstE_jh9oh=w1200|https://lh3.googleusercontent.com/pw"&amp;"/AP1GczPVDx5X_PU_QgAIL7UkfBE6GePlNZmbUPQLzHfkh7_yyMNUc9ZyrHcrmcjpMDTF477XYYNnjBJsu4d0lBYMV8PBONg2utyIXU16s8PADjTS-0AEbnS-=w1200|https://lh3.googleusercontent.com/pw/AP1GczN8wqmwdgzdMDWWR9eHmvS8URec08IsjIVhV_00bo0XQU0xRvc6UrP8kjDaPDAtl19As1udhrxvrNFfpq3GHX"&amp;"DRtLuO64uaPz_uifX-IHxP5okWDLRa=w1200|https://lh3.googleusercontent.com/pw/AP1GczOkVayK_GOrkiM0j9jTIoywqvzwe6eKB4mHUoaeGR0PkP4J_6A6Qu_kp5Jz1OmVxs3gbxtmyw5chvI3Bkp3sCskKfhWRiqGhlO4w67lQbNhl2IgBCm7=w1200|https://lh3.googleusercontent.com/pw/AP1GczPhWYX11xP6Z"&amp;"2cPV5SyN9nv9TZDpsNRb3YS5AWsQPVOPf3PzKkmMlsTjVeR9ngLvMVNZxSc0uiEpYWwJIcAk2eZdwE3QUx0gnTswIMhLp68TiM1CZC2=w1200|https://lh3.googleusercontent.com/pw/AP1GczMbwAQWaIIARqIKXG9mHJClLdwyZ3NTVre8dlv-nxw6Kz5NUUXnVu-HvwWB_BPwNH3u1Ug_-46ASi1_hlL_zXa6ANAk7dAhR_N_1SuC"&amp;"w7MCXZgK4K6a=w1200|https://lh3.googleusercontent.com/pw/AP1GczOS06J6gWdcGn3kkY7y2xOIxGk-lCJnNwuMSODdm-5lw5TkCQXgfDUg7DvRbA16DuIf8NPA7-29EHBhEQ-LwYrZENdShPyPCR55-bQbaLRQGO_pQQI0=w1200|https://lh3.googleusercontent.com/pw/AP1GczNF8EPFQMSBi1sEsLDb5CxfW3DYgw1"&amp;"j4x1cqlc9SEZHhAhnGE5Kr-FnEP12xD_4nlJL7zcRlfrm6clZcvmEC6iJOH_gY9wyy3w4ksiY3qDMZRz6pt1n=w1200|https://lh3.googleusercontent.com/pw/AP1GczN7zTcL84K4mFYgYDWB3CQth8Vlmi1iIpgG9Qpr0smWBqTbz0uhdI64CTppCnqjVGrHLKWiw7OskLvAxiMg40bCO5KwuUmNC7a8OPDAGtz24ovtcY2m=w1200"&amp;"|https://lh3.googleusercontent.com/pw/AP1GczM0RmTDwk--pA-DYIUb72_zsN0id9jxvoh6T9rqSVy9GhYHmYMcFXZ0gfIRMeeEK8yl91QptNyBij1tFNvXXopqhF1DW6Tj8aTCqLseQSB4EowflpLB=w1200|https://lh3.googleusercontent.com/pw/AP1GczPS94C-Yd-8OHOL7xRHj_J6GdGLIxnNzp8lGVZYiXG-Avne_"&amp;"NX3UKjGq56h6-AoupHGiFiNKTqp7Ts33RmpiZD8DNu-n8jmcOkdPvU_4bRpOP0p7kCM=w1200|https://lh3.googleusercontent.com/pw/AP1GczM3PSm9Xx-rfyXo0dRjtqyDhn8e1jLAIe0hlkjWVYR_2Jz8eDcNEdiZF26BZAc--pLZjBBeR3uhPdXKNaStWrsDOLtCXpaJAiT9KGXEQq-GQ0DAQytU=w1200|https://lh3.googl"&amp;"eusercontent.com/pw/AP1GczO7vHc8C1tcX6IQI-WpCmR-K2KCL8zWDhhCiycedsIDI7n3YpumFi0VewBUPiV2mrfdmyxhjHnCpqm8zkS2-vSUNR90irT1uBE_KOvDasopydGbCLwO=w1200")</f>
        <v>https://lh3.googleusercontent.com/pw/AP1GczPvYghvc8lUIQUJvm7dKlFHvwwWe9mM4Ssv8pLZbQ9Tb-EyaQQaf0EKWIl1yIHeEBQecLLq4KbDBKYz1_xA_eEXiIvw0Y934M6mOwnqLhf50eavAmgR=w1200|https://lh3.googleusercontent.com/pw/AP1GczO6Rj5qGAdHyvK0eJFmeCBGuFBJAyUE11TFgo9Bq8gFhiLMVwAK3d7JYwlA-Y7U-jSZnqmjjvouc8fR-DAUZsTQqNDzYHNAwyeNjnKpLrTZLKwV4rFS=w1200|https://lh3.googleusercontent.com/pw/AP1GczNhhaE6yIKGbVrJSkCdcHJwbfwHntgXGm5ux2K40WcwtTI-FWoKQ0ORBEtTCYGcD1LreAFn6mFckzxX_dcFuK93Jy-UtUwZWNLGc0zYEj09mx8MgAgh=w1200|https://lh3.googleusercontent.com/pw/AP1GczOQuQRFAI8AgqLkFRTwZecHqdLntrr3k1l-Iqp5hx_T_p0y2icd2fU54xhV4OOjysV0MY2orSZasqMYDOxSqlni8fckrt56TmG4zIUeKXOnuE2QG4Mo=w1200|https://lh3.googleusercontent.com/pw/AP1GczNj9o_XNVtJ3QTtXmIN2r_ksi2KPC0DLHIYn0eBIJCOs0qiiSThIS5w-6tMWikqHXt2WO6Qusy6tXj7dNksZAnx-3__GKwM1WnMH23aD92Tupw4Gj95=w1200|https://lh3.googleusercontent.com/pw/AP1GczPONAZHEodpYm0Db5J9_yFiiKh9UsBPliIu9MQZog-LdgZZQSWFFGEwHsoCHXWq9ixvni1mrC0WlBJLJkHUg5vJ6MkOpt69tJzv0Ii9wnbstE_jh9oh=w1200|https://lh3.googleusercontent.com/pw/AP1GczPVDx5X_PU_QgAIL7UkfBE6GePlNZmbUPQLzHfkh7_yyMNUc9ZyrHcrmcjpMDTF477XYYNnjBJsu4d0lBYMV8PBONg2utyIXU16s8PADjTS-0AEbnS-=w1200|https://lh3.googleusercontent.com/pw/AP1GczN8wqmwdgzdMDWWR9eHmvS8URec08IsjIVhV_00bo0XQU0xRvc6UrP8kjDaPDAtl19As1udhrxvrNFfpq3GHXDRtLuO64uaPz_uifX-IHxP5okWDLRa=w1200|https://lh3.googleusercontent.com/pw/AP1GczOkVayK_GOrkiM0j9jTIoywqvzwe6eKB4mHUoaeGR0PkP4J_6A6Qu_kp5Jz1OmVxs3gbxtmyw5chvI3Bkp3sCskKfhWRiqGhlO4w67lQbNhl2IgBCm7=w1200|https://lh3.googleusercontent.com/pw/AP1GczPhWYX11xP6Z2cPV5SyN9nv9TZDpsNRb3YS5AWsQPVOPf3PzKkmMlsTjVeR9ngLvMVNZxSc0uiEpYWwJIcAk2eZdwE3QUx0gnTswIMhLp68TiM1CZC2=w1200|https://lh3.googleusercontent.com/pw/AP1GczMbwAQWaIIARqIKXG9mHJClLdwyZ3NTVre8dlv-nxw6Kz5NUUXnVu-HvwWB_BPwNH3u1Ug_-46ASi1_hlL_zXa6ANAk7dAhR_N_1SuCw7MCXZgK4K6a=w1200|https://lh3.googleusercontent.com/pw/AP1GczOS06J6gWdcGn3kkY7y2xOIxGk-lCJnNwuMSODdm-5lw5TkCQXgfDUg7DvRbA16DuIf8NPA7-29EHBhEQ-LwYrZENdShPyPCR55-bQbaLRQGO_pQQI0=w1200|https://lh3.googleusercontent.com/pw/AP1GczNF8EPFQMSBi1sEsLDb5CxfW3DYgw1j4x1cqlc9SEZHhAhnGE5Kr-FnEP12xD_4nlJL7zcRlfrm6clZcvmEC6iJOH_gY9wyy3w4ksiY3qDMZRz6pt1n=w1200|https://lh3.googleusercontent.com/pw/AP1GczN7zTcL84K4mFYgYDWB3CQth8Vlmi1iIpgG9Qpr0smWBqTbz0uhdI64CTppCnqjVGrHLKWiw7OskLvAxiMg40bCO5KwuUmNC7a8OPDAGtz24ovtcY2m=w1200|https://lh3.googleusercontent.com/pw/AP1GczM0RmTDwk--pA-DYIUb72_zsN0id9jxvoh6T9rqSVy9GhYHmYMcFXZ0gfIRMeeEK8yl91QptNyBij1tFNvXXopqhF1DW6Tj8aTCqLseQSB4EowflpLB=w1200|https://lh3.googleusercontent.com/pw/AP1GczPS94C-Yd-8OHOL7xRHj_J6GdGLIxnNzp8lGVZYiXG-Avne_NX3UKjGq56h6-AoupHGiFiNKTqp7Ts33RmpiZD8DNu-n8jmcOkdPvU_4bRpOP0p7kCM=w1200|https://lh3.googleusercontent.com/pw/AP1GczM3PSm9Xx-rfyXo0dRjtqyDhn8e1jLAIe0hlkjWVYR_2Jz8eDcNEdiZF26BZAc--pLZjBBeR3uhPdXKNaStWrsDOLtCXpaJAiT9KGXEQq-GQ0DAQytU=w1200|https://lh3.googleusercontent.com/pw/AP1GczO7vHc8C1tcX6IQI-WpCmR-K2KCL8zWDhhCiycedsIDI7n3YpumFi0VewBUPiV2mrfdmyxhjHnCpqm8zkS2-vSUNR90irT1uBE_KOvDasopydGbCLwO=w1200</v>
      </c>
      <c r="AJ103" s="46"/>
      <c r="AK103" s="46"/>
      <c r="AL103" s="46"/>
      <c r="AM103" s="46"/>
      <c r="AN103" s="46"/>
      <c r="AO103" s="46"/>
      <c r="AP103" s="46"/>
      <c r="AQ103" s="46"/>
      <c r="AR103" s="46"/>
      <c r="AS103" s="46"/>
      <c r="AT103" s="46"/>
      <c r="AU103" s="46"/>
      <c r="AV103" s="46"/>
      <c r="AW103" s="46"/>
      <c r="AX103" s="46"/>
      <c r="AY103" s="46"/>
      <c r="AZ103" s="46"/>
      <c r="BA103" s="46"/>
      <c r="BB103" s="46"/>
      <c r="BC103" s="46"/>
      <c r="BD103" s="46"/>
      <c r="BE103" s="46"/>
      <c r="BF103" s="46"/>
      <c r="BG103" s="46"/>
      <c r="BH103" s="46"/>
      <c r="BI103" s="46"/>
      <c r="BJ103" s="46"/>
      <c r="BK103" s="46"/>
      <c r="BL103" s="46"/>
      <c r="BM103" s="46"/>
      <c r="BN103" s="46"/>
      <c r="BO103" s="46"/>
      <c r="BP103" s="46"/>
      <c r="BQ103" s="46"/>
      <c r="BR103" s="46"/>
      <c r="BS103" s="46"/>
      <c r="BT103" s="46"/>
      <c r="BU103" s="46"/>
      <c r="BV103" s="46"/>
      <c r="BW103" s="46"/>
      <c r="BX103" s="46"/>
      <c r="BY103" s="46"/>
      <c r="BZ103" s="46"/>
      <c r="CA103" s="46"/>
      <c r="CB103" s="46"/>
      <c r="CC103" s="46"/>
    </row>
    <row r="104">
      <c r="A104" s="87" t="str">
        <f>IFERROR(__xludf.DUMMYFUNCTION("""COMPUTED_VALUE"""),"1722")</f>
        <v>1722</v>
      </c>
      <c r="B104" s="46" t="str">
        <f>IFERROR(__xludf.DUMMYFUNCTION("""COMPUTED_VALUE"""),"Apartamento en edificio Altos de la Gaitana - Oriente")</f>
        <v>Apartamento en edificio Altos de la Gaitana - Oriente</v>
      </c>
      <c r="C104" s="46" t="str">
        <f>IFERROR(__xludf.DUMMYFUNCTION("""COMPUTED_VALUE"""),"Apartamento")</f>
        <v>Apartamento</v>
      </c>
      <c r="D104" s="46" t="str">
        <f>IFERROR(__xludf.DUMMYFUNCTION("""COMPUTED_VALUE"""),"Gaitana")</f>
        <v>Gaitana</v>
      </c>
      <c r="E104" s="90"/>
      <c r="F104" s="90">
        <f>IFERROR(__xludf.DUMMYFUNCTION("""COMPUTED_VALUE"""),2.5E8)</f>
        <v>250000000</v>
      </c>
      <c r="G104" s="46" t="str">
        <f>IFERROR(__xludf.DUMMYFUNCTION("""COMPUTED_VALUE"""),"$200'000.000 a $300'000.000")</f>
        <v>$200'000.000 a $300'000.000</v>
      </c>
      <c r="H104" s="46"/>
      <c r="I104" s="46"/>
      <c r="J104" s="46" t="str">
        <f>IFERROR(__xludf.DUMMYFUNCTION("""COMPUTED_VALUE"""),"Oriente")</f>
        <v>Oriente</v>
      </c>
      <c r="K104" s="87" t="str">
        <f>IFERROR(__xludf.DUMMYFUNCTION("""COMPUTED_VALUE"""),"7")</f>
        <v>7</v>
      </c>
      <c r="L104" s="46">
        <f>IFERROR(__xludf.DUMMYFUNCTION("""COMPUTED_VALUE"""),3.0)</f>
        <v>3</v>
      </c>
      <c r="M104" s="46"/>
      <c r="N104" s="46">
        <f>IFERROR(__xludf.DUMMYFUNCTION("""COMPUTED_VALUE"""),2.0)</f>
        <v>2</v>
      </c>
      <c r="O104" s="46">
        <f>IFERROR(__xludf.DUMMYFUNCTION("""COMPUTED_VALUE"""),1.0)</f>
        <v>1</v>
      </c>
      <c r="P104" s="46">
        <f>IFERROR(__xludf.DUMMYFUNCTION("""COMPUTED_VALUE"""),1.0)</f>
        <v>1</v>
      </c>
      <c r="Q104" s="92">
        <f>IFERROR(__xludf.DUMMYFUNCTION("""COMPUTED_VALUE"""),58.61)</f>
        <v>58.61</v>
      </c>
      <c r="R104" s="92">
        <f>IFERROR(__xludf.DUMMYFUNCTION("""COMPUTED_VALUE"""),58.61)</f>
        <v>58.61</v>
      </c>
      <c r="S104" s="87" t="str">
        <f>IFERROR(__xludf.DUMMYFUNCTION("""COMPUTED_VALUE""")," ")</f>
        <v> </v>
      </c>
      <c r="T104" s="46" t="str">
        <f>IFERROR(__xludf.DUMMYFUNCTION("""COMPUTED_VALUE"""),"Neiva")</f>
        <v>Neiva</v>
      </c>
      <c r="U104" s="87" t="str">
        <f>IFERROR(__xludf.DUMMYFUNCTION("""COMPUTED_VALUE"""),"4")</f>
        <v>4</v>
      </c>
      <c r="V104" s="46" t="str">
        <f>IFERROR(__xludf.DUMMYFUNCTION("""COMPUTED_VALUE"""),"1ro.")</f>
        <v>1ro.</v>
      </c>
      <c r="W104" s="46"/>
      <c r="X104" s="46">
        <f>IFERROR(__xludf.DUMMYFUNCTION("""COMPUTED_VALUE"""),3.0)</f>
        <v>3</v>
      </c>
      <c r="Y104" s="46" t="str">
        <f>IFERROR(__xludf.DUMMYFUNCTION("""COMPUTED_VALUE"""),"No tiene")</f>
        <v>No tiene</v>
      </c>
      <c r="Z104" s="90">
        <f>IFERROR(__xludf.DUMMYFUNCTION("""COMPUTED_VALUE"""),0.0)</f>
        <v>0</v>
      </c>
      <c r="AA104" s="33" t="str">
        <f>IFERROR(__xludf.DUMMYFUNCTION("""COMPUTED_VALUE"""),"No aplica")</f>
        <v>No aplica</v>
      </c>
      <c r="AB104" s="96" t="str">
        <f>IFERROR(__xludf.DUMMYFUNCTION("""COMPUTED_VALUE"""),"https://photos.app.goo.gl/fXdVSix3NhpZgPWU7")</f>
        <v>https://photos.app.goo.gl/fXdVSix3NhpZgPWU7</v>
      </c>
      <c r="AC104" s="46" t="str">
        <f>IFERROR(__xludf.DUMMYFUNCTION("""COMPUTED_VALUE"""),"Apto con área de 58.61 m² | Estrato 4 Consta de: Sala – Comedor amplia e iluminada. Baño auxiliar. Cocina Integral. Zona de lavandería con patio. 3 habitaciones con closets en madera, una habitación auxiliar con puerta de acceso a la calle. Habitación pri"&amp;"ncipal con baño privado y Aire Acondicionado. Parqueadero privado.")</f>
        <v>Apto con área de 58.61 m² | Estrato 4 Consta de: Sala – Comedor amplia e iluminada. Baño auxiliar. Cocina Integral. Zona de lavandería con patio. 3 habitaciones con closets en madera, una habitación auxiliar con puerta de acceso a la calle. Habitación principal con baño privado y Aire Acondicionado. Parqueadero privado.</v>
      </c>
      <c r="AD104" s="46" t="str">
        <f>IFERROR(__xludf.DUMMYFUNCTION("""COMPUTED_VALUE"""),"Apartamento bien ubicado y con buenos acabados.")</f>
        <v>Apartamento bien ubicado y con buenos acabados.</v>
      </c>
      <c r="AE104" s="46"/>
      <c r="AF104" s="46" t="str">
        <f>IFERROR(__xludf.DUMMYFUNCTION("""COMPUTED_VALUE"""),"integral")</f>
        <v>integral</v>
      </c>
      <c r="AG104" s="46"/>
      <c r="AH104" s="46" t="str">
        <f>IFERROR(__xludf.DUMMYFUNCTION("""COMPUTED_VALUE"""),"Aliado")</f>
        <v>Aliado</v>
      </c>
      <c r="AI104" s="92" t="str">
        <f>IFERROR(__xludf.DUMMYFUNCTION("""COMPUTED_VALUE"""),"https://lh3.googleusercontent.com/pw/AP1GczMh3cPwHMgUZ7TN37Tk5OlK0f1-A79zR2yzHr_5Wvn1DD_Uw7UMvBCMOGAybfHpfE_d3MhMdDqjotZp9J3DcN-awfBs4teBJKL62bsSBpvJVLxGO5YA=w1200|https://lh3.googleusercontent.com/pw/AP1GczOQbskkVdHsqDJqnPudUyctkB09hGYJ0f1gmI9jEVlaQSjcOx"&amp;"LkM1LOrFwDr_Ov7zRqtb6Yn1slxf2vE8uATsrPpQYp78IyA1JEECRX4UDkGjz5YvE5=w1200|https://lh3.googleusercontent.com/pw/AP1GczNyHy7c7rnQoVMG7681HbCVV1FqGUQLHjKUTDtPb29jjKsaQMnXxaOjDuNKJDPN1bhGC67VzC-lMCUrmrMj20koj1gFj9PwXmbqZUvd63QAmUe3WMHo=w1200|https://lh3.google"&amp;"usercontent.com/pw/AP1GczPxH6nwPuY50o1PYPW4czKlO84Cbo8wNHnhhDepa9ZHC59SUbtX9JGncQj8mk3FVqVCV1t_uiHAoF9qU3fwfLFMY0MmC7CFq4wX7bcYBxMxQvvHNQTq=w1200|https://lh3.googleusercontent.com/pw/AP1GczOg70Y9bNwmq0unOt6gVHqQXVLlcGhrnNG78RjVGwZfUcw0Bg_O-77IM9zQ4cRSowEF"&amp;"2MZDyUg93sib-FlphllcMVEot9uqN_5d7lcWF0QmTGQqLaXn=w1200|https://lh3.googleusercontent.com/pw/AP1GczOJy_U7kHT_2v8j9dymW8z-Wh4MsPFegydTU0xwewoYq9Fi5-mAsSdm10ivEwuV6BhHSwI2ShHaJan2FmQUKPHA_JM6qZpiI1AAjmEwjCkOfEIQQY6U=w1200|https://lh3.googleusercontent.com/pw"&amp;"/AP1GczOC6tv2NtikDTPRjirv8kaHTLcA5sJcvxsaPYAxQRjaKKA80oPDsAaQ_lXE_-nDYliD3B-CtudBqMy0ZnKvugCWV0rB_OjkaXjLjf2GsSvMMow8nvIA=w1200|https://lh3.googleusercontent.com/pw/AP1GczNedBGCw1RNI84Sv4Q9DZKGVk6AVTCGfBNz7SMQX3oo13hwt4pv-z4rLAIrKEB-hf0K9sJ-sg6rPYMskC8x8d"&amp;"lxxRZ_-jexKmhTX57jh4_Gm0pRxQPl=w1200|https://lh3.googleusercontent.com/pw/AP1GczNqHBeDQQf2OeN1eVsA8m9_5KIGZ5PfH3fW_5iFuA2QsCmJuuyDXU7nDvYD-LryQBVDTvPpjvTmjJxXD87uOFI0PrEIAzgYmCPffBxlQVPugD0vb6SJ=w1200|https://lh3.googleusercontent.com/pw/AP1GczNntabCzWj8A"&amp;"952vuZwNdOFPolxlRCdfGu0_icmJiCspYKNBjS9JsuaTJQbcqZaOVUB4BzLsMjvV3jj1KuaSqG-Quh7kVVUTwd1goLL138z-3_s06hM=w1200|https://lh3.googleusercontent.com/pw/AP1GczM8PVxgQ4mk-NXjx5oz81uZaRMP_Lorc2s7UCe5qeZaGZVRKSP0W21zBGNr0cpGqvMnhWFZIzdCoK7kixhd2mJMEuaBk-Aaq-JB5pGr"&amp;"3uhLxBgMWoLv=w1200|https://lh3.googleusercontent.com/pw/AP1GczPulV1_YaYAMHnPSB3hLCxeucusnSGKWyE_8lyLiFpiGenYTARAhl6bE9tmG0X2KOlbTnmmlC7cNjQrNxbB3mFWY9amhHpAYk147uxAi7bmJ71PwPi0=w1200|https://lh3.googleusercontent.com/pw/AP1GczO4umquOKnpMVqEgy2jPq_aPHJv0sr"&amp;"e3h8hlJjWK8dxaOGqz2ujj2hwbP63smOYksuw0XtVG_85lj409acqaXwsL2GpnAUVJzJYOkDZYvusDlzLQjZU=w1200|https://lh3.googleusercontent.com/pw/AP1GczMAcBlE5vryfvwQSiVNPrfJxlm2v_pyOVSi_qFKRRtXmOJh1oQsQ5szzJ49F5lr89DjrGBJrmz9p4amyDxMy5UY-2bKOX2HtzLfTOocKWy_1_gyYlh0=w1200"&amp;"|https://lh3.googleusercontent.com/pw/AP1GczNi4rc81Dw4Kr4Znm97HSC25BbwqEgIjPaF0ssk-yAGJIteWSPq_rMQFyPSTMomVr3Cmi6LLERjVy6ISlNrdqQKVyIXMMw0l_zEkYphmEIsK4KBwI52=w1200|https://lh3.googleusercontent.com/pw/AP1GczPzjCg9pb_FwMYyG-wq9QBurUxHdlCW2ZyJ1yRmggV2URhUC"&amp;"lS_w6Z17ZOr0RufJjW9bTafunYuoxBEL_kxodANibsRQ525pu_rfT35kAoIkrd8vT9s=w1200")</f>
        <v>https://lh3.googleusercontent.com/pw/AP1GczMh3cPwHMgUZ7TN37Tk5OlK0f1-A79zR2yzHr_5Wvn1DD_Uw7UMvBCMOGAybfHpfE_d3MhMdDqjotZp9J3DcN-awfBs4teBJKL62bsSBpvJVLxGO5YA=w1200|https://lh3.googleusercontent.com/pw/AP1GczOQbskkVdHsqDJqnPudUyctkB09hGYJ0f1gmI9jEVlaQSjcOxLkM1LOrFwDr_Ov7zRqtb6Yn1slxf2vE8uATsrPpQYp78IyA1JEECRX4UDkGjz5YvE5=w1200|https://lh3.googleusercontent.com/pw/AP1GczNyHy7c7rnQoVMG7681HbCVV1FqGUQLHjKUTDtPb29jjKsaQMnXxaOjDuNKJDPN1bhGC67VzC-lMCUrmrMj20koj1gFj9PwXmbqZUvd63QAmUe3WMHo=w1200|https://lh3.googleusercontent.com/pw/AP1GczPxH6nwPuY50o1PYPW4czKlO84Cbo8wNHnhhDepa9ZHC59SUbtX9JGncQj8mk3FVqVCV1t_uiHAoF9qU3fwfLFMY0MmC7CFq4wX7bcYBxMxQvvHNQTq=w1200|https://lh3.googleusercontent.com/pw/AP1GczOg70Y9bNwmq0unOt6gVHqQXVLlcGhrnNG78RjVGwZfUcw0Bg_O-77IM9zQ4cRSowEF2MZDyUg93sib-FlphllcMVEot9uqN_5d7lcWF0QmTGQqLaXn=w1200|https://lh3.googleusercontent.com/pw/AP1GczOJy_U7kHT_2v8j9dymW8z-Wh4MsPFegydTU0xwewoYq9Fi5-mAsSdm10ivEwuV6BhHSwI2ShHaJan2FmQUKPHA_JM6qZpiI1AAjmEwjCkOfEIQQY6U=w1200|https://lh3.googleusercontent.com/pw/AP1GczOC6tv2NtikDTPRjirv8kaHTLcA5sJcvxsaPYAxQRjaKKA80oPDsAaQ_lXE_-nDYliD3B-CtudBqMy0ZnKvugCWV0rB_OjkaXjLjf2GsSvMMow8nvIA=w1200|https://lh3.googleusercontent.com/pw/AP1GczNedBGCw1RNI84Sv4Q9DZKGVk6AVTCGfBNz7SMQX3oo13hwt4pv-z4rLAIrKEB-hf0K9sJ-sg6rPYMskC8x8dlxxRZ_-jexKmhTX57jh4_Gm0pRxQPl=w1200|https://lh3.googleusercontent.com/pw/AP1GczNqHBeDQQf2OeN1eVsA8m9_5KIGZ5PfH3fW_5iFuA2QsCmJuuyDXU7nDvYD-LryQBVDTvPpjvTmjJxXD87uOFI0PrEIAzgYmCPffBxlQVPugD0vb6SJ=w1200|https://lh3.googleusercontent.com/pw/AP1GczNntabCzWj8A952vuZwNdOFPolxlRCdfGu0_icmJiCspYKNBjS9JsuaTJQbcqZaOVUB4BzLsMjvV3jj1KuaSqG-Quh7kVVUTwd1goLL138z-3_s06hM=w1200|https://lh3.googleusercontent.com/pw/AP1GczM8PVxgQ4mk-NXjx5oz81uZaRMP_Lorc2s7UCe5qeZaGZVRKSP0W21zBGNr0cpGqvMnhWFZIzdCoK7kixhd2mJMEuaBk-Aaq-JB5pGr3uhLxBgMWoLv=w1200|https://lh3.googleusercontent.com/pw/AP1GczPulV1_YaYAMHnPSB3hLCxeucusnSGKWyE_8lyLiFpiGenYTARAhl6bE9tmG0X2KOlbTnmmlC7cNjQrNxbB3mFWY9amhHpAYk147uxAi7bmJ71PwPi0=w1200|https://lh3.googleusercontent.com/pw/AP1GczO4umquOKnpMVqEgy2jPq_aPHJv0sre3h8hlJjWK8dxaOGqz2ujj2hwbP63smOYksuw0XtVG_85lj409acqaXwsL2GpnAUVJzJYOkDZYvusDlzLQjZU=w1200|https://lh3.googleusercontent.com/pw/AP1GczMAcBlE5vryfvwQSiVNPrfJxlm2v_pyOVSi_qFKRRtXmOJh1oQsQ5szzJ49F5lr89DjrGBJrmz9p4amyDxMy5UY-2bKOX2HtzLfTOocKWy_1_gyYlh0=w1200|https://lh3.googleusercontent.com/pw/AP1GczNi4rc81Dw4Kr4Znm97HSC25BbwqEgIjPaF0ssk-yAGJIteWSPq_rMQFyPSTMomVr3Cmi6LLERjVy6ISlNrdqQKVyIXMMw0l_zEkYphmEIsK4KBwI52=w1200|https://lh3.googleusercontent.com/pw/AP1GczPzjCg9pb_FwMYyG-wq9QBurUxHdlCW2ZyJ1yRmggV2URhUClS_w6Z17ZOr0RufJjW9bTafunYuoxBEL_kxodANibsRQ525pu_rfT35kAoIkrd8vT9s=w1200</v>
      </c>
      <c r="AJ104" s="46"/>
      <c r="AK104" s="46"/>
      <c r="AL104" s="46"/>
      <c r="AM104" s="46"/>
      <c r="AN104" s="46"/>
      <c r="AO104" s="46"/>
      <c r="AP104" s="46"/>
      <c r="AQ104" s="46"/>
      <c r="AR104" s="46"/>
      <c r="AS104" s="46"/>
      <c r="AT104" s="46"/>
      <c r="AU104" s="46"/>
      <c r="AV104" s="46"/>
      <c r="AW104" s="46"/>
      <c r="AX104" s="46"/>
      <c r="AY104" s="46"/>
      <c r="AZ104" s="46"/>
      <c r="BA104" s="46"/>
      <c r="BB104" s="46"/>
      <c r="BC104" s="46"/>
      <c r="BD104" s="46"/>
      <c r="BE104" s="46"/>
      <c r="BF104" s="46"/>
      <c r="BG104" s="46"/>
      <c r="BH104" s="46"/>
      <c r="BI104" s="46"/>
      <c r="BJ104" s="46"/>
      <c r="BK104" s="46"/>
      <c r="BL104" s="46"/>
      <c r="BM104" s="46"/>
      <c r="BN104" s="46"/>
      <c r="BO104" s="46"/>
      <c r="BP104" s="46"/>
      <c r="BQ104" s="46"/>
      <c r="BR104" s="46"/>
      <c r="BS104" s="46"/>
      <c r="BT104" s="46"/>
      <c r="BU104" s="46"/>
      <c r="BV104" s="46"/>
      <c r="BW104" s="46"/>
      <c r="BX104" s="46"/>
      <c r="BY104" s="46"/>
      <c r="BZ104" s="46"/>
      <c r="CA104" s="46"/>
      <c r="CB104" s="46"/>
      <c r="CC104" s="46"/>
    </row>
    <row r="105">
      <c r="A105" s="87" t="str">
        <f>IFERROR(__xludf.DUMMYFUNCTION("""COMPUTED_VALUE"""),"1625")</f>
        <v>1625</v>
      </c>
      <c r="B105" s="46" t="str">
        <f>IFERROR(__xludf.DUMMYFUNCTION("""COMPUTED_VALUE"""),"Casa en barrio Aldebarán de Berdez")</f>
        <v>Casa en barrio Aldebarán de Berdez</v>
      </c>
      <c r="C105" s="46" t="str">
        <f>IFERROR(__xludf.DUMMYFUNCTION("""COMPUTED_VALUE"""),"Casa")</f>
        <v>Casa</v>
      </c>
      <c r="D105" s="46" t="str">
        <f>IFERROR(__xludf.DUMMYFUNCTION("""COMPUTED_VALUE"""),"Aldebarán de Berdez")</f>
        <v>Aldebarán de Berdez</v>
      </c>
      <c r="E105" s="90"/>
      <c r="F105" s="90">
        <f>IFERROR(__xludf.DUMMYFUNCTION("""COMPUTED_VALUE"""),2.5E8)</f>
        <v>250000000</v>
      </c>
      <c r="G105" s="46" t="str">
        <f>IFERROR(__xludf.DUMMYFUNCTION("""COMPUTED_VALUE"""),"$200'000.000 a $300'000.000")</f>
        <v>$200'000.000 a $300'000.000</v>
      </c>
      <c r="H105" s="46"/>
      <c r="I105" s="46"/>
      <c r="J105" s="46" t="str">
        <f>IFERROR(__xludf.DUMMYFUNCTION("""COMPUTED_VALUE"""),"Occidente")</f>
        <v>Occidente</v>
      </c>
      <c r="K105" s="87" t="str">
        <f>IFERROR(__xludf.DUMMYFUNCTION("""COMPUTED_VALUE"""),"2")</f>
        <v>2</v>
      </c>
      <c r="L105" s="46">
        <f>IFERROR(__xludf.DUMMYFUNCTION("""COMPUTED_VALUE"""),4.0)</f>
        <v>4</v>
      </c>
      <c r="M105" s="46"/>
      <c r="N105" s="46">
        <f>IFERROR(__xludf.DUMMYFUNCTION("""COMPUTED_VALUE"""),3.0)</f>
        <v>3</v>
      </c>
      <c r="O105" s="46">
        <f>IFERROR(__xludf.DUMMYFUNCTION("""COMPUTED_VALUE"""),1.0)</f>
        <v>1</v>
      </c>
      <c r="P105" s="46">
        <f>IFERROR(__xludf.DUMMYFUNCTION("""COMPUTED_VALUE"""),2.0)</f>
        <v>2</v>
      </c>
      <c r="Q105" s="92">
        <f>IFERROR(__xludf.DUMMYFUNCTION("""COMPUTED_VALUE"""),98.4)</f>
        <v>98.4</v>
      </c>
      <c r="R105" s="92">
        <f>IFERROR(__xludf.DUMMYFUNCTION("""COMPUTED_VALUE"""),98.4)</f>
        <v>98.4</v>
      </c>
      <c r="S105" s="87" t="str">
        <f>IFERROR(__xludf.DUMMYFUNCTION("""COMPUTED_VALUE""")," ")</f>
        <v> </v>
      </c>
      <c r="T105" s="46" t="str">
        <f>IFERROR(__xludf.DUMMYFUNCTION("""COMPUTED_VALUE"""),"Neiva")</f>
        <v>Neiva</v>
      </c>
      <c r="U105" s="87" t="str">
        <f>IFERROR(__xludf.DUMMYFUNCTION("""COMPUTED_VALUE"""),"3")</f>
        <v>3</v>
      </c>
      <c r="V105" s="46" t="str">
        <f>IFERROR(__xludf.DUMMYFUNCTION("""COMPUTED_VALUE"""),"Medianera")</f>
        <v>Medianera</v>
      </c>
      <c r="W105" s="46"/>
      <c r="X105" s="46">
        <f>IFERROR(__xludf.DUMMYFUNCTION("""COMPUTED_VALUE"""),3.0)</f>
        <v>3</v>
      </c>
      <c r="Y105" s="179" t="str">
        <f>IFERROR(__xludf.DUMMYFUNCTION("""COMPUTED_VALUE"""),"No tiene")</f>
        <v>No tiene</v>
      </c>
      <c r="Z105" s="90" t="str">
        <f>IFERROR(__xludf.DUMMYFUNCTION("""COMPUTED_VALUE"""),"No aplica")</f>
        <v>No aplica</v>
      </c>
      <c r="AA105" s="33" t="str">
        <f>IFERROR(__xludf.DUMMYFUNCTION("""COMPUTED_VALUE"""),"No aplica")</f>
        <v>No aplica</v>
      </c>
      <c r="AB105" s="144" t="str">
        <f>IFERROR(__xludf.DUMMYFUNCTION("""COMPUTED_VALUE"""),"https://photos.app.goo.gl/jXc4KpFWFsHfRLaS7")</f>
        <v>https://photos.app.goo.gl/jXc4KpFWFsHfRLaS7</v>
      </c>
      <c r="AC105" s="46" t="str">
        <f>IFERROR(__xludf.DUMMYFUNCTION("""COMPUTED_VALUE"""),"Casa de dos pisos con un área 98.40 mts2, estrato 3, consta de: primer piso: sala-comedor, cocina semi integral, baño auxiliar, 1 habitación, patio de ropas, segundo piso: habitación principal con baño, closet en madera, dos habitaciones con closet en mad"&amp;"era y balcón con vista a la calle, baño auxiliar.")</f>
        <v>Casa de dos pisos con un área 98.40 mts2, estrato 3, consta de: primer piso: sala-comedor, cocina semi integral, baño auxiliar, 1 habitación, patio de ropas, segundo piso: habitación principal con baño, closet en madera, dos habitaciones con closet en madera y balcón con vista a la calle, baño auxiliar.</v>
      </c>
      <c r="AD105" s="46" t="str">
        <f>IFERROR(__xludf.DUMMYFUNCTION("""COMPUTED_VALUE"""),"Cuenta con garaje para carro y moto.")</f>
        <v>Cuenta con garaje para carro y moto.</v>
      </c>
      <c r="AE105" s="46"/>
      <c r="AF105" s="46" t="str">
        <f>IFERROR(__xludf.DUMMYFUNCTION("""COMPUTED_VALUE"""),"semi-integral")</f>
        <v>semi-integral</v>
      </c>
      <c r="AG105" s="46"/>
      <c r="AH105" s="46" t="str">
        <f>IFERROR(__xludf.DUMMYFUNCTION("""COMPUTED_VALUE"""),"Aliado")</f>
        <v>Aliado</v>
      </c>
      <c r="AI105" s="92" t="str">
        <f>IFERROR(__xludf.DUMMYFUNCTION("""COMPUTED_VALUE"""),"https://lh3.googleusercontent.com/pw/AP1GczNyNOOlQjXIJKEAh3ludAJYTuHrYvG4t5YK52q7GY5RfXFLePQQ7Rz83VstJDQPyA5nqzzQhFPBySmaNa0BL8V9rrESVho-yNXL1Yy6RAkhf4CiLPeS=w1200|https://lh3.googleusercontent.com/pw/AP1GczOykBbpbbO2Vb5mP0DJWZZ-uXPBfSULjwwuWgV9xMlbKyvHGA"&amp;"i9jMupJm4XQIGIAI6quwjxs7YCotwuz-wnh8duL7qUcM0c8i5Q0JBugDK0ZoQB9E0O=w1200|https://lh3.googleusercontent.com/pw/AP1GczP4K8_nIVTSlulMFtjIx90HHoB3qXqhWBf6tnJvBxfjr3IFh8ipyqoUI7fHUmkex3SEXUEDyI-4pNt1I9287Fc_jS5IJoV8YSgq0r8ZhWcLt-1ZV_lx=w1200|https://lh3.google"&amp;"usercontent.com/pw/AP1GczNDFNUKuZW883yRFKw4LBa9S85IF_elQKKWe0pixwf3FirVNaOWRCPNtCAgVp29xghnkfom6tO9JfrjiThaC5tEEeHYPfC-4vUO57jgyGMyKkEmqhrB=w1200|https://lh3.googleusercontent.com/pw/AP1GczPfPNpqC49TGwL4ZkrSj8gXXAYqA3BBAmmGr_MZ6_KazvC__yf82kvCMQoR-eFUo4Sb"&amp;"w0aWeXrNHlTP93iLWaUNaKErt8qd_gQxL9iCrhbC0l7qOquc=w1200|https://lh3.googleusercontent.com/pw/AP1GczOWwIhKD1xxPVHdj_XZgcfPiJiXs_Bqy8eTR_ef1yHXZ_ZwHo_GvLQUfSvqmSURgmR-Rdgt5tVU9njhrzPDQ92GcojYUSWngdjUBnKbLM_Az8CPY9fS=w1200|https://lh3.googleusercontent.com/pw"&amp;"/AP1GczNxfaIlvkqWeyIvzJGGJjn8QFRc_CMaXEXRnoJBeOjsMGcYkCE0rc4TS01NfA2yKA0hOVTvheCBl3yVt-uziTfTjNHWMiXU4TNFfzEkaBthDv_891Vm=w1200|https://lh3.googleusercontent.com/pw/AP1GczNdDqc2N-nbLBFL2cGdBu-BzVmo2a_PTqE2mUKSVYczwO_EErbKC8uqXTs2TLsVaN-wwV7Hq98-p7RdEA61WD"&amp;"TyKmFwNS_p0UuIyorE2h20SlRwsDh4=w1200|https://lh3.googleusercontent.com/pw/AP1GczM3wZTj62pFh12ahMOWhwgvIb9aEs3PI8t6CYF5eOWUl702fXJ3Q_byhp6iolCm044YUhu7z4Ctp46jTvsUch2Btveww1n2krNNB8FHjL1BoLxrIgb9=w1200|https://lh3.googleusercontent.com/pw/AP1GczO-qvlONjz7X"&amp;"5chZ4Veczx0EzvPOv744lw51p8x21y0YRGujc8g_gxtO2Ie6z-x8ktg0mkNJyN15o7fnT82eMsgl71szcISSOPVoyNEoKZjUG2fe8Jm=w1200|https://lh3.googleusercontent.com/pw/AP1GczOxjORVA0qqRKW6-y0RdArOHFyaf-4iHqQxNHIJpT9I0nQDIHP3FX_IfsSbYd13a8n--GlLEpIR5Fn_lj9zCT3r406WeIZEw1jSBkof"&amp;"-zItk_p_u9uN=w1200|https://lh3.googleusercontent.com/pw/AP1GczM_ZoqxNPu7V3d7uxpmQQdMDo-6zXRk5TgwBMVAxQ_pFVkYgQNYJNsGzcAZwrwf0B9KU0nXZI48ZOxsShzfdBH76lLZtxZupbIr5cakgn7fFtkJfNmm=w1200|https://lh3.googleusercontent.com/pw/AP1GczNV-eMdhZetK7iJKGPSiJL-i3QhnA1"&amp;"SLKf4rZl5QiT7D-0GdNivwHW_GcG-w8mM3Tn2LcNspjNXiRnvCDDeax5zPRnRENJjFRzQgj8q-Cm5XuuU7ypt=w1200|https://lh3.googleusercontent.com/pw/AP1GczMvnyjn4V0vqj2QxSUDkowgwqKZriO19FUGzt2fJAsKCy5F_dIPni8Igu9eD52pgfrEIQZJcL1iKPrYZpo0IZtqGXbEPgLkNo5XHk7plUFmMfg2HJVv=w1200")</f>
        <v>https://lh3.googleusercontent.com/pw/AP1GczNyNOOlQjXIJKEAh3ludAJYTuHrYvG4t5YK52q7GY5RfXFLePQQ7Rz83VstJDQPyA5nqzzQhFPBySmaNa0BL8V9rrESVho-yNXL1Yy6RAkhf4CiLPeS=w1200|https://lh3.googleusercontent.com/pw/AP1GczOykBbpbbO2Vb5mP0DJWZZ-uXPBfSULjwwuWgV9xMlbKyvHGAi9jMupJm4XQIGIAI6quwjxs7YCotwuz-wnh8duL7qUcM0c8i5Q0JBugDK0ZoQB9E0O=w1200|https://lh3.googleusercontent.com/pw/AP1GczP4K8_nIVTSlulMFtjIx90HHoB3qXqhWBf6tnJvBxfjr3IFh8ipyqoUI7fHUmkex3SEXUEDyI-4pNt1I9287Fc_jS5IJoV8YSgq0r8ZhWcLt-1ZV_lx=w1200|https://lh3.googleusercontent.com/pw/AP1GczNDFNUKuZW883yRFKw4LBa9S85IF_elQKKWe0pixwf3FirVNaOWRCPNtCAgVp29xghnkfom6tO9JfrjiThaC5tEEeHYPfC-4vUO57jgyGMyKkEmqhrB=w1200|https://lh3.googleusercontent.com/pw/AP1GczPfPNpqC49TGwL4ZkrSj8gXXAYqA3BBAmmGr_MZ6_KazvC__yf82kvCMQoR-eFUo4Sbw0aWeXrNHlTP93iLWaUNaKErt8qd_gQxL9iCrhbC0l7qOquc=w1200|https://lh3.googleusercontent.com/pw/AP1GczOWwIhKD1xxPVHdj_XZgcfPiJiXs_Bqy8eTR_ef1yHXZ_ZwHo_GvLQUfSvqmSURgmR-Rdgt5tVU9njhrzPDQ92GcojYUSWngdjUBnKbLM_Az8CPY9fS=w1200|https://lh3.googleusercontent.com/pw/AP1GczNxfaIlvkqWeyIvzJGGJjn8QFRc_CMaXEXRnoJBeOjsMGcYkCE0rc4TS01NfA2yKA0hOVTvheCBl3yVt-uziTfTjNHWMiXU4TNFfzEkaBthDv_891Vm=w1200|https://lh3.googleusercontent.com/pw/AP1GczNdDqc2N-nbLBFL2cGdBu-BzVmo2a_PTqE2mUKSVYczwO_EErbKC8uqXTs2TLsVaN-wwV7Hq98-p7RdEA61WDTyKmFwNS_p0UuIyorE2h20SlRwsDh4=w1200|https://lh3.googleusercontent.com/pw/AP1GczM3wZTj62pFh12ahMOWhwgvIb9aEs3PI8t6CYF5eOWUl702fXJ3Q_byhp6iolCm044YUhu7z4Ctp46jTvsUch2Btveww1n2krNNB8FHjL1BoLxrIgb9=w1200|https://lh3.googleusercontent.com/pw/AP1GczO-qvlONjz7X5chZ4Veczx0EzvPOv744lw51p8x21y0YRGujc8g_gxtO2Ie6z-x8ktg0mkNJyN15o7fnT82eMsgl71szcISSOPVoyNEoKZjUG2fe8Jm=w1200|https://lh3.googleusercontent.com/pw/AP1GczOxjORVA0qqRKW6-y0RdArOHFyaf-4iHqQxNHIJpT9I0nQDIHP3FX_IfsSbYd13a8n--GlLEpIR5Fn_lj9zCT3r406WeIZEw1jSBkof-zItk_p_u9uN=w1200|https://lh3.googleusercontent.com/pw/AP1GczM_ZoqxNPu7V3d7uxpmQQdMDo-6zXRk5TgwBMVAxQ_pFVkYgQNYJNsGzcAZwrwf0B9KU0nXZI48ZOxsShzfdBH76lLZtxZupbIr5cakgn7fFtkJfNmm=w1200|https://lh3.googleusercontent.com/pw/AP1GczNV-eMdhZetK7iJKGPSiJL-i3QhnA1SLKf4rZl5QiT7D-0GdNivwHW_GcG-w8mM3Tn2LcNspjNXiRnvCDDeax5zPRnRENJjFRzQgj8q-Cm5XuuU7ypt=w1200|https://lh3.googleusercontent.com/pw/AP1GczMvnyjn4V0vqj2QxSUDkowgwqKZriO19FUGzt2fJAsKCy5F_dIPni8Igu9eD52pgfrEIQZJcL1iKPrYZpo0IZtqGXbEPgLkNo5XHk7plUFmMfg2HJVv=w1200</v>
      </c>
      <c r="AJ105" s="46"/>
      <c r="AK105" s="46"/>
      <c r="AL105" s="46"/>
      <c r="AM105" s="46"/>
      <c r="AN105" s="46"/>
      <c r="AO105" s="46"/>
      <c r="AP105" s="46"/>
      <c r="AQ105" s="46"/>
      <c r="AR105" s="46"/>
      <c r="AS105" s="46"/>
      <c r="AT105" s="46"/>
      <c r="AU105" s="46"/>
      <c r="AV105" s="46"/>
      <c r="AW105" s="46"/>
      <c r="AX105" s="46"/>
      <c r="AY105" s="46"/>
      <c r="AZ105" s="46"/>
      <c r="BA105" s="46"/>
      <c r="BB105" s="46"/>
      <c r="BC105" s="46"/>
      <c r="BD105" s="46"/>
      <c r="BE105" s="46"/>
      <c r="BF105" s="46"/>
      <c r="BG105" s="46"/>
      <c r="BH105" s="46"/>
      <c r="BI105" s="46"/>
      <c r="BJ105" s="46"/>
      <c r="BK105" s="46"/>
      <c r="BL105" s="46"/>
      <c r="BM105" s="46"/>
      <c r="BN105" s="46"/>
      <c r="BO105" s="46"/>
      <c r="BP105" s="46"/>
      <c r="BQ105" s="46"/>
      <c r="BR105" s="46"/>
      <c r="BS105" s="46"/>
      <c r="BT105" s="46"/>
      <c r="BU105" s="46"/>
      <c r="BV105" s="46"/>
      <c r="BW105" s="46"/>
      <c r="BX105" s="46"/>
      <c r="BY105" s="46"/>
      <c r="BZ105" s="46"/>
      <c r="CA105" s="46"/>
      <c r="CB105" s="46"/>
      <c r="CC105" s="46"/>
    </row>
    <row r="106">
      <c r="A106" s="87" t="str">
        <f>IFERROR(__xludf.DUMMYFUNCTION("""COMPUTED_VALUE"""),"1690")</f>
        <v>1690</v>
      </c>
      <c r="B106" s="46" t="str">
        <f>IFERROR(__xludf.DUMMYFUNCTION("""COMPUTED_VALUE"""),"Apatamento en Conjunto Santa Clara - Av. 26")</f>
        <v>Apatamento en Conjunto Santa Clara - Av. 26</v>
      </c>
      <c r="C106" s="46" t="str">
        <f>IFERROR(__xludf.DUMMYFUNCTION("""COMPUTED_VALUE"""),"Apartamento en conjunto")</f>
        <v>Apartamento en conjunto</v>
      </c>
      <c r="D106" s="46" t="str">
        <f>IFERROR(__xludf.DUMMYFUNCTION("""COMPUTED_VALUE"""),"Los Cámbulos II")</f>
        <v>Los Cámbulos II</v>
      </c>
      <c r="E106" s="90" t="str">
        <f>IFERROR(__xludf.DUMMYFUNCTION("""COMPUTED_VALUE"""),"Conjunto Santa Clara")</f>
        <v>Conjunto Santa Clara</v>
      </c>
      <c r="F106" s="90">
        <f>IFERROR(__xludf.DUMMYFUNCTION("""COMPUTED_VALUE"""),2.3E8)</f>
        <v>230000000</v>
      </c>
      <c r="G106" s="46" t="str">
        <f>IFERROR(__xludf.DUMMYFUNCTION("""COMPUTED_VALUE"""),"$200'000.000 a $300'000.000")</f>
        <v>$200'000.000 a $300'000.000</v>
      </c>
      <c r="H106" s="46"/>
      <c r="I106" s="46"/>
      <c r="J106" s="46" t="str">
        <f>IFERROR(__xludf.DUMMYFUNCTION("""COMPUTED_VALUE"""),"Norte")</f>
        <v>Norte</v>
      </c>
      <c r="K106" s="87" t="str">
        <f>IFERROR(__xludf.DUMMYFUNCTION("""COMPUTED_VALUE"""),"2")</f>
        <v>2</v>
      </c>
      <c r="L106" s="46">
        <f>IFERROR(__xludf.DUMMYFUNCTION("""COMPUTED_VALUE"""),3.0)</f>
        <v>3</v>
      </c>
      <c r="M106" s="46"/>
      <c r="N106" s="46">
        <f>IFERROR(__xludf.DUMMYFUNCTION("""COMPUTED_VALUE"""),2.0)</f>
        <v>2</v>
      </c>
      <c r="O106" s="46">
        <f>IFERROR(__xludf.DUMMYFUNCTION("""COMPUTED_VALUE"""),1.0)</f>
        <v>1</v>
      </c>
      <c r="P106" s="46">
        <f>IFERROR(__xludf.DUMMYFUNCTION("""COMPUTED_VALUE"""),3.0)</f>
        <v>3</v>
      </c>
      <c r="Q106" s="92">
        <f>IFERROR(__xludf.DUMMYFUNCTION("""COMPUTED_VALUE"""),84.45)</f>
        <v>84.45</v>
      </c>
      <c r="R106" s="92">
        <f>IFERROR(__xludf.DUMMYFUNCTION("""COMPUTED_VALUE"""),84.45)</f>
        <v>84.45</v>
      </c>
      <c r="S106" s="87" t="str">
        <f>IFERROR(__xludf.DUMMYFUNCTION("""COMPUTED_VALUE""")," ")</f>
        <v> </v>
      </c>
      <c r="T106" s="46" t="str">
        <f>IFERROR(__xludf.DUMMYFUNCTION("""COMPUTED_VALUE"""),"Neiva")</f>
        <v>Neiva</v>
      </c>
      <c r="U106" s="87" t="str">
        <f>IFERROR(__xludf.DUMMYFUNCTION("""COMPUTED_VALUE"""),"3")</f>
        <v>3</v>
      </c>
      <c r="V106" s="46" t="str">
        <f>IFERROR(__xludf.DUMMYFUNCTION("""COMPUTED_VALUE"""),"3er.")</f>
        <v>3er.</v>
      </c>
      <c r="W106" s="46"/>
      <c r="X106" s="46">
        <f>IFERROR(__xludf.DUMMYFUNCTION("""COMPUTED_VALUE"""),3.0)</f>
        <v>3</v>
      </c>
      <c r="Y106" s="46" t="str">
        <f>IFERROR(__xludf.DUMMYFUNCTION("""COMPUTED_VALUE"""),"No tiene")</f>
        <v>No tiene</v>
      </c>
      <c r="Z106" s="90">
        <f>IFERROR(__xludf.DUMMYFUNCTION("""COMPUTED_VALUE"""),0.0)</f>
        <v>0</v>
      </c>
      <c r="AA106" s="33" t="str">
        <f>IFERROR(__xludf.DUMMYFUNCTION("""COMPUTED_VALUE"""),"No aplica")</f>
        <v>No aplica</v>
      </c>
      <c r="AB106" s="144" t="str">
        <f>IFERROR(__xludf.DUMMYFUNCTION("""COMPUTED_VALUE"""),"https://photos.app.goo.gl/mNeVYZiUt1zQo2bx6")</f>
        <v>https://photos.app.goo.gl/mNeVYZiUt1zQo2bx6</v>
      </c>
      <c r="AC106" s="46" t="str">
        <f>IFERROR(__xludf.DUMMYFUNCTION("""COMPUTED_VALUE"""),"¡Apartamento ubicado en tercer piso, recién remodelado en conjunto cerrado, cerca al aeropuerto de la ciudad! Apartamento de 84.45 m² con excelente iluminación y modernos acabados. Características destacadas: Sala comedor amplia. Cocina integral abierta, "&amp;"moderna y funcional. Zona de lavandería. Baño auxiliar para mayor comodidad 3 habitaciones con sus respectivos closets en madera. Habitación principal con baño privado. Parqueadero comunal, Además, disfruta de amplias zonas verdes pensadas para ofrecer bi"&amp;"enestar y estilo de vida familiar.")</f>
        <v>¡Apartamento ubicado en tercer piso, recién remodelado en conjunto cerrado, cerca al aeropuerto de la ciudad! Apartamento de 84.45 m² con excelente iluminación y modernos acabados. Características destacadas: Sala comedor amplia. Cocina integral abierta, moderna y funcional. Zona de lavandería. Baño auxiliar para mayor comodidad 3 habitaciones con sus respectivos closets en madera. Habitación principal con baño privado. Parqueadero comunal, Además, disfruta de amplias zonas verdes pensadas para ofrecer bienestar y estilo de vida familiar.</v>
      </c>
      <c r="AD106" s="46" t="str">
        <f>IFERROR(__xludf.DUMMYFUNCTION("""COMPUTED_VALUE"""),"Apartamento remodelado, bien ubicado sobre la av. 26, Centros comerciales San Juan y San Pedo Plaza. Parqueadero Comunitario.")</f>
        <v>Apartamento remodelado, bien ubicado sobre la av. 26, Centros comerciales San Juan y San Pedo Plaza. Parqueadero Comunitario.</v>
      </c>
      <c r="AE106" s="46"/>
      <c r="AF106" s="46" t="str">
        <f>IFERROR(__xludf.DUMMYFUNCTION("""COMPUTED_VALUE"""),"integral")</f>
        <v>integral</v>
      </c>
      <c r="AG106" s="46"/>
      <c r="AH106" s="46" t="str">
        <f>IFERROR(__xludf.DUMMYFUNCTION("""COMPUTED_VALUE"""),"Aliado")</f>
        <v>Aliado</v>
      </c>
      <c r="AI106" s="92" t="str">
        <f>IFERROR(__xludf.DUMMYFUNCTION("""COMPUTED_VALUE"""),"https://lh3.googleusercontent.com/pw/AP1GczN11TLd7Db6UrSU-SkRwWYHtWd1xLt4FZoj9mqFYzrAMUZSL8HZBRqA7E1lakxmfTB61r4IA8BiEYDrDnEvA0qLqzlYYl5QB412A8Jvx-hINv8WBdb6=w1200|https://lh3.googleusercontent.com/pw/AP1GczMlbelI7o49rGrTmdrRAkyWnqeiOmSQnZqAjOU8fFWgEWOPdD"&amp;"4m6AgxiZNt3zXsfpwSQJvZuJZ3VDCnwiczXMHlEn41hXgeKZ4nonoxiJAUHs_qqoTK=w1200|https://lh3.googleusercontent.com/pw/AP1GczMJ9BmpexvvTnX0WJROvi6M04qQMuZaQoEnHUmGfYGqDfLG3BXPm--Cobn6PcQzugZDHK7ZAynjib6SWcm141ZpveU9rr4Wv1IBOOuwpeWXNZ0qyLw5=w1200|https://lh3.google"&amp;"usercontent.com/pw/AP1GczNYPW1sBNUuTa4BMdWnfJ8Et5KFU-7KUcvOnjtoqIPN7mxDrO34VtraLtg57uxCYyXlc8NbjM7fTtyOJxHKFVl3Kmmb7mdnzFENjnu2VkXY4sH5IVZV=w1200|https://lh3.googleusercontent.com/pw/AP1GczNCO0xFzyYZyytaaX5zLJ6rD1T6LPcbJqU22Ix5bfthSRyMisTYy3rIg8e7abyNAV-K"&amp;"gCTLOgC0FNguALRP-aiItt7kOonqlKD1NI9S1DNEPo1npkuc=w1200|https://lh3.googleusercontent.com/pw/AP1GczOTukMM86l7RjTk1yw0G_S-R0xgnOANei5UbIw44JlhhakJKkh9Aq6bDQ9hMdzMGR2L_MqcA-2PTUeFc4wpBsGHIAqzf6KA0213xMs35hmQwb78Yugo=w1200|https://lh3.googleusercontent.com/pw"&amp;"/AP1GczOEKksh4N7B6FPUaq4joH2ckgcIYmytwx8aEDd6CTl8BFQ28vUO1HGpy2kvTDdXo8_mnbPhPnvwhZ41_4fKs4wt268O005gRDkA4n_lHvfYPmVHDbHo=w1200|https://lh3.googleusercontent.com/pw/AP1GczP30mwRH58hN2xsey0dNC9pVU_cCF0jW8km9Q0B0fCqwNGTtOCJKzvsDhkWT98Xmb5mT5wZEpw2SoRQ9pmeXe"&amp;"fhO-oJJpBAjnyo9gwRZcwlpdMlekg9=w1200|https://lh3.googleusercontent.com/pw/AP1GczNUNTP18Olzq2YGYIb68N65tBNrPIhgRoRqZchLH5LmHsHWCXcNSqzMBkbITU5FKBc5ooqZHFdj-2TOyDNeU1TGGSGiYiLc02YXZMUoJueyCf-6hELz=w1200|https://lh3.googleusercontent.com/pw/AP1GczOHreq9hdj0G"&amp;"oFe39NnzB9rYFevE7W8sUyfVuG6qcAY3f9MaL_B-DBJ0OhBtY3IGw79vNbfjV-w6lJwtQoreTv2E5IHGbDp35GLu4XWp8lwSqnHHsiU=w1200|https://lh3.googleusercontent.com/pw/AP1GczOFKKkFDfprvum4fYMUE0bmTofMTwwkkU9ESgCE_z4Zqa_5nfyGvQ7aMJ7AHymLlvT0ODY1fQEECbbTsXAgokJmGNlS-2QpUf3gr4AV"&amp;"m1jfZuWKnXk3=w1200|https://lh3.googleusercontent.com/pw/AP1GczM4hPTQGCNA0l-gI4RmHOXK99If1xxpfQ3yJFjL4wAqSAkZrjL3YwB-aa6-bbkrGuHNmAA-c4PWQD-tYwIKF-7ayxu5nbj-3Sx7S2KSS-AjSHQ6ZeSi=w1200|https://lh3.googleusercontent.com/pw/AP1GczOqFjgiAnOcEmmmEUiBz1SQwCG9Jkb"&amp;"J6OG6uXdm5A7bQt2rdLJfZjvzn7VGW8wdGRNB8bzn70uYcCleE9isD7RM1edYJjdvLxrzLEvVTRBA9seul8Sy=w1200|https://lh3.googleusercontent.com/pw/AP1GczN_wYSHAT3KW1_NW4n_xIzXFKArCXh9X-yw8wTbBGIOxowa3s8USFUXZ7VnsmSUTPP3yCq24_sbh0a5kYr88kjjr6rAq2ibOHqmG5TSv_YwbGjw1x-1=w1200"&amp;"|https://lh3.googleusercontent.com/pw/AP1GczPq1nmTF9ogF5EaBMT8ey--NktAra4oxgfIRt-CyXB9A82uFT2nWndUeq2vmHPNx2b7xkOK1jqOFbfvyg47fGaNxDRNCneddVkfFCiFLU4do6O6fUIX=w1200|https://lh3.googleusercontent.com/pw/AP1GczOlKO8_FQv_79P__LEFvE26zS5rLhTguc6Ad8G9oxLH1vcUC"&amp;"fOLLnSYc7KOqcpViwL0jlp2AhVAb0WoVj86356x7oCai0CGQOJxYIpJz3yMKCDW_QvN=w1200")</f>
        <v>https://lh3.googleusercontent.com/pw/AP1GczN11TLd7Db6UrSU-SkRwWYHtWd1xLt4FZoj9mqFYzrAMUZSL8HZBRqA7E1lakxmfTB61r4IA8BiEYDrDnEvA0qLqzlYYl5QB412A8Jvx-hINv8WBdb6=w1200|https://lh3.googleusercontent.com/pw/AP1GczMlbelI7o49rGrTmdrRAkyWnqeiOmSQnZqAjOU8fFWgEWOPdD4m6AgxiZNt3zXsfpwSQJvZuJZ3VDCnwiczXMHlEn41hXgeKZ4nonoxiJAUHs_qqoTK=w1200|https://lh3.googleusercontent.com/pw/AP1GczMJ9BmpexvvTnX0WJROvi6M04qQMuZaQoEnHUmGfYGqDfLG3BXPm--Cobn6PcQzugZDHK7ZAynjib6SWcm141ZpveU9rr4Wv1IBOOuwpeWXNZ0qyLw5=w1200|https://lh3.googleusercontent.com/pw/AP1GczNYPW1sBNUuTa4BMdWnfJ8Et5KFU-7KUcvOnjtoqIPN7mxDrO34VtraLtg57uxCYyXlc8NbjM7fTtyOJxHKFVl3Kmmb7mdnzFENjnu2VkXY4sH5IVZV=w1200|https://lh3.googleusercontent.com/pw/AP1GczNCO0xFzyYZyytaaX5zLJ6rD1T6LPcbJqU22Ix5bfthSRyMisTYy3rIg8e7abyNAV-KgCTLOgC0FNguALRP-aiItt7kOonqlKD1NI9S1DNEPo1npkuc=w1200|https://lh3.googleusercontent.com/pw/AP1GczOTukMM86l7RjTk1yw0G_S-R0xgnOANei5UbIw44JlhhakJKkh9Aq6bDQ9hMdzMGR2L_MqcA-2PTUeFc4wpBsGHIAqzf6KA0213xMs35hmQwb78Yugo=w1200|https://lh3.googleusercontent.com/pw/AP1GczOEKksh4N7B6FPUaq4joH2ckgcIYmytwx8aEDd6CTl8BFQ28vUO1HGpy2kvTDdXo8_mnbPhPnvwhZ41_4fKs4wt268O005gRDkA4n_lHvfYPmVHDbHo=w1200|https://lh3.googleusercontent.com/pw/AP1GczP30mwRH58hN2xsey0dNC9pVU_cCF0jW8km9Q0B0fCqwNGTtOCJKzvsDhkWT98Xmb5mT5wZEpw2SoRQ9pmeXefhO-oJJpBAjnyo9gwRZcwlpdMlekg9=w1200|https://lh3.googleusercontent.com/pw/AP1GczNUNTP18Olzq2YGYIb68N65tBNrPIhgRoRqZchLH5LmHsHWCXcNSqzMBkbITU5FKBc5ooqZHFdj-2TOyDNeU1TGGSGiYiLc02YXZMUoJueyCf-6hELz=w1200|https://lh3.googleusercontent.com/pw/AP1GczOHreq9hdj0GoFe39NnzB9rYFevE7W8sUyfVuG6qcAY3f9MaL_B-DBJ0OhBtY3IGw79vNbfjV-w6lJwtQoreTv2E5IHGbDp35GLu4XWp8lwSqnHHsiU=w1200|https://lh3.googleusercontent.com/pw/AP1GczOFKKkFDfprvum4fYMUE0bmTofMTwwkkU9ESgCE_z4Zqa_5nfyGvQ7aMJ7AHymLlvT0ODY1fQEECbbTsXAgokJmGNlS-2QpUf3gr4AVm1jfZuWKnXk3=w1200|https://lh3.googleusercontent.com/pw/AP1GczM4hPTQGCNA0l-gI4RmHOXK99If1xxpfQ3yJFjL4wAqSAkZrjL3YwB-aa6-bbkrGuHNmAA-c4PWQD-tYwIKF-7ayxu5nbj-3Sx7S2KSS-AjSHQ6ZeSi=w1200|https://lh3.googleusercontent.com/pw/AP1GczOqFjgiAnOcEmmmEUiBz1SQwCG9JkbJ6OG6uXdm5A7bQt2rdLJfZjvzn7VGW8wdGRNB8bzn70uYcCleE9isD7RM1edYJjdvLxrzLEvVTRBA9seul8Sy=w1200|https://lh3.googleusercontent.com/pw/AP1GczN_wYSHAT3KW1_NW4n_xIzXFKArCXh9X-yw8wTbBGIOxowa3s8USFUXZ7VnsmSUTPP3yCq24_sbh0a5kYr88kjjr6rAq2ibOHqmG5TSv_YwbGjw1x-1=w1200|https://lh3.googleusercontent.com/pw/AP1GczPq1nmTF9ogF5EaBMT8ey--NktAra4oxgfIRt-CyXB9A82uFT2nWndUeq2vmHPNx2b7xkOK1jqOFbfvyg47fGaNxDRNCneddVkfFCiFLU4do6O6fUIX=w1200|https://lh3.googleusercontent.com/pw/AP1GczOlKO8_FQv_79P__LEFvE26zS5rLhTguc6Ad8G9oxLH1vcUCfOLLnSYc7KOqcpViwL0jlp2AhVAb0WoVj86356x7oCai0CGQOJxYIpJz3yMKCDW_QvN=w1200</v>
      </c>
      <c r="AJ106" s="46"/>
      <c r="AK106" s="46"/>
      <c r="AL106" s="46"/>
      <c r="AM106" s="46"/>
      <c r="AN106" s="46"/>
      <c r="AO106" s="46"/>
      <c r="AP106" s="46"/>
      <c r="AQ106" s="46"/>
      <c r="AR106" s="46"/>
      <c r="AS106" s="46"/>
      <c r="AT106" s="46"/>
      <c r="AU106" s="46"/>
      <c r="AV106" s="46"/>
      <c r="AW106" s="46"/>
      <c r="AX106" s="46"/>
      <c r="AY106" s="46"/>
      <c r="AZ106" s="46"/>
      <c r="BA106" s="46"/>
      <c r="BB106" s="46"/>
      <c r="BC106" s="46"/>
      <c r="BD106" s="46"/>
      <c r="BE106" s="46"/>
      <c r="BF106" s="46"/>
      <c r="BG106" s="46"/>
      <c r="BH106" s="46"/>
      <c r="BI106" s="46"/>
      <c r="BJ106" s="46"/>
      <c r="BK106" s="46"/>
      <c r="BL106" s="46"/>
      <c r="BM106" s="46"/>
      <c r="BN106" s="46"/>
      <c r="BO106" s="46"/>
      <c r="BP106" s="46"/>
      <c r="BQ106" s="46"/>
      <c r="BR106" s="46"/>
      <c r="BS106" s="46"/>
      <c r="BT106" s="46"/>
      <c r="BU106" s="46"/>
      <c r="BV106" s="46"/>
      <c r="BW106" s="46"/>
      <c r="BX106" s="46"/>
      <c r="BY106" s="46"/>
      <c r="BZ106" s="46"/>
      <c r="CA106" s="46"/>
      <c r="CB106" s="46"/>
      <c r="CC106" s="46"/>
    </row>
    <row r="107">
      <c r="A107" s="87" t="str">
        <f>IFERROR(__xludf.DUMMYFUNCTION("""COMPUTED_VALUE"""),"1511")</f>
        <v>1511</v>
      </c>
      <c r="B107" s="46" t="str">
        <f>IFERROR(__xludf.DUMMYFUNCTION("""COMPUTED_VALUE"""),"Casa en barrio Santa Barbara - Palermo")</f>
        <v>Casa en barrio Santa Barbara - Palermo</v>
      </c>
      <c r="C107" s="46" t="str">
        <f>IFERROR(__xludf.DUMMYFUNCTION("""COMPUTED_VALUE"""),"Casa")</f>
        <v>Casa</v>
      </c>
      <c r="D107" s="46" t="str">
        <f>IFERROR(__xludf.DUMMYFUNCTION("""COMPUTED_VALUE"""),"Santa Barbara")</f>
        <v>Santa Barbara</v>
      </c>
      <c r="E107" s="46"/>
      <c r="F107" s="90">
        <f>IFERROR(__xludf.DUMMYFUNCTION("""COMPUTED_VALUE"""),2.3E8)</f>
        <v>230000000</v>
      </c>
      <c r="G107" s="46" t="str">
        <f>IFERROR(__xludf.DUMMYFUNCTION("""COMPUTED_VALUE"""),"$200'000.000 a $300'000.000")</f>
        <v>$200'000.000 a $300'000.000</v>
      </c>
      <c r="H107" s="46"/>
      <c r="I107" s="46"/>
      <c r="J107" s="46" t="str">
        <f>IFERROR(__xludf.DUMMYFUNCTION("""COMPUTED_VALUE"""),"Occidente")</f>
        <v>Occidente</v>
      </c>
      <c r="K107" s="87"/>
      <c r="L107" s="46">
        <f>IFERROR(__xludf.DUMMYFUNCTION("""COMPUTED_VALUE"""),3.0)</f>
        <v>3</v>
      </c>
      <c r="M107" s="46"/>
      <c r="N107" s="46">
        <f>IFERROR(__xludf.DUMMYFUNCTION("""COMPUTED_VALUE"""),2.0)</f>
        <v>2</v>
      </c>
      <c r="O107" s="46">
        <f>IFERROR(__xludf.DUMMYFUNCTION("""COMPUTED_VALUE"""),1.0)</f>
        <v>1</v>
      </c>
      <c r="P107" s="46">
        <f>IFERROR(__xludf.DUMMYFUNCTION("""COMPUTED_VALUE"""),1.0)</f>
        <v>1</v>
      </c>
      <c r="Q107" s="92">
        <f>IFERROR(__xludf.DUMMYFUNCTION("""COMPUTED_VALUE"""),98.4)</f>
        <v>98.4</v>
      </c>
      <c r="R107" s="92">
        <f>IFERROR(__xludf.DUMMYFUNCTION("""COMPUTED_VALUE"""),98.4)</f>
        <v>98.4</v>
      </c>
      <c r="S107" s="87" t="str">
        <f>IFERROR(__xludf.DUMMYFUNCTION("""COMPUTED_VALUE""")," ")</f>
        <v> </v>
      </c>
      <c r="T107" s="46" t="str">
        <f>IFERROR(__xludf.DUMMYFUNCTION("""COMPUTED_VALUE"""),"Palermo")</f>
        <v>Palermo</v>
      </c>
      <c r="U107" s="87" t="str">
        <f>IFERROR(__xludf.DUMMYFUNCTION("""COMPUTED_VALUE"""),"2")</f>
        <v>2</v>
      </c>
      <c r="V107" s="46" t="str">
        <f>IFERROR(__xludf.DUMMYFUNCTION("""COMPUTED_VALUE"""),"Medianera")</f>
        <v>Medianera</v>
      </c>
      <c r="W107" s="46"/>
      <c r="X107" s="46">
        <f>IFERROR(__xludf.DUMMYFUNCTION("""COMPUTED_VALUE"""),3.0)</f>
        <v>3</v>
      </c>
      <c r="Y107" s="46" t="str">
        <f>IFERROR(__xludf.DUMMYFUNCTION("""COMPUTED_VALUE"""),"No tiene")</f>
        <v>No tiene</v>
      </c>
      <c r="Z107" s="90" t="str">
        <f>IFERROR(__xludf.DUMMYFUNCTION("""COMPUTED_VALUE"""),"No aplica")</f>
        <v>No aplica</v>
      </c>
      <c r="AA107" s="33" t="str">
        <f>IFERROR(__xludf.DUMMYFUNCTION("""COMPUTED_VALUE"""),"No aplica")</f>
        <v>No aplica</v>
      </c>
      <c r="AB107" s="144" t="str">
        <f>IFERROR(__xludf.DUMMYFUNCTION("""COMPUTED_VALUE"""),"https://photos.app.goo.gl/Dg3YqKn5tKSrHCrS6")</f>
        <v>https://photos.app.goo.gl/Dg3YqKn5tKSrHCrS6</v>
      </c>
      <c r="AC107" s="46" t="str">
        <f>IFERROR(__xludf.DUMMYFUNCTION("""COMPUTED_VALUE"""),"Casa de un piso en Santa Barbara, con un área construida de 98.40 M2, consta de: Sala comedor, cocina integral,3 habitaciones todas con closet en madera, la principal con baño privado, baño auxiliar, estar de alcobas, patio y zona de lavandería.")</f>
        <v>Casa de un piso en Santa Barbara, con un área construida de 98.40 M2, consta de: Sala comedor, cocina integral,3 habitaciones todas con closet en madera, la principal con baño privado, baño auxiliar, estar de alcobas, patio y zona de lavandería.</v>
      </c>
      <c r="AD107" s="46" t="str">
        <f>IFERROR(__xludf.DUMMYFUNCTION("""COMPUTED_VALUE"""),"Casa bien ubicada y con buenos acabados.")</f>
        <v>Casa bien ubicada y con buenos acabados.</v>
      </c>
      <c r="AE107" s="46"/>
      <c r="AF107" s="46" t="str">
        <f>IFERROR(__xludf.DUMMYFUNCTION("""COMPUTED_VALUE"""),"integral")</f>
        <v>integral</v>
      </c>
      <c r="AG107" s="46"/>
      <c r="AH107" s="46" t="str">
        <f>IFERROR(__xludf.DUMMYFUNCTION("""COMPUTED_VALUE"""),"Aliado")</f>
        <v>Aliado</v>
      </c>
      <c r="AI107" s="92" t="str">
        <f>IFERROR(__xludf.DUMMYFUNCTION("""COMPUTED_VALUE"""),"https://lh3.googleusercontent.com/pw/AP1GczMFaruCAygnQSKTVPeevdmf_OqK8gBuwPi1YQnowEDVqUU7Pk_sPP9jQbjCSWcvpyT4B12SVtRhMfU5HZRXfGCQv8xj6iw8jfZeeDX9H-KLOiu13_e4=w1200|https://lh3.googleusercontent.com/pw/AP1GczMBNrqw5BRPXjg0D3fV0pPJ0969h5u7SJ-YtqErx5rg3ZdtxO"&amp;"VIUZ1a6rhZwV0Qs72ParTrR0s-IPVMRzmpYSLPE5suliA_TptWQbkZU5KjcYHBuXmR=w1200|https://lh3.googleusercontent.com/pw/AP1GczNXNGKsE5J_zaKavV2uq02IlYqm96znlIZRwp4M5YmkjJAv9PSLtc7ovGxm3lDD8e65KaSeM9T-lIl-fQzFIPHeQNxK9S-BybsB_xptrPxBmT-JPfcI=w1200|https://lh3.google"&amp;"usercontent.com/pw/AP1GczNPk0eCwpIdXRgZFbd6ndddrN9YuyhUjADF6CfHorAzh43g7-JWn6pX7PqYuNu6sN49A-IxbbJIQyjLIotBVC9QSUcc7BeU_Uyk2YxvCfhL39vvVzTO=w1200|https://lh3.googleusercontent.com/pw/AP1GczOW0wZmZS8sMglg_E0y2Zca_D_rNsr-sNOIDvpmEoRhCDRXu-O1hGnvhiYI0dSPFBOd"&amp;"r07u96sEBUKPAj72i9mEGDzvtATPWUWskT5LWuC2kY859ZqA=w1200|https://lh3.googleusercontent.com/pw/AP1GczNZ4MTbO3fPzb1jQCdri7H219kLwKJWe4-3y2TYhyJZQAuyTkwDi4l_fTJ9k-8_6OqfHSuOjdK8hg4_j1WefCD1lji9xc8okNrhPaeCIuwS0jS7BIzt=w1200|https://lh3.googleusercontent.com/pw"&amp;"/AP1GczMAwmiK_ibPG2EJenj59zawBS2a4g34Ev6zqwrhFd-WpHWILLiZ3limt-u-ErW70rz0G13QtgUao5spIYBKZhdPdTZ84wUpN7UPntxU5yZQsnh43ldB=w1200|https://lh3.googleusercontent.com/pw/AP1GczNPgv2bFBebt4PHWEYLacuM4rpiDrFiAHU0OWh1dri5pu2irJJFDoRwseozDGQe9sjo0CrAsb3LmK7kg2mJh7"&amp;"InnK5b6BnNC-rxrdMKUJxmEke6-bNR=w1200|https://lh3.googleusercontent.com/pw/AP1GczNkVp2Vxooz3pR8o9VwvOcycaMo0XdE4-6nhpr94bY9muPSs-00yLXXwiDPr1EaaldI0FOLC9oEU39PuOQJajvSFcNidLWEZ52y8hAD9lmgcoaWZ-T0=w1200|https://lh3.googleusercontent.com/pw/AP1GczPMoOcfshqak"&amp;"ibsmGvdl9SY_CRpsdZ2t-2VUG3asBDEztPVXQh1SfDiEoy4QDuG9mrt8CwC2kANw10MbjswGLzn2zxM335AEgqBMldtiu-9JuM2AZ6f=w1200|https://lh3.googleusercontent.com/pw/AP1GczN81XXydGrJlaM4QlNiAzvfueoipgsR5TlkI6uX_wWLjGw4v_meNDtQiCk7LHnWJOlwYtyl0ybD41V259ddzCkduqD9MbNhxcLN33vD"&amp;"37AYXtn5xe6q=w1200|https://lh3.googleusercontent.com/pw/AP1GczODFH1hikhWcmzY585A4Phu_GkU05nt_eRGzYp8RsXexr1gTbFIZ3Cw_ooP9VxxApnkBf33gedfK3zMU5bf8dUR8qiBv1w3QclPtWDuW2qv0QpqT27g=w1200|https://lh3.googleusercontent.com/pw/AP1GczMojmLmUUhzSYn6L-iaw2N0Wu8Y3qN"&amp;"1TYn_8GyG1UkQBa8t2FSWeM-HmUjGMLysFxQSPhxsVYixZaTcYmMEVUp-DI248unAtmpS0Azq_2zw6SRoYr3d=w1200|https://lh3.googleusercontent.com/pw/AP1GczPPMLhYIiXDGCLs3ZXvFkToNOad0r0dFCJL3EMdZF32w96d5HDI-iD80AB_ewhiFz-QE-S4PA3QvNtLW8TaU__02-umUUeLTRdiSlUy1guVJMi2ryrt=w1200"&amp;"|https://lh3.googleusercontent.com/pw/AP1GczMdOq0wVjVL7wqEq9M98Ay-_ro_2HVPQVfWyiCyCsGnVbi_ZdsfLS4YIrKgsUxz8NmrJRL0lhAwCgE1g_OKW5gNOK8WpdpzmjjFEWgQd2SJpes5cZb4=w1200")</f>
        <v>https://lh3.googleusercontent.com/pw/AP1GczMFaruCAygnQSKTVPeevdmf_OqK8gBuwPi1YQnowEDVqUU7Pk_sPP9jQbjCSWcvpyT4B12SVtRhMfU5HZRXfGCQv8xj6iw8jfZeeDX9H-KLOiu13_e4=w1200|https://lh3.googleusercontent.com/pw/AP1GczMBNrqw5BRPXjg0D3fV0pPJ0969h5u7SJ-YtqErx5rg3ZdtxOVIUZ1a6rhZwV0Qs72ParTrR0s-IPVMRzmpYSLPE5suliA_TptWQbkZU5KjcYHBuXmR=w1200|https://lh3.googleusercontent.com/pw/AP1GczNXNGKsE5J_zaKavV2uq02IlYqm96znlIZRwp4M5YmkjJAv9PSLtc7ovGxm3lDD8e65KaSeM9T-lIl-fQzFIPHeQNxK9S-BybsB_xptrPxBmT-JPfcI=w1200|https://lh3.googleusercontent.com/pw/AP1GczNPk0eCwpIdXRgZFbd6ndddrN9YuyhUjADF6CfHorAzh43g7-JWn6pX7PqYuNu6sN49A-IxbbJIQyjLIotBVC9QSUcc7BeU_Uyk2YxvCfhL39vvVzTO=w1200|https://lh3.googleusercontent.com/pw/AP1GczOW0wZmZS8sMglg_E0y2Zca_D_rNsr-sNOIDvpmEoRhCDRXu-O1hGnvhiYI0dSPFBOdr07u96sEBUKPAj72i9mEGDzvtATPWUWskT5LWuC2kY859ZqA=w1200|https://lh3.googleusercontent.com/pw/AP1GczNZ4MTbO3fPzb1jQCdri7H219kLwKJWe4-3y2TYhyJZQAuyTkwDi4l_fTJ9k-8_6OqfHSuOjdK8hg4_j1WefCD1lji9xc8okNrhPaeCIuwS0jS7BIzt=w1200|https://lh3.googleusercontent.com/pw/AP1GczMAwmiK_ibPG2EJenj59zawBS2a4g34Ev6zqwrhFd-WpHWILLiZ3limt-u-ErW70rz0G13QtgUao5spIYBKZhdPdTZ84wUpN7UPntxU5yZQsnh43ldB=w1200|https://lh3.googleusercontent.com/pw/AP1GczNPgv2bFBebt4PHWEYLacuM4rpiDrFiAHU0OWh1dri5pu2irJJFDoRwseozDGQe9sjo0CrAsb3LmK7kg2mJh7InnK5b6BnNC-rxrdMKUJxmEke6-bNR=w1200|https://lh3.googleusercontent.com/pw/AP1GczNkVp2Vxooz3pR8o9VwvOcycaMo0XdE4-6nhpr94bY9muPSs-00yLXXwiDPr1EaaldI0FOLC9oEU39PuOQJajvSFcNidLWEZ52y8hAD9lmgcoaWZ-T0=w1200|https://lh3.googleusercontent.com/pw/AP1GczPMoOcfshqakibsmGvdl9SY_CRpsdZ2t-2VUG3asBDEztPVXQh1SfDiEoy4QDuG9mrt8CwC2kANw10MbjswGLzn2zxM335AEgqBMldtiu-9JuM2AZ6f=w1200|https://lh3.googleusercontent.com/pw/AP1GczN81XXydGrJlaM4QlNiAzvfueoipgsR5TlkI6uX_wWLjGw4v_meNDtQiCk7LHnWJOlwYtyl0ybD41V259ddzCkduqD9MbNhxcLN33vD37AYXtn5xe6q=w1200|https://lh3.googleusercontent.com/pw/AP1GczODFH1hikhWcmzY585A4Phu_GkU05nt_eRGzYp8RsXexr1gTbFIZ3Cw_ooP9VxxApnkBf33gedfK3zMU5bf8dUR8qiBv1w3QclPtWDuW2qv0QpqT27g=w1200|https://lh3.googleusercontent.com/pw/AP1GczMojmLmUUhzSYn6L-iaw2N0Wu8Y3qN1TYn_8GyG1UkQBa8t2FSWeM-HmUjGMLysFxQSPhxsVYixZaTcYmMEVUp-DI248unAtmpS0Azq_2zw6SRoYr3d=w1200|https://lh3.googleusercontent.com/pw/AP1GczPPMLhYIiXDGCLs3ZXvFkToNOad0r0dFCJL3EMdZF32w96d5HDI-iD80AB_ewhiFz-QE-S4PA3QvNtLW8TaU__02-umUUeLTRdiSlUy1guVJMi2ryrt=w1200|https://lh3.googleusercontent.com/pw/AP1GczMdOq0wVjVL7wqEq9M98Ay-_ro_2HVPQVfWyiCyCsGnVbi_ZdsfLS4YIrKgsUxz8NmrJRL0lhAwCgE1g_OKW5gNOK8WpdpzmjjFEWgQd2SJpes5cZb4=w1200</v>
      </c>
      <c r="AJ107" s="46"/>
      <c r="AK107" s="46"/>
      <c r="AL107" s="46"/>
      <c r="AM107" s="46"/>
      <c r="AN107" s="46"/>
      <c r="AO107" s="46"/>
      <c r="AP107" s="46"/>
      <c r="AQ107" s="46"/>
      <c r="AR107" s="46"/>
      <c r="AS107" s="46"/>
      <c r="AT107" s="46"/>
      <c r="AU107" s="46"/>
      <c r="AV107" s="46"/>
      <c r="AW107" s="46"/>
      <c r="AX107" s="46"/>
      <c r="AY107" s="46"/>
      <c r="AZ107" s="46"/>
      <c r="BA107" s="46"/>
      <c r="BB107" s="46"/>
      <c r="BC107" s="46"/>
      <c r="BD107" s="46"/>
      <c r="BE107" s="46"/>
      <c r="BF107" s="46"/>
      <c r="BG107" s="46"/>
      <c r="BH107" s="46"/>
      <c r="BI107" s="46"/>
      <c r="BJ107" s="46"/>
      <c r="BK107" s="46"/>
      <c r="BL107" s="46"/>
      <c r="BM107" s="46"/>
      <c r="BN107" s="46"/>
      <c r="BO107" s="46"/>
      <c r="BP107" s="46"/>
      <c r="BQ107" s="46"/>
      <c r="BR107" s="46"/>
      <c r="BS107" s="46"/>
      <c r="BT107" s="46"/>
      <c r="BU107" s="46"/>
      <c r="BV107" s="46"/>
      <c r="BW107" s="46"/>
      <c r="BX107" s="46"/>
      <c r="BY107" s="46"/>
      <c r="BZ107" s="46"/>
      <c r="CA107" s="46"/>
      <c r="CB107" s="46"/>
      <c r="CC107" s="46"/>
    </row>
    <row r="108">
      <c r="A108" s="87" t="str">
        <f>IFERROR(__xludf.DUMMYFUNCTION("""COMPUTED_VALUE"""),"609")</f>
        <v>609</v>
      </c>
      <c r="B108" s="46" t="str">
        <f>IFERROR(__xludf.DUMMYFUNCTION("""COMPUTED_VALUE"""),"Casa en barrio La Orquídea")</f>
        <v>Casa en barrio La Orquídea</v>
      </c>
      <c r="C108" s="46" t="str">
        <f>IFERROR(__xludf.DUMMYFUNCTION("""COMPUTED_VALUE"""),"Casa")</f>
        <v>Casa</v>
      </c>
      <c r="D108" s="46" t="str">
        <f>IFERROR(__xludf.DUMMYFUNCTION("""COMPUTED_VALUE"""),"La Orquídea")</f>
        <v>La Orquídea</v>
      </c>
      <c r="E108" s="46"/>
      <c r="F108" s="90">
        <f>IFERROR(__xludf.DUMMYFUNCTION("""COMPUTED_VALUE"""),2.2E8)</f>
        <v>220000000</v>
      </c>
      <c r="G108" s="46" t="str">
        <f>IFERROR(__xludf.DUMMYFUNCTION("""COMPUTED_VALUE"""),"$200'000.000 a $300'000.000")</f>
        <v>$200'000.000 a $300'000.000</v>
      </c>
      <c r="H108" s="46"/>
      <c r="I108" s="46"/>
      <c r="J108" s="46" t="str">
        <f>IFERROR(__xludf.DUMMYFUNCTION("""COMPUTED_VALUE"""),"Oriente")</f>
        <v>Oriente</v>
      </c>
      <c r="K108" s="87" t="str">
        <f>IFERROR(__xludf.DUMMYFUNCTION("""COMPUTED_VALUE"""),"5")</f>
        <v>5</v>
      </c>
      <c r="L108" s="46">
        <f>IFERROR(__xludf.DUMMYFUNCTION("""COMPUTED_VALUE"""),3.0)</f>
        <v>3</v>
      </c>
      <c r="M108" s="46"/>
      <c r="N108" s="46">
        <f>IFERROR(__xludf.DUMMYFUNCTION("""COMPUTED_VALUE"""),3.0)</f>
        <v>3</v>
      </c>
      <c r="O108" s="46">
        <f>IFERROR(__xludf.DUMMYFUNCTION("""COMPUTED_VALUE"""),1.0)</f>
        <v>1</v>
      </c>
      <c r="P108" s="46">
        <f>IFERROR(__xludf.DUMMYFUNCTION("""COMPUTED_VALUE"""),1.0)</f>
        <v>1</v>
      </c>
      <c r="Q108" s="92">
        <f>IFERROR(__xludf.DUMMYFUNCTION("""COMPUTED_VALUE"""),110.0)</f>
        <v>110</v>
      </c>
      <c r="R108" s="92">
        <f>IFERROR(__xludf.DUMMYFUNCTION("""COMPUTED_VALUE"""),110.0)</f>
        <v>110</v>
      </c>
      <c r="S108" s="87" t="str">
        <f>IFERROR(__xludf.DUMMYFUNCTION("""COMPUTED_VALUE""")," ")</f>
        <v> </v>
      </c>
      <c r="T108" s="46" t="str">
        <f>IFERROR(__xludf.DUMMYFUNCTION("""COMPUTED_VALUE"""),"Neiva")</f>
        <v>Neiva</v>
      </c>
      <c r="U108" s="87" t="str">
        <f>IFERROR(__xludf.DUMMYFUNCTION("""COMPUTED_VALUE"""),"4")</f>
        <v>4</v>
      </c>
      <c r="V108" s="46" t="str">
        <f>IFERROR(__xludf.DUMMYFUNCTION("""COMPUTED_VALUE"""),"Medianera")</f>
        <v>Medianera</v>
      </c>
      <c r="W108" s="46"/>
      <c r="X108" s="46">
        <f>IFERROR(__xludf.DUMMYFUNCTION("""COMPUTED_VALUE"""),3.0)</f>
        <v>3</v>
      </c>
      <c r="Y108" s="46" t="str">
        <f>IFERROR(__xludf.DUMMYFUNCTION("""COMPUTED_VALUE"""),"No tiene")</f>
        <v>No tiene</v>
      </c>
      <c r="Z108" s="90" t="str">
        <f>IFERROR(__xludf.DUMMYFUNCTION("""COMPUTED_VALUE"""),"No aplica")</f>
        <v>No aplica</v>
      </c>
      <c r="AA108" s="33" t="str">
        <f>IFERROR(__xludf.DUMMYFUNCTION("""COMPUTED_VALUE"""),"No aplica")</f>
        <v>No aplica</v>
      </c>
      <c r="AB108" s="144" t="str">
        <f>IFERROR(__xludf.DUMMYFUNCTION("""COMPUTED_VALUE"""),"https://photos.google.com/u/1/share/AF1QipPplZBV7tlQYw_pX8G_Pnt4qwAW--se6LialvKIYDv8GNhg8Ai3-LzqaTbudRMJYA?key=eDVMeW9KYmlvSHZoaXRDR3lvcmdmU1FUbFhtdUtn")</f>
        <v>https://photos.google.com/u/1/share/AF1QipPplZBV7tlQYw_pX8G_Pnt4qwAW--se6LialvKIYDv8GNhg8Ai3-LzqaTbudRMJYA?key=eDVMeW9KYmlvSHZoaXRDR3lvcmdmU1FUbFhtdUtn</v>
      </c>
      <c r="AC108" s="46" t="str">
        <f>IFERROR(__xludf.DUMMYFUNCTION("""COMPUTED_VALUE"""),"Casa de 1 piso ubicada en el sector oriente de la ciudad de Neiva, estrato 4, consta de sala , comedor, 3 habitaciones, la principal con baño privado, aire acondicionado, cocina integral, baño social, patio, parqueadero.")</f>
        <v>Casa de 1 piso ubicada en el sector oriente de la ciudad de Neiva, estrato 4, consta de sala , comedor, 3 habitaciones, la principal con baño privado, aire acondicionado, cocina integral, baño social, patio, parqueadero.</v>
      </c>
      <c r="AD108" s="46"/>
      <c r="AE108" s="46"/>
      <c r="AF108" s="46" t="str">
        <f>IFERROR(__xludf.DUMMYFUNCTION("""COMPUTED_VALUE"""),"integral")</f>
        <v>integral</v>
      </c>
      <c r="AG108" s="46"/>
      <c r="AH108" s="46" t="str">
        <f>IFERROR(__xludf.DUMMYFUNCTION("""COMPUTED_VALUE"""),"Aliado")</f>
        <v>Aliado</v>
      </c>
      <c r="AI108" s="92" t="str">
        <f>IFERROR(__xludf.DUMMYFUNCTION("""COMPUTED_VALUE"""),"https://lh3.googleusercontent.com/pw/AP1GczPzc9I6XfWmU2kiR20YycQ02QwoJCS4tiRChCRBDSiflf7BBthR7ejJPVq5ga2EL8a21T8uBDjUfhqfET-i1rFoPJkUDUiVb-3PiIlM9aOhR_97LR3G=w1200|https://lh3.googleusercontent.com/pw/AP1GczO06aKczlbk9TSx-C2kk97QYjfZeG_xeP7cTgx2YcM4uaYF0_"&amp;"HdRMUBDHDqHeC4q_bo6FD5APV87izotbPmLFstCFGukhdKYVpJsBPsKGICYagM4qz3=w1200|https://lh3.googleusercontent.com/pw/AP1GczOvzNkT0tCVQfYW5xPJMRt5t4ZKx4Dq1QURrj7UHaf6VMe9nSkEUbgFKWGCn_mjykdsdRQMD7p67sU64QVChbXoW-uCHsFNSYjGgEAFtYqJzI6Wogey=w1200|https://lh3.google"&amp;"usercontent.com/pw/AP1GczPta8vk3heioOoknCtawQP1io9BOF8BIn-dp_ugWsntysvT3t4SMTcdrssJHF-lUwK0QemF_N74mLwKchVvlTghUf_PBajX2o4439XW9BHwb2P3szuS=w1200|https://lh3.googleusercontent.com/pw/AP1GczNXRCrJsufX9foBxqsR3u2UYTjWLEVYOQ8VLcpR3vBGSqY98is_CsdHmDZKpvfQ41O_"&amp;"IJPOXZ6QD0ltrMdbNzt8gfQPdmQcPGQtgSEGhIlkyhY808UE=w1200|https://lh3.googleusercontent.com/pw/AP1GczNiqvENu55f-mzWR3s5CCKp3sgZ03WIMgDrvmvF5BEO0hQ65U0eY2sGYnZxZTaPVCvl5jq1ZlqyeDdCW8ns2PsMLYzZDCSM90eW5NqPKAjl-BPSOOZq=w1200|https://lh3.googleusercontent.com/pw"&amp;"/AP1GczM0Pb7wTAgURWrlilNSBRc73bJiWabYz-dduK5WaqAa9v7Hc-HgM6voGQIXru1gQJtXlu2-EhgT-H1JXfW6-h_s__YH8nLzmtdXSCR3vNLdH-ajlGz7=w1200|https://lh3.googleusercontent.com/pw/AP1GczPCTUAwWWJGByT5MeM3181qF_fPl9YORsYKNZC_u-PPwJycgm6cCoLGYX1RcNdixfBvpycNWTP9P6rhQxkPHI"&amp;"lO9sqxI6tXeSoVaXgHDC_9RHED3LSK=w1200|https://lh3.googleusercontent.com/pw/AP1GczO73jevgS2Ga8mt5txP7qYXspyRT4w6RTLH1zp-wwOmpTTJ571U0RQRgINNv1rn2dNWEMhEHJwJgr_dT4SlhICWFHSrp3C8ky9eLE3_6kk9SrsuVM9t=w1200|https://lh3.googleusercontent.com/pw/AP1GczNfWOHYgnS-M"&amp;"NlYgPOR7Ur_hCIJZ9GKCuMgIj4UzUlaLWjB-7YIPPyRpMaYMSShWW-o-Fj4ulop1vqbiadbhQ-ijbGyHcxKk0efNuxG9SkqDdtpkc3G=w1200|https://lh3.googleusercontent.com/pw/AP1GczObpDSuq68F_37aIbh2o0RSrRwVXa5F8hlxYPeiUVIyGDi5YneKEr8Em4zCY7YMpCGdpzQSKK7_wHH1FeMcGJH7QW_A2hpQ0SB_ifpm"&amp;"Ug2Bnxnnn-LD=w1200|https://lh3.googleusercontent.com/pw/AP1GczP76nvlthkK5urSL6eJeq98tyNx-25KR5PXCEN1pyLcJ00UhJBQZnZiV3YJk1ARNgtc3ox6yHdT4nIj1Pnw3h_2sefn1pKEaQ8Oaxbom7wMgGOAZEE8=w1200|https://lh3.googleusercontent.com/pw/AP1GczPqv6Nnmjut2PswSZw0sNXc8f3uH9m"&amp;"nlschkRhnjZyWY4_b5y4cpgY0F6UL9A2FL_w5wt4zCTXQ3MXaxq-ZuMboGUiF48spH5_Whdl8mXfFkYr2dIP9=w1200|https://lh3.googleusercontent.com/pw/AP1GczOII5letohr8lx9Rzwk7_5xfzuTX62TNEKp9iK4aG0t2t96KIHMXVVLT-BSs6PINnQ-jYwcTcnEJRptX4xWqPi5uLs2eBPa1J46RMsUW_x0aXpHAQ6W=w1200")</f>
        <v>https://lh3.googleusercontent.com/pw/AP1GczPzc9I6XfWmU2kiR20YycQ02QwoJCS4tiRChCRBDSiflf7BBthR7ejJPVq5ga2EL8a21T8uBDjUfhqfET-i1rFoPJkUDUiVb-3PiIlM9aOhR_97LR3G=w1200|https://lh3.googleusercontent.com/pw/AP1GczO06aKczlbk9TSx-C2kk97QYjfZeG_xeP7cTgx2YcM4uaYF0_HdRMUBDHDqHeC4q_bo6FD5APV87izotbPmLFstCFGukhdKYVpJsBPsKGICYagM4qz3=w1200|https://lh3.googleusercontent.com/pw/AP1GczOvzNkT0tCVQfYW5xPJMRt5t4ZKx4Dq1QURrj7UHaf6VMe9nSkEUbgFKWGCn_mjykdsdRQMD7p67sU64QVChbXoW-uCHsFNSYjGgEAFtYqJzI6Wogey=w1200|https://lh3.googleusercontent.com/pw/AP1GczPta8vk3heioOoknCtawQP1io9BOF8BIn-dp_ugWsntysvT3t4SMTcdrssJHF-lUwK0QemF_N74mLwKchVvlTghUf_PBajX2o4439XW9BHwb2P3szuS=w1200|https://lh3.googleusercontent.com/pw/AP1GczNXRCrJsufX9foBxqsR3u2UYTjWLEVYOQ8VLcpR3vBGSqY98is_CsdHmDZKpvfQ41O_IJPOXZ6QD0ltrMdbNzt8gfQPdmQcPGQtgSEGhIlkyhY808UE=w1200|https://lh3.googleusercontent.com/pw/AP1GczNiqvENu55f-mzWR3s5CCKp3sgZ03WIMgDrvmvF5BEO0hQ65U0eY2sGYnZxZTaPVCvl5jq1ZlqyeDdCW8ns2PsMLYzZDCSM90eW5NqPKAjl-BPSOOZq=w1200|https://lh3.googleusercontent.com/pw/AP1GczM0Pb7wTAgURWrlilNSBRc73bJiWabYz-dduK5WaqAa9v7Hc-HgM6voGQIXru1gQJtXlu2-EhgT-H1JXfW6-h_s__YH8nLzmtdXSCR3vNLdH-ajlGz7=w1200|https://lh3.googleusercontent.com/pw/AP1GczPCTUAwWWJGByT5MeM3181qF_fPl9YORsYKNZC_u-PPwJycgm6cCoLGYX1RcNdixfBvpycNWTP9P6rhQxkPHIlO9sqxI6tXeSoVaXgHDC_9RHED3LSK=w1200|https://lh3.googleusercontent.com/pw/AP1GczO73jevgS2Ga8mt5txP7qYXspyRT4w6RTLH1zp-wwOmpTTJ571U0RQRgINNv1rn2dNWEMhEHJwJgr_dT4SlhICWFHSrp3C8ky9eLE3_6kk9SrsuVM9t=w1200|https://lh3.googleusercontent.com/pw/AP1GczNfWOHYgnS-MNlYgPOR7Ur_hCIJZ9GKCuMgIj4UzUlaLWjB-7YIPPyRpMaYMSShWW-o-Fj4ulop1vqbiadbhQ-ijbGyHcxKk0efNuxG9SkqDdtpkc3G=w1200|https://lh3.googleusercontent.com/pw/AP1GczObpDSuq68F_37aIbh2o0RSrRwVXa5F8hlxYPeiUVIyGDi5YneKEr8Em4zCY7YMpCGdpzQSKK7_wHH1FeMcGJH7QW_A2hpQ0SB_ifpmUg2Bnxnnn-LD=w1200|https://lh3.googleusercontent.com/pw/AP1GczP76nvlthkK5urSL6eJeq98tyNx-25KR5PXCEN1pyLcJ00UhJBQZnZiV3YJk1ARNgtc3ox6yHdT4nIj1Pnw3h_2sefn1pKEaQ8Oaxbom7wMgGOAZEE8=w1200|https://lh3.googleusercontent.com/pw/AP1GczPqv6Nnmjut2PswSZw0sNXc8f3uH9mnlschkRhnjZyWY4_b5y4cpgY0F6UL9A2FL_w5wt4zCTXQ3MXaxq-ZuMboGUiF48spH5_Whdl8mXfFkYr2dIP9=w1200|https://lh3.googleusercontent.com/pw/AP1GczOII5letohr8lx9Rzwk7_5xfzuTX62TNEKp9iK4aG0t2t96KIHMXVVLT-BSs6PINnQ-jYwcTcnEJRptX4xWqPi5uLs2eBPa1J46RMsUW_x0aXpHAQ6W=w1200</v>
      </c>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row>
    <row r="109">
      <c r="A109" s="87" t="str">
        <f>IFERROR(__xludf.DUMMYFUNCTION("""COMPUTED_VALUE"""),"1667")</f>
        <v>1667</v>
      </c>
      <c r="B109" s="46" t="str">
        <f>IFERROR(__xludf.DUMMYFUNCTION("""COMPUTED_VALUE"""),"Casa en barrio Alcalá Berdez")</f>
        <v>Casa en barrio Alcalá Berdez</v>
      </c>
      <c r="C109" s="46" t="str">
        <f>IFERROR(__xludf.DUMMYFUNCTION("""COMPUTED_VALUE"""),"Casa")</f>
        <v>Casa</v>
      </c>
      <c r="D109" s="46" t="str">
        <f>IFERROR(__xludf.DUMMYFUNCTION("""COMPUTED_VALUE"""),"Alcalá Berdez")</f>
        <v>Alcalá Berdez</v>
      </c>
      <c r="E109" s="90"/>
      <c r="F109" s="90">
        <f>IFERROR(__xludf.DUMMYFUNCTION("""COMPUTED_VALUE"""),2.2E8)</f>
        <v>220000000</v>
      </c>
      <c r="G109" s="46" t="str">
        <f>IFERROR(__xludf.DUMMYFUNCTION("""COMPUTED_VALUE"""),"$200'000.000 a $300'000.000")</f>
        <v>$200'000.000 a $300'000.000</v>
      </c>
      <c r="H109" s="46"/>
      <c r="I109" s="46"/>
      <c r="J109" s="46" t="str">
        <f>IFERROR(__xludf.DUMMYFUNCTION("""COMPUTED_VALUE"""),"Occidente")</f>
        <v>Occidente</v>
      </c>
      <c r="K109" s="87" t="str">
        <f>IFERROR(__xludf.DUMMYFUNCTION("""COMPUTED_VALUE"""),"1")</f>
        <v>1</v>
      </c>
      <c r="L109" s="46">
        <f>IFERROR(__xludf.DUMMYFUNCTION("""COMPUTED_VALUE"""),3.0)</f>
        <v>3</v>
      </c>
      <c r="M109" s="46"/>
      <c r="N109" s="46">
        <f>IFERROR(__xludf.DUMMYFUNCTION("""COMPUTED_VALUE"""),3.0)</f>
        <v>3</v>
      </c>
      <c r="O109" s="46">
        <f>IFERROR(__xludf.DUMMYFUNCTION("""COMPUTED_VALUE"""),1.0)</f>
        <v>1</v>
      </c>
      <c r="P109" s="46">
        <f>IFERROR(__xludf.DUMMYFUNCTION("""COMPUTED_VALUE"""),1.0)</f>
        <v>1</v>
      </c>
      <c r="Q109" s="92">
        <f>IFERROR(__xludf.DUMMYFUNCTION("""COMPUTED_VALUE"""),115.0)</f>
        <v>115</v>
      </c>
      <c r="R109" s="92">
        <f>IFERROR(__xludf.DUMMYFUNCTION("""COMPUTED_VALUE"""),115.0)</f>
        <v>115</v>
      </c>
      <c r="S109" s="87" t="str">
        <f>IFERROR(__xludf.DUMMYFUNCTION("""COMPUTED_VALUE""")," ")</f>
        <v> </v>
      </c>
      <c r="T109" s="46" t="str">
        <f>IFERROR(__xludf.DUMMYFUNCTION("""COMPUTED_VALUE"""),"Neiva")</f>
        <v>Neiva</v>
      </c>
      <c r="U109" s="87" t="str">
        <f>IFERROR(__xludf.DUMMYFUNCTION("""COMPUTED_VALUE"""),"3")</f>
        <v>3</v>
      </c>
      <c r="V109" s="46" t="str">
        <f>IFERROR(__xludf.DUMMYFUNCTION("""COMPUTED_VALUE"""),"Esquinera")</f>
        <v>Esquinera</v>
      </c>
      <c r="W109" s="46"/>
      <c r="X109" s="46">
        <f>IFERROR(__xludf.DUMMYFUNCTION("""COMPUTED_VALUE"""),0.0)</f>
        <v>0</v>
      </c>
      <c r="Y109" s="46" t="str">
        <f>IFERROR(__xludf.DUMMYFUNCTION("""COMPUTED_VALUE"""),"No tiene")</f>
        <v>No tiene</v>
      </c>
      <c r="Z109" s="90" t="str">
        <f>IFERROR(__xludf.DUMMYFUNCTION("""COMPUTED_VALUE"""),"No aplica")</f>
        <v>No aplica</v>
      </c>
      <c r="AA109" s="33" t="str">
        <f>IFERROR(__xludf.DUMMYFUNCTION("""COMPUTED_VALUE"""),"No aplica")</f>
        <v>No aplica</v>
      </c>
      <c r="AB109" s="96" t="str">
        <f>IFERROR(__xludf.DUMMYFUNCTION("""COMPUTED_VALUE"""),"https://photos.google.com/share/AF1QipPOStZNEuG6CxtIeuwShcFiOkR6KtMKNi4j0VrAfCI3dg7UCXrUZjoVEBa-RGG-0Q?key=elVSMVlRczZ3RFlUU2hSY051QzJTTjR6aF91b0pR")</f>
        <v>https://photos.google.com/share/AF1QipPOStZNEuG6CxtIeuwShcFiOkR6KtMKNi4j0VrAfCI3dg7UCXrUZjoVEBa-RGG-0Q?key=elVSMVlRczZ3RFlUU2hSY051QzJTTjR6aF91b0pR</v>
      </c>
      <c r="AC109" s="46" t="str">
        <f>IFERROR(__xludf.DUMMYFUNCTION("""COMPUTED_VALUE"""),"Se vende casa en Berdez con un área construida de 114.80 M2 consta de: Sala comedor, garaje cubierto, cocina, 3 habitaciones, baño, estar de alcobas, patio enrejado y zona de lavandería")</f>
        <v>Se vende casa en Berdez con un área construida de 114.80 M2 consta de: Sala comedor, garaje cubierto, cocina, 3 habitaciones, baño, estar de alcobas, patio enrejado y zona de lavandería</v>
      </c>
      <c r="AD109" s="46"/>
      <c r="AE109" s="46"/>
      <c r="AF109" s="46" t="str">
        <f>IFERROR(__xludf.DUMMYFUNCTION("""COMPUTED_VALUE"""),"básica")</f>
        <v>básica</v>
      </c>
      <c r="AG109" s="46"/>
      <c r="AH109" s="46" t="str">
        <f>IFERROR(__xludf.DUMMYFUNCTION("""COMPUTED_VALUE"""),"Aliado")</f>
        <v>Aliado</v>
      </c>
      <c r="AI109" s="92" t="str">
        <f>IFERROR(__xludf.DUMMYFUNCTION("""COMPUTED_VALUE"""),"https://lh3.googleusercontent.com/pw/AP1GczOnCRBtvn2xQ2OpOWwTQKwCdRlGk4OYOcxdSdX0N2G2YZIQFa91jectDZCVjvm96Fkw-ouGm-ZHVS_Yo-ZZAT1rAfulk2uWgC3jS9aF2cV5SHjqQmRW=w1200|https://lh3.googleusercontent.com/pw/AP1GczOxbZHG_qrRxaOLKH1BOoGwjlLaZeKyFVbcrVRkiTWvMURLJ8"&amp;"X1z-KbruDDbZ_ejmdiX4h5entBi1LjusLvvSABaZTMgIuGypROqE3SxZOQUJbOqzTA=w1200|https://lh3.googleusercontent.com/pw/AP1GczMiae_RgVf811zdrnKaohBZyEgWXxpK1WEbScIaONUI2N1rg7erqEM2frFXAXw0BFGE3Gn89wE96_HyUYZ0HNhWPVoBHzyzqH4UVe6-jnKQlAZDHlO8=w1200|https://lh3.google"&amp;"usercontent.com/pw/AP1GczM3mfMRhz7uTGIz7QlWT-6tvDw0DyZ0J6TBLyOXPOcCspOBsdM4qKkJ6yLgUvZy2Y9pf_1AB1oRY2Jhf3grAcnzseCNP6PEoF-QJGWCKDCUXzDDgnaC=w1200")</f>
        <v>https://lh3.googleusercontent.com/pw/AP1GczOnCRBtvn2xQ2OpOWwTQKwCdRlGk4OYOcxdSdX0N2G2YZIQFa91jectDZCVjvm96Fkw-ouGm-ZHVS_Yo-ZZAT1rAfulk2uWgC3jS9aF2cV5SHjqQmRW=w1200|https://lh3.googleusercontent.com/pw/AP1GczOxbZHG_qrRxaOLKH1BOoGwjlLaZeKyFVbcrVRkiTWvMURLJ8X1z-KbruDDbZ_ejmdiX4h5entBi1LjusLvvSABaZTMgIuGypROqE3SxZOQUJbOqzTA=w1200|https://lh3.googleusercontent.com/pw/AP1GczMiae_RgVf811zdrnKaohBZyEgWXxpK1WEbScIaONUI2N1rg7erqEM2frFXAXw0BFGE3Gn89wE96_HyUYZ0HNhWPVoBHzyzqH4UVe6-jnKQlAZDHlO8=w1200|https://lh3.googleusercontent.com/pw/AP1GczM3mfMRhz7uTGIz7QlWT-6tvDw0DyZ0J6TBLyOXPOcCspOBsdM4qKkJ6yLgUvZy2Y9pf_1AB1oRY2Jhf3grAcnzseCNP6PEoF-QJGWCKDCUXzDDgnaC=w1200</v>
      </c>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row>
    <row r="110">
      <c r="A110" s="87" t="str">
        <f>IFERROR(__xludf.DUMMYFUNCTION("""COMPUTED_VALUE"""),"1772")</f>
        <v>1772</v>
      </c>
      <c r="B110" s="46" t="str">
        <f>IFERROR(__xludf.DUMMYFUNCTION("""COMPUTED_VALUE"""),"Aparta estudio en edificio - Oriente")</f>
        <v>Aparta estudio en edificio - Oriente</v>
      </c>
      <c r="C110" s="46" t="str">
        <f>IFERROR(__xludf.DUMMYFUNCTION("""COMPUTED_VALUE"""),"Apartamento")</f>
        <v>Apartamento</v>
      </c>
      <c r="D110" s="46" t="str">
        <f>IFERROR(__xludf.DUMMYFUNCTION("""COMPUTED_VALUE"""),"Las Brisas")</f>
        <v>Las Brisas</v>
      </c>
      <c r="E110" s="46"/>
      <c r="F110" s="90">
        <f>IFERROR(__xludf.DUMMYFUNCTION("""COMPUTED_VALUE"""),1.9E8)</f>
        <v>190000000</v>
      </c>
      <c r="G110" s="46" t="str">
        <f>IFERROR(__xludf.DUMMYFUNCTION("""COMPUTED_VALUE"""),"$100'000.000 a $200'000.000")</f>
        <v>$100'000.000 a $200'000.000</v>
      </c>
      <c r="H110" s="46"/>
      <c r="I110" s="46"/>
      <c r="J110" s="46" t="str">
        <f>IFERROR(__xludf.DUMMYFUNCTION("""COMPUTED_VALUE"""),"Oriente")</f>
        <v>Oriente</v>
      </c>
      <c r="K110" s="87" t="str">
        <f>IFERROR(__xludf.DUMMYFUNCTION("""COMPUTED_VALUE"""),"7")</f>
        <v>7</v>
      </c>
      <c r="L110" s="46">
        <f>IFERROR(__xludf.DUMMYFUNCTION("""COMPUTED_VALUE"""),1.0)</f>
        <v>1</v>
      </c>
      <c r="M110" s="46"/>
      <c r="N110" s="46">
        <f>IFERROR(__xludf.DUMMYFUNCTION("""COMPUTED_VALUE"""),1.0)</f>
        <v>1</v>
      </c>
      <c r="O110" s="46">
        <f>IFERROR(__xludf.DUMMYFUNCTION("""COMPUTED_VALUE"""),1.0)</f>
        <v>1</v>
      </c>
      <c r="P110" s="46">
        <f>IFERROR(__xludf.DUMMYFUNCTION("""COMPUTED_VALUE"""),5.0)</f>
        <v>5</v>
      </c>
      <c r="Q110" s="92">
        <f>IFERROR(__xludf.DUMMYFUNCTION("""COMPUTED_VALUE"""),42.0)</f>
        <v>42</v>
      </c>
      <c r="R110" s="92">
        <f>IFERROR(__xludf.DUMMYFUNCTION("""COMPUTED_VALUE"""),42.0)</f>
        <v>42</v>
      </c>
      <c r="S110" s="87" t="str">
        <f>IFERROR(__xludf.DUMMYFUNCTION("""COMPUTED_VALUE""")," ")</f>
        <v> </v>
      </c>
      <c r="T110" s="46" t="str">
        <f>IFERROR(__xludf.DUMMYFUNCTION("""COMPUTED_VALUE"""),"Neiva")</f>
        <v>Neiva</v>
      </c>
      <c r="U110" s="87" t="str">
        <f>IFERROR(__xludf.DUMMYFUNCTION("""COMPUTED_VALUE"""),"4")</f>
        <v>4</v>
      </c>
      <c r="V110" s="46" t="str">
        <f>IFERROR(__xludf.DUMMYFUNCTION("""COMPUTED_VALUE"""),"5to.")</f>
        <v>5to.</v>
      </c>
      <c r="W110" s="46"/>
      <c r="X110" s="46">
        <f>IFERROR(__xludf.DUMMYFUNCTION("""COMPUTED_VALUE"""),1.0)</f>
        <v>1</v>
      </c>
      <c r="Y110" s="46" t="str">
        <f>IFERROR(__xludf.DUMMYFUNCTION("""COMPUTED_VALUE"""),"Social")</f>
        <v>Social</v>
      </c>
      <c r="Z110" s="90"/>
      <c r="AA110" s="33" t="str">
        <f>IFERROR(__xludf.DUMMYFUNCTION("""COMPUTED_VALUE"""),"No aplica")</f>
        <v>No aplica</v>
      </c>
      <c r="AB110" s="96" t="str">
        <f>IFERROR(__xludf.DUMMYFUNCTION("""COMPUTED_VALUE"""),"https://photos.app.goo.gl/dh3PZnvt2V7tRhiG6")</f>
        <v>https://photos.app.goo.gl/dh3PZnvt2V7tRhiG6</v>
      </c>
      <c r="AC110" s="46" t="str">
        <f>IFERROR(__xludf.DUMMYFUNCTION("""COMPUTED_VALUE"""),"Aparta estudio bien ubicado.")</f>
        <v>Aparta estudio bien ubicado.</v>
      </c>
      <c r="AD110" s="46" t="str">
        <f>IFERROR(__xludf.DUMMYFUNCTION("""COMPUTED_VALUE"""),"Con excelentes acabados,tipo minimalista.")</f>
        <v>Con excelentes acabados,tipo minimalista.</v>
      </c>
      <c r="AE110" s="46"/>
      <c r="AF110" s="46" t="str">
        <f>IFERROR(__xludf.DUMMYFUNCTION("""COMPUTED_VALUE"""),"integral")</f>
        <v>integral</v>
      </c>
      <c r="AG110" s="46"/>
      <c r="AH110" s="46" t="str">
        <f>IFERROR(__xludf.DUMMYFUNCTION("""COMPUTED_VALUE"""),"Aliado")</f>
        <v>Aliado</v>
      </c>
      <c r="AI110" s="92" t="str">
        <f>IFERROR(__xludf.DUMMYFUNCTION("""COMPUTED_VALUE"""),"https://lh3.googleusercontent.com/pw/AP1GczNKLT6OMFw4nXMhE6RYZfYwwWHL36NZyBntdpWg4Xk3bYVlKCFx31MeZVDGtQYDVJ-4q0DtBneXL-IKOusBV_9DqUZMAhwWjIwRA9WzCp_MCYwR1-Pp=w1200|https://lh3.googleusercontent.com/pw/AP1GczPCv1h027yZxNWjZN6mATMRqIqoH_bJhIDHzVZH2LAiO_-hEP"&amp;"vIPFqMUVkGfm35rDjOgMaSyluWtfJSD9z8b-jO_Io-ReHWuvHGbwEkkTrZwxYjQlQ6=w1200|https://lh3.googleusercontent.com/pw/AP1GczMJmaYI8LB9y4cm_OIto7EKxDUk3FHCDmXbwK7xGnNHBpuRXev4ecQEGMpnvXSp91imcNQswWDyaSM1lvbnpAlkzo2SWVCr261xlKOsrNCo8fWjzw5_=w1200|https://lh3.google"&amp;"usercontent.com/pw/AP1GczOvfM1AxLwSRQxCD_FFAJiqE60yAIc9GWV_2mlvzWvo4WWKXJZ2t581xVyL6ipujR7Gcu0w4Sw2p-9yJzpNAeHmGx61E6_XO-FYzItULddhoWn8-250=w1200|https://lh3.googleusercontent.com/pw/AP1GczMcp6Zs0S9LKg7DCMIsJeXMk3bLesY3dznGXMXJlFb8VSyE5nbjMQFpmjfFj47UEvqo"&amp;"DaQCsWkydWUc8fkvilhChQVkuOGPUAdtKEFlFTndLszt1cGo=w1200|https://lh3.googleusercontent.com/pw/AP1GczNvVJWU_Naq2aY-fpra5kNPUTgOE9CPlwZvGbdw79VU39TZqUc1CoVNmxPRgm2FLSNP2bKpzL_KfEJ-rm15HwGn5jAigL7B-bLFiJ-7LrnQFIYt8pzf=w1200|https://lh3.googleusercontent.com/pw"&amp;"/AP1GczOzc5r5UThvyOW2kBKyuHJ_Cl6LXnueTBAo5Y0ddKhW2sYJguJFdCyGwA3GcezC71JPzAFB-PCd_uhNLc_O_ifJPdNe4T2QcIZV9djpqUDafkViXp0q=w1200|https://lh3.googleusercontent.com/pw/AP1GczMRXICa0RWEW6E_sZ7y7Tr-fRJND3rre0oBfBZRXNajARvthzf0gA_XX9zr5XuL-50XjYMLS_ZL2p9zKESAMY"&amp;"FZeSmCzK7t5J_QEtZLcux9Z66Gp8e3=w1200|https://lh3.googleusercontent.com/pw/AP1GczMIX3l68SI985TCDwJhXXyrgSa8n_2hy3OSHwOAWFC6dUFN9R1kB1-Bhn4OGjt8fuPljkE06h7J4kDZXOoM6BC6Xg2wgfKBV16mHytiAxfKDW2Cy4Di=w1200|https://lh3.googleusercontent.com/pw/AP1GczMrk6J21eQVS"&amp;"iujFLBBuHiiDxk_hqinNgbL2jQdRXV4aPQrnWCwSh00h0Tfm4XClJolcLFp03pCrW2Z0Pn0yeP-A1ctfhQLCzsMDlF9fLvtwvzvgMh1=w1200|https://lh3.googleusercontent.com/pw/AP1GczPgaXJUaTn-2nUQhxvZq7_fmoP1X36GFs5hYa-2bwaYfZc9qTdgzTRrJeoES0w2_IGF5KEzx0MT89m6nYTrYTUShajUDYm3N-gWp-2E"&amp;"G7_x7goRVIW-=w1200|https://lh3.googleusercontent.com/pw/AP1GczPTlq4vuOZhAfyrk0Xm_8uHupzevGX2RvBtsBy1q_f0a-gQOxBylsZh6NpsAAEj1LDvO1HgGI_FpZe3dLSYykERB8AW_QUxi5J69hsVxK7tb4sDIURP=w1200|https://lh3.googleusercontent.com/pw/AP1GczNv357pDqO4tzyzlzvE27S8057uDD-"&amp;"2-uMEXkl5SfLOX7uSOGvMQETEuWehALpnFDPJ89IpbamrlCSewh-EtRW35KrL0tFHsoGwYU7rrFNcv3b-psnd=w1200|https://lh3.googleusercontent.com/pw/AP1GczPZwxk2jKJy-x6SFVZbVTYfK_r7YTunLDXEPmOysyqtlHyJHiDAqo43cBrKGTx3I4JHDf13CbsXu34nEnpM632wfXhyVzzfuj7jeNT1L37tQRGZr5Rh=w1200"&amp;"|https://lh3.googleusercontent.com/pw/AP1GczPuJMKDXjlNGoVCSiDAEuXdiLs2_tX8Dnd3YzIdMJk-o3Md9KSDRM7cXotSdXK3kfBB5lURxswZNPVPbU7JPx4eob49CnnM1jbkr_baQhh4KyUyEYId=w1200|https://lh3.googleusercontent.com/pw/AP1GczMxYRLoiYqTytIykuykX-wvvM-ZeAdIjSxTg5mfl4VLb7cGH"&amp;"3TDUdWj0rV1aN6ONqpHUr4Z2UEkWFtP68E4QYeD77SdR2SpHMld7qC7pqAa0qxxQu0E=w1200|https://lh3.googleusercontent.com/pw/AP1GczMWUHQ3UAGldJH0WuRoy3rP1JeO8h-x3Vl604PJ_VZtd8-wzwJKErxCVgxJf_rdcBXJZAb6TA742OmdsCD1RADw76SbhhoUHxsnT118isocWvsDbLU4=w1200|https://lh3.googl"&amp;"eusercontent.com/pw/AP1GczO-JjdRs6Y5nUt1N6QXfTIkE1nEa4h6YM3Q3Fc8uhs713MS3Qoxio5zaRJlZQmCwQeV7vwR3hEDnZmmjzgFFEHKu6k614KjyRE_4AXeqBiNGJkbtE85=w1200|https://lh3.googleusercontent.com/pw/AP1GczObv_H3p-wmEX6VdC3J9yPKyiyyQgK6vTsDmoa9dGuLJU8VCRLXhuxA0A692tOfLJM"&amp;"OT7v6csjIqq7gdxSN69Iy5iG3rhbUoViv1XFa_zDslFH4Hh0c=w1200|https://lh3.googleusercontent.com/pw/AP1GczP4vLNgLIsHhAVIUNJifqA6Qv6KYcpc64H7q4wJm8KQUycmHSwYSJ9WVtgYnQGVvYqc7768BMnbJUSOy2itBPM0h0hqhBM2yD77-lcjROquYhaxzOG2=w1200")</f>
        <v>https://lh3.googleusercontent.com/pw/AP1GczNKLT6OMFw4nXMhE6RYZfYwwWHL36NZyBntdpWg4Xk3bYVlKCFx31MeZVDGtQYDVJ-4q0DtBneXL-IKOusBV_9DqUZMAhwWjIwRA9WzCp_MCYwR1-Pp=w1200|https://lh3.googleusercontent.com/pw/AP1GczPCv1h027yZxNWjZN6mATMRqIqoH_bJhIDHzVZH2LAiO_-hEPvIPFqMUVkGfm35rDjOgMaSyluWtfJSD9z8b-jO_Io-ReHWuvHGbwEkkTrZwxYjQlQ6=w1200|https://lh3.googleusercontent.com/pw/AP1GczMJmaYI8LB9y4cm_OIto7EKxDUk3FHCDmXbwK7xGnNHBpuRXev4ecQEGMpnvXSp91imcNQswWDyaSM1lvbnpAlkzo2SWVCr261xlKOsrNCo8fWjzw5_=w1200|https://lh3.googleusercontent.com/pw/AP1GczOvfM1AxLwSRQxCD_FFAJiqE60yAIc9GWV_2mlvzWvo4WWKXJZ2t581xVyL6ipujR7Gcu0w4Sw2p-9yJzpNAeHmGx61E6_XO-FYzItULddhoWn8-250=w1200|https://lh3.googleusercontent.com/pw/AP1GczMcp6Zs0S9LKg7DCMIsJeXMk3bLesY3dznGXMXJlFb8VSyE5nbjMQFpmjfFj47UEvqoDaQCsWkydWUc8fkvilhChQVkuOGPUAdtKEFlFTndLszt1cGo=w1200|https://lh3.googleusercontent.com/pw/AP1GczNvVJWU_Naq2aY-fpra5kNPUTgOE9CPlwZvGbdw79VU39TZqUc1CoVNmxPRgm2FLSNP2bKpzL_KfEJ-rm15HwGn5jAigL7B-bLFiJ-7LrnQFIYt8pzf=w1200|https://lh3.googleusercontent.com/pw/AP1GczOzc5r5UThvyOW2kBKyuHJ_Cl6LXnueTBAo5Y0ddKhW2sYJguJFdCyGwA3GcezC71JPzAFB-PCd_uhNLc_O_ifJPdNe4T2QcIZV9djpqUDafkViXp0q=w1200|https://lh3.googleusercontent.com/pw/AP1GczMRXICa0RWEW6E_sZ7y7Tr-fRJND3rre0oBfBZRXNajARvthzf0gA_XX9zr5XuL-50XjYMLS_ZL2p9zKESAMYFZeSmCzK7t5J_QEtZLcux9Z66Gp8e3=w1200|https://lh3.googleusercontent.com/pw/AP1GczMIX3l68SI985TCDwJhXXyrgSa8n_2hy3OSHwOAWFC6dUFN9R1kB1-Bhn4OGjt8fuPljkE06h7J4kDZXOoM6BC6Xg2wgfKBV16mHytiAxfKDW2Cy4Di=w1200|https://lh3.googleusercontent.com/pw/AP1GczMrk6J21eQVSiujFLBBuHiiDxk_hqinNgbL2jQdRXV4aPQrnWCwSh00h0Tfm4XClJolcLFp03pCrW2Z0Pn0yeP-A1ctfhQLCzsMDlF9fLvtwvzvgMh1=w1200|https://lh3.googleusercontent.com/pw/AP1GczPgaXJUaTn-2nUQhxvZq7_fmoP1X36GFs5hYa-2bwaYfZc9qTdgzTRrJeoES0w2_IGF5KEzx0MT89m6nYTrYTUShajUDYm3N-gWp-2EG7_x7goRVIW-=w1200|https://lh3.googleusercontent.com/pw/AP1GczPTlq4vuOZhAfyrk0Xm_8uHupzevGX2RvBtsBy1q_f0a-gQOxBylsZh6NpsAAEj1LDvO1HgGI_FpZe3dLSYykERB8AW_QUxi5J69hsVxK7tb4sDIURP=w1200|https://lh3.googleusercontent.com/pw/AP1GczNv357pDqO4tzyzlzvE27S8057uDD-2-uMEXkl5SfLOX7uSOGvMQETEuWehALpnFDPJ89IpbamrlCSewh-EtRW35KrL0tFHsoGwYU7rrFNcv3b-psnd=w1200|https://lh3.googleusercontent.com/pw/AP1GczPZwxk2jKJy-x6SFVZbVTYfK_r7YTunLDXEPmOysyqtlHyJHiDAqo43cBrKGTx3I4JHDf13CbsXu34nEnpM632wfXhyVzzfuj7jeNT1L37tQRGZr5Rh=w1200|https://lh3.googleusercontent.com/pw/AP1GczPuJMKDXjlNGoVCSiDAEuXdiLs2_tX8Dnd3YzIdMJk-o3Md9KSDRM7cXotSdXK3kfBB5lURxswZNPVPbU7JPx4eob49CnnM1jbkr_baQhh4KyUyEYId=w1200|https://lh3.googleusercontent.com/pw/AP1GczMxYRLoiYqTytIykuykX-wvvM-ZeAdIjSxTg5mfl4VLb7cGH3TDUdWj0rV1aN6ONqpHUr4Z2UEkWFtP68E4QYeD77SdR2SpHMld7qC7pqAa0qxxQu0E=w1200|https://lh3.googleusercontent.com/pw/AP1GczMWUHQ3UAGldJH0WuRoy3rP1JeO8h-x3Vl604PJ_VZtd8-wzwJKErxCVgxJf_rdcBXJZAb6TA742OmdsCD1RADw76SbhhoUHxsnT118isocWvsDbLU4=w1200|https://lh3.googleusercontent.com/pw/AP1GczO-JjdRs6Y5nUt1N6QXfTIkE1nEa4h6YM3Q3Fc8uhs713MS3Qoxio5zaRJlZQmCwQeV7vwR3hEDnZmmjzgFFEHKu6k614KjyRE_4AXeqBiNGJkbtE85=w1200|https://lh3.googleusercontent.com/pw/AP1GczObv_H3p-wmEX6VdC3J9yPKyiyyQgK6vTsDmoa9dGuLJU8VCRLXhuxA0A692tOfLJMOT7v6csjIqq7gdxSN69Iy5iG3rhbUoViv1XFa_zDslFH4Hh0c=w1200|https://lh3.googleusercontent.com/pw/AP1GczP4vLNgLIsHhAVIUNJifqA6Qv6KYcpc64H7q4wJm8KQUycmHSwYSJ9WVtgYnQGVvYqc7768BMnbJUSOy2itBPM0h0hqhBM2yD77-lcjROquYhaxzOG2=w1200</v>
      </c>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row>
    <row r="111">
      <c r="A111" s="87" t="str">
        <f>IFERROR(__xludf.DUMMYFUNCTION("""COMPUTED_VALUE"""),"1756")</f>
        <v>1756</v>
      </c>
      <c r="B111" s="46" t="str">
        <f>IFERROR(__xludf.DUMMYFUNCTION("""COMPUTED_VALUE"""),"Apartamento en conjunto Residencial Encenillo Reservado - Sur")</f>
        <v>Apartamento en conjunto Residencial Encenillo Reservado - Sur</v>
      </c>
      <c r="C111" s="46" t="str">
        <f>IFERROR(__xludf.DUMMYFUNCTION("""COMPUTED_VALUE"""),"Apartamento en conjunto")</f>
        <v>Apartamento en conjunto</v>
      </c>
      <c r="D111" s="46" t="str">
        <f>IFERROR(__xludf.DUMMYFUNCTION("""COMPUTED_VALUE"""),"Manzanares")</f>
        <v>Manzanares</v>
      </c>
      <c r="E111" s="90" t="str">
        <f>IFERROR(__xludf.DUMMYFUNCTION("""COMPUTED_VALUE"""),"Conjunto Residencial Encenillo Reservado")</f>
        <v>Conjunto Residencial Encenillo Reservado</v>
      </c>
      <c r="F111" s="90">
        <f>IFERROR(__xludf.DUMMYFUNCTION("""COMPUTED_VALUE"""),1.85E8)</f>
        <v>185000000</v>
      </c>
      <c r="G111" s="46" t="str">
        <f>IFERROR(__xludf.DUMMYFUNCTION("""COMPUTED_VALUE"""),"$100'000.000 a $200'000.000")</f>
        <v>$100'000.000 a $200'000.000</v>
      </c>
      <c r="H111" s="46"/>
      <c r="I111" s="46"/>
      <c r="J111" s="46" t="str">
        <f>IFERROR(__xludf.DUMMYFUNCTION("""COMPUTED_VALUE"""),"Sur")</f>
        <v>Sur</v>
      </c>
      <c r="K111" s="87" t="str">
        <f>IFERROR(__xludf.DUMMYFUNCTION("""COMPUTED_VALUE"""),"6")</f>
        <v>6</v>
      </c>
      <c r="L111" s="46">
        <f>IFERROR(__xludf.DUMMYFUNCTION("""COMPUTED_VALUE"""),3.0)</f>
        <v>3</v>
      </c>
      <c r="M111" s="46"/>
      <c r="N111" s="46">
        <f>IFERROR(__xludf.DUMMYFUNCTION("""COMPUTED_VALUE"""),3.0)</f>
        <v>3</v>
      </c>
      <c r="O111" s="46">
        <f>IFERROR(__xludf.DUMMYFUNCTION("""COMPUTED_VALUE"""),1.0)</f>
        <v>1</v>
      </c>
      <c r="P111" s="46">
        <f>IFERROR(__xludf.DUMMYFUNCTION("""COMPUTED_VALUE"""),3.0)</f>
        <v>3</v>
      </c>
      <c r="Q111" s="92">
        <f>IFERROR(__xludf.DUMMYFUNCTION("""COMPUTED_VALUE"""),70.15)</f>
        <v>70.15</v>
      </c>
      <c r="R111" s="92">
        <f>IFERROR(__xludf.DUMMYFUNCTION("""COMPUTED_VALUE"""),70.15)</f>
        <v>70.15</v>
      </c>
      <c r="S111" s="87" t="str">
        <f>IFERROR(__xludf.DUMMYFUNCTION("""COMPUTED_VALUE""")," ")</f>
        <v> </v>
      </c>
      <c r="T111" s="46" t="str">
        <f>IFERROR(__xludf.DUMMYFUNCTION("""COMPUTED_VALUE"""),"Neiva")</f>
        <v>Neiva</v>
      </c>
      <c r="U111" s="87" t="str">
        <f>IFERROR(__xludf.DUMMYFUNCTION("""COMPUTED_VALUE"""),"3")</f>
        <v>3</v>
      </c>
      <c r="V111" s="46" t="str">
        <f>IFERROR(__xludf.DUMMYFUNCTION("""COMPUTED_VALUE"""),"3er.")</f>
        <v>3er.</v>
      </c>
      <c r="W111" s="46"/>
      <c r="X111" s="46">
        <f>IFERROR(__xludf.DUMMYFUNCTION("""COMPUTED_VALUE"""),3.0)</f>
        <v>3</v>
      </c>
      <c r="Y111" s="46" t="str">
        <f>IFERROR(__xludf.DUMMYFUNCTION("""COMPUTED_VALUE"""),"Social")</f>
        <v>Social</v>
      </c>
      <c r="Z111" s="90"/>
      <c r="AA111" s="33" t="str">
        <f>IFERROR(__xludf.DUMMYFUNCTION("""COMPUTED_VALUE"""),"No aplica")</f>
        <v>No aplica</v>
      </c>
      <c r="AB111" s="96" t="str">
        <f>IFERROR(__xludf.DUMMYFUNCTION("""COMPUTED_VALUE"""),"https://photos.app.goo.gl/b13pYTpZtLNZTUBz8")</f>
        <v>https://photos.app.goo.gl/b13pYTpZtLNZTUBz8</v>
      </c>
      <c r="AC111" s="46" t="str">
        <f>IFERROR(__xludf.DUMMYFUNCTION("""COMPUTED_VALUE"""),"Conjunto Residencial Encenillo Reservado – Barrio Encenillo Estrato 3 | Área: 70.15 m² Este hermoso apartamento te ofrece todo lo que necesitas: Sala – Comedor Cocina integral moderna 3 habitaciones (la principal con baño privado , Zona de lavandería Baño"&amp;" auxiliar Parqueadero comunal ¡Con una linda vista al interior del conjunto!")</f>
        <v>Conjunto Residencial Encenillo Reservado – Barrio Encenillo Estrato 3 | Área: 70.15 m² Este hermoso apartamento te ofrece todo lo que necesitas: Sala – Comedor Cocina integral moderna 3 habitaciones (la principal con baño privado , Zona de lavandería Baño auxiliar Parqueadero comunal ¡Con una linda vista al interior del conjunto!</v>
      </c>
      <c r="AD111" s="46" t="str">
        <f>IFERROR(__xludf.DUMMYFUNCTION("""COMPUTED_VALUE"""),"Excelente vista hacia el interior. Conjunto ubicado en el sector Neiva la nueva.")</f>
        <v>Excelente vista hacia el interior. Conjunto ubicado en el sector Neiva la nueva.</v>
      </c>
      <c r="AE111" s="46"/>
      <c r="AF111" s="46" t="str">
        <f>IFERROR(__xludf.DUMMYFUNCTION("""COMPUTED_VALUE"""),"integral")</f>
        <v>integral</v>
      </c>
      <c r="AG111" s="46"/>
      <c r="AH111" s="46" t="str">
        <f>IFERROR(__xludf.DUMMYFUNCTION("""COMPUTED_VALUE"""),"Aliado")</f>
        <v>Aliado</v>
      </c>
      <c r="AI111" s="92" t="str">
        <f>IFERROR(__xludf.DUMMYFUNCTION("""COMPUTED_VALUE"""),"https://lh3.googleusercontent.com/pw/AP1GczMFnHKMZQp5fNbLDIoHjdEcx8OHo0TE5lPgh7vIEawxa5izCY1bSvH9HqZwt5NPIFLiL1ULxdOP-4dj1RBp-_VuyzhfxON7tLyHNC1aK5EufCv1WZMc=w1200|https://lh3.googleusercontent.com/pw/AP1GczMYSLY2YXkEqUlA23vaMdMTzCHt4Tu3115Q3PHMDmvYeIA1l8"&amp;"J537ZNo67lIo4IdGTWALHee1AIrfd-cjLKVGS5ZM1GWo6WYta2WaDxsMSdzah8qvkB=w1200|https://lh3.googleusercontent.com/pw/AP1GczOMVCwYYR1cmpsaJm-yFVHXxep8t5eT4zpnzpFOPtA10MIZfltQyZlhrk4YIpD_NDQaKG7X_2H6FtN0pbPcHQqIMtYhZ4OMJ84ijbBW9L_QdUd-T-F1=w1200|https://lh3.google"&amp;"usercontent.com/pw/AP1GczOj7_AA4vILaeXArUHNArUIiK4U5Wffx7moCvxFNpWX9Mn1tKPXfFQt-W95QN4Cj2xUOlg4inPu4ud0qwNaLW5hqe7rZ9AYyA4kQ9fZPfcVMWHzIRy2=w1200|https://lh3.googleusercontent.com/pw/AP1GczMykzhgojW7HwpzoBTKCswz90CyVcAHxaVdNS-QLJmyTZyKQjRaj4lgRPRrU_YAeoZ_"&amp;"3JohdqcKtDGyTTO5VaKbERfNcQNTFH5iYf1gDc6vcMhufdqN=w1200|https://lh3.googleusercontent.com/pw/AP1GczP1MNWin0As5BY62FUvBDqQb37vm31kUD9wi3MMsXi8sxNMeP68-mrYGge3Y_L1jz10FZ7J7XuYNe1hMYjCHvozaBiGDFoQxgH1agfP9qB5cE9BMeXv=w1200|https://lh3.googleusercontent.com/pw"&amp;"/AP1GczNhppD0AoRal2e_6nbYsDKAzL0waP_IWfx9uqq2YAsLEcXStXEJqBZnZQKNtX7JVoZ2PoYRen772bg6wD8GFqfoBJCqGI8qzHo-gvQ1aTsJI2wnnfxQ=w1200|https://lh3.googleusercontent.com/pw/AP1GczPtUTASxyumMcAvVjXg4kgiiDHwQAhTwMzQ7TW4xYkihQ-1zr3Nj3OFwCwZsaRcVYzPtayT-TAk05RfGeMXD5"&amp;"1BWjgin5P_U4SRBfTFYBKYrsLR2Kj2=w1200|https://lh3.googleusercontent.com/pw/AP1GczMg86I5iwvqYLvuN4GaPVmlzDMCA80JsgDUsP7IFMt0I3rANy9wliPFJiBQ8KTnFrxHRq7UCm1xkh0S08G3qRz0VrVATNeKCa7Ru2YelCpA65kjdV_P=w1200|https://lh3.googleusercontent.com/pw/AP1GczOOMUO00MRQx"&amp;"sUxL_oelp3WSpQArSe2QJyQqmWf38NWzFhBlNJ98RKKrUi9D143vVs_wyDGzG-PFYEbSzEuHfN1PVa0wCxQ4CNh-nHiXAI2SlLzz1-B=w1200|https://lh3.googleusercontent.com/pw/AP1GczPkRxohFhHX_xBww7a8Dd3RxIljvPugf46nK9ZH1t87dVe-z5qTHbpXyKyrq4EABqyocE90LizwPMW2ok0q2XnzcHXQDDbdy7L0byll"&amp;"KSPCCRDKA0JP=w1200|https://lh3.googleusercontent.com/pw/AP1GczMvDblXleRN9sz2HwRQFJ1VKGKZLmH7P8dQgtqXL0nnuLPQvF8EcUdscwKRu4IZ5ntBPD8GoZVe_MOieyEB-R48zzXV2wLdot27rwDbBwd6Mw8c4U8D=w1200|https://lh3.googleusercontent.com/pw/AP1GczOCM0ZrfUDuA0W7bzIB4p0lHigWGux"&amp;"6vIoS0lVrAtvJyRYIAa0Jt0Hx1DOUOrRIggTzo3LMp7pL-s6dfRuse-EGsvcKC4dGLmp57f2PBd9keehK2_mj=w1200|https://lh3.googleusercontent.com/pw/AP1GczMsIsAyUYh8EI0WgxrGOR3ByZ2YN29t37Z9TmmcDvhTQ-7zyawHUC56nQYSGWauqyBgLQCXXTdElU5uFjKhvb6HCBc8lcOd-EPAamXcjg3m9A9MLvck=w1200"&amp;"|https://lh3.googleusercontent.com/pw/AP1GczOhZGpktvkc8I5WLUj0LvNlB5zqHV5Kg2wk2wtuzlz649c0RlHMhs45o7o9Ox1SJksds_JdEJ00THTusIPx9lPHXUogBhUCyUSbcMgckdqXJulGefqU=w1200|https://lh3.googleusercontent.com/pw/AP1GczM2AiYMey7TxImNMM1waGKsa_0juK6K8K7TwOxscdlUAmNOW"&amp;"v4lVQPtkZSl9Js9on4T6d1p-C8Y-ey4Zt1ihX4QNXdv2nXc7PbAO0I91X3fDS-fXWo7=w1200")</f>
        <v>https://lh3.googleusercontent.com/pw/AP1GczMFnHKMZQp5fNbLDIoHjdEcx8OHo0TE5lPgh7vIEawxa5izCY1bSvH9HqZwt5NPIFLiL1ULxdOP-4dj1RBp-_VuyzhfxON7tLyHNC1aK5EufCv1WZMc=w1200|https://lh3.googleusercontent.com/pw/AP1GczMYSLY2YXkEqUlA23vaMdMTzCHt4Tu3115Q3PHMDmvYeIA1l8J537ZNo67lIo4IdGTWALHee1AIrfd-cjLKVGS5ZM1GWo6WYta2WaDxsMSdzah8qvkB=w1200|https://lh3.googleusercontent.com/pw/AP1GczOMVCwYYR1cmpsaJm-yFVHXxep8t5eT4zpnzpFOPtA10MIZfltQyZlhrk4YIpD_NDQaKG7X_2H6FtN0pbPcHQqIMtYhZ4OMJ84ijbBW9L_QdUd-T-F1=w1200|https://lh3.googleusercontent.com/pw/AP1GczOj7_AA4vILaeXArUHNArUIiK4U5Wffx7moCvxFNpWX9Mn1tKPXfFQt-W95QN4Cj2xUOlg4inPu4ud0qwNaLW5hqe7rZ9AYyA4kQ9fZPfcVMWHzIRy2=w1200|https://lh3.googleusercontent.com/pw/AP1GczMykzhgojW7HwpzoBTKCswz90CyVcAHxaVdNS-QLJmyTZyKQjRaj4lgRPRrU_YAeoZ_3JohdqcKtDGyTTO5VaKbERfNcQNTFH5iYf1gDc6vcMhufdqN=w1200|https://lh3.googleusercontent.com/pw/AP1GczP1MNWin0As5BY62FUvBDqQb37vm31kUD9wi3MMsXi8sxNMeP68-mrYGge3Y_L1jz10FZ7J7XuYNe1hMYjCHvozaBiGDFoQxgH1agfP9qB5cE9BMeXv=w1200|https://lh3.googleusercontent.com/pw/AP1GczNhppD0AoRal2e_6nbYsDKAzL0waP_IWfx9uqq2YAsLEcXStXEJqBZnZQKNtX7JVoZ2PoYRen772bg6wD8GFqfoBJCqGI8qzHo-gvQ1aTsJI2wnnfxQ=w1200|https://lh3.googleusercontent.com/pw/AP1GczPtUTASxyumMcAvVjXg4kgiiDHwQAhTwMzQ7TW4xYkihQ-1zr3Nj3OFwCwZsaRcVYzPtayT-TAk05RfGeMXD51BWjgin5P_U4SRBfTFYBKYrsLR2Kj2=w1200|https://lh3.googleusercontent.com/pw/AP1GczMg86I5iwvqYLvuN4GaPVmlzDMCA80JsgDUsP7IFMt0I3rANy9wliPFJiBQ8KTnFrxHRq7UCm1xkh0S08G3qRz0VrVATNeKCa7Ru2YelCpA65kjdV_P=w1200|https://lh3.googleusercontent.com/pw/AP1GczOOMUO00MRQxsUxL_oelp3WSpQArSe2QJyQqmWf38NWzFhBlNJ98RKKrUi9D143vVs_wyDGzG-PFYEbSzEuHfN1PVa0wCxQ4CNh-nHiXAI2SlLzz1-B=w1200|https://lh3.googleusercontent.com/pw/AP1GczPkRxohFhHX_xBww7a8Dd3RxIljvPugf46nK9ZH1t87dVe-z5qTHbpXyKyrq4EABqyocE90LizwPMW2ok0q2XnzcHXQDDbdy7L0byllKSPCCRDKA0JP=w1200|https://lh3.googleusercontent.com/pw/AP1GczMvDblXleRN9sz2HwRQFJ1VKGKZLmH7P8dQgtqXL0nnuLPQvF8EcUdscwKRu4IZ5ntBPD8GoZVe_MOieyEB-R48zzXV2wLdot27rwDbBwd6Mw8c4U8D=w1200|https://lh3.googleusercontent.com/pw/AP1GczOCM0ZrfUDuA0W7bzIB4p0lHigWGux6vIoS0lVrAtvJyRYIAa0Jt0Hx1DOUOrRIggTzo3LMp7pL-s6dfRuse-EGsvcKC4dGLmp57f2PBd9keehK2_mj=w1200|https://lh3.googleusercontent.com/pw/AP1GczMsIsAyUYh8EI0WgxrGOR3ByZ2YN29t37Z9TmmcDvhTQ-7zyawHUC56nQYSGWauqyBgLQCXXTdElU5uFjKhvb6HCBc8lcOd-EPAamXcjg3m9A9MLvck=w1200|https://lh3.googleusercontent.com/pw/AP1GczOhZGpktvkc8I5WLUj0LvNlB5zqHV5Kg2wk2wtuzlz649c0RlHMhs45o7o9Ox1SJksds_JdEJ00THTusIPx9lPHXUogBhUCyUSbcMgckdqXJulGefqU=w1200|https://lh3.googleusercontent.com/pw/AP1GczM2AiYMey7TxImNMM1waGKsa_0juK6K8K7TwOxscdlUAmNOWv4lVQPtkZSl9Js9on4T6d1p-C8Y-ey4Zt1ihX4QNXdv2nXc7PbAO0I91X3fDS-fXWo7=w1200</v>
      </c>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c r="BU111" s="46"/>
      <c r="BV111" s="46"/>
      <c r="BW111" s="46"/>
      <c r="BX111" s="46"/>
      <c r="BY111" s="46"/>
      <c r="BZ111" s="46"/>
      <c r="CA111" s="46"/>
      <c r="CB111" s="46"/>
      <c r="CC111" s="46"/>
    </row>
    <row r="112">
      <c r="A112" s="87" t="str">
        <f>IFERROR(__xludf.DUMMYFUNCTION("""COMPUTED_VALUE"""),"1794")</f>
        <v>1794</v>
      </c>
      <c r="B112" s="46" t="str">
        <f>IFERROR(__xludf.DUMMYFUNCTION("""COMPUTED_VALUE"""),"Apartamento en barrio Calixto")</f>
        <v>Apartamento en barrio Calixto</v>
      </c>
      <c r="C112" s="46" t="str">
        <f>IFERROR(__xludf.DUMMYFUNCTION("""COMPUTED_VALUE"""),"Apartamento")</f>
        <v>Apartamento</v>
      </c>
      <c r="D112" s="46" t="str">
        <f>IFERROR(__xludf.DUMMYFUNCTION("""COMPUTED_VALUE"""),"Calixto")</f>
        <v>Calixto</v>
      </c>
      <c r="E112" s="90"/>
      <c r="F112" s="90">
        <f>IFERROR(__xludf.DUMMYFUNCTION("""COMPUTED_VALUE"""),1.75E8)</f>
        <v>175000000</v>
      </c>
      <c r="G112" s="46" t="str">
        <f>IFERROR(__xludf.DUMMYFUNCTION("""COMPUTED_VALUE"""),"$100'000.000 a $200'000.000")</f>
        <v>$100'000.000 a $200'000.000</v>
      </c>
      <c r="H112" s="46"/>
      <c r="I112" s="46"/>
      <c r="J112" s="46" t="str">
        <f>IFERROR(__xludf.DUMMYFUNCTION("""COMPUTED_VALUE"""),"Sur")</f>
        <v>Sur</v>
      </c>
      <c r="K112" s="87" t="str">
        <f>IFERROR(__xludf.DUMMYFUNCTION("""COMPUTED_VALUE"""),"7")</f>
        <v>7</v>
      </c>
      <c r="L112" s="46">
        <f>IFERROR(__xludf.DUMMYFUNCTION("""COMPUTED_VALUE"""),3.0)</f>
        <v>3</v>
      </c>
      <c r="M112" s="46"/>
      <c r="N112" s="46">
        <f>IFERROR(__xludf.DUMMYFUNCTION("""COMPUTED_VALUE"""),3.0)</f>
        <v>3</v>
      </c>
      <c r="O112" s="46">
        <f>IFERROR(__xludf.DUMMYFUNCTION("""COMPUTED_VALUE"""),1.0)</f>
        <v>1</v>
      </c>
      <c r="P112" s="46">
        <f>IFERROR(__xludf.DUMMYFUNCTION("""COMPUTED_VALUE"""),1.0)</f>
        <v>1</v>
      </c>
      <c r="Q112" s="92">
        <f>IFERROR(__xludf.DUMMYFUNCTION("""COMPUTED_VALUE"""),74.0)</f>
        <v>74</v>
      </c>
      <c r="R112" s="92">
        <f>IFERROR(__xludf.DUMMYFUNCTION("""COMPUTED_VALUE"""),74.0)</f>
        <v>74</v>
      </c>
      <c r="S112" s="87" t="str">
        <f>IFERROR(__xludf.DUMMYFUNCTION("""COMPUTED_VALUE""")," ")</f>
        <v> </v>
      </c>
      <c r="T112" s="46" t="str">
        <f>IFERROR(__xludf.DUMMYFUNCTION("""COMPUTED_VALUE"""),"Neiva")</f>
        <v>Neiva</v>
      </c>
      <c r="U112" s="87" t="str">
        <f>IFERROR(__xludf.DUMMYFUNCTION("""COMPUTED_VALUE"""),"2")</f>
        <v>2</v>
      </c>
      <c r="V112" s="46" t="str">
        <f>IFERROR(__xludf.DUMMYFUNCTION("""COMPUTED_VALUE"""),"Esquinera")</f>
        <v>Esquinera</v>
      </c>
      <c r="W112" s="46"/>
      <c r="X112" s="46">
        <f>IFERROR(__xludf.DUMMYFUNCTION("""COMPUTED_VALUE"""),3.0)</f>
        <v>3</v>
      </c>
      <c r="Y112" s="179" t="str">
        <f>IFERROR(__xludf.DUMMYFUNCTION("""COMPUTED_VALUE"""),"No tiene")</f>
        <v>No tiene</v>
      </c>
      <c r="Z112" s="90"/>
      <c r="AA112" s="33" t="str">
        <f>IFERROR(__xludf.DUMMYFUNCTION("""COMPUTED_VALUE"""),"No aplica")</f>
        <v>No aplica</v>
      </c>
      <c r="AB112" s="144" t="str">
        <f>IFERROR(__xludf.DUMMYFUNCTION("""COMPUTED_VALUE"""),"https://photos.app.goo.gl/dQNeJQ3AvrrcLDDk9")</f>
        <v>https://photos.app.goo.gl/dQNeJQ3AvrrcLDDk9</v>
      </c>
      <c r="AC112" s="46" t="str">
        <f>IFERROR(__xludf.DUMMYFUNCTION("""COMPUTED_VALUE"""),"Apartamento con un área de 74. mts2, estrato 2, consta de: una sala, comedor, tres habitaciones la principal con baño privado, tres closets en madera, un baño auxiliar, cocina semi-integral, garaje, zona de lavandería, pisos en mármol, tejas en ethernet")</f>
        <v>Apartamento con un área de 74. mts2, estrato 2, consta de: una sala, comedor, tres habitaciones la principal con baño privado, tres closets en madera, un baño auxiliar, cocina semi-integral, garaje, zona de lavandería, pisos en mármol, tejas en ethernet</v>
      </c>
      <c r="AD112" s="46"/>
      <c r="AE112" s="46"/>
      <c r="AF112" s="46" t="str">
        <f>IFERROR(__xludf.DUMMYFUNCTION("""COMPUTED_VALUE"""),"semi-integral")</f>
        <v>semi-integral</v>
      </c>
      <c r="AG112" s="46"/>
      <c r="AH112" s="46" t="str">
        <f>IFERROR(__xludf.DUMMYFUNCTION("""COMPUTED_VALUE"""),"Aliado")</f>
        <v>Aliado</v>
      </c>
      <c r="AI112" s="92" t="str">
        <f>IFERROR(__xludf.DUMMYFUNCTION("""COMPUTED_VALUE"""),"https://lh3.googleusercontent.com/pw/AP1GczPb8PyFcJw0m_bc_2WuXvYn825a7ZBJ7YWiUvJ8-F_469NV6DMprtG5Ta3OvibJVN4CHqmdKBAtG3QR_tITknzjJeJa-xnmZfl9xYY7HmQYWiI9-o6q=w1200|https://lh3.googleusercontent.com/pw/AP1GczM-8xcS0bq5SVqP9riEp-e6I8DTNqyZVwhvY_WuvGXaJrIi-0"&amp;"756QqaFSV4HsveZtr9tEZDwr4jqvnh58Y2rjaJ9nxMruZRaw-zEKGDfGGKjrNyMJHx=w1200|https://lh3.googleusercontent.com/pw/AP1GczODTjWzHnr9pGFoDF3q9IDohtV7BGhiGeX_GnfecNvakPYPy7tAHe1n0xiMuxFz8d0jdPD-Vuo5qJsve1IMpymn4zQtZp4Oy8_IZv1MVhBVsk_PFYb4=w1200|https://lh3.google"&amp;"usercontent.com/pw/AP1GczMgTuXNDlj2nsI-WT92pC6o6FoODfUmSq3ITbOzHruz2lsuITHMtDbX45JdhmKO9psTXpSTOkioB2PFwn9eelrcrk3g7aXqZPOrnoAko-xLXMHd2Qze=w1200|https://lh3.googleusercontent.com/pw/AP1GczN8yQjCWZKZjPv1Uco6XUGkjU3Pc_oBuKG_NRyYwEhCW2Hh62mRlBaz9KbtWZSBtXFM"&amp;"AWyCbTIzpQ6DM6rTNbJjedo5r1-Tz1GJbWqeohhk00_ZhhEw=w1200|https://lh3.googleusercontent.com/pw/AP1GczNY_x6l_oplLOSmWJw-YofwQV2xZNE_7i10gDgI2R9CBQQj-jXK1YvoCuLMbNu-WXh4bZls7ZCw1qLBsPcVShxSPCLhkyuj9M1al2Y7ygZsYulXsaka=w1200|https://lh3.googleusercontent.com/pw"&amp;"/AP1GczPDDZe695enyO4ZW-qvbDwo_deXeuym6QFAgMHsCCq0ihiNhssWnP1Z73DyZ82MLujK6Y2DLGKh0lrApmNCz72I6VVnv89wBnSeBNPM1NOhWbGrJSUN=w1200|https://lh3.googleusercontent.com/pw/AP1GczMbyAdoYH69uE-3qYvPnlSPRskLLEH95w4PCFVRhbb4llUPrCWx1fSJfSMBB0kNEiihkPZu7LsknN1F_ep0wU"&amp;"0qf11tBUQW9FIGLdG2ZtwqL0TTYnKk=w1200|https://lh3.googleusercontent.com/pw/AP1GczNh42xL7-fQfp9oytZZT3bGdcM9FzIR7FGUNAdPNEbfArVQviUi60aaV4TaW-VRastOEqUf-1dzi7P68Ty6zYdovVebES2LbiqOviA4NvKjf5W5hSj-=w1200|https://lh3.googleusercontent.com/pw/AP1GczMOG35eEpzPx"&amp;"D_VUNRGIgyNxz-6-4UnBGemkv96-6H_x5qWoupkRdIUNrXUWmvjZ-6bb-QRc9VrffJycMwPt75PxfnsCiBu-mfinwSVPADq_IeN4g9c=w1200")</f>
        <v>https://lh3.googleusercontent.com/pw/AP1GczPb8PyFcJw0m_bc_2WuXvYn825a7ZBJ7YWiUvJ8-F_469NV6DMprtG5Ta3OvibJVN4CHqmdKBAtG3QR_tITknzjJeJa-xnmZfl9xYY7HmQYWiI9-o6q=w1200|https://lh3.googleusercontent.com/pw/AP1GczM-8xcS0bq5SVqP9riEp-e6I8DTNqyZVwhvY_WuvGXaJrIi-0756QqaFSV4HsveZtr9tEZDwr4jqvnh58Y2rjaJ9nxMruZRaw-zEKGDfGGKjrNyMJHx=w1200|https://lh3.googleusercontent.com/pw/AP1GczODTjWzHnr9pGFoDF3q9IDohtV7BGhiGeX_GnfecNvakPYPy7tAHe1n0xiMuxFz8d0jdPD-Vuo5qJsve1IMpymn4zQtZp4Oy8_IZv1MVhBVsk_PFYb4=w1200|https://lh3.googleusercontent.com/pw/AP1GczMgTuXNDlj2nsI-WT92pC6o6FoODfUmSq3ITbOzHruz2lsuITHMtDbX45JdhmKO9psTXpSTOkioB2PFwn9eelrcrk3g7aXqZPOrnoAko-xLXMHd2Qze=w1200|https://lh3.googleusercontent.com/pw/AP1GczN8yQjCWZKZjPv1Uco6XUGkjU3Pc_oBuKG_NRyYwEhCW2Hh62mRlBaz9KbtWZSBtXFMAWyCbTIzpQ6DM6rTNbJjedo5r1-Tz1GJbWqeohhk00_ZhhEw=w1200|https://lh3.googleusercontent.com/pw/AP1GczNY_x6l_oplLOSmWJw-YofwQV2xZNE_7i10gDgI2R9CBQQj-jXK1YvoCuLMbNu-WXh4bZls7ZCw1qLBsPcVShxSPCLhkyuj9M1al2Y7ygZsYulXsaka=w1200|https://lh3.googleusercontent.com/pw/AP1GczPDDZe695enyO4ZW-qvbDwo_deXeuym6QFAgMHsCCq0ihiNhssWnP1Z73DyZ82MLujK6Y2DLGKh0lrApmNCz72I6VVnv89wBnSeBNPM1NOhWbGrJSUN=w1200|https://lh3.googleusercontent.com/pw/AP1GczMbyAdoYH69uE-3qYvPnlSPRskLLEH95w4PCFVRhbb4llUPrCWx1fSJfSMBB0kNEiihkPZu7LsknN1F_ep0wU0qf11tBUQW9FIGLdG2ZtwqL0TTYnKk=w1200|https://lh3.googleusercontent.com/pw/AP1GczNh42xL7-fQfp9oytZZT3bGdcM9FzIR7FGUNAdPNEbfArVQviUi60aaV4TaW-VRastOEqUf-1dzi7P68Ty6zYdovVebES2LbiqOviA4NvKjf5W5hSj-=w1200|https://lh3.googleusercontent.com/pw/AP1GczMOG35eEpzPxD_VUNRGIgyNxz-6-4UnBGemkv96-6H_x5qWoupkRdIUNrXUWmvjZ-6bb-QRc9VrffJycMwPt75PxfnsCiBu-mfinwSVPADq_IeN4g9c=w1200</v>
      </c>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c r="BU112" s="46"/>
      <c r="BV112" s="46"/>
      <c r="BW112" s="46"/>
      <c r="BX112" s="46"/>
      <c r="BY112" s="46"/>
      <c r="BZ112" s="46"/>
      <c r="CA112" s="46"/>
      <c r="CB112" s="46"/>
      <c r="CC112" s="46"/>
    </row>
    <row r="113">
      <c r="A113" s="87" t="str">
        <f>IFERROR(__xludf.DUMMYFUNCTION("""COMPUTED_VALUE"""),"1541")</f>
        <v>1541</v>
      </c>
      <c r="B113" s="46" t="str">
        <f>IFERROR(__xludf.DUMMYFUNCTION("""COMPUTED_VALUE"""),"Apartamento en Conjunto Residencial Torres de Alejandria - Los Colores")</f>
        <v>Apartamento en Conjunto Residencial Torres de Alejandria - Los Colores</v>
      </c>
      <c r="C113" s="46" t="str">
        <f>IFERROR(__xludf.DUMMYFUNCTION("""COMPUTED_VALUE"""),"Apartamento en conjunto")</f>
        <v>Apartamento en conjunto</v>
      </c>
      <c r="D113" s="46" t="str">
        <f>IFERROR(__xludf.DUMMYFUNCTION("""COMPUTED_VALUE"""),"Los Colores")</f>
        <v>Los Colores</v>
      </c>
      <c r="E113" s="90" t="str">
        <f>IFERROR(__xludf.DUMMYFUNCTION("""COMPUTED_VALUE"""),"Conjunto Torres de Alejandria")</f>
        <v>Conjunto Torres de Alejandria</v>
      </c>
      <c r="F113" s="90">
        <f>IFERROR(__xludf.DUMMYFUNCTION("""COMPUTED_VALUE"""),1.75E8)</f>
        <v>175000000</v>
      </c>
      <c r="G113" s="46" t="str">
        <f>IFERROR(__xludf.DUMMYFUNCTION("""COMPUTED_VALUE"""),"$100'000.000 a $200'000.000")</f>
        <v>$100'000.000 a $200'000.000</v>
      </c>
      <c r="H113" s="46"/>
      <c r="I113" s="46"/>
      <c r="J113" s="46" t="str">
        <f>IFERROR(__xludf.DUMMYFUNCTION("""COMPUTED_VALUE"""),"Oriente")</f>
        <v>Oriente</v>
      </c>
      <c r="K113" s="87" t="str">
        <f>IFERROR(__xludf.DUMMYFUNCTION("""COMPUTED_VALUE"""),"10")</f>
        <v>10</v>
      </c>
      <c r="L113" s="46">
        <f>IFERROR(__xludf.DUMMYFUNCTION("""COMPUTED_VALUE"""),3.0)</f>
        <v>3</v>
      </c>
      <c r="M113" s="46"/>
      <c r="N113" s="46">
        <f>IFERROR(__xludf.DUMMYFUNCTION("""COMPUTED_VALUE"""),2.0)</f>
        <v>2</v>
      </c>
      <c r="O113" s="46">
        <f>IFERROR(__xludf.DUMMYFUNCTION("""COMPUTED_VALUE"""),1.0)</f>
        <v>1</v>
      </c>
      <c r="P113" s="46">
        <f>IFERROR(__xludf.DUMMYFUNCTION("""COMPUTED_VALUE"""),5.0)</f>
        <v>5</v>
      </c>
      <c r="Q113" s="92">
        <f>IFERROR(__xludf.DUMMYFUNCTION("""COMPUTED_VALUE"""),67.0)</f>
        <v>67</v>
      </c>
      <c r="R113" s="92">
        <f>IFERROR(__xludf.DUMMYFUNCTION("""COMPUTED_VALUE"""),67.0)</f>
        <v>67</v>
      </c>
      <c r="S113" s="87" t="str">
        <f>IFERROR(__xludf.DUMMYFUNCTION("""COMPUTED_VALUE""")," ")</f>
        <v> </v>
      </c>
      <c r="T113" s="46" t="str">
        <f>IFERROR(__xludf.DUMMYFUNCTION("""COMPUTED_VALUE"""),"Neiva")</f>
        <v>Neiva</v>
      </c>
      <c r="U113" s="87" t="str">
        <f>IFERROR(__xludf.DUMMYFUNCTION("""COMPUTED_VALUE"""),"3")</f>
        <v>3</v>
      </c>
      <c r="V113" s="46" t="str">
        <f>IFERROR(__xludf.DUMMYFUNCTION("""COMPUTED_VALUE"""),"5to.")</f>
        <v>5to.</v>
      </c>
      <c r="W113" s="46"/>
      <c r="X113" s="46">
        <f>IFERROR(__xludf.DUMMYFUNCTION("""COMPUTED_VALUE"""),3.0)</f>
        <v>3</v>
      </c>
      <c r="Y113" s="46" t="str">
        <f>IFERROR(__xludf.DUMMYFUNCTION("""COMPUTED_VALUE"""),"Social")</f>
        <v>Social</v>
      </c>
      <c r="Z113" s="90">
        <f>IFERROR(__xludf.DUMMYFUNCTION("""COMPUTED_VALUE"""),200000.0)</f>
        <v>200000</v>
      </c>
      <c r="AA113" s="33" t="str">
        <f>IFERROR(__xludf.DUMMYFUNCTION("""COMPUTED_VALUE"""),"No aplica")</f>
        <v>No aplica</v>
      </c>
      <c r="AB113" s="96" t="str">
        <f>IFERROR(__xludf.DUMMYFUNCTION("""COMPUTED_VALUE"""),"https://photos.app.goo.gl/WKFvoFk82uTdBDbWA")</f>
        <v>https://photos.app.goo.gl/WKFvoFk82uTdBDbWA</v>
      </c>
      <c r="AC113" s="46" t="str">
        <f>IFERROR(__xludf.DUMMYFUNCTION("""COMPUTED_VALUE"""),"Consta de sala - comedor, 3 habitaciones con closet en madera, habitación principal con baño privado, cocina integral, baño auxiliar, zona de lavandería. El conjunto cuenta con piscinas, parque infantil, BBQ. Salón Social, parqueadero privado y canchas. E"&amp;"strato 3 Valor de Admón. $200.000 (2025).")</f>
        <v>Consta de sala - comedor, 3 habitaciones con closet en madera, habitación principal con baño privado, cocina integral, baño auxiliar, zona de lavandería. El conjunto cuenta con piscinas, parque infantil, BBQ. Salón Social, parqueadero privado y canchas. Estrato 3 Valor de Admón. $200.000 (2025).</v>
      </c>
      <c r="AD113" s="46" t="str">
        <f>IFERROR(__xludf.DUMMYFUNCTION("""COMPUTED_VALUE"""),"Apartamento bien ubicado y con buenos acabados.")</f>
        <v>Apartamento bien ubicado y con buenos acabados.</v>
      </c>
      <c r="AE113" s="46"/>
      <c r="AF113" s="46" t="str">
        <f>IFERROR(__xludf.DUMMYFUNCTION("""COMPUTED_VALUE"""),"integral")</f>
        <v>integral</v>
      </c>
      <c r="AG113" s="46"/>
      <c r="AH113" s="46" t="str">
        <f>IFERROR(__xludf.DUMMYFUNCTION("""COMPUTED_VALUE"""),"Aliado")</f>
        <v>Aliado</v>
      </c>
      <c r="AI113" s="92" t="str">
        <f>IFERROR(__xludf.DUMMYFUNCTION("""COMPUTED_VALUE"""),"https://lh3.googleusercontent.com/pw/AP1GczM8ROvTN5IVGACC49Se6C_SyxkjspOyJwdTE6uWUBewXUhgQ_hNwAgv6fM6P-uzu2LkoOWePjdDg9aFWCdcf1PAnsPsx6jUqYNOKOXsIdapp6JQOU6O=w1200|https://lh3.googleusercontent.com/pw/AP1GczMS-zbPYTmvBeBOGW4E3Q9j2Bh1nB0JhXQPIB7MKt6nvV7frZ"&amp;"q17Ml_0dDkgB1eBv6RGWlhoySguI94uYljBKh0-ShH7cn9_NzpVOWqIrc0MSjkvab4=w1200|https://lh3.googleusercontent.com/pw/AP1GczOVEQ_QeyyV0F_5xf-urqg8MAhNB8_e5sMrW1m3IcST4-F1Zmg5bgdVBiAJYqTymXFM7PCyu1Lks2ofyZsjneUzuRnMgx4o27elKIEfTobRv0jXAMAP=w1200|https://lh3.google"&amp;"usercontent.com/pw/AP1GczNvE3Z06cGV8YK8skFJOKfwSb4AqNETbNCj_3d-a8XxI3lPRqbvxKWXGLuZfxM2MysBc_quFBuHay3_ObUicvcDmlQSeK054pYIflLanadXKKDRV6rI=w1200|https://lh3.googleusercontent.com/pw/AP1GczPsQ925OIjolsZaMWbOraQwdkoKGe_V5PpJ6bKujJQ6gcntOZo4GVJWz8WF334W0RfE"&amp;"I3GDZWVC634hTxZfjlnNxLXMRRdoHHff7YXmy59T0oxE5CnK=w1200|https://lh3.googleusercontent.com/pw/AP1GczO_jHi6RMhfe0Xz43ZrnNCnVLCxEUAstlVVykRuO_Qj8Cx-VObRumqoDr74qsxqEdRWkvnUDbDNpzKxBPxcNbrZuG4Anh8CsVn7eqRQkoiaCbdGBXKt=w1200|https://lh3.googleusercontent.com/pw"&amp;"/AP1GczPKqEJSGdOziDn1WQE0d53Ykde4YwuRBrkIWUF_TAB2wWmQBU3k4jSjxFnwcSASjYFG75gu5Him3izv3wKiF1MYwBlRB_HYLT0h6nh57PDFqYLFr5Ox=w1200|https://lh3.googleusercontent.com/pw/AP1GczMqhiFAwji1cVETpPJ_QGjeDpRVRk5tb1xJ7D08ZCg2SipvHblVHJH9GjsQEXLr5Om6ScJOkQ-I_BJ2i5r5yK"&amp;"j5ok6xztD39ChGQGd1PPxgIUNxj1S7=w1200|https://lh3.googleusercontent.com/pw/AP1GczNkEy5N7L3nID2zRI5Fa4PF-mC11cJKAZ2LwxgyZr3KudItasXQw-CrjkPig1mq0juLAAA6L0ceyRFvS7vo3wk0k2p0Pl1cZW9CthELPFkJaldYc1rV=w1200|https://lh3.googleusercontent.com/pw/AP1GczM_0l1QUj_7a"&amp;"g-vzfqnA5RYEbM03BkeM2vQ2vkcqatNbqDXZSLaTrzTSchrMD2KX_wXolinkW32a8SqUO4jdAgu0WZtMOuH7mTzscI1MMyFZDPEL6Dc=w1200|https://lh3.googleusercontent.com/pw/AP1GczNMgssWu3P3l1s5g4l1zNcSPEFQ_6IQQgLUvlFZWcwfftPUACt1MFK7T7gwuqgoCV7I9dWNuHH7I_4-OJVKQXvFaxjTD2NB8l1tDskH"&amp;"gmxrkRVwkJ4B=w1200")</f>
        <v>https://lh3.googleusercontent.com/pw/AP1GczM8ROvTN5IVGACC49Se6C_SyxkjspOyJwdTE6uWUBewXUhgQ_hNwAgv6fM6P-uzu2LkoOWePjdDg9aFWCdcf1PAnsPsx6jUqYNOKOXsIdapp6JQOU6O=w1200|https://lh3.googleusercontent.com/pw/AP1GczMS-zbPYTmvBeBOGW4E3Q9j2Bh1nB0JhXQPIB7MKt6nvV7frZq17Ml_0dDkgB1eBv6RGWlhoySguI94uYljBKh0-ShH7cn9_NzpVOWqIrc0MSjkvab4=w1200|https://lh3.googleusercontent.com/pw/AP1GczOVEQ_QeyyV0F_5xf-urqg8MAhNB8_e5sMrW1m3IcST4-F1Zmg5bgdVBiAJYqTymXFM7PCyu1Lks2ofyZsjneUzuRnMgx4o27elKIEfTobRv0jXAMAP=w1200|https://lh3.googleusercontent.com/pw/AP1GczNvE3Z06cGV8YK8skFJOKfwSb4AqNETbNCj_3d-a8XxI3lPRqbvxKWXGLuZfxM2MysBc_quFBuHay3_ObUicvcDmlQSeK054pYIflLanadXKKDRV6rI=w1200|https://lh3.googleusercontent.com/pw/AP1GczPsQ925OIjolsZaMWbOraQwdkoKGe_V5PpJ6bKujJQ6gcntOZo4GVJWz8WF334W0RfEI3GDZWVC634hTxZfjlnNxLXMRRdoHHff7YXmy59T0oxE5CnK=w1200|https://lh3.googleusercontent.com/pw/AP1GczO_jHi6RMhfe0Xz43ZrnNCnVLCxEUAstlVVykRuO_Qj8Cx-VObRumqoDr74qsxqEdRWkvnUDbDNpzKxBPxcNbrZuG4Anh8CsVn7eqRQkoiaCbdGBXKt=w1200|https://lh3.googleusercontent.com/pw/AP1GczPKqEJSGdOziDn1WQE0d53Ykde4YwuRBrkIWUF_TAB2wWmQBU3k4jSjxFnwcSASjYFG75gu5Him3izv3wKiF1MYwBlRB_HYLT0h6nh57PDFqYLFr5Ox=w1200|https://lh3.googleusercontent.com/pw/AP1GczMqhiFAwji1cVETpPJ_QGjeDpRVRk5tb1xJ7D08ZCg2SipvHblVHJH9GjsQEXLr5Om6ScJOkQ-I_BJ2i5r5yKj5ok6xztD39ChGQGd1PPxgIUNxj1S7=w1200|https://lh3.googleusercontent.com/pw/AP1GczNkEy5N7L3nID2zRI5Fa4PF-mC11cJKAZ2LwxgyZr3KudItasXQw-CrjkPig1mq0juLAAA6L0ceyRFvS7vo3wk0k2p0Pl1cZW9CthELPFkJaldYc1rV=w1200|https://lh3.googleusercontent.com/pw/AP1GczM_0l1QUj_7ag-vzfqnA5RYEbM03BkeM2vQ2vkcqatNbqDXZSLaTrzTSchrMD2KX_wXolinkW32a8SqUO4jdAgu0WZtMOuH7mTzscI1MMyFZDPEL6Dc=w1200|https://lh3.googleusercontent.com/pw/AP1GczNMgssWu3P3l1s5g4l1zNcSPEFQ_6IQQgLUvlFZWcwfftPUACt1MFK7T7gwuqgoCV7I9dWNuHH7I_4-OJVKQXvFaxjTD2NB8l1tDskHgmxrkRVwkJ4B=w1200</v>
      </c>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c r="BU113" s="46"/>
      <c r="BV113" s="46"/>
      <c r="BW113" s="46"/>
      <c r="BX113" s="46"/>
      <c r="BY113" s="46"/>
      <c r="BZ113" s="46"/>
      <c r="CA113" s="46"/>
      <c r="CB113" s="46"/>
      <c r="CC113" s="46"/>
    </row>
    <row r="114">
      <c r="A114" s="87" t="str">
        <f>IFERROR(__xludf.DUMMYFUNCTION("""COMPUTED_VALUE"""),"1549")</f>
        <v>1549</v>
      </c>
      <c r="B114" s="46" t="str">
        <f>IFERROR(__xludf.DUMMYFUNCTION("""COMPUTED_VALUE"""),"Apartamento en Conjunto residencial Caminos de la Primavera")</f>
        <v>Apartamento en Conjunto residencial Caminos de la Primavera</v>
      </c>
      <c r="C114" s="46" t="str">
        <f>IFERROR(__xludf.DUMMYFUNCTION("""COMPUTED_VALUE"""),"Apartamento en conjunto")</f>
        <v>Apartamento en conjunto</v>
      </c>
      <c r="D114" s="46" t="str">
        <f>IFERROR(__xludf.DUMMYFUNCTION("""COMPUTED_VALUE"""),"Alberto Galindo")</f>
        <v>Alberto Galindo</v>
      </c>
      <c r="E114" s="46" t="str">
        <f>IFERROR(__xludf.DUMMYFUNCTION("""COMPUTED_VALUE"""),"Caminos de la Primavera")</f>
        <v>Caminos de la Primavera</v>
      </c>
      <c r="F114" s="90">
        <f>IFERROR(__xludf.DUMMYFUNCTION("""COMPUTED_VALUE"""),1.7E8)</f>
        <v>170000000</v>
      </c>
      <c r="G114" s="46" t="str">
        <f>IFERROR(__xludf.DUMMYFUNCTION("""COMPUTED_VALUE"""),"$100'000.000 a $200'000.000")</f>
        <v>$100'000.000 a $200'000.000</v>
      </c>
      <c r="H114" s="46"/>
      <c r="I114" s="46"/>
      <c r="J114" s="46" t="str">
        <f>IFERROR(__xludf.DUMMYFUNCTION("""COMPUTED_VALUE"""),"Norte")</f>
        <v>Norte</v>
      </c>
      <c r="K114" s="87" t="str">
        <f>IFERROR(__xludf.DUMMYFUNCTION("""COMPUTED_VALUE"""),"9")</f>
        <v>9</v>
      </c>
      <c r="L114" s="46">
        <f>IFERROR(__xludf.DUMMYFUNCTION("""COMPUTED_VALUE"""),3.0)</f>
        <v>3</v>
      </c>
      <c r="M114" s="46"/>
      <c r="N114" s="46">
        <f>IFERROR(__xludf.DUMMYFUNCTION("""COMPUTED_VALUE"""),3.0)</f>
        <v>3</v>
      </c>
      <c r="O114" s="46">
        <f>IFERROR(__xludf.DUMMYFUNCTION("""COMPUTED_VALUE"""),1.0)</f>
        <v>1</v>
      </c>
      <c r="P114" s="46">
        <f>IFERROR(__xludf.DUMMYFUNCTION("""COMPUTED_VALUE"""),1.0)</f>
        <v>1</v>
      </c>
      <c r="Q114" s="92">
        <f>IFERROR(__xludf.DUMMYFUNCTION("""COMPUTED_VALUE"""),60.0)</f>
        <v>60</v>
      </c>
      <c r="R114" s="92">
        <f>IFERROR(__xludf.DUMMYFUNCTION("""COMPUTED_VALUE"""),60.0)</f>
        <v>60</v>
      </c>
      <c r="S114" s="87" t="str">
        <f>IFERROR(__xludf.DUMMYFUNCTION("""COMPUTED_VALUE""")," ")</f>
        <v> </v>
      </c>
      <c r="T114" s="46" t="str">
        <f>IFERROR(__xludf.DUMMYFUNCTION("""COMPUTED_VALUE"""),"Neiva")</f>
        <v>Neiva</v>
      </c>
      <c r="U114" s="87" t="str">
        <f>IFERROR(__xludf.DUMMYFUNCTION("""COMPUTED_VALUE"""),"2")</f>
        <v>2</v>
      </c>
      <c r="V114" s="46" t="str">
        <f>IFERROR(__xludf.DUMMYFUNCTION("""COMPUTED_VALUE"""),"1ro.")</f>
        <v>1ro.</v>
      </c>
      <c r="W114" s="46"/>
      <c r="X114" s="46">
        <f>IFERROR(__xludf.DUMMYFUNCTION("""COMPUTED_VALUE"""),2.0)</f>
        <v>2</v>
      </c>
      <c r="Y114" s="46" t="str">
        <f>IFERROR(__xludf.DUMMYFUNCTION("""COMPUTED_VALUE"""),"Social")</f>
        <v>Social</v>
      </c>
      <c r="Z114" s="90">
        <f>IFERROR(__xludf.DUMMYFUNCTION("""COMPUTED_VALUE"""),152000.0)</f>
        <v>152000</v>
      </c>
      <c r="AA114" s="33" t="str">
        <f>IFERROR(__xludf.DUMMYFUNCTION("""COMPUTED_VALUE"""),"No aplica")</f>
        <v>No aplica</v>
      </c>
      <c r="AB114" s="144" t="str">
        <f>IFERROR(__xludf.DUMMYFUNCTION("""COMPUTED_VALUE"""),"https://photos.google.com/u/1/share/AF1QipPyLgpSp_aA6U2gyr1nfKCxs899mQLJoyaOtxqcw92s90SWyVzzTSAo_LZWHd3bDQ?hl=es&amp;key=NkhJemRVOTM3bVBIeUx6Q0UwQ1dDZWM3QUdxaFdR")</f>
        <v>https://photos.google.com/u/1/share/AF1QipPyLgpSp_aA6U2gyr1nfKCxs899mQLJoyaOtxqcw92s90SWyVzzTSAo_LZWHd3bDQ?hl=es&amp;key=NkhJemRVOTM3bVBIeUx6Q0UwQ1dDZWM3QUdxaFdR</v>
      </c>
      <c r="AC114" s="46" t="str">
        <f>IFERROR(__xludf.DUMMYFUNCTION("""COMPUTED_VALUE"""),"Apartamento Conjunto Residencial Caminos de la Primavera, consta de: Sala-comedor, balcón, cocina integral, zona de lavandería , 3 habitaciones, la principal con baño privado, 2 closets en madera, baño auxiliar, parqueadero Comunal.")</f>
        <v>Apartamento Conjunto Residencial Caminos de la Primavera, consta de: Sala-comedor, balcón, cocina integral, zona de lavandería , 3 habitaciones, la principal con baño privado, 2 closets en madera, baño auxiliar, parqueadero Comunal.</v>
      </c>
      <c r="AD114" s="46"/>
      <c r="AE114" s="46"/>
      <c r="AF114" s="46" t="str">
        <f>IFERROR(__xludf.DUMMYFUNCTION("""COMPUTED_VALUE"""),"integral")</f>
        <v>integral</v>
      </c>
      <c r="AG114" s="46"/>
      <c r="AH114" s="46" t="str">
        <f>IFERROR(__xludf.DUMMYFUNCTION("""COMPUTED_VALUE"""),"Aliado")</f>
        <v>Aliado</v>
      </c>
      <c r="AI114" s="92" t="str">
        <f>IFERROR(__xludf.DUMMYFUNCTION("""COMPUTED_VALUE"""),"https://lh3.googleusercontent.com/pw/AP1GczNxIRMNC0gHpx2IiL18hcLDEDHxze7Ub4W5RGQ8G3Tz2dyOtvDWbs_MADDzVBBLNtT1885H00lKO0vXqAlmwxyRCyZ8uHbA2JcxbM3rksrh2zw7DnAs=w1200|https://lh3.googleusercontent.com/pw/AP1GczMMTGxK07dQ8m3hj2UMVYqKXxBMdTPVIbtMiwfHUkVd15mIq_"&amp;"G_4Sbu5znZpV3g2bNyM1w0i_nsCTDz_fkJBFhkRxwc7I5wL2Gt_9nfuGd3MTzciDJq=w1200|https://lh3.googleusercontent.com/pw/AP1GczP76VxuE3TeVQYcC3_jJXJL7b6crVSwuLEzvkJgFCZAS9ITH5U7mN2RISlgTEPUMF3YqS5Fw1DQwLv9HigEDEYjXARzds6AC421RXldMQDchCviTw0h=w1200|https://lh3.google"&amp;"usercontent.com/pw/AP1GczNDO-xs_8oDgyVJgofw0noBulNcozwCusbd65OssY9mBIhlyXbPcG0O92aNq3e6Zwc0xYHQHKJLbIwoS2mXOJmVBhbUYlf-2vNXzwMEfAfNEqeMz-0E=w1200|https://lh3.googleusercontent.com/pw/AP1GczPUdgj3x11kvltkPDX76Bko997MpJ1v2tzns8hZzcgdN5jwcN1M0tBBTMQukH4LkjRW"&amp;"rnp6yYVEf13icHcH7bFoJqv__jKQBJe7Xacv5rVuLlkjspf8=w1200|https://lh3.googleusercontent.com/pw/AP1GczM1X9oivt67mfSHFKkK5f7ltULdxNb8b_3boU4fl8Gtm6LHonxql4c7yri-a-o_Q8tRDCnzV6notgC26P07Cmki1DwTsksd8qc-0Xj9bX2BGFgpDsbU=w1200|https://lh3.googleusercontent.com/pw"&amp;"/AP1GczOXkPvJmDgdMlTnq3JDiECf8ZOrfcL4fq6nvw8zQ-D-1RySMecxx852DFHpcw20ByKgSXdhZajOCdJvDma8xYHHhl-U5GGxovHLTFFXcyi8LKjFZRR6=w1200|https://lh3.googleusercontent.com/pw/AP1GczNrCKzbSLbIDWwWhmWXWq_YuquTufvpWlGoqtWfLK07zF6t8IipTsT3S4hTMwVIfgiqJ0y8oxaaukg1vmIcYt"&amp;"n7m6LHfcfFIgzW7e-9MiCh5ux72HDV=w1200|https://lh3.googleusercontent.com/pw/AP1GczN6OKRn57Y8_yaYP_CW7UHREJoyEiJoAvDb4G7JYFSzan0xCnYJXhKEeDXpv6nE-pyiuIcDDyTj3Egmpo5VADnkXK53l_nGowzCSbk15pSUsHqfhRjQ=w1200|https://lh3.googleusercontent.com/pw/AP1GczPtphnoQodMW"&amp;"PFZqFS6NfVqq3UuHRIDUEEodlXqyMPJIh83TiJ8gwL7Gqi4B9J1DXQNzYVqNPUCMqzap7Bsfynq99aCJW4KI6c6Cc3526Tmbnb3fOsl=w1200|https://lh3.googleusercontent.com/pw/AP1GczMhn1uQv_h5c7vm-IVw8m2I4mH36ApwS8qgpbnZCg4XvWvff1hKgLkgKhX1_xH-dOmDrUePfo_M8s-lQK62wMF64LR47SFVZ3Qnygc6"&amp;"sB1d6bIilpBe=w1200|https://lh3.googleusercontent.com/pw/AP1GczN29lEogbtxdddwzTOEYbEUMwuLLKs1QTL_cWZFZLv5EPxGDLDpUDtMJu5xktXH91J6jJ5NNeaemrVOWJy3Cm8-Uiy-7FJZZrmfmlYbCeb9FBg0g_LQ=w1200|https://lh3.googleusercontent.com/pw/AP1GczOH1G0iTc05hgQFtls_YtY_FTh0cwa"&amp;"sNkBp8l9QBLK_GIqMcVAmOkjJHYB9dPpRuqOiGieNjTigrl_CgtpWHcebrGgqIqYVVu299pqYDQCe91NajQK8=w1200|https://lh3.googleusercontent.com/pw/AP1GczNqG1hGpkfMjVwEIakzQf7oNLl48vl12Owv69L5F2odGWjJzHbrg984ePEFuH4u-4npZBDaRu3dsIuSGi5hgzI00maCRbMffsXqVZiU6hm1YPdH94-E=w1200"&amp;"|https://lh3.googleusercontent.com/pw/AP1GczNsRjqg81TPwmxW2ShS85Y4802uP_AIwPv5mXhVGqENfo-yvCbj2D3VVOwho_ZePHj6A5Km6NbTO9kWgKk4UmwrDvfAm_rQ6IZ0PlRyA0LQj5QGR1if=w1200|https://lh3.googleusercontent.com/pw/AP1GczPvAq5imbYuGAGko1YzzApMJxoDNKr-Js91nPnSqny4e2Zpt"&amp;"1aJI0NCrAX36KxECR8mKgm0Z-bIPP0g9n3iD87xKt9n3FjmWzEDcy5a46Ro7lUTHdqc=w1200|https://lh3.googleusercontent.com/pw/AP1GczN8TIDl04_UtSBfI1iXsFnF2czK78287Ec1r8OX1xarwsYKfEZsWvkrwMZgfTuvIjO5tUGd_cUG0hR9gPPt4HTEq7eLsY28XLNbBjV1iUb33-2OoLxp=w1200|https://lh3.googl"&amp;"eusercontent.com/pw/AP1GczOtVMvG2N03EzToErcmCVWvAw15Aiw_AO9BBWJUo1oZWAQ6hfSE1vi0K2pjLiveumcQK_GZs9SReeTTL1vwcx7-ESGDV35PysyCa9yIFO4qHEsMGt73=w1200|https://lh3.googleusercontent.com/pw/AP1GczNOiLeR25or88uUSJkPKtfigC43tjwMp9wsXWLHBSPhg48rfzZTdiwEkjmIDEW60QX"&amp;"LmPUZft1vDpJG4f07LmNkoLvGCYJnfekTqI5Kjua5Pgkfcu7y=w1200|https://lh3.googleusercontent.com/pw/AP1GczM7QZGebPsWAxHLWCiFN8tc9bLucZ70Kmq-vVeJDztBRy9GoQVFBheLUXSWairrgVxjsFV44hgNIuS8jOglnLUM-2AaL7OZhI5sppZM5fiGrwme6mXs=w1200")</f>
        <v>https://lh3.googleusercontent.com/pw/AP1GczNxIRMNC0gHpx2IiL18hcLDEDHxze7Ub4W5RGQ8G3Tz2dyOtvDWbs_MADDzVBBLNtT1885H00lKO0vXqAlmwxyRCyZ8uHbA2JcxbM3rksrh2zw7DnAs=w1200|https://lh3.googleusercontent.com/pw/AP1GczMMTGxK07dQ8m3hj2UMVYqKXxBMdTPVIbtMiwfHUkVd15mIq_G_4Sbu5znZpV3g2bNyM1w0i_nsCTDz_fkJBFhkRxwc7I5wL2Gt_9nfuGd3MTzciDJq=w1200|https://lh3.googleusercontent.com/pw/AP1GczP76VxuE3TeVQYcC3_jJXJL7b6crVSwuLEzvkJgFCZAS9ITH5U7mN2RISlgTEPUMF3YqS5Fw1DQwLv9HigEDEYjXARzds6AC421RXldMQDchCviTw0h=w1200|https://lh3.googleusercontent.com/pw/AP1GczNDO-xs_8oDgyVJgofw0noBulNcozwCusbd65OssY9mBIhlyXbPcG0O92aNq3e6Zwc0xYHQHKJLbIwoS2mXOJmVBhbUYlf-2vNXzwMEfAfNEqeMz-0E=w1200|https://lh3.googleusercontent.com/pw/AP1GczPUdgj3x11kvltkPDX76Bko997MpJ1v2tzns8hZzcgdN5jwcN1M0tBBTMQukH4LkjRWrnp6yYVEf13icHcH7bFoJqv__jKQBJe7Xacv5rVuLlkjspf8=w1200|https://lh3.googleusercontent.com/pw/AP1GczM1X9oivt67mfSHFKkK5f7ltULdxNb8b_3boU4fl8Gtm6LHonxql4c7yri-a-o_Q8tRDCnzV6notgC26P07Cmki1DwTsksd8qc-0Xj9bX2BGFgpDsbU=w1200|https://lh3.googleusercontent.com/pw/AP1GczOXkPvJmDgdMlTnq3JDiECf8ZOrfcL4fq6nvw8zQ-D-1RySMecxx852DFHpcw20ByKgSXdhZajOCdJvDma8xYHHhl-U5GGxovHLTFFXcyi8LKjFZRR6=w1200|https://lh3.googleusercontent.com/pw/AP1GczNrCKzbSLbIDWwWhmWXWq_YuquTufvpWlGoqtWfLK07zF6t8IipTsT3S4hTMwVIfgiqJ0y8oxaaukg1vmIcYtn7m6LHfcfFIgzW7e-9MiCh5ux72HDV=w1200|https://lh3.googleusercontent.com/pw/AP1GczN6OKRn57Y8_yaYP_CW7UHREJoyEiJoAvDb4G7JYFSzan0xCnYJXhKEeDXpv6nE-pyiuIcDDyTj3Egmpo5VADnkXK53l_nGowzCSbk15pSUsHqfhRjQ=w1200|https://lh3.googleusercontent.com/pw/AP1GczPtphnoQodMWPFZqFS6NfVqq3UuHRIDUEEodlXqyMPJIh83TiJ8gwL7Gqi4B9J1DXQNzYVqNPUCMqzap7Bsfynq99aCJW4KI6c6Cc3526Tmbnb3fOsl=w1200|https://lh3.googleusercontent.com/pw/AP1GczMhn1uQv_h5c7vm-IVw8m2I4mH36ApwS8qgpbnZCg4XvWvff1hKgLkgKhX1_xH-dOmDrUePfo_M8s-lQK62wMF64LR47SFVZ3Qnygc6sB1d6bIilpBe=w1200|https://lh3.googleusercontent.com/pw/AP1GczN29lEogbtxdddwzTOEYbEUMwuLLKs1QTL_cWZFZLv5EPxGDLDpUDtMJu5xktXH91J6jJ5NNeaemrVOWJy3Cm8-Uiy-7FJZZrmfmlYbCeb9FBg0g_LQ=w1200|https://lh3.googleusercontent.com/pw/AP1GczOH1G0iTc05hgQFtls_YtY_FTh0cwasNkBp8l9QBLK_GIqMcVAmOkjJHYB9dPpRuqOiGieNjTigrl_CgtpWHcebrGgqIqYVVu299pqYDQCe91NajQK8=w1200|https://lh3.googleusercontent.com/pw/AP1GczNqG1hGpkfMjVwEIakzQf7oNLl48vl12Owv69L5F2odGWjJzHbrg984ePEFuH4u-4npZBDaRu3dsIuSGi5hgzI00maCRbMffsXqVZiU6hm1YPdH94-E=w1200|https://lh3.googleusercontent.com/pw/AP1GczNsRjqg81TPwmxW2ShS85Y4802uP_AIwPv5mXhVGqENfo-yvCbj2D3VVOwho_ZePHj6A5Km6NbTO9kWgKk4UmwrDvfAm_rQ6IZ0PlRyA0LQj5QGR1if=w1200|https://lh3.googleusercontent.com/pw/AP1GczPvAq5imbYuGAGko1YzzApMJxoDNKr-Js91nPnSqny4e2Zpt1aJI0NCrAX36KxECR8mKgm0Z-bIPP0g9n3iD87xKt9n3FjmWzEDcy5a46Ro7lUTHdqc=w1200|https://lh3.googleusercontent.com/pw/AP1GczN8TIDl04_UtSBfI1iXsFnF2czK78287Ec1r8OX1xarwsYKfEZsWvkrwMZgfTuvIjO5tUGd_cUG0hR9gPPt4HTEq7eLsY28XLNbBjV1iUb33-2OoLxp=w1200|https://lh3.googleusercontent.com/pw/AP1GczOtVMvG2N03EzToErcmCVWvAw15Aiw_AO9BBWJUo1oZWAQ6hfSE1vi0K2pjLiveumcQK_GZs9SReeTTL1vwcx7-ESGDV35PysyCa9yIFO4qHEsMGt73=w1200|https://lh3.googleusercontent.com/pw/AP1GczNOiLeR25or88uUSJkPKtfigC43tjwMp9wsXWLHBSPhg48rfzZTdiwEkjmIDEW60QXLmPUZft1vDpJG4f07LmNkoLvGCYJnfekTqI5Kjua5Pgkfcu7y=w1200|https://lh3.googleusercontent.com/pw/AP1GczM7QZGebPsWAxHLWCiFN8tc9bLucZ70Kmq-vVeJDztBRy9GoQVFBheLUXSWairrgVxjsFV44hgNIuS8jOglnLUM-2AaL7OZhI5sppZM5fiGrwme6mXs=w1200</v>
      </c>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row>
    <row r="115">
      <c r="A115" s="87" t="str">
        <f>IFERROR(__xludf.DUMMYFUNCTION("""COMPUTED_VALUE"""),"1781 ")</f>
        <v>1781 </v>
      </c>
      <c r="B115" s="46" t="str">
        <f>IFERROR(__xludf.DUMMYFUNCTION("""COMPUTED_VALUE"""),"Apartamento en Conjunto Residencial Primavera Verde - Norte")</f>
        <v>Apartamento en Conjunto Residencial Primavera Verde - Norte</v>
      </c>
      <c r="C115" s="46" t="str">
        <f>IFERROR(__xludf.DUMMYFUNCTION("""COMPUTED_VALUE"""),"Apartamento en conjunto")</f>
        <v>Apartamento en conjunto</v>
      </c>
      <c r="D115" s="46"/>
      <c r="E115" s="46" t="str">
        <f>IFERROR(__xludf.DUMMYFUNCTION("""COMPUTED_VALUE"""),"Conjunto Residencial Primavera Verde")</f>
        <v>Conjunto Residencial Primavera Verde</v>
      </c>
      <c r="F115" s="90">
        <f>IFERROR(__xludf.DUMMYFUNCTION("""COMPUTED_VALUE"""),1.65E8)</f>
        <v>165000000</v>
      </c>
      <c r="G115" s="46" t="str">
        <f>IFERROR(__xludf.DUMMYFUNCTION("""COMPUTED_VALUE"""),"$100'000.000 a $200'000.000")</f>
        <v>$100'000.000 a $200'000.000</v>
      </c>
      <c r="H115" s="46"/>
      <c r="I115" s="46"/>
      <c r="J115" s="46" t="str">
        <f>IFERROR(__xludf.DUMMYFUNCTION("""COMPUTED_VALUE"""),"Norte")</f>
        <v>Norte</v>
      </c>
      <c r="K115" s="87" t="str">
        <f>IFERROR(__xludf.DUMMYFUNCTION("""COMPUTED_VALUE"""),"9")</f>
        <v>9</v>
      </c>
      <c r="L115" s="46">
        <f>IFERROR(__xludf.DUMMYFUNCTION("""COMPUTED_VALUE"""),3.0)</f>
        <v>3</v>
      </c>
      <c r="M115" s="46"/>
      <c r="N115" s="46">
        <f>IFERROR(__xludf.DUMMYFUNCTION("""COMPUTED_VALUE"""),2.0)</f>
        <v>2</v>
      </c>
      <c r="O115" s="46">
        <f>IFERROR(__xludf.DUMMYFUNCTION("""COMPUTED_VALUE"""),1.0)</f>
        <v>1</v>
      </c>
      <c r="P115" s="46">
        <f>IFERROR(__xludf.DUMMYFUNCTION("""COMPUTED_VALUE"""),3.0)</f>
        <v>3</v>
      </c>
      <c r="Q115" s="92">
        <f>IFERROR(__xludf.DUMMYFUNCTION("""COMPUTED_VALUE"""),59.0)</f>
        <v>59</v>
      </c>
      <c r="R115" s="92">
        <f>IFERROR(__xludf.DUMMYFUNCTION("""COMPUTED_VALUE"""),59.0)</f>
        <v>59</v>
      </c>
      <c r="S115" s="87" t="str">
        <f>IFERROR(__xludf.DUMMYFUNCTION("""COMPUTED_VALUE""")," ")</f>
        <v> </v>
      </c>
      <c r="T115" s="46" t="str">
        <f>IFERROR(__xludf.DUMMYFUNCTION("""COMPUTED_VALUE"""),"Neiva")</f>
        <v>Neiva</v>
      </c>
      <c r="U115" s="87" t="str">
        <f>IFERROR(__xludf.DUMMYFUNCTION("""COMPUTED_VALUE"""),"3")</f>
        <v>3</v>
      </c>
      <c r="V115" s="46" t="str">
        <f>IFERROR(__xludf.DUMMYFUNCTION("""COMPUTED_VALUE"""),"3er.")</f>
        <v>3er.</v>
      </c>
      <c r="W115" s="46"/>
      <c r="X115" s="46">
        <f>IFERROR(__xludf.DUMMYFUNCTION("""COMPUTED_VALUE"""),3.0)</f>
        <v>3</v>
      </c>
      <c r="Y115" s="46" t="str">
        <f>IFERROR(__xludf.DUMMYFUNCTION("""COMPUTED_VALUE"""),"Social")</f>
        <v>Social</v>
      </c>
      <c r="Z115" s="90"/>
      <c r="AA115" s="33" t="str">
        <f>IFERROR(__xludf.DUMMYFUNCTION("""COMPUTED_VALUE"""),"No aplica")</f>
        <v>No aplica</v>
      </c>
      <c r="AB115" s="96" t="str">
        <f>IFERROR(__xludf.DUMMYFUNCTION("""COMPUTED_VALUE"""),"https://photos.app.goo.gl/jv1k8dtgsJpjaN249")</f>
        <v>https://photos.app.goo.gl/jv1k8dtgsJpjaN249</v>
      </c>
      <c r="AC115" s="46" t="str">
        <f>IFERROR(__xludf.DUMMYFUNCTION("""COMPUTED_VALUE"""),"Conjunto Residencial Primavera Verde Apto con área de 59.0 m² | Estrato 3Consta de: Sala – Comedor Baño auxiliar Cocina Integral lavadero 3 habitaciones con closets en madera Balcón en sala-comedor Habitación principal con baño privado")</f>
        <v>Conjunto Residencial Primavera Verde Apto con área de 59.0 m² | Estrato 3Consta de: Sala – Comedor Baño auxiliar Cocina Integral lavadero 3 habitaciones con closets en madera Balcón en sala-comedor Habitación principal con baño privado</v>
      </c>
      <c r="AD115" s="46" t="str">
        <f>IFERROR(__xludf.DUMMYFUNCTION("""COMPUTED_VALUE"""),"Parqueadero comunal. Buenos acabados. Sector norte.")</f>
        <v>Parqueadero comunal. Buenos acabados. Sector norte.</v>
      </c>
      <c r="AE115" s="46"/>
      <c r="AF115" s="46" t="str">
        <f>IFERROR(__xludf.DUMMYFUNCTION("""COMPUTED_VALUE"""),"integral")</f>
        <v>integral</v>
      </c>
      <c r="AG115" s="46"/>
      <c r="AH115" s="46" t="str">
        <f>IFERROR(__xludf.DUMMYFUNCTION("""COMPUTED_VALUE"""),"Aliado")</f>
        <v>Aliado</v>
      </c>
      <c r="AI115" s="92" t="str">
        <f>IFERROR(__xludf.DUMMYFUNCTION("""COMPUTED_VALUE"""),"https://lh3.googleusercontent.com/pw/AP1GczMem56DbA61gcqf3UpQX7LdGGtPF5LQd0rnG7XtlJCHtOkwNQnHYTzF8KN78kvuIbrKMFUhoGvRFpaElSOhcq9eH6E2Fz1GKCH3qxTZUWDvbxzotyZ1=w1200|https://lh3.googleusercontent.com/pw/AP1GczOiGg_jB5R5xSyR4FPQ47QRVc2XB_zKxcN-WnolRRaTvckrjt"&amp;"66aJxxSlmqVDvhNYNp656LCI32FzUHadoZuh4HqCDHak4mEgC-MsxaP23UvQr39HK_=w1200|https://lh3.googleusercontent.com/pw/AP1GczMpUxi3WI9NEZOP_P9phhK996bX2Zy-7UNB5jCLQU3VlR6_syrYS32us45triPftAM6ti2oZes-JBBy56OreLoyK9tDZGmnZaLaNZ_sBvS7dF0cl8jn=w1200|https://lh3.google"&amp;"usercontent.com/pw/AP1GczMyMPZJ88ER3dfIPnCk5QxwZiPm4FHJNZaAcUCdYxvDbaQPQ5RHMvKE0F1QsK7BLCGmCXyjf4I5zpCMBU_Z8x5Cd5rlj7bwOUJDXjpjUAZXYrfBleeC=w1200|https://lh3.googleusercontent.com/pw/AP1GczMenzOBTEqjlA360qSpCVWyt92CC3ZC1_m3z4wpYfXW8aaCq-RbNll0-6al3LPfIkvR"&amp;"P1Gko8nTfUiuG7eJfgX5r9HOhJa2f25qfddP7J40YIME5fTb=w1200|https://lh3.googleusercontent.com/pw/AP1GczMSWUBONbR7_VxP2LmuCfaDZNQVNk2gTM_wgrjtUpkMJNFLe7rTAIi74lkWw9ggm4nbwMIvtzRmgxTu6-J6-GAhPKB9OARzAgNA5E0FzItBEbFJvUH3=w1200|https://lh3.googleusercontent.com/pw"&amp;"/AP1GczOFzj7NO-S-XSXTashhVWOg_zW5JsLVihpjaiIlzPWFeo3XCj9ZOzY3fNEq8pOnEOCG30LXJBRyY3nLyqj5u-Q8E59izgVpMwDT9vuh0NfdHt5_iYLS=w1200|https://lh3.googleusercontent.com/pw/AP1GczMCh61I50a80Rmc1cVNlgATu7-I_mFX8e6ypnVJP6Ggh9mDpftgivg2XS8Q52RVKamOP_3WmFyJPXNxQcKyv4"&amp;"WACNAsiR-KdXe3IQ8PjexsTLATnGu0=w1200|https://lh3.googleusercontent.com/pw/AP1GczP0zClYKyaBPr-ewN4M3_Rx1vjyp0cnt0svgKDtTuWK8LkW_cTixxgw1ZGoUIdyipHKb7GOAuoHM8Wy_DntLM_2QSU4RCzDa5qzyNmuRYac2tpEulky=w1200|https://lh3.googleusercontent.com/pw/AP1GczOkzU1iOojQz"&amp;"KMxAsRSI0DuM4DsJTRHQMUsCoyZCXk_l9colYkmTLnMNEM1n9vywxv2GdgYe78WqIVZz-_G4ewLx-GBOGKjHnGM7KlHjkFXwXONKPeO=w1200|https://lh3.googleusercontent.com/pw/AP1GczOFNCE4-d8TxPXVEWDd24DsUkPKDdPA-vOlvo0oH55xhT42mrQ811_sMr8k3OGR9DUEIUJbMe6s_YUl5-zunvK4Mf2JtchCIof-O9pI"&amp;"97MQFhkn3t2b=w1200|https://lh3.googleusercontent.com/pw/AP1GczNSRlDShVQdNzfR5Zu81eca62FB_x7mwYhz41O6GNigXO0KJxxxCkmij2fGoGBkMMS5_jqfu3IkRvA4TEAiEB0Car612utzF3lz3lajoWWDSopM8zn0=w1200|https://lh3.googleusercontent.com/pw/AP1GczMxsxg6liK-4H_TMbw4cWqrhhmfQ1G"&amp;"KwRdR-N8yColzYoNJtnqCvqa21nieW9oUpTDgiXnU-SCjapSPQi5WkltNTUp4RmfHc5_jNihSb_mSOBp4_Pb_=w1200|https://lh3.googleusercontent.com/pw/AP1GczNRyfo0oLTcBsox8nY7om3-wdYEbuYOTXEfdvwwfzwZjxN0RAo3GRjehRGNZ_t7zfhY1pwPbxRkplZJOjSB6bTOS6nrGDZE6skAT2Y_It4SFWvpzDve=w1200"&amp;"|https://lh3.googleusercontent.com/pw/AP1GczM-lSnAoSbalJt8jcu2COrw56YJ7VI_zpBFVtH8eudDY-0GQGc2b2-DLX69oP20JsJvVC8RJoUT0Y7brISA0oCW27fWA7bV11gjaPYgh64JvBjQhZCt=w1200|https://lh3.googleusercontent.com/pw/AP1GczNogikms1fha49H-9E3SoYgagzn-6WBg9YsS3QGB-86gFrdx"&amp;"IyIj5_UY_2Ayz37pRFnKSBCvOV34eS8MQvqYvxBYbakzCUgkejdOq1-v7wfBW2u38B0=w1200|https://lh3.googleusercontent.com/pw/AP1GczNcH1AdGqUp8W7sDwNhPTmo9Se3Md6r9SRmzyiMGpPIi8D-ax_SpvgK04DMerDsLzd4IYDBFKxwscUy0qRLFgiK4TfTO5FwX8Dm8smcLl9hCmO5nnYZ=w1200")</f>
        <v>https://lh3.googleusercontent.com/pw/AP1GczMem56DbA61gcqf3UpQX7LdGGtPF5LQd0rnG7XtlJCHtOkwNQnHYTzF8KN78kvuIbrKMFUhoGvRFpaElSOhcq9eH6E2Fz1GKCH3qxTZUWDvbxzotyZ1=w1200|https://lh3.googleusercontent.com/pw/AP1GczOiGg_jB5R5xSyR4FPQ47QRVc2XB_zKxcN-WnolRRaTvckrjt66aJxxSlmqVDvhNYNp656LCI32FzUHadoZuh4HqCDHak4mEgC-MsxaP23UvQr39HK_=w1200|https://lh3.googleusercontent.com/pw/AP1GczMpUxi3WI9NEZOP_P9phhK996bX2Zy-7UNB5jCLQU3VlR6_syrYS32us45triPftAM6ti2oZes-JBBy56OreLoyK9tDZGmnZaLaNZ_sBvS7dF0cl8jn=w1200|https://lh3.googleusercontent.com/pw/AP1GczMyMPZJ88ER3dfIPnCk5QxwZiPm4FHJNZaAcUCdYxvDbaQPQ5RHMvKE0F1QsK7BLCGmCXyjf4I5zpCMBU_Z8x5Cd5rlj7bwOUJDXjpjUAZXYrfBleeC=w1200|https://lh3.googleusercontent.com/pw/AP1GczMenzOBTEqjlA360qSpCVWyt92CC3ZC1_m3z4wpYfXW8aaCq-RbNll0-6al3LPfIkvRP1Gko8nTfUiuG7eJfgX5r9HOhJa2f25qfddP7J40YIME5fTb=w1200|https://lh3.googleusercontent.com/pw/AP1GczMSWUBONbR7_VxP2LmuCfaDZNQVNk2gTM_wgrjtUpkMJNFLe7rTAIi74lkWw9ggm4nbwMIvtzRmgxTu6-J6-GAhPKB9OARzAgNA5E0FzItBEbFJvUH3=w1200|https://lh3.googleusercontent.com/pw/AP1GczOFzj7NO-S-XSXTashhVWOg_zW5JsLVihpjaiIlzPWFeo3XCj9ZOzY3fNEq8pOnEOCG30LXJBRyY3nLyqj5u-Q8E59izgVpMwDT9vuh0NfdHt5_iYLS=w1200|https://lh3.googleusercontent.com/pw/AP1GczMCh61I50a80Rmc1cVNlgATu7-I_mFX8e6ypnVJP6Ggh9mDpftgivg2XS8Q52RVKamOP_3WmFyJPXNxQcKyv4WACNAsiR-KdXe3IQ8PjexsTLATnGu0=w1200|https://lh3.googleusercontent.com/pw/AP1GczP0zClYKyaBPr-ewN4M3_Rx1vjyp0cnt0svgKDtTuWK8LkW_cTixxgw1ZGoUIdyipHKb7GOAuoHM8Wy_DntLM_2QSU4RCzDa5qzyNmuRYac2tpEulky=w1200|https://lh3.googleusercontent.com/pw/AP1GczOkzU1iOojQzKMxAsRSI0DuM4DsJTRHQMUsCoyZCXk_l9colYkmTLnMNEM1n9vywxv2GdgYe78WqIVZz-_G4ewLx-GBOGKjHnGM7KlHjkFXwXONKPeO=w1200|https://lh3.googleusercontent.com/pw/AP1GczOFNCE4-d8TxPXVEWDd24DsUkPKDdPA-vOlvo0oH55xhT42mrQ811_sMr8k3OGR9DUEIUJbMe6s_YUl5-zunvK4Mf2JtchCIof-O9pI97MQFhkn3t2b=w1200|https://lh3.googleusercontent.com/pw/AP1GczNSRlDShVQdNzfR5Zu81eca62FB_x7mwYhz41O6GNigXO0KJxxxCkmij2fGoGBkMMS5_jqfu3IkRvA4TEAiEB0Car612utzF3lz3lajoWWDSopM8zn0=w1200|https://lh3.googleusercontent.com/pw/AP1GczMxsxg6liK-4H_TMbw4cWqrhhmfQ1GKwRdR-N8yColzYoNJtnqCvqa21nieW9oUpTDgiXnU-SCjapSPQi5WkltNTUp4RmfHc5_jNihSb_mSOBp4_Pb_=w1200|https://lh3.googleusercontent.com/pw/AP1GczNRyfo0oLTcBsox8nY7om3-wdYEbuYOTXEfdvwwfzwZjxN0RAo3GRjehRGNZ_t7zfhY1pwPbxRkplZJOjSB6bTOS6nrGDZE6skAT2Y_It4SFWvpzDve=w1200|https://lh3.googleusercontent.com/pw/AP1GczM-lSnAoSbalJt8jcu2COrw56YJ7VI_zpBFVtH8eudDY-0GQGc2b2-DLX69oP20JsJvVC8RJoUT0Y7brISA0oCW27fWA7bV11gjaPYgh64JvBjQhZCt=w1200|https://lh3.googleusercontent.com/pw/AP1GczNogikms1fha49H-9E3SoYgagzn-6WBg9YsS3QGB-86gFrdxIyIj5_UY_2Ayz37pRFnKSBCvOV34eS8MQvqYvxBYbakzCUgkejdOq1-v7wfBW2u38B0=w1200|https://lh3.googleusercontent.com/pw/AP1GczNcH1AdGqUp8W7sDwNhPTmo9Se3Md6r9SRmzyiMGpPIi8D-ax_SpvgK04DMerDsLzd4IYDBFKxwscUy0qRLFgiK4TfTO5FwX8Dm8smcLl9hCmO5nnYZ=w1200</v>
      </c>
      <c r="AJ115" s="46"/>
      <c r="AK115" s="46"/>
      <c r="AL115" s="46"/>
      <c r="AM115" s="46"/>
      <c r="AN115" s="46"/>
      <c r="AO115" s="46"/>
      <c r="AP115" s="46"/>
      <c r="AQ115" s="46"/>
      <c r="AR115" s="46"/>
      <c r="AS115" s="46"/>
      <c r="AT115" s="46"/>
      <c r="AU115" s="46"/>
      <c r="AV115" s="46"/>
      <c r="AW115" s="46"/>
      <c r="AX115" s="46"/>
      <c r="AY115" s="46"/>
      <c r="AZ115" s="46"/>
      <c r="BA115" s="46"/>
      <c r="BB115" s="46"/>
      <c r="BC115" s="46"/>
      <c r="BD115" s="46"/>
      <c r="BE115" s="46"/>
      <c r="BF115" s="46"/>
      <c r="BG115" s="46"/>
      <c r="BH115" s="46"/>
      <c r="BI115" s="46"/>
      <c r="BJ115" s="46"/>
      <c r="BK115" s="46"/>
      <c r="BL115" s="46"/>
      <c r="BM115" s="46"/>
      <c r="BN115" s="46"/>
      <c r="BO115" s="46"/>
      <c r="BP115" s="46"/>
      <c r="BQ115" s="46"/>
      <c r="BR115" s="46"/>
      <c r="BS115" s="46"/>
      <c r="BT115" s="46"/>
      <c r="BU115" s="46"/>
      <c r="BV115" s="46"/>
      <c r="BW115" s="46"/>
      <c r="BX115" s="46"/>
      <c r="BY115" s="46"/>
      <c r="BZ115" s="46"/>
      <c r="CA115" s="46"/>
      <c r="CB115" s="46"/>
      <c r="CC115" s="46"/>
    </row>
    <row r="116">
      <c r="A116" s="87" t="str">
        <f>IFERROR(__xludf.DUMMYFUNCTION("""COMPUTED_VALUE"""),"1728")</f>
        <v>1728</v>
      </c>
      <c r="B116" s="46" t="str">
        <f>IFERROR(__xludf.DUMMYFUNCTION("""COMPUTED_VALUE"""),"Apartamento en Conjunto Residencial Caminos de la Primavera - Av. 26")</f>
        <v>Apartamento en Conjunto Residencial Caminos de la Primavera - Av. 26</v>
      </c>
      <c r="C116" s="46" t="str">
        <f>IFERROR(__xludf.DUMMYFUNCTION("""COMPUTED_VALUE"""),"Apartamento en conjunto")</f>
        <v>Apartamento en conjunto</v>
      </c>
      <c r="D116" s="46"/>
      <c r="E116" s="90" t="str">
        <f>IFERROR(__xludf.DUMMYFUNCTION("""COMPUTED_VALUE"""),"Conjunto Caminos de la Primavera")</f>
        <v>Conjunto Caminos de la Primavera</v>
      </c>
      <c r="F116" s="90">
        <f>IFERROR(__xludf.DUMMYFUNCTION("""COMPUTED_VALUE"""),1.5E8)</f>
        <v>150000000</v>
      </c>
      <c r="G116" s="46" t="str">
        <f>IFERROR(__xludf.DUMMYFUNCTION("""COMPUTED_VALUE"""),"$100'000.000 a $200'000.000")</f>
        <v>$100'000.000 a $200'000.000</v>
      </c>
      <c r="H116" s="46"/>
      <c r="I116" s="46"/>
      <c r="J116" s="46" t="str">
        <f>IFERROR(__xludf.DUMMYFUNCTION("""COMPUTED_VALUE"""),"Norte")</f>
        <v>Norte</v>
      </c>
      <c r="K116" s="87"/>
      <c r="L116" s="46">
        <f>IFERROR(__xludf.DUMMYFUNCTION("""COMPUTED_VALUE"""),3.0)</f>
        <v>3</v>
      </c>
      <c r="M116" s="46"/>
      <c r="N116" s="46">
        <f>IFERROR(__xludf.DUMMYFUNCTION("""COMPUTED_VALUE"""),2.0)</f>
        <v>2</v>
      </c>
      <c r="O116" s="46">
        <f>IFERROR(__xludf.DUMMYFUNCTION("""COMPUTED_VALUE"""),1.0)</f>
        <v>1</v>
      </c>
      <c r="P116" s="46">
        <f>IFERROR(__xludf.DUMMYFUNCTION("""COMPUTED_VALUE"""),12.0)</f>
        <v>12</v>
      </c>
      <c r="Q116" s="92">
        <f>IFERROR(__xludf.DUMMYFUNCTION("""COMPUTED_VALUE"""),60.0)</f>
        <v>60</v>
      </c>
      <c r="R116" s="92">
        <f>IFERROR(__xludf.DUMMYFUNCTION("""COMPUTED_VALUE"""),60.0)</f>
        <v>60</v>
      </c>
      <c r="S116" s="87" t="str">
        <f>IFERROR(__xludf.DUMMYFUNCTION("""COMPUTED_VALUE""")," ")</f>
        <v> </v>
      </c>
      <c r="T116" s="46" t="str">
        <f>IFERROR(__xludf.DUMMYFUNCTION("""COMPUTED_VALUE"""),"Neiva")</f>
        <v>Neiva</v>
      </c>
      <c r="U116" s="87" t="str">
        <f>IFERROR(__xludf.DUMMYFUNCTION("""COMPUTED_VALUE"""),"2")</f>
        <v>2</v>
      </c>
      <c r="V116" s="46" t="str">
        <f>IFERROR(__xludf.DUMMYFUNCTION("""COMPUTED_VALUE"""),"12vo.")</f>
        <v>12vo.</v>
      </c>
      <c r="W116" s="46"/>
      <c r="X116" s="46">
        <f>IFERROR(__xludf.DUMMYFUNCTION("""COMPUTED_VALUE"""),3.0)</f>
        <v>3</v>
      </c>
      <c r="Y116" s="46" t="str">
        <f>IFERROR(__xludf.DUMMYFUNCTION("""COMPUTED_VALUE"""),"Social")</f>
        <v>Social</v>
      </c>
      <c r="Z116" s="90">
        <f>IFERROR(__xludf.DUMMYFUNCTION("""COMPUTED_VALUE"""),152000.0)</f>
        <v>152000</v>
      </c>
      <c r="AA116" s="33" t="str">
        <f>IFERROR(__xludf.DUMMYFUNCTION("""COMPUTED_VALUE"""),"No aplica")</f>
        <v>No aplica</v>
      </c>
      <c r="AB116" s="96" t="str">
        <f>IFERROR(__xludf.DUMMYFUNCTION("""COMPUTED_VALUE"""),"https://photos.app.goo.gl/rC3dGgGd2am9sQwL7")</f>
        <v>https://photos.app.goo.gl/rC3dGgGd2am9sQwL7</v>
      </c>
      <c r="AC116" s="46" t="str">
        <f>IFERROR(__xludf.DUMMYFUNCTION("""COMPUTED_VALUE"""),"APARTAMENTO CONJUNTO CAMINOS DE LA PRIMAVERA, con hermosa vista al interior del conjunto; confortable, con excelente iluminación y espacios acogedores, ubicado en zona norte de la ciudad, con un área construida de 60 m2. Características del apartamento: •"&amp;" Sala - Comedor •Balcón con malla de seguridad • 3 habitaciones • Cocina Integral • Parqueadero comunal • Closet en madera habitación principal• Baño auxiliar y baño privado • Zona de lavandería.")</f>
        <v>APARTAMENTO CONJUNTO CAMINOS DE LA PRIMAVERA, con hermosa vista al interior del conjunto; confortable, con excelente iluminación y espacios acogedores, ubicado en zona norte de la ciudad, con un área construida de 60 m2. Características del apartamento: • Sala - Comedor •Balcón con malla de seguridad • 3 habitaciones • Cocina Integral • Parqueadero comunal • Closet en madera habitación principal• Baño auxiliar y baño privado • Zona de lavandería.</v>
      </c>
      <c r="AD116" s="46" t="str">
        <f>IFERROR(__xludf.DUMMYFUNCTION("""COMPUTED_VALUE"""),"Conjunto bien ubicado y con buenos acabados.")</f>
        <v>Conjunto bien ubicado y con buenos acabados.</v>
      </c>
      <c r="AE116" s="46"/>
      <c r="AF116" s="46" t="str">
        <f>IFERROR(__xludf.DUMMYFUNCTION("""COMPUTED_VALUE"""),"integral")</f>
        <v>integral</v>
      </c>
      <c r="AG116" s="46"/>
      <c r="AH116" s="46" t="str">
        <f>IFERROR(__xludf.DUMMYFUNCTION("""COMPUTED_VALUE"""),"Aliado")</f>
        <v>Aliado</v>
      </c>
      <c r="AI116" s="92" t="str">
        <f>IFERROR(__xludf.DUMMYFUNCTION("""COMPUTED_VALUE"""),"https://lh3.googleusercontent.com/pw/AP1GczNKG7zxKVbdNylYR0EZ1TtoWIDPO4zpCAZhuJja9K2tjTYWBv9Psn6NiiCTkCLVRwaP2mB3qmUmS1wsfYJ0si1OgAY3GDTPg6Gl1o9pPYxB22YkIvsi=w1200|https://lh3.googleusercontent.com/pw/AP1GczM4Upn4jhIgdpgWi705tyQYfnLARJGfLEFRqO6AnnGF8YdHSS"&amp;"-egPmHdMzWbPHlI98j0Lstvq_gCe1p2RQNVKxXNT5HY6lUdUruKbRgMOoA5ROidmjH=w1200|https://lh3.googleusercontent.com/pw/AP1GczOm7wzqaYh97BPapox4wr1kv-uYN6w3FGIjs-XcdkAuLaHNRmsloce83nADIZwNbRMr0rwH0bOrNswJKnWaT663U9Bq5m9_2mYFKtMYchv3RLUKIkIH=w1200|https://lh3.google"&amp;"usercontent.com/pw/AP1GczO6_OPS-TAKI56mJA9nx0sMmi9ZxY7DQYGGXcfFyCKNBC-m4YFNmPXO9KpamUSwXUPDymag_UNFLn-ttS31KLyGjCBHwzwcGnDV7upA95wQR-0YVS7g=w1200|https://lh3.googleusercontent.com/pw/AP1GczOm2D_ZvgSsGqgxf2cR6CcPHvLoPRzWzKV3o_O2nGYSXhdjEk5B-Vrdpl7NdbXvHZsX"&amp;"QBmlJH-Y87NpiPWDfSkK0g6IfSx96dxKCwie5yYwUL8lVDbI=w1200|https://lh3.googleusercontent.com/pw/AP1GczM1YSCed7WCDI-cJY3_T3jXmOdWuzzBsi00KtuRByuXOHxQWL4w-XBGWvWTCKUIUDgCkC0UvewCvnSYmDOaFkawxpv_sny6edt3fDAYry6gE4UZY4pP=w1200|https://lh3.googleusercontent.com/pw"&amp;"/AP1GczMhQVjlkKNWWVyYIemi4EagvAXn13UM6Tr2Kd9Zeq4U3M0s8q7v1_OzRJR5D0sOUBKWSBC96V0Xthgnyw8zzK8jJG0I_o8uaPW1OxAvcMHPTns5VZT2=w1200|https://lh3.googleusercontent.com/pw/AP1GczNCLHDvA6qjNareNa6W98zvJtzwjTMsTe3GIk0H7YoaME3kooA8ZScYrra1zDPMblkUFFWLz5yZeGDGtrkHjA"&amp;"7XzXy0pXt-EZc7JY-0kjxQKEDVFDUC=w1200|https://lh3.googleusercontent.com/pw/AP1GczMmdP5ZFJ-qs1IEgMIcrOmuWiwDDxh6Nd9kpb7qFDAGjZy1BXuE2HAO5Z5uMRKSwEbf6fPqi9LeqNChkYu8gzYGZjgjtpvWIJLoAasmXvednb6MKTPj=w1200|https://lh3.googleusercontent.com/pw/AP1GczNWhVUAvVboo"&amp;"u-xoSnZ_2VlCamFfx_k4CyOYrEMMbwcSuIxxN4okxDU2QZ4WJ7TAcvagEh8ZKxez_lrM6i-ZhyGgzrOeMhl-cUEVlF2AncJ80OTx1AM=w1200|https://lh3.googleusercontent.com/pw/AP1GczPLNW7iPrDLtXe2ak98376tYKgyjlgf41eeVEpS5mylHlSftdNjzTBoAsWmP_qvh30lPF8FYxjNkwpzMVXcqNk8Jhbq8WeAmhvzHs7z"&amp;"cFSMS07g-DmE=w1200|https://lh3.googleusercontent.com/pw/AP1GczMo-D1qTx58eggM3-wpny1QxY4gJ6B9AztQxhTUoiG0HYiAs70BTx1st1m3q0tsbz1UtRFkzgp-cY3SKva4EeDTlJTCs4t_BSdtrdNzSJnviK-b-7Ju=w1200|https://lh3.googleusercontent.com/pw/AP1GczOrIVGRoeLQCPVV79Z4lcDqT8VQmjI"&amp;"BnvLo34wlLiRhkJpkDIyyWpAxbxgdCUYvdRiX4aBB_Q_UK71VLEUQnqfD5LLPDQqLg_4AnODQU0qZzf7NIsnf=w1200|https://lh3.googleusercontent.com/pw/AP1GczOMw7cFivivQOTYV0go8aeCke5WpTEE0mvQ5e4TWFwk-UTGTQQTo1qL2PAXU0pEVv1dVBZMAW4LOc9oglNgSNbL8m6TOVeV4ri76OkGkGIrjTAdXapY=w1200"&amp;"|https://lh3.googleusercontent.com/pw/AP1GczMO-ve4xsGIZhevMLbB_ZnPJFC2Ni0jxdvPTagrqLLFIdTLZNKQnQRvSFeHLAJwVBJzfun2lpKZu_P-eYQt6F-SuzNqbjJdGcoOpHdWnvUYOxNjtxIY=w1200|https://lh3.googleusercontent.com/pw/AP1GczPLKkYHBaf-qUeCeb2rdoOtA3FyafOOJf5twyqxWk9Xprl4v"&amp;"wK3Q0LcdMPQ6L8kiZ09-QgoSE5XZDxDjdg-DKN1wEBpKAZCxGWl9On_4nooNe3s-6Ex=w1200|https://lh3.googleusercontent.com/pw/AP1GczOLun7asRMaIEuYEL5ROmkowxt6tDSbT4NOeLNNmrxHENXvVNgF5p8Kn6E0PmXMJZqI-5kW063IcldoC45a7N86siyU0Pd2-kiclCQ9HdTCx6jewxHO=w1200")</f>
        <v>https://lh3.googleusercontent.com/pw/AP1GczNKG7zxKVbdNylYR0EZ1TtoWIDPO4zpCAZhuJja9K2tjTYWBv9Psn6NiiCTkCLVRwaP2mB3qmUmS1wsfYJ0si1OgAY3GDTPg6Gl1o9pPYxB22YkIvsi=w1200|https://lh3.googleusercontent.com/pw/AP1GczM4Upn4jhIgdpgWi705tyQYfnLARJGfLEFRqO6AnnGF8YdHSS-egPmHdMzWbPHlI98j0Lstvq_gCe1p2RQNVKxXNT5HY6lUdUruKbRgMOoA5ROidmjH=w1200|https://lh3.googleusercontent.com/pw/AP1GczOm7wzqaYh97BPapox4wr1kv-uYN6w3FGIjs-XcdkAuLaHNRmsloce83nADIZwNbRMr0rwH0bOrNswJKnWaT663U9Bq5m9_2mYFKtMYchv3RLUKIkIH=w1200|https://lh3.googleusercontent.com/pw/AP1GczO6_OPS-TAKI56mJA9nx0sMmi9ZxY7DQYGGXcfFyCKNBC-m4YFNmPXO9KpamUSwXUPDymag_UNFLn-ttS31KLyGjCBHwzwcGnDV7upA95wQR-0YVS7g=w1200|https://lh3.googleusercontent.com/pw/AP1GczOm2D_ZvgSsGqgxf2cR6CcPHvLoPRzWzKV3o_O2nGYSXhdjEk5B-Vrdpl7NdbXvHZsXQBmlJH-Y87NpiPWDfSkK0g6IfSx96dxKCwie5yYwUL8lVDbI=w1200|https://lh3.googleusercontent.com/pw/AP1GczM1YSCed7WCDI-cJY3_T3jXmOdWuzzBsi00KtuRByuXOHxQWL4w-XBGWvWTCKUIUDgCkC0UvewCvnSYmDOaFkawxpv_sny6edt3fDAYry6gE4UZY4pP=w1200|https://lh3.googleusercontent.com/pw/AP1GczMhQVjlkKNWWVyYIemi4EagvAXn13UM6Tr2Kd9Zeq4U3M0s8q7v1_OzRJR5D0sOUBKWSBC96V0Xthgnyw8zzK8jJG0I_o8uaPW1OxAvcMHPTns5VZT2=w1200|https://lh3.googleusercontent.com/pw/AP1GczNCLHDvA6qjNareNa6W98zvJtzwjTMsTe3GIk0H7YoaME3kooA8ZScYrra1zDPMblkUFFWLz5yZeGDGtrkHjA7XzXy0pXt-EZc7JY-0kjxQKEDVFDUC=w1200|https://lh3.googleusercontent.com/pw/AP1GczMmdP5ZFJ-qs1IEgMIcrOmuWiwDDxh6Nd9kpb7qFDAGjZy1BXuE2HAO5Z5uMRKSwEbf6fPqi9LeqNChkYu8gzYGZjgjtpvWIJLoAasmXvednb6MKTPj=w1200|https://lh3.googleusercontent.com/pw/AP1GczNWhVUAvVboou-xoSnZ_2VlCamFfx_k4CyOYrEMMbwcSuIxxN4okxDU2QZ4WJ7TAcvagEh8ZKxez_lrM6i-ZhyGgzrOeMhl-cUEVlF2AncJ80OTx1AM=w1200|https://lh3.googleusercontent.com/pw/AP1GczPLNW7iPrDLtXe2ak98376tYKgyjlgf41eeVEpS5mylHlSftdNjzTBoAsWmP_qvh30lPF8FYxjNkwpzMVXcqNk8Jhbq8WeAmhvzHs7zcFSMS07g-DmE=w1200|https://lh3.googleusercontent.com/pw/AP1GczMo-D1qTx58eggM3-wpny1QxY4gJ6B9AztQxhTUoiG0HYiAs70BTx1st1m3q0tsbz1UtRFkzgp-cY3SKva4EeDTlJTCs4t_BSdtrdNzSJnviK-b-7Ju=w1200|https://lh3.googleusercontent.com/pw/AP1GczOrIVGRoeLQCPVV79Z4lcDqT8VQmjIBnvLo34wlLiRhkJpkDIyyWpAxbxgdCUYvdRiX4aBB_Q_UK71VLEUQnqfD5LLPDQqLg_4AnODQU0qZzf7NIsnf=w1200|https://lh3.googleusercontent.com/pw/AP1GczOMw7cFivivQOTYV0go8aeCke5WpTEE0mvQ5e4TWFwk-UTGTQQTo1qL2PAXU0pEVv1dVBZMAW4LOc9oglNgSNbL8m6TOVeV4ri76OkGkGIrjTAdXapY=w1200|https://lh3.googleusercontent.com/pw/AP1GczMO-ve4xsGIZhevMLbB_ZnPJFC2Ni0jxdvPTagrqLLFIdTLZNKQnQRvSFeHLAJwVBJzfun2lpKZu_P-eYQt6F-SuzNqbjJdGcoOpHdWnvUYOxNjtxIY=w1200|https://lh3.googleusercontent.com/pw/AP1GczPLKkYHBaf-qUeCeb2rdoOtA3FyafOOJf5twyqxWk9Xprl4vwK3Q0LcdMPQ6L8kiZ09-QgoSE5XZDxDjdg-DKN1wEBpKAZCxGWl9On_4nooNe3s-6Ex=w1200|https://lh3.googleusercontent.com/pw/AP1GczOLun7asRMaIEuYEL5ROmkowxt6tDSbT4NOeLNNmrxHENXvVNgF5p8Kn6E0PmXMJZqI-5kW063IcldoC45a7N86siyU0Pd2-kiclCQ9HdTCx6jewxHO=w1200</v>
      </c>
      <c r="AJ116" s="46"/>
      <c r="AK116" s="46"/>
      <c r="AL116" s="46"/>
      <c r="AM116" s="46"/>
      <c r="AN116" s="46"/>
      <c r="AO116" s="46"/>
      <c r="AP116" s="46"/>
      <c r="AQ116" s="46"/>
      <c r="AR116" s="46"/>
      <c r="AS116" s="46"/>
      <c r="AT116" s="46"/>
      <c r="AU116" s="46"/>
      <c r="AV116" s="46"/>
      <c r="AW116" s="46"/>
      <c r="AX116" s="46"/>
      <c r="AY116" s="46"/>
      <c r="AZ116" s="46"/>
      <c r="BA116" s="46"/>
      <c r="BB116" s="46"/>
      <c r="BC116" s="46"/>
      <c r="BD116" s="46"/>
      <c r="BE116" s="46"/>
      <c r="BF116" s="46"/>
      <c r="BG116" s="46"/>
      <c r="BH116" s="46"/>
      <c r="BI116" s="46"/>
      <c r="BJ116" s="46"/>
      <c r="BK116" s="46"/>
      <c r="BL116" s="46"/>
      <c r="BM116" s="46"/>
      <c r="BN116" s="46"/>
      <c r="BO116" s="46"/>
      <c r="BP116" s="46"/>
      <c r="BQ116" s="46"/>
      <c r="BR116" s="46"/>
      <c r="BS116" s="46"/>
      <c r="BT116" s="46"/>
      <c r="BU116" s="46"/>
      <c r="BV116" s="46"/>
      <c r="BW116" s="46"/>
      <c r="BX116" s="46"/>
      <c r="BY116" s="46"/>
      <c r="BZ116" s="46"/>
      <c r="CA116" s="46"/>
      <c r="CB116" s="46"/>
      <c r="CC116" s="46"/>
    </row>
    <row r="117">
      <c r="A117" s="87" t="str">
        <f>IFERROR(__xludf.DUMMYFUNCTION("""COMPUTED_VALUE"""),"1364")</f>
        <v>1364</v>
      </c>
      <c r="B117" s="46" t="str">
        <f>IFERROR(__xludf.DUMMYFUNCTION("""COMPUTED_VALUE"""),"Apartamento en edificio Arrayanes II - Terminal")</f>
        <v>Apartamento en edificio Arrayanes II - Terminal</v>
      </c>
      <c r="C117" s="46" t="str">
        <f>IFERROR(__xludf.DUMMYFUNCTION("""COMPUTED_VALUE"""),"Apartamento")</f>
        <v>Apartamento</v>
      </c>
      <c r="D117" s="46"/>
      <c r="E117" s="90"/>
      <c r="F117" s="90">
        <f>IFERROR(__xludf.DUMMYFUNCTION("""COMPUTED_VALUE"""),1.4E8)</f>
        <v>140000000</v>
      </c>
      <c r="G117" s="46" t="str">
        <f>IFERROR(__xludf.DUMMYFUNCTION("""COMPUTED_VALUE"""),"$100'000.000 a $200'000.000")</f>
        <v>$100'000.000 a $200'000.000</v>
      </c>
      <c r="H117" s="46"/>
      <c r="I117" s="46"/>
      <c r="J117" s="46" t="str">
        <f>IFERROR(__xludf.DUMMYFUNCTION("""COMPUTED_VALUE"""),"Sur")</f>
        <v>Sur</v>
      </c>
      <c r="K117" s="87" t="str">
        <f>IFERROR(__xludf.DUMMYFUNCTION("""COMPUTED_VALUE"""),"6")</f>
        <v>6</v>
      </c>
      <c r="L117" s="46">
        <f>IFERROR(__xludf.DUMMYFUNCTION("""COMPUTED_VALUE"""),3.0)</f>
        <v>3</v>
      </c>
      <c r="M117" s="46"/>
      <c r="N117" s="46">
        <f>IFERROR(__xludf.DUMMYFUNCTION("""COMPUTED_VALUE"""),2.0)</f>
        <v>2</v>
      </c>
      <c r="O117" s="46">
        <f>IFERROR(__xludf.DUMMYFUNCTION("""COMPUTED_VALUE"""),1.0)</f>
        <v>1</v>
      </c>
      <c r="P117" s="46">
        <f>IFERROR(__xludf.DUMMYFUNCTION("""COMPUTED_VALUE"""),4.0)</f>
        <v>4</v>
      </c>
      <c r="Q117" s="92">
        <f>IFERROR(__xludf.DUMMYFUNCTION("""COMPUTED_VALUE"""),66.0)</f>
        <v>66</v>
      </c>
      <c r="R117" s="92">
        <f>IFERROR(__xludf.DUMMYFUNCTION("""COMPUTED_VALUE"""),66.0)</f>
        <v>66</v>
      </c>
      <c r="S117" s="87" t="str">
        <f>IFERROR(__xludf.DUMMYFUNCTION("""COMPUTED_VALUE""")," ")</f>
        <v> </v>
      </c>
      <c r="T117" s="46" t="str">
        <f>IFERROR(__xludf.DUMMYFUNCTION("""COMPUTED_VALUE"""),"Neiva")</f>
        <v>Neiva</v>
      </c>
      <c r="U117" s="87" t="str">
        <f>IFERROR(__xludf.DUMMYFUNCTION("""COMPUTED_VALUE"""),"3")</f>
        <v>3</v>
      </c>
      <c r="V117" s="46" t="str">
        <f>IFERROR(__xludf.DUMMYFUNCTION("""COMPUTED_VALUE"""),"4to.")</f>
        <v>4to.</v>
      </c>
      <c r="W117" s="46"/>
      <c r="X117" s="46">
        <f>IFERROR(__xludf.DUMMYFUNCTION("""COMPUTED_VALUE"""),3.0)</f>
        <v>3</v>
      </c>
      <c r="Y117" s="46" t="str">
        <f>IFERROR(__xludf.DUMMYFUNCTION("""COMPUTED_VALUE"""),"Social")</f>
        <v>Social</v>
      </c>
      <c r="Z117" s="90">
        <f>IFERROR(__xludf.DUMMYFUNCTION("""COMPUTED_VALUE"""),0.0)</f>
        <v>0</v>
      </c>
      <c r="AA117" s="33" t="str">
        <f>IFERROR(__xludf.DUMMYFUNCTION("""COMPUTED_VALUE"""),"No aplica")</f>
        <v>No aplica</v>
      </c>
      <c r="AB117" s="96" t="str">
        <f>IFERROR(__xludf.DUMMYFUNCTION("""COMPUTED_VALUE"""),"https://photos.app.goo.gl/TbsW1hAt4KSnHdCx7")</f>
        <v>https://photos.app.goo.gl/TbsW1hAt4KSnHdCx7</v>
      </c>
      <c r="AC117" s="46" t="str">
        <f>IFERROR(__xludf.DUMMYFUNCTION("""COMPUTED_VALUE"""),"Apartamento ubicado en un 4to, piso, en zona sur de la ciudad, con un área de 66.56 M2, estrato 3, consta de tres habitaciones la principal con baño privado, cada una de ella con closet en madera, sala-comedor, baño auxiliar, cocina integral, zona de lava"&amp;"ndería, garaje, piso en cerámica, cielo Razo en driwall. el conjunto ofrece jardines infantiles, salón social, administración, vigilancia las 24 horas, garaje para visitantes, una piscina, no cuenta con ascensor.")</f>
        <v>Apartamento ubicado en un 4to, piso, en zona sur de la ciudad, con un área de 66.56 M2, estrato 3, consta de tres habitaciones la principal con baño privado, cada una de ella con closet en madera, sala-comedor, baño auxiliar, cocina integral, zona de lavandería, garaje, piso en cerámica, cielo Razo en driwall. el conjunto ofrece jardines infantiles, salón social, administración, vigilancia las 24 horas, garaje para visitantes, una piscina, no cuenta con ascensor.</v>
      </c>
      <c r="AD117" s="46" t="str">
        <f>IFERROR(__xludf.DUMMYFUNCTION("""COMPUTED_VALUE"""),"Apartamento bien ubicado y con buenos acabados.")</f>
        <v>Apartamento bien ubicado y con buenos acabados.</v>
      </c>
      <c r="AE117" s="46"/>
      <c r="AF117" s="46" t="str">
        <f>IFERROR(__xludf.DUMMYFUNCTION("""COMPUTED_VALUE"""),"integral")</f>
        <v>integral</v>
      </c>
      <c r="AG117" s="46"/>
      <c r="AH117" s="46" t="str">
        <f>IFERROR(__xludf.DUMMYFUNCTION("""COMPUTED_VALUE"""),"Aliado")</f>
        <v>Aliado</v>
      </c>
      <c r="AI117" s="92" t="str">
        <f>IFERROR(__xludf.DUMMYFUNCTION("""COMPUTED_VALUE"""),"https://lh3.googleusercontent.com/pw/AP1GczOdDRlzrSOquFfjbOfQyHuVuQLOb0oNLtZa70lamy_1K6rSPRznck-avJQL4X6nhQlNrn3y9GQYWojw6kh3l6LYq_jdzMEx3DBdKnhQPHcKsjEGpmGw=w1200|https://lh3.googleusercontent.com/pw/AP1GczNHHxwI8VPT0WA6SO0IdkGgne5xZZzBadrcfHE_bsI7Kqs8iM"&amp;"Q2bLVTbQ5qd8OQcCNzGpwDJmJLVyy9-rWmuiA9D0Z6c0yCjN29pX2aO1yRHJWPifMe=w1200|https://lh3.googleusercontent.com/pw/AP1GczP4ZN8sFtvA75T8_HDSa87rTR6wJW42vepP5Nj8t3S8RAef8c0waYg9F5aoQVbfyvrJ3YG1kOBkVk-nndmVDWh2wmVKzENyu6Z6mM2NxQ0R3fXxAkLK=w1200|https://lh3.google"&amp;"usercontent.com/pw/AP1GczPKGBlFhl2TudOR18qi0JMAQnjcwBK5ZnY2HYrDRWpbjKI3gmHsEmxsgNeLioRiSyM8q83Zc9F8uU6nuUQa0DjmVgklUxsz5Qje_ke399rCZ_VHHYHX=w1200|https://lh3.googleusercontent.com/pw/AP1GczPBIUxRc1ZJq63BpuihziebymIpWAmYjwSSoi0JGjDy8chfo4PthGGBMBA36iGDQ_Cb"&amp;"lG6xcHbMmF_iM7HyW0ov-vPUe3qSAxCgM2Zi8wfWn8NJpZQu=w1200|https://lh3.googleusercontent.com/pw/AP1GczNu5abjCuqUpGkFEWGdiMFaxOGtMTNeT2KGHavdEKSDeH7fhQlocEFJ3uu0D4O1OIAn6FZxi2Jee5HXPGxOxhPRc36IRk76dJwE-UeHp-I7oNj_RpPx=w1200|https://lh3.googleusercontent.com/pw"&amp;"/AP1GczPOmK6kVqVLVkBiF1JO_wowQcSbSL-m545GiJuxejcNvf6mZ5pf2wtu3uycfGDQ7bCDy750rtiAlL6zNLOXk6ppO8vxbqRG_1Lg92VNnk738LzrrLza=w1200|https://lh3.googleusercontent.com/pw/AP1GczPjOsWPEUBA0Dmrrbgg2BMgQkLxoz1xMwqensvsmKJTIT4AymPEPHf3-H99JZGjHoxax5PoEe-IW5jrwhvRbk"&amp;"2_5HQAUNxLcEEkdiUNPO_-xvAy_RWA=w1200|https://lh3.googleusercontent.com/pw/AP1GczOGKo0wMMbdvz2zafhUVKzUFw1XoXlpdcma6n5Uj3Ybj6LHT0IA5RaQ0dHcc-hi1yHXNVNgbCaZfE_EQo6BOLlhM7308CyQMukL92Py7cpwhojwG3nq=w1200|https://lh3.googleusercontent.com/pw/AP1GczM58tpdg64Vx"&amp;"lxrLMkVECEBNozm-q69eBHSkGZsMz1jp7xgBm33Os_CrVZzcDWNarMpfaLBCWzjR-WvV2Is4SlkeMpVx74l7ZzmPfn5i9dXg0gKjMb_=w1200|https://lh3.googleusercontent.com/pw/AP1GczMuwcf_ZbBm_Q2sqaN219Ooe6a-O0RQSjH8N10tYD5heT8nLziVhFuqDJrvnvC4I5ojMgjTLt4gq3MzSwffHBuime5MRg-exqUmZpH1"&amp;"k_KLJSWSvlrk=w1200|https://lh3.googleusercontent.com/pw/AP1GczNMDjmWy6g37cBzQvej_X-ZqiDpt2Wk2qZYvA44y1Sjk2MLWpFpfjtBeeimHlT4U79vuipc5yB8REdSjtKfPfD27iR5oMdeN2IbUboqtU3BxSHyRiwu=w1200|https://lh3.googleusercontent.com/pw/AP1GczN_j_4G1N0w7B7AEpZ0RT68iK0S4_V"&amp;"_dmNl1fJL0SvMxZBHXX4QtGpmRhIlNcY3FyKj7dlNQDYKxDjAqS639KcwWwMhC0hzqPMg2w99DUWF77xf6UuA=w1200")</f>
        <v>https://lh3.googleusercontent.com/pw/AP1GczOdDRlzrSOquFfjbOfQyHuVuQLOb0oNLtZa70lamy_1K6rSPRznck-avJQL4X6nhQlNrn3y9GQYWojw6kh3l6LYq_jdzMEx3DBdKnhQPHcKsjEGpmGw=w1200|https://lh3.googleusercontent.com/pw/AP1GczNHHxwI8VPT0WA6SO0IdkGgne5xZZzBadrcfHE_bsI7Kqs8iMQ2bLVTbQ5qd8OQcCNzGpwDJmJLVyy9-rWmuiA9D0Z6c0yCjN29pX2aO1yRHJWPifMe=w1200|https://lh3.googleusercontent.com/pw/AP1GczP4ZN8sFtvA75T8_HDSa87rTR6wJW42vepP5Nj8t3S8RAef8c0waYg9F5aoQVbfyvrJ3YG1kOBkVk-nndmVDWh2wmVKzENyu6Z6mM2NxQ0R3fXxAkLK=w1200|https://lh3.googleusercontent.com/pw/AP1GczPKGBlFhl2TudOR18qi0JMAQnjcwBK5ZnY2HYrDRWpbjKI3gmHsEmxsgNeLioRiSyM8q83Zc9F8uU6nuUQa0DjmVgklUxsz5Qje_ke399rCZ_VHHYHX=w1200|https://lh3.googleusercontent.com/pw/AP1GczPBIUxRc1ZJq63BpuihziebymIpWAmYjwSSoi0JGjDy8chfo4PthGGBMBA36iGDQ_CblG6xcHbMmF_iM7HyW0ov-vPUe3qSAxCgM2Zi8wfWn8NJpZQu=w1200|https://lh3.googleusercontent.com/pw/AP1GczNu5abjCuqUpGkFEWGdiMFaxOGtMTNeT2KGHavdEKSDeH7fhQlocEFJ3uu0D4O1OIAn6FZxi2Jee5HXPGxOxhPRc36IRk76dJwE-UeHp-I7oNj_RpPx=w1200|https://lh3.googleusercontent.com/pw/AP1GczPOmK6kVqVLVkBiF1JO_wowQcSbSL-m545GiJuxejcNvf6mZ5pf2wtu3uycfGDQ7bCDy750rtiAlL6zNLOXk6ppO8vxbqRG_1Lg92VNnk738LzrrLza=w1200|https://lh3.googleusercontent.com/pw/AP1GczPjOsWPEUBA0Dmrrbgg2BMgQkLxoz1xMwqensvsmKJTIT4AymPEPHf3-H99JZGjHoxax5PoEe-IW5jrwhvRbk2_5HQAUNxLcEEkdiUNPO_-xvAy_RWA=w1200|https://lh3.googleusercontent.com/pw/AP1GczOGKo0wMMbdvz2zafhUVKzUFw1XoXlpdcma6n5Uj3Ybj6LHT0IA5RaQ0dHcc-hi1yHXNVNgbCaZfE_EQo6BOLlhM7308CyQMukL92Py7cpwhojwG3nq=w1200|https://lh3.googleusercontent.com/pw/AP1GczM58tpdg64VxlxrLMkVECEBNozm-q69eBHSkGZsMz1jp7xgBm33Os_CrVZzcDWNarMpfaLBCWzjR-WvV2Is4SlkeMpVx74l7ZzmPfn5i9dXg0gKjMb_=w1200|https://lh3.googleusercontent.com/pw/AP1GczMuwcf_ZbBm_Q2sqaN219Ooe6a-O0RQSjH8N10tYD5heT8nLziVhFuqDJrvnvC4I5ojMgjTLt4gq3MzSwffHBuime5MRg-exqUmZpH1k_KLJSWSvlrk=w1200|https://lh3.googleusercontent.com/pw/AP1GczNMDjmWy6g37cBzQvej_X-ZqiDpt2Wk2qZYvA44y1Sjk2MLWpFpfjtBeeimHlT4U79vuipc5yB8REdSjtKfPfD27iR5oMdeN2IbUboqtU3BxSHyRiwu=w1200|https://lh3.googleusercontent.com/pw/AP1GczN_j_4G1N0w7B7AEpZ0RT68iK0S4_V_dmNl1fJL0SvMxZBHXX4QtGpmRhIlNcY3FyKj7dlNQDYKxDjAqS639KcwWwMhC0hzqPMg2w99DUWF77xf6UuA=w1200</v>
      </c>
      <c r="AJ117" s="46"/>
      <c r="AK117" s="46"/>
      <c r="AL117" s="46"/>
      <c r="AM117" s="46"/>
      <c r="AN117" s="46"/>
      <c r="AO117" s="46"/>
      <c r="AP117" s="46"/>
      <c r="AQ117" s="46"/>
      <c r="AR117" s="46"/>
      <c r="AS117" s="46"/>
      <c r="AT117" s="46"/>
      <c r="AU117" s="46"/>
      <c r="AV117" s="46"/>
      <c r="AW117" s="46"/>
      <c r="AX117" s="46"/>
      <c r="AY117" s="46"/>
      <c r="AZ117" s="46"/>
      <c r="BA117" s="46"/>
      <c r="BB117" s="46"/>
      <c r="BC117" s="46"/>
      <c r="BD117" s="46"/>
      <c r="BE117" s="46"/>
      <c r="BF117" s="46"/>
      <c r="BG117" s="46"/>
      <c r="BH117" s="46"/>
      <c r="BI117" s="46"/>
      <c r="BJ117" s="46"/>
      <c r="BK117" s="46"/>
      <c r="BL117" s="46"/>
      <c r="BM117" s="46"/>
      <c r="BN117" s="46"/>
      <c r="BO117" s="46"/>
      <c r="BP117" s="46"/>
      <c r="BQ117" s="46"/>
      <c r="BR117" s="46"/>
      <c r="BS117" s="46"/>
      <c r="BT117" s="46"/>
      <c r="BU117" s="46"/>
      <c r="BV117" s="46"/>
      <c r="BW117" s="46"/>
      <c r="BX117" s="46"/>
      <c r="BY117" s="46"/>
      <c r="BZ117" s="46"/>
      <c r="CA117" s="46"/>
      <c r="CB117" s="46"/>
      <c r="CC117" s="46"/>
    </row>
    <row r="118">
      <c r="A118" s="87" t="str">
        <f>IFERROR(__xludf.DUMMYFUNCTION("""COMPUTED_VALUE"""),"1413")</f>
        <v>1413</v>
      </c>
      <c r="B118" s="46" t="str">
        <f>IFERROR(__xludf.DUMMYFUNCTION("""COMPUTED_VALUE"""),"Apartamento en edificio Los Angeles - Los Martires")</f>
        <v>Apartamento en edificio Los Angeles - Los Martires</v>
      </c>
      <c r="C118" s="46" t="str">
        <f>IFERROR(__xludf.DUMMYFUNCTION("""COMPUTED_VALUE"""),"Apartamento")</f>
        <v>Apartamento</v>
      </c>
      <c r="D118" s="46" t="str">
        <f>IFERROR(__xludf.DUMMYFUNCTION("""COMPUTED_VALUE"""),"Centro")</f>
        <v>Centro</v>
      </c>
      <c r="E118" s="90"/>
      <c r="F118" s="90">
        <f>IFERROR(__xludf.DUMMYFUNCTION("""COMPUTED_VALUE"""),1.38E8)</f>
        <v>138000000</v>
      </c>
      <c r="G118" s="46" t="str">
        <f>IFERROR(__xludf.DUMMYFUNCTION("""COMPUTED_VALUE"""),"$100'000.000 a $200'000.000")</f>
        <v>$100'000.000 a $200'000.000</v>
      </c>
      <c r="H118" s="46"/>
      <c r="I118" s="46"/>
      <c r="J118" s="46" t="str">
        <f>IFERROR(__xludf.DUMMYFUNCTION("""COMPUTED_VALUE"""),"Centro")</f>
        <v>Centro</v>
      </c>
      <c r="K118" s="87" t="str">
        <f>IFERROR(__xludf.DUMMYFUNCTION("""COMPUTED_VALUE"""),"4")</f>
        <v>4</v>
      </c>
      <c r="L118" s="46">
        <f>IFERROR(__xludf.DUMMYFUNCTION("""COMPUTED_VALUE"""),2.0)</f>
        <v>2</v>
      </c>
      <c r="M118" s="46"/>
      <c r="N118" s="46">
        <f>IFERROR(__xludf.DUMMYFUNCTION("""COMPUTED_VALUE"""),1.0)</f>
        <v>1</v>
      </c>
      <c r="O118" s="46">
        <f>IFERROR(__xludf.DUMMYFUNCTION("""COMPUTED_VALUE"""),1.0)</f>
        <v>1</v>
      </c>
      <c r="P118" s="46">
        <f>IFERROR(__xludf.DUMMYFUNCTION("""COMPUTED_VALUE"""),1.0)</f>
        <v>1</v>
      </c>
      <c r="Q118" s="92">
        <f>IFERROR(__xludf.DUMMYFUNCTION("""COMPUTED_VALUE"""),38.33)</f>
        <v>38.33</v>
      </c>
      <c r="R118" s="92">
        <f>IFERROR(__xludf.DUMMYFUNCTION("""COMPUTED_VALUE"""),38.33)</f>
        <v>38.33</v>
      </c>
      <c r="S118" s="87" t="str">
        <f>IFERROR(__xludf.DUMMYFUNCTION("""COMPUTED_VALUE""")," ")</f>
        <v> </v>
      </c>
      <c r="T118" s="46" t="str">
        <f>IFERROR(__xludf.DUMMYFUNCTION("""COMPUTED_VALUE"""),"Neiva")</f>
        <v>Neiva</v>
      </c>
      <c r="U118" s="87" t="str">
        <f>IFERROR(__xludf.DUMMYFUNCTION("""COMPUTED_VALUE"""),"3")</f>
        <v>3</v>
      </c>
      <c r="V118" s="46" t="str">
        <f>IFERROR(__xludf.DUMMYFUNCTION("""COMPUTED_VALUE"""),"1ro.")</f>
        <v>1ro.</v>
      </c>
      <c r="W118" s="46"/>
      <c r="X118" s="46">
        <f>IFERROR(__xludf.DUMMYFUNCTION("""COMPUTED_VALUE"""),2.0)</f>
        <v>2</v>
      </c>
      <c r="Y118" s="46" t="str">
        <f>IFERROR(__xludf.DUMMYFUNCTION("""COMPUTED_VALUE"""),"No tiene")</f>
        <v>No tiene</v>
      </c>
      <c r="Z118" s="90">
        <f>IFERROR(__xludf.DUMMYFUNCTION("""COMPUTED_VALUE"""),0.0)</f>
        <v>0</v>
      </c>
      <c r="AA118" s="33" t="str">
        <f>IFERROR(__xludf.DUMMYFUNCTION("""COMPUTED_VALUE"""),"No aplica")</f>
        <v>No aplica</v>
      </c>
      <c r="AB118" s="96" t="str">
        <f>IFERROR(__xludf.DUMMYFUNCTION("""COMPUTED_VALUE"""),"https://photos.app.goo.gl/JniekKRCHtykWEdv8")</f>
        <v>https://photos.app.goo.gl/JniekKRCHtykWEdv8</v>
      </c>
      <c r="AC118" s="46" t="str">
        <f>IFERROR(__xludf.DUMMYFUNCTION("""COMPUTED_VALUE"""),"APATAMENTOS ubicados en el barrio los Mártires en el Edificio Los Ángeles. Con un área de 38,33 m2, consta de 2 habitaciones con closets en madera, sala-comedor, cocina integral, 1 baño, Smart home, zonas sociales/verdes, parqueadero cubierto, con todos l"&amp;"os servicios públicos. Apartamentos disponibles en primer piso (102,103,108 y 109) en el segundo piso: (211y 212) y en el tercer piso: (301,304,305,306,307 y 310).")</f>
        <v>APATAMENTOS ubicados en el barrio los Mártires en el Edificio Los Ángeles. Con un área de 38,33 m2, consta de 2 habitaciones con closets en madera, sala-comedor, cocina integral, 1 baño, Smart home, zonas sociales/verdes, parqueadero cubierto, con todos los servicios públicos. Apartamentos disponibles en primer piso (102,103,108 y 109) en el segundo piso: (211y 212) y en el tercer piso: (301,304,305,306,307 y 310).</v>
      </c>
      <c r="AD118" s="46" t="str">
        <f>IFERROR(__xludf.DUMMYFUNCTION("""COMPUTED_VALUE"""),"Apartamento bien ubicado y con buenos acabados.")</f>
        <v>Apartamento bien ubicado y con buenos acabados.</v>
      </c>
      <c r="AE118" s="46"/>
      <c r="AF118" s="46" t="str">
        <f>IFERROR(__xludf.DUMMYFUNCTION("""COMPUTED_VALUE"""),"integral")</f>
        <v>integral</v>
      </c>
      <c r="AG118" s="46"/>
      <c r="AH118" s="46" t="str">
        <f>IFERROR(__xludf.DUMMYFUNCTION("""COMPUTED_VALUE"""),"Aliado")</f>
        <v>Aliado</v>
      </c>
      <c r="AI118" s="92" t="str">
        <f>IFERROR(__xludf.DUMMYFUNCTION("""COMPUTED_VALUE"""),"https://lh3.googleusercontent.com/pw/AP1GczNxq6S_bRXI39_RB-Sp96dZHlY9YVieRQnNkrofblAdJJmrDrkuZL7O8WXbOwCIo5i3YiDPpfZnktgQFCvkI5ldck7g-buI71fIsy7BWyJNEI1NAQrS=w1200|https://lh3.googleusercontent.com/pw/AP1GczN2XYrhDMr-Ty7WT3WdjJP3HnEnZoV_g10DZdpIwImNl4Iilh"&amp;"H5WnEVkegOW_nYpzyVNtsI00pFCDgVt_zhgBzSrWGX5LshvWO8_parNspxN2TXcuxG=w1200|https://lh3.googleusercontent.com/pw/AP1GczMC80I2KEsJt41SM7g9fzsUu6sB8Dnfsie37IJQGcKS19ysYZ0Wq3-k3x3y-KUFIjwd62oCItO1M_w2XZESaW_i2vxt-M4INny7yz4XsKe7ZWVCYk_v=w1200|https://lh3.google"&amp;"usercontent.com/pw/AP1GczP_O7De1NKt9fh3lCgTCqBnXzR3wPJlPEjnoOweBAjVFIFkF4FGEEZ5M4GtCXk3SNDlWpB7JwZA6IXj5YnzcLHTg_6nrGJlGigTFIh12H7-DwaDCNXg=w1200|https://lh3.googleusercontent.com/pw/AP1GczPsy75QFj8QV_wqdQMoUF9PxwQsHN0NINMjKimnglzY8XgbsKMivoS17bCHjaeZvbJN"&amp;"7GaIq6YGJOHZHYbemyJz7VzAra05CoQrmUwRpDq8-NwwBuXt=w1200|https://lh3.googleusercontent.com/pw/AP1GczN2NAHX2dKEm8nNrQWhwYKw7sL66OxpkiqhYUc4ZEsIBhQlmcQQ7wc2jQATKY741sQulLyelFxpqOwbyW0fynaY8GXpE1sk810jksj4grNszVEogdCC=w1200|https://lh3.googleusercontent.com/pw"&amp;"/AP1GczNWRXTGoLytSluYSivKMtYi_KZmmXmkLlKtP5C-XTdYgGBo-OdeEjVxtv3tK_hEX-jdGdinRlrwW0c-7NSwVrIlV2pU0MQsBKMS6qteMWsT8FIzXdfF=w1200|https://lh3.googleusercontent.com/pw/AP1GczPbIbQUoPz-0L7sPQ668jPX-6gqJ1wc1oHTzRsF_S9cmZbKoQ-Am0RBkyttfj6sM_BY0duEln7SRQ7Xl2egMZ"&amp;"70eWY6Fn2ZO03LcBgCOAGFMBR-45ZY=w1200|https://lh3.googleusercontent.com/pw/AP1GczM2bCQZ-wbWot2aX020vb1cmyaZQOScodvPAT_ha_ODc3rqIjiHCVr0DwLNlDTnwHe1UmF_pqkB1EERrZpUwsSzu3-jEycukDxFoLrwJw8NSVY9hSO_=w1200|https://lh3.googleusercontent.com/pw/AP1GczMnKR9ADhO9E"&amp;"GLw7EkbKuiT-gS7HEqlbc6YohGuICvxpNmwjN6uWihWvTnsaOxJv6m7Gl9nmpZLqX0cPprLolN36Vuf9E-FV6CoUxXv-ac9xjO-B5-2=w1200|https://lh3.googleusercontent.com/pw/AP1GczOfcOP2vIn6pwnMfRVSTBCZ2YDOrc7FAvupOvQ787rWfmQTSq5J1WtDuZkMTtEpUSIl3eYkkz-g0a_7PpHQlOX9TCLOCkikTEAiiiDI"&amp;"9rG_WVKzXMD7=w1200|https://lh3.googleusercontent.com/pw/AP1GczOT3ajaqQSuFKMRVLmJKRcTp3xV6UbHYF9bnkhKRBlMqmoQSAl4caXbUiIDUJEIX-2ueiFVq3fXlHsIwIHVgw2wSoVto66F_WmkNTAvRqp0CD-fHhpC=w1200|https://lh3.googleusercontent.com/pw/AP1GczO7AYXVn7z9Xfmckk1sSrr5t7_hUh5"&amp;"MGSuFwxCAfz5qZWmFkFI1LEfL1HIDYc6mRnVsa3p5NKNYR55bY1lZhKSi3nTlxz_4UFqDD2WHRDG41byOMmcK=w1200|https://lh3.googleusercontent.com/pw/AP1GczNGkZty5mt4O6X1XpHIU6x__NpQgRmR6BhVPiZI-tUkDTFZsnfRQgvv2yJRx1Pbq3V4XJrqzsGNcQiaWLwbRbSQiqmTVrqHdoGfFRrAzG73-SIst-ud=w1200"&amp;"|https://lh3.googleusercontent.com/pw/AP1GczPpMuEIgoKq9OtEMVuVwlNbmX9k-Iyc41xuJqZNr3bwmhQ1MmsXnDsPrqefjKxGhjfAJ0vptBFSb7_xLNat8RAYQn08_RyUDQSVWbXDj1VfhT7Q8wh-=w1200")</f>
        <v>https://lh3.googleusercontent.com/pw/AP1GczNxq6S_bRXI39_RB-Sp96dZHlY9YVieRQnNkrofblAdJJmrDrkuZL7O8WXbOwCIo5i3YiDPpfZnktgQFCvkI5ldck7g-buI71fIsy7BWyJNEI1NAQrS=w1200|https://lh3.googleusercontent.com/pw/AP1GczN2XYrhDMr-Ty7WT3WdjJP3HnEnZoV_g10DZdpIwImNl4IilhH5WnEVkegOW_nYpzyVNtsI00pFCDgVt_zhgBzSrWGX5LshvWO8_parNspxN2TXcuxG=w1200|https://lh3.googleusercontent.com/pw/AP1GczMC80I2KEsJt41SM7g9fzsUu6sB8Dnfsie37IJQGcKS19ysYZ0Wq3-k3x3y-KUFIjwd62oCItO1M_w2XZESaW_i2vxt-M4INny7yz4XsKe7ZWVCYk_v=w1200|https://lh3.googleusercontent.com/pw/AP1GczP_O7De1NKt9fh3lCgTCqBnXzR3wPJlPEjnoOweBAjVFIFkF4FGEEZ5M4GtCXk3SNDlWpB7JwZA6IXj5YnzcLHTg_6nrGJlGigTFIh12H7-DwaDCNXg=w1200|https://lh3.googleusercontent.com/pw/AP1GczPsy75QFj8QV_wqdQMoUF9PxwQsHN0NINMjKimnglzY8XgbsKMivoS17bCHjaeZvbJN7GaIq6YGJOHZHYbemyJz7VzAra05CoQrmUwRpDq8-NwwBuXt=w1200|https://lh3.googleusercontent.com/pw/AP1GczN2NAHX2dKEm8nNrQWhwYKw7sL66OxpkiqhYUc4ZEsIBhQlmcQQ7wc2jQATKY741sQulLyelFxpqOwbyW0fynaY8GXpE1sk810jksj4grNszVEogdCC=w1200|https://lh3.googleusercontent.com/pw/AP1GczNWRXTGoLytSluYSivKMtYi_KZmmXmkLlKtP5C-XTdYgGBo-OdeEjVxtv3tK_hEX-jdGdinRlrwW0c-7NSwVrIlV2pU0MQsBKMS6qteMWsT8FIzXdfF=w1200|https://lh3.googleusercontent.com/pw/AP1GczPbIbQUoPz-0L7sPQ668jPX-6gqJ1wc1oHTzRsF_S9cmZbKoQ-Am0RBkyttfj6sM_BY0duEln7SRQ7Xl2egMZ70eWY6Fn2ZO03LcBgCOAGFMBR-45ZY=w1200|https://lh3.googleusercontent.com/pw/AP1GczM2bCQZ-wbWot2aX020vb1cmyaZQOScodvPAT_ha_ODc3rqIjiHCVr0DwLNlDTnwHe1UmF_pqkB1EERrZpUwsSzu3-jEycukDxFoLrwJw8NSVY9hSO_=w1200|https://lh3.googleusercontent.com/pw/AP1GczMnKR9ADhO9EGLw7EkbKuiT-gS7HEqlbc6YohGuICvxpNmwjN6uWihWvTnsaOxJv6m7Gl9nmpZLqX0cPprLolN36Vuf9E-FV6CoUxXv-ac9xjO-B5-2=w1200|https://lh3.googleusercontent.com/pw/AP1GczOfcOP2vIn6pwnMfRVSTBCZ2YDOrc7FAvupOvQ787rWfmQTSq5J1WtDuZkMTtEpUSIl3eYkkz-g0a_7PpHQlOX9TCLOCkikTEAiiiDI9rG_WVKzXMD7=w1200|https://lh3.googleusercontent.com/pw/AP1GczOT3ajaqQSuFKMRVLmJKRcTp3xV6UbHYF9bnkhKRBlMqmoQSAl4caXbUiIDUJEIX-2ueiFVq3fXlHsIwIHVgw2wSoVto66F_WmkNTAvRqp0CD-fHhpC=w1200|https://lh3.googleusercontent.com/pw/AP1GczO7AYXVn7z9Xfmckk1sSrr5t7_hUh5MGSuFwxCAfz5qZWmFkFI1LEfL1HIDYc6mRnVsa3p5NKNYR55bY1lZhKSi3nTlxz_4UFqDD2WHRDG41byOMmcK=w1200|https://lh3.googleusercontent.com/pw/AP1GczNGkZty5mt4O6X1XpHIU6x__NpQgRmR6BhVPiZI-tUkDTFZsnfRQgvv2yJRx1Pbq3V4XJrqzsGNcQiaWLwbRbSQiqmTVrqHdoGfFRrAzG73-SIst-ud=w1200|https://lh3.googleusercontent.com/pw/AP1GczPpMuEIgoKq9OtEMVuVwlNbmX9k-Iyc41xuJqZNr3bwmhQ1MmsXnDsPrqefjKxGhjfAJ0vptBFSb7_xLNat8RAYQn08_RyUDQSVWbXDj1VfhT7Q8wh-=w1200</v>
      </c>
      <c r="AJ118" s="46"/>
      <c r="AK118" s="46"/>
      <c r="AL118" s="46"/>
      <c r="AM118" s="46"/>
      <c r="AN118" s="46"/>
      <c r="AO118" s="46"/>
      <c r="AP118" s="46"/>
      <c r="AQ118" s="46"/>
      <c r="AR118" s="46"/>
      <c r="AS118" s="46"/>
      <c r="AT118" s="46"/>
      <c r="AU118" s="46"/>
      <c r="AV118" s="46"/>
      <c r="AW118" s="46"/>
      <c r="AX118" s="46"/>
      <c r="AY118" s="46"/>
      <c r="AZ118" s="46"/>
      <c r="BA118" s="46"/>
      <c r="BB118" s="46"/>
      <c r="BC118" s="46"/>
      <c r="BD118" s="46"/>
      <c r="BE118" s="46"/>
      <c r="BF118" s="46"/>
      <c r="BG118" s="46"/>
      <c r="BH118" s="46"/>
      <c r="BI118" s="46"/>
      <c r="BJ118" s="46"/>
      <c r="BK118" s="46"/>
      <c r="BL118" s="46"/>
      <c r="BM118" s="46"/>
      <c r="BN118" s="46"/>
      <c r="BO118" s="46"/>
      <c r="BP118" s="46"/>
      <c r="BQ118" s="46"/>
      <c r="BR118" s="46"/>
      <c r="BS118" s="46"/>
      <c r="BT118" s="46"/>
      <c r="BU118" s="46"/>
      <c r="BV118" s="46"/>
      <c r="BW118" s="46"/>
      <c r="BX118" s="46"/>
      <c r="BY118" s="46"/>
      <c r="BZ118" s="46"/>
      <c r="CA118" s="46"/>
      <c r="CB118" s="46"/>
      <c r="CC118" s="46"/>
    </row>
    <row r="119">
      <c r="A119" s="87" t="str">
        <f>IFERROR(__xludf.DUMMYFUNCTION("""COMPUTED_VALUE"""),"1730")</f>
        <v>1730</v>
      </c>
      <c r="B119" s="46" t="str">
        <f>IFERROR(__xludf.DUMMYFUNCTION("""COMPUTED_VALUE"""),"Lote campestre en conjunto Condominio Campestre Altos de la Sabana - Palermo - Z. Industrial")</f>
        <v>Lote campestre en conjunto Condominio Campestre Altos de la Sabana - Palermo - Z. Industrial</v>
      </c>
      <c r="C119" s="46" t="str">
        <f>IFERROR(__xludf.DUMMYFUNCTION("""COMPUTED_VALUE"""),"Lote campestre en conjunto")</f>
        <v>Lote campestre en conjunto</v>
      </c>
      <c r="D119" s="46"/>
      <c r="E119" s="46" t="str">
        <f>IFERROR(__xludf.DUMMYFUNCTION("""COMPUTED_VALUE"""),"Conjunto Condominio Campestre Altos de la Sabana.")</f>
        <v>Conjunto Condominio Campestre Altos de la Sabana.</v>
      </c>
      <c r="F119" s="90">
        <f>IFERROR(__xludf.DUMMYFUNCTION("""COMPUTED_VALUE"""),1.3E8)</f>
        <v>130000000</v>
      </c>
      <c r="G119" s="46" t="str">
        <f>IFERROR(__xludf.DUMMYFUNCTION("""COMPUTED_VALUE"""),"$100'000.000 a $200'000.000")</f>
        <v>$100'000.000 a $200'000.000</v>
      </c>
      <c r="H119" s="46"/>
      <c r="I119" s="46"/>
      <c r="J119" s="46" t="str">
        <f>IFERROR(__xludf.DUMMYFUNCTION("""COMPUTED_VALUE"""),"Occidente")</f>
        <v>Occidente</v>
      </c>
      <c r="K119" s="87"/>
      <c r="L119" s="46">
        <f>IFERROR(__xludf.DUMMYFUNCTION("""COMPUTED_VALUE"""),0.0)</f>
        <v>0</v>
      </c>
      <c r="M119" s="46"/>
      <c r="N119" s="46">
        <f>IFERROR(__xludf.DUMMYFUNCTION("""COMPUTED_VALUE"""),0.0)</f>
        <v>0</v>
      </c>
      <c r="O119" s="46">
        <f>IFERROR(__xludf.DUMMYFUNCTION("""COMPUTED_VALUE"""),0.0)</f>
        <v>0</v>
      </c>
      <c r="P119" s="46">
        <f>IFERROR(__xludf.DUMMYFUNCTION("""COMPUTED_VALUE"""),0.0)</f>
        <v>0</v>
      </c>
      <c r="Q119" s="92">
        <f>IFERROR(__xludf.DUMMYFUNCTION("""COMPUTED_VALUE"""),0.0)</f>
        <v>0</v>
      </c>
      <c r="R119" s="92">
        <f>IFERROR(__xludf.DUMMYFUNCTION("""COMPUTED_VALUE"""),528.0)</f>
        <v>528</v>
      </c>
      <c r="S119" s="87" t="str">
        <f>IFERROR(__xludf.DUMMYFUNCTION("""COMPUTED_VALUE""")," ")</f>
        <v> </v>
      </c>
      <c r="T119" s="46" t="str">
        <f>IFERROR(__xludf.DUMMYFUNCTION("""COMPUTED_VALUE"""),"Palermo")</f>
        <v>Palermo</v>
      </c>
      <c r="U119" s="87"/>
      <c r="V119" s="46" t="str">
        <f>IFERROR(__xludf.DUMMYFUNCTION("""COMPUTED_VALUE"""),"Medianera")</f>
        <v>Medianera</v>
      </c>
      <c r="W119" s="46"/>
      <c r="X119" s="46">
        <f>IFERROR(__xludf.DUMMYFUNCTION("""COMPUTED_VALUE"""),0.0)</f>
        <v>0</v>
      </c>
      <c r="Y119" s="46" t="str">
        <f>IFERROR(__xludf.DUMMYFUNCTION("""COMPUTED_VALUE"""),"Social")</f>
        <v>Social</v>
      </c>
      <c r="Z119" s="90">
        <f>IFERROR(__xludf.DUMMYFUNCTION("""COMPUTED_VALUE"""),272000.0)</f>
        <v>272000</v>
      </c>
      <c r="AA119" s="33" t="str">
        <f>IFERROR(__xludf.DUMMYFUNCTION("""COMPUTED_VALUE"""),"No aplica")</f>
        <v>No aplica</v>
      </c>
      <c r="AB119" s="96" t="str">
        <f>IFERROR(__xludf.DUMMYFUNCTION("""COMPUTED_VALUE"""),"https://photos.app.goo.gl/F5WuKdw9XdcZ8r2c9")</f>
        <v>https://photos.app.goo.gl/F5WuKdw9XdcZ8r2c9</v>
      </c>
      <c r="AC119" s="46" t="str">
        <f>IFERROR(__xludf.DUMMYFUNCTION("""COMPUTED_VALUE"""),"El lote en conjunto, cuenta con portería y sala de espera, plazoleta con locales comerciales, cancha de voleibol, cancha de tennis, cancha de baloncesto, cancha de futbol 8 en grama sintética, piscina tipo sinfin para adultos, piscina para niños, zona de "&amp;"bronceado, parque infantil totalmente dotado, gimnasio biosaludable,  senderos ecologicos y  zona de picnic.")</f>
        <v>El lote en conjunto, cuenta con portería y sala de espera, plazoleta con locales comerciales, cancha de voleibol, cancha de tennis, cancha de baloncesto, cancha de futbol 8 en grama sintética, piscina tipo sinfin para adultos, piscina para niños, zona de bronceado, parque infantil totalmente dotado, gimnasio biosaludable,  senderos ecologicos y  zona de picnic.</v>
      </c>
      <c r="AD119" s="46" t="str">
        <f>IFERROR(__xludf.DUMMYFUNCTION("""COMPUTED_VALUE"""),"Además, cuenta con dos salones sociales para eventos (capacidad 700 y 300 personas), oratorio totalmente dotado,parqueadero de visitantes dentro del conjunto, iluminación con paneles solares, acueducto subterraneo propio.")</f>
        <v>Además, cuenta con dos salones sociales para eventos (capacidad 700 y 300 personas), oratorio totalmente dotado,parqueadero de visitantes dentro del conjunto, iluminación con paneles solares, acueducto subterraneo propio.</v>
      </c>
      <c r="AE119" s="46"/>
      <c r="AF119" s="46">
        <f>IFERROR(__xludf.DUMMYFUNCTION("""COMPUTED_VALUE"""),0.0)</f>
        <v>0</v>
      </c>
      <c r="AG119" s="46"/>
      <c r="AH119" s="46" t="str">
        <f>IFERROR(__xludf.DUMMYFUNCTION("""COMPUTED_VALUE"""),"Aliado")</f>
        <v>Aliado</v>
      </c>
      <c r="AI119" s="92" t="str">
        <f>IFERROR(__xludf.DUMMYFUNCTION("""COMPUTED_VALUE"""),"https://lh3.googleusercontent.com/pw/AP1GczPAs-0s6QolWO97U7bzrrsrEibAWSYvbLo3qk0BiULmFUasVb_8KYVZ3vRkFBYUhIi5tOvAMz_20pw5rb42j2B3sE40eCN_O8CG5Y_GLgM8v2berJ1Y=w1200|https://lh3.googleusercontent.com/pw/AP1GczOMTzZxLLRigxO04COWWvvVqAvnHCKELEnD5vRCSktRIIDj60"&amp;"R6myd7ENRKKTmmLZ4nUO6rr8ZIg53DEn6alTrduOZBe_hbpZrsbC0bNU_6s9ElkqS7=w1200|https://lh3.googleusercontent.com/pw/AP1GczPSjFNsdBwVYMmAxIYbrQvXEsYlrIkt1l9TsTOwKTT4uctBknbTyiVYHUUIaxS-z4ZPXQGn2Y0TsUgrqkQJlgXCCPUJ45wmI_0SWSYaIxMUzeQXEfx8=w1200|https://lh3.google"&amp;"usercontent.com/pw/AP1GczOYBIhRnv1Tophlo8trfI4inmXXG57nHexhlnZdrgl54zkfkrmIlDgtX0WrQaJxsirWR6Ext73yHKBz4VVU1RacyOrg6UAMBkj0ijzWxc6EWjjwB0lS=w1200|https://lh3.googleusercontent.com/pw/AP1GczOJ4JvS-uLA5ZKucVE-wTE1dbgi9qMnh3I6pYksc_5nzdBzG189WAmroeanNlir-JxI"&amp;"cRo1gxaYCv08ixX6cMhFYUQ_3K69BpAPzTfkXhHySqFtntX8=w1200|https://lh3.googleusercontent.com/pw/AP1GczO7-Td4ZmRwit-DIPJ7Gv7pEtK3_2s2H7lL_I6lwQtNgZ9GRy97KZIXOYiHFwqS5FSZw-pi2IqrEaREu4UhnPzWhH6NUhQ99g6Y8qtmt0lHJxMiOL-f=w1200|https://lh3.googleusercontent.com/pw"&amp;"/AP1GczOhODpHC2cpT9eU9SSfuzZu2ROpPdpr0FEKhbW9rMy_O3q2ZJa_SvH4VW7VnybHdE73WlMtmTzG3D2cinISa11ZB-d6uZGmWui3X2ZPNLAXt7dOMhYI=w1200|https://lh3.googleusercontent.com/pw/AP1GczNFSwZleojqYXJoFRtJ5pd1zjNZD3F7CApUEKyjkXldlnSrFCVsB0j0KJym-iTvVIkqMlxewtPDG35d89V8T1"&amp;"GUdnXpi_7rV_zp5GxhseGNGPCoHxsB=w1200|https://lh3.googleusercontent.com/pw/AP1GczPe9cFcE8C_MwYYfEI4AUreyncrETSt01i9rHcVSWPOokn-SiIBN8cU9cgkmr6wsQFzWo_mhXFl0g1n_g10VcS1IAehmCgJw2e_ksByt_SF5fLdqwKc=w1200|https://lh3.googleusercontent.com/pw/AP1GczOwJ8Ul-mWiD"&amp;"sz3uyYkL8Y2agKbQyf2vmMNtWH5fQpicZ-BmmbPQKvuBz0SwRuFTslBloSJKrZFh1PS31BXsOux10f1f2caZFsRNPEUP2lGIF4w3us4=w1200|https://lh3.googleusercontent.com/pw/AP1GczM6ZfIHNT-Nv5wZcS93Od3Td2CtbqiTEW-plWggGWJzlCeW0LJemJlUl3hv-OVV1VRBZvZGBJZXtMgVRJBcLBkfx5za5_uEo5F5NkmO"&amp;"WUJ7F4nHDHIA=w1200|https://lh3.googleusercontent.com/pw/AP1GczMcgt8l936xj0EQzVXppvAoNm-Mww1mk42hchbOL7vxi3DH484KBgKBgpxBxvUl-RdSY8SEd2jrVQ-JUjKpks5ea4KIuLbCSz1uD-QVCXfnxL55qSHS=w1200|https://lh3.googleusercontent.com/pw/AP1GczM2tM0Y5GsIty-v5SF9PfclXyhSTbT"&amp;"Lx-0fQcVQoJpWIumac69gkW57JKjLCLCaoHzy3hfsWLI_zt09F_31DKciRWY0dHmI7HGg8RHun7B4npqqhjmm=w1200|https://lh3.googleusercontent.com/pw/AP1GczNifV4b93ffUaxSqbCziUXXfOvIEemFWfBkOgsN8O3IgjJg1pRz0Bu-UblHDRzkk3IV4_ICXNLEziy5BYdRetvcPTQZYxOdLiZugpAUCYhOt4c6cyvB=w1200"&amp;"|https://lh3.googleusercontent.com/pw/AP1GczNLpbfsAUGg_7RtPHWceRkqakiPFefyrFpHb_gXBJMFVWevCL_aw4dubNqpXt9o-2Txtr72pLkKKpWuLHODktYQjwx5crkM3RruOKgiGaHeYb_f1JZf=w1200|https://lh3.googleusercontent.com/pw/AP1GczPWV9pEtsswoYONG2xHaQ2Kz6i2SOE4OjN0AqmFe2oW_caD_"&amp;"oz7nZytVgA9JUA689KHbZLe_xMq2IdCbEq-AlfUh5IbMnFNJSx0EjKtOKQVRaU8lVmr=w1200|https://lh3.googleusercontent.com/pw/AP1GczOpHYcFpsEpGjZrEG7Gp1YdVB9mcPL4WRi4FU6BFej5fyGWcJsSy79H1tXIj70OI5niqX6QYXN9uIDcU5JMi4JWOoKxM0ODVHPU0efctBEoLQFFvx85=w1200")</f>
        <v>https://lh3.googleusercontent.com/pw/AP1GczPAs-0s6QolWO97U7bzrrsrEibAWSYvbLo3qk0BiULmFUasVb_8KYVZ3vRkFBYUhIi5tOvAMz_20pw5rb42j2B3sE40eCN_O8CG5Y_GLgM8v2berJ1Y=w1200|https://lh3.googleusercontent.com/pw/AP1GczOMTzZxLLRigxO04COWWvvVqAvnHCKELEnD5vRCSktRIIDj60R6myd7ENRKKTmmLZ4nUO6rr8ZIg53DEn6alTrduOZBe_hbpZrsbC0bNU_6s9ElkqS7=w1200|https://lh3.googleusercontent.com/pw/AP1GczPSjFNsdBwVYMmAxIYbrQvXEsYlrIkt1l9TsTOwKTT4uctBknbTyiVYHUUIaxS-z4ZPXQGn2Y0TsUgrqkQJlgXCCPUJ45wmI_0SWSYaIxMUzeQXEfx8=w1200|https://lh3.googleusercontent.com/pw/AP1GczOYBIhRnv1Tophlo8trfI4inmXXG57nHexhlnZdrgl54zkfkrmIlDgtX0WrQaJxsirWR6Ext73yHKBz4VVU1RacyOrg6UAMBkj0ijzWxc6EWjjwB0lS=w1200|https://lh3.googleusercontent.com/pw/AP1GczOJ4JvS-uLA5ZKucVE-wTE1dbgi9qMnh3I6pYksc_5nzdBzG189WAmroeanNlir-JxIcRo1gxaYCv08ixX6cMhFYUQ_3K69BpAPzTfkXhHySqFtntX8=w1200|https://lh3.googleusercontent.com/pw/AP1GczO7-Td4ZmRwit-DIPJ7Gv7pEtK3_2s2H7lL_I6lwQtNgZ9GRy97KZIXOYiHFwqS5FSZw-pi2IqrEaREu4UhnPzWhH6NUhQ99g6Y8qtmt0lHJxMiOL-f=w1200|https://lh3.googleusercontent.com/pw/AP1GczOhODpHC2cpT9eU9SSfuzZu2ROpPdpr0FEKhbW9rMy_O3q2ZJa_SvH4VW7VnybHdE73WlMtmTzG3D2cinISa11ZB-d6uZGmWui3X2ZPNLAXt7dOMhYI=w1200|https://lh3.googleusercontent.com/pw/AP1GczNFSwZleojqYXJoFRtJ5pd1zjNZD3F7CApUEKyjkXldlnSrFCVsB0j0KJym-iTvVIkqMlxewtPDG35d89V8T1GUdnXpi_7rV_zp5GxhseGNGPCoHxsB=w1200|https://lh3.googleusercontent.com/pw/AP1GczPe9cFcE8C_MwYYfEI4AUreyncrETSt01i9rHcVSWPOokn-SiIBN8cU9cgkmr6wsQFzWo_mhXFl0g1n_g10VcS1IAehmCgJw2e_ksByt_SF5fLdqwKc=w1200|https://lh3.googleusercontent.com/pw/AP1GczOwJ8Ul-mWiDsz3uyYkL8Y2agKbQyf2vmMNtWH5fQpicZ-BmmbPQKvuBz0SwRuFTslBloSJKrZFh1PS31BXsOux10f1f2caZFsRNPEUP2lGIF4w3us4=w1200|https://lh3.googleusercontent.com/pw/AP1GczM6ZfIHNT-Nv5wZcS93Od3Td2CtbqiTEW-plWggGWJzlCeW0LJemJlUl3hv-OVV1VRBZvZGBJZXtMgVRJBcLBkfx5za5_uEo5F5NkmOWUJ7F4nHDHIA=w1200|https://lh3.googleusercontent.com/pw/AP1GczMcgt8l936xj0EQzVXppvAoNm-Mww1mk42hchbOL7vxi3DH484KBgKBgpxBxvUl-RdSY8SEd2jrVQ-JUjKpks5ea4KIuLbCSz1uD-QVCXfnxL55qSHS=w1200|https://lh3.googleusercontent.com/pw/AP1GczM2tM0Y5GsIty-v5SF9PfclXyhSTbTLx-0fQcVQoJpWIumac69gkW57JKjLCLCaoHzy3hfsWLI_zt09F_31DKciRWY0dHmI7HGg8RHun7B4npqqhjmm=w1200|https://lh3.googleusercontent.com/pw/AP1GczNifV4b93ffUaxSqbCziUXXfOvIEemFWfBkOgsN8O3IgjJg1pRz0Bu-UblHDRzkk3IV4_ICXNLEziy5BYdRetvcPTQZYxOdLiZugpAUCYhOt4c6cyvB=w1200|https://lh3.googleusercontent.com/pw/AP1GczNLpbfsAUGg_7RtPHWceRkqakiPFefyrFpHb_gXBJMFVWevCL_aw4dubNqpXt9o-2Txtr72pLkKKpWuLHODktYQjwx5crkM3RruOKgiGaHeYb_f1JZf=w1200|https://lh3.googleusercontent.com/pw/AP1GczPWV9pEtsswoYONG2xHaQ2Kz6i2SOE4OjN0AqmFe2oW_caD_oz7nZytVgA9JUA689KHbZLe_xMq2IdCbEq-AlfUh5IbMnFNJSx0EjKtOKQVRaU8lVmr=w1200|https://lh3.googleusercontent.com/pw/AP1GczOpHYcFpsEpGjZrEG7Gp1YdVB9mcPL4WRi4FU6BFej5fyGWcJsSy79H1tXIj70OI5niqX6QYXN9uIDcU5JMi4JWOoKxM0ODVHPU0efctBEoLQFFvx85=w1200</v>
      </c>
      <c r="AJ119" s="46"/>
      <c r="AK119" s="46"/>
      <c r="AL119" s="46"/>
      <c r="AM119" s="46"/>
      <c r="AN119" s="46"/>
      <c r="AO119" s="46"/>
      <c r="AP119" s="46"/>
      <c r="AQ119" s="46"/>
      <c r="AR119" s="46"/>
      <c r="AS119" s="46"/>
      <c r="AT119" s="46"/>
      <c r="AU119" s="46"/>
      <c r="AV119" s="46"/>
      <c r="AW119" s="46"/>
      <c r="AX119" s="46"/>
      <c r="AY119" s="46"/>
      <c r="AZ119" s="46"/>
      <c r="BA119" s="46"/>
      <c r="BB119" s="46"/>
      <c r="BC119" s="46"/>
      <c r="BD119" s="46"/>
      <c r="BE119" s="46"/>
      <c r="BF119" s="46"/>
      <c r="BG119" s="46"/>
      <c r="BH119" s="46"/>
      <c r="BI119" s="46"/>
      <c r="BJ119" s="46"/>
      <c r="BK119" s="46"/>
      <c r="BL119" s="46"/>
      <c r="BM119" s="46"/>
      <c r="BN119" s="46"/>
      <c r="BO119" s="46"/>
      <c r="BP119" s="46"/>
      <c r="BQ119" s="46"/>
      <c r="BR119" s="46"/>
      <c r="BS119" s="46"/>
      <c r="BT119" s="46"/>
      <c r="BU119" s="46"/>
      <c r="BV119" s="46"/>
      <c r="BW119" s="46"/>
      <c r="BX119" s="46"/>
      <c r="BY119" s="46"/>
      <c r="BZ119" s="46"/>
      <c r="CA119" s="46"/>
      <c r="CB119" s="46"/>
      <c r="CC119" s="46"/>
    </row>
    <row r="120">
      <c r="A120" s="87" t="str">
        <f>IFERROR(__xludf.DUMMYFUNCTION("""COMPUTED_VALUE"""),"1451")</f>
        <v>1451</v>
      </c>
      <c r="B120" s="46" t="str">
        <f>IFERROR(__xludf.DUMMYFUNCTION("""COMPUTED_VALUE"""),"Lote campestre en conjunto Condominio San Sebastian - Palermo")</f>
        <v>Lote campestre en conjunto Condominio San Sebastian - Palermo</v>
      </c>
      <c r="C120" s="46" t="str">
        <f>IFERROR(__xludf.DUMMYFUNCTION("""COMPUTED_VALUE"""),"Lote campestre en conjunto")</f>
        <v>Lote campestre en conjunto</v>
      </c>
      <c r="D120" s="46"/>
      <c r="E120" s="46" t="str">
        <f>IFERROR(__xludf.DUMMYFUNCTION("""COMPUTED_VALUE"""),"Condominio San Sebastian")</f>
        <v>Condominio San Sebastian</v>
      </c>
      <c r="F120" s="90">
        <f>IFERROR(__xludf.DUMMYFUNCTION("""COMPUTED_VALUE"""),1.3E8)</f>
        <v>130000000</v>
      </c>
      <c r="G120" s="46" t="str">
        <f>IFERROR(__xludf.DUMMYFUNCTION("""COMPUTED_VALUE"""),"$100'000.000 a $200'000.000")</f>
        <v>$100'000.000 a $200'000.000</v>
      </c>
      <c r="H120" s="46"/>
      <c r="I120" s="46"/>
      <c r="J120" s="46" t="str">
        <f>IFERROR(__xludf.DUMMYFUNCTION("""COMPUTED_VALUE"""),"Occidente")</f>
        <v>Occidente</v>
      </c>
      <c r="K120" s="87"/>
      <c r="L120" s="46">
        <f>IFERROR(__xludf.DUMMYFUNCTION("""COMPUTED_VALUE"""),0.0)</f>
        <v>0</v>
      </c>
      <c r="M120" s="46"/>
      <c r="N120" s="46">
        <f>IFERROR(__xludf.DUMMYFUNCTION("""COMPUTED_VALUE"""),0.0)</f>
        <v>0</v>
      </c>
      <c r="O120" s="46">
        <f>IFERROR(__xludf.DUMMYFUNCTION("""COMPUTED_VALUE"""),0.0)</f>
        <v>0</v>
      </c>
      <c r="P120" s="46">
        <f>IFERROR(__xludf.DUMMYFUNCTION("""COMPUTED_VALUE"""),0.0)</f>
        <v>0</v>
      </c>
      <c r="Q120" s="92">
        <f>IFERROR(__xludf.DUMMYFUNCTION("""COMPUTED_VALUE"""),0.0)</f>
        <v>0</v>
      </c>
      <c r="R120" s="92">
        <f>IFERROR(__xludf.DUMMYFUNCTION("""COMPUTED_VALUE"""),1120.0)</f>
        <v>1120</v>
      </c>
      <c r="S120" s="87" t="str">
        <f>IFERROR(__xludf.DUMMYFUNCTION("""COMPUTED_VALUE""")," ")</f>
        <v> </v>
      </c>
      <c r="T120" s="46" t="str">
        <f>IFERROR(__xludf.DUMMYFUNCTION("""COMPUTED_VALUE"""),"Palermo")</f>
        <v>Palermo</v>
      </c>
      <c r="U120" s="87"/>
      <c r="V120" s="46" t="str">
        <f>IFERROR(__xludf.DUMMYFUNCTION("""COMPUTED_VALUE"""),"Medianera")</f>
        <v>Medianera</v>
      </c>
      <c r="W120" s="46"/>
      <c r="X120" s="46">
        <f>IFERROR(__xludf.DUMMYFUNCTION("""COMPUTED_VALUE"""),0.0)</f>
        <v>0</v>
      </c>
      <c r="Y120" s="46" t="str">
        <f>IFERROR(__xludf.DUMMYFUNCTION("""COMPUTED_VALUE"""),"No tiene")</f>
        <v>No tiene</v>
      </c>
      <c r="Z120" s="90"/>
      <c r="AA120" s="33" t="str">
        <f>IFERROR(__xludf.DUMMYFUNCTION("""COMPUTED_VALUE"""),"No aplica")</f>
        <v>No aplica</v>
      </c>
      <c r="AB120" s="96" t="str">
        <f>IFERROR(__xludf.DUMMYFUNCTION("""COMPUTED_VALUE"""),"https://photos.app.goo.gl/bJHT3AF8mPSqURfP7")</f>
        <v>https://photos.app.goo.gl/bJHT3AF8mPSqURfP7</v>
      </c>
      <c r="AC120" s="46" t="str">
        <f>IFERROR(__xludf.DUMMYFUNCTION("""COMPUTED_VALUE"""),"Lote ubicado en el condominio San Sebastián km2 vía Palermo-Huila, entrando al parque industrial de Palermo, con un área de 1.120 M2.")</f>
        <v>Lote ubicado en el condominio San Sebastián km2 vía Palermo-Huila, entrando al parque industrial de Palermo, con un área de 1.120 M2.</v>
      </c>
      <c r="AD120" s="46" t="str">
        <f>IFERROR(__xludf.DUMMYFUNCTION("""COMPUTED_VALUE"""),"Excelente ubicación. Cuenta con servicios públicos.")</f>
        <v>Excelente ubicación. Cuenta con servicios públicos.</v>
      </c>
      <c r="AE120" s="46"/>
      <c r="AF120" s="46">
        <f>IFERROR(__xludf.DUMMYFUNCTION("""COMPUTED_VALUE"""),0.0)</f>
        <v>0</v>
      </c>
      <c r="AG120" s="46"/>
      <c r="AH120" s="46" t="str">
        <f>IFERROR(__xludf.DUMMYFUNCTION("""COMPUTED_VALUE"""),"Aliado")</f>
        <v>Aliado</v>
      </c>
      <c r="AI120" s="92" t="str">
        <f>IFERROR(__xludf.DUMMYFUNCTION("""COMPUTED_VALUE"""),"https://lh3.googleusercontent.com/pw/AP1GczMkAvidbTO3GcLZ2tv4mcWyxWtyhG_kHZL-PRqEErgMW5bU7gVlC_kJx9Ib7q_8loyTdx2MhA23pSUxBd8hYs0M-RFeUQZZHbT3OqLIu_-Xdkpk0CNH=w1200|https://lh3.googleusercontent.com/pw/AP1GczMNFBlVAhu0bH2KceIu7rIPAEbMrXLfAL0q-F-cZheu36S7Un"&amp;"Q4MnJRRU8dot7AzGA-0qTCvIRt49NmVxfMK7C2ZnsUFoW7wYvr-_R8VvKXXuW2y-iL=w1200|https://lh3.googleusercontent.com/pw/AP1GczPK_JW9-q0pjS3xOVSstscPI71mamFqqQmea9XzZTsu_W9MTV7Y5qVNmFre6jDXmDPTq11qvVvB626Tpb8ey-ZQ2eoaCQSNQU145krzS_Zi79FiHXEf=w1200|https://lh3.google"&amp;"usercontent.com/pw/AP1GczP1Kf3yK-A2wV3HFRZT-gPbG1K7p5FV6nLSbVLPKjlqRL-ikXsrnikaRkSZ_jd2KXjjfk27mssAb6qNVKEDmO4HXN4p--5_Pdb6QLktnzHKwCRdeWAm=w1200|https://lh3.googleusercontent.com/pw/AP1GczOsclnLI9Dj0OrRwgt9uian4OkdVO76y7nizStHETafj-HHZrZMsnDI38J7sqXqfCNs"&amp;"6bEtl3IiVECMlxL6lI1kAr4Hj32wlhiMthdAKwLXo7gTGVNS=w1200|https://lh3.googleusercontent.com/pw/AP1GczOjL2TNKIrdzNhtUZRMgxXT1VNK8dMTc-8GnCsT0C6tDD1u0QnVlBahv0PsEsvvBcUOWt-VxjGw991dfTF8Pa2t567L3VX4Op3a7kmhQt-o9rw-oPKe=w1200|https://lh3.googleusercontent.com/pw"&amp;"/AP1GczOUJ9-xsNNhCndEJUGf6pU9_1JR7afCqAckeIuut6qofYEyyTLmgy6VNQJCCcErw-BHeRtP68voG6ArXzVK1mrgXgj1j8NKE_ijjpOi2q2FUP-HnrYU=w1200|https://lh3.googleusercontent.com/pw/AP1GczPncjDyCXjmYFyCcs2f__McuwSBOlv5ZDu4DL22fjZ1TSJ2_RDbW11qFVBWo0wS7HUArb71ROy2SlXAc5z8Cp"&amp;"6VY8V0ghLzn2kuGXEO0qiI3hAixVS0=w1200|https://lh3.googleusercontent.com/pw/AP1GczOej54vCVQck75nC4ecPLlMy6YLiPCZ3YqHhKTGlRumMRbbs9f3NQARhKzoD7OHWVMG7MAkWDaEqsAmaPSnFnyon2poluew3VDsMdjzrHX7RDlHQeuD=w1200|https://lh3.googleusercontent.com/pw/AP1GczOxB8PNW18yg"&amp;"jBjIUo0hELrE1-YzKyvGQS_7S6F8aGcO9-phw5EYmgmg2z7u9CrlOapa0LKZYY18rmtjx9njRxfwVb5VblepDUmTjcQ0zBHQvVa3pU-=w1200|https://lh3.googleusercontent.com/pw/AP1GczMTNo-GJ7E8ppVUaciggtkkbjS2BpC8B7So2iZHgHLoDU7JQTElJwFsQ2cQF9CuhW6D-cVsaCStQVeko4GJgY7ezxkxNNnD8wgFY28f"&amp;"bjADGEmHrscM=w1200|https://lh3.googleusercontent.com/pw/AP1GczMNNOVDHpaucfngZ47N3s4GvVbp6ifS1oaPclWvajhkSznc8hTH579Hod_0ENNEapFn6BmdpsBB8axl527uY4LLzWlzPzh9M7UXjJ38aZGyTUVnsdmU=w1200|https://lh3.googleusercontent.com/pw/AP1GczNMx6SUsgc9mtwPGQE0FdQL_6_7KPn"&amp;"Ee0KE8KgoZxYbTpKhGeuEcNJ9h97ZaYHEJnMTEtZoyu4FD6cYzUtMkCxtShH7lh9ofvyvKUGV6BTTJUu3reih=w1200|https://lh3.googleusercontent.com/pw/AP1GczPh8xCszL1kDsvQl34wezHbNzOpy2sI46S-I9QIu_VUAf3qVWO4hTPkhjNZynhg6yT2rEM0wYDppmgm-z_V86SxV8gqG6RHc_eSBnJBXx-AE9BS4qWq=w1200"&amp;"|https://lh3.googleusercontent.com/pw/AP1GczPVnKnL7xUkprgv6P1-ylpXXOb6J6k4rYAhDTAVrp0r6P1Pffgigrwkejq-zVS0Hbr1x3erPvzyKysXPVCZNQ6odZuSfw5RU_l1RG7nclK9TpkqN9S6=w1200|https://lh3.googleusercontent.com/pw/AP1GczNJptEQbwddU1r1h1qLGPxMf1BHCwvGbcg48L3QTA936wopm"&amp;"-Ra3L3ZRL-E0clWdvEDF4Z4UGg9bM2npSP_s1484DYZMtsgjr7B2ldsEOqUlyOCn9kg=w1200|https://lh3.googleusercontent.com/pw/AP1GczPW_x5ss5IF5Er59-51Od-QZ-EChD84r1rLMvwSaOmNfawZj7ue3K9dPYNoO3evxM18TU1t7GHy-g8f6Dq9irG6e0KIRj8L-ZLlag-Pig7A2d0UqQRH=w1200")</f>
        <v>https://lh3.googleusercontent.com/pw/AP1GczMkAvidbTO3GcLZ2tv4mcWyxWtyhG_kHZL-PRqEErgMW5bU7gVlC_kJx9Ib7q_8loyTdx2MhA23pSUxBd8hYs0M-RFeUQZZHbT3OqLIu_-Xdkpk0CNH=w1200|https://lh3.googleusercontent.com/pw/AP1GczMNFBlVAhu0bH2KceIu7rIPAEbMrXLfAL0q-F-cZheu36S7UnQ4MnJRRU8dot7AzGA-0qTCvIRt49NmVxfMK7C2ZnsUFoW7wYvr-_R8VvKXXuW2y-iL=w1200|https://lh3.googleusercontent.com/pw/AP1GczPK_JW9-q0pjS3xOVSstscPI71mamFqqQmea9XzZTsu_W9MTV7Y5qVNmFre6jDXmDPTq11qvVvB626Tpb8ey-ZQ2eoaCQSNQU145krzS_Zi79FiHXEf=w1200|https://lh3.googleusercontent.com/pw/AP1GczP1Kf3yK-A2wV3HFRZT-gPbG1K7p5FV6nLSbVLPKjlqRL-ikXsrnikaRkSZ_jd2KXjjfk27mssAb6qNVKEDmO4HXN4p--5_Pdb6QLktnzHKwCRdeWAm=w1200|https://lh3.googleusercontent.com/pw/AP1GczOsclnLI9Dj0OrRwgt9uian4OkdVO76y7nizStHETafj-HHZrZMsnDI38J7sqXqfCNs6bEtl3IiVECMlxL6lI1kAr4Hj32wlhiMthdAKwLXo7gTGVNS=w1200|https://lh3.googleusercontent.com/pw/AP1GczOjL2TNKIrdzNhtUZRMgxXT1VNK8dMTc-8GnCsT0C6tDD1u0QnVlBahv0PsEsvvBcUOWt-VxjGw991dfTF8Pa2t567L3VX4Op3a7kmhQt-o9rw-oPKe=w1200|https://lh3.googleusercontent.com/pw/AP1GczOUJ9-xsNNhCndEJUGf6pU9_1JR7afCqAckeIuut6qofYEyyTLmgy6VNQJCCcErw-BHeRtP68voG6ArXzVK1mrgXgj1j8NKE_ijjpOi2q2FUP-HnrYU=w1200|https://lh3.googleusercontent.com/pw/AP1GczPncjDyCXjmYFyCcs2f__McuwSBOlv5ZDu4DL22fjZ1TSJ2_RDbW11qFVBWo0wS7HUArb71ROy2SlXAc5z8Cp6VY8V0ghLzn2kuGXEO0qiI3hAixVS0=w1200|https://lh3.googleusercontent.com/pw/AP1GczOej54vCVQck75nC4ecPLlMy6YLiPCZ3YqHhKTGlRumMRbbs9f3NQARhKzoD7OHWVMG7MAkWDaEqsAmaPSnFnyon2poluew3VDsMdjzrHX7RDlHQeuD=w1200|https://lh3.googleusercontent.com/pw/AP1GczOxB8PNW18ygjBjIUo0hELrE1-YzKyvGQS_7S6F8aGcO9-phw5EYmgmg2z7u9CrlOapa0LKZYY18rmtjx9njRxfwVb5VblepDUmTjcQ0zBHQvVa3pU-=w1200|https://lh3.googleusercontent.com/pw/AP1GczMTNo-GJ7E8ppVUaciggtkkbjS2BpC8B7So2iZHgHLoDU7JQTElJwFsQ2cQF9CuhW6D-cVsaCStQVeko4GJgY7ezxkxNNnD8wgFY28fbjADGEmHrscM=w1200|https://lh3.googleusercontent.com/pw/AP1GczMNNOVDHpaucfngZ47N3s4GvVbp6ifS1oaPclWvajhkSznc8hTH579Hod_0ENNEapFn6BmdpsBB8axl527uY4LLzWlzPzh9M7UXjJ38aZGyTUVnsdmU=w1200|https://lh3.googleusercontent.com/pw/AP1GczNMx6SUsgc9mtwPGQE0FdQL_6_7KPnEe0KE8KgoZxYbTpKhGeuEcNJ9h97ZaYHEJnMTEtZoyu4FD6cYzUtMkCxtShH7lh9ofvyvKUGV6BTTJUu3reih=w1200|https://lh3.googleusercontent.com/pw/AP1GczPh8xCszL1kDsvQl34wezHbNzOpy2sI46S-I9QIu_VUAf3qVWO4hTPkhjNZynhg6yT2rEM0wYDppmgm-z_V86SxV8gqG6RHc_eSBnJBXx-AE9BS4qWq=w1200|https://lh3.googleusercontent.com/pw/AP1GczPVnKnL7xUkprgv6P1-ylpXXOb6J6k4rYAhDTAVrp0r6P1Pffgigrwkejq-zVS0Hbr1x3erPvzyKysXPVCZNQ6odZuSfw5RU_l1RG7nclK9TpkqN9S6=w1200|https://lh3.googleusercontent.com/pw/AP1GczNJptEQbwddU1r1h1qLGPxMf1BHCwvGbcg48L3QTA936wopm-Ra3L3ZRL-E0clWdvEDF4Z4UGg9bM2npSP_s1484DYZMtsgjr7B2ldsEOqUlyOCn9kg=w1200|https://lh3.googleusercontent.com/pw/AP1GczPW_x5ss5IF5Er59-51Od-QZ-EChD84r1rLMvwSaOmNfawZj7ue3K9dPYNoO3evxM18TU1t7GHy-g8f6Dq9irG6e0KIRj8L-ZLlag-Pig7A2d0UqQRH=w1200</v>
      </c>
      <c r="AJ120" s="46"/>
      <c r="AK120" s="46"/>
      <c r="AL120" s="46"/>
      <c r="AM120" s="46"/>
      <c r="AN120" s="46"/>
      <c r="AO120" s="46"/>
      <c r="AP120" s="46"/>
      <c r="AQ120" s="46"/>
      <c r="AR120" s="46"/>
      <c r="AS120" s="46"/>
      <c r="AT120" s="46"/>
      <c r="AU120" s="46"/>
      <c r="AV120" s="46"/>
      <c r="AW120" s="46"/>
      <c r="AX120" s="46"/>
      <c r="AY120" s="46"/>
      <c r="AZ120" s="46"/>
      <c r="BA120" s="46"/>
      <c r="BB120" s="46"/>
      <c r="BC120" s="46"/>
      <c r="BD120" s="46"/>
      <c r="BE120" s="46"/>
      <c r="BF120" s="46"/>
      <c r="BG120" s="46"/>
      <c r="BH120" s="46"/>
      <c r="BI120" s="46"/>
      <c r="BJ120" s="46"/>
      <c r="BK120" s="46"/>
      <c r="BL120" s="46"/>
      <c r="BM120" s="46"/>
      <c r="BN120" s="46"/>
      <c r="BO120" s="46"/>
      <c r="BP120" s="46"/>
      <c r="BQ120" s="46"/>
      <c r="BR120" s="46"/>
      <c r="BS120" s="46"/>
      <c r="BT120" s="46"/>
      <c r="BU120" s="46"/>
      <c r="BV120" s="46"/>
      <c r="BW120" s="46"/>
      <c r="BX120" s="46"/>
      <c r="BY120" s="46"/>
      <c r="BZ120" s="46"/>
      <c r="CA120" s="46"/>
      <c r="CB120" s="46"/>
      <c r="CC120" s="46"/>
    </row>
    <row r="121">
      <c r="A121" s="87" t="str">
        <f>IFERROR(__xludf.DUMMYFUNCTION("""COMPUTED_VALUE"""),"991")</f>
        <v>991</v>
      </c>
      <c r="B121" s="46" t="str">
        <f>IFERROR(__xludf.DUMMYFUNCTION("""COMPUTED_VALUE"""),"Casa en barrio Limonar")</f>
        <v>Casa en barrio Limonar</v>
      </c>
      <c r="C121" s="46" t="str">
        <f>IFERROR(__xludf.DUMMYFUNCTION("""COMPUTED_VALUE"""),"Casa")</f>
        <v>Casa</v>
      </c>
      <c r="D121" s="46" t="str">
        <f>IFERROR(__xludf.DUMMYFUNCTION("""COMPUTED_VALUE"""),"Limonar")</f>
        <v>Limonar</v>
      </c>
      <c r="E121" s="46"/>
      <c r="F121" s="90">
        <f>IFERROR(__xludf.DUMMYFUNCTION("""COMPUTED_VALUE"""),1.2E8)</f>
        <v>120000000</v>
      </c>
      <c r="G121" s="46" t="str">
        <f>IFERROR(__xludf.DUMMYFUNCTION("""COMPUTED_VALUE"""),"$100'000.000 a $200'000.000")</f>
        <v>$100'000.000 a $200'000.000</v>
      </c>
      <c r="H121" s="46"/>
      <c r="I121" s="46"/>
      <c r="J121" s="46" t="str">
        <f>IFERROR(__xludf.DUMMYFUNCTION("""COMPUTED_VALUE"""),"Sur")</f>
        <v>Sur</v>
      </c>
      <c r="K121" s="87" t="str">
        <f>IFERROR(__xludf.DUMMYFUNCTION("""COMPUTED_VALUE"""),"6")</f>
        <v>6</v>
      </c>
      <c r="L121" s="46">
        <f>IFERROR(__xludf.DUMMYFUNCTION("""COMPUTED_VALUE"""),5.0)</f>
        <v>5</v>
      </c>
      <c r="M121" s="46"/>
      <c r="N121" s="46">
        <f>IFERROR(__xludf.DUMMYFUNCTION("""COMPUTED_VALUE"""),1.0)</f>
        <v>1</v>
      </c>
      <c r="O121" s="46">
        <f>IFERROR(__xludf.DUMMYFUNCTION("""COMPUTED_VALUE"""),1.0)</f>
        <v>1</v>
      </c>
      <c r="P121" s="46">
        <f>IFERROR(__xludf.DUMMYFUNCTION("""COMPUTED_VALUE"""),2.0)</f>
        <v>2</v>
      </c>
      <c r="Q121" s="92">
        <f>IFERROR(__xludf.DUMMYFUNCTION("""COMPUTED_VALUE"""),132.0)</f>
        <v>132</v>
      </c>
      <c r="R121" s="92">
        <f>IFERROR(__xludf.DUMMYFUNCTION("""COMPUTED_VALUE"""),78.0)</f>
        <v>78</v>
      </c>
      <c r="S121" s="87" t="str">
        <f>IFERROR(__xludf.DUMMYFUNCTION("""COMPUTED_VALUE""")," ")</f>
        <v> </v>
      </c>
      <c r="T121" s="46" t="str">
        <f>IFERROR(__xludf.DUMMYFUNCTION("""COMPUTED_VALUE"""),"Neiva")</f>
        <v>Neiva</v>
      </c>
      <c r="U121" s="87" t="str">
        <f>IFERROR(__xludf.DUMMYFUNCTION("""COMPUTED_VALUE"""),"2")</f>
        <v>2</v>
      </c>
      <c r="V121" s="46" t="str">
        <f>IFERROR(__xludf.DUMMYFUNCTION("""COMPUTED_VALUE"""),"Medianera")</f>
        <v>Medianera</v>
      </c>
      <c r="W121" s="46"/>
      <c r="X121" s="46">
        <f>IFERROR(__xludf.DUMMYFUNCTION("""COMPUTED_VALUE"""),0.0)</f>
        <v>0</v>
      </c>
      <c r="Y121" s="46" t="str">
        <f>IFERROR(__xludf.DUMMYFUNCTION("""COMPUTED_VALUE"""),"No tiene")</f>
        <v>No tiene</v>
      </c>
      <c r="Z121" s="90" t="str">
        <f>IFERROR(__xludf.DUMMYFUNCTION("""COMPUTED_VALUE"""),"No aplica")</f>
        <v>No aplica</v>
      </c>
      <c r="AA121" s="33" t="str">
        <f>IFERROR(__xludf.DUMMYFUNCTION("""COMPUTED_VALUE"""),"No aplica")</f>
        <v>No aplica</v>
      </c>
      <c r="AB121" s="96" t="str">
        <f>IFERROR(__xludf.DUMMYFUNCTION("""COMPUTED_VALUE"""),"https://photos.app.goo.gl/WNdrZzAQMpApFRVp9")</f>
        <v>https://photos.app.goo.gl/WNdrZzAQMpApFRVp9</v>
      </c>
      <c r="AC121" s="46" t="str">
        <f>IFERROR(__xludf.DUMMYFUNCTION("""COMPUTED_VALUE"""),"Casa de 2 pisos, estrato 2, área de terreno 78m2, y construida 132m2, garaje, enrejada, consta 1er piso: sala-comedor, 3 alcobas, deposito, cocina normal,1 baño con ducha, deposito, 2do piso: 2 alcobas, zona de lavandería, sala de tv amplia.")</f>
        <v>Casa de 2 pisos, estrato 2, área de terreno 78m2, y construida 132m2, garaje, enrejada, consta 1er piso: sala-comedor, 3 alcobas, deposito, cocina normal,1 baño con ducha, deposito, 2do piso: 2 alcobas, zona de lavandería, sala de tv amplia.</v>
      </c>
      <c r="AD121" s="46"/>
      <c r="AE121" s="46"/>
      <c r="AF121" s="46" t="str">
        <f>IFERROR(__xludf.DUMMYFUNCTION("""COMPUTED_VALUE"""),"básica")</f>
        <v>básica</v>
      </c>
      <c r="AG121" s="46"/>
      <c r="AH121" s="46" t="str">
        <f>IFERROR(__xludf.DUMMYFUNCTION("""COMPUTED_VALUE"""),"Aliado")</f>
        <v>Aliado</v>
      </c>
      <c r="AI121" s="92" t="str">
        <f>IFERROR(__xludf.DUMMYFUNCTION("""COMPUTED_VALUE"""),"https://lh3.googleusercontent.com/pw/AP1GczOEOOiJw18oXf-WLlNo86hd9rMMEr-sn4A0hwysCJ85Yvv-INmgeAegXsKq91dfYthn_WibgDkurZWv7U-qPLJviBY_yMEtG3wfb4VvwladPCqJyTuV=w1200|https://lh3.googleusercontent.com/pw/AP1GczOFFpd1Qphkw756x4aX0kGhsQkx32S8bhOA1PwzHDm40npFhS"&amp;"MRsuDxMmHtrQmt2Jf7H6WLtiYUXYEoCf0xyh35024Zguo7Rb2113iwf4XvjHLLT5Iw=w1200|https://lh3.googleusercontent.com/pw/AP1GczNAqZOviQqT7_Sq03t__6Sx-EDAvzf3EUcMGrrI8HhhSXegVj-zkycx5ZbYwogqQRU70SW0a87SvtMWrGtiJ625Yhg7l7wl1DN-o_3oQ00xbGRs5LhG=w1200|https://lh3.google"&amp;"usercontent.com/pw/AP1GczMveCu_tMVNbz54oh8CzB48i4vjnK_-yClxRygk9YBKor98-XuT1Au5tv2RrheyyrELHStuDweImO6AaiL2d_PnLzeoR5HlfDVVSqtSeB5Hr9JXcmDa=w1200|https://lh3.googleusercontent.com/pw/AP1GczPo_PEDsDmA4c5SLzZK3AaRkWVfb4geFbhe0EBt33Y7FgwQnv4BpcWxQPt3hQCtTvNJ"&amp;"3ECgu6wy8ZFAPEREaHQz7k6CAghQCaFXljsYqm_egcOr-l9C=w1200|https://lh3.googleusercontent.com/pw/AP1GczMmkzvG0aut1zKPO4ae8EGGL48zcy0i_sGno4_Lw4kBQsPx09rVi6hEeP4JCPNh_k_AvxkuBt2bE72lhFYn3BMPgTD12FzCVM6Ai6QkELb2OM4puT1z=w1200|https://lh3.googleusercontent.com/pw"&amp;"/AP1GczP3uqNhOw40lHehkcbI-gGLbcRzwEPdWkp0mbLJlUkRtuswvODE5Tuo221IMG2x8BmHzq_ZT0jiq0grrssvG5POO7zAC6HAI-62tv_dbqP2cnzyDa_P=w1200|https://lh3.googleusercontent.com/pw/AP1GczPoKEkg8vSPtx9yTeEHaApZVUXBnsUZJEIQis9_fdGy5_Ql2UT8jndZ8NUc41vvZpjtHwlc3Q2PvABxafoAvD"&amp;"lGgNYXrj2j8tzYha09hTZJ8zLFTtpO=w1200|https://lh3.googleusercontent.com/pw/AP1GczOHg-jVfmiLnsIZ4Wt_EchrNjCMytBFqX4sLRXTfmPCvYUJA1-WiLTTsPfVAhgQSR9FU8RVK5OPJdExzj1h9iQJ1OXkDcBmL8bkNHt2JRBcPJKkWPtn=w1200|https://lh3.googleusercontent.com/pw/AP1GczP45MBUzfAqT"&amp;"SjYnDVoiQ6oAgQueFRVv63WinGxDjhTmRoYy7J5WMDGlX1PqrdWKcSDjc3ReOr_1JbW9AhpniR7nZdPvjGDQRT_xUECGl3zV2GeHOUs=w1200|https://lh3.googleusercontent.com/pw/AP1GczMjxAVrf9583niOr0O-We4HrfxcYLoI5Bk-246hL4gNVn9BFNJgNu0_WRC5iVTR9ZM0qJSV1y3g61bWDr8KmZHgrTXQWl7YTf4UwGqv"&amp;"W0jOJvsaahlG=w1200|https://lh3.googleusercontent.com/pw/AP1GczMh6HQnlDXsl086DNYRkJgZCDe_W90mMGG530bpbeNrtcmoCU6CTsIB5JBV-tZWKWec2e1q3Z4oXYcE0rusShpCH9s3DxRNRTh4LEx_bndq1M0ZesjJ=w1200|https://lh3.googleusercontent.com/pw/AP1GczPD1-e-knvmuFXID2YS6f7lHZd2XwC"&amp;"tnwGwyX2bbJjaqvVdrohwScB0mwXE4_sMQUBZwvtHAwE-Qkflhs3vEY2HGVqBFglP9mhNepH9XgUnfuDqhTCD=w1200|https://lh3.googleusercontent.com/pw/AP1GczOXSPvgjOVD-eMpaiV3cs9Suis6W3LB2KRd81VCmTf8sF99-gYVIB2EWO_u9CTCglBxplngZc53BGM9szqO79A6jpc5dj2XkEq9HGBBU1HWTrgQccsz=w1200"&amp;"|https://lh3.googleusercontent.com/pw/AP1GczNlsDIi3U3ynm7WtsFssZlN4gHpd96zgiR6XxMB_1eYn5zbBY4k0YMXrjyC_mDmJDOv8WHkvSYEhf3sH10vw0eHsHrJkuxCWIduCP8jRsLFVf03PXzm=w1200|https://lh3.googleusercontent.com/pw/AP1GczNMA3CX35YO1E8Sk1aKYXxztyuc9l4i3MbNiuIKVG0LiaSE5"&amp;"u91dRuuCaVlcHeR_FWfGhfwXd2QB2khkRxQd1-kbK-NWXxxrSu8XRD9czfL_AkB6Tht=w1200|https://lh3.googleusercontent.com/pw/AP1GczMBIZZW_p1IPcKoi7qwnGzVk4GJ-mNE3qxZ7LS-69VpdYVbg8vA8kLVy31A2MRz5xp1Ocvjr0NdrNUU7J-5HWHjFYN4yn79GcRcYil5Q13-_l-pOoap=w1200|https://lh3.googl"&amp;"eusercontent.com/pw/AP1GczP-7gO3fEDS6nUV9bTa8Afi9HUstWSr3o2UJ2V76jREqenaqrO1vIoNgAOCnZWmezj86GDT3xJi3vfVxyiWP0UdWaWk27efKixZy7lHg9tFy8Gzh_1o=w1200")</f>
        <v>https://lh3.googleusercontent.com/pw/AP1GczOEOOiJw18oXf-WLlNo86hd9rMMEr-sn4A0hwysCJ85Yvv-INmgeAegXsKq91dfYthn_WibgDkurZWv7U-qPLJviBY_yMEtG3wfb4VvwladPCqJyTuV=w1200|https://lh3.googleusercontent.com/pw/AP1GczOFFpd1Qphkw756x4aX0kGhsQkx32S8bhOA1PwzHDm40npFhSMRsuDxMmHtrQmt2Jf7H6WLtiYUXYEoCf0xyh35024Zguo7Rb2113iwf4XvjHLLT5Iw=w1200|https://lh3.googleusercontent.com/pw/AP1GczNAqZOviQqT7_Sq03t__6Sx-EDAvzf3EUcMGrrI8HhhSXegVj-zkycx5ZbYwogqQRU70SW0a87SvtMWrGtiJ625Yhg7l7wl1DN-o_3oQ00xbGRs5LhG=w1200|https://lh3.googleusercontent.com/pw/AP1GczMveCu_tMVNbz54oh8CzB48i4vjnK_-yClxRygk9YBKor98-XuT1Au5tv2RrheyyrELHStuDweImO6AaiL2d_PnLzeoR5HlfDVVSqtSeB5Hr9JXcmDa=w1200|https://lh3.googleusercontent.com/pw/AP1GczPo_PEDsDmA4c5SLzZK3AaRkWVfb4geFbhe0EBt33Y7FgwQnv4BpcWxQPt3hQCtTvNJ3ECgu6wy8ZFAPEREaHQz7k6CAghQCaFXljsYqm_egcOr-l9C=w1200|https://lh3.googleusercontent.com/pw/AP1GczMmkzvG0aut1zKPO4ae8EGGL48zcy0i_sGno4_Lw4kBQsPx09rVi6hEeP4JCPNh_k_AvxkuBt2bE72lhFYn3BMPgTD12FzCVM6Ai6QkELb2OM4puT1z=w1200|https://lh3.googleusercontent.com/pw/AP1GczP3uqNhOw40lHehkcbI-gGLbcRzwEPdWkp0mbLJlUkRtuswvODE5Tuo221IMG2x8BmHzq_ZT0jiq0grrssvG5POO7zAC6HAI-62tv_dbqP2cnzyDa_P=w1200|https://lh3.googleusercontent.com/pw/AP1GczPoKEkg8vSPtx9yTeEHaApZVUXBnsUZJEIQis9_fdGy5_Ql2UT8jndZ8NUc41vvZpjtHwlc3Q2PvABxafoAvDlGgNYXrj2j8tzYha09hTZJ8zLFTtpO=w1200|https://lh3.googleusercontent.com/pw/AP1GczOHg-jVfmiLnsIZ4Wt_EchrNjCMytBFqX4sLRXTfmPCvYUJA1-WiLTTsPfVAhgQSR9FU8RVK5OPJdExzj1h9iQJ1OXkDcBmL8bkNHt2JRBcPJKkWPtn=w1200|https://lh3.googleusercontent.com/pw/AP1GczP45MBUzfAqTSjYnDVoiQ6oAgQueFRVv63WinGxDjhTmRoYy7J5WMDGlX1PqrdWKcSDjc3ReOr_1JbW9AhpniR7nZdPvjGDQRT_xUECGl3zV2GeHOUs=w1200|https://lh3.googleusercontent.com/pw/AP1GczMjxAVrf9583niOr0O-We4HrfxcYLoI5Bk-246hL4gNVn9BFNJgNu0_WRC5iVTR9ZM0qJSV1y3g61bWDr8KmZHgrTXQWl7YTf4UwGqvW0jOJvsaahlG=w1200|https://lh3.googleusercontent.com/pw/AP1GczMh6HQnlDXsl086DNYRkJgZCDe_W90mMGG530bpbeNrtcmoCU6CTsIB5JBV-tZWKWec2e1q3Z4oXYcE0rusShpCH9s3DxRNRTh4LEx_bndq1M0ZesjJ=w1200|https://lh3.googleusercontent.com/pw/AP1GczPD1-e-knvmuFXID2YS6f7lHZd2XwCtnwGwyX2bbJjaqvVdrohwScB0mwXE4_sMQUBZwvtHAwE-Qkflhs3vEY2HGVqBFglP9mhNepH9XgUnfuDqhTCD=w1200|https://lh3.googleusercontent.com/pw/AP1GczOXSPvgjOVD-eMpaiV3cs9Suis6W3LB2KRd81VCmTf8sF99-gYVIB2EWO_u9CTCglBxplngZc53BGM9szqO79A6jpc5dj2XkEq9HGBBU1HWTrgQccsz=w1200|https://lh3.googleusercontent.com/pw/AP1GczNlsDIi3U3ynm7WtsFssZlN4gHpd96zgiR6XxMB_1eYn5zbBY4k0YMXrjyC_mDmJDOv8WHkvSYEhf3sH10vw0eHsHrJkuxCWIduCP8jRsLFVf03PXzm=w1200|https://lh3.googleusercontent.com/pw/AP1GczNMA3CX35YO1E8Sk1aKYXxztyuc9l4i3MbNiuIKVG0LiaSE5u91dRuuCaVlcHeR_FWfGhfwXd2QB2khkRxQd1-kbK-NWXxxrSu8XRD9czfL_AkB6Tht=w1200|https://lh3.googleusercontent.com/pw/AP1GczMBIZZW_p1IPcKoi7qwnGzVk4GJ-mNE3qxZ7LS-69VpdYVbg8vA8kLVy31A2MRz5xp1Ocvjr0NdrNUU7J-5HWHjFYN4yn79GcRcYil5Q13-_l-pOoap=w1200|https://lh3.googleusercontent.com/pw/AP1GczP-7gO3fEDS6nUV9bTa8Afi9HUstWSr3o2UJ2V76jREqenaqrO1vIoNgAOCnZWmezj86GDT3xJi3vfVxyiWP0UdWaWk27efKixZy7lHg9tFy8Gzh_1o=w1200</v>
      </c>
      <c r="AJ121" s="46"/>
      <c r="AK121" s="46"/>
      <c r="AL121" s="46"/>
      <c r="AM121" s="46"/>
      <c r="AN121" s="46"/>
      <c r="AO121" s="46"/>
      <c r="AP121" s="46"/>
      <c r="AQ121" s="46"/>
      <c r="AR121" s="46"/>
      <c r="AS121" s="46"/>
      <c r="AT121" s="46"/>
      <c r="AU121" s="46"/>
      <c r="AV121" s="46"/>
      <c r="AW121" s="46"/>
      <c r="AX121" s="46"/>
      <c r="AY121" s="46"/>
      <c r="AZ121" s="46"/>
      <c r="BA121" s="46"/>
      <c r="BB121" s="46"/>
      <c r="BC121" s="46"/>
      <c r="BD121" s="46"/>
      <c r="BE121" s="46"/>
      <c r="BF121" s="46"/>
      <c r="BG121" s="46"/>
      <c r="BH121" s="46"/>
      <c r="BI121" s="46"/>
      <c r="BJ121" s="46"/>
      <c r="BK121" s="46"/>
      <c r="BL121" s="46"/>
      <c r="BM121" s="46"/>
      <c r="BN121" s="46"/>
      <c r="BO121" s="46"/>
      <c r="BP121" s="46"/>
      <c r="BQ121" s="46"/>
      <c r="BR121" s="46"/>
      <c r="BS121" s="46"/>
      <c r="BT121" s="46"/>
      <c r="BU121" s="46"/>
      <c r="BV121" s="46"/>
      <c r="BW121" s="46"/>
      <c r="BX121" s="46"/>
      <c r="BY121" s="46"/>
      <c r="BZ121" s="46"/>
      <c r="CA121" s="46"/>
      <c r="CB121" s="46"/>
      <c r="CC121" s="46"/>
    </row>
    <row r="122">
      <c r="A122" s="87" t="str">
        <f>IFERROR(__xludf.DUMMYFUNCTION("""COMPUTED_VALUE"""),"920")</f>
        <v>920</v>
      </c>
      <c r="B122" s="46" t="str">
        <f>IFERROR(__xludf.DUMMYFUNCTION("""COMPUTED_VALUE"""),"Apartamento en Conjunto Media Luna - El Tizón")</f>
        <v>Apartamento en Conjunto Media Luna - El Tizón</v>
      </c>
      <c r="C122" s="46" t="str">
        <f>IFERROR(__xludf.DUMMYFUNCTION("""COMPUTED_VALUE"""),"Apartamento en conjunto")</f>
        <v>Apartamento en conjunto</v>
      </c>
      <c r="D122" s="46"/>
      <c r="E122" s="90" t="str">
        <f>IFERROR(__xludf.DUMMYFUNCTION("""COMPUTED_VALUE"""),"Media Luna")</f>
        <v>Media Luna</v>
      </c>
      <c r="F122" s="90">
        <f>IFERROR(__xludf.DUMMYFUNCTION("""COMPUTED_VALUE"""),1.2E8)</f>
        <v>120000000</v>
      </c>
      <c r="G122" s="46" t="str">
        <f>IFERROR(__xludf.DUMMYFUNCTION("""COMPUTED_VALUE"""),"$100'000.000 a $200'000.000")</f>
        <v>$100'000.000 a $200'000.000</v>
      </c>
      <c r="H122" s="46"/>
      <c r="I122" s="46"/>
      <c r="J122" s="46" t="str">
        <f>IFERROR(__xludf.DUMMYFUNCTION("""COMPUTED_VALUE"""),"Norte")</f>
        <v>Norte</v>
      </c>
      <c r="K122" s="87"/>
      <c r="L122" s="46">
        <f>IFERROR(__xludf.DUMMYFUNCTION("""COMPUTED_VALUE"""),2.0)</f>
        <v>2</v>
      </c>
      <c r="M122" s="46"/>
      <c r="N122" s="46">
        <f>IFERROR(__xludf.DUMMYFUNCTION("""COMPUTED_VALUE"""),2.0)</f>
        <v>2</v>
      </c>
      <c r="O122" s="46">
        <f>IFERROR(__xludf.DUMMYFUNCTION("""COMPUTED_VALUE"""),1.0)</f>
        <v>1</v>
      </c>
      <c r="P122" s="46">
        <f>IFERROR(__xludf.DUMMYFUNCTION("""COMPUTED_VALUE"""),4.0)</f>
        <v>4</v>
      </c>
      <c r="Q122" s="92">
        <f>IFERROR(__xludf.DUMMYFUNCTION("""COMPUTED_VALUE"""),64.51)</f>
        <v>64.51</v>
      </c>
      <c r="R122" s="92">
        <f>IFERROR(__xludf.DUMMYFUNCTION("""COMPUTED_VALUE"""),64.51)</f>
        <v>64.51</v>
      </c>
      <c r="S122" s="87" t="str">
        <f>IFERROR(__xludf.DUMMYFUNCTION("""COMPUTED_VALUE""")," ")</f>
        <v> </v>
      </c>
      <c r="T122" s="46" t="str">
        <f>IFERROR(__xludf.DUMMYFUNCTION("""COMPUTED_VALUE"""),"Neiva")</f>
        <v>Neiva</v>
      </c>
      <c r="U122" s="87" t="str">
        <f>IFERROR(__xludf.DUMMYFUNCTION("""COMPUTED_VALUE"""),"3")</f>
        <v>3</v>
      </c>
      <c r="V122" s="46" t="str">
        <f>IFERROR(__xludf.DUMMYFUNCTION("""COMPUTED_VALUE"""),"4to.")</f>
        <v>4to.</v>
      </c>
      <c r="W122" s="46"/>
      <c r="X122" s="46">
        <f>IFERROR(__xludf.DUMMYFUNCTION("""COMPUTED_VALUE"""),2.0)</f>
        <v>2</v>
      </c>
      <c r="Y122" s="46" t="str">
        <f>IFERROR(__xludf.DUMMYFUNCTION("""COMPUTED_VALUE"""),"No tiene")</f>
        <v>No tiene</v>
      </c>
      <c r="Z122" s="90"/>
      <c r="AA122" s="33" t="str">
        <f>IFERROR(__xludf.DUMMYFUNCTION("""COMPUTED_VALUE"""),"No aplica")</f>
        <v>No aplica</v>
      </c>
      <c r="AB122" s="96" t="str">
        <f>IFERROR(__xludf.DUMMYFUNCTION("""COMPUTED_VALUE"""),"https://photos.app.goo.gl/PrDymhxqaYYZaaJk7")</f>
        <v>https://photos.app.goo.gl/PrDymhxqaYYZaaJk7</v>
      </c>
      <c r="AC122" s="46" t="str">
        <f>IFERROR(__xludf.DUMMYFUNCTION("""COMPUTED_VALUE"""),"Apartamento con área de 64.51m2, Consta de 2 alcobas, sala-comedor, 2 baños, estar de tv, garaje, 2 closet en madera, balcón, a.a, cocina integral, cortinas, pisos en cerámica, techo en machimbre, zona de lavandería. El conjunto ofrece: portería las 24 ho"&amp;"ras, jardín infantil, salón comunal, administración.")</f>
        <v>Apartamento con área de 64.51m2, Consta de 2 alcobas, sala-comedor, 2 baños, estar de tv, garaje, 2 closet en madera, balcón, a.a, cocina integral, cortinas, pisos en cerámica, techo en machimbre, zona de lavandería. El conjunto ofrece: portería las 24 horas, jardín infantil, salón comunal, administración.</v>
      </c>
      <c r="AD122" s="46" t="str">
        <f>IFERROR(__xludf.DUMMYFUNCTION("""COMPUTED_VALUE"""),"Apartamento bien ubicado.")</f>
        <v>Apartamento bien ubicado.</v>
      </c>
      <c r="AE122" s="46"/>
      <c r="AF122" s="46" t="str">
        <f>IFERROR(__xludf.DUMMYFUNCTION("""COMPUTED_VALUE"""),"integral")</f>
        <v>integral</v>
      </c>
      <c r="AG122" s="46"/>
      <c r="AH122" s="46" t="str">
        <f>IFERROR(__xludf.DUMMYFUNCTION("""COMPUTED_VALUE"""),"Aliado")</f>
        <v>Aliado</v>
      </c>
      <c r="AI122" s="92" t="str">
        <f>IFERROR(__xludf.DUMMYFUNCTION("""COMPUTED_VALUE"""),"https://lh3.googleusercontent.com/pw/AP1GczPmHsXVuOdgX3R-lQhQsrBaPGfP8ebsHN9wmQG_qQS4rqse45MMTTuhZ-Nn4vFm5Ub60asLDfcKqKSSaaJ9QA4TRxcy8h6wxeE-jE1RkUA6sg7aWhoe=w1200|https://lh3.googleusercontent.com/pw/AP1GczPbyEvaTpgptyevI4ANH39tsAlrSr_Uz9T7LeL9Af4ntqCmQO"&amp;"nFItcKPJsgpWY75P65IBeJNd8-nsFUf-DIjx2hSV8eVRtxT5akaSAYvP7tTOxJJwpo=w1200|https://lh3.googleusercontent.com/pw/AP1GczN6rWCq0WyOjkBW3B93VCYWPgQqnEfc5NFlHOQ7V6XT3s_P91wSfhSUpJyG3j7qor3YvBKCAycDQz4B3QMaDaaKF8thLKFp8JH8PUiB5Jr_rg5Z7k6I=w1200|https://lh3.google"&amp;"usercontent.com/pw/AP1GczMRtC6l0aluwXDtgM1c_fUbN7vk8A0sC0aboSVVwK5da7Bx0iOYIMlFuxsPjed4R0mFJGcV_cqYu7agk4mcaEosEEgrn0Z0km6CmKNe79dvQtadQidU=w1200|https://lh3.googleusercontent.com/pw/AP1GczPFkXea4EMMwyu9Gfm7H6xnlItdiCC482GxdFOoW9JZ1NyGhAyE65nzVgZ8WxMi7DaU"&amp;"ZooSWTPdX8dAGXpEizWUBoEtQt7NTMbGEOcRJ1lwl_SNSBpL=w1200|https://lh3.googleusercontent.com/pw/AP1GczMvGI7x1Cwpyd12J4FI2nlvFTKr13CcavggSTc9NPuYLJpaBgpDeizuVWuqAB6ozJVeZyLnxXjtSxESjJJg8zwRFfO5LgeFjRjqdp1VLz4sOVhA_G7r=w1200|https://lh3.googleusercontent.com/pw"&amp;"/AP1GczNoGOWyJDeuqsNnZnGW89_b7o86BnAbG5UGrAfXysPL5uLTMwVDalLgdX3K3meZ9aImV4ZwoVthmw7t2uNXkgsZumI5BNa0CDtBU2YsSQAwPa61Lre5=w1200|https://lh3.googleusercontent.com/pw/AP1GczP8sVEOvGsdLsJaTZLN7qCwAIDdK9ghXYWSBQHrrPlnI6FdMjzA0SX-S9jb_Ciz4JpPXVgdM073M6fa_Fg9m6"&amp;"M0vT-aUxCasYBR6APdTcYXNJ9zKAjp=w1200|https://lh3.googleusercontent.com/pw/AP1GczMZpyg7H30ADIZvf1C1FhvoFFtv-myRJlOxxPVk9ZoCv5pTr_qKwlsSNTEjUgMEqCVjugrISVUjTlC7H0yKqE1Fv0WrkUKTZrktKH_CIivYU0qBJiQe=w1200|https://lh3.googleusercontent.com/pw/AP1GczPe8mz2B5qXo"&amp;"qlgHIny4NF-EIbQYtrLe8jkJ--B6IHVDUN2nFdlkq-bHx70h3aydR4cbX5YTnLBsKzSGFS0hTg1yhtybN8R37G0Q6s4_9RzteSrKbQy=w1200|https://lh3.googleusercontent.com/pw/AP1GczPmn9fWWJYoZzD-XtWua8fL0LZSddg3CVsL2QcHlTQ9Qi9KSso7ofO4ZPSgRWYMFwKw1cYZEY0devBQAKutUxGP4XFcLI8NQf611bIi"&amp;"PvqfXiaXV5KL=w1200|https://lh3.googleusercontent.com/pw/AP1GczOIZQslKJNwC8kCmbSXH1ujcLvcHUAyhhTOR7VNIYIlVxS97qChjgQi3sfnhEihkILEBvNu0GtRju9xvUwrbLXoDUdskSjOS9Y68KAxCWz6wdmAsJmI=w1200|https://lh3.googleusercontent.com/pw/AP1GczPcYKSRh2-XTnNoleGpJShBjQq4yZx"&amp;"MBm-m94bmD_qJ68I6VdoIu7Nz0fETowEVxIzLRyq18cUS5zwHLYoXvR7fgd0KAWnjaiSM2semYhcWWdy0mPHk=w1200|https://lh3.googleusercontent.com/pw/AP1GczPmLfuKjiCaAVSHm_sjig38HH4J424wNZPc_EUKTkBKeYMecM3-4TCD4CsXFPMy_Y3sB2eov870pe86VsEBlt5Zb4zXt-HfjuMsDjwXvTK9f0NpGneD=w1200"&amp;"|https://lh3.googleusercontent.com/pw/AP1GczN1u1UR84AlWRWZoYAuRug7VeCNwRRheTSHLdI3lviY8FSz5z0mVNS9z6xwvXjAvXN2DKOxyknm30jaosqvQJ_Zrl8wZVLSV-1nK-5vucIps0zVMCq9=w1200|https://lh3.googleusercontent.com/pw/AP1GczNlV56pLZrmi40BIoaOS2flJm1fiIB4WqxJtXev2b-63Z0an"&amp;"wYKe9oNtqC9k7itgGz2sKDLx9Dy2gRl2Klv37dWJYF8YAB48pWDOdJdDFFAtDjkco4N=w1200|https://lh3.googleusercontent.com/pw/AP1GczP915PtBZQfQ60oFQQmcvrQsD53rFXsjlmJt6kiPyLxX7mpO_Qe_WX3vI9ubxczrpsxPJxKgyfO62kgsmlHVRyXRq915x1GNqRHUJ8ofcc-zw6RyCLw=w1200")</f>
        <v>https://lh3.googleusercontent.com/pw/AP1GczPmHsXVuOdgX3R-lQhQsrBaPGfP8ebsHN9wmQG_qQS4rqse45MMTTuhZ-Nn4vFm5Ub60asLDfcKqKSSaaJ9QA4TRxcy8h6wxeE-jE1RkUA6sg7aWhoe=w1200|https://lh3.googleusercontent.com/pw/AP1GczPbyEvaTpgptyevI4ANH39tsAlrSr_Uz9T7LeL9Af4ntqCmQOnFItcKPJsgpWY75P65IBeJNd8-nsFUf-DIjx2hSV8eVRtxT5akaSAYvP7tTOxJJwpo=w1200|https://lh3.googleusercontent.com/pw/AP1GczN6rWCq0WyOjkBW3B93VCYWPgQqnEfc5NFlHOQ7V6XT3s_P91wSfhSUpJyG3j7qor3YvBKCAycDQz4B3QMaDaaKF8thLKFp8JH8PUiB5Jr_rg5Z7k6I=w1200|https://lh3.googleusercontent.com/pw/AP1GczMRtC6l0aluwXDtgM1c_fUbN7vk8A0sC0aboSVVwK5da7Bx0iOYIMlFuxsPjed4R0mFJGcV_cqYu7agk4mcaEosEEgrn0Z0km6CmKNe79dvQtadQidU=w1200|https://lh3.googleusercontent.com/pw/AP1GczPFkXea4EMMwyu9Gfm7H6xnlItdiCC482GxdFOoW9JZ1NyGhAyE65nzVgZ8WxMi7DaUZooSWTPdX8dAGXpEizWUBoEtQt7NTMbGEOcRJ1lwl_SNSBpL=w1200|https://lh3.googleusercontent.com/pw/AP1GczMvGI7x1Cwpyd12J4FI2nlvFTKr13CcavggSTc9NPuYLJpaBgpDeizuVWuqAB6ozJVeZyLnxXjtSxESjJJg8zwRFfO5LgeFjRjqdp1VLz4sOVhA_G7r=w1200|https://lh3.googleusercontent.com/pw/AP1GczNoGOWyJDeuqsNnZnGW89_b7o86BnAbG5UGrAfXysPL5uLTMwVDalLgdX3K3meZ9aImV4ZwoVthmw7t2uNXkgsZumI5BNa0CDtBU2YsSQAwPa61Lre5=w1200|https://lh3.googleusercontent.com/pw/AP1GczP8sVEOvGsdLsJaTZLN7qCwAIDdK9ghXYWSBQHrrPlnI6FdMjzA0SX-S9jb_Ciz4JpPXVgdM073M6fa_Fg9m6M0vT-aUxCasYBR6APdTcYXNJ9zKAjp=w1200|https://lh3.googleusercontent.com/pw/AP1GczMZpyg7H30ADIZvf1C1FhvoFFtv-myRJlOxxPVk9ZoCv5pTr_qKwlsSNTEjUgMEqCVjugrISVUjTlC7H0yKqE1Fv0WrkUKTZrktKH_CIivYU0qBJiQe=w1200|https://lh3.googleusercontent.com/pw/AP1GczPe8mz2B5qXoqlgHIny4NF-EIbQYtrLe8jkJ--B6IHVDUN2nFdlkq-bHx70h3aydR4cbX5YTnLBsKzSGFS0hTg1yhtybN8R37G0Q6s4_9RzteSrKbQy=w1200|https://lh3.googleusercontent.com/pw/AP1GczPmn9fWWJYoZzD-XtWua8fL0LZSddg3CVsL2QcHlTQ9Qi9KSso7ofO4ZPSgRWYMFwKw1cYZEY0devBQAKutUxGP4XFcLI8NQf611bIiPvqfXiaXV5KL=w1200|https://lh3.googleusercontent.com/pw/AP1GczOIZQslKJNwC8kCmbSXH1ujcLvcHUAyhhTOR7VNIYIlVxS97qChjgQi3sfnhEihkILEBvNu0GtRju9xvUwrbLXoDUdskSjOS9Y68KAxCWz6wdmAsJmI=w1200|https://lh3.googleusercontent.com/pw/AP1GczPcYKSRh2-XTnNoleGpJShBjQq4yZxMBm-m94bmD_qJ68I6VdoIu7Nz0fETowEVxIzLRyq18cUS5zwHLYoXvR7fgd0KAWnjaiSM2semYhcWWdy0mPHk=w1200|https://lh3.googleusercontent.com/pw/AP1GczPmLfuKjiCaAVSHm_sjig38HH4J424wNZPc_EUKTkBKeYMecM3-4TCD4CsXFPMy_Y3sB2eov870pe86VsEBlt5Zb4zXt-HfjuMsDjwXvTK9f0NpGneD=w1200|https://lh3.googleusercontent.com/pw/AP1GczN1u1UR84AlWRWZoYAuRug7VeCNwRRheTSHLdI3lviY8FSz5z0mVNS9z6xwvXjAvXN2DKOxyknm30jaosqvQJ_Zrl8wZVLSV-1nK-5vucIps0zVMCq9=w1200|https://lh3.googleusercontent.com/pw/AP1GczNlV56pLZrmi40BIoaOS2flJm1fiIB4WqxJtXev2b-63Z0anwYKe9oNtqC9k7itgGz2sKDLx9Dy2gRl2Klv37dWJYF8YAB48pWDOdJdDFFAtDjkco4N=w1200|https://lh3.googleusercontent.com/pw/AP1GczP915PtBZQfQ60oFQQmcvrQsD53rFXsjlmJt6kiPyLxX7mpO_Qe_WX3vI9ubxczrpsxPJxKgyfO62kgsmlHVRyXRq915x1GNqRHUJ8ofcc-zw6RyCLw=w1200</v>
      </c>
      <c r="AJ122" s="46"/>
      <c r="AK122" s="46"/>
      <c r="AL122" s="46"/>
      <c r="AM122" s="46"/>
      <c r="AN122" s="46"/>
      <c r="AO122" s="46"/>
      <c r="AP122" s="46"/>
      <c r="AQ122" s="46"/>
      <c r="AR122" s="46"/>
      <c r="AS122" s="46"/>
      <c r="AT122" s="46"/>
      <c r="AU122" s="46"/>
      <c r="AV122" s="46"/>
      <c r="AW122" s="46"/>
      <c r="AX122" s="46"/>
      <c r="AY122" s="46"/>
      <c r="AZ122" s="46"/>
      <c r="BA122" s="46"/>
      <c r="BB122" s="46"/>
      <c r="BC122" s="46"/>
      <c r="BD122" s="46"/>
      <c r="BE122" s="46"/>
      <c r="BF122" s="46"/>
      <c r="BG122" s="46"/>
      <c r="BH122" s="46"/>
      <c r="BI122" s="46"/>
      <c r="BJ122" s="46"/>
      <c r="BK122" s="46"/>
      <c r="BL122" s="46"/>
      <c r="BM122" s="46"/>
      <c r="BN122" s="46"/>
      <c r="BO122" s="46"/>
      <c r="BP122" s="46"/>
      <c r="BQ122" s="46"/>
      <c r="BR122" s="46"/>
      <c r="BS122" s="46"/>
      <c r="BT122" s="46"/>
      <c r="BU122" s="46"/>
      <c r="BV122" s="46"/>
      <c r="BW122" s="46"/>
      <c r="BX122" s="46"/>
      <c r="BY122" s="46"/>
      <c r="BZ122" s="46"/>
      <c r="CA122" s="46"/>
      <c r="CB122" s="46"/>
      <c r="CC122" s="46"/>
    </row>
    <row r="123">
      <c r="A123" s="87" t="str">
        <f>IFERROR(__xludf.DUMMYFUNCTION("""COMPUTED_VALUE"""),"916")</f>
        <v>916</v>
      </c>
      <c r="B123" s="46" t="str">
        <f>IFERROR(__xludf.DUMMYFUNCTION("""COMPUTED_VALUE"""),"Oficina en edificio Fenalco - Centro")</f>
        <v>Oficina en edificio Fenalco - Centro</v>
      </c>
      <c r="C123" s="46" t="str">
        <f>IFERROR(__xludf.DUMMYFUNCTION("""COMPUTED_VALUE"""),"Oficina")</f>
        <v>Oficina</v>
      </c>
      <c r="D123" s="46" t="str">
        <f>IFERROR(__xludf.DUMMYFUNCTION("""COMPUTED_VALUE"""),"Centro")</f>
        <v>Centro</v>
      </c>
      <c r="E123" s="90"/>
      <c r="F123" s="90">
        <f>IFERROR(__xludf.DUMMYFUNCTION("""COMPUTED_VALUE"""),1.2E8)</f>
        <v>120000000</v>
      </c>
      <c r="G123" s="46" t="str">
        <f>IFERROR(__xludf.DUMMYFUNCTION("""COMPUTED_VALUE"""),"$100'000.000 a $200'000.000")</f>
        <v>$100'000.000 a $200'000.000</v>
      </c>
      <c r="H123" s="46"/>
      <c r="I123" s="46"/>
      <c r="J123" s="46" t="str">
        <f>IFERROR(__xludf.DUMMYFUNCTION("""COMPUTED_VALUE"""),"Centro")</f>
        <v>Centro</v>
      </c>
      <c r="K123" s="87" t="str">
        <f>IFERROR(__xludf.DUMMYFUNCTION("""COMPUTED_VALUE"""),"4")</f>
        <v>4</v>
      </c>
      <c r="L123" s="46">
        <f>IFERROR(__xludf.DUMMYFUNCTION("""COMPUTED_VALUE"""),0.0)</f>
        <v>0</v>
      </c>
      <c r="M123" s="46"/>
      <c r="N123" s="46">
        <f>IFERROR(__xludf.DUMMYFUNCTION("""COMPUTED_VALUE"""),1.0)</f>
        <v>1</v>
      </c>
      <c r="O123" s="46">
        <f>IFERROR(__xludf.DUMMYFUNCTION("""COMPUTED_VALUE"""),0.0)</f>
        <v>0</v>
      </c>
      <c r="P123" s="46">
        <f>IFERROR(__xludf.DUMMYFUNCTION("""COMPUTED_VALUE"""),1.0)</f>
        <v>1</v>
      </c>
      <c r="Q123" s="92">
        <f>IFERROR(__xludf.DUMMYFUNCTION("""COMPUTED_VALUE"""),18.57)</f>
        <v>18.57</v>
      </c>
      <c r="R123" s="92">
        <f>IFERROR(__xludf.DUMMYFUNCTION("""COMPUTED_VALUE"""),18.57)</f>
        <v>18.57</v>
      </c>
      <c r="S123" s="87" t="str">
        <f>IFERROR(__xludf.DUMMYFUNCTION("""COMPUTED_VALUE""")," ")</f>
        <v> </v>
      </c>
      <c r="T123" s="46" t="str">
        <f>IFERROR(__xludf.DUMMYFUNCTION("""COMPUTED_VALUE"""),"Neiva")</f>
        <v>Neiva</v>
      </c>
      <c r="U123" s="87" t="str">
        <f>IFERROR(__xludf.DUMMYFUNCTION("""COMPUTED_VALUE"""),"7")</f>
        <v>7</v>
      </c>
      <c r="V123" s="46" t="str">
        <f>IFERROR(__xludf.DUMMYFUNCTION("""COMPUTED_VALUE"""),"1ro.")</f>
        <v>1ro.</v>
      </c>
      <c r="W123" s="46"/>
      <c r="X123" s="46">
        <f>IFERROR(__xludf.DUMMYFUNCTION("""COMPUTED_VALUE"""),0.0)</f>
        <v>0</v>
      </c>
      <c r="Y123" s="46" t="str">
        <f>IFERROR(__xludf.DUMMYFUNCTION("""COMPUTED_VALUE"""),"No tiene")</f>
        <v>No tiene</v>
      </c>
      <c r="Z123" s="90"/>
      <c r="AA123" s="33" t="str">
        <f>IFERROR(__xludf.DUMMYFUNCTION("""COMPUTED_VALUE"""),"No aplica")</f>
        <v>No aplica</v>
      </c>
      <c r="AB123" s="96" t="str">
        <f>IFERROR(__xludf.DUMMYFUNCTION("""COMPUTED_VALUE"""),"https://photos.app.goo.gl/NhzQws14c29sLT7QA")</f>
        <v>https://photos.app.goo.gl/NhzQws14c29sLT7QA</v>
      </c>
      <c r="AC123" s="46" t="str">
        <f>IFERROR(__xludf.DUMMYFUNCTION("""COMPUTED_VALUE"""),"Oficina, Area: 18.57m2, Amplia, con ascensor, pisos en porcelanato, techo en PVC, 1 A.A., 1 archivador. El edificio ofrece, vigilancia las 24 horas, ascensor, baños.")</f>
        <v>Oficina, Area: 18.57m2, Amplia, con ascensor, pisos en porcelanato, techo en PVC, 1 A.A., 1 archivador. El edificio ofrece, vigilancia las 24 horas, ascensor, baños.</v>
      </c>
      <c r="AD123" s="46" t="str">
        <f>IFERROR(__xludf.DUMMYFUNCTION("""COMPUTED_VALUE"""),"Oficina bien ubicada, con buenos acabados.")</f>
        <v>Oficina bien ubicada, con buenos acabados.</v>
      </c>
      <c r="AE123" s="46"/>
      <c r="AF123" s="46">
        <f>IFERROR(__xludf.DUMMYFUNCTION("""COMPUTED_VALUE"""),0.0)</f>
        <v>0</v>
      </c>
      <c r="AG123" s="46"/>
      <c r="AH123" s="46" t="str">
        <f>IFERROR(__xludf.DUMMYFUNCTION("""COMPUTED_VALUE"""),"Aliado")</f>
        <v>Aliado</v>
      </c>
      <c r="AI123" s="92" t="str">
        <f>IFERROR(__xludf.DUMMYFUNCTION("""COMPUTED_VALUE"""),"https://lh3.googleusercontent.com/pw/AP1GczNdK6xwxihCtYp1EVACMDBVZnzlwXcZAb_-oeuUb-79Upfu85U7vO42HfdpIumJ4vIxqrWp2lNUfhrQn_ZEHIWDRFMMbWjnlppAyNfiFtiWcr9QxGSN=w1200|https://lh3.googleusercontent.com/pw/AP1GczPSHtBViKML5fWHtk3GHWV6y7We1YsTpXrhD1fMnu7bC3n57a"&amp;"AzGmiW1hkBSyJzMTXa-l-lC4qTf8PCSysjX9iQGs3WwJKRQ1Y7Kqo0OiW9rp9XQEvb=w1200|https://lh3.googleusercontent.com/pw/AP1GczPuz8gCY5q9OO96gc5kyqmwxUmlKKR1ecSt8Q-aHLX7-GhSdkA6vC5VPuwcMMcc2uwl1gn1BwWWBmR1T5TSfEjQLd7OYeuq8HDgdYw4pkQveF2ns3Ft=w1200|https://lh3.google"&amp;"usercontent.com/pw/AP1GczOHcy8UxEYOAoQoIOx-XyUZtRvbHh0lDdehvz1jHLAOwum8WGPjEiFwKBxZmXoybHo-SA-il3Gf6OCr6FdTuSxV9rlgrCsZA5uOGjd9xpaEkMAHnBLr=w1200|https://lh3.googleusercontent.com/pw/AP1GczOilNrWFqiGiZATkVUcI4EYltsVb4Edi1DEwpqlWKeuBff0k34GovGMZ_i2LUx_Huf7"&amp;"M6xwdU86KVAYRVwGml6ncfiAcGI9LZPTjz1_PBsprosp9Hri=w1200|https://lh3.googleusercontent.com/pw/AP1GczOguTjw5Y56-jUXepf-mECVpQD75netCMu-lXJKgONQ_-N5gIP12kH7WSp5k4cRv9pjaNUMnzO7U-wMX7t3_egXHV1SXSvji9pmOW3si4pFRROA9RlU=w1200|https://lh3.googleusercontent.com/pw"&amp;"/AP1GczMUo0ndCVhPnirR6DVtlH4BwlSSDvm5equs0XpywNdjBcV-OImgL9h_TNhCSRPi_90mLRu1DRmug79VI-HBU6sRu8g5VD3mXWkYUD4HzMqyHT_BqG0x=w1200|https://lh3.googleusercontent.com/pw/AP1GczN_sfmeMoDpxXYf_FT9Eia6lgNxQNTJDsF6yJlFO3FcL5zQCZWNvsAahm97p5Uf5UmUsM9CrQS3sRk72muy_L"&amp;"Xug22vb4jKr9bGDa7pYiYFRSF95qk9=w1200|https://lh3.googleusercontent.com/pw/AP1GczPWFLMO13qt22oBm6KBpomxdoNrW9xrWk9D4pBDUvNrJL9eat7RXfzVS32EvIkWFrGwojjep13h3sPuvdJJDrYtzc5uyLVbWRDbpey0P8DsFbNNcuZ-=w1200")</f>
        <v>https://lh3.googleusercontent.com/pw/AP1GczNdK6xwxihCtYp1EVACMDBVZnzlwXcZAb_-oeuUb-79Upfu85U7vO42HfdpIumJ4vIxqrWp2lNUfhrQn_ZEHIWDRFMMbWjnlppAyNfiFtiWcr9QxGSN=w1200|https://lh3.googleusercontent.com/pw/AP1GczPSHtBViKML5fWHtk3GHWV6y7We1YsTpXrhD1fMnu7bC3n57aAzGmiW1hkBSyJzMTXa-l-lC4qTf8PCSysjX9iQGs3WwJKRQ1Y7Kqo0OiW9rp9XQEvb=w1200|https://lh3.googleusercontent.com/pw/AP1GczPuz8gCY5q9OO96gc5kyqmwxUmlKKR1ecSt8Q-aHLX7-GhSdkA6vC5VPuwcMMcc2uwl1gn1BwWWBmR1T5TSfEjQLd7OYeuq8HDgdYw4pkQveF2ns3Ft=w1200|https://lh3.googleusercontent.com/pw/AP1GczOHcy8UxEYOAoQoIOx-XyUZtRvbHh0lDdehvz1jHLAOwum8WGPjEiFwKBxZmXoybHo-SA-il3Gf6OCr6FdTuSxV9rlgrCsZA5uOGjd9xpaEkMAHnBLr=w1200|https://lh3.googleusercontent.com/pw/AP1GczOilNrWFqiGiZATkVUcI4EYltsVb4Edi1DEwpqlWKeuBff0k34GovGMZ_i2LUx_Huf7M6xwdU86KVAYRVwGml6ncfiAcGI9LZPTjz1_PBsprosp9Hri=w1200|https://lh3.googleusercontent.com/pw/AP1GczOguTjw5Y56-jUXepf-mECVpQD75netCMu-lXJKgONQ_-N5gIP12kH7WSp5k4cRv9pjaNUMnzO7U-wMX7t3_egXHV1SXSvji9pmOW3si4pFRROA9RlU=w1200|https://lh3.googleusercontent.com/pw/AP1GczMUo0ndCVhPnirR6DVtlH4BwlSSDvm5equs0XpywNdjBcV-OImgL9h_TNhCSRPi_90mLRu1DRmug79VI-HBU6sRu8g5VD3mXWkYUD4HzMqyHT_BqG0x=w1200|https://lh3.googleusercontent.com/pw/AP1GczN_sfmeMoDpxXYf_FT9Eia6lgNxQNTJDsF6yJlFO3FcL5zQCZWNvsAahm97p5Uf5UmUsM9CrQS3sRk72muy_LXug22vb4jKr9bGDa7pYiYFRSF95qk9=w1200|https://lh3.googleusercontent.com/pw/AP1GczPWFLMO13qt22oBm6KBpomxdoNrW9xrWk9D4pBDUvNrJL9eat7RXfzVS32EvIkWFrGwojjep13h3sPuvdJJDrYtzc5uyLVbWRDbpey0P8DsFbNNcuZ-=w1200</v>
      </c>
      <c r="AJ123" s="46"/>
      <c r="AK123" s="46"/>
      <c r="AL123" s="46"/>
      <c r="AM123" s="46"/>
      <c r="AN123" s="46"/>
      <c r="AO123" s="46"/>
      <c r="AP123" s="46"/>
      <c r="AQ123" s="46"/>
      <c r="AR123" s="46"/>
      <c r="AS123" s="46"/>
      <c r="AT123" s="46"/>
      <c r="AU123" s="46"/>
      <c r="AV123" s="46"/>
      <c r="AW123" s="46"/>
      <c r="AX123" s="46"/>
      <c r="AY123" s="46"/>
      <c r="AZ123" s="46"/>
      <c r="BA123" s="46"/>
      <c r="BB123" s="46"/>
      <c r="BC123" s="46"/>
      <c r="BD123" s="46"/>
      <c r="BE123" s="46"/>
      <c r="BF123" s="46"/>
      <c r="BG123" s="46"/>
      <c r="BH123" s="46"/>
      <c r="BI123" s="46"/>
      <c r="BJ123" s="46"/>
      <c r="BK123" s="46"/>
      <c r="BL123" s="46"/>
      <c r="BM123" s="46"/>
      <c r="BN123" s="46"/>
      <c r="BO123" s="46"/>
      <c r="BP123" s="46"/>
      <c r="BQ123" s="46"/>
      <c r="BR123" s="46"/>
      <c r="BS123" s="46"/>
      <c r="BT123" s="46"/>
      <c r="BU123" s="46"/>
      <c r="BV123" s="46"/>
      <c r="BW123" s="46"/>
      <c r="BX123" s="46"/>
      <c r="BY123" s="46"/>
      <c r="BZ123" s="46"/>
      <c r="CA123" s="46"/>
      <c r="CB123" s="46"/>
      <c r="CC123" s="46"/>
    </row>
    <row r="124">
      <c r="A124" s="87" t="str">
        <f>IFERROR(__xludf.DUMMYFUNCTION("""COMPUTED_VALUE"""),"1369")</f>
        <v>1369</v>
      </c>
      <c r="B124" s="46" t="str">
        <f>IFERROR(__xludf.DUMMYFUNCTION("""COMPUTED_VALUE"""),"Apartamento en Conjunto El Tesoro 2 - Oriente")</f>
        <v>Apartamento en Conjunto El Tesoro 2 - Oriente</v>
      </c>
      <c r="C124" s="46" t="str">
        <f>IFERROR(__xludf.DUMMYFUNCTION("""COMPUTED_VALUE"""),"Apartamento en conjunto")</f>
        <v>Apartamento en conjunto</v>
      </c>
      <c r="D124" s="46" t="str">
        <f>IFERROR(__xludf.DUMMYFUNCTION("""COMPUTED_VALUE"""),"El Tesoro")</f>
        <v>El Tesoro</v>
      </c>
      <c r="E124" s="90" t="str">
        <f>IFERROR(__xludf.DUMMYFUNCTION("""COMPUTED_VALUE"""),"Conjunto El Tesoro 2")</f>
        <v>Conjunto El Tesoro 2</v>
      </c>
      <c r="F124" s="90">
        <f>IFERROR(__xludf.DUMMYFUNCTION("""COMPUTED_VALUE"""),1.2E8)</f>
        <v>120000000</v>
      </c>
      <c r="G124" s="46" t="str">
        <f>IFERROR(__xludf.DUMMYFUNCTION("""COMPUTED_VALUE"""),"$100'000.000 a $200'000.000")</f>
        <v>$100'000.000 a $200'000.000</v>
      </c>
      <c r="H124" s="46"/>
      <c r="I124" s="46"/>
      <c r="J124" s="46" t="str">
        <f>IFERROR(__xludf.DUMMYFUNCTION("""COMPUTED_VALUE"""),"Oriente")</f>
        <v>Oriente</v>
      </c>
      <c r="K124" s="87" t="str">
        <f>IFERROR(__xludf.DUMMYFUNCTION("""COMPUTED_VALUE"""),"10")</f>
        <v>10</v>
      </c>
      <c r="L124" s="46">
        <f>IFERROR(__xludf.DUMMYFUNCTION("""COMPUTED_VALUE"""),3.0)</f>
        <v>3</v>
      </c>
      <c r="M124" s="46"/>
      <c r="N124" s="46">
        <f>IFERROR(__xludf.DUMMYFUNCTION("""COMPUTED_VALUE"""),2.0)</f>
        <v>2</v>
      </c>
      <c r="O124" s="46">
        <f>IFERROR(__xludf.DUMMYFUNCTION("""COMPUTED_VALUE"""),1.0)</f>
        <v>1</v>
      </c>
      <c r="P124" s="46">
        <f>IFERROR(__xludf.DUMMYFUNCTION("""COMPUTED_VALUE"""),5.0)</f>
        <v>5</v>
      </c>
      <c r="Q124" s="92">
        <f>IFERROR(__xludf.DUMMYFUNCTION("""COMPUTED_VALUE"""),56.0)</f>
        <v>56</v>
      </c>
      <c r="R124" s="92">
        <f>IFERROR(__xludf.DUMMYFUNCTION("""COMPUTED_VALUE"""),56.0)</f>
        <v>56</v>
      </c>
      <c r="S124" s="87" t="str">
        <f>IFERROR(__xludf.DUMMYFUNCTION("""COMPUTED_VALUE""")," ")</f>
        <v> </v>
      </c>
      <c r="T124" s="46" t="str">
        <f>IFERROR(__xludf.DUMMYFUNCTION("""COMPUTED_VALUE"""),"Neiva")</f>
        <v>Neiva</v>
      </c>
      <c r="U124" s="87" t="str">
        <f>IFERROR(__xludf.DUMMYFUNCTION("""COMPUTED_VALUE"""),"3")</f>
        <v>3</v>
      </c>
      <c r="V124" s="46" t="str">
        <f>IFERROR(__xludf.DUMMYFUNCTION("""COMPUTED_VALUE"""),"5to.")</f>
        <v>5to.</v>
      </c>
      <c r="W124" s="46"/>
      <c r="X124" s="46">
        <f>IFERROR(__xludf.DUMMYFUNCTION("""COMPUTED_VALUE"""),3.0)</f>
        <v>3</v>
      </c>
      <c r="Y124" s="46" t="str">
        <f>IFERROR(__xludf.DUMMYFUNCTION("""COMPUTED_VALUE"""),"Social")</f>
        <v>Social</v>
      </c>
      <c r="Z124" s="90">
        <f>IFERROR(__xludf.DUMMYFUNCTION("""COMPUTED_VALUE"""),197000.0)</f>
        <v>197000</v>
      </c>
      <c r="AA124" s="33" t="str">
        <f>IFERROR(__xludf.DUMMYFUNCTION("""COMPUTED_VALUE"""),"No aplica")</f>
        <v>No aplica</v>
      </c>
      <c r="AB124" s="144" t="str">
        <f>IFERROR(__xludf.DUMMYFUNCTION("""COMPUTED_VALUE"""),"https://photos.app.goo.gl/qZk18RKu6DkZiSfD8")</f>
        <v>https://photos.app.goo.gl/qZk18RKu6DkZiSfD8</v>
      </c>
      <c r="AC124" s="46" t="str">
        <f>IFERROR(__xludf.DUMMYFUNCTION("""COMPUTED_VALUE"""),"Apartamento ubicado en un 5to. Piso.  Conjunto el Tesoro ll,  con un área de 56.0 m2, consta de sala-comedor, 3 habitaciones, la principal con A.A., balcón y Closet en madera, baño, cocina semi-integral, lavadero, estrato 3. El edificio no cuenta con asce"&amp;"nsor, sin parqueadero privado, comunal. portería 24 horas.")</f>
        <v>Apartamento ubicado en un 5to. Piso.  Conjunto el Tesoro ll,  con un área de 56.0 m2, consta de sala-comedor, 3 habitaciones, la principal con A.A., balcón y Closet en madera, baño, cocina semi-integral, lavadero, estrato 3. El edificio no cuenta con ascensor, sin parqueadero privado, comunal. portería 24 horas.</v>
      </c>
      <c r="AD124" s="46" t="str">
        <f>IFERROR(__xludf.DUMMYFUNCTION("""COMPUTED_VALUE"""),"Apartamento bien ubicado y con buenos acabados.")</f>
        <v>Apartamento bien ubicado y con buenos acabados.</v>
      </c>
      <c r="AE124" s="46"/>
      <c r="AF124" s="46" t="str">
        <f>IFERROR(__xludf.DUMMYFUNCTION("""COMPUTED_VALUE"""),"semi-integral")</f>
        <v>semi-integral</v>
      </c>
      <c r="AG124" s="46"/>
      <c r="AH124" s="46" t="str">
        <f>IFERROR(__xludf.DUMMYFUNCTION("""COMPUTED_VALUE"""),"Aliado")</f>
        <v>Aliado</v>
      </c>
      <c r="AI124" s="92" t="str">
        <f>IFERROR(__xludf.DUMMYFUNCTION("""COMPUTED_VALUE"""),"https://lh3.googleusercontent.com/pw/AP1GczPCTA4wTAxWax79gaf-kOcOoYX3arAP1NCVr3hxIS9fGEf9tHJaHqgCYEI8acVgHS86TxJDKes5zufWc1GH2vyHdNLmHTrKi6KPbSF6wk5qq1nqOqJ3=w1200|https://lh3.googleusercontent.com/pw/AP1GczM5EhKRekXoa9wjC-8XPMEEgCaKuVIepCI2L3ax3TZJrzmF_T"&amp;"ACb9roCjFvJFIF_kLVwMESSUqi8A59XTpol7XRXzqbuPwarZtc74tRifY-9g3rsiIX=w1200|https://lh3.googleusercontent.com/pw/AP1GczNbLJP6mFcaBoPr3EvVr6ocRb8pKPYZAl4hM0hEt4jI9VObqerRk0zllXelonbWpvNNgWg6pQCn82bTeWKV5sTJI-aiLSK-jmBAUtO7vjAIyqe9eSJG=w1200|https://lh3.google"&amp;"usercontent.com/pw/AP1GczPTFB22znU_6pMWhDbgQh2OL3Y1Bezvkwx826BjGDNUZvjZOOYCkHMSnJ-jLbNyUvosmd3em3KSlmHBTt7rP1C_xZgtDko2FIzirl_MqcvkZVTVENAH=w1200|https://lh3.googleusercontent.com/pw/AP1GczO5qK6sp9G90VNaicq1trd7X8pDXKhulu-twM_Z7-QvDjpfCkzp8ROY2uASxLZ_oL9b"&amp;"zUj7QlrULXPMquBzORLt7nyIAjyrtnflvO4sYzUPyU6oHxm_=w1200|https://lh3.googleusercontent.com/pw/AP1GczPhUrllcvok3fWfPbPd3dnoffsPdb5lBVF3WtvUCZzyfG-BJ8echHy6mHbIBtsqCHLZHNA7NPd4alr0JAe6Au8nbbL_h7oCVs6UNMiIQlWTgTSRithJ=w1200|https://lh3.googleusercontent.com/pw"&amp;"/AP1GczNrq-HEdZhiq9ex8K31R-gowGqJuFAwcBp6dQX43mZ8WP8ON-Grx9eFPGu2SACjbaNtj3p1SoAh609yhrqVHN-vo0J470sBZG66ekcvPQrqT-pc53XN=w1200|https://lh3.googleusercontent.com/pw/AP1GczOgwAoTRJUFW-I3tfC5zeX6653kT4Thahz-4QpZIW0Tb4LsnLPhUSWpOo-Phn1qYMYGs5ktBak0OF6HKaDsff"&amp;"Qj6WpQkgUEUVHpI4hnE_skVJ-V6SbA=w1200|https://lh3.googleusercontent.com/pw/AP1GczMWQHJ99xftHd7xDcI18MoEVKfaiYgVrf0GN4iJxwcZgFhXdg3JC1l5aBt_NrAfkvB4W6jt-QFlQrGDyYLkYWE6opReYnAnZjXjp6tG1qSnBYfqAmju=w1200|https://lh3.googleusercontent.com/pw/AP1GczMbZvxyjwQSe"&amp;"G1LTyVOgRZbd20_L6duTSrT3SG7GmBLyIluE7D53KbXa60jvJnX6UhVtD5_X659fEqrMljMpX0KF2s6S5TK3yNCuxaTyR93UVKyM4tM=w1200|https://lh3.googleusercontent.com/pw/AP1GczPA48a5TwFvFMK0VMOWEZwk0JHGWa1_5MKDyEkOWFq9vVqAsblmwcQb0nVPLp5H5tHNIUxnhGWuTYcfV5-8KysdKcpXbqfRyV6lDSlp"&amp;"2wnPbvgv8lQJ=w1200|https://lh3.googleusercontent.com/pw/AP1GczP07GZq0UMF2qKGND3aC30oahLvPLdNo9ddcpY4x9bqMmkl9NACwHm1v1WWfKIYoH0vGAUarbGgth2xXWYSQOq5cedEUZRWAfCpdH68AliAeZfnC5R9=w1200|https://lh3.googleusercontent.com/pw/AP1GczNdMD2gOjchp9HGpj3ugaQ1H0V-Owd"&amp;"6_6PHbix9Ep3bmyx_oAXX-WEiMYwqfXzk6Lcq-0mVu4d_NehvnSbHE4FnTxrhskozaL25z9Ni9Df-eqbuXfy9=w1200|https://lh3.googleusercontent.com/pw/AP1GczMjwf4DzsRQNBiIUMt57DRMxNP4c6sqwrBxKiZGQSA-VU5eZfL0KPVRwahs-EkxBITvDAA8KzzFAim1KPXg26l88ySJxxd-F6TturStSpnpDZz1dU-i=w1200"&amp;"|https://lh3.googleusercontent.com/pw/AP1GczMF13smkd_36JRCgWAqiu42S9_i-DkS1WOJI4hc5hpv81-o_-2kBOKN82T-mWYQgVl9nIabQJAmqokT5Es9ZkBoRHija0Q9fS3TIxqcWOoWSMK0B2de=w1200|https://lh3.googleusercontent.com/pw/AP1GczMv9JGUgsfvjsF-3wcsysXoApy_ceyHOA0a6bswgAMppftQX"&amp;"p-yW3m8zk2xrtjGlIMQOxacnWzm4uarOlWXF26FHW5HeaN-d5rcg0WUsXaOpeuIS0u4=w1200")</f>
        <v>https://lh3.googleusercontent.com/pw/AP1GczPCTA4wTAxWax79gaf-kOcOoYX3arAP1NCVr3hxIS9fGEf9tHJaHqgCYEI8acVgHS86TxJDKes5zufWc1GH2vyHdNLmHTrKi6KPbSF6wk5qq1nqOqJ3=w1200|https://lh3.googleusercontent.com/pw/AP1GczM5EhKRekXoa9wjC-8XPMEEgCaKuVIepCI2L3ax3TZJrzmF_TACb9roCjFvJFIF_kLVwMESSUqi8A59XTpol7XRXzqbuPwarZtc74tRifY-9g3rsiIX=w1200|https://lh3.googleusercontent.com/pw/AP1GczNbLJP6mFcaBoPr3EvVr6ocRb8pKPYZAl4hM0hEt4jI9VObqerRk0zllXelonbWpvNNgWg6pQCn82bTeWKV5sTJI-aiLSK-jmBAUtO7vjAIyqe9eSJG=w1200|https://lh3.googleusercontent.com/pw/AP1GczPTFB22znU_6pMWhDbgQh2OL3Y1Bezvkwx826BjGDNUZvjZOOYCkHMSnJ-jLbNyUvosmd3em3KSlmHBTt7rP1C_xZgtDko2FIzirl_MqcvkZVTVENAH=w1200|https://lh3.googleusercontent.com/pw/AP1GczO5qK6sp9G90VNaicq1trd7X8pDXKhulu-twM_Z7-QvDjpfCkzp8ROY2uASxLZ_oL9bzUj7QlrULXPMquBzORLt7nyIAjyrtnflvO4sYzUPyU6oHxm_=w1200|https://lh3.googleusercontent.com/pw/AP1GczPhUrllcvok3fWfPbPd3dnoffsPdb5lBVF3WtvUCZzyfG-BJ8echHy6mHbIBtsqCHLZHNA7NPd4alr0JAe6Au8nbbL_h7oCVs6UNMiIQlWTgTSRithJ=w1200|https://lh3.googleusercontent.com/pw/AP1GczNrq-HEdZhiq9ex8K31R-gowGqJuFAwcBp6dQX43mZ8WP8ON-Grx9eFPGu2SACjbaNtj3p1SoAh609yhrqVHN-vo0J470sBZG66ekcvPQrqT-pc53XN=w1200|https://lh3.googleusercontent.com/pw/AP1GczOgwAoTRJUFW-I3tfC5zeX6653kT4Thahz-4QpZIW0Tb4LsnLPhUSWpOo-Phn1qYMYGs5ktBak0OF6HKaDsffQj6WpQkgUEUVHpI4hnE_skVJ-V6SbA=w1200|https://lh3.googleusercontent.com/pw/AP1GczMWQHJ99xftHd7xDcI18MoEVKfaiYgVrf0GN4iJxwcZgFhXdg3JC1l5aBt_NrAfkvB4W6jt-QFlQrGDyYLkYWE6opReYnAnZjXjp6tG1qSnBYfqAmju=w1200|https://lh3.googleusercontent.com/pw/AP1GczMbZvxyjwQSeG1LTyVOgRZbd20_L6duTSrT3SG7GmBLyIluE7D53KbXa60jvJnX6UhVtD5_X659fEqrMljMpX0KF2s6S5TK3yNCuxaTyR93UVKyM4tM=w1200|https://lh3.googleusercontent.com/pw/AP1GczPA48a5TwFvFMK0VMOWEZwk0JHGWa1_5MKDyEkOWFq9vVqAsblmwcQb0nVPLp5H5tHNIUxnhGWuTYcfV5-8KysdKcpXbqfRyV6lDSlp2wnPbvgv8lQJ=w1200|https://lh3.googleusercontent.com/pw/AP1GczP07GZq0UMF2qKGND3aC30oahLvPLdNo9ddcpY4x9bqMmkl9NACwHm1v1WWfKIYoH0vGAUarbGgth2xXWYSQOq5cedEUZRWAfCpdH68AliAeZfnC5R9=w1200|https://lh3.googleusercontent.com/pw/AP1GczNdMD2gOjchp9HGpj3ugaQ1H0V-Owd6_6PHbix9Ep3bmyx_oAXX-WEiMYwqfXzk6Lcq-0mVu4d_NehvnSbHE4FnTxrhskozaL25z9Ni9Df-eqbuXfy9=w1200|https://lh3.googleusercontent.com/pw/AP1GczMjwf4DzsRQNBiIUMt57DRMxNP4c6sqwrBxKiZGQSA-VU5eZfL0KPVRwahs-EkxBITvDAA8KzzFAim1KPXg26l88ySJxxd-F6TturStSpnpDZz1dU-i=w1200|https://lh3.googleusercontent.com/pw/AP1GczMF13smkd_36JRCgWAqiu42S9_i-DkS1WOJI4hc5hpv81-o_-2kBOKN82T-mWYQgVl9nIabQJAmqokT5Es9ZkBoRHija0Q9fS3TIxqcWOoWSMK0B2de=w1200|https://lh3.googleusercontent.com/pw/AP1GczMv9JGUgsfvjsF-3wcsysXoApy_ceyHOA0a6bswgAMppftQXp-yW3m8zk2xrtjGlIMQOxacnWzm4uarOlWXF26FHW5HeaN-d5rcg0WUsXaOpeuIS0u4=w1200</v>
      </c>
      <c r="AJ124" s="46"/>
      <c r="AK124" s="46"/>
      <c r="AL124" s="46"/>
      <c r="AM124" s="46"/>
      <c r="AN124" s="46"/>
      <c r="AO124" s="46"/>
      <c r="AP124" s="46"/>
      <c r="AQ124" s="46"/>
      <c r="AR124" s="46"/>
      <c r="AS124" s="46"/>
      <c r="AT124" s="46"/>
      <c r="AU124" s="46"/>
      <c r="AV124" s="46"/>
      <c r="AW124" s="46"/>
      <c r="AX124" s="46"/>
      <c r="AY124" s="46"/>
      <c r="AZ124" s="46"/>
      <c r="BA124" s="46"/>
      <c r="BB124" s="46"/>
      <c r="BC124" s="46"/>
      <c r="BD124" s="46"/>
      <c r="BE124" s="46"/>
      <c r="BF124" s="46"/>
      <c r="BG124" s="46"/>
      <c r="BH124" s="46"/>
      <c r="BI124" s="46"/>
      <c r="BJ124" s="46"/>
      <c r="BK124" s="46"/>
      <c r="BL124" s="46"/>
      <c r="BM124" s="46"/>
      <c r="BN124" s="46"/>
      <c r="BO124" s="46"/>
      <c r="BP124" s="46"/>
      <c r="BQ124" s="46"/>
      <c r="BR124" s="46"/>
      <c r="BS124" s="46"/>
      <c r="BT124" s="46"/>
      <c r="BU124" s="46"/>
      <c r="BV124" s="46"/>
      <c r="BW124" s="46"/>
      <c r="BX124" s="46"/>
      <c r="BY124" s="46"/>
      <c r="BZ124" s="46"/>
      <c r="CA124" s="46"/>
      <c r="CB124" s="46"/>
      <c r="CC124" s="46"/>
    </row>
    <row r="125">
      <c r="A125" s="87" t="str">
        <f>IFERROR(__xludf.DUMMYFUNCTION("""COMPUTED_VALUE"""),"1744")</f>
        <v>1744</v>
      </c>
      <c r="B125" s="46" t="str">
        <f>IFERROR(__xludf.DUMMYFUNCTION("""COMPUTED_VALUE"""),"Oficina en edificio Septima Avenida")</f>
        <v>Oficina en edificio Septima Avenida</v>
      </c>
      <c r="C125" s="46" t="str">
        <f>IFERROR(__xludf.DUMMYFUNCTION("""COMPUTED_VALUE"""),"Oficina")</f>
        <v>Oficina</v>
      </c>
      <c r="D125" s="46" t="str">
        <f>IFERROR(__xludf.DUMMYFUNCTION("""COMPUTED_VALUE"""),"Centro")</f>
        <v>Centro</v>
      </c>
      <c r="E125" s="90"/>
      <c r="F125" s="90">
        <f>IFERROR(__xludf.DUMMYFUNCTION("""COMPUTED_VALUE"""),9.0E7)</f>
        <v>90000000</v>
      </c>
      <c r="G125" s="46" t="str">
        <f>IFERROR(__xludf.DUMMYFUNCTION("""COMPUTED_VALUE"""),"$0 a $100'000.000")</f>
        <v>$0 a $100'000.000</v>
      </c>
      <c r="H125" s="46"/>
      <c r="I125" s="46"/>
      <c r="J125" s="46" t="str">
        <f>IFERROR(__xludf.DUMMYFUNCTION("""COMPUTED_VALUE"""),"Centro")</f>
        <v>Centro</v>
      </c>
      <c r="K125" s="87"/>
      <c r="L125" s="46">
        <f>IFERROR(__xludf.DUMMYFUNCTION("""COMPUTED_VALUE"""),1.0)</f>
        <v>1</v>
      </c>
      <c r="M125" s="46"/>
      <c r="N125" s="46">
        <f>IFERROR(__xludf.DUMMYFUNCTION("""COMPUTED_VALUE"""),1.0)</f>
        <v>1</v>
      </c>
      <c r="O125" s="46">
        <f>IFERROR(__xludf.DUMMYFUNCTION("""COMPUTED_VALUE"""),0.0)</f>
        <v>0</v>
      </c>
      <c r="P125" s="46">
        <f>IFERROR(__xludf.DUMMYFUNCTION("""COMPUTED_VALUE"""),3.0)</f>
        <v>3</v>
      </c>
      <c r="Q125" s="92">
        <f>IFERROR(__xludf.DUMMYFUNCTION("""COMPUTED_VALUE"""),26.5)</f>
        <v>26.5</v>
      </c>
      <c r="R125" s="92">
        <f>IFERROR(__xludf.DUMMYFUNCTION("""COMPUTED_VALUE"""),26.5)</f>
        <v>26.5</v>
      </c>
      <c r="S125" s="87" t="str">
        <f>IFERROR(__xludf.DUMMYFUNCTION("""COMPUTED_VALUE""")," ")</f>
        <v> </v>
      </c>
      <c r="T125" s="46" t="str">
        <f>IFERROR(__xludf.DUMMYFUNCTION("""COMPUTED_VALUE"""),"Neiva")</f>
        <v>Neiva</v>
      </c>
      <c r="U125" s="87" t="str">
        <f>IFERROR(__xludf.DUMMYFUNCTION("""COMPUTED_VALUE"""),"4")</f>
        <v>4</v>
      </c>
      <c r="V125" s="46" t="str">
        <f>IFERROR(__xludf.DUMMYFUNCTION("""COMPUTED_VALUE"""),"3er.")</f>
        <v>3er.</v>
      </c>
      <c r="W125" s="46"/>
      <c r="X125" s="46">
        <f>IFERROR(__xludf.DUMMYFUNCTION("""COMPUTED_VALUE"""),0.0)</f>
        <v>0</v>
      </c>
      <c r="Y125" s="46" t="str">
        <f>IFERROR(__xludf.DUMMYFUNCTION("""COMPUTED_VALUE"""),"No tiene")</f>
        <v>No tiene</v>
      </c>
      <c r="Z125" s="90">
        <f>IFERROR(__xludf.DUMMYFUNCTION("""COMPUTED_VALUE"""),250000.0)</f>
        <v>250000</v>
      </c>
      <c r="AA125" s="33" t="str">
        <f>IFERROR(__xludf.DUMMYFUNCTION("""COMPUTED_VALUE"""),"No aplica")</f>
        <v>No aplica</v>
      </c>
      <c r="AB125" s="144" t="str">
        <f>IFERROR(__xludf.DUMMYFUNCTION("""COMPUTED_VALUE"""),"https://photos.app.goo.gl/BkUpN8wByc67DDLL9")</f>
        <v>https://photos.app.goo.gl/BkUpN8wByc67DDLL9</v>
      </c>
      <c r="AC125" s="46" t="str">
        <f>IFERROR(__xludf.DUMMYFUNCTION("""COMPUTED_VALUE"""),"Cuenta con buenos acabados, piso en marmol, carpinteria en madera.")</f>
        <v>Cuenta con buenos acabados, piso en marmol, carpinteria en madera.</v>
      </c>
      <c r="AD125" s="46" t="str">
        <f>IFERROR(__xludf.DUMMYFUNCTION("""COMPUTED_VALUE"""),"Buena ubicación, No cuenta con parqueadero.")</f>
        <v>Buena ubicación, No cuenta con parqueadero.</v>
      </c>
      <c r="AE125" s="46"/>
      <c r="AF125" s="46">
        <f>IFERROR(__xludf.DUMMYFUNCTION("""COMPUTED_VALUE"""),0.0)</f>
        <v>0</v>
      </c>
      <c r="AG125" s="46"/>
      <c r="AH125" s="46" t="str">
        <f>IFERROR(__xludf.DUMMYFUNCTION("""COMPUTED_VALUE"""),"Aliado")</f>
        <v>Aliado</v>
      </c>
      <c r="AI125" s="92" t="str">
        <f>IFERROR(__xludf.DUMMYFUNCTION("""COMPUTED_VALUE"""),"https://lh3.googleusercontent.com/pw/AP1GczNOnO-gWLXK06AR2wXWc02wOTzgrHJbsSBa9umbT3DTWediS8ocWlT-_KA0VNUO0mbNUVC7v7vv3kesS8EFeqHaCgEbgayomVjA3dqzqnLbKbC5BM1W=w1200|https://lh3.googleusercontent.com/pw/AP1GczNScgR6qX57ycNDu32hGD-2C7JDVJtBCeJ-iohgWbcdTICFhI"&amp;"M84h8BwGRg7pMDY0iRjms2kdFcbhrCDars-TpJz02eLs2E8fDx9OMBzfoRzxsOSL7Y=w1200|https://lh3.googleusercontent.com/pw/AP1GczOT34diFJlQseB1CGcLXFEwWzqdrUD4zZjqBR_6xkupG_qKRZLm0crw0qZ8DVe9_3EqRvw1pOfuBzXHmRNfD0jnWKl6lbfu00su64BTGG8Ly-xU9dHb=w1200|https://lh3.google"&amp;"usercontent.com/pw/AP1GczNK73mpwLkiS_0qRHukRlS-SUEfeZbNUCFbMpwU3_xK4TOsnsbBhxqrq-IFdLBIbbdEKSX5KEc1XUDnCovJO5oY5T8SOWLLObnNh6oJGK7a-hK4Ci4g=w1200|https://lh3.googleusercontent.com/pw/AP1GczMhG1BGGKr9OrqLBG3ZhNggJvXopaV4uXkfFNAu2wrAZ7YW2TIwAxolA6WMYYw6fXYl"&amp;"ZH3IqUnN29Tbf05lOZJaw84yHZq_XtlUPlWo0Krt8vEazLG1=w1200|https://lh3.googleusercontent.com/pw/AP1GczNqgbsHNeaiKQkAeGwsNy3VZLXyRIwniEqVnGs-gFQ9NxH54Ar19CLJTgLCF4xhP58AUxaW4aLg_25m8NziAkUJN4qqfqF0CXry6HaGc_9Qc6GWkMME=w1200|https://lh3.googleusercontent.com/pw"&amp;"/AP1GczNux3MPLNVdnx3vlf6QR02GClVz72Jk0prPp4E8q7ERM9FcpfoChf2NHEKhrf9mjouDFP2i13IleAo-4n1YJALhHZ5DCJytT6FUcklnbav4ty08vPKz=w1200|https://lh3.googleusercontent.com/pw/AP1GczOZzDLUzkpmc8Et3bNywqethlZdR0XH-XYY6j8bm9rCCDuqM4-5DFLnM2VclcgRO6j9ui3TRmcu-9rvogl8XL"&amp;"CUXRFiPUEUiNxYmOPE6WhE6hGXqf26=w1200|https://lh3.googleusercontent.com/pw/AP1GczPEA-Vw2bNqB2QABZEy7FXtugZuleT6twrGStBnhSSkt-hvGtjg6e9EqaKmyhSPRFh7CQKrzbePyERYv_LbE6O1m5ha_Ad6-iuj_GvQAuEFEI1LTT1p=w1200|https://lh3.googleusercontent.com/pw/AP1GczNs3vZjA7rgL"&amp;"DH4DPidZJIEtyYk9pARDMT6TyB3lxVyCJwVSiPkqK9P8jN_RjjI_mUWqxMqVgeOYH5C_YvMiptpXHJEBe9lrm6E1keKtgqbfkd4TT9f=w1200|https://lh3.googleusercontent.com/pw/AP1GczMag6lCUTZTFgIsJ13rou4Va9il9d6Y5_gGPXZwQxu87zJajcsFHowUZBq1Y-F197guXdLdqkLV17d1XW2m8cw_uTxBRmnRpcWZy2Nb"&amp;"eTayio7pV4na=w1200")</f>
        <v>https://lh3.googleusercontent.com/pw/AP1GczNOnO-gWLXK06AR2wXWc02wOTzgrHJbsSBa9umbT3DTWediS8ocWlT-_KA0VNUO0mbNUVC7v7vv3kesS8EFeqHaCgEbgayomVjA3dqzqnLbKbC5BM1W=w1200|https://lh3.googleusercontent.com/pw/AP1GczNScgR6qX57ycNDu32hGD-2C7JDVJtBCeJ-iohgWbcdTICFhIM84h8BwGRg7pMDY0iRjms2kdFcbhrCDars-TpJz02eLs2E8fDx9OMBzfoRzxsOSL7Y=w1200|https://lh3.googleusercontent.com/pw/AP1GczOT34diFJlQseB1CGcLXFEwWzqdrUD4zZjqBR_6xkupG_qKRZLm0crw0qZ8DVe9_3EqRvw1pOfuBzXHmRNfD0jnWKl6lbfu00su64BTGG8Ly-xU9dHb=w1200|https://lh3.googleusercontent.com/pw/AP1GczNK73mpwLkiS_0qRHukRlS-SUEfeZbNUCFbMpwU3_xK4TOsnsbBhxqrq-IFdLBIbbdEKSX5KEc1XUDnCovJO5oY5T8SOWLLObnNh6oJGK7a-hK4Ci4g=w1200|https://lh3.googleusercontent.com/pw/AP1GczMhG1BGGKr9OrqLBG3ZhNggJvXopaV4uXkfFNAu2wrAZ7YW2TIwAxolA6WMYYw6fXYlZH3IqUnN29Tbf05lOZJaw84yHZq_XtlUPlWo0Krt8vEazLG1=w1200|https://lh3.googleusercontent.com/pw/AP1GczNqgbsHNeaiKQkAeGwsNy3VZLXyRIwniEqVnGs-gFQ9NxH54Ar19CLJTgLCF4xhP58AUxaW4aLg_25m8NziAkUJN4qqfqF0CXry6HaGc_9Qc6GWkMME=w1200|https://lh3.googleusercontent.com/pw/AP1GczNux3MPLNVdnx3vlf6QR02GClVz72Jk0prPp4E8q7ERM9FcpfoChf2NHEKhrf9mjouDFP2i13IleAo-4n1YJALhHZ5DCJytT6FUcklnbav4ty08vPKz=w1200|https://lh3.googleusercontent.com/pw/AP1GczOZzDLUzkpmc8Et3bNywqethlZdR0XH-XYY6j8bm9rCCDuqM4-5DFLnM2VclcgRO6j9ui3TRmcu-9rvogl8XLCUXRFiPUEUiNxYmOPE6WhE6hGXqf26=w1200|https://lh3.googleusercontent.com/pw/AP1GczPEA-Vw2bNqB2QABZEy7FXtugZuleT6twrGStBnhSSkt-hvGtjg6e9EqaKmyhSPRFh7CQKrzbePyERYv_LbE6O1m5ha_Ad6-iuj_GvQAuEFEI1LTT1p=w1200|https://lh3.googleusercontent.com/pw/AP1GczNs3vZjA7rgLDH4DPidZJIEtyYk9pARDMT6TyB3lxVyCJwVSiPkqK9P8jN_RjjI_mUWqxMqVgeOYH5C_YvMiptpXHJEBe9lrm6E1keKtgqbfkd4TT9f=w1200|https://lh3.googleusercontent.com/pw/AP1GczMag6lCUTZTFgIsJ13rou4Va9il9d6Y5_gGPXZwQxu87zJajcsFHowUZBq1Y-F197guXdLdqkLV17d1XW2m8cw_uTxBRmnRpcWZy2NbeTayio7pV4na=w1200</v>
      </c>
      <c r="AJ125" s="46"/>
      <c r="AK125" s="46"/>
      <c r="AL125" s="46"/>
      <c r="AM125" s="46"/>
      <c r="AN125" s="46"/>
      <c r="AO125" s="46"/>
      <c r="AP125" s="46"/>
      <c r="AQ125" s="46"/>
      <c r="AR125" s="46"/>
      <c r="AS125" s="46"/>
      <c r="AT125" s="46"/>
      <c r="AU125" s="46"/>
      <c r="AV125" s="46"/>
      <c r="AW125" s="46"/>
      <c r="AX125" s="46"/>
      <c r="AY125" s="46"/>
      <c r="AZ125" s="46"/>
      <c r="BA125" s="46"/>
      <c r="BB125" s="46"/>
      <c r="BC125" s="46"/>
      <c r="BD125" s="46"/>
      <c r="BE125" s="46"/>
      <c r="BF125" s="46"/>
      <c r="BG125" s="46"/>
      <c r="BH125" s="46"/>
      <c r="BI125" s="46"/>
      <c r="BJ125" s="46"/>
      <c r="BK125" s="46"/>
      <c r="BL125" s="46"/>
      <c r="BM125" s="46"/>
      <c r="BN125" s="46"/>
      <c r="BO125" s="46"/>
      <c r="BP125" s="46"/>
      <c r="BQ125" s="46"/>
      <c r="BR125" s="46"/>
      <c r="BS125" s="46"/>
      <c r="BT125" s="46"/>
      <c r="BU125" s="46"/>
      <c r="BV125" s="46"/>
      <c r="BW125" s="46"/>
      <c r="BX125" s="46"/>
      <c r="BY125" s="46"/>
      <c r="BZ125" s="46"/>
      <c r="CA125" s="46"/>
      <c r="CB125" s="46"/>
      <c r="CC125" s="46"/>
    </row>
    <row r="126">
      <c r="A126" s="87" t="str">
        <f>IFERROR(__xludf.DUMMYFUNCTION("""COMPUTED_VALUE"""),"779")</f>
        <v>779</v>
      </c>
      <c r="B126" s="46" t="str">
        <f>IFERROR(__xludf.DUMMYFUNCTION("""COMPUTED_VALUE"""),"Lote en conjunto Santa Marta - Riverita")</f>
        <v>Lote en conjunto Santa Marta - Riverita</v>
      </c>
      <c r="C126" s="46" t="str">
        <f>IFERROR(__xludf.DUMMYFUNCTION("""COMPUTED_VALUE"""),"Lote en conjunto")</f>
        <v>Lote en conjunto</v>
      </c>
      <c r="D126" s="46" t="str">
        <f>IFERROR(__xludf.DUMMYFUNCTION("""COMPUTED_VALUE"""),"Riverita")</f>
        <v>Riverita</v>
      </c>
      <c r="E126" s="46" t="str">
        <f>IFERROR(__xludf.DUMMYFUNCTION("""COMPUTED_VALUE"""),"Conjunto Santa Marta")</f>
        <v>Conjunto Santa Marta</v>
      </c>
      <c r="F126" s="90">
        <f>IFERROR(__xludf.DUMMYFUNCTION("""COMPUTED_VALUE"""),8.5E7)</f>
        <v>85000000</v>
      </c>
      <c r="G126" s="46" t="str">
        <f>IFERROR(__xludf.DUMMYFUNCTION("""COMPUTED_VALUE"""),"$0 a $100'000.000")</f>
        <v>$0 a $100'000.000</v>
      </c>
      <c r="H126" s="46"/>
      <c r="I126" s="46"/>
      <c r="J126" s="46" t="str">
        <f>IFERROR(__xludf.DUMMYFUNCTION("""COMPUTED_VALUE"""),"Sur")</f>
        <v>Sur</v>
      </c>
      <c r="K126" s="87"/>
      <c r="L126" s="46">
        <f>IFERROR(__xludf.DUMMYFUNCTION("""COMPUTED_VALUE"""),0.0)</f>
        <v>0</v>
      </c>
      <c r="M126" s="46"/>
      <c r="N126" s="46">
        <f>IFERROR(__xludf.DUMMYFUNCTION("""COMPUTED_VALUE"""),0.0)</f>
        <v>0</v>
      </c>
      <c r="O126" s="46">
        <f>IFERROR(__xludf.DUMMYFUNCTION("""COMPUTED_VALUE"""),0.0)</f>
        <v>0</v>
      </c>
      <c r="P126" s="46">
        <f>IFERROR(__xludf.DUMMYFUNCTION("""COMPUTED_VALUE"""),0.0)</f>
        <v>0</v>
      </c>
      <c r="Q126" s="92">
        <f>IFERROR(__xludf.DUMMYFUNCTION("""COMPUTED_VALUE"""),0.0)</f>
        <v>0</v>
      </c>
      <c r="R126" s="92">
        <f>IFERROR(__xludf.DUMMYFUNCTION("""COMPUTED_VALUE"""),2000.0)</f>
        <v>2000</v>
      </c>
      <c r="S126" s="87" t="str">
        <f>IFERROR(__xludf.DUMMYFUNCTION("""COMPUTED_VALUE""")," ")</f>
        <v> </v>
      </c>
      <c r="T126" s="46" t="str">
        <f>IFERROR(__xludf.DUMMYFUNCTION("""COMPUTED_VALUE"""),"Riverita")</f>
        <v>Riverita</v>
      </c>
      <c r="U126" s="87"/>
      <c r="V126" s="46" t="str">
        <f>IFERROR(__xludf.DUMMYFUNCTION("""COMPUTED_VALUE"""),"Esquinera")</f>
        <v>Esquinera</v>
      </c>
      <c r="W126" s="46"/>
      <c r="X126" s="46">
        <f>IFERROR(__xludf.DUMMYFUNCTION("""COMPUTED_VALUE"""),0.0)</f>
        <v>0</v>
      </c>
      <c r="Y126" s="46" t="str">
        <f>IFERROR(__xludf.DUMMYFUNCTION("""COMPUTED_VALUE"""),"No tiene")</f>
        <v>No tiene</v>
      </c>
      <c r="Z126" s="90"/>
      <c r="AA126" s="33" t="str">
        <f>IFERROR(__xludf.DUMMYFUNCTION("""COMPUTED_VALUE"""),"No aplica")</f>
        <v>No aplica</v>
      </c>
      <c r="AB126" s="96" t="str">
        <f>IFERROR(__xludf.DUMMYFUNCTION("""COMPUTED_VALUE"""),"https://photos.app.goo.gl/sZPKjz5wPWVdh9VJA")</f>
        <v>https://photos.app.goo.gl/sZPKjz5wPWVdh9VJA</v>
      </c>
      <c r="AC126" s="46" t="str">
        <f>IFERROR(__xludf.DUMMYFUNCTION("""COMPUTED_VALUE"""),"lotes con un área de 2000 m2 cada uno.  El lote cuenta con los servicios de agua y energía.")</f>
        <v>lotes con un área de 2000 m2 cada uno.  El lote cuenta con los servicios de agua y energía.</v>
      </c>
      <c r="AD126" s="46" t="str">
        <f>IFERROR(__xludf.DUMMYFUNCTION("""COMPUTED_VALUE"""),"Ubicado por la carretera principal vía Riverita - Huila,")</f>
        <v>Ubicado por la carretera principal vía Riverita - Huila,</v>
      </c>
      <c r="AE126" s="46"/>
      <c r="AF126" s="46">
        <f>IFERROR(__xludf.DUMMYFUNCTION("""COMPUTED_VALUE"""),0.0)</f>
        <v>0</v>
      </c>
      <c r="AG126" s="46"/>
      <c r="AH126" s="46" t="str">
        <f>IFERROR(__xludf.DUMMYFUNCTION("""COMPUTED_VALUE"""),"Aliado")</f>
        <v>Aliado</v>
      </c>
      <c r="AI126" s="92" t="str">
        <f>IFERROR(__xludf.DUMMYFUNCTION("""COMPUTED_VALUE"""),"https://lh3.googleusercontent.com/pw/AP1GczOAZNJJ_faln36NG1QDodGna0ISRNEF0qI2oR_-K03MarQ5CIfraVv0O2_xMN15MBB3pzGd9jNrx-f5pHytQuWJhcb2AdeReCIbDJSDweHF_trYAMqE=w1200|https://lh3.googleusercontent.com/pw/AP1GczM_U4XHdCzW8A2Swg_gafUbTi6NGNzbr7PWaj7wgH_XBlJ7es"&amp;"RzuJCA3NTi2M0gJoILTQ1ny_XoZgH75kMOWdYGgwdY-0-xOSlmszeZf93VO-N03dQs=w1200|https://lh3.googleusercontent.com/pw/AP1GczOMznKuFXhlJbTS1FO0Zr4jjRdBmLHW7MaUXg5mqh1ZdwCagawsoUzfwPliNIdsd9sGRaCgDpNcp0wxCyNB4YaiPfZyRsmozOVvyEzb7Xd19n02nmtv=w1200|https://lh3.google"&amp;"usercontent.com/pw/AP1GczOa_5tU-rmeYaEg_hhZNSuwTi39poQn8YrnP7AVW_OwAuTy7D6RCSK5BvJi09zRCmhnrPMG_pdm1qTTIVOSRQmLr6BLiCT0txkTEoq4KbkNT79xHA2v=w1200|https://lh3.googleusercontent.com/pw/AP1GczO2zzDrKjaw18yfILMPqPMx0EeuIJrilZC_U4tRPpeEN2kwu4tFjllRUSrGrpTB3hR8"&amp;"RRV2UZmXu5ojtzIDhyHJkyc2P9etPI-1tNIn9yQ_OgLSw5JR=w1200|https://lh3.googleusercontent.com/pw/AP1GczP0XOx2F1zobGGHsoWSaTL9khtw6wdDmLeprdKOeYzxBiFAbKmWmMheA5ldV0JLiAwTmFeAMwi-jfqOSOFpLpcmnAzfPplBakeEBJHLyg4ChuAFjs2S=w1200|https://lh3.googleusercontent.com/pw"&amp;"/AP1GczN1iq0lWiDTqJiZjQbPHVaC4RLTKHcmu0VCtSK74dsYWKrb_UMq38nNQJkKGRvXWxf57OzcFUsBKJC7_xF8DhUKi40mWNwiik9Hosy-bYgpzGrAHvrE=w1200|https://lh3.googleusercontent.com/pw/AP1GczMAK9O_xmArpvHRxQPCXPCj2FTjVd5JiaXAkIYovwai1lHM1mCequtE26fMVDRbMk8LfnYV51TKZtJ8zxwqQ1"&amp;"QATuDeznDoVHpXksyGCi_29n9w7aie=w1200|https://lh3.googleusercontent.com/pw/AP1GczM_uhgzU-_o0QwwxMeMj9Td8TG09Fajxf9lBoea_8LhEmORjlyVgv-zO_S9npfJx50ZOA2xlNhagzsM3edGFDd6bwUCcQD5Mr0oTiR4ysFxDl7Crmin=w1200|https://lh3.googleusercontent.com/pw/AP1GczMgB1SESXsam"&amp;"HZWiq3shDD4KoBcuNI_Pl0shpDm7Bs8sCliQn6LH-JIrm2zWiIhbO5vw-FqzK1v7NTn7tkFS2713Ied9DfdQEL522SvJqkKKBYld5vt=w1200")</f>
        <v>https://lh3.googleusercontent.com/pw/AP1GczOAZNJJ_faln36NG1QDodGna0ISRNEF0qI2oR_-K03MarQ5CIfraVv0O2_xMN15MBB3pzGd9jNrx-f5pHytQuWJhcb2AdeReCIbDJSDweHF_trYAMqE=w1200|https://lh3.googleusercontent.com/pw/AP1GczM_U4XHdCzW8A2Swg_gafUbTi6NGNzbr7PWaj7wgH_XBlJ7esRzuJCA3NTi2M0gJoILTQ1ny_XoZgH75kMOWdYGgwdY-0-xOSlmszeZf93VO-N03dQs=w1200|https://lh3.googleusercontent.com/pw/AP1GczOMznKuFXhlJbTS1FO0Zr4jjRdBmLHW7MaUXg5mqh1ZdwCagawsoUzfwPliNIdsd9sGRaCgDpNcp0wxCyNB4YaiPfZyRsmozOVvyEzb7Xd19n02nmtv=w1200|https://lh3.googleusercontent.com/pw/AP1GczOa_5tU-rmeYaEg_hhZNSuwTi39poQn8YrnP7AVW_OwAuTy7D6RCSK5BvJi09zRCmhnrPMG_pdm1qTTIVOSRQmLr6BLiCT0txkTEoq4KbkNT79xHA2v=w1200|https://lh3.googleusercontent.com/pw/AP1GczO2zzDrKjaw18yfILMPqPMx0EeuIJrilZC_U4tRPpeEN2kwu4tFjllRUSrGrpTB3hR8RRV2UZmXu5ojtzIDhyHJkyc2P9etPI-1tNIn9yQ_OgLSw5JR=w1200|https://lh3.googleusercontent.com/pw/AP1GczP0XOx2F1zobGGHsoWSaTL9khtw6wdDmLeprdKOeYzxBiFAbKmWmMheA5ldV0JLiAwTmFeAMwi-jfqOSOFpLpcmnAzfPplBakeEBJHLyg4ChuAFjs2S=w1200|https://lh3.googleusercontent.com/pw/AP1GczN1iq0lWiDTqJiZjQbPHVaC4RLTKHcmu0VCtSK74dsYWKrb_UMq38nNQJkKGRvXWxf57OzcFUsBKJC7_xF8DhUKi40mWNwiik9Hosy-bYgpzGrAHvrE=w1200|https://lh3.googleusercontent.com/pw/AP1GczMAK9O_xmArpvHRxQPCXPCj2FTjVd5JiaXAkIYovwai1lHM1mCequtE26fMVDRbMk8LfnYV51TKZtJ8zxwqQ1QATuDeznDoVHpXksyGCi_29n9w7aie=w1200|https://lh3.googleusercontent.com/pw/AP1GczM_uhgzU-_o0QwwxMeMj9Td8TG09Fajxf9lBoea_8LhEmORjlyVgv-zO_S9npfJx50ZOA2xlNhagzsM3edGFDd6bwUCcQD5Mr0oTiR4ysFxDl7Crmin=w1200|https://lh3.googleusercontent.com/pw/AP1GczMgB1SESXsamHZWiq3shDD4KoBcuNI_Pl0shpDm7Bs8sCliQn6LH-JIrm2zWiIhbO5vw-FqzK1v7NTn7tkFS2713Ied9DfdQEL522SvJqkKKBYld5vt=w1200</v>
      </c>
      <c r="AJ126" s="46"/>
      <c r="AK126" s="46"/>
      <c r="AL126" s="46"/>
      <c r="AM126" s="46"/>
      <c r="AN126" s="46"/>
      <c r="AO126" s="46"/>
      <c r="AP126" s="46"/>
      <c r="AQ126" s="46"/>
      <c r="AR126" s="46"/>
      <c r="AS126" s="46"/>
      <c r="AT126" s="46"/>
      <c r="AU126" s="46"/>
      <c r="AV126" s="46"/>
      <c r="AW126" s="46"/>
      <c r="AX126" s="46"/>
      <c r="AY126" s="46"/>
      <c r="AZ126" s="46"/>
      <c r="BA126" s="46"/>
      <c r="BB126" s="46"/>
      <c r="BC126" s="46"/>
      <c r="BD126" s="46"/>
      <c r="BE126" s="46"/>
      <c r="BF126" s="46"/>
      <c r="BG126" s="46"/>
      <c r="BH126" s="46"/>
      <c r="BI126" s="46"/>
      <c r="BJ126" s="46"/>
      <c r="BK126" s="46"/>
      <c r="BL126" s="46"/>
      <c r="BM126" s="46"/>
      <c r="BN126" s="46"/>
      <c r="BO126" s="46"/>
      <c r="BP126" s="46"/>
      <c r="BQ126" s="46"/>
      <c r="BR126" s="46"/>
      <c r="BS126" s="46"/>
      <c r="BT126" s="46"/>
      <c r="BU126" s="46"/>
      <c r="BV126" s="46"/>
      <c r="BW126" s="46"/>
      <c r="BX126" s="46"/>
      <c r="BY126" s="46"/>
      <c r="BZ126" s="46"/>
      <c r="CA126" s="46"/>
      <c r="CB126" s="46"/>
      <c r="CC126" s="46"/>
    </row>
    <row r="127">
      <c r="A127" s="87" t="str">
        <f>IFERROR(__xludf.DUMMYFUNCTION("""COMPUTED_VALUE"""),"1644")</f>
        <v>1644</v>
      </c>
      <c r="B127" s="46" t="str">
        <f>IFERROR(__xludf.DUMMYFUNCTION("""COMPUTED_VALUE"""),"Lote en conjunto Campestres Novaterra - Vía amborco - Sur")</f>
        <v>Lote en conjunto Campestres Novaterra - Vía amborco - Sur</v>
      </c>
      <c r="C127" s="46" t="str">
        <f>IFERROR(__xludf.DUMMYFUNCTION("""COMPUTED_VALUE"""),"Lote en conjunto")</f>
        <v>Lote en conjunto</v>
      </c>
      <c r="D127" s="46" t="str">
        <f>IFERROR(__xludf.DUMMYFUNCTION("""COMPUTED_VALUE"""),"Amborco")</f>
        <v>Amborco</v>
      </c>
      <c r="E127" s="46" t="str">
        <f>IFERROR(__xludf.DUMMYFUNCTION("""COMPUTED_VALUE"""),"Conjunto Campestre Novaterra")</f>
        <v>Conjunto Campestre Novaterra</v>
      </c>
      <c r="F127" s="90">
        <f>IFERROR(__xludf.DUMMYFUNCTION("""COMPUTED_VALUE"""),6.0E7)</f>
        <v>60000000</v>
      </c>
      <c r="G127" s="46" t="str">
        <f>IFERROR(__xludf.DUMMYFUNCTION("""COMPUTED_VALUE"""),"$0 a $100'000.000")</f>
        <v>$0 a $100'000.000</v>
      </c>
      <c r="H127" s="46"/>
      <c r="I127" s="46"/>
      <c r="J127" s="46" t="str">
        <f>IFERROR(__xludf.DUMMYFUNCTION("""COMPUTED_VALUE"""),"Sur")</f>
        <v>Sur</v>
      </c>
      <c r="K127" s="87"/>
      <c r="L127" s="46">
        <f>IFERROR(__xludf.DUMMYFUNCTION("""COMPUTED_VALUE"""),0.0)</f>
        <v>0</v>
      </c>
      <c r="M127" s="46"/>
      <c r="N127" s="46">
        <f>IFERROR(__xludf.DUMMYFUNCTION("""COMPUTED_VALUE"""),0.0)</f>
        <v>0</v>
      </c>
      <c r="O127" s="46">
        <f>IFERROR(__xludf.DUMMYFUNCTION("""COMPUTED_VALUE"""),0.0)</f>
        <v>0</v>
      </c>
      <c r="P127" s="46">
        <f>IFERROR(__xludf.DUMMYFUNCTION("""COMPUTED_VALUE"""),0.0)</f>
        <v>0</v>
      </c>
      <c r="Q127" s="92">
        <f>IFERROR(__xludf.DUMMYFUNCTION("""COMPUTED_VALUE"""),557.89)</f>
        <v>557.89</v>
      </c>
      <c r="R127" s="92">
        <f>IFERROR(__xludf.DUMMYFUNCTION("""COMPUTED_VALUE"""),557.89)</f>
        <v>557.89</v>
      </c>
      <c r="S127" s="87" t="str">
        <f>IFERROR(__xludf.DUMMYFUNCTION("""COMPUTED_VALUE""")," ")</f>
        <v> </v>
      </c>
      <c r="T127" s="46" t="str">
        <f>IFERROR(__xludf.DUMMYFUNCTION("""COMPUTED_VALUE"""),"Neiva")</f>
        <v>Neiva</v>
      </c>
      <c r="U127" s="87"/>
      <c r="V127" s="46" t="str">
        <f>IFERROR(__xludf.DUMMYFUNCTION("""COMPUTED_VALUE"""),"Esquinera")</f>
        <v>Esquinera</v>
      </c>
      <c r="W127" s="46"/>
      <c r="X127" s="46">
        <f>IFERROR(__xludf.DUMMYFUNCTION("""COMPUTED_VALUE"""),0.0)</f>
        <v>0</v>
      </c>
      <c r="Y127" s="46" t="str">
        <f>IFERROR(__xludf.DUMMYFUNCTION("""COMPUTED_VALUE"""),"Social")</f>
        <v>Social</v>
      </c>
      <c r="Z127" s="90"/>
      <c r="AA127" s="33" t="str">
        <f>IFERROR(__xludf.DUMMYFUNCTION("""COMPUTED_VALUE"""),"No aplica")</f>
        <v>No aplica</v>
      </c>
      <c r="AB127" s="96" t="str">
        <f>IFERROR(__xludf.DUMMYFUNCTION("""COMPUTED_VALUE"""),"https://photos.app.goo.gl/xE1da8SGjaV9SjBK9")</f>
        <v>https://photos.app.goo.gl/xE1da8SGjaV9SjBK9</v>
      </c>
      <c r="AC127" s="46" t="str">
        <f>IFERROR(__xludf.DUMMYFUNCTION("""COMPUTED_VALUE"""),"Lote campestre en Club House, conjunto campestre Novaterra con un área de 557.89 m2 listo para construir, esquinero, con acceso a áreas sociales tales como; Piscina y Salón social. vigilancia 24 horas")</f>
        <v>Lote campestre en Club House, conjunto campestre Novaterra con un área de 557.89 m2 listo para construir, esquinero, con acceso a áreas sociales tales como; Piscina y Salón social. vigilancia 24 horas</v>
      </c>
      <c r="AD127" s="46" t="str">
        <f>IFERROR(__xludf.DUMMYFUNCTION("""COMPUTED_VALUE"""),"Excelente ubicación.")</f>
        <v>Excelente ubicación.</v>
      </c>
      <c r="AE127" s="46"/>
      <c r="AF127" s="46">
        <f>IFERROR(__xludf.DUMMYFUNCTION("""COMPUTED_VALUE"""),0.0)</f>
        <v>0</v>
      </c>
      <c r="AG127" s="46"/>
      <c r="AH127" s="46" t="str">
        <f>IFERROR(__xludf.DUMMYFUNCTION("""COMPUTED_VALUE"""),"Aliado")</f>
        <v>Aliado</v>
      </c>
      <c r="AI127" s="92" t="str">
        <f>IFERROR(__xludf.DUMMYFUNCTION("""COMPUTED_VALUE"""),"https://lh3.googleusercontent.com/pw/AP1GczPWRVvxYah-ebOb7RKvHyii9cKxyxYzFKZSBtsQdwRpCFXpB04790fev_g8AHUmunGLKBsckfCfLq_eAa5r3GqI4AIyhD7PS2cMaMbjD2PiBhCd9i9M=w1200|https://lh3.googleusercontent.com/pw/AP1GczOUkDn_I4MuiwBxYkVgOepMnd0cFaKPJ4-he5QIdJ1oLkuMZN"&amp;"3TPKEHZ7A-Lqe5oBk84ytOBthxwAaPk9DKgckppJFL3fWbG3GztNEF8t63OjREHHfV=w1200|https://lh3.googleusercontent.com/pw/AP1GczOFCtazZQhaefVCuEY0updNGqNXzmEHD9FF06i7xbFeYFyFfdcjVxAjJe0rGtZfntRioWd15U6rGXWYd4or5se0PsX1SslyqaUvN1bfDVsI1L3bouAI=w1200|https://lh3.google"&amp;"usercontent.com/pw/AP1GczMTnbmMUQ3gkxkc_vQb-m9xVFQwB8w8-qOorh8oAS-Dj4ZUexhg699DTyw0h0gIFdCw4BJbpOSrE3RCdgSMTXZi0A963dJ_CKsOnMJlxNum5UqPo-CY=w1200|https://lh3.googleusercontent.com/pw/AP1GczM9Eyk2nVb6mOaxgk9_p9uuonPdAi1_vXGgsjHTXEZtEFiZGCzbgP15E3TJJ9LcgmUz"&amp;"-O-s3OAF5WUXo658eIWSDeivpFrzahJU5o2iPmZ1YCC0Wsi0=w1200|https://lh3.googleusercontent.com/pw/AP1GczNK-eNna6uk7EvK617SDD2rTlu8QXE-Xs_MKlut84I-r8o3BJ3SE9JzTeyND9mSnUrsmoVeuuwdzR3nX6uRC1sfCWgdNSTI_EASIoiawPpE7lW3bFTQ=w1200|https://lh3.googleusercontent.com/pw"&amp;"/AP1GczOnI0Yx565ps0qBLcanO6Dx_kDQKInSuFdmfphfx8S0T2LcoCme3ERM8GSa8TU83MtNjBwclOJcgkG-BezYkn9EKeKxHJbOhTfkQPX0WZ_Sw967Uokr=w1200|https://lh3.googleusercontent.com/pw/AP1GczMC-Yh1MJ8wE-mCy_O8lmCqgeDhKiUjTJEjieX_21NC2sWNwhSy4LLcvy6PGrp19MmG9nr6VNayf1Pi4Ozwol"&amp;"bhWsAs2hyMA5YloXIfhjV_f9JYnE5x=w1200|https://lh3.googleusercontent.com/pw/AP1GczNDh09CQfSKRMn4l92TvKlSq1HJE4o4fxmMIZ6RLoW5gjCiINmONk8Hov5ql0lBibE1MYu-ZQ4Yr_0_PxA6N37wgh0_UQXrhAoKkje5QwiEzf7bL3yf=w1200|https://lh3.googleusercontent.com/pw/AP1GczMBid_77lR3P"&amp;"9v7Jcdb82EWuYx6TIqQP9x9AtOnEQN_r0kcUGp-44wEo25wnYfTOAf11oLyRAnuBglLv1AC9be9in6u3GCBZMTzLh0q3RMLt1Q8YlWZ=w1200")</f>
        <v>https://lh3.googleusercontent.com/pw/AP1GczPWRVvxYah-ebOb7RKvHyii9cKxyxYzFKZSBtsQdwRpCFXpB04790fev_g8AHUmunGLKBsckfCfLq_eAa5r3GqI4AIyhD7PS2cMaMbjD2PiBhCd9i9M=w1200|https://lh3.googleusercontent.com/pw/AP1GczOUkDn_I4MuiwBxYkVgOepMnd0cFaKPJ4-he5QIdJ1oLkuMZN3TPKEHZ7A-Lqe5oBk84ytOBthxwAaPk9DKgckppJFL3fWbG3GztNEF8t63OjREHHfV=w1200|https://lh3.googleusercontent.com/pw/AP1GczOFCtazZQhaefVCuEY0updNGqNXzmEHD9FF06i7xbFeYFyFfdcjVxAjJe0rGtZfntRioWd15U6rGXWYd4or5se0PsX1SslyqaUvN1bfDVsI1L3bouAI=w1200|https://lh3.googleusercontent.com/pw/AP1GczMTnbmMUQ3gkxkc_vQb-m9xVFQwB8w8-qOorh8oAS-Dj4ZUexhg699DTyw0h0gIFdCw4BJbpOSrE3RCdgSMTXZi0A963dJ_CKsOnMJlxNum5UqPo-CY=w1200|https://lh3.googleusercontent.com/pw/AP1GczM9Eyk2nVb6mOaxgk9_p9uuonPdAi1_vXGgsjHTXEZtEFiZGCzbgP15E3TJJ9LcgmUz-O-s3OAF5WUXo658eIWSDeivpFrzahJU5o2iPmZ1YCC0Wsi0=w1200|https://lh3.googleusercontent.com/pw/AP1GczNK-eNna6uk7EvK617SDD2rTlu8QXE-Xs_MKlut84I-r8o3BJ3SE9JzTeyND9mSnUrsmoVeuuwdzR3nX6uRC1sfCWgdNSTI_EASIoiawPpE7lW3bFTQ=w1200|https://lh3.googleusercontent.com/pw/AP1GczOnI0Yx565ps0qBLcanO6Dx_kDQKInSuFdmfphfx8S0T2LcoCme3ERM8GSa8TU83MtNjBwclOJcgkG-BezYkn9EKeKxHJbOhTfkQPX0WZ_Sw967Uokr=w1200|https://lh3.googleusercontent.com/pw/AP1GczMC-Yh1MJ8wE-mCy_O8lmCqgeDhKiUjTJEjieX_21NC2sWNwhSy4LLcvy6PGrp19MmG9nr6VNayf1Pi4OzwolbhWsAs2hyMA5YloXIfhjV_f9JYnE5x=w1200|https://lh3.googleusercontent.com/pw/AP1GczNDh09CQfSKRMn4l92TvKlSq1HJE4o4fxmMIZ6RLoW5gjCiINmONk8Hov5ql0lBibE1MYu-ZQ4Yr_0_PxA6N37wgh0_UQXrhAoKkje5QwiEzf7bL3yf=w1200|https://lh3.googleusercontent.com/pw/AP1GczMBid_77lR3P9v7Jcdb82EWuYx6TIqQP9x9AtOnEQN_r0kcUGp-44wEo25wnYfTOAf11oLyRAnuBglLv1AC9be9in6u3GCBZMTzLh0q3RMLt1Q8YlWZ=w1200</v>
      </c>
      <c r="AJ127" s="46"/>
      <c r="AK127" s="46"/>
      <c r="AL127" s="46"/>
      <c r="AM127" s="46"/>
      <c r="AN127" s="46"/>
      <c r="AO127" s="46"/>
      <c r="AP127" s="46"/>
      <c r="AQ127" s="46"/>
      <c r="AR127" s="46"/>
      <c r="AS127" s="46"/>
      <c r="AT127" s="46"/>
      <c r="AU127" s="46"/>
      <c r="AV127" s="46"/>
      <c r="AW127" s="46"/>
      <c r="AX127" s="46"/>
      <c r="AY127" s="46"/>
      <c r="AZ127" s="46"/>
      <c r="BA127" s="46"/>
      <c r="BB127" s="46"/>
      <c r="BC127" s="46"/>
      <c r="BD127" s="46"/>
      <c r="BE127" s="46"/>
      <c r="BF127" s="46"/>
      <c r="BG127" s="46"/>
      <c r="BH127" s="46"/>
      <c r="BI127" s="46"/>
      <c r="BJ127" s="46"/>
      <c r="BK127" s="46"/>
      <c r="BL127" s="46"/>
      <c r="BM127" s="46"/>
      <c r="BN127" s="46"/>
      <c r="BO127" s="46"/>
      <c r="BP127" s="46"/>
      <c r="BQ127" s="46"/>
      <c r="BR127" s="46"/>
      <c r="BS127" s="46"/>
      <c r="BT127" s="46"/>
      <c r="BU127" s="46"/>
      <c r="BV127" s="46"/>
      <c r="BW127" s="46"/>
      <c r="BX127" s="46"/>
      <c r="BY127" s="46"/>
      <c r="BZ127" s="46"/>
      <c r="CA127" s="46"/>
      <c r="CB127" s="46"/>
      <c r="CC127" s="46"/>
    </row>
    <row r="128">
      <c r="A128" s="87" t="str">
        <f>IFERROR(__xludf.DUMMYFUNCTION("""COMPUTED_VALUE"""),"1647")</f>
        <v>1647</v>
      </c>
      <c r="B128" s="46" t="str">
        <f>IFERROR(__xludf.DUMMYFUNCTION("""COMPUTED_VALUE"""),"Oficina en centro comercial Metropolitano")</f>
        <v>Oficina en centro comercial Metropolitano</v>
      </c>
      <c r="C128" s="46" t="str">
        <f>IFERROR(__xludf.DUMMYFUNCTION("""COMPUTED_VALUE"""),"Oficina")</f>
        <v>Oficina</v>
      </c>
      <c r="D128" s="46" t="str">
        <f>IFERROR(__xludf.DUMMYFUNCTION("""COMPUTED_VALUE"""),"Centro")</f>
        <v>Centro</v>
      </c>
      <c r="E128" s="90"/>
      <c r="F128" s="90">
        <f>IFERROR(__xludf.DUMMYFUNCTION("""COMPUTED_VALUE"""),5.0E7)</f>
        <v>50000000</v>
      </c>
      <c r="G128" s="46" t="str">
        <f>IFERROR(__xludf.DUMMYFUNCTION("""COMPUTED_VALUE"""),"$0 a $100'000.000")</f>
        <v>$0 a $100'000.000</v>
      </c>
      <c r="H128" s="46"/>
      <c r="I128" s="46"/>
      <c r="J128" s="46" t="str">
        <f>IFERROR(__xludf.DUMMYFUNCTION("""COMPUTED_VALUE"""),"Centro")</f>
        <v>Centro</v>
      </c>
      <c r="K128" s="87" t="str">
        <f>IFERROR(__xludf.DUMMYFUNCTION("""COMPUTED_VALUE"""),"0")</f>
        <v>0</v>
      </c>
      <c r="L128" s="46">
        <f>IFERROR(__xludf.DUMMYFUNCTION("""COMPUTED_VALUE"""),0.0)</f>
        <v>0</v>
      </c>
      <c r="M128" s="46"/>
      <c r="N128" s="46">
        <f>IFERROR(__xludf.DUMMYFUNCTION("""COMPUTED_VALUE"""),1.0)</f>
        <v>1</v>
      </c>
      <c r="O128" s="46">
        <f>IFERROR(__xludf.DUMMYFUNCTION("""COMPUTED_VALUE"""),0.0)</f>
        <v>0</v>
      </c>
      <c r="P128" s="46">
        <f>IFERROR(__xludf.DUMMYFUNCTION("""COMPUTED_VALUE"""),3.0)</f>
        <v>3</v>
      </c>
      <c r="Q128" s="92">
        <f>IFERROR(__xludf.DUMMYFUNCTION("""COMPUTED_VALUE"""),13.91)</f>
        <v>13.91</v>
      </c>
      <c r="R128" s="92">
        <f>IFERROR(__xludf.DUMMYFUNCTION("""COMPUTED_VALUE"""),13.91)</f>
        <v>13.91</v>
      </c>
      <c r="S128" s="87" t="str">
        <f>IFERROR(__xludf.DUMMYFUNCTION("""COMPUTED_VALUE""")," ")</f>
        <v> </v>
      </c>
      <c r="T128" s="46" t="str">
        <f>IFERROR(__xludf.DUMMYFUNCTION("""COMPUTED_VALUE"""),"Neiva")</f>
        <v>Neiva</v>
      </c>
      <c r="U128" s="87" t="str">
        <f>IFERROR(__xludf.DUMMYFUNCTION("""COMPUTED_VALUE"""),"Comercial")</f>
        <v>Comercial</v>
      </c>
      <c r="V128" s="46" t="str">
        <f>IFERROR(__xludf.DUMMYFUNCTION("""COMPUTED_VALUE"""),"3er.")</f>
        <v>3er.</v>
      </c>
      <c r="W128" s="46"/>
      <c r="X128" s="46">
        <f>IFERROR(__xludf.DUMMYFUNCTION("""COMPUTED_VALUE"""),0.0)</f>
        <v>0</v>
      </c>
      <c r="Y128" s="46" t="str">
        <f>IFERROR(__xludf.DUMMYFUNCTION("""COMPUTED_VALUE"""),"No tiene")</f>
        <v>No tiene</v>
      </c>
      <c r="Z128" s="90">
        <f>IFERROR(__xludf.DUMMYFUNCTION("""COMPUTED_VALUE"""),135000.0)</f>
        <v>135000</v>
      </c>
      <c r="AA128" s="33" t="str">
        <f>IFERROR(__xludf.DUMMYFUNCTION("""COMPUTED_VALUE"""),"No aplica")</f>
        <v>No aplica</v>
      </c>
      <c r="AB128" s="96" t="str">
        <f>IFERROR(__xludf.DUMMYFUNCTION("""COMPUTED_VALUE"""),"https://photos.app.goo.gl/XSfP1B9HpzcWnAM76")</f>
        <v>https://photos.app.goo.gl/XSfP1B9HpzcWnAM76</v>
      </c>
      <c r="AC128" s="46" t="str">
        <f>IFERROR(__xludf.DUMMYFUNCTION("""COMPUTED_VALUE"""),"Oficina ubicado en Centro Comercial Metropolitano, 3er piso, con una área de 13.91m2 pisos en cerámica, techos en Driwall, excelente ubicación.")</f>
        <v>Oficina ubicado en Centro Comercial Metropolitano, 3er piso, con una área de 13.91m2 pisos en cerámica, techos en Driwall, excelente ubicación.</v>
      </c>
      <c r="AD128" s="46" t="str">
        <f>IFERROR(__xludf.DUMMYFUNCTION("""COMPUTED_VALUE"""),"Buena ubicación y acabados.")</f>
        <v>Buena ubicación y acabados.</v>
      </c>
      <c r="AE128" s="46"/>
      <c r="AF128" s="46">
        <f>IFERROR(__xludf.DUMMYFUNCTION("""COMPUTED_VALUE"""),0.0)</f>
        <v>0</v>
      </c>
      <c r="AG128" s="46"/>
      <c r="AH128" s="46" t="str">
        <f>IFERROR(__xludf.DUMMYFUNCTION("""COMPUTED_VALUE"""),"Aliado")</f>
        <v>Aliado</v>
      </c>
      <c r="AI128" s="92" t="str">
        <f>IFERROR(__xludf.DUMMYFUNCTION("""COMPUTED_VALUE"""),"https://lh3.googleusercontent.com/pw/AP1GczNjricEU-AC07uPcDyvlz4mx13urs_J-kwo8Vl824UW53QXIRGdhRXxE-1Y6bj6jIDK16h_xX1yHkqauL8JwHxxJcAsdsnrXNCYVSysiAqVYvB-e8K_=w1200|https://lh3.googleusercontent.com/pw/AP1GczNprniP1mBpgm-xRvKloBhjjT9S2pIu1JOWmiAiSK9DxoMJp0"&amp;"gzxz2lPd2xdNfByBOaiKC9Ci4Vt849eC4nDKABasL3M-67ZDN6Nlems6MNRigZCQFN=w1200|https://lh3.googleusercontent.com/pw/AP1GczPNcsd8C95xt2pIm_wmrp5iorjBPea5govGtrkdOAfLQqnJe3C-chxtxgOweLrLJwVDdHmWEKXrl8-nlFv8Bt8643WfNFWBy1KBpt5hqNrySpLehlF-=w1200|https://lh3.google"&amp;"usercontent.com/pw/AP1GczPXXeBZ84KLQSHSMp90KrcCoyw-84bXSJMZH39hUqMWDTIj_rEsDnyXoCOsPyJLl-ee9eMR1tR7SRUiaMLVvoMzsF3UG-ocJjzHLnwkyPJYK8c_V5Sq=w1200|https://lh3.googleusercontent.com/pw/AP1GczP91eQiiXTC_m-wJwfOxbOUh_iTnAxL5ciN9ehWdy5Cz75MzoZtTsoLn549pMzCmxZU"&amp;"tVIw_M7_QTNFj-sCAPfo1vW0ZssOz-eZdnEgQn8Erb7ewvkM=w1200|https://lh3.googleusercontent.com/pw/AP1GczMAl9wEeVGumZmds8RBccrb6pNd1CYXEs9ugO8DakBXxFS4jraHgg7wkRFsiGsadLJg2FqwbCXJ56a2CBEr7yx15CnN2HBrbbQ4pRB7y6Hak5SnY_6H=w1200|https://lh3.googleusercontent.com/pw"&amp;"/AP1GczO0HGlcO8F-rt3cUWu-XFPB_yoH3o9Xk31VGw_mPDVWH9h-q6HSxL0wMTdq6PB2d9rahXHL2ES8UgLgYevE764tkvicWoISBdJRi4tGLfafw1o4PYko=w1200")</f>
        <v>https://lh3.googleusercontent.com/pw/AP1GczNjricEU-AC07uPcDyvlz4mx13urs_J-kwo8Vl824UW53QXIRGdhRXxE-1Y6bj6jIDK16h_xX1yHkqauL8JwHxxJcAsdsnrXNCYVSysiAqVYvB-e8K_=w1200|https://lh3.googleusercontent.com/pw/AP1GczNprniP1mBpgm-xRvKloBhjjT9S2pIu1JOWmiAiSK9DxoMJp0gzxz2lPd2xdNfByBOaiKC9Ci4Vt849eC4nDKABasL3M-67ZDN6Nlems6MNRigZCQFN=w1200|https://lh3.googleusercontent.com/pw/AP1GczPNcsd8C95xt2pIm_wmrp5iorjBPea5govGtrkdOAfLQqnJe3C-chxtxgOweLrLJwVDdHmWEKXrl8-nlFv8Bt8643WfNFWBy1KBpt5hqNrySpLehlF-=w1200|https://lh3.googleusercontent.com/pw/AP1GczPXXeBZ84KLQSHSMp90KrcCoyw-84bXSJMZH39hUqMWDTIj_rEsDnyXoCOsPyJLl-ee9eMR1tR7SRUiaMLVvoMzsF3UG-ocJjzHLnwkyPJYK8c_V5Sq=w1200|https://lh3.googleusercontent.com/pw/AP1GczP91eQiiXTC_m-wJwfOxbOUh_iTnAxL5ciN9ehWdy5Cz75MzoZtTsoLn549pMzCmxZUtVIw_M7_QTNFj-sCAPfo1vW0ZssOz-eZdnEgQn8Erb7ewvkM=w1200|https://lh3.googleusercontent.com/pw/AP1GczMAl9wEeVGumZmds8RBccrb6pNd1CYXEs9ugO8DakBXxFS4jraHgg7wkRFsiGsadLJg2FqwbCXJ56a2CBEr7yx15CnN2HBrbbQ4pRB7y6Hak5SnY_6H=w1200|https://lh3.googleusercontent.com/pw/AP1GczO0HGlcO8F-rt3cUWu-XFPB_yoH3o9Xk31VGw_mPDVWH9h-q6HSxL0wMTdq6PB2d9rahXHL2ES8UgLgYevE764tkvicWoISBdJRi4tGLfafw1o4PYko=w1200</v>
      </c>
      <c r="AJ128" s="46"/>
      <c r="AK128" s="46"/>
      <c r="AL128" s="46"/>
      <c r="AM128" s="46"/>
      <c r="AN128" s="46"/>
      <c r="AO128" s="46"/>
      <c r="AP128" s="46"/>
      <c r="AQ128" s="46"/>
      <c r="AR128" s="46"/>
      <c r="AS128" s="46"/>
      <c r="AT128" s="46"/>
      <c r="AU128" s="46"/>
      <c r="AV128" s="46"/>
      <c r="AW128" s="46"/>
      <c r="AX128" s="46"/>
      <c r="AY128" s="46"/>
      <c r="AZ128" s="46"/>
      <c r="BA128" s="46"/>
      <c r="BB128" s="46"/>
      <c r="BC128" s="46"/>
      <c r="BD128" s="46"/>
      <c r="BE128" s="46"/>
      <c r="BF128" s="46"/>
      <c r="BG128" s="46"/>
      <c r="BH128" s="46"/>
      <c r="BI128" s="46"/>
      <c r="BJ128" s="46"/>
      <c r="BK128" s="46"/>
      <c r="BL128" s="46"/>
      <c r="BM128" s="46"/>
      <c r="BN128" s="46"/>
      <c r="BO128" s="46"/>
      <c r="BP128" s="46"/>
      <c r="BQ128" s="46"/>
      <c r="BR128" s="46"/>
      <c r="BS128" s="46"/>
      <c r="BT128" s="46"/>
      <c r="BU128" s="46"/>
      <c r="BV128" s="46"/>
      <c r="BW128" s="46"/>
      <c r="BX128" s="46"/>
      <c r="BY128" s="46"/>
      <c r="BZ128" s="46"/>
      <c r="CA128" s="46"/>
      <c r="CB128" s="46"/>
      <c r="CC128" s="46"/>
    </row>
    <row r="129">
      <c r="A129" s="87" t="str">
        <f>IFERROR(__xludf.DUMMYFUNCTION("""COMPUTED_VALUE"""),"1646")</f>
        <v>1646</v>
      </c>
      <c r="B129" s="46" t="str">
        <f>IFERROR(__xludf.DUMMYFUNCTION("""COMPUTED_VALUE"""),"Oficina en centro comercial Metropolitano")</f>
        <v>Oficina en centro comercial Metropolitano</v>
      </c>
      <c r="C129" s="46" t="str">
        <f>IFERROR(__xludf.DUMMYFUNCTION("""COMPUTED_VALUE"""),"Oficina")</f>
        <v>Oficina</v>
      </c>
      <c r="D129" s="46" t="str">
        <f>IFERROR(__xludf.DUMMYFUNCTION("""COMPUTED_VALUE"""),"Centro")</f>
        <v>Centro</v>
      </c>
      <c r="E129" s="46"/>
      <c r="F129" s="90">
        <f>IFERROR(__xludf.DUMMYFUNCTION("""COMPUTED_VALUE"""),5.0E7)</f>
        <v>50000000</v>
      </c>
      <c r="G129" s="46" t="str">
        <f>IFERROR(__xludf.DUMMYFUNCTION("""COMPUTED_VALUE"""),"$0 a $100'000.000")</f>
        <v>$0 a $100'000.000</v>
      </c>
      <c r="H129" s="46"/>
      <c r="I129" s="46"/>
      <c r="J129" s="46" t="str">
        <f>IFERROR(__xludf.DUMMYFUNCTION("""COMPUTED_VALUE"""),"Centro")</f>
        <v>Centro</v>
      </c>
      <c r="K129" s="87"/>
      <c r="L129" s="46">
        <f>IFERROR(__xludf.DUMMYFUNCTION("""COMPUTED_VALUE"""),0.0)</f>
        <v>0</v>
      </c>
      <c r="M129" s="46"/>
      <c r="N129" s="46">
        <f>IFERROR(__xludf.DUMMYFUNCTION("""COMPUTED_VALUE"""),1.0)</f>
        <v>1</v>
      </c>
      <c r="O129" s="46">
        <f>IFERROR(__xludf.DUMMYFUNCTION("""COMPUTED_VALUE"""),0.0)</f>
        <v>0</v>
      </c>
      <c r="P129" s="46">
        <f>IFERROR(__xludf.DUMMYFUNCTION("""COMPUTED_VALUE"""),3.0)</f>
        <v>3</v>
      </c>
      <c r="Q129" s="92">
        <f>IFERROR(__xludf.DUMMYFUNCTION("""COMPUTED_VALUE"""),11.67)</f>
        <v>11.67</v>
      </c>
      <c r="R129" s="92">
        <f>IFERROR(__xludf.DUMMYFUNCTION("""COMPUTED_VALUE"""),11.67)</f>
        <v>11.67</v>
      </c>
      <c r="S129" s="87" t="str">
        <f>IFERROR(__xludf.DUMMYFUNCTION("""COMPUTED_VALUE""")," ")</f>
        <v> </v>
      </c>
      <c r="T129" s="46" t="str">
        <f>IFERROR(__xludf.DUMMYFUNCTION("""COMPUTED_VALUE"""),"Neiva")</f>
        <v>Neiva</v>
      </c>
      <c r="U129" s="87" t="str">
        <f>IFERROR(__xludf.DUMMYFUNCTION("""COMPUTED_VALUE"""),"Comercial")</f>
        <v>Comercial</v>
      </c>
      <c r="V129" s="46" t="str">
        <f>IFERROR(__xludf.DUMMYFUNCTION("""COMPUTED_VALUE"""),"3er.")</f>
        <v>3er.</v>
      </c>
      <c r="W129" s="46"/>
      <c r="X129" s="46">
        <f>IFERROR(__xludf.DUMMYFUNCTION("""COMPUTED_VALUE"""),0.0)</f>
        <v>0</v>
      </c>
      <c r="Y129" s="46" t="str">
        <f>IFERROR(__xludf.DUMMYFUNCTION("""COMPUTED_VALUE"""),"No tiene")</f>
        <v>No tiene</v>
      </c>
      <c r="Z129" s="90">
        <f>IFERROR(__xludf.DUMMYFUNCTION("""COMPUTED_VALUE"""),135000.0)</f>
        <v>135000</v>
      </c>
      <c r="AA129" s="33" t="str">
        <f>IFERROR(__xludf.DUMMYFUNCTION("""COMPUTED_VALUE"""),"No aplica")</f>
        <v>No aplica</v>
      </c>
      <c r="AB129" s="144" t="str">
        <f>IFERROR(__xludf.DUMMYFUNCTION("""COMPUTED_VALUE"""),"https://photos.app.goo.gl/oafXpjLDta1kzw5f8")</f>
        <v>https://photos.app.goo.gl/oafXpjLDta1kzw5f8</v>
      </c>
      <c r="AC129" s="46" t="str">
        <f>IFERROR(__xludf.DUMMYFUNCTION("""COMPUTED_VALUE"""),"Oficina 3er piso. Centro Comercial Metropolitano con un área de 11.67m2 con baño privado, pisos en cerámica, techos en Driwall, excelente ubicación.")</f>
        <v>Oficina 3er piso. Centro Comercial Metropolitano con un área de 11.67m2 con baño privado, pisos en cerámica, techos en Driwall, excelente ubicación.</v>
      </c>
      <c r="AD129" s="46" t="str">
        <f>IFERROR(__xludf.DUMMYFUNCTION("""COMPUTED_VALUE"""),"Buena ubicación.")</f>
        <v>Buena ubicación.</v>
      </c>
      <c r="AE129" s="46"/>
      <c r="AF129" s="46">
        <f>IFERROR(__xludf.DUMMYFUNCTION("""COMPUTED_VALUE"""),0.0)</f>
        <v>0</v>
      </c>
      <c r="AG129" s="46"/>
      <c r="AH129" s="46" t="str">
        <f>IFERROR(__xludf.DUMMYFUNCTION("""COMPUTED_VALUE"""),"Aliado")</f>
        <v>Aliado</v>
      </c>
      <c r="AI129" s="92" t="str">
        <f>IFERROR(__xludf.DUMMYFUNCTION("""COMPUTED_VALUE"""),"https://lh3.googleusercontent.com/pw/AP1GczNKDVfwPJ2VDn_4Yf2Qk6Nt9Xu1wD9CaPef-s3SpKSRfmeo-skYkpS8ti8r4HVgaaFPj2Tf8zPWMh-jyE_d3RWpVwSiMGRoe1pxJAk5pdUEGFzHO5XQ=w1200|https://lh3.googleusercontent.com/pw/AP1GczN_Qnnmvhm6eJI17O4KEwhMMq18aAhSUsI1VIG76wjkcpWZFe"&amp;"32NVcUo-QcKaT2TgFhUrcfVOgXKb6cFg2znhKJ75wVKo6p-BGiDlWosaJYeSE9MKa6=w1200|https://lh3.googleusercontent.com/pw/AP1GczOjKLLUTp3fjjD9d5pwCZm7p71h6TNz10lJTxihRrpL5bcoYDuQHJBK5-c0C3OBHvPnDen6h9BFRH-q8QPhsbBzwE62ujkMsw4WadNsajcwkNK-gH8J=w1200|https://lh3.google"&amp;"usercontent.com/pw/AP1GczPgpETaY8lOxDeJNA4zQSMxafjKDYxXQrF7xXdu5sesHio51DzlTDnfNmRMwQY6oeyBQOJYdqYgGU2oCpv9ufrS9ZeCV7ASgtZfR_rtHxh09Jb9dW9L=w1200|https://lh3.googleusercontent.com/pw/AP1GczMQ8_NCWsFMcEl4Cla_Y_robWlXfxOaXxSf-83zZPDnhNk0q2Dm3v7m0QQS9SDDj9Md"&amp;"GiYFwVRDqd-zbQwM38qfMdh25tSnL2RveRZqqjK9Db4NWUCN=w1200|https://lh3.googleusercontent.com/pw/AP1GczPrzy7UISbp6SUj1l1qLcnQbBU4ja2ta5dZYWiJFcJKxmWmTMqLVu8RxjqVAiDQqqfCX8hJyh65yQDaMj8TlukSqtvE3lK0wyu98Ee8UxV0H5cFyrni=w1200")</f>
        <v>https://lh3.googleusercontent.com/pw/AP1GczNKDVfwPJ2VDn_4Yf2Qk6Nt9Xu1wD9CaPef-s3SpKSRfmeo-skYkpS8ti8r4HVgaaFPj2Tf8zPWMh-jyE_d3RWpVwSiMGRoe1pxJAk5pdUEGFzHO5XQ=w1200|https://lh3.googleusercontent.com/pw/AP1GczN_Qnnmvhm6eJI17O4KEwhMMq18aAhSUsI1VIG76wjkcpWZFe32NVcUo-QcKaT2TgFhUrcfVOgXKb6cFg2znhKJ75wVKo6p-BGiDlWosaJYeSE9MKa6=w1200|https://lh3.googleusercontent.com/pw/AP1GczOjKLLUTp3fjjD9d5pwCZm7p71h6TNz10lJTxihRrpL5bcoYDuQHJBK5-c0C3OBHvPnDen6h9BFRH-q8QPhsbBzwE62ujkMsw4WadNsajcwkNK-gH8J=w1200|https://lh3.googleusercontent.com/pw/AP1GczPgpETaY8lOxDeJNA4zQSMxafjKDYxXQrF7xXdu5sesHio51DzlTDnfNmRMwQY6oeyBQOJYdqYgGU2oCpv9ufrS9ZeCV7ASgtZfR_rtHxh09Jb9dW9L=w1200|https://lh3.googleusercontent.com/pw/AP1GczMQ8_NCWsFMcEl4Cla_Y_robWlXfxOaXxSf-83zZPDnhNk0q2Dm3v7m0QQS9SDDj9MdGiYFwVRDqd-zbQwM38qfMdh25tSnL2RveRZqqjK9Db4NWUCN=w1200|https://lh3.googleusercontent.com/pw/AP1GczPrzy7UISbp6SUj1l1qLcnQbBU4ja2ta5dZYWiJFcJKxmWmTMqLVu8RxjqVAiDQqqfCX8hJyh65yQDaMj8TlukSqtvE3lK0wyu98Ee8UxV0H5cFyrni=w1200</v>
      </c>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row>
    <row r="130">
      <c r="A130" s="87" t="str">
        <f>IFERROR(__xludf.DUMMYFUNCTION("""COMPUTED_VALUE"""),"1464")</f>
        <v>1464</v>
      </c>
      <c r="B130" s="46" t="str">
        <f>IFERROR(__xludf.DUMMYFUNCTION("""COMPUTED_VALUE"""),"Lote en conjunto Campestres Novaterra - Vía amborco - Sur")</f>
        <v>Lote en conjunto Campestres Novaterra - Vía amborco - Sur</v>
      </c>
      <c r="C130" s="46" t="str">
        <f>IFERROR(__xludf.DUMMYFUNCTION("""COMPUTED_VALUE"""),"Lote en conjunto")</f>
        <v>Lote en conjunto</v>
      </c>
      <c r="D130" s="46" t="str">
        <f>IFERROR(__xludf.DUMMYFUNCTION("""COMPUTED_VALUE"""),"Amborco")</f>
        <v>Amborco</v>
      </c>
      <c r="E130" s="46" t="str">
        <f>IFERROR(__xludf.DUMMYFUNCTION("""COMPUTED_VALUE"""),"Conjunto Campestre Novaterra")</f>
        <v>Conjunto Campestre Novaterra</v>
      </c>
      <c r="F130" s="90">
        <f>IFERROR(__xludf.DUMMYFUNCTION("""COMPUTED_VALUE"""),5.0E7)</f>
        <v>50000000</v>
      </c>
      <c r="G130" s="46" t="str">
        <f>IFERROR(__xludf.DUMMYFUNCTION("""COMPUTED_VALUE"""),"$0 a $100'000.000")</f>
        <v>$0 a $100'000.000</v>
      </c>
      <c r="H130" s="46"/>
      <c r="I130" s="46"/>
      <c r="J130" s="46" t="str">
        <f>IFERROR(__xludf.DUMMYFUNCTION("""COMPUTED_VALUE"""),"Sur")</f>
        <v>Sur</v>
      </c>
      <c r="K130" s="87"/>
      <c r="L130" s="46">
        <f>IFERROR(__xludf.DUMMYFUNCTION("""COMPUTED_VALUE"""),0.0)</f>
        <v>0</v>
      </c>
      <c r="M130" s="46"/>
      <c r="N130" s="46">
        <f>IFERROR(__xludf.DUMMYFUNCTION("""COMPUTED_VALUE"""),0.0)</f>
        <v>0</v>
      </c>
      <c r="O130" s="46">
        <f>IFERROR(__xludf.DUMMYFUNCTION("""COMPUTED_VALUE"""),0.0)</f>
        <v>0</v>
      </c>
      <c r="P130" s="46">
        <f>IFERROR(__xludf.DUMMYFUNCTION("""COMPUTED_VALUE"""),0.0)</f>
        <v>0</v>
      </c>
      <c r="Q130" s="92">
        <f>IFERROR(__xludf.DUMMYFUNCTION("""COMPUTED_VALUE"""),632.0)</f>
        <v>632</v>
      </c>
      <c r="R130" s="92">
        <f>IFERROR(__xludf.DUMMYFUNCTION("""COMPUTED_VALUE"""),632.0)</f>
        <v>632</v>
      </c>
      <c r="S130" s="87" t="str">
        <f>IFERROR(__xludf.DUMMYFUNCTION("""COMPUTED_VALUE""")," ")</f>
        <v> </v>
      </c>
      <c r="T130" s="46" t="str">
        <f>IFERROR(__xludf.DUMMYFUNCTION("""COMPUTED_VALUE"""),"Neiva")</f>
        <v>Neiva</v>
      </c>
      <c r="U130" s="87"/>
      <c r="V130" s="46" t="str">
        <f>IFERROR(__xludf.DUMMYFUNCTION("""COMPUTED_VALUE"""),"Esquinera")</f>
        <v>Esquinera</v>
      </c>
      <c r="W130" s="46"/>
      <c r="X130" s="46">
        <f>IFERROR(__xludf.DUMMYFUNCTION("""COMPUTED_VALUE"""),0.0)</f>
        <v>0</v>
      </c>
      <c r="Y130" s="46" t="str">
        <f>IFERROR(__xludf.DUMMYFUNCTION("""COMPUTED_VALUE"""),"Social")</f>
        <v>Social</v>
      </c>
      <c r="Z130" s="90"/>
      <c r="AA130" s="33" t="str">
        <f>IFERROR(__xludf.DUMMYFUNCTION("""COMPUTED_VALUE"""),"No aplica")</f>
        <v>No aplica</v>
      </c>
      <c r="AB130" s="96" t="str">
        <f>IFERROR(__xludf.DUMMYFUNCTION("""COMPUTED_VALUE"""),"https://photos.app.goo.gl/Rja6bXNXgpaoxmYb9")</f>
        <v>https://photos.app.goo.gl/Rja6bXNXgpaoxmYb9</v>
      </c>
      <c r="AC130" s="46" t="str">
        <f>IFERROR(__xludf.DUMMYFUNCTION("""COMPUTED_VALUE"""),"Lote campestre en Club House, conjunto campestre Novaterra con un área de 632m2 listo para construir, esquinero, con acceso a áreas sociales tales como; Piscina y Salón social. vigilancia 24 horas.")</f>
        <v>Lote campestre en Club House, conjunto campestre Novaterra con un área de 632m2 listo para construir, esquinero, con acceso a áreas sociales tales como; Piscina y Salón social. vigilancia 24 horas.</v>
      </c>
      <c r="AD130" s="46" t="str">
        <f>IFERROR(__xludf.DUMMYFUNCTION("""COMPUTED_VALUE"""),"Excelente ubicación.")</f>
        <v>Excelente ubicación.</v>
      </c>
      <c r="AE130" s="46"/>
      <c r="AF130" s="46">
        <f>IFERROR(__xludf.DUMMYFUNCTION("""COMPUTED_VALUE"""),0.0)</f>
        <v>0</v>
      </c>
      <c r="AG130" s="46"/>
      <c r="AH130" s="46" t="str">
        <f>IFERROR(__xludf.DUMMYFUNCTION("""COMPUTED_VALUE"""),"Aliado")</f>
        <v>Aliado</v>
      </c>
      <c r="AI130" s="92" t="str">
        <f>IFERROR(__xludf.DUMMYFUNCTION("""COMPUTED_VALUE"""),"https://lh3.googleusercontent.com/pw/AP1GczP6Gs0N8TVFidd5DNkOax3twYVdHfXbmhUI6q-htx0Rw-1fdRNKz9YEmpnOiBL6dqd_4Dil-ipgnW5usiEHUx5uzmbQBdXDbasWm1hiCibXuaTZ7mod=w1200|https://lh3.googleusercontent.com/pw/AP1GczOxHYUpb9KVVeR4pO16zq_KqLf_HkuSVsgm44zopQK-4iaTVI"&amp;"nl-Wv8iBKosI44dWUsNX3aawZFIW5AiDoRamkcVIm_QcYxKIhOlIF8PaT0XSee-J7T=w1200|https://lh3.googleusercontent.com/pw/AP1GczOte3ekFm9m1svpA7cq9DS3lvxr3PRVaoZ2R3Q-ntFOhlX8vkbx5AnawrVSEtN0HcQx5bHrA8vmAeBH862cSxM0wGVAdC7ozAdtzAcUv0oSJFScQNPV=w1200|https://lh3.google"&amp;"usercontent.com/pw/AP1GczP7-nbTjH-qChu8KVa0ktuNAnJp4_Xnm1SNs2gGP9xrtLMdMMXmOPZubDn5Y92vj5_Moq4c0wrv71NKmjTV8wX4q_E-_07sThjCH_YERc7maBWsgNSy=w1200|https://lh3.googleusercontent.com/pw/AP1GczMUBFzi0KDI6TaLFWhUjWq3prUIex0kgOwdgyUG3AqbTm1NP8H9oqG8nJfywIG8pI-t"&amp;"lE3FrmYnSkh2yxDOMZ3WhZjg3wQKHIQBdxajik9MRySIT94Q=w1200|https://lh3.googleusercontent.com/pw/AP1GczNSkdgjc-vSkR-K0xsJJpabMY84gcSNqjujJYPShM5JiCUs3KhwuGj0pKkX7qfRUBoCnhPC3o219wuUL1lPbwN3yZowxi2ORKT0IfMtdZAs-mBGR067=w1200|https://lh3.googleusercontent.com/pw"&amp;"/AP1GczNi3fvS6K3FLyjFQK9BHlhPp3btXmQNr7KSqZcZKtqxXXpnjdH4wehXZxCGOhp3YHJHGyufMZqXvkxQCW5PBNebAMAldbkMz5UaGiaN9Fh_7nhfrayu=w1200|https://lh3.googleusercontent.com/pw/AP1GczOdASml4y8AfMqhg7o6H5bhDwIMGYoHY0YVAZ8pEij5iav3ABcseEmT28YXRDzd_4bvNvUplgr6-8DeQK1nqf"&amp;"X0rLwIZkP5KgqV8A74zgT3eXc9e5Lg=w1200")</f>
        <v>https://lh3.googleusercontent.com/pw/AP1GczP6Gs0N8TVFidd5DNkOax3twYVdHfXbmhUI6q-htx0Rw-1fdRNKz9YEmpnOiBL6dqd_4Dil-ipgnW5usiEHUx5uzmbQBdXDbasWm1hiCibXuaTZ7mod=w1200|https://lh3.googleusercontent.com/pw/AP1GczOxHYUpb9KVVeR4pO16zq_KqLf_HkuSVsgm44zopQK-4iaTVInl-Wv8iBKosI44dWUsNX3aawZFIW5AiDoRamkcVIm_QcYxKIhOlIF8PaT0XSee-J7T=w1200|https://lh3.googleusercontent.com/pw/AP1GczOte3ekFm9m1svpA7cq9DS3lvxr3PRVaoZ2R3Q-ntFOhlX8vkbx5AnawrVSEtN0HcQx5bHrA8vmAeBH862cSxM0wGVAdC7ozAdtzAcUv0oSJFScQNPV=w1200|https://lh3.googleusercontent.com/pw/AP1GczP7-nbTjH-qChu8KVa0ktuNAnJp4_Xnm1SNs2gGP9xrtLMdMMXmOPZubDn5Y92vj5_Moq4c0wrv71NKmjTV8wX4q_E-_07sThjCH_YERc7maBWsgNSy=w1200|https://lh3.googleusercontent.com/pw/AP1GczMUBFzi0KDI6TaLFWhUjWq3prUIex0kgOwdgyUG3AqbTm1NP8H9oqG8nJfywIG8pI-tlE3FrmYnSkh2yxDOMZ3WhZjg3wQKHIQBdxajik9MRySIT94Q=w1200|https://lh3.googleusercontent.com/pw/AP1GczNSkdgjc-vSkR-K0xsJJpabMY84gcSNqjujJYPShM5JiCUs3KhwuGj0pKkX7qfRUBoCnhPC3o219wuUL1lPbwN3yZowxi2ORKT0IfMtdZAs-mBGR067=w1200|https://lh3.googleusercontent.com/pw/AP1GczNi3fvS6K3FLyjFQK9BHlhPp3btXmQNr7KSqZcZKtqxXXpnjdH4wehXZxCGOhp3YHJHGyufMZqXvkxQCW5PBNebAMAldbkMz5UaGiaN9Fh_7nhfrayu=w1200|https://lh3.googleusercontent.com/pw/AP1GczOdASml4y8AfMqhg7o6H5bhDwIMGYoHY0YVAZ8pEij5iav3ABcseEmT28YXRDzd_4bvNvUplgr6-8DeQK1nqfX0rLwIZkP5KgqV8A74zgT3eXc9e5Lg=w1200</v>
      </c>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row>
    <row r="131">
      <c r="A131" s="87" t="str">
        <f>IFERROR(__xludf.DUMMYFUNCTION("""COMPUTED_VALUE"""),"1231")</f>
        <v>1231</v>
      </c>
      <c r="B131" s="46" t="str">
        <f>IFERROR(__xludf.DUMMYFUNCTION("""COMPUTED_VALUE"""),"Lote en conjunto Campestres Novaterra - Vía amborco - Sur")</f>
        <v>Lote en conjunto Campestres Novaterra - Vía amborco - Sur</v>
      </c>
      <c r="C131" s="46" t="str">
        <f>IFERROR(__xludf.DUMMYFUNCTION("""COMPUTED_VALUE"""),"Lote en conjunto")</f>
        <v>Lote en conjunto</v>
      </c>
      <c r="D131" s="46" t="str">
        <f>IFERROR(__xludf.DUMMYFUNCTION("""COMPUTED_VALUE"""),"Amborco")</f>
        <v>Amborco</v>
      </c>
      <c r="E131" s="46" t="str">
        <f>IFERROR(__xludf.DUMMYFUNCTION("""COMPUTED_VALUE"""),"Conjunto Campestre Novaterra")</f>
        <v>Conjunto Campestre Novaterra</v>
      </c>
      <c r="F131" s="90">
        <f>IFERROR(__xludf.DUMMYFUNCTION("""COMPUTED_VALUE"""),5.0E7)</f>
        <v>50000000</v>
      </c>
      <c r="G131" s="46" t="str">
        <f>IFERROR(__xludf.DUMMYFUNCTION("""COMPUTED_VALUE"""),"$0 a $100'000.000")</f>
        <v>$0 a $100'000.000</v>
      </c>
      <c r="H131" s="46"/>
      <c r="I131" s="46"/>
      <c r="J131" s="46" t="str">
        <f>IFERROR(__xludf.DUMMYFUNCTION("""COMPUTED_VALUE"""),"Sur")</f>
        <v>Sur</v>
      </c>
      <c r="K131" s="87"/>
      <c r="L131" s="46">
        <f>IFERROR(__xludf.DUMMYFUNCTION("""COMPUTED_VALUE"""),0.0)</f>
        <v>0</v>
      </c>
      <c r="M131" s="46"/>
      <c r="N131" s="46">
        <f>IFERROR(__xludf.DUMMYFUNCTION("""COMPUTED_VALUE"""),0.0)</f>
        <v>0</v>
      </c>
      <c r="O131" s="46">
        <f>IFERROR(__xludf.DUMMYFUNCTION("""COMPUTED_VALUE"""),0.0)</f>
        <v>0</v>
      </c>
      <c r="P131" s="46">
        <f>IFERROR(__xludf.DUMMYFUNCTION("""COMPUTED_VALUE"""),0.0)</f>
        <v>0</v>
      </c>
      <c r="Q131" s="92">
        <f>IFERROR(__xludf.DUMMYFUNCTION("""COMPUTED_VALUE"""),557.0)</f>
        <v>557</v>
      </c>
      <c r="R131" s="92">
        <f>IFERROR(__xludf.DUMMYFUNCTION("""COMPUTED_VALUE"""),557.0)</f>
        <v>557</v>
      </c>
      <c r="S131" s="87" t="str">
        <f>IFERROR(__xludf.DUMMYFUNCTION("""COMPUTED_VALUE""")," ")</f>
        <v> </v>
      </c>
      <c r="T131" s="46" t="str">
        <f>IFERROR(__xludf.DUMMYFUNCTION("""COMPUTED_VALUE"""),"Neiva")</f>
        <v>Neiva</v>
      </c>
      <c r="U131" s="87"/>
      <c r="V131" s="46" t="str">
        <f>IFERROR(__xludf.DUMMYFUNCTION("""COMPUTED_VALUE"""),"Esquinera")</f>
        <v>Esquinera</v>
      </c>
      <c r="W131" s="46"/>
      <c r="X131" s="46">
        <f>IFERROR(__xludf.DUMMYFUNCTION("""COMPUTED_VALUE"""),0.0)</f>
        <v>0</v>
      </c>
      <c r="Y131" s="46" t="str">
        <f>IFERROR(__xludf.DUMMYFUNCTION("""COMPUTED_VALUE"""),"Social")</f>
        <v>Social</v>
      </c>
      <c r="Z131" s="90"/>
      <c r="AA131" s="33" t="str">
        <f>IFERROR(__xludf.DUMMYFUNCTION("""COMPUTED_VALUE"""),"No aplica")</f>
        <v>No aplica</v>
      </c>
      <c r="AB131" s="96" t="str">
        <f>IFERROR(__xludf.DUMMYFUNCTION("""COMPUTED_VALUE"""),"https://photos.app.goo.gl/yW9WBvB16Y7J5Xrq7")</f>
        <v>https://photos.app.goo.gl/yW9WBvB16Y7J5Xrq7</v>
      </c>
      <c r="AC131" s="46" t="str">
        <f>IFERROR(__xludf.DUMMYFUNCTION("""COMPUTED_VALUE"""),"lote campestre esquinero con un área: 557.0 m2, con servicio de energía, agua y alcantarillado, cuenta con arboles frutales. Ubicación: Condominio Campestre Novaterra, vía al balneario amborco.")</f>
        <v>lote campestre esquinero con un área: 557.0 m2, con servicio de energía, agua y alcantarillado, cuenta con arboles frutales. Ubicación: Condominio Campestre Novaterra, vía al balneario amborco.</v>
      </c>
      <c r="AD131" s="46" t="str">
        <f>IFERROR(__xludf.DUMMYFUNCTION("""COMPUTED_VALUE"""),"Excelente ubicación.")</f>
        <v>Excelente ubicación.</v>
      </c>
      <c r="AE131" s="46"/>
      <c r="AF131" s="46">
        <f>IFERROR(__xludf.DUMMYFUNCTION("""COMPUTED_VALUE"""),0.0)</f>
        <v>0</v>
      </c>
      <c r="AG131" s="46"/>
      <c r="AH131" s="46" t="str">
        <f>IFERROR(__xludf.DUMMYFUNCTION("""COMPUTED_VALUE"""),"Aliado")</f>
        <v>Aliado</v>
      </c>
      <c r="AI131" s="92" t="str">
        <f>IFERROR(__xludf.DUMMYFUNCTION("""COMPUTED_VALUE"""),"https://lh3.googleusercontent.com/pw/AP1GczPX2j4TiA1VVBWgDpoJyzvIBKlLEaxqPmYo61TXYmKTmJxh6w7sLUiJb0wONUP9m_lK_YdTe1uVlO7vwPj0vkv5f1N4dBhiezIfXr-dOlTEyque3cBL=w1200|https://lh3.googleusercontent.com/pw/AP1GczPvA4pMripcrun667RWsqifwu_5VX-o0W2bq3UvX38CcEkojn"&amp;"WLbI6jxWdUWiiXva7kx8hiyMI0Kkje0l_D_K191SCtPmpgZa5ZCyIo1S-xHdEqeLjX=w1200|https://lh3.googleusercontent.com/pw/AP1GczPknpo13MxavM44AoZdMwtG0DIePemQjxhNVnuINPjkX5pFq39IUuuccsZTKzFlSsix1hVz-r9MN4ywQNZWtuRChrQA9sd6xM9X1zauheqodTXiuNg_=w1200|https://lh3.google"&amp;"usercontent.com/pw/AP1GczMGZ2u_jZ5hl5ar6IdFf2x8WqJhBGJkE8tXbcoeBBMQvBFSq0uEcwvj7EdMor0Mlq_t36r6mnkE74CZNgMxRNS93TKM5gi2Hz5LdxtRuX8mQ21kDYDh=w1200|https://lh3.googleusercontent.com/pw/AP1GczOh9zxp02FdkeimuaBmft_65BZfyRm1opVPt2Kgp8zKCX6w6lVLA6__da4gVvCNZhcd"&amp;"Mp506E62DFdwS-lH0JkIbNeuPMfvXgkAcJDkLRXFbh3RbxGS=w1200|https://lh3.googleusercontent.com/pw/AP1GczM9xSc5Q4s3mLydw3Gy_jn2ui9IfJLoml0Ks61gKOaY0TNmGxdMFQs0xKNE18zxUeqjnmlExFv-hVJcpFl6zFjOlkez9zHYDg0jkMZb3g1AN4qZGwz0=w1200|https://lh3.googleusercontent.com/pw"&amp;"/AP1GczN9aF1gBj_MN0lvNZVGfORryQAjNOgCjdr_xB-Qhkdvg-hCFzmwPpBFjXjRdAJL3iQ3X3j8hdatZZQSujRgZI5_8XlJv1I3pc95jOM5hwefZuU4SZlS=w1200|https://lh3.googleusercontent.com/pw/AP1GczO2H087dpdadtuWeCwyM3uHb50YxmTdOIfaMkb5WsFbTSHQgIutsaQNrCcOETxjJ4Ykdxsk8z5R95C9j8Kliq"&amp;"Ly4W44X3ODoyMWk9zyRnpwGvOJ70Rt=w1200|https://lh3.googleusercontent.com/pw/AP1GczMPo-MHL6ZZ3dxW2jbuuKpqPfETHsmXOxiZY77EOfdW5yuTQ9VsnboK1kPWrKFyN83QaJpSMV0QgstKqaiZoCxqMJtHrkBajomA9CxL4jCW0A3atMt5=w1200")</f>
        <v>https://lh3.googleusercontent.com/pw/AP1GczPX2j4TiA1VVBWgDpoJyzvIBKlLEaxqPmYo61TXYmKTmJxh6w7sLUiJb0wONUP9m_lK_YdTe1uVlO7vwPj0vkv5f1N4dBhiezIfXr-dOlTEyque3cBL=w1200|https://lh3.googleusercontent.com/pw/AP1GczPvA4pMripcrun667RWsqifwu_5VX-o0W2bq3UvX38CcEkojnWLbI6jxWdUWiiXva7kx8hiyMI0Kkje0l_D_K191SCtPmpgZa5ZCyIo1S-xHdEqeLjX=w1200|https://lh3.googleusercontent.com/pw/AP1GczPknpo13MxavM44AoZdMwtG0DIePemQjxhNVnuINPjkX5pFq39IUuuccsZTKzFlSsix1hVz-r9MN4ywQNZWtuRChrQA9sd6xM9X1zauheqodTXiuNg_=w1200|https://lh3.googleusercontent.com/pw/AP1GczMGZ2u_jZ5hl5ar6IdFf2x8WqJhBGJkE8tXbcoeBBMQvBFSq0uEcwvj7EdMor0Mlq_t36r6mnkE74CZNgMxRNS93TKM5gi2Hz5LdxtRuX8mQ21kDYDh=w1200|https://lh3.googleusercontent.com/pw/AP1GczOh9zxp02FdkeimuaBmft_65BZfyRm1opVPt2Kgp8zKCX6w6lVLA6__da4gVvCNZhcdMp506E62DFdwS-lH0JkIbNeuPMfvXgkAcJDkLRXFbh3RbxGS=w1200|https://lh3.googleusercontent.com/pw/AP1GczM9xSc5Q4s3mLydw3Gy_jn2ui9IfJLoml0Ks61gKOaY0TNmGxdMFQs0xKNE18zxUeqjnmlExFv-hVJcpFl6zFjOlkez9zHYDg0jkMZb3g1AN4qZGwz0=w1200|https://lh3.googleusercontent.com/pw/AP1GczN9aF1gBj_MN0lvNZVGfORryQAjNOgCjdr_xB-Qhkdvg-hCFzmwPpBFjXjRdAJL3iQ3X3j8hdatZZQSujRgZI5_8XlJv1I3pc95jOM5hwefZuU4SZlS=w1200|https://lh3.googleusercontent.com/pw/AP1GczO2H087dpdadtuWeCwyM3uHb50YxmTdOIfaMkb5WsFbTSHQgIutsaQNrCcOETxjJ4Ykdxsk8z5R95C9j8KliqLy4W44X3ODoyMWk9zyRnpwGvOJ70Rt=w1200|https://lh3.googleusercontent.com/pw/AP1GczMPo-MHL6ZZ3dxW2jbuuKpqPfETHsmXOxiZY77EOfdW5yuTQ9VsnboK1kPWrKFyN83QaJpSMV0QgstKqaiZoCxqMJtHrkBajomA9CxL4jCW0A3atMt5=w1200</v>
      </c>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row>
    <row r="132">
      <c r="A132" s="87" t="str">
        <f>IFERROR(__xludf.DUMMYFUNCTION("""COMPUTED_VALUE"""),"1713")</f>
        <v>1713</v>
      </c>
      <c r="B132" s="46" t="str">
        <f>IFERROR(__xludf.DUMMYFUNCTION("""COMPUTED_VALUE"""),"Casa en conjunto Condominio Vilanova - San Jorge - Sur")</f>
        <v>Casa en conjunto Condominio Vilanova - San Jorge - Sur</v>
      </c>
      <c r="C132" s="46" t="str">
        <f>IFERROR(__xludf.DUMMYFUNCTION("""COMPUTED_VALUE"""),"Casa en conjunto")</f>
        <v>Casa en conjunto</v>
      </c>
      <c r="D132" s="46" t="str">
        <f>IFERROR(__xludf.DUMMYFUNCTION("""COMPUTED_VALUE"""),"San Jorge")</f>
        <v>San Jorge</v>
      </c>
      <c r="E132" s="90" t="str">
        <f>IFERROR(__xludf.DUMMYFUNCTION("""COMPUTED_VALUE""")," Conjunto Condominio Vilanova ")</f>
        <v> Conjunto Condominio Vilanova </v>
      </c>
      <c r="F132" s="90">
        <f>IFERROR(__xludf.DUMMYFUNCTION("""COMPUTED_VALUE"""),7.3E8)</f>
        <v>730000000</v>
      </c>
      <c r="G132" s="46" t="str">
        <f>IFERROR(__xludf.DUMMYFUNCTION("""COMPUTED_VALUE"""),"$500'000.000 a $1.000'000.000")</f>
        <v>$500'000.000 a $1.000'000.000</v>
      </c>
      <c r="H132" s="46"/>
      <c r="I132" s="46"/>
      <c r="J132" s="46" t="str">
        <f>IFERROR(__xludf.DUMMYFUNCTION("""COMPUTED_VALUE"""),"Sur")</f>
        <v>Sur</v>
      </c>
      <c r="K132" s="87"/>
      <c r="L132" s="46">
        <f>IFERROR(__xludf.DUMMYFUNCTION("""COMPUTED_VALUE"""),3.0)</f>
        <v>3</v>
      </c>
      <c r="M132" s="46"/>
      <c r="N132" s="46">
        <f>IFERROR(__xludf.DUMMYFUNCTION("""COMPUTED_VALUE"""),4.0)</f>
        <v>4</v>
      </c>
      <c r="O132" s="46">
        <f>IFERROR(__xludf.DUMMYFUNCTION("""COMPUTED_VALUE"""),2.0)</f>
        <v>2</v>
      </c>
      <c r="P132" s="46">
        <f>IFERROR(__xludf.DUMMYFUNCTION("""COMPUTED_VALUE"""),1.0)</f>
        <v>1</v>
      </c>
      <c r="Q132" s="92">
        <f>IFERROR(__xludf.DUMMYFUNCTION("""COMPUTED_VALUE"""),177.0)</f>
        <v>177</v>
      </c>
      <c r="R132" s="92">
        <f>IFERROR(__xludf.DUMMYFUNCTION("""COMPUTED_VALUE"""),177.0)</f>
        <v>177</v>
      </c>
      <c r="S132" s="87" t="str">
        <f>IFERROR(__xludf.DUMMYFUNCTION("""COMPUTED_VALUE""")," ")</f>
        <v> </v>
      </c>
      <c r="T132" s="46" t="str">
        <f>IFERROR(__xludf.DUMMYFUNCTION("""COMPUTED_VALUE"""),"Neiva")</f>
        <v>Neiva</v>
      </c>
      <c r="U132" s="87" t="str">
        <f>IFERROR(__xludf.DUMMYFUNCTION("""COMPUTED_VALUE"""),"5")</f>
        <v>5</v>
      </c>
      <c r="V132" s="46" t="str">
        <f>IFERROR(__xludf.DUMMYFUNCTION("""COMPUTED_VALUE"""),"Medianera")</f>
        <v>Medianera</v>
      </c>
      <c r="W132" s="46"/>
      <c r="X132" s="46">
        <f>IFERROR(__xludf.DUMMYFUNCTION("""COMPUTED_VALUE"""),3.0)</f>
        <v>3</v>
      </c>
      <c r="Y132" s="46" t="str">
        <f>IFERROR(__xludf.DUMMYFUNCTION("""COMPUTED_VALUE"""),"Privada")</f>
        <v>Privada</v>
      </c>
      <c r="Z132" s="90">
        <f>IFERROR(__xludf.DUMMYFUNCTION("""COMPUTED_VALUE"""),426000.0)</f>
        <v>426000</v>
      </c>
      <c r="AA132" s="33" t="str">
        <f>IFERROR(__xludf.DUMMYFUNCTION("""COMPUTED_VALUE"""),"No aplica")</f>
        <v>No aplica</v>
      </c>
      <c r="AB132" s="96" t="str">
        <f>IFERROR(__xludf.DUMMYFUNCTION("""COMPUTED_VALUE"""),"https://photos.app.goo.gl/fjjaxA5mtveokZ4g8")</f>
        <v>https://photos.app.goo.gl/fjjaxA5mtveokZ4g8</v>
      </c>
      <c r="AC132" s="46" t="str">
        <f>IFERROR(__xludf.DUMMYFUNCTION("""COMPUTED_VALUE"""),"El gran atractivo para comprar de inmediato es su zona posterior, la cual ofrece un oasis privado con piscina propia y sala exterior para disfrutar del mejor descanso en la comodidad del hogar. Al estar ubicada en un conjunto cerrado de estrato 4 con docu"&amp;"mentación al día, brinda acceso a zonas comunes de ensueño como gimnasio, parque infantil, cancha múltiple, piscina y BBQ. Todo esto se complementa con 1 garaje privado y una ubicación estratégica de alta valorización en la zona Sur de Neiva, a pocos minu"&amp;"tos de Unicentro, el Centro Empresarial Huila E. y Olímpica.")</f>
        <v>El gran atractivo para comprar de inmediato es su zona posterior, la cual ofrece un oasis privado con piscina propia y sala exterior para disfrutar del mejor descanso en la comodidad del hogar. Al estar ubicada en un conjunto cerrado de estrato 4 con documentación al día, brinda acceso a zonas comunes de ensueño como gimnasio, parque infantil, cancha múltiple, piscina y BBQ. Todo esto se complementa con 1 garaje privado y una ubicación estratégica de alta valorización en la zona Sur de Neiva, a pocos minutos de Unicentro, el Centro Empresarial Huila E. y Olímpica.</v>
      </c>
      <c r="AD132" s="46" t="str">
        <f>IFERROR(__xludf.DUMMYFUNCTION("""COMPUTED_VALUE"""),"Esta espectacular casa nueva de 1 piso y diseño bioclimático se distribuye en un concepto abierto y moderno, donde la sala y el comedor se integran de forma armónica con una cocina equipada con mesón blanco y barra auxiliar. La zona privada cuenta con 3 h"&amp;"abitaciones, cada una con su propio clóset de madera y 1 baño privado, resaltando la alcoba principal por su exclusivo walking closet y un baño de lujo equipado con lavamanos de vasija, espejo con retroiluminación LED y división de ducha en vidrio templad"&amp;"o. Los acabados de alta calidad sobresalen por sus pisos en porcelanato de formato grande y un área independiente para la zona de lavandería.")</f>
        <v>Esta espectacular casa nueva de 1 piso y diseño bioclimático se distribuye en un concepto abierto y moderno, donde la sala y el comedor se integran de forma armónica con una cocina equipada con mesón blanco y barra auxiliar. La zona privada cuenta con 3 habitaciones, cada una con su propio clóset de madera y 1 baño privado, resaltando la alcoba principal por su exclusivo walking closet y un baño de lujo equipado con lavamanos de vasija, espejo con retroiluminación LED y división de ducha en vidrio templado. Los acabados de alta calidad sobresalen por sus pisos en porcelanato de formato grande y un área independiente para la zona de lavandería.</v>
      </c>
      <c r="AE132" s="46"/>
      <c r="AF132" s="46" t="str">
        <f>IFERROR(__xludf.DUMMYFUNCTION("""COMPUTED_VALUE"""),"integral")</f>
        <v>integral</v>
      </c>
      <c r="AG132" s="46"/>
      <c r="AH132" s="46" t="str">
        <f>IFERROR(__xludf.DUMMYFUNCTION("""COMPUTED_VALUE"""),"Aliado")</f>
        <v>Aliado</v>
      </c>
      <c r="AI132" s="92" t="str">
        <f>IFERROR(__xludf.DUMMYFUNCTION("""COMPUTED_VALUE"""),"https://lh3.googleusercontent.com/pw/AP1GczM62fNWQQkUjKVce9rzu_NPf36NspPpxiyjJEQusb_pI5Pu3zxnyYHFqz8_ITR4KI3yeZ-V9UD5BJWPay6Ft0s8iGo3w_SzB_Z6XLkgKEZH03PUjhrP=w1200|https://lh3.googleusercontent.com/pw/AP1GczN_9hSBix97WFcd0q5s5fLru6YJIIC67nNg8eZrz5nwuQ7Vwj"&amp;"S-L7Gpuki6clivFoPDDtyFUqPkRxN0WFx1YIJBIY3a0sjpHql0TwD55GVnIlVfk7-r=w1200|https://lh3.googleusercontent.com/pw/AP1GczNWQcsCmN-Te6w1a3giyCc9J-pyEAUaHyC_nltK_lkyVFurMm2tqj3QkiC5tc03LodHivtE49aFaTupz8s9qx-zowO0xYDaDaauIYlsLmJyb5Ph52va=w1200|https://lh3.google"&amp;"usercontent.com/pw/AP1GczN7Lvbq60Dv4b5_Jqqxuvz8ky2_A_-0qe1_QXqoYJrJ105dCS6V5Z6ldbcvyC2x5MJuxEBsY3P6p5lmGUKpmzO6wuBzm8j_GTP4ZxpTM81HqgWgZAL5=w1200|https://lh3.googleusercontent.com/pw/AP1GczPlzNf4j5WJFsV6UoalN_0G4LmpnrbFRYgB-S2-cvqLoJSCj1oyN0yO71wqbbnpfuBW"&amp;"uocmZoEbzKfVYl4tJ_GxjkWPaQlv2Rj68l1ri2W_6aJP23lb=w1200|https://lh3.googleusercontent.com/pw/AP1GczMF_chVPITqg2ANlApM20gWmaDCmOjTWd_aWKx1mp7OsMYKL4AXZ_EnkrXbo4UmtiqH3eM2Cmgh_WPJMoSWEch6BxT73j_PUnp4nnLZ_c1_0-fWfsj1=w1200|https://lh3.googleusercontent.com/pw"&amp;"/AP1GczOHqteaFLnQwpBCkFg0rblNSviE_BjmjEA_65laB5QMKftIBupHh_pZC_OhN7oeKo2WiIMH66JlqZBnoFYZmp3gTTSWHFbcgeL5jZm855cqZJTbLHwN=w1200|https://lh3.googleusercontent.com/pw/AP1GczO4_LT3SviqfuPThontDOyHMNULAIMdH-02j9aH4OP3uNTAbrc5T0l_2qES3Ynd17qtomzLSLICDfgQMhrbe1"&amp;"t9_eTLKgpb714QCDytf8atX0nsR9Ds=w1200|https://lh3.googleusercontent.com/pw/AP1GczNnIehU3lgug2C58HzQHnQETcqbSsjZ6WpLUeRbwrkXkOZKY3dXzwfWE7wRGYtjQSJcDXtTdtNSaAPDHAyyrP3Y98QEt2kGoKzNENJ00P77EC6bAq38=w1200|https://lh3.googleusercontent.com/pw/AP1GczORVs6jN_qCX"&amp;"dkO_cw_fk_aKPZrO5ZFLL4v2RAx2f69ndFGMouI_mn2uCnsjIrT2-EsGaASzR_rszhN3xaHgetLIJRvnnGk0WyyOS4HjvszP0AQQXVs=w1200|https://lh3.googleusercontent.com/pw/AP1GczNiHYSG8dPyx3XpW1kaiClcW63gYzFzJVpLM8fyWhKgPQr0RQq4ErQasvORLdGYpubqL4mbZrhH6S3vhI5a6NCLS54c51H4Wc8a1gqg"&amp;"4BXAZIwsV-5b=w1200|https://lh3.googleusercontent.com/pw/AP1GczM4QEz1yPDrAwGxuWhKQ0C6r6ACDTTDMz83UQfG0X5phaR9nzwOtbEhfzgjZw_5v8JpIPO-Ayng5tPWjo6HhBxOSbVHI3bGancu7hV8isvxgfmzcv6t=w1200|https://lh3.googleusercontent.com/pw/AP1GczNcS4RMfdsjaIs5lTraOJowiaINRal"&amp;"n-HcgZIuTsir-jR4jtZmjMQvBl2ZarDnKMDtttJSBcs9KDbm1acLGDxyA2z7NfGfTIMxoj0wt8dTjNDCaX9Ve=w1200|https://lh3.googleusercontent.com/pw/AP1GczM-d6RsPHz3rVTJW8LTmrZNS_XVCo5EwO-HWxh3ZRWrVskzWtpN3EfylN_RWeYfKN4QhBS3rIMeVbmuUewZV_Mv1UU5eFW13UIiH4vFfh74DULgn2mZ=w1200"&amp;"|https://lh3.googleusercontent.com/pw/AP1GczM7F6-98o4gEGpomuwvczHrYRF0erfITj1h_3uA04VWCFTVp9XwVongc2iHVKCJMbhExogGTKIqjZu-e2CLJqnYsECFxFSHvSlik50Nji-y8DWOOyMe=w1200|https://lh3.googleusercontent.com/pw/AP1GczMhS-vKbjddlqpDRlQSBH7hUE9Wm9Lx1vBv-L_gB3xO94b3P"&amp;"diCtvBTq_Ky_Bmt-kOAwSBRQvbYzVnYeVFclo81beSFh9Kt4OzPlqa4qF6jR2vo9oBh=w1200|https://lh3.googleusercontent.com/pw/AP1GczMi3wHY_l3iu3sy3XgJ7U6rrtNEWC78BKjk9knenmT-h_Kk-N7evhZhTDN3FsDY_VrZNDzXtMOF_31oWKo-14J850ehJTTOnI5zIyXze_vBTMlGJtT-=w1200|https://lh3.googl"&amp;"eusercontent.com/pw/AP1GczNeZ5TG3z_tR75KS6u5fzXd1MfpqF95oQbu1pRnLITSpsPrqaenvWqck49SW9ckPx1lk3PAsoYWRxQ-D3tj2YdMHcg-V96sp13uB0fgha0boMzIbgLo=w1200|https://lh3.googleusercontent.com/pw/AP1GczMDa5ggVF-CYM7zJsttdgZQoURYEofCQnl4Jh3Gg6qw7cUZBoFW69ZJnkELBJ-ckTs"&amp;"dwB4wMv7siaYwRqAOQq9uAtqC5tFMg5DXfqvtPGRNSEPVBQ79=w1200|https://lh3.googleusercontent.com/pw/AP1GczNzMxuHblt0Wqel4MqFqpoh7HS_KN-i9lhVGJMMMZc1S-N75dnfVhappTxecH76aDVXKRKww19hXdJw5oE4m7Z2tJYNKh-tGpkr8EHkmV0gcjLfIiK2=w1200|https://lh3.googleusercontent.com/p"&amp;"w/AP1GczO-i5PnZcr3wit25-ASAS3Vplt1zZKoggCFaaP_IdMcz_3qeNHy3Xr1JFkAmWhfblK6L19uNVTsTJz0oE-JPp6W2M4SPl0xe72MP3XHSubNQOfny7Fi=w1200|https://lh3.googleusercontent.com/pw/AP1GczMTX-2et8r9Pujdp14HLkHDOGLOosB7iBBkzmuQTlmHQ14ag9WXiJyzcNekycYcPNqOSoksEZZCs9h4RXHRg"&amp;"P9S9ckb4aPcOT1IOiwOJ3sr39eYRdi7=w1200|https://lh3.googleusercontent.com/pw/AP1GczMWWanblE4eXye1eGKvcODuxvcNKW8cfzp9ebJuAR1HAy43Q3_NzkAXrU2fJhyCexkca8iG3QFYUIbY104SD1-FwjkmCvFN237rOP4Qb_mqcENAPFLu=w1200|https://lh3.googleusercontent.com/pw/AP1GczNIcMqUPmIl"&amp;"jxiL5-COllnHeTjGHawWDcGKjX3peDJmMSRozZNmw_4R_MKBHo1iCHOLAPOSK7aX_HLdTRfcdEyG23g9c1d-Ut6_Oa4Zw0OLZoohPj-U=w1200|https://lh3.googleusercontent.com/pw/AP1GczPXjQ5wdVht7VLFEErw02OrUG7Sl3KTd6ANUJhysJWdtjUDZNEjQam0xmCPAHSR-9brqgAntm8fLjtu1Vp2N2C8KEcXUxP2YIBqupk"&amp;"CYkgW5LURWC9M=w1200")</f>
        <v>https://lh3.googleusercontent.com/pw/AP1GczM62fNWQQkUjKVce9rzu_NPf36NspPpxiyjJEQusb_pI5Pu3zxnyYHFqz8_ITR4KI3yeZ-V9UD5BJWPay6Ft0s8iGo3w_SzB_Z6XLkgKEZH03PUjhrP=w1200|https://lh3.googleusercontent.com/pw/AP1GczN_9hSBix97WFcd0q5s5fLru6YJIIC67nNg8eZrz5nwuQ7VwjS-L7Gpuki6clivFoPDDtyFUqPkRxN0WFx1YIJBIY3a0sjpHql0TwD55GVnIlVfk7-r=w1200|https://lh3.googleusercontent.com/pw/AP1GczNWQcsCmN-Te6w1a3giyCc9J-pyEAUaHyC_nltK_lkyVFurMm2tqj3QkiC5tc03LodHivtE49aFaTupz8s9qx-zowO0xYDaDaauIYlsLmJyb5Ph52va=w1200|https://lh3.googleusercontent.com/pw/AP1GczN7Lvbq60Dv4b5_Jqqxuvz8ky2_A_-0qe1_QXqoYJrJ105dCS6V5Z6ldbcvyC2x5MJuxEBsY3P6p5lmGUKpmzO6wuBzm8j_GTP4ZxpTM81HqgWgZAL5=w1200|https://lh3.googleusercontent.com/pw/AP1GczPlzNf4j5WJFsV6UoalN_0G4LmpnrbFRYgB-S2-cvqLoJSCj1oyN0yO71wqbbnpfuBWuocmZoEbzKfVYl4tJ_GxjkWPaQlv2Rj68l1ri2W_6aJP23lb=w1200|https://lh3.googleusercontent.com/pw/AP1GczMF_chVPITqg2ANlApM20gWmaDCmOjTWd_aWKx1mp7OsMYKL4AXZ_EnkrXbo4UmtiqH3eM2Cmgh_WPJMoSWEch6BxT73j_PUnp4nnLZ_c1_0-fWfsj1=w1200|https://lh3.googleusercontent.com/pw/AP1GczOHqteaFLnQwpBCkFg0rblNSviE_BjmjEA_65laB5QMKftIBupHh_pZC_OhN7oeKo2WiIMH66JlqZBnoFYZmp3gTTSWHFbcgeL5jZm855cqZJTbLHwN=w1200|https://lh3.googleusercontent.com/pw/AP1GczO4_LT3SviqfuPThontDOyHMNULAIMdH-02j9aH4OP3uNTAbrc5T0l_2qES3Ynd17qtomzLSLICDfgQMhrbe1t9_eTLKgpb714QCDytf8atX0nsR9Ds=w1200|https://lh3.googleusercontent.com/pw/AP1GczNnIehU3lgug2C58HzQHnQETcqbSsjZ6WpLUeRbwrkXkOZKY3dXzwfWE7wRGYtjQSJcDXtTdtNSaAPDHAyyrP3Y98QEt2kGoKzNENJ00P77EC6bAq38=w1200|https://lh3.googleusercontent.com/pw/AP1GczORVs6jN_qCXdkO_cw_fk_aKPZrO5ZFLL4v2RAx2f69ndFGMouI_mn2uCnsjIrT2-EsGaASzR_rszhN3xaHgetLIJRvnnGk0WyyOS4HjvszP0AQQXVs=w1200|https://lh3.googleusercontent.com/pw/AP1GczNiHYSG8dPyx3XpW1kaiClcW63gYzFzJVpLM8fyWhKgPQr0RQq4ErQasvORLdGYpubqL4mbZrhH6S3vhI5a6NCLS54c51H4Wc8a1gqg4BXAZIwsV-5b=w1200|https://lh3.googleusercontent.com/pw/AP1GczM4QEz1yPDrAwGxuWhKQ0C6r6ACDTTDMz83UQfG0X5phaR9nzwOtbEhfzgjZw_5v8JpIPO-Ayng5tPWjo6HhBxOSbVHI3bGancu7hV8isvxgfmzcv6t=w1200|https://lh3.googleusercontent.com/pw/AP1GczNcS4RMfdsjaIs5lTraOJowiaINRaln-HcgZIuTsir-jR4jtZmjMQvBl2ZarDnKMDtttJSBcs9KDbm1acLGDxyA2z7NfGfTIMxoj0wt8dTjNDCaX9Ve=w1200|https://lh3.googleusercontent.com/pw/AP1GczM-d6RsPHz3rVTJW8LTmrZNS_XVCo5EwO-HWxh3ZRWrVskzWtpN3EfylN_RWeYfKN4QhBS3rIMeVbmuUewZV_Mv1UU5eFW13UIiH4vFfh74DULgn2mZ=w1200|https://lh3.googleusercontent.com/pw/AP1GczM7F6-98o4gEGpomuwvczHrYRF0erfITj1h_3uA04VWCFTVp9XwVongc2iHVKCJMbhExogGTKIqjZu-e2CLJqnYsECFxFSHvSlik50Nji-y8DWOOyMe=w1200|https://lh3.googleusercontent.com/pw/AP1GczMhS-vKbjddlqpDRlQSBH7hUE9Wm9Lx1vBv-L_gB3xO94b3PdiCtvBTq_Ky_Bmt-kOAwSBRQvbYzVnYeVFclo81beSFh9Kt4OzPlqa4qF6jR2vo9oBh=w1200|https://lh3.googleusercontent.com/pw/AP1GczMi3wHY_l3iu3sy3XgJ7U6rrtNEWC78BKjk9knenmT-h_Kk-N7evhZhTDN3FsDY_VrZNDzXtMOF_31oWKo-14J850ehJTTOnI5zIyXze_vBTMlGJtT-=w1200|https://lh3.googleusercontent.com/pw/AP1GczNeZ5TG3z_tR75KS6u5fzXd1MfpqF95oQbu1pRnLITSpsPrqaenvWqck49SW9ckPx1lk3PAsoYWRxQ-D3tj2YdMHcg-V96sp13uB0fgha0boMzIbgLo=w1200|https://lh3.googleusercontent.com/pw/AP1GczMDa5ggVF-CYM7zJsttdgZQoURYEofCQnl4Jh3Gg6qw7cUZBoFW69ZJnkELBJ-ckTsdwB4wMv7siaYwRqAOQq9uAtqC5tFMg5DXfqvtPGRNSEPVBQ79=w1200|https://lh3.googleusercontent.com/pw/AP1GczNzMxuHblt0Wqel4MqFqpoh7HS_KN-i9lhVGJMMMZc1S-N75dnfVhappTxecH76aDVXKRKww19hXdJw5oE4m7Z2tJYNKh-tGpkr8EHkmV0gcjLfIiK2=w1200|https://lh3.googleusercontent.com/pw/AP1GczO-i5PnZcr3wit25-ASAS3Vplt1zZKoggCFaaP_IdMcz_3qeNHy3Xr1JFkAmWhfblK6L19uNVTsTJz0oE-JPp6W2M4SPl0xe72MP3XHSubNQOfny7Fi=w1200|https://lh3.googleusercontent.com/pw/AP1GczMTX-2et8r9Pujdp14HLkHDOGLOosB7iBBkzmuQTlmHQ14ag9WXiJyzcNekycYcPNqOSoksEZZCs9h4RXHRgP9S9ckb4aPcOT1IOiwOJ3sr39eYRdi7=w1200|https://lh3.googleusercontent.com/pw/AP1GczMWWanblE4eXye1eGKvcODuxvcNKW8cfzp9ebJuAR1HAy43Q3_NzkAXrU2fJhyCexkca8iG3QFYUIbY104SD1-FwjkmCvFN237rOP4Qb_mqcENAPFLu=w1200|https://lh3.googleusercontent.com/pw/AP1GczNIcMqUPmIljxiL5-COllnHeTjGHawWDcGKjX3peDJmMSRozZNmw_4R_MKBHo1iCHOLAPOSK7aX_HLdTRfcdEyG23g9c1d-Ut6_Oa4Zw0OLZoohPj-U=w1200|https://lh3.googleusercontent.com/pw/AP1GczPXjQ5wdVht7VLFEErw02OrUG7Sl3KTd6ANUJhysJWdtjUDZNEjQam0xmCPAHSR-9brqgAntm8fLjtu1Vp2N2C8KEcXUxP2YIBqupkCYkgW5LURWC9M=w1200</v>
      </c>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c r="BU132" s="46"/>
      <c r="BV132" s="46"/>
      <c r="BW132" s="46"/>
      <c r="BX132" s="46"/>
      <c r="BY132" s="46"/>
      <c r="BZ132" s="46"/>
      <c r="CA132" s="46"/>
      <c r="CB132" s="46"/>
      <c r="CC132" s="46"/>
    </row>
    <row r="133">
      <c r="A133" s="87" t="str">
        <f>IFERROR(__xludf.DUMMYFUNCTION("""COMPUTED_VALUE"""),"1321")</f>
        <v>1321</v>
      </c>
      <c r="B133" s="46" t="str">
        <f>IFERROR(__xludf.DUMMYFUNCTION("""COMPUTED_VALUE"""),"Casa en barrio El Tesoro")</f>
        <v>Casa en barrio El Tesoro</v>
      </c>
      <c r="C133" s="46" t="str">
        <f>IFERROR(__xludf.DUMMYFUNCTION("""COMPUTED_VALUE"""),"Casa")</f>
        <v>Casa</v>
      </c>
      <c r="D133" s="46" t="str">
        <f>IFERROR(__xludf.DUMMYFUNCTION("""COMPUTED_VALUE"""),"Oriente")</f>
        <v>Oriente</v>
      </c>
      <c r="E133" s="46"/>
      <c r="F133" s="90">
        <f>IFERROR(__xludf.DUMMYFUNCTION("""COMPUTED_VALUE"""),4.2E8)</f>
        <v>420000000</v>
      </c>
      <c r="G133" s="46" t="str">
        <f>IFERROR(__xludf.DUMMYFUNCTION("""COMPUTED_VALUE"""),"$400'000.000 a $500'000.000")</f>
        <v>$400'000.000 a $500'000.000</v>
      </c>
      <c r="H133" s="46"/>
      <c r="I133" s="46"/>
      <c r="J133" s="46" t="str">
        <f>IFERROR(__xludf.DUMMYFUNCTION("""COMPUTED_VALUE"""),"Oriente")</f>
        <v>Oriente</v>
      </c>
      <c r="K133" s="87"/>
      <c r="L133" s="33">
        <f>IFERROR(__xludf.DUMMYFUNCTION("""COMPUTED_VALUE"""),7.0)</f>
        <v>7</v>
      </c>
      <c r="M133" s="33"/>
      <c r="N133" s="33">
        <f>IFERROR(__xludf.DUMMYFUNCTION("""COMPUTED_VALUE"""),5.0)</f>
        <v>5</v>
      </c>
      <c r="O133" s="33">
        <f>IFERROR(__xludf.DUMMYFUNCTION("""COMPUTED_VALUE"""),1.0)</f>
        <v>1</v>
      </c>
      <c r="P133" s="33">
        <f>IFERROR(__xludf.DUMMYFUNCTION("""COMPUTED_VALUE"""),3.0)</f>
        <v>3</v>
      </c>
      <c r="Q133" s="92">
        <f>IFERROR(__xludf.DUMMYFUNCTION("""COMPUTED_VALUE"""),270.0)</f>
        <v>270</v>
      </c>
      <c r="R133" s="92">
        <f>IFERROR(__xludf.DUMMYFUNCTION("""COMPUTED_VALUE"""),105.0)</f>
        <v>105</v>
      </c>
      <c r="S133" s="87" t="str">
        <f>IFERROR(__xludf.DUMMYFUNCTION("""COMPUTED_VALUE""")," ")</f>
        <v> </v>
      </c>
      <c r="T133" s="46" t="str">
        <f>IFERROR(__xludf.DUMMYFUNCTION("""COMPUTED_VALUE"""),"Neiva")</f>
        <v>Neiva</v>
      </c>
      <c r="U133" s="87" t="str">
        <f>IFERROR(__xludf.DUMMYFUNCTION("""COMPUTED_VALUE"""),"2")</f>
        <v>2</v>
      </c>
      <c r="V133" s="33" t="str">
        <f>IFERROR(__xludf.DUMMYFUNCTION("""COMPUTED_VALUE"""),"Medianera")</f>
        <v>Medianera</v>
      </c>
      <c r="W133" s="33"/>
      <c r="X133" s="33">
        <f>IFERROR(__xludf.DUMMYFUNCTION("""COMPUTED_VALUE"""),5.0)</f>
        <v>5</v>
      </c>
      <c r="Y133" s="46" t="str">
        <f>IFERROR(__xludf.DUMMYFUNCTION("""COMPUTED_VALUE"""),"No tiene")</f>
        <v>No tiene</v>
      </c>
      <c r="Z133" s="90" t="str">
        <f>IFERROR(__xludf.DUMMYFUNCTION("""COMPUTED_VALUE"""),"No aplica")</f>
        <v>No aplica</v>
      </c>
      <c r="AA133" s="33" t="str">
        <f>IFERROR(__xludf.DUMMYFUNCTION("""COMPUTED_VALUE"""),"No aplica")</f>
        <v>No aplica</v>
      </c>
      <c r="AB133" s="144" t="str">
        <f>IFERROR(__xludf.DUMMYFUNCTION("""COMPUTED_VALUE"""),"https://photos.app.goo.gl/cKqHrnGHqSxQWen88")</f>
        <v>https://photos.app.goo.gl/cKqHrnGHqSxQWen88</v>
      </c>
      <c r="AC133" s="46" t="str">
        <f>IFERROR(__xludf.DUMMYFUNCTION("""COMPUTED_VALUE"""),"Casa con buenos acabados. Piso en cerámica, cielo raso en Dri Wall,  fachaletas, carpintería en madera y aluminio.")</f>
        <v>Casa con buenos acabados. Piso en cerámica, cielo raso en Dri Wall,  fachaletas, carpintería en madera y aluminio.</v>
      </c>
      <c r="AD133" s="46" t="str">
        <f>IFERROR(__xludf.DUMMYFUNCTION("""COMPUTED_VALUE"""),"Casa ubicada sobre vía vehicular pavimentada, Cuenta con reja antejardín. Escritura al día.")</f>
        <v>Casa ubicada sobre vía vehicular pavimentada, Cuenta con reja antejardín. Escritura al día.</v>
      </c>
      <c r="AE133" s="46"/>
      <c r="AF133" s="46" t="str">
        <f>IFERROR(__xludf.DUMMYFUNCTION("""COMPUTED_VALUE"""),"integral")</f>
        <v>integral</v>
      </c>
      <c r="AG133" s="46"/>
      <c r="AH133" s="46" t="str">
        <f>IFERROR(__xludf.DUMMYFUNCTION("""COMPUTED_VALUE"""),"Aliado")</f>
        <v>Aliado</v>
      </c>
      <c r="AI133" s="92" t="str">
        <f>IFERROR(__xludf.DUMMYFUNCTION("""COMPUTED_VALUE"""),"https://lh3.googleusercontent.com/pw/AP1GczNlbyfipS5zVOkh0bgXSZE2gbNwKwrOYYLLSOaRGVsyJthGzdlvyFvH3A9liawQZINcuMKdYOnLquQrIZG1AVL0yZ0qyEnFxVxrcbEcFZfqTKcsKyYR=w1200|https://lh3.googleusercontent.com/pw/AP1GczNpwJSuOKWl6ji9mkgrPxrx0Tl451k6H_33cWo2h40ovjzjhg"&amp;"ysmpuKmSxJK0sEJcUBD0SkylR0AHmSMZrhOTE51xy1sZQfKjB8zbeQtVTpDPFcAxaf=w1200|https://lh3.googleusercontent.com/pw/AP1GczOnF_u2DY65cuQYJjvwl48d0ULdg0YX_vlMyNyxcOT64qvblRtIBy6eF__uDiXSZ08yFjifHcTTRGYwzj_Zf3Tu-Yh4vCYry_1-QooNhQE7uc93gk8f=w1200|https://lh3.google"&amp;"usercontent.com/pw/AP1GczPOuasnmHHlTpoWVLEDVkY7SmMTado90ygGxUsyQmLQvNQ8U-keDxwsYoG_5pCxuD1-PnW_TuLXQzczn8yspOIAX89NsWfI97R_d78Ap5-mNm9tHSiM=w1200|https://lh3.googleusercontent.com/pw/AP1GczNSQz7VYs57onT919oro46i4iDQ9a4ZQdHpVSb4hvJtONLb-32q3Q4PeyqG21jf_Bqa"&amp;"aHhXF2VQ3llpHCtHVzAM_xuszSnY4UwbiOHo9yuE5hDfLX1R=w1200|https://lh3.googleusercontent.com/pw/AP1GczNH2xNj26wNr_p6UO-JnodJo1GIt7AqjR1ZGC1RoSEfg620WhuLPKOO-_fINSDGnrjmmKpb3Pj7McledZv7PfFongjsQ-QFPAabWpcBBKgdC0tq-86S=w1200|https://lh3.googleusercontent.com/pw"&amp;"/AP1GczN4HjIbBx_xCsFat5k9MGm6hGGlUdTStjORk9EHrP_Z3TxSwGWPUwpALlu32ilN5jFJmSKbqAUUzFG54cPB_5YmX7WpY-oKkEfNYEiXliX4J1mFwC_W=w1200|https://lh3.googleusercontent.com/pw/AP1GczNILnKEKi7urr1T-pMhUUR-znjgDuCOunjw0dC9RTsOUujPFS5LaC5656rEMBSZg-ESwJ6cnA0_sZ-BI1kEr_"&amp;"gO-Nb7FA1uCX5gj5M_hpwqIrk6AwrQ=w1200|https://lh3.googleusercontent.com/pw/AP1GczPqX4mUFuLgqyzIdG3Cz-J1SfoLDIm8EQ0VbmRuHKf_PunMCcN6PJfEf8sqNks-r9LB6gimK4kkyIndS8g5-P-rnqGjUGcuUp1f8mCWd1_FHc4ZvdKB=w1200|https://lh3.googleusercontent.com/pw/AP1GczPNeckf9F7aM"&amp;"FtoRP-1zJB9ZYYWqHH7MUoO-_3rAhRxvxx_AHbpezJYxq0VAmXkn682kINcv6mrZabfeAniZJHacZ1oKD83Pl89qhcjXzGzHM4Lp8RL=w1200|https://lh3.googleusercontent.com/pw/AP1GczPseLSJgvaJFUjAxqZTEdw_IEzcG3dXdeM8SnoiyvyufJvbdSV3ewJHHxVVOdQWjhTe-XRBA2OKGkQFE4xxEHh2xdkneHH23j3BDNh2"&amp;"o5votqN8NlhD=w1200|https://lh3.googleusercontent.com/pw/AP1GczPOrBCnahCiMdoCdC_-zbim19NDDo3ms4-lQKUIhHgQ_c9qxoroBrn26rC1y-uMIVuk2SjJWVR5Lul2AD8sOQyTKAgJAVz04S-5xT2kCqSSvNplilQK=w1200|https://lh3.googleusercontent.com/pw/AP1GczMJZrqiN1oEvcN4qbcdyrJQcdpE2IU"&amp;"mYabViFfCt_IwznEa0pIh211YkxvCO-hWhZ-XdiDaNbqy8JFCxGG16WKTL2u-GsZUoSOJFgpofHyuheJBRwTZ=w1200|https://lh3.googleusercontent.com/pw/AP1GczPQI956dYXNxz31-R6yb7MAMRUkCFjYWlabc0JLr4KLaY0iKGVCF7nVSCouuushjsKYnKffb9bERDItEbyRNwUutlJPhtGx0XSMjY3yC6eJkTkKca_J=w1200"&amp;"|https://lh3.googleusercontent.com/pw/AP1GczOT4T8bwmLz24GNy88zPSYu7LpOWPpT2Lh22GTANLqAoaEd5r7-Axnr4YLbYMxbl09z6UR9hcHRGwMHSj5XLuwDrJj5A9yHcPXzkHrxwh2AJkcJkSbQ=w1200|https://lh3.googleusercontent.com/pw/AP1GczMNGPseceCf-jUpQhhPKdPOXhSpB0x2aSKGvGs6JxPhMBlgN"&amp;"7hFfjv-Tk8MhHKTC18rAOA-4AnylzlOw8nOzTSdL9Xc35g6jT5XAqvaSivL-qYSUIkW=w1200")</f>
        <v>https://lh3.googleusercontent.com/pw/AP1GczNlbyfipS5zVOkh0bgXSZE2gbNwKwrOYYLLSOaRGVsyJthGzdlvyFvH3A9liawQZINcuMKdYOnLquQrIZG1AVL0yZ0qyEnFxVxrcbEcFZfqTKcsKyYR=w1200|https://lh3.googleusercontent.com/pw/AP1GczNpwJSuOKWl6ji9mkgrPxrx0Tl451k6H_33cWo2h40ovjzjhgysmpuKmSxJK0sEJcUBD0SkylR0AHmSMZrhOTE51xy1sZQfKjB8zbeQtVTpDPFcAxaf=w1200|https://lh3.googleusercontent.com/pw/AP1GczOnF_u2DY65cuQYJjvwl48d0ULdg0YX_vlMyNyxcOT64qvblRtIBy6eF__uDiXSZ08yFjifHcTTRGYwzj_Zf3Tu-Yh4vCYry_1-QooNhQE7uc93gk8f=w1200|https://lh3.googleusercontent.com/pw/AP1GczPOuasnmHHlTpoWVLEDVkY7SmMTado90ygGxUsyQmLQvNQ8U-keDxwsYoG_5pCxuD1-PnW_TuLXQzczn8yspOIAX89NsWfI97R_d78Ap5-mNm9tHSiM=w1200|https://lh3.googleusercontent.com/pw/AP1GczNSQz7VYs57onT919oro46i4iDQ9a4ZQdHpVSb4hvJtONLb-32q3Q4PeyqG21jf_BqaaHhXF2VQ3llpHCtHVzAM_xuszSnY4UwbiOHo9yuE5hDfLX1R=w1200|https://lh3.googleusercontent.com/pw/AP1GczNH2xNj26wNr_p6UO-JnodJo1GIt7AqjR1ZGC1RoSEfg620WhuLPKOO-_fINSDGnrjmmKpb3Pj7McledZv7PfFongjsQ-QFPAabWpcBBKgdC0tq-86S=w1200|https://lh3.googleusercontent.com/pw/AP1GczN4HjIbBx_xCsFat5k9MGm6hGGlUdTStjORk9EHrP_Z3TxSwGWPUwpALlu32ilN5jFJmSKbqAUUzFG54cPB_5YmX7WpY-oKkEfNYEiXliX4J1mFwC_W=w1200|https://lh3.googleusercontent.com/pw/AP1GczNILnKEKi7urr1T-pMhUUR-znjgDuCOunjw0dC9RTsOUujPFS5LaC5656rEMBSZg-ESwJ6cnA0_sZ-BI1kEr_gO-Nb7FA1uCX5gj5M_hpwqIrk6AwrQ=w1200|https://lh3.googleusercontent.com/pw/AP1GczPqX4mUFuLgqyzIdG3Cz-J1SfoLDIm8EQ0VbmRuHKf_PunMCcN6PJfEf8sqNks-r9LB6gimK4kkyIndS8g5-P-rnqGjUGcuUp1f8mCWd1_FHc4ZvdKB=w1200|https://lh3.googleusercontent.com/pw/AP1GczPNeckf9F7aMFtoRP-1zJB9ZYYWqHH7MUoO-_3rAhRxvxx_AHbpezJYxq0VAmXkn682kINcv6mrZabfeAniZJHacZ1oKD83Pl89qhcjXzGzHM4Lp8RL=w1200|https://lh3.googleusercontent.com/pw/AP1GczPseLSJgvaJFUjAxqZTEdw_IEzcG3dXdeM8SnoiyvyufJvbdSV3ewJHHxVVOdQWjhTe-XRBA2OKGkQFE4xxEHh2xdkneHH23j3BDNh2o5votqN8NlhD=w1200|https://lh3.googleusercontent.com/pw/AP1GczPOrBCnahCiMdoCdC_-zbim19NDDo3ms4-lQKUIhHgQ_c9qxoroBrn26rC1y-uMIVuk2SjJWVR5Lul2AD8sOQyTKAgJAVz04S-5xT2kCqSSvNplilQK=w1200|https://lh3.googleusercontent.com/pw/AP1GczMJZrqiN1oEvcN4qbcdyrJQcdpE2IUmYabViFfCt_IwznEa0pIh211YkxvCO-hWhZ-XdiDaNbqy8JFCxGG16WKTL2u-GsZUoSOJFgpofHyuheJBRwTZ=w1200|https://lh3.googleusercontent.com/pw/AP1GczPQI956dYXNxz31-R6yb7MAMRUkCFjYWlabc0JLr4KLaY0iKGVCF7nVSCouuushjsKYnKffb9bERDItEbyRNwUutlJPhtGx0XSMjY3yC6eJkTkKca_J=w1200|https://lh3.googleusercontent.com/pw/AP1GczOT4T8bwmLz24GNy88zPSYu7LpOWPpT2Lh22GTANLqAoaEd5r7-Axnr4YLbYMxbl09z6UR9hcHRGwMHSj5XLuwDrJj5A9yHcPXzkHrxwh2AJkcJkSbQ=w1200|https://lh3.googleusercontent.com/pw/AP1GczMNGPseceCf-jUpQhhPKdPOXhSpB0x2aSKGvGs6JxPhMBlgN7hFfjv-Tk8MhHKTC18rAOA-4AnylzlOw8nOzTSdL9Xc35g6jT5XAqvaSivL-qYSUIkW=w1200</v>
      </c>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row>
    <row r="134">
      <c r="A134" s="87" t="str">
        <f>IFERROR(__xludf.DUMMYFUNCTION("""COMPUTED_VALUE"""),"659")</f>
        <v>659</v>
      </c>
      <c r="B134" s="46" t="str">
        <f>IFERROR(__xludf.DUMMYFUNCTION("""COMPUTED_VALUE"""),"Casa campestre - Vda. Barbara - Iquira - Huila")</f>
        <v>Casa campestre - Vda. Barbara - Iquira - Huila</v>
      </c>
      <c r="C134" s="46" t="str">
        <f>IFERROR(__xludf.DUMMYFUNCTION("""COMPUTED_VALUE"""),"Casa campestre")</f>
        <v>Casa campestre</v>
      </c>
      <c r="D134" s="46"/>
      <c r="E134" s="46"/>
      <c r="F134" s="90">
        <f>IFERROR(__xludf.DUMMYFUNCTION("""COMPUTED_VALUE"""),5.0E8)</f>
        <v>500000000</v>
      </c>
      <c r="G134" s="46" t="str">
        <f>IFERROR(__xludf.DUMMYFUNCTION("""COMPUTED_VALUE"""),"$500'000.000 a $1.000'000.000")</f>
        <v>$500'000.000 a $1.000'000.000</v>
      </c>
      <c r="H134" s="46"/>
      <c r="I134" s="46"/>
      <c r="J134" s="46" t="str">
        <f>IFERROR(__xludf.DUMMYFUNCTION("""COMPUTED_VALUE"""),"Sur")</f>
        <v>Sur</v>
      </c>
      <c r="K134" s="87"/>
      <c r="L134" s="46">
        <f>IFERROR(__xludf.DUMMYFUNCTION("""COMPUTED_VALUE"""),3.0)</f>
        <v>3</v>
      </c>
      <c r="M134" s="46"/>
      <c r="N134" s="46">
        <f>IFERROR(__xludf.DUMMYFUNCTION("""COMPUTED_VALUE"""),2.0)</f>
        <v>2</v>
      </c>
      <c r="O134" s="46">
        <f>IFERROR(__xludf.DUMMYFUNCTION("""COMPUTED_VALUE"""),3.0)</f>
        <v>3</v>
      </c>
      <c r="P134" s="46">
        <f>IFERROR(__xludf.DUMMYFUNCTION("""COMPUTED_VALUE"""),2.0)</f>
        <v>2</v>
      </c>
      <c r="Q134" s="92">
        <f>IFERROR(__xludf.DUMMYFUNCTION("""COMPUTED_VALUE"""),250.0)</f>
        <v>250</v>
      </c>
      <c r="R134" s="92">
        <f>IFERROR(__xludf.DUMMYFUNCTION("""COMPUTED_VALUE"""),7500.0)</f>
        <v>7500</v>
      </c>
      <c r="S134" s="87" t="str">
        <f>IFERROR(__xludf.DUMMYFUNCTION("""COMPUTED_VALUE""")," ")</f>
        <v> </v>
      </c>
      <c r="T134" s="46" t="str">
        <f>IFERROR(__xludf.DUMMYFUNCTION("""COMPUTED_VALUE"""),"Iquira")</f>
        <v>Iquira</v>
      </c>
      <c r="U134" s="87"/>
      <c r="V134" s="46"/>
      <c r="W134" s="46"/>
      <c r="X134" s="46">
        <f>IFERROR(__xludf.DUMMYFUNCTION("""COMPUTED_VALUE"""),3.0)</f>
        <v>3</v>
      </c>
      <c r="Y134" s="46" t="str">
        <f>IFERROR(__xludf.DUMMYFUNCTION("""COMPUTED_VALUE"""),"No tiene")</f>
        <v>No tiene</v>
      </c>
      <c r="Z134" s="90"/>
      <c r="AA134" s="33" t="str">
        <f>IFERROR(__xludf.DUMMYFUNCTION("""COMPUTED_VALUE"""),"No aplica")</f>
        <v>No aplica</v>
      </c>
      <c r="AB134" s="144" t="str">
        <f>IFERROR(__xludf.DUMMYFUNCTION("""COMPUTED_VALUE"""),"https://photos.app.goo.gl/bVBq55n9YQNbt3617")</f>
        <v>https://photos.app.goo.gl/bVBq55n9YQNbt3617</v>
      </c>
      <c r="AC134" s="46" t="str">
        <f>IFERROR(__xludf.DUMMYFUNCTION("""COMPUTED_VALUE"""),"Casa campestre de dos pisos, ubicada en la vereda Barbara del municipio de Iquira Huila, acceso por carretera pavimentada.  Consta 3/4 de hectáreas (7.500 metros cuadrados), la casa consta de sala, comedor, cocina, 3 habitaciones, un baño social, área de "&amp;"lavado, patio de ropa, parqueadero amplio, árboles frutales, sector fresco.")</f>
        <v>Casa campestre de dos pisos, ubicada en la vereda Barbara del municipio de Iquira Huila, acceso por carretera pavimentada.  Consta 3/4 de hectáreas (7.500 metros cuadrados), la casa consta de sala, comedor, cocina, 3 habitaciones, un baño social, área de lavado, patio de ropa, parqueadero amplio, árboles frutales, sector fresco.</v>
      </c>
      <c r="AD134" s="46" t="str">
        <f>IFERROR(__xludf.DUMMYFUNCTION("""COMPUTED_VALUE"""),"Casa campestre, con diseño en material de guadua. Ubicada a 1o minutos del casco urbano.")</f>
        <v>Casa campestre, con diseño en material de guadua. Ubicada a 1o minutos del casco urbano.</v>
      </c>
      <c r="AE134" s="46"/>
      <c r="AF134" s="46" t="str">
        <f>IFERROR(__xludf.DUMMYFUNCTION("""COMPUTED_VALUE"""),"semi-integral")</f>
        <v>semi-integral</v>
      </c>
      <c r="AG134" s="46"/>
      <c r="AH134" s="46" t="str">
        <f>IFERROR(__xludf.DUMMYFUNCTION("""COMPUTED_VALUE"""),"Aliado")</f>
        <v>Aliado</v>
      </c>
      <c r="AI134" s="92" t="str">
        <f>IFERROR(__xludf.DUMMYFUNCTION("""COMPUTED_VALUE"""),"https://lh3.googleusercontent.com/pw/AP1GczNcym1fyxhF50_qCApwNAsIDzML7kNYYDyDJ26k9wjyFmpyI0vjdSGWjtNzq8V2VDZr0POBHuP5vcuoYWEf9R3XYgy22mziomrJlnMuRaJwEFkKHm-V=w1200|https://lh3.googleusercontent.com/pw/AP1GczPaQloJ7a6celXXzW6dE2QCKESb---G0yDhTC5pZUBl9BYWRN"&amp;"3nFQHczbSWxVrtVRgt9xvIRyr2rC-xKRhM78s7zgwsRdwMbH6vPLdVITDSt6jb0TmL=w1200|https://lh3.googleusercontent.com/pw/AP1GczP8DDY9N24p8yUq4M8qA38ogOOqFskc5Rj_sRoqf23CDO_vN7XdgJ7urRCrZ7Jvweuvl1FaTVbXVUrymcqiS1SkwTLK9t6oTSlnvCidmnAQvjruIy2v=w1200|https://lh3.google"&amp;"usercontent.com/pw/AP1GczPsXUw_FaUqOvdi_qRGO-x6knfMhpar-z3m7wW7-AG9BteIGtuD4oPve6TQpuI9yHiGiEJo54EvnPkvmskOeONmgtzdf8ciQUHF1jOMOLAt3XrF_lpS=w1200|https://lh3.googleusercontent.com/pw/AP1GczOLP50fA9hQXKIkg2yJoWH2vfv_emkPcs_3tn-RLizh9pfBjbI4iqv_lfX7P_nXhR4v"&amp;"Ta-ETIc4W1rUCdWWBtgWd7I_EK-y25nP93vdCIGsOYilKiRj=w1200|https://lh3.googleusercontent.com/pw/AP1GczP652MTRWrnHL0889KV5QSZtWD1zFlqrKhRqix6DVcrAOeFUTtPPp2yX86kK2QmbFg-lN8j8LT8pyCfo2_uS_tXuDfGgsS-P_NDVsVLbWH3uYVeMuk4=w1200|https://lh3.googleusercontent.com/pw"&amp;"/AP1GczMoZau4p6bV0U16AyLF0ExbigZkZdU4yUd3j09nPfG0TUz5gZCkifAjjEVor3MxkXVotZ9pJxKbb1ip1TB5mprrctg0CaR2WcxK3w4B3tsPurBg02ST=w1200")</f>
        <v>https://lh3.googleusercontent.com/pw/AP1GczNcym1fyxhF50_qCApwNAsIDzML7kNYYDyDJ26k9wjyFmpyI0vjdSGWjtNzq8V2VDZr0POBHuP5vcuoYWEf9R3XYgy22mziomrJlnMuRaJwEFkKHm-V=w1200|https://lh3.googleusercontent.com/pw/AP1GczPaQloJ7a6celXXzW6dE2QCKESb---G0yDhTC5pZUBl9BYWRN3nFQHczbSWxVrtVRgt9xvIRyr2rC-xKRhM78s7zgwsRdwMbH6vPLdVITDSt6jb0TmL=w1200|https://lh3.googleusercontent.com/pw/AP1GczP8DDY9N24p8yUq4M8qA38ogOOqFskc5Rj_sRoqf23CDO_vN7XdgJ7urRCrZ7Jvweuvl1FaTVbXVUrymcqiS1SkwTLK9t6oTSlnvCidmnAQvjruIy2v=w1200|https://lh3.googleusercontent.com/pw/AP1GczPsXUw_FaUqOvdi_qRGO-x6knfMhpar-z3m7wW7-AG9BteIGtuD4oPve6TQpuI9yHiGiEJo54EvnPkvmskOeONmgtzdf8ciQUHF1jOMOLAt3XrF_lpS=w1200|https://lh3.googleusercontent.com/pw/AP1GczOLP50fA9hQXKIkg2yJoWH2vfv_emkPcs_3tn-RLizh9pfBjbI4iqv_lfX7P_nXhR4vTa-ETIc4W1rUCdWWBtgWd7I_EK-y25nP93vdCIGsOYilKiRj=w1200|https://lh3.googleusercontent.com/pw/AP1GczP652MTRWrnHL0889KV5QSZtWD1zFlqrKhRqix6DVcrAOeFUTtPPp2yX86kK2QmbFg-lN8j8LT8pyCfo2_uS_tXuDfGgsS-P_NDVsVLbWH3uYVeMuk4=w1200|https://lh3.googleusercontent.com/pw/AP1GczMoZau4p6bV0U16AyLF0ExbigZkZdU4yUd3j09nPfG0TUz5gZCkifAjjEVor3MxkXVotZ9pJxKbb1ip1TB5mprrctg0CaR2WcxK3w4B3tsPurBg02ST=w1200</v>
      </c>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c r="BU134" s="46"/>
      <c r="BV134" s="46"/>
      <c r="BW134" s="46"/>
      <c r="BX134" s="46"/>
      <c r="BY134" s="46"/>
      <c r="BZ134" s="46"/>
      <c r="CA134" s="46"/>
      <c r="CB134" s="46"/>
      <c r="CC134" s="46"/>
    </row>
    <row r="135">
      <c r="A135" s="87" t="str">
        <f>IFERROR(__xludf.DUMMYFUNCTION("""COMPUTED_VALUE"""),"972")</f>
        <v>972</v>
      </c>
      <c r="B135" s="46" t="str">
        <f>IFERROR(__xludf.DUMMYFUNCTION("""COMPUTED_VALUE"""),"Casa campestre en Conjunto Monteloma - Yaguará")</f>
        <v>Casa campestre en Conjunto Monteloma - Yaguará</v>
      </c>
      <c r="C135" s="46" t="str">
        <f>IFERROR(__xludf.DUMMYFUNCTION("""COMPUTED_VALUE"""),"Casa campestre en conjunto")</f>
        <v>Casa campestre en conjunto</v>
      </c>
      <c r="D135" s="46"/>
      <c r="E135" s="46" t="str">
        <f>IFERROR(__xludf.DUMMYFUNCTION("""COMPUTED_VALUE"""),"Monteloma")</f>
        <v>Monteloma</v>
      </c>
      <c r="F135" s="90">
        <f>IFERROR(__xludf.DUMMYFUNCTION("""COMPUTED_VALUE"""),4.5E8)</f>
        <v>450000000</v>
      </c>
      <c r="G135" s="46" t="str">
        <f>IFERROR(__xludf.DUMMYFUNCTION("""COMPUTED_VALUE"""),"$400'000.000 a $500'000.000")</f>
        <v>$400'000.000 a $500'000.000</v>
      </c>
      <c r="H135" s="46"/>
      <c r="I135" s="46"/>
      <c r="J135" s="46" t="str">
        <f>IFERROR(__xludf.DUMMYFUNCTION("""COMPUTED_VALUE"""),"Sur")</f>
        <v>Sur</v>
      </c>
      <c r="K135" s="87" t="str">
        <f>IFERROR(__xludf.DUMMYFUNCTION("""COMPUTED_VALUE"""),"6")</f>
        <v>6</v>
      </c>
      <c r="L135" s="46">
        <f>IFERROR(__xludf.DUMMYFUNCTION("""COMPUTED_VALUE"""),4.0)</f>
        <v>4</v>
      </c>
      <c r="M135" s="46"/>
      <c r="N135" s="46">
        <f>IFERROR(__xludf.DUMMYFUNCTION("""COMPUTED_VALUE"""),4.0)</f>
        <v>4</v>
      </c>
      <c r="O135" s="46">
        <f>IFERROR(__xludf.DUMMYFUNCTION("""COMPUTED_VALUE"""),1.0)</f>
        <v>1</v>
      </c>
      <c r="P135" s="46">
        <f>IFERROR(__xludf.DUMMYFUNCTION("""COMPUTED_VALUE"""),1.0)</f>
        <v>1</v>
      </c>
      <c r="Q135" s="92">
        <f>IFERROR(__xludf.DUMMYFUNCTION("""COMPUTED_VALUE"""),300.0)</f>
        <v>300</v>
      </c>
      <c r="R135" s="92">
        <f>IFERROR(__xludf.DUMMYFUNCTION("""COMPUTED_VALUE"""),300.0)</f>
        <v>300</v>
      </c>
      <c r="S135" s="87" t="str">
        <f>IFERROR(__xludf.DUMMYFUNCTION("""COMPUTED_VALUE""")," ")</f>
        <v> </v>
      </c>
      <c r="T135" s="46" t="str">
        <f>IFERROR(__xludf.DUMMYFUNCTION("""COMPUTED_VALUE"""),"Yaguara")</f>
        <v>Yaguara</v>
      </c>
      <c r="U135" s="87"/>
      <c r="V135" s="46"/>
      <c r="W135" s="46"/>
      <c r="X135" s="46">
        <f>IFERROR(__xludf.DUMMYFUNCTION("""COMPUTED_VALUE"""),3.0)</f>
        <v>3</v>
      </c>
      <c r="Y135" s="46" t="str">
        <f>IFERROR(__xludf.DUMMYFUNCTION("""COMPUTED_VALUE"""),"Privada")</f>
        <v>Privada</v>
      </c>
      <c r="Z135" s="90">
        <f>IFERROR(__xludf.DUMMYFUNCTION("""COMPUTED_VALUE"""),500000.0)</f>
        <v>500000</v>
      </c>
      <c r="AA135" s="33" t="str">
        <f>IFERROR(__xludf.DUMMYFUNCTION("""COMPUTED_VALUE"""),"No aplica")</f>
        <v>No aplica</v>
      </c>
      <c r="AB135" s="144" t="str">
        <f>IFERROR(__xludf.DUMMYFUNCTION("""COMPUTED_VALUE"""),"https://photos.app.goo.gl/imN8ehN1ioiy4VRE9")</f>
        <v>https://photos.app.goo.gl/imN8ehN1ioiy4VRE9</v>
      </c>
      <c r="AC135" s="46"/>
      <c r="AD135" s="46" t="str">
        <f>IFERROR(__xludf.DUMMYFUNCTION("""COMPUTED_VALUE"""),"Casa campestre con buenos acabados.  Escritura al día.")</f>
        <v>Casa campestre con buenos acabados.  Escritura al día.</v>
      </c>
      <c r="AE135" s="46"/>
      <c r="AF135" s="46" t="str">
        <f>IFERROR(__xludf.DUMMYFUNCTION("""COMPUTED_VALUE"""),"integral")</f>
        <v>integral</v>
      </c>
      <c r="AG135" s="46"/>
      <c r="AH135" s="46" t="str">
        <f>IFERROR(__xludf.DUMMYFUNCTION("""COMPUTED_VALUE"""),"Aliado")</f>
        <v>Aliado</v>
      </c>
      <c r="AI135" s="92" t="str">
        <f>IFERROR(__xludf.DUMMYFUNCTION("""COMPUTED_VALUE"""),"https://lh3.googleusercontent.com/pw/AP1GczM-i9ih1KrfbgFHeSrFAHYoh7OuljVW1hZ2TDUurbG_e_kpguaC_dNqMqXOLa7_K0CexBOKq7aFviBHJKMf3wzGd_5Enb4G3oahdZSbsfkRldPiqFPz=w1200|https://lh3.googleusercontent.com/pw/AP1GczP0bEPy4lwhWuPesMDdFPBZ7eVrk9BFNRx7K7xq3l3JymyiKl"&amp;"qFB9uZmSGz9jzeZjyogOmP2u7P4ctsRjW1INQgaBYpDu3yEiTmUxwDJczUk9xOuZ-i=w1200|https://lh3.googleusercontent.com/pw/AP1GczM1AfqF_V3SL464NX6Ylfh5eiUL1Gvl6Dn7Vy-cIjLR55O9kH6laJTnkWcb9yzK6o8pwh4paqhEEjoLZMK8S3Cp8hgUmGpNcu3nJUNJdQ5uorTC9All=w1200|https://lh3.google"&amp;"usercontent.com/pw/AP1GczM3TA9fjwX47i9pE0n7JEZE6slzU5ECQsu_XITSMNHbzvXUzp2xxMGM5zy1894Y2nKp8jES91eu9Bad76aGWZDF2DI_MDhvxtTp6q535fv8lM0NsmHO=w1200|https://lh3.googleusercontent.com/pw/AP1GczP5VM5dO_fwMe5kUCHWJtdpTGGOePd0foRo1kQzzSqZ4syrNtP1FXnsJ192UIswxdcz"&amp;"P0uo10ICv8xbA5jcSp36fFuJkMZ4Glzuk3139qMwPUnzsdJt=w1200|https://lh3.googleusercontent.com/pw/AP1GczO_lGV45Pre_mZqoGotkMz36Uvhmev6rsq0mZJGCJBbPs3Au9i9IG6UGs7mYtINI66mZCMwOK9OdJBR-XnRG1BElC69SyLSIeDLysPQfwlYzY8ozT52=w1200|https://lh3.googleusercontent.com/pw"&amp;"/AP1GczOthWPb_tACkOfi3s3LjNb8z74o1pFlmnZyo8O-OXRCQqco2CQSEk3cUjjFdWEdTIjTxCDg40qeU3CpWqTmv3ipmSruqAFp2JdiNdh74UQyBBxMErDy=w1200|https://lh3.googleusercontent.com/pw/AP1GczO_gInvjZDPznsVvHgAxOMp-eq9GoKSTj0in80eUNTSv2eEdJT2UqcP2YqpDUvmqXXr9h4bx-SoHfatsaOjPe"&amp;"N7_T3z1Vn4Fg50RSX63imhZZjDfOHv=w1200|https://lh3.googleusercontent.com/pw/AP1GczOI7a2ukEfQMBau12yIRON5dj_C_sWBSntBkZxEIqfNrdmLdfXevtt2Dq1p0nsqAIjZT1symUH60-tJyni-9euQZ_x8Q8U7W-sYPuONB6ESUp3o4TkS=w1200|https://lh3.googleusercontent.com/pw/AP1GczOMf5qeGH0Oi"&amp;"q-HVxBC_rfTjQEVRW_Khma_n2gh2rw6zZtkdLC0SqpqVsZf9ZSpHJ3lsbGsDCZEuBkH6dfN9_bgIEGuUZRjgJZXcV19pBsWuxreOCZx=w1200|https://lh3.googleusercontent.com/pw/AP1GczMLLJ496qg4oDSukQT5S9tqWjqkFS37qVCDdcfSsQrjjA55nHbn86J3KIMnK1OfedrqrhpsTpVbZRJKmu4xZeUwECMTmDltMsBlCS2e"&amp;"qDlTvwxHgEbK=w1200|https://lh3.googleusercontent.com/pw/AP1GczPLdNXIQkvgUbGkNeb6fFA-vCniXEKsxyU5HYV91rl6izmh9JeH5lGBCgvwqBRx_OAbVhC6dpezaQNmsG6j7GD4gUeR3W59YpyPFDnpPvqzrnRdF-OK=w1200|https://lh3.googleusercontent.com/pw/AP1GczPTdCNUP89m_YD1AJxI2fgKy5ZuBbT"&amp;"Uji4ONwndnW1Rwpg_VU8bmE2h4ugSN8BVrLYjXgQNZ2xr3eZh7XbOEV01YTBb-xuEdE0iEwO0WWtqtiH_xJLx=w1200|https://lh3.googleusercontent.com/pw/AP1GczP8Nt9XTGUe3KGxMZmLhC4Bpx9EkpuzMDVQlEXIJgZ7aTYJcZTztRpTfaddxe8sj1RrXwYWkVcRuzskmFxvmjBG-59k7FHTMyzvjgLOzWi_QQ-HG3Zq=w1200"&amp;"|https://lh3.googleusercontent.com/pw/AP1GczPqwm9FsEOMV_XUc_w4gaA2G0yLhGZXubLa0QYUIrt8bobyL7FR7hZwA8ZtlkYq6cRSVy4DBSW8XzclnF9FKHtiV9lstbEcaQ0s-hjV6oPlSu0e8X61=w1200|https://lh3.googleusercontent.com/pw/AP1GczOWzD521eAkAjFLel0-fDLOAGOhllOir8SWBd-w9FTssTLw8"&amp;"gU0TsCfr730PakH-f1oiF5IpHZvSlG5kI1Bcau0ZnbGJnT45buLgWnSWStoGecIsOeR=w1200|https://lh3.googleusercontent.com/pw/AP1GczM9wDdXKgZWrGhdDyQ_10W1e8TXTi91o95M2K2NgJPkGFcs9p01efG4gxV2IXgtbJexhxecUy6PnKn889kmQA-7Z28rOfveaZ39QL3yukt9eMMMpRdc=w1200|https://lh3.googl"&amp;"eusercontent.com/pw/AP1GczPPyEB3OaMD_zcZ-LzTZCACKgB4HQbn9a_uJWrZlM_hKvCiT1JPp0XPP3i4PhDJ9oQGJq4VK1WcdKbuii1oBfq-Qc_5-yrwawCECjcyeo2kAeQk_N69=w1200|https://lh3.googleusercontent.com/pw/AP1GczOlm29PHqQor0rDXmI69VvLLkTKLf020DQkUNhiEA-m3yEx_34gc1BktVs4AOo3v69"&amp;"s2SivZDoG-zDD3a3iYNfdk8w8kbwvErWk6F19doiu67MnJvm3=w1200|https://lh3.googleusercontent.com/pw/AP1GczPvS-JhgloJegj4psqRTH4JxtPZv3ftOFRaatIIA6BjlOmWLXA0bPLemeXEC3G8vCyofrlw4RiOIoFvXnOfpKLOWHCClzbdNincbhpIw2RQQxwY2FHK=w1200|https://lh3.googleusercontent.com/p"&amp;"w/AP1GczPpByGfRs8PIuOA87ACqZ1aUEM27DdQfrK_twnSiMvNDL1ht41qgMMf1TjbAs-tG7i50qC9uYvOQexKS8H-B4RTCHKelGqu0XXBj1LV98o2s5VCk9Xd=w1200|https://lh3.googleusercontent.com/pw/AP1GczNmysKwHcCUXmQIRklHX2jdPC4WVe5C9zO_XCbT1wFK3qu_TI4dS9SnxdVRoCTRs_7szMffxKEZcP9AJ1XQx"&amp;"Y5AwMAJtDGbGxgqAw0l0bPO86t2iKgJ=w1200|https://lh3.googleusercontent.com/pw/AP1GczOD13eI0LtuJdZjLSDeB87MzZhSdxNjkFiQZRwur_SDxK8ILVvvMZCG0BWb82nwGTheCVqytwbEKh1-iUzzUU_ih2ylwJ27kHVtp2yIkAa1EhZdDRf4=w1200|https://lh3.googleusercontent.com/pw/AP1GczPLGAGnVTVj"&amp;"jTtWsLxGpn9KHu34I_5WdsXKJuTI7Jz1IcSp8Afs1gZIOrmmwK_2Zh-6ZscxOpOclMJvk8hYA3m5TStBf1zyNWgvZW_MKNGR-WlmiZef=w1200|https://lh3.googleusercontent.com/pw/AP1GczMqcyRzC4zGbjWW5b3MPhuJdkGMzQuMTdVembRfJtQUlsf82mod_yx0QIv2TuEVlIexQVdkWKHTmhR-tFjdrZXa2CI9Ge7rQaZcG8j"&amp;"p4IGjeeU961Sl=w1200|https://lh3.googleusercontent.com/pw/AP1GczPb1mdkWLRgjF1fHCShhmvzi4mkcfNb6CdomdaQeNYRq0qhFt8mb6Rbuy8Gaef5lRlEe2ic4tk-ayLzl1nDsXpk123ISwLG3V1sgGI4zOhSa0Wcmi3R=w1200|https://lh3.googleusercontent.com/pw/AP1GczOqTTsJc2fBNOhn7a2gfyl5w4XaCR"&amp;"E3Hsb559r_3lFUTUpR48CQUJvNKt0VJ-9_0ioEWoD5MXIdTQokKUj-fTWnGwOukQyIpIXOZLsaEh1hmHj1trLm=w1200|https://lh3.googleusercontent.com/pw/AP1GczOjEOrj8wjZdBxz0YgBMFfr8PmuvTVZwfV2vTr5hxD6ktXHZYxVLXrVCwMaNvIO4OXdsyy_NSGE7HRCWIb1n3f9CeBYqbqxZgKM0UnL4wenJdvVsK0b=w120"&amp;"0|https://lh3.googleusercontent.com/pw/AP1GczM98_OETOw12dXCdzJUEu58yC7XtLTNYTilKNmjT7UkQllIhqI9fNKQ7RBjZw3KvXmc1WMch1Ppx5hLDovVG_r7O-Mfqc2GYOUdIOvzIElymkQk0rGA=w1200|https://lh3.googleusercontent.com/pw/AP1GczMxbDVALffisNIPE9WVCZGb9m7c8yQQXmrJJeotjJzQLwF_"&amp;"W1dhw7XvEZbMhODrMQjGYyCJ9BduLQEX0_Q_k9EabR5KFII91dekfUogNqNbN0sP8HFc=w1200|https://lh3.googleusercontent.com/pw/AP1GczNiCJA_Z9SqCHI8B_Ox04fwu-XqDXuaPtxMk1qZ1MgLT7EgHXpyJOgRj4lXByUQy8npvbQUtlTHnWP9Kg9ViRA_-J0eEiCrxzgz0XKNQsoI28WHsngb=w1200|https://lh3.goog"&amp;"leusercontent.com/pw/AP1GczMwViyxVV9ft5PSqDBQZck3flcT776dKA51ZmLdShBr8cEuyHBKGh3_YKSk3aDQwZSvTyuA6jQrcwPDVX4ci9sQ6MClKbkiRuta8si7mtqmZk3Td9ga=w1200|https://lh3.googleusercontent.com/pw/AP1GczMqYqx6pclN9lXlh8Wz23Miq52GHMfWtEJnZe2p0TCPr3ryj_jOmXT3gPu2TClKP8"&amp;"x9RHDgVptC3ks7YcI1dxiILzWRV8R72arBiCNDqPzgEBDfxcvp=w1200|https://lh3.googleusercontent.com/pw/AP1GczMNZqv3ZfIMcHGJSJl1KTww9AJ47EMmZoFVwBF0rY6uO0tlb-x1dl4cMj-g6iUOHImXX8IYEaJuA4basuF8tVZwETAppBb5a_yjqil-63VdFKGNkOOg=w1200|https://lh3.googleusercontent.com/"&amp;"pw/AP1GczO9lfaSBdFjcgmqlAtzXU7TBOFw_WqbA50xYSOaV0dbnNZ9kWVbuANcFAnEkgiF_gt566tXx4SneKJCzCYzo3e_uY05S2yAAgZJkY9M9_rUv-N0VzDR=w1200|https://lh3.googleusercontent.com/pw/AP1GczPs6CWUtLhqIKmYZwtymC2xFk_ru5s6JOHINwd6WMgEIWWP8zgZJJ7aiT83YAPigRIEgGtuEOkHnaLjb81v"&amp;"GAgJodyV0VttDYrqVgGsvJ70aFebJtIk=w1200|https://lh3.googleusercontent.com/pw/AP1GczNSdIPsSXLJvTwC8ITUNCta8BeljN7oOIZZwxqMq-ZSttnhzZ_YNrJ1ztKAZZEH2Wp4cofOoYYVvja1WlN5CGw_zA7hHEcl-nKAiNB-nxG_7P63P-z9=w1200|https://lh3.googleusercontent.com/pw/AP1GczNhFUhhJjH"&amp;"c8o5tCT341go0ppOOd_B609Dkaal2cJxbbjI-Lushh3ovt7B-_Sg8o9zLZqnSAD5cM6yRAvVTtWZExHlUiH0wWMMEsWdrul30FoAgXF_r=w1200")</f>
        <v>https://lh3.googleusercontent.com/pw/AP1GczM-i9ih1KrfbgFHeSrFAHYoh7OuljVW1hZ2TDUurbG_e_kpguaC_dNqMqXOLa7_K0CexBOKq7aFviBHJKMf3wzGd_5Enb4G3oahdZSbsfkRldPiqFPz=w1200|https://lh3.googleusercontent.com/pw/AP1GczP0bEPy4lwhWuPesMDdFPBZ7eVrk9BFNRx7K7xq3l3JymyiKlqFB9uZmSGz9jzeZjyogOmP2u7P4ctsRjW1INQgaBYpDu3yEiTmUxwDJczUk9xOuZ-i=w1200|https://lh3.googleusercontent.com/pw/AP1GczM1AfqF_V3SL464NX6Ylfh5eiUL1Gvl6Dn7Vy-cIjLR55O9kH6laJTnkWcb9yzK6o8pwh4paqhEEjoLZMK8S3Cp8hgUmGpNcu3nJUNJdQ5uorTC9All=w1200|https://lh3.googleusercontent.com/pw/AP1GczM3TA9fjwX47i9pE0n7JEZE6slzU5ECQsu_XITSMNHbzvXUzp2xxMGM5zy1894Y2nKp8jES91eu9Bad76aGWZDF2DI_MDhvxtTp6q535fv8lM0NsmHO=w1200|https://lh3.googleusercontent.com/pw/AP1GczP5VM5dO_fwMe5kUCHWJtdpTGGOePd0foRo1kQzzSqZ4syrNtP1FXnsJ192UIswxdczP0uo10ICv8xbA5jcSp36fFuJkMZ4Glzuk3139qMwPUnzsdJt=w1200|https://lh3.googleusercontent.com/pw/AP1GczO_lGV45Pre_mZqoGotkMz36Uvhmev6rsq0mZJGCJBbPs3Au9i9IG6UGs7mYtINI66mZCMwOK9OdJBR-XnRG1BElC69SyLSIeDLysPQfwlYzY8ozT52=w1200|https://lh3.googleusercontent.com/pw/AP1GczOthWPb_tACkOfi3s3LjNb8z74o1pFlmnZyo8O-OXRCQqco2CQSEk3cUjjFdWEdTIjTxCDg40qeU3CpWqTmv3ipmSruqAFp2JdiNdh74UQyBBxMErDy=w1200|https://lh3.googleusercontent.com/pw/AP1GczO_gInvjZDPznsVvHgAxOMp-eq9GoKSTj0in80eUNTSv2eEdJT2UqcP2YqpDUvmqXXr9h4bx-SoHfatsaOjPeN7_T3z1Vn4Fg50RSX63imhZZjDfOHv=w1200|https://lh3.googleusercontent.com/pw/AP1GczOI7a2ukEfQMBau12yIRON5dj_C_sWBSntBkZxEIqfNrdmLdfXevtt2Dq1p0nsqAIjZT1symUH60-tJyni-9euQZ_x8Q8U7W-sYPuONB6ESUp3o4TkS=w1200|https://lh3.googleusercontent.com/pw/AP1GczOMf5qeGH0Oiq-HVxBC_rfTjQEVRW_Khma_n2gh2rw6zZtkdLC0SqpqVsZf9ZSpHJ3lsbGsDCZEuBkH6dfN9_bgIEGuUZRjgJZXcV19pBsWuxreOCZx=w1200|https://lh3.googleusercontent.com/pw/AP1GczMLLJ496qg4oDSukQT5S9tqWjqkFS37qVCDdcfSsQrjjA55nHbn86J3KIMnK1OfedrqrhpsTpVbZRJKmu4xZeUwECMTmDltMsBlCS2eqDlTvwxHgEbK=w1200|https://lh3.googleusercontent.com/pw/AP1GczPLdNXIQkvgUbGkNeb6fFA-vCniXEKsxyU5HYV91rl6izmh9JeH5lGBCgvwqBRx_OAbVhC6dpezaQNmsG6j7GD4gUeR3W59YpyPFDnpPvqzrnRdF-OK=w1200|https://lh3.googleusercontent.com/pw/AP1GczPTdCNUP89m_YD1AJxI2fgKy5ZuBbTUji4ONwndnW1Rwpg_VU8bmE2h4ugSN8BVrLYjXgQNZ2xr3eZh7XbOEV01YTBb-xuEdE0iEwO0WWtqtiH_xJLx=w1200|https://lh3.googleusercontent.com/pw/AP1GczP8Nt9XTGUe3KGxMZmLhC4Bpx9EkpuzMDVQlEXIJgZ7aTYJcZTztRpTfaddxe8sj1RrXwYWkVcRuzskmFxvmjBG-59k7FHTMyzvjgLOzWi_QQ-HG3Zq=w1200|https://lh3.googleusercontent.com/pw/AP1GczPqwm9FsEOMV_XUc_w4gaA2G0yLhGZXubLa0QYUIrt8bobyL7FR7hZwA8ZtlkYq6cRSVy4DBSW8XzclnF9FKHtiV9lstbEcaQ0s-hjV6oPlSu0e8X61=w1200|https://lh3.googleusercontent.com/pw/AP1GczOWzD521eAkAjFLel0-fDLOAGOhllOir8SWBd-w9FTssTLw8gU0TsCfr730PakH-f1oiF5IpHZvSlG5kI1Bcau0ZnbGJnT45buLgWnSWStoGecIsOeR=w1200|https://lh3.googleusercontent.com/pw/AP1GczM9wDdXKgZWrGhdDyQ_10W1e8TXTi91o95M2K2NgJPkGFcs9p01efG4gxV2IXgtbJexhxecUy6PnKn889kmQA-7Z28rOfveaZ39QL3yukt9eMMMpRdc=w1200|https://lh3.googleusercontent.com/pw/AP1GczPPyEB3OaMD_zcZ-LzTZCACKgB4HQbn9a_uJWrZlM_hKvCiT1JPp0XPP3i4PhDJ9oQGJq4VK1WcdKbuii1oBfq-Qc_5-yrwawCECjcyeo2kAeQk_N69=w1200|https://lh3.googleusercontent.com/pw/AP1GczOlm29PHqQor0rDXmI69VvLLkTKLf020DQkUNhiEA-m3yEx_34gc1BktVs4AOo3v69s2SivZDoG-zDD3a3iYNfdk8w8kbwvErWk6F19doiu67MnJvm3=w1200|https://lh3.googleusercontent.com/pw/AP1GczPvS-JhgloJegj4psqRTH4JxtPZv3ftOFRaatIIA6BjlOmWLXA0bPLemeXEC3G8vCyofrlw4RiOIoFvXnOfpKLOWHCClzbdNincbhpIw2RQQxwY2FHK=w1200|https://lh3.googleusercontent.com/pw/AP1GczPpByGfRs8PIuOA87ACqZ1aUEM27DdQfrK_twnSiMvNDL1ht41qgMMf1TjbAs-tG7i50qC9uYvOQexKS8H-B4RTCHKelGqu0XXBj1LV98o2s5VCk9Xd=w1200|https://lh3.googleusercontent.com/pw/AP1GczNmysKwHcCUXmQIRklHX2jdPC4WVe5C9zO_XCbT1wFK3qu_TI4dS9SnxdVRoCTRs_7szMffxKEZcP9AJ1XQxY5AwMAJtDGbGxgqAw0l0bPO86t2iKgJ=w1200|https://lh3.googleusercontent.com/pw/AP1GczOD13eI0LtuJdZjLSDeB87MzZhSdxNjkFiQZRwur_SDxK8ILVvvMZCG0BWb82nwGTheCVqytwbEKh1-iUzzUU_ih2ylwJ27kHVtp2yIkAa1EhZdDRf4=w1200|https://lh3.googleusercontent.com/pw/AP1GczPLGAGnVTVjjTtWsLxGpn9KHu34I_5WdsXKJuTI7Jz1IcSp8Afs1gZIOrmmwK_2Zh-6ZscxOpOclMJvk8hYA3m5TStBf1zyNWgvZW_MKNGR-WlmiZef=w1200|https://lh3.googleusercontent.com/pw/AP1GczMqcyRzC4zGbjWW5b3MPhuJdkGMzQuMTdVembRfJtQUlsf82mod_yx0QIv2TuEVlIexQVdkWKHTmhR-tFjdrZXa2CI9Ge7rQaZcG8jp4IGjeeU961Sl=w1200|https://lh3.googleusercontent.com/pw/AP1GczPb1mdkWLRgjF1fHCShhmvzi4mkcfNb6CdomdaQeNYRq0qhFt8mb6Rbuy8Gaef5lRlEe2ic4tk-ayLzl1nDsXpk123ISwLG3V1sgGI4zOhSa0Wcmi3R=w1200|https://lh3.googleusercontent.com/pw/AP1GczOqTTsJc2fBNOhn7a2gfyl5w4XaCRE3Hsb559r_3lFUTUpR48CQUJvNKt0VJ-9_0ioEWoD5MXIdTQokKUj-fTWnGwOukQyIpIXOZLsaEh1hmHj1trLm=w1200|https://lh3.googleusercontent.com/pw/AP1GczOjEOrj8wjZdBxz0YgBMFfr8PmuvTVZwfV2vTr5hxD6ktXHZYxVLXrVCwMaNvIO4OXdsyy_NSGE7HRCWIb1n3f9CeBYqbqxZgKM0UnL4wenJdvVsK0b=w1200|https://lh3.googleusercontent.com/pw/AP1GczM98_OETOw12dXCdzJUEu58yC7XtLTNYTilKNmjT7UkQllIhqI9fNKQ7RBjZw3KvXmc1WMch1Ppx5hLDovVG_r7O-Mfqc2GYOUdIOvzIElymkQk0rGA=w1200|https://lh3.googleusercontent.com/pw/AP1GczMxbDVALffisNIPE9WVCZGb9m7c8yQQXmrJJeotjJzQLwF_W1dhw7XvEZbMhODrMQjGYyCJ9BduLQEX0_Q_k9EabR5KFII91dekfUogNqNbN0sP8HFc=w1200|https://lh3.googleusercontent.com/pw/AP1GczNiCJA_Z9SqCHI8B_Ox04fwu-XqDXuaPtxMk1qZ1MgLT7EgHXpyJOgRj4lXByUQy8npvbQUtlTHnWP9Kg9ViRA_-J0eEiCrxzgz0XKNQsoI28WHsngb=w1200|https://lh3.googleusercontent.com/pw/AP1GczMwViyxVV9ft5PSqDBQZck3flcT776dKA51ZmLdShBr8cEuyHBKGh3_YKSk3aDQwZSvTyuA6jQrcwPDVX4ci9sQ6MClKbkiRuta8si7mtqmZk3Td9ga=w1200|https://lh3.googleusercontent.com/pw/AP1GczMqYqx6pclN9lXlh8Wz23Miq52GHMfWtEJnZe2p0TCPr3ryj_jOmXT3gPu2TClKP8x9RHDgVptC3ks7YcI1dxiILzWRV8R72arBiCNDqPzgEBDfxcvp=w1200|https://lh3.googleusercontent.com/pw/AP1GczMNZqv3ZfIMcHGJSJl1KTww9AJ47EMmZoFVwBF0rY6uO0tlb-x1dl4cMj-g6iUOHImXX8IYEaJuA4basuF8tVZwETAppBb5a_yjqil-63VdFKGNkOOg=w1200|https://lh3.googleusercontent.com/pw/AP1GczO9lfaSBdFjcgmqlAtzXU7TBOFw_WqbA50xYSOaV0dbnNZ9kWVbuANcFAnEkgiF_gt566tXx4SneKJCzCYzo3e_uY05S2yAAgZJkY9M9_rUv-N0VzDR=w1200|https://lh3.googleusercontent.com/pw/AP1GczPs6CWUtLhqIKmYZwtymC2xFk_ru5s6JOHINwd6WMgEIWWP8zgZJJ7aiT83YAPigRIEgGtuEOkHnaLjb81vGAgJodyV0VttDYrqVgGsvJ70aFebJtIk=w1200|https://lh3.googleusercontent.com/pw/AP1GczNSdIPsSXLJvTwC8ITUNCta8BeljN7oOIZZwxqMq-ZSttnhzZ_YNrJ1ztKAZZEH2Wp4cofOoYYVvja1WlN5CGw_zA7hHEcl-nKAiNB-nxG_7P63P-z9=w1200|https://lh3.googleusercontent.com/pw/AP1GczNhFUhhJjHc8o5tCT341go0ppOOd_B609Dkaal2cJxbbjI-Lushh3ovt7B-_Sg8o9zLZqnSAD5cM6yRAvVTtWZExHlUiH0wWMMEsWdrul30FoAgXF_r=w1200</v>
      </c>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c r="BU135" s="46"/>
      <c r="BV135" s="46"/>
      <c r="BW135" s="46"/>
      <c r="BX135" s="46"/>
      <c r="BY135" s="46"/>
      <c r="BZ135" s="46"/>
      <c r="CA135" s="46"/>
      <c r="CB135" s="46"/>
      <c r="CC135" s="46"/>
    </row>
    <row r="136">
      <c r="A136" s="87" t="str">
        <f>IFERROR(__xludf.DUMMYFUNCTION("""COMPUTED_VALUE"""),"546")</f>
        <v>546</v>
      </c>
      <c r="B136" s="46" t="str">
        <f>IFERROR(__xludf.DUMMYFUNCTION("""COMPUTED_VALUE"""),"Casa campestre en Conjunto Monteloma - Yaguará")</f>
        <v>Casa campestre en Conjunto Monteloma - Yaguará</v>
      </c>
      <c r="C136" s="46" t="str">
        <f>IFERROR(__xludf.DUMMYFUNCTION("""COMPUTED_VALUE"""),"Casa campestre en conjunto")</f>
        <v>Casa campestre en conjunto</v>
      </c>
      <c r="D136" s="46"/>
      <c r="E136" s="46" t="str">
        <f>IFERROR(__xludf.DUMMYFUNCTION("""COMPUTED_VALUE"""),"Monteloma")</f>
        <v>Monteloma</v>
      </c>
      <c r="F136" s="90">
        <f>IFERROR(__xludf.DUMMYFUNCTION("""COMPUTED_VALUE"""),4.5E8)</f>
        <v>450000000</v>
      </c>
      <c r="G136" s="46" t="str">
        <f>IFERROR(__xludf.DUMMYFUNCTION("""COMPUTED_VALUE"""),"$400'000.000 a $500'000.000")</f>
        <v>$400'000.000 a $500'000.000</v>
      </c>
      <c r="H136" s="46"/>
      <c r="I136" s="46"/>
      <c r="J136" s="46" t="str">
        <f>IFERROR(__xludf.DUMMYFUNCTION("""COMPUTED_VALUE"""),"Sur")</f>
        <v>Sur</v>
      </c>
      <c r="K136" s="87"/>
      <c r="L136" s="46">
        <f>IFERROR(__xludf.DUMMYFUNCTION("""COMPUTED_VALUE"""),4.0)</f>
        <v>4</v>
      </c>
      <c r="M136" s="46"/>
      <c r="N136" s="46">
        <f>IFERROR(__xludf.DUMMYFUNCTION("""COMPUTED_VALUE"""),4.0)</f>
        <v>4</v>
      </c>
      <c r="O136" s="46">
        <f>IFERROR(__xludf.DUMMYFUNCTION("""COMPUTED_VALUE"""),1.0)</f>
        <v>1</v>
      </c>
      <c r="P136" s="46">
        <f>IFERROR(__xludf.DUMMYFUNCTION("""COMPUTED_VALUE"""),1.0)</f>
        <v>1</v>
      </c>
      <c r="Q136" s="92">
        <f>IFERROR(__xludf.DUMMYFUNCTION("""COMPUTED_VALUE"""),300.0)</f>
        <v>300</v>
      </c>
      <c r="R136" s="92">
        <f>IFERROR(__xludf.DUMMYFUNCTION("""COMPUTED_VALUE"""),300.0)</f>
        <v>300</v>
      </c>
      <c r="S136" s="87" t="str">
        <f>IFERROR(__xludf.DUMMYFUNCTION("""COMPUTED_VALUE""")," ")</f>
        <v> </v>
      </c>
      <c r="T136" s="46" t="str">
        <f>IFERROR(__xludf.DUMMYFUNCTION("""COMPUTED_VALUE"""),"Yaguara")</f>
        <v>Yaguara</v>
      </c>
      <c r="U136" s="87"/>
      <c r="V136" s="46"/>
      <c r="W136" s="46"/>
      <c r="X136" s="46">
        <f>IFERROR(__xludf.DUMMYFUNCTION("""COMPUTED_VALUE"""),3.0)</f>
        <v>3</v>
      </c>
      <c r="Y136" s="46" t="str">
        <f>IFERROR(__xludf.DUMMYFUNCTION("""COMPUTED_VALUE"""),"Privada")</f>
        <v>Privada</v>
      </c>
      <c r="Z136" s="90">
        <f>IFERROR(__xludf.DUMMYFUNCTION("""COMPUTED_VALUE"""),500000.0)</f>
        <v>500000</v>
      </c>
      <c r="AA136" s="33" t="str">
        <f>IFERROR(__xludf.DUMMYFUNCTION("""COMPUTED_VALUE"""),"No aplica")</f>
        <v>No aplica</v>
      </c>
      <c r="AB136" s="96" t="str">
        <f>IFERROR(__xludf.DUMMYFUNCTION("""COMPUTED_VALUE"""),"https://photos.app.goo.gl/LhM4PSYZoc5Zj5Ac7")</f>
        <v>https://photos.app.goo.gl/LhM4PSYZoc5Zj5Ac7</v>
      </c>
      <c r="AC136" s="46"/>
      <c r="AD136" s="46" t="str">
        <f>IFERROR(__xludf.DUMMYFUNCTION("""COMPUTED_VALUE"""),"Casa campestre con buenos acabados. Se vende a puerta cerrada. Escritura al día.")</f>
        <v>Casa campestre con buenos acabados. Se vende a puerta cerrada. Escritura al día.</v>
      </c>
      <c r="AE136" s="46"/>
      <c r="AF136" s="46" t="str">
        <f>IFERROR(__xludf.DUMMYFUNCTION("""COMPUTED_VALUE"""),"integral")</f>
        <v>integral</v>
      </c>
      <c r="AG136" s="46"/>
      <c r="AH136" s="46" t="str">
        <f>IFERROR(__xludf.DUMMYFUNCTION("""COMPUTED_VALUE"""),"Aliado")</f>
        <v>Aliado</v>
      </c>
      <c r="AI136" s="92" t="str">
        <f>IFERROR(__xludf.DUMMYFUNCTION("""COMPUTED_VALUE"""),"https://lh3.googleusercontent.com/pw/AP1GczPWmCx-1ek55DPwa0lLQCksc7YHTYfz5-z3_W75qpbONlaLHhOh8VOXXSCBT7KwKfzHUEXT5LnLIuKfXCXPYqL-5LdI6RhJy0xCfvxzdZkM5pisL8PP=w1200|https://lh3.googleusercontent.com/pw/AP1GczNhSpX_PybIC7z9FxlfE5lUDj8tYLsqiT_nR1nu9D6X3f3lpA"&amp;"SDVWThZSv_9s1wBvhZxFvAr-2tV431t45APsIAaNf-X-OFTk4W93hSzxAPoak-ks1E=w1200|https://lh3.googleusercontent.com/pw/AP1GczNUYHnGG9UZRIHglvjSC6kGqKFNWgx1kYXYSfsR4LhheVMjbMKnEYEI_z3HNW1xHCj-QD2EAY3AQdiOsFChF7IwsrYqcpS1l8nVLLyLJgKUHp-48kHD=w1200|https://lh3.google"&amp;"usercontent.com/pw/AP1GczNGJq7VR9hRpgOsPxccbmibBaglQBPgkSy_3jLxuFXQbB-y6GKPHOI3-Xsn10cet215qWMKCjHgnyeTMKqlnZzJXI6kF57DSqKzCs8ECflpCt6S4xc8=w1200|https://lh3.googleusercontent.com/pw/AP1GczPQyw5mRzzc6uabL7nnRgu4Df0V0hkdME16zlrmn6Voitp2i3uiMiUlmkNvwuRguHPS"&amp;"ENfgI-8VaQ9zPMOvOovOHC5vF4eq6BlJdS9j62aUGBErL34_=w1200|https://lh3.googleusercontent.com/pw/AP1GczNISyQsTKC10PkKTtEoCKSViSnweLe9SvB6oJZnuRyVJAsJuPCApTyX7-CqJSnZ2Hv3Y3SgwhruOHHbNfxVN5GDAQH-MWj4MbBK8VbuGWR4YORzlx-k=w1200|https://lh3.googleusercontent.com/pw"&amp;"/AP1GczM4pLNof-QoOw4Cp0b5Xyo3LtOUb3Zfu1g9HbPMXBavAeCGKPCQjpqoVkwAKe3BUPK7KPUS4H_3KFUDjG5vNYO5UERbTibZtUd_n-2jctvagIMt3c9Y=w1200|https://lh3.googleusercontent.com/pw/AP1GczNXjdpzoxhouzwPXqVxN7d_vUW2GZ_7GDJ6PrSSgfkTdprCnpSnaUqxUjriT1aHKE8G0uEFupkFjrXCO_YBRQ"&amp;"rHyohtt0YZ6QeG2FWRVAVtBUli_wVn=w1200|https://lh3.googleusercontent.com/pw/AP1GczNrgVNYHvenfrzI9rrcV8Z2m3pgeANnMQawQ96J3dVnUBa2irm6F48896hmgmNPgoSYQba37Csifd_coN9NtNmmulLRwcaL3UfthfESyCOO8rgIEogj=w1200|https://lh3.googleusercontent.com/pw/AP1GczO0rY_CZQPGK"&amp;"0m7huw30H6w5DVV6Z5dGkI7w0dxpYE_ShLv3N7xOugH3tQ1ztEYCUrysWTjuJzlZuFJpiX23AxqLQJ1xUC_JF3CkLlWQmTOj4kCl8hv=w1200|https://lh3.googleusercontent.com/pw/AP1GczPvJXFFTQCfALMzQ3U5nZqmlX_yKRgH3cJNFjEDQLc2D3Y1hJS4r9NrwqpuzsfX55Aoy0OJNaa39VMEWOUh_gc79sG1q-Wb4lw7hKXW"&amp;"z8T1MrMJHg9e=w1200|https://lh3.googleusercontent.com/pw/AP1GczPbWEaGC8GvbUEp2quF29lZ1QdT4qXXCu6LGLLhg_hg2Y3LJjdixJjQAVrGjxi4JQvw4qpZ80yJnwCqEPAjNsMwoGDznsh-Y7ie2wjgLAhZ4VtP4MBO=w1200|https://lh3.googleusercontent.com/pw/AP1GczOgVQ1yMk20hdcM1jUbbGUcPFzWgmh"&amp;"1_vAsRgBgW3BPFSfFO3K1ZVAT9Oa6PsE976h72KSSw34Pp5VKr3MLjesbPhw_4YNVLTorAiJ-51OsWv7W8xfs=w1200|https://lh3.googleusercontent.com/pw/AP1GczPKotqRuKSAH5KDWWnHGjjRJvXZQp2q04GsMOCTMmTEgs9z4t9USkVihs2UPdjrxJCNd1FmTgWEi1Qo2X0-9GrF3rpswAIGCuBjXSPz7E78UeemTRaw=w1200"&amp;"|https://lh3.googleusercontent.com/pw/AP1GczPtBqktI2VP4in5CkVRjd5n2-YGQHFmJt5WZLfglUxt9mmWUO1DE1FAzFMzTGGZ7VHMnXWoYze0hx6bCmy8xHZOaxFufSxSeY8w_rtlN-kVwdlUdsKe=w1200|https://lh3.googleusercontent.com/pw/AP1GczNUaLNnz5tta6DzWw6yibNFJUm8ljKGGuHy-PXXF4ktUZSs3"&amp;"sNq9MojPiz7mA1BcbkazwYINw2mYwniip8U1C7y9oqOc2rXlTZOxxkwWMLoJyRtOn6M=w1200")</f>
        <v>https://lh3.googleusercontent.com/pw/AP1GczPWmCx-1ek55DPwa0lLQCksc7YHTYfz5-z3_W75qpbONlaLHhOh8VOXXSCBT7KwKfzHUEXT5LnLIuKfXCXPYqL-5LdI6RhJy0xCfvxzdZkM5pisL8PP=w1200|https://lh3.googleusercontent.com/pw/AP1GczNhSpX_PybIC7z9FxlfE5lUDj8tYLsqiT_nR1nu9D6X3f3lpASDVWThZSv_9s1wBvhZxFvAr-2tV431t45APsIAaNf-X-OFTk4W93hSzxAPoak-ks1E=w1200|https://lh3.googleusercontent.com/pw/AP1GczNUYHnGG9UZRIHglvjSC6kGqKFNWgx1kYXYSfsR4LhheVMjbMKnEYEI_z3HNW1xHCj-QD2EAY3AQdiOsFChF7IwsrYqcpS1l8nVLLyLJgKUHp-48kHD=w1200|https://lh3.googleusercontent.com/pw/AP1GczNGJq7VR9hRpgOsPxccbmibBaglQBPgkSy_3jLxuFXQbB-y6GKPHOI3-Xsn10cet215qWMKCjHgnyeTMKqlnZzJXI6kF57DSqKzCs8ECflpCt6S4xc8=w1200|https://lh3.googleusercontent.com/pw/AP1GczPQyw5mRzzc6uabL7nnRgu4Df0V0hkdME16zlrmn6Voitp2i3uiMiUlmkNvwuRguHPSENfgI-8VaQ9zPMOvOovOHC5vF4eq6BlJdS9j62aUGBErL34_=w1200|https://lh3.googleusercontent.com/pw/AP1GczNISyQsTKC10PkKTtEoCKSViSnweLe9SvB6oJZnuRyVJAsJuPCApTyX7-CqJSnZ2Hv3Y3SgwhruOHHbNfxVN5GDAQH-MWj4MbBK8VbuGWR4YORzlx-k=w1200|https://lh3.googleusercontent.com/pw/AP1GczM4pLNof-QoOw4Cp0b5Xyo3LtOUb3Zfu1g9HbPMXBavAeCGKPCQjpqoVkwAKe3BUPK7KPUS4H_3KFUDjG5vNYO5UERbTibZtUd_n-2jctvagIMt3c9Y=w1200|https://lh3.googleusercontent.com/pw/AP1GczNXjdpzoxhouzwPXqVxN7d_vUW2GZ_7GDJ6PrSSgfkTdprCnpSnaUqxUjriT1aHKE8G0uEFupkFjrXCO_YBRQrHyohtt0YZ6QeG2FWRVAVtBUli_wVn=w1200|https://lh3.googleusercontent.com/pw/AP1GczNrgVNYHvenfrzI9rrcV8Z2m3pgeANnMQawQ96J3dVnUBa2irm6F48896hmgmNPgoSYQba37Csifd_coN9NtNmmulLRwcaL3UfthfESyCOO8rgIEogj=w1200|https://lh3.googleusercontent.com/pw/AP1GczO0rY_CZQPGK0m7huw30H6w5DVV6Z5dGkI7w0dxpYE_ShLv3N7xOugH3tQ1ztEYCUrysWTjuJzlZuFJpiX23AxqLQJ1xUC_JF3CkLlWQmTOj4kCl8hv=w1200|https://lh3.googleusercontent.com/pw/AP1GczPvJXFFTQCfALMzQ3U5nZqmlX_yKRgH3cJNFjEDQLc2D3Y1hJS4r9NrwqpuzsfX55Aoy0OJNaa39VMEWOUh_gc79sG1q-Wb4lw7hKXWz8T1MrMJHg9e=w1200|https://lh3.googleusercontent.com/pw/AP1GczPbWEaGC8GvbUEp2quF29lZ1QdT4qXXCu6LGLLhg_hg2Y3LJjdixJjQAVrGjxi4JQvw4qpZ80yJnwCqEPAjNsMwoGDznsh-Y7ie2wjgLAhZ4VtP4MBO=w1200|https://lh3.googleusercontent.com/pw/AP1GczOgVQ1yMk20hdcM1jUbbGUcPFzWgmh1_vAsRgBgW3BPFSfFO3K1ZVAT9Oa6PsE976h72KSSw34Pp5VKr3MLjesbPhw_4YNVLTorAiJ-51OsWv7W8xfs=w1200|https://lh3.googleusercontent.com/pw/AP1GczPKotqRuKSAH5KDWWnHGjjRJvXZQp2q04GsMOCTMmTEgs9z4t9USkVihs2UPdjrxJCNd1FmTgWEi1Qo2X0-9GrF3rpswAIGCuBjXSPz7E78UeemTRaw=w1200|https://lh3.googleusercontent.com/pw/AP1GczPtBqktI2VP4in5CkVRjd5n2-YGQHFmJt5WZLfglUxt9mmWUO1DE1FAzFMzTGGZ7VHMnXWoYze0hx6bCmy8xHZOaxFufSxSeY8w_rtlN-kVwdlUdsKe=w1200|https://lh3.googleusercontent.com/pw/AP1GczNUaLNnz5tta6DzWw6yibNFJUm8ljKGGuHy-PXXF4ktUZSs3sNq9MojPiz7mA1BcbkazwYINw2mYwniip8U1C7y9oqOc2rXlTZOxxkwWMLoJyRtOn6M=w1200</v>
      </c>
      <c r="AJ136" s="46"/>
      <c r="AK136" s="46"/>
      <c r="AL136" s="46"/>
      <c r="AM136" s="46"/>
      <c r="AN136" s="46"/>
      <c r="AO136" s="46"/>
      <c r="AP136" s="46"/>
      <c r="AQ136" s="46"/>
      <c r="AR136" s="46"/>
      <c r="AS136" s="46"/>
      <c r="AT136" s="46"/>
      <c r="AU136" s="46"/>
      <c r="AV136" s="46"/>
      <c r="AW136" s="46"/>
      <c r="AX136" s="46"/>
      <c r="AY136" s="46"/>
      <c r="AZ136" s="46"/>
      <c r="BA136" s="46"/>
      <c r="BB136" s="46"/>
      <c r="BC136" s="46"/>
      <c r="BD136" s="46"/>
      <c r="BE136" s="46"/>
      <c r="BF136" s="46"/>
      <c r="BG136" s="46"/>
      <c r="BH136" s="46"/>
      <c r="BI136" s="46"/>
      <c r="BJ136" s="46"/>
      <c r="BK136" s="46"/>
      <c r="BL136" s="46"/>
      <c r="BM136" s="46"/>
      <c r="BN136" s="46"/>
      <c r="BO136" s="46"/>
      <c r="BP136" s="46"/>
      <c r="BQ136" s="46"/>
      <c r="BR136" s="46"/>
      <c r="BS136" s="46"/>
      <c r="BT136" s="46"/>
      <c r="BU136" s="46"/>
      <c r="BV136" s="46"/>
      <c r="BW136" s="46"/>
      <c r="BX136" s="46"/>
      <c r="BY136" s="46"/>
      <c r="BZ136" s="46"/>
      <c r="CA136" s="46"/>
      <c r="CB136" s="46"/>
      <c r="CC136" s="46"/>
    </row>
    <row r="137">
      <c r="A137" s="87" t="str">
        <f>IFERROR(__xludf.DUMMYFUNCTION("""COMPUTED_VALUE"""),"596")</f>
        <v>596</v>
      </c>
      <c r="B137" s="46" t="str">
        <f>IFERROR(__xludf.DUMMYFUNCTION("""COMPUTED_VALUE"""),"Casa con local  en barrio Canaima")</f>
        <v>Casa con local  en barrio Canaima</v>
      </c>
      <c r="C137" s="46" t="str">
        <f>IFERROR(__xludf.DUMMYFUNCTION("""COMPUTED_VALUE"""),"Casa rentable")</f>
        <v>Casa rentable</v>
      </c>
      <c r="D137" s="46" t="str">
        <f>IFERROR(__xludf.DUMMYFUNCTION("""COMPUTED_VALUE"""),"Canaima")</f>
        <v>Canaima</v>
      </c>
      <c r="E137" s="46"/>
      <c r="F137" s="90">
        <f>IFERROR(__xludf.DUMMYFUNCTION("""COMPUTED_VALUE"""),3.7E8)</f>
        <v>370000000</v>
      </c>
      <c r="G137" s="46" t="str">
        <f>IFERROR(__xludf.DUMMYFUNCTION("""COMPUTED_VALUE"""),"$300'000.000 a $400'000.000")</f>
        <v>$300'000.000 a $400'000.000</v>
      </c>
      <c r="H137" s="46"/>
      <c r="I137" s="46"/>
      <c r="J137" s="46" t="str">
        <f>IFERROR(__xludf.DUMMYFUNCTION("""COMPUTED_VALUE"""),"Sur")</f>
        <v>Sur</v>
      </c>
      <c r="K137" s="87"/>
      <c r="L137" s="46">
        <f>IFERROR(__xludf.DUMMYFUNCTION("""COMPUTED_VALUE"""),5.0)</f>
        <v>5</v>
      </c>
      <c r="M137" s="46"/>
      <c r="N137" s="46">
        <f>IFERROR(__xludf.DUMMYFUNCTION("""COMPUTED_VALUE"""),3.0)</f>
        <v>3</v>
      </c>
      <c r="O137" s="46">
        <f>IFERROR(__xludf.DUMMYFUNCTION("""COMPUTED_VALUE"""),1.0)</f>
        <v>1</v>
      </c>
      <c r="P137" s="46">
        <f>IFERROR(__xludf.DUMMYFUNCTION("""COMPUTED_VALUE"""),2.0)</f>
        <v>2</v>
      </c>
      <c r="Q137" s="92"/>
      <c r="R137" s="92">
        <f>IFERROR(__xludf.DUMMYFUNCTION("""COMPUTED_VALUE"""),97.5)</f>
        <v>97.5</v>
      </c>
      <c r="S137" s="87" t="str">
        <f>IFERROR(__xludf.DUMMYFUNCTION("""COMPUTED_VALUE"""),"Rentabilidad $1,100,000")</f>
        <v>Rentabilidad $1,100,000</v>
      </c>
      <c r="T137" s="46" t="str">
        <f>IFERROR(__xludf.DUMMYFUNCTION("""COMPUTED_VALUE"""),"Neiva")</f>
        <v>Neiva</v>
      </c>
      <c r="U137" s="87" t="str">
        <f>IFERROR(__xludf.DUMMYFUNCTION("""COMPUTED_VALUE"""),"2")</f>
        <v>2</v>
      </c>
      <c r="V137" s="46" t="str">
        <f>IFERROR(__xludf.DUMMYFUNCTION("""COMPUTED_VALUE"""),"Medianera")</f>
        <v>Medianera</v>
      </c>
      <c r="W137" s="46"/>
      <c r="X137" s="46">
        <f>IFERROR(__xludf.DUMMYFUNCTION("""COMPUTED_VALUE"""),4.0)</f>
        <v>4</v>
      </c>
      <c r="Y137" s="46" t="str">
        <f>IFERROR(__xludf.DUMMYFUNCTION("""COMPUTED_VALUE"""),"No tiene")</f>
        <v>No tiene</v>
      </c>
      <c r="Z137" s="90" t="str">
        <f>IFERROR(__xludf.DUMMYFUNCTION("""COMPUTED_VALUE"""),"No aplica")</f>
        <v>No aplica</v>
      </c>
      <c r="AA137" s="33" t="str">
        <f>IFERROR(__xludf.DUMMYFUNCTION("""COMPUTED_VALUE"""),"28 años")</f>
        <v>28 años</v>
      </c>
      <c r="AB137" s="96" t="str">
        <f>IFERROR(__xludf.DUMMYFUNCTION("""COMPUTED_VALUE"""),"https://photos.app.goo.gl/r1HTv4rciHVs18M5A")</f>
        <v>https://photos.app.goo.gl/r1HTv4rciHVs18M5A</v>
      </c>
      <c r="AC137" s="46"/>
      <c r="AD137" s="46" t="str">
        <f>IFERROR(__xludf.DUMMYFUNCTION("""COMPUTED_VALUE"""),"Casa bien ubicada, a dos cuadras de la avenida Max duque, gimnasio de comfamiliar, supermercado popular, Dollar City. Buenos acabados. Escritura al día.")</f>
        <v>Casa bien ubicada, a dos cuadras de la avenida Max duque, gimnasio de comfamiliar, supermercado popular, Dollar City. Buenos acabados. Escritura al día.</v>
      </c>
      <c r="AE137" s="46"/>
      <c r="AF137" s="46" t="str">
        <f>IFERROR(__xludf.DUMMYFUNCTION("""COMPUTED_VALUE"""),"semi-integral")</f>
        <v>semi-integral</v>
      </c>
      <c r="AG137" s="46"/>
      <c r="AH137" s="46" t="str">
        <f>IFERROR(__xludf.DUMMYFUNCTION("""COMPUTED_VALUE"""),"Aliado")</f>
        <v>Aliado</v>
      </c>
      <c r="AI137" s="92" t="str">
        <f>IFERROR(__xludf.DUMMYFUNCTION("""COMPUTED_VALUE"""),"https://lh3.googleusercontent.com/pw/AP1GczNi77PrtKKjlIGgGxNbtLrEAU5up7u-v3rv2WohKJLeydQC3kghcwftXDRHfOVt0OcPulKUKJpWDatFJExh2Tsu2L8A_FUUGXTeB-vtfEpZviaXHjFG=w1200|https://lh3.googleusercontent.com/pw/AP1GczPN4LkqSmgDjQTtGawF6u3TINK_aH6cx5IGxOvrZ5UgA2O0Pz"&amp;"-JberBDQrz4Fj-VlRzOSiFpWnevj1QxTe9MmZsxlxLgbKLVgGSLRtHTE1Jg0IAuap0=w1200|https://lh3.googleusercontent.com/pw/AP1GczNnyWOmr6QpeySSD9PmItP-aJAmp5VrdyGGALIFEd4zrQ3qUaEQBh9V71NHiBxak6fE8RsLVsyT_d_TtdEELhIaJOS03LlTqRNZ3Ir_x6Spkvu7ioAS=w1200|https://lh3.google"&amp;"usercontent.com/pw/AP1GczNcoHPdM1NH8U1qRcFytPTEgrkkH94iTFOllQ07DaBBykLt1X38T7kHso9eDJGTTtEjEsdJA5mUn49ZNVTLhw60MkWcfFaTNKa4cW-ujNejZpbJkzA1=w1200|https://lh3.googleusercontent.com/pw/AP1GczPOOw4jUCB7u0dx4r227GDlxI3X59B-XF_NE-XAQVSUcVmCJhZgeM7k9OfAPcQ93v5A"&amp;"ltyznuPkP3ramiB-BhpuLNm63J0F_eoKddjIVEEbJpJix5Su=w1200|https://lh3.googleusercontent.com/pw/AP1GczPSZRnhQbFJAWm7SWPuycjaIPmn5Tv8PxyokQ4FxoNdmGkICB_M4zPqM92YM9KKBgjy-piBWRZluHT7U1r41bhllXEp5abDNf25MEl49jGheOVr7Aa2=w1200|https://lh3.googleusercontent.com/pw"&amp;"/AP1GczOQ163M-EPlGZTDEcg3duaXTvHI4iIlZHU2H334Ocfue3f0pJlkguZn8rcfPoQVzf-M0Pc9zB7Qucu3MzqShSqyTuEuW7ujTqYuySerqr3R3JFh6YCl=w1200|https://lh3.googleusercontent.com/pw/AP1GczPVb0JAYLhPHsyAW8vj79kvoRxjQZn_yKB3Ul6fIzelCjh8EO5imueP1jB7jaYzci_xuORc4mvJM6WjCFYWzj"&amp;"6_XOCoT4xC99nXwA0x4aMIGlTkkiiF=w1200|https://lh3.googleusercontent.com/pw/AP1GczNELaJ7ba1f7fRSwG-sgDZemLcmW9bTpvZ3j4H5ZC-cs5Ykf-qjbCdamU0PKq-1NFAMVVsP0Hv44FV669mTZrjDR9VXcigrA-9BcL_BjqRcbdrUhSB8=w1200")</f>
        <v>https://lh3.googleusercontent.com/pw/AP1GczNi77PrtKKjlIGgGxNbtLrEAU5up7u-v3rv2WohKJLeydQC3kghcwftXDRHfOVt0OcPulKUKJpWDatFJExh2Tsu2L8A_FUUGXTeB-vtfEpZviaXHjFG=w1200|https://lh3.googleusercontent.com/pw/AP1GczPN4LkqSmgDjQTtGawF6u3TINK_aH6cx5IGxOvrZ5UgA2O0Pz-JberBDQrz4Fj-VlRzOSiFpWnevj1QxTe9MmZsxlxLgbKLVgGSLRtHTE1Jg0IAuap0=w1200|https://lh3.googleusercontent.com/pw/AP1GczNnyWOmr6QpeySSD9PmItP-aJAmp5VrdyGGALIFEd4zrQ3qUaEQBh9V71NHiBxak6fE8RsLVsyT_d_TtdEELhIaJOS03LlTqRNZ3Ir_x6Spkvu7ioAS=w1200|https://lh3.googleusercontent.com/pw/AP1GczNcoHPdM1NH8U1qRcFytPTEgrkkH94iTFOllQ07DaBBykLt1X38T7kHso9eDJGTTtEjEsdJA5mUn49ZNVTLhw60MkWcfFaTNKa4cW-ujNejZpbJkzA1=w1200|https://lh3.googleusercontent.com/pw/AP1GczPOOw4jUCB7u0dx4r227GDlxI3X59B-XF_NE-XAQVSUcVmCJhZgeM7k9OfAPcQ93v5AltyznuPkP3ramiB-BhpuLNm63J0F_eoKddjIVEEbJpJix5Su=w1200|https://lh3.googleusercontent.com/pw/AP1GczPSZRnhQbFJAWm7SWPuycjaIPmn5Tv8PxyokQ4FxoNdmGkICB_M4zPqM92YM9KKBgjy-piBWRZluHT7U1r41bhllXEp5abDNf25MEl49jGheOVr7Aa2=w1200|https://lh3.googleusercontent.com/pw/AP1GczOQ163M-EPlGZTDEcg3duaXTvHI4iIlZHU2H334Ocfue3f0pJlkguZn8rcfPoQVzf-M0Pc9zB7Qucu3MzqShSqyTuEuW7ujTqYuySerqr3R3JFh6YCl=w1200|https://lh3.googleusercontent.com/pw/AP1GczPVb0JAYLhPHsyAW8vj79kvoRxjQZn_yKB3Ul6fIzelCjh8EO5imueP1jB7jaYzci_xuORc4mvJM6WjCFYWzj6_XOCoT4xC99nXwA0x4aMIGlTkkiiF=w1200|https://lh3.googleusercontent.com/pw/AP1GczNELaJ7ba1f7fRSwG-sgDZemLcmW9bTpvZ3j4H5ZC-cs5Ykf-qjbCdamU0PKq-1NFAMVVsP0Hv44FV669mTZrjDR9VXcigrA-9BcL_BjqRcbdrUhSB8=w1200</v>
      </c>
      <c r="AJ137" s="46"/>
      <c r="AK137" s="46"/>
      <c r="AL137" s="46"/>
      <c r="AM137" s="46"/>
      <c r="AN137" s="46"/>
      <c r="AO137" s="46"/>
      <c r="AP137" s="46"/>
      <c r="AQ137" s="46"/>
      <c r="AR137" s="46"/>
      <c r="AS137" s="46"/>
      <c r="AT137" s="46"/>
      <c r="AU137" s="46"/>
      <c r="AV137" s="46"/>
      <c r="AW137" s="46"/>
      <c r="AX137" s="46"/>
      <c r="AY137" s="46"/>
      <c r="AZ137" s="46"/>
      <c r="BA137" s="46"/>
      <c r="BB137" s="46"/>
      <c r="BC137" s="46"/>
      <c r="BD137" s="46"/>
      <c r="BE137" s="46"/>
      <c r="BF137" s="46"/>
      <c r="BG137" s="46"/>
      <c r="BH137" s="46"/>
      <c r="BI137" s="46"/>
      <c r="BJ137" s="46"/>
      <c r="BK137" s="46"/>
      <c r="BL137" s="46"/>
      <c r="BM137" s="46"/>
      <c r="BN137" s="46"/>
      <c r="BO137" s="46"/>
      <c r="BP137" s="46"/>
      <c r="BQ137" s="46"/>
      <c r="BR137" s="46"/>
      <c r="BS137" s="46"/>
      <c r="BT137" s="46"/>
      <c r="BU137" s="46"/>
      <c r="BV137" s="46"/>
      <c r="BW137" s="46"/>
      <c r="BX137" s="46"/>
      <c r="BY137" s="46"/>
      <c r="BZ137" s="46"/>
      <c r="CA137" s="46"/>
      <c r="CB137" s="46"/>
      <c r="CC137" s="46"/>
    </row>
    <row r="138">
      <c r="A138" s="87" t="str">
        <f>IFERROR(__xludf.DUMMYFUNCTION("""COMPUTED_VALUE"""),"270")</f>
        <v>270</v>
      </c>
      <c r="B138" s="46" t="str">
        <f>IFERROR(__xludf.DUMMYFUNCTION("""COMPUTED_VALUE"""),"Casa en barrio Alameda de Monterrey")</f>
        <v>Casa en barrio Alameda de Monterrey</v>
      </c>
      <c r="C138" s="46" t="str">
        <f>IFERROR(__xludf.DUMMYFUNCTION("""COMPUTED_VALUE"""),"Casa")</f>
        <v>Casa</v>
      </c>
      <c r="D138" s="90" t="str">
        <f>IFERROR(__xludf.DUMMYFUNCTION("""COMPUTED_VALUE"""),"Alameda de Monterrey")</f>
        <v>Alameda de Monterrey</v>
      </c>
      <c r="E138" s="46"/>
      <c r="F138" s="90">
        <f>IFERROR(__xludf.DUMMYFUNCTION("""COMPUTED_VALUE"""),3.6E8)</f>
        <v>360000000</v>
      </c>
      <c r="G138" s="46" t="str">
        <f>IFERROR(__xludf.DUMMYFUNCTION("""COMPUTED_VALUE"""),"$300'000.000 a $400'000.000")</f>
        <v>$300'000.000 a $400'000.000</v>
      </c>
      <c r="H138" s="46"/>
      <c r="I138" s="46"/>
      <c r="J138" s="46" t="str">
        <f>IFERROR(__xludf.DUMMYFUNCTION("""COMPUTED_VALUE"""),"Norte")</f>
        <v>Norte</v>
      </c>
      <c r="K138" s="87"/>
      <c r="L138" s="46">
        <f>IFERROR(__xludf.DUMMYFUNCTION("""COMPUTED_VALUE"""),4.0)</f>
        <v>4</v>
      </c>
      <c r="M138" s="46"/>
      <c r="N138" s="46">
        <f>IFERROR(__xludf.DUMMYFUNCTION("""COMPUTED_VALUE"""),3.0)</f>
        <v>3</v>
      </c>
      <c r="O138" s="46">
        <f>IFERROR(__xludf.DUMMYFUNCTION("""COMPUTED_VALUE"""),1.0)</f>
        <v>1</v>
      </c>
      <c r="P138" s="46">
        <f>IFERROR(__xludf.DUMMYFUNCTION("""COMPUTED_VALUE"""),2.0)</f>
        <v>2</v>
      </c>
      <c r="Q138" s="92">
        <f>IFERROR(__xludf.DUMMYFUNCTION("""COMPUTED_VALUE"""),144.58)</f>
        <v>144.58</v>
      </c>
      <c r="R138" s="92">
        <f>IFERROR(__xludf.DUMMYFUNCTION("""COMPUTED_VALUE"""),0.0)</f>
        <v>0</v>
      </c>
      <c r="S138" s="87" t="str">
        <f>IFERROR(__xludf.DUMMYFUNCTION("""COMPUTED_VALUE""")," ")</f>
        <v> </v>
      </c>
      <c r="T138" s="46" t="str">
        <f>IFERROR(__xludf.DUMMYFUNCTION("""COMPUTED_VALUE"""),"Neiva")</f>
        <v>Neiva</v>
      </c>
      <c r="U138" s="87" t="str">
        <f>IFERROR(__xludf.DUMMYFUNCTION("""COMPUTED_VALUE"""),"2")</f>
        <v>2</v>
      </c>
      <c r="V138" s="46" t="str">
        <f>IFERROR(__xludf.DUMMYFUNCTION("""COMPUTED_VALUE"""),"Medianera")</f>
        <v>Medianera</v>
      </c>
      <c r="W138" s="46"/>
      <c r="X138" s="46">
        <f>IFERROR(__xludf.DUMMYFUNCTION("""COMPUTED_VALUE"""),3.0)</f>
        <v>3</v>
      </c>
      <c r="Y138" s="46" t="str">
        <f>IFERROR(__xludf.DUMMYFUNCTION("""COMPUTED_VALUE"""),"No tiene")</f>
        <v>No tiene</v>
      </c>
      <c r="Z138" s="90" t="str">
        <f>IFERROR(__xludf.DUMMYFUNCTION("""COMPUTED_VALUE"""),"No aplica")</f>
        <v>No aplica</v>
      </c>
      <c r="AA138" s="33" t="str">
        <f>IFERROR(__xludf.DUMMYFUNCTION("""COMPUTED_VALUE"""),"No aplica")</f>
        <v>No aplica</v>
      </c>
      <c r="AB138" s="144" t="str">
        <f>IFERROR(__xludf.DUMMYFUNCTION("""COMPUTED_VALUE"""),"https://photos.app.goo.gl/rbQzFLXogtBkhVvR6")</f>
        <v>https://photos.app.goo.gl/rbQzFLXogtBkhVvR6</v>
      </c>
      <c r="AC138" s="46"/>
      <c r="AD138" s="46"/>
      <c r="AE138" s="46"/>
      <c r="AF138" s="46" t="str">
        <f>IFERROR(__xludf.DUMMYFUNCTION("""COMPUTED_VALUE"""),"integral")</f>
        <v>integral</v>
      </c>
      <c r="AG138" s="46"/>
      <c r="AH138" s="46" t="str">
        <f>IFERROR(__xludf.DUMMYFUNCTION("""COMPUTED_VALUE"""),"Aliado")</f>
        <v>Aliado</v>
      </c>
      <c r="AI138" s="92" t="str">
        <f>IFERROR(__xludf.DUMMYFUNCTION("""COMPUTED_VALUE"""),"https://lh3.googleusercontent.com/pw/AP1GczNsgZEzHYCRtycsA7Hf-SN1f5tlBPhvSxvfpOgTLG_9L77iE2OyQTG6pe724xJgyCSYyfgo1eTqMaY4cVkrknS3VEFnh14BoXYGDaivfMHj8rgoneB_=w1200|https://lh3.googleusercontent.com/pw/AP1GczMlGfvLDPMThXEUuq2O6K3FY6b3BZ2jiuLhfSd6CovIORIOVO"&amp;"I0_yGtOw6Tbhd2Bqs9vFNiHMdAZy6aBh7FcKMx2gVKP8RZGOZRNtfmoUZIfa1PayHU=w1200|https://lh3.googleusercontent.com/pw/AP1GczNPTcpEwARS7u-1be0_f5qEoDeNvSYB-ZTalfZjtmBVGtdcEchOIFH4t4n0bPBTabXHTDCH6W529xB2S59-mKxd_-IwZ76b8jqCu5PB8Mtarj8g4cpr=w1200|https://lh3.google"&amp;"usercontent.com/pw/AP1GczPHTmWdsIdNOnqsHPbA0aLsavDsJKFq_C_A_TWWK-6HEhDJCOFqGud9orDjEPy-l13_ocvC6WwAlbnoESFoQsd_eEsOM97vS5XWTWw1cvo4cYHQD3rX=w1200|https://lh3.googleusercontent.com/pw/AP1GczNPaBaiSDiIiBakND-hDbrezIguko3JaW3jYGvaAOWJRYH5-dj3PQTJOCzgImbhwo7H"&amp;"U9i77-u4cU2uBTCKQ8Tp9Cc98T9I09lR48FdgCjzcfwSSRaY=w1200|https://lh3.googleusercontent.com/pw/AP1GczN-Mepay71ar0F-U-qu9JzF0SnG_ftpQr913n-nZ8r1D0e_d9KNPGcrNBEl3EUziJfa_H97I8ixvtBMGuX4cLWKvHWS-DQgzeteXQtMmukvSwwhPbFU=w1200|https://lh3.googleusercontent.com/pw"&amp;"/AP1GczNP9EFkrAvQ4H8EWhCd17rTJ3JxsehjCYOOoIAah5ppAKEtZIILMi8tLHBgsg1rI0BTa-_QATXS2uBlWwHG7JFfruTOLPh4Pcqh0NGgcXdCz1llo-Ax=w1200|https://lh3.googleusercontent.com/pw/AP1GczMCoxQBxqxuy2lGncKOX6uF-JEWR_1j6icGOJq2K3QxIbo_fccdAXyGaxyOG-0o3DWF4WIDdbCQmev3UXMQwI"&amp;"xO8RjCfeWAh88a7Rqzr-2MQyA-yqhG=w1200|https://lh3.googleusercontent.com/pw/AP1GczOY9RuAx1KQ4xIo8mKkEFsr6s5tvKXTS84I9sbvaI8sqYwRkknCSGtQ3Y9aDZeOmCMxGhT0X9YxY4G6oQKWn91YpHankgplYoelusIsmAyLpq44oLx8=w1200|https://lh3.googleusercontent.com/pw/AP1GczME3d-pN9kNM"&amp;"cK1JbuzV3bEXKDWWlDnEhddNrI0QEvx8wtZPXH-EDY0rDqQtKzFC5rBmQlkDHSzyAnF73Pui6r5Pg8dakg42Fkzp2oVRzEgJoo5Icoz=w1200")</f>
        <v>https://lh3.googleusercontent.com/pw/AP1GczNsgZEzHYCRtycsA7Hf-SN1f5tlBPhvSxvfpOgTLG_9L77iE2OyQTG6pe724xJgyCSYyfgo1eTqMaY4cVkrknS3VEFnh14BoXYGDaivfMHj8rgoneB_=w1200|https://lh3.googleusercontent.com/pw/AP1GczMlGfvLDPMThXEUuq2O6K3FY6b3BZ2jiuLhfSd6CovIORIOVOI0_yGtOw6Tbhd2Bqs9vFNiHMdAZy6aBh7FcKMx2gVKP8RZGOZRNtfmoUZIfa1PayHU=w1200|https://lh3.googleusercontent.com/pw/AP1GczNPTcpEwARS7u-1be0_f5qEoDeNvSYB-ZTalfZjtmBVGtdcEchOIFH4t4n0bPBTabXHTDCH6W529xB2S59-mKxd_-IwZ76b8jqCu5PB8Mtarj8g4cpr=w1200|https://lh3.googleusercontent.com/pw/AP1GczPHTmWdsIdNOnqsHPbA0aLsavDsJKFq_C_A_TWWK-6HEhDJCOFqGud9orDjEPy-l13_ocvC6WwAlbnoESFoQsd_eEsOM97vS5XWTWw1cvo4cYHQD3rX=w1200|https://lh3.googleusercontent.com/pw/AP1GczNPaBaiSDiIiBakND-hDbrezIguko3JaW3jYGvaAOWJRYH5-dj3PQTJOCzgImbhwo7HU9i77-u4cU2uBTCKQ8Tp9Cc98T9I09lR48FdgCjzcfwSSRaY=w1200|https://lh3.googleusercontent.com/pw/AP1GczN-Mepay71ar0F-U-qu9JzF0SnG_ftpQr913n-nZ8r1D0e_d9KNPGcrNBEl3EUziJfa_H97I8ixvtBMGuX4cLWKvHWS-DQgzeteXQtMmukvSwwhPbFU=w1200|https://lh3.googleusercontent.com/pw/AP1GczNP9EFkrAvQ4H8EWhCd17rTJ3JxsehjCYOOoIAah5ppAKEtZIILMi8tLHBgsg1rI0BTa-_QATXS2uBlWwHG7JFfruTOLPh4Pcqh0NGgcXdCz1llo-Ax=w1200|https://lh3.googleusercontent.com/pw/AP1GczMCoxQBxqxuy2lGncKOX6uF-JEWR_1j6icGOJq2K3QxIbo_fccdAXyGaxyOG-0o3DWF4WIDdbCQmev3UXMQwIxO8RjCfeWAh88a7Rqzr-2MQyA-yqhG=w1200|https://lh3.googleusercontent.com/pw/AP1GczOY9RuAx1KQ4xIo8mKkEFsr6s5tvKXTS84I9sbvaI8sqYwRkknCSGtQ3Y9aDZeOmCMxGhT0X9YxY4G6oQKWn91YpHankgplYoelusIsmAyLpq44oLx8=w1200|https://lh3.googleusercontent.com/pw/AP1GczME3d-pN9kNMcK1JbuzV3bEXKDWWlDnEhddNrI0QEvx8wtZPXH-EDY0rDqQtKzFC5rBmQlkDHSzyAnF73Pui6r5Pg8dakg42Fkzp2oVRzEgJoo5Icoz=w1200</v>
      </c>
      <c r="AJ138" s="46"/>
      <c r="AK138" s="46"/>
      <c r="AL138" s="46"/>
      <c r="AM138" s="46"/>
      <c r="AN138" s="46"/>
      <c r="AO138" s="46"/>
      <c r="AP138" s="46"/>
      <c r="AQ138" s="46"/>
      <c r="AR138" s="46"/>
      <c r="AS138" s="46"/>
      <c r="AT138" s="46"/>
      <c r="AU138" s="46"/>
      <c r="AV138" s="46"/>
      <c r="AW138" s="46"/>
      <c r="AX138" s="46"/>
      <c r="AY138" s="46"/>
      <c r="AZ138" s="46"/>
      <c r="BA138" s="46"/>
      <c r="BB138" s="46"/>
      <c r="BC138" s="46"/>
      <c r="BD138" s="46"/>
      <c r="BE138" s="46"/>
      <c r="BF138" s="46"/>
      <c r="BG138" s="46"/>
      <c r="BH138" s="46"/>
      <c r="BI138" s="46"/>
      <c r="BJ138" s="46"/>
      <c r="BK138" s="46"/>
      <c r="BL138" s="46"/>
      <c r="BM138" s="46"/>
      <c r="BN138" s="46"/>
      <c r="BO138" s="46"/>
      <c r="BP138" s="46"/>
      <c r="BQ138" s="46"/>
      <c r="BR138" s="46"/>
      <c r="BS138" s="46"/>
      <c r="BT138" s="46"/>
      <c r="BU138" s="46"/>
      <c r="BV138" s="46"/>
      <c r="BW138" s="46"/>
      <c r="BX138" s="46"/>
      <c r="BY138" s="46"/>
      <c r="BZ138" s="46"/>
      <c r="CA138" s="46"/>
      <c r="CB138" s="46"/>
      <c r="CC138" s="46"/>
    </row>
    <row r="139">
      <c r="A139" s="87" t="str">
        <f>IFERROR(__xludf.DUMMYFUNCTION("""COMPUTED_VALUE"""),"046")</f>
        <v>046</v>
      </c>
      <c r="B139" s="46" t="str">
        <f>IFERROR(__xludf.DUMMYFUNCTION("""COMPUTED_VALUE"""),"Casa en barrio La Coruña de Berdez III - Alcalá")</f>
        <v>Casa en barrio La Coruña de Berdez III - Alcalá</v>
      </c>
      <c r="C139" s="46" t="str">
        <f>IFERROR(__xludf.DUMMYFUNCTION("""COMPUTED_VALUE"""),"Casa")</f>
        <v>Casa</v>
      </c>
      <c r="D139" s="90" t="str">
        <f>IFERROR(__xludf.DUMMYFUNCTION("""COMPUTED_VALUE"""),"La Coruña de Berdez III - Alcala")</f>
        <v>La Coruña de Berdez III - Alcala</v>
      </c>
      <c r="E139" s="46"/>
      <c r="F139" s="90">
        <f>IFERROR(__xludf.DUMMYFUNCTION("""COMPUTED_VALUE"""),3.3E8)</f>
        <v>330000000</v>
      </c>
      <c r="G139" s="46" t="str">
        <f>IFERROR(__xludf.DUMMYFUNCTION("""COMPUTED_VALUE"""),"$300'000.000 a $400'000.000")</f>
        <v>$300'000.000 a $400'000.000</v>
      </c>
      <c r="H139" s="46"/>
      <c r="I139" s="46"/>
      <c r="J139" s="46" t="str">
        <f>IFERROR(__xludf.DUMMYFUNCTION("""COMPUTED_VALUE"""),"Occidente")</f>
        <v>Occidente</v>
      </c>
      <c r="K139" s="87"/>
      <c r="L139" s="46">
        <f>IFERROR(__xludf.DUMMYFUNCTION("""COMPUTED_VALUE"""),4.0)</f>
        <v>4</v>
      </c>
      <c r="M139" s="46"/>
      <c r="N139" s="46">
        <f>IFERROR(__xludf.DUMMYFUNCTION("""COMPUTED_VALUE"""),2.0)</f>
        <v>2</v>
      </c>
      <c r="O139" s="46">
        <f>IFERROR(__xludf.DUMMYFUNCTION("""COMPUTED_VALUE"""),1.0)</f>
        <v>1</v>
      </c>
      <c r="P139" s="46">
        <f>IFERROR(__xludf.DUMMYFUNCTION("""COMPUTED_VALUE"""),1.0)</f>
        <v>1</v>
      </c>
      <c r="Q139" s="92">
        <f>IFERROR(__xludf.DUMMYFUNCTION("""COMPUTED_VALUE"""),114.8)</f>
        <v>114.8</v>
      </c>
      <c r="R139" s="92">
        <f>IFERROR(__xludf.DUMMYFUNCTION("""COMPUTED_VALUE"""),154.26)</f>
        <v>154.26</v>
      </c>
      <c r="S139" s="87" t="str">
        <f>IFERROR(__xludf.DUMMYFUNCTION("""COMPUTED_VALUE""")," ")</f>
        <v> </v>
      </c>
      <c r="T139" s="46" t="str">
        <f>IFERROR(__xludf.DUMMYFUNCTION("""COMPUTED_VALUE"""),"Palermo")</f>
        <v>Palermo</v>
      </c>
      <c r="U139" s="87" t="str">
        <f>IFERROR(__xludf.DUMMYFUNCTION("""COMPUTED_VALUE"""),"2")</f>
        <v>2</v>
      </c>
      <c r="V139" s="46" t="str">
        <f>IFERROR(__xludf.DUMMYFUNCTION("""COMPUTED_VALUE"""),"Esquinera")</f>
        <v>Esquinera</v>
      </c>
      <c r="W139" s="46"/>
      <c r="X139" s="46">
        <f>IFERROR(__xludf.DUMMYFUNCTION("""COMPUTED_VALUE"""),3.0)</f>
        <v>3</v>
      </c>
      <c r="Y139" s="46" t="str">
        <f>IFERROR(__xludf.DUMMYFUNCTION("""COMPUTED_VALUE"""),"No tiene")</f>
        <v>No tiene</v>
      </c>
      <c r="Z139" s="90" t="str">
        <f>IFERROR(__xludf.DUMMYFUNCTION("""COMPUTED_VALUE"""),"No aplica")</f>
        <v>No aplica</v>
      </c>
      <c r="AA139" s="33" t="str">
        <f>IFERROR(__xludf.DUMMYFUNCTION("""COMPUTED_VALUE"""),"No aplica")</f>
        <v>No aplica</v>
      </c>
      <c r="AB139" s="144" t="str">
        <f>IFERROR(__xludf.DUMMYFUNCTION("""COMPUTED_VALUE"""),"https://photos.app.goo.gl/CK4neNebqKpGsjQf6")</f>
        <v>https://photos.app.goo.gl/CK4neNebqKpGsjQf6</v>
      </c>
      <c r="AC139" s="46"/>
      <c r="AD139" s="46"/>
      <c r="AE139" s="46"/>
      <c r="AF139" s="46" t="str">
        <f>IFERROR(__xludf.DUMMYFUNCTION("""COMPUTED_VALUE"""),"integral")</f>
        <v>integral</v>
      </c>
      <c r="AG139" s="46"/>
      <c r="AH139" s="46" t="str">
        <f>IFERROR(__xludf.DUMMYFUNCTION("""COMPUTED_VALUE"""),"Aliado")</f>
        <v>Aliado</v>
      </c>
      <c r="AI139" s="92" t="str">
        <f>IFERROR(__xludf.DUMMYFUNCTION("""COMPUTED_VALUE"""),"https://lh3.googleusercontent.com/pw/AP1GczORaItlJAt93dH0XrPDU1Wr7nhPoWUA-seTRgn6GAUGzFj8XmBcXSXPBcQsptI_LWwDiFmaC5SCPJiN7B1mYwsF0fc0ao8qDP4fzeekZwtFdHbfOuoZ=w1200|https://lh3.googleusercontent.com/pw/AP1GczMxM4tXO70Nc4ke3qn8HD_ApsWh5SOgyIeI3cy2u3iKZRGvHA"&amp;"MaJWFj_E4n1lOAlqX52VLKfV8NRlc_N0U1Pr8abAkLTTWNN4c83xm6SQEtCzTCSXnv=w1200|https://lh3.googleusercontent.com/pw/AP1GczOlIogA2T-PeIAkHhduLnrlgQTqriwodVYlcDO1uEuML5H7fIoj3bjPP_Snnle1dypznjNYXW6nvwmEwA1amgmK2AL3J9m7QNSc5uuXCs8L8YqHTnyt=w1200|https://lh3.google"&amp;"usercontent.com/pw/AP1GczMGRBniDZcvK5-nFvQAlqFWpegmGHY87fAFf7BQGwiQDxw4mbeOTSXLGH1PcA_hNsBRJwGClZv5PulvXNVKtes-U6sGbVuHDYBxdfSjD1M0tKx4NDFe=w1200|https://lh3.googleusercontent.com/pw/AP1GczNiSP7yBaUJ5gVVVo2BQmzjpPQnoz5rxCLLmP1bIU1zYeM_OYR9S3WUFDMC5OVS-RR7"&amp;"uEBahhYI3vz6mj-Rk_jEudOkI3LAjwDFSXvQ-eMCzSH2OSMC=w1200|https://lh3.googleusercontent.com/pw/AP1GczP2mcrG24Qittq9hbLFWdrjUcQjAdFRhiIZZjoC7TMqcHu9EGQf3ckmmZRxxUPAJBc82drwGsU7WZ7ja4UWy3LtXM_qW9U5wjBYMtaY50Kk2oC9-T2H=w1200|https://lh3.googleusercontent.com/pw"&amp;"/AP1GczOW7wItCyjllqX-aRBkRxKj3Uirrhbo3Nrkig5xa1hmi5Gf0PqRoO78Voe0PTeMnwalA7IxmX4avxyHRIjm3DlKkziFK2mgNTQTtdOEjSXq9LbVXuph=w1200|https://lh3.googleusercontent.com/pw/AP1GczM766YkIguhg6uqreL-nq6LcseHRyMDjSHN8JuLpOHDZMujLvIrdTY1Qps1aYSVvcU-oh3y5SX_YgiNwC4Vif"&amp;"lsrb3jlgU3LXjfNqW7TwyxO2S9F1Vm=w1200|https://lh3.googleusercontent.com/pw/AP1GczOZDRjstJx5VphVjxvJs32rfdmKPI0xS-ZUaK_nm8FCXJP6oyLeW-rUMyCixQ3qtaDv5Y41c5SHzm4gCPhLMf3JF3UYEqK-a-dtOsJ3PBPItYc46lPL=w1200|https://lh3.googleusercontent.com/pw/AP1GczNM7eQ_oArBe"&amp;"Vs0YZOoTIKwd5a4pkCvmjeY3hyhONGBOP1qrpXa_KIFvyqY-96esEsQzYWbKcr1jpLZMJFmJB1IFH_ZzB6jH6UTjd5X0hln3jflYqW5=w1200|https://lh3.googleusercontent.com/pw/AP1GczNzjXakKOwF1zF7UmlC4xPsMRqrVWKH2wPMV5beX66qL7r-0WnnASr__f8QetLRH7CTAqUqTFMrY2JwIpagcs5ooLvpHybrZOqwsr05"&amp;"sDRyvC9ISQqA=w1200")</f>
        <v>https://lh3.googleusercontent.com/pw/AP1GczORaItlJAt93dH0XrPDU1Wr7nhPoWUA-seTRgn6GAUGzFj8XmBcXSXPBcQsptI_LWwDiFmaC5SCPJiN7B1mYwsF0fc0ao8qDP4fzeekZwtFdHbfOuoZ=w1200|https://lh3.googleusercontent.com/pw/AP1GczMxM4tXO70Nc4ke3qn8HD_ApsWh5SOgyIeI3cy2u3iKZRGvHAMaJWFj_E4n1lOAlqX52VLKfV8NRlc_N0U1Pr8abAkLTTWNN4c83xm6SQEtCzTCSXnv=w1200|https://lh3.googleusercontent.com/pw/AP1GczOlIogA2T-PeIAkHhduLnrlgQTqriwodVYlcDO1uEuML5H7fIoj3bjPP_Snnle1dypznjNYXW6nvwmEwA1amgmK2AL3J9m7QNSc5uuXCs8L8YqHTnyt=w1200|https://lh3.googleusercontent.com/pw/AP1GczMGRBniDZcvK5-nFvQAlqFWpegmGHY87fAFf7BQGwiQDxw4mbeOTSXLGH1PcA_hNsBRJwGClZv5PulvXNVKtes-U6sGbVuHDYBxdfSjD1M0tKx4NDFe=w1200|https://lh3.googleusercontent.com/pw/AP1GczNiSP7yBaUJ5gVVVo2BQmzjpPQnoz5rxCLLmP1bIU1zYeM_OYR9S3WUFDMC5OVS-RR7uEBahhYI3vz6mj-Rk_jEudOkI3LAjwDFSXvQ-eMCzSH2OSMC=w1200|https://lh3.googleusercontent.com/pw/AP1GczP2mcrG24Qittq9hbLFWdrjUcQjAdFRhiIZZjoC7TMqcHu9EGQf3ckmmZRxxUPAJBc82drwGsU7WZ7ja4UWy3LtXM_qW9U5wjBYMtaY50Kk2oC9-T2H=w1200|https://lh3.googleusercontent.com/pw/AP1GczOW7wItCyjllqX-aRBkRxKj3Uirrhbo3Nrkig5xa1hmi5Gf0PqRoO78Voe0PTeMnwalA7IxmX4avxyHRIjm3DlKkziFK2mgNTQTtdOEjSXq9LbVXuph=w1200|https://lh3.googleusercontent.com/pw/AP1GczM766YkIguhg6uqreL-nq6LcseHRyMDjSHN8JuLpOHDZMujLvIrdTY1Qps1aYSVvcU-oh3y5SX_YgiNwC4Viflsrb3jlgU3LXjfNqW7TwyxO2S9F1Vm=w1200|https://lh3.googleusercontent.com/pw/AP1GczOZDRjstJx5VphVjxvJs32rfdmKPI0xS-ZUaK_nm8FCXJP6oyLeW-rUMyCixQ3qtaDv5Y41c5SHzm4gCPhLMf3JF3UYEqK-a-dtOsJ3PBPItYc46lPL=w1200|https://lh3.googleusercontent.com/pw/AP1GczNM7eQ_oArBeVs0YZOoTIKwd5a4pkCvmjeY3hyhONGBOP1qrpXa_KIFvyqY-96esEsQzYWbKcr1jpLZMJFmJB1IFH_ZzB6jH6UTjd5X0hln3jflYqW5=w1200|https://lh3.googleusercontent.com/pw/AP1GczNzjXakKOwF1zF7UmlC4xPsMRqrVWKH2wPMV5beX66qL7r-0WnnASr__f8QetLRH7CTAqUqTFMrY2JwIpagcs5ooLvpHybrZOqwsr05sDRyvC9ISQqA=w1200</v>
      </c>
      <c r="AJ139" s="46"/>
      <c r="AK139" s="46"/>
      <c r="AL139" s="46"/>
      <c r="AM139" s="46"/>
      <c r="AN139" s="46"/>
      <c r="AO139" s="46"/>
      <c r="AP139" s="46"/>
      <c r="AQ139" s="46"/>
      <c r="AR139" s="46"/>
      <c r="AS139" s="46"/>
      <c r="AT139" s="46"/>
      <c r="AU139" s="46"/>
      <c r="AV139" s="46"/>
      <c r="AW139" s="46"/>
      <c r="AX139" s="46"/>
      <c r="AY139" s="46"/>
      <c r="AZ139" s="46"/>
      <c r="BA139" s="46"/>
      <c r="BB139" s="46"/>
      <c r="BC139" s="46"/>
      <c r="BD139" s="46"/>
      <c r="BE139" s="46"/>
      <c r="BF139" s="46"/>
      <c r="BG139" s="46"/>
      <c r="BH139" s="46"/>
      <c r="BI139" s="46"/>
      <c r="BJ139" s="46"/>
      <c r="BK139" s="46"/>
      <c r="BL139" s="46"/>
      <c r="BM139" s="46"/>
      <c r="BN139" s="46"/>
      <c r="BO139" s="46"/>
      <c r="BP139" s="46"/>
      <c r="BQ139" s="46"/>
      <c r="BR139" s="46"/>
      <c r="BS139" s="46"/>
      <c r="BT139" s="46"/>
      <c r="BU139" s="46"/>
      <c r="BV139" s="46"/>
      <c r="BW139" s="46"/>
      <c r="BX139" s="46"/>
      <c r="BY139" s="46"/>
      <c r="BZ139" s="46"/>
      <c r="CA139" s="46"/>
      <c r="CB139" s="46"/>
      <c r="CC139" s="46"/>
    </row>
    <row r="140">
      <c r="A140" s="87" t="str">
        <f>IFERROR(__xludf.DUMMYFUNCTION("""COMPUTED_VALUE"""),"093")</f>
        <v>093</v>
      </c>
      <c r="B140" s="46" t="str">
        <f>IFERROR(__xludf.DUMMYFUNCTION("""COMPUTED_VALUE"""),"Edificio con dos apartamentos y un apartaestudio en barrio El Cortijo")</f>
        <v>Edificio con dos apartamentos y un apartaestudio en barrio El Cortijo</v>
      </c>
      <c r="C140" s="46" t="str">
        <f>IFERROR(__xludf.DUMMYFUNCTION("""COMPUTED_VALUE"""),"Edificio rentable")</f>
        <v>Edificio rentable</v>
      </c>
      <c r="D140" s="46" t="str">
        <f>IFERROR(__xludf.DUMMYFUNCTION("""COMPUTED_VALUE"""),"El Cortijo ")</f>
        <v>El Cortijo </v>
      </c>
      <c r="E140" s="46"/>
      <c r="F140" s="90">
        <f>IFERROR(__xludf.DUMMYFUNCTION("""COMPUTED_VALUE"""),3.2E8)</f>
        <v>320000000</v>
      </c>
      <c r="G140" s="46" t="str">
        <f>IFERROR(__xludf.DUMMYFUNCTION("""COMPUTED_VALUE"""),"$300'000.000 a $400'000.000")</f>
        <v>$300'000.000 a $400'000.000</v>
      </c>
      <c r="H140" s="46"/>
      <c r="I140" s="46"/>
      <c r="J140" s="46" t="str">
        <f>IFERROR(__xludf.DUMMYFUNCTION("""COMPUTED_VALUE"""),"Norte")</f>
        <v>Norte</v>
      </c>
      <c r="K140" s="87"/>
      <c r="L140" s="46">
        <f>IFERROR(__xludf.DUMMYFUNCTION("""COMPUTED_VALUE"""),7.0)</f>
        <v>7</v>
      </c>
      <c r="M140" s="46"/>
      <c r="N140" s="46">
        <f>IFERROR(__xludf.DUMMYFUNCTION("""COMPUTED_VALUE"""),4.0)</f>
        <v>4</v>
      </c>
      <c r="O140" s="46">
        <f>IFERROR(__xludf.DUMMYFUNCTION("""COMPUTED_VALUE"""),1.0)</f>
        <v>1</v>
      </c>
      <c r="P140" s="46">
        <f>IFERROR(__xludf.DUMMYFUNCTION("""COMPUTED_VALUE"""),3.0)</f>
        <v>3</v>
      </c>
      <c r="Q140" s="92"/>
      <c r="R140" s="92">
        <f>IFERROR(__xludf.DUMMYFUNCTION("""COMPUTED_VALUE"""),120.0)</f>
        <v>120</v>
      </c>
      <c r="S140" s="87" t="str">
        <f>IFERROR(__xludf.DUMMYFUNCTION("""COMPUTED_VALUE"""),"Rentabilidad $1,500,000")</f>
        <v>Rentabilidad $1,500,000</v>
      </c>
      <c r="T140" s="46" t="str">
        <f>IFERROR(__xludf.DUMMYFUNCTION("""COMPUTED_VALUE"""),"Neiva")</f>
        <v>Neiva</v>
      </c>
      <c r="U140" s="87" t="str">
        <f>IFERROR(__xludf.DUMMYFUNCTION("""COMPUTED_VALUE"""),"2")</f>
        <v>2</v>
      </c>
      <c r="V140" s="46" t="str">
        <f>IFERROR(__xludf.DUMMYFUNCTION("""COMPUTED_VALUE"""),"Medianera")</f>
        <v>Medianera</v>
      </c>
      <c r="W140" s="46"/>
      <c r="X140" s="46">
        <f>IFERROR(__xludf.DUMMYFUNCTION("""COMPUTED_VALUE"""),4.0)</f>
        <v>4</v>
      </c>
      <c r="Y140" s="46" t="str">
        <f>IFERROR(__xludf.DUMMYFUNCTION("""COMPUTED_VALUE"""),"No tiene")</f>
        <v>No tiene</v>
      </c>
      <c r="Z140" s="90" t="str">
        <f>IFERROR(__xludf.DUMMYFUNCTION("""COMPUTED_VALUE"""),"No aplica")</f>
        <v>No aplica</v>
      </c>
      <c r="AA140" s="33" t="str">
        <f>IFERROR(__xludf.DUMMYFUNCTION("""COMPUTED_VALUE"""),"18 años")</f>
        <v>18 años</v>
      </c>
      <c r="AB140" s="96" t="str">
        <f>IFERROR(__xludf.DUMMYFUNCTION("""COMPUTED_VALUE"""),"https://photos.app.goo.gl/mQPnUaNpv1YV5nfD6")</f>
        <v>https://photos.app.goo.gl/mQPnUaNpv1YV5nfD6</v>
      </c>
      <c r="AC140" s="46"/>
      <c r="AD140" s="46" t="str">
        <f>IFERROR(__xludf.DUMMYFUNCTION("""COMPUTED_VALUE"""),"Casa con reja antejardín, parqueadero amplio para un carro y motos. Ubicada a 3 cuadras de IAMI- Carmen Emilia Ospina, supermercado Olimpica, Centro comercial Unico. Escritura al día.")</f>
        <v>Casa con reja antejardín, parqueadero amplio para un carro y motos. Ubicada a 3 cuadras de IAMI- Carmen Emilia Ospina, supermercado Olimpica, Centro comercial Unico. Escritura al día.</v>
      </c>
      <c r="AE140" s="46"/>
      <c r="AF140" s="46" t="str">
        <f>IFERROR(__xludf.DUMMYFUNCTION("""COMPUTED_VALUE"""),"semi-integral")</f>
        <v>semi-integral</v>
      </c>
      <c r="AG140" s="46"/>
      <c r="AH140" s="46" t="str">
        <f>IFERROR(__xludf.DUMMYFUNCTION("""COMPUTED_VALUE"""),"Aliado")</f>
        <v>Aliado</v>
      </c>
      <c r="AI140" s="92" t="str">
        <f>IFERROR(__xludf.DUMMYFUNCTION("""COMPUTED_VALUE"""),"https://lh3.googleusercontent.com/pw/AP1GczMOcHiJNQjxL7qLqjW3Dz_jXLm0JvtsTANR49GT16fA4aEOLqYRBzw-qk7p-2D9_JKywBGwuuW2niALtjGbU7AFo9WwOihbp47bcamWoHbGVfdsGnFY=w1200|https://lh3.googleusercontent.com/pw/AP1GczPut9WPiVVNZuCz0FYLl8x5LzN9qlr3DMR_O--TOjgFEds8Mq"&amp;"GfqmTcU7MoDukm-oR2KbY3VYDHHp6gBzgHAaNzrJiiD9Lw1hWk4cVxfG2fFTGQXQiE=w1200|https://lh3.googleusercontent.com/pw/AP1GczM47JDDcyL-uDhRWsFmXjXpSkOUl8Py6ON3JfrHnp60Fwoa6vdz49O9kM2Quyx45eXc4OjntkIDpWebKLyHHTM8czJiGKCRZ2UW6tnH9KfZfCrK8eOL=w1200")</f>
        <v>https://lh3.googleusercontent.com/pw/AP1GczMOcHiJNQjxL7qLqjW3Dz_jXLm0JvtsTANR49GT16fA4aEOLqYRBzw-qk7p-2D9_JKywBGwuuW2niALtjGbU7AFo9WwOihbp47bcamWoHbGVfdsGnFY=w1200|https://lh3.googleusercontent.com/pw/AP1GczPut9WPiVVNZuCz0FYLl8x5LzN9qlr3DMR_O--TOjgFEds8MqGfqmTcU7MoDukm-oR2KbY3VYDHHp6gBzgHAaNzrJiiD9Lw1hWk4cVxfG2fFTGQXQiE=w1200|https://lh3.googleusercontent.com/pw/AP1GczM47JDDcyL-uDhRWsFmXjXpSkOUl8Py6ON3JfrHnp60Fwoa6vdz49O9kM2Quyx45eXc4OjntkIDpWebKLyHHTM8czJiGKCRZ2UW6tnH9KfZfCrK8eOL=w1200</v>
      </c>
      <c r="AJ140" s="46"/>
      <c r="AK140" s="46"/>
      <c r="AL140" s="46"/>
      <c r="AM140" s="46"/>
      <c r="AN140" s="46"/>
      <c r="AO140" s="46"/>
      <c r="AP140" s="46"/>
      <c r="AQ140" s="46"/>
      <c r="AR140" s="46"/>
      <c r="AS140" s="46"/>
      <c r="AT140" s="46"/>
      <c r="AU140" s="46"/>
      <c r="AV140" s="46"/>
      <c r="AW140" s="46"/>
      <c r="AX140" s="46"/>
      <c r="AY140" s="46"/>
      <c r="AZ140" s="46"/>
      <c r="BA140" s="46"/>
      <c r="BB140" s="46"/>
      <c r="BC140" s="46"/>
      <c r="BD140" s="46"/>
      <c r="BE140" s="46"/>
      <c r="BF140" s="46"/>
      <c r="BG140" s="46"/>
      <c r="BH140" s="46"/>
      <c r="BI140" s="46"/>
      <c r="BJ140" s="46"/>
      <c r="BK140" s="46"/>
      <c r="BL140" s="46"/>
      <c r="BM140" s="46"/>
      <c r="BN140" s="46"/>
      <c r="BO140" s="46"/>
      <c r="BP140" s="46"/>
      <c r="BQ140" s="46"/>
      <c r="BR140" s="46"/>
      <c r="BS140" s="46"/>
      <c r="BT140" s="46"/>
      <c r="BU140" s="46"/>
      <c r="BV140" s="46"/>
      <c r="BW140" s="46"/>
      <c r="BX140" s="46"/>
      <c r="BY140" s="46"/>
      <c r="BZ140" s="46"/>
      <c r="CA140" s="46"/>
      <c r="CB140" s="46"/>
      <c r="CC140" s="46"/>
    </row>
    <row r="141">
      <c r="A141" s="87" t="str">
        <f>IFERROR(__xludf.DUMMYFUNCTION("""COMPUTED_VALUE"""),"487")</f>
        <v>487</v>
      </c>
      <c r="B141" s="46" t="str">
        <f>IFERROR(__xludf.DUMMYFUNCTION("""COMPUTED_VALUE"""),"Finca cafetera y ganadera - Colombia - Huila")</f>
        <v>Finca cafetera y ganadera - Colombia - Huila</v>
      </c>
      <c r="C141" s="46" t="str">
        <f>IFERROR(__xludf.DUMMYFUNCTION("""COMPUTED_VALUE"""),"Finca")</f>
        <v>Finca</v>
      </c>
      <c r="D141" s="46"/>
      <c r="E141" s="46"/>
      <c r="F141" s="90">
        <f>IFERROR(__xludf.DUMMYFUNCTION("""COMPUTED_VALUE"""),3.0E8)</f>
        <v>300000000</v>
      </c>
      <c r="G141" s="46" t="str">
        <f>IFERROR(__xludf.DUMMYFUNCTION("""COMPUTED_VALUE"""),"$300'000.000 a $400'000.000")</f>
        <v>$300'000.000 a $400'000.000</v>
      </c>
      <c r="H141" s="46"/>
      <c r="I141" s="46"/>
      <c r="J141" s="46"/>
      <c r="K141" s="87"/>
      <c r="L141" s="46">
        <f>IFERROR(__xludf.DUMMYFUNCTION("""COMPUTED_VALUE"""),2.0)</f>
        <v>2</v>
      </c>
      <c r="M141" s="46"/>
      <c r="N141" s="46">
        <f>IFERROR(__xludf.DUMMYFUNCTION("""COMPUTED_VALUE"""),1.0)</f>
        <v>1</v>
      </c>
      <c r="O141" s="46">
        <f>IFERROR(__xludf.DUMMYFUNCTION("""COMPUTED_VALUE"""),0.0)</f>
        <v>0</v>
      </c>
      <c r="P141" s="46">
        <f>IFERROR(__xludf.DUMMYFUNCTION("""COMPUTED_VALUE"""),1.0)</f>
        <v>1</v>
      </c>
      <c r="Q141" s="92">
        <f>IFERROR(__xludf.DUMMYFUNCTION("""COMPUTED_VALUE"""),90.0)</f>
        <v>90</v>
      </c>
      <c r="R141" s="92">
        <f>IFERROR(__xludf.DUMMYFUNCTION("""COMPUTED_VALUE"""),100000.0)</f>
        <v>100000</v>
      </c>
      <c r="S141" s="87" t="str">
        <f>IFERROR(__xludf.DUMMYFUNCTION("""COMPUTED_VALUE""")," ")</f>
        <v> </v>
      </c>
      <c r="T141" s="46" t="str">
        <f>IFERROR(__xludf.DUMMYFUNCTION("""COMPUTED_VALUE"""),"Colombia")</f>
        <v>Colombia</v>
      </c>
      <c r="U141" s="87"/>
      <c r="V141" s="46"/>
      <c r="W141" s="46"/>
      <c r="X141" s="46">
        <f>IFERROR(__xludf.DUMMYFUNCTION("""COMPUTED_VALUE"""),0.0)</f>
        <v>0</v>
      </c>
      <c r="Y141" s="46" t="str">
        <f>IFERROR(__xludf.DUMMYFUNCTION("""COMPUTED_VALUE"""),"No tiene")</f>
        <v>No tiene</v>
      </c>
      <c r="Z141" s="90"/>
      <c r="AA141" s="33" t="str">
        <f>IFERROR(__xludf.DUMMYFUNCTION("""COMPUTED_VALUE"""),"No aplica")</f>
        <v>No aplica</v>
      </c>
      <c r="AB141" s="96" t="str">
        <f>IFERROR(__xludf.DUMMYFUNCTION("""COMPUTED_VALUE"""),"https://photos.app.goo.gl/WCUyAfmNQRqwh68T7")</f>
        <v>https://photos.app.goo.gl/WCUyAfmNQRqwh68T7</v>
      </c>
      <c r="AC141" s="46" t="str">
        <f>IFERROR(__xludf.DUMMYFUNCTION("""COMPUTED_VALUE"""),"Consta de casa habitacional con 2 habitaciones, pasillos, baño, cocina y 10 hectáreas con árboles frutales, cultivos de yuca, plátano, café.")</f>
        <v>Consta de casa habitacional con 2 habitaciones, pasillos, baño, cocina y 10 hectáreas con árboles frutales, cultivos de yuca, plátano, café.</v>
      </c>
      <c r="AD141" s="46" t="str">
        <f>IFERROR(__xludf.DUMMYFUNCTION("""COMPUTED_VALUE"""),"Se vende finca ubicada en el municipio de Colombia Huila. Tierra fértil para cultivos.")</f>
        <v>Se vende finca ubicada en el municipio de Colombia Huila. Tierra fértil para cultivos.</v>
      </c>
      <c r="AE141" s="46"/>
      <c r="AF141" s="46" t="str">
        <f>IFERROR(__xludf.DUMMYFUNCTION("""COMPUTED_VALUE"""),"básica")</f>
        <v>básica</v>
      </c>
      <c r="AG141" s="46"/>
      <c r="AH141" s="46" t="str">
        <f>IFERROR(__xludf.DUMMYFUNCTION("""COMPUTED_VALUE"""),"Aliado")</f>
        <v>Aliado</v>
      </c>
      <c r="AI141" s="92" t="str">
        <f>IFERROR(__xludf.DUMMYFUNCTION("""COMPUTED_VALUE"""),"https://lh3.googleusercontent.com/pw/AP1GczMXWiY-XPB_CGlh7azXMt6JE2XOVg2seMu3Yotzz7KI5ASrCstUcVDLHjgPM095MR67PwhiLH0bO_53DaG5Xpvq0IQsVPtnE76dt4DyEHptCM4oKw0J=w1200|https://lh3.googleusercontent.com/pw/AP1GczPQg88f6geSZTtZTei5qtKp2TgNbsACkopBjKPLEtzQk6cI13"&amp;"KCTYc15jv_CI1Yn3Utq_RlWv_EGRSqyd1oBOMESM5WYO2MOKMh8DFtgUrx3Te7dBx4=w1200|https://lh3.googleusercontent.com/pw/AP1GczO3-qGrAX4Tc_xgoUddICehsJnUnsGZls5ZaXCbwWzzXtEYbrweYDjz8U2xi-tPnZrEUMrB4U4mGKBbpK1dzLSBEB6e0zY7KRVFnMfuzCzJpX3iMIyK=w1200|https://lh3.google"&amp;"usercontent.com/pw/AP1GczMreGc8Zih4B0YurhaPtIP7nYGTbXK_lHCU0OPGXF6p0EddSc4w6FPGakbHV7lbshS9C7ZVVWUFvFIjFsYGjf_ewtcPRH_H4gDSspGQin5JUI-brHWq=w1200|https://lh3.googleusercontent.com/pw/AP1GczP9lSK-hD-zTOpAF18qnRWI9UXu0awwkk49y-ctZWkmInqD0xezv-ZTz5YJH6fjtVkl"&amp;"by5L1CaxFbBG-POLIoTHTfa8cDgrqV7cHBZRmK8ZXz8AK_-6=w1200|https://lh3.googleusercontent.com/pw/AP1GczNmnvvcRqTteMRzAY5-XnNY1plvq6CqfZf3sb_tXqHST-0zWNKUIV70AbvrTRcamG0yFZUDyDkLXk93g0XHrDI8YeJYrtVmcFVWmSUHXIJGCY5uuhjR=w1200|https://lh3.googleusercontent.com/pw"&amp;"/AP1GczMMGWcRXAirgSu2oA66g7_cN0UjhCrenxrg782J7D6T8K3MNCfTZHe-mohsQ77Ir_MUx_Ci5ssBX1LSnUB4WV4I8nz0h_mN3iA2X5a6CGtnx6adIEGu=w1200")</f>
        <v>https://lh3.googleusercontent.com/pw/AP1GczMXWiY-XPB_CGlh7azXMt6JE2XOVg2seMu3Yotzz7KI5ASrCstUcVDLHjgPM095MR67PwhiLH0bO_53DaG5Xpvq0IQsVPtnE76dt4DyEHptCM4oKw0J=w1200|https://lh3.googleusercontent.com/pw/AP1GczPQg88f6geSZTtZTei5qtKp2TgNbsACkopBjKPLEtzQk6cI13KCTYc15jv_CI1Yn3Utq_RlWv_EGRSqyd1oBOMESM5WYO2MOKMh8DFtgUrx3Te7dBx4=w1200|https://lh3.googleusercontent.com/pw/AP1GczO3-qGrAX4Tc_xgoUddICehsJnUnsGZls5ZaXCbwWzzXtEYbrweYDjz8U2xi-tPnZrEUMrB4U4mGKBbpK1dzLSBEB6e0zY7KRVFnMfuzCzJpX3iMIyK=w1200|https://lh3.googleusercontent.com/pw/AP1GczMreGc8Zih4B0YurhaPtIP7nYGTbXK_lHCU0OPGXF6p0EddSc4w6FPGakbHV7lbshS9C7ZVVWUFvFIjFsYGjf_ewtcPRH_H4gDSspGQin5JUI-brHWq=w1200|https://lh3.googleusercontent.com/pw/AP1GczP9lSK-hD-zTOpAF18qnRWI9UXu0awwkk49y-ctZWkmInqD0xezv-ZTz5YJH6fjtVklby5L1CaxFbBG-POLIoTHTfa8cDgrqV7cHBZRmK8ZXz8AK_-6=w1200|https://lh3.googleusercontent.com/pw/AP1GczNmnvvcRqTteMRzAY5-XnNY1plvq6CqfZf3sb_tXqHST-0zWNKUIV70AbvrTRcamG0yFZUDyDkLXk93g0XHrDI8YeJYrtVmcFVWmSUHXIJGCY5uuhjR=w1200|https://lh3.googleusercontent.com/pw/AP1GczMMGWcRXAirgSu2oA66g7_cN0UjhCrenxrg782J7D6T8K3MNCfTZHe-mohsQ77Ir_MUx_Ci5ssBX1LSnUB4WV4I8nz0h_mN3iA2X5a6CGtnx6adIEGu=w1200</v>
      </c>
      <c r="AJ141" s="46"/>
      <c r="AK141" s="46"/>
      <c r="AL141" s="46"/>
      <c r="AM141" s="46"/>
      <c r="AN141" s="46"/>
      <c r="AO141" s="46"/>
      <c r="AP141" s="46"/>
      <c r="AQ141" s="46"/>
      <c r="AR141" s="46"/>
      <c r="AS141" s="46"/>
      <c r="AT141" s="46"/>
      <c r="AU141" s="46"/>
      <c r="AV141" s="46"/>
      <c r="AW141" s="46"/>
      <c r="AX141" s="46"/>
      <c r="AY141" s="46"/>
      <c r="AZ141" s="46"/>
      <c r="BA141" s="46"/>
      <c r="BB141" s="46"/>
      <c r="BC141" s="46"/>
      <c r="BD141" s="46"/>
      <c r="BE141" s="46"/>
      <c r="BF141" s="46"/>
      <c r="BG141" s="46"/>
      <c r="BH141" s="46"/>
      <c r="BI141" s="46"/>
      <c r="BJ141" s="46"/>
      <c r="BK141" s="46"/>
      <c r="BL141" s="46"/>
      <c r="BM141" s="46"/>
      <c r="BN141" s="46"/>
      <c r="BO141" s="46"/>
      <c r="BP141" s="46"/>
      <c r="BQ141" s="46"/>
      <c r="BR141" s="46"/>
      <c r="BS141" s="46"/>
      <c r="BT141" s="46"/>
      <c r="BU141" s="46"/>
      <c r="BV141" s="46"/>
      <c r="BW141" s="46"/>
      <c r="BX141" s="46"/>
      <c r="BY141" s="46"/>
      <c r="BZ141" s="46"/>
      <c r="CA141" s="46"/>
      <c r="CB141" s="46"/>
      <c r="CC141" s="46"/>
    </row>
    <row r="142">
      <c r="A142" s="87" t="str">
        <f>IFERROR(__xludf.DUMMYFUNCTION("""COMPUTED_VALUE"""),"644")</f>
        <v>644</v>
      </c>
      <c r="B142" s="46" t="str">
        <f>IFERROR(__xludf.DUMMYFUNCTION("""COMPUTED_VALUE"""),"Casa de dos apartamentos independientes en barrio Brisas del Sena")</f>
        <v>Casa de dos apartamentos independientes en barrio Brisas del Sena</v>
      </c>
      <c r="C142" s="46" t="str">
        <f>IFERROR(__xludf.DUMMYFUNCTION("""COMPUTED_VALUE"""),"Casa rentable")</f>
        <v>Casa rentable</v>
      </c>
      <c r="D142" s="46" t="str">
        <f>IFERROR(__xludf.DUMMYFUNCTION("""COMPUTED_VALUE"""),"Brisas del Sena")</f>
        <v>Brisas del Sena</v>
      </c>
      <c r="E142" s="90"/>
      <c r="F142" s="90">
        <f>IFERROR(__xludf.DUMMYFUNCTION("""COMPUTED_VALUE"""),2.8E8)</f>
        <v>280000000</v>
      </c>
      <c r="G142" s="46" t="str">
        <f>IFERROR(__xludf.DUMMYFUNCTION("""COMPUTED_VALUE"""),"$200'000.000 a $300'000.000")</f>
        <v>$200'000.000 a $300'000.000</v>
      </c>
      <c r="H142" s="46"/>
      <c r="I142" s="46"/>
      <c r="J142" s="46" t="str">
        <f>IFERROR(__xludf.DUMMYFUNCTION("""COMPUTED_VALUE"""),"Norte")</f>
        <v>Norte</v>
      </c>
      <c r="K142" s="87" t="str">
        <f>IFERROR(__xludf.DUMMYFUNCTION("""COMPUTED_VALUE"""),"7")</f>
        <v>7</v>
      </c>
      <c r="L142" s="46">
        <f>IFERROR(__xludf.DUMMYFUNCTION("""COMPUTED_VALUE"""),6.0)</f>
        <v>6</v>
      </c>
      <c r="M142" s="46"/>
      <c r="N142" s="46">
        <f>IFERROR(__xludf.DUMMYFUNCTION("""COMPUTED_VALUE"""),4.0)</f>
        <v>4</v>
      </c>
      <c r="O142" s="46">
        <f>IFERROR(__xludf.DUMMYFUNCTION("""COMPUTED_VALUE"""),0.0)</f>
        <v>0</v>
      </c>
      <c r="P142" s="46">
        <f>IFERROR(__xludf.DUMMYFUNCTION("""COMPUTED_VALUE"""),2.0)</f>
        <v>2</v>
      </c>
      <c r="Q142" s="92">
        <f>IFERROR(__xludf.DUMMYFUNCTION("""COMPUTED_VALUE"""),196.0)</f>
        <v>196</v>
      </c>
      <c r="R142" s="92">
        <f>IFERROR(__xludf.DUMMYFUNCTION("""COMPUTED_VALUE"""),98.0)</f>
        <v>98</v>
      </c>
      <c r="S142" s="87" t="str">
        <f>IFERROR(__xludf.DUMMYFUNCTION("""COMPUTED_VALUE"""),"Rentabilidad $1,300,000")</f>
        <v>Rentabilidad $1,300,000</v>
      </c>
      <c r="T142" s="46" t="str">
        <f>IFERROR(__xludf.DUMMYFUNCTION("""COMPUTED_VALUE"""),"Neiva")</f>
        <v>Neiva</v>
      </c>
      <c r="U142" s="87" t="str">
        <f>IFERROR(__xludf.DUMMYFUNCTION("""COMPUTED_VALUE"""),"2")</f>
        <v>2</v>
      </c>
      <c r="V142" s="46" t="str">
        <f>IFERROR(__xludf.DUMMYFUNCTION("""COMPUTED_VALUE"""),"Medianera")</f>
        <v>Medianera</v>
      </c>
      <c r="W142" s="46"/>
      <c r="X142" s="46">
        <f>IFERROR(__xludf.DUMMYFUNCTION("""COMPUTED_VALUE"""),0.0)</f>
        <v>0</v>
      </c>
      <c r="Y142" s="46" t="str">
        <f>IFERROR(__xludf.DUMMYFUNCTION("""COMPUTED_VALUE"""),"No tiene")</f>
        <v>No tiene</v>
      </c>
      <c r="Z142" s="90" t="str">
        <f>IFERROR(__xludf.DUMMYFUNCTION("""COMPUTED_VALUE"""),"No aplica")</f>
        <v>No aplica</v>
      </c>
      <c r="AA142" s="33" t="str">
        <f>IFERROR(__xludf.DUMMYFUNCTION("""COMPUTED_VALUE"""),"18 años")</f>
        <v>18 años</v>
      </c>
      <c r="AB142" s="96" t="str">
        <f>IFERROR(__xludf.DUMMYFUNCTION("""COMPUTED_VALUE"""),"https://photos.app.goo.gl/cC9aZJ55RB7Am7Bu5")</f>
        <v>https://photos.app.goo.gl/cC9aZJ55RB7Am7Bu5</v>
      </c>
      <c r="AC142" s="46"/>
      <c r="AD142" s="46"/>
      <c r="AE142" s="46"/>
      <c r="AF142" s="46" t="str">
        <f>IFERROR(__xludf.DUMMYFUNCTION("""COMPUTED_VALUE"""),"semi-integral")</f>
        <v>semi-integral</v>
      </c>
      <c r="AG142" s="46"/>
      <c r="AH142" s="46" t="str">
        <f>IFERROR(__xludf.DUMMYFUNCTION("""COMPUTED_VALUE"""),"Aliado")</f>
        <v>Aliado</v>
      </c>
      <c r="AI142" s="92" t="str">
        <f>IFERROR(__xludf.DUMMYFUNCTION("""COMPUTED_VALUE"""),"https://lh3.googleusercontent.com/pw/AP1GczPVcS_yIl-TofFL8-WSvBfoQjKRLso4CkS7hpidld8DGm-qeyTKA4iftK7DaRwH4U-IaCQW0Kk6-OkJp5OHFqx1GP9g9iXYYJ9SGF8lFYdpO2PTmalD=w1200|https://lh3.googleusercontent.com/pw/AP1GczNN64fPk0Fs_0VSL1Ic4viAPNZoYqrUabcbDFw263R0DbKRoq"&amp;"PXqNEhuXs9ntAz-VRopcf-sdkL3e9xjshJbVl89vwiQMr0SiR5srqss7afj0CsqFhP=w1200|https://lh3.googleusercontent.com/pw/AP1GczPWhTZbY4rL2tVGAX45py05YmGjI39TY4S9rYu2RFaZI9GDOxACXoJST5hmAj3VUp1d9MOet95zR_GZcbyztm3fMPnp4E47eX2o0Sia168A0lMyJZz6=w1200|https://lh3.google"&amp;"usercontent.com/pw/AP1GczNho49LaZClx4ECwwFzHjluz0N4e66NM8TbahJ0SrR34chtRcgXzCzEHV3xFXmQVetSzitmuIdJ_0xP14YbmJkYbNn9jxwoFGK4sVVzghMGmw1j_wLd=w1200|https://lh3.googleusercontent.com/pw/AP1GczPpYVfEpFZdUdeh8A5wGufeKbHEnuAav-AuzRjXgJwr5UW4VLRDv1J3NQy4qyYt4PL_"&amp;"ZWv2JxU_Q3Gauk6_KTNQU0lEcoItN9M1Y7_6LfZQpsF6yVfJ=w1200")</f>
        <v>https://lh3.googleusercontent.com/pw/AP1GczPVcS_yIl-TofFL8-WSvBfoQjKRLso4CkS7hpidld8DGm-qeyTKA4iftK7DaRwH4U-IaCQW0Kk6-OkJp5OHFqx1GP9g9iXYYJ9SGF8lFYdpO2PTmalD=w1200|https://lh3.googleusercontent.com/pw/AP1GczNN64fPk0Fs_0VSL1Ic4viAPNZoYqrUabcbDFw263R0DbKRoqPXqNEhuXs9ntAz-VRopcf-sdkL3e9xjshJbVl89vwiQMr0SiR5srqss7afj0CsqFhP=w1200|https://lh3.googleusercontent.com/pw/AP1GczPWhTZbY4rL2tVGAX45py05YmGjI39TY4S9rYu2RFaZI9GDOxACXoJST5hmAj3VUp1d9MOet95zR_GZcbyztm3fMPnp4E47eX2o0Sia168A0lMyJZz6=w1200|https://lh3.googleusercontent.com/pw/AP1GczNho49LaZClx4ECwwFzHjluz0N4e66NM8TbahJ0SrR34chtRcgXzCzEHV3xFXmQVetSzitmuIdJ_0xP14YbmJkYbNn9jxwoFGK4sVVzghMGmw1j_wLd=w1200|https://lh3.googleusercontent.com/pw/AP1GczPpYVfEpFZdUdeh8A5wGufeKbHEnuAav-AuzRjXgJwr5UW4VLRDv1J3NQy4qyYt4PL_ZWv2JxU_Q3Gauk6_KTNQU0lEcoItN9M1Y7_6LfZQpsF6yVfJ=w1200</v>
      </c>
      <c r="AJ142" s="46"/>
      <c r="AK142" s="46"/>
      <c r="AL142" s="46"/>
      <c r="AM142" s="46"/>
      <c r="AN142" s="46"/>
      <c r="AO142" s="46"/>
      <c r="AP142" s="46"/>
      <c r="AQ142" s="46"/>
      <c r="AR142" s="46"/>
      <c r="AS142" s="46"/>
      <c r="AT142" s="46"/>
      <c r="AU142" s="46"/>
      <c r="AV142" s="46"/>
      <c r="AW142" s="46"/>
      <c r="AX142" s="46"/>
      <c r="AY142" s="46"/>
      <c r="AZ142" s="46"/>
      <c r="BA142" s="46"/>
      <c r="BB142" s="46"/>
      <c r="BC142" s="46"/>
      <c r="BD142" s="46"/>
      <c r="BE142" s="46"/>
      <c r="BF142" s="46"/>
      <c r="BG142" s="46"/>
      <c r="BH142" s="46"/>
      <c r="BI142" s="46"/>
      <c r="BJ142" s="46"/>
      <c r="BK142" s="46"/>
      <c r="BL142" s="46"/>
      <c r="BM142" s="46"/>
      <c r="BN142" s="46"/>
      <c r="BO142" s="46"/>
      <c r="BP142" s="46"/>
      <c r="BQ142" s="46"/>
      <c r="BR142" s="46"/>
      <c r="BS142" s="46"/>
      <c r="BT142" s="46"/>
      <c r="BU142" s="46"/>
      <c r="BV142" s="46"/>
      <c r="BW142" s="46"/>
      <c r="BX142" s="46"/>
      <c r="BY142" s="46"/>
      <c r="BZ142" s="46"/>
      <c r="CA142" s="46"/>
      <c r="CB142" s="46"/>
      <c r="CC142" s="46"/>
    </row>
    <row r="143">
      <c r="A143" s="87" t="str">
        <f>IFERROR(__xludf.DUMMYFUNCTION("""COMPUTED_VALUE"""),"594")</f>
        <v>594</v>
      </c>
      <c r="B143" s="46" t="str">
        <f>IFERROR(__xludf.DUMMYFUNCTION("""COMPUTED_VALUE"""),"Casa de 1 apartamento y 2 aparta estudios en barrio Villa Sol")</f>
        <v>Casa de 1 apartamento y 2 aparta estudios en barrio Villa Sol</v>
      </c>
      <c r="C143" s="46" t="str">
        <f>IFERROR(__xludf.DUMMYFUNCTION("""COMPUTED_VALUE"""),"Casa rentable")</f>
        <v>Casa rentable</v>
      </c>
      <c r="D143" s="46" t="str">
        <f>IFERROR(__xludf.DUMMYFUNCTION("""COMPUTED_VALUE"""),"Villa Sol")</f>
        <v>Villa Sol</v>
      </c>
      <c r="E143" s="46"/>
      <c r="F143" s="90">
        <f>IFERROR(__xludf.DUMMYFUNCTION("""COMPUTED_VALUE"""),2.75E8)</f>
        <v>275000000</v>
      </c>
      <c r="G143" s="46" t="str">
        <f>IFERROR(__xludf.DUMMYFUNCTION("""COMPUTED_VALUE"""),"$200'000.000 a $300'000.000")</f>
        <v>$200'000.000 a $300'000.000</v>
      </c>
      <c r="H143" s="46"/>
      <c r="I143" s="46"/>
      <c r="J143" s="46" t="str">
        <f>IFERROR(__xludf.DUMMYFUNCTION("""COMPUTED_VALUE"""),"Oriente")</f>
        <v>Oriente</v>
      </c>
      <c r="K143" s="87"/>
      <c r="L143" s="46">
        <f>IFERROR(__xludf.DUMMYFUNCTION("""COMPUTED_VALUE"""),5.0)</f>
        <v>5</v>
      </c>
      <c r="M143" s="46"/>
      <c r="N143" s="46">
        <f>IFERROR(__xludf.DUMMYFUNCTION("""COMPUTED_VALUE"""),3.0)</f>
        <v>3</v>
      </c>
      <c r="O143" s="46">
        <f>IFERROR(__xludf.DUMMYFUNCTION("""COMPUTED_VALUE"""),0.0)</f>
        <v>0</v>
      </c>
      <c r="P143" s="46">
        <f>IFERROR(__xludf.DUMMYFUNCTION("""COMPUTED_VALUE"""),3.0)</f>
        <v>3</v>
      </c>
      <c r="Q143" s="92" t="str">
        <f>IFERROR(__xludf.DUMMYFUNCTION("""COMPUTED_VALUE"""),"122,50")</f>
        <v>122,50</v>
      </c>
      <c r="R143" s="92">
        <f>IFERROR(__xludf.DUMMYFUNCTION("""COMPUTED_VALUE"""),90.0)</f>
        <v>90</v>
      </c>
      <c r="S143" s="87" t="str">
        <f>IFERROR(__xludf.DUMMYFUNCTION("""COMPUTED_VALUE"""),"Rentabilidad $1,500,000")</f>
        <v>Rentabilidad $1,500,000</v>
      </c>
      <c r="T143" s="46" t="str">
        <f>IFERROR(__xludf.DUMMYFUNCTION("""COMPUTED_VALUE"""),"Neiva")</f>
        <v>Neiva</v>
      </c>
      <c r="U143" s="87" t="str">
        <f>IFERROR(__xludf.DUMMYFUNCTION("""COMPUTED_VALUE"""),"2")</f>
        <v>2</v>
      </c>
      <c r="V143" s="46" t="str">
        <f>IFERROR(__xludf.DUMMYFUNCTION("""COMPUTED_VALUE"""),"Medianera")</f>
        <v>Medianera</v>
      </c>
      <c r="W143" s="46"/>
      <c r="X143" s="46">
        <f>IFERROR(__xludf.DUMMYFUNCTION("""COMPUTED_VALUE"""),0.0)</f>
        <v>0</v>
      </c>
      <c r="Y143" s="46" t="str">
        <f>IFERROR(__xludf.DUMMYFUNCTION("""COMPUTED_VALUE"""),"No tiene")</f>
        <v>No tiene</v>
      </c>
      <c r="Z143" s="90" t="str">
        <f>IFERROR(__xludf.DUMMYFUNCTION("""COMPUTED_VALUE"""),"No aplica")</f>
        <v>No aplica</v>
      </c>
      <c r="AA143" s="33" t="str">
        <f>IFERROR(__xludf.DUMMYFUNCTION("""COMPUTED_VALUE"""),"15 años")</f>
        <v>15 años</v>
      </c>
      <c r="AB143" s="96" t="str">
        <f>IFERROR(__xludf.DUMMYFUNCTION("""COMPUTED_VALUE"""),"https://photos.app.goo.gl/hKdnQwxBZAtLSPHe7")</f>
        <v>https://photos.app.goo.gl/hKdnQwxBZAtLSPHe7</v>
      </c>
      <c r="AC143" s="46"/>
      <c r="AD143" s="46" t="str">
        <f>IFERROR(__xludf.DUMMYFUNCTION("""COMPUTED_VALUE"""),"Casa remodelada, amplia, con buenos acabados, porcelanato, aluminio, fachaleta, vidrio templado y madera. Escritura al día.")</f>
        <v>Casa remodelada, amplia, con buenos acabados, porcelanato, aluminio, fachaleta, vidrio templado y madera. Escritura al día.</v>
      </c>
      <c r="AE143" s="46"/>
      <c r="AF143" s="46" t="str">
        <f>IFERROR(__xludf.DUMMYFUNCTION("""COMPUTED_VALUE"""),"semi-integral")</f>
        <v>semi-integral</v>
      </c>
      <c r="AG143" s="46"/>
      <c r="AH143" s="46" t="str">
        <f>IFERROR(__xludf.DUMMYFUNCTION("""COMPUTED_VALUE"""),"Aliado")</f>
        <v>Aliado</v>
      </c>
      <c r="AI143" s="92" t="str">
        <f>IFERROR(__xludf.DUMMYFUNCTION("""COMPUTED_VALUE"""),"https://lh3.googleusercontent.com/pw/AP1GczOw5yiOrseaSTWAb9uBsVWFzO2ZdxRdKfJmUTi6KmJzQaNaWoABJVVTXTxRBGP7iHI0oDTGb0zgs2ZLDLHfJLe7zrCUyBr7PrahYdH3-n09ZMvXKxbb=w1200|https://lh3.googleusercontent.com/pw/AP1GczONLo0WbF1P6GoFnf3abY60HPHNqeStk0NmJPYvYpLmrwYI-A"&amp;"w5i-CZjvwlwRwzDlz8JBJwb7WJ3Gwfw36_-fKJQbJinoY6o01uvqUa1kY4YorFEwxo=w1200|https://lh3.googleusercontent.com/pw/AP1GczMHs2AXxBdHl9jbp1XTsZKDFqb6nYmI0mUWTN-OkcmUEW3Ljuuufb32ZsRQk2zcxEzKXdWm3kBl3bfeohVWUiImHuE9iS1ynxuHszC2IIK2Ts_IeHD2=w1200|https://lh3.google"&amp;"usercontent.com/pw/AP1GczNGRFlp0lQF3vi6AOcOrONuO83sTFdFKQ07qaEIGij_cGezgjjSGsqYBpSSW2BM7wr7MSE9M7kiuvie1JRJEWw6BZPMvm2jJx4LiENdZczp5kstCa92=w1200|https://lh3.googleusercontent.com/pw/AP1GczP7gHZ5M3CFUsYNaf7krLVB3LCql2ZFjTde3yJRkcKmiKTYGeDzYeaJgef7FJutgDj4"&amp;"XrA9MeDUa-91ciuQq_YkEFjWzDmtms0xlqPUZVVD0K0Ajt-Y=w1200|https://lh3.googleusercontent.com/pw/AP1GczMUESv1v8hhcOrnM66Ef6KFMB940l8ql8WkZeTSGyhOXPx_Cj_vdEVo6dE5IsHoWypgnk1F6pD0shsF8tfyFMAqb8c4PYTJ_05YfOcdEvLgRG1EZpTJ=w1200|https://lh3.googleusercontent.com/pw"&amp;"/AP1GczMYPKhhG8s2IkI-ZTyJaKuw2l4uo558aE-_XR49FEZAQYOKIgHOftT8eNbuOrai8kTmhqjwPMXeGT5paxid8HJXcUSyv_gZ1JcyC3IVkHe8EDoufWRL=w1200")</f>
        <v>https://lh3.googleusercontent.com/pw/AP1GczOw5yiOrseaSTWAb9uBsVWFzO2ZdxRdKfJmUTi6KmJzQaNaWoABJVVTXTxRBGP7iHI0oDTGb0zgs2ZLDLHfJLe7zrCUyBr7PrahYdH3-n09ZMvXKxbb=w1200|https://lh3.googleusercontent.com/pw/AP1GczONLo0WbF1P6GoFnf3abY60HPHNqeStk0NmJPYvYpLmrwYI-Aw5i-CZjvwlwRwzDlz8JBJwb7WJ3Gwfw36_-fKJQbJinoY6o01uvqUa1kY4YorFEwxo=w1200|https://lh3.googleusercontent.com/pw/AP1GczMHs2AXxBdHl9jbp1XTsZKDFqb6nYmI0mUWTN-OkcmUEW3Ljuuufb32ZsRQk2zcxEzKXdWm3kBl3bfeohVWUiImHuE9iS1ynxuHszC2IIK2Ts_IeHD2=w1200|https://lh3.googleusercontent.com/pw/AP1GczNGRFlp0lQF3vi6AOcOrONuO83sTFdFKQ07qaEIGij_cGezgjjSGsqYBpSSW2BM7wr7MSE9M7kiuvie1JRJEWw6BZPMvm2jJx4LiENdZczp5kstCa92=w1200|https://lh3.googleusercontent.com/pw/AP1GczP7gHZ5M3CFUsYNaf7krLVB3LCql2ZFjTde3yJRkcKmiKTYGeDzYeaJgef7FJutgDj4XrA9MeDUa-91ciuQq_YkEFjWzDmtms0xlqPUZVVD0K0Ajt-Y=w1200|https://lh3.googleusercontent.com/pw/AP1GczMUESv1v8hhcOrnM66Ef6KFMB940l8ql8WkZeTSGyhOXPx_Cj_vdEVo6dE5IsHoWypgnk1F6pD0shsF8tfyFMAqb8c4PYTJ_05YfOcdEvLgRG1EZpTJ=w1200|https://lh3.googleusercontent.com/pw/AP1GczMYPKhhG8s2IkI-ZTyJaKuw2l4uo558aE-_XR49FEZAQYOKIgHOftT8eNbuOrai8kTmhqjwPMXeGT5paxid8HJXcUSyv_gZ1JcyC3IVkHe8EDoufWRL=w1200</v>
      </c>
      <c r="AJ143" s="46"/>
      <c r="AK143" s="46"/>
      <c r="AL143" s="46"/>
      <c r="AM143" s="46"/>
      <c r="AN143" s="46"/>
      <c r="AO143" s="46"/>
      <c r="AP143" s="46"/>
      <c r="AQ143" s="46"/>
      <c r="AR143" s="46"/>
      <c r="AS143" s="46"/>
      <c r="AT143" s="46"/>
      <c r="AU143" s="46"/>
      <c r="AV143" s="46"/>
      <c r="AW143" s="46"/>
      <c r="AX143" s="46"/>
      <c r="AY143" s="46"/>
      <c r="AZ143" s="46"/>
      <c r="BA143" s="46"/>
      <c r="BB143" s="46"/>
      <c r="BC143" s="46"/>
      <c r="BD143" s="46"/>
      <c r="BE143" s="46"/>
      <c r="BF143" s="46"/>
      <c r="BG143" s="46"/>
      <c r="BH143" s="46"/>
      <c r="BI143" s="46"/>
      <c r="BJ143" s="46"/>
      <c r="BK143" s="46"/>
      <c r="BL143" s="46"/>
      <c r="BM143" s="46"/>
      <c r="BN143" s="46"/>
      <c r="BO143" s="46"/>
      <c r="BP143" s="46"/>
      <c r="BQ143" s="46"/>
      <c r="BR143" s="46"/>
      <c r="BS143" s="46"/>
      <c r="BT143" s="46"/>
      <c r="BU143" s="46"/>
      <c r="BV143" s="46"/>
      <c r="BW143" s="46"/>
      <c r="BX143" s="46"/>
      <c r="BY143" s="46"/>
      <c r="BZ143" s="46"/>
      <c r="CA143" s="46"/>
      <c r="CB143" s="46"/>
      <c r="CC143" s="46"/>
    </row>
    <row r="144">
      <c r="A144" s="87" t="str">
        <f>IFERROR(__xludf.DUMMYFUNCTION("""COMPUTED_VALUE"""),"382")</f>
        <v>382</v>
      </c>
      <c r="B144" s="46" t="str">
        <f>IFERROR(__xludf.DUMMYFUNCTION("""COMPUTED_VALUE"""),"Casa en barrio Las Palmas")</f>
        <v>Casa en barrio Las Palmas</v>
      </c>
      <c r="C144" s="46" t="str">
        <f>IFERROR(__xludf.DUMMYFUNCTION("""COMPUTED_VALUE"""),"Casa")</f>
        <v>Casa</v>
      </c>
      <c r="D144" s="90" t="str">
        <f>IFERROR(__xludf.DUMMYFUNCTION("""COMPUTED_VALUE"""),"Las Palmas")</f>
        <v>Las Palmas</v>
      </c>
      <c r="E144" s="46"/>
      <c r="F144" s="90">
        <f>IFERROR(__xludf.DUMMYFUNCTION("""COMPUTED_VALUE"""),2.7E8)</f>
        <v>270000000</v>
      </c>
      <c r="G144" s="46" t="str">
        <f>IFERROR(__xludf.DUMMYFUNCTION("""COMPUTED_VALUE"""),"$200'000.000 a $300'000.000")</f>
        <v>$200'000.000 a $300'000.000</v>
      </c>
      <c r="H144" s="46"/>
      <c r="I144" s="46"/>
      <c r="J144" s="46" t="str">
        <f>IFERROR(__xludf.DUMMYFUNCTION("""COMPUTED_VALUE"""),"Oriente")</f>
        <v>Oriente</v>
      </c>
      <c r="K144" s="87"/>
      <c r="L144" s="46">
        <f>IFERROR(__xludf.DUMMYFUNCTION("""COMPUTED_VALUE"""),5.0)</f>
        <v>5</v>
      </c>
      <c r="M144" s="46"/>
      <c r="N144" s="46">
        <f>IFERROR(__xludf.DUMMYFUNCTION("""COMPUTED_VALUE"""),2.0)</f>
        <v>2</v>
      </c>
      <c r="O144" s="46">
        <f>IFERROR(__xludf.DUMMYFUNCTION("""COMPUTED_VALUE"""),0.0)</f>
        <v>0</v>
      </c>
      <c r="P144" s="46">
        <f>IFERROR(__xludf.DUMMYFUNCTION("""COMPUTED_VALUE"""),1.0)</f>
        <v>1</v>
      </c>
      <c r="Q144" s="92">
        <f>IFERROR(__xludf.DUMMYFUNCTION("""COMPUTED_VALUE"""),198.0)</f>
        <v>198</v>
      </c>
      <c r="R144" s="92">
        <f>IFERROR(__xludf.DUMMYFUNCTION("""COMPUTED_VALUE"""),198.0)</f>
        <v>198</v>
      </c>
      <c r="S144" s="87" t="str">
        <f>IFERROR(__xludf.DUMMYFUNCTION("""COMPUTED_VALUE""")," ")</f>
        <v> </v>
      </c>
      <c r="T144" s="46" t="str">
        <f>IFERROR(__xludf.DUMMYFUNCTION("""COMPUTED_VALUE"""),"Neiva")</f>
        <v>Neiva</v>
      </c>
      <c r="U144" s="87" t="str">
        <f>IFERROR(__xludf.DUMMYFUNCTION("""COMPUTED_VALUE"""),"2")</f>
        <v>2</v>
      </c>
      <c r="V144" s="46" t="str">
        <f>IFERROR(__xludf.DUMMYFUNCTION("""COMPUTED_VALUE"""),"Medianera")</f>
        <v>Medianera</v>
      </c>
      <c r="W144" s="46"/>
      <c r="X144" s="46">
        <f>IFERROR(__xludf.DUMMYFUNCTION("""COMPUTED_VALUE"""),0.0)</f>
        <v>0</v>
      </c>
      <c r="Y144" s="46" t="str">
        <f>IFERROR(__xludf.DUMMYFUNCTION("""COMPUTED_VALUE"""),"No tiene")</f>
        <v>No tiene</v>
      </c>
      <c r="Z144" s="90" t="str">
        <f>IFERROR(__xludf.DUMMYFUNCTION("""COMPUTED_VALUE"""),"No aplica")</f>
        <v>No aplica</v>
      </c>
      <c r="AA144" s="33" t="str">
        <f>IFERROR(__xludf.DUMMYFUNCTION("""COMPUTED_VALUE"""),"No aplica")</f>
        <v>No aplica</v>
      </c>
      <c r="AB144" s="144" t="str">
        <f>IFERROR(__xludf.DUMMYFUNCTION("""COMPUTED_VALUE"""),"https://photos.app.goo.gl/s9ncjsvBiaEK98Ky8")</f>
        <v>https://photos.app.goo.gl/s9ncjsvBiaEK98Ky8</v>
      </c>
      <c r="AC144" s="46"/>
      <c r="AD144" s="46"/>
      <c r="AE144" s="46"/>
      <c r="AF144" s="46" t="str">
        <f>IFERROR(__xludf.DUMMYFUNCTION("""COMPUTED_VALUE"""),"básica")</f>
        <v>básica</v>
      </c>
      <c r="AG144" s="46"/>
      <c r="AH144" s="46" t="str">
        <f>IFERROR(__xludf.DUMMYFUNCTION("""COMPUTED_VALUE"""),"Aliado")</f>
        <v>Aliado</v>
      </c>
      <c r="AI144" s="92" t="str">
        <f>IFERROR(__xludf.DUMMYFUNCTION("""COMPUTED_VALUE"""),"https://lh3.googleusercontent.com/pw/AP1GczM1GfR4vwc8unwkTvVqZZZJj5uWOiTlN74iMJRg1F90s6oatoFEO1SDCafUgg927ZoNz2tGCQU1o2e9AdDLbgYdh5olGe5Pb7NlLcyR965mnWE1-PRO=w1200|https://lh3.googleusercontent.com/pw/AP1GczN7MVcM56886AEcS7zp3JpMA-cWUSvLaNhuYpachaEUFVvD1_"&amp;"vVrOZppX_7_55c1KN8Smgnwd_DNNjvm2_Ofg8x19eGDa_VeOeIBcln18tqvTEJc0zs=w1200|https://lh3.googleusercontent.com/pw/AP1GczPF7yhllJVv87rgt8W3_yHtlncNY8Vt2PwuxqaVNBM17OH_gaiREV4gse6bHgjL7dNgUysJJlehPBtFlOcZsl4V9dj7khp1FMPBt_Zul_oUVjh_DQj_=w1200|https://lh3.google"&amp;"usercontent.com/pw/AP1GczM08srno37QoE3mT6a0mT30BBPeUrfGQppDtlYIRraw2-NUqwtFIB7wGEAAgS3e3bVchCfZWowQZuyPilwJwFuwiZ7IT3fptcpIiKyOwclGjPQfGJSI=w1200")</f>
        <v>https://lh3.googleusercontent.com/pw/AP1GczM1GfR4vwc8unwkTvVqZZZJj5uWOiTlN74iMJRg1F90s6oatoFEO1SDCafUgg927ZoNz2tGCQU1o2e9AdDLbgYdh5olGe5Pb7NlLcyR965mnWE1-PRO=w1200|https://lh3.googleusercontent.com/pw/AP1GczN7MVcM56886AEcS7zp3JpMA-cWUSvLaNhuYpachaEUFVvD1_vVrOZppX_7_55c1KN8Smgnwd_DNNjvm2_Ofg8x19eGDa_VeOeIBcln18tqvTEJc0zs=w1200|https://lh3.googleusercontent.com/pw/AP1GczPF7yhllJVv87rgt8W3_yHtlncNY8Vt2PwuxqaVNBM17OH_gaiREV4gse6bHgjL7dNgUysJJlehPBtFlOcZsl4V9dj7khp1FMPBt_Zul_oUVjh_DQj_=w1200|https://lh3.googleusercontent.com/pw/AP1GczM08srno37QoE3mT6a0mT30BBPeUrfGQppDtlYIRraw2-NUqwtFIB7wGEAAgS3e3bVchCfZWowQZuyPilwJwFuwiZ7IT3fptcpIiKyOwclGjPQfGJSI=w1200</v>
      </c>
      <c r="AJ144" s="46"/>
      <c r="AK144" s="46"/>
      <c r="AL144" s="46"/>
      <c r="AM144" s="46"/>
      <c r="AN144" s="46"/>
      <c r="AO144" s="46"/>
      <c r="AP144" s="46"/>
      <c r="AQ144" s="46"/>
      <c r="AR144" s="46"/>
      <c r="AS144" s="46"/>
      <c r="AT144" s="46"/>
      <c r="AU144" s="46"/>
      <c r="AV144" s="46"/>
      <c r="AW144" s="46"/>
      <c r="AX144" s="46"/>
      <c r="AY144" s="46"/>
      <c r="AZ144" s="46"/>
      <c r="BA144" s="46"/>
      <c r="BB144" s="46"/>
      <c r="BC144" s="46"/>
      <c r="BD144" s="46"/>
      <c r="BE144" s="46"/>
      <c r="BF144" s="46"/>
      <c r="BG144" s="46"/>
      <c r="BH144" s="46"/>
      <c r="BI144" s="46"/>
      <c r="BJ144" s="46"/>
      <c r="BK144" s="46"/>
      <c r="BL144" s="46"/>
      <c r="BM144" s="46"/>
      <c r="BN144" s="46"/>
      <c r="BO144" s="46"/>
      <c r="BP144" s="46"/>
      <c r="BQ144" s="46"/>
      <c r="BR144" s="46"/>
      <c r="BS144" s="46"/>
      <c r="BT144" s="46"/>
      <c r="BU144" s="46"/>
      <c r="BV144" s="46"/>
      <c r="BW144" s="46"/>
      <c r="BX144" s="46"/>
      <c r="BY144" s="46"/>
      <c r="BZ144" s="46"/>
      <c r="CA144" s="46"/>
      <c r="CB144" s="46"/>
      <c r="CC144" s="46"/>
    </row>
    <row r="145">
      <c r="A145" s="87" t="str">
        <f>IFERROR(__xludf.DUMMYFUNCTION("""COMPUTED_VALUE"""),"834")</f>
        <v>834</v>
      </c>
      <c r="B145" s="46" t="str">
        <f>IFERROR(__xludf.DUMMYFUNCTION("""COMPUTED_VALUE"""),"Apartamento en edificio Quinta Avenida - Centro")</f>
        <v>Apartamento en edificio Quinta Avenida - Centro</v>
      </c>
      <c r="C145" s="46" t="str">
        <f>IFERROR(__xludf.DUMMYFUNCTION("""COMPUTED_VALUE"""),"Apartamento")</f>
        <v>Apartamento</v>
      </c>
      <c r="D145" s="46" t="str">
        <f>IFERROR(__xludf.DUMMYFUNCTION("""COMPUTED_VALUE"""),"Centro")</f>
        <v>Centro</v>
      </c>
      <c r="E145" s="46"/>
      <c r="F145" s="90">
        <f>IFERROR(__xludf.DUMMYFUNCTION("""COMPUTED_VALUE"""),2.5E8)</f>
        <v>250000000</v>
      </c>
      <c r="G145" s="46" t="str">
        <f>IFERROR(__xludf.DUMMYFUNCTION("""COMPUTED_VALUE"""),"$200'000.000 a $300'000.000")</f>
        <v>$200'000.000 a $300'000.000</v>
      </c>
      <c r="H145" s="46"/>
      <c r="I145" s="46"/>
      <c r="J145" s="46" t="str">
        <f>IFERROR(__xludf.DUMMYFUNCTION("""COMPUTED_VALUE"""),"Centro")</f>
        <v>Centro</v>
      </c>
      <c r="K145" s="87" t="str">
        <f>IFERROR(__xludf.DUMMYFUNCTION("""COMPUTED_VALUE"""),"4")</f>
        <v>4</v>
      </c>
      <c r="L145" s="46">
        <f>IFERROR(__xludf.DUMMYFUNCTION("""COMPUTED_VALUE"""),3.0)</f>
        <v>3</v>
      </c>
      <c r="M145" s="46"/>
      <c r="N145" s="46">
        <f>IFERROR(__xludf.DUMMYFUNCTION("""COMPUTED_VALUE"""),2.0)</f>
        <v>2</v>
      </c>
      <c r="O145" s="46">
        <f>IFERROR(__xludf.DUMMYFUNCTION("""COMPUTED_VALUE"""),1.0)</f>
        <v>1</v>
      </c>
      <c r="P145" s="46"/>
      <c r="Q145" s="92">
        <f>IFERROR(__xludf.DUMMYFUNCTION("""COMPUTED_VALUE"""),127.0)</f>
        <v>127</v>
      </c>
      <c r="R145" s="92">
        <f>IFERROR(__xludf.DUMMYFUNCTION("""COMPUTED_VALUE"""),127.0)</f>
        <v>127</v>
      </c>
      <c r="S145" s="87" t="str">
        <f>IFERROR(__xludf.DUMMYFUNCTION("""COMPUTED_VALUE""")," ")</f>
        <v> </v>
      </c>
      <c r="T145" s="46" t="str">
        <f>IFERROR(__xludf.DUMMYFUNCTION("""COMPUTED_VALUE"""),"Neiva")</f>
        <v>Neiva</v>
      </c>
      <c r="U145" s="87" t="str">
        <f>IFERROR(__xludf.DUMMYFUNCTION("""COMPUTED_VALUE"""),"4")</f>
        <v>4</v>
      </c>
      <c r="V145" s="46"/>
      <c r="W145" s="46"/>
      <c r="X145" s="46">
        <f>IFERROR(__xludf.DUMMYFUNCTION("""COMPUTED_VALUE"""),3.0)</f>
        <v>3</v>
      </c>
      <c r="Y145" s="46" t="str">
        <f>IFERROR(__xludf.DUMMYFUNCTION("""COMPUTED_VALUE"""),"Social")</f>
        <v>Social</v>
      </c>
      <c r="Z145" s="90"/>
      <c r="AA145" s="33" t="str">
        <f>IFERROR(__xludf.DUMMYFUNCTION("""COMPUTED_VALUE"""),"No aplica")</f>
        <v>No aplica</v>
      </c>
      <c r="AB145" s="96" t="str">
        <f>IFERROR(__xludf.DUMMYFUNCTION("""COMPUTED_VALUE"""),"https://photos.app.goo.gl/CFQLhcF7pU2xbk8a6")</f>
        <v>https://photos.app.goo.gl/CFQLhcF7pU2xbk8a6</v>
      </c>
      <c r="AC145" s="46" t="str">
        <f>IFERROR(__xludf.DUMMYFUNCTION("""COMPUTED_VALUE"""),"127 M² de espacio perfectamente distribuidos: Sala – Comedor Sala Star ideal para descansar. 3 habitaciones amplias. Cocina integral moderna, 1 baño social 2 baños adicionales. Área de lavado2 balcones con excelente vista.")</f>
        <v>127 M² de espacio perfectamente distribuidos: Sala – Comedor Sala Star ideal para descansar. 3 habitaciones amplias. Cocina integral moderna, 1 baño social 2 baños adicionales. Área de lavado2 balcones con excelente vista.</v>
      </c>
      <c r="AD145" s="46" t="str">
        <f>IFERROR(__xludf.DUMMYFUNCTION("""COMPUTED_VALUE"""),"Parqueadero amplio. Caja fuerte. Aire acondicionado. Estrato 4. Edificio con ascensor.")</f>
        <v>Parqueadero amplio. Caja fuerte. Aire acondicionado. Estrato 4. Edificio con ascensor.</v>
      </c>
      <c r="AE145" s="46"/>
      <c r="AF145" s="46" t="str">
        <f>IFERROR(__xludf.DUMMYFUNCTION("""COMPUTED_VALUE"""),"integral")</f>
        <v>integral</v>
      </c>
      <c r="AG145" s="46"/>
      <c r="AH145" s="46" t="str">
        <f>IFERROR(__xludf.DUMMYFUNCTION("""COMPUTED_VALUE"""),"Aliado")</f>
        <v>Aliado</v>
      </c>
      <c r="AI145" s="92" t="str">
        <f>IFERROR(__xludf.DUMMYFUNCTION("""COMPUTED_VALUE"""),"https://lh3.googleusercontent.com/pw/AP1GczOz_rRDTF_nS_fPr0_6n2yT-boi-BHsH0Ss8b760Lp_Dk_52fICA9CnsqunGmEZ59IS0QCD0R2zR4HHoGJg7KbeqpyndNfQVWfWH3wuGu-Syy8bIweD=w1200|https://lh3.googleusercontent.com/pw/AP1GczMl64Z4F9OoJLU10kmQOQOCXza0kjRBZ9fJY3ya6JACk5B1Mr"&amp;"Gdi1ckyxgLEPFhrLAmeoBT77rKHsH4QbYI2fc-ZXIBWbIdYk3MhZZvj6U9mg-xNnij=w1200|https://lh3.googleusercontent.com/pw/AP1GczNO6wf_-mm1oyUlUy25bj427Dj13BvlU_LxsyKj4kGxSlWTUQjVrWSXwR-c7Ygmp8uDJueoD1Vz0S_qc2FY8qSc-sdI95TvhKtqoO9DldHGT8qAXJxz=w1200|https://lh3.google"&amp;"usercontent.com/pw/AP1GczMdOMXXklvkdOl7rZeTyA_Tj7c34ZIBTlzZQZKmLjfVfzPYCeEQgyKortIYFq8yvTQ2KWxVCwFco7DoD9OhmpsFfoSxe0GcTPQnXC-cXXKrlkKVvM43=w1200|https://lh3.googleusercontent.com/pw/AP1GczM8NRQvdDTDsHmRpP-5BPx0ZE3xTAOdKtJYYsRLbYPAoMEYgEkhwZcVyhm5Jip3-_EL"&amp;"my2NykAZbx7cSUbSagHc2KbjDxNFMJojJjeGmhHJIS2wBPwT=w1200|https://lh3.googleusercontent.com/pw/AP1GczMlck920UvXqOkZlioj88D0oTjJrhrQgLHvP5myJchbZ7TyrmYyWpDXEDmvfRRD0iJI_Ebe3CSjIFV6KygIAS8TK7R977kwd2u8oCCheDGd-J0wGzdr=w1200")</f>
        <v>https://lh3.googleusercontent.com/pw/AP1GczOz_rRDTF_nS_fPr0_6n2yT-boi-BHsH0Ss8b760Lp_Dk_52fICA9CnsqunGmEZ59IS0QCD0R2zR4HHoGJg7KbeqpyndNfQVWfWH3wuGu-Syy8bIweD=w1200|https://lh3.googleusercontent.com/pw/AP1GczMl64Z4F9OoJLU10kmQOQOCXza0kjRBZ9fJY3ya6JACk5B1MrGdi1ckyxgLEPFhrLAmeoBT77rKHsH4QbYI2fc-ZXIBWbIdYk3MhZZvj6U9mg-xNnij=w1200|https://lh3.googleusercontent.com/pw/AP1GczNO6wf_-mm1oyUlUy25bj427Dj13BvlU_LxsyKj4kGxSlWTUQjVrWSXwR-c7Ygmp8uDJueoD1Vz0S_qc2FY8qSc-sdI95TvhKtqoO9DldHGT8qAXJxz=w1200|https://lh3.googleusercontent.com/pw/AP1GczMdOMXXklvkdOl7rZeTyA_Tj7c34ZIBTlzZQZKmLjfVfzPYCeEQgyKortIYFq8yvTQ2KWxVCwFco7DoD9OhmpsFfoSxe0GcTPQnXC-cXXKrlkKVvM43=w1200|https://lh3.googleusercontent.com/pw/AP1GczM8NRQvdDTDsHmRpP-5BPx0ZE3xTAOdKtJYYsRLbYPAoMEYgEkhwZcVyhm5Jip3-_ELmy2NykAZbx7cSUbSagHc2KbjDxNFMJojJjeGmhHJIS2wBPwT=w1200|https://lh3.googleusercontent.com/pw/AP1GczMlck920UvXqOkZlioj88D0oTjJrhrQgLHvP5myJchbZ7TyrmYyWpDXEDmvfRRD0iJI_Ebe3CSjIFV6KygIAS8TK7R977kwd2u8oCCheDGd-J0wGzdr=w1200</v>
      </c>
      <c r="AJ145" s="46"/>
      <c r="AK145" s="46"/>
      <c r="AL145" s="46"/>
      <c r="AM145" s="46"/>
      <c r="AN145" s="46"/>
      <c r="AO145" s="46"/>
      <c r="AP145" s="46"/>
      <c r="AQ145" s="46"/>
      <c r="AR145" s="46"/>
      <c r="AS145" s="46"/>
      <c r="AT145" s="46"/>
      <c r="AU145" s="46"/>
      <c r="AV145" s="46"/>
      <c r="AW145" s="46"/>
      <c r="AX145" s="46"/>
      <c r="AY145" s="46"/>
      <c r="AZ145" s="46"/>
      <c r="BA145" s="46"/>
      <c r="BB145" s="46"/>
      <c r="BC145" s="46"/>
      <c r="BD145" s="46"/>
      <c r="BE145" s="46"/>
      <c r="BF145" s="46"/>
      <c r="BG145" s="46"/>
      <c r="BH145" s="46"/>
      <c r="BI145" s="46"/>
      <c r="BJ145" s="46"/>
      <c r="BK145" s="46"/>
      <c r="BL145" s="46"/>
      <c r="BM145" s="46"/>
      <c r="BN145" s="46"/>
      <c r="BO145" s="46"/>
      <c r="BP145" s="46"/>
      <c r="BQ145" s="46"/>
      <c r="BR145" s="46"/>
      <c r="BS145" s="46"/>
      <c r="BT145" s="46"/>
      <c r="BU145" s="46"/>
      <c r="BV145" s="46"/>
      <c r="BW145" s="46"/>
      <c r="BX145" s="46"/>
      <c r="BY145" s="46"/>
      <c r="BZ145" s="46"/>
      <c r="CA145" s="46"/>
      <c r="CB145" s="46"/>
      <c r="CC145" s="46"/>
    </row>
    <row r="146">
      <c r="A146" s="87" t="str">
        <f>IFERROR(__xludf.DUMMYFUNCTION("""COMPUTED_VALUE"""),"623")</f>
        <v>623</v>
      </c>
      <c r="B146" s="46" t="str">
        <f>IFERROR(__xludf.DUMMYFUNCTION("""COMPUTED_VALUE"""),"Casa en barrio Las Mercedes")</f>
        <v>Casa en barrio Las Mercedes</v>
      </c>
      <c r="C146" s="46" t="str">
        <f>IFERROR(__xludf.DUMMYFUNCTION("""COMPUTED_VALUE"""),"Casa")</f>
        <v>Casa</v>
      </c>
      <c r="D146" s="90" t="str">
        <f>IFERROR(__xludf.DUMMYFUNCTION("""COMPUTED_VALUE"""),"Las mercedes")</f>
        <v>Las mercedes</v>
      </c>
      <c r="E146" s="46"/>
      <c r="F146" s="90">
        <f>IFERROR(__xludf.DUMMYFUNCTION("""COMPUTED_VALUE"""),2.5E8)</f>
        <v>250000000</v>
      </c>
      <c r="G146" s="46" t="str">
        <f>IFERROR(__xludf.DUMMYFUNCTION("""COMPUTED_VALUE"""),"$200'000.000 a $300'000.000")</f>
        <v>$200'000.000 a $300'000.000</v>
      </c>
      <c r="H146" s="46"/>
      <c r="I146" s="46"/>
      <c r="J146" s="46" t="str">
        <f>IFERROR(__xludf.DUMMYFUNCTION("""COMPUTED_VALUE"""),"Norte")</f>
        <v>Norte</v>
      </c>
      <c r="K146" s="87"/>
      <c r="L146" s="46">
        <f>IFERROR(__xludf.DUMMYFUNCTION("""COMPUTED_VALUE"""),4.0)</f>
        <v>4</v>
      </c>
      <c r="M146" s="46"/>
      <c r="N146" s="46">
        <f>IFERROR(__xludf.DUMMYFUNCTION("""COMPUTED_VALUE"""),2.0)</f>
        <v>2</v>
      </c>
      <c r="O146" s="46">
        <f>IFERROR(__xludf.DUMMYFUNCTION("""COMPUTED_VALUE"""),1.0)</f>
        <v>1</v>
      </c>
      <c r="P146" s="46">
        <f>IFERROR(__xludf.DUMMYFUNCTION("""COMPUTED_VALUE"""),1.0)</f>
        <v>1</v>
      </c>
      <c r="Q146" s="92">
        <f>IFERROR(__xludf.DUMMYFUNCTION("""COMPUTED_VALUE"""),120.0)</f>
        <v>120</v>
      </c>
      <c r="R146" s="92">
        <f>IFERROR(__xludf.DUMMYFUNCTION("""COMPUTED_VALUE"""),0.0)</f>
        <v>0</v>
      </c>
      <c r="S146" s="87" t="str">
        <f>IFERROR(__xludf.DUMMYFUNCTION("""COMPUTED_VALUE""")," ")</f>
        <v> </v>
      </c>
      <c r="T146" s="46" t="str">
        <f>IFERROR(__xludf.DUMMYFUNCTION("""COMPUTED_VALUE"""),"Neiva")</f>
        <v>Neiva</v>
      </c>
      <c r="U146" s="87" t="str">
        <f>IFERROR(__xludf.DUMMYFUNCTION("""COMPUTED_VALUE"""),"2")</f>
        <v>2</v>
      </c>
      <c r="V146" s="46" t="str">
        <f>IFERROR(__xludf.DUMMYFUNCTION("""COMPUTED_VALUE"""),"Esquinera")</f>
        <v>Esquinera</v>
      </c>
      <c r="W146" s="46"/>
      <c r="X146" s="46">
        <f>IFERROR(__xludf.DUMMYFUNCTION("""COMPUTED_VALUE"""),2.0)</f>
        <v>2</v>
      </c>
      <c r="Y146" s="46" t="str">
        <f>IFERROR(__xludf.DUMMYFUNCTION("""COMPUTED_VALUE"""),"No tiene")</f>
        <v>No tiene</v>
      </c>
      <c r="Z146" s="90" t="str">
        <f>IFERROR(__xludf.DUMMYFUNCTION("""COMPUTED_VALUE"""),"No aplica")</f>
        <v>No aplica</v>
      </c>
      <c r="AA146" s="33" t="str">
        <f>IFERROR(__xludf.DUMMYFUNCTION("""COMPUTED_VALUE"""),"No aplica")</f>
        <v>No aplica</v>
      </c>
      <c r="AB146" s="144" t="str">
        <f>IFERROR(__xludf.DUMMYFUNCTION("""COMPUTED_VALUE"""),"https://photos.app.goo.gl/gNex8n22RsMi5yzb8")</f>
        <v>https://photos.app.goo.gl/gNex8n22RsMi5yzb8</v>
      </c>
      <c r="AC146" s="46"/>
      <c r="AD146" s="46"/>
      <c r="AE146" s="46"/>
      <c r="AF146" s="46" t="str">
        <f>IFERROR(__xludf.DUMMYFUNCTION("""COMPUTED_VALUE"""),"integral")</f>
        <v>integral</v>
      </c>
      <c r="AG146" s="46"/>
      <c r="AH146" s="46" t="str">
        <f>IFERROR(__xludf.DUMMYFUNCTION("""COMPUTED_VALUE"""),"Aliado")</f>
        <v>Aliado</v>
      </c>
      <c r="AI146" s="92" t="str">
        <f>IFERROR(__xludf.DUMMYFUNCTION("""COMPUTED_VALUE"""),"https://lh3.googleusercontent.com/pw/AP1GczMG6LbBY_W6F7JFuhpD8tPpZxzHTBXdO5o6Ak5rL-1jYx2YxOO6S90g8BHPUUFuYcWME_3TrgAtjUJFjuCQavweMdohJh0QVRLMTNEltvTPGdBdg06B=w1200|https://lh3.googleusercontent.com/pw/AP1GczPX3VfukBtECfeCwV5BEMMIAthV1E2MIKifga9Spp9-kJWUb5"&amp;"Ph-KWukV9JrzBALKmNZdsVsKCc63TxigWvanGwMwx_4hcPQl0x6F9HINGO0pCigBtW=w1200|https://lh3.googleusercontent.com/pw/AP1GczPhLnyFT95uEySRQ5IZMhTwadvFFtbhM-5iDMETilUBeOSubuArVcyRNIZWFSi3qYMvHUFgUlPACFzoS8hVHJgJFeKQ5lxt_RvwUcm92uLUcco--EdY=w1200|https://lh3.google"&amp;"usercontent.com/pw/AP1GczNYf-l-_3efVdDKlvJotDNiEX-vaZEacXbBhUwc4tZU3lDkYS9t0JnSoTXuLJE5j2bPxGNBRW93W8Y5YdXHwJpLL7Z-jCTXPWeMeifEhaaqDvByJfhS=w1200|https://lh3.googleusercontent.com/pw/AP1GczN0-F0gWn6CxVk8pcB3OX6IvgeiEmytmyPEt_yT-P3TPlLINdm4wwjNiKF4ereeutqZ"&amp;"hsThGjWr65OYOp446q65TgCd4Lz4G60eh-hCuDm5M0qUMGN8=w1200|https://lh3.googleusercontent.com/pw/AP1GczNXfIyD5c5Uyiqs0vi0m4Tjet8BVRWsHG8ONScpKYr2Tq_iNb4abTjs6g7ajihkgDBGEhKPTPiQ-r7iRrNy7UnGzmfUCRbVzsy0FbSOCMO2LrdrTxLY=w1200|https://lh3.googleusercontent.com/pw"&amp;"/AP1GczOlKQpoDS00OpgSxTgq550TQvbafDMzDW0yKX8a_CfuhBtUqPtG3mJmU_4Brqr8bvIt54F7sjU-H_v6GNrY-twygDemcsAF4kZ0BFatPuWnAp0Bkqhn=w1200|https://lh3.googleusercontent.com/pw/AP1GczPNm8RuJNJTgBfTtuTd0jUDb1Y8oqngqoadwGx-I39aw66d56hzlEW13VRFL-p9bIh9U8MunzCCdb-gygwO0j"&amp;"vfXbTINKo1wcgN4nfR2Lqa7nbfTFHQ=w1200|https://lh3.googleusercontent.com/pw/AP1GczNtH7ReHc14Iu81-Z6PGClLh9fE-NMrtogv324Ur4MtehNvlSq41NvgFegvzAZWe6plZr-20agQvORr2YSNoQJkBX-71TBUs4mFuiB4iZftkp-DT3RK=w1200")</f>
        <v>https://lh3.googleusercontent.com/pw/AP1GczMG6LbBY_W6F7JFuhpD8tPpZxzHTBXdO5o6Ak5rL-1jYx2YxOO6S90g8BHPUUFuYcWME_3TrgAtjUJFjuCQavweMdohJh0QVRLMTNEltvTPGdBdg06B=w1200|https://lh3.googleusercontent.com/pw/AP1GczPX3VfukBtECfeCwV5BEMMIAthV1E2MIKifga9Spp9-kJWUb5Ph-KWukV9JrzBALKmNZdsVsKCc63TxigWvanGwMwx_4hcPQl0x6F9HINGO0pCigBtW=w1200|https://lh3.googleusercontent.com/pw/AP1GczPhLnyFT95uEySRQ5IZMhTwadvFFtbhM-5iDMETilUBeOSubuArVcyRNIZWFSi3qYMvHUFgUlPACFzoS8hVHJgJFeKQ5lxt_RvwUcm92uLUcco--EdY=w1200|https://lh3.googleusercontent.com/pw/AP1GczNYf-l-_3efVdDKlvJotDNiEX-vaZEacXbBhUwc4tZU3lDkYS9t0JnSoTXuLJE5j2bPxGNBRW93W8Y5YdXHwJpLL7Z-jCTXPWeMeifEhaaqDvByJfhS=w1200|https://lh3.googleusercontent.com/pw/AP1GczN0-F0gWn6CxVk8pcB3OX6IvgeiEmytmyPEt_yT-P3TPlLINdm4wwjNiKF4ereeutqZhsThGjWr65OYOp446q65TgCd4Lz4G60eh-hCuDm5M0qUMGN8=w1200|https://lh3.googleusercontent.com/pw/AP1GczNXfIyD5c5Uyiqs0vi0m4Tjet8BVRWsHG8ONScpKYr2Tq_iNb4abTjs6g7ajihkgDBGEhKPTPiQ-r7iRrNy7UnGzmfUCRbVzsy0FbSOCMO2LrdrTxLY=w1200|https://lh3.googleusercontent.com/pw/AP1GczOlKQpoDS00OpgSxTgq550TQvbafDMzDW0yKX8a_CfuhBtUqPtG3mJmU_4Brqr8bvIt54F7sjU-H_v6GNrY-twygDemcsAF4kZ0BFatPuWnAp0Bkqhn=w1200|https://lh3.googleusercontent.com/pw/AP1GczPNm8RuJNJTgBfTtuTd0jUDb1Y8oqngqoadwGx-I39aw66d56hzlEW13VRFL-p9bIh9U8MunzCCdb-gygwO0jvfXbTINKo1wcgN4nfR2Lqa7nbfTFHQ=w1200|https://lh3.googleusercontent.com/pw/AP1GczNtH7ReHc14Iu81-Z6PGClLh9fE-NMrtogv324Ur4MtehNvlSq41NvgFegvzAZWe6plZr-20agQvORr2YSNoQJkBX-71TBUs4mFuiB4iZftkp-DT3RK=w1200</v>
      </c>
      <c r="AJ146" s="46"/>
      <c r="AK146" s="46"/>
      <c r="AL146" s="46"/>
      <c r="AM146" s="46"/>
      <c r="AN146" s="46"/>
      <c r="AO146" s="46"/>
      <c r="AP146" s="46"/>
      <c r="AQ146" s="46"/>
      <c r="AR146" s="46"/>
      <c r="AS146" s="46"/>
      <c r="AT146" s="46"/>
      <c r="AU146" s="46"/>
      <c r="AV146" s="46"/>
      <c r="AW146" s="46"/>
      <c r="AX146" s="46"/>
      <c r="AY146" s="46"/>
      <c r="AZ146" s="46"/>
      <c r="BA146" s="46"/>
      <c r="BB146" s="46"/>
      <c r="BC146" s="46"/>
      <c r="BD146" s="46"/>
      <c r="BE146" s="46"/>
      <c r="BF146" s="46"/>
      <c r="BG146" s="46"/>
      <c r="BH146" s="46"/>
      <c r="BI146" s="46"/>
      <c r="BJ146" s="46"/>
      <c r="BK146" s="46"/>
      <c r="BL146" s="46"/>
      <c r="BM146" s="46"/>
      <c r="BN146" s="46"/>
      <c r="BO146" s="46"/>
      <c r="BP146" s="46"/>
      <c r="BQ146" s="46"/>
      <c r="BR146" s="46"/>
      <c r="BS146" s="46"/>
      <c r="BT146" s="46"/>
      <c r="BU146" s="46"/>
      <c r="BV146" s="46"/>
      <c r="BW146" s="46"/>
      <c r="BX146" s="46"/>
      <c r="BY146" s="46"/>
      <c r="BZ146" s="46"/>
      <c r="CA146" s="46"/>
      <c r="CB146" s="46"/>
      <c r="CC146" s="46"/>
    </row>
    <row r="147">
      <c r="A147" s="87" t="str">
        <f>IFERROR(__xludf.DUMMYFUNCTION("""COMPUTED_VALUE"""),"410")</f>
        <v>410</v>
      </c>
      <c r="B147" s="46" t="str">
        <f>IFERROR(__xludf.DUMMYFUNCTION("""COMPUTED_VALUE"""),"Casa en Conjunto San Valentín")</f>
        <v>Casa en Conjunto San Valentín</v>
      </c>
      <c r="C147" s="46" t="str">
        <f>IFERROR(__xludf.DUMMYFUNCTION("""COMPUTED_VALUE"""),"Casa en conjunto")</f>
        <v>Casa en conjunto</v>
      </c>
      <c r="D147" s="90"/>
      <c r="E147" s="46" t="str">
        <f>IFERROR(__xludf.DUMMYFUNCTION("""COMPUTED_VALUE"""),"San Valentin")</f>
        <v>San Valentin</v>
      </c>
      <c r="F147" s="90">
        <f>IFERROR(__xludf.DUMMYFUNCTION("""COMPUTED_VALUE"""),2.3E8)</f>
        <v>230000000</v>
      </c>
      <c r="G147" s="46" t="str">
        <f>IFERROR(__xludf.DUMMYFUNCTION("""COMPUTED_VALUE"""),"$200'000.000 a $300'000.000")</f>
        <v>$200'000.000 a $300'000.000</v>
      </c>
      <c r="H147" s="46"/>
      <c r="I147" s="46"/>
      <c r="J147" s="46" t="str">
        <f>IFERROR(__xludf.DUMMYFUNCTION("""COMPUTED_VALUE"""),"Sur")</f>
        <v>Sur</v>
      </c>
      <c r="K147" s="87"/>
      <c r="L147" s="46">
        <f>IFERROR(__xludf.DUMMYFUNCTION("""COMPUTED_VALUE"""),3.0)</f>
        <v>3</v>
      </c>
      <c r="M147" s="46"/>
      <c r="N147" s="46">
        <f>IFERROR(__xludf.DUMMYFUNCTION("""COMPUTED_VALUE"""),2.0)</f>
        <v>2</v>
      </c>
      <c r="O147" s="46">
        <f>IFERROR(__xludf.DUMMYFUNCTION("""COMPUTED_VALUE"""),1.0)</f>
        <v>1</v>
      </c>
      <c r="P147" s="46">
        <f>IFERROR(__xludf.DUMMYFUNCTION("""COMPUTED_VALUE"""),2.0)</f>
        <v>2</v>
      </c>
      <c r="Q147" s="92">
        <f>IFERROR(__xludf.DUMMYFUNCTION("""COMPUTED_VALUE"""),0.0)</f>
        <v>0</v>
      </c>
      <c r="R147" s="92">
        <f>IFERROR(__xludf.DUMMYFUNCTION("""COMPUTED_VALUE"""),0.0)</f>
        <v>0</v>
      </c>
      <c r="S147" s="87" t="str">
        <f>IFERROR(__xludf.DUMMYFUNCTION("""COMPUTED_VALUE""")," ")</f>
        <v> </v>
      </c>
      <c r="T147" s="46" t="str">
        <f>IFERROR(__xludf.DUMMYFUNCTION("""COMPUTED_VALUE"""),"Neiva")</f>
        <v>Neiva</v>
      </c>
      <c r="U147" s="87" t="str">
        <f>IFERROR(__xludf.DUMMYFUNCTION("""COMPUTED_VALUE"""),"3")</f>
        <v>3</v>
      </c>
      <c r="V147" s="46" t="str">
        <f>IFERROR(__xludf.DUMMYFUNCTION("""COMPUTED_VALUE"""),"Medianera")</f>
        <v>Medianera</v>
      </c>
      <c r="W147" s="46"/>
      <c r="X147" s="46">
        <f>IFERROR(__xludf.DUMMYFUNCTION("""COMPUTED_VALUE"""),3.0)</f>
        <v>3</v>
      </c>
      <c r="Y147" s="46" t="str">
        <f>IFERROR(__xludf.DUMMYFUNCTION("""COMPUTED_VALUE"""),"Social")</f>
        <v>Social</v>
      </c>
      <c r="Z147" s="90">
        <f>IFERROR(__xludf.DUMMYFUNCTION("""COMPUTED_VALUE"""),0.0)</f>
        <v>0</v>
      </c>
      <c r="AA147" s="33" t="str">
        <f>IFERROR(__xludf.DUMMYFUNCTION("""COMPUTED_VALUE"""),"No aplica")</f>
        <v>No aplica</v>
      </c>
      <c r="AB147" s="144" t="str">
        <f>IFERROR(__xludf.DUMMYFUNCTION("""COMPUTED_VALUE"""),"https://photos.app.goo.gl/ruJPeGsSVvPYyKJu5")</f>
        <v>https://photos.app.goo.gl/ruJPeGsSVvPYyKJu5</v>
      </c>
      <c r="AC147" s="46"/>
      <c r="AD147" s="46"/>
      <c r="AE147" s="46"/>
      <c r="AF147" s="46" t="str">
        <f>IFERROR(__xludf.DUMMYFUNCTION("""COMPUTED_VALUE"""),"integral")</f>
        <v>integral</v>
      </c>
      <c r="AG147" s="46"/>
      <c r="AH147" s="46" t="str">
        <f>IFERROR(__xludf.DUMMYFUNCTION("""COMPUTED_VALUE"""),"Aliado")</f>
        <v>Aliado</v>
      </c>
      <c r="AI147" s="92" t="str">
        <f>IFERROR(__xludf.DUMMYFUNCTION("""COMPUTED_VALUE"""),"https://lh3.googleusercontent.com/pw/AP1GczOLSxH7eR8XfbM9lsuuLukhiRzd6f53RtDJ2TwsAVWz_YzQJOHryrTFlcrmSedcvNB1Kvk70uDN0Gua0aXFhNY40knX-uCeHm32bAl4Zh-Pd1WqCQ4B=w1200|https://lh3.googleusercontent.com/pw/AP1GczMkKT46o02HYmAeHeXe4cq2gX8KgoHi5rGnnkqpsWUknu_aWH"&amp;"vfQDvc33u6enFZICziN3jbuEi8TuUxH_WWRNXaPoVMPe3qIYIzX3kB7mRuqUrw168F=w1200|https://lh3.googleusercontent.com/pw/AP1GczNJw5t7HBh5Q0rylw2aGp5l3S7QjaQWrA6Zb502XWhXZLU9L1MweymAyI8cIaBs612R6y3ltcvuqKk6vkakcWT5_CTOarOIOkVCCV63SWXLox39csPq=w1200|https://lh3.google"&amp;"usercontent.com/pw/AP1GczN93W6O9eeq8iuZDxrL4ozarJifs-MBByAaxXsiw8QpK9A8Tdlg6qlhUSFyLKTbMbZEbVmxMYUTaV_yziG1wQ688snd7h1hq7E07ByNDyLbRdd1WGci=w1200|https://lh3.googleusercontent.com/pw/AP1GczOKDZ5CJ7Pl0r1IGdPEsJXDUTT0GDYqxhQzsONCZXtNAcnQYeGUcPZyPeEkwmXxbxio"&amp;"iJZVWkWSwBkh-3UB5jJJqgPDC64yv8kXmN1nW8FPFXZnvTLp=w1200|https://lh3.googleusercontent.com/pw/AP1GczNNIh9wz7B3CG-KRSTR5Q5nEJlL3xyC2MtVnLXDaf7l4T8oPzreZD_31K9xd1MHImdUbqWff9f5btAX0lsr66KeucTUOJqJhrvwbGOPi7gusD3_cdwc=w1200|https://lh3.googleusercontent.com/pw"&amp;"/AP1GczPXzt6yL03Bi5RIs0FqSaGenuANLUVooF5KuDzeTS7UU9YkXjy8KgG7NzVvzRRcw_prxZTlx8YKjs1E00taQJHzHWkkcVKxyvGntfR8WsMsGo_2uJ4P=w1200|https://lh3.googleusercontent.com/pw/AP1GczN1GFxCIUml6xuGmlEE0w26nMGxMy9kODtjSaFZ-DXb8yJWRpHDCVJoB5sREk8SC10e8rwt2iFzGdd1F75kya"&amp;"F1g82aHn5WTEiau9nLpLUtMJUcY6tf=w1200|https://lh3.googleusercontent.com/pw/AP1GczPHnxFM4hjoqUCsK2FGAWyfwpOSQZKjJJBGMz8UPdlYwbahR8aPbAX2HR391vxIvvpiwmFnjd6XZf58VEQteuBS-adlLwfZd4S8xXdqZ2hKO0ql6397=w1200")</f>
        <v>https://lh3.googleusercontent.com/pw/AP1GczOLSxH7eR8XfbM9lsuuLukhiRzd6f53RtDJ2TwsAVWz_YzQJOHryrTFlcrmSedcvNB1Kvk70uDN0Gua0aXFhNY40knX-uCeHm32bAl4Zh-Pd1WqCQ4B=w1200|https://lh3.googleusercontent.com/pw/AP1GczMkKT46o02HYmAeHeXe4cq2gX8KgoHi5rGnnkqpsWUknu_aWHvfQDvc33u6enFZICziN3jbuEi8TuUxH_WWRNXaPoVMPe3qIYIzX3kB7mRuqUrw168F=w1200|https://lh3.googleusercontent.com/pw/AP1GczNJw5t7HBh5Q0rylw2aGp5l3S7QjaQWrA6Zb502XWhXZLU9L1MweymAyI8cIaBs612R6y3ltcvuqKk6vkakcWT5_CTOarOIOkVCCV63SWXLox39csPq=w1200|https://lh3.googleusercontent.com/pw/AP1GczN93W6O9eeq8iuZDxrL4ozarJifs-MBByAaxXsiw8QpK9A8Tdlg6qlhUSFyLKTbMbZEbVmxMYUTaV_yziG1wQ688snd7h1hq7E07ByNDyLbRdd1WGci=w1200|https://lh3.googleusercontent.com/pw/AP1GczOKDZ5CJ7Pl0r1IGdPEsJXDUTT0GDYqxhQzsONCZXtNAcnQYeGUcPZyPeEkwmXxbxioiJZVWkWSwBkh-3UB5jJJqgPDC64yv8kXmN1nW8FPFXZnvTLp=w1200|https://lh3.googleusercontent.com/pw/AP1GczNNIh9wz7B3CG-KRSTR5Q5nEJlL3xyC2MtVnLXDaf7l4T8oPzreZD_31K9xd1MHImdUbqWff9f5btAX0lsr66KeucTUOJqJhrvwbGOPi7gusD3_cdwc=w1200|https://lh3.googleusercontent.com/pw/AP1GczPXzt6yL03Bi5RIs0FqSaGenuANLUVooF5KuDzeTS7UU9YkXjy8KgG7NzVvzRRcw_prxZTlx8YKjs1E00taQJHzHWkkcVKxyvGntfR8WsMsGo_2uJ4P=w1200|https://lh3.googleusercontent.com/pw/AP1GczN1GFxCIUml6xuGmlEE0w26nMGxMy9kODtjSaFZ-DXb8yJWRpHDCVJoB5sREk8SC10e8rwt2iFzGdd1F75kyaF1g82aHn5WTEiau9nLpLUtMJUcY6tf=w1200|https://lh3.googleusercontent.com/pw/AP1GczPHnxFM4hjoqUCsK2FGAWyfwpOSQZKjJJBGMz8UPdlYwbahR8aPbAX2HR391vxIvvpiwmFnjd6XZf58VEQteuBS-adlLwfZd4S8xXdqZ2hKO0ql6397=w1200</v>
      </c>
      <c r="AJ147" s="46"/>
      <c r="AK147" s="46"/>
      <c r="AL147" s="46"/>
      <c r="AM147" s="46"/>
      <c r="AN147" s="46"/>
      <c r="AO147" s="46"/>
      <c r="AP147" s="46"/>
      <c r="AQ147" s="46"/>
      <c r="AR147" s="46"/>
      <c r="AS147" s="46"/>
      <c r="AT147" s="46"/>
      <c r="AU147" s="46"/>
      <c r="AV147" s="46"/>
      <c r="AW147" s="46"/>
      <c r="AX147" s="46"/>
      <c r="AY147" s="46"/>
      <c r="AZ147" s="46"/>
      <c r="BA147" s="46"/>
      <c r="BB147" s="46"/>
      <c r="BC147" s="46"/>
      <c r="BD147" s="46"/>
      <c r="BE147" s="46"/>
      <c r="BF147" s="46"/>
      <c r="BG147" s="46"/>
      <c r="BH147" s="46"/>
      <c r="BI147" s="46"/>
      <c r="BJ147" s="46"/>
      <c r="BK147" s="46"/>
      <c r="BL147" s="46"/>
      <c r="BM147" s="46"/>
      <c r="BN147" s="46"/>
      <c r="BO147" s="46"/>
      <c r="BP147" s="46"/>
      <c r="BQ147" s="46"/>
      <c r="BR147" s="46"/>
      <c r="BS147" s="46"/>
      <c r="BT147" s="46"/>
      <c r="BU147" s="46"/>
      <c r="BV147" s="46"/>
      <c r="BW147" s="46"/>
      <c r="BX147" s="46"/>
      <c r="BY147" s="46"/>
      <c r="BZ147" s="46"/>
      <c r="CA147" s="46"/>
      <c r="CB147" s="46"/>
      <c r="CC147" s="46"/>
    </row>
    <row r="148">
      <c r="A148" s="87" t="str">
        <f>IFERROR(__xludf.DUMMYFUNCTION("""COMPUTED_VALUE"""),"020")</f>
        <v>020</v>
      </c>
      <c r="B148" s="46" t="str">
        <f>IFERROR(__xludf.DUMMYFUNCTION("""COMPUTED_VALUE"""),"Casa en barrio Hacienda Santa Barbara - Alcalá III (Obra gris)")</f>
        <v>Casa en barrio Hacienda Santa Barbara - Alcalá III (Obra gris)</v>
      </c>
      <c r="C148" s="46" t="str">
        <f>IFERROR(__xludf.DUMMYFUNCTION("""COMPUTED_VALUE"""),"Casa")</f>
        <v>Casa</v>
      </c>
      <c r="D148" s="90" t="str">
        <f>IFERROR(__xludf.DUMMYFUNCTION("""COMPUTED_VALUE"""),"Alcalá III")</f>
        <v>Alcalá III</v>
      </c>
      <c r="E148" s="46"/>
      <c r="F148" s="90">
        <f>IFERROR(__xludf.DUMMYFUNCTION("""COMPUTED_VALUE"""),2.3E8)</f>
        <v>230000000</v>
      </c>
      <c r="G148" s="46" t="str">
        <f>IFERROR(__xludf.DUMMYFUNCTION("""COMPUTED_VALUE"""),"$200'000.000 a $300'000.000")</f>
        <v>$200'000.000 a $300'000.000</v>
      </c>
      <c r="H148" s="46"/>
      <c r="I148" s="46"/>
      <c r="J148" s="46" t="str">
        <f>IFERROR(__xludf.DUMMYFUNCTION("""COMPUTED_VALUE"""),"Occidente")</f>
        <v>Occidente</v>
      </c>
      <c r="K148" s="87"/>
      <c r="L148" s="46">
        <f>IFERROR(__xludf.DUMMYFUNCTION("""COMPUTED_VALUE"""),4.0)</f>
        <v>4</v>
      </c>
      <c r="M148" s="46"/>
      <c r="N148" s="46">
        <f>IFERROR(__xludf.DUMMYFUNCTION("""COMPUTED_VALUE"""),3.0)</f>
        <v>3</v>
      </c>
      <c r="O148" s="46">
        <f>IFERROR(__xludf.DUMMYFUNCTION("""COMPUTED_VALUE"""),1.0)</f>
        <v>1</v>
      </c>
      <c r="P148" s="46">
        <f>IFERROR(__xludf.DUMMYFUNCTION("""COMPUTED_VALUE"""),2.0)</f>
        <v>2</v>
      </c>
      <c r="Q148" s="92">
        <f>IFERROR(__xludf.DUMMYFUNCTION("""COMPUTED_VALUE"""),170.0)</f>
        <v>170</v>
      </c>
      <c r="R148" s="92">
        <f>IFERROR(__xludf.DUMMYFUNCTION("""COMPUTED_VALUE"""),98.4)</f>
        <v>98.4</v>
      </c>
      <c r="S148" s="87" t="str">
        <f>IFERROR(__xludf.DUMMYFUNCTION("""COMPUTED_VALUE""")," ")</f>
        <v> </v>
      </c>
      <c r="T148" s="46" t="str">
        <f>IFERROR(__xludf.DUMMYFUNCTION("""COMPUTED_VALUE"""),"Neiva")</f>
        <v>Neiva</v>
      </c>
      <c r="U148" s="87" t="str">
        <f>IFERROR(__xludf.DUMMYFUNCTION("""COMPUTED_VALUE"""),"2")</f>
        <v>2</v>
      </c>
      <c r="V148" s="46" t="str">
        <f>IFERROR(__xludf.DUMMYFUNCTION("""COMPUTED_VALUE"""),"Medianera")</f>
        <v>Medianera</v>
      </c>
      <c r="W148" s="46"/>
      <c r="X148" s="46">
        <f>IFERROR(__xludf.DUMMYFUNCTION("""COMPUTED_VALUE"""),0.0)</f>
        <v>0</v>
      </c>
      <c r="Y148" s="46" t="str">
        <f>IFERROR(__xludf.DUMMYFUNCTION("""COMPUTED_VALUE"""),"No tiene")</f>
        <v>No tiene</v>
      </c>
      <c r="Z148" s="90" t="str">
        <f>IFERROR(__xludf.DUMMYFUNCTION("""COMPUTED_VALUE"""),"No aplica")</f>
        <v>No aplica</v>
      </c>
      <c r="AA148" s="33" t="str">
        <f>IFERROR(__xludf.DUMMYFUNCTION("""COMPUTED_VALUE"""),"No aplica")</f>
        <v>No aplica</v>
      </c>
      <c r="AB148" s="144" t="str">
        <f>IFERROR(__xludf.DUMMYFUNCTION("""COMPUTED_VALUE"""),"https://photos.app.goo.gl/qXPqVdgAcwrYsdtx7")</f>
        <v>https://photos.app.goo.gl/qXPqVdgAcwrYsdtx7</v>
      </c>
      <c r="AC148" s="46"/>
      <c r="AD148" s="46"/>
      <c r="AE148" s="46"/>
      <c r="AF148" s="46" t="str">
        <f>IFERROR(__xludf.DUMMYFUNCTION("""COMPUTED_VALUE"""),"básica")</f>
        <v>básica</v>
      </c>
      <c r="AG148" s="46"/>
      <c r="AH148" s="46" t="str">
        <f>IFERROR(__xludf.DUMMYFUNCTION("""COMPUTED_VALUE"""),"Aliado")</f>
        <v>Aliado</v>
      </c>
      <c r="AI148" s="92" t="str">
        <f>IFERROR(__xludf.DUMMYFUNCTION("""COMPUTED_VALUE"""),"https://lh3.googleusercontent.com/pw/AP1GczOW44P4m9KSLP7KnX4w16YTbJTWc1YW5opzu_he85-heuXpweG7JEzd6CZUp40d-e3RKvWlq963aKvk-9N-Am3vNQmcbnJzuzHVmKf_1a7uc2VjbSNM=w1200|https://lh3.googleusercontent.com/pw/AP1GczN5eZ6TKCdzFF9axMoDlQw-9FmVagKV6cgjXutwny0KRsh0uK"&amp;"oMci5Y-7HmaYp0ONOz608cbbibQBnuiGXKPPGhj_TCC1D66wB7at_nX-eKotkWLJNW=w1200|https://lh3.googleusercontent.com/pw/AP1GczNGiQQRglG-vxVr_GFURdodfFq4mMjTOuqYfOQKD-bbl1wpeFgDxNC_l21aS95wHMFKK6nBSZ1aY6x_zV--cBd4AEmyb8he2iIUD0raEAiCE33UWVBX=w1200")</f>
        <v>https://lh3.googleusercontent.com/pw/AP1GczOW44P4m9KSLP7KnX4w16YTbJTWc1YW5opzu_he85-heuXpweG7JEzd6CZUp40d-e3RKvWlq963aKvk-9N-Am3vNQmcbnJzuzHVmKf_1a7uc2VjbSNM=w1200|https://lh3.googleusercontent.com/pw/AP1GczN5eZ6TKCdzFF9axMoDlQw-9FmVagKV6cgjXutwny0KRsh0uKoMci5Y-7HmaYp0ONOz608cbbibQBnuiGXKPPGhj_TCC1D66wB7at_nX-eKotkWLJNW=w1200|https://lh3.googleusercontent.com/pw/AP1GczNGiQQRglG-vxVr_GFURdodfFq4mMjTOuqYfOQKD-bbl1wpeFgDxNC_l21aS95wHMFKK6nBSZ1aY6x_zV--cBd4AEmyb8he2iIUD0raEAiCE33UWVBX=w1200</v>
      </c>
      <c r="AJ148" s="46"/>
      <c r="AK148" s="46"/>
      <c r="AL148" s="46"/>
      <c r="AM148" s="46"/>
      <c r="AN148" s="46"/>
      <c r="AO148" s="46"/>
      <c r="AP148" s="46"/>
      <c r="AQ148" s="46"/>
      <c r="AR148" s="46"/>
      <c r="AS148" s="46"/>
      <c r="AT148" s="46"/>
      <c r="AU148" s="46"/>
      <c r="AV148" s="46"/>
      <c r="AW148" s="46"/>
      <c r="AX148" s="46"/>
      <c r="AY148" s="46"/>
      <c r="AZ148" s="46"/>
      <c r="BA148" s="46"/>
      <c r="BB148" s="46"/>
      <c r="BC148" s="46"/>
      <c r="BD148" s="46"/>
      <c r="BE148" s="46"/>
      <c r="BF148" s="46"/>
      <c r="BG148" s="46"/>
      <c r="BH148" s="46"/>
      <c r="BI148" s="46"/>
      <c r="BJ148" s="46"/>
      <c r="BK148" s="46"/>
      <c r="BL148" s="46"/>
      <c r="BM148" s="46"/>
      <c r="BN148" s="46"/>
      <c r="BO148" s="46"/>
      <c r="BP148" s="46"/>
      <c r="BQ148" s="46"/>
      <c r="BR148" s="46"/>
      <c r="BS148" s="46"/>
      <c r="BT148" s="46"/>
      <c r="BU148" s="46"/>
      <c r="BV148" s="46"/>
      <c r="BW148" s="46"/>
      <c r="BX148" s="46"/>
      <c r="BY148" s="46"/>
      <c r="BZ148" s="46"/>
      <c r="CA148" s="46"/>
      <c r="CB148" s="46"/>
      <c r="CC148" s="46"/>
    </row>
    <row r="149">
      <c r="A149" s="87" t="str">
        <f>IFERROR(__xludf.DUMMYFUNCTION("""COMPUTED_VALUE"""),"621")</f>
        <v>621</v>
      </c>
      <c r="B149" s="46" t="str">
        <f>IFERROR(__xludf.DUMMYFUNCTION("""COMPUTED_VALUE"""),"Casa con apartamento (obra gris) en barrio La Voragine")</f>
        <v>Casa con apartamento (obra gris) en barrio La Voragine</v>
      </c>
      <c r="C149" s="46" t="str">
        <f>IFERROR(__xludf.DUMMYFUNCTION("""COMPUTED_VALUE"""),"Casa rentable")</f>
        <v>Casa rentable</v>
      </c>
      <c r="D149" s="90" t="str">
        <f>IFERROR(__xludf.DUMMYFUNCTION("""COMPUTED_VALUE"""),"La Voragine")</f>
        <v>La Voragine</v>
      </c>
      <c r="E149" s="46"/>
      <c r="F149" s="90">
        <f>IFERROR(__xludf.DUMMYFUNCTION("""COMPUTED_VALUE"""),1.9E8)</f>
        <v>190000000</v>
      </c>
      <c r="G149" s="46" t="str">
        <f>IFERROR(__xludf.DUMMYFUNCTION("""COMPUTED_VALUE"""),"$100'000.000 a $200'000.000")</f>
        <v>$100'000.000 a $200'000.000</v>
      </c>
      <c r="H149" s="46"/>
      <c r="I149" s="46"/>
      <c r="J149" s="46" t="str">
        <f>IFERROR(__xludf.DUMMYFUNCTION("""COMPUTED_VALUE"""),"Norte")</f>
        <v>Norte</v>
      </c>
      <c r="K149" s="87" t="str">
        <f>IFERROR(__xludf.DUMMYFUNCTION("""COMPUTED_VALUE"""),"1")</f>
        <v>1</v>
      </c>
      <c r="L149" s="46">
        <f>IFERROR(__xludf.DUMMYFUNCTION("""COMPUTED_VALUE"""),6.0)</f>
        <v>6</v>
      </c>
      <c r="M149" s="46"/>
      <c r="N149" s="46">
        <f>IFERROR(__xludf.DUMMYFUNCTION("""COMPUTED_VALUE"""),3.0)</f>
        <v>3</v>
      </c>
      <c r="O149" s="46">
        <f>IFERROR(__xludf.DUMMYFUNCTION("""COMPUTED_VALUE"""),1.0)</f>
        <v>1</v>
      </c>
      <c r="P149" s="46">
        <f>IFERROR(__xludf.DUMMYFUNCTION("""COMPUTED_VALUE"""),2.0)</f>
        <v>2</v>
      </c>
      <c r="Q149" s="92">
        <f>IFERROR(__xludf.DUMMYFUNCTION("""COMPUTED_VALUE"""),170.0)</f>
        <v>170</v>
      </c>
      <c r="R149" s="92">
        <f>IFERROR(__xludf.DUMMYFUNCTION("""COMPUTED_VALUE"""),93.0)</f>
        <v>93</v>
      </c>
      <c r="S149" s="87" t="str">
        <f>IFERROR(__xludf.DUMMYFUNCTION("""COMPUTED_VALUE""")," ")</f>
        <v> </v>
      </c>
      <c r="T149" s="46" t="str">
        <f>IFERROR(__xludf.DUMMYFUNCTION("""COMPUTED_VALUE"""),"Neiva")</f>
        <v>Neiva</v>
      </c>
      <c r="U149" s="87" t="str">
        <f>IFERROR(__xludf.DUMMYFUNCTION("""COMPUTED_VALUE"""),"2")</f>
        <v>2</v>
      </c>
      <c r="V149" s="46" t="str">
        <f>IFERROR(__xludf.DUMMYFUNCTION("""COMPUTED_VALUE"""),"Medianera")</f>
        <v>Medianera</v>
      </c>
      <c r="W149" s="46"/>
      <c r="X149" s="46">
        <f>IFERROR(__xludf.DUMMYFUNCTION("""COMPUTED_VALUE"""),1.0)</f>
        <v>1</v>
      </c>
      <c r="Y149" s="46" t="str">
        <f>IFERROR(__xludf.DUMMYFUNCTION("""COMPUTED_VALUE"""),"No tiene")</f>
        <v>No tiene</v>
      </c>
      <c r="Z149" s="90" t="str">
        <f>IFERROR(__xludf.DUMMYFUNCTION("""COMPUTED_VALUE"""),"No aplica")</f>
        <v>No aplica</v>
      </c>
      <c r="AA149" s="33" t="str">
        <f>IFERROR(__xludf.DUMMYFUNCTION("""COMPUTED_VALUE"""),"No aplica")</f>
        <v>No aplica</v>
      </c>
      <c r="AB149" s="144" t="str">
        <f>IFERROR(__xludf.DUMMYFUNCTION("""COMPUTED_VALUE"""),"https://photos.app.goo.gl/fZEY5XBVDgsSeZp56")</f>
        <v>https://photos.app.goo.gl/fZEY5XBVDgsSeZp56</v>
      </c>
      <c r="AC149" s="46"/>
      <c r="AD149" s="46"/>
      <c r="AE149" s="46"/>
      <c r="AF149" s="46" t="str">
        <f>IFERROR(__xludf.DUMMYFUNCTION("""COMPUTED_VALUE"""),"básica")</f>
        <v>básica</v>
      </c>
      <c r="AG149" s="46"/>
      <c r="AH149" s="46" t="str">
        <f>IFERROR(__xludf.DUMMYFUNCTION("""COMPUTED_VALUE"""),"Aliado")</f>
        <v>Aliado</v>
      </c>
      <c r="AI149" s="92" t="str">
        <f>IFERROR(__xludf.DUMMYFUNCTION("""COMPUTED_VALUE"""),"https://lh3.googleusercontent.com/pw/AP1GczOuJOYqwfyuqomfj_9J-MISAJdk3HD-532tLK3ePboY9d6RUjix3g4Udp-qlHrMAVHONKsBNdNVjsriCsI3k_v1CzHyTjUkFx22NKvk82dBGYCbwSsh=w1200|https://lh3.googleusercontent.com/pw/AP1GczNaEHj-_zhs_E_KWNM5hJoDabscjJ1Q6PVnjtpxmbFZ2bJlK2"&amp;"rvHq8GmBadfZA6GoCW1WsQaHBuTp6oj6scT2eBrJDOTb197j0Na9XyZj9qQMOWEry-=w1200|https://lh3.googleusercontent.com/pw/AP1GczPDKoXANvc5SXRlcIFM5WT28YTd9pl4Ui5cqfmHa8wTsfMmJNwYNqL9jjvZ6lHQiLt7h9iDVZ5rooaR-24q_cga-eOkjLc22vw08qBB0GKtrF9-ZOiT=w1200|https://lh3.google"&amp;"usercontent.com/pw/AP1GczOdPgsbx0UxwHLSUGc8a_f3AjlxnPVf6OgbDimvh4hK_h471ZG-0qT3mcAq4aWG6m23MaZu-36WY5arhHP27DX1-xR0C2eBJBPRPFHzWdl_9Wn9ffut=w1200")</f>
        <v>https://lh3.googleusercontent.com/pw/AP1GczOuJOYqwfyuqomfj_9J-MISAJdk3HD-532tLK3ePboY9d6RUjix3g4Udp-qlHrMAVHONKsBNdNVjsriCsI3k_v1CzHyTjUkFx22NKvk82dBGYCbwSsh=w1200|https://lh3.googleusercontent.com/pw/AP1GczNaEHj-_zhs_E_KWNM5hJoDabscjJ1Q6PVnjtpxmbFZ2bJlK2rvHq8GmBadfZA6GoCW1WsQaHBuTp6oj6scT2eBrJDOTb197j0Na9XyZj9qQMOWEry-=w1200|https://lh3.googleusercontent.com/pw/AP1GczPDKoXANvc5SXRlcIFM5WT28YTd9pl4Ui5cqfmHa8wTsfMmJNwYNqL9jjvZ6lHQiLt7h9iDVZ5rooaR-24q_cga-eOkjLc22vw08qBB0GKtrF9-ZOiT=w1200|https://lh3.googleusercontent.com/pw/AP1GczOdPgsbx0UxwHLSUGc8a_f3AjlxnPVf6OgbDimvh4hK_h471ZG-0qT3mcAq4aWG6m23MaZu-36WY5arhHP27DX1-xR0C2eBJBPRPFHzWdl_9Wn9ffut=w1200</v>
      </c>
      <c r="AJ149" s="46"/>
      <c r="AK149" s="46"/>
      <c r="AL149" s="46"/>
      <c r="AM149" s="46"/>
      <c r="AN149" s="46"/>
      <c r="AO149" s="46"/>
      <c r="AP149" s="46"/>
      <c r="AQ149" s="46"/>
      <c r="AR149" s="46"/>
      <c r="AS149" s="46"/>
      <c r="AT149" s="46"/>
      <c r="AU149" s="46"/>
      <c r="AV149" s="46"/>
      <c r="AW149" s="46"/>
      <c r="AX149" s="46"/>
      <c r="AY149" s="46"/>
      <c r="AZ149" s="46"/>
      <c r="BA149" s="46"/>
      <c r="BB149" s="46"/>
      <c r="BC149" s="46"/>
      <c r="BD149" s="46"/>
      <c r="BE149" s="46"/>
      <c r="BF149" s="46"/>
      <c r="BG149" s="46"/>
      <c r="BH149" s="46"/>
      <c r="BI149" s="46"/>
      <c r="BJ149" s="46"/>
      <c r="BK149" s="46"/>
      <c r="BL149" s="46"/>
      <c r="BM149" s="46"/>
      <c r="BN149" s="46"/>
      <c r="BO149" s="46"/>
      <c r="BP149" s="46"/>
      <c r="BQ149" s="46"/>
      <c r="BR149" s="46"/>
      <c r="BS149" s="46"/>
      <c r="BT149" s="46"/>
      <c r="BU149" s="46"/>
      <c r="BV149" s="46"/>
      <c r="BW149" s="46"/>
      <c r="BX149" s="46"/>
      <c r="BY149" s="46"/>
      <c r="BZ149" s="46"/>
      <c r="CA149" s="46"/>
      <c r="CB149" s="46"/>
      <c r="CC149" s="46"/>
    </row>
    <row r="150">
      <c r="A150" s="87" t="str">
        <f>IFERROR(__xludf.DUMMYFUNCTION("""COMPUTED_VALUE"""),"564")</f>
        <v>564</v>
      </c>
      <c r="B150" s="46" t="str">
        <f>IFERROR(__xludf.DUMMYFUNCTION("""COMPUTED_VALUE"""),"Apartamento en Conjunto Ciudadela Berdez")</f>
        <v>Apartamento en Conjunto Ciudadela Berdez</v>
      </c>
      <c r="C150" s="46" t="str">
        <f>IFERROR(__xludf.DUMMYFUNCTION("""COMPUTED_VALUE"""),"Apartamento en conjunto")</f>
        <v>Apartamento en conjunto</v>
      </c>
      <c r="D150" s="90" t="str">
        <f>IFERROR(__xludf.DUMMYFUNCTION("""COMPUTED_VALUE"""),"Alcalá Berdez")</f>
        <v>Alcalá Berdez</v>
      </c>
      <c r="E150" s="46" t="str">
        <f>IFERROR(__xludf.DUMMYFUNCTION("""COMPUTED_VALUE"""),"Ciudadela Berdez")</f>
        <v>Ciudadela Berdez</v>
      </c>
      <c r="F150" s="90">
        <f>IFERROR(__xludf.DUMMYFUNCTION("""COMPUTED_VALUE"""),1.8E8)</f>
        <v>180000000</v>
      </c>
      <c r="G150" s="46" t="str">
        <f>IFERROR(__xludf.DUMMYFUNCTION("""COMPUTED_VALUE"""),"$100'000.000 a $200'000.000")</f>
        <v>$100'000.000 a $200'000.000</v>
      </c>
      <c r="H150" s="46"/>
      <c r="I150" s="46"/>
      <c r="J150" s="46" t="str">
        <f>IFERROR(__xludf.DUMMYFUNCTION("""COMPUTED_VALUE"""),"Occidente")</f>
        <v>Occidente</v>
      </c>
      <c r="K150" s="87"/>
      <c r="L150" s="46">
        <f>IFERROR(__xludf.DUMMYFUNCTION("""COMPUTED_VALUE"""),3.0)</f>
        <v>3</v>
      </c>
      <c r="M150" s="46"/>
      <c r="N150" s="46">
        <f>IFERROR(__xludf.DUMMYFUNCTION("""COMPUTED_VALUE"""),2.0)</f>
        <v>2</v>
      </c>
      <c r="O150" s="46">
        <f>IFERROR(__xludf.DUMMYFUNCTION("""COMPUTED_VALUE"""),1.0)</f>
        <v>1</v>
      </c>
      <c r="P150" s="46">
        <f>IFERROR(__xludf.DUMMYFUNCTION("""COMPUTED_VALUE"""),3.0)</f>
        <v>3</v>
      </c>
      <c r="Q150" s="92">
        <f>IFERROR(__xludf.DUMMYFUNCTION("""COMPUTED_VALUE"""),64.4)</f>
        <v>64.4</v>
      </c>
      <c r="R150" s="92">
        <f>IFERROR(__xludf.DUMMYFUNCTION("""COMPUTED_VALUE"""),64.4)</f>
        <v>64.4</v>
      </c>
      <c r="S150" s="87" t="str">
        <f>IFERROR(__xludf.DUMMYFUNCTION("""COMPUTED_VALUE""")," ")</f>
        <v> </v>
      </c>
      <c r="T150" s="46" t="str">
        <f>IFERROR(__xludf.DUMMYFUNCTION("""COMPUTED_VALUE"""),"Palermo")</f>
        <v>Palermo</v>
      </c>
      <c r="U150" s="87" t="str">
        <f>IFERROR(__xludf.DUMMYFUNCTION("""COMPUTED_VALUE"""),"3")</f>
        <v>3</v>
      </c>
      <c r="V150" s="46" t="str">
        <f>IFERROR(__xludf.DUMMYFUNCTION("""COMPUTED_VALUE"""),"3er.")</f>
        <v>3er.</v>
      </c>
      <c r="W150" s="46"/>
      <c r="X150" s="46">
        <f>IFERROR(__xludf.DUMMYFUNCTION("""COMPUTED_VALUE"""),3.0)</f>
        <v>3</v>
      </c>
      <c r="Y150" s="46" t="str">
        <f>IFERROR(__xludf.DUMMYFUNCTION("""COMPUTED_VALUE"""),"Social")</f>
        <v>Social</v>
      </c>
      <c r="Z150" s="90">
        <f>IFERROR(__xludf.DUMMYFUNCTION("""COMPUTED_VALUE"""),268000.0)</f>
        <v>268000</v>
      </c>
      <c r="AA150" s="33" t="str">
        <f>IFERROR(__xludf.DUMMYFUNCTION("""COMPUTED_VALUE"""),"No aplica")</f>
        <v>No aplica</v>
      </c>
      <c r="AB150" s="144" t="str">
        <f>IFERROR(__xludf.DUMMYFUNCTION("""COMPUTED_VALUE"""),"https://photos.app.goo.gl/hiRm76yv8jvBmDiN7")</f>
        <v>https://photos.app.goo.gl/hiRm76yv8jvBmDiN7</v>
      </c>
      <c r="AC150" s="46" t="str">
        <f>IFERROR(__xludf.DUMMYFUNCTION("""COMPUTED_VALUE"""),"Apartamento en venta en el conjunto de la ciudadela Berdez a 5 minutos de la ciudad de Neiva Huila, consta de 64.4 mst2, sala, comedor, 3 habitaciones con su respectivo closet, la habitación principal cuenta con su baño privado, cocina integral, área de l"&amp;"avado, parqueadero propio y techado, ascensor, piscina, salón de eventos, vigilancia 24 horas.")</f>
        <v>Apartamento en venta en el conjunto de la ciudadela Berdez a 5 minutos de la ciudad de Neiva Huila, consta de 64.4 mst2, sala, comedor, 3 habitaciones con su respectivo closet, la habitación principal cuenta con su baño privado, cocina integral, área de lavado, parqueadero propio y techado, ascensor, piscina, salón de eventos, vigilancia 24 horas.</v>
      </c>
      <c r="AD150" s="46"/>
      <c r="AE150" s="46"/>
      <c r="AF150" s="46" t="str">
        <f>IFERROR(__xludf.DUMMYFUNCTION("""COMPUTED_VALUE"""),"integral")</f>
        <v>integral</v>
      </c>
      <c r="AG150" s="46"/>
      <c r="AH150" s="46" t="str">
        <f>IFERROR(__xludf.DUMMYFUNCTION("""COMPUTED_VALUE"""),"Aliado")</f>
        <v>Aliado</v>
      </c>
      <c r="AI150" s="92" t="str">
        <f>IFERROR(__xludf.DUMMYFUNCTION("""COMPUTED_VALUE"""),"https://lh3.googleusercontent.com/pw/AP1GczPK4L4vkmUQhfa5YqH9xiucpoEluR6G0obBHKVtXHRth63c828Up9b3a7MOXJnT-8fPnl_XFDsWMB0abgBQp4i26Wh0WIPXvbWIBN6C2qTmY0cq7bu-=w1200|https://lh3.googleusercontent.com/pw/AP1GczOSCKLLHly9SkJ7Gg2D-awh2-vusT0WlFn3liSGqb9OtGsxCD"&amp;"5rIJkoIvcHW1xd7WoZWJmM7b9MA9G5skTHziuElSfdSBlQGmj-19pnSiQCQAWO8M_Y=w1200|https://lh3.googleusercontent.com/pw/AP1GczPl-gB2FEVJAwV8J5L2JEpTNr7Yhu_TMfdAF1MXnM0PMYy5p3poEbruyjJN6hBRg_6_h9oYFefFb4pAuahqivHc8-reUYkpXn7g5zePugS_vecn_bXz=w1200|https://lh3.google"&amp;"usercontent.com/pw/AP1GczPOqn1gwL5G67ZYYP6QwElsmTJrrG1g0h03ddX8Rp5kG_XWmK49yCdpfJ8Uv7TJjY2nQnvYF1-Voeo4qqYXi-Oo9-S4bLnIBjCCCOCVhDE3vu81bPng=w1200|https://lh3.googleusercontent.com/pw/AP1GczPRQZg-RFxjGenEL53MDTfqL-3cGyLd2uP5vOVnr24qPHA8O0PXHuD22xokrnQGzMjy"&amp;"tld7B67TWUH-FkBkimmJCNQ4s-C4fLHK6JQPlSQM1SP-4wuI=w1200|https://lh3.googleusercontent.com/pw/AP1GczPIF3ZAoT95TbE0gttbVlyKwylSdlbZC0dD5rkUVHUBXY8gFBCZnCdxnNGCFUU3m2P2o-YeNFFbXmHJERfQqA_hr9b2PFCycuih1X6HVAekZIdpsiDq=w1200|https://lh3.googleusercontent.com/pw"&amp;"/AP1GczPRcHB10C_TZyLqY3x7PZSa4HNZdyrhhT01QsKsE0UWf3uLsFc9lZMliOGr4TaS45rEtH2DLu7dd0CTpL2HiHC7b7e8T3OoIzpMBatUglihSks6-CUh=w1200|https://lh3.googleusercontent.com/pw/AP1GczOQTvQf-UORCvTfCMIYpKB08OcdzMAKdiO9AZNghEkxVHJWthIxbbOWh3kXORwOcakxqSMXcj3obnvL-7FYFz"&amp;"Yv3cnvBZSCBI6L3shQglttL4hObJgG=w1200|https://lh3.googleusercontent.com/pw/AP1GczOU8mssEA_NhDpfXKnP2b_CUGTUr3UgUklEiME-FFMP2RIU9tE51Abjm5-ym7r8Fbln1iWKh_q9a063BxTj6JKSB47FjKulQxUGVk69F6QqxZrITpWq=w1200")</f>
        <v>https://lh3.googleusercontent.com/pw/AP1GczPK4L4vkmUQhfa5YqH9xiucpoEluR6G0obBHKVtXHRth63c828Up9b3a7MOXJnT-8fPnl_XFDsWMB0abgBQp4i26Wh0WIPXvbWIBN6C2qTmY0cq7bu-=w1200|https://lh3.googleusercontent.com/pw/AP1GczOSCKLLHly9SkJ7Gg2D-awh2-vusT0WlFn3liSGqb9OtGsxCD5rIJkoIvcHW1xd7WoZWJmM7b9MA9G5skTHziuElSfdSBlQGmj-19pnSiQCQAWO8M_Y=w1200|https://lh3.googleusercontent.com/pw/AP1GczPl-gB2FEVJAwV8J5L2JEpTNr7Yhu_TMfdAF1MXnM0PMYy5p3poEbruyjJN6hBRg_6_h9oYFefFb4pAuahqivHc8-reUYkpXn7g5zePugS_vecn_bXz=w1200|https://lh3.googleusercontent.com/pw/AP1GczPOqn1gwL5G67ZYYP6QwElsmTJrrG1g0h03ddX8Rp5kG_XWmK49yCdpfJ8Uv7TJjY2nQnvYF1-Voeo4qqYXi-Oo9-S4bLnIBjCCCOCVhDE3vu81bPng=w1200|https://lh3.googleusercontent.com/pw/AP1GczPRQZg-RFxjGenEL53MDTfqL-3cGyLd2uP5vOVnr24qPHA8O0PXHuD22xokrnQGzMjytld7B67TWUH-FkBkimmJCNQ4s-C4fLHK6JQPlSQM1SP-4wuI=w1200|https://lh3.googleusercontent.com/pw/AP1GczPIF3ZAoT95TbE0gttbVlyKwylSdlbZC0dD5rkUVHUBXY8gFBCZnCdxnNGCFUU3m2P2o-YeNFFbXmHJERfQqA_hr9b2PFCycuih1X6HVAekZIdpsiDq=w1200|https://lh3.googleusercontent.com/pw/AP1GczPRcHB10C_TZyLqY3x7PZSa4HNZdyrhhT01QsKsE0UWf3uLsFc9lZMliOGr4TaS45rEtH2DLu7dd0CTpL2HiHC7b7e8T3OoIzpMBatUglihSks6-CUh=w1200|https://lh3.googleusercontent.com/pw/AP1GczOQTvQf-UORCvTfCMIYpKB08OcdzMAKdiO9AZNghEkxVHJWthIxbbOWh3kXORwOcakxqSMXcj3obnvL-7FYFzYv3cnvBZSCBI6L3shQglttL4hObJgG=w1200|https://lh3.googleusercontent.com/pw/AP1GczOU8mssEA_NhDpfXKnP2b_CUGTUr3UgUklEiME-FFMP2RIU9tE51Abjm5-ym7r8Fbln1iWKh_q9a063BxTj6JKSB47FjKulQxUGVk69F6QqxZrITpWq=w1200</v>
      </c>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c r="BU150" s="46"/>
      <c r="BV150" s="46"/>
      <c r="BW150" s="46"/>
      <c r="BX150" s="46"/>
      <c r="BY150" s="46"/>
      <c r="BZ150" s="46"/>
      <c r="CA150" s="46"/>
      <c r="CB150" s="46"/>
      <c r="CC150" s="46"/>
    </row>
    <row r="151">
      <c r="A151" s="87" t="str">
        <f>IFERROR(__xludf.DUMMYFUNCTION("""COMPUTED_VALUE"""),"562")</f>
        <v>562</v>
      </c>
      <c r="B151" s="46" t="str">
        <f>IFERROR(__xludf.DUMMYFUNCTION("""COMPUTED_VALUE"""),"Casa en barrio El Limonar")</f>
        <v>Casa en barrio El Limonar</v>
      </c>
      <c r="C151" s="46" t="str">
        <f>IFERROR(__xludf.DUMMYFUNCTION("""COMPUTED_VALUE"""),"Casa")</f>
        <v>Casa</v>
      </c>
      <c r="D151" s="90" t="str">
        <f>IFERROR(__xludf.DUMMYFUNCTION("""COMPUTED_VALUE"""),"El Limonar")</f>
        <v>El Limonar</v>
      </c>
      <c r="E151" s="46"/>
      <c r="F151" s="90">
        <f>IFERROR(__xludf.DUMMYFUNCTION("""COMPUTED_VALUE"""),1.8E8)</f>
        <v>180000000</v>
      </c>
      <c r="G151" s="46" t="str">
        <f>IFERROR(__xludf.DUMMYFUNCTION("""COMPUTED_VALUE"""),"$100'000.000 a $200'000.000")</f>
        <v>$100'000.000 a $200'000.000</v>
      </c>
      <c r="H151" s="46"/>
      <c r="I151" s="46"/>
      <c r="J151" s="46" t="str">
        <f>IFERROR(__xludf.DUMMYFUNCTION("""COMPUTED_VALUE"""),"Sur")</f>
        <v>Sur</v>
      </c>
      <c r="K151" s="87"/>
      <c r="L151" s="46">
        <f>IFERROR(__xludf.DUMMYFUNCTION("""COMPUTED_VALUE"""),5.0)</f>
        <v>5</v>
      </c>
      <c r="M151" s="46"/>
      <c r="N151" s="46">
        <f>IFERROR(__xludf.DUMMYFUNCTION("""COMPUTED_VALUE"""),2.0)</f>
        <v>2</v>
      </c>
      <c r="O151" s="46">
        <f>IFERROR(__xludf.DUMMYFUNCTION("""COMPUTED_VALUE"""),1.0)</f>
        <v>1</v>
      </c>
      <c r="P151" s="46">
        <f>IFERROR(__xludf.DUMMYFUNCTION("""COMPUTED_VALUE"""),2.0)</f>
        <v>2</v>
      </c>
      <c r="Q151" s="92">
        <f>IFERROR(__xludf.DUMMYFUNCTION("""COMPUTED_VALUE"""),140.0)</f>
        <v>140</v>
      </c>
      <c r="R151" s="92">
        <f>IFERROR(__xludf.DUMMYFUNCTION("""COMPUTED_VALUE"""),78.0)</f>
        <v>78</v>
      </c>
      <c r="S151" s="87" t="str">
        <f>IFERROR(__xludf.DUMMYFUNCTION("""COMPUTED_VALUE""")," ")</f>
        <v> </v>
      </c>
      <c r="T151" s="46" t="str">
        <f>IFERROR(__xludf.DUMMYFUNCTION("""COMPUTED_VALUE"""),"Neiva")</f>
        <v>Neiva</v>
      </c>
      <c r="U151" s="87" t="str">
        <f>IFERROR(__xludf.DUMMYFUNCTION("""COMPUTED_VALUE"""),"2")</f>
        <v>2</v>
      </c>
      <c r="V151" s="46" t="str">
        <f>IFERROR(__xludf.DUMMYFUNCTION("""COMPUTED_VALUE"""),"Medianera")</f>
        <v>Medianera</v>
      </c>
      <c r="W151" s="46"/>
      <c r="X151" s="46">
        <f>IFERROR(__xludf.DUMMYFUNCTION("""COMPUTED_VALUE"""),3.0)</f>
        <v>3</v>
      </c>
      <c r="Y151" s="46" t="str">
        <f>IFERROR(__xludf.DUMMYFUNCTION("""COMPUTED_VALUE"""),"No tiene")</f>
        <v>No tiene</v>
      </c>
      <c r="Z151" s="90" t="str">
        <f>IFERROR(__xludf.DUMMYFUNCTION("""COMPUTED_VALUE"""),"No aplica")</f>
        <v>No aplica</v>
      </c>
      <c r="AA151" s="33" t="str">
        <f>IFERROR(__xludf.DUMMYFUNCTION("""COMPUTED_VALUE"""),"No aplica")</f>
        <v>No aplica</v>
      </c>
      <c r="AB151" s="144" t="str">
        <f>IFERROR(__xludf.DUMMYFUNCTION("""COMPUTED_VALUE"""),"https://photos.app.goo.gl/64jTAg9mFfnyHEZC7")</f>
        <v>https://photos.app.goo.gl/64jTAg9mFfnyHEZC7</v>
      </c>
      <c r="AC151" s="46"/>
      <c r="AD151" s="46"/>
      <c r="AE151" s="46"/>
      <c r="AF151" s="46" t="str">
        <f>IFERROR(__xludf.DUMMYFUNCTION("""COMPUTED_VALUE"""),"semi-integral")</f>
        <v>semi-integral</v>
      </c>
      <c r="AG151" s="46"/>
      <c r="AH151" s="46" t="str">
        <f>IFERROR(__xludf.DUMMYFUNCTION("""COMPUTED_VALUE"""),"Aliado")</f>
        <v>Aliado</v>
      </c>
      <c r="AI151" s="92" t="str">
        <f>IFERROR(__xludf.DUMMYFUNCTION("""COMPUTED_VALUE"""),"https://lh3.googleusercontent.com/pw/AP1GczNtjITrhJjtdnaEtmRAAVHya39YKLSl0DUTBWW6NAEvB30Yt2e2GGQaelfMmo9TICxFocavtrDv3QutuNDDGZ4yY27pmLDt_tD8-XxD36StZvMR8zAk=w1200|https://lh3.googleusercontent.com/pw/AP1GczNEbzZgZ26lSLxCrCr2JqffQLVsASjNbJn66uT4Ip0UpMuvBG"&amp;"5Ch4oxg8-fedly1jfqvIeAZa0I47WA5q0fD8aHAQbvvqX4CxoH5TVPyT9-HkKQfUqx=w1200|https://lh3.googleusercontent.com/pw/AP1GczNk-hsa8WdvYw1kwe0u2Sb0J9NT5AaMbTFWjC7Y5TqL9GM2e45i_X7baqGxRZxb8psd_9YWlHVzmQBffx3QJsri7kRykezydYOGQ5sCoePBsHeXJavk=w1200|https://lh3.google"&amp;"usercontent.com/pw/AP1GczNhQTyih0cjntURoSkBDUmZ3JnapXr6IB6RUxYWI8ffPhg28PhTAX-rAVCBh42mMbVXMKtcmeTOZpEBAbZHgdsIZoRhjbbEaRE-JWwvLeuNVMCkHXpv=w1200|https://lh3.googleusercontent.com/pw/AP1GczNplnVCzuOkPoM7k3YD-XtqZ8lMW5XeRoBCiTSk5mBgONTscVLvnbourLG_Uilcyx0P"&amp;"CPn_kRUExWrMiswXIkJZRpF_AffU9lFfgxwquHKDfBo9CryZ=w1200|https://lh3.googleusercontent.com/pw/AP1GczMZpCC9sxAkjj4fFcJbjxNzNUG1_0-O6ZOz9VAn1egp9r0RqpLk9Q_z9VKbEufwN1h2k2_cqpXjfSIcTKl4r-OOuz5dMxBzZ4RXnH5L91MlZgRwwI40=w1200|https://lh3.googleusercontent.com/pw"&amp;"/AP1GczO8R12PktA_8FFNl-kHnKpVzAI19W6uI2ZUjuqLJiqVVsqTKtqQ08266FChiE0WAIPCDAbfciuF7pIVMe9E5yXrFldHrTHP3x62twgSd_5d4mIJL3IV=w1200|https://lh3.googleusercontent.com/pw/AP1GczOf6Q8yePXe7VNXMqPPRzEceAnuSjzfmD1AuSTm9Wh3EJO-djD1t0KM1xDW4-2abxnMyK7VBr6BeZAEL7href"&amp;"cfKKdCqPt_7NI1u7QtFJYq_S6o6W8Y=w1200|https://lh3.googleusercontent.com/pw/AP1GczMVUS-xN_eeSBjxcyjomUj0EcGhkz9-5-e5EhQo9Rg4cSDxrpLFIj7YCX_2ERl9jEhKIJStyF6xPYLyBBRfskzksFc9CZNoI4ELCemqiu4syAz4S6Xt=w1200|https://lh3.googleusercontent.com/pw/AP1GczNsVrSyxMPXm"&amp;"Y8MoZsnePnPHrahhAWM_y0wjYz7w9D6GC5wefx2hXeQ6It12VZWL0tWdRzJYWYnQLthg87SYL_k8c8SjCVn6sGkV35B1yxDVmtRkJTH=w1200")</f>
        <v>https://lh3.googleusercontent.com/pw/AP1GczNtjITrhJjtdnaEtmRAAVHya39YKLSl0DUTBWW6NAEvB30Yt2e2GGQaelfMmo9TICxFocavtrDv3QutuNDDGZ4yY27pmLDt_tD8-XxD36StZvMR8zAk=w1200|https://lh3.googleusercontent.com/pw/AP1GczNEbzZgZ26lSLxCrCr2JqffQLVsASjNbJn66uT4Ip0UpMuvBG5Ch4oxg8-fedly1jfqvIeAZa0I47WA5q0fD8aHAQbvvqX4CxoH5TVPyT9-HkKQfUqx=w1200|https://lh3.googleusercontent.com/pw/AP1GczNk-hsa8WdvYw1kwe0u2Sb0J9NT5AaMbTFWjC7Y5TqL9GM2e45i_X7baqGxRZxb8psd_9YWlHVzmQBffx3QJsri7kRykezydYOGQ5sCoePBsHeXJavk=w1200|https://lh3.googleusercontent.com/pw/AP1GczNhQTyih0cjntURoSkBDUmZ3JnapXr6IB6RUxYWI8ffPhg28PhTAX-rAVCBh42mMbVXMKtcmeTOZpEBAbZHgdsIZoRhjbbEaRE-JWwvLeuNVMCkHXpv=w1200|https://lh3.googleusercontent.com/pw/AP1GczNplnVCzuOkPoM7k3YD-XtqZ8lMW5XeRoBCiTSk5mBgONTscVLvnbourLG_Uilcyx0PCPn_kRUExWrMiswXIkJZRpF_AffU9lFfgxwquHKDfBo9CryZ=w1200|https://lh3.googleusercontent.com/pw/AP1GczMZpCC9sxAkjj4fFcJbjxNzNUG1_0-O6ZOz9VAn1egp9r0RqpLk9Q_z9VKbEufwN1h2k2_cqpXjfSIcTKl4r-OOuz5dMxBzZ4RXnH5L91MlZgRwwI40=w1200|https://lh3.googleusercontent.com/pw/AP1GczO8R12PktA_8FFNl-kHnKpVzAI19W6uI2ZUjuqLJiqVVsqTKtqQ08266FChiE0WAIPCDAbfciuF7pIVMe9E5yXrFldHrTHP3x62twgSd_5d4mIJL3IV=w1200|https://lh3.googleusercontent.com/pw/AP1GczOf6Q8yePXe7VNXMqPPRzEceAnuSjzfmD1AuSTm9Wh3EJO-djD1t0KM1xDW4-2abxnMyK7VBr6BeZAEL7hrefcfKKdCqPt_7NI1u7QtFJYq_S6o6W8Y=w1200|https://lh3.googleusercontent.com/pw/AP1GczMVUS-xN_eeSBjxcyjomUj0EcGhkz9-5-e5EhQo9Rg4cSDxrpLFIj7YCX_2ERl9jEhKIJStyF6xPYLyBBRfskzksFc9CZNoI4ELCemqiu4syAz4S6Xt=w1200|https://lh3.googleusercontent.com/pw/AP1GczNsVrSyxMPXmY8MoZsnePnPHrahhAWM_y0wjYz7w9D6GC5wefx2hXeQ6It12VZWL0tWdRzJYWYnQLthg87SYL_k8c8SjCVn6sGkV35B1yxDVmtRkJTH=w1200</v>
      </c>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c r="BU151" s="46"/>
      <c r="BV151" s="46"/>
      <c r="BW151" s="46"/>
      <c r="BX151" s="46"/>
      <c r="BY151" s="46"/>
      <c r="BZ151" s="46"/>
      <c r="CA151" s="46"/>
      <c r="CB151" s="46"/>
      <c r="CC151" s="46"/>
    </row>
    <row r="152">
      <c r="A152" s="87" t="str">
        <f>IFERROR(__xludf.DUMMYFUNCTION("""COMPUTED_VALUE"""),"345")</f>
        <v>345</v>
      </c>
      <c r="B152" s="46" t="str">
        <f>IFERROR(__xludf.DUMMYFUNCTION("""COMPUTED_VALUE"""),"Casa en obra gris en barrio Salamanca la Nueva")</f>
        <v>Casa en obra gris en barrio Salamanca la Nueva</v>
      </c>
      <c r="C152" s="46" t="str">
        <f>IFERROR(__xludf.DUMMYFUNCTION("""COMPUTED_VALUE"""),"Casa")</f>
        <v>Casa</v>
      </c>
      <c r="D152" s="46" t="str">
        <f>IFERROR(__xludf.DUMMYFUNCTION("""COMPUTED_VALUE"""),"Slamanca la Nueva")</f>
        <v>Slamanca la Nueva</v>
      </c>
      <c r="E152" s="46"/>
      <c r="F152" s="90">
        <f>IFERROR(__xludf.DUMMYFUNCTION("""COMPUTED_VALUE"""),1.75E8)</f>
        <v>175000000</v>
      </c>
      <c r="G152" s="46" t="str">
        <f>IFERROR(__xludf.DUMMYFUNCTION("""COMPUTED_VALUE"""),"$100'000.000 a $200'000.000")</f>
        <v>$100'000.000 a $200'000.000</v>
      </c>
      <c r="H152" s="46"/>
      <c r="I152" s="46"/>
      <c r="J152" s="46" t="str">
        <f>IFERROR(__xludf.DUMMYFUNCTION("""COMPUTED_VALUE"""),"Occidente")</f>
        <v>Occidente</v>
      </c>
      <c r="K152" s="87"/>
      <c r="L152" s="46">
        <f>IFERROR(__xludf.DUMMYFUNCTION("""COMPUTED_VALUE"""),3.0)</f>
        <v>3</v>
      </c>
      <c r="M152" s="46"/>
      <c r="N152" s="46">
        <f>IFERROR(__xludf.DUMMYFUNCTION("""COMPUTED_VALUE"""),2.0)</f>
        <v>2</v>
      </c>
      <c r="O152" s="46">
        <f>IFERROR(__xludf.DUMMYFUNCTION("""COMPUTED_VALUE"""),1.0)</f>
        <v>1</v>
      </c>
      <c r="P152" s="46">
        <f>IFERROR(__xludf.DUMMYFUNCTION("""COMPUTED_VALUE"""),1.0)</f>
        <v>1</v>
      </c>
      <c r="Q152" s="92">
        <f>IFERROR(__xludf.DUMMYFUNCTION("""COMPUTED_VALUE"""),108.0)</f>
        <v>108</v>
      </c>
      <c r="R152" s="92">
        <f>IFERROR(__xludf.DUMMYFUNCTION("""COMPUTED_VALUE"""),132.0)</f>
        <v>132</v>
      </c>
      <c r="S152" s="87" t="str">
        <f>IFERROR(__xludf.DUMMYFUNCTION("""COMPUTED_VALUE""")," ")</f>
        <v> </v>
      </c>
      <c r="T152" s="46" t="str">
        <f>IFERROR(__xludf.DUMMYFUNCTION("""COMPUTED_VALUE"""),"Neiva")</f>
        <v>Neiva</v>
      </c>
      <c r="U152" s="87" t="str">
        <f>IFERROR(__xludf.DUMMYFUNCTION("""COMPUTED_VALUE"""),"2")</f>
        <v>2</v>
      </c>
      <c r="V152" s="46" t="str">
        <f>IFERROR(__xludf.DUMMYFUNCTION("""COMPUTED_VALUE"""),"Medianera")</f>
        <v>Medianera</v>
      </c>
      <c r="W152" s="46"/>
      <c r="X152" s="46">
        <f>IFERROR(__xludf.DUMMYFUNCTION("""COMPUTED_VALUE"""),0.0)</f>
        <v>0</v>
      </c>
      <c r="Y152" s="46" t="str">
        <f>IFERROR(__xludf.DUMMYFUNCTION("""COMPUTED_VALUE"""),"No tiene")</f>
        <v>No tiene</v>
      </c>
      <c r="Z152" s="90" t="str">
        <f>IFERROR(__xludf.DUMMYFUNCTION("""COMPUTED_VALUE"""),"No aplica")</f>
        <v>No aplica</v>
      </c>
      <c r="AA152" s="33" t="str">
        <f>IFERROR(__xludf.DUMMYFUNCTION("""COMPUTED_VALUE"""),"No aplica")</f>
        <v>No aplica</v>
      </c>
      <c r="AB152" s="96" t="str">
        <f>IFERROR(__xludf.DUMMYFUNCTION("""COMPUTED_VALUE"""),"https://photos.app.goo.gl/f6dDW8aL4N78sD9g9")</f>
        <v>https://photos.app.goo.gl/f6dDW8aL4N78sD9g9</v>
      </c>
      <c r="AC152" s="46"/>
      <c r="AD152" s="46"/>
      <c r="AE152" s="46"/>
      <c r="AF152" s="46" t="str">
        <f>IFERROR(__xludf.DUMMYFUNCTION("""COMPUTED_VALUE"""),"semi-integral")</f>
        <v>semi-integral</v>
      </c>
      <c r="AG152" s="46"/>
      <c r="AH152" s="46" t="str">
        <f>IFERROR(__xludf.DUMMYFUNCTION("""COMPUTED_VALUE"""),"Aliado")</f>
        <v>Aliado</v>
      </c>
      <c r="AI152" s="92" t="str">
        <f>IFERROR(__xludf.DUMMYFUNCTION("""COMPUTED_VALUE"""),"https://lh3.googleusercontent.com/pw/AP1GczNEvWwHQrBJS7S_SMSYxwCDAGjsJ2l920f17zV78BlgzAweXfzC-DHgWVVvGNsrYoaQQUAslUUtVpFi2Ebb5DhgneExYhJvIkauV1J4I04uLjw-Rf26=w1200|https://lh3.googleusercontent.com/pw/AP1GczMdyoaYlDkwWr_RS-MBvm2ElEnI6jWYP4TeXu06SVVlKewxTg"&amp;"e9EU4Q0Mk4ZfWxRCh-qpryIJDfPLjLeRaZHE9dl6X9U9JJeKWa6vxhyFIhNiZ-S7F4=w1200|https://lh3.googleusercontent.com/pw/AP1GczMr9d7OpSOHJUmSPOeOcTwnCHhC8_e54CiIo6C7TLOzOd07boaNG6YijtZt75Xtd-XOLD2Ev1ESgnSMU-twvw4XfYhBtqYdHiusYb9e--WXM_R4w8Yi=w1200|https://lh3.google"&amp;"usercontent.com/pw/AP1GczMyahD6u7F9vWvrdJ_SSxcW6xM2NUyAtEHUSQZwz7hWdB1anE29yGPwjhKezVDcKiZ9SNthZh0nbUz4_ICLMZF4RZQ7jo7gWGQ8de5Mna36KekQEaoG=w1200|https://lh3.googleusercontent.com/pw/AP1GczN9dasXHMm3sI9UjueWK748ou1_cEGM6lxksSNEOMWQAirQCxFYcR5TEPN6Fa8a4bCa"&amp;"zKdIup15OehjJZ3I9QY7m95T6XTS0E4h1hxFnyg5WZ82U3IL=w1200|https://lh3.googleusercontent.com/pw/AP1GczOsgUxOr1VCxEHfbiamYOJyXleoofLo-DqusoRTL3VPGnsTjnAIKYlZytF1zQM4Yq_n8Z6G8RxIpFDR3zcMx4FyoxwPI0_ZWGDbo3MuLZCllDrk75ux=w1200|https://lh3.googleusercontent.com/pw"&amp;"/AP1GczMf3iKuwGFx_6NrJGAdRFerNv4NQaADWN8tEG9ecouvqq-Cx8vBvwV8d80cqffh7489ISzCn-Hp50Acaznt_TftoNsBbuYxz_NeLOa0gW0ZGOqlM6rQ=w1200|https://lh3.googleusercontent.com/pw/AP1GczPx-uOwzjuI0A2okamG5SBMm1mrffcYxxts_C6E8mXvg92y-8aJeeFF0k3fxDwnnHav3jGGfPWzkVTQCWzRQK"&amp;"Emp72W37Qv8r5QX3phnypJQKcYldmP=w1200")</f>
        <v>https://lh3.googleusercontent.com/pw/AP1GczNEvWwHQrBJS7S_SMSYxwCDAGjsJ2l920f17zV78BlgzAweXfzC-DHgWVVvGNsrYoaQQUAslUUtVpFi2Ebb5DhgneExYhJvIkauV1J4I04uLjw-Rf26=w1200|https://lh3.googleusercontent.com/pw/AP1GczMdyoaYlDkwWr_RS-MBvm2ElEnI6jWYP4TeXu06SVVlKewxTge9EU4Q0Mk4ZfWxRCh-qpryIJDfPLjLeRaZHE9dl6X9U9JJeKWa6vxhyFIhNiZ-S7F4=w1200|https://lh3.googleusercontent.com/pw/AP1GczMr9d7OpSOHJUmSPOeOcTwnCHhC8_e54CiIo6C7TLOzOd07boaNG6YijtZt75Xtd-XOLD2Ev1ESgnSMU-twvw4XfYhBtqYdHiusYb9e--WXM_R4w8Yi=w1200|https://lh3.googleusercontent.com/pw/AP1GczMyahD6u7F9vWvrdJ_SSxcW6xM2NUyAtEHUSQZwz7hWdB1anE29yGPwjhKezVDcKiZ9SNthZh0nbUz4_ICLMZF4RZQ7jo7gWGQ8de5Mna36KekQEaoG=w1200|https://lh3.googleusercontent.com/pw/AP1GczN9dasXHMm3sI9UjueWK748ou1_cEGM6lxksSNEOMWQAirQCxFYcR5TEPN6Fa8a4bCazKdIup15OehjJZ3I9QY7m95T6XTS0E4h1hxFnyg5WZ82U3IL=w1200|https://lh3.googleusercontent.com/pw/AP1GczOsgUxOr1VCxEHfbiamYOJyXleoofLo-DqusoRTL3VPGnsTjnAIKYlZytF1zQM4Yq_n8Z6G8RxIpFDR3zcMx4FyoxwPI0_ZWGDbo3MuLZCllDrk75ux=w1200|https://lh3.googleusercontent.com/pw/AP1GczMf3iKuwGFx_6NrJGAdRFerNv4NQaADWN8tEG9ecouvqq-Cx8vBvwV8d80cqffh7489ISzCn-Hp50Acaznt_TftoNsBbuYxz_NeLOa0gW0ZGOqlM6rQ=w1200|https://lh3.googleusercontent.com/pw/AP1GczPx-uOwzjuI0A2okamG5SBMm1mrffcYxxts_C6E8mXvg92y-8aJeeFF0k3fxDwnnHav3jGGfPWzkVTQCWzRQKEmp72W37Qv8r5QX3phnypJQKcYldmP=w1200</v>
      </c>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row>
    <row r="153">
      <c r="A153" s="87" t="str">
        <f>IFERROR(__xludf.DUMMYFUNCTION("""COMPUTED_VALUE"""),"592")</f>
        <v>592</v>
      </c>
      <c r="B153" s="46" t="str">
        <f>IFERROR(__xludf.DUMMYFUNCTION("""COMPUTED_VALUE"""),"Casa en barrio Santa Ines (Obra Negra)")</f>
        <v>Casa en barrio Santa Ines (Obra Negra)</v>
      </c>
      <c r="C153" s="46" t="str">
        <f>IFERROR(__xludf.DUMMYFUNCTION("""COMPUTED_VALUE"""),"Casa")</f>
        <v>Casa</v>
      </c>
      <c r="D153" s="90" t="str">
        <f>IFERROR(__xludf.DUMMYFUNCTION("""COMPUTED_VALUE"""),"Santa Inés")</f>
        <v>Santa Inés</v>
      </c>
      <c r="E153" s="90" t="str">
        <f>IFERROR(__xludf.DUMMYFUNCTION("""COMPUTED_VALUE""")," ")</f>
        <v> </v>
      </c>
      <c r="F153" s="90">
        <f>IFERROR(__xludf.DUMMYFUNCTION("""COMPUTED_VALUE"""),1.6E8)</f>
        <v>160000000</v>
      </c>
      <c r="G153" s="46" t="str">
        <f>IFERROR(__xludf.DUMMYFUNCTION("""COMPUTED_VALUE"""),"$100'000.000 a $200'000.000")</f>
        <v>$100'000.000 a $200'000.000</v>
      </c>
      <c r="H153" s="46"/>
      <c r="I153" s="46"/>
      <c r="J153" s="46" t="str">
        <f>IFERROR(__xludf.DUMMYFUNCTION("""COMPUTED_VALUE"""),"Norte")</f>
        <v>Norte</v>
      </c>
      <c r="K153" s="87"/>
      <c r="L153" s="46">
        <f>IFERROR(__xludf.DUMMYFUNCTION("""COMPUTED_VALUE"""),3.0)</f>
        <v>3</v>
      </c>
      <c r="M153" s="46"/>
      <c r="N153" s="46">
        <f>IFERROR(__xludf.DUMMYFUNCTION("""COMPUTED_VALUE"""),2.0)</f>
        <v>2</v>
      </c>
      <c r="O153" s="46">
        <f>IFERROR(__xludf.DUMMYFUNCTION("""COMPUTED_VALUE"""),0.0)</f>
        <v>0</v>
      </c>
      <c r="P153" s="46">
        <f>IFERROR(__xludf.DUMMYFUNCTION("""COMPUTED_VALUE"""),2.0)</f>
        <v>2</v>
      </c>
      <c r="Q153" s="92">
        <f>IFERROR(__xludf.DUMMYFUNCTION("""COMPUTED_VALUE"""),120.0)</f>
        <v>120</v>
      </c>
      <c r="R153" s="92">
        <f>IFERROR(__xludf.DUMMYFUNCTION("""COMPUTED_VALUE"""),72.0)</f>
        <v>72</v>
      </c>
      <c r="S153" s="87" t="str">
        <f>IFERROR(__xludf.DUMMYFUNCTION("""COMPUTED_VALUE""")," ")</f>
        <v> </v>
      </c>
      <c r="T153" s="46" t="str">
        <f>IFERROR(__xludf.DUMMYFUNCTION("""COMPUTED_VALUE"""),"Neiva")</f>
        <v>Neiva</v>
      </c>
      <c r="U153" s="87" t="str">
        <f>IFERROR(__xludf.DUMMYFUNCTION("""COMPUTED_VALUE"""),"2")</f>
        <v>2</v>
      </c>
      <c r="V153" s="46" t="str">
        <f>IFERROR(__xludf.DUMMYFUNCTION("""COMPUTED_VALUE"""),"Medianera")</f>
        <v>Medianera</v>
      </c>
      <c r="W153" s="46"/>
      <c r="X153" s="46">
        <f>IFERROR(__xludf.DUMMYFUNCTION("""COMPUTED_VALUE"""),0.0)</f>
        <v>0</v>
      </c>
      <c r="Y153" s="46" t="str">
        <f>IFERROR(__xludf.DUMMYFUNCTION("""COMPUTED_VALUE"""),"No tiene")</f>
        <v>No tiene</v>
      </c>
      <c r="Z153" s="90" t="str">
        <f>IFERROR(__xludf.DUMMYFUNCTION("""COMPUTED_VALUE"""),"No aplica")</f>
        <v>No aplica</v>
      </c>
      <c r="AA153" s="33" t="str">
        <f>IFERROR(__xludf.DUMMYFUNCTION("""COMPUTED_VALUE"""),"No aplica")</f>
        <v>No aplica</v>
      </c>
      <c r="AB153" s="96" t="str">
        <f>IFERROR(__xludf.DUMMYFUNCTION("""COMPUTED_VALUE"""),"https://photos.app.goo.gl/gme4VCTHed6G9ifj7")</f>
        <v>https://photos.app.goo.gl/gme4VCTHed6G9ifj7</v>
      </c>
      <c r="AC153" s="46"/>
      <c r="AD153" s="46" t="str">
        <f>IFERROR(__xludf.DUMMYFUNCTION("""COMPUTED_VALUE"""),"Casa  en obra negra. Ubicada a 3 cuadras de la carrera 1ª. Con columnas de 30 x 30 para construir hasta 3 pisos. Cuenta con las cajas independientes para cada piso. Antigüedad un año. Escritura al día.")</f>
        <v>Casa  en obra negra. Ubicada a 3 cuadras de la carrera 1ª. Con columnas de 30 x 30 para construir hasta 3 pisos. Cuenta con las cajas independientes para cada piso. Antigüedad un año. Escritura al día.</v>
      </c>
      <c r="AE153" s="46"/>
      <c r="AF153" s="46" t="str">
        <f>IFERROR(__xludf.DUMMYFUNCTION("""COMPUTED_VALUE"""),"básica")</f>
        <v>básica</v>
      </c>
      <c r="AG153" s="46"/>
      <c r="AH153" s="46" t="str">
        <f>IFERROR(__xludf.DUMMYFUNCTION("""COMPUTED_VALUE"""),"Aliado")</f>
        <v>Aliado</v>
      </c>
      <c r="AI153" s="92" t="str">
        <f>IFERROR(__xludf.DUMMYFUNCTION("""COMPUTED_VALUE"""),"https://lh3.googleusercontent.com/pw/AP1GczM10QX6UNrZCt2DBtOXr_m8-H77HYPDgxrpjO75wxoi-iffzDwLup6hJ5_QIuJeOyv5yuhEt_CSUaDBKXfbycrmOtHIkNkYXpDvlhwCkunncxE7Rp1F=w1200|https://lh3.googleusercontent.com/pw/AP1GczOIVSlHQtbXLF-sIZekCGqhexe8HtiS8eOKEKIrm92Ytm4buJ"&amp;"CIC_biBmwLvoQp48bkfGxpk3JwFyiNkdCkmX-cXjlMFPI9zhNPF6KHPpvpZvzAH5h_=w1200|https://lh3.googleusercontent.com/pw/AP1GczNox3AwiJb5-EuPSuV0VunQura2FzsSlWKO0SqnpNYxdfHtXZ_zs3ZgXtdDAeRoQP-FI4-QyLwKggsGS_fiRQwit7DcofRz-XgCdskkTr-U1NG1hXGf=w1200|https://lh3.google"&amp;"usercontent.com/pw/AP1GczOHLOVOqkk4fTfcRqjxA5x3E-69Se_qYq0VMhRhqoPRS2HC9ERdPYs45101GEXUFjrXCWP9n8-AHU3Y-Hi8XWOTKxFGwmf8C_fOTME6-hK-0_39eYne=w1200|https://lh3.googleusercontent.com/pw/AP1GczNHinbBn8UjCpzkWmn5FCe-8sLRZrFW2sKcfo7xOymTrr9Jyk02p_ngxAWg0woU7z9a"&amp;"e2zJy94MqGNgSIkqRCNVsuTd0kTsI0EkPOaIybXrCzBGLS_W=w1200|https://lh3.googleusercontent.com/pw/AP1GczNuMWHO0rU626out4Oa1gbvp0z5qVLjBHbhJWzTQ-w-6nut2sQFB_c93q6Mg2TxjuxDjpjWpHDTCbzNXYG47hzJGGOhIhgyqCCkzGN3qbTN15ZbqldX=w1200|https://lh3.googleusercontent.com/pw"&amp;"/AP1GczOjvm7NqK6_bXCVxv9KooI6I6vkBOWW785pj3Ir6uIw33ElFp232MvPtw-PPZgk37NSsTbVfjYUY82ZC1cjVxbWu6LFqvEZfXQhQGzd4IqLSkWzYUK3=w1200|https://lh3.googleusercontent.com/pw/AP1GczPWKTkgJ14Dy2m_0GDlDY29upHTj6W85EzgaermR8Y0eyVv5HC3M93aZR07YSeBpcErsGM25XZAI-e4OxvXZ6"&amp;"Wg4bnuz4nqm-V114K2tbwQusEddfUC=w1200|https://lh3.googleusercontent.com/pw/AP1GczOxQmB6jFJ8ExXu_XrKT7cxG4AnWRxsVJb3ofpSOCsBOK51SKBW9GmgnHME9dmrJbyIBr18wKfxC8PancxV6S2xROcTPp4Tzcxes-EYyB-PXKGgeoxO=w1200|https://lh3.googleusercontent.com/pw/AP1GczOYw_eUq97Kj"&amp;"mOS3aJ5BszWHxQ9y5kovLNdvjVygnWPcUppU_u_Kfz9DAklnKtT0s1nYdjse3NW44wT3weqq13Sm6HqsjoTULdP0Md_qg1ozt4TOEhT=w1200|https://lh3.googleusercontent.com/pw/AP1GczM37LTbsgqT-eNWRkDUJZvylhZnVk85ODLevc77KyYrxJqo6dfBOQYx3CJS-sr5E53nv7BHmVe6MENLcpkOKL1zhPEAtM8-v3vj44Px"&amp;"bAm02A673yg5=w1200|https://lh3.googleusercontent.com/pw/AP1GczO_MwwLr7WTM5jHX1YTvM-YVK1T1jVMNP2-mgcTgQidGCBt6GMuiE5dwgIlhywRDxvuFwMcDZ50DyzKajatdG89AQhnr4lJ8Yzhg3XRrRMESYQtNnmE=w1200")</f>
        <v>https://lh3.googleusercontent.com/pw/AP1GczM10QX6UNrZCt2DBtOXr_m8-H77HYPDgxrpjO75wxoi-iffzDwLup6hJ5_QIuJeOyv5yuhEt_CSUaDBKXfbycrmOtHIkNkYXpDvlhwCkunncxE7Rp1F=w1200|https://lh3.googleusercontent.com/pw/AP1GczOIVSlHQtbXLF-sIZekCGqhexe8HtiS8eOKEKIrm92Ytm4buJCIC_biBmwLvoQp48bkfGxpk3JwFyiNkdCkmX-cXjlMFPI9zhNPF6KHPpvpZvzAH5h_=w1200|https://lh3.googleusercontent.com/pw/AP1GczNox3AwiJb5-EuPSuV0VunQura2FzsSlWKO0SqnpNYxdfHtXZ_zs3ZgXtdDAeRoQP-FI4-QyLwKggsGS_fiRQwit7DcofRz-XgCdskkTr-U1NG1hXGf=w1200|https://lh3.googleusercontent.com/pw/AP1GczOHLOVOqkk4fTfcRqjxA5x3E-69Se_qYq0VMhRhqoPRS2HC9ERdPYs45101GEXUFjrXCWP9n8-AHU3Y-Hi8XWOTKxFGwmf8C_fOTME6-hK-0_39eYne=w1200|https://lh3.googleusercontent.com/pw/AP1GczNHinbBn8UjCpzkWmn5FCe-8sLRZrFW2sKcfo7xOymTrr9Jyk02p_ngxAWg0woU7z9ae2zJy94MqGNgSIkqRCNVsuTd0kTsI0EkPOaIybXrCzBGLS_W=w1200|https://lh3.googleusercontent.com/pw/AP1GczNuMWHO0rU626out4Oa1gbvp0z5qVLjBHbhJWzTQ-w-6nut2sQFB_c93q6Mg2TxjuxDjpjWpHDTCbzNXYG47hzJGGOhIhgyqCCkzGN3qbTN15ZbqldX=w1200|https://lh3.googleusercontent.com/pw/AP1GczOjvm7NqK6_bXCVxv9KooI6I6vkBOWW785pj3Ir6uIw33ElFp232MvPtw-PPZgk37NSsTbVfjYUY82ZC1cjVxbWu6LFqvEZfXQhQGzd4IqLSkWzYUK3=w1200|https://lh3.googleusercontent.com/pw/AP1GczPWKTkgJ14Dy2m_0GDlDY29upHTj6W85EzgaermR8Y0eyVv5HC3M93aZR07YSeBpcErsGM25XZAI-e4OxvXZ6Wg4bnuz4nqm-V114K2tbwQusEddfUC=w1200|https://lh3.googleusercontent.com/pw/AP1GczOxQmB6jFJ8ExXu_XrKT7cxG4AnWRxsVJb3ofpSOCsBOK51SKBW9GmgnHME9dmrJbyIBr18wKfxC8PancxV6S2xROcTPp4Tzcxes-EYyB-PXKGgeoxO=w1200|https://lh3.googleusercontent.com/pw/AP1GczOYw_eUq97KjmOS3aJ5BszWHxQ9y5kovLNdvjVygnWPcUppU_u_Kfz9DAklnKtT0s1nYdjse3NW44wT3weqq13Sm6HqsjoTULdP0Md_qg1ozt4TOEhT=w1200|https://lh3.googleusercontent.com/pw/AP1GczM37LTbsgqT-eNWRkDUJZvylhZnVk85ODLevc77KyYrxJqo6dfBOQYx3CJS-sr5E53nv7BHmVe6MENLcpkOKL1zhPEAtM8-v3vj44PxbAm02A673yg5=w1200|https://lh3.googleusercontent.com/pw/AP1GczO_MwwLr7WTM5jHX1YTvM-YVK1T1jVMNP2-mgcTgQidGCBt6GMuiE5dwgIlhywRDxvuFwMcDZ50DyzKajatdG89AQhnr4lJ8Yzhg3XRrRMESYQtNnmE=w1200</v>
      </c>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row>
    <row r="154">
      <c r="A154" s="87" t="str">
        <f>IFERROR(__xludf.DUMMYFUNCTION("""COMPUTED_VALUE"""),"509")</f>
        <v>509</v>
      </c>
      <c r="B154" s="46" t="str">
        <f>IFERROR(__xludf.DUMMYFUNCTION("""COMPUTED_VALUE"""),"Casa en Conjunto Condominio Campestre Altos de La Sabana - Palermo - Z. Industrial")</f>
        <v>Casa en Conjunto Condominio Campestre Altos de La Sabana - Palermo - Z. Industrial</v>
      </c>
      <c r="C154" s="46" t="str">
        <f>IFERROR(__xludf.DUMMYFUNCTION("""COMPUTED_VALUE"""),"Casa en conjunto")</f>
        <v>Casa en conjunto</v>
      </c>
      <c r="D154" s="46"/>
      <c r="E154" s="46" t="str">
        <f>IFERROR(__xludf.DUMMYFUNCTION("""COMPUTED_VALUE"""),"Altos de La Sabana")</f>
        <v>Altos de La Sabana</v>
      </c>
      <c r="F154" s="90">
        <f>IFERROR(__xludf.DUMMYFUNCTION("""COMPUTED_VALUE"""),8.0E8)</f>
        <v>800000000</v>
      </c>
      <c r="G154" s="46" t="str">
        <f>IFERROR(__xludf.DUMMYFUNCTION("""COMPUTED_VALUE"""),"$500'000.000 a $1.000'000.000")</f>
        <v>$500'000.000 a $1.000'000.000</v>
      </c>
      <c r="H154" s="46"/>
      <c r="I154" s="46"/>
      <c r="J154" s="46" t="str">
        <f>IFERROR(__xludf.DUMMYFUNCTION("""COMPUTED_VALUE"""),"Occidente")</f>
        <v>Occidente</v>
      </c>
      <c r="K154" s="87" t="str">
        <f>IFERROR(__xludf.DUMMYFUNCTION("""COMPUTED_VALUE"""),"0")</f>
        <v>0</v>
      </c>
      <c r="L154" s="46">
        <f>IFERROR(__xludf.DUMMYFUNCTION("""COMPUTED_VALUE"""),3.0)</f>
        <v>3</v>
      </c>
      <c r="M154" s="46"/>
      <c r="N154" s="46">
        <f>IFERROR(__xludf.DUMMYFUNCTION("""COMPUTED_VALUE"""),5.0)</f>
        <v>5</v>
      </c>
      <c r="O154" s="46">
        <f>IFERROR(__xludf.DUMMYFUNCTION("""COMPUTED_VALUE"""),1.0)</f>
        <v>1</v>
      </c>
      <c r="P154" s="46">
        <f>IFERROR(__xludf.DUMMYFUNCTION("""COMPUTED_VALUE"""),1.0)</f>
        <v>1</v>
      </c>
      <c r="Q154" s="92">
        <f>IFERROR(__xludf.DUMMYFUNCTION("""COMPUTED_VALUE"""),200.0)</f>
        <v>200</v>
      </c>
      <c r="R154" s="92">
        <f>IFERROR(__xludf.DUMMYFUNCTION("""COMPUTED_VALUE"""),500.0)</f>
        <v>500</v>
      </c>
      <c r="S154" s="87" t="str">
        <f>IFERROR(__xludf.DUMMYFUNCTION("""COMPUTED_VALUE""")," ")</f>
        <v> </v>
      </c>
      <c r="T154" s="46" t="str">
        <f>IFERROR(__xludf.DUMMYFUNCTION("""COMPUTED_VALUE"""),"Neiva")</f>
        <v>Neiva</v>
      </c>
      <c r="U154" s="87"/>
      <c r="V154" s="46"/>
      <c r="W154" s="46"/>
      <c r="X154" s="46">
        <f>IFERROR(__xludf.DUMMYFUNCTION("""COMPUTED_VALUE"""),3.0)</f>
        <v>3</v>
      </c>
      <c r="Y154" s="46" t="str">
        <f>IFERROR(__xludf.DUMMYFUNCTION("""COMPUTED_VALUE"""),"No tiene")</f>
        <v>No tiene</v>
      </c>
      <c r="Z154" s="90">
        <f>IFERROR(__xludf.DUMMYFUNCTION("""COMPUTED_VALUE"""),272000.0)</f>
        <v>272000</v>
      </c>
      <c r="AA154" s="33" t="str">
        <f>IFERROR(__xludf.DUMMYFUNCTION("""COMPUTED_VALUE"""),"No aplica")</f>
        <v>No aplica</v>
      </c>
      <c r="AB154" s="144" t="str">
        <f>IFERROR(__xludf.DUMMYFUNCTION("""COMPUTED_VALUE"""),"https://photos.app.goo.gl/VxwSeYHE54Ueunbw5")</f>
        <v>https://photos.app.goo.gl/VxwSeYHE54Ueunbw5</v>
      </c>
      <c r="AC154" s="46"/>
      <c r="AD154" s="46" t="str">
        <f>IFERROR(__xludf.DUMMYFUNCTION("""COMPUTED_VALUE"""),"Hermosa casa campestre. El conjunto es tipo club.  Vía Palermo, buenos acabados, pisos en mármol, fachaleta, carpintería en aluminio y madera, con piscina privada y social panorámica, todas las habitaciones con baño privado, El valor de la administración "&amp;"año 2024 $160.000 e incluye el agua. Escritura al día.")</f>
        <v>Hermosa casa campestre. El conjunto es tipo club.  Vía Palermo, buenos acabados, pisos en mármol, fachaleta, carpintería en aluminio y madera, con piscina privada y social panorámica, todas las habitaciones con baño privado, El valor de la administración año 2024 $160.000 e incluye el agua. Escritura al día.</v>
      </c>
      <c r="AE154" s="46"/>
      <c r="AF154" s="46" t="str">
        <f>IFERROR(__xludf.DUMMYFUNCTION("""COMPUTED_VALUE"""),"integral")</f>
        <v>integral</v>
      </c>
      <c r="AG154" s="46"/>
      <c r="AH154" s="46" t="str">
        <f>IFERROR(__xludf.DUMMYFUNCTION("""COMPUTED_VALUE"""),"Aliado")</f>
        <v>Aliado</v>
      </c>
      <c r="AI154" s="92" t="str">
        <f>IFERROR(__xludf.DUMMYFUNCTION("""COMPUTED_VALUE"""),"https://lh3.googleusercontent.com/pw/AP1GczN_F7mC7W60wHRAk7RtNjSMUOMbJNrweNxv3fAJFuySs61xQowqP83kuE5_u5Efj8iX69lwxH82X_2cF1Y_mrbQmNCUi-yI9BwmBAXqtAua3NW825ST=w1200|https://lh3.googleusercontent.com/pw/AP1GczOf9zNwYvJ_SIPbUSebfzP3u37T4rJ8P7NkdRMttBxnAOf5Fs"&amp;"bqPGyopuPacwRxkEBHYHeFWwZQ2CXjKT0btMEWd5m_j_VlY21S-EmbarTPNzAOrchN=w1200|https://lh3.googleusercontent.com/pw/AP1GczNJKf6uIz-5SaBiHk3EQMN6xIPoyqdT5v9aeAo98gGIaNkNR9fB56H-5D-qj3M_NS8_v0s-GO0YY67Dg7Nv_8sNFW9XhxgW8dPH7z8fgxzEUnIhUqnv=w1200|https://lh3.google"&amp;"usercontent.com/pw/AP1GczPGuxnLpiI67WfAYIiRoLDUZpPAKcuiS7cX-cMNgL-UfSup6xJVsS3HHHhDdKrl9k1yORSkTDog9AlisfVlhUNfmJRdrZ9b6a301QsbbQzwB55lyQiD=w1200|https://lh3.googleusercontent.com/pw/AP1GczOxs24NCPUCQa2gKEQVeF3Wh6vxdtvSp_ednsl_bC_dBNmFgO4-qJG-6YcFb7gU8EOi"&amp;"GXFQae7kKYsUW2TZcFQO-cBKwBTGHIUCoke8wm9TG5nJpcmb=w1200|https://lh3.googleusercontent.com/pw/AP1GczMeh-GmD3NHdrbFrI4JAZxQBfEVivZpCEgDbcBqtv31pW4fDlqx58SrVkd0Mzfrj1PD0zlVlnCp0qeI8Yk6aJaqD7ccJiTVg7d-UuAVX5pYTIrpBZjX=w1200|https://lh3.googleusercontent.com/pw"&amp;"/AP1GczP7mAeAa9atIMbZO6dwmbRrewyhBfGP8jTZfSYBp_LIMqyVT9n3BwcRfO7hvZ2Fx_76OW07JxbjApG7X6JyRDaeH7_7TLT5XimHzMDFd_0rP-sbIKDI=w1200|https://lh3.googleusercontent.com/pw/AP1GczNeviX4HcO7xh27YSnn_8iJsE9TlCIO8AdrXXi1J1PWDx9bwHveRxwYMkFFs0q6Xuva0AOPB6vRYxR70Ojht4"&amp;"dpiVsU-EK42HDI_QgYzGHYQ_baGozx=w1200|https://lh3.googleusercontent.com/pw/AP1GczP3XrZwdBq1ly9Rw5THKPdNzaS_-62gqZ2efDOZxA4HRj6N_tWgnYrswwF_qMZatcYt-inY0UIG6dXO_iupnstREmoqkLHo-Xr19eV5TFD7V7riJzA-=w1200|https://lh3.googleusercontent.com/pw/AP1GczPnA6Q-9M2ew"&amp;"_uo6N60FbzJdWwgY5hsvof0on5MZFVj02wFo1EYUwLmNULIgFQvt_0V9BfcX2vFUyM5REdpzQ5ACwq8s3zmS1StrPHVIIY37rKAYAXJ=w1200|https://lh3.googleusercontent.com/pw/AP1GczNQsgL-57r_HTZYy2yFeBYhHhTJ22oOM6dZ6M4Eaj3gSjmHXcWkio3YnmjgkjV9uawQFjKMzb1I1bawFvmW0ss1Q4HGcmwTkKa5_owU"&amp;"BwakeRaNgFMb=w1200|https://lh3.googleusercontent.com/pw/AP1GczOK_b6hfS6t_tpbVn7GBhbbBJLc147u3tdOyxe5WY08L5hyFvdtqSMq0i7JSoR9qT7ZIVDkyQDpGvDb-zZitjY0N0taNtYoimjG_WeaVWyUG8OBLvNq=w1200|https://lh3.googleusercontent.com/pw/AP1GczPYwWGmiawgXB34753CLYYmR6qr3nm"&amp;"F0beHXW_3_0CrzkZOh0Y7OkZEIHnteyt_A4xnj7IrLMVDrwh-wyfSeQqokFHS5_So7pvqK5eiWaPIX_ftAVTw=w1200|https://lh3.googleusercontent.com/pw/AP1GczNSWExKErdu-GByHtqr3p7Vd476hmYsZ9D1QspvbrudZLhjm8JI0qt7TrMcF43ed7jWCoAEZ-1gYVu9rsHWYOgL0cPj1yeH6F2vmz-L6EdzbuTyGo_s=w1200"&amp;"|https://lh3.googleusercontent.com/pw/AP1GczOmPRFiWPIdYrsob4NYqMSL3TOJFjiuiBWSupBCThzCViPgUp5Tn7a5ilXpVVQZcg5A3Qklbz3MAzdWO9fFg8NI3pmNxJa68k6rjWqaNvhVx8q42bN7=w1200|https://lh3.googleusercontent.com/pw/AP1GczOHzXJcp-DPnbqFrrDgcnoCCh7mrkKxkLldnMKGN4OoMSBfv"&amp;"YMIRExGhPDdD3PdphwxanjKkI7BiknsNKaKSCHM2uBsCcIq520rDGPUnKJpzWlaeIfQ=w1200|https://lh3.googleusercontent.com/pw/AP1GczO900H62YY7HlZ9UDFvXtrf-YHIQrscftXEkKkHf10kGgdj6k2ACx3zzK8QrazeaaHxL6YRKK8LBcll_pb6IfDm_DB-A419PNlcjViGtaKBi5eWi6k-=w1200|https://lh3.googl"&amp;"eusercontent.com/pw/AP1GczM-LgJN5L7UACrw0XvHJLrjw7WbMus2NFTEVJ3b5rd7ETqCJxXOEvOktZHl0_5bkDQ2snywECPaCc9_EjQKDhAdZ-VxMg1YeOX684S69IbNdvPwB1So=w1200|https://lh3.googleusercontent.com/pw/AP1GczN3vKQYQuQSnzigOW6ib7coVTO5qbYEx4k7h-pGOA0L1ts17P-c6KKvJl84d0ub0IO"&amp;"pASks2HThRBRkYwJoX6BQjB-ttNS8L2NW5YtSC7Yo0dFFtZAP=w1200|https://lh3.googleusercontent.com/pw/AP1GczNU9OuhTfI4HQIn-7YwASbJF2Aj6zLM8bDE8fTogo_3rp_U0B41q-dMHo4TwcwYO9Ugjta11ZNes3qCMPYLIVD3eqKObEbnWI6BR0Qn7Dc-eGgeaZZk=w1200|https://lh3.googleusercontent.com/p"&amp;"w/AP1GczO5_2eqDPhGViIV6bE37T7xA1CWwh6drj9pMo574HwRTtOrGuI1BPpM-8HqgIFA3G9aJkF-rVSOVipGdmSOdjKdLXBb7d0QqFK-t8ZYJp2JyyrwTTPf=w1200|https://lh3.googleusercontent.com/pw/AP1GczOtiJW81jXjzF2OAh1SD1A3cMzwl_KC8nQXUbMCe4vou5boHWWNiSc3guQkqW9Wk80vJvRhVAAUkRmugJPvf"&amp;"dkM-0Cyx_R1LQprPG9vmc8BHjwlLoic=w1200|https://lh3.googleusercontent.com/pw/AP1GczNHPfw5pr7HtmiNNjO5kfwAJF7EyKvcNh9aZEQ0JDKgnTOqnQgmD7-Bfi5I6vg7O-wse7VyaKkE5a1zJ9QAmAS5HErNqqTnIjnrTnMvc_-tBnYpI6OP=w1200|https://lh3.googleusercontent.com/pw/AP1GczM8lah6aos9"&amp;"WIyMn3DYdqhbE_qbgqlIZV4hfamhP14hhN3bmfa4GmOzw7LuhWoXfWc4GB3emh1YzW2WkN6vEGc2bE20XKJX0lAjiU5ua-3PiWbBvNYQ=w1200|https://lh3.googleusercontent.com/pw/AP1GczM-Fh3svVDHPnVme3yqftA4Vy9UXj2L9RVC7Oo2lr5gn3jbZXZeQdcwZBrInf26O_SsN8snANI_1-foeBKAtCcS_HtjYlrK_3oygej"&amp;"4cJK35arlHxra=w1200|https://lh3.googleusercontent.com/pw/AP1GczMo-SDIgLUCd4WT1V9WRa8_5xT8rml73DsGGe_GxeAvZfEIihKlJ2ntPWNQ5KE6rb9w9VzdKTWvBusoEmfiZQraiUuyVGd5DQsz1z5zJQl6TSKaEfnJ=w1200|https://lh3.googleusercontent.com/pw/AP1GczPtWNdNV8ZZr5GnNiY2Zvrm5TpCbK"&amp;"Xlm6cOrU5HQosg7RCxEPi3OdN21g7J72q7aiYiAgYLon4UnTLXlYZZ5qEGmBs5IVm-sRY_Jzcd2nJC2tUADRd6=w1200|https://lh3.googleusercontent.com/pw/AP1GczPG_sYucJeGvENo30d45Qt-T9lQZ7jLccAV77lNGzceidXBudGGfC03zN4_NV6WNLaYexaHfFTPatCRG8xZygYD9yumwBECsGqLCUzX2uzVGY_RGskN=w120"&amp;"0|https://lh3.googleusercontent.com/pw/AP1GczOy6UyftUUQxKJRpg7tZq2llI0BNuoDkd6qdhcvWsceNWq6VKgLHArORiRLkqiPUwNPXVKpV2ukYzLefk4BY0Q26RoS2kff-b7TT1W3tWoa7fC5uM3A=w1200|https://lh3.googleusercontent.com/pw/AP1GczMA1PEMGBDmjLX5tUHibFXpZ1Tec2IUDXPyC1gzDA5WxDv1"&amp;"EmfP0scTrNWNhjh43nsz6FJDK6sRPL87OEmCqa62fPSJn1HMao1MDhErd3_bEHlJY1Vo=w1200|https://lh3.googleusercontent.com/pw/AP1GczMjPlSi2xtx47rGzE4JJsfaUuAKpem8XfxK6V_yL9hSNmcgSv0-4aqGrqDDbnczra8uxhveYfSlXby4npjFxK8_qGNA6iljzq-TUGlp5kSCJ5VIHvHK=w1200|https://lh3.goog"&amp;"leusercontent.com/pw/AP1GczNNUcp7rwmo6ptgGs5UKx3wy4bknI7gtghiSUl8_-H2weeu6nJmI-ukOBLLdpEQXfmhzyEa-OXedFKiUaoko2b2cy1UwffHvxUkj7xKZATzhkamZVQF=w1200|https://lh3.googleusercontent.com/pw/AP1GczNPsLFL8uPxIRfA0xesYiC2xkLR_rEPLlhpyU5RGzzr3sKGIYiIznYqukidoNF8P6"&amp;"5AfQ8cw7xpSynXSS1fUg9C9ik2_xCC82ctrfFxZfv5BFhkl0DG=w1200|https://lh3.googleusercontent.com/pw/AP1GczNFy1RGLs9mBuVh_BUmuKcPOYGvase9ZFd2_01zQRl_gfFqS0c9gwKVKEhVHE8PBsVEVbyXs4LqTlSxc3ukQqXEYk0vgC1tH1wa5JO1-FlglBO_rwV7=w1200|https://lh3.googleusercontent.com/"&amp;"pw/AP1GczNdLfWxTmwq8LC6SUaeGnGQd9fBOwmbDohetIh3vYvV4P-Zr2yXm5_Nt08BfZeaG0oNP3vYfc6IMeyfmo_W0TWcs2b_HZbFr5bh7dJQfiFTNp3v9eIq=w1200|https://lh3.googleusercontent.com/pw/AP1GczOXE48VfevNCTvJkL3qKuSYvfDGeuFVw7K086SKkmnDjxySVoaK5voX-jmpYpc2ZQF0n22ecjvu8-Eh9sfV"&amp;"iSv-PBQ_1H1JHgDcUa8T5ok3elGZ2gxn=w1200|https://lh3.googleusercontent.com/pw/AP1GczPwGiKQeDtWsRKm8wBFt3RFw5Ir9wTz5yn43ZJPXjJqQumdITPPWf7UmZ-R1Q8NyOrswjBn1-9BN6WGqanGE2GLGm7KQlC3xYDkdCsfxZGKPc_EUkxY=w1200|https://lh3.googleusercontent.com/pw/AP1GczNfNIos-4U"&amp;"VpI-kt9BcX85fjkQMBRFHR25viPnSaznh6yBLBnmbMyQji_P6IVsACG8SdZj6vMvus3aB7hYcGEw_25pxV_cbFWOkzzJycNss7UEcVO7w=w1200|https://lh3.googleusercontent.com/pw/AP1GczP6b8T038cevo7WNb9ymDQ4pgnABuNVnERiCDXT4rYGbTcNy9PNsNyj8q3pDrcmBUXmoub264rgimmMTi2AaG7G0c0oNqhD3YL02q"&amp;"Ia2Nhw493pUbNi=w1200|https://lh3.googleusercontent.com/pw/AP1GczP4BfTPG4rZz8CzGiQxYoqBvdhiMP5wQqOvN7YhNpN8IBEa8KMnnBXUY9b0GH-hH8hcQwoxmdSSMbgdVYWjs8bTJ66GTWMdt-BUUwItwbubs2q4IWtQ=w1200")</f>
        <v>https://lh3.googleusercontent.com/pw/AP1GczN_F7mC7W60wHRAk7RtNjSMUOMbJNrweNxv3fAJFuySs61xQowqP83kuE5_u5Efj8iX69lwxH82X_2cF1Y_mrbQmNCUi-yI9BwmBAXqtAua3NW825ST=w1200|https://lh3.googleusercontent.com/pw/AP1GczOf9zNwYvJ_SIPbUSebfzP3u37T4rJ8P7NkdRMttBxnAOf5FsbqPGyopuPacwRxkEBHYHeFWwZQ2CXjKT0btMEWd5m_j_VlY21S-EmbarTPNzAOrchN=w1200|https://lh3.googleusercontent.com/pw/AP1GczNJKf6uIz-5SaBiHk3EQMN6xIPoyqdT5v9aeAo98gGIaNkNR9fB56H-5D-qj3M_NS8_v0s-GO0YY67Dg7Nv_8sNFW9XhxgW8dPH7z8fgxzEUnIhUqnv=w1200|https://lh3.googleusercontent.com/pw/AP1GczPGuxnLpiI67WfAYIiRoLDUZpPAKcuiS7cX-cMNgL-UfSup6xJVsS3HHHhDdKrl9k1yORSkTDog9AlisfVlhUNfmJRdrZ9b6a301QsbbQzwB55lyQiD=w1200|https://lh3.googleusercontent.com/pw/AP1GczOxs24NCPUCQa2gKEQVeF3Wh6vxdtvSp_ednsl_bC_dBNmFgO4-qJG-6YcFb7gU8EOiGXFQae7kKYsUW2TZcFQO-cBKwBTGHIUCoke8wm9TG5nJpcmb=w1200|https://lh3.googleusercontent.com/pw/AP1GczMeh-GmD3NHdrbFrI4JAZxQBfEVivZpCEgDbcBqtv31pW4fDlqx58SrVkd0Mzfrj1PD0zlVlnCp0qeI8Yk6aJaqD7ccJiTVg7d-UuAVX5pYTIrpBZjX=w1200|https://lh3.googleusercontent.com/pw/AP1GczP7mAeAa9atIMbZO6dwmbRrewyhBfGP8jTZfSYBp_LIMqyVT9n3BwcRfO7hvZ2Fx_76OW07JxbjApG7X6JyRDaeH7_7TLT5XimHzMDFd_0rP-sbIKDI=w1200|https://lh3.googleusercontent.com/pw/AP1GczNeviX4HcO7xh27YSnn_8iJsE9TlCIO8AdrXXi1J1PWDx9bwHveRxwYMkFFs0q6Xuva0AOPB6vRYxR70Ojht4dpiVsU-EK42HDI_QgYzGHYQ_baGozx=w1200|https://lh3.googleusercontent.com/pw/AP1GczP3XrZwdBq1ly9Rw5THKPdNzaS_-62gqZ2efDOZxA4HRj6N_tWgnYrswwF_qMZatcYt-inY0UIG6dXO_iupnstREmoqkLHo-Xr19eV5TFD7V7riJzA-=w1200|https://lh3.googleusercontent.com/pw/AP1GczPnA6Q-9M2ew_uo6N60FbzJdWwgY5hsvof0on5MZFVj02wFo1EYUwLmNULIgFQvt_0V9BfcX2vFUyM5REdpzQ5ACwq8s3zmS1StrPHVIIY37rKAYAXJ=w1200|https://lh3.googleusercontent.com/pw/AP1GczNQsgL-57r_HTZYy2yFeBYhHhTJ22oOM6dZ6M4Eaj3gSjmHXcWkio3YnmjgkjV9uawQFjKMzb1I1bawFvmW0ss1Q4HGcmwTkKa5_owUBwakeRaNgFMb=w1200|https://lh3.googleusercontent.com/pw/AP1GczOK_b6hfS6t_tpbVn7GBhbbBJLc147u3tdOyxe5WY08L5hyFvdtqSMq0i7JSoR9qT7ZIVDkyQDpGvDb-zZitjY0N0taNtYoimjG_WeaVWyUG8OBLvNq=w1200|https://lh3.googleusercontent.com/pw/AP1GczPYwWGmiawgXB34753CLYYmR6qr3nmF0beHXW_3_0CrzkZOh0Y7OkZEIHnteyt_A4xnj7IrLMVDrwh-wyfSeQqokFHS5_So7pvqK5eiWaPIX_ftAVTw=w1200|https://lh3.googleusercontent.com/pw/AP1GczNSWExKErdu-GByHtqr3p7Vd476hmYsZ9D1QspvbrudZLhjm8JI0qt7TrMcF43ed7jWCoAEZ-1gYVu9rsHWYOgL0cPj1yeH6F2vmz-L6EdzbuTyGo_s=w1200|https://lh3.googleusercontent.com/pw/AP1GczOmPRFiWPIdYrsob4NYqMSL3TOJFjiuiBWSupBCThzCViPgUp5Tn7a5ilXpVVQZcg5A3Qklbz3MAzdWO9fFg8NI3pmNxJa68k6rjWqaNvhVx8q42bN7=w1200|https://lh3.googleusercontent.com/pw/AP1GczOHzXJcp-DPnbqFrrDgcnoCCh7mrkKxkLldnMKGN4OoMSBfvYMIRExGhPDdD3PdphwxanjKkI7BiknsNKaKSCHM2uBsCcIq520rDGPUnKJpzWlaeIfQ=w1200|https://lh3.googleusercontent.com/pw/AP1GczO900H62YY7HlZ9UDFvXtrf-YHIQrscftXEkKkHf10kGgdj6k2ACx3zzK8QrazeaaHxL6YRKK8LBcll_pb6IfDm_DB-A419PNlcjViGtaKBi5eWi6k-=w1200|https://lh3.googleusercontent.com/pw/AP1GczM-LgJN5L7UACrw0XvHJLrjw7WbMus2NFTEVJ3b5rd7ETqCJxXOEvOktZHl0_5bkDQ2snywECPaCc9_EjQKDhAdZ-VxMg1YeOX684S69IbNdvPwB1So=w1200|https://lh3.googleusercontent.com/pw/AP1GczN3vKQYQuQSnzigOW6ib7coVTO5qbYEx4k7h-pGOA0L1ts17P-c6KKvJl84d0ub0IOpASks2HThRBRkYwJoX6BQjB-ttNS8L2NW5YtSC7Yo0dFFtZAP=w1200|https://lh3.googleusercontent.com/pw/AP1GczNU9OuhTfI4HQIn-7YwASbJF2Aj6zLM8bDE8fTogo_3rp_U0B41q-dMHo4TwcwYO9Ugjta11ZNes3qCMPYLIVD3eqKObEbnWI6BR0Qn7Dc-eGgeaZZk=w1200|https://lh3.googleusercontent.com/pw/AP1GczO5_2eqDPhGViIV6bE37T7xA1CWwh6drj9pMo574HwRTtOrGuI1BPpM-8HqgIFA3G9aJkF-rVSOVipGdmSOdjKdLXBb7d0QqFK-t8ZYJp2JyyrwTTPf=w1200|https://lh3.googleusercontent.com/pw/AP1GczOtiJW81jXjzF2OAh1SD1A3cMzwl_KC8nQXUbMCe4vou5boHWWNiSc3guQkqW9Wk80vJvRhVAAUkRmugJPvfdkM-0Cyx_R1LQprPG9vmc8BHjwlLoic=w1200|https://lh3.googleusercontent.com/pw/AP1GczNHPfw5pr7HtmiNNjO5kfwAJF7EyKvcNh9aZEQ0JDKgnTOqnQgmD7-Bfi5I6vg7O-wse7VyaKkE5a1zJ9QAmAS5HErNqqTnIjnrTnMvc_-tBnYpI6OP=w1200|https://lh3.googleusercontent.com/pw/AP1GczM8lah6aos9WIyMn3DYdqhbE_qbgqlIZV4hfamhP14hhN3bmfa4GmOzw7LuhWoXfWc4GB3emh1YzW2WkN6vEGc2bE20XKJX0lAjiU5ua-3PiWbBvNYQ=w1200|https://lh3.googleusercontent.com/pw/AP1GczM-Fh3svVDHPnVme3yqftA4Vy9UXj2L9RVC7Oo2lr5gn3jbZXZeQdcwZBrInf26O_SsN8snANI_1-foeBKAtCcS_HtjYlrK_3oygej4cJK35arlHxra=w1200|https://lh3.googleusercontent.com/pw/AP1GczMo-SDIgLUCd4WT1V9WRa8_5xT8rml73DsGGe_GxeAvZfEIihKlJ2ntPWNQ5KE6rb9w9VzdKTWvBusoEmfiZQraiUuyVGd5DQsz1z5zJQl6TSKaEfnJ=w1200|https://lh3.googleusercontent.com/pw/AP1GczPtWNdNV8ZZr5GnNiY2Zvrm5TpCbKXlm6cOrU5HQosg7RCxEPi3OdN21g7J72q7aiYiAgYLon4UnTLXlYZZ5qEGmBs5IVm-sRY_Jzcd2nJC2tUADRd6=w1200|https://lh3.googleusercontent.com/pw/AP1GczPG_sYucJeGvENo30d45Qt-T9lQZ7jLccAV77lNGzceidXBudGGfC03zN4_NV6WNLaYexaHfFTPatCRG8xZygYD9yumwBECsGqLCUzX2uzVGY_RGskN=w1200|https://lh3.googleusercontent.com/pw/AP1GczOy6UyftUUQxKJRpg7tZq2llI0BNuoDkd6qdhcvWsceNWq6VKgLHArORiRLkqiPUwNPXVKpV2ukYzLefk4BY0Q26RoS2kff-b7TT1W3tWoa7fC5uM3A=w1200|https://lh3.googleusercontent.com/pw/AP1GczMA1PEMGBDmjLX5tUHibFXpZ1Tec2IUDXPyC1gzDA5WxDv1EmfP0scTrNWNhjh43nsz6FJDK6sRPL87OEmCqa62fPSJn1HMao1MDhErd3_bEHlJY1Vo=w1200|https://lh3.googleusercontent.com/pw/AP1GczMjPlSi2xtx47rGzE4JJsfaUuAKpem8XfxK6V_yL9hSNmcgSv0-4aqGrqDDbnczra8uxhveYfSlXby4npjFxK8_qGNA6iljzq-TUGlp5kSCJ5VIHvHK=w1200|https://lh3.googleusercontent.com/pw/AP1GczNNUcp7rwmo6ptgGs5UKx3wy4bknI7gtghiSUl8_-H2weeu6nJmI-ukOBLLdpEQXfmhzyEa-OXedFKiUaoko2b2cy1UwffHvxUkj7xKZATzhkamZVQF=w1200|https://lh3.googleusercontent.com/pw/AP1GczNPsLFL8uPxIRfA0xesYiC2xkLR_rEPLlhpyU5RGzzr3sKGIYiIznYqukidoNF8P65AfQ8cw7xpSynXSS1fUg9C9ik2_xCC82ctrfFxZfv5BFhkl0DG=w1200|https://lh3.googleusercontent.com/pw/AP1GczNFy1RGLs9mBuVh_BUmuKcPOYGvase9ZFd2_01zQRl_gfFqS0c9gwKVKEhVHE8PBsVEVbyXs4LqTlSxc3ukQqXEYk0vgC1tH1wa5JO1-FlglBO_rwV7=w1200|https://lh3.googleusercontent.com/pw/AP1GczNdLfWxTmwq8LC6SUaeGnGQd9fBOwmbDohetIh3vYvV4P-Zr2yXm5_Nt08BfZeaG0oNP3vYfc6IMeyfmo_W0TWcs2b_HZbFr5bh7dJQfiFTNp3v9eIq=w1200|https://lh3.googleusercontent.com/pw/AP1GczOXE48VfevNCTvJkL3qKuSYvfDGeuFVw7K086SKkmnDjxySVoaK5voX-jmpYpc2ZQF0n22ecjvu8-Eh9sfViSv-PBQ_1H1JHgDcUa8T5ok3elGZ2gxn=w1200|https://lh3.googleusercontent.com/pw/AP1GczPwGiKQeDtWsRKm8wBFt3RFw5Ir9wTz5yn43ZJPXjJqQumdITPPWf7UmZ-R1Q8NyOrswjBn1-9BN6WGqanGE2GLGm7KQlC3xYDkdCsfxZGKPc_EUkxY=w1200|https://lh3.googleusercontent.com/pw/AP1GczNfNIos-4UVpI-kt9BcX85fjkQMBRFHR25viPnSaznh6yBLBnmbMyQji_P6IVsACG8SdZj6vMvus3aB7hYcGEw_25pxV_cbFWOkzzJycNss7UEcVO7w=w1200|https://lh3.googleusercontent.com/pw/AP1GczP6b8T038cevo7WNb9ymDQ4pgnABuNVnERiCDXT4rYGbTcNy9PNsNyj8q3pDrcmBUXmoub264rgimmMTi2AaG7G0c0oNqhD3YL02qIa2Nhw493pUbNi=w1200|https://lh3.googleusercontent.com/pw/AP1GczP4BfTPG4rZz8CzGiQxYoqBvdhiMP5wQqOvN7YhNpN8IBEa8KMnnBXUY9b0GH-hH8hcQwoxmdSSMbgdVYWjs8bTJ66GTWMdt-BUUwItwbubs2q4IWtQ=w1200</v>
      </c>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c r="BU154" s="46"/>
      <c r="BV154" s="46"/>
      <c r="BW154" s="46"/>
      <c r="BX154" s="46"/>
      <c r="BY154" s="46"/>
      <c r="BZ154" s="46"/>
      <c r="CA154" s="46"/>
      <c r="CB154" s="46"/>
      <c r="CC154" s="46"/>
    </row>
    <row r="155">
      <c r="A155" s="87" t="str">
        <f>IFERROR(__xludf.DUMMYFUNCTION("""COMPUTED_VALUE"""),"193")</f>
        <v>193</v>
      </c>
      <c r="B155" s="46" t="str">
        <f>IFERROR(__xludf.DUMMYFUNCTION("""COMPUTED_VALUE"""),"Casa en Conjunto Altos de Iguatemí")</f>
        <v>Casa en Conjunto Altos de Iguatemí</v>
      </c>
      <c r="C155" s="46" t="str">
        <f>IFERROR(__xludf.DUMMYFUNCTION("""COMPUTED_VALUE"""),"Casa en conjunto")</f>
        <v>Casa en conjunto</v>
      </c>
      <c r="D155" s="90" t="str">
        <f>IFERROR(__xludf.DUMMYFUNCTION("""COMPUTED_VALUE"""),"Ipanema")</f>
        <v>Ipanema</v>
      </c>
      <c r="E155" s="90" t="str">
        <f>IFERROR(__xludf.DUMMYFUNCTION("""COMPUTED_VALUE"""),"Altos de Iguatemi")</f>
        <v>Altos de Iguatemi</v>
      </c>
      <c r="F155" s="90">
        <f>IFERROR(__xludf.DUMMYFUNCTION("""COMPUTED_VALUE"""),7.8E8)</f>
        <v>780000000</v>
      </c>
      <c r="G155" s="46" t="str">
        <f>IFERROR(__xludf.DUMMYFUNCTION("""COMPUTED_VALUE"""),"$500'000.000 a $1.000'000.000")</f>
        <v>$500'000.000 a $1.000'000.000</v>
      </c>
      <c r="H155" s="46"/>
      <c r="I155" s="46"/>
      <c r="J155" s="46" t="str">
        <f>IFERROR(__xludf.DUMMYFUNCTION("""COMPUTED_VALUE"""),"Oriente")</f>
        <v>Oriente</v>
      </c>
      <c r="K155" s="87"/>
      <c r="L155" s="46">
        <f>IFERROR(__xludf.DUMMYFUNCTION("""COMPUTED_VALUE"""),4.0)</f>
        <v>4</v>
      </c>
      <c r="M155" s="46"/>
      <c r="N155" s="46">
        <f>IFERROR(__xludf.DUMMYFUNCTION("""COMPUTED_VALUE"""),4.0)</f>
        <v>4</v>
      </c>
      <c r="O155" s="46">
        <f>IFERROR(__xludf.DUMMYFUNCTION("""COMPUTED_VALUE"""),2.0)</f>
        <v>2</v>
      </c>
      <c r="P155" s="46">
        <f>IFERROR(__xludf.DUMMYFUNCTION("""COMPUTED_VALUE"""),2.0)</f>
        <v>2</v>
      </c>
      <c r="Q155" s="92">
        <f>IFERROR(__xludf.DUMMYFUNCTION("""COMPUTED_VALUE"""),240.0)</f>
        <v>240</v>
      </c>
      <c r="R155" s="92">
        <f>IFERROR(__xludf.DUMMYFUNCTION("""COMPUTED_VALUE"""),130.0)</f>
        <v>130</v>
      </c>
      <c r="S155" s="87" t="str">
        <f>IFERROR(__xludf.DUMMYFUNCTION("""COMPUTED_VALUE""")," ")</f>
        <v> </v>
      </c>
      <c r="T155" s="46" t="str">
        <f>IFERROR(__xludf.DUMMYFUNCTION("""COMPUTED_VALUE"""),"Neiva")</f>
        <v>Neiva</v>
      </c>
      <c r="U155" s="87" t="str">
        <f>IFERROR(__xludf.DUMMYFUNCTION("""COMPUTED_VALUE"""),"6")</f>
        <v>6</v>
      </c>
      <c r="V155" s="46" t="str">
        <f>IFERROR(__xludf.DUMMYFUNCTION("""COMPUTED_VALUE"""),"Medianera")</f>
        <v>Medianera</v>
      </c>
      <c r="W155" s="46"/>
      <c r="X155" s="46">
        <f>IFERROR(__xludf.DUMMYFUNCTION("""COMPUTED_VALUE"""),4.0)</f>
        <v>4</v>
      </c>
      <c r="Y155" s="46" t="str">
        <f>IFERROR(__xludf.DUMMYFUNCTION("""COMPUTED_VALUE"""),"Social")</f>
        <v>Social</v>
      </c>
      <c r="Z155" s="90">
        <f>IFERROR(__xludf.DUMMYFUNCTION("""COMPUTED_VALUE"""),698000.0)</f>
        <v>698000</v>
      </c>
      <c r="AA155" s="33" t="str">
        <f>IFERROR(__xludf.DUMMYFUNCTION("""COMPUTED_VALUE"""),"No aplica")</f>
        <v>No aplica</v>
      </c>
      <c r="AB155" s="144" t="str">
        <f>IFERROR(__xludf.DUMMYFUNCTION("""COMPUTED_VALUE"""),"https://photos.app.goo.gl/bAczRcQfFX7g8u278")</f>
        <v>https://photos.app.goo.gl/bAczRcQfFX7g8u278</v>
      </c>
      <c r="AC155" s="46"/>
      <c r="AD155" s="46"/>
      <c r="AE155" s="46"/>
      <c r="AF155" s="46" t="str">
        <f>IFERROR(__xludf.DUMMYFUNCTION("""COMPUTED_VALUE"""),"integral")</f>
        <v>integral</v>
      </c>
      <c r="AG155" s="46"/>
      <c r="AH155" s="46" t="str">
        <f>IFERROR(__xludf.DUMMYFUNCTION("""COMPUTED_VALUE"""),"Aliado")</f>
        <v>Aliado</v>
      </c>
      <c r="AI155" s="92" t="str">
        <f>IFERROR(__xludf.DUMMYFUNCTION("""COMPUTED_VALUE"""),"https://lh3.googleusercontent.com/pw/AP1GczNL9FIVzvmkjqQC5J02RahKs8cEWE4SfXl-nkJjuwMSPBrmoW04Odwjp6fOJt3LgiH18VNQG0xKXLzc9LkzIfWaR0q2uxXpJR7NR6YyJkdAOPCd24PP=w1200|https://lh3.googleusercontent.com/pw/AP1GczOQw7ZtMv6kGHHBp_OAy4jHLPWMJqbQtrWy2f5ihnUusGsl17"&amp;"A97tt-1H-DlN_zo2e9NQtd_tYe8MBfrGvKDOhDTmCsmGVMtNgUNhT4DuSk2KD_0ZB5=w1200|https://lh3.googleusercontent.com/pw/AP1GczNT5XCXCVWcjRlcbjVLyNTWdGH5f_ey2uYHjxPHligqOPDLNNQBHCWCRwqyyT3pmVAlN8Q1TTdsIZZ1ZtXyyrgIXFGWf2Iso5HevNyTCe0tkE8nkwv7=w1200|https://lh3.google"&amp;"usercontent.com/pw/AP1GczP8VvuIlwYrZzNg95bMIaNT8m0QDIGc-9YVNKZTgdYS7PNz_8LmP0f2FvMeEDeXAhqjRMdt0Eo6J2CxEHfXJXESLMFt4D9oQld0CL_fY2viQASX45Mu=w1200|https://lh3.googleusercontent.com/pw/AP1GczOE6xdpGXRyl-4wmB8tGgayDUJhxrgV_xIAvPKRaKv1x3K5fkmsCY820cRFQDMZNunw"&amp;"Ozy9YtmznpCgpaIJk5V41gxOuzE_5dn4cYawBfXDN78NU0CK=w1200|https://lh3.googleusercontent.com/pw/AP1GczO721In_2UGI7YqRFJ4m6cNBJRYmaPIFwQztzJuA-O-sgXStG1ClDkmzLopIQAUKJa_DUfv4GhdOnGfI8M08qOL3i3kQR_BMlferHz9DNUex6BtYdzI=w1200|https://lh3.googleusercontent.com/pw"&amp;"/AP1GczPmJRMWTLSOgMy0dS7f_hKXd9iqClbC8V9vmbNgHM_p37L6MGTTMA01_KcPjldWIs-gnDISlUltlzXUylpR_AzIulSJ9xaXA4Ot32CVGGyrfKDdYH9q=w1200|https://lh3.googleusercontent.com/pw/AP1GczMCwZnXQA-Bl53jV8BbNqnoZxV7t8TEPrx2r0HPiU7tcr9wNBxPhECOT5WtDKDXe7pI1QCGdXAidbQ9WPkPj7"&amp;"igW1tGZOYQYqt5QfIeKILDZdORq0mY=w1200|https://lh3.googleusercontent.com/pw/AP1GczNO564y2runom5X34hdGJhsA8nrA8ZD3YiQjXQe3zp0woWjTZx1EvqcQwZTYyUb2WA94-XvARxK9gxbDJZU2-C0vb58vAwJCriPwX9hPLwsLseKtAFj=w1200|https://lh3.googleusercontent.com/pw/AP1GczOSxSg1Tjsfu"&amp;"BYqLhxe-ZcpgB9-MbiZy5fef5z2q0gYNHkJVui-Ung0VSYwWH_O1Cm4O75Ac-CbiaTntl1k5L6Pn1pxvPVQY6SbwKSiQxoxR4MOGC4j=w1200|https://lh3.googleusercontent.com/pw/AP1GczMPwfI9TraTsuzvVFLkSmdvc984xdSBQSRBdPJO5tJdjVDQ2alxU-O6ghJvAX75eu4kZxzibZ0v0iTqpx8z28GF-N0UHvlvhkRthKtr"&amp;"Ggcr8BVaeqyB=w1200|https://lh3.googleusercontent.com/pw/AP1GczPh64IuvBAJIXaf-P5gAvP1MxuL4AlY8aI-rPswhQA66IkTvwdWS6DMoUYWnkm5hF57-KTxFyZZm_Q6Nc-BAwu-x2BTu8ws6cu1jswmE-HIYKUNdI1o=w1200|https://lh3.googleusercontent.com/pw/AP1GczOjSK9udAIfjBy3UDoqZdjQtbT4iPZ"&amp;"2ZLu2ygrHoyxbVu1UdXPwzyV2e2SN83JkXBJKN24HM0IC1CFjdrusdqoscdH8_aERq0Sw_57JeZKXcNJQU0O7=w1200|https://lh3.googleusercontent.com/pw/AP1GczOiNUSPh5_pI4vX_ypDlJeZH_mNL-tA7U1v1ZTl1Q4CtWUEPCt8-ag5YlEIRi7duoaMkPRReFVuUpAyT9T101ZeZc-2SnDDIwHMXuxmYnltcMLLaIDM=w1200"&amp;"|https://lh3.googleusercontent.com/pw/AP1GczP5p92f_6jnDdBqRFFpTeeHi7Npmpu36RrFhmxFu9LD_Du84zQqfUSRwQrAMHeilJj_fHas9-3Qv4wxzxLgqvKru_-VCasJ8gn34zdRV6gaQXRb2Are=w1200|https://lh3.googleusercontent.com/pw/AP1GczMqCvHMfz-r_LmNCNXSKbNULA2cyPni5yul9jNvttI3eIe6M"&amp;"4bw_h8wrCXCL32ziSsr68gegUZXvyW_OZ85SyTX0cBTacB6yJ_1Ua4lKhw3lq0gDIJ_=w1200|https://lh3.googleusercontent.com/pw/AP1GczO0JP0o85JDBlZZSVa2JFLTl-iqVkuPRL2LnCTvnx9V1g0Bus1iuXBz0am3Ne9bdrVVa14hmVyqmrV-LG9JAU32v00BShLUI6jvtermsE1dWr2rjgnW=w1200|https://lh3.googl"&amp;"eusercontent.com/pw/AP1GczOgLsW_d0pnsfle5c7UQ7O3H2-ly-tFn_OROot17iIg2Okgt2I9YWHUUgMqjc-2YEmiVX_cWxi0DnWsMzdaSlPgWiPFHKoNmxGlEikCEEGJ4w5n51Vy=w1200|https://lh3.googleusercontent.com/pw/AP1GczP1YrZN2MonUjhvxTWUAj785Cljzp8BW6d_G4cZORQ9zpSuIrOHduk3hcRgCx2Yqll"&amp;"llXUaG26zzGiHZ3DobNnWkFvZZM7_pvY-_XHneHTloOTGUfgJ=w1200|https://lh3.googleusercontent.com/pw/AP1GczPVtJGdv82AJkpGEON7nGALD1YvcXSqjIZNoK_Ha95BZXeNxXiVxh-iHTMUdHeHlabllYCEOBJYK3yIYSDESsZJoyCRR8nyNi-ZjvRXgN-3gKAYtr5W=w1200|https://lh3.googleusercontent.com/p"&amp;"w/AP1GczPcFtCoHgFAVvkRSZXRQDrPdbzYpXTaNfeqFLOek3KBgSCjzCRc0xSpHsdz2UoGFoojCtMR539A7-sQeNuEYcmgpF8XdqxuR4wJA4wHuVCMsDWlrf8E=w1200|https://lh3.googleusercontent.com/pw/AP1GczNRWVhMPeHTZRVx9D6u9adz2Q0afcTA8iwIXVymQ6UpUAsclxUr_KxOh_kdqw2B5pgxvvf7YERCwJ9r5uYng"&amp;"j7cxdO3D2r2H1Ztj8VqthrHNtuuaH-7=w1200|https://lh3.googleusercontent.com/pw/AP1GczPIsYotYwfqgaHGV7OSAPxyUWCLLRnygzpZWM6GTNJN0ufJs3vN6u8H053VH-2D6oAHWG3NmJfgFxsI9pnUdR9UGUSDrZ5__ALhu5uju1HQ_GLY4Y1-=w1200|https://lh3.googleusercontent.com/pw/AP1GczM8v_xMBaUn"&amp;"zxbVszWb5qF7DAy63O8lg-i_3pXKUQysxEi9IAba9eScdjJ3hA_zlESI0xseUeqFeCfWfO_Lt0UhsK09GO5boPcpu1CFt7pmq_FBc5wT=w1200|https://lh3.googleusercontent.com/pw/AP1GczOAKRuD9PrlFQ_z24Zyv0ZBcr0bcvXbI9GEf3_B5icJ3bdTTzM-FZ-wt6vUJ9mnXBZh6u7_HnZZ6_QLQ0iXduQV9EcFefYf7O9FH-P"&amp;"eGvSXSxDZID_0=w1200|https://lh3.googleusercontent.com/pw/AP1GczOP941hDKuhtfXyuVS8ANhG4aC6ck2EfStKzMHQrvvaPHaMhaf1Tca9PxUNhUq_UNZVA5L_NYK2nnJvzkJx3gpihMmey_QBgqIKlbGkphixNTsucGXp=w1200|https://lh3.googleusercontent.com/pw/AP1GczP_XmPxylXHwLxj50spCffvIImT0n"&amp;"P4-xHQyjdU2yrG_4BADFdTxyIcKhlMDdfVx1ycwmt4ZOQcNYZNMNrtPU27Y8yobLiGgM10tigKiVXqm-gQkUSu=w1200")</f>
        <v>https://lh3.googleusercontent.com/pw/AP1GczNL9FIVzvmkjqQC5J02RahKs8cEWE4SfXl-nkJjuwMSPBrmoW04Odwjp6fOJt3LgiH18VNQG0xKXLzc9LkzIfWaR0q2uxXpJR7NR6YyJkdAOPCd24PP=w1200|https://lh3.googleusercontent.com/pw/AP1GczOQw7ZtMv6kGHHBp_OAy4jHLPWMJqbQtrWy2f5ihnUusGsl17A97tt-1H-DlN_zo2e9NQtd_tYe8MBfrGvKDOhDTmCsmGVMtNgUNhT4DuSk2KD_0ZB5=w1200|https://lh3.googleusercontent.com/pw/AP1GczNT5XCXCVWcjRlcbjVLyNTWdGH5f_ey2uYHjxPHligqOPDLNNQBHCWCRwqyyT3pmVAlN8Q1TTdsIZZ1ZtXyyrgIXFGWf2Iso5HevNyTCe0tkE8nkwv7=w1200|https://lh3.googleusercontent.com/pw/AP1GczP8VvuIlwYrZzNg95bMIaNT8m0QDIGc-9YVNKZTgdYS7PNz_8LmP0f2FvMeEDeXAhqjRMdt0Eo6J2CxEHfXJXESLMFt4D9oQld0CL_fY2viQASX45Mu=w1200|https://lh3.googleusercontent.com/pw/AP1GczOE6xdpGXRyl-4wmB8tGgayDUJhxrgV_xIAvPKRaKv1x3K5fkmsCY820cRFQDMZNunwOzy9YtmznpCgpaIJk5V41gxOuzE_5dn4cYawBfXDN78NU0CK=w1200|https://lh3.googleusercontent.com/pw/AP1GczO721In_2UGI7YqRFJ4m6cNBJRYmaPIFwQztzJuA-O-sgXStG1ClDkmzLopIQAUKJa_DUfv4GhdOnGfI8M08qOL3i3kQR_BMlferHz9DNUex6BtYdzI=w1200|https://lh3.googleusercontent.com/pw/AP1GczPmJRMWTLSOgMy0dS7f_hKXd9iqClbC8V9vmbNgHM_p37L6MGTTMA01_KcPjldWIs-gnDISlUltlzXUylpR_AzIulSJ9xaXA4Ot32CVGGyrfKDdYH9q=w1200|https://lh3.googleusercontent.com/pw/AP1GczMCwZnXQA-Bl53jV8BbNqnoZxV7t8TEPrx2r0HPiU7tcr9wNBxPhECOT5WtDKDXe7pI1QCGdXAidbQ9WPkPj7igW1tGZOYQYqt5QfIeKILDZdORq0mY=w1200|https://lh3.googleusercontent.com/pw/AP1GczNO564y2runom5X34hdGJhsA8nrA8ZD3YiQjXQe3zp0woWjTZx1EvqcQwZTYyUb2WA94-XvARxK9gxbDJZU2-C0vb58vAwJCriPwX9hPLwsLseKtAFj=w1200|https://lh3.googleusercontent.com/pw/AP1GczOSxSg1TjsfuBYqLhxe-ZcpgB9-MbiZy5fef5z2q0gYNHkJVui-Ung0VSYwWH_O1Cm4O75Ac-CbiaTntl1k5L6Pn1pxvPVQY6SbwKSiQxoxR4MOGC4j=w1200|https://lh3.googleusercontent.com/pw/AP1GczMPwfI9TraTsuzvVFLkSmdvc984xdSBQSRBdPJO5tJdjVDQ2alxU-O6ghJvAX75eu4kZxzibZ0v0iTqpx8z28GF-N0UHvlvhkRthKtrGgcr8BVaeqyB=w1200|https://lh3.googleusercontent.com/pw/AP1GczPh64IuvBAJIXaf-P5gAvP1MxuL4AlY8aI-rPswhQA66IkTvwdWS6DMoUYWnkm5hF57-KTxFyZZm_Q6Nc-BAwu-x2BTu8ws6cu1jswmE-HIYKUNdI1o=w1200|https://lh3.googleusercontent.com/pw/AP1GczOjSK9udAIfjBy3UDoqZdjQtbT4iPZ2ZLu2ygrHoyxbVu1UdXPwzyV2e2SN83JkXBJKN24HM0IC1CFjdrusdqoscdH8_aERq0Sw_57JeZKXcNJQU0O7=w1200|https://lh3.googleusercontent.com/pw/AP1GczOiNUSPh5_pI4vX_ypDlJeZH_mNL-tA7U1v1ZTl1Q4CtWUEPCt8-ag5YlEIRi7duoaMkPRReFVuUpAyT9T101ZeZc-2SnDDIwHMXuxmYnltcMLLaIDM=w1200|https://lh3.googleusercontent.com/pw/AP1GczP5p92f_6jnDdBqRFFpTeeHi7Npmpu36RrFhmxFu9LD_Du84zQqfUSRwQrAMHeilJj_fHas9-3Qv4wxzxLgqvKru_-VCasJ8gn34zdRV6gaQXRb2Are=w1200|https://lh3.googleusercontent.com/pw/AP1GczMqCvHMfz-r_LmNCNXSKbNULA2cyPni5yul9jNvttI3eIe6M4bw_h8wrCXCL32ziSsr68gegUZXvyW_OZ85SyTX0cBTacB6yJ_1Ua4lKhw3lq0gDIJ_=w1200|https://lh3.googleusercontent.com/pw/AP1GczO0JP0o85JDBlZZSVa2JFLTl-iqVkuPRL2LnCTvnx9V1g0Bus1iuXBz0am3Ne9bdrVVa14hmVyqmrV-LG9JAU32v00BShLUI6jvtermsE1dWr2rjgnW=w1200|https://lh3.googleusercontent.com/pw/AP1GczOgLsW_d0pnsfle5c7UQ7O3H2-ly-tFn_OROot17iIg2Okgt2I9YWHUUgMqjc-2YEmiVX_cWxi0DnWsMzdaSlPgWiPFHKoNmxGlEikCEEGJ4w5n51Vy=w1200|https://lh3.googleusercontent.com/pw/AP1GczP1YrZN2MonUjhvxTWUAj785Cljzp8BW6d_G4cZORQ9zpSuIrOHduk3hcRgCx2YqllllXUaG26zzGiHZ3DobNnWkFvZZM7_pvY-_XHneHTloOTGUfgJ=w1200|https://lh3.googleusercontent.com/pw/AP1GczPVtJGdv82AJkpGEON7nGALD1YvcXSqjIZNoK_Ha95BZXeNxXiVxh-iHTMUdHeHlabllYCEOBJYK3yIYSDESsZJoyCRR8nyNi-ZjvRXgN-3gKAYtr5W=w1200|https://lh3.googleusercontent.com/pw/AP1GczPcFtCoHgFAVvkRSZXRQDrPdbzYpXTaNfeqFLOek3KBgSCjzCRc0xSpHsdz2UoGFoojCtMR539A7-sQeNuEYcmgpF8XdqxuR4wJA4wHuVCMsDWlrf8E=w1200|https://lh3.googleusercontent.com/pw/AP1GczNRWVhMPeHTZRVx9D6u9adz2Q0afcTA8iwIXVymQ6UpUAsclxUr_KxOh_kdqw2B5pgxvvf7YERCwJ9r5uYngj7cxdO3D2r2H1Ztj8VqthrHNtuuaH-7=w1200|https://lh3.googleusercontent.com/pw/AP1GczPIsYotYwfqgaHGV7OSAPxyUWCLLRnygzpZWM6GTNJN0ufJs3vN6u8H053VH-2D6oAHWG3NmJfgFxsI9pnUdR9UGUSDrZ5__ALhu5uju1HQ_GLY4Y1-=w1200|https://lh3.googleusercontent.com/pw/AP1GczM8v_xMBaUnzxbVszWb5qF7DAy63O8lg-i_3pXKUQysxEi9IAba9eScdjJ3hA_zlESI0xseUeqFeCfWfO_Lt0UhsK09GO5boPcpu1CFt7pmq_FBc5wT=w1200|https://lh3.googleusercontent.com/pw/AP1GczOAKRuD9PrlFQ_z24Zyv0ZBcr0bcvXbI9GEf3_B5icJ3bdTTzM-FZ-wt6vUJ9mnXBZh6u7_HnZZ6_QLQ0iXduQV9EcFefYf7O9FH-PeGvSXSxDZID_0=w1200|https://lh3.googleusercontent.com/pw/AP1GczOP941hDKuhtfXyuVS8ANhG4aC6ck2EfStKzMHQrvvaPHaMhaf1Tca9PxUNhUq_UNZVA5L_NYK2nnJvzkJx3gpihMmey_QBgqIKlbGkphixNTsucGXp=w1200|https://lh3.googleusercontent.com/pw/AP1GczP_XmPxylXHwLxj50spCffvIImT0nP4-xHQyjdU2yrG_4BADFdTxyIcKhlMDdfVx1ycwmt4ZOQcNYZNMNrtPU27Y8yobLiGgM10tigKiVXqm-gQkUSu=w1200</v>
      </c>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c r="BU155" s="46"/>
      <c r="BV155" s="46"/>
      <c r="BW155" s="46"/>
      <c r="BX155" s="46"/>
      <c r="BY155" s="46"/>
      <c r="BZ155" s="46"/>
      <c r="CA155" s="46"/>
      <c r="CB155" s="46"/>
      <c r="CC155" s="46"/>
    </row>
    <row r="156">
      <c r="A156" s="87" t="str">
        <f>IFERROR(__xludf.DUMMYFUNCTION("""COMPUTED_VALUE"""),"510")</f>
        <v>510</v>
      </c>
      <c r="B156" s="46" t="str">
        <f>IFERROR(__xludf.DUMMYFUNCTION("""COMPUTED_VALUE"""),"Lote en conjunto  Condominio Campestre La Voragine - Rivera")</f>
        <v>Lote en conjunto  Condominio Campestre La Voragine - Rivera</v>
      </c>
      <c r="C156" s="46" t="str">
        <f>IFERROR(__xludf.DUMMYFUNCTION("""COMPUTED_VALUE"""),"Lote en conjunto")</f>
        <v>Lote en conjunto</v>
      </c>
      <c r="D156" s="46"/>
      <c r="E156" s="46" t="str">
        <f>IFERROR(__xludf.DUMMYFUNCTION("""COMPUTED_VALUE"""),"La Voragine")</f>
        <v>La Voragine</v>
      </c>
      <c r="F156" s="90">
        <f>IFERROR(__xludf.DUMMYFUNCTION("""COMPUTED_VALUE"""),4.3E8)</f>
        <v>430000000</v>
      </c>
      <c r="G156" s="46" t="str">
        <f>IFERROR(__xludf.DUMMYFUNCTION("""COMPUTED_VALUE"""),"$400'000.000 a $500'000.000")</f>
        <v>$400'000.000 a $500'000.000</v>
      </c>
      <c r="H156" s="46"/>
      <c r="I156" s="46"/>
      <c r="J156" s="46" t="str">
        <f>IFERROR(__xludf.DUMMYFUNCTION("""COMPUTED_VALUE"""),"Sur")</f>
        <v>Sur</v>
      </c>
      <c r="K156" s="87"/>
      <c r="L156" s="46">
        <f>IFERROR(__xludf.DUMMYFUNCTION("""COMPUTED_VALUE"""),0.0)</f>
        <v>0</v>
      </c>
      <c r="M156" s="46"/>
      <c r="N156" s="46">
        <f>IFERROR(__xludf.DUMMYFUNCTION("""COMPUTED_VALUE"""),0.0)</f>
        <v>0</v>
      </c>
      <c r="O156" s="46">
        <f>IFERROR(__xludf.DUMMYFUNCTION("""COMPUTED_VALUE"""),0.0)</f>
        <v>0</v>
      </c>
      <c r="P156" s="46">
        <f>IFERROR(__xludf.DUMMYFUNCTION("""COMPUTED_VALUE"""),0.0)</f>
        <v>0</v>
      </c>
      <c r="Q156" s="92"/>
      <c r="R156" s="92">
        <f>IFERROR(__xludf.DUMMYFUNCTION("""COMPUTED_VALUE"""),1306.0)</f>
        <v>1306</v>
      </c>
      <c r="S156" s="87" t="str">
        <f>IFERROR(__xludf.DUMMYFUNCTION("""COMPUTED_VALUE""")," ")</f>
        <v> </v>
      </c>
      <c r="T156" s="46" t="str">
        <f>IFERROR(__xludf.DUMMYFUNCTION("""COMPUTED_VALUE"""),"Rivera")</f>
        <v>Rivera</v>
      </c>
      <c r="U156" s="87"/>
      <c r="V156" s="46"/>
      <c r="W156" s="46"/>
      <c r="X156" s="46">
        <f>IFERROR(__xludf.DUMMYFUNCTION("""COMPUTED_VALUE"""),0.0)</f>
        <v>0</v>
      </c>
      <c r="Y156" s="46" t="str">
        <f>IFERROR(__xludf.DUMMYFUNCTION("""COMPUTED_VALUE"""),"No tiene")</f>
        <v>No tiene</v>
      </c>
      <c r="Z156" s="90" t="str">
        <f>IFERROR(__xludf.DUMMYFUNCTION("""COMPUTED_VALUE"""),"No aplica")</f>
        <v>No aplica</v>
      </c>
      <c r="AA156" s="33" t="str">
        <f>IFERROR(__xludf.DUMMYFUNCTION("""COMPUTED_VALUE"""),"No aplica")</f>
        <v>No aplica</v>
      </c>
      <c r="AB156" s="144" t="str">
        <f>IFERROR(__xludf.DUMMYFUNCTION("""COMPUTED_VALUE"""),"https://photos.app.goo.gl/Mtzzb9N9VEqysBFj7")</f>
        <v>https://photos.app.goo.gl/Mtzzb9N9VEqysBFj7</v>
      </c>
      <c r="AC156" s="46"/>
      <c r="AD156" s="46" t="str">
        <f>IFERROR(__xludf.DUMMYFUNCTION("""COMPUTED_VALUE"""),"Lote campestre ubicado sobre vía principal. Con todas las acometidas de agua, energía y gas. Escritura al día.")</f>
        <v>Lote campestre ubicado sobre vía principal. Con todas las acometidas de agua, energía y gas. Escritura al día.</v>
      </c>
      <c r="AE156" s="46"/>
      <c r="AF156" s="46" t="str">
        <f>IFERROR(__xludf.DUMMYFUNCTION("""COMPUTED_VALUE"""),"0")</f>
        <v>0</v>
      </c>
      <c r="AG156" s="46"/>
      <c r="AH156" s="46" t="str">
        <f>IFERROR(__xludf.DUMMYFUNCTION("""COMPUTED_VALUE"""),"Aliado")</f>
        <v>Aliado</v>
      </c>
      <c r="AI156" s="92" t="str">
        <f>IFERROR(__xludf.DUMMYFUNCTION("""COMPUTED_VALUE"""),"https://lh3.googleusercontent.com/pw/AP1GczO66rgtFaAhNUHu89ge66iPrsKE76wY9A7V9-yMMWEP6IlolL0oTuxmWHL-wQmopnsCVEaBzGRlOGmhCyXIStbs6zVIRNKMoeyhaxwsndplycVNHFuz=w1200|https://lh3.googleusercontent.com/pw/AP1GczOo7GGc3yijx9QKgn9n3mPKhYcLmt3I64htg55sIu_IGCTbSp"&amp;"-T920m2ZhqHrKInYGjM4KEQA-dNqwP_oeJ1lGEJDajCMZWr29Hnl6QIbwoOw4JQxiN=w1200|https://lh3.googleusercontent.com/pw/AP1GczMRfvl2XbnfCsHfQvq4u3CgQjjH-LlACd44aJSE34rDKfaPwLUWkVjNCiAU9koIXqJnfuVrJ76ErLIIALGJ3cpdVKN2VmUvEUnMpesJqxnua3j_d67F=w1200|https://lh3.google"&amp;"usercontent.com/pw/AP1GczODRnTZDYf3Xu4fRPUWh2lmIxkNrPzNE_06fRlSIMYUG3U6hvjuBkulwO_GPFwz-5jzwugLRvrmaHreTCKJS-Xf5g1UjO7kIzgIAj87g3lLKVOfR2eu=w1200|https://lh3.googleusercontent.com/pw/AP1GczNKKZesbLcA70QrltygJAXTzASmapxSzrMy0YesOn6sBmd1fd0abOL-z2tU5Rd_Onc9"&amp;"Rj4vS6wUUp9l8g23WsKdwwpaStT9ca5W17x95ny-eBQu5W9l=w1200|https://lh3.googleusercontent.com/pw/AP1GczOdY6c1xRGVmXgieaVQqHL68eNXaxZaCRqQbc3ekfZev6lIh-DFt1EZqXz6aQ3AcLGHcB0mKvBFpBoYY-660wjYKql12Kg8wJARu3nPOCuSm2EA8JLY=w1200|https://lh3.googleusercontent.com/pw"&amp;"/AP1GczMWKF0BtA87wZxDAwDA4lTI2BqcTEjYaK728Cwt6mlcP054gwsZG7-_4AN7dmAMAxA102iLoU7b0nPXfE-2Ybpug5jvb545QgkO1Ccb16O1qPukJmb3=w1200|https://lh3.googleusercontent.com/pw/AP1GczPRfw-T-CmDw9D1_5knmw344tQtwAOGmq7Aib5AA2QbWG0Pj7qa5Ac6trRNsMHn4p15hqbXd_9OF_sWB69dov"&amp;"hNHb45SsNpHFknzruVVBsS2wXei7Zw=w1200|https://lh3.googleusercontent.com/pw/AP1GczNzVN7zHpZ9zqCSk_NP5hSkN27L_IohkzyZIleTbH0RxVH3RC0ajTcNb3HO2WLrE-uSoPNrBIKs_5ZWjAYZx20JYhc-43FxD9MsCOCYNvTbRZq2Zu6C=w1200|https://lh3.googleusercontent.com/pw/AP1GczMlR0FmUsyWz"&amp;"7VpvONIJ1WiD50VugQjN-S2o1Y9NttdVaInTLMyd7zfe-BogXFfmZYZj1zqxSqsIRqsuhkvzh5lSg8Nc2-RJaEal-_EG2i5Ia3T0I9Y=w1200|https://lh3.googleusercontent.com/pw/AP1GczMVrTTkmSFc2t5a_tUpbKfJWw-UWhOkxL-6MGQZm_cROeDSSE4fl0bilRSgsEyr_uprkxdkabNtxzQQid6y60Z_fuX0FdwsQUiBR_wR"&amp;"3D9DSPqglnX5=w1200|https://lh3.googleusercontent.com/pw/AP1GczMdbf8nfA29-gSDUyxP7yA6Ctsw_VJLc5T3hF0uClaIyYQl_D_kAcvD4XSm8_lQD97MBGEWwqc7TtTvmMGq90hKTBdiaeK6Z4ZmriM2xAvbCoS22ZVo=w1200|https://lh3.googleusercontent.com/pw/AP1GczNilb8YS3Gx6zqoPUUz49JX3zgkRGv"&amp;"851y8vUPdJECEPCyEEfe1oFb99vEvQIR_Y2OtUj9ERrLh0lYmoNWLz1nVVc-RgI06R6o7X7n1ySm94nroy8q1=w1200|https://lh3.googleusercontent.com/pw/AP1GczN3XXtP8mr9E0vJqC0M_fXI1LAfjQyGbsULfkrEXMZ38AlfAchT2P0lrEyrZi7-_u6niuWKutCggVCstWDrX_v_5W8HIyS-fQLnALqeVZBmdiDGAmNC=w1200"&amp;"|https://lh3.googleusercontent.com/pw/AP1GczOa4te2X74sNO7wIoLsYwQIdbGMbOWgoJckrkG_q8HM_l2l1YnWrZUgsFkEM6A0j54B9gNlnXRJaDggtL0hrenX1rNxHNkq2EgZSxtskmbGmvjrh3iH=w1200|https://lh3.googleusercontent.com/pw/AP1GczPDnqrPKhKamf63L3cHmUf72Tm2uO76f0PuWH6oYueNYeORx"&amp;"0nw6OqAZuxtv-vPF-SHneNfHSzoDF43N9FZcXPeOHPpqsXZ3UQcj4zhPey9DV0cCbte=w1200")</f>
        <v>https://lh3.googleusercontent.com/pw/AP1GczO66rgtFaAhNUHu89ge66iPrsKE76wY9A7V9-yMMWEP6IlolL0oTuxmWHL-wQmopnsCVEaBzGRlOGmhCyXIStbs6zVIRNKMoeyhaxwsndplycVNHFuz=w1200|https://lh3.googleusercontent.com/pw/AP1GczOo7GGc3yijx9QKgn9n3mPKhYcLmt3I64htg55sIu_IGCTbSp-T920m2ZhqHrKInYGjM4KEQA-dNqwP_oeJ1lGEJDajCMZWr29Hnl6QIbwoOw4JQxiN=w1200|https://lh3.googleusercontent.com/pw/AP1GczMRfvl2XbnfCsHfQvq4u3CgQjjH-LlACd44aJSE34rDKfaPwLUWkVjNCiAU9koIXqJnfuVrJ76ErLIIALGJ3cpdVKN2VmUvEUnMpesJqxnua3j_d67F=w1200|https://lh3.googleusercontent.com/pw/AP1GczODRnTZDYf3Xu4fRPUWh2lmIxkNrPzNE_06fRlSIMYUG3U6hvjuBkulwO_GPFwz-5jzwugLRvrmaHreTCKJS-Xf5g1UjO7kIzgIAj87g3lLKVOfR2eu=w1200|https://lh3.googleusercontent.com/pw/AP1GczNKKZesbLcA70QrltygJAXTzASmapxSzrMy0YesOn6sBmd1fd0abOL-z2tU5Rd_Onc9Rj4vS6wUUp9l8g23WsKdwwpaStT9ca5W17x95ny-eBQu5W9l=w1200|https://lh3.googleusercontent.com/pw/AP1GczOdY6c1xRGVmXgieaVQqHL68eNXaxZaCRqQbc3ekfZev6lIh-DFt1EZqXz6aQ3AcLGHcB0mKvBFpBoYY-660wjYKql12Kg8wJARu3nPOCuSm2EA8JLY=w1200|https://lh3.googleusercontent.com/pw/AP1GczMWKF0BtA87wZxDAwDA4lTI2BqcTEjYaK728Cwt6mlcP054gwsZG7-_4AN7dmAMAxA102iLoU7b0nPXfE-2Ybpug5jvb545QgkO1Ccb16O1qPukJmb3=w1200|https://lh3.googleusercontent.com/pw/AP1GczPRfw-T-CmDw9D1_5knmw344tQtwAOGmq7Aib5AA2QbWG0Pj7qa5Ac6trRNsMHn4p15hqbXd_9OF_sWB69dovhNHb45SsNpHFknzruVVBsS2wXei7Zw=w1200|https://lh3.googleusercontent.com/pw/AP1GczNzVN7zHpZ9zqCSk_NP5hSkN27L_IohkzyZIleTbH0RxVH3RC0ajTcNb3HO2WLrE-uSoPNrBIKs_5ZWjAYZx20JYhc-43FxD9MsCOCYNvTbRZq2Zu6C=w1200|https://lh3.googleusercontent.com/pw/AP1GczMlR0FmUsyWz7VpvONIJ1WiD50VugQjN-S2o1Y9NttdVaInTLMyd7zfe-BogXFfmZYZj1zqxSqsIRqsuhkvzh5lSg8Nc2-RJaEal-_EG2i5Ia3T0I9Y=w1200|https://lh3.googleusercontent.com/pw/AP1GczMVrTTkmSFc2t5a_tUpbKfJWw-UWhOkxL-6MGQZm_cROeDSSE4fl0bilRSgsEyr_uprkxdkabNtxzQQid6y60Z_fuX0FdwsQUiBR_wR3D9DSPqglnX5=w1200|https://lh3.googleusercontent.com/pw/AP1GczMdbf8nfA29-gSDUyxP7yA6Ctsw_VJLc5T3hF0uClaIyYQl_D_kAcvD4XSm8_lQD97MBGEWwqc7TtTvmMGq90hKTBdiaeK6Z4ZmriM2xAvbCoS22ZVo=w1200|https://lh3.googleusercontent.com/pw/AP1GczNilb8YS3Gx6zqoPUUz49JX3zgkRGv851y8vUPdJECEPCyEEfe1oFb99vEvQIR_Y2OtUj9ERrLh0lYmoNWLz1nVVc-RgI06R6o7X7n1ySm94nroy8q1=w1200|https://lh3.googleusercontent.com/pw/AP1GczN3XXtP8mr9E0vJqC0M_fXI1LAfjQyGbsULfkrEXMZ38AlfAchT2P0lrEyrZi7-_u6niuWKutCggVCstWDrX_v_5W8HIyS-fQLnALqeVZBmdiDGAmNC=w1200|https://lh3.googleusercontent.com/pw/AP1GczOa4te2X74sNO7wIoLsYwQIdbGMbOWgoJckrkG_q8HM_l2l1YnWrZUgsFkEM6A0j54B9gNlnXRJaDggtL0hrenX1rNxHNkq2EgZSxtskmbGmvjrh3iH=w1200|https://lh3.googleusercontent.com/pw/AP1GczPDnqrPKhKamf63L3cHmUf72Tm2uO76f0PuWH6oYueNYeORx0nw6OqAZuxtv-vPF-SHneNfHSzoDF43N9FZcXPeOHPpqsXZ3UQcj4zhPey9DV0cCbte=w1200</v>
      </c>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row>
    <row r="157">
      <c r="A157" s="87" t="str">
        <f>IFERROR(__xludf.DUMMYFUNCTION("""COMPUTED_VALUE"""),"453")</f>
        <v>453</v>
      </c>
      <c r="B157" s="46" t="str">
        <f>IFERROR(__xludf.DUMMYFUNCTION("""COMPUTED_VALUE"""),"Casa campestre en conjunto Rivera")</f>
        <v>Casa campestre en conjunto Rivera</v>
      </c>
      <c r="C157" s="46" t="str">
        <f>IFERROR(__xludf.DUMMYFUNCTION("""COMPUTED_VALUE"""),"Casa campestre en conjunto")</f>
        <v>Casa campestre en conjunto</v>
      </c>
      <c r="D157" s="46"/>
      <c r="E157" s="46"/>
      <c r="F157" s="90">
        <f>IFERROR(__xludf.DUMMYFUNCTION("""COMPUTED_VALUE"""),4.0E8)</f>
        <v>400000000</v>
      </c>
      <c r="G157" s="46" t="str">
        <f>IFERROR(__xludf.DUMMYFUNCTION("""COMPUTED_VALUE"""),"$400'000.000 a $500'000.000")</f>
        <v>$400'000.000 a $500'000.000</v>
      </c>
      <c r="H157" s="46"/>
      <c r="I157" s="46"/>
      <c r="J157" s="46" t="str">
        <f>IFERROR(__xludf.DUMMYFUNCTION("""COMPUTED_VALUE"""),"Sur")</f>
        <v>Sur</v>
      </c>
      <c r="K157" s="87"/>
      <c r="L157" s="46">
        <f>IFERROR(__xludf.DUMMYFUNCTION("""COMPUTED_VALUE"""),3.0)</f>
        <v>3</v>
      </c>
      <c r="M157" s="46"/>
      <c r="N157" s="46">
        <f>IFERROR(__xludf.DUMMYFUNCTION("""COMPUTED_VALUE"""),2.0)</f>
        <v>2</v>
      </c>
      <c r="O157" s="46">
        <f>IFERROR(__xludf.DUMMYFUNCTION("""COMPUTED_VALUE"""),1.0)</f>
        <v>1</v>
      </c>
      <c r="P157" s="46">
        <f>IFERROR(__xludf.DUMMYFUNCTION("""COMPUTED_VALUE"""),1.0)</f>
        <v>1</v>
      </c>
      <c r="Q157" s="92">
        <f>IFERROR(__xludf.DUMMYFUNCTION("""COMPUTED_VALUE"""),272.0)</f>
        <v>272</v>
      </c>
      <c r="R157" s="92">
        <f>IFERROR(__xludf.DUMMYFUNCTION("""COMPUTED_VALUE"""),800.0)</f>
        <v>800</v>
      </c>
      <c r="S157" s="87" t="str">
        <f>IFERROR(__xludf.DUMMYFUNCTION("""COMPUTED_VALUE""")," ")</f>
        <v> </v>
      </c>
      <c r="T157" s="46" t="str">
        <f>IFERROR(__xludf.DUMMYFUNCTION("""COMPUTED_VALUE"""),"Rivera")</f>
        <v>Rivera</v>
      </c>
      <c r="U157" s="87"/>
      <c r="V157" s="46"/>
      <c r="W157" s="46"/>
      <c r="X157" s="46">
        <f>IFERROR(__xludf.DUMMYFUNCTION("""COMPUTED_VALUE"""),3.0)</f>
        <v>3</v>
      </c>
      <c r="Y157" s="46" t="str">
        <f>IFERROR(__xludf.DUMMYFUNCTION("""COMPUTED_VALUE"""),"No tiene")</f>
        <v>No tiene</v>
      </c>
      <c r="Z157" s="90" t="str">
        <f>IFERROR(__xludf.DUMMYFUNCTION("""COMPUTED_VALUE"""),"No aplica")</f>
        <v>No aplica</v>
      </c>
      <c r="AA157" s="33" t="str">
        <f>IFERROR(__xludf.DUMMYFUNCTION("""COMPUTED_VALUE"""),"No aplica")</f>
        <v>No aplica</v>
      </c>
      <c r="AB157" s="96" t="str">
        <f>IFERROR(__xludf.DUMMYFUNCTION("""COMPUTED_VALUE"""),"https://photos.app.goo.gl/MMe6ZeHZwstyXCG47")</f>
        <v>https://photos.app.goo.gl/MMe6ZeHZwstyXCG47</v>
      </c>
      <c r="AC157" s="46"/>
      <c r="AD157" s="46" t="str">
        <f>IFERROR(__xludf.DUMMYFUNCTION("""COMPUTED_VALUE"""),"Casa con buenos acabados, Piso en tablón roo con granito pulido y ladrillo a la vista. Con circulación perimetral, árboles frutales y hermosos jardines. Escritura a día.")</f>
        <v>Casa con buenos acabados, Piso en tablón roo con granito pulido y ladrillo a la vista. Con circulación perimetral, árboles frutales y hermosos jardines. Escritura a día.</v>
      </c>
      <c r="AE157" s="46"/>
      <c r="AF157" s="46" t="str">
        <f>IFERROR(__xludf.DUMMYFUNCTION("""COMPUTED_VALUE"""),"semi-integral")</f>
        <v>semi-integral</v>
      </c>
      <c r="AG157" s="46"/>
      <c r="AH157" s="46" t="str">
        <f>IFERROR(__xludf.DUMMYFUNCTION("""COMPUTED_VALUE"""),"Aliado")</f>
        <v>Aliado</v>
      </c>
      <c r="AI157" s="92" t="str">
        <f>IFERROR(__xludf.DUMMYFUNCTION("""COMPUTED_VALUE"""),"https://lh3.googleusercontent.com/pw/AP1GczMQ-aKi6KFaIh2ozCfYb_N85NKB-1raXij6oM0d_26wDQfDu31f-X-605uxydauHnAoneJWAbWEtYsLPS-QPjmwP3XGGSKORsNJ-A-YVsQXi7WhcHEY=w1200|https://lh3.googleusercontent.com/pw/AP1GczNYn5P7ZTfuYqpi1p_-NTbF-LbVqO9wfGooTUlJgXJXI2eIry"&amp;"GthEERJjT_1kG23lZmyXFEMFaJZfTkiXmoOPVUP2ECClSMVzrfNxWdZeb5H8yUGKa5=w1200|https://lh3.googleusercontent.com/pw/AP1GczPYU_bB1VNsmcaFg-FW88GhkFwrilcMxY4yvNxluqvPnWWxuvoTy_Y2uUrRMSz5NZBSyDvQxmtEcZyfv_FQ-iZXbMVHhk2Rm1o5I5eMzuDE36NSbeW9=w1200|https://lh3.google"&amp;"usercontent.com/pw/AP1GczPeX5SLJF2oaoZY-bP3AnTrpF1vnEYDZQg1Bh3VA13lBUV7Jzmsg72Ot07P918_yoFsz3WbgLG1oJHZrI0Q7IrUgH1pL_OOQl2vbiHbfSP5pBBzO_CJ=w1200|https://lh3.googleusercontent.com/pw/AP1GczN4IOVj_L_gwZ-hmDg1zrhzJOm_MiS-9VUKtsL-igG7jreh7duNKZXhLzFtuSMB70HJ"&amp;"GuPeqeBgZh7QALclfV0ZcIWn7_Zkhdojyo823t3LDH4EMZeZ=w1200|https://lh3.googleusercontent.com/pw/AP1GczPsmvmMpivacbzyHq4v00momOfHbOuimhR7nLpCu4aOmaYERLV2WQhvm4Iw01XvQWQ8-dB7hJf4l-SK9OhodP-ut38OtLCiotiAvLFA6O-cZoc-s8FB=w1200|https://lh3.googleusercontent.com/pw"&amp;"/AP1GczMariJ6ApljN1sMvDOySLslzqJViJ-RTuuIk7nayxJ1JlsE79nvn_BbIhFXC7kCzpsyHYMdbpp0vjob_TApN1uppPA_rNGrFcJxiL0i8vm1qO0WEc0R=w1200|https://lh3.googleusercontent.com/pw/AP1GczMTkrlkUoohV8i8DNxXWw1Ev_sQC1rcHD5UZtck6LIL4uEICerS7eIpxA6sueIzGeF-igHnoLjrGRn9hGnRHo"&amp;"Y-hqkeCdUdBjrwIGCNL6--6rvEYzv2=w1200|https://lh3.googleusercontent.com/pw/AP1GczMLg-cyT2nVP6zI1CQft7N47VQxqs7bnOboJ-_54qSS2hxC04RHiIjyfaTp3BoeNzbzi1skRA6yUgGrUTh0bYw2uRXlna1LJ_E62-qU05kM9qjIUy9C=w1200|https://lh3.googleusercontent.com/pw/AP1GczNSaNMH_ZMYn"&amp;"amV-1XTJf8lX10aIjbfo8IqsjwdldEfeurARQsYrBQtuf-UKKoIiPhDv0h0jcNu02o29jzeWCsexskBj58vnxAZ_EPaZR5gSWZy3s-O=w1200|https://lh3.googleusercontent.com/pw/AP1GczNVgCGh5vN0V35yao8QTkFI_M-ywO_Gv_1OsZJ6tCZLEWuObDwHLIzv9cbX2LgQS_-vn3fr0U7VAJpP_JKLkTupNFqsJmv_NVxpHs2I"&amp;"f6rtMq4xmTkb=w1200|https://lh3.googleusercontent.com/pw/AP1GczP3ToSuySzVYvuJZeuM4z1ERtw3u6VefvLhYVxpK3n5HaYSeca3kNYj-V3DxdUrKFSg_kcJ1w0DnC3CbRTPwpEFM32704reIcwgrBIhPLZJwQOmx0nD=w1200|https://lh3.googleusercontent.com/pw/AP1GczOgVxQgPIADR81g0VWk3E-ooH10IDB"&amp;"nRjty-mkFrGLvhO-9Dc2qjJnsp641zpM1yC3F0zqTYLy8hR0J6jIrGYR4g13Y8dXl3ekuUbZsnGBsIsuAOC1k=w1200|https://lh3.googleusercontent.com/pw/AP1GczM7DYD2bf7s70_49JVGoWd4WdoJwuTuxpOqnz3h2tmMoh82uIonuoGa2T3_WozYZswLNNJ0AG0AiZmMTP3UE0uYtpwWBdQROh2QyYQiX3qOGlSRgLEY=w1200"&amp;"|https://lh3.googleusercontent.com/pw/AP1GczMM5O-TzrfX2HbJS9h9t2uTGKV4LEYccALmKmZPYI9mOUz_UgBsX7hauXpPJ-KYuDQeyHl-XpjacPtLzLfU4lterfFR1lU36s2tChyhkgtrJCEli6iY=w1200|https://lh3.googleusercontent.com/pw/AP1GczOIPr_eAgAI3C9tF5yVRpc8bDpASUYz_6Qjgq1Kg6wWX0jye"&amp;"TLqZkN4cu6UjuJ1BKxo7-OCc5tMSWbcYqmYben25HvxDTl8CKFLDyb8LBE_FppNj_sK=w1200|https://lh3.googleusercontent.com/pw/AP1GczNRoyXGNOWlqdaS8ZztK0DAxxSFIFWCTznfMLPd_uiB-YU4t9kU8Z5DI88bUPKxNuU30IBjLRYlq_eNbjF64YREMu8q4qlfbFzpcRrwRckh7ra95htj=w1200|https://lh3.googl"&amp;"eusercontent.com/pw/AP1GczMLGi-WD7HI6RUCOkthgeHUuNHuBZ0JIobjy1jRsSZH2BAT3wQMULaNqWUV22jTNIOOBetWU0NzdnMKo8f_mUECqTp1VlEYXDhwrDrkB-21XZ1aExgA=w1200|https://lh3.googleusercontent.com/pw/AP1GczOytWsvQu3wkqEbD4hYCipedblkTXFv8FLJfvWGgUTIh873KSYuEgV58NNoavzTqSl"&amp;"FVN5su_hx6tNSDl0edmpbQRVFNO0LBzu_F1_gzS2RjLzPeE6l=w1200|https://lh3.googleusercontent.com/pw/AP1GczNsTSitJAV42j2t3q1ibxvB-hFsYthlaCPDc-BeyYuoE9NN-XufzE4MfgQ3HS92U_S2jrbZI8rCpdvIYrrvIO3jHwjM2iNu9sMLcXQibRZ78FF1QbZP=w1200|https://lh3.googleusercontent.com/p"&amp;"w/AP1GczPmDo-CtRtjCMRrVgoFpok9azszP-6tA-zFQCWoejrscjO9lcgjUgV6-SJWfgw-rOuze8z7ExPgLmyyEWziFDwtQQIhvFw2XHEsU5C_BuSbxyF7mwiq=w1200|https://lh3.googleusercontent.com/pw/AP1GczMMY1oR_Gw75eB8pNG_13F-hVOkrI2P32D_-WFtOoNKTM491k1AjnQB832CylQqJae6q_W8Csg1UARjj8Q7U"&amp;"A1USAnMpTwIueJOSOyVTULj5KZNBISz=w1200|https://lh3.googleusercontent.com/pw/AP1GczOZwrsuAWAIqcjSVb6DDRkJwz2MBitKA8ao3WDJI6LEnRCzxtpXG35mZ0uJbwZajBlzGN_dh4rv7A1A7GM5oYA3yjvRbmJQlGrZ1bRU4goEelevPWiy=w1200|https://lh3.googleusercontent.com/pw/AP1GczNYBAzfFOuj"&amp;"tVBWWbxEwzJFErqItUpEBhcOhZ6V21ianvSNj5CRFh-tXqgi9TrDbLAbvoLbkwYkm87gd2ufj-fMlgtS0JNasg74CJ422rZeyvPUVzdp=w1200|https://lh3.googleusercontent.com/pw/AP1GczP3nu-3rccyUjqf67bHoL2OgOQB8ODD99qhpU8idzz-qPEgx3TGHLBFZteLGvsSl0kfD6eD8kFdByYg0M3W3OV5FBKjCWvYVXmUakk"&amp;"MXG-1W7Ig8Sux=w1200|https://lh3.googleusercontent.com/pw/AP1GczN26v_DCVywqKFUk_VWvH1cHh5ZT0xEwM3AtzdOyKtioHUpiMJ_TDR2zs2WzzPRxt397FBjccFO6WhjFynUHk8aUrLcSlB632ALtk3TzWwKVyN5n1SB=w1200|https://lh3.googleusercontent.com/pw/AP1GczP8bC33OJYLmVyJUUumaWKwLzYkQW"&amp;"D5VhupvbwT25IV6Jpi11m2HoJhTCVA5B0QG__PzLQ2C3LV4hrJqLv1k2XCxaYrWJrk9idRVeTm0DYEM3LrvqU_=w1200|https://lh3.googleusercontent.com/pw/AP1GczMuEPGDMA0sHObxJwbVyrjudKPotzMWDlU96wFbAjKT2uopgGhLpdGUGZ2b4TiL2QljQe0WDTfeT4WCB0g9ZHE32bSuSz5UlrIYB-l4gbtzZDZMTCkZ=w120"&amp;"0|https://lh3.googleusercontent.com/pw/AP1GczOlNdzmKs4mDv6nalMnPxi9HbJYAMPb0BtJd0b70CI_liqLBeur7UJnURiY_PU9_LXazWDDDrm9Q6Du-WPpf5hAud2PZT0zKafgwR4AnhNqCmbA2ZnI=w1200|https://lh3.googleusercontent.com/pw/AP1GczOInAS13RQ9-HeoUNoMxtJQed8o311w0j-obdsRxCkt2HX3"&amp;"nWDXqDuKD2i1_lLSfmI-dq2x-7BY7DCgqtyPqNlWohEEtLp4HM7NMCK94u9qDMAhh058=w1200|https://lh3.googleusercontent.com/pw/AP1GczNSGAW6N5l7iJfnGH4swsP9B-8yL0BDcjUlN4u2YFeWw1GcLKXoemFTOx7xqfFM5jgwoqLpXzIT8R0jTgOtQrQcDCNx-SRo1sGMDwkjyez_ZzFhJ5Op=w1200|https://lh3.goog"&amp;"leusercontent.com/pw/AP1GczPNvCbxIyQUhdmDt4Egb-ntcRDZ-rXScZ2jfLBhZ2PC-vgmilsOWI97UKO7PxweycutnDr8AuSNNUi4kaGvnRQURfulfc1ep7q5ZhTfjoAmcBfhyx0O=w1200|https://lh3.googleusercontent.com/pw/AP1GczOvBZDO-5BbSLwzYPoHnSkHJ36zOzpDh2m0hHHgNJZZpWzuPYJCVRTfKvEXasfLI8"&amp;"vzmil6YaYUZBh89I4YwiQU1beqDEEFYiarTQfoIlqxHFiTtSnF=w1200|https://lh3.googleusercontent.com/pw/AP1GczMjWrs5mpD_nJSxV-Za88rMxxCQC16yBXW-yKN9Y7_pKR9GTEs8dm3T_9YSsINZkcAwGg4mMGS9Tcy7pYLcJt4tGYDwK22uv8V6rpa0aL90TJXSJeJY=w1200|https://lh3.googleusercontent.com/"&amp;"pw/AP1GczOI9Q6xPs0mETxDBbrDUeYCyeMgdvvnm7e9v764qu-ag6ciEihva_Vmj6ke6Y5_mJP2CxK_inCyQm9L0sQfo2BMuVLhaGuXctKVmCU3RQlRTPtU1XhU=w1200")</f>
        <v>https://lh3.googleusercontent.com/pw/AP1GczMQ-aKi6KFaIh2ozCfYb_N85NKB-1raXij6oM0d_26wDQfDu31f-X-605uxydauHnAoneJWAbWEtYsLPS-QPjmwP3XGGSKORsNJ-A-YVsQXi7WhcHEY=w1200|https://lh3.googleusercontent.com/pw/AP1GczNYn5P7ZTfuYqpi1p_-NTbF-LbVqO9wfGooTUlJgXJXI2eIryGthEERJjT_1kG23lZmyXFEMFaJZfTkiXmoOPVUP2ECClSMVzrfNxWdZeb5H8yUGKa5=w1200|https://lh3.googleusercontent.com/pw/AP1GczPYU_bB1VNsmcaFg-FW88GhkFwrilcMxY4yvNxluqvPnWWxuvoTy_Y2uUrRMSz5NZBSyDvQxmtEcZyfv_FQ-iZXbMVHhk2Rm1o5I5eMzuDE36NSbeW9=w1200|https://lh3.googleusercontent.com/pw/AP1GczPeX5SLJF2oaoZY-bP3AnTrpF1vnEYDZQg1Bh3VA13lBUV7Jzmsg72Ot07P918_yoFsz3WbgLG1oJHZrI0Q7IrUgH1pL_OOQl2vbiHbfSP5pBBzO_CJ=w1200|https://lh3.googleusercontent.com/pw/AP1GczN4IOVj_L_gwZ-hmDg1zrhzJOm_MiS-9VUKtsL-igG7jreh7duNKZXhLzFtuSMB70HJGuPeqeBgZh7QALclfV0ZcIWn7_Zkhdojyo823t3LDH4EMZeZ=w1200|https://lh3.googleusercontent.com/pw/AP1GczPsmvmMpivacbzyHq4v00momOfHbOuimhR7nLpCu4aOmaYERLV2WQhvm4Iw01XvQWQ8-dB7hJf4l-SK9OhodP-ut38OtLCiotiAvLFA6O-cZoc-s8FB=w1200|https://lh3.googleusercontent.com/pw/AP1GczMariJ6ApljN1sMvDOySLslzqJViJ-RTuuIk7nayxJ1JlsE79nvn_BbIhFXC7kCzpsyHYMdbpp0vjob_TApN1uppPA_rNGrFcJxiL0i8vm1qO0WEc0R=w1200|https://lh3.googleusercontent.com/pw/AP1GczMTkrlkUoohV8i8DNxXWw1Ev_sQC1rcHD5UZtck6LIL4uEICerS7eIpxA6sueIzGeF-igHnoLjrGRn9hGnRHoY-hqkeCdUdBjrwIGCNL6--6rvEYzv2=w1200|https://lh3.googleusercontent.com/pw/AP1GczMLg-cyT2nVP6zI1CQft7N47VQxqs7bnOboJ-_54qSS2hxC04RHiIjyfaTp3BoeNzbzi1skRA6yUgGrUTh0bYw2uRXlna1LJ_E62-qU05kM9qjIUy9C=w1200|https://lh3.googleusercontent.com/pw/AP1GczNSaNMH_ZMYnamV-1XTJf8lX10aIjbfo8IqsjwdldEfeurARQsYrBQtuf-UKKoIiPhDv0h0jcNu02o29jzeWCsexskBj58vnxAZ_EPaZR5gSWZy3s-O=w1200|https://lh3.googleusercontent.com/pw/AP1GczNVgCGh5vN0V35yao8QTkFI_M-ywO_Gv_1OsZJ6tCZLEWuObDwHLIzv9cbX2LgQS_-vn3fr0U7VAJpP_JKLkTupNFqsJmv_NVxpHs2If6rtMq4xmTkb=w1200|https://lh3.googleusercontent.com/pw/AP1GczP3ToSuySzVYvuJZeuM4z1ERtw3u6VefvLhYVxpK3n5HaYSeca3kNYj-V3DxdUrKFSg_kcJ1w0DnC3CbRTPwpEFM32704reIcwgrBIhPLZJwQOmx0nD=w1200|https://lh3.googleusercontent.com/pw/AP1GczOgVxQgPIADR81g0VWk3E-ooH10IDBnRjty-mkFrGLvhO-9Dc2qjJnsp641zpM1yC3F0zqTYLy8hR0J6jIrGYR4g13Y8dXl3ekuUbZsnGBsIsuAOC1k=w1200|https://lh3.googleusercontent.com/pw/AP1GczM7DYD2bf7s70_49JVGoWd4WdoJwuTuxpOqnz3h2tmMoh82uIonuoGa2T3_WozYZswLNNJ0AG0AiZmMTP3UE0uYtpwWBdQROh2QyYQiX3qOGlSRgLEY=w1200|https://lh3.googleusercontent.com/pw/AP1GczMM5O-TzrfX2HbJS9h9t2uTGKV4LEYccALmKmZPYI9mOUz_UgBsX7hauXpPJ-KYuDQeyHl-XpjacPtLzLfU4lterfFR1lU36s2tChyhkgtrJCEli6iY=w1200|https://lh3.googleusercontent.com/pw/AP1GczOIPr_eAgAI3C9tF5yVRpc8bDpASUYz_6Qjgq1Kg6wWX0jyeTLqZkN4cu6UjuJ1BKxo7-OCc5tMSWbcYqmYben25HvxDTl8CKFLDyb8LBE_FppNj_sK=w1200|https://lh3.googleusercontent.com/pw/AP1GczNRoyXGNOWlqdaS8ZztK0DAxxSFIFWCTznfMLPd_uiB-YU4t9kU8Z5DI88bUPKxNuU30IBjLRYlq_eNbjF64YREMu8q4qlfbFzpcRrwRckh7ra95htj=w1200|https://lh3.googleusercontent.com/pw/AP1GczMLGi-WD7HI6RUCOkthgeHUuNHuBZ0JIobjy1jRsSZH2BAT3wQMULaNqWUV22jTNIOOBetWU0NzdnMKo8f_mUECqTp1VlEYXDhwrDrkB-21XZ1aExgA=w1200|https://lh3.googleusercontent.com/pw/AP1GczOytWsvQu3wkqEbD4hYCipedblkTXFv8FLJfvWGgUTIh873KSYuEgV58NNoavzTqSlFVN5su_hx6tNSDl0edmpbQRVFNO0LBzu_F1_gzS2RjLzPeE6l=w1200|https://lh3.googleusercontent.com/pw/AP1GczNsTSitJAV42j2t3q1ibxvB-hFsYthlaCPDc-BeyYuoE9NN-XufzE4MfgQ3HS92U_S2jrbZI8rCpdvIYrrvIO3jHwjM2iNu9sMLcXQibRZ78FF1QbZP=w1200|https://lh3.googleusercontent.com/pw/AP1GczPmDo-CtRtjCMRrVgoFpok9azszP-6tA-zFQCWoejrscjO9lcgjUgV6-SJWfgw-rOuze8z7ExPgLmyyEWziFDwtQQIhvFw2XHEsU5C_BuSbxyF7mwiq=w1200|https://lh3.googleusercontent.com/pw/AP1GczMMY1oR_Gw75eB8pNG_13F-hVOkrI2P32D_-WFtOoNKTM491k1AjnQB832CylQqJae6q_W8Csg1UARjj8Q7UA1USAnMpTwIueJOSOyVTULj5KZNBISz=w1200|https://lh3.googleusercontent.com/pw/AP1GczOZwrsuAWAIqcjSVb6DDRkJwz2MBitKA8ao3WDJI6LEnRCzxtpXG35mZ0uJbwZajBlzGN_dh4rv7A1A7GM5oYA3yjvRbmJQlGrZ1bRU4goEelevPWiy=w1200|https://lh3.googleusercontent.com/pw/AP1GczNYBAzfFOujtVBWWbxEwzJFErqItUpEBhcOhZ6V21ianvSNj5CRFh-tXqgi9TrDbLAbvoLbkwYkm87gd2ufj-fMlgtS0JNasg74CJ422rZeyvPUVzdp=w1200|https://lh3.googleusercontent.com/pw/AP1GczP3nu-3rccyUjqf67bHoL2OgOQB8ODD99qhpU8idzz-qPEgx3TGHLBFZteLGvsSl0kfD6eD8kFdByYg0M3W3OV5FBKjCWvYVXmUakkMXG-1W7Ig8Sux=w1200|https://lh3.googleusercontent.com/pw/AP1GczN26v_DCVywqKFUk_VWvH1cHh5ZT0xEwM3AtzdOyKtioHUpiMJ_TDR2zs2WzzPRxt397FBjccFO6WhjFynUHk8aUrLcSlB632ALtk3TzWwKVyN5n1SB=w1200|https://lh3.googleusercontent.com/pw/AP1GczP8bC33OJYLmVyJUUumaWKwLzYkQWD5VhupvbwT25IV6Jpi11m2HoJhTCVA5B0QG__PzLQ2C3LV4hrJqLv1k2XCxaYrWJrk9idRVeTm0DYEM3LrvqU_=w1200|https://lh3.googleusercontent.com/pw/AP1GczMuEPGDMA0sHObxJwbVyrjudKPotzMWDlU96wFbAjKT2uopgGhLpdGUGZ2b4TiL2QljQe0WDTfeT4WCB0g9ZHE32bSuSz5UlrIYB-l4gbtzZDZMTCkZ=w1200|https://lh3.googleusercontent.com/pw/AP1GczOlNdzmKs4mDv6nalMnPxi9HbJYAMPb0BtJd0b70CI_liqLBeur7UJnURiY_PU9_LXazWDDDrm9Q6Du-WPpf5hAud2PZT0zKafgwR4AnhNqCmbA2ZnI=w1200|https://lh3.googleusercontent.com/pw/AP1GczOInAS13RQ9-HeoUNoMxtJQed8o311w0j-obdsRxCkt2HX3nWDXqDuKD2i1_lLSfmI-dq2x-7BY7DCgqtyPqNlWohEEtLp4HM7NMCK94u9qDMAhh058=w1200|https://lh3.googleusercontent.com/pw/AP1GczNSGAW6N5l7iJfnGH4swsP9B-8yL0BDcjUlN4u2YFeWw1GcLKXoemFTOx7xqfFM5jgwoqLpXzIT8R0jTgOtQrQcDCNx-SRo1sGMDwkjyez_ZzFhJ5Op=w1200|https://lh3.googleusercontent.com/pw/AP1GczPNvCbxIyQUhdmDt4Egb-ntcRDZ-rXScZ2jfLBhZ2PC-vgmilsOWI97UKO7PxweycutnDr8AuSNNUi4kaGvnRQURfulfc1ep7q5ZhTfjoAmcBfhyx0O=w1200|https://lh3.googleusercontent.com/pw/AP1GczOvBZDO-5BbSLwzYPoHnSkHJ36zOzpDh2m0hHHgNJZZpWzuPYJCVRTfKvEXasfLI8vzmil6YaYUZBh89I4YwiQU1beqDEEFYiarTQfoIlqxHFiTtSnF=w1200|https://lh3.googleusercontent.com/pw/AP1GczMjWrs5mpD_nJSxV-Za88rMxxCQC16yBXW-yKN9Y7_pKR9GTEs8dm3T_9YSsINZkcAwGg4mMGS9Tcy7pYLcJt4tGYDwK22uv8V6rpa0aL90TJXSJeJY=w1200|https://lh3.googleusercontent.com/pw/AP1GczOI9Q6xPs0mETxDBbrDUeYCyeMgdvvnm7e9v764qu-ag6ciEihva_Vmj6ke6Y5_mJP2CxK_inCyQm9L0sQfo2BMuVLhaGuXctKVmCU3RQlRTPtU1XhU=w1200</v>
      </c>
      <c r="AJ157" s="46"/>
      <c r="AK157" s="46"/>
      <c r="AL157" s="46"/>
      <c r="AM157" s="46"/>
      <c r="AN157" s="46"/>
      <c r="AO157" s="46"/>
      <c r="AP157" s="46"/>
      <c r="AQ157" s="46"/>
      <c r="AR157" s="46"/>
      <c r="AS157" s="46"/>
      <c r="AT157" s="46"/>
      <c r="AU157" s="46"/>
      <c r="AV157" s="46"/>
      <c r="AW157" s="46"/>
      <c r="AX157" s="46"/>
      <c r="AY157" s="46"/>
      <c r="AZ157" s="46"/>
      <c r="BA157" s="46"/>
      <c r="BB157" s="46"/>
      <c r="BC157" s="46"/>
      <c r="BD157" s="46"/>
      <c r="BE157" s="46"/>
      <c r="BF157" s="46"/>
      <c r="BG157" s="46"/>
      <c r="BH157" s="46"/>
      <c r="BI157" s="46"/>
      <c r="BJ157" s="46"/>
      <c r="BK157" s="46"/>
      <c r="BL157" s="46"/>
      <c r="BM157" s="46"/>
      <c r="BN157" s="46"/>
      <c r="BO157" s="46"/>
      <c r="BP157" s="46"/>
      <c r="BQ157" s="46"/>
      <c r="BR157" s="46"/>
      <c r="BS157" s="46"/>
      <c r="BT157" s="46"/>
      <c r="BU157" s="46"/>
      <c r="BV157" s="46"/>
      <c r="BW157" s="46"/>
      <c r="BX157" s="46"/>
      <c r="BY157" s="46"/>
      <c r="BZ157" s="46"/>
      <c r="CA157" s="46"/>
      <c r="CB157" s="46"/>
      <c r="CC157" s="46"/>
    </row>
    <row r="158">
      <c r="A158" s="87" t="str">
        <f>IFERROR(__xludf.DUMMYFUNCTION("""COMPUTED_VALUE"""),"252")</f>
        <v>252</v>
      </c>
      <c r="B158" s="46" t="str">
        <f>IFERROR(__xludf.DUMMYFUNCTION("""COMPUTED_VALUE"""),"Casa Rentable en barrio Altico (IPS)")</f>
        <v>Casa Rentable en barrio Altico (IPS)</v>
      </c>
      <c r="C158" s="46" t="str">
        <f>IFERROR(__xludf.DUMMYFUNCTION("""COMPUTED_VALUE"""),"Casa rentable")</f>
        <v>Casa rentable</v>
      </c>
      <c r="D158" s="46" t="str">
        <f>IFERROR(__xludf.DUMMYFUNCTION("""COMPUTED_VALUE"""),"El Altico")</f>
        <v>El Altico</v>
      </c>
      <c r="E158" s="90" t="str">
        <f>IFERROR(__xludf.DUMMYFUNCTION("""COMPUTED_VALUE""")," ")</f>
        <v> </v>
      </c>
      <c r="F158" s="90">
        <f>IFERROR(__xludf.DUMMYFUNCTION("""COMPUTED_VALUE"""),6.7E8)</f>
        <v>670000000</v>
      </c>
      <c r="G158" s="46" t="str">
        <f>IFERROR(__xludf.DUMMYFUNCTION("""COMPUTED_VALUE"""),"$500'000.000 a $1.000'000.000")</f>
        <v>$500'000.000 a $1.000'000.000</v>
      </c>
      <c r="H158" s="46"/>
      <c r="I158" s="46"/>
      <c r="J158" s="46" t="str">
        <f>IFERROR(__xludf.DUMMYFUNCTION("""COMPUTED_VALUE"""),"Centro")</f>
        <v>Centro</v>
      </c>
      <c r="K158" s="87"/>
      <c r="L158" s="46">
        <f>IFERROR(__xludf.DUMMYFUNCTION("""COMPUTED_VALUE"""),4.0)</f>
        <v>4</v>
      </c>
      <c r="M158" s="46"/>
      <c r="N158" s="46">
        <f>IFERROR(__xludf.DUMMYFUNCTION("""COMPUTED_VALUE"""),5.0)</f>
        <v>5</v>
      </c>
      <c r="O158" s="46">
        <f>IFERROR(__xludf.DUMMYFUNCTION("""COMPUTED_VALUE"""),4.0)</f>
        <v>4</v>
      </c>
      <c r="P158" s="46">
        <f>IFERROR(__xludf.DUMMYFUNCTION("""COMPUTED_VALUE"""),2.0)</f>
        <v>2</v>
      </c>
      <c r="Q158" s="92">
        <f>IFERROR(__xludf.DUMMYFUNCTION("""COMPUTED_VALUE"""),344.0)</f>
        <v>344</v>
      </c>
      <c r="R158" s="92">
        <f>IFERROR(__xludf.DUMMYFUNCTION("""COMPUTED_VALUE"""),344.0)</f>
        <v>344</v>
      </c>
      <c r="S158" s="87" t="str">
        <f>IFERROR(__xludf.DUMMYFUNCTION("""COMPUTED_VALUE"""),"Rentabilidad $3,500,000")</f>
        <v>Rentabilidad $3,500,000</v>
      </c>
      <c r="T158" s="46" t="str">
        <f>IFERROR(__xludf.DUMMYFUNCTION("""COMPUTED_VALUE"""),"Neiva")</f>
        <v>Neiva</v>
      </c>
      <c r="U158" s="87" t="str">
        <f>IFERROR(__xludf.DUMMYFUNCTION("""COMPUTED_VALUE"""),"3")</f>
        <v>3</v>
      </c>
      <c r="V158" s="46" t="str">
        <f>IFERROR(__xludf.DUMMYFUNCTION("""COMPUTED_VALUE"""),"Esquinera")</f>
        <v>Esquinera</v>
      </c>
      <c r="W158" s="46"/>
      <c r="X158" s="46">
        <f>IFERROR(__xludf.DUMMYFUNCTION("""COMPUTED_VALUE"""),4.0)</f>
        <v>4</v>
      </c>
      <c r="Y158" s="46" t="str">
        <f>IFERROR(__xludf.DUMMYFUNCTION("""COMPUTED_VALUE"""),"No tiene")</f>
        <v>No tiene</v>
      </c>
      <c r="Z158" s="90" t="str">
        <f>IFERROR(__xludf.DUMMYFUNCTION("""COMPUTED_VALUE"""),"No aplica")</f>
        <v>No aplica</v>
      </c>
      <c r="AA158" s="33" t="str">
        <f>IFERROR(__xludf.DUMMYFUNCTION("""COMPUTED_VALUE"""),"16 años")</f>
        <v>16 años</v>
      </c>
      <c r="AB158" s="96" t="str">
        <f>IFERROR(__xludf.DUMMYFUNCTION("""COMPUTED_VALUE"""),"https://photos.app.goo.gl/gj6DoSUnMU6s2xGcA")</f>
        <v>https://photos.app.goo.gl/gj6DoSUnMU6s2xGcA</v>
      </c>
      <c r="AC158" s="46"/>
      <c r="AD158" s="46" t="str">
        <f>IFERROR(__xludf.DUMMYFUNCTION("""COMPUTED_VALUE"""),"Casa amplia, ventilada e ilumina,  ubicada sobre vía principal  carrera 15. Con buenos acabados, ideal para oficina. Escritura al día.")</f>
        <v>Casa amplia, ventilada e ilumina,  ubicada sobre vía principal  carrera 15. Con buenos acabados, ideal para oficina. Escritura al día.</v>
      </c>
      <c r="AE158" s="46"/>
      <c r="AF158" s="46" t="str">
        <f>IFERROR(__xludf.DUMMYFUNCTION("""COMPUTED_VALUE"""),"integral")</f>
        <v>integral</v>
      </c>
      <c r="AG158" s="46"/>
      <c r="AH158" s="46" t="str">
        <f>IFERROR(__xludf.DUMMYFUNCTION("""COMPUTED_VALUE"""),"Aliado")</f>
        <v>Aliado</v>
      </c>
      <c r="AI158" s="92" t="str">
        <f>IFERROR(__xludf.DUMMYFUNCTION("""COMPUTED_VALUE"""),"https://lh3.googleusercontent.com/pw/AP1GczOq9JymTZZalP7fQ_c1n3y-2GlkkvNP85Ep4j8KZPSx2qYXa-pdwAidwitos-ZNfxbpp3yO7AQzXdhYHEXaHaFlUphIhOAWdw7EnPk0m9ZH0vkT5eTX=w1200|https://lh3.googleusercontent.com/pw/AP1GczOCmZqMWmdEpE1u9__y-3gklJwNRQTMxirPuKBY3HiFfwaQm0"&amp;"ikTMGKfrSQ9QU3pmtuTy7IuU18GIr9pibHIkqrvlF9KX0L0MoXJEWmqKLO6q4hqDEk=w1200|https://lh3.googleusercontent.com/pw/AP1GczPDsgJNSPR2mJoYBJAbQ4Fqt9P8AhM7hfCMcdcUPjI_xqyKttipqh1vMiqcceHrCqNtstKzayvldfltxkIbe4vj0gcJM-TPmaONo-D8mydtr-hh-Oe2=w1200|https://lh3.google"&amp;"usercontent.com/pw/AP1GczNKlsdywup3KvG3R68q6AzlrnXFF8HC6e20qc1Tj7wkIyvS9PhdDQcBV5a8O73-oNc2zaZ4mERtw3znmHvOIVyKzXpXglzWYJ42zy3ze2my6mdKvK20=w1200|https://lh3.googleusercontent.com/pw/AP1GczPv_hdapwQ7AfvHMAF8ZftcNSbdkLFVnQBxobDeEvUbpyyicedZwUxN4plvGH5Aju-i"&amp;"ag1uSdyc6BaZo0Bt5i3exfDR20XJP2WxJY-242sRGzBuEkca=w1200|https://lh3.googleusercontent.com/pw/AP1GczMmr0Zfp17o8E_9LbcPrYCh7tZ2TwWYk31Z_yKXrHpNoROzAmd-WwRLTfDjqmUdsWQIbq_SaWdS25J_VUxrbZBleLpLTGBiu5UdfgvjwH2CVXKEcZRI=w1200|https://lh3.googleusercontent.com/pw"&amp;"/AP1GczOUva9orWXIyrLA3M-d4diaS-pTcrxdpisThGBjrfsL0nNgNeczTGIBZ_wkE8SeJVNw3qTdVmJGpvgT2LI7XduUevthD5w5rs_WCst_awSvBaf_Z2RG=w1200|https://lh3.googleusercontent.com/pw/AP1GczMcsG93jqO-2oTKhDgPpUROeUogvxU1ESsEHlpFqND_mjSm7KFGXxSds1lU7pvEI7C0tZauXpVBXEQgwtdLXg"&amp;"783XbEqem_WulUD9OcjXBkq7IZ_c7r=w1200|https://lh3.googleusercontent.com/pw/AP1GczPNqW2n6jCqQVjwPOhvXzWKQcZzABLiNkMnvZZ19kWI8cfh45hld4W6n4TSCZhT1CpbKW2GVTx7IMGul6acRakU3ora8ghHmQsTjdZl-aHPkjQQ4WdJ=w1200|https://lh3.googleusercontent.com/pw/AP1GczMYxj6TT4_aj"&amp;"bQCOXPrK8lI7sPExmMeYHroWOAhP2vz1dRNWvSUfzrOWFytZFu5wehbp_GVpirwOSziGATcPKrr7D8FMKdOOv94mw8UQmKU6yIb6Dtu=w1200")</f>
        <v>https://lh3.googleusercontent.com/pw/AP1GczOq9JymTZZalP7fQ_c1n3y-2GlkkvNP85Ep4j8KZPSx2qYXa-pdwAidwitos-ZNfxbpp3yO7AQzXdhYHEXaHaFlUphIhOAWdw7EnPk0m9ZH0vkT5eTX=w1200|https://lh3.googleusercontent.com/pw/AP1GczOCmZqMWmdEpE1u9__y-3gklJwNRQTMxirPuKBY3HiFfwaQm0ikTMGKfrSQ9QU3pmtuTy7IuU18GIr9pibHIkqrvlF9KX0L0MoXJEWmqKLO6q4hqDEk=w1200|https://lh3.googleusercontent.com/pw/AP1GczPDsgJNSPR2mJoYBJAbQ4Fqt9P8AhM7hfCMcdcUPjI_xqyKttipqh1vMiqcceHrCqNtstKzayvldfltxkIbe4vj0gcJM-TPmaONo-D8mydtr-hh-Oe2=w1200|https://lh3.googleusercontent.com/pw/AP1GczNKlsdywup3KvG3R68q6AzlrnXFF8HC6e20qc1Tj7wkIyvS9PhdDQcBV5a8O73-oNc2zaZ4mERtw3znmHvOIVyKzXpXglzWYJ42zy3ze2my6mdKvK20=w1200|https://lh3.googleusercontent.com/pw/AP1GczPv_hdapwQ7AfvHMAF8ZftcNSbdkLFVnQBxobDeEvUbpyyicedZwUxN4plvGH5Aju-iag1uSdyc6BaZo0Bt5i3exfDR20XJP2WxJY-242sRGzBuEkca=w1200|https://lh3.googleusercontent.com/pw/AP1GczMmr0Zfp17o8E_9LbcPrYCh7tZ2TwWYk31Z_yKXrHpNoROzAmd-WwRLTfDjqmUdsWQIbq_SaWdS25J_VUxrbZBleLpLTGBiu5UdfgvjwH2CVXKEcZRI=w1200|https://lh3.googleusercontent.com/pw/AP1GczOUva9orWXIyrLA3M-d4diaS-pTcrxdpisThGBjrfsL0nNgNeczTGIBZ_wkE8SeJVNw3qTdVmJGpvgT2LI7XduUevthD5w5rs_WCst_awSvBaf_Z2RG=w1200|https://lh3.googleusercontent.com/pw/AP1GczMcsG93jqO-2oTKhDgPpUROeUogvxU1ESsEHlpFqND_mjSm7KFGXxSds1lU7pvEI7C0tZauXpVBXEQgwtdLXg783XbEqem_WulUD9OcjXBkq7IZ_c7r=w1200|https://lh3.googleusercontent.com/pw/AP1GczPNqW2n6jCqQVjwPOhvXzWKQcZzABLiNkMnvZZ19kWI8cfh45hld4W6n4TSCZhT1CpbKW2GVTx7IMGul6acRakU3ora8ghHmQsTjdZl-aHPkjQQ4WdJ=w1200|https://lh3.googleusercontent.com/pw/AP1GczMYxj6TT4_ajbQCOXPrK8lI7sPExmMeYHroWOAhP2vz1dRNWvSUfzrOWFytZFu5wehbp_GVpirwOSziGATcPKrr7D8FMKdOOv94mw8UQmKU6yIb6Dtu=w1200</v>
      </c>
      <c r="AJ158" s="46"/>
      <c r="AK158" s="46"/>
      <c r="AL158" s="46"/>
      <c r="AM158" s="46"/>
      <c r="AN158" s="46"/>
      <c r="AO158" s="46"/>
      <c r="AP158" s="46"/>
      <c r="AQ158" s="46"/>
      <c r="AR158" s="46"/>
      <c r="AS158" s="46"/>
      <c r="AT158" s="46"/>
      <c r="AU158" s="46"/>
      <c r="AV158" s="46"/>
      <c r="AW158" s="46"/>
      <c r="AX158" s="46"/>
      <c r="AY158" s="46"/>
      <c r="AZ158" s="46"/>
      <c r="BA158" s="46"/>
      <c r="BB158" s="46"/>
      <c r="BC158" s="46"/>
      <c r="BD158" s="46"/>
      <c r="BE158" s="46"/>
      <c r="BF158" s="46"/>
      <c r="BG158" s="46"/>
      <c r="BH158" s="46"/>
      <c r="BI158" s="46"/>
      <c r="BJ158" s="46"/>
      <c r="BK158" s="46"/>
      <c r="BL158" s="46"/>
      <c r="BM158" s="46"/>
      <c r="BN158" s="46"/>
      <c r="BO158" s="46"/>
      <c r="BP158" s="46"/>
      <c r="BQ158" s="46"/>
      <c r="BR158" s="46"/>
      <c r="BS158" s="46"/>
      <c r="BT158" s="46"/>
      <c r="BU158" s="46"/>
      <c r="BV158" s="46"/>
      <c r="BW158" s="46"/>
      <c r="BX158" s="46"/>
      <c r="BY158" s="46"/>
      <c r="BZ158" s="46"/>
      <c r="CA158" s="46"/>
      <c r="CB158" s="46"/>
      <c r="CC158" s="46"/>
    </row>
    <row r="159">
      <c r="A159" s="87" t="str">
        <f>IFERROR(__xludf.DUMMYFUNCTION("""COMPUTED_VALUE"""),"472")</f>
        <v>472</v>
      </c>
      <c r="B159" s="46" t="str">
        <f>IFERROR(__xludf.DUMMYFUNCTION("""COMPUTED_VALUE"""),"Casa campestre en Rivera - Vda El Viso")</f>
        <v>Casa campestre en Rivera - Vda El Viso</v>
      </c>
      <c r="C159" s="46" t="str">
        <f>IFERROR(__xludf.DUMMYFUNCTION("""COMPUTED_VALUE"""),"Casa campestre")</f>
        <v>Casa campestre</v>
      </c>
      <c r="D159" s="46"/>
      <c r="E159" s="46"/>
      <c r="F159" s="90">
        <f>IFERROR(__xludf.DUMMYFUNCTION("""COMPUTED_VALUE"""),8.0E8)</f>
        <v>800000000</v>
      </c>
      <c r="G159" s="46" t="str">
        <f>IFERROR(__xludf.DUMMYFUNCTION("""COMPUTED_VALUE"""),"$500'000.000 a $1.000'000.000")</f>
        <v>$500'000.000 a $1.000'000.000</v>
      </c>
      <c r="H159" s="46"/>
      <c r="I159" s="46"/>
      <c r="J159" s="46" t="str">
        <f>IFERROR(__xludf.DUMMYFUNCTION("""COMPUTED_VALUE"""),"Sur")</f>
        <v>Sur</v>
      </c>
      <c r="K159" s="87" t="str">
        <f>IFERROR(__xludf.DUMMYFUNCTION("""COMPUTED_VALUE"""),"0")</f>
        <v>0</v>
      </c>
      <c r="L159" s="46">
        <f>IFERROR(__xludf.DUMMYFUNCTION("""COMPUTED_VALUE"""),4.0)</f>
        <v>4</v>
      </c>
      <c r="M159" s="46"/>
      <c r="N159" s="46">
        <f>IFERROR(__xludf.DUMMYFUNCTION("""COMPUTED_VALUE"""),3.0)</f>
        <v>3</v>
      </c>
      <c r="O159" s="46">
        <f>IFERROR(__xludf.DUMMYFUNCTION("""COMPUTED_VALUE"""),1.0)</f>
        <v>1</v>
      </c>
      <c r="P159" s="46">
        <f>IFERROR(__xludf.DUMMYFUNCTION("""COMPUTED_VALUE"""),2.0)</f>
        <v>2</v>
      </c>
      <c r="Q159" s="92">
        <f>IFERROR(__xludf.DUMMYFUNCTION("""COMPUTED_VALUE"""),300.0)</f>
        <v>300</v>
      </c>
      <c r="R159" s="92">
        <f>IFERROR(__xludf.DUMMYFUNCTION("""COMPUTED_VALUE"""),10000.0)</f>
        <v>10000</v>
      </c>
      <c r="S159" s="87" t="str">
        <f>IFERROR(__xludf.DUMMYFUNCTION("""COMPUTED_VALUE""")," ")</f>
        <v> </v>
      </c>
      <c r="T159" s="46" t="str">
        <f>IFERROR(__xludf.DUMMYFUNCTION("""COMPUTED_VALUE"""),"Rivera")</f>
        <v>Rivera</v>
      </c>
      <c r="U159" s="87"/>
      <c r="V159" s="46"/>
      <c r="W159" s="46"/>
      <c r="X159" s="46">
        <f>IFERROR(__xludf.DUMMYFUNCTION("""COMPUTED_VALUE"""),2.0)</f>
        <v>2</v>
      </c>
      <c r="Y159" s="46" t="str">
        <f>IFERROR(__xludf.DUMMYFUNCTION("""COMPUTED_VALUE"""),"Privada")</f>
        <v>Privada</v>
      </c>
      <c r="Z159" s="90" t="str">
        <f>IFERROR(__xludf.DUMMYFUNCTION("""COMPUTED_VALUE"""),"No aplica")</f>
        <v>No aplica</v>
      </c>
      <c r="AA159" s="33" t="str">
        <f>IFERROR(__xludf.DUMMYFUNCTION("""COMPUTED_VALUE"""),"No aplica")</f>
        <v>No aplica</v>
      </c>
      <c r="AB159" s="144" t="str">
        <f>IFERROR(__xludf.DUMMYFUNCTION("""COMPUTED_VALUE"""),"https://photos.app.goo.gl/DjZqiejUSF8iRayE8")</f>
        <v>https://photos.app.goo.gl/DjZqiejUSF8iRayE8</v>
      </c>
      <c r="AC159" s="46"/>
      <c r="AD159" s="46" t="str">
        <f>IFERROR(__xludf.DUMMYFUNCTION("""COMPUTED_VALUE"""),"Casa campestre, ubicada en la vereda El viso, municipio de Rivera. Cuenta con piscina privada. Buenos acabados, ladrillo a la vista, piso en tablón rojo y granito pulido, otras áreas con cerámica, Cubierta en teja de zinc, con perfil metálico. Hermosos ja"&amp;"rdines y árboles frutales.  Escritura al día.")</f>
        <v>Casa campestre, ubicada en la vereda El viso, municipio de Rivera. Cuenta con piscina privada. Buenos acabados, ladrillo a la vista, piso en tablón rojo y granito pulido, otras áreas con cerámica, Cubierta en teja de zinc, con perfil metálico. Hermosos jardines y árboles frutales.  Escritura al día.</v>
      </c>
      <c r="AE159" s="46"/>
      <c r="AF159" s="46" t="str">
        <f>IFERROR(__xludf.DUMMYFUNCTION("""COMPUTED_VALUE"""),"integral")</f>
        <v>integral</v>
      </c>
      <c r="AG159" s="46"/>
      <c r="AH159" s="46" t="str">
        <f>IFERROR(__xludf.DUMMYFUNCTION("""COMPUTED_VALUE"""),"Aliado")</f>
        <v>Aliado</v>
      </c>
      <c r="AI159" s="92" t="str">
        <f>IFERROR(__xludf.DUMMYFUNCTION("""COMPUTED_VALUE"""),"https://lh3.googleusercontent.com/pw/AP1GczOj-uMV0iKP1drfbmT3AidMJniwBPR3IT0jC1A3qgpVXN3bY409dCLU4qI97Q-2F7dgQDUPqIIlMn51XNC-3nKGzpODfM7VTT36zNiVQ-Yvngm1utcl=w1200|https://lh3.googleusercontent.com/pw/AP1GczPbnwM4on0dahW3a1flwPyET1zTumZEnlbtuK_fXATtRglmuQ"&amp;"C7oNz2DdvdKMpMJMeixL_gFNqOuXAfgj3-4hq32pgGRrNKGd68JK319diCNulxdlum=w1200|https://lh3.googleusercontent.com/pw/AP1GczPtMHPXN6AZaoxMDSdy2-o__Z4gPDs0USSoAtyDqmq6J8joMmnQVhHf1tNb2UZKVoYlEmZOnFGyiL_eZ34jMnlSFVCB-NNOwdDDm0ePd4W0l5ef9RHe=w1200|https://lh3.google"&amp;"usercontent.com/pw/AP1GczOke67N0gzdvKKqobQhT4-8r3-4i_9ZvTS0pA67P3xEXpY1_emecqVnLzae6f-5hPcNQS68PgCl401OP0ZXaO46e_1ej1piwHJvMgt4VR39AnaO6bYZ=w1200|https://lh3.googleusercontent.com/pw/AP1GczO4e3IjSN_VXZf4OAjYMUsmfk4QgbfVjOgStnCBn18EtAAmor4XZjY8m20uZGnwgyuR"&amp;"_yeWUCvxFEwJfFzkTtsryJqVis7EySrm3fTz77EghK7IUzeM=w1200|https://lh3.googleusercontent.com/pw/AP1GczNTk7DBBDu-WR3G3ViG0bCTNFi-P51YPU98zwBvo8Iemk7teV_72QjAGJRFvOKydkzZiaR7uYYgio0AfRP1vgLGFLJVDj7lG-SJVjeVuM2U5o_8SfMs=w1200|https://lh3.googleusercontent.com/pw"&amp;"/AP1GczMCeAXTp_f5AJT97bw82tO2AaPP4LEp6RjfAnnZixDgEf54BTA4jbGTVcKoGb8TKurg_WNSs2Q7s9Fp1EGht73UUBN8MTHNJQFsWbyrN-6gFrcYfL5c=w1200|https://lh3.googleusercontent.com/pw/AP1GczO0a6IyM21cR7Fq9fbc_O9I6Wd_y_ueuX3906FEAZmj1vntxeK_o8m8GC8byMEWnqeHiCvmJhQE9by6bWaVYp"&amp;"hpcDivxrstEyKxOMv8LUy9LQFEdvkp=w1200|https://lh3.googleusercontent.com/pw/AP1GczNv7uMseV0x1-UY7bjAUdi44kD7LXro-OaobdhDZNov5UONvsChi9a3o7YgyOoPPXMlmwVkD2ZjMrcEeov6LO0Vd8X-ZNfSUObZ1j6EaEKLiMF6nEGM=w1200|https://lh3.googleusercontent.com/pw/AP1GczPrnlWhzGsAJ"&amp;"oh6H_NocwacGQf2bSg9ZZKebDCjulNuIe96gMBCBN-iF-kBEN2O16TL8ucdvyPLXAif1oZ_mpuNzQ4Z_hU2xEwoePlXa-A4hZyM2_MT=w1200|https://lh3.googleusercontent.com/pw/AP1GczMw-pXg9o_FlwFGpU_CZ68Y1iCZoPykz8hfu65HPKxIYAEOKPY3Njzww0x597cSVZQNx411pVUBIsuFIKYs7I9cvKN1WgLZcGmvSGqr"&amp;"bQHXbPQ1Wws8=w1200|https://lh3.googleusercontent.com/pw/AP1GczN9TJ5CSEiwloKqDW2e8PS3_m8zoR2DCm-ozndMG-W0pscnbkoIWBYNCjvz2Yh2QeOsA7doDZVDRZ1e4_H6Asfoex8iOM__M25kxmbHWXZ9UeRj6cBZ=w1200|https://lh3.googleusercontent.com/pw/AP1GczPMH7FWedlbM0naB980GbAAcVjz4zl"&amp;"KDy3PuMgnKUpdz37LhhQ0XUdTyc1zSjYVbf1FFjJZOhncSFjCRTyle1GlW2V37ZRjWpliQR9JVq0LWWn71fMZ=w1200|https://lh3.googleusercontent.com/pw/AP1GczNP7oq3rghXMiHYcG53elXsLu6fwWsBQBbN80ANSKkqn6pRZ2e5l8j6M9JwlPgcJ74YhTSvDh1l5oQIBGFpEgofDD-WNdkhwZ2pOBoxiP-ZheLfzuFM=w1200"&amp;"|https://lh3.googleusercontent.com/pw/AP1GczN4m-ZXC-wSER9B4YyyJJQSZv6iA0tm9F4QIqUx36K-dfRPcE1UQour5R1LYpkV2MiW5hsSWGB_BK2Zt2pWDg9DjzgSP8aTQTDsOZAc1ixw244dbmi2=w1200|https://lh3.googleusercontent.com/pw/AP1GczOJLyQSiu55M4S0xkLsbAldmZpjB2duSHuuzy3HE2DJPBRYY"&amp;"bDZWMvYLwZaZNMszs_d7H7GgzHIfy7JOX3AAjp8YXxZbjW4gHabqdj5c8nZD80vYRhP=w1200|https://lh3.googleusercontent.com/pw/AP1GczN6LH8yP8aVN7_MFk1pG23ftpmRj-T84SQufp0pnMUhGUVd9qWDHyD5HA8qsp29NecPBJxYmMoqKQvLRdpDJ9b7fhM6BGoqILPu-AKSt8pDj0390kL3=w1200|https://lh3.googl"&amp;"eusercontent.com/pw/AP1GczNv7AzvTuga9C-M2oRadMAVsWEC_E0_KO2eFnIqjCRMI6dbggoZPELf43IArraUxPw_MeK9W0SER6KpDrLU2qX1rYoejdHnQIGC0ynkVWSm8_f_Rp4R=w1200|https://lh3.googleusercontent.com/pw/AP1GczPA2CADXY7MAY-aeeR9ToJyvJTy6ex8Y5NwlHsOxDEImiJ25c6pMJr8MU4wljJRu-9"&amp;"LJ0cRfoTYaZre7WJjZHdd_IrnewkGKeUDTCcoD4ZN1iWB5S_P=w1200|https://lh3.googleusercontent.com/pw/AP1GczNNnSrNKKI-ZA8vK_NKLoguPRAMSwAtwySu1C6fywjVnZYV8NiXAM0PeO5evuIN7NbbkqLruBCtLz84T5G8Aadz--_r-2YT12HtRqI0Pjd9jROJfzpk=w1200|https://lh3.googleusercontent.com/p"&amp;"w/AP1GczNw3VxHTrJ9ii5PSfC9qUQdoXbOa4u-BikpIPNvMbjqsMD0l2TCxNt6FCTAHcy0DPGcZzD7yAYoZ9G3VIde31ihJ4fqamp6oJO64OAGzXAia5OiRHhY=w1200|https://lh3.googleusercontent.com/pw/AP1GczO1pQlh9PX2h8Vs4YFExWRw7nEkoheaiWmri1mQPn3xJPR2vS0Cvn5YxK4UujMaZ_qiqxXS4sXaMT292t1FP"&amp;"jZMXEz8qSFWuXgUdRnI4L1oE9pZmJt5=w1200")</f>
        <v>https://lh3.googleusercontent.com/pw/AP1GczOj-uMV0iKP1drfbmT3AidMJniwBPR3IT0jC1A3qgpVXN3bY409dCLU4qI97Q-2F7dgQDUPqIIlMn51XNC-3nKGzpODfM7VTT36zNiVQ-Yvngm1utcl=w1200|https://lh3.googleusercontent.com/pw/AP1GczPbnwM4on0dahW3a1flwPyET1zTumZEnlbtuK_fXATtRglmuQC7oNz2DdvdKMpMJMeixL_gFNqOuXAfgj3-4hq32pgGRrNKGd68JK319diCNulxdlum=w1200|https://lh3.googleusercontent.com/pw/AP1GczPtMHPXN6AZaoxMDSdy2-o__Z4gPDs0USSoAtyDqmq6J8joMmnQVhHf1tNb2UZKVoYlEmZOnFGyiL_eZ34jMnlSFVCB-NNOwdDDm0ePd4W0l5ef9RHe=w1200|https://lh3.googleusercontent.com/pw/AP1GczOke67N0gzdvKKqobQhT4-8r3-4i_9ZvTS0pA67P3xEXpY1_emecqVnLzae6f-5hPcNQS68PgCl401OP0ZXaO46e_1ej1piwHJvMgt4VR39AnaO6bYZ=w1200|https://lh3.googleusercontent.com/pw/AP1GczO4e3IjSN_VXZf4OAjYMUsmfk4QgbfVjOgStnCBn18EtAAmor4XZjY8m20uZGnwgyuR_yeWUCvxFEwJfFzkTtsryJqVis7EySrm3fTz77EghK7IUzeM=w1200|https://lh3.googleusercontent.com/pw/AP1GczNTk7DBBDu-WR3G3ViG0bCTNFi-P51YPU98zwBvo8Iemk7teV_72QjAGJRFvOKydkzZiaR7uYYgio0AfRP1vgLGFLJVDj7lG-SJVjeVuM2U5o_8SfMs=w1200|https://lh3.googleusercontent.com/pw/AP1GczMCeAXTp_f5AJT97bw82tO2AaPP4LEp6RjfAnnZixDgEf54BTA4jbGTVcKoGb8TKurg_WNSs2Q7s9Fp1EGht73UUBN8MTHNJQFsWbyrN-6gFrcYfL5c=w1200|https://lh3.googleusercontent.com/pw/AP1GczO0a6IyM21cR7Fq9fbc_O9I6Wd_y_ueuX3906FEAZmj1vntxeK_o8m8GC8byMEWnqeHiCvmJhQE9by6bWaVYphpcDivxrstEyKxOMv8LUy9LQFEdvkp=w1200|https://lh3.googleusercontent.com/pw/AP1GczNv7uMseV0x1-UY7bjAUdi44kD7LXro-OaobdhDZNov5UONvsChi9a3o7YgyOoPPXMlmwVkD2ZjMrcEeov6LO0Vd8X-ZNfSUObZ1j6EaEKLiMF6nEGM=w1200|https://lh3.googleusercontent.com/pw/AP1GczPrnlWhzGsAJoh6H_NocwacGQf2bSg9ZZKebDCjulNuIe96gMBCBN-iF-kBEN2O16TL8ucdvyPLXAif1oZ_mpuNzQ4Z_hU2xEwoePlXa-A4hZyM2_MT=w1200|https://lh3.googleusercontent.com/pw/AP1GczMw-pXg9o_FlwFGpU_CZ68Y1iCZoPykz8hfu65HPKxIYAEOKPY3Njzww0x597cSVZQNx411pVUBIsuFIKYs7I9cvKN1WgLZcGmvSGqrbQHXbPQ1Wws8=w1200|https://lh3.googleusercontent.com/pw/AP1GczN9TJ5CSEiwloKqDW2e8PS3_m8zoR2DCm-ozndMG-W0pscnbkoIWBYNCjvz2Yh2QeOsA7doDZVDRZ1e4_H6Asfoex8iOM__M25kxmbHWXZ9UeRj6cBZ=w1200|https://lh3.googleusercontent.com/pw/AP1GczPMH7FWedlbM0naB980GbAAcVjz4zlKDy3PuMgnKUpdz37LhhQ0XUdTyc1zSjYVbf1FFjJZOhncSFjCRTyle1GlW2V37ZRjWpliQR9JVq0LWWn71fMZ=w1200|https://lh3.googleusercontent.com/pw/AP1GczNP7oq3rghXMiHYcG53elXsLu6fwWsBQBbN80ANSKkqn6pRZ2e5l8j6M9JwlPgcJ74YhTSvDh1l5oQIBGFpEgofDD-WNdkhwZ2pOBoxiP-ZheLfzuFM=w1200|https://lh3.googleusercontent.com/pw/AP1GczN4m-ZXC-wSER9B4YyyJJQSZv6iA0tm9F4QIqUx36K-dfRPcE1UQour5R1LYpkV2MiW5hsSWGB_BK2Zt2pWDg9DjzgSP8aTQTDsOZAc1ixw244dbmi2=w1200|https://lh3.googleusercontent.com/pw/AP1GczOJLyQSiu55M4S0xkLsbAldmZpjB2duSHuuzy3HE2DJPBRYYbDZWMvYLwZaZNMszs_d7H7GgzHIfy7JOX3AAjp8YXxZbjW4gHabqdj5c8nZD80vYRhP=w1200|https://lh3.googleusercontent.com/pw/AP1GczN6LH8yP8aVN7_MFk1pG23ftpmRj-T84SQufp0pnMUhGUVd9qWDHyD5HA8qsp29NecPBJxYmMoqKQvLRdpDJ9b7fhM6BGoqILPu-AKSt8pDj0390kL3=w1200|https://lh3.googleusercontent.com/pw/AP1GczNv7AzvTuga9C-M2oRadMAVsWEC_E0_KO2eFnIqjCRMI6dbggoZPELf43IArraUxPw_MeK9W0SER6KpDrLU2qX1rYoejdHnQIGC0ynkVWSm8_f_Rp4R=w1200|https://lh3.googleusercontent.com/pw/AP1GczPA2CADXY7MAY-aeeR9ToJyvJTy6ex8Y5NwlHsOxDEImiJ25c6pMJr8MU4wljJRu-9LJ0cRfoTYaZre7WJjZHdd_IrnewkGKeUDTCcoD4ZN1iWB5S_P=w1200|https://lh3.googleusercontent.com/pw/AP1GczNNnSrNKKI-ZA8vK_NKLoguPRAMSwAtwySu1C6fywjVnZYV8NiXAM0PeO5evuIN7NbbkqLruBCtLz84T5G8Aadz--_r-2YT12HtRqI0Pjd9jROJfzpk=w1200|https://lh3.googleusercontent.com/pw/AP1GczNw3VxHTrJ9ii5PSfC9qUQdoXbOa4u-BikpIPNvMbjqsMD0l2TCxNt6FCTAHcy0DPGcZzD7yAYoZ9G3VIde31ihJ4fqamp6oJO64OAGzXAia5OiRHhY=w1200|https://lh3.googleusercontent.com/pw/AP1GczO1pQlh9PX2h8Vs4YFExWRw7nEkoheaiWmri1mQPn3xJPR2vS0Cvn5YxK4UujMaZ_qiqxXS4sXaMT292t1FPjZMXEz8qSFWuXgUdRnI4L1oE9pZmJt5=w1200</v>
      </c>
      <c r="AJ159" s="46"/>
      <c r="AK159" s="46"/>
      <c r="AL159" s="46"/>
      <c r="AM159" s="46"/>
      <c r="AN159" s="46"/>
      <c r="AO159" s="46"/>
      <c r="AP159" s="46"/>
      <c r="AQ159" s="46"/>
      <c r="AR159" s="46"/>
      <c r="AS159" s="46"/>
      <c r="AT159" s="46"/>
      <c r="AU159" s="46"/>
      <c r="AV159" s="46"/>
      <c r="AW159" s="46"/>
      <c r="AX159" s="46"/>
      <c r="AY159" s="46"/>
      <c r="AZ159" s="46"/>
      <c r="BA159" s="46"/>
      <c r="BB159" s="46"/>
      <c r="BC159" s="46"/>
      <c r="BD159" s="46"/>
      <c r="BE159" s="46"/>
      <c r="BF159" s="46"/>
      <c r="BG159" s="46"/>
      <c r="BH159" s="46"/>
      <c r="BI159" s="46"/>
      <c r="BJ159" s="46"/>
      <c r="BK159" s="46"/>
      <c r="BL159" s="46"/>
      <c r="BM159" s="46"/>
      <c r="BN159" s="46"/>
      <c r="BO159" s="46"/>
      <c r="BP159" s="46"/>
      <c r="BQ159" s="46"/>
      <c r="BR159" s="46"/>
      <c r="BS159" s="46"/>
      <c r="BT159" s="46"/>
      <c r="BU159" s="46"/>
      <c r="BV159" s="46"/>
      <c r="BW159" s="46"/>
      <c r="BX159" s="46"/>
      <c r="BY159" s="46"/>
      <c r="BZ159" s="46"/>
      <c r="CA159" s="46"/>
      <c r="CB159" s="46"/>
      <c r="CC159" s="46"/>
    </row>
    <row r="160">
      <c r="A160" s="87" t="str">
        <f>IFERROR(__xludf.DUMMYFUNCTION("""COMPUTED_VALUE"""),"066")</f>
        <v>066</v>
      </c>
      <c r="B160" s="46" t="str">
        <f>IFERROR(__xludf.DUMMYFUNCTION("""COMPUTED_VALUE"""),"Casa en barrio Calixto Leiva")</f>
        <v>Casa en barrio Calixto Leiva</v>
      </c>
      <c r="C160" s="46" t="str">
        <f>IFERROR(__xludf.DUMMYFUNCTION("""COMPUTED_VALUE"""),"Casa")</f>
        <v>Casa</v>
      </c>
      <c r="D160" s="46" t="str">
        <f>IFERROR(__xludf.DUMMYFUNCTION("""COMPUTED_VALUE"""),"Calixto Leiva")</f>
        <v>Calixto Leiva</v>
      </c>
      <c r="E160" s="90"/>
      <c r="F160" s="90">
        <f>IFERROR(__xludf.DUMMYFUNCTION("""COMPUTED_VALUE"""),3.0E8)</f>
        <v>300000000</v>
      </c>
      <c r="G160" s="46" t="str">
        <f>IFERROR(__xludf.DUMMYFUNCTION("""COMPUTED_VALUE"""),"$300'000.000 a $400'000.000")</f>
        <v>$300'000.000 a $400'000.000</v>
      </c>
      <c r="H160" s="46"/>
      <c r="I160" s="46"/>
      <c r="J160" s="46" t="str">
        <f>IFERROR(__xludf.DUMMYFUNCTION("""COMPUTED_VALUE"""),"Oriente")</f>
        <v>Oriente</v>
      </c>
      <c r="K160" s="87"/>
      <c r="L160" s="46">
        <f>IFERROR(__xludf.DUMMYFUNCTION("""COMPUTED_VALUE"""),3.0)</f>
        <v>3</v>
      </c>
      <c r="M160" s="46"/>
      <c r="N160" s="46">
        <f>IFERROR(__xludf.DUMMYFUNCTION("""COMPUTED_VALUE"""),2.0)</f>
        <v>2</v>
      </c>
      <c r="O160" s="46">
        <f>IFERROR(__xludf.DUMMYFUNCTION("""COMPUTED_VALUE"""),1.0)</f>
        <v>1</v>
      </c>
      <c r="P160" s="46">
        <f>IFERROR(__xludf.DUMMYFUNCTION("""COMPUTED_VALUE"""),1.0)</f>
        <v>1</v>
      </c>
      <c r="Q160" s="92">
        <f>IFERROR(__xludf.DUMMYFUNCTION("""COMPUTED_VALUE"""),180.0)</f>
        <v>180</v>
      </c>
      <c r="R160" s="92">
        <f>IFERROR(__xludf.DUMMYFUNCTION("""COMPUTED_VALUE"""),205.0)</f>
        <v>205</v>
      </c>
      <c r="S160" s="87" t="str">
        <f>IFERROR(__xludf.DUMMYFUNCTION("""COMPUTED_VALUE""")," ")</f>
        <v> </v>
      </c>
      <c r="T160" s="46" t="str">
        <f>IFERROR(__xludf.DUMMYFUNCTION("""COMPUTED_VALUE"""),"Neiva")</f>
        <v>Neiva</v>
      </c>
      <c r="U160" s="87" t="str">
        <f>IFERROR(__xludf.DUMMYFUNCTION("""COMPUTED_VALUE"""),"2")</f>
        <v>2</v>
      </c>
      <c r="V160" s="46" t="str">
        <f>IFERROR(__xludf.DUMMYFUNCTION("""COMPUTED_VALUE"""),"Medianera")</f>
        <v>Medianera</v>
      </c>
      <c r="W160" s="46"/>
      <c r="X160" s="46">
        <f>IFERROR(__xludf.DUMMYFUNCTION("""COMPUTED_VALUE"""),3.0)</f>
        <v>3</v>
      </c>
      <c r="Y160" s="46" t="str">
        <f>IFERROR(__xludf.DUMMYFUNCTION("""COMPUTED_VALUE"""),"No tiene")</f>
        <v>No tiene</v>
      </c>
      <c r="Z160" s="90" t="str">
        <f>IFERROR(__xludf.DUMMYFUNCTION("""COMPUTED_VALUE"""),"No aplica")</f>
        <v>No aplica</v>
      </c>
      <c r="AA160" s="33" t="str">
        <f>IFERROR(__xludf.DUMMYFUNCTION("""COMPUTED_VALUE"""),"No aplica")</f>
        <v>No aplica</v>
      </c>
      <c r="AB160" s="144" t="str">
        <f>IFERROR(__xludf.DUMMYFUNCTION("""COMPUTED_VALUE"""),"https://photos.app.goo.gl/Fer6Nhs7P1Txjodg6")</f>
        <v>https://photos.app.goo.gl/Fer6Nhs7P1Txjodg6</v>
      </c>
      <c r="AC160" s="46"/>
      <c r="AD160" s="46"/>
      <c r="AE160" s="46"/>
      <c r="AF160" s="46" t="str">
        <f>IFERROR(__xludf.DUMMYFUNCTION("""COMPUTED_VALUE"""),"integral")</f>
        <v>integral</v>
      </c>
      <c r="AG160" s="46"/>
      <c r="AH160" s="46" t="str">
        <f>IFERROR(__xludf.DUMMYFUNCTION("""COMPUTED_VALUE"""),"Aliado")</f>
        <v>Aliado</v>
      </c>
      <c r="AI160" s="92" t="str">
        <f>IFERROR(__xludf.DUMMYFUNCTION("""COMPUTED_VALUE"""),"https://lh3.googleusercontent.com/pw/AP1GczMA2A8OHpbLgk3GWK4THVtZUsKnG9QOyFGQDSCyW1wFHLn2RyqjYBRtiUCHlYPyyKq2h7Bf0pFExNdauUWgLru95Jtsdxqs7DKQoueVVioVtxLKxPYD=w1200|https://lh3.googleusercontent.com/pw/AP1GczOIPpwGuDwBtV17qaW7oQudaJByL-C452xiqPls7aTJHmM7h7"&amp;"843n5E7_a8nGF2KqTb64N_wJzRujkSsb_pGWJypbxa3eGGlOQDzAABsJwrK0KOLahg=w1200|https://lh3.googleusercontent.com/pw/AP1GczPTolPctYvw3O6shQfIJYU4TJzfcyh5TZAFdz6xZqKo9lqcDnE-7f_LYxXlGqdF_qM5aUZLv4G5GcujSTgAY8eS-5sLIfFmeml7si5ugNEpsqHfU196=w1200|https://lh3.google"&amp;"usercontent.com/pw/AP1GczOW6ZGlzU1PUqdCqx2IBJMut-2NEXr0HMBUaBF7BijPESTWYzbkGeeQdDNiJcsKXppuxy6KfzP31QVN1CxcO6Pibk1A0OADe5I9sw5HUdA084TVJ-xM=w1200|https://lh3.googleusercontent.com/pw/AP1GczOfABzBCB8be1fGFAnEeLH_hOboYW1UPdCh6XiPYFDY4GSPN5GcJuomhLa9sq32v8Iu"&amp;"CN-LpN1FLinXA4A9kl6mPd-HStRI412aEHRS26hTmEse6EL-=w1200|https://lh3.googleusercontent.com/pw/AP1GczPRBpO1RFuX7ZvKOom9B8ezZGmngdyJL6RUUkrOL-NfA-pMCwmv3UPqypCUCG4UXl6UfXtz88JQW1dg8_sbdXqKMhVSD-U8b-vXQuPJVnk4yuQErjAX=w1200|https://lh3.googleusercontent.com/pw"&amp;"/AP1GczOcdu0S0BqXManacjqbFJE0l6ifsZuYC_ZVdsl1DZEdLd7HDN1nygFRy-wP7P8a56UzR0nzUWh0PTtq-Mz9H37ne5eX0SWP7jmCa8fDHzDByYba6E1n=w1200|https://lh3.googleusercontent.com/pw/AP1GczO6MpsOKGx60USQ2h8eMcza57HipiLLqcBeOjJBCyLbopktXddHlp8KidWjQRjYjqQL-yfk1MrH-QO4ST19Wa"&amp;"wDtv2w1_t2k1RdprlYmvqu7-0Yuhg-=w1200|https://lh3.googleusercontent.com/pw/AP1GczP9mbhYQ0n0xU7povyUiOSbVgOHj6ts8Kk3lu9c3fryJYQgCraZs7dG5oCv4LUIDkpbbZMA8mCEnphNkejdGH3y8i9V7etxOG_O5pr0gK4i8qIiaTIB=w1200")</f>
        <v>https://lh3.googleusercontent.com/pw/AP1GczMA2A8OHpbLgk3GWK4THVtZUsKnG9QOyFGQDSCyW1wFHLn2RyqjYBRtiUCHlYPyyKq2h7Bf0pFExNdauUWgLru95Jtsdxqs7DKQoueVVioVtxLKxPYD=w1200|https://lh3.googleusercontent.com/pw/AP1GczOIPpwGuDwBtV17qaW7oQudaJByL-C452xiqPls7aTJHmM7h7843n5E7_a8nGF2KqTb64N_wJzRujkSsb_pGWJypbxa3eGGlOQDzAABsJwrK0KOLahg=w1200|https://lh3.googleusercontent.com/pw/AP1GczPTolPctYvw3O6shQfIJYU4TJzfcyh5TZAFdz6xZqKo9lqcDnE-7f_LYxXlGqdF_qM5aUZLv4G5GcujSTgAY8eS-5sLIfFmeml7si5ugNEpsqHfU196=w1200|https://lh3.googleusercontent.com/pw/AP1GczOW6ZGlzU1PUqdCqx2IBJMut-2NEXr0HMBUaBF7BijPESTWYzbkGeeQdDNiJcsKXppuxy6KfzP31QVN1CxcO6Pibk1A0OADe5I9sw5HUdA084TVJ-xM=w1200|https://lh3.googleusercontent.com/pw/AP1GczOfABzBCB8be1fGFAnEeLH_hOboYW1UPdCh6XiPYFDY4GSPN5GcJuomhLa9sq32v8IuCN-LpN1FLinXA4A9kl6mPd-HStRI412aEHRS26hTmEse6EL-=w1200|https://lh3.googleusercontent.com/pw/AP1GczPRBpO1RFuX7ZvKOom9B8ezZGmngdyJL6RUUkrOL-NfA-pMCwmv3UPqypCUCG4UXl6UfXtz88JQW1dg8_sbdXqKMhVSD-U8b-vXQuPJVnk4yuQErjAX=w1200|https://lh3.googleusercontent.com/pw/AP1GczOcdu0S0BqXManacjqbFJE0l6ifsZuYC_ZVdsl1DZEdLd7HDN1nygFRy-wP7P8a56UzR0nzUWh0PTtq-Mz9H37ne5eX0SWP7jmCa8fDHzDByYba6E1n=w1200|https://lh3.googleusercontent.com/pw/AP1GczO6MpsOKGx60USQ2h8eMcza57HipiLLqcBeOjJBCyLbopktXddHlp8KidWjQRjYjqQL-yfk1MrH-QO4ST19WawDtv2w1_t2k1RdprlYmvqu7-0Yuhg-=w1200|https://lh3.googleusercontent.com/pw/AP1GczP9mbhYQ0n0xU7povyUiOSbVgOHj6ts8Kk3lu9c3fryJYQgCraZs7dG5oCv4LUIDkpbbZMA8mCEnphNkejdGH3y8i9V7etxOG_O5pr0gK4i8qIiaTIB=w1200</v>
      </c>
      <c r="AJ160" s="46"/>
      <c r="AK160" s="46"/>
      <c r="AL160" s="46"/>
      <c r="AM160" s="46"/>
      <c r="AN160" s="46"/>
      <c r="AO160" s="46"/>
      <c r="AP160" s="46"/>
      <c r="AQ160" s="46"/>
      <c r="AR160" s="46"/>
      <c r="AS160" s="46"/>
      <c r="AT160" s="46"/>
      <c r="AU160" s="46"/>
      <c r="AV160" s="46"/>
      <c r="AW160" s="46"/>
      <c r="AX160" s="46"/>
      <c r="AY160" s="46"/>
      <c r="AZ160" s="46"/>
      <c r="BA160" s="46"/>
      <c r="BB160" s="46"/>
      <c r="BC160" s="46"/>
      <c r="BD160" s="46"/>
      <c r="BE160" s="46"/>
      <c r="BF160" s="46"/>
      <c r="BG160" s="46"/>
      <c r="BH160" s="46"/>
      <c r="BI160" s="46"/>
      <c r="BJ160" s="46"/>
      <c r="BK160" s="46"/>
      <c r="BL160" s="46"/>
      <c r="BM160" s="46"/>
      <c r="BN160" s="46"/>
      <c r="BO160" s="46"/>
      <c r="BP160" s="46"/>
      <c r="BQ160" s="46"/>
      <c r="BR160" s="46"/>
      <c r="BS160" s="46"/>
      <c r="BT160" s="46"/>
      <c r="BU160" s="46"/>
      <c r="BV160" s="46"/>
      <c r="BW160" s="46"/>
      <c r="BX160" s="46"/>
      <c r="BY160" s="46"/>
      <c r="BZ160" s="46"/>
      <c r="CA160" s="46"/>
      <c r="CB160" s="46"/>
      <c r="CC160" s="46"/>
    </row>
    <row r="161">
      <c r="A161" s="87" t="str">
        <f>IFERROR(__xludf.DUMMYFUNCTION("""COMPUTED_VALUE"""),"052")</f>
        <v>052</v>
      </c>
      <c r="B161" s="46" t="str">
        <f>IFERROR(__xludf.DUMMYFUNCTION("""COMPUTED_VALUE"""),"Casa en barrio Prado Alto")</f>
        <v>Casa en barrio Prado Alto</v>
      </c>
      <c r="C161" s="46" t="str">
        <f>IFERROR(__xludf.DUMMYFUNCTION("""COMPUTED_VALUE"""),"Casa")</f>
        <v>Casa</v>
      </c>
      <c r="D161" s="46" t="str">
        <f>IFERROR(__xludf.DUMMYFUNCTION("""COMPUTED_VALUE"""),"Prado Alto")</f>
        <v>Prado Alto</v>
      </c>
      <c r="E161" s="46" t="str">
        <f>IFERROR(__xludf.DUMMYFUNCTION("""COMPUTED_VALUE""")," ")</f>
        <v> </v>
      </c>
      <c r="F161" s="90">
        <f>IFERROR(__xludf.DUMMYFUNCTION("""COMPUTED_VALUE"""),2.9E8)</f>
        <v>290000000</v>
      </c>
      <c r="G161" s="46" t="str">
        <f>IFERROR(__xludf.DUMMYFUNCTION("""COMPUTED_VALUE"""),"$200'000.000 a $300'000.000")</f>
        <v>$200'000.000 a $300'000.000</v>
      </c>
      <c r="H161" s="46"/>
      <c r="I161" s="46"/>
      <c r="J161" s="46" t="str">
        <f>IFERROR(__xludf.DUMMYFUNCTION("""COMPUTED_VALUE"""),"Norte")</f>
        <v>Norte</v>
      </c>
      <c r="K161" s="87"/>
      <c r="L161" s="46">
        <f>IFERROR(__xludf.DUMMYFUNCTION("""COMPUTED_VALUE"""),4.0)</f>
        <v>4</v>
      </c>
      <c r="M161" s="46"/>
      <c r="N161" s="46">
        <f>IFERROR(__xludf.DUMMYFUNCTION("""COMPUTED_VALUE"""),4.0)</f>
        <v>4</v>
      </c>
      <c r="O161" s="46">
        <f>IFERROR(__xludf.DUMMYFUNCTION("""COMPUTED_VALUE"""),1.0)</f>
        <v>1</v>
      </c>
      <c r="P161" s="46">
        <f>IFERROR(__xludf.DUMMYFUNCTION("""COMPUTED_VALUE"""),2.0)</f>
        <v>2</v>
      </c>
      <c r="Q161" s="92"/>
      <c r="R161" s="92">
        <f>IFERROR(__xludf.DUMMYFUNCTION("""COMPUTED_VALUE"""),150.0)</f>
        <v>150</v>
      </c>
      <c r="S161" s="87" t="str">
        <f>IFERROR(__xludf.DUMMYFUNCTION("""COMPUTED_VALUE""")," ")</f>
        <v> </v>
      </c>
      <c r="T161" s="46" t="str">
        <f>IFERROR(__xludf.DUMMYFUNCTION("""COMPUTED_VALUE"""),"Neiva")</f>
        <v>Neiva</v>
      </c>
      <c r="U161" s="87" t="str">
        <f>IFERROR(__xludf.DUMMYFUNCTION("""COMPUTED_VALUE"""),"4")</f>
        <v>4</v>
      </c>
      <c r="V161" s="46" t="str">
        <f>IFERROR(__xludf.DUMMYFUNCTION("""COMPUTED_VALUE"""),"Medianera")</f>
        <v>Medianera</v>
      </c>
      <c r="W161" s="46"/>
      <c r="X161" s="46">
        <f>IFERROR(__xludf.DUMMYFUNCTION("""COMPUTED_VALUE"""),3.0)</f>
        <v>3</v>
      </c>
      <c r="Y161" s="46" t="str">
        <f>IFERROR(__xludf.DUMMYFUNCTION("""COMPUTED_VALUE"""),"No tiene")</f>
        <v>No tiene</v>
      </c>
      <c r="Z161" s="90" t="str">
        <f>IFERROR(__xludf.DUMMYFUNCTION("""COMPUTED_VALUE"""),"No aplica")</f>
        <v>No aplica</v>
      </c>
      <c r="AA161" s="33" t="str">
        <f>IFERROR(__xludf.DUMMYFUNCTION("""COMPUTED_VALUE"""),"No aplica")</f>
        <v>No aplica</v>
      </c>
      <c r="AB161" s="144" t="str">
        <f>IFERROR(__xludf.DUMMYFUNCTION("""COMPUTED_VALUE"""),"https://photos.app.goo.gl/ubxdDrrUZ6C8nMqu8")</f>
        <v>https://photos.app.goo.gl/ubxdDrrUZ6C8nMqu8</v>
      </c>
      <c r="AC161" s="46"/>
      <c r="AD161" s="46" t="str">
        <f>IFERROR(__xludf.DUMMYFUNCTION("""COMPUTED_VALUE"""),"Casa amplia  bien ubicada, con buenos acabados, mármol y madera. Escritura al día.")</f>
        <v>Casa amplia  bien ubicada, con buenos acabados, mármol y madera. Escritura al día.</v>
      </c>
      <c r="AE161" s="46"/>
      <c r="AF161" s="46" t="str">
        <f>IFERROR(__xludf.DUMMYFUNCTION("""COMPUTED_VALUE"""),"integral")</f>
        <v>integral</v>
      </c>
      <c r="AG161" s="46"/>
      <c r="AH161" s="46" t="str">
        <f>IFERROR(__xludf.DUMMYFUNCTION("""COMPUTED_VALUE"""),"Aliado")</f>
        <v>Aliado</v>
      </c>
      <c r="AI161" s="92" t="str">
        <f>IFERROR(__xludf.DUMMYFUNCTION("""COMPUTED_VALUE"""),"https://lh3.googleusercontent.com/pw/AP1GczPKkBxNDMTr573CkHBWscvZLZuQwQSpA-gr1zlZR37uJXyTUFu8djiGaCd_gU9iGkzfQyDqMh3viNX0KbdhCWp9ERGTjC3bgozwMfEZRTIPyMCq0XO1=w1200|https://lh3.googleusercontent.com/pw/AP1GczMdqWv2fR5O8NT86DQI73BGJkpMsq4Py2jM8zTRhJG85lRRqz"&amp;"-i9ekKbbb-aHM-F8IUnqsY7uTfyvpvpiVKwHj02wmrbPjRHLAzkXZGQubVS7dk-1Pb=w1200|https://lh3.googleusercontent.com/pw/AP1GczNhLT5YRIUw46VEiIjG8KkrizGp8r0pO0ErZ8r03AFWFhgu2aUPgz_a2ax5b6lLwJFLQQDz1uNv0yvA-uNZ-P7WGLzmOzk7QC8c_XAhHgQSIP8D_sBd=w1200|https://lh3.google"&amp;"usercontent.com/pw/AP1GczNs6jAkzX43hBkWVjhn8OHTSjxbcQ1DpAF9qEIC2DoW00Zm4WDglWwe0J3w0eQvfosq6K4ZfIb3Z5F9O_ZIj6zcVV2VgenM9IZioT_i01ebwlWOlINF=w1200|https://lh3.googleusercontent.com/pw/AP1GczPta5BYsmJ6W9Yk88ytmPj9qH1BRjm332wPJNJhfxB9l_j1VZB5wb8WMT0Zd1BqDCZx"&amp;"AngT3XN3EvcgyMHM6QCJahVK10BBfjW_pFVVgk_gqvKxoZna=w1200|https://lh3.googleusercontent.com/pw/AP1GczNXoHarsZKOngupxanjZj5GEiCIVss_Ms-15g9NL1cLIuRT7nqbEMNNeqWDi3hwNEKhfx9in4QDhiRlYakOC-byYAD-UtZqRGbCUURLcre5YEGVltPJ=w1200|https://lh3.googleusercontent.com/pw"&amp;"/AP1GczNUhS2qPcSpWl39LwcZB0JJMR_3RguFOJgX6aLZjwoVKNSaShqVJnrDwTUObSS5EHuTC2skMXGsVKcSSQ4IT-YVvhOb-7wsJDL49IlAjIHjSV6pJlCI=w1200|https://lh3.googleusercontent.com/pw/AP1GczMpE33KgUHzFRM5_MkmCL36ftAMrPQxK0JAQxD5013idAJv0_NCWdM3pQyIHQkaBvaUM-ClYRcKehTf8vrfH-"&amp;"20kUXR8BV2c2bNWB_ZvQPnFImWXRP7=w1200|https://lh3.googleusercontent.com/pw/AP1GczM1DnLEfGjPB1q17HE6Ne8QgUI8_Yd1gIB8kTXfK8vcOQplI-GyR0ve1gCLB5rv6pnO9z2DwlfWTykZGnvtRTJIm1C_cVjsqtAxA33s26LBULFWIxLI=w1200|https://lh3.googleusercontent.com/pw/AP1GczOpRJt4h4ilE"&amp;"USebABPGoBtJlGlM42ckBJZEiyzZW1RkN6UD-pLOR2k7bQq68Zte561kOMh9f6sVjQ2OxdT8-68l8FicFeTznU7WAhMnC9OP0ye0j5_=w1200|https://lh3.googleusercontent.com/pw/AP1GczP6YbMqQbIUPSg3TM-ZDx09qrzZSIP1SpLHWJI0kOPWYlNNzlKTaeEKzxMbzDDmNwmBRHsRdJKND-jTuK2DTDg1UbBw1QenRyxO4pPY"&amp;"JcA3L8lpejka=w1200|https://lh3.googleusercontent.com/pw/AP1GczOXm2-gDj5t6O_QJgyQYCVthe7FK_l_JrIAid5GGpzwcO638WBLbKMsscWVWUzA6vKlUYwGvwBq1Eooh87Jw_RxDoywVMBpiYiZoZ3JP9FJCHMwFZPt=w1200|https://lh3.googleusercontent.com/pw/AP1GczOFKl3o867tVe3cX9gvy7ORhA-9HTk"&amp;"lUeIXE-WlPXa6S7_STeEEIPY-Dq1z7RYkPpG8IePuRmstN81DfU0eioh7-1RQNxEkoM_pTjJGmgar2Q1EjaRX=w1200|https://lh3.googleusercontent.com/pw/AP1GczPQMLZ3xq8UaQcsH0jAYgjHPTidpS--41mVA0NMh4pvfeTQa0uMUVB-DNSt6L6aVHbq0qqu5zs8IUrLCXvAeM2_nf6Td8raGnXjtl-1NODovob6TDOA=w1200"&amp;"|https://lh3.googleusercontent.com/pw/AP1GczP9131Azv6oPgXvV0r4hTT5IZlkt-Az8hVKaKDtCSnDqIqKcANE6pPbpO--XYmDpSx2Dek2WPmVnauNTPy8M0ioKw8KTgppnir3YclV6S_amrEfI_r3=w1200|https://lh3.googleusercontent.com/pw/AP1GczO3PahawNYdRkD9H3_FX0zTwmZWpFE9abOGnB4uwuvZGrpPo"&amp;"CtyQKftDvFEI-CFVOyyK25YT32R9xSVO82ZuIO6m9tSBOFooxRzVv8lY-VVxvHpdudk=w1200|https://lh3.googleusercontent.com/pw/AP1GczP6e4MwWdkt20iNV0DYLyg942RpU07bcOFSbUXyGRLr9mb2heCSxxs_GaQwjVFsFT9VjKD45nCyUzvoss03IXy9YLdeqcOe5_7JqWB5B3stQknKBYH1=w1200|https://lh3.googl"&amp;"eusercontent.com/pw/AP1GczOL5o5u4Ie3TJN9B0mblzccFnwbdyi3k5Q-GaSPUhgLvStFCAs7Z15Cll8pKl1EN18Ar05q8LiQA97J7qDcJSavScK36mUQq4fBYAn-vbIEpDkKYrBc=w1200|https://lh3.googleusercontent.com/pw/AP1GczN2TgdTzCCeHsI2txnM_q5ee4JsOsLAXM-KKzWJ3w9wGpcjIBoC30w6BKxAy8K8kEG"&amp;"5zcJXevFsl_Lo9UZqVA2OcJwlmlqQVwkOmczYV2P8Ki2DaGBf=w1200|https://lh3.googleusercontent.com/pw/AP1GczPJqj83dAdi_CTPB2GdpFZZscKG1dXRQJoK29IndJpDGu4oUwgEPqtwgP9yXq_z4Ho89lLHuCrPy9y8eVPY3xq6fd2XwNuXr6v5WD1NRSXvnDxLlZwZ=w1200")</f>
        <v>https://lh3.googleusercontent.com/pw/AP1GczPKkBxNDMTr573CkHBWscvZLZuQwQSpA-gr1zlZR37uJXyTUFu8djiGaCd_gU9iGkzfQyDqMh3viNX0KbdhCWp9ERGTjC3bgozwMfEZRTIPyMCq0XO1=w1200|https://lh3.googleusercontent.com/pw/AP1GczMdqWv2fR5O8NT86DQI73BGJkpMsq4Py2jM8zTRhJG85lRRqz-i9ekKbbb-aHM-F8IUnqsY7uTfyvpvpiVKwHj02wmrbPjRHLAzkXZGQubVS7dk-1Pb=w1200|https://lh3.googleusercontent.com/pw/AP1GczNhLT5YRIUw46VEiIjG8KkrizGp8r0pO0ErZ8r03AFWFhgu2aUPgz_a2ax5b6lLwJFLQQDz1uNv0yvA-uNZ-P7WGLzmOzk7QC8c_XAhHgQSIP8D_sBd=w1200|https://lh3.googleusercontent.com/pw/AP1GczNs6jAkzX43hBkWVjhn8OHTSjxbcQ1DpAF9qEIC2DoW00Zm4WDglWwe0J3w0eQvfosq6K4ZfIb3Z5F9O_ZIj6zcVV2VgenM9IZioT_i01ebwlWOlINF=w1200|https://lh3.googleusercontent.com/pw/AP1GczPta5BYsmJ6W9Yk88ytmPj9qH1BRjm332wPJNJhfxB9l_j1VZB5wb8WMT0Zd1BqDCZxAngT3XN3EvcgyMHM6QCJahVK10BBfjW_pFVVgk_gqvKxoZna=w1200|https://lh3.googleusercontent.com/pw/AP1GczNXoHarsZKOngupxanjZj5GEiCIVss_Ms-15g9NL1cLIuRT7nqbEMNNeqWDi3hwNEKhfx9in4QDhiRlYakOC-byYAD-UtZqRGbCUURLcre5YEGVltPJ=w1200|https://lh3.googleusercontent.com/pw/AP1GczNUhS2qPcSpWl39LwcZB0JJMR_3RguFOJgX6aLZjwoVKNSaShqVJnrDwTUObSS5EHuTC2skMXGsVKcSSQ4IT-YVvhOb-7wsJDL49IlAjIHjSV6pJlCI=w1200|https://lh3.googleusercontent.com/pw/AP1GczMpE33KgUHzFRM5_MkmCL36ftAMrPQxK0JAQxD5013idAJv0_NCWdM3pQyIHQkaBvaUM-ClYRcKehTf8vrfH-20kUXR8BV2c2bNWB_ZvQPnFImWXRP7=w1200|https://lh3.googleusercontent.com/pw/AP1GczM1DnLEfGjPB1q17HE6Ne8QgUI8_Yd1gIB8kTXfK8vcOQplI-GyR0ve1gCLB5rv6pnO9z2DwlfWTykZGnvtRTJIm1C_cVjsqtAxA33s26LBULFWIxLI=w1200|https://lh3.googleusercontent.com/pw/AP1GczOpRJt4h4ilEUSebABPGoBtJlGlM42ckBJZEiyzZW1RkN6UD-pLOR2k7bQq68Zte561kOMh9f6sVjQ2OxdT8-68l8FicFeTznU7WAhMnC9OP0ye0j5_=w1200|https://lh3.googleusercontent.com/pw/AP1GczP6YbMqQbIUPSg3TM-ZDx09qrzZSIP1SpLHWJI0kOPWYlNNzlKTaeEKzxMbzDDmNwmBRHsRdJKND-jTuK2DTDg1UbBw1QenRyxO4pPYJcA3L8lpejka=w1200|https://lh3.googleusercontent.com/pw/AP1GczOXm2-gDj5t6O_QJgyQYCVthe7FK_l_JrIAid5GGpzwcO638WBLbKMsscWVWUzA6vKlUYwGvwBq1Eooh87Jw_RxDoywVMBpiYiZoZ3JP9FJCHMwFZPt=w1200|https://lh3.googleusercontent.com/pw/AP1GczOFKl3o867tVe3cX9gvy7ORhA-9HTklUeIXE-WlPXa6S7_STeEEIPY-Dq1z7RYkPpG8IePuRmstN81DfU0eioh7-1RQNxEkoM_pTjJGmgar2Q1EjaRX=w1200|https://lh3.googleusercontent.com/pw/AP1GczPQMLZ3xq8UaQcsH0jAYgjHPTidpS--41mVA0NMh4pvfeTQa0uMUVB-DNSt6L6aVHbq0qqu5zs8IUrLCXvAeM2_nf6Td8raGnXjtl-1NODovob6TDOA=w1200|https://lh3.googleusercontent.com/pw/AP1GczP9131Azv6oPgXvV0r4hTT5IZlkt-Az8hVKaKDtCSnDqIqKcANE6pPbpO--XYmDpSx2Dek2WPmVnauNTPy8M0ioKw8KTgppnir3YclV6S_amrEfI_r3=w1200|https://lh3.googleusercontent.com/pw/AP1GczO3PahawNYdRkD9H3_FX0zTwmZWpFE9abOGnB4uwuvZGrpPoCtyQKftDvFEI-CFVOyyK25YT32R9xSVO82ZuIO6m9tSBOFooxRzVv8lY-VVxvHpdudk=w1200|https://lh3.googleusercontent.com/pw/AP1GczP6e4MwWdkt20iNV0DYLyg942RpU07bcOFSbUXyGRLr9mb2heCSxxs_GaQwjVFsFT9VjKD45nCyUzvoss03IXy9YLdeqcOe5_7JqWB5B3stQknKBYH1=w1200|https://lh3.googleusercontent.com/pw/AP1GczOL5o5u4Ie3TJN9B0mblzccFnwbdyi3k5Q-GaSPUhgLvStFCAs7Z15Cll8pKl1EN18Ar05q8LiQA97J7qDcJSavScK36mUQq4fBYAn-vbIEpDkKYrBc=w1200|https://lh3.googleusercontent.com/pw/AP1GczN2TgdTzCCeHsI2txnM_q5ee4JsOsLAXM-KKzWJ3w9wGpcjIBoC30w6BKxAy8K8kEG5zcJXevFsl_Lo9UZqVA2OcJwlmlqQVwkOmczYV2P8Ki2DaGBf=w1200|https://lh3.googleusercontent.com/pw/AP1GczPJqj83dAdi_CTPB2GdpFZZscKG1dXRQJoK29IndJpDGu4oUwgEPqtwgP9yXq_z4Ho89lLHuCrPy9y8eVPY3xq6fd2XwNuXr6v5WD1NRSXvnDxLlZwZ=w1200</v>
      </c>
      <c r="AJ161" s="46"/>
      <c r="AK161" s="46"/>
      <c r="AL161" s="46"/>
      <c r="AM161" s="46"/>
      <c r="AN161" s="46"/>
      <c r="AO161" s="46"/>
      <c r="AP161" s="46"/>
      <c r="AQ161" s="46"/>
      <c r="AR161" s="46"/>
      <c r="AS161" s="46"/>
      <c r="AT161" s="46"/>
      <c r="AU161" s="46"/>
      <c r="AV161" s="46"/>
      <c r="AW161" s="46"/>
      <c r="AX161" s="46"/>
      <c r="AY161" s="46"/>
      <c r="AZ161" s="46"/>
      <c r="BA161" s="46"/>
      <c r="BB161" s="46"/>
      <c r="BC161" s="46"/>
      <c r="BD161" s="46"/>
      <c r="BE161" s="46"/>
      <c r="BF161" s="46"/>
      <c r="BG161" s="46"/>
      <c r="BH161" s="46"/>
      <c r="BI161" s="46"/>
      <c r="BJ161" s="46"/>
      <c r="BK161" s="46"/>
      <c r="BL161" s="46"/>
      <c r="BM161" s="46"/>
      <c r="BN161" s="46"/>
      <c r="BO161" s="46"/>
      <c r="BP161" s="46"/>
      <c r="BQ161" s="46"/>
      <c r="BR161" s="46"/>
      <c r="BS161" s="46"/>
      <c r="BT161" s="46"/>
      <c r="BU161" s="46"/>
      <c r="BV161" s="46"/>
      <c r="BW161" s="46"/>
      <c r="BX161" s="46"/>
      <c r="BY161" s="46"/>
      <c r="BZ161" s="46"/>
      <c r="CA161" s="46"/>
      <c r="CB161" s="46"/>
      <c r="CC161" s="46"/>
    </row>
    <row r="162">
      <c r="A162" s="87" t="str">
        <f>IFERROR(__xludf.DUMMYFUNCTION("""COMPUTED_VALUE"""),"143")</f>
        <v>143</v>
      </c>
      <c r="B162" s="46" t="str">
        <f>IFERROR(__xludf.DUMMYFUNCTION("""COMPUTED_VALUE"""),"Apartamento en Bosques de San Luis - Sur")</f>
        <v>Apartamento en Bosques de San Luis - Sur</v>
      </c>
      <c r="C162" s="46" t="str">
        <f>IFERROR(__xludf.DUMMYFUNCTION("""COMPUTED_VALUE"""),"Apartamento")</f>
        <v>Apartamento</v>
      </c>
      <c r="D162" s="46"/>
      <c r="E162" s="46"/>
      <c r="F162" s="90">
        <f>IFERROR(__xludf.DUMMYFUNCTION("""COMPUTED_VALUE"""),5.5E7)</f>
        <v>55000000</v>
      </c>
      <c r="G162" s="46" t="str">
        <f>IFERROR(__xludf.DUMMYFUNCTION("""COMPUTED_VALUE"""),"$0 a $100'000.000")</f>
        <v>$0 a $100'000.000</v>
      </c>
      <c r="H162" s="46"/>
      <c r="I162" s="46"/>
      <c r="J162" s="46" t="str">
        <f>IFERROR(__xludf.DUMMYFUNCTION("""COMPUTED_VALUE"""),"Sur")</f>
        <v>Sur</v>
      </c>
      <c r="K162" s="87" t="str">
        <f>IFERROR(__xludf.DUMMYFUNCTION("""COMPUTED_VALUE"""),"6")</f>
        <v>6</v>
      </c>
      <c r="L162" s="46">
        <f>IFERROR(__xludf.DUMMYFUNCTION("""COMPUTED_VALUE"""),3.0)</f>
        <v>3</v>
      </c>
      <c r="M162" s="46"/>
      <c r="N162" s="46">
        <f>IFERROR(__xludf.DUMMYFUNCTION("""COMPUTED_VALUE"""),1.0)</f>
        <v>1</v>
      </c>
      <c r="O162" s="46">
        <f>IFERROR(__xludf.DUMMYFUNCTION("""COMPUTED_VALUE"""),1.0)</f>
        <v>1</v>
      </c>
      <c r="P162" s="46">
        <f>IFERROR(__xludf.DUMMYFUNCTION("""COMPUTED_VALUE"""),5.0)</f>
        <v>5</v>
      </c>
      <c r="Q162" s="92">
        <f>IFERROR(__xludf.DUMMYFUNCTION("""COMPUTED_VALUE"""),48.8)</f>
        <v>48.8</v>
      </c>
      <c r="R162" s="92">
        <f>IFERROR(__xludf.DUMMYFUNCTION("""COMPUTED_VALUE"""),48.8)</f>
        <v>48.8</v>
      </c>
      <c r="S162" s="87" t="str">
        <f>IFERROR(__xludf.DUMMYFUNCTION("""COMPUTED_VALUE""")," ")</f>
        <v> </v>
      </c>
      <c r="T162" s="46" t="str">
        <f>IFERROR(__xludf.DUMMYFUNCTION("""COMPUTED_VALUE"""),"Neiva")</f>
        <v>Neiva</v>
      </c>
      <c r="U162" s="87" t="str">
        <f>IFERROR(__xludf.DUMMYFUNCTION("""COMPUTED_VALUE"""),"2")</f>
        <v>2</v>
      </c>
      <c r="V162" s="46" t="str">
        <f>IFERROR(__xludf.DUMMYFUNCTION("""COMPUTED_VALUE"""),"5to.")</f>
        <v>5to.</v>
      </c>
      <c r="W162" s="46"/>
      <c r="X162" s="46">
        <f>IFERROR(__xludf.DUMMYFUNCTION("""COMPUTED_VALUE"""),0.0)</f>
        <v>0</v>
      </c>
      <c r="Y162" s="46" t="str">
        <f>IFERROR(__xludf.DUMMYFUNCTION("""COMPUTED_VALUE"""),"No tiene")</f>
        <v>No tiene</v>
      </c>
      <c r="Z162" s="90">
        <f>IFERROR(__xludf.DUMMYFUNCTION("""COMPUTED_VALUE"""),30000.0)</f>
        <v>30000</v>
      </c>
      <c r="AA162" s="33" t="str">
        <f>IFERROR(__xludf.DUMMYFUNCTION("""COMPUTED_VALUE"""),"No aplica")</f>
        <v>No aplica</v>
      </c>
      <c r="AB162" s="144" t="str">
        <f>IFERROR(__xludf.DUMMYFUNCTION("""COMPUTED_VALUE"""),"https://photos.app.goo.gl/oVfv6e3xxzP41VXa8")</f>
        <v>https://photos.app.goo.gl/oVfv6e3xxzP41VXa8</v>
      </c>
      <c r="AC162" s="46" t="str">
        <f>IFERROR(__xludf.DUMMYFUNCTION("""COMPUTED_VALUE"""),"Apartamento con buenos acabados. Ubicado en un 5to. piso.")</f>
        <v>Apartamento con buenos acabados. Ubicado en un 5to. piso.</v>
      </c>
      <c r="AD162" s="46" t="str">
        <f>IFERROR(__xludf.DUMMYFUNCTION("""COMPUTED_VALUE"""),"Apartamento bien ubicado.  Parqueadero Comunal.")</f>
        <v>Apartamento bien ubicado.  Parqueadero Comunal.</v>
      </c>
      <c r="AE162" s="46"/>
      <c r="AF162" s="46" t="str">
        <f>IFERROR(__xludf.DUMMYFUNCTION("""COMPUTED_VALUE"""),"integral")</f>
        <v>integral</v>
      </c>
      <c r="AG162" s="46"/>
      <c r="AH162" s="46" t="str">
        <f>IFERROR(__xludf.DUMMYFUNCTION("""COMPUTED_VALUE"""),"Aliado")</f>
        <v>Aliado</v>
      </c>
      <c r="AI162" s="92" t="str">
        <f>IFERROR(__xludf.DUMMYFUNCTION("""COMPUTED_VALUE"""),"https://lh3.googleusercontent.com/pw/AP1GczPWv1rHz1HYxh1GnM-2Zy8bztZKwvb4Gi0kQQDtJGMGrNJuQ6L4Z6NvBhfdbW136uy4SHRi8g0MnAzl70zQtRkT41LM9wbXzWZ4eYKcjy7kfJ6FmoWX=w1200|https://lh3.googleusercontent.com/pw/AP1GczPAigXv3jmA3ks2j3vCGmmoOlNvqnbsyOLx7BfVscnHAjGtrb"&amp;"4mv4xSLOCixB8bgCUvCG_CAemqc9_xJ0NAt-jAixyDMJcIjYGXxzFJgECrFq9DnzO4=w1200|https://lh3.googleusercontent.com/pw/AP1GczP6WDKqgkUYZ6YJoFTF2Tan9gWd_12oa_Vs9Ic7tHb9yNqVbrNpx3lSquT1vNC7idDRy6gwmBshSn-t--9KrYlKozlG_ylGpOdm1AmNCdDckc9SBQu1=w1200|https://lh3.google"&amp;"usercontent.com/pw/AP1GczMeuHDfkAQV17Km4CYRRpJAr9O1iKdrrXXDunrANCvLni9WfqHWAUjwgnmeAi_e-dz39TX7N2ROjPCSCk2FAKyciyAEOf_0pbEcAcn1F5aNZ3Lf2jrf=w1200|https://lh3.googleusercontent.com/pw/AP1GczMmiv6tP5leAoKZSge0JzHwHJdeJB0MNB5itNtUSUs0bUELwgJtuW154JSnDgbd3C97"&amp;"tLj3yK1UY22UaYIleU0WsBoPvcgxktW0UBvimXdLPR2mtqWH=w1200")</f>
        <v>https://lh3.googleusercontent.com/pw/AP1GczPWv1rHz1HYxh1GnM-2Zy8bztZKwvb4Gi0kQQDtJGMGrNJuQ6L4Z6NvBhfdbW136uy4SHRi8g0MnAzl70zQtRkT41LM9wbXzWZ4eYKcjy7kfJ6FmoWX=w1200|https://lh3.googleusercontent.com/pw/AP1GczPAigXv3jmA3ks2j3vCGmmoOlNvqnbsyOLx7BfVscnHAjGtrb4mv4xSLOCixB8bgCUvCG_CAemqc9_xJ0NAt-jAixyDMJcIjYGXxzFJgECrFq9DnzO4=w1200|https://lh3.googleusercontent.com/pw/AP1GczP6WDKqgkUYZ6YJoFTF2Tan9gWd_12oa_Vs9Ic7tHb9yNqVbrNpx3lSquT1vNC7idDRy6gwmBshSn-t--9KrYlKozlG_ylGpOdm1AmNCdDckc9SBQu1=w1200|https://lh3.googleusercontent.com/pw/AP1GczMeuHDfkAQV17Km4CYRRpJAr9O1iKdrrXXDunrANCvLni9WfqHWAUjwgnmeAi_e-dz39TX7N2ROjPCSCk2FAKyciyAEOf_0pbEcAcn1F5aNZ3Lf2jrf=w1200|https://lh3.googleusercontent.com/pw/AP1GczMmiv6tP5leAoKZSge0JzHwHJdeJB0MNB5itNtUSUs0bUELwgJtuW154JSnDgbd3C97tLj3yK1UY22UaYIleU0WsBoPvcgxktW0UBvimXdLPR2mtqWH=w1200</v>
      </c>
      <c r="AJ162" s="46"/>
      <c r="AK162" s="46"/>
      <c r="AL162" s="46"/>
      <c r="AM162" s="46"/>
      <c r="AN162" s="46"/>
      <c r="AO162" s="46"/>
      <c r="AP162" s="46"/>
      <c r="AQ162" s="46"/>
      <c r="AR162" s="46"/>
      <c r="AS162" s="46"/>
      <c r="AT162" s="46"/>
      <c r="AU162" s="46"/>
      <c r="AV162" s="46"/>
      <c r="AW162" s="46"/>
      <c r="AX162" s="46"/>
      <c r="AY162" s="46"/>
      <c r="AZ162" s="46"/>
      <c r="BA162" s="46"/>
      <c r="BB162" s="46"/>
      <c r="BC162" s="46"/>
      <c r="BD162" s="46"/>
      <c r="BE162" s="46"/>
      <c r="BF162" s="46"/>
      <c r="BG162" s="46"/>
      <c r="BH162" s="46"/>
      <c r="BI162" s="46"/>
      <c r="BJ162" s="46"/>
      <c r="BK162" s="46"/>
      <c r="BL162" s="46"/>
      <c r="BM162" s="46"/>
      <c r="BN162" s="46"/>
      <c r="BO162" s="46"/>
      <c r="BP162" s="46"/>
      <c r="BQ162" s="46"/>
      <c r="BR162" s="46"/>
      <c r="BS162" s="46"/>
      <c r="BT162" s="46"/>
      <c r="BU162" s="46"/>
      <c r="BV162" s="46"/>
      <c r="BW162" s="46"/>
      <c r="BX162" s="46"/>
      <c r="BY162" s="46"/>
      <c r="BZ162" s="46"/>
      <c r="CA162" s="46"/>
      <c r="CB162" s="46"/>
      <c r="CC162" s="46"/>
    </row>
    <row r="163">
      <c r="A163" s="87" t="str">
        <f>IFERROR(__xludf.DUMMYFUNCTION("""COMPUTED_VALUE"""),"448")</f>
        <v>448</v>
      </c>
      <c r="B163" s="46" t="str">
        <f>IFERROR(__xludf.DUMMYFUNCTION("""COMPUTED_VALUE"""),"Casa campestre en Riverita")</f>
        <v>Casa campestre en Riverita</v>
      </c>
      <c r="C163" s="46" t="str">
        <f>IFERROR(__xludf.DUMMYFUNCTION("""COMPUTED_VALUE"""),"Casa campestre")</f>
        <v>Casa campestre</v>
      </c>
      <c r="D163" s="46"/>
      <c r="E163" s="46"/>
      <c r="F163" s="90">
        <f>IFERROR(__xludf.DUMMYFUNCTION("""COMPUTED_VALUE"""),7.5E8)</f>
        <v>750000000</v>
      </c>
      <c r="G163" s="46" t="str">
        <f>IFERROR(__xludf.DUMMYFUNCTION("""COMPUTED_VALUE"""),"$500'000.000 a $1.000'000.000")</f>
        <v>$500'000.000 a $1.000'000.000</v>
      </c>
      <c r="H163" s="46"/>
      <c r="I163" s="46"/>
      <c r="J163" s="46" t="str">
        <f>IFERROR(__xludf.DUMMYFUNCTION("""COMPUTED_VALUE"""),"Sur")</f>
        <v>Sur</v>
      </c>
      <c r="K163" s="87"/>
      <c r="L163" s="46">
        <f>IFERROR(__xludf.DUMMYFUNCTION("""COMPUTED_VALUE"""),8.0)</f>
        <v>8</v>
      </c>
      <c r="M163" s="46"/>
      <c r="N163" s="46">
        <f>IFERROR(__xludf.DUMMYFUNCTION("""COMPUTED_VALUE"""),5.0)</f>
        <v>5</v>
      </c>
      <c r="O163" s="46">
        <f>IFERROR(__xludf.DUMMYFUNCTION("""COMPUTED_VALUE"""),1.0)</f>
        <v>1</v>
      </c>
      <c r="P163" s="46">
        <f>IFERROR(__xludf.DUMMYFUNCTION("""COMPUTED_VALUE"""),1.0)</f>
        <v>1</v>
      </c>
      <c r="Q163" s="92">
        <f>IFERROR(__xludf.DUMMYFUNCTION("""COMPUTED_VALUE"""),380.0)</f>
        <v>380</v>
      </c>
      <c r="R163" s="92">
        <f>IFERROR(__xludf.DUMMYFUNCTION("""COMPUTED_VALUE"""),12000.0)</f>
        <v>12000</v>
      </c>
      <c r="S163" s="87" t="str">
        <f>IFERROR(__xludf.DUMMYFUNCTION("""COMPUTED_VALUE""")," ")</f>
        <v> </v>
      </c>
      <c r="T163" s="46" t="str">
        <f>IFERROR(__xludf.DUMMYFUNCTION("""COMPUTED_VALUE"""),"Riverita")</f>
        <v>Riverita</v>
      </c>
      <c r="U163" s="87"/>
      <c r="V163" s="46"/>
      <c r="W163" s="46"/>
      <c r="X163" s="46">
        <f>IFERROR(__xludf.DUMMYFUNCTION("""COMPUTED_VALUE"""),3.0)</f>
        <v>3</v>
      </c>
      <c r="Y163" s="46" t="str">
        <f>IFERROR(__xludf.DUMMYFUNCTION("""COMPUTED_VALUE"""),"Privada")</f>
        <v>Privada</v>
      </c>
      <c r="Z163" s="226" t="str">
        <f>IFERROR(__xludf.DUMMYFUNCTION("""COMPUTED_VALUE"""),"No aplica")</f>
        <v>No aplica</v>
      </c>
      <c r="AA163" s="33" t="str">
        <f>IFERROR(__xludf.DUMMYFUNCTION("""COMPUTED_VALUE"""),"No aplica")</f>
        <v>No aplica</v>
      </c>
      <c r="AB163" s="144" t="str">
        <f>IFERROR(__xludf.DUMMYFUNCTION("""COMPUTED_VALUE"""),"https://photos.app.goo.gl/NyeXW5wEAex4DmTj9")</f>
        <v>https://photos.app.goo.gl/NyeXW5wEAex4DmTj9</v>
      </c>
      <c r="AC163" s="46"/>
      <c r="AD163" s="46" t="str">
        <f>IFERROR(__xludf.DUMMYFUNCTION("""COMPUTED_VALUE"""),"Riverita")</f>
        <v>Riverita</v>
      </c>
      <c r="AE163" s="46"/>
      <c r="AF163" s="46" t="str">
        <f>IFERROR(__xludf.DUMMYFUNCTION("""COMPUTED_VALUE"""),"semi-integral")</f>
        <v>semi-integral</v>
      </c>
      <c r="AG163" s="46"/>
      <c r="AH163" s="46" t="str">
        <f>IFERROR(__xludf.DUMMYFUNCTION("""COMPUTED_VALUE"""),"Aliado")</f>
        <v>Aliado</v>
      </c>
      <c r="AI163" s="92" t="str">
        <f>IFERROR(__xludf.DUMMYFUNCTION("""COMPUTED_VALUE"""),"https://lh3.googleusercontent.com/pw/AP1GczMTKH1EwJSl0N0se7KF1r6o1i8_27EYB5eOha9tguBFEp3FfQVWGNQpnznp-TYL7ZTHANUVaJIazPshCVAjkKabuy-Jb22OPB5zuxLf8BPbeyqikP9B=w1200|https://lh3.googleusercontent.com/pw/AP1GczMeZVbrrzY1_zMUKk12shCXSENxGf6Az42diXwjGEP6ZQgMUn"&amp;"xQ42kiFYtTnBSfQ-BnMALrntipU4mHSeUmKByNYRiga6argkd-0cIXvgf945FftsQQ=w1200|https://lh3.googleusercontent.com/pw/AP1GczNKhaDhuTJY99rIHZANqKC7jDndYORAQM6GEci_ew5f30eZ3KxWki9aVoOZBz-11qGtmTcOxYUGswUtwAK0BoPY9WGgWO1u9bpjjsiREFd8KTDKbGRe=w1200|https://lh3.google"&amp;"usercontent.com/pw/AP1GczPGzMZLPLI1a3FB6vfzv5ym1PDq-zofrXcFZIO2Mh9Pp4U2e924cRRFIY1tdAcZs4xST9CyGM1SIJ4lxgaA6DUktnug9n2h3v5ZhspoNn_YdQlVgfY2=w1200|https://lh3.googleusercontent.com/pw/AP1GczO7Cpye4ENy_oZjUqWOanALLMVl-zBPgCAT99V3QhnMS9wigPNRCSoeSbwxOGL3M3Fw"&amp;"jN0_NOyUwy7asNrLtJY8FeGOt3s-fbvzC9Zcq73TQgmhfPaG=w1200|https://lh3.googleusercontent.com/pw/AP1GczM6uW5oaV3qfydiUKkV4eEocGaSZlIsFGR8LzTam3nqYS0uU7H8UjvHLfVQNlOfbPYcaMboc56Dw2u903YAeRAhunRExj6xoyt_p6i35UiaMpDNZRG0=w1200|https://lh3.googleusercontent.com/pw"&amp;"/AP1GczP7CNuvMtnYHYQXEtKB2YKjB9pw1US9JhhO5aEEI_OEUIfWIVbTSnz0gQzfC-91bAE6nmwhD4rIE6ge4l-AIWWQinFtgNbm_TeLeBcUGwIoUgbFbSxN=w1200|https://lh3.googleusercontent.com/pw/AP1GczPVJIjnbCsbOlBAI-Ng1OCqLwn8IsDuIgbTkegH9L5x76WuK6x3vO2lmK3oOMlDbuDWmqXq-OyuC5zS1-RzF0"&amp;"Fs6hdzxuIn0__290hWngyGeZGjJ95j=w1200|https://lh3.googleusercontent.com/pw/AP1GczP1PJce-VcOTVvYok8VljNzYfNyWqLA74-sq6kA2PJvZ5CzhusCpRhB1eLRHBNh5168gDTTW8XWVukdQ17gFMQkeK_BEiTVBxYfWzZRh8AJlgGDWNFk=w1200|https://lh3.googleusercontent.com/pw/AP1GczP5Eyx1TONCv"&amp;"y6_Zyt4GqK7rHwerCr9lRRgBHFslVR7XXi5Qm8dvhE602fmEfsQiX7YJjI6oAuEACeeu5xqWzn3O7v8mFsV7cQFZTkc03kCnBdjrJIw=w1200|https://lh3.googleusercontent.com/pw/AP1GczOoHfV7tbQRamfIFz0DhAYfGP7pauU28fyjgIb_61QgsYv0XakoHtLLXIzynlL7UGi2u1MVwfQC6YGCZwDQtMG_BhnPTR0vsicHnqCu"&amp;"DfH7-Tm6Uclr=w1200|https://lh3.googleusercontent.com/pw/AP1GczOiWf4aMXfdsSarqBKXo7yk_KPzBFSFvqw898BzxbSzc_nf6J2vsMev0gS11FRmfjNtdCRTZR_ErNocE0TSJtJ4ocahel1HrcmTiUIIMNtEgPjvCu0d=w1200|https://lh3.googleusercontent.com/pw/AP1GczMug7GCCumtPf_pc0isO_BDc9URr4t"&amp;"3zTD30uPUYhxe_tzXmhU4GRYOD54UXGY3d1mPyj2Q3ebpsT7DTaicNdhgnTIa8C6Z9fexihczWmSF9k0WcaGb=w1200|https://lh3.googleusercontent.com/pw/AP1GczObiTrLAmsDWIljAhs34W6YpXrFDsCmdATf0uKk4qPx7jUB4_5f4N8Q0s1WvCnHf29IwFxr7tDDbKOHIAioH6UeUaBHBpRPu6uxXudUtD8r_NmVB651=w1200"&amp;"|https://lh3.googleusercontent.com/pw/AP1GczMWYLx28dDXdUAtxOawAEaf9gUCFa0K7aBlwRF1GsuAHitDEnzcAW7cuAaDfvuBJzqChqX5TWH3E-QFESLEwLN86GHDRp9Jbh6hC2iOBfkAgTAT56km=w1200|https://lh3.googleusercontent.com/pw/AP1GczMP9dkBJ8Q9LxR7HWf965NEtjxjHMqXDx9f3sUt2RJY8utl3"&amp;"oJu01qYkxigcr4BCqH0Wk4r3tSLAit2glcVfL-A2xGKqMi8h0g_bR8MRF5qBvIc7tRe=w1200|https://lh3.googleusercontent.com/pw/AP1GczPz04gyHFnxH0rEQtMvtXzxQRk6hemvRhEaPsq86acPFAO4ChJ6EsM7Ph3K70cC1ibizFDkIPJ1IeZFIs-qxLvhb--If4uAP6H8r1c5uV0-XbxJ-4jS=w1200")</f>
        <v>https://lh3.googleusercontent.com/pw/AP1GczMTKH1EwJSl0N0se7KF1r6o1i8_27EYB5eOha9tguBFEp3FfQVWGNQpnznp-TYL7ZTHANUVaJIazPshCVAjkKabuy-Jb22OPB5zuxLf8BPbeyqikP9B=w1200|https://lh3.googleusercontent.com/pw/AP1GczMeZVbrrzY1_zMUKk12shCXSENxGf6Az42diXwjGEP6ZQgMUnxQ42kiFYtTnBSfQ-BnMALrntipU4mHSeUmKByNYRiga6argkd-0cIXvgf945FftsQQ=w1200|https://lh3.googleusercontent.com/pw/AP1GczNKhaDhuTJY99rIHZANqKC7jDndYORAQM6GEci_ew5f30eZ3KxWki9aVoOZBz-11qGtmTcOxYUGswUtwAK0BoPY9WGgWO1u9bpjjsiREFd8KTDKbGRe=w1200|https://lh3.googleusercontent.com/pw/AP1GczPGzMZLPLI1a3FB6vfzv5ym1PDq-zofrXcFZIO2Mh9Pp4U2e924cRRFIY1tdAcZs4xST9CyGM1SIJ4lxgaA6DUktnug9n2h3v5ZhspoNn_YdQlVgfY2=w1200|https://lh3.googleusercontent.com/pw/AP1GczO7Cpye4ENy_oZjUqWOanALLMVl-zBPgCAT99V3QhnMS9wigPNRCSoeSbwxOGL3M3FwjN0_NOyUwy7asNrLtJY8FeGOt3s-fbvzC9Zcq73TQgmhfPaG=w1200|https://lh3.googleusercontent.com/pw/AP1GczM6uW5oaV3qfydiUKkV4eEocGaSZlIsFGR8LzTam3nqYS0uU7H8UjvHLfVQNlOfbPYcaMboc56Dw2u903YAeRAhunRExj6xoyt_p6i35UiaMpDNZRG0=w1200|https://lh3.googleusercontent.com/pw/AP1GczP7CNuvMtnYHYQXEtKB2YKjB9pw1US9JhhO5aEEI_OEUIfWIVbTSnz0gQzfC-91bAE6nmwhD4rIE6ge4l-AIWWQinFtgNbm_TeLeBcUGwIoUgbFbSxN=w1200|https://lh3.googleusercontent.com/pw/AP1GczPVJIjnbCsbOlBAI-Ng1OCqLwn8IsDuIgbTkegH9L5x76WuK6x3vO2lmK3oOMlDbuDWmqXq-OyuC5zS1-RzF0Fs6hdzxuIn0__290hWngyGeZGjJ95j=w1200|https://lh3.googleusercontent.com/pw/AP1GczP1PJce-VcOTVvYok8VljNzYfNyWqLA74-sq6kA2PJvZ5CzhusCpRhB1eLRHBNh5168gDTTW8XWVukdQ17gFMQkeK_BEiTVBxYfWzZRh8AJlgGDWNFk=w1200|https://lh3.googleusercontent.com/pw/AP1GczP5Eyx1TONCvy6_Zyt4GqK7rHwerCr9lRRgBHFslVR7XXi5Qm8dvhE602fmEfsQiX7YJjI6oAuEACeeu5xqWzn3O7v8mFsV7cQFZTkc03kCnBdjrJIw=w1200|https://lh3.googleusercontent.com/pw/AP1GczOoHfV7tbQRamfIFz0DhAYfGP7pauU28fyjgIb_61QgsYv0XakoHtLLXIzynlL7UGi2u1MVwfQC6YGCZwDQtMG_BhnPTR0vsicHnqCuDfH7-Tm6Uclr=w1200|https://lh3.googleusercontent.com/pw/AP1GczOiWf4aMXfdsSarqBKXo7yk_KPzBFSFvqw898BzxbSzc_nf6J2vsMev0gS11FRmfjNtdCRTZR_ErNocE0TSJtJ4ocahel1HrcmTiUIIMNtEgPjvCu0d=w1200|https://lh3.googleusercontent.com/pw/AP1GczMug7GCCumtPf_pc0isO_BDc9URr4t3zTD30uPUYhxe_tzXmhU4GRYOD54UXGY3d1mPyj2Q3ebpsT7DTaicNdhgnTIa8C6Z9fexihczWmSF9k0WcaGb=w1200|https://lh3.googleusercontent.com/pw/AP1GczObiTrLAmsDWIljAhs34W6YpXrFDsCmdATf0uKk4qPx7jUB4_5f4N8Q0s1WvCnHf29IwFxr7tDDbKOHIAioH6UeUaBHBpRPu6uxXudUtD8r_NmVB651=w1200|https://lh3.googleusercontent.com/pw/AP1GczMWYLx28dDXdUAtxOawAEaf9gUCFa0K7aBlwRF1GsuAHitDEnzcAW7cuAaDfvuBJzqChqX5TWH3E-QFESLEwLN86GHDRp9Jbh6hC2iOBfkAgTAT56km=w1200|https://lh3.googleusercontent.com/pw/AP1GczMP9dkBJ8Q9LxR7HWf965NEtjxjHMqXDx9f3sUt2RJY8utl3oJu01qYkxigcr4BCqH0Wk4r3tSLAit2glcVfL-A2xGKqMi8h0g_bR8MRF5qBvIc7tRe=w1200|https://lh3.googleusercontent.com/pw/AP1GczPz04gyHFnxH0rEQtMvtXzxQRk6hemvRhEaPsq86acPFAO4ChJ6EsM7Ph3K70cC1ibizFDkIPJ1IeZFIs-qxLvhb--If4uAP6H8r1c5uV0-XbxJ-4jS=w1200</v>
      </c>
      <c r="AJ163" s="46"/>
      <c r="AK163" s="46"/>
      <c r="AL163" s="46"/>
      <c r="AM163" s="46"/>
      <c r="AN163" s="46"/>
      <c r="AO163" s="46"/>
      <c r="AP163" s="46"/>
      <c r="AQ163" s="46"/>
      <c r="AR163" s="46"/>
      <c r="AS163" s="46"/>
      <c r="AT163" s="46"/>
      <c r="AU163" s="46"/>
      <c r="AV163" s="46"/>
      <c r="AW163" s="46"/>
      <c r="AX163" s="46"/>
      <c r="AY163" s="46"/>
      <c r="AZ163" s="46"/>
      <c r="BA163" s="46"/>
      <c r="BB163" s="46"/>
      <c r="BC163" s="46"/>
      <c r="BD163" s="46"/>
      <c r="BE163" s="46"/>
      <c r="BF163" s="46"/>
      <c r="BG163" s="46"/>
      <c r="BH163" s="46"/>
      <c r="BI163" s="46"/>
      <c r="BJ163" s="46"/>
      <c r="BK163" s="46"/>
      <c r="BL163" s="46"/>
      <c r="BM163" s="46"/>
      <c r="BN163" s="46"/>
      <c r="BO163" s="46"/>
      <c r="BP163" s="46"/>
      <c r="BQ163" s="46"/>
      <c r="BR163" s="46"/>
      <c r="BS163" s="46"/>
      <c r="BT163" s="46"/>
      <c r="BU163" s="46"/>
      <c r="BV163" s="46"/>
      <c r="BW163" s="46"/>
      <c r="BX163" s="46"/>
      <c r="BY163" s="46"/>
      <c r="BZ163" s="46"/>
      <c r="CA163" s="46"/>
      <c r="CB163" s="46"/>
      <c r="CC163" s="46"/>
    </row>
    <row r="164">
      <c r="A164" s="87" t="str">
        <f>IFERROR(__xludf.DUMMYFUNCTION("""COMPUTED_VALUE"""),"454")</f>
        <v>454</v>
      </c>
      <c r="B164" s="46" t="str">
        <f>IFERROR(__xludf.DUMMYFUNCTION("""COMPUTED_VALUE"""),"Casa campestre en conjunto Rivera")</f>
        <v>Casa campestre en conjunto Rivera</v>
      </c>
      <c r="C164" s="46" t="str">
        <f>IFERROR(__xludf.DUMMYFUNCTION("""COMPUTED_VALUE"""),"Casa campestre en conjunto")</f>
        <v>Casa campestre en conjunto</v>
      </c>
      <c r="D164" s="46"/>
      <c r="E164" s="46" t="str">
        <f>IFERROR(__xludf.DUMMYFUNCTION("""COMPUTED_VALUE"""),"Conjunto Campestre - Palermo")</f>
        <v>Conjunto Campestre - Palermo</v>
      </c>
      <c r="F164" s="90">
        <f>IFERROR(__xludf.DUMMYFUNCTION("""COMPUTED_VALUE"""),7.2E8)</f>
        <v>720000000</v>
      </c>
      <c r="G164" s="46" t="str">
        <f>IFERROR(__xludf.DUMMYFUNCTION("""COMPUTED_VALUE"""),"$500'000.000 a $1.000'000.000")</f>
        <v>$500'000.000 a $1.000'000.000</v>
      </c>
      <c r="H164" s="46"/>
      <c r="I164" s="46"/>
      <c r="J164" s="46" t="str">
        <f>IFERROR(__xludf.DUMMYFUNCTION("""COMPUTED_VALUE"""),"Sur")</f>
        <v>Sur</v>
      </c>
      <c r="K164" s="87"/>
      <c r="L164" s="46">
        <f>IFERROR(__xludf.DUMMYFUNCTION("""COMPUTED_VALUE"""),4.0)</f>
        <v>4</v>
      </c>
      <c r="M164" s="46"/>
      <c r="N164" s="46">
        <f>IFERROR(__xludf.DUMMYFUNCTION("""COMPUTED_VALUE"""),3.0)</f>
        <v>3</v>
      </c>
      <c r="O164" s="46">
        <f>IFERROR(__xludf.DUMMYFUNCTION("""COMPUTED_VALUE"""),1.0)</f>
        <v>1</v>
      </c>
      <c r="P164" s="46">
        <f>IFERROR(__xludf.DUMMYFUNCTION("""COMPUTED_VALUE"""),3.0)</f>
        <v>3</v>
      </c>
      <c r="Q164" s="92">
        <f>IFERROR(__xludf.DUMMYFUNCTION("""COMPUTED_VALUE"""),267.0)</f>
        <v>267</v>
      </c>
      <c r="R164" s="92">
        <f>IFERROR(__xludf.DUMMYFUNCTION("""COMPUTED_VALUE"""),480.0)</f>
        <v>480</v>
      </c>
      <c r="S164" s="87" t="str">
        <f>IFERROR(__xludf.DUMMYFUNCTION("""COMPUTED_VALUE""")," ")</f>
        <v> </v>
      </c>
      <c r="T164" s="46"/>
      <c r="U164" s="87"/>
      <c r="V164" s="46"/>
      <c r="W164" s="46"/>
      <c r="X164" s="46">
        <f>IFERROR(__xludf.DUMMYFUNCTION("""COMPUTED_VALUE"""),4.0)</f>
        <v>4</v>
      </c>
      <c r="Y164" s="46" t="str">
        <f>IFERROR(__xludf.DUMMYFUNCTION("""COMPUTED_VALUE"""),"Social")</f>
        <v>Social</v>
      </c>
      <c r="Z164" s="90" t="str">
        <f>IFERROR(__xludf.DUMMYFUNCTION("""COMPUTED_VALUE"""),"No aplica")</f>
        <v>No aplica</v>
      </c>
      <c r="AA164" s="33" t="str">
        <f>IFERROR(__xludf.DUMMYFUNCTION("""COMPUTED_VALUE"""),"No aplica")</f>
        <v>No aplica</v>
      </c>
      <c r="AB164" s="144" t="str">
        <f>IFERROR(__xludf.DUMMYFUNCTION("""COMPUTED_VALUE"""),"https://photos.app.goo.gl/iHmEuzZ66RQ31E6g7")</f>
        <v>https://photos.app.goo.gl/iHmEuzZ66RQ31E6g7</v>
      </c>
      <c r="AC164" s="46"/>
      <c r="AD164" s="46" t="str">
        <f>IFERROR(__xludf.DUMMYFUNCTION("""COMPUTED_VALUE"""),"Casa con diseño volumétrico contemporáneo. Todas las habitaciones con balcón. Buenos acabados, piso en porcelanato, carpintería en aluminio y vidrio templado. Área de depósito. Escritura al día.")</f>
        <v>Casa con diseño volumétrico contemporáneo. Todas las habitaciones con balcón. Buenos acabados, piso en porcelanato, carpintería en aluminio y vidrio templado. Área de depósito. Escritura al día.</v>
      </c>
      <c r="AE164" s="46"/>
      <c r="AF164" s="46" t="str">
        <f>IFERROR(__xludf.DUMMYFUNCTION("""COMPUTED_VALUE"""),"integral")</f>
        <v>integral</v>
      </c>
      <c r="AG164" s="46"/>
      <c r="AH164" s="46" t="str">
        <f>IFERROR(__xludf.DUMMYFUNCTION("""COMPUTED_VALUE"""),"Aliado")</f>
        <v>Aliado</v>
      </c>
      <c r="AI164" s="92" t="str">
        <f>IFERROR(__xludf.DUMMYFUNCTION("""COMPUTED_VALUE"""),"https://lh3.googleusercontent.com/pw/AP1GczM24rM-AX4w_vwfMP3qhPd-Qn5kkKOwgvrDKi8ogx8foyS4BHQYdLUvkoVkclV5VbyBOeBmVv7YKAS8VUTEU6rj29BNtcxcbXnjVd6L1IlhjgeBmHsj=w1200|https://lh3.googleusercontent.com/pw/AP1GczMPM4lZtwyLjb7pgPR_iwksucSEErAvFAKCP66xTqq2GfgKUM"&amp;"QUF549siCH-VXJ8mDpUjNHuzZ6M9_jWGmRwMTPi83mmri6amIwLYL-X6J9UQuMCEvj=w1200|https://lh3.googleusercontent.com/pw/AP1GczOxYY-VkjOUzS2evSB5KdTcNBgO872gFy35GaOmMR-QqIWjz4nfByfTR45c0OP2pfql4CCZZ3_aVsOrCrfm-6_nJvE-fJU8-VMwuoZoba2iUCupmB-A=w1200|https://lh3.google"&amp;"usercontent.com/pw/AP1GczPdjyd4P1V_UA9QPwu2VsF4VbaX083yp-Lv0srTqOstbAqbh1fGjLFF8BfuhlUZboq_OMN4k4GT5Fu7WV71n2eX_20_L__tbCwlyOi2hLjEAs5WgYTG=w1200|https://lh3.googleusercontent.com/pw/AP1GczMbulsLM3hLUDNUYjdZ_KKhHbY-zR8B2h3jgbNmbEA4JsqrhZJqVCsyTDYD4lYZ52tw"&amp;"CV-Nrw1aJEuNMN5gHUzsIbrAVRvBxx2ytwK-Tn5MTEDo57U0=w1200|https://lh3.googleusercontent.com/pw/AP1GczMd-h5U2mBHagUNtcPDpEng0uUOrVNRaGTgHYPcDG8SlDsITuo7ReNb4bA5xFPkZZRFj9WjRhkPyuxaXK6YE2FZsQFveWgYAi1hP6Nx5GJcFYLorjVy=w1200|https://lh3.googleusercontent.com/pw"&amp;"/AP1GczO3h5QFkEByazV6cNZ5-hK126ROCSiBGxC8-OoI2y2fh8hn_xgLhaSRfTxyYGPfl8NSjoU0T3xOFqL14pvZM0jo4HGZ43fpKqQ2eu5-S2B4hGU5GVIo=w1200|https://lh3.googleusercontent.com/pw/AP1GczM2wjurBMhT9gQLWe0DGXNQPMDnKMvRPeJP5CYk8dTQEdvSh-r8WK0aRyszAhXR_MQMrJIhKHniYmovOySVFG"&amp;"n7dbxSByN3vHJMa1pvsA0-zWmvq9Nl=w1200|https://lh3.googleusercontent.com/pw/AP1GczP8hW99hyhmT3svTMDz9oRUd2-YIjYTjfwXkWuLlWASXCWi6KKgD28RPbxSleluSmuLFhptkmp7COBUHnVbEXIh5HrGktT6yxnkD37NmJt6xF-Ef7fE=w1200|https://lh3.googleusercontent.com/pw/AP1GczOoCC7TY7e0h"&amp;"9OAwyif-bboICrigptPK5-Iw7wy1f9q_sOJ4NtghOokWOVwFuovGfklA4zL6kgQa-eiMQKxUocpSyeb2iW5L9z33N8Ch0091Eaj2l7J=w1200|https://lh3.googleusercontent.com/pw/AP1GczMxdYimiFKk69Jeqg8se7sFKinTpBzLvqwGWYvsqlQKi8b4lhkEXJRKNQc4W_uQKld9tXXE43y4sQG-V0EoOBnK4urnJYScQYnU7fPg"&amp;"5DpQWG0w2-rA=w1200|https://lh3.googleusercontent.com/pw/AP1GczO2Nl2aNm2O_7s1Uw8MgRZO76lg9uZ1tvEwDoYULGeeQqeSv8lmTZFQeVtHRK1JcVaAhp9U-o3TekW1S3buLn3NMSdbPhqUEHkhMtf36om1sX_--up0=w1200|https://lh3.googleusercontent.com/pw/AP1GczP9kM1sqYWUT3Xg9n2EMDUe5GKCUkQ"&amp;"9PMze5AqHP8f8_3XYpND_VFNwd5I-phKhHBsuzEy-DyggwnXBH6AoXGTmj4vz0UC05cJTwqM8zuUFEFItTrs_=w1200|https://lh3.googleusercontent.com/pw/AP1GczNAweBIyT3FXqKYfYBGqOCotMcL3uQu1HM9LA3xfa1xPX1AlkoOQsj5nKv_MkI2pDQ7ltBtfHFlkQYnCvqZmtlNgfTeoM1TYwZl5yHq26TXUEM4uYGM=w1200"&amp;"|https://lh3.googleusercontent.com/pw/AP1GczMcKuRMnE6r_4O7OnRkcrfd4cUt98NoLqdDte1Tjjh3Arblat_Ix_VOWVVO5x-wfRw5dfcY7ttdTu0mkIyBV-264BpIGP4AJ3LTGmu4TG9YuTt1DeFn=w1200|https://lh3.googleusercontent.com/pw/AP1GczPyJKZJMoc5_Egl4wq3ziRPb0Ik5Kqr2nbERgvcw8Mj1nxZ8"&amp;"MbCQ9gQmpQzTDnheSiyIWcs4T8GXoZgR0IVLtXRAne6FYeQVleWb1EsXz6V2JPrMXwn=w1200|https://lh3.googleusercontent.com/pw/AP1GczORNWYaAAw6qFwpuyROtsn-HmqrS904zbqfM3iht1m6YaAp5JciI9hDh5TAR3F5cxatYRqd8EMOjKW57bdklQWfmo70bR77qbNHNzke9A5wiZ4qqXWt=w1200|https://lh3.googl"&amp;"eusercontent.com/pw/AP1GczPklzhIfbRYmtVEQtJCxMI4SLsFlH6NlJT3qxyFgYvYxuITlazBg5cfVRmWE64s1_adX-UWGTaRlUOFkwXH7JJOFGl6euSnrMMzD1xO1uZIyZTuGPVM=w1200")</f>
        <v>https://lh3.googleusercontent.com/pw/AP1GczM24rM-AX4w_vwfMP3qhPd-Qn5kkKOwgvrDKi8ogx8foyS4BHQYdLUvkoVkclV5VbyBOeBmVv7YKAS8VUTEU6rj29BNtcxcbXnjVd6L1IlhjgeBmHsj=w1200|https://lh3.googleusercontent.com/pw/AP1GczMPM4lZtwyLjb7pgPR_iwksucSEErAvFAKCP66xTqq2GfgKUMQUF549siCH-VXJ8mDpUjNHuzZ6M9_jWGmRwMTPi83mmri6amIwLYL-X6J9UQuMCEvj=w1200|https://lh3.googleusercontent.com/pw/AP1GczOxYY-VkjOUzS2evSB5KdTcNBgO872gFy35GaOmMR-QqIWjz4nfByfTR45c0OP2pfql4CCZZ3_aVsOrCrfm-6_nJvE-fJU8-VMwuoZoba2iUCupmB-A=w1200|https://lh3.googleusercontent.com/pw/AP1GczPdjyd4P1V_UA9QPwu2VsF4VbaX083yp-Lv0srTqOstbAqbh1fGjLFF8BfuhlUZboq_OMN4k4GT5Fu7WV71n2eX_20_L__tbCwlyOi2hLjEAs5WgYTG=w1200|https://lh3.googleusercontent.com/pw/AP1GczMbulsLM3hLUDNUYjdZ_KKhHbY-zR8B2h3jgbNmbEA4JsqrhZJqVCsyTDYD4lYZ52twCV-Nrw1aJEuNMN5gHUzsIbrAVRvBxx2ytwK-Tn5MTEDo57U0=w1200|https://lh3.googleusercontent.com/pw/AP1GczMd-h5U2mBHagUNtcPDpEng0uUOrVNRaGTgHYPcDG8SlDsITuo7ReNb4bA5xFPkZZRFj9WjRhkPyuxaXK6YE2FZsQFveWgYAi1hP6Nx5GJcFYLorjVy=w1200|https://lh3.googleusercontent.com/pw/AP1GczO3h5QFkEByazV6cNZ5-hK126ROCSiBGxC8-OoI2y2fh8hn_xgLhaSRfTxyYGPfl8NSjoU0T3xOFqL14pvZM0jo4HGZ43fpKqQ2eu5-S2B4hGU5GVIo=w1200|https://lh3.googleusercontent.com/pw/AP1GczM2wjurBMhT9gQLWe0DGXNQPMDnKMvRPeJP5CYk8dTQEdvSh-r8WK0aRyszAhXR_MQMrJIhKHniYmovOySVFGn7dbxSByN3vHJMa1pvsA0-zWmvq9Nl=w1200|https://lh3.googleusercontent.com/pw/AP1GczP8hW99hyhmT3svTMDz9oRUd2-YIjYTjfwXkWuLlWASXCWi6KKgD28RPbxSleluSmuLFhptkmp7COBUHnVbEXIh5HrGktT6yxnkD37NmJt6xF-Ef7fE=w1200|https://lh3.googleusercontent.com/pw/AP1GczOoCC7TY7e0h9OAwyif-bboICrigptPK5-Iw7wy1f9q_sOJ4NtghOokWOVwFuovGfklA4zL6kgQa-eiMQKxUocpSyeb2iW5L9z33N8Ch0091Eaj2l7J=w1200|https://lh3.googleusercontent.com/pw/AP1GczMxdYimiFKk69Jeqg8se7sFKinTpBzLvqwGWYvsqlQKi8b4lhkEXJRKNQc4W_uQKld9tXXE43y4sQG-V0EoOBnK4urnJYScQYnU7fPg5DpQWG0w2-rA=w1200|https://lh3.googleusercontent.com/pw/AP1GczO2Nl2aNm2O_7s1Uw8MgRZO76lg9uZ1tvEwDoYULGeeQqeSv8lmTZFQeVtHRK1JcVaAhp9U-o3TekW1S3buLn3NMSdbPhqUEHkhMtf36om1sX_--up0=w1200|https://lh3.googleusercontent.com/pw/AP1GczP9kM1sqYWUT3Xg9n2EMDUe5GKCUkQ9PMze5AqHP8f8_3XYpND_VFNwd5I-phKhHBsuzEy-DyggwnXBH6AoXGTmj4vz0UC05cJTwqM8zuUFEFItTrs_=w1200|https://lh3.googleusercontent.com/pw/AP1GczNAweBIyT3FXqKYfYBGqOCotMcL3uQu1HM9LA3xfa1xPX1AlkoOQsj5nKv_MkI2pDQ7ltBtfHFlkQYnCvqZmtlNgfTeoM1TYwZl5yHq26TXUEM4uYGM=w1200|https://lh3.googleusercontent.com/pw/AP1GczMcKuRMnE6r_4O7OnRkcrfd4cUt98NoLqdDte1Tjjh3Arblat_Ix_VOWVVO5x-wfRw5dfcY7ttdTu0mkIyBV-264BpIGP4AJ3LTGmu4TG9YuTt1DeFn=w1200|https://lh3.googleusercontent.com/pw/AP1GczPyJKZJMoc5_Egl4wq3ziRPb0Ik5Kqr2nbERgvcw8Mj1nxZ8MbCQ9gQmpQzTDnheSiyIWcs4T8GXoZgR0IVLtXRAne6FYeQVleWb1EsXz6V2JPrMXwn=w1200|https://lh3.googleusercontent.com/pw/AP1GczORNWYaAAw6qFwpuyROtsn-HmqrS904zbqfM3iht1m6YaAp5JciI9hDh5TAR3F5cxatYRqd8EMOjKW57bdklQWfmo70bR77qbNHNzke9A5wiZ4qqXWt=w1200|https://lh3.googleusercontent.com/pw/AP1GczPklzhIfbRYmtVEQtJCxMI4SLsFlH6NlJT3qxyFgYvYxuITlazBg5cfVRmWE64s1_adX-UWGTaRlUOFkwXH7JJOFGl6euSnrMMzD1xO1uZIyZTuGPVM=w1200</v>
      </c>
      <c r="AJ164" s="46"/>
      <c r="AK164" s="46"/>
      <c r="AL164" s="46"/>
      <c r="AM164" s="46"/>
      <c r="AN164" s="46"/>
      <c r="AO164" s="46"/>
      <c r="AP164" s="46"/>
      <c r="AQ164" s="46"/>
      <c r="AR164" s="46"/>
      <c r="AS164" s="46"/>
      <c r="AT164" s="46"/>
      <c r="AU164" s="46"/>
      <c r="AV164" s="46"/>
      <c r="AW164" s="46"/>
      <c r="AX164" s="46"/>
      <c r="AY164" s="46"/>
      <c r="AZ164" s="46"/>
      <c r="BA164" s="46"/>
      <c r="BB164" s="46"/>
      <c r="BC164" s="46"/>
      <c r="BD164" s="46"/>
      <c r="BE164" s="46"/>
      <c r="BF164" s="46"/>
      <c r="BG164" s="46"/>
      <c r="BH164" s="46"/>
      <c r="BI164" s="46"/>
      <c r="BJ164" s="46"/>
      <c r="BK164" s="46"/>
      <c r="BL164" s="46"/>
      <c r="BM164" s="46"/>
      <c r="BN164" s="46"/>
      <c r="BO164" s="46"/>
      <c r="BP164" s="46"/>
      <c r="BQ164" s="46"/>
      <c r="BR164" s="46"/>
      <c r="BS164" s="46"/>
      <c r="BT164" s="46"/>
      <c r="BU164" s="46"/>
      <c r="BV164" s="46"/>
      <c r="BW164" s="46"/>
      <c r="BX164" s="46"/>
      <c r="BY164" s="46"/>
      <c r="BZ164" s="46"/>
      <c r="CA164" s="46"/>
      <c r="CB164" s="46"/>
      <c r="CC164" s="46"/>
    </row>
    <row r="165">
      <c r="A165" s="87" t="str">
        <f>IFERROR(__xludf.DUMMYFUNCTION("""COMPUTED_VALUE"""),"185")</f>
        <v>185</v>
      </c>
      <c r="B165" s="46" t="str">
        <f>IFERROR(__xludf.DUMMYFUNCTION("""COMPUTED_VALUE"""),"Apartamento en edificio Beneficiencia")</f>
        <v>Apartamento en edificio Beneficiencia</v>
      </c>
      <c r="C165" s="46" t="str">
        <f>IFERROR(__xludf.DUMMYFUNCTION("""COMPUTED_VALUE"""),"Apartamento")</f>
        <v>Apartamento</v>
      </c>
      <c r="D165" s="46" t="str">
        <f>IFERROR(__xludf.DUMMYFUNCTION("""COMPUTED_VALUE"""),"Centro")</f>
        <v>Centro</v>
      </c>
      <c r="E165" s="90"/>
      <c r="F165" s="90">
        <f>IFERROR(__xludf.DUMMYFUNCTION("""COMPUTED_VALUE"""),2.2E8)</f>
        <v>220000000</v>
      </c>
      <c r="G165" s="46" t="str">
        <f>IFERROR(__xludf.DUMMYFUNCTION("""COMPUTED_VALUE"""),"$200'000.000 a $300'000.000")</f>
        <v>$200'000.000 a $300'000.000</v>
      </c>
      <c r="H165" s="46"/>
      <c r="I165" s="46"/>
      <c r="J165" s="46" t="str">
        <f>IFERROR(__xludf.DUMMYFUNCTION("""COMPUTED_VALUE"""),"Centro")</f>
        <v>Centro</v>
      </c>
      <c r="K165" s="87"/>
      <c r="L165" s="46">
        <f>IFERROR(__xludf.DUMMYFUNCTION("""COMPUTED_VALUE"""),2.0)</f>
        <v>2</v>
      </c>
      <c r="M165" s="46"/>
      <c r="N165" s="46">
        <f>IFERROR(__xludf.DUMMYFUNCTION("""COMPUTED_VALUE"""),2.0)</f>
        <v>2</v>
      </c>
      <c r="O165" s="46">
        <f>IFERROR(__xludf.DUMMYFUNCTION("""COMPUTED_VALUE"""),0.0)</f>
        <v>0</v>
      </c>
      <c r="P165" s="46">
        <f>IFERROR(__xludf.DUMMYFUNCTION("""COMPUTED_VALUE"""),1.0)</f>
        <v>1</v>
      </c>
      <c r="Q165" s="92">
        <f>IFERROR(__xludf.DUMMYFUNCTION("""COMPUTED_VALUE"""),90.0)</f>
        <v>90</v>
      </c>
      <c r="R165" s="92">
        <f>IFERROR(__xludf.DUMMYFUNCTION("""COMPUTED_VALUE"""),90.0)</f>
        <v>90</v>
      </c>
      <c r="S165" s="87" t="str">
        <f>IFERROR(__xludf.DUMMYFUNCTION("""COMPUTED_VALUE""")," ")</f>
        <v> </v>
      </c>
      <c r="T165" s="46" t="str">
        <f>IFERROR(__xludf.DUMMYFUNCTION("""COMPUTED_VALUE"""),"Neiva")</f>
        <v>Neiva</v>
      </c>
      <c r="U165" s="87" t="str">
        <f>IFERROR(__xludf.DUMMYFUNCTION("""COMPUTED_VALUE"""),"3")</f>
        <v>3</v>
      </c>
      <c r="V165" s="46"/>
      <c r="W165" s="46"/>
      <c r="X165" s="46">
        <f>IFERROR(__xludf.DUMMYFUNCTION("""COMPUTED_VALUE"""),2.0)</f>
        <v>2</v>
      </c>
      <c r="Y165" s="46" t="str">
        <f>IFERROR(__xludf.DUMMYFUNCTION("""COMPUTED_VALUE"""),"No tiene")</f>
        <v>No tiene</v>
      </c>
      <c r="Z165" s="90">
        <f>IFERROR(__xludf.DUMMYFUNCTION("""COMPUTED_VALUE"""),248000.0)</f>
        <v>248000</v>
      </c>
      <c r="AA165" s="33" t="str">
        <f>IFERROR(__xludf.DUMMYFUNCTION("""COMPUTED_VALUE"""),"No aplica")</f>
        <v>No aplica</v>
      </c>
      <c r="AB165" s="144" t="str">
        <f>IFERROR(__xludf.DUMMYFUNCTION("""COMPUTED_VALUE"""),"https://photos.app.goo.gl/svXbLnwMB3XYbEjZA")</f>
        <v>https://photos.app.goo.gl/svXbLnwMB3XYbEjZA</v>
      </c>
      <c r="AC165" s="46" t="str">
        <f>IFERROR(__xludf.DUMMYFUNCTION("""COMPUTED_VALUE"""),"Ubicado en el quinto piso")</f>
        <v>Ubicado en el quinto piso</v>
      </c>
      <c r="AD165" s="46" t="str">
        <f>IFERROR(__xludf.DUMMYFUNCTION("""COMPUTED_VALUE"""),"Casa  con buenos acabados.  Escritura al día.")</f>
        <v>Casa  con buenos acabados.  Escritura al día.</v>
      </c>
      <c r="AE165" s="46"/>
      <c r="AF165" s="46" t="str">
        <f>IFERROR(__xludf.DUMMYFUNCTION("""COMPUTED_VALUE"""),"integral")</f>
        <v>integral</v>
      </c>
      <c r="AG165" s="46"/>
      <c r="AH165" s="46" t="str">
        <f>IFERROR(__xludf.DUMMYFUNCTION("""COMPUTED_VALUE"""),"Aliado")</f>
        <v>Aliado</v>
      </c>
      <c r="AI165" s="92" t="str">
        <f>IFERROR(__xludf.DUMMYFUNCTION("""COMPUTED_VALUE"""),"https://lh3.googleusercontent.com/pw/AP1GczND2HB2vGgARmkvhPzHDKcPfGsu93uRhTlcRKewxdmr7sKSsKFY1O1exrWuC1orIGC_PGZrlDE_dglJiot0pszKWOUT0dIIp1CfGIdPkYn3GogqMg-d=w1200|https://lh3.googleusercontent.com/pw/AP1GczODRK9QF6j7k90AbwaBSVcQF_9FNAm64x6F2vAEAUgPm0GTNQ"&amp;"yiuvfI4pENk-Yei2vSZpszLFc9wrwX7Z1d7rLSANGanUJUNgnYpWqLXFPkCmUCR6xU=w1200|https://lh3.googleusercontent.com/pw/AP1GczNQH4-0lWr4Oy7nJLQ2iQHufb3vDKhPHRFABb83ZPJ7x3HMYGSB_F0P5cj3SKy9pPmgiw73wyEFkpC4fvWiC8BhLa7XXq5dSkGX56jfFart25VsSVLY=w1200|https://lh3.google"&amp;"usercontent.com/pw/AP1GczPeXNfr7PoZ7iMmTRJLCci2-LVldIAa-_wf_oBm5FQmozI0NhhWk0-DP-XyOEj0V73fw0fwMFFxTlE9hyg8697epA7kfyuUpqom-aovai5bY8-h2tF_=w1200|https://lh3.googleusercontent.com/pw/AP1GczMs0meN2frolRS2LXK4SJ2EgVw8umSntgME0ZNvBpC7cic3B-b7FYSV4C3UJeSW2HbA"&amp;"FITWXGtidbdnWVEtuBBgW_JIo8SQtsHEs2hsySewNkbeGYQ4=w1200|https://lh3.googleusercontent.com/pw/AP1GczOCA4puIIEQRQ0lLTF2LVFwD96d7Bq2VKR-ZDdzeyVVuSNpHNmSgALUaKJsag2CQD8RbKmdMC0OEc8uyp2mTr3suRaGTkbSvVwNipW2_tohpfcZ5IvN=w1200|https://lh3.googleusercontent.com/pw"&amp;"/AP1GczPvMCKc_SGPZc6o1NSNDVwys0sTqv2pANq2cpUMdSxc_C3Za-cQGllgd-JmOFJKnNDfddedM7i8NPGN703w6FtAKmgHOb6WSK5btrzc8cxd-KV5FQjm=w1200|https://lh3.googleusercontent.com/pw/AP1GczOXcuBuT6vnCi1ZSLfqJ6NusSja0suR6wAgnXA9j3R325QfF1P0yGMq09Q3xk5ApPA7CUnNKOw_LQH9haT0c7"&amp;"Db4ZMxLC8dI4WduF48y4jZZ9ZvpcxC=w1200|https://lh3.googleusercontent.com/pw/AP1GczPTQA3Q3qEzv5aYry6uZ-O8abBdUeeyDy7HpJM8pOy6NPx3H941wTe72FR4AtP677mu_CHMAgwD7aXl8jKynV4P9Sw1TAa3m7dRnlZSn6wbS-h_YKcx=w1200|https://lh3.googleusercontent.com/pw/AP1GczO6ijpMmNWd6"&amp;"Q3QMMtnVzioPTcGL8slGQc4WTAKHZAhHJ8y843jB6pjCM4hWe-O7aAnL_LFDa9myCfHEF3POc12mdWQpNK9_ZF6GSfuIqoxptW8MYFv=w1200|https://lh3.googleusercontent.com/pw/AP1GczN4DezB17lValyxVXDu45w8R283_48qMlPwZ6gx_KXNh_-DlR7Leav0VJ03PcglEE8YGq25htbURLtUXovJ800siv2p8M7yT1wIBZyo"&amp;"nVj4TDnaPQb_=w1200|https://lh3.googleusercontent.com/pw/AP1GczNGjTHNNaOoViv0jlnmJ1Fr3tIax6h-sPGHVq0L0D8D03LHXMU3MPFUL8X7X9Q16DGr_6AAUjeZhf0tl-Ttt-1iIAQrV-YHHGy4SyhY4bhyg-RkdQeb=w1200|https://lh3.googleusercontent.com/pw/AP1GczMC1V9DsOuS6ZBLCKPyqZeB4xkBnw5"&amp;"uMVwKTKU86SOFg5BQvpu_s4DXfMLjfqMXIGYvd1zfthWUuLduELle0iKOZHN8tebGo7HHCJVT3YgliSUN2EXP=w1200|https://lh3.googleusercontent.com/pw/AP1GczOmT_xZ8vybHS8c1fbQY6-v3C__d8L9g-bGO4NDW0ItfzAh0zhJCZrVnxqTRZuMG98OPCW-Q3fUDOJpEWe7BA8arHQH3xDESUWAyL9VprbqVyNINhSH=w1200"&amp;"|https://lh3.googleusercontent.com/pw/AP1GczNnr6iK_isKiWulKHw8sSdDgGplEsinnZ6ZbTEHUqa7cgK7lv7iHWK28x-GojgfkNp5iLpMyshdxlHeaw5RazgD9dd40BYI2gRBvZ9snfN4YlUsg6YJ=w1200|https://lh3.googleusercontent.com/pw/AP1GczMh_eWph6pfr4y5F_llAVQEMYsuH8trclH1u605S0ceHxXZa"&amp;"hVqPtykziQtF6SoOcpKkCe4WVvNRRUy3701fKlqM0y6rIT7VY-ynsPIurFsMOHAz5GL=w1200")</f>
        <v>https://lh3.googleusercontent.com/pw/AP1GczND2HB2vGgARmkvhPzHDKcPfGsu93uRhTlcRKewxdmr7sKSsKFY1O1exrWuC1orIGC_PGZrlDE_dglJiot0pszKWOUT0dIIp1CfGIdPkYn3GogqMg-d=w1200|https://lh3.googleusercontent.com/pw/AP1GczODRK9QF6j7k90AbwaBSVcQF_9FNAm64x6F2vAEAUgPm0GTNQyiuvfI4pENk-Yei2vSZpszLFc9wrwX7Z1d7rLSANGanUJUNgnYpWqLXFPkCmUCR6xU=w1200|https://lh3.googleusercontent.com/pw/AP1GczNQH4-0lWr4Oy7nJLQ2iQHufb3vDKhPHRFABb83ZPJ7x3HMYGSB_F0P5cj3SKy9pPmgiw73wyEFkpC4fvWiC8BhLa7XXq5dSkGX56jfFart25VsSVLY=w1200|https://lh3.googleusercontent.com/pw/AP1GczPeXNfr7PoZ7iMmTRJLCci2-LVldIAa-_wf_oBm5FQmozI0NhhWk0-DP-XyOEj0V73fw0fwMFFxTlE9hyg8697epA7kfyuUpqom-aovai5bY8-h2tF_=w1200|https://lh3.googleusercontent.com/pw/AP1GczMs0meN2frolRS2LXK4SJ2EgVw8umSntgME0ZNvBpC7cic3B-b7FYSV4C3UJeSW2HbAFITWXGtidbdnWVEtuBBgW_JIo8SQtsHEs2hsySewNkbeGYQ4=w1200|https://lh3.googleusercontent.com/pw/AP1GczOCA4puIIEQRQ0lLTF2LVFwD96d7Bq2VKR-ZDdzeyVVuSNpHNmSgALUaKJsag2CQD8RbKmdMC0OEc8uyp2mTr3suRaGTkbSvVwNipW2_tohpfcZ5IvN=w1200|https://lh3.googleusercontent.com/pw/AP1GczPvMCKc_SGPZc6o1NSNDVwys0sTqv2pANq2cpUMdSxc_C3Za-cQGllgd-JmOFJKnNDfddedM7i8NPGN703w6FtAKmgHOb6WSK5btrzc8cxd-KV5FQjm=w1200|https://lh3.googleusercontent.com/pw/AP1GczOXcuBuT6vnCi1ZSLfqJ6NusSja0suR6wAgnXA9j3R325QfF1P0yGMq09Q3xk5ApPA7CUnNKOw_LQH9haT0c7Db4ZMxLC8dI4WduF48y4jZZ9ZvpcxC=w1200|https://lh3.googleusercontent.com/pw/AP1GczPTQA3Q3qEzv5aYry6uZ-O8abBdUeeyDy7HpJM8pOy6NPx3H941wTe72FR4AtP677mu_CHMAgwD7aXl8jKynV4P9Sw1TAa3m7dRnlZSn6wbS-h_YKcx=w1200|https://lh3.googleusercontent.com/pw/AP1GczO6ijpMmNWd6Q3QMMtnVzioPTcGL8slGQc4WTAKHZAhHJ8y843jB6pjCM4hWe-O7aAnL_LFDa9myCfHEF3POc12mdWQpNK9_ZF6GSfuIqoxptW8MYFv=w1200|https://lh3.googleusercontent.com/pw/AP1GczN4DezB17lValyxVXDu45w8R283_48qMlPwZ6gx_KXNh_-DlR7Leav0VJ03PcglEE8YGq25htbURLtUXovJ800siv2p8M7yT1wIBZyonVj4TDnaPQb_=w1200|https://lh3.googleusercontent.com/pw/AP1GczNGjTHNNaOoViv0jlnmJ1Fr3tIax6h-sPGHVq0L0D8D03LHXMU3MPFUL8X7X9Q16DGr_6AAUjeZhf0tl-Ttt-1iIAQrV-YHHGy4SyhY4bhyg-RkdQeb=w1200|https://lh3.googleusercontent.com/pw/AP1GczMC1V9DsOuS6ZBLCKPyqZeB4xkBnw5uMVwKTKU86SOFg5BQvpu_s4DXfMLjfqMXIGYvd1zfthWUuLduELle0iKOZHN8tebGo7HHCJVT3YgliSUN2EXP=w1200|https://lh3.googleusercontent.com/pw/AP1GczOmT_xZ8vybHS8c1fbQY6-v3C__d8L9g-bGO4NDW0ItfzAh0zhJCZrVnxqTRZuMG98OPCW-Q3fUDOJpEWe7BA8arHQH3xDESUWAyL9VprbqVyNINhSH=w1200|https://lh3.googleusercontent.com/pw/AP1GczNnr6iK_isKiWulKHw8sSdDgGplEsinnZ6ZbTEHUqa7cgK7lv7iHWK28x-GojgfkNp5iLpMyshdxlHeaw5RazgD9dd40BYI2gRBvZ9snfN4YlUsg6YJ=w1200|https://lh3.googleusercontent.com/pw/AP1GczMh_eWph6pfr4y5F_llAVQEMYsuH8trclH1u605S0ceHxXZahVqPtykziQtF6SoOcpKkCe4WVvNRRUy3701fKlqM0y6rIT7VY-ynsPIurFsMOHAz5GL=w1200</v>
      </c>
      <c r="AJ165" s="46"/>
      <c r="AK165" s="46"/>
      <c r="AL165" s="46"/>
      <c r="AM165" s="46"/>
      <c r="AN165" s="46"/>
      <c r="AO165" s="46"/>
      <c r="AP165" s="46"/>
      <c r="AQ165" s="46"/>
      <c r="AR165" s="46"/>
      <c r="AS165" s="46"/>
      <c r="AT165" s="46"/>
      <c r="AU165" s="46"/>
      <c r="AV165" s="46"/>
      <c r="AW165" s="46"/>
      <c r="AX165" s="46"/>
      <c r="AY165" s="46"/>
      <c r="AZ165" s="46"/>
      <c r="BA165" s="46"/>
      <c r="BB165" s="46"/>
      <c r="BC165" s="46"/>
      <c r="BD165" s="46"/>
      <c r="BE165" s="46"/>
      <c r="BF165" s="46"/>
      <c r="BG165" s="46"/>
      <c r="BH165" s="46"/>
      <c r="BI165" s="46"/>
      <c r="BJ165" s="46"/>
      <c r="BK165" s="46"/>
      <c r="BL165" s="46"/>
      <c r="BM165" s="46"/>
      <c r="BN165" s="46"/>
      <c r="BO165" s="46"/>
      <c r="BP165" s="46"/>
      <c r="BQ165" s="46"/>
      <c r="BR165" s="46"/>
      <c r="BS165" s="46"/>
      <c r="BT165" s="46"/>
      <c r="BU165" s="46"/>
      <c r="BV165" s="46"/>
      <c r="BW165" s="46"/>
      <c r="BX165" s="46"/>
      <c r="BY165" s="46"/>
      <c r="BZ165" s="46"/>
      <c r="CA165" s="46"/>
      <c r="CB165" s="46"/>
      <c r="CC165" s="46"/>
    </row>
    <row r="166">
      <c r="A166" s="87" t="str">
        <f>IFERROR(__xludf.DUMMYFUNCTION("""COMPUTED_VALUE"""),"633")</f>
        <v>633</v>
      </c>
      <c r="B166" s="46" t="str">
        <f>IFERROR(__xludf.DUMMYFUNCTION("""COMPUTED_VALUE"""),"Casa en barrio Los Martires")</f>
        <v>Casa en barrio Los Martires</v>
      </c>
      <c r="C166" s="46" t="str">
        <f>IFERROR(__xludf.DUMMYFUNCTION("""COMPUTED_VALUE"""),"Casa")</f>
        <v>Casa</v>
      </c>
      <c r="D166" s="46" t="str">
        <f>IFERROR(__xludf.DUMMYFUNCTION("""COMPUTED_VALUE"""),"Los Mártires")</f>
        <v>Los Mártires</v>
      </c>
      <c r="E166" s="46"/>
      <c r="F166" s="90">
        <f>IFERROR(__xludf.DUMMYFUNCTION("""COMPUTED_VALUE"""),5.3E8)</f>
        <v>530000000</v>
      </c>
      <c r="G166" s="46" t="str">
        <f>IFERROR(__xludf.DUMMYFUNCTION("""COMPUTED_VALUE"""),"$500'000.000 a $1.000'000.000")</f>
        <v>$500'000.000 a $1.000'000.000</v>
      </c>
      <c r="H166" s="46"/>
      <c r="I166" s="46"/>
      <c r="J166" s="46" t="str">
        <f>IFERROR(__xludf.DUMMYFUNCTION("""COMPUTED_VALUE"""),"Centro")</f>
        <v>Centro</v>
      </c>
      <c r="K166" s="87"/>
      <c r="L166" s="46">
        <f>IFERROR(__xludf.DUMMYFUNCTION("""COMPUTED_VALUE"""),5.0)</f>
        <v>5</v>
      </c>
      <c r="M166" s="46"/>
      <c r="N166" s="46">
        <f>IFERROR(__xludf.DUMMYFUNCTION("""COMPUTED_VALUE"""),3.0)</f>
        <v>3</v>
      </c>
      <c r="O166" s="46">
        <f>IFERROR(__xludf.DUMMYFUNCTION("""COMPUTED_VALUE"""),1.0)</f>
        <v>1</v>
      </c>
      <c r="P166" s="46">
        <f>IFERROR(__xludf.DUMMYFUNCTION("""COMPUTED_VALUE"""),3.0)</f>
        <v>3</v>
      </c>
      <c r="Q166" s="92">
        <f>IFERROR(__xludf.DUMMYFUNCTION("""COMPUTED_VALUE"""),245.0)</f>
        <v>245</v>
      </c>
      <c r="R166" s="92">
        <f>IFERROR(__xludf.DUMMYFUNCTION("""COMPUTED_VALUE"""),200.0)</f>
        <v>200</v>
      </c>
      <c r="S166" s="87" t="str">
        <f>IFERROR(__xludf.DUMMYFUNCTION("""COMPUTED_VALUE""")," ")</f>
        <v> </v>
      </c>
      <c r="T166" s="46" t="str">
        <f>IFERROR(__xludf.DUMMYFUNCTION("""COMPUTED_VALUE"""),"Neiva")</f>
        <v>Neiva</v>
      </c>
      <c r="U166" s="87" t="str">
        <f>IFERROR(__xludf.DUMMYFUNCTION("""COMPUTED_VALUE"""),"2")</f>
        <v>2</v>
      </c>
      <c r="V166" s="46" t="str">
        <f>IFERROR(__xludf.DUMMYFUNCTION("""COMPUTED_VALUE"""),"Medianera")</f>
        <v>Medianera</v>
      </c>
      <c r="W166" s="46"/>
      <c r="X166" s="46">
        <f>IFERROR(__xludf.DUMMYFUNCTION("""COMPUTED_VALUE"""),5.0)</f>
        <v>5</v>
      </c>
      <c r="Y166" s="46" t="str">
        <f>IFERROR(__xludf.DUMMYFUNCTION("""COMPUTED_VALUE"""),"No tiene")</f>
        <v>No tiene</v>
      </c>
      <c r="Z166" s="90" t="str">
        <f>IFERROR(__xludf.DUMMYFUNCTION("""COMPUTED_VALUE"""),"No aplica")</f>
        <v>No aplica</v>
      </c>
      <c r="AA166" s="33" t="str">
        <f>IFERROR(__xludf.DUMMYFUNCTION("""COMPUTED_VALUE"""),"No aplica")</f>
        <v>No aplica</v>
      </c>
      <c r="AB166" s="96" t="str">
        <f>IFERROR(__xludf.DUMMYFUNCTION("""COMPUTED_VALUE"""),"https://photos.app.goo.gl/rmKee8J9kqx13ekN6")</f>
        <v>https://photos.app.goo.gl/rmKee8J9kqx13ekN6</v>
      </c>
      <c r="AC166" s="46" t="str">
        <f>IFERROR(__xludf.DUMMYFUNCTION("""COMPUTED_VALUE"""),"Casa amplia distribuida en 3 niveles, cuenta en total con 5 habitaciones, 3 baños, garaje con puerta eléctrica, con antejardín de 6.0 ml x 7.0 ml con domo. Primer nivel: sala, comedor, cocina integral, 3 habitaciones, una con baño privado y aire acondicio"&amp;"nado. Segundo nivel: Una Alcoba amplia con mini cocina, Tercer nivel: Una alcoba amplia con baño privado y aire acondicionado.")</f>
        <v>Casa amplia distribuida en 3 niveles, cuenta en total con 5 habitaciones, 3 baños, garaje con puerta eléctrica, con antejardín de 6.0 ml x 7.0 ml con domo. Primer nivel: sala, comedor, cocina integral, 3 habitaciones, una con baño privado y aire acondicionado. Segundo nivel: Una Alcoba amplia con mini cocina, Tercer nivel: Una alcoba amplia con baño privado y aire acondicionado.</v>
      </c>
      <c r="AD166" s="46" t="str">
        <f>IFERROR(__xludf.DUMMYFUNCTION("""COMPUTED_VALUE"""),"Casa bien ubicada, Cerca a la Univ. Cooperativa. Remodelada con techo, pisos y baños nuevos.")</f>
        <v>Casa bien ubicada, Cerca a la Univ. Cooperativa. Remodelada con techo, pisos y baños nuevos.</v>
      </c>
      <c r="AE166" s="46"/>
      <c r="AF166" s="46" t="str">
        <f>IFERROR(__xludf.DUMMYFUNCTION("""COMPUTED_VALUE"""),"integral")</f>
        <v>integral</v>
      </c>
      <c r="AG166" s="46"/>
      <c r="AH166" s="46" t="str">
        <f>IFERROR(__xludf.DUMMYFUNCTION("""COMPUTED_VALUE"""),"Aliado")</f>
        <v>Aliado</v>
      </c>
      <c r="AI166" s="92" t="str">
        <f>IFERROR(__xludf.DUMMYFUNCTION("""COMPUTED_VALUE"""),"https://lh3.googleusercontent.com/pw/AP1GczNteP-yUVP6Qx3nU3poT-ryHBY5PikALh8av3Q3elOImUw0v6uj4VHlf6FPSwX53A02ewMLXFDCldM8vxmp9_YYtaq02CDydgRilz_D4oUOGCMyiAVJ=w1200|https://lh3.googleusercontent.com/pw/AP1GczPLOi1ApwJ5sPd5IhiMFsE7WDMQnxrRvmNdFdvqTyNcdQs5Li"&amp;"FX-XdknDwLdGxZOn54tzu1TLZIgG9oe38klvRokIdR_XLcqIV8aU0iXCwE6ZGIxDIP=w1200|https://lh3.googleusercontent.com/pw/AP1GczPTKTHmEMC_mEVpeaoEPHgl9wIZUjT5lzcdYTxSHqpRNBKO_034qRn82IMyk4xdjb6Tp_sAr0pM7JpxNPRPq6tKTZjmKTdINWs8YWnQR5abOHKdXl60=w1200|https://lh3.google"&amp;"usercontent.com/pw/AP1GczPPgTyDxzkbE4E2JFHe2LIej98R4Gmh1qIfUhiid1zMNgwGjBF-RcVjMjzabzJw7Qg-etj__AruI4LqXPIC3xgUavaVJuXGEHNKrNJF6nduAgNYpQzk=w1200|https://lh3.googleusercontent.com/pw/AP1GczOvz8d1rriUnqCXxkJcNW9Z70Bc8aW2Pxo-kBaGuZedD6CFRpcqpFfzKU471OqFBStE"&amp;"UfgCHAFnNIlF_X-HTOZsEY72nr_KV3rXlQ-Y-X2SYVXYq2Xw=w1200|https://lh3.googleusercontent.com/pw/AP1GczMx_-XFx7YNmn3zr0KjhAM2Ccbi5aVMY_yUEezzrhY19QGnzSmEUpeYkCW74myFD3OIMBjAAwTAvrkGsipQ38b1ayEAAYpvXZ1_ooSznXk5Ep7kZ6hy=w1200|https://lh3.googleusercontent.com/pw"&amp;"/AP1GczOKD6W_SWjQkpvtJIGHzABE5M-9fogjGQ40UIsOuHidgAuB11te0yUD91so1pQljrXUSp5djIw72Y_oo0XGJJ1x8Q2tPIv9Z2M5sd1gyRNEY5k7QDHj=w1200|https://lh3.googleusercontent.com/pw/AP1GczNdd9YHKeDMIXmIorxQb3gPSYF7kRNVNtETikZVgBmyzGxYqs_2M-oMgSbIFjBWE4WlW0k6aneXIzFrRgsUPY"&amp;"JMHwDkNSUQIDQY81kFS-QB7Vg3euzJ=w1200|https://lh3.googleusercontent.com/pw/AP1GczNBUST-Mp3Z6y3KQGxSTS_O-z7MsF56qZOFIeNltYuqVfMhiIE-94C4SuYlMlAAibAeVzT4FaFH04UMWCN655kEvSLTgW1jwwjkQ0vqNMtBTcMrF3Zq=w1200|https://lh3.googleusercontent.com/pw/AP1GczNuaCnL8rUzw"&amp;"G8IoWWWgIGnhtFhcbdFnedLVZbX6TNi6cUGvl7NRgAW2TsFw2s48BkxSaqsczR_0M0rFO6Y5Jwbad3N4ai8RU6xhbhD1z4XGtXcNQxq=w1200|https://lh3.googleusercontent.com/pw/AP1GczOrV9UYddJ4pRQBDI-PESwmykkJy_wwY09ryKQEIOFBlggiKq-uE0wD42RClrT8fmAkSE8usJ0b8JN3TkGmy-bdoVuU3bkgNqBVpWML"&amp;"-qP2LzqaFcDl=w1200|https://lh3.googleusercontent.com/pw/AP1GczNDaM00ONmvcaVyplFuWeiG91fva0H9semTCtqM65Hz_BebAFI1MFRFtCOfgis1bs9jGFc1nS0O11O-VEpRHQnq6DJQo0V_4RLTuyuiorMzbznfO216=w1200|https://lh3.googleusercontent.com/pw/AP1GczNRy108ywoF-pIyl8ZfebzIIXnhmF7"&amp;"LeUFkT6v4tNMNlPbPbc9jgWQJeWmG353JUKXrVgbLEt7teT_KdtpP03z6ZB4sViFZGYHBlLPweUun_nmRRgFV=w1200|https://lh3.googleusercontent.com/pw/AP1GczNAS8_uKKkhbkrNohHjCutr8F8Gga0mLKxjoaKv_W5npudeg2qHi1RGHYXasJswvCuK_9o7MvXnC8n4HfcUzmSNrAH-WqCBaqEeE3rfoZexSG1bgOuA=w1200"&amp;"|https://lh3.googleusercontent.com/pw/AP1GczO_cbHYiiwcDy0QhRkrW3GeiGDkuiraRyJ5fxVQelJeTLgcOo0MLVaojf6Qt0gs_gQH0Nxyoghd5URW0M32UrOleCXMQ69ajvhGvMECRHoEGVWzdyJb=w1200|https://lh3.googleusercontent.com/pw/AP1GczPYT0nn-ld_5oKA5fm2hd7RhbdBGjNX3QEF6dmWqM3T_aUJk"&amp;"V57w_qoxsYZ04KPAf8ddcWn55PZpLYZIvVxvMDfAugey9yIRs14ENZCF_ouYOOeWDA1=w1200|https://lh3.googleusercontent.com/pw/AP1GczOwCFvLEHGQmdE0ntmN_Yq72-k19bZhG0dIRgjgAz18EfX4SqZQjw0QbW3fewx8kwKR4hynxArg420c5dlcKsTmU9Ue50S9873VJ6Z2zP5LeFpeTnyI=w1200|https://lh3.googl"&amp;"eusercontent.com/pw/AP1GczPd8lw5exSsDEHl9SlQm_5JGyc2PsONFEVWDym8XoSfVP9vGCOQ0aME8zG-N-krCA4QJIiF3ceAfGmSFnYtGPWTcP-LAamcFgcV0_2EibJIof8R9Fon=w1200|https://lh3.googleusercontent.com/pw/AP1GczMFMk2U9nCZ-LexAOTyYIycxt_Gj6Q2O3451kjjvxGUPUHD7gZXYT2mc1s9wlYQroT"&amp;"bfb4DguKIdA9ULyurPQnTsd_aBwUe0td0aJn2cJL8_sEndS4B=w1200|https://lh3.googleusercontent.com/pw/AP1GczNu80o4RS9SnOsqYE0c63fIOUxC07ygEbw04XmehTBgDSqY3_lh5ULUeexQe_l2tc-DOMxE2yQwih_hTbHVLOgsVzGuNEKzwDM6ZMnbxm0HT5a7kmRP=w1200|https://lh3.googleusercontent.com/p"&amp;"w/AP1GczN0mr2Rr7JlyRn8X2Uk7T6ZnCZ8ASg0ZxJmVf9LTGwqTdq9TGxGaKKxrsUrrzaIA05Qr-OK8dbDR-2iQ8qemHrBixe8WLDWDMEyW8ewUW5nNLHT8eWP=w1200|https://lh3.googleusercontent.com/pw/AP1GczOGcMM5lYm3V2W9mXfNIrzy4dRykOy-DoaTa8NI5ZXIWnCk4ZeIbv-4RmwZLfdOXSZodZtQhl6XMEYqnj2XU"&amp;"3XBmXlC0opw1HDWbhVOSOdOt2T61goK=w1200|https://lh3.googleusercontent.com/pw/AP1GczPdKiB9C9G0S9ICd9dVyeWvit81KM_MTylmBwbJXlAYjb9am_ECoTCEJ2WD_KwfGFrooziCZyhBNK4T1WHAVB4SgqomXvMDLIWC5-encxHTKBw1cPse=w1200|https://lh3.googleusercontent.com/pw/AP1GczPL4yz9rI9F"&amp;"e936SyDctzhaLOW7j6pzyVO-kldS0aiNgAQJzw9ApCSPC7Ji93vsK5KEUQFsPd6YPK6mlR_xzHgVXB-mXIIcufHXVPKrlF_gjip1J-qx=w1200|https://lh3.googleusercontent.com/pw/AP1GczNJokqgP2-loDA-kGva38R5XI-cnMbkdiUY7PtXztVlM6QiyDgjsaWhYIwDTE7-fwW_b9JHTmVRGie1JBTcWukxVZaehOLYC0pfjN3"&amp;"LxnWaz_-L_QZr=w1200|https://lh3.googleusercontent.com/pw/AP1GczMnyO42PnIJ86SOEilp_blGybMqpz9SldB76F7rSWLuuGEYw9sjv7OQeNqcP9C0dnkl2B7uZFyKSRyoIs4eB7Mwh62zsTjE070UeZVUIr2tasHxrl-x=w1200|https://lh3.googleusercontent.com/pw/AP1GczMkf5ATuRD1ZgD6HuicoMoNmRBWuo"&amp;"ExXSWTCMwFJS1mUcaHablkkp6DxKxVn1q5WGy1F-kjakr3GLf7l_E0llDW1Z20wrcVvkzDRmuqKlAK6Zr_1zBF=w1200")</f>
        <v>https://lh3.googleusercontent.com/pw/AP1GczNteP-yUVP6Qx3nU3poT-ryHBY5PikALh8av3Q3elOImUw0v6uj4VHlf6FPSwX53A02ewMLXFDCldM8vxmp9_YYtaq02CDydgRilz_D4oUOGCMyiAVJ=w1200|https://lh3.googleusercontent.com/pw/AP1GczPLOi1ApwJ5sPd5IhiMFsE7WDMQnxrRvmNdFdvqTyNcdQs5LiFX-XdknDwLdGxZOn54tzu1TLZIgG9oe38klvRokIdR_XLcqIV8aU0iXCwE6ZGIxDIP=w1200|https://lh3.googleusercontent.com/pw/AP1GczPTKTHmEMC_mEVpeaoEPHgl9wIZUjT5lzcdYTxSHqpRNBKO_034qRn82IMyk4xdjb6Tp_sAr0pM7JpxNPRPq6tKTZjmKTdINWs8YWnQR5abOHKdXl60=w1200|https://lh3.googleusercontent.com/pw/AP1GczPPgTyDxzkbE4E2JFHe2LIej98R4Gmh1qIfUhiid1zMNgwGjBF-RcVjMjzabzJw7Qg-etj__AruI4LqXPIC3xgUavaVJuXGEHNKrNJF6nduAgNYpQzk=w1200|https://lh3.googleusercontent.com/pw/AP1GczOvz8d1rriUnqCXxkJcNW9Z70Bc8aW2Pxo-kBaGuZedD6CFRpcqpFfzKU471OqFBStEUfgCHAFnNIlF_X-HTOZsEY72nr_KV3rXlQ-Y-X2SYVXYq2Xw=w1200|https://lh3.googleusercontent.com/pw/AP1GczMx_-XFx7YNmn3zr0KjhAM2Ccbi5aVMY_yUEezzrhY19QGnzSmEUpeYkCW74myFD3OIMBjAAwTAvrkGsipQ38b1ayEAAYpvXZ1_ooSznXk5Ep7kZ6hy=w1200|https://lh3.googleusercontent.com/pw/AP1GczOKD6W_SWjQkpvtJIGHzABE5M-9fogjGQ40UIsOuHidgAuB11te0yUD91so1pQljrXUSp5djIw72Y_oo0XGJJ1x8Q2tPIv9Z2M5sd1gyRNEY5k7QDHj=w1200|https://lh3.googleusercontent.com/pw/AP1GczNdd9YHKeDMIXmIorxQb3gPSYF7kRNVNtETikZVgBmyzGxYqs_2M-oMgSbIFjBWE4WlW0k6aneXIzFrRgsUPYJMHwDkNSUQIDQY81kFS-QB7Vg3euzJ=w1200|https://lh3.googleusercontent.com/pw/AP1GczNBUST-Mp3Z6y3KQGxSTS_O-z7MsF56qZOFIeNltYuqVfMhiIE-94C4SuYlMlAAibAeVzT4FaFH04UMWCN655kEvSLTgW1jwwjkQ0vqNMtBTcMrF3Zq=w1200|https://lh3.googleusercontent.com/pw/AP1GczNuaCnL8rUzwG8IoWWWgIGnhtFhcbdFnedLVZbX6TNi6cUGvl7NRgAW2TsFw2s48BkxSaqsczR_0M0rFO6Y5Jwbad3N4ai8RU6xhbhD1z4XGtXcNQxq=w1200|https://lh3.googleusercontent.com/pw/AP1GczOrV9UYddJ4pRQBDI-PESwmykkJy_wwY09ryKQEIOFBlggiKq-uE0wD42RClrT8fmAkSE8usJ0b8JN3TkGmy-bdoVuU3bkgNqBVpWML-qP2LzqaFcDl=w1200|https://lh3.googleusercontent.com/pw/AP1GczNDaM00ONmvcaVyplFuWeiG91fva0H9semTCtqM65Hz_BebAFI1MFRFtCOfgis1bs9jGFc1nS0O11O-VEpRHQnq6DJQo0V_4RLTuyuiorMzbznfO216=w1200|https://lh3.googleusercontent.com/pw/AP1GczNRy108ywoF-pIyl8ZfebzIIXnhmF7LeUFkT6v4tNMNlPbPbc9jgWQJeWmG353JUKXrVgbLEt7teT_KdtpP03z6ZB4sViFZGYHBlLPweUun_nmRRgFV=w1200|https://lh3.googleusercontent.com/pw/AP1GczNAS8_uKKkhbkrNohHjCutr8F8Gga0mLKxjoaKv_W5npudeg2qHi1RGHYXasJswvCuK_9o7MvXnC8n4HfcUzmSNrAH-WqCBaqEeE3rfoZexSG1bgOuA=w1200|https://lh3.googleusercontent.com/pw/AP1GczO_cbHYiiwcDy0QhRkrW3GeiGDkuiraRyJ5fxVQelJeTLgcOo0MLVaojf6Qt0gs_gQH0Nxyoghd5URW0M32UrOleCXMQ69ajvhGvMECRHoEGVWzdyJb=w1200|https://lh3.googleusercontent.com/pw/AP1GczPYT0nn-ld_5oKA5fm2hd7RhbdBGjNX3QEF6dmWqM3T_aUJkV57w_qoxsYZ04KPAf8ddcWn55PZpLYZIvVxvMDfAugey9yIRs14ENZCF_ouYOOeWDA1=w1200|https://lh3.googleusercontent.com/pw/AP1GczOwCFvLEHGQmdE0ntmN_Yq72-k19bZhG0dIRgjgAz18EfX4SqZQjw0QbW3fewx8kwKR4hynxArg420c5dlcKsTmU9Ue50S9873VJ6Z2zP5LeFpeTnyI=w1200|https://lh3.googleusercontent.com/pw/AP1GczPd8lw5exSsDEHl9SlQm_5JGyc2PsONFEVWDym8XoSfVP9vGCOQ0aME8zG-N-krCA4QJIiF3ceAfGmSFnYtGPWTcP-LAamcFgcV0_2EibJIof8R9Fon=w1200|https://lh3.googleusercontent.com/pw/AP1GczMFMk2U9nCZ-LexAOTyYIycxt_Gj6Q2O3451kjjvxGUPUHD7gZXYT2mc1s9wlYQroTbfb4DguKIdA9ULyurPQnTsd_aBwUe0td0aJn2cJL8_sEndS4B=w1200|https://lh3.googleusercontent.com/pw/AP1GczNu80o4RS9SnOsqYE0c63fIOUxC07ygEbw04XmehTBgDSqY3_lh5ULUeexQe_l2tc-DOMxE2yQwih_hTbHVLOgsVzGuNEKzwDM6ZMnbxm0HT5a7kmRP=w1200|https://lh3.googleusercontent.com/pw/AP1GczN0mr2Rr7JlyRn8X2Uk7T6ZnCZ8ASg0ZxJmVf9LTGwqTdq9TGxGaKKxrsUrrzaIA05Qr-OK8dbDR-2iQ8qemHrBixe8WLDWDMEyW8ewUW5nNLHT8eWP=w1200|https://lh3.googleusercontent.com/pw/AP1GczOGcMM5lYm3V2W9mXfNIrzy4dRykOy-DoaTa8NI5ZXIWnCk4ZeIbv-4RmwZLfdOXSZodZtQhl6XMEYqnj2XU3XBmXlC0opw1HDWbhVOSOdOt2T61goK=w1200|https://lh3.googleusercontent.com/pw/AP1GczPdKiB9C9G0S9ICd9dVyeWvit81KM_MTylmBwbJXlAYjb9am_ECoTCEJ2WD_KwfGFrooziCZyhBNK4T1WHAVB4SgqomXvMDLIWC5-encxHTKBw1cPse=w1200|https://lh3.googleusercontent.com/pw/AP1GczPL4yz9rI9Fe936SyDctzhaLOW7j6pzyVO-kldS0aiNgAQJzw9ApCSPC7Ji93vsK5KEUQFsPd6YPK6mlR_xzHgVXB-mXIIcufHXVPKrlF_gjip1J-qx=w1200|https://lh3.googleusercontent.com/pw/AP1GczNJokqgP2-loDA-kGva38R5XI-cnMbkdiUY7PtXztVlM6QiyDgjsaWhYIwDTE7-fwW_b9JHTmVRGie1JBTcWukxVZaehOLYC0pfjN3LxnWaz_-L_QZr=w1200|https://lh3.googleusercontent.com/pw/AP1GczMnyO42PnIJ86SOEilp_blGybMqpz9SldB76F7rSWLuuGEYw9sjv7OQeNqcP9C0dnkl2B7uZFyKSRyoIs4eB7Mwh62zsTjE070UeZVUIr2tasHxrl-x=w1200|https://lh3.googleusercontent.com/pw/AP1GczMkf5ATuRD1ZgD6HuicoMoNmRBWuoExXSWTCMwFJS1mUcaHablkkp6DxKxVn1q5WGy1F-kjakr3GLf7l_E0llDW1Z20wrcVvkzDRmuqKlAK6Zr_1zBF=w1200</v>
      </c>
      <c r="AJ166" s="46"/>
      <c r="AK166" s="46"/>
      <c r="AL166" s="46"/>
      <c r="AM166" s="46"/>
      <c r="AN166" s="46"/>
      <c r="AO166" s="46"/>
      <c r="AP166" s="46"/>
      <c r="AQ166" s="46"/>
      <c r="AR166" s="46"/>
      <c r="AS166" s="46"/>
      <c r="AT166" s="46"/>
      <c r="AU166" s="46"/>
      <c r="AV166" s="46"/>
      <c r="AW166" s="46"/>
      <c r="AX166" s="46"/>
      <c r="AY166" s="46"/>
      <c r="AZ166" s="46"/>
      <c r="BA166" s="46"/>
      <c r="BB166" s="46"/>
      <c r="BC166" s="46"/>
      <c r="BD166" s="46"/>
      <c r="BE166" s="46"/>
      <c r="BF166" s="46"/>
      <c r="BG166" s="46"/>
      <c r="BH166" s="46"/>
      <c r="BI166" s="46"/>
      <c r="BJ166" s="46"/>
      <c r="BK166" s="46"/>
      <c r="BL166" s="46"/>
      <c r="BM166" s="46"/>
      <c r="BN166" s="46"/>
      <c r="BO166" s="46"/>
      <c r="BP166" s="46"/>
      <c r="BQ166" s="46"/>
      <c r="BR166" s="46"/>
      <c r="BS166" s="46"/>
      <c r="BT166" s="46"/>
      <c r="BU166" s="46"/>
      <c r="BV166" s="46"/>
      <c r="BW166" s="46"/>
      <c r="BX166" s="46"/>
      <c r="BY166" s="46"/>
      <c r="BZ166" s="46"/>
      <c r="CA166" s="46"/>
      <c r="CB166" s="46"/>
      <c r="CC166" s="46"/>
    </row>
    <row r="167">
      <c r="A167" s="87" t="str">
        <f>IFERROR(__xludf.DUMMYFUNCTION("""COMPUTED_VALUE"""),"582")</f>
        <v>582</v>
      </c>
      <c r="B167" s="46" t="str">
        <f>IFERROR(__xludf.DUMMYFUNCTION("""COMPUTED_VALUE"""),"Apartamento en Conjunto Residencial Tangara Ciudadela Nio - Av. 26")</f>
        <v>Apartamento en Conjunto Residencial Tangara Ciudadela Nio - Av. 26</v>
      </c>
      <c r="C167" s="46" t="str">
        <f>IFERROR(__xludf.DUMMYFUNCTION("""COMPUTED_VALUE"""),"Apartamento en conjunto")</f>
        <v>Apartamento en conjunto</v>
      </c>
      <c r="D167" s="46" t="str">
        <f>IFERROR(__xludf.DUMMYFUNCTION("""COMPUTED_VALUE"""),"Las Granjas")</f>
        <v>Las Granjas</v>
      </c>
      <c r="E167" s="46" t="str">
        <f>IFERROR(__xludf.DUMMYFUNCTION("""COMPUTED_VALUE"""),"Tangara Nio")</f>
        <v>Tangara Nio</v>
      </c>
      <c r="F167" s="90">
        <f>IFERROR(__xludf.DUMMYFUNCTION("""COMPUTED_VALUE"""),3.85E8)</f>
        <v>385000000</v>
      </c>
      <c r="G167" s="46" t="str">
        <f>IFERROR(__xludf.DUMMYFUNCTION("""COMPUTED_VALUE"""),"$300'000.000 a $400'000.000")</f>
        <v>$300'000.000 a $400'000.000</v>
      </c>
      <c r="H167" s="46"/>
      <c r="I167" s="46"/>
      <c r="J167" s="46" t="str">
        <f>IFERROR(__xludf.DUMMYFUNCTION("""COMPUTED_VALUE"""),"Norte")</f>
        <v>Norte</v>
      </c>
      <c r="K167" s="87"/>
      <c r="L167" s="46">
        <f>IFERROR(__xludf.DUMMYFUNCTION("""COMPUTED_VALUE"""),3.0)</f>
        <v>3</v>
      </c>
      <c r="M167" s="46"/>
      <c r="N167" s="46">
        <f>IFERROR(__xludf.DUMMYFUNCTION("""COMPUTED_VALUE"""),2.0)</f>
        <v>2</v>
      </c>
      <c r="O167" s="46">
        <f>IFERROR(__xludf.DUMMYFUNCTION("""COMPUTED_VALUE"""),1.0)</f>
        <v>1</v>
      </c>
      <c r="P167" s="46">
        <f>IFERROR(__xludf.DUMMYFUNCTION("""COMPUTED_VALUE"""),9.0)</f>
        <v>9</v>
      </c>
      <c r="Q167" s="92">
        <f>IFERROR(__xludf.DUMMYFUNCTION("""COMPUTED_VALUE"""),86.0)</f>
        <v>86</v>
      </c>
      <c r="R167" s="92">
        <f>IFERROR(__xludf.DUMMYFUNCTION("""COMPUTED_VALUE"""),86.0)</f>
        <v>86</v>
      </c>
      <c r="S167" s="87" t="str">
        <f>IFERROR(__xludf.DUMMYFUNCTION("""COMPUTED_VALUE""")," ")</f>
        <v> </v>
      </c>
      <c r="T167" s="46" t="str">
        <f>IFERROR(__xludf.DUMMYFUNCTION("""COMPUTED_VALUE"""),"Neiva")</f>
        <v>Neiva</v>
      </c>
      <c r="U167" s="87" t="str">
        <f>IFERROR(__xludf.DUMMYFUNCTION("""COMPUTED_VALUE"""),"4")</f>
        <v>4</v>
      </c>
      <c r="V167" s="46" t="str">
        <f>IFERROR(__xludf.DUMMYFUNCTION("""COMPUTED_VALUE"""),"9o.")</f>
        <v>9o.</v>
      </c>
      <c r="W167" s="46"/>
      <c r="X167" s="46">
        <f>IFERROR(__xludf.DUMMYFUNCTION("""COMPUTED_VALUE"""),3.0)</f>
        <v>3</v>
      </c>
      <c r="Y167" s="46" t="str">
        <f>IFERROR(__xludf.DUMMYFUNCTION("""COMPUTED_VALUE"""),"Social")</f>
        <v>Social</v>
      </c>
      <c r="Z167" s="90">
        <f>IFERROR(__xludf.DUMMYFUNCTION("""COMPUTED_VALUE"""),0.0)</f>
        <v>0</v>
      </c>
      <c r="AA167" s="33" t="str">
        <f>IFERROR(__xludf.DUMMYFUNCTION("""COMPUTED_VALUE"""),"No aplica")</f>
        <v>No aplica</v>
      </c>
      <c r="AB167" s="96" t="str">
        <f>IFERROR(__xludf.DUMMYFUNCTION("""COMPUTED_VALUE"""),"https://photos.app.goo.gl/4MXN1w8h9PagFxgQ8")</f>
        <v>https://photos.app.goo.gl/4MXN1w8h9PagFxgQ8</v>
      </c>
      <c r="AC167" s="46"/>
      <c r="AD167" s="46"/>
      <c r="AE167" s="46"/>
      <c r="AF167" s="46" t="str">
        <f>IFERROR(__xludf.DUMMYFUNCTION("""COMPUTED_VALUE"""),"integral")</f>
        <v>integral</v>
      </c>
      <c r="AG167" s="46"/>
      <c r="AH167" s="46" t="str">
        <f>IFERROR(__xludf.DUMMYFUNCTION("""COMPUTED_VALUE"""),"Aliado")</f>
        <v>Aliado</v>
      </c>
      <c r="AI167" s="92" t="str">
        <f>IFERROR(__xludf.DUMMYFUNCTION("""COMPUTED_VALUE"""),"https://lh3.googleusercontent.com/pw/AP1GczOuGf5AuPYsgOofsNfwsBOPwPAutgtngjs54cgc7jgo6HY6tTNfBC90-DTtS3sVSfgGKhSv9slbcBYYw0WFU-LILkDOyHz8gFogAp40aw452THA0_zo=w1200|https://lh3.googleusercontent.com/pw/AP1GczMKJP-3ekOZjiZRfJOZkTHWIAeEHsM7cK7UyCjdaYKR5Thzgv"&amp;"BASC69UD7kK57cLjWtW3hekbIoH-4NoGn-0MxVD0hB6zUfHpsTKi5F-XjNngtUcB9W=w1200|https://lh3.googleusercontent.com/pw/AP1GczP7lcTvrOYlquIzQhGsfzFSIB3f1BldCgdVJcmHa1fMjeq1G1Vr2zEwBoYEPErvIfULieQ7OpUQz9jR1R9JHuuXsmTzfCHWazODO6jyMjzkn0qfe_Nn=w1200|https://lh3.google"&amp;"usercontent.com/pw/AP1GczPj3lM3XZK2KKyvedUJbYofG_FdYjcM6tMT9FcYgpplaS-Krzbql-h3FAS7Q1TbKBVdj4XYatgYCr61UxAARmviByZswR6jiuAAyf70uNHcGISy68ts=w1200|https://lh3.googleusercontent.com/pw/AP1GczN1cTVjbpgLihn9bmvMzHj_zRCI_om5jG0Dj0cb1Tz7G4wIAKfsVDwMBf6-vYcnaqGQ"&amp;"2gzgeB-BGaXybJ9Z8uVqnWju5OX143-vn0V6LuVhleEWJGco=w1200|https://lh3.googleusercontent.com/pw/AP1GczOF3MQJi71N91nplUgpn2VrB8t5PIEpkOCpu-8N-bZEA2q-0BG4PzcME_59Vkutm_MmpzSVA9GvStYjSgXDJIJh7QjZjmVAWRadV2gUxQRK4gyFRT8R=w1200|https://lh3.googleusercontent.com/pw"&amp;"/AP1GczOqYtk7x99DHRLt6JW7G7AfkQrTTKbQh0fhE_QqjV6a7TLCUDRr23PtT6hpiru4TkrfHwFhG5dw0jiEEfvIvSLaZ3s9xpsSxTQ4lpD7dLQhOFOsGgfu=w1200|https://lh3.googleusercontent.com/pw/AP1GczMXCI4PEcryTrvU08fZQailJmeSLqCwLbKRn4s6DlXMNG7IEZTM6xOOL_J5ZMqffsltBpKSKIlcXPgXGSgJCB"&amp;"CrS-TRUsvHG4yNPG2DM1wSIx8iEJXU=w1200|https://lh3.googleusercontent.com/pw/AP1GczMQVpqonsEsQeqY82K5OotbMxVUlAvCko9lk_oOukYa-_1s3kGT9fX4EfaU3u2IOpfh0d_m5y-1ElQGgfBHWfcHAkntcjkPKpLtc3BwFq_UGu_M9SzS=w1200|https://lh3.googleusercontent.com/pw/AP1GczO5oMfoyhEcX"&amp;"K1bvuC-TXd2UuB4_ggPUfQ8hsdExbRp1SSVJ8KNRcmDbbBHFgmY9nhR6aJzeqa_jePxiRMVX0Gn-vr9Tp4KrJ2xQ3xV0Judo_t_hrgq=w1200|https://lh3.googleusercontent.com/pw/AP1GczMd8VohUGg9vZZi_WK1RTEdp2JZHnT76zsRTJyHhOSfOcxYi8cWLdm1xBOjejvSKfOm9dXcbZympVDPvNE8H_xUGPZwGI6x92yTmdfs"&amp;"zKEYrwyE3RVN=w1200|https://lh3.googleusercontent.com/pw/AP1GczPDIKeb0p_BrxUU6dL8LjXOLvr7ThZEYNsoabpl-2wPUj3Ny88upYemhtLMwxA-pPMPzKigRK6sQ416mYQJrVsYAnOa00dVt-k_VnQBMhqw0rdZrJ1p=w1200|https://lh3.googleusercontent.com/pw/AP1GczM61sHhT3P8Rut7lFwBiP68PiNRzxQ"&amp;"mU9-zHpCvOf0WPCa42IpQrfh2x34LNRugvwAFmTdRKhabzDbm5GZhEIMuwu-mW4QrlXmx-1bSUe13E4Hr1__P=w1200|https://lh3.googleusercontent.com/pw/AP1GczOL7qgMRaWmte1MmF68tJOLN3kd62y4dZ1mQZazCVUPYnvgGkPrX0oR3FeY2VaVL1FK3FCsGKLZ-_ySlV-hxpToUdz4gq-QIPkpD1su7MoVfCm1ygst=w1200"&amp;"|https://lh3.googleusercontent.com/pw/AP1GczMGXbz19sIpvGZVqsHZ1M1H-QL4lnVbcVWpnYQjymj8k_gCNBnG8nl9PPT2WFCbO2hfVW86hYjCcoQgvS_zkCZs8KclcRgnQBrwGKeQX20wl2XqDgbu=w1200|https://lh3.googleusercontent.com/pw/AP1GczMBsK9LGl_vM_hQVDQYURsY2sUFqW29Duo3hCNlXVpKEftrL"&amp;"InQlfDXMhaXIY2W6YP1_RX5v3hjXPXMs-BaRTeVCc5FTMb31Uk17l7r49iHjb-GGiW_=w1200|https://lh3.googleusercontent.com/pw/AP1GczOlbrDmDF-9x1IXBSlbPzYHgAWNQkLNunttKnQMBEqt2HC27LTvTJ-3m4U9MsQajDkSlrThKhGxu_wBkq7l-nEc-dU2m4qZhtCmvvQ-xyrKvWMiUlaY=w1200|https://lh3.googl"&amp;"eusercontent.com/pw/AP1GczO0hmOx7G4NYoSGhMeRHszZ7-3T3fK8wlJ7Uqxqnw07JrY8H8mimsVokI_t0E8P1VcNVPTt0fWp-ju_GS_XvFJEAXXSynqURgihvCwdKq_h0_Zqvh0L=w1200|https://lh3.googleusercontent.com/pw/AP1GczPeJUUn-fPAlPN8eDNMk2LF-1pKyRyQWJy_dD0gBzIXleGRN4yDypVggk0ogdZM3mF"&amp;"VIQFssqmwAU3X86WRafDJXIt5r9ZURuebixx44ajGOXwHG2nh=w1200|https://lh3.googleusercontent.com/pw/AP1GczN2TnK8hF5Sc4BBlRhKutCRgK7mmZ1SAStWDnKLSVEcW3LBJwOjdUKSvaHB3IQI4Z8nQUL0jYpSV_j1u72YS-XniSPfzdlRZk7yW-eYcJBdZReNPiQT=w1200|https://lh3.googleusercontent.com/p"&amp;"w/AP1GczOfarKRYA_G9y7HPTBnnzepkk8kzmtsX89GHV8W-KqKvNIVnxxVVaGyzen43lZCFYgq2RGqn_vOtYs1tJwv-E1wKkHFXMqErC0yo8UL0k6sEGi9lH2F=w1200|https://lh3.googleusercontent.com/pw/AP1GczM0Vci-EJOhp4ZkYaNbs4fg18e9Y2uWU9B2FhSzPng2iILMyvRErpcUc0Uq2x_5tmlfdaR2tLmSO_xwbWD5g"&amp;"1NG_7I6bx1kRrfVHnFIgFIwRj3ZaF4w=w1200|https://lh3.googleusercontent.com/pw/AP1GczPyenlJiyIWkm7-M3Y7Pz5XdcC0cuyc_QNv41Dfja3mMarEggdMXxWTRgTebHVlL9nbB8ErKKIKe1u1AapQm4HkUQaqHAANtnWZybLlOIgMAC3lMjOf=w1200|https://lh3.googleusercontent.com/pw/AP1GczMNEuNy6tPh"&amp;"j6hXpD0VCHL4oY4GVic0n4hIQLAG0qRTS2s1TIyNYj9hcBeLUbsshpeZ7xb0JxvMiHoH4nqLkgL2ILQtIXq8-qFe0aMCnDzY7TqShK8m=w1200|https://lh3.googleusercontent.com/pw/AP1GczOobDU98RCI7Zdtp4iCRCMnBSLCbeygPOebH5S9jNoBnvzrkwVmXs8e6_4t1ll1WgzinVhjNMBSpIsOZ7sf-nOgyCL36L7Pl2FYiux"&amp;"l1Dz8mO2-PZwj=w1200|https://lh3.googleusercontent.com/pw/AP1GczPTsx-qb0ryTYpB05R6PylTH9o73H_aeOgH5t1ohcpjdZocMpkBjah2poBlElFT6r7pJE8hXLPrSXftvMK1rx_w6HcEtP-vqu0Y4mK1exIqepwzpTzM=w1200|https://lh3.googleusercontent.com/pw/AP1GczNVhwU6KPDKXU3AqXM0d0sjStm4fS"&amp;"jLo1IyoKw7zTJHRFJk0wDHSr88bU8AuBQruRRMtt36wE_1l-eN9YVL5_TsK77uMOP9EwaLkIEO5n6XM6B9bhnF=w1200|https://lh3.googleusercontent.com/pw/AP1GczOuquHOX3q-eeNo0thj729phLNx-esNKHrvX7qb_wgjo__DbOQPCJgPGUXYOsPigyRIitvBpyG4ekGv0BkrgXP1CHCzkdQVg8UU-suu0u01cTLMTAl4=w120"&amp;"0|https://lh3.googleusercontent.com/pw/AP1GczOku2OAxWdfR3GkEPlrSxZItUS8qjRRwWwoP8CWLuH9_Hr0SzZNwEj9GZ_hfXnFVFRPOjbMHfQAVJrGyOk0n9wAS-vwZWGSLwZ0W1LGaamXQ-YMpVsr=w1200|https://lh3.googleusercontent.com/pw/AP1GczNHp7AHX_rvnMRGKi6zU3auPikoMGsCAam-U11Q1Cd6cBjC"&amp;"UuiHbNJVg26BsvLxT2NwcmL77_6l0_-h3ffzXCgK0yBIRyKMgi5ep9IFJ0MpNQJn0-2I=w1200")</f>
        <v>https://lh3.googleusercontent.com/pw/AP1GczOuGf5AuPYsgOofsNfwsBOPwPAutgtngjs54cgc7jgo6HY6tTNfBC90-DTtS3sVSfgGKhSv9slbcBYYw0WFU-LILkDOyHz8gFogAp40aw452THA0_zo=w1200|https://lh3.googleusercontent.com/pw/AP1GczMKJP-3ekOZjiZRfJOZkTHWIAeEHsM7cK7UyCjdaYKR5ThzgvBASC69UD7kK57cLjWtW3hekbIoH-4NoGn-0MxVD0hB6zUfHpsTKi5F-XjNngtUcB9W=w1200|https://lh3.googleusercontent.com/pw/AP1GczP7lcTvrOYlquIzQhGsfzFSIB3f1BldCgdVJcmHa1fMjeq1G1Vr2zEwBoYEPErvIfULieQ7OpUQz9jR1R9JHuuXsmTzfCHWazODO6jyMjzkn0qfe_Nn=w1200|https://lh3.googleusercontent.com/pw/AP1GczPj3lM3XZK2KKyvedUJbYofG_FdYjcM6tMT9FcYgpplaS-Krzbql-h3FAS7Q1TbKBVdj4XYatgYCr61UxAARmviByZswR6jiuAAyf70uNHcGISy68ts=w1200|https://lh3.googleusercontent.com/pw/AP1GczN1cTVjbpgLihn9bmvMzHj_zRCI_om5jG0Dj0cb1Tz7G4wIAKfsVDwMBf6-vYcnaqGQ2gzgeB-BGaXybJ9Z8uVqnWju5OX143-vn0V6LuVhleEWJGco=w1200|https://lh3.googleusercontent.com/pw/AP1GczOF3MQJi71N91nplUgpn2VrB8t5PIEpkOCpu-8N-bZEA2q-0BG4PzcME_59Vkutm_MmpzSVA9GvStYjSgXDJIJh7QjZjmVAWRadV2gUxQRK4gyFRT8R=w1200|https://lh3.googleusercontent.com/pw/AP1GczOqYtk7x99DHRLt6JW7G7AfkQrTTKbQh0fhE_QqjV6a7TLCUDRr23PtT6hpiru4TkrfHwFhG5dw0jiEEfvIvSLaZ3s9xpsSxTQ4lpD7dLQhOFOsGgfu=w1200|https://lh3.googleusercontent.com/pw/AP1GczMXCI4PEcryTrvU08fZQailJmeSLqCwLbKRn4s6DlXMNG7IEZTM6xOOL_J5ZMqffsltBpKSKIlcXPgXGSgJCBCrS-TRUsvHG4yNPG2DM1wSIx8iEJXU=w1200|https://lh3.googleusercontent.com/pw/AP1GczMQVpqonsEsQeqY82K5OotbMxVUlAvCko9lk_oOukYa-_1s3kGT9fX4EfaU3u2IOpfh0d_m5y-1ElQGgfBHWfcHAkntcjkPKpLtc3BwFq_UGu_M9SzS=w1200|https://lh3.googleusercontent.com/pw/AP1GczO5oMfoyhEcXK1bvuC-TXd2UuB4_ggPUfQ8hsdExbRp1SSVJ8KNRcmDbbBHFgmY9nhR6aJzeqa_jePxiRMVX0Gn-vr9Tp4KrJ2xQ3xV0Judo_t_hrgq=w1200|https://lh3.googleusercontent.com/pw/AP1GczMd8VohUGg9vZZi_WK1RTEdp2JZHnT76zsRTJyHhOSfOcxYi8cWLdm1xBOjejvSKfOm9dXcbZympVDPvNE8H_xUGPZwGI6x92yTmdfszKEYrwyE3RVN=w1200|https://lh3.googleusercontent.com/pw/AP1GczPDIKeb0p_BrxUU6dL8LjXOLvr7ThZEYNsoabpl-2wPUj3Ny88upYemhtLMwxA-pPMPzKigRK6sQ416mYQJrVsYAnOa00dVt-k_VnQBMhqw0rdZrJ1p=w1200|https://lh3.googleusercontent.com/pw/AP1GczM61sHhT3P8Rut7lFwBiP68PiNRzxQmU9-zHpCvOf0WPCa42IpQrfh2x34LNRugvwAFmTdRKhabzDbm5GZhEIMuwu-mW4QrlXmx-1bSUe13E4Hr1__P=w1200|https://lh3.googleusercontent.com/pw/AP1GczOL7qgMRaWmte1MmF68tJOLN3kd62y4dZ1mQZazCVUPYnvgGkPrX0oR3FeY2VaVL1FK3FCsGKLZ-_ySlV-hxpToUdz4gq-QIPkpD1su7MoVfCm1ygst=w1200|https://lh3.googleusercontent.com/pw/AP1GczMGXbz19sIpvGZVqsHZ1M1H-QL4lnVbcVWpnYQjymj8k_gCNBnG8nl9PPT2WFCbO2hfVW86hYjCcoQgvS_zkCZs8KclcRgnQBrwGKeQX20wl2XqDgbu=w1200|https://lh3.googleusercontent.com/pw/AP1GczMBsK9LGl_vM_hQVDQYURsY2sUFqW29Duo3hCNlXVpKEftrLInQlfDXMhaXIY2W6YP1_RX5v3hjXPXMs-BaRTeVCc5FTMb31Uk17l7r49iHjb-GGiW_=w1200|https://lh3.googleusercontent.com/pw/AP1GczOlbrDmDF-9x1IXBSlbPzYHgAWNQkLNunttKnQMBEqt2HC27LTvTJ-3m4U9MsQajDkSlrThKhGxu_wBkq7l-nEc-dU2m4qZhtCmvvQ-xyrKvWMiUlaY=w1200|https://lh3.googleusercontent.com/pw/AP1GczO0hmOx7G4NYoSGhMeRHszZ7-3T3fK8wlJ7Uqxqnw07JrY8H8mimsVokI_t0E8P1VcNVPTt0fWp-ju_GS_XvFJEAXXSynqURgihvCwdKq_h0_Zqvh0L=w1200|https://lh3.googleusercontent.com/pw/AP1GczPeJUUn-fPAlPN8eDNMk2LF-1pKyRyQWJy_dD0gBzIXleGRN4yDypVggk0ogdZM3mFVIQFssqmwAU3X86WRafDJXIt5r9ZURuebixx44ajGOXwHG2nh=w1200|https://lh3.googleusercontent.com/pw/AP1GczN2TnK8hF5Sc4BBlRhKutCRgK7mmZ1SAStWDnKLSVEcW3LBJwOjdUKSvaHB3IQI4Z8nQUL0jYpSV_j1u72YS-XniSPfzdlRZk7yW-eYcJBdZReNPiQT=w1200|https://lh3.googleusercontent.com/pw/AP1GczOfarKRYA_G9y7HPTBnnzepkk8kzmtsX89GHV8W-KqKvNIVnxxVVaGyzen43lZCFYgq2RGqn_vOtYs1tJwv-E1wKkHFXMqErC0yo8UL0k6sEGi9lH2F=w1200|https://lh3.googleusercontent.com/pw/AP1GczM0Vci-EJOhp4ZkYaNbs4fg18e9Y2uWU9B2FhSzPng2iILMyvRErpcUc0Uq2x_5tmlfdaR2tLmSO_xwbWD5g1NG_7I6bx1kRrfVHnFIgFIwRj3ZaF4w=w1200|https://lh3.googleusercontent.com/pw/AP1GczPyenlJiyIWkm7-M3Y7Pz5XdcC0cuyc_QNv41Dfja3mMarEggdMXxWTRgTebHVlL9nbB8ErKKIKe1u1AapQm4HkUQaqHAANtnWZybLlOIgMAC3lMjOf=w1200|https://lh3.googleusercontent.com/pw/AP1GczMNEuNy6tPhj6hXpD0VCHL4oY4GVic0n4hIQLAG0qRTS2s1TIyNYj9hcBeLUbsshpeZ7xb0JxvMiHoH4nqLkgL2ILQtIXq8-qFe0aMCnDzY7TqShK8m=w1200|https://lh3.googleusercontent.com/pw/AP1GczOobDU98RCI7Zdtp4iCRCMnBSLCbeygPOebH5S9jNoBnvzrkwVmXs8e6_4t1ll1WgzinVhjNMBSpIsOZ7sf-nOgyCL36L7Pl2FYiuxl1Dz8mO2-PZwj=w1200|https://lh3.googleusercontent.com/pw/AP1GczPTsx-qb0ryTYpB05R6PylTH9o73H_aeOgH5t1ohcpjdZocMpkBjah2poBlElFT6r7pJE8hXLPrSXftvMK1rx_w6HcEtP-vqu0Y4mK1exIqepwzpTzM=w1200|https://lh3.googleusercontent.com/pw/AP1GczNVhwU6KPDKXU3AqXM0d0sjStm4fSjLo1IyoKw7zTJHRFJk0wDHSr88bU8AuBQruRRMtt36wE_1l-eN9YVL5_TsK77uMOP9EwaLkIEO5n6XM6B9bhnF=w1200|https://lh3.googleusercontent.com/pw/AP1GczOuquHOX3q-eeNo0thj729phLNx-esNKHrvX7qb_wgjo__DbOQPCJgPGUXYOsPigyRIitvBpyG4ekGv0BkrgXP1CHCzkdQVg8UU-suu0u01cTLMTAl4=w1200|https://lh3.googleusercontent.com/pw/AP1GczOku2OAxWdfR3GkEPlrSxZItUS8qjRRwWwoP8CWLuH9_Hr0SzZNwEj9GZ_hfXnFVFRPOjbMHfQAVJrGyOk0n9wAS-vwZWGSLwZ0W1LGaamXQ-YMpVsr=w1200|https://lh3.googleusercontent.com/pw/AP1GczNHp7AHX_rvnMRGKi6zU3auPikoMGsCAam-U11Q1Cd6cBjCUuiHbNJVg26BsvLxT2NwcmL77_6l0_-h3ffzXCgK0yBIRyKMgi5ep9IFJ0MpNQJn0-2I=w1200</v>
      </c>
      <c r="AJ167" s="46"/>
      <c r="AK167" s="46"/>
      <c r="AL167" s="46"/>
      <c r="AM167" s="46"/>
      <c r="AN167" s="46"/>
      <c r="AO167" s="46"/>
      <c r="AP167" s="46"/>
      <c r="AQ167" s="46"/>
      <c r="AR167" s="46"/>
      <c r="AS167" s="46"/>
      <c r="AT167" s="46"/>
      <c r="AU167" s="46"/>
      <c r="AV167" s="46"/>
      <c r="AW167" s="46"/>
      <c r="AX167" s="46"/>
      <c r="AY167" s="46"/>
      <c r="AZ167" s="46"/>
      <c r="BA167" s="46"/>
      <c r="BB167" s="46"/>
      <c r="BC167" s="46"/>
      <c r="BD167" s="46"/>
      <c r="BE167" s="46"/>
      <c r="BF167" s="46"/>
      <c r="BG167" s="46"/>
      <c r="BH167" s="46"/>
      <c r="BI167" s="46"/>
      <c r="BJ167" s="46"/>
      <c r="BK167" s="46"/>
      <c r="BL167" s="46"/>
      <c r="BM167" s="46"/>
      <c r="BN167" s="46"/>
      <c r="BO167" s="46"/>
      <c r="BP167" s="46"/>
      <c r="BQ167" s="46"/>
      <c r="BR167" s="46"/>
      <c r="BS167" s="46"/>
      <c r="BT167" s="46"/>
      <c r="BU167" s="46"/>
      <c r="BV167" s="46"/>
      <c r="BW167" s="46"/>
      <c r="BX167" s="46"/>
      <c r="BY167" s="46"/>
      <c r="BZ167" s="46"/>
      <c r="CA167" s="46"/>
      <c r="CB167" s="46"/>
      <c r="CC167" s="46"/>
    </row>
    <row r="168">
      <c r="A168" s="87" t="str">
        <f>IFERROR(__xludf.DUMMYFUNCTION("""COMPUTED_VALUE"""),"631")</f>
        <v>631</v>
      </c>
      <c r="B168" s="46" t="str">
        <f>IFERROR(__xludf.DUMMYFUNCTION("""COMPUTED_VALUE"""),"Casa en conjunto Santorini II - Ipanema - Oriente")</f>
        <v>Casa en conjunto Santorini II - Ipanema - Oriente</v>
      </c>
      <c r="C168" s="46" t="str">
        <f>IFERROR(__xludf.DUMMYFUNCTION("""COMPUTED_VALUE"""),"Casa en conjunto")</f>
        <v>Casa en conjunto</v>
      </c>
      <c r="D168" s="46" t="str">
        <f>IFERROR(__xludf.DUMMYFUNCTION("""COMPUTED_VALUE"""),"Ipanema")</f>
        <v>Ipanema</v>
      </c>
      <c r="E168" s="90" t="str">
        <f>IFERROR(__xludf.DUMMYFUNCTION("""COMPUTED_VALUE"""),"Santorini II")</f>
        <v>Santorini II</v>
      </c>
      <c r="F168" s="90">
        <f>IFERROR(__xludf.DUMMYFUNCTION("""COMPUTED_VALUE"""),7.8E8)</f>
        <v>780000000</v>
      </c>
      <c r="G168" s="46" t="str">
        <f>IFERROR(__xludf.DUMMYFUNCTION("""COMPUTED_VALUE"""),"$500'000.000 a $1.000'000.000")</f>
        <v>$500'000.000 a $1.000'000.000</v>
      </c>
      <c r="H168" s="46"/>
      <c r="I168" s="46"/>
      <c r="J168" s="46" t="str">
        <f>IFERROR(__xludf.DUMMYFUNCTION("""COMPUTED_VALUE"""),"Oriente")</f>
        <v>Oriente</v>
      </c>
      <c r="K168" s="87"/>
      <c r="L168" s="46">
        <f>IFERROR(__xludf.DUMMYFUNCTION("""COMPUTED_VALUE"""),3.0)</f>
        <v>3</v>
      </c>
      <c r="M168" s="46"/>
      <c r="N168" s="46">
        <f>IFERROR(__xludf.DUMMYFUNCTION("""COMPUTED_VALUE"""),3.0)</f>
        <v>3</v>
      </c>
      <c r="O168" s="46">
        <f>IFERROR(__xludf.DUMMYFUNCTION("""COMPUTED_VALUE"""),1.0)</f>
        <v>1</v>
      </c>
      <c r="P168" s="46">
        <f>IFERROR(__xludf.DUMMYFUNCTION("""COMPUTED_VALUE"""),2.0)</f>
        <v>2</v>
      </c>
      <c r="Q168" s="92">
        <f>IFERROR(__xludf.DUMMYFUNCTION("""COMPUTED_VALUE"""),154.0)</f>
        <v>154</v>
      </c>
      <c r="R168" s="92">
        <f>IFERROR(__xludf.DUMMYFUNCTION("""COMPUTED_VALUE"""),152.0)</f>
        <v>152</v>
      </c>
      <c r="S168" s="87" t="str">
        <f>IFERROR(__xludf.DUMMYFUNCTION("""COMPUTED_VALUE""")," ")</f>
        <v> </v>
      </c>
      <c r="T168" s="46" t="str">
        <f>IFERROR(__xludf.DUMMYFUNCTION("""COMPUTED_VALUE"""),"Neiva")</f>
        <v>Neiva</v>
      </c>
      <c r="U168" s="87" t="str">
        <f>IFERROR(__xludf.DUMMYFUNCTION("""COMPUTED_VALUE"""),"5")</f>
        <v>5</v>
      </c>
      <c r="V168" s="46" t="str">
        <f>IFERROR(__xludf.DUMMYFUNCTION("""COMPUTED_VALUE"""),"Esquinera")</f>
        <v>Esquinera</v>
      </c>
      <c r="W168" s="46"/>
      <c r="X168" s="46">
        <f>IFERROR(__xludf.DUMMYFUNCTION("""COMPUTED_VALUE"""),3.0)</f>
        <v>3</v>
      </c>
      <c r="Y168" s="46" t="str">
        <f>IFERROR(__xludf.DUMMYFUNCTION("""COMPUTED_VALUE"""),"Social")</f>
        <v>Social</v>
      </c>
      <c r="Z168" s="90">
        <f>IFERROR(__xludf.DUMMYFUNCTION("""COMPUTED_VALUE"""),520000.0)</f>
        <v>520000</v>
      </c>
      <c r="AA168" s="33" t="str">
        <f>IFERROR(__xludf.DUMMYFUNCTION("""COMPUTED_VALUE"""),"No aplica")</f>
        <v>No aplica</v>
      </c>
      <c r="AB168" s="96" t="str">
        <f>IFERROR(__xludf.DUMMYFUNCTION("""COMPUTED_VALUE"""),"https://photos.app.goo.gl/Vx1EnqwSCQYy3kJr7")</f>
        <v>https://photos.app.goo.gl/Vx1EnqwSCQYy3kJr7</v>
      </c>
      <c r="AC168" s="46" t="str">
        <f>IFERROR(__xludf.DUMMYFUNCTION("""COMPUTED_VALUE"""),"Casa con buenos acabados, piso en cerámica, cerámica antidelizante y porcelanato, muro en fachaleta, divisiones en vidrio templado, closet, puertas y muebles empotrados  en medera.")</f>
        <v>Casa con buenos acabados, piso en cerámica, cerámica antidelizante y porcelanato, muro en fachaleta, divisiones en vidrio templado, closet, puertas y muebles empotrados  en medera.</v>
      </c>
      <c r="AD168" s="46" t="str">
        <f>IFERROR(__xludf.DUMMYFUNCTION("""COMPUTED_VALUE"""),"Casa bien ubicada. Escritura al día.")</f>
        <v>Casa bien ubicada. Escritura al día.</v>
      </c>
      <c r="AE168" s="46"/>
      <c r="AF168" s="46" t="str">
        <f>IFERROR(__xludf.DUMMYFUNCTION("""COMPUTED_VALUE"""),"integral")</f>
        <v>integral</v>
      </c>
      <c r="AG168" s="46"/>
      <c r="AH168" s="46" t="str">
        <f>IFERROR(__xludf.DUMMYFUNCTION("""COMPUTED_VALUE"""),"Aliado")</f>
        <v>Aliado</v>
      </c>
      <c r="AI168" s="92" t="str">
        <f>IFERROR(__xludf.DUMMYFUNCTION("""COMPUTED_VALUE"""),"https://lh3.googleusercontent.com/pw/AP1GczPtmF3n0QLTbzn82H03YgXRlmUUCGklEmuBFXwZd-pRdCUnUBVN9TBQMtqb-A2AOh1A7AT0YctCmH3mQfxiKnC5iTzg8UtGpfDVSRzgZZqyeImWPMiU=w1200|https://lh3.googleusercontent.com/pw/AP1GczPzX0-4tOyKZcRGY1oaZhBg1I20l0RhgLWhU6wBe4iK-_3dhg"&amp;"MzeCSDycqrxlouNj9O6gQIj3ZfTveOW69ICW0Oetvg6BmW2f3tEu-saIJ6sVbSwjDb=w1200|https://lh3.googleusercontent.com/pw/AP1GczNSHmHVcJLLtUUag8uxAPEtefSdG_r0zu-KaqGFOthtlDRxW0F1nunn2xL3n95WTjFfXZJExdvV4_1sK3Qg6ARR-LzsEquOrfOUz_hXpjy0xnI1Thn6=w1200|https://lh3.google"&amp;"usercontent.com/pw/AP1GczNaGosWDDjhUGuBqU2qLaiLtFdG3IfLnmNKlflFzGdu8fiZblxc5rRjValKdLzC8joVduThf2odQQoP0IzXK4vzu6O60hIBI1rn3g8k2nZaMrD4Z_KZ=w1200|https://lh3.googleusercontent.com/pw/AP1GczMbRwTucjuDfAl_1AK13vURjUlAchkhZVy4gHhjTWRxyE5sVklocUVu2I-lYhtJpe8k"&amp;"gW3_u4jYRZTP3iMOErftuM0XkCl9vaNAysdzj_3TS6ZT9Q-2=w1200|https://lh3.googleusercontent.com/pw/AP1GczO9s6n0zMFpSjHfDcGbfaj6GxFq63nNZmfr9Zgn030hyY8ZmgQmHd_aRrJWr2Z3SmoRUmxj4jWc4MQX1N-R6_Kq-vr0cu3VBtvN67OtxlB3Ar29uNun=w1200|https://lh3.googleusercontent.com/pw"&amp;"/AP1GczP9Ya0CjrV71eTTe2eGn1n-eboQh3tkKchCAeAtBEBh6C4zXtKn_bj8nYeGGY6iakUziOB4f-nzUqZbchn_YBKkDBxuh4o5zbAVrdOd_cGj5UrMzb8L=w1200|https://lh3.googleusercontent.com/pw/AP1GczO0K8vdQ-H-dJqzi_pCBnpYn14huOg28jfQjr3hBeLeaZYS5Q11WvDZbPfbz7BJk_7q2CbGGMtnAwhZgsAgfB"&amp;"9hP05YfkGg2Y_i5S9op2IR1AUlGuYe=w1200|https://lh3.googleusercontent.com/pw/AP1GczPwREZDQPz3l0xwR2wOjT6jf48ak5TbKLhOxO5VtYsIj_YcxhR_HG6Az1aKYlPvqgWZ6fk-Pb958iUTL0RiMx2wOIakS7o4WJ4IEEw5DSIAXrwOaC9a=w1200|https://lh3.googleusercontent.com/pw/AP1GczP5CvuH4THvn"&amp;"uxj8vGLMkeAj7LVsLlvv_BldLVkwYQkA6859xsvEN8J_cWMZVg6fsl9FyZdCU-IGM0j9t8cQws7d8SOAv3Q8wt4Md2W99lmLzZAIt-P=w1200|https://lh3.googleusercontent.com/pw/AP1GczOpKJs6zslokdby4-BgNSk3x0XH9rMsEygVDkfrPzmrDaUTNqR5yDMjuHPtO8M6dAclmuxTatRprssdfRLo2thmXihREq0zc7YhTkSj"&amp;"Vv9_o-BMvtr8=w1200|https://lh3.googleusercontent.com/pw/AP1GczNeYmT07EhaE-yOR75ehGkFjeVEjpDXncntH16AEDuVKv4EFwgtdZaydHJQz21sMplGzSNSDpxtXUwuYxqizrSAM_q1biU6uok8iS2un44QeKlKlIJ2=w1200|https://lh3.googleusercontent.com/pw/AP1GczMaCZJeHhaqRGctrlz8bvD5rwJD1Ko"&amp;"GxjtcnUH79BtckG8agKBW9OnUUeU7egwK4QBoQZasneFKity8cF9RUijn5lu_PrvBQ0V35JZkE9TlmZ6-hmPy=w1200|https://lh3.googleusercontent.com/pw/AP1GczNFOCh2dPby8h5x4s6NEuZb-y4SW_c2wLNWqQ8_8jyLngQL3J72UCH6KfFIuluy7yXny_A_fNpEAqlEtjkX1j6YKgoH3-Wg0K7sQJwQZyb-smoZ4NmD=w1200"&amp;"|https://lh3.googleusercontent.com/pw/AP1GczOTqW5bwyEcGiHg-ciBOzdvXrel5xM9MDunl67bHeTdqW_l6W6uwchZSzKPzo_y-4DFrNLE_oMYaPT3_aFy-l6OoeC3ni4s-UB_C7LwrICKgLfJxu-T=w1200|https://lh3.googleusercontent.com/pw/AP1GczMMR-e7zK-O28bP3lWdiSKeeDRI7XaQfdm3RSOTETQ0qLzUy"&amp;"Wyf6NlVuOf-AP3JdWcZjT5iElCJCwnGBL9LjyHzLbVCF-Ncv0m6Zxt4H5z5wfEMMdTU=w1200|https://lh3.googleusercontent.com/pw/AP1GczP30-gJGt-OHo6ZrNT85CkCZg3k1S5wLk6YBPurylri9itehDmvWh8r8vl-ztkmVR5iFQD8isJvge7WgDkhpbj8mRC8vfW10Rhh4Vn7Qr32l1afLGrR=w1200|https://lh3.googl"&amp;"eusercontent.com/pw/AP1GczNri9C5Jj7vLROIypxyLk5BBCHh8LZEEHwzoTnds63Uyu5ITZx-ZL0ktoLlwKtpqPvTDia2FKjIhYyeAzYNxjzWubwUrbckSbILeqoeua3Sea8db2wK=w1200|https://lh3.googleusercontent.com/pw/AP1GczPZ9gMVHD5KRgriMaVWc1X7_95WhMER_pHyChRZAQGOY86ioS3m5cXLNjqcdhm2CZg"&amp;"SwQq3W2G93-FK00H0nb9S37iW-J7Gtu6bzFqsxjiXzDH8lgFB=w1200|https://lh3.googleusercontent.com/pw/AP1GczP02cYE3MxJPylLc4AJrUku_GgztqZwKR8_pAIsBj4dku-E1k4o4Wzza6rqdrcKMwMWKdpwrAnCqZfUXMptZJqTAw4UaGLmlpfQ2r6KESaGdtOBrtGx=w1200|https://lh3.googleusercontent.com/p"&amp;"w/AP1GczMKbzWhX5C5b8meiKOcTlgiFebU_-N8MWAJbJyAQiXWxUkTVG7sDjoBRITPEO3rDmNEcVdvEOYHrIsi4EL2s-w_05RbivV38kcNnNLBBGjZC-CaCmaf=w1200")</f>
        <v>https://lh3.googleusercontent.com/pw/AP1GczPtmF3n0QLTbzn82H03YgXRlmUUCGklEmuBFXwZd-pRdCUnUBVN9TBQMtqb-A2AOh1A7AT0YctCmH3mQfxiKnC5iTzg8UtGpfDVSRzgZZqyeImWPMiU=w1200|https://lh3.googleusercontent.com/pw/AP1GczPzX0-4tOyKZcRGY1oaZhBg1I20l0RhgLWhU6wBe4iK-_3dhgMzeCSDycqrxlouNj9O6gQIj3ZfTveOW69ICW0Oetvg6BmW2f3tEu-saIJ6sVbSwjDb=w1200|https://lh3.googleusercontent.com/pw/AP1GczNSHmHVcJLLtUUag8uxAPEtefSdG_r0zu-KaqGFOthtlDRxW0F1nunn2xL3n95WTjFfXZJExdvV4_1sK3Qg6ARR-LzsEquOrfOUz_hXpjy0xnI1Thn6=w1200|https://lh3.googleusercontent.com/pw/AP1GczNaGosWDDjhUGuBqU2qLaiLtFdG3IfLnmNKlflFzGdu8fiZblxc5rRjValKdLzC8joVduThf2odQQoP0IzXK4vzu6O60hIBI1rn3g8k2nZaMrD4Z_KZ=w1200|https://lh3.googleusercontent.com/pw/AP1GczMbRwTucjuDfAl_1AK13vURjUlAchkhZVy4gHhjTWRxyE5sVklocUVu2I-lYhtJpe8kgW3_u4jYRZTP3iMOErftuM0XkCl9vaNAysdzj_3TS6ZT9Q-2=w1200|https://lh3.googleusercontent.com/pw/AP1GczO9s6n0zMFpSjHfDcGbfaj6GxFq63nNZmfr9Zgn030hyY8ZmgQmHd_aRrJWr2Z3SmoRUmxj4jWc4MQX1N-R6_Kq-vr0cu3VBtvN67OtxlB3Ar29uNun=w1200|https://lh3.googleusercontent.com/pw/AP1GczP9Ya0CjrV71eTTe2eGn1n-eboQh3tkKchCAeAtBEBh6C4zXtKn_bj8nYeGGY6iakUziOB4f-nzUqZbchn_YBKkDBxuh4o5zbAVrdOd_cGj5UrMzb8L=w1200|https://lh3.googleusercontent.com/pw/AP1GczO0K8vdQ-H-dJqzi_pCBnpYn14huOg28jfQjr3hBeLeaZYS5Q11WvDZbPfbz7BJk_7q2CbGGMtnAwhZgsAgfB9hP05YfkGg2Y_i5S9op2IR1AUlGuYe=w1200|https://lh3.googleusercontent.com/pw/AP1GczPwREZDQPz3l0xwR2wOjT6jf48ak5TbKLhOxO5VtYsIj_YcxhR_HG6Az1aKYlPvqgWZ6fk-Pb958iUTL0RiMx2wOIakS7o4WJ4IEEw5DSIAXrwOaC9a=w1200|https://lh3.googleusercontent.com/pw/AP1GczP5CvuH4THvnuxj8vGLMkeAj7LVsLlvv_BldLVkwYQkA6859xsvEN8J_cWMZVg6fsl9FyZdCU-IGM0j9t8cQws7d8SOAv3Q8wt4Md2W99lmLzZAIt-P=w1200|https://lh3.googleusercontent.com/pw/AP1GczOpKJs6zslokdby4-BgNSk3x0XH9rMsEygVDkfrPzmrDaUTNqR5yDMjuHPtO8M6dAclmuxTatRprssdfRLo2thmXihREq0zc7YhTkSjVv9_o-BMvtr8=w1200|https://lh3.googleusercontent.com/pw/AP1GczNeYmT07EhaE-yOR75ehGkFjeVEjpDXncntH16AEDuVKv4EFwgtdZaydHJQz21sMplGzSNSDpxtXUwuYxqizrSAM_q1biU6uok8iS2un44QeKlKlIJ2=w1200|https://lh3.googleusercontent.com/pw/AP1GczMaCZJeHhaqRGctrlz8bvD5rwJD1KoGxjtcnUH79BtckG8agKBW9OnUUeU7egwK4QBoQZasneFKity8cF9RUijn5lu_PrvBQ0V35JZkE9TlmZ6-hmPy=w1200|https://lh3.googleusercontent.com/pw/AP1GczNFOCh2dPby8h5x4s6NEuZb-y4SW_c2wLNWqQ8_8jyLngQL3J72UCH6KfFIuluy7yXny_A_fNpEAqlEtjkX1j6YKgoH3-Wg0K7sQJwQZyb-smoZ4NmD=w1200|https://lh3.googleusercontent.com/pw/AP1GczOTqW5bwyEcGiHg-ciBOzdvXrel5xM9MDunl67bHeTdqW_l6W6uwchZSzKPzo_y-4DFrNLE_oMYaPT3_aFy-l6OoeC3ni4s-UB_C7LwrICKgLfJxu-T=w1200|https://lh3.googleusercontent.com/pw/AP1GczMMR-e7zK-O28bP3lWdiSKeeDRI7XaQfdm3RSOTETQ0qLzUyWyf6NlVuOf-AP3JdWcZjT5iElCJCwnGBL9LjyHzLbVCF-Ncv0m6Zxt4H5z5wfEMMdTU=w1200|https://lh3.googleusercontent.com/pw/AP1GczP30-gJGt-OHo6ZrNT85CkCZg3k1S5wLk6YBPurylri9itehDmvWh8r8vl-ztkmVR5iFQD8isJvge7WgDkhpbj8mRC8vfW10Rhh4Vn7Qr32l1afLGrR=w1200|https://lh3.googleusercontent.com/pw/AP1GczNri9C5Jj7vLROIypxyLk5BBCHh8LZEEHwzoTnds63Uyu5ITZx-ZL0ktoLlwKtpqPvTDia2FKjIhYyeAzYNxjzWubwUrbckSbILeqoeua3Sea8db2wK=w1200|https://lh3.googleusercontent.com/pw/AP1GczPZ9gMVHD5KRgriMaVWc1X7_95WhMER_pHyChRZAQGOY86ioS3m5cXLNjqcdhm2CZgSwQq3W2G93-FK00H0nb9S37iW-J7Gtu6bzFqsxjiXzDH8lgFB=w1200|https://lh3.googleusercontent.com/pw/AP1GczP02cYE3MxJPylLc4AJrUku_GgztqZwKR8_pAIsBj4dku-E1k4o4Wzza6rqdrcKMwMWKdpwrAnCqZfUXMptZJqTAw4UaGLmlpfQ2r6KESaGdtOBrtGx=w1200|https://lh3.googleusercontent.com/pw/AP1GczMKbzWhX5C5b8meiKOcTlgiFebU_-N8MWAJbJyAQiXWxUkTVG7sDjoBRITPEO3rDmNEcVdvEOYHrIsi4EL2s-w_05RbivV38kcNnNLBBGjZC-CaCmaf=w1200</v>
      </c>
      <c r="AJ168" s="46"/>
      <c r="AK168" s="46"/>
      <c r="AL168" s="46"/>
      <c r="AM168" s="46"/>
      <c r="AN168" s="46"/>
      <c r="AO168" s="46"/>
      <c r="AP168" s="46"/>
      <c r="AQ168" s="46"/>
      <c r="AR168" s="46"/>
      <c r="AS168" s="46"/>
      <c r="AT168" s="46"/>
      <c r="AU168" s="46"/>
      <c r="AV168" s="46"/>
      <c r="AW168" s="46"/>
      <c r="AX168" s="46"/>
      <c r="AY168" s="46"/>
      <c r="AZ168" s="46"/>
      <c r="BA168" s="46"/>
      <c r="BB168" s="46"/>
      <c r="BC168" s="46"/>
      <c r="BD168" s="46"/>
      <c r="BE168" s="46"/>
      <c r="BF168" s="46"/>
      <c r="BG168" s="46"/>
      <c r="BH168" s="46"/>
      <c r="BI168" s="46"/>
      <c r="BJ168" s="46"/>
      <c r="BK168" s="46"/>
      <c r="BL168" s="46"/>
      <c r="BM168" s="46"/>
      <c r="BN168" s="46"/>
      <c r="BO168" s="46"/>
      <c r="BP168" s="46"/>
      <c r="BQ168" s="46"/>
      <c r="BR168" s="46"/>
      <c r="BS168" s="46"/>
      <c r="BT168" s="46"/>
      <c r="BU168" s="46"/>
      <c r="BV168" s="46"/>
      <c r="BW168" s="46"/>
      <c r="BX168" s="46"/>
      <c r="BY168" s="46"/>
      <c r="BZ168" s="46"/>
      <c r="CA168" s="46"/>
      <c r="CB168" s="46"/>
      <c r="CC168" s="46"/>
    </row>
    <row r="169">
      <c r="A169" s="87" t="str">
        <f>IFERROR(__xludf.DUMMYFUNCTION("""COMPUTED_VALUE"""),"373")</f>
        <v>373</v>
      </c>
      <c r="B169" s="46" t="str">
        <f>IFERROR(__xludf.DUMMYFUNCTION("""COMPUTED_VALUE"""),"Apartamento en edificio Quirinal  - Centro")</f>
        <v>Apartamento en edificio Quirinal  - Centro</v>
      </c>
      <c r="C169" s="46" t="str">
        <f>IFERROR(__xludf.DUMMYFUNCTION("""COMPUTED_VALUE"""),"Apartamento")</f>
        <v>Apartamento</v>
      </c>
      <c r="D169" s="46" t="str">
        <f>IFERROR(__xludf.DUMMYFUNCTION("""COMPUTED_VALUE"""),"Quirinal")</f>
        <v>Quirinal</v>
      </c>
      <c r="E169" s="46"/>
      <c r="F169" s="90">
        <f>IFERROR(__xludf.DUMMYFUNCTION("""COMPUTED_VALUE"""),3.35E8)</f>
        <v>335000000</v>
      </c>
      <c r="G169" s="46" t="str">
        <f>IFERROR(__xludf.DUMMYFUNCTION("""COMPUTED_VALUE"""),"$300'000.000 a $400'000.000")</f>
        <v>$300'000.000 a $400'000.000</v>
      </c>
      <c r="H169" s="46"/>
      <c r="I169" s="46"/>
      <c r="J169" s="46" t="str">
        <f>IFERROR(__xludf.DUMMYFUNCTION("""COMPUTED_VALUE"""),"Centro")</f>
        <v>Centro</v>
      </c>
      <c r="K169" s="87" t="str">
        <f>IFERROR(__xludf.DUMMYFUNCTION("""COMPUTED_VALUE"""),"3")</f>
        <v>3</v>
      </c>
      <c r="L169" s="46">
        <f>IFERROR(__xludf.DUMMYFUNCTION("""COMPUTED_VALUE"""),3.0)</f>
        <v>3</v>
      </c>
      <c r="M169" s="46"/>
      <c r="N169" s="46">
        <f>IFERROR(__xludf.DUMMYFUNCTION("""COMPUTED_VALUE"""),3.0)</f>
        <v>3</v>
      </c>
      <c r="O169" s="46">
        <f>IFERROR(__xludf.DUMMYFUNCTION("""COMPUTED_VALUE"""),1.0)</f>
        <v>1</v>
      </c>
      <c r="P169" s="46">
        <f>IFERROR(__xludf.DUMMYFUNCTION("""COMPUTED_VALUE"""),1.0)</f>
        <v>1</v>
      </c>
      <c r="Q169" s="92">
        <f>IFERROR(__xludf.DUMMYFUNCTION("""COMPUTED_VALUE"""),143.0)</f>
        <v>143</v>
      </c>
      <c r="R169" s="92">
        <f>IFERROR(__xludf.DUMMYFUNCTION("""COMPUTED_VALUE"""),143.0)</f>
        <v>143</v>
      </c>
      <c r="S169" s="87" t="str">
        <f>IFERROR(__xludf.DUMMYFUNCTION("""COMPUTED_VALUE""")," ")</f>
        <v> </v>
      </c>
      <c r="T169" s="46" t="str">
        <f>IFERROR(__xludf.DUMMYFUNCTION("""COMPUTED_VALUE"""),"Neiva")</f>
        <v>Neiva</v>
      </c>
      <c r="U169" s="87" t="str">
        <f>IFERROR(__xludf.DUMMYFUNCTION("""COMPUTED_VALUE"""),"5")</f>
        <v>5</v>
      </c>
      <c r="V169" s="46"/>
      <c r="W169" s="46"/>
      <c r="X169" s="46">
        <f>IFERROR(__xludf.DUMMYFUNCTION("""COMPUTED_VALUE"""),3.0)</f>
        <v>3</v>
      </c>
      <c r="Y169" s="46" t="str">
        <f>IFERROR(__xludf.DUMMYFUNCTION("""COMPUTED_VALUE"""),"No tiene")</f>
        <v>No tiene</v>
      </c>
      <c r="Z169" s="90">
        <f>IFERROR(__xludf.DUMMYFUNCTION("""COMPUTED_VALUE"""),300000.0)</f>
        <v>300000</v>
      </c>
      <c r="AA169" s="33" t="str">
        <f>IFERROR(__xludf.DUMMYFUNCTION("""COMPUTED_VALUE"""),"No aplica")</f>
        <v>No aplica</v>
      </c>
      <c r="AB169" s="144" t="str">
        <f>IFERROR(__xludf.DUMMYFUNCTION("""COMPUTED_VALUE"""),"https://photos.app.goo.gl/8accad79tcZRBSST7")</f>
        <v>https://photos.app.goo.gl/8accad79tcZRBSST7</v>
      </c>
      <c r="AC169" s="46"/>
      <c r="AD169" s="46" t="str">
        <f>IFERROR(__xludf.DUMMYFUNCTION("""COMPUTED_VALUE"""),"Apartamento central y remodelado, ubicado en tercer piso. Con ascensor. Edificio de 6 pisos,  2 apartamentos por piso. Ubicado cerca del Sena, Av. La toma, Carrera 5ta. Buenos acabados. Escritura al día.")</f>
        <v>Apartamento central y remodelado, ubicado en tercer piso. Con ascensor. Edificio de 6 pisos,  2 apartamentos por piso. Ubicado cerca del Sena, Av. La toma, Carrera 5ta. Buenos acabados. Escritura al día.</v>
      </c>
      <c r="AE169" s="46"/>
      <c r="AF169" s="46" t="str">
        <f>IFERROR(__xludf.DUMMYFUNCTION("""COMPUTED_VALUE"""),"integral")</f>
        <v>integral</v>
      </c>
      <c r="AG169" s="46"/>
      <c r="AH169" s="46" t="str">
        <f>IFERROR(__xludf.DUMMYFUNCTION("""COMPUTED_VALUE"""),"Aliado")</f>
        <v>Aliado</v>
      </c>
      <c r="AI169" s="92" t="str">
        <f>IFERROR(__xludf.DUMMYFUNCTION("""COMPUTED_VALUE"""),"https://lh3.googleusercontent.com/pw/AP1GczPD_HD_FyU0oyZT_SNj3l0Bt6dAm4-h-4752u9Tr0ruReSizSCz2z65DmKJhOB5bStldHhMXICCw2ncPDI6xXDYElhinchiKRk7mZz0II1bsu-HAGUb=w1200|https://lh3.googleusercontent.com/pw/AP1GczNGIVNVcMXahGPWcVyMeoCeDfqXQSbEAC65WZncVLJl3FFksi"&amp;"PV4KmTFV-GBLun51l2DhGM6ONgvRotGzbsJ6nusNmLnGM4R_f0svORVpEXlt4vmxHJ=w1200|https://lh3.googleusercontent.com/pw/AP1GczOJGYIHwFxRjcqfyFQfoSpWX4YsAYUv9JbEhAD9h92x6ZJzqHNI6TIt_wMWABbyOjBDPxLHib6TjSHsvmdgrXMfwuF2-oouZFPt-Xu-mBhRb57XgrGv=w1200|https://lh3.google"&amp;"usercontent.com/pw/AP1GczMCD1ru5I_bCImeOINajKWwB6YiBqc5QCqLD0Aa5yGYCjIxDBhn1KEVtCDZldU4I012U3QmBT_QUrkzTHA0Kw5ClvNJFK_5pvwPZMiE9cBdQL2RyOmk=w1200|https://lh3.googleusercontent.com/pw/AP1GczP2JfPYyBh7AKdxrs3j3W5vu-xMsRLm7ggnVIWBCAZZgz1JnkXvDwSw9NAJo4W00CLw"&amp;"1ol3snQFLCgXp4bzqwBr1tbn_9jtobJvd8TzOYtuH3ntCN2b=w1200|https://lh3.googleusercontent.com/pw/AP1GczNe1_zr6D1GP5o8F2GVzwUxP7QJuP9IVlBngTmUP0yAlEe5GXdWMDBGYv84SdfGUqup9THtnKh0zup8V06JbKZuVh6ywvFkSeOnDvE8henr0HPurh6Q=w1200|https://lh3.googleusercontent.com/pw"&amp;"/AP1GczMLxLzT6UXvMDguGZ-c0TEIj8cJ9hOGDFrOX0ZbEy2OuCMqUEMAKKsiFn261NoYLuIQJhmxjqZK7za_i5BIG6D7IEme0KCNeVzesXCcxgi9wEjuUaw8=w1200|https://lh3.googleusercontent.com/pw/AP1GczNqnhf4UQ1atyvhIqKT-g7GPK4BZpGenUIonpKdj93k6FGz409UATHZ70qF1mo9uraRv6Olpu9aU5bvUNGbwJ"&amp;"KbtbrwCLONtn3S-PsDbFW6_RtKlLN_=w1200|https://lh3.googleusercontent.com/pw/AP1GczNRWBDqz2FRPYGmRgfaewlbFlMhG-Qa-AUVx2ku_qDA8IKBosVwr08VULGIzF_DekIbAk35vFOFRvFJ1cP8RztcZHBA61iAgK01qizPNNDhMt1jXYTE=w1200|https://lh3.googleusercontent.com/pw/AP1GczNCAV2tKoY4t"&amp;"8n3erLNM6etkngPi0pqmo0CpDSaM8lpQcHUyW20cjTwSv1AeKxf4_hUXeSX7Eq8CBm9Ra6YBWcep7RkTQ7YhwnjzNQQv3PcfMPvW-07=w1200|https://lh3.googleusercontent.com/pw/AP1GczMwEGEQrkVpm2bnY_cgQcBA0j0DwBeHdG8eLc1IwmKnll_S7Ht-X5-XhGHz-O3gD9AHedIbLjLUgDN7PAarmXhHKS8vUyxrUAeFTPzF"&amp;"-MHHr-vdyws9=w1200|https://lh3.googleusercontent.com/pw/AP1GczNCRqQC4Q1VxWy-9BL5x2oh0ndD-ZHGxjNVxR00pbcIMV1nfEMT3fT8kD7gigGQWdQxfjae9dn0RUOMUBtjBBVCWwggvk8qH1kxpQdtPY3b_6bUPBQC=w1200|https://lh3.googleusercontent.com/pw/AP1GczOTis9_RSRPBylIPkFrPlSpvUOku-E"&amp;"v8TyCMRKN3dmW3AwtsRV8qbCnvDSmiLnM3JMmXCTSecfofDBjlnToL-N9E9d_kb0pXuyWCXPW4LfF1Eg-U2ya=w1200|https://lh3.googleusercontent.com/pw/AP1GczOM4JuNMwPR1NY3cyzH8yzjBNNEEUY6RlI5KXB8Tm4yJr5Nzto4LjOEPypy0OY8GwpP8G1LqBMfktWjS7kjCWpOBv-RmW0eOoCcT6PNikNy_WATlvNV=w1200"&amp;"|https://lh3.googleusercontent.com/pw/AP1GczOCMARXwsVXV3Y8nzbfBtJcqrIzku33pmitkaP8Mk8n0tf0m2RNbr9EYNtAKJ_MTiEeVovWS_8utODNIL43YzHmZoRjYuLtH7xzpZJeP6DInRgaZe4M=w1200|https://lh3.googleusercontent.com/pw/AP1GczMA31H60Pp-QcgSqtWPR0abbsadRdx4MdoSM3glmiiroj04i"&amp;"44PdixMWTyNLghgtGcseRRlZlFss8yYX2dxdso57Kpeo7v-1LujwWLwL2E3HTISm_Sl=w1200|https://lh3.googleusercontent.com/pw/AP1GczPasxHSGWC1Pz1V8sCdeIz6ppkSshMTH7OoSwHFl0CqtigzJ-CnTlGa_ngKUk16rHIHgqu2LLM2czBS6YNF4fC-ebnr_kDNzCadMJZrqwm1I-GUjPCP=w1200")</f>
        <v>https://lh3.googleusercontent.com/pw/AP1GczPD_HD_FyU0oyZT_SNj3l0Bt6dAm4-h-4752u9Tr0ruReSizSCz2z65DmKJhOB5bStldHhMXICCw2ncPDI6xXDYElhinchiKRk7mZz0II1bsu-HAGUb=w1200|https://lh3.googleusercontent.com/pw/AP1GczNGIVNVcMXahGPWcVyMeoCeDfqXQSbEAC65WZncVLJl3FFksiPV4KmTFV-GBLun51l2DhGM6ONgvRotGzbsJ6nusNmLnGM4R_f0svORVpEXlt4vmxHJ=w1200|https://lh3.googleusercontent.com/pw/AP1GczOJGYIHwFxRjcqfyFQfoSpWX4YsAYUv9JbEhAD9h92x6ZJzqHNI6TIt_wMWABbyOjBDPxLHib6TjSHsvmdgrXMfwuF2-oouZFPt-Xu-mBhRb57XgrGv=w1200|https://lh3.googleusercontent.com/pw/AP1GczMCD1ru5I_bCImeOINajKWwB6YiBqc5QCqLD0Aa5yGYCjIxDBhn1KEVtCDZldU4I012U3QmBT_QUrkzTHA0Kw5ClvNJFK_5pvwPZMiE9cBdQL2RyOmk=w1200|https://lh3.googleusercontent.com/pw/AP1GczP2JfPYyBh7AKdxrs3j3W5vu-xMsRLm7ggnVIWBCAZZgz1JnkXvDwSw9NAJo4W00CLw1ol3snQFLCgXp4bzqwBr1tbn_9jtobJvd8TzOYtuH3ntCN2b=w1200|https://lh3.googleusercontent.com/pw/AP1GczNe1_zr6D1GP5o8F2GVzwUxP7QJuP9IVlBngTmUP0yAlEe5GXdWMDBGYv84SdfGUqup9THtnKh0zup8V06JbKZuVh6ywvFkSeOnDvE8henr0HPurh6Q=w1200|https://lh3.googleusercontent.com/pw/AP1GczMLxLzT6UXvMDguGZ-c0TEIj8cJ9hOGDFrOX0ZbEy2OuCMqUEMAKKsiFn261NoYLuIQJhmxjqZK7za_i5BIG6D7IEme0KCNeVzesXCcxgi9wEjuUaw8=w1200|https://lh3.googleusercontent.com/pw/AP1GczNqnhf4UQ1atyvhIqKT-g7GPK4BZpGenUIonpKdj93k6FGz409UATHZ70qF1mo9uraRv6Olpu9aU5bvUNGbwJKbtbrwCLONtn3S-PsDbFW6_RtKlLN_=w1200|https://lh3.googleusercontent.com/pw/AP1GczNRWBDqz2FRPYGmRgfaewlbFlMhG-Qa-AUVx2ku_qDA8IKBosVwr08VULGIzF_DekIbAk35vFOFRvFJ1cP8RztcZHBA61iAgK01qizPNNDhMt1jXYTE=w1200|https://lh3.googleusercontent.com/pw/AP1GczNCAV2tKoY4t8n3erLNM6etkngPi0pqmo0CpDSaM8lpQcHUyW20cjTwSv1AeKxf4_hUXeSX7Eq8CBm9Ra6YBWcep7RkTQ7YhwnjzNQQv3PcfMPvW-07=w1200|https://lh3.googleusercontent.com/pw/AP1GczMwEGEQrkVpm2bnY_cgQcBA0j0DwBeHdG8eLc1IwmKnll_S7Ht-X5-XhGHz-O3gD9AHedIbLjLUgDN7PAarmXhHKS8vUyxrUAeFTPzF-MHHr-vdyws9=w1200|https://lh3.googleusercontent.com/pw/AP1GczNCRqQC4Q1VxWy-9BL5x2oh0ndD-ZHGxjNVxR00pbcIMV1nfEMT3fT8kD7gigGQWdQxfjae9dn0RUOMUBtjBBVCWwggvk8qH1kxpQdtPY3b_6bUPBQC=w1200|https://lh3.googleusercontent.com/pw/AP1GczOTis9_RSRPBylIPkFrPlSpvUOku-Ev8TyCMRKN3dmW3AwtsRV8qbCnvDSmiLnM3JMmXCTSecfofDBjlnToL-N9E9d_kb0pXuyWCXPW4LfF1Eg-U2ya=w1200|https://lh3.googleusercontent.com/pw/AP1GczOM4JuNMwPR1NY3cyzH8yzjBNNEEUY6RlI5KXB8Tm4yJr5Nzto4LjOEPypy0OY8GwpP8G1LqBMfktWjS7kjCWpOBv-RmW0eOoCcT6PNikNy_WATlvNV=w1200|https://lh3.googleusercontent.com/pw/AP1GczOCMARXwsVXV3Y8nzbfBtJcqrIzku33pmitkaP8Mk8n0tf0m2RNbr9EYNtAKJ_MTiEeVovWS_8utODNIL43YzHmZoRjYuLtH7xzpZJeP6DInRgaZe4M=w1200|https://lh3.googleusercontent.com/pw/AP1GczMA31H60Pp-QcgSqtWPR0abbsadRdx4MdoSM3glmiiroj04i44PdixMWTyNLghgtGcseRRlZlFss8yYX2dxdso57Kpeo7v-1LujwWLwL2E3HTISm_Sl=w1200|https://lh3.googleusercontent.com/pw/AP1GczPasxHSGWC1Pz1V8sCdeIz6ppkSshMTH7OoSwHFl0CqtigzJ-CnTlGa_ngKUk16rHIHgqu2LLM2czBS6YNF4fC-ebnr_kDNzCadMJZrqwm1I-GUjPCP=w1200</v>
      </c>
      <c r="AJ169" s="46"/>
      <c r="AK169" s="46"/>
      <c r="AL169" s="46"/>
      <c r="AM169" s="46"/>
      <c r="AN169" s="46"/>
      <c r="AO169" s="46"/>
      <c r="AP169" s="46"/>
      <c r="AQ169" s="46"/>
      <c r="AR169" s="46"/>
      <c r="AS169" s="46"/>
      <c r="AT169" s="46"/>
      <c r="AU169" s="46"/>
      <c r="AV169" s="46"/>
      <c r="AW169" s="46"/>
      <c r="AX169" s="46"/>
      <c r="AY169" s="46"/>
      <c r="AZ169" s="46"/>
      <c r="BA169" s="46"/>
      <c r="BB169" s="46"/>
      <c r="BC169" s="46"/>
      <c r="BD169" s="46"/>
      <c r="BE169" s="46"/>
      <c r="BF169" s="46"/>
      <c r="BG169" s="46"/>
      <c r="BH169" s="46"/>
      <c r="BI169" s="46"/>
      <c r="BJ169" s="46"/>
      <c r="BK169" s="46"/>
      <c r="BL169" s="46"/>
      <c r="BM169" s="46"/>
      <c r="BN169" s="46"/>
      <c r="BO169" s="46"/>
      <c r="BP169" s="46"/>
      <c r="BQ169" s="46"/>
      <c r="BR169" s="46"/>
      <c r="BS169" s="46"/>
      <c r="BT169" s="46"/>
      <c r="BU169" s="46"/>
      <c r="BV169" s="46"/>
      <c r="BW169" s="46"/>
      <c r="BX169" s="46"/>
      <c r="BY169" s="46"/>
      <c r="BZ169" s="46"/>
      <c r="CA169" s="46"/>
      <c r="CB169" s="46"/>
      <c r="CC169" s="46"/>
    </row>
    <row r="170">
      <c r="A170" s="87" t="str">
        <f>IFERROR(__xludf.DUMMYFUNCTION("""COMPUTED_VALUE"""),"483")</f>
        <v>483</v>
      </c>
      <c r="B170" s="46" t="str">
        <f>IFERROR(__xludf.DUMMYFUNCTION("""COMPUTED_VALUE"""),"Casa campestre en Conjunto San Jerónimo - Vía la Ulloa")</f>
        <v>Casa campestre en Conjunto San Jerónimo - Vía la Ulloa</v>
      </c>
      <c r="C170" s="46" t="str">
        <f>IFERROR(__xludf.DUMMYFUNCTION("""COMPUTED_VALUE"""),"Casa campestre en conjunto")</f>
        <v>Casa campestre en conjunto</v>
      </c>
      <c r="D170" s="46"/>
      <c r="E170" s="46" t="str">
        <f>IFERROR(__xludf.DUMMYFUNCTION("""COMPUTED_VALUE"""),"San Jerónimo - Vía Ulloa")</f>
        <v>San Jerónimo - Vía Ulloa</v>
      </c>
      <c r="F170" s="90">
        <f>IFERROR(__xludf.DUMMYFUNCTION("""COMPUTED_VALUE"""),8.5E8)</f>
        <v>850000000</v>
      </c>
      <c r="G170" s="46" t="str">
        <f>IFERROR(__xludf.DUMMYFUNCTION("""COMPUTED_VALUE"""),"$500'000.000 a $1.000'000.000")</f>
        <v>$500'000.000 a $1.000'000.000</v>
      </c>
      <c r="H170" s="46"/>
      <c r="I170" s="46"/>
      <c r="J170" s="46" t="str">
        <f>IFERROR(__xludf.DUMMYFUNCTION("""COMPUTED_VALUE"""),"Norte")</f>
        <v>Norte</v>
      </c>
      <c r="K170" s="87"/>
      <c r="L170" s="179">
        <f>IFERROR(__xludf.DUMMYFUNCTION("""COMPUTED_VALUE"""),3.0)</f>
        <v>3</v>
      </c>
      <c r="M170" s="179"/>
      <c r="N170" s="179">
        <f>IFERROR(__xludf.DUMMYFUNCTION("""COMPUTED_VALUE"""),4.0)</f>
        <v>4</v>
      </c>
      <c r="O170" s="179">
        <f>IFERROR(__xludf.DUMMYFUNCTION("""COMPUTED_VALUE"""),2.0)</f>
        <v>2</v>
      </c>
      <c r="P170" s="179">
        <f>IFERROR(__xludf.DUMMYFUNCTION("""COMPUTED_VALUE"""),1.0)</f>
        <v>1</v>
      </c>
      <c r="Q170" s="92"/>
      <c r="R170" s="92">
        <f>IFERROR(__xludf.DUMMYFUNCTION("""COMPUTED_VALUE"""),1700.0)</f>
        <v>1700</v>
      </c>
      <c r="S170" s="87" t="str">
        <f>IFERROR(__xludf.DUMMYFUNCTION("""COMPUTED_VALUE""")," ")</f>
        <v> </v>
      </c>
      <c r="T170" s="46" t="str">
        <f>IFERROR(__xludf.DUMMYFUNCTION("""COMPUTED_VALUE"""),"Ulloa")</f>
        <v>Ulloa</v>
      </c>
      <c r="U170" s="87" t="str">
        <f>IFERROR(__xludf.DUMMYFUNCTION("""COMPUTED_VALUE"""),"4")</f>
        <v>4</v>
      </c>
      <c r="V170" s="179"/>
      <c r="W170" s="179"/>
      <c r="X170" s="179">
        <f>IFERROR(__xludf.DUMMYFUNCTION("""COMPUTED_VALUE"""),4.0)</f>
        <v>4</v>
      </c>
      <c r="Y170" s="179" t="str">
        <f>IFERROR(__xludf.DUMMYFUNCTION("""COMPUTED_VALUE"""),"No tiene")</f>
        <v>No tiene</v>
      </c>
      <c r="Z170" s="90" t="str">
        <f>IFERROR(__xludf.DUMMYFUNCTION("""COMPUTED_VALUE"""),"No aplica")</f>
        <v>No aplica</v>
      </c>
      <c r="AA170" s="33" t="str">
        <f>IFERROR(__xludf.DUMMYFUNCTION("""COMPUTED_VALUE"""),"No aplica")</f>
        <v>No aplica</v>
      </c>
      <c r="AB170" s="144" t="str">
        <f>IFERROR(__xludf.DUMMYFUNCTION("""COMPUTED_VALUE"""),"https://photos.app.goo.gl/LLG4CKE3c6tscmEC6")</f>
        <v>https://photos.app.goo.gl/LLG4CKE3c6tscmEC6</v>
      </c>
      <c r="AC170" s="46" t="str">
        <f>IFERROR(__xludf.DUMMYFUNCTION("""COMPUTED_VALUE""")," la propiedad exhibe una arquitectura contemporánea y cálida definida por un imponente muro divisorio revestido en piedra natural entrelazada de tonos grises y cobrizos que aporta textura al interior, complementado por paredes lisas estucadas en blanco y "&amp;"una gran puerta principal con acabado tipo concreto arquitectónico gris y tirador de acero. Los suelos interiores están pavimentados con baldosas de porcelanato de gran formato con efecto mármol blanco de alto brillo, mientras que el fondo del espejo de a"&amp;"gua presenta un porcelanato negro reflectante y la terraza exterior un acabado gris mate antideslizante. La ventanería y los cerramientos utilizan perfilería de aluminio negro mate, destacando una cortina enrollable exterior tipo screen en gris antracita;"&amp;" el mobiliario combina maderas macizas en pedestales y acentos con textiles texturizados y cuero en sofás, junto con estructuras metálicas y vidrio, todo integrado en un paisajismo de césped natural denso con senderos delimitados por vegetación de borde a"&amp;"marilla.")</f>
        <v> la propiedad exhibe una arquitectura contemporánea y cálida definida por un imponente muro divisorio revestido en piedra natural entrelazada de tonos grises y cobrizos que aporta textura al interior, complementado por paredes lisas estucadas en blanco y una gran puerta principal con acabado tipo concreto arquitectónico gris y tirador de acero. Los suelos interiores están pavimentados con baldosas de porcelanato de gran formato con efecto mármol blanco de alto brillo, mientras que el fondo del espejo de agua presenta un porcelanato negro reflectante y la terraza exterior un acabado gris mate antideslizante. La ventanería y los cerramientos utilizan perfilería de aluminio negro mate, destacando una cortina enrollable exterior tipo screen en gris antracita; el mobiliario combina maderas macizas en pedestales y acentos con textiles texturizados y cuero en sofás, junto con estructuras metálicas y vidrio, todo integrado en un paisajismo de césped natural denso con senderos delimitados por vegetación de borde amarilla.</v>
      </c>
      <c r="AD170" s="46" t="str">
        <f>IFERROR(__xludf.DUMMYFUNCTION("""COMPUTED_VALUE""")," Ubicación a 6 kms de Neiva, vereda el Dindal, jurisdicción de Rivera. Area del lote 1.173.0 m2. Area adicional no construible 527.0 m2. Área construida. 217.67 m2. Excelentes acabados. Escritura al día.")</f>
        <v> Ubicación a 6 kms de Neiva, vereda el Dindal, jurisdicción de Rivera. Area del lote 1.173.0 m2. Area adicional no construible 527.0 m2. Área construida. 217.67 m2. Excelentes acabados. Escritura al día.</v>
      </c>
      <c r="AE170" s="46"/>
      <c r="AF170" s="46" t="str">
        <f>IFERROR(__xludf.DUMMYFUNCTION("""COMPUTED_VALUE"""),"integral")</f>
        <v>integral</v>
      </c>
      <c r="AG170" s="46"/>
      <c r="AH170" s="46" t="str">
        <f>IFERROR(__xludf.DUMMYFUNCTION("""COMPUTED_VALUE"""),"Aliado")</f>
        <v>Aliado</v>
      </c>
      <c r="AI170" s="92" t="str">
        <f>IFERROR(__xludf.DUMMYFUNCTION("""COMPUTED_VALUE"""),"https://lh3.googleusercontent.com/pw/AP1GczN4Lg_8iRvdxwOo550I88rWs7h3FGWNv-AtSsGY4M-KdXVqh5yov3VmBysfYAZTy1I7MyMZVbtsITJYuI81n9eSOae71wlrWyL8FBEKTN6BmAWIlmgF=w1200|https://lh3.googleusercontent.com/pw/AP1GczPgYDRvDTSr3_uMOZx3TEeVwzMp16WdunQFC7pSre5rs8uhgO"&amp;"hGGPWg20msGYLBaoYyR-FL4e496S1RrYKTlC-hgOavf1eJ-73AhhF5yVaGq1phyYwt=w1200|https://lh3.googleusercontent.com/pw/AP1GczO9FsorUenN4-4q0AaO0fMR3oTZXEI_je7GoPzRk8PLMggZVEUOX_5LRckGbvzHnnsKZv2x-lyNmg5-2GzrPdDmQ7q1hYI0YsT3MZ2ENhq_lTdHHC3c=w1200|https://lh3.google"&amp;"usercontent.com/pw/AP1GczNUCbXwOuSEu_OLMbawgBReYL3WE-c1NA4CMjuzXO7UH4hsmbU8nyoR1t8Vlp4dPOjRTcKht7dYIIAZ68bZ3X6Asr39PiOMwvDx9DBe8uH27E5K0dGT=w1200|https://lh3.googleusercontent.com/pw/AP1GczMCFOqSgT-sBzQCK56XL9INl7vvqhAyQhTkd_I2TBBzTFVCi_BNHHm4dreht6Ud_jGZ"&amp;"k36IdastUNRCTNW3041-vGnF_qRJ_eI0xQ4lFY7t_nXMrCWY=w1200|https://lh3.googleusercontent.com/pw/AP1GczPrHSB8helsvF76TsydwbbVlbwXRfoZZVDFpWVxTfCOSjU_DYNVLh7UWtqDhVXGnn61ZLXicMN_DTVAmsUzc_aFDC4sSLHHuLscHrD7ytALQ-hmeTxz=w1200|https://lh3.googleusercontent.com/pw"&amp;"/AP1GczNlhDdmFjkBqQI6nCAnWjUFOTaVIqqotlx1OAJacX8j8THB0AGl7oT4Xq1RUoL8v8xOLuPZm5tNzMzl6TepUaV9hhVr7DiRiRYZwAIW6-GeYA8a1cw_=w1200|https://lh3.googleusercontent.com/pw/AP1GczPE0UmfDTGMrBw3NrCkHwAlUp96vdtOvVO3cd95CT8bAfXvkILSbrJ8PmpxOX5JPjHdmheU9TTj5UnsyuCskx"&amp;"yec1DH4iY3Q9ehCepUDe5c3InovGJC=w1200|https://lh3.googleusercontent.com/pw/AP1GczM7gmYrg5TWu8V7nBwXSMhf5SB-R9-yeS6pWyklQjLvhHgCIgtYq_ih1dnT524bfE2Cp7KROp0zJEUl9ipZWB_YANnrc70lIJg0RDebWs5mtqGX3byT=w1200|https://lh3.googleusercontent.com/pw/AP1GczNE-1Hdjp9D3"&amp;"UpbDor5mBM0e5RIH0ivCgDuNfqf-UL9GaxK1f6amRJRxBMWLsxaoWtIRpEvCvyAtZCNe3Gwu8zIR9JcDMcYjZoyW7rbqn-W4S5xnra4=w1200|https://lh3.googleusercontent.com/pw/AP1GczMXZVmlZDPNaXmCLdmHdmw-8rrw_l3rQdP8haP_uqtfWaJM7GXsqXz-9PiWiKEk7lBZKDqEECh1jVKQuRyUk6aSJQG2xtx2IjrH5hP2"&amp;"AANpMYisqMgD=w1200|https://lh3.googleusercontent.com/pw/AP1GczN1pVTN41-iWCQ4tedthrBfn6vQpy7QU5Irp6tFR9i58GinnTpx6Yq1Obw8QJ3ZTLiePcAfEjrcLeVC2v9Gvd0Tz5c2Xv6gnGVuu3lbwrmeMkao9joP=w1200|https://lh3.googleusercontent.com/pw/AP1GczPZmotOW_-M9AZM_noL2CFcboKO1TJ"&amp;"6vqc9TSFSMRqwhaTGrsj96xFSWX3-pplp-dGt8xIMwQzasS83jDHbcz-ciyK7QWJEgMDGV_lcgctBcqUKs8xY=w1200|https://lh3.googleusercontent.com/pw/AP1GczM1Ky_OPxK4FIyM7hrz0hRQGB-CcSPrECY6lo26hD-An14SgtCq7koDjzpmw2h1dFs8SthuiScTnWBvYyclqEaViknIFixJONVO5WkA5h54SnYyYGq6=w1200"&amp;"|https://lh3.googleusercontent.com/pw/AP1GczNexQsAvOYAXcO0a2k4LvCDQCqY3M7wpk0NlTTH8JcZd0uIM_e9ng28RZnTIlRisKHaHNmPilmGj5ER-sKDh0vKy3ZMP-bpJbmjNvwemhJhuhIQlSFT=w1200|https://lh3.googleusercontent.com/pw/AP1GczOmO65g-LDa1qAqCOJ1DJRSJxpr5J_11ZSPyLfFm3doVwB73"&amp;"Ai3_XoLBvHWHwupsUOT1-TlQF1mVEda5gZqRt6i9SfjyTJZpga7tXIRkZSC3efI3X8K=w1200|https://lh3.googleusercontent.com/pw/AP1GczPgojGWuaa1qtrBx-Jc26Lzh05cLkKFychUiUjKrLDem03qtrtRpAxY079GfTMQ0JfP8xK8Vtd-iORagt4X5qZw5RxJPq41GAwRjxq_DyCX-yjpPxTG=w1200|https://lh3.googl"&amp;"eusercontent.com/pw/AP1GczMk3GjmpcDanJmGAie2FzA5aRMc1R4cNGxFVD3VUspr92n6j_J5o8izOMz3ygCVzcQiTimY6DC-RzKbCovI06xmj3B9LtrGCyb9vm2-LKVN8pv8uCNK=w1200|https://lh3.googleusercontent.com/pw/AP1GczOEOgTR8l-gp0MiStKdVqbewxAOthbjjMqyTSZUo0iXjGgHU9WaVvuk7MnBeSQi3og"&amp;"XAgbD6SWpVbyepQr7XMShlaaFvLbkydWH7toUxvAGdgmgw1EK=w1200|https://lh3.googleusercontent.com/pw/AP1GczPidancLuPoOYUkpC80kcRB2daf-Q-5NgiDbiFMnlhGBmlECQSjVxIeB5iijlezvEIUCESNxT2ZVc33Yvbuie24GHEpW9pUWTHHeW49xxUElCb9K2BE=w1200|https://lh3.googleusercontent.com/p"&amp;"w/AP1GczM13NeF_CG8DCUKsFYs3v5-pGUmIh4A8JVpkuBZFjqXcVIQ2Vo65kOrMcv-IamYoJbcNGhgOEUaU61GS8c6B78sbUMZ9oST-wCSx4ZoTKqmeEYZ7H17=w1200|https://lh3.googleusercontent.com/pw/AP1GczMa4P18Pblkpkiv6IJ2IofCs3WJmxztV5ctGyjknAc49Bo2OjjPFQXyRljNIqmWc_-9xTnYsLNeBPnm0XyT1"&amp;"uAwnbydr-kAGTOeTEttpwMNWNgtkj-H=w1200|https://lh3.googleusercontent.com/pw/AP1GczNjtcDlq-0JlVjIrxl6FYne-z5iwaU9nx_l6rloQFNkpDtjNTGSfrtnVPzjv-Fl6VKIIZfPxI0Yok_2IEuy4y7Mspi6EbAfwGSEdlr7n9abiO30i9TP=w1200|https://lh3.googleusercontent.com/pw/AP1GczOphSHMUa5E"&amp;"4aeRoR24SnYC-64Bn5vtV1WWIvLF0d-BwPLq2czSGKF67My2fTHFMWACwRIeXfafy7-dxmzxHUr4CpbbK_EzVBxGMtov1jhC5gkoGWM7=w1200|https://lh3.googleusercontent.com/pw/AP1GczO0mRAdBr1sr845mztrQh6ZlOwCVid71KhOHZ7bKYAo0ySW4WCJq59rDR6qXkp8J58cj0Rb5r894jKc0FttlMSR1yGWHSuO-KQ2V-e"&amp;"WXTO3RhcMaTHn=w1200|https://lh3.googleusercontent.com/pw/AP1GczPLhGxVj4UpfDLi7EVzmhFCbFTlVRDy1qKhxF5ivd23nRZPs7iMj-NQfxO4LadwInyF6Go-uB2YZ_pmOxctU1nwSX0kTyXczSXbiB15g4-2pQ0Gsc-W=w1200|https://lh3.googleusercontent.com/pw/AP1GczNGQxF9Cdti6lB5jbJThskD-Vnjd0"&amp;"9B0uqVm8gtE-1IpsCMThJ625Ro1Ga30Y0AtKl4X8NoNvAHsyFmELaBUJOyacdiqtReR5bos8C3xCIrxZuSujz2=w1200|https://lh3.googleusercontent.com/pw/AP1GczMi5NNxOdz20z0T6gBCqes1FA2SGQFR3uJqU0mnjWf5OcvTVTMRIIeOk-Xbq-QBiD7R3cMzFxW5r7VcjOE0ifZRb61CGEKn3reWZ0h1czOvfUiNBlQv=w120"&amp;"0|https://lh3.googleusercontent.com/pw/AP1GczPp492UdXdl12DRBspiv_bywsE_9-krpO6zZCyy1Wmf-y7XSNhO1n17mqjtEizf6Ghk_67Zq-HxO7J-2AswItL1AYUYIiAata-UlqE_BuHkaK1dX06I=w1200|https://lh3.googleusercontent.com/pw/AP1GczM7QrjF2TKPngIlCz8pxvJKnmo_742Rbp3Or6ajLtKuM3UB"&amp;"ocO-4U7q00E5E_amN1xBSSLu7R-LLrfj15bo29P9i4KPLH-qKF-AuFW0-lGdCA-uJUDj=w1200|https://lh3.googleusercontent.com/pw/AP1GczMinT3Oegcal-WCxtJzKDwWRXKBz91BU73rI5p2tiDipSTcYi5temrNvBpskXu_O9WP0rXADK8Th5oNe-5gDJ1JWMRbdf9pyBq8KVEAyqL8S6MOALGI=w1200|https://lh3.goog"&amp;"leusercontent.com/pw/AP1GczPIraA0KfML5xUZh3dIwaPe7TmYQjS5b5Rv6KvFGqSpyLg9Wg5_m5Z3q8mrdzDBdD03OgWispbKjwMoi4rXMvqg6SrUQuXh2WtO3w2V7ydZKM2TGKPg=w1200|https://lh3.googleusercontent.com/pw/AP1GczNaNvG8mYBMgFZnEDBYOYv4tly6lgQhWDfe4KI4-6NxRG_gEXxCVlWd_9X-pm794E"&amp;"f0RJEhFazsylVILyFbsuasxEDI_IcjruOE-ysi4pMwFwQNWXYw=w1200|https://lh3.googleusercontent.com/pw/AP1GczOXQYHNdqMQPxAI0QO8xFgmkZl-5uAmRMM9jsWFrJycC7ktrc1069c4wpstGH6jFfcfK-LA6lBNG8GD4IlKMj67M_tvWFQxJAnU0qMX4ReSyz_Q5Ch3=w1200")</f>
        <v>https://lh3.googleusercontent.com/pw/AP1GczN4Lg_8iRvdxwOo550I88rWs7h3FGWNv-AtSsGY4M-KdXVqh5yov3VmBysfYAZTy1I7MyMZVbtsITJYuI81n9eSOae71wlrWyL8FBEKTN6BmAWIlmgF=w1200|https://lh3.googleusercontent.com/pw/AP1GczPgYDRvDTSr3_uMOZx3TEeVwzMp16WdunQFC7pSre5rs8uhgOhGGPWg20msGYLBaoYyR-FL4e496S1RrYKTlC-hgOavf1eJ-73AhhF5yVaGq1phyYwt=w1200|https://lh3.googleusercontent.com/pw/AP1GczO9FsorUenN4-4q0AaO0fMR3oTZXEI_je7GoPzRk8PLMggZVEUOX_5LRckGbvzHnnsKZv2x-lyNmg5-2GzrPdDmQ7q1hYI0YsT3MZ2ENhq_lTdHHC3c=w1200|https://lh3.googleusercontent.com/pw/AP1GczNUCbXwOuSEu_OLMbawgBReYL3WE-c1NA4CMjuzXO7UH4hsmbU8nyoR1t8Vlp4dPOjRTcKht7dYIIAZ68bZ3X6Asr39PiOMwvDx9DBe8uH27E5K0dGT=w1200|https://lh3.googleusercontent.com/pw/AP1GczMCFOqSgT-sBzQCK56XL9INl7vvqhAyQhTkd_I2TBBzTFVCi_BNHHm4dreht6Ud_jGZk36IdastUNRCTNW3041-vGnF_qRJ_eI0xQ4lFY7t_nXMrCWY=w1200|https://lh3.googleusercontent.com/pw/AP1GczPrHSB8helsvF76TsydwbbVlbwXRfoZZVDFpWVxTfCOSjU_DYNVLh7UWtqDhVXGnn61ZLXicMN_DTVAmsUzc_aFDC4sSLHHuLscHrD7ytALQ-hmeTxz=w1200|https://lh3.googleusercontent.com/pw/AP1GczNlhDdmFjkBqQI6nCAnWjUFOTaVIqqotlx1OAJacX8j8THB0AGl7oT4Xq1RUoL8v8xOLuPZm5tNzMzl6TepUaV9hhVr7DiRiRYZwAIW6-GeYA8a1cw_=w1200|https://lh3.googleusercontent.com/pw/AP1GczPE0UmfDTGMrBw3NrCkHwAlUp96vdtOvVO3cd95CT8bAfXvkILSbrJ8PmpxOX5JPjHdmheU9TTj5UnsyuCskxyec1DH4iY3Q9ehCepUDe5c3InovGJC=w1200|https://lh3.googleusercontent.com/pw/AP1GczM7gmYrg5TWu8V7nBwXSMhf5SB-R9-yeS6pWyklQjLvhHgCIgtYq_ih1dnT524bfE2Cp7KROp0zJEUl9ipZWB_YANnrc70lIJg0RDebWs5mtqGX3byT=w1200|https://lh3.googleusercontent.com/pw/AP1GczNE-1Hdjp9D3UpbDor5mBM0e5RIH0ivCgDuNfqf-UL9GaxK1f6amRJRxBMWLsxaoWtIRpEvCvyAtZCNe3Gwu8zIR9JcDMcYjZoyW7rbqn-W4S5xnra4=w1200|https://lh3.googleusercontent.com/pw/AP1GczMXZVmlZDPNaXmCLdmHdmw-8rrw_l3rQdP8haP_uqtfWaJM7GXsqXz-9PiWiKEk7lBZKDqEECh1jVKQuRyUk6aSJQG2xtx2IjrH5hP2AANpMYisqMgD=w1200|https://lh3.googleusercontent.com/pw/AP1GczN1pVTN41-iWCQ4tedthrBfn6vQpy7QU5Irp6tFR9i58GinnTpx6Yq1Obw8QJ3ZTLiePcAfEjrcLeVC2v9Gvd0Tz5c2Xv6gnGVuu3lbwrmeMkao9joP=w1200|https://lh3.googleusercontent.com/pw/AP1GczPZmotOW_-M9AZM_noL2CFcboKO1TJ6vqc9TSFSMRqwhaTGrsj96xFSWX3-pplp-dGt8xIMwQzasS83jDHbcz-ciyK7QWJEgMDGV_lcgctBcqUKs8xY=w1200|https://lh3.googleusercontent.com/pw/AP1GczM1Ky_OPxK4FIyM7hrz0hRQGB-CcSPrECY6lo26hD-An14SgtCq7koDjzpmw2h1dFs8SthuiScTnWBvYyclqEaViknIFixJONVO5WkA5h54SnYyYGq6=w1200|https://lh3.googleusercontent.com/pw/AP1GczNexQsAvOYAXcO0a2k4LvCDQCqY3M7wpk0NlTTH8JcZd0uIM_e9ng28RZnTIlRisKHaHNmPilmGj5ER-sKDh0vKy3ZMP-bpJbmjNvwemhJhuhIQlSFT=w1200|https://lh3.googleusercontent.com/pw/AP1GczOmO65g-LDa1qAqCOJ1DJRSJxpr5J_11ZSPyLfFm3doVwB73Ai3_XoLBvHWHwupsUOT1-TlQF1mVEda5gZqRt6i9SfjyTJZpga7tXIRkZSC3efI3X8K=w1200|https://lh3.googleusercontent.com/pw/AP1GczPgojGWuaa1qtrBx-Jc26Lzh05cLkKFychUiUjKrLDem03qtrtRpAxY079GfTMQ0JfP8xK8Vtd-iORagt4X5qZw5RxJPq41GAwRjxq_DyCX-yjpPxTG=w1200|https://lh3.googleusercontent.com/pw/AP1GczMk3GjmpcDanJmGAie2FzA5aRMc1R4cNGxFVD3VUspr92n6j_J5o8izOMz3ygCVzcQiTimY6DC-RzKbCovI06xmj3B9LtrGCyb9vm2-LKVN8pv8uCNK=w1200|https://lh3.googleusercontent.com/pw/AP1GczOEOgTR8l-gp0MiStKdVqbewxAOthbjjMqyTSZUo0iXjGgHU9WaVvuk7MnBeSQi3ogXAgbD6SWpVbyepQr7XMShlaaFvLbkydWH7toUxvAGdgmgw1EK=w1200|https://lh3.googleusercontent.com/pw/AP1GczPidancLuPoOYUkpC80kcRB2daf-Q-5NgiDbiFMnlhGBmlECQSjVxIeB5iijlezvEIUCESNxT2ZVc33Yvbuie24GHEpW9pUWTHHeW49xxUElCb9K2BE=w1200|https://lh3.googleusercontent.com/pw/AP1GczM13NeF_CG8DCUKsFYs3v5-pGUmIh4A8JVpkuBZFjqXcVIQ2Vo65kOrMcv-IamYoJbcNGhgOEUaU61GS8c6B78sbUMZ9oST-wCSx4ZoTKqmeEYZ7H17=w1200|https://lh3.googleusercontent.com/pw/AP1GczMa4P18Pblkpkiv6IJ2IofCs3WJmxztV5ctGyjknAc49Bo2OjjPFQXyRljNIqmWc_-9xTnYsLNeBPnm0XyT1uAwnbydr-kAGTOeTEttpwMNWNgtkj-H=w1200|https://lh3.googleusercontent.com/pw/AP1GczNjtcDlq-0JlVjIrxl6FYne-z5iwaU9nx_l6rloQFNkpDtjNTGSfrtnVPzjv-Fl6VKIIZfPxI0Yok_2IEuy4y7Mspi6EbAfwGSEdlr7n9abiO30i9TP=w1200|https://lh3.googleusercontent.com/pw/AP1GczOphSHMUa5E4aeRoR24SnYC-64Bn5vtV1WWIvLF0d-BwPLq2czSGKF67My2fTHFMWACwRIeXfafy7-dxmzxHUr4CpbbK_EzVBxGMtov1jhC5gkoGWM7=w1200|https://lh3.googleusercontent.com/pw/AP1GczO0mRAdBr1sr845mztrQh6ZlOwCVid71KhOHZ7bKYAo0ySW4WCJq59rDR6qXkp8J58cj0Rb5r894jKc0FttlMSR1yGWHSuO-KQ2V-eWXTO3RhcMaTHn=w1200|https://lh3.googleusercontent.com/pw/AP1GczPLhGxVj4UpfDLi7EVzmhFCbFTlVRDy1qKhxF5ivd23nRZPs7iMj-NQfxO4LadwInyF6Go-uB2YZ_pmOxctU1nwSX0kTyXczSXbiB15g4-2pQ0Gsc-W=w1200|https://lh3.googleusercontent.com/pw/AP1GczNGQxF9Cdti6lB5jbJThskD-Vnjd09B0uqVm8gtE-1IpsCMThJ625Ro1Ga30Y0AtKl4X8NoNvAHsyFmELaBUJOyacdiqtReR5bos8C3xCIrxZuSujz2=w1200|https://lh3.googleusercontent.com/pw/AP1GczMi5NNxOdz20z0T6gBCqes1FA2SGQFR3uJqU0mnjWf5OcvTVTMRIIeOk-Xbq-QBiD7R3cMzFxW5r7VcjOE0ifZRb61CGEKn3reWZ0h1czOvfUiNBlQv=w1200|https://lh3.googleusercontent.com/pw/AP1GczPp492UdXdl12DRBspiv_bywsE_9-krpO6zZCyy1Wmf-y7XSNhO1n17mqjtEizf6Ghk_67Zq-HxO7J-2AswItL1AYUYIiAata-UlqE_BuHkaK1dX06I=w1200|https://lh3.googleusercontent.com/pw/AP1GczM7QrjF2TKPngIlCz8pxvJKnmo_742Rbp3Or6ajLtKuM3UBocO-4U7q00E5E_amN1xBSSLu7R-LLrfj15bo29P9i4KPLH-qKF-AuFW0-lGdCA-uJUDj=w1200|https://lh3.googleusercontent.com/pw/AP1GczMinT3Oegcal-WCxtJzKDwWRXKBz91BU73rI5p2tiDipSTcYi5temrNvBpskXu_O9WP0rXADK8Th5oNe-5gDJ1JWMRbdf9pyBq8KVEAyqL8S6MOALGI=w1200|https://lh3.googleusercontent.com/pw/AP1GczPIraA0KfML5xUZh3dIwaPe7TmYQjS5b5Rv6KvFGqSpyLg9Wg5_m5Z3q8mrdzDBdD03OgWispbKjwMoi4rXMvqg6SrUQuXh2WtO3w2V7ydZKM2TGKPg=w1200|https://lh3.googleusercontent.com/pw/AP1GczNaNvG8mYBMgFZnEDBYOYv4tly6lgQhWDfe4KI4-6NxRG_gEXxCVlWd_9X-pm794Ef0RJEhFazsylVILyFbsuasxEDI_IcjruOE-ysi4pMwFwQNWXYw=w1200|https://lh3.googleusercontent.com/pw/AP1GczOXQYHNdqMQPxAI0QO8xFgmkZl-5uAmRMM9jsWFrJycC7ktrc1069c4wpstGH6jFfcfK-LA6lBNG8GD4IlKMj67M_tvWFQxJAnU0qMX4ReSyz_Q5Ch3=w1200</v>
      </c>
      <c r="AJ170" s="46"/>
      <c r="AK170" s="46"/>
      <c r="AL170" s="46"/>
      <c r="AM170" s="46"/>
      <c r="AN170" s="46"/>
      <c r="AO170" s="46"/>
      <c r="AP170" s="46"/>
      <c r="AQ170" s="46"/>
      <c r="AR170" s="46"/>
      <c r="AS170" s="46"/>
      <c r="AT170" s="46"/>
      <c r="AU170" s="46"/>
      <c r="AV170" s="46"/>
      <c r="AW170" s="46"/>
      <c r="AX170" s="46"/>
      <c r="AY170" s="46"/>
      <c r="AZ170" s="46"/>
      <c r="BA170" s="46"/>
      <c r="BB170" s="46"/>
      <c r="BC170" s="46"/>
      <c r="BD170" s="46"/>
      <c r="BE170" s="46"/>
      <c r="BF170" s="46"/>
      <c r="BG170" s="46"/>
      <c r="BH170" s="46"/>
      <c r="BI170" s="46"/>
      <c r="BJ170" s="46"/>
      <c r="BK170" s="46"/>
      <c r="BL170" s="46"/>
      <c r="BM170" s="46"/>
      <c r="BN170" s="46"/>
      <c r="BO170" s="46"/>
      <c r="BP170" s="46"/>
      <c r="BQ170" s="46"/>
      <c r="BR170" s="46"/>
      <c r="BS170" s="46"/>
      <c r="BT170" s="46"/>
      <c r="BU170" s="46"/>
      <c r="BV170" s="46"/>
      <c r="BW170" s="46"/>
      <c r="BX170" s="46"/>
      <c r="BY170" s="46"/>
      <c r="BZ170" s="46"/>
      <c r="CA170" s="46"/>
      <c r="CB170" s="46"/>
      <c r="CC170" s="46"/>
    </row>
    <row r="171">
      <c r="A171" s="87" t="str">
        <f>IFERROR(__xludf.DUMMYFUNCTION("""COMPUTED_VALUE"""),"279")</f>
        <v>279</v>
      </c>
      <c r="B171" s="46" t="str">
        <f>IFERROR(__xludf.DUMMYFUNCTION("""COMPUTED_VALUE"""),"Casa en barrio Quirinal - IPS")</f>
        <v>Casa en barrio Quirinal - IPS</v>
      </c>
      <c r="C171" s="46" t="str">
        <f>IFERROR(__xludf.DUMMYFUNCTION("""COMPUTED_VALUE"""),"Casa")</f>
        <v>Casa</v>
      </c>
      <c r="D171" s="46" t="str">
        <f>IFERROR(__xludf.DUMMYFUNCTION("""COMPUTED_VALUE"""),"Quirinal")</f>
        <v>Quirinal</v>
      </c>
      <c r="E171" s="46"/>
      <c r="F171" s="90">
        <f>IFERROR(__xludf.DUMMYFUNCTION("""COMPUTED_VALUE"""),7.5E8)</f>
        <v>750000000</v>
      </c>
      <c r="G171" s="46" t="str">
        <f>IFERROR(__xludf.DUMMYFUNCTION("""COMPUTED_VALUE"""),"$500'000.000 a $1.000'000.000")</f>
        <v>$500'000.000 a $1.000'000.000</v>
      </c>
      <c r="H171" s="46"/>
      <c r="I171" s="46"/>
      <c r="J171" s="46" t="str">
        <f>IFERROR(__xludf.DUMMYFUNCTION("""COMPUTED_VALUE"""),"Centro")</f>
        <v>Centro</v>
      </c>
      <c r="K171" s="87"/>
      <c r="L171" s="46">
        <f>IFERROR(__xludf.DUMMYFUNCTION("""COMPUTED_VALUE"""),6.0)</f>
        <v>6</v>
      </c>
      <c r="M171" s="46"/>
      <c r="N171" s="46">
        <f>IFERROR(__xludf.DUMMYFUNCTION("""COMPUTED_VALUE"""),3.0)</f>
        <v>3</v>
      </c>
      <c r="O171" s="46">
        <f>IFERROR(__xludf.DUMMYFUNCTION("""COMPUTED_VALUE"""),1.0)</f>
        <v>1</v>
      </c>
      <c r="P171" s="46">
        <f>IFERROR(__xludf.DUMMYFUNCTION("""COMPUTED_VALUE"""),1.0)</f>
        <v>1</v>
      </c>
      <c r="Q171" s="92">
        <f>IFERROR(__xludf.DUMMYFUNCTION("""COMPUTED_VALUE"""),240.0)</f>
        <v>240</v>
      </c>
      <c r="R171" s="92">
        <f>IFERROR(__xludf.DUMMYFUNCTION("""COMPUTED_VALUE"""),240.0)</f>
        <v>240</v>
      </c>
      <c r="S171" s="87" t="str">
        <f>IFERROR(__xludf.DUMMYFUNCTION("""COMPUTED_VALUE""")," ")</f>
        <v> </v>
      </c>
      <c r="T171" s="46" t="str">
        <f>IFERROR(__xludf.DUMMYFUNCTION("""COMPUTED_VALUE"""),"Neiva")</f>
        <v>Neiva</v>
      </c>
      <c r="U171" s="87" t="str">
        <f>IFERROR(__xludf.DUMMYFUNCTION("""COMPUTED_VALUE"""),"4")</f>
        <v>4</v>
      </c>
      <c r="V171" s="46" t="str">
        <f>IFERROR(__xludf.DUMMYFUNCTION("""COMPUTED_VALUE"""),"Medianera")</f>
        <v>Medianera</v>
      </c>
      <c r="W171" s="46"/>
      <c r="X171" s="46">
        <f>IFERROR(__xludf.DUMMYFUNCTION("""COMPUTED_VALUE"""),4.0)</f>
        <v>4</v>
      </c>
      <c r="Y171" s="46" t="str">
        <f>IFERROR(__xludf.DUMMYFUNCTION("""COMPUTED_VALUE"""),"No tiene")</f>
        <v>No tiene</v>
      </c>
      <c r="Z171" s="90" t="str">
        <f>IFERROR(__xludf.DUMMYFUNCTION("""COMPUTED_VALUE"""),"No aplica")</f>
        <v>No aplica</v>
      </c>
      <c r="AA171" s="33" t="str">
        <f>IFERROR(__xludf.DUMMYFUNCTION("""COMPUTED_VALUE"""),"No aplica")</f>
        <v>No aplica</v>
      </c>
      <c r="AB171" s="144" t="str">
        <f>IFERROR(__xludf.DUMMYFUNCTION("""COMPUTED_VALUE"""),"https://photos.app.goo.gl/kJppqsoaVfU6tNoB6")</f>
        <v>https://photos.app.goo.gl/kJppqsoaVfU6tNoB6</v>
      </c>
      <c r="AC171" s="46"/>
      <c r="AD171" s="46"/>
      <c r="AE171" s="46"/>
      <c r="AF171" s="46" t="str">
        <f>IFERROR(__xludf.DUMMYFUNCTION("""COMPUTED_VALUE"""),"semi-integral")</f>
        <v>semi-integral</v>
      </c>
      <c r="AG171" s="46"/>
      <c r="AH171" s="46" t="str">
        <f>IFERROR(__xludf.DUMMYFUNCTION("""COMPUTED_VALUE"""),"Aliado")</f>
        <v>Aliado</v>
      </c>
      <c r="AI171" s="92" t="str">
        <f>IFERROR(__xludf.DUMMYFUNCTION("""COMPUTED_VALUE"""),"https://lh3.googleusercontent.com/pw/AP1GczPbR1W_jWsyP1Mc-YLcP-qk8CZxjuvr4Cr1cLaVGp5aDYpz3ZmgT5tXsw1MUDg-keh3FDjLqvkox3rPgb2ICo0PCn0IGQfF4hTMc4R3w2sRB4JJzfnT=w1200|https://lh3.googleusercontent.com/pw/AP1GczNvxKIMGC0HZaU1Ont8AzkZ3IA_ANaqmfhFkDSlyaHciGqada"&amp;"_SSGR3hetGgcNBEcNQPQuojkPzFIuojocp9MpUxhaDdc35tvvjOA3LdZJRqTCmCpil=w1200|https://lh3.googleusercontent.com/pw/AP1GczNhk6mo0raM3dovaMa3MhBESiOqNhf6P5ieGBdnQoyFbFL52hX33-qJN97-BqgF0eyviFSRz_P-OITGbCChSOwphI-URllvTZqjuyzfjtr0oHYIgh3m=w1200|https://lh3.google"&amp;"usercontent.com/pw/AP1GczN_R-r3S-OjC0BEkCDgHJnNvAXrTKt6MlXjgSgwW68wCxVWJ8IFuQsdgxxM1St8GCVxYKrudcVR9kcdeRbi82xjF1x38oTErGKztUzGM_PZFWOyg7-2=w1200|https://lh3.googleusercontent.com/pw/AP1GczP6NKLLVcUKWo4W54C5DmqUoefPlokx3cU37BJbZCw1w6iIauukWgphZGtZO_XJRJwR"&amp;"oinCI5on_pYCERKWflCkAVTvdRdVc-RFhBK6VfLVwlwytoUD=w1200|https://lh3.googleusercontent.com/pw/AP1GczMrzqNEFtWbT47tdmO86P2vcRRhimoBvjRfpi7qjyCqUXkvXqmFjc_LsQdF-uqCWDBGl6FNv1UGThG9uJzjR4KRuK8qWqNRXszZp_jKL00cZpuQZ5ZH=w1200")</f>
        <v>https://lh3.googleusercontent.com/pw/AP1GczPbR1W_jWsyP1Mc-YLcP-qk8CZxjuvr4Cr1cLaVGp5aDYpz3ZmgT5tXsw1MUDg-keh3FDjLqvkox3rPgb2ICo0PCn0IGQfF4hTMc4R3w2sRB4JJzfnT=w1200|https://lh3.googleusercontent.com/pw/AP1GczNvxKIMGC0HZaU1Ont8AzkZ3IA_ANaqmfhFkDSlyaHciGqada_SSGR3hetGgcNBEcNQPQuojkPzFIuojocp9MpUxhaDdc35tvvjOA3LdZJRqTCmCpil=w1200|https://lh3.googleusercontent.com/pw/AP1GczNhk6mo0raM3dovaMa3MhBESiOqNhf6P5ieGBdnQoyFbFL52hX33-qJN97-BqgF0eyviFSRz_P-OITGbCChSOwphI-URllvTZqjuyzfjtr0oHYIgh3m=w1200|https://lh3.googleusercontent.com/pw/AP1GczN_R-r3S-OjC0BEkCDgHJnNvAXrTKt6MlXjgSgwW68wCxVWJ8IFuQsdgxxM1St8GCVxYKrudcVR9kcdeRbi82xjF1x38oTErGKztUzGM_PZFWOyg7-2=w1200|https://lh3.googleusercontent.com/pw/AP1GczP6NKLLVcUKWo4W54C5DmqUoefPlokx3cU37BJbZCw1w6iIauukWgphZGtZO_XJRJwRoinCI5on_pYCERKWflCkAVTvdRdVc-RFhBK6VfLVwlwytoUD=w1200|https://lh3.googleusercontent.com/pw/AP1GczMrzqNEFtWbT47tdmO86P2vcRRhimoBvjRfpi7qjyCqUXkvXqmFjc_LsQdF-uqCWDBGl6FNv1UGThG9uJzjR4KRuK8qWqNRXszZp_jKL00cZpuQZ5ZH=w1200</v>
      </c>
      <c r="AJ171" s="46"/>
      <c r="AK171" s="46"/>
      <c r="AL171" s="46"/>
      <c r="AM171" s="46"/>
      <c r="AN171" s="46"/>
      <c r="AO171" s="46"/>
      <c r="AP171" s="46"/>
      <c r="AQ171" s="46"/>
      <c r="AR171" s="46"/>
      <c r="AS171" s="46"/>
      <c r="AT171" s="46"/>
      <c r="AU171" s="46"/>
      <c r="AV171" s="46"/>
      <c r="AW171" s="46"/>
      <c r="AX171" s="46"/>
      <c r="AY171" s="46"/>
      <c r="AZ171" s="46"/>
      <c r="BA171" s="46"/>
      <c r="BB171" s="46"/>
      <c r="BC171" s="46"/>
      <c r="BD171" s="46"/>
      <c r="BE171" s="46"/>
      <c r="BF171" s="46"/>
      <c r="BG171" s="46"/>
      <c r="BH171" s="46"/>
      <c r="BI171" s="46"/>
      <c r="BJ171" s="46"/>
      <c r="BK171" s="46"/>
      <c r="BL171" s="46"/>
      <c r="BM171" s="46"/>
      <c r="BN171" s="46"/>
      <c r="BO171" s="46"/>
      <c r="BP171" s="46"/>
      <c r="BQ171" s="46"/>
      <c r="BR171" s="46"/>
      <c r="BS171" s="46"/>
      <c r="BT171" s="46"/>
      <c r="BU171" s="46"/>
      <c r="BV171" s="46"/>
      <c r="BW171" s="46"/>
      <c r="BX171" s="46"/>
      <c r="BY171" s="46"/>
      <c r="BZ171" s="46"/>
      <c r="CA171" s="46"/>
      <c r="CB171" s="46"/>
      <c r="CC171" s="46"/>
    </row>
    <row r="172">
      <c r="A172" s="87" t="str">
        <f>IFERROR(__xludf.DUMMYFUNCTION("""COMPUTED_VALUE"""),"073")</f>
        <v>073</v>
      </c>
      <c r="B172" s="46" t="str">
        <f>IFERROR(__xludf.DUMMYFUNCTION("""COMPUTED_VALUE"""),"Casa en barrio Altico")</f>
        <v>Casa en barrio Altico</v>
      </c>
      <c r="C172" s="46" t="str">
        <f>IFERROR(__xludf.DUMMYFUNCTION("""COMPUTED_VALUE"""),"Casa")</f>
        <v>Casa</v>
      </c>
      <c r="D172" s="46" t="str">
        <f>IFERROR(__xludf.DUMMYFUNCTION("""COMPUTED_VALUE"""),"El Altico")</f>
        <v>El Altico</v>
      </c>
      <c r="E172" s="90"/>
      <c r="F172" s="90">
        <f>IFERROR(__xludf.DUMMYFUNCTION("""COMPUTED_VALUE"""),6.2E8)</f>
        <v>620000000</v>
      </c>
      <c r="G172" s="46" t="str">
        <f>IFERROR(__xludf.DUMMYFUNCTION("""COMPUTED_VALUE"""),"$500'000.000 a $1.000'000.000")</f>
        <v>$500'000.000 a $1.000'000.000</v>
      </c>
      <c r="H172" s="46"/>
      <c r="I172" s="46"/>
      <c r="J172" s="46" t="str">
        <f>IFERROR(__xludf.DUMMYFUNCTION("""COMPUTED_VALUE"""),"Oriente")</f>
        <v>Oriente</v>
      </c>
      <c r="K172" s="87"/>
      <c r="L172" s="46">
        <f>IFERROR(__xludf.DUMMYFUNCTION("""COMPUTED_VALUE"""),4.0)</f>
        <v>4</v>
      </c>
      <c r="M172" s="46"/>
      <c r="N172" s="46">
        <f>IFERROR(__xludf.DUMMYFUNCTION("""COMPUTED_VALUE"""),4.0)</f>
        <v>4</v>
      </c>
      <c r="O172" s="46">
        <f>IFERROR(__xludf.DUMMYFUNCTION("""COMPUTED_VALUE"""),1.0)</f>
        <v>1</v>
      </c>
      <c r="P172" s="46">
        <f>IFERROR(__xludf.DUMMYFUNCTION("""COMPUTED_VALUE"""),1.0)</f>
        <v>1</v>
      </c>
      <c r="Q172" s="92">
        <f>IFERROR(__xludf.DUMMYFUNCTION("""COMPUTED_VALUE"""),187.75)</f>
        <v>187.75</v>
      </c>
      <c r="R172" s="92">
        <f>IFERROR(__xludf.DUMMYFUNCTION("""COMPUTED_VALUE"""),240.0)</f>
        <v>240</v>
      </c>
      <c r="S172" s="87" t="str">
        <f>IFERROR(__xludf.DUMMYFUNCTION("""COMPUTED_VALUE""")," ")</f>
        <v> </v>
      </c>
      <c r="T172" s="46" t="str">
        <f>IFERROR(__xludf.DUMMYFUNCTION("""COMPUTED_VALUE"""),"Neiva")</f>
        <v>Neiva</v>
      </c>
      <c r="U172" s="87" t="str">
        <f>IFERROR(__xludf.DUMMYFUNCTION("""COMPUTED_VALUE"""),"3")</f>
        <v>3</v>
      </c>
      <c r="V172" s="46" t="str">
        <f>IFERROR(__xludf.DUMMYFUNCTION("""COMPUTED_VALUE"""),"Medianera")</f>
        <v>Medianera</v>
      </c>
      <c r="W172" s="46"/>
      <c r="X172" s="46">
        <f>IFERROR(__xludf.DUMMYFUNCTION("""COMPUTED_VALUE"""),3.0)</f>
        <v>3</v>
      </c>
      <c r="Y172" s="46" t="str">
        <f>IFERROR(__xludf.DUMMYFUNCTION("""COMPUTED_VALUE"""),"No tiene")</f>
        <v>No tiene</v>
      </c>
      <c r="Z172" s="90" t="str">
        <f>IFERROR(__xludf.DUMMYFUNCTION("""COMPUTED_VALUE"""),"No aplica")</f>
        <v>No aplica</v>
      </c>
      <c r="AA172" s="33" t="str">
        <f>IFERROR(__xludf.DUMMYFUNCTION("""COMPUTED_VALUE"""),"No aplica")</f>
        <v>No aplica</v>
      </c>
      <c r="AB172" s="96" t="str">
        <f>IFERROR(__xludf.DUMMYFUNCTION("""COMPUTED_VALUE"""),"https://photos.app.goo.gl/vmyi8qntc3xCP1Qk8")</f>
        <v>https://photos.app.goo.gl/vmyi8qntc3xCP1Qk8</v>
      </c>
      <c r="AC172" s="46" t="str">
        <f>IFERROR(__xludf.DUMMYFUNCTION("""COMPUTED_VALUE"""),"Casa con buenos acabados originales, carpintería marcos, puertas, muebles en madera, cocina remodelada, iluminada y ventilada. Divisiones en vidrio templado.")</f>
        <v>Casa con buenos acabados originales, carpintería marcos, puertas, muebles en madera, cocina remodelada, iluminada y ventilada. Divisiones en vidrio templado.</v>
      </c>
      <c r="AD172" s="46" t="str">
        <f>IFERROR(__xludf.DUMMYFUNCTION("""COMPUTED_VALUE"""),"Casa bien ubicada sobre vía vehicular amplia y pavimentada, con reja y patio. Escritura al día.")</f>
        <v>Casa bien ubicada sobre vía vehicular amplia y pavimentada, con reja y patio. Escritura al día.</v>
      </c>
      <c r="AE172" s="46"/>
      <c r="AF172" s="46" t="str">
        <f>IFERROR(__xludf.DUMMYFUNCTION("""COMPUTED_VALUE"""),"integral")</f>
        <v>integral</v>
      </c>
      <c r="AG172" s="46"/>
      <c r="AH172" s="46" t="str">
        <f>IFERROR(__xludf.DUMMYFUNCTION("""COMPUTED_VALUE"""),"Aliado")</f>
        <v>Aliado</v>
      </c>
      <c r="AI172" s="92" t="str">
        <f>IFERROR(__xludf.DUMMYFUNCTION("""COMPUTED_VALUE"""),"https://lh3.googleusercontent.com/pw/AP1GczMCBZhbQlIdE7wMbp0h2KcJ3wxuceDPvzQ6pl_sLTyyH3NZFEGGeYSx0eNsAtK-r5l2EVC84zW2n1dc3XlQ2XAQAE9gImV94VmcvJedf2cXNwk1AT64=w1200|https://lh3.googleusercontent.com/pw/AP1GczNfpJF1h3YhcdUPsPiynNpHs3b1iI9HLxl4q0T0x7hD9F3B2g"&amp;"i0e6o7tspTahjWGBzYi5-iErtEwb1B8WiwCtZtCy8Op2tCkK0rZEy8uMBfQh-D_9ME=w1200|https://lh3.googleusercontent.com/pw/AP1GczNptQrLfZeKEddmyZZFH8YYDuZqmD2HdT5WNMoO8UnhOwzB-i85exAaBnCzJnlezioI0fB9UeuoMWZzvm2sCQXkJ5oZDjPFbmZAE7VQA5kxzOpDMQoS=w1200|https://lh3.google"&amp;"usercontent.com/pw/AP1GczN-KEU7W1NWt6aAwmYTcS2B5HlP5Rs3gufEwO1zET__FEyiFc9qyVH2VKxGJ1amBwv9HuObpcwCeLwlxxT6PuPmavstsx_mPpIl6ZiMO7t_4IAYbIRB=w1200|https://lh3.googleusercontent.com/pw/AP1GczOP-goGVneonl4Z_SvqHS_s8iW-Padwn08m4sVicWUolXhguBh9XS7lQ1UrdnUfrH-F"&amp;"xtTksns-Z8IqUj1_4VLERBw8TsHL2ZrRNiGe4bP7TdFB8Rbe=w1200|https://lh3.googleusercontent.com/pw/AP1GczNNmXScFb9UJHb5Gr6z8DajZTz3Teq36WWr0iOjPwGloaqYDcg84jJy64JhTKbubjuSBKL4TwyUgAg67RMA75szPvcHvA0fx98Add97LUiCc7FGMiZO=w1200|https://lh3.googleusercontent.com/pw"&amp;"/AP1GczNFrw1BGl2NdKwY5yhHjY_q8T0gTtyS7q-hxm72Pd702jBc3J-JlU7gGvRiqHpoMMLzRXekVwlqN2j9_8ItnOIMKfWZVzYU2T1sZpEq-tzWjWT0Sv7K=w1200|https://lh3.googleusercontent.com/pw/AP1GczMPQOlIOCifbGznWxJIsPGXIPl4b_XX4pVC9hOlvCqZeiMdnetf_Yvt4X4YzCQn6yT8KHV-VB5M4zm_EDuMZc"&amp;"gMH442eYlSu7qPf_RtRqIxowjHBIcL=w1200|https://lh3.googleusercontent.com/pw/AP1GczNomT3PPpp5jEWmfvmdz4dqGpR3RuJh5BL5ZXuDZK56wmBOsfB5lI0gLoNQ8yxselMbYbIfzQydtyOSYBpL1yD4ZP9Gj_nnxsagtjrPWhppFiF4ol-O=w1200|https://lh3.googleusercontent.com/pw/AP1GczPmTmNEw0i4s"&amp;"eNxj5KfrNyf61KM3_aOJ3UEnZrEekyPVU5r2R2Eimwqb4I9UUJMnlhQAT9L6HV9VpCbL4WssJTKdW2AEkJK8SBHrpjDpG_jVf_C2Gs9=w1200|https://lh3.googleusercontent.com/pw/AP1GczObrHP_lYwmjecVcA-2ehV5qbfY3hKSx9ixmdR0zJvyr6JKsKZrmsOBShPxfnuSBR3_VZbNaQ8NIjMXMxKxOa5uZV7j5IA1tLzZdmUN"&amp;"O4m2DFbaRGH9=w1200|https://lh3.googleusercontent.com/pw/AP1GczMn_B5wGkid-bTR88K8WFVubmxyu-SsoKZnOufpWqUdNc6YdqfE6kMjieQ6MpLbmIdkmfUaa0VCbOkViseIoCg1AffFc2BZZGUCSBaMoBld_M8bbNQn=w1200|https://lh3.googleusercontent.com/pw/AP1GczNJL6IT7u7FbMPR3bDaV7Y8QgSkDsK"&amp;"3zD58v8NBAA2TUN8ytGehsgKwT6X_rgHuA2cBcD2io_N501H3x34dqLV0g91D_-sTVmRFUU-aQ0i7t_zDYKA8=w1200|https://lh3.googleusercontent.com/pw/AP1GczMitG7sseUTwW7O2FxWQrgc8lCaJx7zp7-g7c-bt-5Y7Z3ROPKxSjVEM5l_KpWrgNNlWk1y5J3zPrRj4BEyriyZvfGVFSZihzqVGshO6ImlOXo0wswz=w1200"&amp;"|https://lh3.googleusercontent.com/pw/AP1GczMhtlswNIh61GRCjluLQ7dIOMmE-5tkAYGX0r0QXU8AzPG8Nq-L27-HDxC8wEyx2awdqnkdck2S68g6Ts6SW0DDkuHyFoT7TSBGKcgxg75yo0uNY5gv=w1200|https://lh3.googleusercontent.com/pw/AP1GczOgY9eF8BcsqPc2YEy5wB6OnYf1cRsDblL6krJY05rovfb8j"&amp;"c6YkOmadgSSSMpDTc9415471Z9cwODgJUpih9BRhqU8F5JmmyFerpBxIoituX3yAwMP=w1200|https://lh3.googleusercontent.com/pw/AP1GczMTCmfompftkajOIvrrBqpiAcTzBxih7jnF77EzBUnehaZjRZ09cWNs3FZQAYCCQJsQ1LkwjA8XX3HdrhssaMQRILEvz7Oi_nrh0cAFJehohrcHg1RZ=w1200|https://lh3.googl"&amp;"eusercontent.com/pw/AP1GczOuAk-LZfGeh1Ddh4KIl8Bjt9Tdsr857iJdjtNYGp_oKD-xR9WpacJSg1yRCUWSRpQM3UCetnEPgzJUcVMpzus-BeNsnJbboshPFYzcezc2pvWDctKw=w1200")</f>
        <v>https://lh3.googleusercontent.com/pw/AP1GczMCBZhbQlIdE7wMbp0h2KcJ3wxuceDPvzQ6pl_sLTyyH3NZFEGGeYSx0eNsAtK-r5l2EVC84zW2n1dc3XlQ2XAQAE9gImV94VmcvJedf2cXNwk1AT64=w1200|https://lh3.googleusercontent.com/pw/AP1GczNfpJF1h3YhcdUPsPiynNpHs3b1iI9HLxl4q0T0x7hD9F3B2gi0e6o7tspTahjWGBzYi5-iErtEwb1B8WiwCtZtCy8Op2tCkK0rZEy8uMBfQh-D_9ME=w1200|https://lh3.googleusercontent.com/pw/AP1GczNptQrLfZeKEddmyZZFH8YYDuZqmD2HdT5WNMoO8UnhOwzB-i85exAaBnCzJnlezioI0fB9UeuoMWZzvm2sCQXkJ5oZDjPFbmZAE7VQA5kxzOpDMQoS=w1200|https://lh3.googleusercontent.com/pw/AP1GczN-KEU7W1NWt6aAwmYTcS2B5HlP5Rs3gufEwO1zET__FEyiFc9qyVH2VKxGJ1amBwv9HuObpcwCeLwlxxT6PuPmavstsx_mPpIl6ZiMO7t_4IAYbIRB=w1200|https://lh3.googleusercontent.com/pw/AP1GczOP-goGVneonl4Z_SvqHS_s8iW-Padwn08m4sVicWUolXhguBh9XS7lQ1UrdnUfrH-FxtTksns-Z8IqUj1_4VLERBw8TsHL2ZrRNiGe4bP7TdFB8Rbe=w1200|https://lh3.googleusercontent.com/pw/AP1GczNNmXScFb9UJHb5Gr6z8DajZTz3Teq36WWr0iOjPwGloaqYDcg84jJy64JhTKbubjuSBKL4TwyUgAg67RMA75szPvcHvA0fx98Add97LUiCc7FGMiZO=w1200|https://lh3.googleusercontent.com/pw/AP1GczNFrw1BGl2NdKwY5yhHjY_q8T0gTtyS7q-hxm72Pd702jBc3J-JlU7gGvRiqHpoMMLzRXekVwlqN2j9_8ItnOIMKfWZVzYU2T1sZpEq-tzWjWT0Sv7K=w1200|https://lh3.googleusercontent.com/pw/AP1GczMPQOlIOCifbGznWxJIsPGXIPl4b_XX4pVC9hOlvCqZeiMdnetf_Yvt4X4YzCQn6yT8KHV-VB5M4zm_EDuMZcgMH442eYlSu7qPf_RtRqIxowjHBIcL=w1200|https://lh3.googleusercontent.com/pw/AP1GczNomT3PPpp5jEWmfvmdz4dqGpR3RuJh5BL5ZXuDZK56wmBOsfB5lI0gLoNQ8yxselMbYbIfzQydtyOSYBpL1yD4ZP9Gj_nnxsagtjrPWhppFiF4ol-O=w1200|https://lh3.googleusercontent.com/pw/AP1GczPmTmNEw0i4seNxj5KfrNyf61KM3_aOJ3UEnZrEekyPVU5r2R2Eimwqb4I9UUJMnlhQAT9L6HV9VpCbL4WssJTKdW2AEkJK8SBHrpjDpG_jVf_C2Gs9=w1200|https://lh3.googleusercontent.com/pw/AP1GczObrHP_lYwmjecVcA-2ehV5qbfY3hKSx9ixmdR0zJvyr6JKsKZrmsOBShPxfnuSBR3_VZbNaQ8NIjMXMxKxOa5uZV7j5IA1tLzZdmUNO4m2DFbaRGH9=w1200|https://lh3.googleusercontent.com/pw/AP1GczMn_B5wGkid-bTR88K8WFVubmxyu-SsoKZnOufpWqUdNc6YdqfE6kMjieQ6MpLbmIdkmfUaa0VCbOkViseIoCg1AffFc2BZZGUCSBaMoBld_M8bbNQn=w1200|https://lh3.googleusercontent.com/pw/AP1GczNJL6IT7u7FbMPR3bDaV7Y8QgSkDsK3zD58v8NBAA2TUN8ytGehsgKwT6X_rgHuA2cBcD2io_N501H3x34dqLV0g91D_-sTVmRFUU-aQ0i7t_zDYKA8=w1200|https://lh3.googleusercontent.com/pw/AP1GczMitG7sseUTwW7O2FxWQrgc8lCaJx7zp7-g7c-bt-5Y7Z3ROPKxSjVEM5l_KpWrgNNlWk1y5J3zPrRj4BEyriyZvfGVFSZihzqVGshO6ImlOXo0wswz=w1200|https://lh3.googleusercontent.com/pw/AP1GczMhtlswNIh61GRCjluLQ7dIOMmE-5tkAYGX0r0QXU8AzPG8Nq-L27-HDxC8wEyx2awdqnkdck2S68g6Ts6SW0DDkuHyFoT7TSBGKcgxg75yo0uNY5gv=w1200|https://lh3.googleusercontent.com/pw/AP1GczOgY9eF8BcsqPc2YEy5wB6OnYf1cRsDblL6krJY05rovfb8jc6YkOmadgSSSMpDTc9415471Z9cwODgJUpih9BRhqU8F5JmmyFerpBxIoituX3yAwMP=w1200|https://lh3.googleusercontent.com/pw/AP1GczMTCmfompftkajOIvrrBqpiAcTzBxih7jnF77EzBUnehaZjRZ09cWNs3FZQAYCCQJsQ1LkwjA8XX3HdrhssaMQRILEvz7Oi_nrh0cAFJehohrcHg1RZ=w1200|https://lh3.googleusercontent.com/pw/AP1GczOuAk-LZfGeh1Ddh4KIl8Bjt9Tdsr857iJdjtNYGp_oKD-xR9WpacJSg1yRCUWSRpQM3UCetnEPgzJUcVMpzus-BeNsnJbboshPFYzcezc2pvWDctKw=w1200</v>
      </c>
      <c r="AJ172" s="46"/>
      <c r="AK172" s="46"/>
      <c r="AL172" s="46"/>
      <c r="AM172" s="46"/>
      <c r="AN172" s="46"/>
      <c r="AO172" s="46"/>
      <c r="AP172" s="46"/>
      <c r="AQ172" s="46"/>
      <c r="AR172" s="46"/>
      <c r="AS172" s="46"/>
      <c r="AT172" s="46"/>
      <c r="AU172" s="46"/>
      <c r="AV172" s="46"/>
      <c r="AW172" s="46"/>
      <c r="AX172" s="46"/>
      <c r="AY172" s="46"/>
      <c r="AZ172" s="46"/>
      <c r="BA172" s="46"/>
      <c r="BB172" s="46"/>
      <c r="BC172" s="46"/>
      <c r="BD172" s="46"/>
      <c r="BE172" s="46"/>
      <c r="BF172" s="46"/>
      <c r="BG172" s="46"/>
      <c r="BH172" s="46"/>
      <c r="BI172" s="46"/>
      <c r="BJ172" s="46"/>
      <c r="BK172" s="46"/>
      <c r="BL172" s="46"/>
      <c r="BM172" s="46"/>
      <c r="BN172" s="46"/>
      <c r="BO172" s="46"/>
      <c r="BP172" s="46"/>
      <c r="BQ172" s="46"/>
      <c r="BR172" s="46"/>
      <c r="BS172" s="46"/>
      <c r="BT172" s="46"/>
      <c r="BU172" s="46"/>
      <c r="BV172" s="46"/>
      <c r="BW172" s="46"/>
      <c r="BX172" s="46"/>
      <c r="BY172" s="46"/>
      <c r="BZ172" s="46"/>
      <c r="CA172" s="46"/>
      <c r="CB172" s="46"/>
      <c r="CC172" s="46"/>
    </row>
    <row r="173">
      <c r="A173" s="87" t="str">
        <f>IFERROR(__xludf.DUMMYFUNCTION("""COMPUTED_VALUE"""),"796")</f>
        <v>796</v>
      </c>
      <c r="B173" s="46" t="str">
        <f>IFERROR(__xludf.DUMMYFUNCTION("""COMPUTED_VALUE"""),"Casa campestre")</f>
        <v>Casa campestre</v>
      </c>
      <c r="C173" s="46" t="str">
        <f>IFERROR(__xludf.DUMMYFUNCTION("""COMPUTED_VALUE"""),"Casa campestre")</f>
        <v>Casa campestre</v>
      </c>
      <c r="D173" s="46"/>
      <c r="E173" s="46"/>
      <c r="F173" s="90">
        <f>IFERROR(__xludf.DUMMYFUNCTION("""COMPUTED_VALUE"""),1.3E9)</f>
        <v>1300000000</v>
      </c>
      <c r="G173" s="46" t="str">
        <f>IFERROR(__xludf.DUMMYFUNCTION("""COMPUTED_VALUE"""),"Más de $1.000'000.000")</f>
        <v>Más de $1.000'000.000</v>
      </c>
      <c r="H173" s="46"/>
      <c r="I173" s="46"/>
      <c r="J173" s="46" t="str">
        <f>IFERROR(__xludf.DUMMYFUNCTION("""COMPUTED_VALUE"""),"Sur")</f>
        <v>Sur</v>
      </c>
      <c r="K173" s="87"/>
      <c r="L173" s="46">
        <f>IFERROR(__xludf.DUMMYFUNCTION("""COMPUTED_VALUE"""),3.0)</f>
        <v>3</v>
      </c>
      <c r="M173" s="46"/>
      <c r="N173" s="46">
        <f>IFERROR(__xludf.DUMMYFUNCTION("""COMPUTED_VALUE"""),3.0)</f>
        <v>3</v>
      </c>
      <c r="O173" s="46">
        <f>IFERROR(__xludf.DUMMYFUNCTION("""COMPUTED_VALUE"""),4.0)</f>
        <v>4</v>
      </c>
      <c r="P173" s="46">
        <f>IFERROR(__xludf.DUMMYFUNCTION("""COMPUTED_VALUE"""),1.0)</f>
        <v>1</v>
      </c>
      <c r="Q173" s="92">
        <f>IFERROR(__xludf.DUMMYFUNCTION("""COMPUTED_VALUE"""),220.0)</f>
        <v>220</v>
      </c>
      <c r="R173" s="92">
        <f>IFERROR(__xludf.DUMMYFUNCTION("""COMPUTED_VALUE"""),2000.0)</f>
        <v>2000</v>
      </c>
      <c r="S173" s="87"/>
      <c r="T173" s="46" t="str">
        <f>IFERROR(__xludf.DUMMYFUNCTION("""COMPUTED_VALUE"""),"Rivera")</f>
        <v>Rivera</v>
      </c>
      <c r="U173" s="87"/>
      <c r="V173" s="46" t="str">
        <f>IFERROR(__xludf.DUMMYFUNCTION("""COMPUTED_VALUE"""),"Medianera")</f>
        <v>Medianera</v>
      </c>
      <c r="W173" s="46"/>
      <c r="X173" s="46">
        <f>IFERROR(__xludf.DUMMYFUNCTION("""COMPUTED_VALUE"""),3.0)</f>
        <v>3</v>
      </c>
      <c r="Y173" s="46" t="str">
        <f>IFERROR(__xludf.DUMMYFUNCTION("""COMPUTED_VALUE"""),"Privada")</f>
        <v>Privada</v>
      </c>
      <c r="Z173" s="90"/>
      <c r="AA173" s="33" t="str">
        <f>IFERROR(__xludf.DUMMYFUNCTION("""COMPUTED_VALUE"""),"No aplica")</f>
        <v>No aplica</v>
      </c>
      <c r="AB173" s="96" t="str">
        <f>IFERROR(__xludf.DUMMYFUNCTION("""COMPUTED_VALUE"""),"https://photos.app.goo.gl/s8CCwvCMqG3WgZxg7")</f>
        <v>https://photos.app.goo.gl/s8CCwvCMqG3WgZxg7</v>
      </c>
      <c r="AC173" s="46" t="str">
        <f>IFERROR(__xludf.DUMMYFUNCTION("""COMPUTED_VALUE"""),"Casa Villa esperanza. Extensión de 2.000 m2 -  Área exterior: Piscina Yacuzzi Kiosco bbq Parqueaderos 4 vehículos, 3 depósitos, Árboles frutales. Casa construida 220: Habitación principal con baño. Dos habitaciones con baño. Estudio. Sala Comedor Sala de "&amp;"estar. Cocina tipo americano.")</f>
        <v>Casa Villa esperanza. Extensión de 2.000 m2 -  Área exterior: Piscina Yacuzzi Kiosco bbq Parqueaderos 4 vehículos, 3 depósitos, Árboles frutales. Casa construida 220: Habitación principal con baño. Dos habitaciones con baño. Estudio. Sala Comedor Sala de estar. Cocina tipo americano.</v>
      </c>
      <c r="AD173" s="46" t="str">
        <f>IFERROR(__xludf.DUMMYFUNCTION("""COMPUTED_VALUE"""),"Cuenta con  buena ubicación y acabados.")</f>
        <v>Cuenta con  buena ubicación y acabados.</v>
      </c>
      <c r="AE173" s="46"/>
      <c r="AF173" s="46" t="str">
        <f>IFERROR(__xludf.DUMMYFUNCTION("""COMPUTED_VALUE"""),"integral")</f>
        <v>integral</v>
      </c>
      <c r="AG173" s="46"/>
      <c r="AH173" s="46" t="str">
        <f>IFERROR(__xludf.DUMMYFUNCTION("""COMPUTED_VALUE"""),"Aliado")</f>
        <v>Aliado</v>
      </c>
      <c r="AI173" s="92" t="str">
        <f>IFERROR(__xludf.DUMMYFUNCTION("""COMPUTED_VALUE"""),"https://lh3.googleusercontent.com/pw/AP1GczNDPjkE6zpPfvLVR1-NzEW1wUhS5mIloEY9a1_qxTCVBsqP8rck8SUAuDeiXPXsk2H4OGxWQ8_QKK3PV9kt6PQ6K7jdKGmLZNAk0bYw6uE-JxngrMs4=w1200|https://lh3.googleusercontent.com/pw/AP1GczMf6TI65UBxCOo_DUnjVmC11-ngt-cnIT-iXCKoyW284LX9sB"&amp;"iDnzRXdvOsqhjXQbihPldq59Wq46bVkUvKwNxtPxiun2s-N9twnqFlnAz6oiz_Zvp7=w1200|https://lh3.googleusercontent.com/pw/AP1GczORQq98ciYwHOxV05j76EmywEOBo7cCv2kSzzapdKK8QkZJStsSMOikrgzwKE0W-Lafml9x6Ih6-F0J-Pwy-cnpXfcja7CeuBj-1G3kZ_V3p-xFRBw3=w1200|https://lh3.google"&amp;"usercontent.com/pw/AP1GczOqP52SuyDrfLrWroI-G1YOvmeCBeQC0BhvuPe6E4QJF8_CnNKVTf-67beF2iUVa50vOLmRze6CmCarmTdM3JX4euLL76MAsOr1pVvMBJc01DRqjwwf=w1200|https://lh3.googleusercontent.com/pw/AP1GczNyLlatWaK5RFaFDyFINO-kuIptmqxZ62FAW0P-Rb4wwI4ypoHAiZGU3DngNMpdvueY"&amp;"Y1DNHFIFbn4xXuKnEuvhmKMlXpyH2HYgH-0lv6oFwS00RnZ0=w1200|https://lh3.googleusercontent.com/pw/AP1GczO4x_LDtHAwhYDvBxEmPQoBEfNJ9sOWBMeEMu23DGe0HkAaidjRJKqEmIjPqEB4HavQzaY-NiX-Tb-8AFsf8Apt2S9XmBkkVkcu_C6C2ohGfm4C85g-=w1200|https://lh3.googleusercontent.com/pw"&amp;"/AP1GczPAeNeoKUJ2I5Eo4svwP4Hlzy9dgvEi0Sw0UJLmtyrJ2i7GAR48xyqEjB16I2qU4SwCOLMbnd37H6Gnc8O6xVYzQN5K5uoPr3rfQYAxc-5vgEESfZ50=w1200|https://lh3.googleusercontent.com/pw/AP1GczNr-MB1QhqJOO4FDz5lR6L5fhbgAj-eZsxadIoUbdCApmTyBS2SdTfLWQJJXr3lqWEdFxgWFxDBPjJsJ6Fvgr"&amp;"HgFkb1HUFAP7o25kkfMiSC5FaljHg6=w1200|https://lh3.googleusercontent.com/pw/AP1GczPtZz2fC3CydaP3Oo9w9nSwIzd1E3-hTDYTrOyUbe0JJqjVrtZh-ciGSsbxCqW3aUlSAAPXtS4tSsJSraIUovdhUnttn4sojukmbQmT1Ii4owNEaj8W=w1200|https://lh3.googleusercontent.com/pw/AP1GczNDwq3gYfkDm"&amp;"9Jaa4SXzP3TF3ePa7j6lXpIg4AhJlAfdQdYq1JeMDq5Uv0CCGCmnRuxJoLf1Bcod2K8PXk0E0KsB139C9HmzmsJYgYqjQHj6FVNB5PS=w1200|https://lh3.googleusercontent.com/pw/AP1GczNRakoTAmvGv_RWUYMY-GcTMIvYDHszNkaY4UUuWTUeoiZTvw4ReXIJjU-glDkntYFGdGCj6nUf5DveeDJ8WBIxIDzJsrDq0RHeQlEX"&amp;"qmiP--tUUZe_=w1200|https://lh3.googleusercontent.com/pw/AP1GczMv39XRruzZxYLuTejWfueYg00DdhlQ_tmzqwwzgYtc1hOleZpjRfmQoLIATzeNg9KS0esTiPnnXgt3Vqnb8kPOiRGgJpw88heh_v-3P-qeu-eY7KqM=w1200|https://lh3.googleusercontent.com/pw/AP1GczOzSt_ZiqtGxx0ORuS_0Qd9DQ3S3_L"&amp;"kWTpCsvBg3Do_p_2RDRw6-BGxBV5mhNHsmD_I3DyziDsi_PdmT0lpElyMng2DFbjVwu1v3kLaeZYRgeqkfupl=w1200|https://lh3.googleusercontent.com/pw/AP1GczN4OzOM4lopOWcsRIH8fBp3TsbAJ5z0qhCB3WV3nZjRb1CO6J9t7i_q7WnakHe_uMDf0qAjA9VmYekOAYCjIgPEwFFXQ5vpiWl3lteEG7u3AXiuhn81=w1200"&amp;"|https://lh3.googleusercontent.com/pw/AP1GczNX51v0HYrLHvLNw01pWxBDzDUDvts0FjAZYiULmbpAkjq_FGgaaAuZ6fHyqykS2Ml14L90MSUllwVmUZesTxdd3iDpLzTkO-qq7BZ1-PqtALzOlg2E=w1200|https://lh3.googleusercontent.com/pw/AP1GczNorBLq32kiTZwOsHLTW4sYDjYZejWhNqsXXvOt2_YUuOGzf"&amp;"AmYnlI9qhZifJ2WSivRFQQDvGBb4XdX5vOkLAURozr7X7J0WqcIXcNnRPOfeMTInDr7=w1200|https://lh3.googleusercontent.com/pw/AP1GczOdN5C6EpxfDBVUecWC71yOwHRhWmymKOxotNjx6mPzL5xQ5cWuwXIF3lMQU7i4dR_5da6dCAxuWU4mGbUrdNdYyYrQAQ3YsQTlMjko-EzhJapNvOZE=w1200|https://lh3.googl"&amp;"eusercontent.com/pw/AP1GczN1qlUTOewPiupYmmNLGnswJqnG-Vjd9JFwwrsFyHbdk5tVC73cvDqk5V2hvfNRnqSbzTX2IJuJnkXVNIKz1FAeN78Wcnmm4qSEUrr1pMrbEXM-Nr26=w1200|https://lh3.googleusercontent.com/pw/AP1GczMpJEZRy6lOkArr8wvlHdk_-mEsM3YFbuyY4AFeBbezSgxhtHz8U3p6REQ4GwmaGre"&amp;"M1NyF75hO1_Yw9lyB6t_-pVUpE9Uug4dqcDlAaBdbmf2MuJ9j=w1200|https://lh3.googleusercontent.com/pw/AP1GczPjjsAHJd_uoTjCSTJnxekmdxh6KF3sRnjz53boH-L6aY6C3dHTZIoaRCQmDvIc0fUOHrcmlkBCw2m-osGcnpkVbdGyWhWLNqh6L-u4Xj3ykDzikO6e=w1200|https://lh3.googleusercontent.com/p"&amp;"w/AP1GczOaHCZP9lJzAYp6_J0HkX8bsDYvKcpzXnwNji-KimV_uAkSGBVaGv9-IbOjqRxVw1Zzu05L9szAAmv3Ehp5kUu9bfQOKBN9PeRyBRHGXOW8uMk7tOHs=w1200|https://lh3.googleusercontent.com/pw/AP1GczPcSF9yoORKJplmBWFiX_V3fwBRVDSArOxwvPnuDfepVLApM7frxP_pXpilaAp6vmithwk0oyrup0ELr7-4O"&amp;"XitMOBXz1FEhYPH_PmUybieP2TRFecp=w1200|https://lh3.googleusercontent.com/pw/AP1GczNU4HhWeYX3vzxrECZ9othSa-d1C8GlzXdPS4Qgwx6Eb3XBBdotUKcCUQGCcR0cv96jks0QR3QAfZqPibDFrACS-oJJr26oK3x6kNre9JsYtHECqSRY=w1200|https://lh3.googleusercontent.com/pw/AP1GczM2Yvb75iiJ"&amp;"0F513kxoymRgONg-Y0ZGVN1McfRnSK2jK_W5avbMN-saw_HLcr5YspUwhALmF0cWphBqtHYPZxOC7gGkytQrBIYkvS0QO05yyeDpTZ9j=w1200|https://lh3.googleusercontent.com/pw/AP1GczPQAMsqaIyJKrPYdN_DaFVgWdxLN9lTh_4r5eX4IFBY3FoeN_5uUYqqEzkk5kO88bKOjrGWe80tvFdPraxoKeBOYBBh7y3noWMzo6J"&amp;"tz2n_QVq0u_i6=w1200|https://lh3.googleusercontent.com/pw/AP1GczNrJlth_pGdEfGduiH7vRkuPEunMkMJn8dkklcgjl7hdERlTOR3KdAbccLiyoaB35Oo5rstBaT0xDQEyTne1LcpgwOaa_4QeX3wT4UptNYjUdLJfOMy=w1200|https://lh3.googleusercontent.com/pw/AP1GczMJ5bZLRt_kt9tzxnhwuff3o7nnKy"&amp;"n34EYpKOwXH0_xQDDrAysmVjbXR5YWrEGq9MPrW7ZsuJsDImdjuXjogDdsGiD6NfQ_-A7nXxq7gtl8y_FU2_EM=w1200|https://lh3.googleusercontent.com/pw/AP1GczPCPLX0jYxQCSZ8AQqzo6wwGnfXpBlUbUZpXFC15qnCjHmwZ6ltnNXGCS5Xqk5avPpr3uNCrsairNuuLxP7m_wkDGopYdCVKS8Cly4ii1TKf__EoMLZ=w120"&amp;"0|https://lh3.googleusercontent.com/pw/AP1GczOr57NJ0dNjVyg_ZSYTYmVkmhJ_6TuLkc6zTkmv2G7HTip2NJw2Ymn4k5IJy_4s4zLwlBLPSBJcC5RqxyEIozLzLhtDErn-CcD0D9EjuSgDxVOn8XsG=w1200")</f>
        <v>https://lh3.googleusercontent.com/pw/AP1GczNDPjkE6zpPfvLVR1-NzEW1wUhS5mIloEY9a1_qxTCVBsqP8rck8SUAuDeiXPXsk2H4OGxWQ8_QKK3PV9kt6PQ6K7jdKGmLZNAk0bYw6uE-JxngrMs4=w1200|https://lh3.googleusercontent.com/pw/AP1GczMf6TI65UBxCOo_DUnjVmC11-ngt-cnIT-iXCKoyW284LX9sBiDnzRXdvOsqhjXQbihPldq59Wq46bVkUvKwNxtPxiun2s-N9twnqFlnAz6oiz_Zvp7=w1200|https://lh3.googleusercontent.com/pw/AP1GczORQq98ciYwHOxV05j76EmywEOBo7cCv2kSzzapdKK8QkZJStsSMOikrgzwKE0W-Lafml9x6Ih6-F0J-Pwy-cnpXfcja7CeuBj-1G3kZ_V3p-xFRBw3=w1200|https://lh3.googleusercontent.com/pw/AP1GczOqP52SuyDrfLrWroI-G1YOvmeCBeQC0BhvuPe6E4QJF8_CnNKVTf-67beF2iUVa50vOLmRze6CmCarmTdM3JX4euLL76MAsOr1pVvMBJc01DRqjwwf=w1200|https://lh3.googleusercontent.com/pw/AP1GczNyLlatWaK5RFaFDyFINO-kuIptmqxZ62FAW0P-Rb4wwI4ypoHAiZGU3DngNMpdvueYY1DNHFIFbn4xXuKnEuvhmKMlXpyH2HYgH-0lv6oFwS00RnZ0=w1200|https://lh3.googleusercontent.com/pw/AP1GczO4x_LDtHAwhYDvBxEmPQoBEfNJ9sOWBMeEMu23DGe0HkAaidjRJKqEmIjPqEB4HavQzaY-NiX-Tb-8AFsf8Apt2S9XmBkkVkcu_C6C2ohGfm4C85g-=w1200|https://lh3.googleusercontent.com/pw/AP1GczPAeNeoKUJ2I5Eo4svwP4Hlzy9dgvEi0Sw0UJLmtyrJ2i7GAR48xyqEjB16I2qU4SwCOLMbnd37H6Gnc8O6xVYzQN5K5uoPr3rfQYAxc-5vgEESfZ50=w1200|https://lh3.googleusercontent.com/pw/AP1GczNr-MB1QhqJOO4FDz5lR6L5fhbgAj-eZsxadIoUbdCApmTyBS2SdTfLWQJJXr3lqWEdFxgWFxDBPjJsJ6FvgrHgFkb1HUFAP7o25kkfMiSC5FaljHg6=w1200|https://lh3.googleusercontent.com/pw/AP1GczPtZz2fC3CydaP3Oo9w9nSwIzd1E3-hTDYTrOyUbe0JJqjVrtZh-ciGSsbxCqW3aUlSAAPXtS4tSsJSraIUovdhUnttn4sojukmbQmT1Ii4owNEaj8W=w1200|https://lh3.googleusercontent.com/pw/AP1GczNDwq3gYfkDm9Jaa4SXzP3TF3ePa7j6lXpIg4AhJlAfdQdYq1JeMDq5Uv0CCGCmnRuxJoLf1Bcod2K8PXk0E0KsB139C9HmzmsJYgYqjQHj6FVNB5PS=w1200|https://lh3.googleusercontent.com/pw/AP1GczNRakoTAmvGv_RWUYMY-GcTMIvYDHszNkaY4UUuWTUeoiZTvw4ReXIJjU-glDkntYFGdGCj6nUf5DveeDJ8WBIxIDzJsrDq0RHeQlEXqmiP--tUUZe_=w1200|https://lh3.googleusercontent.com/pw/AP1GczMv39XRruzZxYLuTejWfueYg00DdhlQ_tmzqwwzgYtc1hOleZpjRfmQoLIATzeNg9KS0esTiPnnXgt3Vqnb8kPOiRGgJpw88heh_v-3P-qeu-eY7KqM=w1200|https://lh3.googleusercontent.com/pw/AP1GczOzSt_ZiqtGxx0ORuS_0Qd9DQ3S3_LkWTpCsvBg3Do_p_2RDRw6-BGxBV5mhNHsmD_I3DyziDsi_PdmT0lpElyMng2DFbjVwu1v3kLaeZYRgeqkfupl=w1200|https://lh3.googleusercontent.com/pw/AP1GczN4OzOM4lopOWcsRIH8fBp3TsbAJ5z0qhCB3WV3nZjRb1CO6J9t7i_q7WnakHe_uMDf0qAjA9VmYekOAYCjIgPEwFFXQ5vpiWl3lteEG7u3AXiuhn81=w1200|https://lh3.googleusercontent.com/pw/AP1GczNX51v0HYrLHvLNw01pWxBDzDUDvts0FjAZYiULmbpAkjq_FGgaaAuZ6fHyqykS2Ml14L90MSUllwVmUZesTxdd3iDpLzTkO-qq7BZ1-PqtALzOlg2E=w1200|https://lh3.googleusercontent.com/pw/AP1GczNorBLq32kiTZwOsHLTW4sYDjYZejWhNqsXXvOt2_YUuOGzfAmYnlI9qhZifJ2WSivRFQQDvGBb4XdX5vOkLAURozr7X7J0WqcIXcNnRPOfeMTInDr7=w1200|https://lh3.googleusercontent.com/pw/AP1GczOdN5C6EpxfDBVUecWC71yOwHRhWmymKOxotNjx6mPzL5xQ5cWuwXIF3lMQU7i4dR_5da6dCAxuWU4mGbUrdNdYyYrQAQ3YsQTlMjko-EzhJapNvOZE=w1200|https://lh3.googleusercontent.com/pw/AP1GczN1qlUTOewPiupYmmNLGnswJqnG-Vjd9JFwwrsFyHbdk5tVC73cvDqk5V2hvfNRnqSbzTX2IJuJnkXVNIKz1FAeN78Wcnmm4qSEUrr1pMrbEXM-Nr26=w1200|https://lh3.googleusercontent.com/pw/AP1GczMpJEZRy6lOkArr8wvlHdk_-mEsM3YFbuyY4AFeBbezSgxhtHz8U3p6REQ4GwmaGreM1NyF75hO1_Yw9lyB6t_-pVUpE9Uug4dqcDlAaBdbmf2MuJ9j=w1200|https://lh3.googleusercontent.com/pw/AP1GczPjjsAHJd_uoTjCSTJnxekmdxh6KF3sRnjz53boH-L6aY6C3dHTZIoaRCQmDvIc0fUOHrcmlkBCw2m-osGcnpkVbdGyWhWLNqh6L-u4Xj3ykDzikO6e=w1200|https://lh3.googleusercontent.com/pw/AP1GczOaHCZP9lJzAYp6_J0HkX8bsDYvKcpzXnwNji-KimV_uAkSGBVaGv9-IbOjqRxVw1Zzu05L9szAAmv3Ehp5kUu9bfQOKBN9PeRyBRHGXOW8uMk7tOHs=w1200|https://lh3.googleusercontent.com/pw/AP1GczPcSF9yoORKJplmBWFiX_V3fwBRVDSArOxwvPnuDfepVLApM7frxP_pXpilaAp6vmithwk0oyrup0ELr7-4OXitMOBXz1FEhYPH_PmUybieP2TRFecp=w1200|https://lh3.googleusercontent.com/pw/AP1GczNU4HhWeYX3vzxrECZ9othSa-d1C8GlzXdPS4Qgwx6Eb3XBBdotUKcCUQGCcR0cv96jks0QR3QAfZqPibDFrACS-oJJr26oK3x6kNre9JsYtHECqSRY=w1200|https://lh3.googleusercontent.com/pw/AP1GczM2Yvb75iiJ0F513kxoymRgONg-Y0ZGVN1McfRnSK2jK_W5avbMN-saw_HLcr5YspUwhALmF0cWphBqtHYPZxOC7gGkytQrBIYkvS0QO05yyeDpTZ9j=w1200|https://lh3.googleusercontent.com/pw/AP1GczPQAMsqaIyJKrPYdN_DaFVgWdxLN9lTh_4r5eX4IFBY3FoeN_5uUYqqEzkk5kO88bKOjrGWe80tvFdPraxoKeBOYBBh7y3noWMzo6Jtz2n_QVq0u_i6=w1200|https://lh3.googleusercontent.com/pw/AP1GczNrJlth_pGdEfGduiH7vRkuPEunMkMJn8dkklcgjl7hdERlTOR3KdAbccLiyoaB35Oo5rstBaT0xDQEyTne1LcpgwOaa_4QeX3wT4UptNYjUdLJfOMy=w1200|https://lh3.googleusercontent.com/pw/AP1GczMJ5bZLRt_kt9tzxnhwuff3o7nnKyn34EYpKOwXH0_xQDDrAysmVjbXR5YWrEGq9MPrW7ZsuJsDImdjuXjogDdsGiD6NfQ_-A7nXxq7gtl8y_FU2_EM=w1200|https://lh3.googleusercontent.com/pw/AP1GczPCPLX0jYxQCSZ8AQqzo6wwGnfXpBlUbUZpXFC15qnCjHmwZ6ltnNXGCS5Xqk5avPpr3uNCrsairNuuLxP7m_wkDGopYdCVKS8Cly4ii1TKf__EoMLZ=w1200|https://lh3.googleusercontent.com/pw/AP1GczOr57NJ0dNjVyg_ZSYTYmVkmhJ_6TuLkc6zTkmv2G7HTip2NJw2Ymn4k5IJy_4s4zLwlBLPSBJcC5RqxyEIozLzLhtDErn-CcD0D9EjuSgDxVOn8XsG=w1200</v>
      </c>
      <c r="AJ173" s="46"/>
      <c r="AK173" s="46"/>
      <c r="AL173" s="46"/>
      <c r="AM173" s="46"/>
      <c r="AN173" s="46"/>
      <c r="AO173" s="46"/>
      <c r="AP173" s="46"/>
      <c r="AQ173" s="46"/>
      <c r="AR173" s="46"/>
      <c r="AS173" s="46"/>
      <c r="AT173" s="46"/>
      <c r="AU173" s="46"/>
      <c r="AV173" s="46"/>
      <c r="AW173" s="46"/>
      <c r="AX173" s="46"/>
      <c r="AY173" s="46"/>
      <c r="AZ173" s="46"/>
      <c r="BA173" s="46"/>
      <c r="BB173" s="46"/>
      <c r="BC173" s="46"/>
      <c r="BD173" s="46"/>
      <c r="BE173" s="46"/>
      <c r="BF173" s="46"/>
      <c r="BG173" s="46"/>
      <c r="BH173" s="46"/>
      <c r="BI173" s="46"/>
      <c r="BJ173" s="46"/>
      <c r="BK173" s="46"/>
      <c r="BL173" s="46"/>
      <c r="BM173" s="46"/>
      <c r="BN173" s="46"/>
      <c r="BO173" s="46"/>
      <c r="BP173" s="46"/>
      <c r="BQ173" s="46"/>
      <c r="BR173" s="46"/>
      <c r="BS173" s="46"/>
      <c r="BT173" s="46"/>
      <c r="BU173" s="46"/>
      <c r="BV173" s="46"/>
      <c r="BW173" s="46"/>
      <c r="BX173" s="46"/>
      <c r="BY173" s="46"/>
      <c r="BZ173" s="46"/>
      <c r="CA173" s="46"/>
      <c r="CB173" s="46"/>
      <c r="CC173" s="46"/>
    </row>
    <row r="174">
      <c r="A174" s="87" t="str">
        <f>IFERROR(__xludf.DUMMYFUNCTION("""COMPUTED_VALUE"""),"795")</f>
        <v>795</v>
      </c>
      <c r="B174" s="46" t="str">
        <f>IFERROR(__xludf.DUMMYFUNCTION("""COMPUTED_VALUE"""),"Local con bodega  - Centro")</f>
        <v>Local con bodega  - Centro</v>
      </c>
      <c r="C174" s="46" t="str">
        <f>IFERROR(__xludf.DUMMYFUNCTION("""COMPUTED_VALUE"""),"Local")</f>
        <v>Local</v>
      </c>
      <c r="D174" s="46" t="str">
        <f>IFERROR(__xludf.DUMMYFUNCTION("""COMPUTED_VALUE"""),"Centro")</f>
        <v>Centro</v>
      </c>
      <c r="E174" s="46"/>
      <c r="F174" s="90">
        <f>IFERROR(__xludf.DUMMYFUNCTION("""COMPUTED_VALUE"""),1.03E9)</f>
        <v>1030000000</v>
      </c>
      <c r="G174" s="46" t="str">
        <f>IFERROR(__xludf.DUMMYFUNCTION("""COMPUTED_VALUE"""),"Más de $1.000'000.000")</f>
        <v>Más de $1.000'000.000</v>
      </c>
      <c r="H174" s="46"/>
      <c r="I174" s="46"/>
      <c r="J174" s="46" t="str">
        <f>IFERROR(__xludf.DUMMYFUNCTION("""COMPUTED_VALUE"""),"Centro")</f>
        <v>Centro</v>
      </c>
      <c r="K174" s="87"/>
      <c r="L174" s="46">
        <f>IFERROR(__xludf.DUMMYFUNCTION("""COMPUTED_VALUE"""),0.0)</f>
        <v>0</v>
      </c>
      <c r="M174" s="46"/>
      <c r="N174" s="46">
        <f>IFERROR(__xludf.DUMMYFUNCTION("""COMPUTED_VALUE"""),2.0)</f>
        <v>2</v>
      </c>
      <c r="O174" s="46">
        <f>IFERROR(__xludf.DUMMYFUNCTION("""COMPUTED_VALUE"""),0.0)</f>
        <v>0</v>
      </c>
      <c r="P174" s="46">
        <f>IFERROR(__xludf.DUMMYFUNCTION("""COMPUTED_VALUE"""),1.0)</f>
        <v>1</v>
      </c>
      <c r="Q174" s="92">
        <f>IFERROR(__xludf.DUMMYFUNCTION("""COMPUTED_VALUE"""),50.0)</f>
        <v>50</v>
      </c>
      <c r="R174" s="92">
        <f>IFERROR(__xludf.DUMMYFUNCTION("""COMPUTED_VALUE"""),489.0)</f>
        <v>489</v>
      </c>
      <c r="S174" s="87"/>
      <c r="T174" s="46" t="str">
        <f>IFERROR(__xludf.DUMMYFUNCTION("""COMPUTED_VALUE"""),"Neiva")</f>
        <v>Neiva</v>
      </c>
      <c r="U174" s="87"/>
      <c r="V174" s="46" t="str">
        <f>IFERROR(__xludf.DUMMYFUNCTION("""COMPUTED_VALUE"""),"Medianera")</f>
        <v>Medianera</v>
      </c>
      <c r="W174" s="46"/>
      <c r="X174" s="46">
        <f>IFERROR(__xludf.DUMMYFUNCTION("""COMPUTED_VALUE"""),0.0)</f>
        <v>0</v>
      </c>
      <c r="Y174" s="46" t="str">
        <f>IFERROR(__xludf.DUMMYFUNCTION("""COMPUTED_VALUE"""),"No tiene")</f>
        <v>No tiene</v>
      </c>
      <c r="Z174" s="90"/>
      <c r="AA174" s="33" t="str">
        <f>IFERROR(__xludf.DUMMYFUNCTION("""COMPUTED_VALUE"""),"No aplica")</f>
        <v>No aplica</v>
      </c>
      <c r="AB174" s="96" t="str">
        <f>IFERROR(__xludf.DUMMYFUNCTION("""COMPUTED_VALUE"""),"https://photos.app.goo.gl/bd5jecrgrv9Ki9HN9")</f>
        <v>https://photos.app.goo.gl/bd5jecrgrv9Ki9HN9</v>
      </c>
      <c r="AC174" s="46" t="str">
        <f>IFERROR(__xludf.DUMMYFUNCTION("""COMPUTED_VALUE"""),"Local con bodega, cuenta con todos los servicios públicos.")</f>
        <v>Local con bodega, cuenta con todos los servicios públicos.</v>
      </c>
      <c r="AD174" s="46" t="str">
        <f>IFERROR(__xludf.DUMMYFUNCTION("""COMPUTED_VALUE"""),"Cuenta con bases para construir hasta 4 pisos.")</f>
        <v>Cuenta con bases para construir hasta 4 pisos.</v>
      </c>
      <c r="AE174" s="46"/>
      <c r="AF174" s="46">
        <f>IFERROR(__xludf.DUMMYFUNCTION("""COMPUTED_VALUE"""),0.0)</f>
        <v>0</v>
      </c>
      <c r="AG174" s="46"/>
      <c r="AH174" s="46" t="str">
        <f>IFERROR(__xludf.DUMMYFUNCTION("""COMPUTED_VALUE"""),"Aliado")</f>
        <v>Aliado</v>
      </c>
      <c r="AI174" s="92" t="str">
        <f>IFERROR(__xludf.DUMMYFUNCTION("""COMPUTED_VALUE"""),"https://lh3.googleusercontent.com/pw/AP1GczP8-rqzjsdZZ-P84EkoiPLbr2zVW11lp46rNfdNWj-yWpWVA5mvy2ivt1Qji5SdRYTluucPqYW6DSdTDOwg7zsO4uoBODgCKfP_t462Cv3L8XHAPktb=w1200|https://lh3.googleusercontent.com/pw/AP1GczOYD46QhWCFVOgvvgktuZ5H16GnctX5qG-CmlQtHj635FwZON"&amp;"ybBbG86Gi5VENe6tb59Z1R2pxvISueA2BUJro1uAJFJEBf8fDzWfNEKpuNVktWkft-=w1200|https://lh3.googleusercontent.com/pw/AP1GczOy90EjC5t75doZaj9MyysETs5vPXU0_JfEA-lC8ubvrjXSrWV120iNAAnEiTfzGJYvq7sr0nK8LXDQe1Ui_UeFylQmJd9kb1jX3zC2LBZ9LfLPZvxf=w1200|https://lh3.google"&amp;"usercontent.com/pw/AP1GczPZCcr2rKm9R0H6MGdC9OTcrbWH6XokB8UIjly76iJZerNXqmW_tth5q31Fdiw8lbiD62die0PdRX95MEvGQxjZg4M-v3HunMRPN7JHXtVFFFGLystA=w1200|https://lh3.googleusercontent.com/pw/AP1GczOM7zQHQnmnDet_FFrFSxnUdR0Eqz890MZ28zCtBm8WgnXMuKbVECTuB4Fr54BJPFZL"&amp;"6aQgOxviXXqQfg00YdUNSQcSHz0ZUZjswlYWLMr0fx-QmVPC=w1200|https://lh3.googleusercontent.com/pw/AP1GczM6pWsY9g7lq8CzKMak3Ae-gAVEPk0r33SGUcBEX9-vrYTQYxLvvOBTidppH-8UtXpV_6diUcFCMQDZqGxybXbRRomtu9BD_D-8g7vI_wNOYd8r2fT3=w1200|https://lh3.googleusercontent.com/pw"&amp;"/AP1GczOKSlRv7APAOy_viACCVBldu2Y8hQvibCIhGf9hYtNBS9U8BaustBmGoakmQiLOAvm-23QZ8xwDYa-feR3tcZw74ayMnweQl-0eEfoOHQsU310JeOj2=w1200|https://lh3.googleusercontent.com/pw/AP1GczM1ToWgtaCyDj6PavMuqN1Cm72RdjmPzYs5gwe0IogFBEa2E9CZZVZcD3H37gVxTVIyCabFTVV8DlTIg02OUn"&amp;"UQs5nfgtGr6PMKp-CPwRgwBI8V1cUW=w1200|https://lh3.googleusercontent.com/pw/AP1GczPxB9PQ0g8U0O4uUgPVQ2nZQTQuwpuQL8g5QFIcjsIrATXeQXIvxuQPy2Ls_S-QFIIrQivt1jqzH7f7tS7YoR0HKw3Y27zK7JTxN_y8_cYP93f4TDE7=w1200")</f>
        <v>https://lh3.googleusercontent.com/pw/AP1GczP8-rqzjsdZZ-P84EkoiPLbr2zVW11lp46rNfdNWj-yWpWVA5mvy2ivt1Qji5SdRYTluucPqYW6DSdTDOwg7zsO4uoBODgCKfP_t462Cv3L8XHAPktb=w1200|https://lh3.googleusercontent.com/pw/AP1GczOYD46QhWCFVOgvvgktuZ5H16GnctX5qG-CmlQtHj635FwZONybBbG86Gi5VENe6tb59Z1R2pxvISueA2BUJro1uAJFJEBf8fDzWfNEKpuNVktWkft-=w1200|https://lh3.googleusercontent.com/pw/AP1GczOy90EjC5t75doZaj9MyysETs5vPXU0_JfEA-lC8ubvrjXSrWV120iNAAnEiTfzGJYvq7sr0nK8LXDQe1Ui_UeFylQmJd9kb1jX3zC2LBZ9LfLPZvxf=w1200|https://lh3.googleusercontent.com/pw/AP1GczPZCcr2rKm9R0H6MGdC9OTcrbWH6XokB8UIjly76iJZerNXqmW_tth5q31Fdiw8lbiD62die0PdRX95MEvGQxjZg4M-v3HunMRPN7JHXtVFFFGLystA=w1200|https://lh3.googleusercontent.com/pw/AP1GczOM7zQHQnmnDet_FFrFSxnUdR0Eqz890MZ28zCtBm8WgnXMuKbVECTuB4Fr54BJPFZL6aQgOxviXXqQfg00YdUNSQcSHz0ZUZjswlYWLMr0fx-QmVPC=w1200|https://lh3.googleusercontent.com/pw/AP1GczM6pWsY9g7lq8CzKMak3Ae-gAVEPk0r33SGUcBEX9-vrYTQYxLvvOBTidppH-8UtXpV_6diUcFCMQDZqGxybXbRRomtu9BD_D-8g7vI_wNOYd8r2fT3=w1200|https://lh3.googleusercontent.com/pw/AP1GczOKSlRv7APAOy_viACCVBldu2Y8hQvibCIhGf9hYtNBS9U8BaustBmGoakmQiLOAvm-23QZ8xwDYa-feR3tcZw74ayMnweQl-0eEfoOHQsU310JeOj2=w1200|https://lh3.googleusercontent.com/pw/AP1GczM1ToWgtaCyDj6PavMuqN1Cm72RdjmPzYs5gwe0IogFBEa2E9CZZVZcD3H37gVxTVIyCabFTVV8DlTIg02OUnUQs5nfgtGr6PMKp-CPwRgwBI8V1cUW=w1200|https://lh3.googleusercontent.com/pw/AP1GczPxB9PQ0g8U0O4uUgPVQ2nZQTQuwpuQL8g5QFIcjsIrATXeQXIvxuQPy2Ls_S-QFIIrQivt1jqzH7f7tS7YoR0HKw3Y27zK7JTxN_y8_cYP93f4TDE7=w1200</v>
      </c>
      <c r="AJ174" s="46"/>
      <c r="AK174" s="46"/>
      <c r="AL174" s="46"/>
      <c r="AM174" s="46"/>
      <c r="AN174" s="46"/>
      <c r="AO174" s="46"/>
      <c r="AP174" s="46"/>
      <c r="AQ174" s="46"/>
      <c r="AR174" s="46"/>
      <c r="AS174" s="46"/>
      <c r="AT174" s="46"/>
      <c r="AU174" s="46"/>
      <c r="AV174" s="46"/>
      <c r="AW174" s="46"/>
      <c r="AX174" s="46"/>
      <c r="AY174" s="46"/>
      <c r="AZ174" s="46"/>
      <c r="BA174" s="46"/>
      <c r="BB174" s="46"/>
      <c r="BC174" s="46"/>
      <c r="BD174" s="46"/>
      <c r="BE174" s="46"/>
      <c r="BF174" s="46"/>
      <c r="BG174" s="46"/>
      <c r="BH174" s="46"/>
      <c r="BI174" s="46"/>
      <c r="BJ174" s="46"/>
      <c r="BK174" s="46"/>
      <c r="BL174" s="46"/>
      <c r="BM174" s="46"/>
      <c r="BN174" s="46"/>
      <c r="BO174" s="46"/>
      <c r="BP174" s="46"/>
      <c r="BQ174" s="46"/>
      <c r="BR174" s="46"/>
      <c r="BS174" s="46"/>
      <c r="BT174" s="46"/>
      <c r="BU174" s="46"/>
      <c r="BV174" s="46"/>
      <c r="BW174" s="46"/>
      <c r="BX174" s="46"/>
      <c r="BY174" s="46"/>
      <c r="BZ174" s="46"/>
      <c r="CA174" s="46"/>
      <c r="CB174" s="46"/>
      <c r="CC174" s="46"/>
    </row>
    <row r="175">
      <c r="A175" s="87" t="str">
        <f>IFERROR(__xludf.DUMMYFUNCTION("""COMPUTED_VALUE"""),"049")</f>
        <v>049</v>
      </c>
      <c r="B175" s="46" t="str">
        <f>IFERROR(__xludf.DUMMYFUNCTION("""COMPUTED_VALUE"""),"Casa en conjunto Condominio Terrazas de Bizancio - Oriente")</f>
        <v>Casa en conjunto Condominio Terrazas de Bizancio - Oriente</v>
      </c>
      <c r="C175" s="46" t="str">
        <f>IFERROR(__xludf.DUMMYFUNCTION("""COMPUTED_VALUE"""),"Casa en conjunto")</f>
        <v>Casa en conjunto</v>
      </c>
      <c r="D175" s="46"/>
      <c r="E175" s="46" t="str">
        <f>IFERROR(__xludf.DUMMYFUNCTION("""COMPUTED_VALUE"""),"Conjunto Condominio  Terrazas Bizancio")</f>
        <v>Conjunto Condominio  Terrazas Bizancio</v>
      </c>
      <c r="F175" s="90">
        <f>IFERROR(__xludf.DUMMYFUNCTION("""COMPUTED_VALUE"""),8.8E8)</f>
        <v>880000000</v>
      </c>
      <c r="G175" s="46" t="str">
        <f>IFERROR(__xludf.DUMMYFUNCTION("""COMPUTED_VALUE"""),"$500'000.000 a $1.000'000.000")</f>
        <v>$500'000.000 a $1.000'000.000</v>
      </c>
      <c r="H175" s="46"/>
      <c r="I175" s="46"/>
      <c r="J175" s="46" t="str">
        <f>IFERROR(__xludf.DUMMYFUNCTION("""COMPUTED_VALUE"""),"Oriente")</f>
        <v>Oriente</v>
      </c>
      <c r="K175" s="87" t="str">
        <f>IFERROR(__xludf.DUMMYFUNCTION("""COMPUTED_VALUE"""),"7")</f>
        <v>7</v>
      </c>
      <c r="L175" s="46">
        <f>IFERROR(__xludf.DUMMYFUNCTION("""COMPUTED_VALUE"""),3.0)</f>
        <v>3</v>
      </c>
      <c r="M175" s="46"/>
      <c r="N175" s="46">
        <f>IFERROR(__xludf.DUMMYFUNCTION("""COMPUTED_VALUE"""),5.0)</f>
        <v>5</v>
      </c>
      <c r="O175" s="46">
        <f>IFERROR(__xludf.DUMMYFUNCTION("""COMPUTED_VALUE"""),2.0)</f>
        <v>2</v>
      </c>
      <c r="P175" s="46">
        <f>IFERROR(__xludf.DUMMYFUNCTION("""COMPUTED_VALUE"""),2.0)</f>
        <v>2</v>
      </c>
      <c r="Q175" s="92">
        <f>IFERROR(__xludf.DUMMYFUNCTION("""COMPUTED_VALUE"""),0.0)</f>
        <v>0</v>
      </c>
      <c r="R175" s="92">
        <f>IFERROR(__xludf.DUMMYFUNCTION("""COMPUTED_VALUE"""),0.0)</f>
        <v>0</v>
      </c>
      <c r="S175" s="87" t="str">
        <f>IFERROR(__xludf.DUMMYFUNCTION("""COMPUTED_VALUE""")," ")</f>
        <v> </v>
      </c>
      <c r="T175" s="46" t="str">
        <f>IFERROR(__xludf.DUMMYFUNCTION("""COMPUTED_VALUE"""),"Neiva")</f>
        <v>Neiva</v>
      </c>
      <c r="U175" s="87" t="str">
        <f>IFERROR(__xludf.DUMMYFUNCTION("""COMPUTED_VALUE"""),"4")</f>
        <v>4</v>
      </c>
      <c r="V175" s="46" t="str">
        <f>IFERROR(__xludf.DUMMYFUNCTION("""COMPUTED_VALUE"""),"Esquinera")</f>
        <v>Esquinera</v>
      </c>
      <c r="W175" s="46"/>
      <c r="X175" s="46">
        <f>IFERROR(__xludf.DUMMYFUNCTION("""COMPUTED_VALUE"""),3.0)</f>
        <v>3</v>
      </c>
      <c r="Y175" s="46" t="str">
        <f>IFERROR(__xludf.DUMMYFUNCTION("""COMPUTED_VALUE"""),"Social")</f>
        <v>Social</v>
      </c>
      <c r="Z175" s="90">
        <f>IFERROR(__xludf.DUMMYFUNCTION("""COMPUTED_VALUE"""),930000.0)</f>
        <v>930000</v>
      </c>
      <c r="AA175" s="33" t="str">
        <f>IFERROR(__xludf.DUMMYFUNCTION("""COMPUTED_VALUE"""),"No aplica")</f>
        <v>No aplica</v>
      </c>
      <c r="AB175" s="96" t="str">
        <f>IFERROR(__xludf.DUMMYFUNCTION("""COMPUTED_VALUE"""),"https://photos.app.goo.gl/6N15LVqjsf6ZZ5Py7")</f>
        <v>https://photos.app.goo.gl/6N15LVqjsf6ZZ5Py7</v>
      </c>
      <c r="AC175" s="46" t="str">
        <f>IFERROR(__xludf.DUMMYFUNCTION("""COMPUTED_VALUE"""),"Esta espectacular casa de estrato 4 se distribuye en dos niveles con acabados modernos y de alta calidad. El primer piso cuenta con una iluminada sala y un comedor independiente revestidos con pisos de porcelanato brillante y muros estucados en color blan"&amp;"co, conectados por una hermosa escalera con barandales de hierro forjado artísticamente decorados. En este nivel se dispone de una amplia cocina integral con encimeras claras, estufa de mesa, horno empotrado y gabinetes modulares en tono madera, además de"&amp;" una sala de televisión, baño auxiliar, patio interior, zona de lavandería con patio de ropas, una habitación de servicio con baño y un gimnasio privado equipado. El segundo piso alberga el área íntima con tres amplias habitaciones —cada una con su propio"&amp;" clóset, aire acondicionado y baño privado— que comunican directamente con un sistema de terrazas exteriores. Completan la propiedad dos parqueaderos cubiertos y un depósito privado.")</f>
        <v>Esta espectacular casa de estrato 4 se distribuye en dos niveles con acabados modernos y de alta calidad. El primer piso cuenta con una iluminada sala y un comedor independiente revestidos con pisos de porcelanato brillante y muros estucados en color blanco, conectados por una hermosa escalera con barandales de hierro forjado artísticamente decorados. En este nivel se dispone de una amplia cocina integral con encimeras claras, estufa de mesa, horno empotrado y gabinetes modulares en tono madera, además de una sala de televisión, baño auxiliar, patio interior, zona de lavandería con patio de ropas, una habitación de servicio con baño y un gimnasio privado equipado. El segundo piso alberga el área íntima con tres amplias habitaciones —cada una con su propio clóset, aire acondicionado y baño privado— que comunican directamente con un sistema de terrazas exteriores. Completan la propiedad dos parqueaderos cubiertos y un depósito privado.</v>
      </c>
      <c r="AD175" s="46" t="str">
        <f>IFERROR(__xludf.DUMMYFUNCTION("""COMPUTED_VALUE"""),"La propiedad representa una oportunidad de inversión excepcional para quienes buscan un estilo de vida lleno de confort, esparcimiento y total privacidad familiar. El mayor factor de atracción radica en sus espectaculares y amplias terrazas del segundo ni"&amp;"vel, así como el balcón del área social, que brindan una vista exterior despejada y garantizan una ventilación cruzada perfecta junto a una iluminación natural envidiable durante todo el día. La enorme ventaja de contar con un espacio propio para gimnasio"&amp;" en casa y la comodidad del confort térmico gracias a los aires acondicionados en los dormitorios aseguran el máximo bienestar diario. Con espacios listos para habitar, una distribución inteligente que independiza las áreas sociales del descanso y estacio"&amp;"namiento protegido, esta residencia es la elección definitiva para una compra inmediata y segura.")</f>
        <v>La propiedad representa una oportunidad de inversión excepcional para quienes buscan un estilo de vida lleno de confort, esparcimiento y total privacidad familiar. El mayor factor de atracción radica en sus espectaculares y amplias terrazas del segundo nivel, así como el balcón del área social, que brindan una vista exterior despejada y garantizan una ventilación cruzada perfecta junto a una iluminación natural envidiable durante todo el día. La enorme ventaja de contar con un espacio propio para gimnasio en casa y la comodidad del confort térmico gracias a los aires acondicionados en los dormitorios aseguran el máximo bienestar diario. Con espacios listos para habitar, una distribución inteligente que independiza las áreas sociales del descanso y estacionamiento protegido, esta residencia es la elección definitiva para una compra inmediata y segura.</v>
      </c>
      <c r="AE175" s="46"/>
      <c r="AF175" s="46" t="str">
        <f>IFERROR(__xludf.DUMMYFUNCTION("""COMPUTED_VALUE"""),"integral")</f>
        <v>integral</v>
      </c>
      <c r="AG175" s="46"/>
      <c r="AH175" s="46" t="str">
        <f>IFERROR(__xludf.DUMMYFUNCTION("""COMPUTED_VALUE"""),"Aliado")</f>
        <v>Aliado</v>
      </c>
      <c r="AI175" s="92" t="str">
        <f>IFERROR(__xludf.DUMMYFUNCTION("""COMPUTED_VALUE"""),"https://lh3.googleusercontent.com/pw/AP1GczM67fB8AkBlCBPFSvmV7dRnxB-51MJa0jsjpDzvJW2Lb1Efc6pm2NHA5RSj99GCT5gPjNjNgeYZGMqnQasjrsSecS2Nja6QIBfEWnOcMIdPpUToPIfG=w1200|https://lh3.googleusercontent.com/pw/AP1GczPpKJlSkMvOWCzomEjxNSzoDUv71_EEaq1DuFN1DrSidpG3Do"&amp;"QQOHulFBDKBeQjFFr1AXWZYt0NGAOwQbWLU4FZGEJPrHstFGLHL65OF4A5S05ZrE8v=w1200|https://lh3.googleusercontent.com/pw/AP1GczPY9qh6ySpPore2fdF3dsqOjkCtbtmqvEUhnF98E3EK0dkaAP5fpmsDQEIG1XG9QIcfsI4_mux7PsfKYJezBkca-nENuVnm6JwrIObCuTB2O_EljtJc=w1200|https://lh3.google"&amp;"usercontent.com/pw/AP1GczPDOUlR-AlHYMvcxaU9hP2tXgCL_ijp0XetaBW7tXoQVzeIVhD1KJwg0G3ldGUFhYKH1zEgdKaeCWrldmPCE3WAOEYGMFQvdkPI9Npq0_6_vT38dG9I=w1200|https://lh3.googleusercontent.com/pw/AP1GczNqGK5J1jSbrK6iZgLk-2gMJvhwKU--LSV4-NkD8P6bTStxt66CqyQe9_AJp-TLDEmB"&amp;"fjqZGFrUrUQkFFmiJW_oxUZhflQ35dGYxLx9l9ND0bCJqPn8=w1200|https://lh3.googleusercontent.com/pw/AP1GczMllXJLN_oo7lyH-rGtorVrOBszKBKFMKcHhV674yyDCCN8OJnIhmZ1DFkm0E_5uK7FIaFCABVSWHXAKjY55er6A7-bxkKlzfIryYlXi3Yve9J0is42=w1200|https://lh3.googleusercontent.com/pw"&amp;"/AP1GczM2gbw8lrfDHf2NxrVVkxh7fUrnIbQkiEfsbzKA6V-kfxE3ELBymBxehXbg-f0J3nMGRiL5BBaYfbsNX67mvE18taL1Zov7heV549BiqpmU31lrBx_u=w1200|https://lh3.googleusercontent.com/pw/AP1GczMSE-pHvbE70H_V-jjVcUD3DnS9-V-eKlFdvmmzw48I-cQny-aqPgyeVATTLHvg_UwNbhDTjFyImK0OyXs6eC"&amp;"JNHvYG9tZfOE9A3X3ziWmuXyzOybeW=w1200|https://lh3.googleusercontent.com/pw/AP1GczMdv9TwBSIeYPkMkfveRVMVNkBZbMANh5eF0jOLEXP6g5J6KY686mYQKDezfNGhuhMEizDSQ2X7P5i0AGZSCU53E1GHIaE9kMWaJuoYJU1B9nHJGW8Z=w1200|https://lh3.googleusercontent.com/pw/AP1GczPRjtrrNPiBv"&amp;"5yhSLK99mitL8D7W4PnKgXoD0kK2a9Kexmx3QDsSgix29123YmMvgrbFj67pEaa3obvAC16riQhhKDRfenvTtGKtDZKW6Cte5EYTvoY=w1200|https://lh3.googleusercontent.com/pw/AP1GczNEcSoFIlJ3mwmlfiFM4ZZ_hraxc3hT0EVKYp9X_BFsjZGaKGPMea0P3X8w0E0xXDwaZ9pljgvbqI0r0sikVzAoHNhy-yBDjBtXNc2U"&amp;"qg0NfwloWsra=w1200|https://lh3.googleusercontent.com/pw/AP1GczNKrYEK3395sv89ZvYk-ibBpL16wGd6ppSXtOYCdvm8lJdrq5A2NEm2o_Hz7WHnG-Vow7s3dLW4L7Rp5zbTuW73W2nIUa-fB49aQgnXH49DHZt7d9GI=w1200|https://lh3.googleusercontent.com/pw/AP1GczOyowpq3ILd5kJf0lMXlRFlzLoLMdx"&amp;"-rfsGbfqvopD-yBsnT_t2xhSPjqmVSMvTA9QvYw6TxerE2IEEn_Zmn--LLPkvNz_2kgtrRx1pM8sRhRXfNmMZ=w1200|https://lh3.googleusercontent.com/pw/AP1GczN4rcOY2WFzNNaMsBQPSXxF8h2Bs1-sTBsfvKnKoYxOoEUEMdSPnC0IQR8_JjIA60F8wZqIbRxTk9JOEW2chn1D2CwY4CV9O_kiEaR7kmrbVbBIS5QH=w1200"&amp;"|https://lh3.googleusercontent.com/pw/AP1GczOo8e7VXt79VlNxS_TTdAtcWq0jEBpqDk6ywDpR_dFDO1iNCpTdDUH2AxJgZLIjBZxLyoXsSfLrMsq1dowFfQKxF4iayLiyU7wH4C1h9nprXF2_1_XX=w1200|https://lh3.googleusercontent.com/pw/AP1GczOob4rC3areJzOVJmDp0zInYeWjiJJ0r1dT2CcuX92Bhcmpb"&amp;"KNS-xhobraJFSV5W2S9EMP1PTkn0kXxLhB2X2J-oKk7DF9n4A2EMg_wHIdf4VDJtBxM=w1200|https://lh3.googleusercontent.com/pw/AP1GczOqbPOBuGH5RLQk8ojoRAc_rob7kFnx78h2tA4sP-j-XDEZ1LJwofwXq13xFBmdp7SguSPGkLrOufN5jCy1X7Omf4xqpDlIQoqyae1HUgwMffqxfCuG=w1200|https://lh3.googl"&amp;"eusercontent.com/pw/AP1GczM9bDZV4yOapwHNdAAJhw_xCw6vSc-cdzsU46xmP4tsWXA_Blh7HtkKentg-ohjzPOGkW331kcp2IvvEUQKpDvYiU2hdicKufQiH2qWjOeJs3KuZvyH=w1200|https://lh3.googleusercontent.com/pw/AP1GczPHn8BC_VNW324UlyzHOII13dEpjokRHgSyN5-t2l6qclCLyGMN3xIvrW5as_GxEHN"&amp;"k9GC4Pj-O_VKi2wkfzEE-6qZW5I_2z8QNDRsogSGQOPtvPMcL=w1200|https://lh3.googleusercontent.com/pw/AP1GczNZ_efDcEf3Gjn1OTlqLd2rlgTz_CYg2BSTnYFPJxXKk99Phs9HjYDEFzGlbewvyq3VKPhqzPNwKRXHV-ydlETjguZj_In2DT64qSFEHtrjB54l-vy2=w1200|https://lh3.googleusercontent.com/p"&amp;"w/AP1GczNMfRovRa46opsoydtB5c2ObYqgyqouii0WfdN3p1_Fk_YvyLIf3-5lYufScH8ydUn6HKq4iryKrGeS672MsdKMuHrAmbVq0S1ZyGwmgMNXlqGOKLZ4=w1200|https://lh3.googleusercontent.com/pw/AP1GczN2vrOgH-wRUbQD6i6ZTl8qV2SQY-zeKqhmME3rASelRhyYoh9R8JeK303uTZ1mg2mRC3QO4KwbavXPY-RST"&amp;"ThdPOC7hSqbPAUeCsnXCd5AAe9Z5Qzo=w1200|https://lh3.googleusercontent.com/pw/AP1GczNNztER0RGCfV3HBuhgAxVWiRJSSJD3i3tzaAufESk_sUiSPAQxL9hB9WqKU8FuIckt8fO7tkWGR2Fb3W-d4QrzPP31Moj2UftRsBBPc9t6ANvcJONu=w1200")</f>
        <v>https://lh3.googleusercontent.com/pw/AP1GczM67fB8AkBlCBPFSvmV7dRnxB-51MJa0jsjpDzvJW2Lb1Efc6pm2NHA5RSj99GCT5gPjNjNgeYZGMqnQasjrsSecS2Nja6QIBfEWnOcMIdPpUToPIfG=w1200|https://lh3.googleusercontent.com/pw/AP1GczPpKJlSkMvOWCzomEjxNSzoDUv71_EEaq1DuFN1DrSidpG3DoQQOHulFBDKBeQjFFr1AXWZYt0NGAOwQbWLU4FZGEJPrHstFGLHL65OF4A5S05ZrE8v=w1200|https://lh3.googleusercontent.com/pw/AP1GczPY9qh6ySpPore2fdF3dsqOjkCtbtmqvEUhnF98E3EK0dkaAP5fpmsDQEIG1XG9QIcfsI4_mux7PsfKYJezBkca-nENuVnm6JwrIObCuTB2O_EljtJc=w1200|https://lh3.googleusercontent.com/pw/AP1GczPDOUlR-AlHYMvcxaU9hP2tXgCL_ijp0XetaBW7tXoQVzeIVhD1KJwg0G3ldGUFhYKH1zEgdKaeCWrldmPCE3WAOEYGMFQvdkPI9Npq0_6_vT38dG9I=w1200|https://lh3.googleusercontent.com/pw/AP1GczNqGK5J1jSbrK6iZgLk-2gMJvhwKU--LSV4-NkD8P6bTStxt66CqyQe9_AJp-TLDEmBfjqZGFrUrUQkFFmiJW_oxUZhflQ35dGYxLx9l9ND0bCJqPn8=w1200|https://lh3.googleusercontent.com/pw/AP1GczMllXJLN_oo7lyH-rGtorVrOBszKBKFMKcHhV674yyDCCN8OJnIhmZ1DFkm0E_5uK7FIaFCABVSWHXAKjY55er6A7-bxkKlzfIryYlXi3Yve9J0is42=w1200|https://lh3.googleusercontent.com/pw/AP1GczM2gbw8lrfDHf2NxrVVkxh7fUrnIbQkiEfsbzKA6V-kfxE3ELBymBxehXbg-f0J3nMGRiL5BBaYfbsNX67mvE18taL1Zov7heV549BiqpmU31lrBx_u=w1200|https://lh3.googleusercontent.com/pw/AP1GczMSE-pHvbE70H_V-jjVcUD3DnS9-V-eKlFdvmmzw48I-cQny-aqPgyeVATTLHvg_UwNbhDTjFyImK0OyXs6eCJNHvYG9tZfOE9A3X3ziWmuXyzOybeW=w1200|https://lh3.googleusercontent.com/pw/AP1GczMdv9TwBSIeYPkMkfveRVMVNkBZbMANh5eF0jOLEXP6g5J6KY686mYQKDezfNGhuhMEizDSQ2X7P5i0AGZSCU53E1GHIaE9kMWaJuoYJU1B9nHJGW8Z=w1200|https://lh3.googleusercontent.com/pw/AP1GczPRjtrrNPiBv5yhSLK99mitL8D7W4PnKgXoD0kK2a9Kexmx3QDsSgix29123YmMvgrbFj67pEaa3obvAC16riQhhKDRfenvTtGKtDZKW6Cte5EYTvoY=w1200|https://lh3.googleusercontent.com/pw/AP1GczNEcSoFIlJ3mwmlfiFM4ZZ_hraxc3hT0EVKYp9X_BFsjZGaKGPMea0P3X8w0E0xXDwaZ9pljgvbqI0r0sikVzAoHNhy-yBDjBtXNc2Uqg0NfwloWsra=w1200|https://lh3.googleusercontent.com/pw/AP1GczNKrYEK3395sv89ZvYk-ibBpL16wGd6ppSXtOYCdvm8lJdrq5A2NEm2o_Hz7WHnG-Vow7s3dLW4L7Rp5zbTuW73W2nIUa-fB49aQgnXH49DHZt7d9GI=w1200|https://lh3.googleusercontent.com/pw/AP1GczOyowpq3ILd5kJf0lMXlRFlzLoLMdx-rfsGbfqvopD-yBsnT_t2xhSPjqmVSMvTA9QvYw6TxerE2IEEn_Zmn--LLPkvNz_2kgtrRx1pM8sRhRXfNmMZ=w1200|https://lh3.googleusercontent.com/pw/AP1GczN4rcOY2WFzNNaMsBQPSXxF8h2Bs1-sTBsfvKnKoYxOoEUEMdSPnC0IQR8_JjIA60F8wZqIbRxTk9JOEW2chn1D2CwY4CV9O_kiEaR7kmrbVbBIS5QH=w1200|https://lh3.googleusercontent.com/pw/AP1GczOo8e7VXt79VlNxS_TTdAtcWq0jEBpqDk6ywDpR_dFDO1iNCpTdDUH2AxJgZLIjBZxLyoXsSfLrMsq1dowFfQKxF4iayLiyU7wH4C1h9nprXF2_1_XX=w1200|https://lh3.googleusercontent.com/pw/AP1GczOob4rC3areJzOVJmDp0zInYeWjiJJ0r1dT2CcuX92BhcmpbKNS-xhobraJFSV5W2S9EMP1PTkn0kXxLhB2X2J-oKk7DF9n4A2EMg_wHIdf4VDJtBxM=w1200|https://lh3.googleusercontent.com/pw/AP1GczOqbPOBuGH5RLQk8ojoRAc_rob7kFnx78h2tA4sP-j-XDEZ1LJwofwXq13xFBmdp7SguSPGkLrOufN5jCy1X7Omf4xqpDlIQoqyae1HUgwMffqxfCuG=w1200|https://lh3.googleusercontent.com/pw/AP1GczM9bDZV4yOapwHNdAAJhw_xCw6vSc-cdzsU46xmP4tsWXA_Blh7HtkKentg-ohjzPOGkW331kcp2IvvEUQKpDvYiU2hdicKufQiH2qWjOeJs3KuZvyH=w1200|https://lh3.googleusercontent.com/pw/AP1GczPHn8BC_VNW324UlyzHOII13dEpjokRHgSyN5-t2l6qclCLyGMN3xIvrW5as_GxEHNk9GC4Pj-O_VKi2wkfzEE-6qZW5I_2z8QNDRsogSGQOPtvPMcL=w1200|https://lh3.googleusercontent.com/pw/AP1GczNZ_efDcEf3Gjn1OTlqLd2rlgTz_CYg2BSTnYFPJxXKk99Phs9HjYDEFzGlbewvyq3VKPhqzPNwKRXHV-ydlETjguZj_In2DT64qSFEHtrjB54l-vy2=w1200|https://lh3.googleusercontent.com/pw/AP1GczNMfRovRa46opsoydtB5c2ObYqgyqouii0WfdN3p1_Fk_YvyLIf3-5lYufScH8ydUn6HKq4iryKrGeS672MsdKMuHrAmbVq0S1ZyGwmgMNXlqGOKLZ4=w1200|https://lh3.googleusercontent.com/pw/AP1GczN2vrOgH-wRUbQD6i6ZTl8qV2SQY-zeKqhmME3rASelRhyYoh9R8JeK303uTZ1mg2mRC3QO4KwbavXPY-RSTThdPOC7hSqbPAUeCsnXCd5AAe9Z5Qzo=w1200|https://lh3.googleusercontent.com/pw/AP1GczNNztER0RGCfV3HBuhgAxVWiRJSSJD3i3tzaAufESk_sUiSPAQxL9hB9WqKU8FuIckt8fO7tkWGR2Fb3W-d4QrzPP31Moj2UftRsBBPc9t6ANvcJONu=w1200</v>
      </c>
      <c r="AJ175" s="46"/>
      <c r="AK175" s="46"/>
      <c r="AL175" s="46"/>
      <c r="AM175" s="46"/>
      <c r="AN175" s="46"/>
      <c r="AO175" s="46"/>
      <c r="AP175" s="46"/>
      <c r="AQ175" s="46"/>
      <c r="AR175" s="46"/>
      <c r="AS175" s="46"/>
      <c r="AT175" s="46"/>
      <c r="AU175" s="46"/>
      <c r="AV175" s="46"/>
      <c r="AW175" s="46"/>
      <c r="AX175" s="46"/>
      <c r="AY175" s="46"/>
      <c r="AZ175" s="46"/>
      <c r="BA175" s="46"/>
      <c r="BB175" s="46"/>
      <c r="BC175" s="46"/>
      <c r="BD175" s="46"/>
      <c r="BE175" s="46"/>
      <c r="BF175" s="46"/>
      <c r="BG175" s="46"/>
      <c r="BH175" s="46"/>
      <c r="BI175" s="46"/>
      <c r="BJ175" s="46"/>
      <c r="BK175" s="46"/>
      <c r="BL175" s="46"/>
      <c r="BM175" s="46"/>
      <c r="BN175" s="46"/>
      <c r="BO175" s="46"/>
      <c r="BP175" s="46"/>
      <c r="BQ175" s="46"/>
      <c r="BR175" s="46"/>
      <c r="BS175" s="46"/>
      <c r="BT175" s="46"/>
      <c r="BU175" s="46"/>
      <c r="BV175" s="46"/>
      <c r="BW175" s="46"/>
      <c r="BX175" s="46"/>
      <c r="BY175" s="46"/>
      <c r="BZ175" s="46"/>
      <c r="CA175" s="46"/>
      <c r="CB175" s="46"/>
      <c r="CC175" s="46"/>
    </row>
    <row r="176">
      <c r="A176" s="87" t="str">
        <f>IFERROR(__xludf.DUMMYFUNCTION("""COMPUTED_VALUE"""),"799")</f>
        <v>799</v>
      </c>
      <c r="B176" s="46" t="str">
        <f>IFERROR(__xludf.DUMMYFUNCTION("""COMPUTED_VALUE"""),"Casa campestre - Vía Vegalarga - Oriente")</f>
        <v>Casa campestre - Vía Vegalarga - Oriente</v>
      </c>
      <c r="C176" s="46" t="str">
        <f>IFERROR(__xludf.DUMMYFUNCTION("""COMPUTED_VALUE"""),"Casa campestre")</f>
        <v>Casa campestre</v>
      </c>
      <c r="D176" s="46"/>
      <c r="E176" s="46"/>
      <c r="F176" s="90">
        <f>IFERROR(__xludf.DUMMYFUNCTION("""COMPUTED_VALUE"""),8.6E8)</f>
        <v>860000000</v>
      </c>
      <c r="G176" s="46" t="str">
        <f>IFERROR(__xludf.DUMMYFUNCTION("""COMPUTED_VALUE"""),"$500'000.000 a $1.000'000.000")</f>
        <v>$500'000.000 a $1.000'000.000</v>
      </c>
      <c r="H176" s="46"/>
      <c r="I176" s="46"/>
      <c r="J176" s="46" t="str">
        <f>IFERROR(__xludf.DUMMYFUNCTION("""COMPUTED_VALUE"""),"Rural")</f>
        <v>Rural</v>
      </c>
      <c r="K176" s="87"/>
      <c r="L176" s="46">
        <f>IFERROR(__xludf.DUMMYFUNCTION("""COMPUTED_VALUE"""),7.0)</f>
        <v>7</v>
      </c>
      <c r="M176" s="46"/>
      <c r="N176" s="46">
        <f>IFERROR(__xludf.DUMMYFUNCTION("""COMPUTED_VALUE"""),3.0)</f>
        <v>3</v>
      </c>
      <c r="O176" s="46">
        <f>IFERROR(__xludf.DUMMYFUNCTION("""COMPUTED_VALUE"""),1.0)</f>
        <v>1</v>
      </c>
      <c r="P176" s="46">
        <f>IFERROR(__xludf.DUMMYFUNCTION("""COMPUTED_VALUE"""),1.0)</f>
        <v>1</v>
      </c>
      <c r="Q176" s="92">
        <f>IFERROR(__xludf.DUMMYFUNCTION("""COMPUTED_VALUE"""),250.0)</f>
        <v>250</v>
      </c>
      <c r="R176" s="92">
        <f>IFERROR(__xludf.DUMMYFUNCTION("""COMPUTED_VALUE"""),1700.0)</f>
        <v>1700</v>
      </c>
      <c r="S176" s="87"/>
      <c r="T176" s="46" t="str">
        <f>IFERROR(__xludf.DUMMYFUNCTION("""COMPUTED_VALUE"""),"Neiva")</f>
        <v>Neiva</v>
      </c>
      <c r="U176" s="87"/>
      <c r="V176" s="46" t="str">
        <f>IFERROR(__xludf.DUMMYFUNCTION("""COMPUTED_VALUE"""),"Medianera")</f>
        <v>Medianera</v>
      </c>
      <c r="W176" s="46"/>
      <c r="X176" s="46">
        <f>IFERROR(__xludf.DUMMYFUNCTION("""COMPUTED_VALUE"""),6.0)</f>
        <v>6</v>
      </c>
      <c r="Y176" s="46" t="str">
        <f>IFERROR(__xludf.DUMMYFUNCTION("""COMPUTED_VALUE"""),"No tiene")</f>
        <v>No tiene</v>
      </c>
      <c r="Z176" s="90" t="str">
        <f>IFERROR(__xludf.DUMMYFUNCTION("""COMPUTED_VALUE"""),"No aplica")</f>
        <v>No aplica</v>
      </c>
      <c r="AA176" s="33" t="str">
        <f>IFERROR(__xludf.DUMMYFUNCTION("""COMPUTED_VALUE"""),"No aplica")</f>
        <v>No aplica</v>
      </c>
      <c r="AB176" s="96" t="str">
        <f>IFERROR(__xludf.DUMMYFUNCTION("""COMPUTED_VALUE"""),"https://photos.app.goo.gl/WNmLxvQgEk5W8CEC8")</f>
        <v>https://photos.app.goo.gl/WNmLxvQgEk5W8CEC8</v>
      </c>
      <c r="AC176" s="46" t="str">
        <f>IFERROR(__xludf.DUMMYFUNCTION("""COMPUTED_VALUE"""),"Via Vegalarga Area Lote 1,700 M2. Consta de: Casa: sala, comedor,cocina integral, estudio Tres (3) habitaciones , principal con baño, Un baño social, habitacion de servicio, patio de ropas, parqueadero cubierto doble. Casa Mayordomo: con cuatro (4) habita"&amp;"ciones,")</f>
        <v>Via Vegalarga Area Lote 1,700 M2. Consta de: Casa: sala, comedor,cocina integral, estudio Tres (3) habitaciones , principal con baño, Un baño social, habitacion de servicio, patio de ropas, parqueadero cubierto doble. Casa Mayordomo: con cuatro (4) habitaciones,</v>
      </c>
      <c r="AD176" s="46" t="str">
        <f>IFERROR(__xludf.DUMMYFUNCTION("""COMPUTED_VALUE"""),"Cuenta con 2 casas, árboles frutales. La casa con buenos acabados.")</f>
        <v>Cuenta con 2 casas, árboles frutales. La casa con buenos acabados.</v>
      </c>
      <c r="AE176" s="46"/>
      <c r="AF176" s="46" t="str">
        <f>IFERROR(__xludf.DUMMYFUNCTION("""COMPUTED_VALUE"""),"integral")</f>
        <v>integral</v>
      </c>
      <c r="AG176" s="46"/>
      <c r="AH176" s="46" t="str">
        <f>IFERROR(__xludf.DUMMYFUNCTION("""COMPUTED_VALUE"""),"Aliado")</f>
        <v>Aliado</v>
      </c>
      <c r="AI176" s="92" t="str">
        <f>IFERROR(__xludf.DUMMYFUNCTION("""COMPUTED_VALUE"""),"https://lh3.googleusercontent.com/pw/AP1GczPWVG6uink32LG0e8RyEzGYeBhcga1jTwDev8WHdi4JBr35upxbt6KC1StOIp2mg5L7oVNMSQDnFhmwFpAQ553A1k8E7EWRGnFaDjfIQIGh7uhWC6kh=w1200|https://lh3.googleusercontent.com/pw/AP1GczN2aPVJSKlNzqxHrnumIRaJuLAOw-plNgsypBvM8giAKNYmGC"&amp;"_6SZUWqPP7NasiWoMiRTHU1itx9a2AaR7JobXHVZhH-K6oVGwv491VgJv3yHrj8Kqz=w1200|https://lh3.googleusercontent.com/pw/AP1GczMTgV8sHZQ01JPlug2NSIKakgHLjSE0ZM7MrPc2G5VYG9-YDfOsaohR_2VFOnjYM4YS2hRvnZ4FJPgyszpK3Wox6P14B9pkqvHFCq4R29x_jwJCeJEg=w1200|https://lh3.google"&amp;"usercontent.com/pw/AP1GczMwSSvh97aMsxIMQtKbcHkI1inQMlAyEHwlO57Z-xIagHit8qa1Ui3Kh9EwROeOdmR6Csk7Y_t0HrcQ8aC2wJTZyGPrOiOLdb3xfBk8_iudKhjGzjRV=w1200|https://lh3.googleusercontent.com/pw/AP1GczP7U54S2-CZq_fLgGUvzVjDkqxBxrnM8aBgsPLR1MwM8YO0fTbalDSe8QntT2z7X91C"&amp;"5xjSAjlx2Plt-KL-RXSndD2p1bQ_hbpuj4QnebLs1AHUOlaT=w1200|https://lh3.googleusercontent.com/pw/AP1GczPamAoHw27HOG0z0Mf4reKeoNuiLKBaKR0ujuIgVGK6kgV7ZeqeXFGIzCtgSKVQrhAnR_YYZnjL2JPI5XSTCg0tnuQMKYRrhf04tfYV7ynXM3O9LGhr=w1200|https://lh3.googleusercontent.com/pw"&amp;"/AP1GczOQIQSNcJuU_gobIynuF6q2VOux32tkGrGitPQ_W3zuTnOB5MajsO-5wNRAZUPqZ2pHKWmgZOLugtBNi5P9djl0kZlAP0AVxnIz_vOwA8gKbFKOxOML=w1200|https://lh3.googleusercontent.com/pw/AP1GczOeU-3swoHcIOd3SeXBVKLWTpIKHWv6zafBk4_ZUdsUA__XcF-sL7rJ6v_1P9Pq20pE06JqtXSTGwNHYYr7jT"&amp;"3gqJ9GMb5qlVilBOPbt0dvMExAiXBv=w1200|https://lh3.googleusercontent.com/pw/AP1GczO2uGFBQJn_sd-dtbqLjmIp60rDSNz4O2Q0qr1Y7cQ4JDD6gXhLR8dnBkyQSMsUAW7b2Aeuu1aXWtY4Z84G_S7Hb1TPQG4fzwLqGSx61NbFo8KwS_hZ=w1200|https://lh3.googleusercontent.com/pw/AP1GczNK27HQ0WJTb"&amp;"Iq5LnosrNT1eYe29vi8OpfxgaMmfTSiBhIJzBRUO658p5SJegEHhi01noCAdTm5oIQ6rkLoQ2gha7tSXFawZ7T1BKcj9xK2POnbnsy9=w1200|https://lh3.googleusercontent.com/pw/AP1GczPj-fQfmTfkNChERqEuFYUh4Gpj_Cnv8hk8pYl6N6e4VLOzB7no4hCPUvK31FkphpsAUFGlCqABPEZ2PQVB58ya61MFBbCVuVWFivqk"&amp;"VouiKClAxnuM=w1200|https://lh3.googleusercontent.com/pw/AP1GczNK9P-UceQ-tsO5i5BORYBV5L7_60MXDgUQkuG5iMgQ-mz-KovCOGUR5Rr3lFReG4iREbtPPxbk5Ah_zRwM2LbPk4yWqBCeY2s4EpHKAV3qeve3snt_=w1200|https://lh3.googleusercontent.com/pw/AP1GczPhEjF3o2DQDU1vw-1xMiuxbxAWOA7"&amp;"QbuWRUUtxWo1MsnE4EuHYS7pVUtlt_EtHbgWMwS6A3YuCYxQh6m2yRAnoJU-WSIgykn7ldkgUzQTWnG2cVYpV=w1200|https://lh3.googleusercontent.com/pw/AP1GczPbOTlLi95hUMyp2nNtp5FqFsvL9Hy7Py5LuGpTUkwoZ3NJAR-aMr_gHX5Z1t0FICr-2m8Rqco1Imx0_wjHWkHH-BE0Lm-CABd_w3Erc5FfCpSMJpOd=w1200"&amp;"|https://lh3.googleusercontent.com/pw/AP1GczOsfl-iNqcI9_qaeouS_YsXb8bvigVbDTNHJq4PikD0-cgAnB3daogjhpCtFXrOdEW2FdT1A9trAxzAWm10Hzi22gno_bZAkf0LcIonpT3HYWY5LLj8=w1200|https://lh3.googleusercontent.com/pw/AP1GczNOGOvb3CRS0iz6ThfBM1GoGFelfpXW6yrOPAfkgxGjPqMhR"&amp;"v_OO9AIAbcHob2ijFdDaaMdNMZFHmgjm03IIpYhHeQPYQqkMjpv6WCEQUsCcjmdO13d=w1200")</f>
        <v>https://lh3.googleusercontent.com/pw/AP1GczPWVG6uink32LG0e8RyEzGYeBhcga1jTwDev8WHdi4JBr35upxbt6KC1StOIp2mg5L7oVNMSQDnFhmwFpAQ553A1k8E7EWRGnFaDjfIQIGh7uhWC6kh=w1200|https://lh3.googleusercontent.com/pw/AP1GczN2aPVJSKlNzqxHrnumIRaJuLAOw-plNgsypBvM8giAKNYmGC_6SZUWqPP7NasiWoMiRTHU1itx9a2AaR7JobXHVZhH-K6oVGwv491VgJv3yHrj8Kqz=w1200|https://lh3.googleusercontent.com/pw/AP1GczMTgV8sHZQ01JPlug2NSIKakgHLjSE0ZM7MrPc2G5VYG9-YDfOsaohR_2VFOnjYM4YS2hRvnZ4FJPgyszpK3Wox6P14B9pkqvHFCq4R29x_jwJCeJEg=w1200|https://lh3.googleusercontent.com/pw/AP1GczMwSSvh97aMsxIMQtKbcHkI1inQMlAyEHwlO57Z-xIagHit8qa1Ui3Kh9EwROeOdmR6Csk7Y_t0HrcQ8aC2wJTZyGPrOiOLdb3xfBk8_iudKhjGzjRV=w1200|https://lh3.googleusercontent.com/pw/AP1GczP7U54S2-CZq_fLgGUvzVjDkqxBxrnM8aBgsPLR1MwM8YO0fTbalDSe8QntT2z7X91C5xjSAjlx2Plt-KL-RXSndD2p1bQ_hbpuj4QnebLs1AHUOlaT=w1200|https://lh3.googleusercontent.com/pw/AP1GczPamAoHw27HOG0z0Mf4reKeoNuiLKBaKR0ujuIgVGK6kgV7ZeqeXFGIzCtgSKVQrhAnR_YYZnjL2JPI5XSTCg0tnuQMKYRrhf04tfYV7ynXM3O9LGhr=w1200|https://lh3.googleusercontent.com/pw/AP1GczOQIQSNcJuU_gobIynuF6q2VOux32tkGrGitPQ_W3zuTnOB5MajsO-5wNRAZUPqZ2pHKWmgZOLugtBNi5P9djl0kZlAP0AVxnIz_vOwA8gKbFKOxOML=w1200|https://lh3.googleusercontent.com/pw/AP1GczOeU-3swoHcIOd3SeXBVKLWTpIKHWv6zafBk4_ZUdsUA__XcF-sL7rJ6v_1P9Pq20pE06JqtXSTGwNHYYr7jT3gqJ9GMb5qlVilBOPbt0dvMExAiXBv=w1200|https://lh3.googleusercontent.com/pw/AP1GczO2uGFBQJn_sd-dtbqLjmIp60rDSNz4O2Q0qr1Y7cQ4JDD6gXhLR8dnBkyQSMsUAW7b2Aeuu1aXWtY4Z84G_S7Hb1TPQG4fzwLqGSx61NbFo8KwS_hZ=w1200|https://lh3.googleusercontent.com/pw/AP1GczNK27HQ0WJTbIq5LnosrNT1eYe29vi8OpfxgaMmfTSiBhIJzBRUO658p5SJegEHhi01noCAdTm5oIQ6rkLoQ2gha7tSXFawZ7T1BKcj9xK2POnbnsy9=w1200|https://lh3.googleusercontent.com/pw/AP1GczPj-fQfmTfkNChERqEuFYUh4Gpj_Cnv8hk8pYl6N6e4VLOzB7no4hCPUvK31FkphpsAUFGlCqABPEZ2PQVB58ya61MFBbCVuVWFivqkVouiKClAxnuM=w1200|https://lh3.googleusercontent.com/pw/AP1GczNK9P-UceQ-tsO5i5BORYBV5L7_60MXDgUQkuG5iMgQ-mz-KovCOGUR5Rr3lFReG4iREbtPPxbk5Ah_zRwM2LbPk4yWqBCeY2s4EpHKAV3qeve3snt_=w1200|https://lh3.googleusercontent.com/pw/AP1GczPhEjF3o2DQDU1vw-1xMiuxbxAWOA7QbuWRUUtxWo1MsnE4EuHYS7pVUtlt_EtHbgWMwS6A3YuCYxQh6m2yRAnoJU-WSIgykn7ldkgUzQTWnG2cVYpV=w1200|https://lh3.googleusercontent.com/pw/AP1GczPbOTlLi95hUMyp2nNtp5FqFsvL9Hy7Py5LuGpTUkwoZ3NJAR-aMr_gHX5Z1t0FICr-2m8Rqco1Imx0_wjHWkHH-BE0Lm-CABd_w3Erc5FfCpSMJpOd=w1200|https://lh3.googleusercontent.com/pw/AP1GczOsfl-iNqcI9_qaeouS_YsXb8bvigVbDTNHJq4PikD0-cgAnB3daogjhpCtFXrOdEW2FdT1A9trAxzAWm10Hzi22gno_bZAkf0LcIonpT3HYWY5LLj8=w1200|https://lh3.googleusercontent.com/pw/AP1GczNOGOvb3CRS0iz6ThfBM1GoGFelfpXW6yrOPAfkgxGjPqMhRv_OO9AIAbcHob2ijFdDaaMdNMZFHmgjm03IIpYhHeQPYQqkMjpv6WCEQUsCcjmdO13d=w1200</v>
      </c>
      <c r="AJ176" s="46"/>
      <c r="AK176" s="46"/>
      <c r="AL176" s="46"/>
      <c r="AM176" s="46"/>
      <c r="AN176" s="46"/>
      <c r="AO176" s="46"/>
      <c r="AP176" s="46"/>
      <c r="AQ176" s="46"/>
      <c r="AR176" s="46"/>
      <c r="AS176" s="46"/>
      <c r="AT176" s="46"/>
      <c r="AU176" s="46"/>
      <c r="AV176" s="46"/>
      <c r="AW176" s="46"/>
      <c r="AX176" s="46"/>
      <c r="AY176" s="46"/>
      <c r="AZ176" s="46"/>
      <c r="BA176" s="46"/>
      <c r="BB176" s="46"/>
      <c r="BC176" s="46"/>
      <c r="BD176" s="46"/>
      <c r="BE176" s="46"/>
      <c r="BF176" s="46"/>
      <c r="BG176" s="46"/>
      <c r="BH176" s="46"/>
      <c r="BI176" s="46"/>
      <c r="BJ176" s="46"/>
      <c r="BK176" s="46"/>
      <c r="BL176" s="46"/>
      <c r="BM176" s="46"/>
      <c r="BN176" s="46"/>
      <c r="BO176" s="46"/>
      <c r="BP176" s="46"/>
      <c r="BQ176" s="46"/>
      <c r="BR176" s="46"/>
      <c r="BS176" s="46"/>
      <c r="BT176" s="46"/>
      <c r="BU176" s="46"/>
      <c r="BV176" s="46"/>
      <c r="BW176" s="46"/>
      <c r="BX176" s="46"/>
      <c r="BY176" s="46"/>
      <c r="BZ176" s="46"/>
      <c r="CA176" s="46"/>
      <c r="CB176" s="46"/>
      <c r="CC176" s="46"/>
    </row>
    <row r="177">
      <c r="A177" s="87" t="str">
        <f>IFERROR(__xludf.DUMMYFUNCTION("""COMPUTED_VALUE"""),"115")</f>
        <v>115</v>
      </c>
      <c r="B177" s="46" t="str">
        <f>IFERROR(__xludf.DUMMYFUNCTION("""COMPUTED_VALUE"""),"Casa en conjunto Los Rosales - Norte")</f>
        <v>Casa en conjunto Los Rosales - Norte</v>
      </c>
      <c r="C177" s="46" t="str">
        <f>IFERROR(__xludf.DUMMYFUNCTION("""COMPUTED_VALUE"""),"Casa en conjunto")</f>
        <v>Casa en conjunto</v>
      </c>
      <c r="D177" s="46" t="str">
        <f>IFERROR(__xludf.DUMMYFUNCTION("""COMPUTED_VALUE"""),"Tercer Milenio")</f>
        <v>Tercer Milenio</v>
      </c>
      <c r="E177" s="46" t="str">
        <f>IFERROR(__xludf.DUMMYFUNCTION("""COMPUTED_VALUE"""),"Los Rosales")</f>
        <v>Los Rosales</v>
      </c>
      <c r="F177" s="90">
        <f>IFERROR(__xludf.DUMMYFUNCTION("""COMPUTED_VALUE"""),3.57E8)</f>
        <v>357000000</v>
      </c>
      <c r="G177" s="46" t="str">
        <f>IFERROR(__xludf.DUMMYFUNCTION("""COMPUTED_VALUE"""),"$300'000.000 a $400'000.000")</f>
        <v>$300'000.000 a $400'000.000</v>
      </c>
      <c r="H177" s="46"/>
      <c r="I177" s="46"/>
      <c r="J177" s="46" t="str">
        <f>IFERROR(__xludf.DUMMYFUNCTION("""COMPUTED_VALUE"""),"Norte")</f>
        <v>Norte</v>
      </c>
      <c r="K177" s="87" t="str">
        <f>IFERROR(__xludf.DUMMYFUNCTION("""COMPUTED_VALUE"""),"6")</f>
        <v>6</v>
      </c>
      <c r="L177" s="46">
        <f>IFERROR(__xludf.DUMMYFUNCTION("""COMPUTED_VALUE"""),3.0)</f>
        <v>3</v>
      </c>
      <c r="M177" s="46"/>
      <c r="N177" s="46">
        <f>IFERROR(__xludf.DUMMYFUNCTION("""COMPUTED_VALUE"""),3.0)</f>
        <v>3</v>
      </c>
      <c r="O177" s="46">
        <f>IFERROR(__xludf.DUMMYFUNCTION("""COMPUTED_VALUE"""),1.0)</f>
        <v>1</v>
      </c>
      <c r="P177" s="46">
        <f>IFERROR(__xludf.DUMMYFUNCTION("""COMPUTED_VALUE"""),2.0)</f>
        <v>2</v>
      </c>
      <c r="Q177" s="92">
        <f>IFERROR(__xludf.DUMMYFUNCTION("""COMPUTED_VALUE"""),0.0)</f>
        <v>0</v>
      </c>
      <c r="R177" s="92">
        <f>IFERROR(__xludf.DUMMYFUNCTION("""COMPUTED_VALUE"""),90.0)</f>
        <v>90</v>
      </c>
      <c r="S177" s="87"/>
      <c r="T177" s="46" t="str">
        <f>IFERROR(__xludf.DUMMYFUNCTION("""COMPUTED_VALUE"""),"Neiva")</f>
        <v>Neiva</v>
      </c>
      <c r="U177" s="87" t="str">
        <f>IFERROR(__xludf.DUMMYFUNCTION("""COMPUTED_VALUE"""),"4")</f>
        <v>4</v>
      </c>
      <c r="V177" s="46" t="str">
        <f>IFERROR(__xludf.DUMMYFUNCTION("""COMPUTED_VALUE"""),"Esquinera")</f>
        <v>Esquinera</v>
      </c>
      <c r="W177" s="46"/>
      <c r="X177" s="46">
        <f>IFERROR(__xludf.DUMMYFUNCTION("""COMPUTED_VALUE"""),3.0)</f>
        <v>3</v>
      </c>
      <c r="Y177" s="46" t="str">
        <f>IFERROR(__xludf.DUMMYFUNCTION("""COMPUTED_VALUE"""),"Social")</f>
        <v>Social</v>
      </c>
      <c r="Z177" s="90">
        <f>IFERROR(__xludf.DUMMYFUNCTION("""COMPUTED_VALUE"""),360000.0)</f>
        <v>360000</v>
      </c>
      <c r="AA177" s="33" t="str">
        <f>IFERROR(__xludf.DUMMYFUNCTION("""COMPUTED_VALUE"""),"No aplica")</f>
        <v>No aplica</v>
      </c>
      <c r="AB177" s="96" t="str">
        <f>IFERROR(__xludf.DUMMYFUNCTION("""COMPUTED_VALUE"""),"https://photos.app.goo.gl/DKrxPqY99FULJxS18")</f>
        <v>https://photos.app.goo.gl/DKrxPqY99FULJxS18</v>
      </c>
      <c r="AC177" s="46" t="str">
        <f>IFERROR(__xludf.DUMMYFUNCTION("""COMPUTED_VALUE"""),"Se vende hermosa casa en Condominio Los Rosales ubicada a 400 mts del Centro Comercial Único y a 5 min. de CC S. Pedro y S. Juan Plaza. Consta de 3 alcobas, sala comedor, patio de ropas, cocina integral, 3 baños, garaje, minibodega, aires acond. inverter "&amp;"en 2 habitaciones, área de estudio, seguridad privada. El condominio consta de piscina, parqueaderos visitantes, gimnasio, salón de eventos, barbecue, cancha de micro, baloncesto, mesa de ping pong y 2 parques infantiles.")</f>
        <v>Se vende hermosa casa en Condominio Los Rosales ubicada a 400 mts del Centro Comercial Único y a 5 min. de CC S. Pedro y S. Juan Plaza. Consta de 3 alcobas, sala comedor, patio de ropas, cocina integral, 3 baños, garaje, minibodega, aires acond. inverter en 2 habitaciones, área de estudio, seguridad privada. El condominio consta de piscina, parqueaderos visitantes, gimnasio, salón de eventos, barbecue, cancha de micro, baloncesto, mesa de ping pong y 2 parques infantiles.</v>
      </c>
      <c r="AD177" s="46" t="str">
        <f>IFERROR(__xludf.DUMMYFUNCTION("""COMPUTED_VALUE"""),"Casa en conjunto al Norte de Neiva, cerca al c.c. Único.")</f>
        <v>Casa en conjunto al Norte de Neiva, cerca al c.c. Único.</v>
      </c>
      <c r="AE177" s="46"/>
      <c r="AF177" s="46" t="str">
        <f>IFERROR(__xludf.DUMMYFUNCTION("""COMPUTED_VALUE"""),"integral")</f>
        <v>integral</v>
      </c>
      <c r="AG177" s="46"/>
      <c r="AH177" s="46" t="str">
        <f>IFERROR(__xludf.DUMMYFUNCTION("""COMPUTED_VALUE"""),"Aliado")</f>
        <v>Aliado</v>
      </c>
      <c r="AI177" s="92" t="str">
        <f>IFERROR(__xludf.DUMMYFUNCTION("""COMPUTED_VALUE"""),"https://lh3.googleusercontent.com/pw/AP1GczMquKep0JuAEydT9lFVRY0Y8xEUZB9MRPr3puWKcu-5nSvdw1IVgFbT55AwMQugMk2xH1Knw8XZZkojucFhJtbsRwf2__z85dCIws4g685KMc6VfHi3=w1200|https://lh3.googleusercontent.com/pw/AP1GczMr3DoiLyV5Yeu4OroE3B-hMccd1e80dt8LTbs10uT-7Y_n0W"&amp;"K8CXEudUSGUI0nDmXHf6z97FQ45rnnErh8ViTkKbIZMXZVIDZm-QjF6RhtYvZc4FR-=w1200|https://lh3.googleusercontent.com/pw/AP1GczMfcQn4yrIinXNs-rC_2WzopG4UjvQmKI6qdphjaGj0JPIsi4SCRx2UmTuwT7bF_hwlid3cKT2Ea8ysPoV8zNBudkKJq9oEw8U-FIdY3M2hZAh9TjjR=w1200|https://lh3.google"&amp;"usercontent.com/pw/AP1GczOEM65er_P7Qt5NyEnWMbvN1xRZn_ynY3eLeOYQ25DBh8BENS6IkOXeLkMwqK0yGHbdJyJ2W-VLNXb0Kmbgvq5b2OMdHCqvC8-qBOesmQaO01GpgGrn=w1200|https://lh3.googleusercontent.com/pw/AP1GczNQbKoaHWdIRgvcs5o_Q8DAvS7V3Gn9SeL2gy7wVu-XgFiilgWZBz-5sQni5s8N4AxC"&amp;"ih0ffR6BgdDXymKjR1H7fScmj9r-Q3mshhvvWpHBTNEly9V3=w1200|https://lh3.googleusercontent.com/pw/AP1GczPfdnsYbIm7MV3XtQgB5alCVIF7Pz4jivrk_fVkPEamMOGwXZt6XKjDCgwz7Jd2g_RtkOEosaBX2vttizO6LVFxCDAA6Q6_hIIJscTyvI0uzqpd2OgY=w1200|https://lh3.googleusercontent.com/pw"&amp;"/AP1GczOdMNvqT689HD1dFybKRo4n61Cu7QkMic3S2ZOiOTkTeki6ssT2fArYEIBL0cscpGCNIfRgagfpKDOeIyCgG5WUUbZR2Tk-GpWKVqDNOOgJV2b1a5Aw=w1200|https://lh3.googleusercontent.com/pw/AP1GczP3kMOQVoeUALMHqE0VFpnwilNKVepJ0Y98Q11O8qQUv8bkQLWqXgfZ4X3QxZLRIb7acCODtmNxU82cGywHiX"&amp;"BYHkbqlElOypzwQNKW8g0wCSWGVuQq=w1200|https://lh3.googleusercontent.com/pw/AP1GczMcgope6j9e5Ca8skurIQ0sY_UlgP69fkpVDTn9vTBzrPqU6hUf0fGQ-O0c5TKokd42OMEewYIgykkCJ2JNdRMEOs9rXqn950fqKj3OnoxwUlatnCvt=w1200|https://lh3.googleusercontent.com/pw/AP1GczNmfZf9rkl4M"&amp;"SluiegUsdLblIMU-spy0lVmCrEEnY6y8T5SnPCDbfg8HF_v9RB-Q3RBgSxfnXVy8y0ATN5dFW25UJ2BiFL_PBqKzXfbK6vvLxdgeXKk=w1200|https://lh3.googleusercontent.com/pw/AP1GczPw-DG2sF29EYc5uBhu5pH2yAEVVhbN2sNkCodF5wu0vRqBcX24Enog27WOm4oXUpA-x3xI_qLBqt0Qw9vPTDtNvcpx2DqqvXzi-Uc8"&amp;"Z0wKCRbl8fzI=w1200|https://lh3.googleusercontent.com/pw/AP1GczMmJ_EgwvImhZFsQie6rYijWjXCYP3L3fJSAlKWvj8CiQIXNKpJwSbslLF8rYvPH0Cw_O32IxHYu3TUZwuunPAgxa3EfmfvP2UdqkBBlBSB5iEU_NzO=w1200|https://lh3.googleusercontent.com/pw/AP1GczNTTqBHm0zGGF0BkCLXiyREIjmghqi"&amp;"aGexvRSdyflEbe56uM0gv5283TkmxH3V63tk5p6VhXG2zD75v1UIng1Q1y1j7qJFL2y9HckUtisytsuHtwI-T=w1200|https://lh3.googleusercontent.com/pw/AP1GczOruh2DJUxv8Yv9WvB5ddmgfs5iUf7oT1GEiHe9HzPOhFxj4kARQ1tNPOaptJ-AsbJtnb4OLJxPlGX2Pvwt7G7-CbAtaYEw01J8eex6d1totCcVvGQ7=w1200"&amp;"|https://lh3.googleusercontent.com/pw/AP1GczMiRUhqBtmoRBKneRy6jIskuKoCsT3OdXPPlN1HScTNMjjewVy1_C2yGsX1bNfNvKyQfjRRAte_1aZuF90fSh97-X37XtnGR8g0VlwcivgFwjjmV21D=w1200|https://lh3.googleusercontent.com/pw/AP1GczNJ33zlRU9_VgkvFqcjZR0E0sYG4cdx8oO8TyC1utKy808u4"&amp;"VpfYnmGVrlLkHh-d4YLPBXrbLoMvwPQ3weZxd7j3S9uPssxWQ6FKt3963MFEt0MmJHo=w1200|https://lh3.googleusercontent.com/pw/AP1GczNlE0nlnY1n4hCrgua5BHdNmkrkKNYgoILw2sntaIx_huny_T1ia04m4sfWMfjm4DBzersxkaUqg22PmYF_GzGD-LLv9CS_zitutna_Qvfzoth7lvWC=w1200|https://lh3.googl"&amp;"eusercontent.com/pw/AP1GczPnsyiCAUYmYmImjwleQAkW4HE_WA9pZZOW4jxXDZSdr1Oz7RQwOYOdP3koAt_oP3lcFAo2K0LlK9doYE_MPYIr5eHQSw-p2MlYi3KwzL8eruH4aP2i=w1200|https://lh3.googleusercontent.com/pw/AP1GczNz-B1CDQWaWzA1930BG5YcJOZaHmTSExXW1t4qc96aZ24OVJTkF4Tgi864zsMrndx"&amp;"hh0s5uL26JilxevHoyHlbI2t62zm4lcioRNiKYBEGTiWTLEyr=w1200")</f>
        <v>https://lh3.googleusercontent.com/pw/AP1GczMquKep0JuAEydT9lFVRY0Y8xEUZB9MRPr3puWKcu-5nSvdw1IVgFbT55AwMQugMk2xH1Knw8XZZkojucFhJtbsRwf2__z85dCIws4g685KMc6VfHi3=w1200|https://lh3.googleusercontent.com/pw/AP1GczMr3DoiLyV5Yeu4OroE3B-hMccd1e80dt8LTbs10uT-7Y_n0WK8CXEudUSGUI0nDmXHf6z97FQ45rnnErh8ViTkKbIZMXZVIDZm-QjF6RhtYvZc4FR-=w1200|https://lh3.googleusercontent.com/pw/AP1GczMfcQn4yrIinXNs-rC_2WzopG4UjvQmKI6qdphjaGj0JPIsi4SCRx2UmTuwT7bF_hwlid3cKT2Ea8ysPoV8zNBudkKJq9oEw8U-FIdY3M2hZAh9TjjR=w1200|https://lh3.googleusercontent.com/pw/AP1GczOEM65er_P7Qt5NyEnWMbvN1xRZn_ynY3eLeOYQ25DBh8BENS6IkOXeLkMwqK0yGHbdJyJ2W-VLNXb0Kmbgvq5b2OMdHCqvC8-qBOesmQaO01GpgGrn=w1200|https://lh3.googleusercontent.com/pw/AP1GczNQbKoaHWdIRgvcs5o_Q8DAvS7V3Gn9SeL2gy7wVu-XgFiilgWZBz-5sQni5s8N4AxCih0ffR6BgdDXymKjR1H7fScmj9r-Q3mshhvvWpHBTNEly9V3=w1200|https://lh3.googleusercontent.com/pw/AP1GczPfdnsYbIm7MV3XtQgB5alCVIF7Pz4jivrk_fVkPEamMOGwXZt6XKjDCgwz7Jd2g_RtkOEosaBX2vttizO6LVFxCDAA6Q6_hIIJscTyvI0uzqpd2OgY=w1200|https://lh3.googleusercontent.com/pw/AP1GczOdMNvqT689HD1dFybKRo4n61Cu7QkMic3S2ZOiOTkTeki6ssT2fArYEIBL0cscpGCNIfRgagfpKDOeIyCgG5WUUbZR2Tk-GpWKVqDNOOgJV2b1a5Aw=w1200|https://lh3.googleusercontent.com/pw/AP1GczP3kMOQVoeUALMHqE0VFpnwilNKVepJ0Y98Q11O8qQUv8bkQLWqXgfZ4X3QxZLRIb7acCODtmNxU82cGywHiXBYHkbqlElOypzwQNKW8g0wCSWGVuQq=w1200|https://lh3.googleusercontent.com/pw/AP1GczMcgope6j9e5Ca8skurIQ0sY_UlgP69fkpVDTn9vTBzrPqU6hUf0fGQ-O0c5TKokd42OMEewYIgykkCJ2JNdRMEOs9rXqn950fqKj3OnoxwUlatnCvt=w1200|https://lh3.googleusercontent.com/pw/AP1GczNmfZf9rkl4MSluiegUsdLblIMU-spy0lVmCrEEnY6y8T5SnPCDbfg8HF_v9RB-Q3RBgSxfnXVy8y0ATN5dFW25UJ2BiFL_PBqKzXfbK6vvLxdgeXKk=w1200|https://lh3.googleusercontent.com/pw/AP1GczPw-DG2sF29EYc5uBhu5pH2yAEVVhbN2sNkCodF5wu0vRqBcX24Enog27WOm4oXUpA-x3xI_qLBqt0Qw9vPTDtNvcpx2DqqvXzi-Uc8Z0wKCRbl8fzI=w1200|https://lh3.googleusercontent.com/pw/AP1GczMmJ_EgwvImhZFsQie6rYijWjXCYP3L3fJSAlKWvj8CiQIXNKpJwSbslLF8rYvPH0Cw_O32IxHYu3TUZwuunPAgxa3EfmfvP2UdqkBBlBSB5iEU_NzO=w1200|https://lh3.googleusercontent.com/pw/AP1GczNTTqBHm0zGGF0BkCLXiyREIjmghqiaGexvRSdyflEbe56uM0gv5283TkmxH3V63tk5p6VhXG2zD75v1UIng1Q1y1j7qJFL2y9HckUtisytsuHtwI-T=w1200|https://lh3.googleusercontent.com/pw/AP1GczOruh2DJUxv8Yv9WvB5ddmgfs5iUf7oT1GEiHe9HzPOhFxj4kARQ1tNPOaptJ-AsbJtnb4OLJxPlGX2Pvwt7G7-CbAtaYEw01J8eex6d1totCcVvGQ7=w1200|https://lh3.googleusercontent.com/pw/AP1GczMiRUhqBtmoRBKneRy6jIskuKoCsT3OdXPPlN1HScTNMjjewVy1_C2yGsX1bNfNvKyQfjRRAte_1aZuF90fSh97-X37XtnGR8g0VlwcivgFwjjmV21D=w1200|https://lh3.googleusercontent.com/pw/AP1GczNJ33zlRU9_VgkvFqcjZR0E0sYG4cdx8oO8TyC1utKy808u4VpfYnmGVrlLkHh-d4YLPBXrbLoMvwPQ3weZxd7j3S9uPssxWQ6FKt3963MFEt0MmJHo=w1200|https://lh3.googleusercontent.com/pw/AP1GczNlE0nlnY1n4hCrgua5BHdNmkrkKNYgoILw2sntaIx_huny_T1ia04m4sfWMfjm4DBzersxkaUqg22PmYF_GzGD-LLv9CS_zitutna_Qvfzoth7lvWC=w1200|https://lh3.googleusercontent.com/pw/AP1GczPnsyiCAUYmYmImjwleQAkW4HE_WA9pZZOW4jxXDZSdr1Oz7RQwOYOdP3koAt_oP3lcFAo2K0LlK9doYE_MPYIr5eHQSw-p2MlYi3KwzL8eruH4aP2i=w1200|https://lh3.googleusercontent.com/pw/AP1GczNz-B1CDQWaWzA1930BG5YcJOZaHmTSExXW1t4qc96aZ24OVJTkF4Tgi864zsMrndxhh0s5uL26JilxevHoyHlbI2t62zm4lcioRNiKYBEGTiWTLEyr=w1200</v>
      </c>
      <c r="AJ177" s="46"/>
      <c r="AK177" s="46"/>
      <c r="AL177" s="46"/>
      <c r="AM177" s="46"/>
      <c r="AN177" s="46"/>
      <c r="AO177" s="46"/>
      <c r="AP177" s="46"/>
      <c r="AQ177" s="46"/>
      <c r="AR177" s="46"/>
      <c r="AS177" s="46"/>
      <c r="AT177" s="46"/>
      <c r="AU177" s="46"/>
      <c r="AV177" s="46"/>
      <c r="AW177" s="46"/>
      <c r="AX177" s="46"/>
      <c r="AY177" s="46"/>
      <c r="AZ177" s="46"/>
      <c r="BA177" s="46"/>
      <c r="BB177" s="46"/>
      <c r="BC177" s="46"/>
      <c r="BD177" s="46"/>
      <c r="BE177" s="46"/>
      <c r="BF177" s="46"/>
      <c r="BG177" s="46"/>
      <c r="BH177" s="46"/>
      <c r="BI177" s="46"/>
      <c r="BJ177" s="46"/>
      <c r="BK177" s="46"/>
      <c r="BL177" s="46"/>
      <c r="BM177" s="46"/>
      <c r="BN177" s="46"/>
      <c r="BO177" s="46"/>
      <c r="BP177" s="46"/>
      <c r="BQ177" s="46"/>
      <c r="BR177" s="46"/>
      <c r="BS177" s="46"/>
      <c r="BT177" s="46"/>
      <c r="BU177" s="46"/>
      <c r="BV177" s="46"/>
      <c r="BW177" s="46"/>
      <c r="BX177" s="46"/>
      <c r="BY177" s="46"/>
      <c r="BZ177" s="46"/>
      <c r="CA177" s="46"/>
      <c r="CB177" s="46"/>
      <c r="CC177" s="46"/>
    </row>
    <row r="178">
      <c r="A178" s="87" t="str">
        <f>IFERROR(__xludf.DUMMYFUNCTION("""COMPUTED_VALUE"""),"121")</f>
        <v>121</v>
      </c>
      <c r="B178" s="46" t="str">
        <f>IFERROR(__xludf.DUMMYFUNCTION("""COMPUTED_VALUE"""),"Casa con 2 apartamentos y un local en barrio El centro")</f>
        <v>Casa con 2 apartamentos y un local en barrio El centro</v>
      </c>
      <c r="C178" s="46" t="str">
        <f>IFERROR(__xludf.DUMMYFUNCTION("""COMPUTED_VALUE"""),"Casa rentable")</f>
        <v>Casa rentable</v>
      </c>
      <c r="D178" s="46" t="str">
        <f>IFERROR(__xludf.DUMMYFUNCTION("""COMPUTED_VALUE"""),"Centro")</f>
        <v>Centro</v>
      </c>
      <c r="E178" s="46"/>
      <c r="F178" s="90">
        <f>IFERROR(__xludf.DUMMYFUNCTION("""COMPUTED_VALUE"""),3.5E8)</f>
        <v>350000000</v>
      </c>
      <c r="G178" s="46" t="str">
        <f>IFERROR(__xludf.DUMMYFUNCTION("""COMPUTED_VALUE"""),"$300'000.000 a $400'000.000")</f>
        <v>$300'000.000 a $400'000.000</v>
      </c>
      <c r="H178" s="46"/>
      <c r="I178" s="46"/>
      <c r="J178" s="46" t="str">
        <f>IFERROR(__xludf.DUMMYFUNCTION("""COMPUTED_VALUE"""),"Centro")</f>
        <v>Centro</v>
      </c>
      <c r="K178" s="87" t="str">
        <f>IFERROR(__xludf.DUMMYFUNCTION("""COMPUTED_VALUE"""),"4")</f>
        <v>4</v>
      </c>
      <c r="L178" s="46">
        <f>IFERROR(__xludf.DUMMYFUNCTION("""COMPUTED_VALUE"""),6.0)</f>
        <v>6</v>
      </c>
      <c r="M178" s="46"/>
      <c r="N178" s="46">
        <f>IFERROR(__xludf.DUMMYFUNCTION("""COMPUTED_VALUE"""),3.0)</f>
        <v>3</v>
      </c>
      <c r="O178" s="46">
        <f>IFERROR(__xludf.DUMMYFUNCTION("""COMPUTED_VALUE"""),0.0)</f>
        <v>0</v>
      </c>
      <c r="P178" s="46">
        <f>IFERROR(__xludf.DUMMYFUNCTION("""COMPUTED_VALUE"""),2.0)</f>
        <v>2</v>
      </c>
      <c r="Q178" s="92">
        <f>IFERROR(__xludf.DUMMYFUNCTION("""COMPUTED_VALUE"""),0.0)</f>
        <v>0</v>
      </c>
      <c r="R178" s="92">
        <f>IFERROR(__xludf.DUMMYFUNCTION("""COMPUTED_VALUE"""),0.0)</f>
        <v>0</v>
      </c>
      <c r="S178" s="87" t="str">
        <f>IFERROR(__xludf.DUMMYFUNCTION("""COMPUTED_VALUE"""),"Rentabilidad $3,000,000")</f>
        <v>Rentabilidad $3,000,000</v>
      </c>
      <c r="T178" s="46" t="str">
        <f>IFERROR(__xludf.DUMMYFUNCTION("""COMPUTED_VALUE"""),"Neiva")</f>
        <v>Neiva</v>
      </c>
      <c r="U178" s="87" t="str">
        <f>IFERROR(__xludf.DUMMYFUNCTION("""COMPUTED_VALUE"""),"4")</f>
        <v>4</v>
      </c>
      <c r="V178" s="46" t="str">
        <f>IFERROR(__xludf.DUMMYFUNCTION("""COMPUTED_VALUE"""),"Medianera")</f>
        <v>Medianera</v>
      </c>
      <c r="W178" s="46"/>
      <c r="X178" s="46">
        <f>IFERROR(__xludf.DUMMYFUNCTION("""COMPUTED_VALUE"""),2.0)</f>
        <v>2</v>
      </c>
      <c r="Y178" s="46" t="str">
        <f>IFERROR(__xludf.DUMMYFUNCTION("""COMPUTED_VALUE"""),"No tiene")</f>
        <v>No tiene</v>
      </c>
      <c r="Z178" s="90" t="str">
        <f>IFERROR(__xludf.DUMMYFUNCTION("""COMPUTED_VALUE"""),"No aplica")</f>
        <v>No aplica</v>
      </c>
      <c r="AA178" s="33" t="str">
        <f>IFERROR(__xludf.DUMMYFUNCTION("""COMPUTED_VALUE"""),"10 años")</f>
        <v>10 años</v>
      </c>
      <c r="AB178" s="96" t="str">
        <f>IFERROR(__xludf.DUMMYFUNCTION("""COMPUTED_VALUE"""),"https://photos.app.goo.gl/1aNYHZQiN449kwTA9")</f>
        <v>https://photos.app.goo.gl/1aNYHZQiN449kwTA9</v>
      </c>
      <c r="AC178" s="46" t="str">
        <f>IFERROR(__xludf.DUMMYFUNCTION("""COMPUTED_VALUE"""),"Casa rentable  bien ubicada.")</f>
        <v>Casa rentable  bien ubicada.</v>
      </c>
      <c r="AD178" s="46" t="str">
        <f>IFERROR(__xludf.DUMMYFUNCTION("""COMPUTED_VALUE"""),"Buena distribución y acabados.")</f>
        <v>Buena distribución y acabados.</v>
      </c>
      <c r="AE178" s="46"/>
      <c r="AF178" s="46" t="str">
        <f>IFERROR(__xludf.DUMMYFUNCTION("""COMPUTED_VALUE"""),"básica")</f>
        <v>básica</v>
      </c>
      <c r="AG178" s="46"/>
      <c r="AH178" s="46" t="str">
        <f>IFERROR(__xludf.DUMMYFUNCTION("""COMPUTED_VALUE"""),"Aliado")</f>
        <v>Aliado</v>
      </c>
      <c r="AI178" s="92" t="str">
        <f>IFERROR(__xludf.DUMMYFUNCTION("""COMPUTED_VALUE"""),"https://lh3.googleusercontent.com/pw/AP1GczNzhu1QM7MA6WlMTy8mIM86zrb9KDU6JkeaUkGVAPXIRxz9ljIqnsJ12cjMXXzJdwCGV0LKzmr0i3TB1YOSaS10O__KcG4785aJJ6OQf3W-9-bE6MRB=w1200|https://lh3.googleusercontent.com/pw/AP1GczOFUzNi5gGeynYg30wwwDhoWBO5bmT_pvw20FmLTtf7bvIZnJ"&amp;"092fQ44vnQTMgCunik5s1jtZXco6rOyFKfgiJ-qJEAFwIXRChdY50pH6_Me4uvr7tm=w1200|https://lh3.googleusercontent.com/pw/AP1GczOWMx8iE0jJ0Cyw1cPW-bgWaDOFaCvv9n0_Nay9B7FgqTZRxYTkfsKWkIfpjIXvmD0Tcgsf4hbPVToWOKQejwvUJQOJBKYvFfCMA0utdCwbWmY9Bo5u=w1200|https://lh3.google"&amp;"usercontent.com/pw/AP1GczPkyoPZzcVy0DVXreliQ7GSYNpMY532NEYKpbhyHme5YEF6KRoKKGpw3qcPOCCAfBdAbmt09NQxwsL3U3m3r-jd70QUuJFuP_iJS_dpBCTy1sksm100=w1200|https://lh3.googleusercontent.com/pw/AP1GczOzanT329RMGVfBXCMAvzsDgqF0yg2btDKMWd4MUcnwe5Ht02XWvAuO1ZWR4YvXqBV9"&amp;"TijiMM34J18NKE1Zcaqd8qkeOGQtVxyvVIREx0oTdfo62wHC=w1200|https://lh3.googleusercontent.com/pw/AP1GczMldsNHLltG5-FUAtUq-hFfXkYdrbgx5RYnSTuogbe9fPZ5waEsKkUcguAcZkXScb6X4ObnhLAKxanWzwko-lTGetWqG0xADT9HqfyXm-I1jLfgGHz7=w1200|https://lh3.googleusercontent.com/pw"&amp;"/AP1GczNDYOYst7lMWqGcdoDMXKeiAzz_q3JvxXFaMCyV7lpRTJxTcQoIUmNbpKALC85f8LJj1y29KFr9VIHFpoKY5-it65JfbR_XLGL5L1asgMwmrpfLYXOR=w1200|https://lh3.googleusercontent.com/pw/AP1GczPAiQdLkVMBotEGmxJswRWoM18smxBG3WznVVHlmKHyDyH0TTLYOSkJew7BxV3DJCQiYUG-wTu2E3imQHsIta"&amp;"QpdApKI0Zd8WdW2z6K0KaKmbcvgzxM=w1200|https://lh3.googleusercontent.com/pw/AP1GczOVLc58P0L4BzMXdhJnHp1hYjzBRbY0dbycyIhFjz1du2VYQmd8aCyZNa_8kqFXU0NfZj3JsByrkQhyiroNijlqc6IEIJHNlYepD9zXhZYlC7U5Pxe3=w1200|https://lh3.googleusercontent.com/pw/AP1GczP7jQ1o4d8gv"&amp;"J3P18UBp88dQXSAIeFSXkNUG_8k6awUJbpOAFVVALnMDh4Si42rM9il6ChuObgsz4hOQgYCl3Iq1vp65nrA3PNlH6hN0WAqTNMo3ITz=w1200|https://lh3.googleusercontent.com/pw/AP1GczMFBBEkYPftTgFKVzw3LJCiT78vA3T1zZhDZPUHxrRGO-o60lBtAuH_eXwDKBJRcAxYkZ5QnGnnzPgMMl_-0wN7qfQK4q3hM0CQCIYn"&amp;"6s75vyJZtzRI=w1200")</f>
        <v>https://lh3.googleusercontent.com/pw/AP1GczNzhu1QM7MA6WlMTy8mIM86zrb9KDU6JkeaUkGVAPXIRxz9ljIqnsJ12cjMXXzJdwCGV0LKzmr0i3TB1YOSaS10O__KcG4785aJJ6OQf3W-9-bE6MRB=w1200|https://lh3.googleusercontent.com/pw/AP1GczOFUzNi5gGeynYg30wwwDhoWBO5bmT_pvw20FmLTtf7bvIZnJ092fQ44vnQTMgCunik5s1jtZXco6rOyFKfgiJ-qJEAFwIXRChdY50pH6_Me4uvr7tm=w1200|https://lh3.googleusercontent.com/pw/AP1GczOWMx8iE0jJ0Cyw1cPW-bgWaDOFaCvv9n0_Nay9B7FgqTZRxYTkfsKWkIfpjIXvmD0Tcgsf4hbPVToWOKQejwvUJQOJBKYvFfCMA0utdCwbWmY9Bo5u=w1200|https://lh3.googleusercontent.com/pw/AP1GczPkyoPZzcVy0DVXreliQ7GSYNpMY532NEYKpbhyHme5YEF6KRoKKGpw3qcPOCCAfBdAbmt09NQxwsL3U3m3r-jd70QUuJFuP_iJS_dpBCTy1sksm100=w1200|https://lh3.googleusercontent.com/pw/AP1GczOzanT329RMGVfBXCMAvzsDgqF0yg2btDKMWd4MUcnwe5Ht02XWvAuO1ZWR4YvXqBV9TijiMM34J18NKE1Zcaqd8qkeOGQtVxyvVIREx0oTdfo62wHC=w1200|https://lh3.googleusercontent.com/pw/AP1GczMldsNHLltG5-FUAtUq-hFfXkYdrbgx5RYnSTuogbe9fPZ5waEsKkUcguAcZkXScb6X4ObnhLAKxanWzwko-lTGetWqG0xADT9HqfyXm-I1jLfgGHz7=w1200|https://lh3.googleusercontent.com/pw/AP1GczNDYOYst7lMWqGcdoDMXKeiAzz_q3JvxXFaMCyV7lpRTJxTcQoIUmNbpKALC85f8LJj1y29KFr9VIHFpoKY5-it65JfbR_XLGL5L1asgMwmrpfLYXOR=w1200|https://lh3.googleusercontent.com/pw/AP1GczPAiQdLkVMBotEGmxJswRWoM18smxBG3WznVVHlmKHyDyH0TTLYOSkJew7BxV3DJCQiYUG-wTu2E3imQHsItaQpdApKI0Zd8WdW2z6K0KaKmbcvgzxM=w1200|https://lh3.googleusercontent.com/pw/AP1GczOVLc58P0L4BzMXdhJnHp1hYjzBRbY0dbycyIhFjz1du2VYQmd8aCyZNa_8kqFXU0NfZj3JsByrkQhyiroNijlqc6IEIJHNlYepD9zXhZYlC7U5Pxe3=w1200|https://lh3.googleusercontent.com/pw/AP1GczP7jQ1o4d8gvJ3P18UBp88dQXSAIeFSXkNUG_8k6awUJbpOAFVVALnMDh4Si42rM9il6ChuObgsz4hOQgYCl3Iq1vp65nrA3PNlH6hN0WAqTNMo3ITz=w1200|https://lh3.googleusercontent.com/pw/AP1GczMFBBEkYPftTgFKVzw3LJCiT78vA3T1zZhDZPUHxrRGO-o60lBtAuH_eXwDKBJRcAxYkZ5QnGnnzPgMMl_-0wN7qfQK4q3hM0CQCIYn6s75vyJZtzRI=w1200</v>
      </c>
      <c r="AJ178" s="46"/>
      <c r="AK178" s="46"/>
      <c r="AL178" s="46"/>
      <c r="AM178" s="46"/>
      <c r="AN178" s="46"/>
      <c r="AO178" s="46"/>
      <c r="AP178" s="46"/>
      <c r="AQ178" s="46"/>
      <c r="AR178" s="46"/>
      <c r="AS178" s="46"/>
      <c r="AT178" s="46"/>
      <c r="AU178" s="46"/>
      <c r="AV178" s="46"/>
      <c r="AW178" s="46"/>
      <c r="AX178" s="46"/>
      <c r="AY178" s="46"/>
      <c r="AZ178" s="46"/>
      <c r="BA178" s="46"/>
      <c r="BB178" s="46"/>
      <c r="BC178" s="46"/>
      <c r="BD178" s="46"/>
      <c r="BE178" s="46"/>
      <c r="BF178" s="46"/>
      <c r="BG178" s="46"/>
      <c r="BH178" s="46"/>
      <c r="BI178" s="46"/>
      <c r="BJ178" s="46"/>
      <c r="BK178" s="46"/>
      <c r="BL178" s="46"/>
      <c r="BM178" s="46"/>
      <c r="BN178" s="46"/>
      <c r="BO178" s="46"/>
      <c r="BP178" s="46"/>
      <c r="BQ178" s="46"/>
      <c r="BR178" s="46"/>
      <c r="BS178" s="46"/>
      <c r="BT178" s="46"/>
      <c r="BU178" s="46"/>
      <c r="BV178" s="46"/>
      <c r="BW178" s="46"/>
      <c r="BX178" s="46"/>
      <c r="BY178" s="46"/>
      <c r="BZ178" s="46"/>
      <c r="CA178" s="46"/>
      <c r="CB178" s="46"/>
      <c r="CC178" s="46"/>
    </row>
    <row r="179">
      <c r="A179" s="87" t="str">
        <f>IFERROR(__xludf.DUMMYFUNCTION("""COMPUTED_VALUE"""),"109")</f>
        <v>109</v>
      </c>
      <c r="B179" s="46" t="str">
        <f>IFERROR(__xludf.DUMMYFUNCTION("""COMPUTED_VALUE"""),"Lote en Zona Industrial - Primavera")</f>
        <v>Lote en Zona Industrial - Primavera</v>
      </c>
      <c r="C179" s="46" t="str">
        <f>IFERROR(__xludf.DUMMYFUNCTION("""COMPUTED_VALUE"""),"Lote")</f>
        <v>Lote</v>
      </c>
      <c r="D179" s="46"/>
      <c r="E179" s="46"/>
      <c r="F179" s="90">
        <f>IFERROR(__xludf.DUMMYFUNCTION("""COMPUTED_VALUE"""),2.2E8)</f>
        <v>220000000</v>
      </c>
      <c r="G179" s="46" t="str">
        <f>IFERROR(__xludf.DUMMYFUNCTION("""COMPUTED_VALUE"""),"$200'000.000 a $300'000.000")</f>
        <v>$200'000.000 a $300'000.000</v>
      </c>
      <c r="H179" s="46"/>
      <c r="I179" s="46"/>
      <c r="J179" s="46" t="str">
        <f>IFERROR(__xludf.DUMMYFUNCTION("""COMPUTED_VALUE"""),"Sur")</f>
        <v>Sur</v>
      </c>
      <c r="K179" s="87"/>
      <c r="L179" s="46">
        <f>IFERROR(__xludf.DUMMYFUNCTION("""COMPUTED_VALUE"""),0.0)</f>
        <v>0</v>
      </c>
      <c r="M179" s="46"/>
      <c r="N179" s="46">
        <f>IFERROR(__xludf.DUMMYFUNCTION("""COMPUTED_VALUE"""),0.0)</f>
        <v>0</v>
      </c>
      <c r="O179" s="46">
        <f>IFERROR(__xludf.DUMMYFUNCTION("""COMPUTED_VALUE"""),0.0)</f>
        <v>0</v>
      </c>
      <c r="P179" s="46">
        <f>IFERROR(__xludf.DUMMYFUNCTION("""COMPUTED_VALUE"""),0.0)</f>
        <v>0</v>
      </c>
      <c r="Q179" s="92">
        <f>IFERROR(__xludf.DUMMYFUNCTION("""COMPUTED_VALUE"""),0.0)</f>
        <v>0</v>
      </c>
      <c r="R179" s="92">
        <f>IFERROR(__xludf.DUMMYFUNCTION("""COMPUTED_VALUE"""),258.0)</f>
        <v>258</v>
      </c>
      <c r="S179" s="87"/>
      <c r="T179" s="46" t="str">
        <f>IFERROR(__xludf.DUMMYFUNCTION("""COMPUTED_VALUE"""),"Neiva")</f>
        <v>Neiva</v>
      </c>
      <c r="U179" s="87"/>
      <c r="V179" s="46" t="str">
        <f>IFERROR(__xludf.DUMMYFUNCTION("""COMPUTED_VALUE"""),"Medianera")</f>
        <v>Medianera</v>
      </c>
      <c r="W179" s="46"/>
      <c r="X179" s="46">
        <f>IFERROR(__xludf.DUMMYFUNCTION("""COMPUTED_VALUE"""),0.0)</f>
        <v>0</v>
      </c>
      <c r="Y179" s="46" t="str">
        <f>IFERROR(__xludf.DUMMYFUNCTION("""COMPUTED_VALUE"""),"No tiene")</f>
        <v>No tiene</v>
      </c>
      <c r="Z179" s="90"/>
      <c r="AA179" s="33" t="str">
        <f>IFERROR(__xludf.DUMMYFUNCTION("""COMPUTED_VALUE"""),"No aplica")</f>
        <v>No aplica</v>
      </c>
      <c r="AB179" s="96" t="str">
        <f>IFERROR(__xludf.DUMMYFUNCTION("""COMPUTED_VALUE"""),"https://photos.app.goo.gl/gbt4mSMkZRRjAaUb6")</f>
        <v>https://photos.app.goo.gl/gbt4mSMkZRRjAaUb6</v>
      </c>
      <c r="AC179" s="46" t="str">
        <f>IFERROR(__xludf.DUMMYFUNCTION("""COMPUTED_VALUE"""),"Lote en zona industrial bien ubicado.")</f>
        <v>Lote en zona industrial bien ubicado.</v>
      </c>
      <c r="AD179" s="46" t="str">
        <f>IFERROR(__xludf.DUMMYFUNCTION("""COMPUTED_VALUE"""),"Dimensión del lote: 12.0 ml x 21.50 ml. Area lote 258.0 m2.")</f>
        <v>Dimensión del lote: 12.0 ml x 21.50 ml. Area lote 258.0 m2.</v>
      </c>
      <c r="AE179" s="46"/>
      <c r="AF179" s="46">
        <f>IFERROR(__xludf.DUMMYFUNCTION("""COMPUTED_VALUE"""),0.0)</f>
        <v>0</v>
      </c>
      <c r="AG179" s="46"/>
      <c r="AH179" s="46" t="str">
        <f>IFERROR(__xludf.DUMMYFUNCTION("""COMPUTED_VALUE"""),"Aliado")</f>
        <v>Aliado</v>
      </c>
      <c r="AI179" s="92" t="str">
        <f>IFERROR(__xludf.DUMMYFUNCTION("""COMPUTED_VALUE"""),"https://lh3.googleusercontent.com/pw/AP1GczNJdtgnaF2sxhbhWl0XYgCygDQ82wdma3qKZfHD5Vc-byXsxdz3pkVv2gfZYxtuuMNYVaWpjZjiD_NqKyuhBe4DmYq5S5aMHF5hkfLE0hGeSY4lHOZ-=w1200|https://lh3.googleusercontent.com/pw/AP1GczPqwe3k_PUDHhxDh711O3eh4tdnOvk13BduLrNPlq8Yi0eBjb"&amp;"3IZ0xdbVMqCxSU5q-_zb9hfJVyCrTICN2o1X9mk7P5uMTLidXphV1ikwiei3Bb6Rl-=w1200|https://lh3.googleusercontent.com/pw/AP1GczO40T-JzcUna1xVRRg-KyNcpo-d7vLAc4R4PJcvop0TBpLm2jvE8-aRFIh4KyHCHVJih5p7E59yRHQENeHubBecYBJPqjgeOHaDekGSL2f6cucxul4h=w1200|https://lh3.google"&amp;"usercontent.com/pw/AP1GczM0M7f2moQTyQklbwpwuNM44ABKDHqluSZBh5K1mu2Ibp-do6Rsv0K1ajMVXSUOJiKZygDp-e6oaB3No82mVZfGl3D00gkaHeOd_YoKddfF7tGlkblN=w1200|https://lh3.googleusercontent.com/pw/AP1GczM67gF602Oul9HwUKBdBLDnB67_GJN0OaW1HD_-duUEKhs_Ogv7-B1baXda2qVLSbH2"&amp;"HamjRg-wp1-b6fASMnq3aMfwDf8q0p90nEQQz2-4Afs3v6-O=w1200")</f>
        <v>https://lh3.googleusercontent.com/pw/AP1GczNJdtgnaF2sxhbhWl0XYgCygDQ82wdma3qKZfHD5Vc-byXsxdz3pkVv2gfZYxtuuMNYVaWpjZjiD_NqKyuhBe4DmYq5S5aMHF5hkfLE0hGeSY4lHOZ-=w1200|https://lh3.googleusercontent.com/pw/AP1GczPqwe3k_PUDHhxDh711O3eh4tdnOvk13BduLrNPlq8Yi0eBjb3IZ0xdbVMqCxSU5q-_zb9hfJVyCrTICN2o1X9mk7P5uMTLidXphV1ikwiei3Bb6Rl-=w1200|https://lh3.googleusercontent.com/pw/AP1GczO40T-JzcUna1xVRRg-KyNcpo-d7vLAc4R4PJcvop0TBpLm2jvE8-aRFIh4KyHCHVJih5p7E59yRHQENeHubBecYBJPqjgeOHaDekGSL2f6cucxul4h=w1200|https://lh3.googleusercontent.com/pw/AP1GczM0M7f2moQTyQklbwpwuNM44ABKDHqluSZBh5K1mu2Ibp-do6Rsv0K1ajMVXSUOJiKZygDp-e6oaB3No82mVZfGl3D00gkaHeOd_YoKddfF7tGlkblN=w1200|https://lh3.googleusercontent.com/pw/AP1GczM67gF602Oul9HwUKBdBLDnB67_GJN0OaW1HD_-duUEKhs_Ogv7-B1baXda2qVLSbH2HamjRg-wp1-b6fASMnq3aMfwDf8q0p90nEQQz2-4Afs3v6-O=w1200</v>
      </c>
      <c r="AJ179" s="46"/>
      <c r="AK179" s="46"/>
      <c r="AL179" s="46"/>
      <c r="AM179" s="46"/>
      <c r="AN179" s="46"/>
      <c r="AO179" s="46"/>
      <c r="AP179" s="46"/>
      <c r="AQ179" s="46"/>
      <c r="AR179" s="46"/>
      <c r="AS179" s="46"/>
      <c r="AT179" s="46"/>
      <c r="AU179" s="46"/>
      <c r="AV179" s="46"/>
      <c r="AW179" s="46"/>
      <c r="AX179" s="46"/>
      <c r="AY179" s="46"/>
      <c r="AZ179" s="46"/>
      <c r="BA179" s="46"/>
      <c r="BB179" s="46"/>
      <c r="BC179" s="46"/>
      <c r="BD179" s="46"/>
      <c r="BE179" s="46"/>
      <c r="BF179" s="46"/>
      <c r="BG179" s="46"/>
      <c r="BH179" s="46"/>
      <c r="BI179" s="46"/>
      <c r="BJ179" s="46"/>
      <c r="BK179" s="46"/>
      <c r="BL179" s="46"/>
      <c r="BM179" s="46"/>
      <c r="BN179" s="46"/>
      <c r="BO179" s="46"/>
      <c r="BP179" s="46"/>
      <c r="BQ179" s="46"/>
      <c r="BR179" s="46"/>
      <c r="BS179" s="46"/>
      <c r="BT179" s="46"/>
      <c r="BU179" s="46"/>
      <c r="BV179" s="46"/>
      <c r="BW179" s="46"/>
      <c r="BX179" s="46"/>
      <c r="BY179" s="46"/>
      <c r="BZ179" s="46"/>
      <c r="CA179" s="46"/>
      <c r="CB179" s="46"/>
      <c r="CC179" s="46"/>
    </row>
    <row r="180">
      <c r="A180" s="87" t="str">
        <f>IFERROR(__xludf.DUMMYFUNCTION("""COMPUTED_VALUE"""),"106")</f>
        <v>106</v>
      </c>
      <c r="B180" s="46" t="str">
        <f>IFERROR(__xludf.DUMMYFUNCTION("""COMPUTED_VALUE"""),"Casa en barrio Los Andaquies")</f>
        <v>Casa en barrio Los Andaquies</v>
      </c>
      <c r="C180" s="46" t="str">
        <f>IFERROR(__xludf.DUMMYFUNCTION("""COMPUTED_VALUE"""),"Casa")</f>
        <v>Casa</v>
      </c>
      <c r="D180" s="46" t="str">
        <f>IFERROR(__xludf.DUMMYFUNCTION("""COMPUTED_VALUE"""),"Los Andaquies")</f>
        <v>Los Andaquies</v>
      </c>
      <c r="E180" s="46"/>
      <c r="F180" s="90">
        <f>IFERROR(__xludf.DUMMYFUNCTION("""COMPUTED_VALUE"""),2.1E8)</f>
        <v>210000000</v>
      </c>
      <c r="G180" s="46" t="str">
        <f>IFERROR(__xludf.DUMMYFUNCTION("""COMPUTED_VALUE"""),"$200'000.000 a $300'000.000")</f>
        <v>$200'000.000 a $300'000.000</v>
      </c>
      <c r="H180" s="46"/>
      <c r="I180" s="46"/>
      <c r="J180" s="46" t="str">
        <f>IFERROR(__xludf.DUMMYFUNCTION("""COMPUTED_VALUE"""),"Norte")</f>
        <v>Norte</v>
      </c>
      <c r="K180" s="87" t="str">
        <f>IFERROR(__xludf.DUMMYFUNCTION("""COMPUTED_VALUE"""),"1")</f>
        <v>1</v>
      </c>
      <c r="L180" s="46">
        <f>IFERROR(__xludf.DUMMYFUNCTION("""COMPUTED_VALUE"""),3.0)</f>
        <v>3</v>
      </c>
      <c r="M180" s="46"/>
      <c r="N180" s="46">
        <f>IFERROR(__xludf.DUMMYFUNCTION("""COMPUTED_VALUE"""),2.0)</f>
        <v>2</v>
      </c>
      <c r="O180" s="46">
        <f>IFERROR(__xludf.DUMMYFUNCTION("""COMPUTED_VALUE"""),1.0)</f>
        <v>1</v>
      </c>
      <c r="P180" s="46">
        <f>IFERROR(__xludf.DUMMYFUNCTION("""COMPUTED_VALUE"""),2.0)</f>
        <v>2</v>
      </c>
      <c r="Q180" s="92">
        <f>IFERROR(__xludf.DUMMYFUNCTION("""COMPUTED_VALUE"""),0.0)</f>
        <v>0</v>
      </c>
      <c r="R180" s="92">
        <f>IFERROR(__xludf.DUMMYFUNCTION("""COMPUTED_VALUE"""),72.0)</f>
        <v>72</v>
      </c>
      <c r="S180" s="87"/>
      <c r="T180" s="46" t="str">
        <f>IFERROR(__xludf.DUMMYFUNCTION("""COMPUTED_VALUE"""),"Neiva")</f>
        <v>Neiva</v>
      </c>
      <c r="U180" s="87" t="str">
        <f>IFERROR(__xludf.DUMMYFUNCTION("""COMPUTED_VALUE"""),"3")</f>
        <v>3</v>
      </c>
      <c r="V180" s="46" t="str">
        <f>IFERROR(__xludf.DUMMYFUNCTION("""COMPUTED_VALUE"""),"Medianera")</f>
        <v>Medianera</v>
      </c>
      <c r="W180" s="46"/>
      <c r="X180" s="46">
        <f>IFERROR(__xludf.DUMMYFUNCTION("""COMPUTED_VALUE"""),0.0)</f>
        <v>0</v>
      </c>
      <c r="Y180" s="46" t="str">
        <f>IFERROR(__xludf.DUMMYFUNCTION("""COMPUTED_VALUE"""),"No tiene")</f>
        <v>No tiene</v>
      </c>
      <c r="Z180" s="90" t="str">
        <f>IFERROR(__xludf.DUMMYFUNCTION("""COMPUTED_VALUE"""),"No aplica")</f>
        <v>No aplica</v>
      </c>
      <c r="AA180" s="33" t="str">
        <f>IFERROR(__xludf.DUMMYFUNCTION("""COMPUTED_VALUE"""),"No aplica")</f>
        <v>No aplica</v>
      </c>
      <c r="AB180" s="96" t="str">
        <f>IFERROR(__xludf.DUMMYFUNCTION("""COMPUTED_VALUE"""),"https://photos.app.goo.gl/FWdaZfZxGVZv41UV7")</f>
        <v>https://photos.app.goo.gl/FWdaZfZxGVZv41UV7</v>
      </c>
      <c r="AC180" s="46" t="str">
        <f>IFERROR(__xludf.DUMMYFUNCTION("""COMPUTED_VALUE"""),"Predio en el barrio los Andaquies, casa Primer Piso: sala - comedor,cocina, habitacion de ropas, patio, baño social,garage. Segundo Piso: Tres (3) habitaciones, un (1) baño. Area lote: 72M2")</f>
        <v>Predio en el barrio los Andaquies, casa Primer Piso: sala - comedor,cocina, habitacion de ropas, patio, baño social,garage. Segundo Piso: Tres (3) habitaciones, un (1) baño. Area lote: 72M2</v>
      </c>
      <c r="AD180" s="46"/>
      <c r="AE180" s="46"/>
      <c r="AF180" s="46" t="str">
        <f>IFERROR(__xludf.DUMMYFUNCTION("""COMPUTED_VALUE"""),"básica")</f>
        <v>básica</v>
      </c>
      <c r="AG180" s="46"/>
      <c r="AH180" s="46" t="str">
        <f>IFERROR(__xludf.DUMMYFUNCTION("""COMPUTED_VALUE"""),"Aliado")</f>
        <v>Aliado</v>
      </c>
      <c r="AI180" s="92" t="str">
        <f>IFERROR(__xludf.DUMMYFUNCTION("""COMPUTED_VALUE"""),"https://lh3.googleusercontent.com/pw/AP1GczP7ztZTAfvdn0bBAL2si5TA5QyBHr7Wb4xY8CxOH_P-Kl6Vp46qx5hi39vpzFk6BOK52vM259te5mtFHgx53ZZWi1KoRxnbln4mvQ6H64XifVahudqp=w1200|https://lh3.googleusercontent.com/pw/AP1GczO3geXES1o3p7Wb4qKXD-BnWIHjGYGGoLG2GFdXojwu4lb3uZ"&amp;"PYRYdg_gXt4U5lCJxJBVK4rrHdoijmxEo_SlCsvSD7rz6I2IT2H2Y7TzJuXCQzriNo=w1200|https://lh3.googleusercontent.com/pw/AP1GczM4NSojZFqB8XG-xBQfQBJA94Mki9rR4Vjmao6S9k6dXP-2TP2Jo6uNN9IkcLSXCUAsjx8jB8ttIL5fnJ4TB-Dq4BTmM6wN2SRt1V1zCL96hEJRUWCw=w1200|https://lh3.google"&amp;"usercontent.com/pw/AP1GczPgQXGLTfQe36pXh1YNsNciDBXDAoV6U2wppzcyLo1CWw_opXH_GLCQcm5uqrYN5oWr8teAufBIZEyhNZGJjnfg-gjszdUn8l6MY8zktqtkppUudzkt=w1200|https://lh3.googleusercontent.com/pw/AP1GczOpv-XxPoDhFuqTK9YlBrKlpGlAGUSxoOMOr0BGP2-riXxSWNcFGfmXy0_xQmBBv859"&amp;"cWrIciuV5IKiiKf3fpk1jAF2O7DfyfyLRTWJlTELEjUp8nMn=w1200|https://lh3.googleusercontent.com/pw/AP1GczO39yJ8Jwp2RDPD7ul4Kw7NqOZrtWVQoVTYLDXjQ6p27ld4ETDzWBuYNP5pS6eCUJ5GxrXXzFqx4uKbb7i_AnfuqeJrOBbwn6c7O_0iOnoLCebLQJi_=w1200|https://lh3.googleusercontent.com/pw"&amp;"/AP1GczPmB0EI5Ja4DP6nd06yRLJr0awWfxg77Q3coMQHWeumU_x-x2-bV3RTBlTDurc7egkop18Jmy-xrRCNnKBsfD1pkb97Gj-r0uqhRYyparnkJ2GCQNhW=w1200|https://lh3.googleusercontent.com/pw/AP1GczNnlyn1UsFqyHT72QrklssrwEwPPv_zjnCfCBtDnVwS55sEDq6xZx9WVuYkAsXtZB_dbFjeCIMBRhtPv5gVq_"&amp;"aAZOKnWYBSFdZYbBHrZV97EPzWO5tW=w1200|https://lh3.googleusercontent.com/pw/AP1GczNalljoR87VUPV7CjPJlFtKHeZOUvunTSUUIo0QxIDGoLsUkfC9FgmPqN7A4OkGbSDLjH6ea3TdtYLMQ-jU6HtHR8sTQoMWjVzyFOfuJOGlmBa16Xaj=w1200|https://lh3.googleusercontent.com/pw/AP1GczOXoZ_b07kyc"&amp;"KNrMk9s-OM8jIkbdhCyAFftpdIdruyNE6IQYRnyjCU7Ka-gkXk1r8K1BgIWMKYGWB-z6tzkQU3CtrUtcl9jf0UCRT7JQvou-GQoqOpO=w1200|https://lh3.googleusercontent.com/pw/AP1GczNEVVzb8XCRTBPMNsrHXBXmU2kF2zHoIszdvkrQR_KoWAzV2ej3-F2iuKjCJ_jzsBDWYJTf5qwdzr-PHBt3uDZkiqo-WMUDhyJtlZ1M"&amp;"BaDolm-kjJ7R=w1200|https://lh3.googleusercontent.com/pw/AP1GczOUz3HJcxKgfg5pw5bwD4Lf0ElBxDiqCjusK-fbZjWMDpS5osYZj9ZzFe8AbZ--TDUi7o-9B0k3AyLNrSH8-xoQm3z5EIL_Il8IptTbYu_hjDe0gcxJ=w1200|https://lh3.googleusercontent.com/pw/AP1GczNsAxENfFvHtulO6_dpN-AqPuD_oxA"&amp;"BsMNMWBAzag7fvwo-_FWjMFUG7WFuNtxuzukWboWX3GiZRZrx72dOdGuo4oh3Uy6S8Zjzwi3EKE3_5bllPyTP=w1200")</f>
        <v>https://lh3.googleusercontent.com/pw/AP1GczP7ztZTAfvdn0bBAL2si5TA5QyBHr7Wb4xY8CxOH_P-Kl6Vp46qx5hi39vpzFk6BOK52vM259te5mtFHgx53ZZWi1KoRxnbln4mvQ6H64XifVahudqp=w1200|https://lh3.googleusercontent.com/pw/AP1GczO3geXES1o3p7Wb4qKXD-BnWIHjGYGGoLG2GFdXojwu4lb3uZPYRYdg_gXt4U5lCJxJBVK4rrHdoijmxEo_SlCsvSD7rz6I2IT2H2Y7TzJuXCQzriNo=w1200|https://lh3.googleusercontent.com/pw/AP1GczM4NSojZFqB8XG-xBQfQBJA94Mki9rR4Vjmao6S9k6dXP-2TP2Jo6uNN9IkcLSXCUAsjx8jB8ttIL5fnJ4TB-Dq4BTmM6wN2SRt1V1zCL96hEJRUWCw=w1200|https://lh3.googleusercontent.com/pw/AP1GczPgQXGLTfQe36pXh1YNsNciDBXDAoV6U2wppzcyLo1CWw_opXH_GLCQcm5uqrYN5oWr8teAufBIZEyhNZGJjnfg-gjszdUn8l6MY8zktqtkppUudzkt=w1200|https://lh3.googleusercontent.com/pw/AP1GczOpv-XxPoDhFuqTK9YlBrKlpGlAGUSxoOMOr0BGP2-riXxSWNcFGfmXy0_xQmBBv859cWrIciuV5IKiiKf3fpk1jAF2O7DfyfyLRTWJlTELEjUp8nMn=w1200|https://lh3.googleusercontent.com/pw/AP1GczO39yJ8Jwp2RDPD7ul4Kw7NqOZrtWVQoVTYLDXjQ6p27ld4ETDzWBuYNP5pS6eCUJ5GxrXXzFqx4uKbb7i_AnfuqeJrOBbwn6c7O_0iOnoLCebLQJi_=w1200|https://lh3.googleusercontent.com/pw/AP1GczPmB0EI5Ja4DP6nd06yRLJr0awWfxg77Q3coMQHWeumU_x-x2-bV3RTBlTDurc7egkop18Jmy-xrRCNnKBsfD1pkb97Gj-r0uqhRYyparnkJ2GCQNhW=w1200|https://lh3.googleusercontent.com/pw/AP1GczNnlyn1UsFqyHT72QrklssrwEwPPv_zjnCfCBtDnVwS55sEDq6xZx9WVuYkAsXtZB_dbFjeCIMBRhtPv5gVq_aAZOKnWYBSFdZYbBHrZV97EPzWO5tW=w1200|https://lh3.googleusercontent.com/pw/AP1GczNalljoR87VUPV7CjPJlFtKHeZOUvunTSUUIo0QxIDGoLsUkfC9FgmPqN7A4OkGbSDLjH6ea3TdtYLMQ-jU6HtHR8sTQoMWjVzyFOfuJOGlmBa16Xaj=w1200|https://lh3.googleusercontent.com/pw/AP1GczOXoZ_b07kycKNrMk9s-OM8jIkbdhCyAFftpdIdruyNE6IQYRnyjCU7Ka-gkXk1r8K1BgIWMKYGWB-z6tzkQU3CtrUtcl9jf0UCRT7JQvou-GQoqOpO=w1200|https://lh3.googleusercontent.com/pw/AP1GczNEVVzb8XCRTBPMNsrHXBXmU2kF2zHoIszdvkrQR_KoWAzV2ej3-F2iuKjCJ_jzsBDWYJTf5qwdzr-PHBt3uDZkiqo-WMUDhyJtlZ1MBaDolm-kjJ7R=w1200|https://lh3.googleusercontent.com/pw/AP1GczOUz3HJcxKgfg5pw5bwD4Lf0ElBxDiqCjusK-fbZjWMDpS5osYZj9ZzFe8AbZ--TDUi7o-9B0k3AyLNrSH8-xoQm3z5EIL_Il8IptTbYu_hjDe0gcxJ=w1200|https://lh3.googleusercontent.com/pw/AP1GczNsAxENfFvHtulO6_dpN-AqPuD_oxABsMNMWBAzag7fvwo-_FWjMFUG7WFuNtxuzukWboWX3GiZRZrx72dOdGuo4oh3Uy6S8Zjzwi3EKE3_5bllPyTP=w1200</v>
      </c>
      <c r="AJ180" s="46"/>
      <c r="AK180" s="46"/>
      <c r="AL180" s="46"/>
      <c r="AM180" s="46"/>
      <c r="AN180" s="46"/>
      <c r="AO180" s="46"/>
      <c r="AP180" s="46"/>
      <c r="AQ180" s="46"/>
      <c r="AR180" s="46"/>
      <c r="AS180" s="46"/>
      <c r="AT180" s="46"/>
      <c r="AU180" s="46"/>
      <c r="AV180" s="46"/>
      <c r="AW180" s="46"/>
      <c r="AX180" s="46"/>
      <c r="AY180" s="46"/>
      <c r="AZ180" s="46"/>
      <c r="BA180" s="46"/>
      <c r="BB180" s="46"/>
      <c r="BC180" s="46"/>
      <c r="BD180" s="46"/>
      <c r="BE180" s="46"/>
      <c r="BF180" s="46"/>
      <c r="BG180" s="46"/>
      <c r="BH180" s="46"/>
      <c r="BI180" s="46"/>
      <c r="BJ180" s="46"/>
      <c r="BK180" s="46"/>
      <c r="BL180" s="46"/>
      <c r="BM180" s="46"/>
      <c r="BN180" s="46"/>
      <c r="BO180" s="46"/>
      <c r="BP180" s="46"/>
      <c r="BQ180" s="46"/>
      <c r="BR180" s="46"/>
      <c r="BS180" s="46"/>
      <c r="BT180" s="46"/>
      <c r="BU180" s="46"/>
      <c r="BV180" s="46"/>
      <c r="BW180" s="46"/>
      <c r="BX180" s="46"/>
      <c r="BY180" s="46"/>
      <c r="BZ180" s="46"/>
      <c r="CA180" s="46"/>
      <c r="CB180" s="46"/>
      <c r="CC180" s="46"/>
    </row>
    <row r="181">
      <c r="A181" s="87" t="str">
        <f>IFERROR(__xludf.DUMMYFUNCTION("""COMPUTED_VALUE"""),"118")</f>
        <v>118</v>
      </c>
      <c r="B181" s="46" t="str">
        <f>IFERROR(__xludf.DUMMYFUNCTION("""COMPUTED_VALUE"""),"Lote en conjunto Campestre Novaterra - Vía amborco - Sur")</f>
        <v>Lote en conjunto Campestre Novaterra - Vía amborco - Sur</v>
      </c>
      <c r="C181" s="46" t="str">
        <f>IFERROR(__xludf.DUMMYFUNCTION("""COMPUTED_VALUE"""),"Lote en conjunto")</f>
        <v>Lote en conjunto</v>
      </c>
      <c r="D181" s="46" t="str">
        <f>IFERROR(__xludf.DUMMYFUNCTION("""COMPUTED_VALUE"""),"Amborco")</f>
        <v>Amborco</v>
      </c>
      <c r="E181" s="46" t="str">
        <f>IFERROR(__xludf.DUMMYFUNCTION("""COMPUTED_VALUE"""),"Conjunto Campestre Novaterra")</f>
        <v>Conjunto Campestre Novaterra</v>
      </c>
      <c r="F181" s="90">
        <f>IFERROR(__xludf.DUMMYFUNCTION("""COMPUTED_VALUE"""),1.2E8)</f>
        <v>120000000</v>
      </c>
      <c r="G181" s="46" t="str">
        <f>IFERROR(__xludf.DUMMYFUNCTION("""COMPUTED_VALUE"""),"$100'000.000 a $200'000.000")</f>
        <v>$100'000.000 a $200'000.000</v>
      </c>
      <c r="H181" s="46"/>
      <c r="I181" s="46"/>
      <c r="J181" s="46" t="str">
        <f>IFERROR(__xludf.DUMMYFUNCTION("""COMPUTED_VALUE"""),"Sur")</f>
        <v>Sur</v>
      </c>
      <c r="K181" s="87"/>
      <c r="L181" s="46">
        <f>IFERROR(__xludf.DUMMYFUNCTION("""COMPUTED_VALUE"""),0.0)</f>
        <v>0</v>
      </c>
      <c r="M181" s="46"/>
      <c r="N181" s="46">
        <f>IFERROR(__xludf.DUMMYFUNCTION("""COMPUTED_VALUE"""),0.0)</f>
        <v>0</v>
      </c>
      <c r="O181" s="46">
        <f>IFERROR(__xludf.DUMMYFUNCTION("""COMPUTED_VALUE"""),0.0)</f>
        <v>0</v>
      </c>
      <c r="P181" s="46">
        <f>IFERROR(__xludf.DUMMYFUNCTION("""COMPUTED_VALUE"""),0.0)</f>
        <v>0</v>
      </c>
      <c r="Q181" s="92">
        <f>IFERROR(__xludf.DUMMYFUNCTION("""COMPUTED_VALUE"""),0.0)</f>
        <v>0</v>
      </c>
      <c r="R181" s="92">
        <f>IFERROR(__xludf.DUMMYFUNCTION("""COMPUTED_VALUE"""),1010.0)</f>
        <v>1010</v>
      </c>
      <c r="S181" s="87" t="str">
        <f>IFERROR(__xludf.DUMMYFUNCTION("""COMPUTED_VALUE""")," ")</f>
        <v> </v>
      </c>
      <c r="T181" s="46" t="str">
        <f>IFERROR(__xludf.DUMMYFUNCTION("""COMPUTED_VALUE"""),"Neiva")</f>
        <v>Neiva</v>
      </c>
      <c r="U181" s="87"/>
      <c r="V181" s="46" t="str">
        <f>IFERROR(__xludf.DUMMYFUNCTION("""COMPUTED_VALUE"""),"Medianera")</f>
        <v>Medianera</v>
      </c>
      <c r="W181" s="46"/>
      <c r="X181" s="46">
        <f>IFERROR(__xludf.DUMMYFUNCTION("""COMPUTED_VALUE"""),0.0)</f>
        <v>0</v>
      </c>
      <c r="Y181" s="46" t="str">
        <f>IFERROR(__xludf.DUMMYFUNCTION("""COMPUTED_VALUE"""),"Social")</f>
        <v>Social</v>
      </c>
      <c r="Z181" s="90"/>
      <c r="AA181" s="33" t="str">
        <f>IFERROR(__xludf.DUMMYFUNCTION("""COMPUTED_VALUE"""),"No aplica")</f>
        <v>No aplica</v>
      </c>
      <c r="AB181" s="96" t="str">
        <f>IFERROR(__xludf.DUMMYFUNCTION("""COMPUTED_VALUE"""),"https://photos.app.goo.gl/AG4jqsBz5dor6voW8")</f>
        <v>https://photos.app.goo.gl/AG4jqsBz5dor6voW8</v>
      </c>
      <c r="AC181" s="46" t="str">
        <f>IFERROR(__xludf.DUMMYFUNCTION("""COMPUTED_VALUE"""),"lote campestre  con un área: 1.010 m2 y 1.060 m2, cada uno $120 mlls. Con servicio de energía, agua y alcantarillado, cuenta con arboles frutales. Ubicación: Condominio Campestre Novaterra, vía al balneario amborco.")</f>
        <v>lote campestre  con un área: 1.010 m2 y 1.060 m2, cada uno $120 mlls. Con servicio de energía, agua y alcantarillado, cuenta con arboles frutales. Ubicación: Condominio Campestre Novaterra, vía al balneario amborco.</v>
      </c>
      <c r="AD181" s="46" t="str">
        <f>IFERROR(__xludf.DUMMYFUNCTION("""COMPUTED_VALUE"""),"Excelente ubicación y Amplios.")</f>
        <v>Excelente ubicación y Amplios.</v>
      </c>
      <c r="AE181" s="46"/>
      <c r="AF181" s="46">
        <f>IFERROR(__xludf.DUMMYFUNCTION("""COMPUTED_VALUE"""),0.0)</f>
        <v>0</v>
      </c>
      <c r="AG181" s="46"/>
      <c r="AH181" s="46" t="str">
        <f>IFERROR(__xludf.DUMMYFUNCTION("""COMPUTED_VALUE"""),"Aliado")</f>
        <v>Aliado</v>
      </c>
      <c r="AI181" s="92" t="str">
        <f>IFERROR(__xludf.DUMMYFUNCTION("""COMPUTED_VALUE"""),"https://lh3.googleusercontent.com/pw/AP1GczPlVRkaJKjIIBwZsmkhnAY9ixfX-ytTabtw8pDRuy5QqQH0Fseg9yupweFM8f6ZeilFVUVZyU24xMDENOG2AnAIXOAG_f7ukMZphAax5nmrFzPGj8On=w1200|https://lh3.googleusercontent.com/pw/AP1GczMoc19tRJIE4XrEAV6gO90k_e3ZfNyGD71xZVoTcczxEDLd8u"&amp;"inTwqjWVydgHmxp3Sp1inht6hSi5Gi8hEDEkzIL_J4BwqLuUIuT4fQIoEM_pgFuQ9w=w1200|https://lh3.googleusercontent.com/pw/AP1GczOScriM4e07BnvO40HB4i4Ds4RQarAyeqee4BpqCecOCc7xFFDCZsk7MFCU0SJ9PVSWbw0bgMGlCOLFh9U9VQ0BMTgjK0MreBQ5orMGxGF2ZIMcTl2t=w1200|https://lh3.google"&amp;"usercontent.com/pw/AP1GczPQMKxjealIFI1jGioo4hokN2PRJR9z5H22UlXcukMR38rPiLkb8E0YphXs0N0gV9W0wBJtWJDYBYULT4CDpDJALPL5TruwqBUX7IXB0oVwVkcec9Eq=w1200|https://lh3.googleusercontent.com/pw/AP1GczMVe0GnyKL096n5Ob-gICAhUOx0qfF_5HoGNamCxnocoufMQS78mt0VID5lYsewrGNs"&amp;"ZLNVhaoR8FYJmy_Wb2Zbd_P8a7Rz1vpDrCvhsaF5LIiV-jSh=w1200|https://lh3.googleusercontent.com/pw/AP1GczN-n_bP0HGowjAjD4MS02Eicm4WaqULz7rQp-OOiJvi7OCrrLppRmjk1QEIKfl5ZPSHPGuhUxtq0ca7KrgJARbh_B4-EnvncLOFn1x8nYT9RGDfMWnd=w1200|https://lh3.googleusercontent.com/pw"&amp;"/AP1GczNAI45h-MZdW7pygGd8jhyglE_XP0CG4GXQc1J95TZ4SkJfIHBCTZyzb2sVEnS3XJFytKiu6tTemRNF_cqzD6LjxEvRB82badpRyAzoAirv5qaz_CsH=w1200|https://lh3.googleusercontent.com/pw/AP1GczNuCJCYcAMfxyjXc9_-nvDJU2G6atXX28XTf9E3LEqteocmSvSDzqn8IBFtUdNGFQkHb-ryN4xGg5aOysOEcq"&amp;"BZc2y2aJkqwmWdF9YxMw_j_18fJxkz=w1200|https://lh3.googleusercontent.com/pw/AP1GczM2pZMNRDVVf2a5rzDFYamji3eRw5hCKMx4eV8WT_yIrerb2HxXw9TN6r0RVB1Y2MxfEV2gOKCGVQGY9UvjHfTwjxvDAXTGXQ5Pglqb3WRM54LOQp-_=w1200")</f>
        <v>https://lh3.googleusercontent.com/pw/AP1GczPlVRkaJKjIIBwZsmkhnAY9ixfX-ytTabtw8pDRuy5QqQH0Fseg9yupweFM8f6ZeilFVUVZyU24xMDENOG2AnAIXOAG_f7ukMZphAax5nmrFzPGj8On=w1200|https://lh3.googleusercontent.com/pw/AP1GczMoc19tRJIE4XrEAV6gO90k_e3ZfNyGD71xZVoTcczxEDLd8uinTwqjWVydgHmxp3Sp1inht6hSi5Gi8hEDEkzIL_J4BwqLuUIuT4fQIoEM_pgFuQ9w=w1200|https://lh3.googleusercontent.com/pw/AP1GczOScriM4e07BnvO40HB4i4Ds4RQarAyeqee4BpqCecOCc7xFFDCZsk7MFCU0SJ9PVSWbw0bgMGlCOLFh9U9VQ0BMTgjK0MreBQ5orMGxGF2ZIMcTl2t=w1200|https://lh3.googleusercontent.com/pw/AP1GczPQMKxjealIFI1jGioo4hokN2PRJR9z5H22UlXcukMR38rPiLkb8E0YphXs0N0gV9W0wBJtWJDYBYULT4CDpDJALPL5TruwqBUX7IXB0oVwVkcec9Eq=w1200|https://lh3.googleusercontent.com/pw/AP1GczMVe0GnyKL096n5Ob-gICAhUOx0qfF_5HoGNamCxnocoufMQS78mt0VID5lYsewrGNsZLNVhaoR8FYJmy_Wb2Zbd_P8a7Rz1vpDrCvhsaF5LIiV-jSh=w1200|https://lh3.googleusercontent.com/pw/AP1GczN-n_bP0HGowjAjD4MS02Eicm4WaqULz7rQp-OOiJvi7OCrrLppRmjk1QEIKfl5ZPSHPGuhUxtq0ca7KrgJARbh_B4-EnvncLOFn1x8nYT9RGDfMWnd=w1200|https://lh3.googleusercontent.com/pw/AP1GczNAI45h-MZdW7pygGd8jhyglE_XP0CG4GXQc1J95TZ4SkJfIHBCTZyzb2sVEnS3XJFytKiu6tTemRNF_cqzD6LjxEvRB82badpRyAzoAirv5qaz_CsH=w1200|https://lh3.googleusercontent.com/pw/AP1GczNuCJCYcAMfxyjXc9_-nvDJU2G6atXX28XTf9E3LEqteocmSvSDzqn8IBFtUdNGFQkHb-ryN4xGg5aOysOEcqBZc2y2aJkqwmWdF9YxMw_j_18fJxkz=w1200|https://lh3.googleusercontent.com/pw/AP1GczM2pZMNRDVVf2a5rzDFYamji3eRw5hCKMx4eV8WT_yIrerb2HxXw9TN6r0RVB1Y2MxfEV2gOKCGVQGY9UvjHfTwjxvDAXTGXQ5Pglqb3WRM54LOQp-_=w1200</v>
      </c>
      <c r="AJ181" s="46"/>
      <c r="AK181" s="46"/>
      <c r="AL181" s="46"/>
      <c r="AM181" s="46"/>
      <c r="AN181" s="46"/>
      <c r="AO181" s="46"/>
      <c r="AP181" s="46"/>
      <c r="AQ181" s="46"/>
      <c r="AR181" s="46"/>
      <c r="AS181" s="46"/>
      <c r="AT181" s="46"/>
      <c r="AU181" s="46"/>
      <c r="AV181" s="46"/>
      <c r="AW181" s="46"/>
      <c r="AX181" s="46"/>
      <c r="AY181" s="46"/>
      <c r="AZ181" s="46"/>
      <c r="BA181" s="46"/>
      <c r="BB181" s="46"/>
      <c r="BC181" s="46"/>
      <c r="BD181" s="46"/>
      <c r="BE181" s="46"/>
      <c r="BF181" s="46"/>
      <c r="BG181" s="46"/>
      <c r="BH181" s="46"/>
      <c r="BI181" s="46"/>
      <c r="BJ181" s="46"/>
      <c r="BK181" s="46"/>
      <c r="BL181" s="46"/>
      <c r="BM181" s="46"/>
      <c r="BN181" s="46"/>
      <c r="BO181" s="46"/>
      <c r="BP181" s="46"/>
      <c r="BQ181" s="46"/>
      <c r="BR181" s="46"/>
      <c r="BS181" s="46"/>
      <c r="BT181" s="46"/>
      <c r="BU181" s="46"/>
      <c r="BV181" s="46"/>
      <c r="BW181" s="46"/>
      <c r="BX181" s="46"/>
      <c r="BY181" s="46"/>
      <c r="BZ181" s="46"/>
      <c r="CA181" s="46"/>
      <c r="CB181" s="46"/>
      <c r="CC181" s="46"/>
    </row>
    <row r="182">
      <c r="A182" s="87" t="str">
        <f>IFERROR(__xludf.DUMMYFUNCTION("""COMPUTED_VALUE"""),"736")</f>
        <v>736</v>
      </c>
      <c r="B182" s="46" t="str">
        <f>IFERROR(__xludf.DUMMYFUNCTION("""COMPUTED_VALUE"""),"Apartamento en Conjunto Torres de San Telmo - Sur")</f>
        <v>Apartamento en Conjunto Torres de San Telmo - Sur</v>
      </c>
      <c r="C182" s="46" t="str">
        <f>IFERROR(__xludf.DUMMYFUNCTION("""COMPUTED_VALUE"""),"Apartamento en conjunto")</f>
        <v>Apartamento en conjunto</v>
      </c>
      <c r="D182" s="46"/>
      <c r="E182" s="90" t="str">
        <f>IFERROR(__xludf.DUMMYFUNCTION("""COMPUTED_VALUE"""),"Conjunto Torres de San Telmo")</f>
        <v>Conjunto Torres de San Telmo</v>
      </c>
      <c r="F182" s="90">
        <f>IFERROR(__xludf.DUMMYFUNCTION("""COMPUTED_VALUE"""),1.8E8)</f>
        <v>180000000</v>
      </c>
      <c r="G182" s="46" t="str">
        <f>IFERROR(__xludf.DUMMYFUNCTION("""COMPUTED_VALUE"""),"$100'000.000 a $200'000.000")</f>
        <v>$100'000.000 a $200'000.000</v>
      </c>
      <c r="H182" s="46"/>
      <c r="I182" s="46"/>
      <c r="J182" s="46" t="str">
        <f>IFERROR(__xludf.DUMMYFUNCTION("""COMPUTED_VALUE"""),"Sur")</f>
        <v>Sur</v>
      </c>
      <c r="K182" s="87"/>
      <c r="L182" s="46">
        <f>IFERROR(__xludf.DUMMYFUNCTION("""COMPUTED_VALUE"""),3.0)</f>
        <v>3</v>
      </c>
      <c r="M182" s="46"/>
      <c r="N182" s="46">
        <f>IFERROR(__xludf.DUMMYFUNCTION("""COMPUTED_VALUE"""),2.0)</f>
        <v>2</v>
      </c>
      <c r="O182" s="46">
        <f>IFERROR(__xludf.DUMMYFUNCTION("""COMPUTED_VALUE"""),1.0)</f>
        <v>1</v>
      </c>
      <c r="P182" s="46">
        <f>IFERROR(__xludf.DUMMYFUNCTION("""COMPUTED_VALUE"""),2.0)</f>
        <v>2</v>
      </c>
      <c r="Q182" s="92">
        <f>IFERROR(__xludf.DUMMYFUNCTION("""COMPUTED_VALUE"""),55.5)</f>
        <v>55.5</v>
      </c>
      <c r="R182" s="92">
        <f>IFERROR(__xludf.DUMMYFUNCTION("""COMPUTED_VALUE"""),55.5)</f>
        <v>55.5</v>
      </c>
      <c r="S182" s="87" t="str">
        <f>IFERROR(__xludf.DUMMYFUNCTION("""COMPUTED_VALUE""")," ")</f>
        <v> </v>
      </c>
      <c r="T182" s="46" t="str">
        <f>IFERROR(__xludf.DUMMYFUNCTION("""COMPUTED_VALUE"""),"Neiva")</f>
        <v>Neiva</v>
      </c>
      <c r="U182" s="87" t="str">
        <f>IFERROR(__xludf.DUMMYFUNCTION("""COMPUTED_VALUE"""),"3")</f>
        <v>3</v>
      </c>
      <c r="V182" s="46" t="str">
        <f>IFERROR(__xludf.DUMMYFUNCTION("""COMPUTED_VALUE"""),"2do.")</f>
        <v>2do.</v>
      </c>
      <c r="W182" s="46"/>
      <c r="X182" s="46">
        <f>IFERROR(__xludf.DUMMYFUNCTION("""COMPUTED_VALUE"""),3.0)</f>
        <v>3</v>
      </c>
      <c r="Y182" s="46" t="str">
        <f>IFERROR(__xludf.DUMMYFUNCTION("""COMPUTED_VALUE"""),"Social")</f>
        <v>Social</v>
      </c>
      <c r="Z182" s="90">
        <f>IFERROR(__xludf.DUMMYFUNCTION("""COMPUTED_VALUE"""),210000.0)</f>
        <v>210000</v>
      </c>
      <c r="AA182" s="33" t="str">
        <f>IFERROR(__xludf.DUMMYFUNCTION("""COMPUTED_VALUE"""),"No aplica")</f>
        <v>No aplica</v>
      </c>
      <c r="AB182" s="96" t="str">
        <f>IFERROR(__xludf.DUMMYFUNCTION("""COMPUTED_VALUE"""),"https://photos.app.goo.gl/SuQbu7Hcd4Nxhod29")</f>
        <v>https://photos.app.goo.gl/SuQbu7Hcd4Nxhod29</v>
      </c>
      <c r="AC182" s="46" t="str">
        <f>IFERROR(__xludf.DUMMYFUNCTION("""COMPUTED_VALUE"""),"Este funcional apartamento de 55 m² en el segundo piso del Conjunto San Telmo destaca por su distribución inteligente y excelente iluminación natural. Cuenta con una amplia sala conectada a un balcón privado, comedor acogedor, cocina integral moderna y zo"&amp;"na de lavandería independiente. El área privada ofrece tres habitaciones con clóset, destacando la principal con su propio baño privado y un segundo balcón independiente, además de un baño auxiliar completo con ducha para total comodidad.")</f>
        <v>Este funcional apartamento de 55 m² en el segundo piso del Conjunto San Telmo destaca por su distribución inteligente y excelente iluminación natural. Cuenta con una amplia sala conectada a un balcón privado, comedor acogedor, cocina integral moderna y zona de lavandería independiente. El área privada ofrece tres habitaciones con clóset, destacando la principal con su propio baño privado y un segundo balcón independiente, además de un baño auxiliar completo con ducha para total comodidad.</v>
      </c>
      <c r="AD182" s="46" t="str">
        <f>IFERROR(__xludf.DUMMYFUNCTION("""COMPUTED_VALUE"""),"Ubicado en la zona sur de Neiva, este inmueble representa una oportunidad perfecta de vivienda o inversión en un sector con la más alta proyección de valorización de la ciudad. El conjunto residencial ofrece un estilo de vida tipo club con vigilancia 24/7"&amp;", piscinas para adultos y niños, parque infantil, zona BBQ y tres salones sociales. Su diseño con doble balcón y su ubicación estratégica lo convierten en la opción ideal para quienes buscan estatus, seguridad y confort inmediato. Parqueadero Comunitario.")</f>
        <v>Ubicado en la zona sur de Neiva, este inmueble representa una oportunidad perfecta de vivienda o inversión en un sector con la más alta proyección de valorización de la ciudad. El conjunto residencial ofrece un estilo de vida tipo club con vigilancia 24/7, piscinas para adultos y niños, parque infantil, zona BBQ y tres salones sociales. Su diseño con doble balcón y su ubicación estratégica lo convierten en la opción ideal para quienes buscan estatus, seguridad y confort inmediato. Parqueadero Comunitario.</v>
      </c>
      <c r="AE182" s="46"/>
      <c r="AF182" s="46" t="str">
        <f>IFERROR(__xludf.DUMMYFUNCTION("""COMPUTED_VALUE"""),"integral")</f>
        <v>integral</v>
      </c>
      <c r="AG182" s="46"/>
      <c r="AH182" s="46" t="str">
        <f>IFERROR(__xludf.DUMMYFUNCTION("""COMPUTED_VALUE"""),"Aliado")</f>
        <v>Aliado</v>
      </c>
      <c r="AI182" s="92" t="str">
        <f>IFERROR(__xludf.DUMMYFUNCTION("""COMPUTED_VALUE"""),"https://lh3.googleusercontent.com/pw/AP1GczO-SR66wfVTxnLSi11DcMXO2ivvO1ZuVJmTNUV1YM0lBpr4fq2EE6c8SRaOKMcYPJWTNc8Gf_b1fa4COHoOmh4J6uimn7FvZbgfxj6B-AxxD_V6E8py=w1200|https://lh3.googleusercontent.com/pw/AP1GczP8iw0L0je4bCr0V6qpsj9fk-Kv51ZWP3CvQCotDx6hdLqqnp"&amp;"5xNLr8-X2qRiliMpPkSHpFW0MHbYec1DDppW3MNcqqpU-BalJgbRCLA8aRiBGSpmKG=w1200|https://lh3.googleusercontent.com/pw/AP1GczNsfQq3Zqe4SFb6_Ily6KkF7ipOa5WCldmitq-bg309x7xeLepXnlpL8TFA1ELyoZrz8kyImXykVQPk3iprEokcwu5oJX2FfV4I3fSUkYCHmo1umYVK=w1200|https://lh3.google"&amp;"usercontent.com/pw/AP1GczNFvUfE12uAHRH-iWMOxaOWuMwr_ArrukRrIn3W0PtoVVZa-Z4MgWVxehM-jTET00al5eRjKVqWueY1zhQWuJteY3hH1mv7iRIcVqNcxQE6RAh-yoLP=w1200|https://lh3.googleusercontent.com/pw/AP1GczN2Jd08mAJCXxONLHjd-XCV9WzsFhwG855IwbMzMrCNXT-lTyqAlK8nzLxCfwWuXMsx"&amp;"KfmLZP1qhRFQajT5latMJ7VzAWH4ryROgs_dE8_XFqm0yHeg=w1200|https://lh3.googleusercontent.com/pw/AP1GczPfiBNqTO-2XhK0jCT-x6sLAAQyLh0I4YFNVgrJNSpeil27pUM-00K7bVtqbpOpWAnEtp6JPmvdfptBvBIuqP_ee2UrAsg2pJpY30Y-wBzw_4ApHdg5=w1200|https://lh3.googleusercontent.com/pw"&amp;"/AP1GczMUabTpGRt1wNc1OLM20awrWPXdqifX3ou4C-cc_1cnihu-FckMVUYUeyelPXbj6IOs-fH8VMPLmWwxP8LGK5Cdh5Oqa8Nhp0k6asbDWyoDHgLo51JM=w1200|https://lh3.googleusercontent.com/pw/AP1GczNIkvJHaDQIyIpw5SJHURmBXxCPV_ReiNeveoyNRDEZhznNvxRGdhhueEV9Fh_yqQQxqw7HWFUSXkfcsN49O4"&amp;"F1tO3c277m1tOKMjiwALWfX38J4fZN=w1200|https://lh3.googleusercontent.com/pw/AP1GczN-DOfKDM6dFV6matFAaGXwjtZewP-AV3dhHP2cE50dig709D1fsHu8b1_n6i6Tk_aF-8rLr3iXnNhlybgAw-CRrBOfI1sfmOQpU0GaB4iwvxWFLZ_P=w1200|https://lh3.googleusercontent.com/pw/AP1GczP5BrsIZ9wDa"&amp;"vNq-9dSBIsMkKOl3nc5nrkDJpWKNcvqI40WvU9n2lpJ7vxvPuU9-LfmNVBmnKq978stgsjIFyhIXJ-LFAte652oPCBye3DIgXnrwNvm=w1200|https://lh3.googleusercontent.com/pw/AP1GczOvFHwBdAzlSWGteOeVA-vD7nWJxlPgMJlrIXokU-0zpg02BVwCzfEUmLeAqzv5GPvJJGOwFCtIgrR70sO1kjbKaUvVSK9cqf4u8rcR"&amp;"JWnPuMopv4fw=w1200|https://lh3.googleusercontent.com/pw/AP1GczO7_gVVxz9e_OZYvtXT6zObUi-af6vZBXtqZcP29QP7sVv9aRB2qgRGb-3PElIkHm69iMWybtVef3FwFIpea9NFABUcJQJ5mA4p2rrasUMLGfgDlLzi=w1200")</f>
        <v>https://lh3.googleusercontent.com/pw/AP1GczO-SR66wfVTxnLSi11DcMXO2ivvO1ZuVJmTNUV1YM0lBpr4fq2EE6c8SRaOKMcYPJWTNc8Gf_b1fa4COHoOmh4J6uimn7FvZbgfxj6B-AxxD_V6E8py=w1200|https://lh3.googleusercontent.com/pw/AP1GczP8iw0L0je4bCr0V6qpsj9fk-Kv51ZWP3CvQCotDx6hdLqqnp5xNLr8-X2qRiliMpPkSHpFW0MHbYec1DDppW3MNcqqpU-BalJgbRCLA8aRiBGSpmKG=w1200|https://lh3.googleusercontent.com/pw/AP1GczNsfQq3Zqe4SFb6_Ily6KkF7ipOa5WCldmitq-bg309x7xeLepXnlpL8TFA1ELyoZrz8kyImXykVQPk3iprEokcwu5oJX2FfV4I3fSUkYCHmo1umYVK=w1200|https://lh3.googleusercontent.com/pw/AP1GczNFvUfE12uAHRH-iWMOxaOWuMwr_ArrukRrIn3W0PtoVVZa-Z4MgWVxehM-jTET00al5eRjKVqWueY1zhQWuJteY3hH1mv7iRIcVqNcxQE6RAh-yoLP=w1200|https://lh3.googleusercontent.com/pw/AP1GczN2Jd08mAJCXxONLHjd-XCV9WzsFhwG855IwbMzMrCNXT-lTyqAlK8nzLxCfwWuXMsxKfmLZP1qhRFQajT5latMJ7VzAWH4ryROgs_dE8_XFqm0yHeg=w1200|https://lh3.googleusercontent.com/pw/AP1GczPfiBNqTO-2XhK0jCT-x6sLAAQyLh0I4YFNVgrJNSpeil27pUM-00K7bVtqbpOpWAnEtp6JPmvdfptBvBIuqP_ee2UrAsg2pJpY30Y-wBzw_4ApHdg5=w1200|https://lh3.googleusercontent.com/pw/AP1GczMUabTpGRt1wNc1OLM20awrWPXdqifX3ou4C-cc_1cnihu-FckMVUYUeyelPXbj6IOs-fH8VMPLmWwxP8LGK5Cdh5Oqa8Nhp0k6asbDWyoDHgLo51JM=w1200|https://lh3.googleusercontent.com/pw/AP1GczNIkvJHaDQIyIpw5SJHURmBXxCPV_ReiNeveoyNRDEZhznNvxRGdhhueEV9Fh_yqQQxqw7HWFUSXkfcsN49O4F1tO3c277m1tOKMjiwALWfX38J4fZN=w1200|https://lh3.googleusercontent.com/pw/AP1GczN-DOfKDM6dFV6matFAaGXwjtZewP-AV3dhHP2cE50dig709D1fsHu8b1_n6i6Tk_aF-8rLr3iXnNhlybgAw-CRrBOfI1sfmOQpU0GaB4iwvxWFLZ_P=w1200|https://lh3.googleusercontent.com/pw/AP1GczP5BrsIZ9wDavNq-9dSBIsMkKOl3nc5nrkDJpWKNcvqI40WvU9n2lpJ7vxvPuU9-LfmNVBmnKq978stgsjIFyhIXJ-LFAte652oPCBye3DIgXnrwNvm=w1200|https://lh3.googleusercontent.com/pw/AP1GczOvFHwBdAzlSWGteOeVA-vD7nWJxlPgMJlrIXokU-0zpg02BVwCzfEUmLeAqzv5GPvJJGOwFCtIgrR70sO1kjbKaUvVSK9cqf4u8rcRJWnPuMopv4fw=w1200|https://lh3.googleusercontent.com/pw/AP1GczO7_gVVxz9e_OZYvtXT6zObUi-af6vZBXtqZcP29QP7sVv9aRB2qgRGb-3PElIkHm69iMWybtVef3FwFIpea9NFABUcJQJ5mA4p2rrasUMLGfgDlLzi=w1200</v>
      </c>
      <c r="AJ182" s="46"/>
      <c r="AK182" s="46"/>
      <c r="AL182" s="46"/>
      <c r="AM182" s="46"/>
      <c r="AN182" s="46"/>
      <c r="AO182" s="46"/>
      <c r="AP182" s="46"/>
      <c r="AQ182" s="46"/>
      <c r="AR182" s="46"/>
      <c r="AS182" s="46"/>
      <c r="AT182" s="46"/>
      <c r="AU182" s="46"/>
      <c r="AV182" s="46"/>
      <c r="AW182" s="46"/>
      <c r="AX182" s="46"/>
      <c r="AY182" s="46"/>
      <c r="AZ182" s="46"/>
      <c r="BA182" s="46"/>
      <c r="BB182" s="46"/>
      <c r="BC182" s="46"/>
      <c r="BD182" s="46"/>
      <c r="BE182" s="46"/>
      <c r="BF182" s="46"/>
      <c r="BG182" s="46"/>
      <c r="BH182" s="46"/>
      <c r="BI182" s="46"/>
      <c r="BJ182" s="46"/>
      <c r="BK182" s="46"/>
      <c r="BL182" s="46"/>
      <c r="BM182" s="46"/>
      <c r="BN182" s="46"/>
      <c r="BO182" s="46"/>
      <c r="BP182" s="46"/>
      <c r="BQ182" s="46"/>
      <c r="BR182" s="46"/>
      <c r="BS182" s="46"/>
      <c r="BT182" s="46"/>
      <c r="BU182" s="46"/>
      <c r="BV182" s="46"/>
      <c r="BW182" s="46"/>
      <c r="BX182" s="46"/>
      <c r="BY182" s="46"/>
      <c r="BZ182" s="46"/>
      <c r="CA182" s="46"/>
      <c r="CB182" s="46"/>
      <c r="CC182" s="46"/>
    </row>
    <row r="183">
      <c r="A183" s="87" t="str">
        <f>IFERROR(__xludf.DUMMYFUNCTION("""COMPUTED_VALUE"""),"544")</f>
        <v>544</v>
      </c>
      <c r="B183" s="46" t="str">
        <f>IFERROR(__xludf.DUMMYFUNCTION("""COMPUTED_VALUE"""),"Casa en Conjunto en el oriente")</f>
        <v>Casa en Conjunto en el oriente</v>
      </c>
      <c r="C183" s="46" t="str">
        <f>IFERROR(__xludf.DUMMYFUNCTION("""COMPUTED_VALUE"""),"Casa en conjunto")</f>
        <v>Casa en conjunto</v>
      </c>
      <c r="D183" s="46"/>
      <c r="E183" s="46"/>
      <c r="F183" s="90">
        <f>IFERROR(__xludf.DUMMYFUNCTION("""COMPUTED_VALUE"""),9.0E8)</f>
        <v>900000000</v>
      </c>
      <c r="G183" s="46" t="str">
        <f>IFERROR(__xludf.DUMMYFUNCTION("""COMPUTED_VALUE"""),"$500'000.000 a $1.000'000.000")</f>
        <v>$500'000.000 a $1.000'000.000</v>
      </c>
      <c r="H183" s="46"/>
      <c r="I183" s="46"/>
      <c r="J183" s="46" t="str">
        <f>IFERROR(__xludf.DUMMYFUNCTION("""COMPUTED_VALUE"""),"Oriente")</f>
        <v>Oriente</v>
      </c>
      <c r="K183" s="87"/>
      <c r="L183" s="46">
        <f>IFERROR(__xludf.DUMMYFUNCTION("""COMPUTED_VALUE"""),3.0)</f>
        <v>3</v>
      </c>
      <c r="M183" s="46"/>
      <c r="N183" s="46">
        <f>IFERROR(__xludf.DUMMYFUNCTION("""COMPUTED_VALUE"""),5.0)</f>
        <v>5</v>
      </c>
      <c r="O183" s="46">
        <f>IFERROR(__xludf.DUMMYFUNCTION("""COMPUTED_VALUE"""),1.0)</f>
        <v>1</v>
      </c>
      <c r="P183" s="46">
        <f>IFERROR(__xludf.DUMMYFUNCTION("""COMPUTED_VALUE"""),1.0)</f>
        <v>1</v>
      </c>
      <c r="Q183" s="92"/>
      <c r="R183" s="92">
        <f>IFERROR(__xludf.DUMMYFUNCTION("""COMPUTED_VALUE"""),0.0)</f>
        <v>0</v>
      </c>
      <c r="S183" s="87" t="str">
        <f>IFERROR(__xludf.DUMMYFUNCTION("""COMPUTED_VALUE""")," ")</f>
        <v> </v>
      </c>
      <c r="T183" s="46" t="str">
        <f>IFERROR(__xludf.DUMMYFUNCTION("""COMPUTED_VALUE"""),"Neiva")</f>
        <v>Neiva</v>
      </c>
      <c r="U183" s="87" t="str">
        <f>IFERROR(__xludf.DUMMYFUNCTION("""COMPUTED_VALUE"""),"5")</f>
        <v>5</v>
      </c>
      <c r="V183" s="179"/>
      <c r="W183" s="179"/>
      <c r="X183" s="46">
        <f>IFERROR(__xludf.DUMMYFUNCTION("""COMPUTED_VALUE"""),3.0)</f>
        <v>3</v>
      </c>
      <c r="Y183" s="46" t="str">
        <f>IFERROR(__xludf.DUMMYFUNCTION("""COMPUTED_VALUE"""),"Privada")</f>
        <v>Privada</v>
      </c>
      <c r="Z183" s="90" t="str">
        <f>IFERROR(__xludf.DUMMYFUNCTION("""COMPUTED_VALUE"""),"No aplica")</f>
        <v>No aplica</v>
      </c>
      <c r="AA183" s="33" t="str">
        <f>IFERROR(__xludf.DUMMYFUNCTION("""COMPUTED_VALUE"""),"No aplica")</f>
        <v>No aplica</v>
      </c>
      <c r="AB183" s="96" t="str">
        <f>IFERROR(__xludf.DUMMYFUNCTION("""COMPUTED_VALUE"""),"https://photos.app.goo.gl/Gc27FZSNkhmvnyALA")</f>
        <v>https://photos.app.goo.gl/Gc27FZSNkhmvnyALA</v>
      </c>
      <c r="AC183" s="46"/>
      <c r="AD183" s="46" t="str">
        <f>IFERROR(__xludf.DUMMYFUNCTION("""COMPUTED_VALUE"""),"Casa bien ubicada, con piscina privada y Bbq, carpintería puerta y ventanas en aluminio, piso en cerámica, sistema domótica con comandos de voz Alexa, cámaras de seguridad internas y  patio. Escritura al día.")</f>
        <v>Casa bien ubicada, con piscina privada y Bbq, carpintería puerta y ventanas en aluminio, piso en cerámica, sistema domótica con comandos de voz Alexa, cámaras de seguridad internas y  patio. Escritura al día.</v>
      </c>
      <c r="AE183" s="46"/>
      <c r="AF183" s="46" t="str">
        <f>IFERROR(__xludf.DUMMYFUNCTION("""COMPUTED_VALUE"""),"integral")</f>
        <v>integral</v>
      </c>
      <c r="AG183" s="46"/>
      <c r="AH183" s="46" t="str">
        <f>IFERROR(__xludf.DUMMYFUNCTION("""COMPUTED_VALUE"""),"Aliado")</f>
        <v>Aliado</v>
      </c>
      <c r="AI183" s="92" t="str">
        <f>IFERROR(__xludf.DUMMYFUNCTION("""COMPUTED_VALUE"""),"https://lh3.googleusercontent.com/pw/AP1GczOLeAGZv1ehpFE0PMu3XehVuRSYALHN_f4EJjxvNECMRzY5oZocL8qAUP6EeIuo_7-DhYnyw8iMfh9pHM9dqBjaninCGY-9FSRLdxoI32RBk19PcRbn=w1200|https://lh3.googleusercontent.com/pw/AP1GczNhf-xT_HLu-w-DybU7aTu5-7bTva5rgGvbfCXWB4LOrqPtKF"&amp;"rD7MsuqnTG4aVOz9GFsVqxLexraZWxA6jNkCidrqpfAMmME9kZ1b7qWRXmOXKhi2AT=w1200|https://lh3.googleusercontent.com/pw/AP1GczPJ0UOkyPY2RhvI43ZnG-3LR_HVI_S3W0f_GjKAPxGDv1GnFqGaGW_KiBoNYg31pIaMfn3CKWjwIsSMgzCmddZdUDjQHM2dPLSxSXmYqShkRuLO8Hhg=w1200|https://lh3.google"&amp;"usercontent.com/pw/AP1GczNovj5kpCmexoVjRO5fpLqAYg_BdWVcPSQMR6AFX6HDfXT32QAzDgZC9AZeMDkQYAqC3pjXbSzr_n9B6K7zO3j1bvUraQdW-uqmbkS7nfPIyEF44fo3=w1200|https://lh3.googleusercontent.com/pw/AP1GczPPd4Qli736vVQDxVjtmjs9PQWWmv7Zd9SWYO4D8n_yB_AlUFlrQPjTNDQSNf86nys6"&amp;"CJukNaIqShNeJs18PYzKlrIv8qjZPc5ki95VMgU__sQQRKmw=w1200|https://lh3.googleusercontent.com/pw/AP1GczM78R2rx9Ara4LrzguMuNV57P07qAeIc1XG_t-MJqvuuPG7ZPBgjHSZU-NQY60abl1uWAnRXXkZe3H2k0fBWz4xCuL3lCGsBcJqSvn6YxljlKBKiruP=w1200|https://lh3.googleusercontent.com/pw"&amp;"/AP1GczNJTZIhUyZx0R8CBbwaI1O5g0hSbVfN78e3tTZ2Ag8dgtsaJuEJtXyv6Df_WyobW10oAFXSWR1kb52uvKAPItA9p4Q2aurrepb48x_coepwSEg5KuFn=w1200|https://lh3.googleusercontent.com/pw/AP1GczPy1dFAB72NrFNgWIdTSlqLYEbLuR-j2EsnELWi9COLnTrnmlWI9Su6JyGys-SDo7Y4UrSzFGqxRPU6F_RAaj"&amp;"WlKsMGh0of1JzBrtbA46QwDvTT8ju8=w1200|https://lh3.googleusercontent.com/pw/AP1GczP8A45KpXepF3BJK-1OqpgPnetTEtMsO_Js6G4WK4TMu9FZkuXHvCRIeRfLqbaz124zjdHOyN4XCvZ6Ng6noQEQ9R6YhcjlAgJjS2kan-1KxKIhF9NK=w1200|https://lh3.googleusercontent.com/pw/AP1GczM4raAhrlSDj"&amp;"chgk92TomdJM78Yd38CJj74lFnF6cve45Ts-BcZ1VZuFO9quNm2y5T7nSNcUxpcoNI5Vj1PzaskTSmHFWbQdJcKEI1fgXb926nNc8xY=w1200|https://lh3.googleusercontent.com/pw/AP1GczNll8BGgy-1tj3E3Sqnsv3kMtFwMihSDjmm6OdRYfZzLxymmT2I0dJpiuB3eMp7iUJL1FxS9MNF_E4d8HiXbVeDQ6TUobGNDGebQT9V"&amp;"srin-WUigGth=w1200|https://lh3.googleusercontent.com/pw/AP1GczO5sYV4EceLH5r9vqf_IkP5ZgakJWqAF7aXsfTuaw9K8yS4fqvG1-vdSY7MBtDNAilEzl1ogrP4o05KslQtVy2-Mzd8CdYp48XETFfbVra43620JNOM=w1200|https://lh3.googleusercontent.com/pw/AP1GczMqXXmQtJ47zTCpKuK5WGdNl_esBqf"&amp;"j-kb0AUT9MlFFrwoYLmg8Z4SOPro8_gBs2tRwinay0XEWl_IRvf1z3oNSiUmXfjCgdRQ9zVXozBhOnRBS7ppJ=w1200|https://lh3.googleusercontent.com/pw/AP1GczMF2KlmpJmJIKebptJOVoY2LcuBHfOIMH0Ka0d32ccCMwnX5wV09mKzt0SKIgBWVwKjfHRbIPEQJVG72PCv2pM2sTaf4BkT-iTr-3TGzzLiXaOXtJGC=w1200"&amp;"|https://lh3.googleusercontent.com/pw/AP1GczMZVuiysaOrymMgVkB2FbUIoPcLJlpG_KHArjtUGKV17RVJPmVSVijjj4fHjbpkx1Fb8kVk7Y3O92xzrPV-vMdr3OicQ8-xf0RdG9huxlVi1TbKJAzI=w1200|https://lh3.googleusercontent.com/pw/AP1GczMT-UZ9zxsdg0amX3HQiixqv5Zn_PuCONLuJNjZN4kPZBkvH"&amp;"3iufw25AWkdo7NrtaTQewYVD_aEucMr3yLZWczRJdLgIdliovusKcj0gB9r-3sqBBjA=w1200|https://lh3.googleusercontent.com/pw/AP1GczPAYrQywNnhFxFV2ql9o9sXL8pvO8CBOkftbqYx2EYPTqR0H338KSRGWvFAD1tfqYXAgZlIo2Fcnaw3AwQ0DSbmifZ-ySL7Q6iH0indun8Nx4LetYo4=w1200|https://lh3.googl"&amp;"eusercontent.com/pw/AP1GczN91fmbMg0j7QKNw63XDiFPL0dua9DJo0Zymjfe397qZ4N2guJpAHCC-NSTEq3sv-F3Ssw8qnxVgYWIHz9eyHmKoDuCzMusYZhGpkfQTyd4F6izfOII=w1200|https://lh3.googleusercontent.com/pw/AP1GczPs_i4wMf1QKeGtQo8DoBDKxt3Idx7GIyA7yMi-Eh9Uc01EwohqM5NTjvIBRhpwikA"&amp;"Hz2h3rEXoZqI_3AhV85wkyhSSxnle_KlxyD2lFBwWobmj3ZF5=w1200|https://lh3.googleusercontent.com/pw/AP1GczPQ8-BaYAOYkCHgdAibmLGqiO0nNIDrknCpLY7TingBjipIBg-Q0CvmpL7fktUF8KKqpqaKmjsMqr_HHvGoifKShyQyXsGJv1h1s3lK_ZG7V_ZEjZsz=w1200|https://lh3.googleusercontent.com/p"&amp;"w/AP1GczOaXmZPkjdd9fOUCa0xSI8mfl47FRSLfKTRS8Rgle4EVuHlflk39EEaVQngvKpMs_0n0_Wx8dnvhBml-RApb8rvpirtisyOYfmhGc3Yzi33uW6duwIy=w1200|https://lh3.googleusercontent.com/pw/AP1GczNyzsrWY3Rj7JUkEbfmuGnXV5bxI3pvKS-kRKlwEcSlhtzl9nrOK1ymXLtoISXfF2QEX9U6JOBYDSN4wVBtS"&amp;"FbPZr9QribPd-MIOl9-E2JC689FHiqY=w1200|https://lh3.googleusercontent.com/pw/AP1GczMyJWK_7TqHJHDe0Ou8rYZOsuzOAeZh5vll5l5CM9JQPu0A5-Y0HNNRmvKTwMpID6QnSbFW3-2GaPKE1kApPSsV4usH06-592KuEfsM1mKRskUsFLgZ=w1200|https://lh3.googleusercontent.com/pw/AP1GczO1I3oZdkjJ"&amp;"ulevsLsrIH5EpOWQ5zj6LZ54PyTqxvBpxHdIMnebqrF72Q3xByKFySmDGHGI70gJS3l1NJ7IU0agn0yGGWqHoPKbKtNGVByNvVf9evPT=w1200|https://lh3.googleusercontent.com/pw/AP1GczNdiuVVj4_Gp0SwkTCODNnnjEBnFoJqvkGsPsAyFI10UEgdjlWpwLjnV_l5qrVyirnV9qnwEV1l1b4GhDA0z8JKBcVsPSIpcFW1mIg"&amp;"BTzOQ8VMPmyjl=w1200")</f>
        <v>https://lh3.googleusercontent.com/pw/AP1GczOLeAGZv1ehpFE0PMu3XehVuRSYALHN_f4EJjxvNECMRzY5oZocL8qAUP6EeIuo_7-DhYnyw8iMfh9pHM9dqBjaninCGY-9FSRLdxoI32RBk19PcRbn=w1200|https://lh3.googleusercontent.com/pw/AP1GczNhf-xT_HLu-w-DybU7aTu5-7bTva5rgGvbfCXWB4LOrqPtKFrD7MsuqnTG4aVOz9GFsVqxLexraZWxA6jNkCidrqpfAMmME9kZ1b7qWRXmOXKhi2AT=w1200|https://lh3.googleusercontent.com/pw/AP1GczPJ0UOkyPY2RhvI43ZnG-3LR_HVI_S3W0f_GjKAPxGDv1GnFqGaGW_KiBoNYg31pIaMfn3CKWjwIsSMgzCmddZdUDjQHM2dPLSxSXmYqShkRuLO8Hhg=w1200|https://lh3.googleusercontent.com/pw/AP1GczNovj5kpCmexoVjRO5fpLqAYg_BdWVcPSQMR6AFX6HDfXT32QAzDgZC9AZeMDkQYAqC3pjXbSzr_n9B6K7zO3j1bvUraQdW-uqmbkS7nfPIyEF44fo3=w1200|https://lh3.googleusercontent.com/pw/AP1GczPPd4Qli736vVQDxVjtmjs9PQWWmv7Zd9SWYO4D8n_yB_AlUFlrQPjTNDQSNf86nys6CJukNaIqShNeJs18PYzKlrIv8qjZPc5ki95VMgU__sQQRKmw=w1200|https://lh3.googleusercontent.com/pw/AP1GczM78R2rx9Ara4LrzguMuNV57P07qAeIc1XG_t-MJqvuuPG7ZPBgjHSZU-NQY60abl1uWAnRXXkZe3H2k0fBWz4xCuL3lCGsBcJqSvn6YxljlKBKiruP=w1200|https://lh3.googleusercontent.com/pw/AP1GczNJTZIhUyZx0R8CBbwaI1O5g0hSbVfN78e3tTZ2Ag8dgtsaJuEJtXyv6Df_WyobW10oAFXSWR1kb52uvKAPItA9p4Q2aurrepb48x_coepwSEg5KuFn=w1200|https://lh3.googleusercontent.com/pw/AP1GczPy1dFAB72NrFNgWIdTSlqLYEbLuR-j2EsnELWi9COLnTrnmlWI9Su6JyGys-SDo7Y4UrSzFGqxRPU6F_RAajWlKsMGh0of1JzBrtbA46QwDvTT8ju8=w1200|https://lh3.googleusercontent.com/pw/AP1GczP8A45KpXepF3BJK-1OqpgPnetTEtMsO_Js6G4WK4TMu9FZkuXHvCRIeRfLqbaz124zjdHOyN4XCvZ6Ng6noQEQ9R6YhcjlAgJjS2kan-1KxKIhF9NK=w1200|https://lh3.googleusercontent.com/pw/AP1GczM4raAhrlSDjchgk92TomdJM78Yd38CJj74lFnF6cve45Ts-BcZ1VZuFO9quNm2y5T7nSNcUxpcoNI5Vj1PzaskTSmHFWbQdJcKEI1fgXb926nNc8xY=w1200|https://lh3.googleusercontent.com/pw/AP1GczNll8BGgy-1tj3E3Sqnsv3kMtFwMihSDjmm6OdRYfZzLxymmT2I0dJpiuB3eMp7iUJL1FxS9MNF_E4d8HiXbVeDQ6TUobGNDGebQT9Vsrin-WUigGth=w1200|https://lh3.googleusercontent.com/pw/AP1GczO5sYV4EceLH5r9vqf_IkP5ZgakJWqAF7aXsfTuaw9K8yS4fqvG1-vdSY7MBtDNAilEzl1ogrP4o05KslQtVy2-Mzd8CdYp48XETFfbVra43620JNOM=w1200|https://lh3.googleusercontent.com/pw/AP1GczMqXXmQtJ47zTCpKuK5WGdNl_esBqfj-kb0AUT9MlFFrwoYLmg8Z4SOPro8_gBs2tRwinay0XEWl_IRvf1z3oNSiUmXfjCgdRQ9zVXozBhOnRBS7ppJ=w1200|https://lh3.googleusercontent.com/pw/AP1GczMF2KlmpJmJIKebptJOVoY2LcuBHfOIMH0Ka0d32ccCMwnX5wV09mKzt0SKIgBWVwKjfHRbIPEQJVG72PCv2pM2sTaf4BkT-iTr-3TGzzLiXaOXtJGC=w1200|https://lh3.googleusercontent.com/pw/AP1GczMZVuiysaOrymMgVkB2FbUIoPcLJlpG_KHArjtUGKV17RVJPmVSVijjj4fHjbpkx1Fb8kVk7Y3O92xzrPV-vMdr3OicQ8-xf0RdG9huxlVi1TbKJAzI=w1200|https://lh3.googleusercontent.com/pw/AP1GczMT-UZ9zxsdg0amX3HQiixqv5Zn_PuCONLuJNjZN4kPZBkvH3iufw25AWkdo7NrtaTQewYVD_aEucMr3yLZWczRJdLgIdliovusKcj0gB9r-3sqBBjA=w1200|https://lh3.googleusercontent.com/pw/AP1GczPAYrQywNnhFxFV2ql9o9sXL8pvO8CBOkftbqYx2EYPTqR0H338KSRGWvFAD1tfqYXAgZlIo2Fcnaw3AwQ0DSbmifZ-ySL7Q6iH0indun8Nx4LetYo4=w1200|https://lh3.googleusercontent.com/pw/AP1GczN91fmbMg0j7QKNw63XDiFPL0dua9DJo0Zymjfe397qZ4N2guJpAHCC-NSTEq3sv-F3Ssw8qnxVgYWIHz9eyHmKoDuCzMusYZhGpkfQTyd4F6izfOII=w1200|https://lh3.googleusercontent.com/pw/AP1GczPs_i4wMf1QKeGtQo8DoBDKxt3Idx7GIyA7yMi-Eh9Uc01EwohqM5NTjvIBRhpwikAHz2h3rEXoZqI_3AhV85wkyhSSxnle_KlxyD2lFBwWobmj3ZF5=w1200|https://lh3.googleusercontent.com/pw/AP1GczPQ8-BaYAOYkCHgdAibmLGqiO0nNIDrknCpLY7TingBjipIBg-Q0CvmpL7fktUF8KKqpqaKmjsMqr_HHvGoifKShyQyXsGJv1h1s3lK_ZG7V_ZEjZsz=w1200|https://lh3.googleusercontent.com/pw/AP1GczOaXmZPkjdd9fOUCa0xSI8mfl47FRSLfKTRS8Rgle4EVuHlflk39EEaVQngvKpMs_0n0_Wx8dnvhBml-RApb8rvpirtisyOYfmhGc3Yzi33uW6duwIy=w1200|https://lh3.googleusercontent.com/pw/AP1GczNyzsrWY3Rj7JUkEbfmuGnXV5bxI3pvKS-kRKlwEcSlhtzl9nrOK1ymXLtoISXfF2QEX9U6JOBYDSN4wVBtSFbPZr9QribPd-MIOl9-E2JC689FHiqY=w1200|https://lh3.googleusercontent.com/pw/AP1GczMyJWK_7TqHJHDe0Ou8rYZOsuzOAeZh5vll5l5CM9JQPu0A5-Y0HNNRmvKTwMpID6QnSbFW3-2GaPKE1kApPSsV4usH06-592KuEfsM1mKRskUsFLgZ=w1200|https://lh3.googleusercontent.com/pw/AP1GczO1I3oZdkjJulevsLsrIH5EpOWQ5zj6LZ54PyTqxvBpxHdIMnebqrF72Q3xByKFySmDGHGI70gJS3l1NJ7IU0agn0yGGWqHoPKbKtNGVByNvVf9evPT=w1200|https://lh3.googleusercontent.com/pw/AP1GczNdiuVVj4_Gp0SwkTCODNnnjEBnFoJqvkGsPsAyFI10UEgdjlWpwLjnV_l5qrVyirnV9qnwEV1l1b4GhDA0z8JKBcVsPSIpcFW1mIgBTzOQ8VMPmyjl=w1200</v>
      </c>
      <c r="AJ183" s="46"/>
      <c r="AK183" s="46"/>
      <c r="AL183" s="46"/>
      <c r="AM183" s="46"/>
      <c r="AN183" s="46"/>
      <c r="AO183" s="46"/>
      <c r="AP183" s="46"/>
      <c r="AQ183" s="46"/>
      <c r="AR183" s="46"/>
      <c r="AS183" s="46"/>
      <c r="AT183" s="46"/>
      <c r="AU183" s="46"/>
      <c r="AV183" s="46"/>
      <c r="AW183" s="46"/>
      <c r="AX183" s="46"/>
      <c r="AY183" s="46"/>
      <c r="AZ183" s="46"/>
      <c r="BA183" s="46"/>
      <c r="BB183" s="46"/>
      <c r="BC183" s="46"/>
      <c r="BD183" s="46"/>
      <c r="BE183" s="46"/>
      <c r="BF183" s="46"/>
      <c r="BG183" s="46"/>
      <c r="BH183" s="46"/>
      <c r="BI183" s="46"/>
      <c r="BJ183" s="46"/>
      <c r="BK183" s="46"/>
      <c r="BL183" s="46"/>
      <c r="BM183" s="46"/>
      <c r="BN183" s="46"/>
      <c r="BO183" s="46"/>
      <c r="BP183" s="46"/>
      <c r="BQ183" s="46"/>
      <c r="BR183" s="46"/>
      <c r="BS183" s="46"/>
      <c r="BT183" s="46"/>
      <c r="BU183" s="46"/>
      <c r="BV183" s="46"/>
      <c r="BW183" s="46"/>
      <c r="BX183" s="46"/>
      <c r="BY183" s="46"/>
      <c r="BZ183" s="46"/>
      <c r="CA183" s="46"/>
      <c r="CB183" s="46"/>
      <c r="CC183" s="46"/>
    </row>
    <row r="184">
      <c r="A184" s="87" t="str">
        <f>IFERROR(__xludf.DUMMYFUNCTION("""COMPUTED_VALUE"""),"430")</f>
        <v>430</v>
      </c>
      <c r="B184" s="46" t="str">
        <f>IFERROR(__xludf.DUMMYFUNCTION("""COMPUTED_VALUE"""),"Casa en Conjunto en el oriente")</f>
        <v>Casa en Conjunto en el oriente</v>
      </c>
      <c r="C184" s="46" t="str">
        <f>IFERROR(__xludf.DUMMYFUNCTION("""COMPUTED_VALUE"""),"Casa en conjunto")</f>
        <v>Casa en conjunto</v>
      </c>
      <c r="D184" s="46" t="str">
        <f>IFERROR(__xludf.DUMMYFUNCTION("""COMPUTED_VALUE"""),"Ciudadela Comfamiliar")</f>
        <v>Ciudadela Comfamiliar</v>
      </c>
      <c r="E184" s="46"/>
      <c r="F184" s="90">
        <f>IFERROR(__xludf.DUMMYFUNCTION("""COMPUTED_VALUE"""),7.55E8)</f>
        <v>755000000</v>
      </c>
      <c r="G184" s="46" t="str">
        <f>IFERROR(__xludf.DUMMYFUNCTION("""COMPUTED_VALUE"""),"$500'000.000 a $1.000'000.000")</f>
        <v>$500'000.000 a $1.000'000.000</v>
      </c>
      <c r="H184" s="46"/>
      <c r="I184" s="46"/>
      <c r="J184" s="46" t="str">
        <f>IFERROR(__xludf.DUMMYFUNCTION("""COMPUTED_VALUE"""),"Oriente")</f>
        <v>Oriente</v>
      </c>
      <c r="K184" s="87"/>
      <c r="L184" s="46">
        <f>IFERROR(__xludf.DUMMYFUNCTION("""COMPUTED_VALUE"""),3.0)</f>
        <v>3</v>
      </c>
      <c r="M184" s="46"/>
      <c r="N184" s="46">
        <f>IFERROR(__xludf.DUMMYFUNCTION("""COMPUTED_VALUE"""),4.0)</f>
        <v>4</v>
      </c>
      <c r="O184" s="46">
        <f>IFERROR(__xludf.DUMMYFUNCTION("""COMPUTED_VALUE"""),1.0)</f>
        <v>1</v>
      </c>
      <c r="P184" s="46">
        <f>IFERROR(__xludf.DUMMYFUNCTION("""COMPUTED_VALUE"""),1.0)</f>
        <v>1</v>
      </c>
      <c r="Q184" s="92">
        <f>IFERROR(__xludf.DUMMYFUNCTION("""COMPUTED_VALUE"""),197.0)</f>
        <v>197</v>
      </c>
      <c r="R184" s="92" t="str">
        <f>IFERROR(__xludf.DUMMYFUNCTION("""COMPUTED_VALUE"""),"284,41")</f>
        <v>284,41</v>
      </c>
      <c r="S184" s="87" t="str">
        <f>IFERROR(__xludf.DUMMYFUNCTION("""COMPUTED_VALUE""")," ")</f>
        <v> </v>
      </c>
      <c r="T184" s="46" t="str">
        <f>IFERROR(__xludf.DUMMYFUNCTION("""COMPUTED_VALUE"""),"Neiva")</f>
        <v>Neiva</v>
      </c>
      <c r="U184" s="87" t="str">
        <f>IFERROR(__xludf.DUMMYFUNCTION("""COMPUTED_VALUE"""),"5")</f>
        <v>5</v>
      </c>
      <c r="V184" s="179" t="str">
        <f>IFERROR(__xludf.DUMMYFUNCTION("""COMPUTED_VALUE"""),"Medianera")</f>
        <v>Medianera</v>
      </c>
      <c r="W184" s="179"/>
      <c r="X184" s="46">
        <f>IFERROR(__xludf.DUMMYFUNCTION("""COMPUTED_VALUE"""),3.0)</f>
        <v>3</v>
      </c>
      <c r="Y184" s="46" t="str">
        <f>IFERROR(__xludf.DUMMYFUNCTION("""COMPUTED_VALUE"""),"Social")</f>
        <v>Social</v>
      </c>
      <c r="Z184" s="90">
        <f>IFERROR(__xludf.DUMMYFUNCTION("""COMPUTED_VALUE"""),625000.0)</f>
        <v>625000</v>
      </c>
      <c r="AA184" s="33" t="str">
        <f>IFERROR(__xludf.DUMMYFUNCTION("""COMPUTED_VALUE"""),"No aplica")</f>
        <v>No aplica</v>
      </c>
      <c r="AB184" s="96" t="str">
        <f>IFERROR(__xludf.DUMMYFUNCTION("""COMPUTED_VALUE"""),"https://photos.app.goo.gl/BinvjT2coS1SbyK9A")</f>
        <v>https://photos.app.goo.gl/BinvjT2coS1SbyK9A</v>
      </c>
      <c r="AC184" s="46"/>
      <c r="AD184" s="46" t="str">
        <f>IFERROR(__xludf.DUMMYFUNCTION("""COMPUTED_VALUE"""),"Casa amplia, con buenos acabados, Cielo raso en Dri Wall con lámparas led de empotrar, carpintería marcos, puertas, ventanas, closet y muebles empotrados en madera color miel. Pisos en cerámica y tablón rojo con granito pulido. Escritura al día.")</f>
        <v>Casa amplia, con buenos acabados, Cielo raso en Dri Wall con lámparas led de empotrar, carpintería marcos, puertas, ventanas, closet y muebles empotrados en madera color miel. Pisos en cerámica y tablón rojo con granito pulido. Escritura al día.</v>
      </c>
      <c r="AE184" s="46"/>
      <c r="AF184" s="46" t="str">
        <f>IFERROR(__xludf.DUMMYFUNCTION("""COMPUTED_VALUE"""),"integral")</f>
        <v>integral</v>
      </c>
      <c r="AG184" s="46"/>
      <c r="AH184" s="46" t="str">
        <f>IFERROR(__xludf.DUMMYFUNCTION("""COMPUTED_VALUE"""),"Aliado")</f>
        <v>Aliado</v>
      </c>
      <c r="AI184" s="92" t="str">
        <f>IFERROR(__xludf.DUMMYFUNCTION("""COMPUTED_VALUE"""),"https://lh3.googleusercontent.com/pw/AP1GczPT9ioCauKMs_kUmpbEVqsypYMRE6EDzFQ5adwoE5Q7_GyVZaeOyzT4yc2zmX1-XncLwRoy45VSTMWmE61Nbl1_1hXD0z-oPz3pxfhEPJ3YfRict4Tt=w1200|https://lh3.googleusercontent.com/pw/AP1GczP9rTtrOZdFm_siq6L-YK8ZYKrJQ3rQjlzTw4G9PNyKMs35Yo"&amp;"RhQHIayrBFBwMPGcSbqZKx7mh2NmP2y1i_2dl5TY2OJfQ3CTXerOM55MTRNz2qCCgF=w1200|https://lh3.googleusercontent.com/pw/AP1GczOj53EcQSjMpyWSA6WJAHXPjhfpCaI7-IOPWlcIjRmX2WiOQ1kmuIpzJwKCyZPMOpguLxMsnJRl1moQxMBXs73P-WoLMJfaI1jS354l6CQpbj16gwcz=w1200|https://lh3.google"&amp;"usercontent.com/pw/AP1GczO8q6Cx7O2OjvyZjTTM0BPjZETBEcQ_qzQkj2855M_ZdxlAXIUXzkeKye8Cjx3AM8kys91mM543iTMu6jpvUbJq7AOJQ7ElWMxpIwVFZT2EmynjOoV9=w1200|https://lh3.googleusercontent.com/pw/AP1GczNTzlZE1WwcBKTHktFtBAGp_HWnGATu_oCL_04jwgAvoY2wh8QTRuavODIKZ_zAHpt7"&amp;"QjN1ggdVU7aC3rtBcVr61Edoaat3g16MvakSroY2kPilIOx5=w1200|https://lh3.googleusercontent.com/pw/AP1GczPe8yExpnhiimyGw7rRBuciPkRdMtInnyJuFE-aVdgvi4HCPYIAOmoNFng_w179xP2pSSgMIwQAfk_KfBhhTA8PmTstzZBxFLwXBxxaqQwBev8-giZe=w1200|https://lh3.googleusercontent.com/pw"&amp;"/AP1GczPe3pEa7nNEGyMyR4EbOs7wieP4g4DQY9ya0Rs3gBKtiGqB5w3BoRAwbL2BjkeCF7QgM0csZJwX_fApShBcpTAuDpkwWmeBgxoqbo0eibaxV4Kcb7wD=w1200|https://lh3.googleusercontent.com/pw/AP1GczP5la9NGMXz-1Bv-6SzxAm0kNc2K-pxCW747GvdpOLLJ3WoRC1sTuD-HOL6qMF_E1sE99Ua--igt48WIKz37g"&amp;"9xD63DS8Wg7Xpbc5uuFi0eWi_JesBK=w1200|https://lh3.googleusercontent.com/pw/AP1GczNgVVjCaXqGrsYrAKz5GioLDQmAnF34s32yx-dL4vhE2Alg9ePI7ncjHOev6IHPOfFw8pXljg7KtHe2TrHAEIe-yLZBRGITSewkUocqG8DnzBkjjr1z=w1200|https://lh3.googleusercontent.com/pw/AP1GczMxBXavT8Vqv"&amp;"KlVbW0XlYCxKnqEf2Z1n3PaRKaowBLg-3CZoQzttY2jN58YLDDNTWXAyn5AQtgPA4HKDkK6PQrmMwKnEOUsKX_dUeogZcziLH1rIfeZ=w1200|https://lh3.googleusercontent.com/pw/AP1GczNfDFNDqI7-eEa1sX0YBuKDNQt170gncGzoudMLkDOgZt0B1jXaUgEWVRC7_2qpYL1Y-dJmsaRIYrX5cakaHtXGkg0tWBnj6I9GCfCD"&amp;"Yc16f1npb6yo=w1200|https://lh3.googleusercontent.com/pw/AP1GczPSB-J9RPe70UviLe51DH0lJZUEt1Hy8lTVBR5Bzxpp1sOaeeu_tizyiO6wl83J2r1kOtBjxwd7RvB0qFKKgDm6NxGR08tv_DNKd22AJhDrXgxkyoNp=w1200|https://lh3.googleusercontent.com/pw/AP1GczP3AiBKBCjiwihS5DUJZrij5efGpQP"&amp;"GjhIuXcKwwfJwq5s52jBThMVF9jnZXLol0awSTlP2ZorCH9sbFFCSq6Yaq3byQdPig7Lh-L4QnLEPvrkg4wOW=w1200|https://lh3.googleusercontent.com/pw/AP1GczM7__w7Qa-gbGhoOMXgQ-_jN09by_Eml_StpEILUyR0H7yc_fCAb6B-xegtDf31HSpjJ-ZuSXvxsrAl2tqgSWyXGZOTCfGKFvhK9318GjvcnOnxf3gv=w1200"&amp;"|https://lh3.googleusercontent.com/pw/AP1GczMwy9iIy9kHNIPBFEqr2C-pgEx5XbQK80GoVz8T0wJu91VzSjLtWqAIxdSezKOytqsyJqK87o5BOXIlMqEZrC4ywzAubqRnyAlMTNnW0-ExR68b7gko=w1200|https://lh3.googleusercontent.com/pw/AP1GczPhiidqMdAinxkslFZwuoxjsmO5CTLEL92pBUUogr054HLwq"&amp;"NDJ8SMjSoECwIg9NDEx2KSfLa-Y0LecUuS9dXTtu2tw1vBklveMMC74bWBsDsbTPHA1=w1200|https://lh3.googleusercontent.com/pw/AP1GczP5kK8LmQHPg44UvLYvb3bbo9Wzl__5l3ei17Xn9wIA9RvQ2h4c8YUJb_Qm9NcaCMRC6D9VP-vMB847_msbDeXKYSN-4ILYY-e6DqdpZeDNRvZkk6Rc=w1200|https://lh3.googl"&amp;"eusercontent.com/pw/AP1GczPzIj0xlP5BaqMrv6NJnyJHR8zp8W3KltmPo8pwwnUeu9WbWFNQygb7N1lvXtCe6CHzXH1J1XKG3q3jvB5YmJoJRCyEJ6bt1Viw0WSO_ksqK5PVjlLZ=w1200|https://lh3.googleusercontent.com/pw/AP1GczOnJPndbDpSwWksiubIUm1VCw9NuqMQgamAM7bkWxdApnxF5U27bCT4bivBid5uJMB"&amp;"yaoD_NkancuPCw5lGviyaUDLLVFN2S1r9jILXLUYQn9mLtiNd=w1200|https://lh3.googleusercontent.com/pw/AP1GczPioTstd__CxN-N38gAx-t0eaV0h4cm1UtScpBI-BNhc0lRS83-hMA0M97Wv8jiIM0pUKHArLnDuR_9Fx9ueONUXsP-Yqg01ONGBJZLuceu6ywXWblu=w1200|https://lh3.googleusercontent.com/p"&amp;"w/AP1GczPziZzNBLRHlOy1nFFBd2S95O3DWbwaP4QHgX6dwRADxO9pkO4BvNNWAQmWCjxbVxWshoGuTyfXs-vAUsObu8msRWUaYgQW4ycilBp7Lq0R5uJ3tJ2t=w1200|https://lh3.googleusercontent.com/pw/AP1GczObL8Z9-lgLbbKpJynNr70M5YvZ1uHKT4iYPxzTxfqkDipFsc6aHt0mR2dyLNfP9SAviR4PInh_5FpLZj7vi"&amp;"M1QigEksKAU6HnGaSEDYUXI55Kp2fDn=w1200|https://lh3.googleusercontent.com/pw/AP1GczOhBOGZFAkUA-ZQERwI4-q0mgTmN26ZwLBivFabicQIlawHCz3BZQtYShWYRFPAjh7ZItxJFnUUuHJs9nGmQdRUSP5HU5Iom3CeBH5BO8rl-j2jQiyp=w1200|https://lh3.googleusercontent.com/pw/AP1GczMofedXs1bM"&amp;"1CE1uGm38usqnCXylRsXWOeNDCo5NO6tEkeKokFri5YwJFvjC1EjAv3s9DzD5w4ggoqu2dD788S7ITrMafXtpKIr3kFQ7Af5pXA8w8AO=w1200|https://lh3.googleusercontent.com/pw/AP1GczOM1XrbgQSr9_chR2F_I52f3qylBbmL9-PVU-Mban8vwAyP8iSMQAiAgP0B2JgXm3tQCW64mT8I98n-SgOct5dcWWfNKzvMv5g5RQ6"&amp;"BnJpEIjxme8uu=w1200|https://lh3.googleusercontent.com/pw/AP1GczOuUzFPBTerxUwjRyM-lr6AvlmCXlpFBT8yDDwL-9_YCVT4G_NYI9qs-QLMfapaMBv29zHvQRmKjxYuESiQOmYm9bmmVfQ7w2xKdDB5tyZe02viSUEJ=w1200|https://lh3.googleusercontent.com/pw/AP1GczPHVIWARYj9dO4ilxWLTSRVCKaDCK"&amp;"mRjgmlzFochgK3w6exqkK6rfsUElcHu2BCMzyu1aKdQ60NB0FGp-s9DdboCuNwU-7U4xJ__W4dmdG1YtsdI7Ed=w1200|https://lh3.googleusercontent.com/pw/AP1GczO9LOnadE6ISq9r77qdaKg6fST46ptNmyJnPqVPGucAYAEgi4l_hUxb3Hy20_1XdXWJXl8ZVwzuC6E6WrwyIclTWD1mf4asRkk2MfvrxuxY9iE_UgYU=w120"&amp;"0|https://lh3.googleusercontent.com/pw/AP1GczOFMhDLoEPDI82Oasf3j16TbOR5AbzNs0hhf6XS9ikLEkRXKkbxefChXoAb7-lpJbCUwTQz63faaj6zo5_WYRV-YFkhI4OjtMETekxWZX97aIYYPA3N=w1200|https://lh3.googleusercontent.com/pw/AP1GczMOksAqP6nCp7erE076fKiRz9vqclW3u3Vfq-HZZNRaX50O"&amp;"ruEloWCdaTG5SmaRBc75o8Eh_gJzBEytRsOHK0tmtmv6CE2wRVgOcYWyV5Ol8ewswXZ5=w1200|https://lh3.googleusercontent.com/pw/AP1GczMpL6YGQkKjTY075YasC_YfNlz88F5Kbtgibofl1hNycD4IbQscXuW2EJ2K7BJOksfORyQKF3YnBhMoxx1vAAhmmsDXcvkFg6JYf8uDWrwMcNA69ka7=w1200|https://lh3.goog"&amp;"leusercontent.com/pw/AP1GczNqbPz2_Mc3qiZkBf7sjJbALMwKzyhIf9Z-Il8uUqu_B93Sx3NlzzRmUg5nLpDUVPOKyOaZVfpyoDdIEIFtfsRC5ad5YHZlxHR_wwT4DQGoRc9h6qJB=w1200|https://lh3.googleusercontent.com/pw/AP1GczPfh1FufdBh2fFkZwN6WCWJccIMfTV1hpGe9ggmtye3G7aNg5HQOgApivpsvO-R-i"&amp;"bBdSRPt6o688QwkGQX59iVbIlS_zB33XxXu1XQOtHmPnW2EWdS=w1200|https://lh3.googleusercontent.com/pw/AP1GczMMgSsgfIjq4-6xm4Mg2mbkCTd-3mcDE2PRWAJizw1dW1sc43dxHiEiwwRJMC0e_WzRpOkPQxc6t37EF-Jrz2hxKnxRKF-m_GiQamAlCyOvPp_u0-t2=w1200|https://lh3.googleusercontent.com/"&amp;"pw/AP1GczPeWSnCgQ1B7QmVc52u8hozvncX-T8QImHzMD2jZw9T0J51rOG3XcOU2CJk5T91n-S_sAmRMbY_ztollbXAbjhxklnlO3os7NhvLE3n5kJrDtFiGQAy=w1200|https://lh3.googleusercontent.com/pw/AP1GczN7jJT6g5yM5WP4sFYlc2qlziyW1cPjZTFh8yuEYMgYVccrgzmyvCOvkW84TH97vYEg8yfhxUYO1sN8D33k"&amp;"Gq-Jn3wrik3qWPRQsHz9VDWk_GM-56bb=w1200|https://lh3.googleusercontent.com/pw/AP1GczNF71Qd6gRD_ayRbbmNbteCavuVupwhDVEO0nJOIfR-eaNcYDcU0ZhtTjOXPZ5G1fcDFZMhxPMvNR4V__RUBZntzWTtXUI8nLuZZnA_-JfcK8bSamNB=w1200|https://lh3.googleusercontent.com/pw/AP1GczPGc4drqL5"&amp;"mclMcEV7RQ1LTrMgh1Yf3IcfaaipZgHHUj36HkBshUXbb2mPo_Zq5LSR7c3yfwtbNx8aTA1h7jugdP2hTibFR7y_-cF0nk6ZWIdWUl-t_=w1200|https://lh3.googleusercontent.com/pw/AP1GczMpCgomIKwUHRDoq1H4qCWxjjAq9QvvYiN4oh6CpLkWoK5LGNxgPHWlb8h7MZK3hzMrXPbAhXNMbaT4ZoJo91jEKpe2mQO4KWIxwv"&amp;"6ZrBYbf1_QGn72=w1200|https://lh3.googleusercontent.com/pw/AP1GczO-voXJaDdX5OsbQetCwd8w-PLHZBGQA6axElNsDMnmq7_z9cMQ8W14_QLPnCfazCLVl80mQEISd7Hthe9INrlRES9A1RVLe55fpmXublF4z1RFP4RT=w1200|https://lh3.googleusercontent.com/pw/AP1GczPPGEyBabM7AMK4mtfZWtfxIKPIK"&amp;"vfcOCohHQYrynV--Ff9DaYMzPaqtm8KwT5fTATTp-6qeSyUQGPmb0bQFFVoQIWQ6CPZwoyLvhLazsTKKhkCpQ8e=w1200")</f>
        <v>https://lh3.googleusercontent.com/pw/AP1GczPT9ioCauKMs_kUmpbEVqsypYMRE6EDzFQ5adwoE5Q7_GyVZaeOyzT4yc2zmX1-XncLwRoy45VSTMWmE61Nbl1_1hXD0z-oPz3pxfhEPJ3YfRict4Tt=w1200|https://lh3.googleusercontent.com/pw/AP1GczP9rTtrOZdFm_siq6L-YK8ZYKrJQ3rQjlzTw4G9PNyKMs35YoRhQHIayrBFBwMPGcSbqZKx7mh2NmP2y1i_2dl5TY2OJfQ3CTXerOM55MTRNz2qCCgF=w1200|https://lh3.googleusercontent.com/pw/AP1GczOj53EcQSjMpyWSA6WJAHXPjhfpCaI7-IOPWlcIjRmX2WiOQ1kmuIpzJwKCyZPMOpguLxMsnJRl1moQxMBXs73P-WoLMJfaI1jS354l6CQpbj16gwcz=w1200|https://lh3.googleusercontent.com/pw/AP1GczO8q6Cx7O2OjvyZjTTM0BPjZETBEcQ_qzQkj2855M_ZdxlAXIUXzkeKye8Cjx3AM8kys91mM543iTMu6jpvUbJq7AOJQ7ElWMxpIwVFZT2EmynjOoV9=w1200|https://lh3.googleusercontent.com/pw/AP1GczNTzlZE1WwcBKTHktFtBAGp_HWnGATu_oCL_04jwgAvoY2wh8QTRuavODIKZ_zAHpt7QjN1ggdVU7aC3rtBcVr61Edoaat3g16MvakSroY2kPilIOx5=w1200|https://lh3.googleusercontent.com/pw/AP1GczPe8yExpnhiimyGw7rRBuciPkRdMtInnyJuFE-aVdgvi4HCPYIAOmoNFng_w179xP2pSSgMIwQAfk_KfBhhTA8PmTstzZBxFLwXBxxaqQwBev8-giZe=w1200|https://lh3.googleusercontent.com/pw/AP1GczPe3pEa7nNEGyMyR4EbOs7wieP4g4DQY9ya0Rs3gBKtiGqB5w3BoRAwbL2BjkeCF7QgM0csZJwX_fApShBcpTAuDpkwWmeBgxoqbo0eibaxV4Kcb7wD=w1200|https://lh3.googleusercontent.com/pw/AP1GczP5la9NGMXz-1Bv-6SzxAm0kNc2K-pxCW747GvdpOLLJ3WoRC1sTuD-HOL6qMF_E1sE99Ua--igt48WIKz37g9xD63DS8Wg7Xpbc5uuFi0eWi_JesBK=w1200|https://lh3.googleusercontent.com/pw/AP1GczNgVVjCaXqGrsYrAKz5GioLDQmAnF34s32yx-dL4vhE2Alg9ePI7ncjHOev6IHPOfFw8pXljg7KtHe2TrHAEIe-yLZBRGITSewkUocqG8DnzBkjjr1z=w1200|https://lh3.googleusercontent.com/pw/AP1GczMxBXavT8VqvKlVbW0XlYCxKnqEf2Z1n3PaRKaowBLg-3CZoQzttY2jN58YLDDNTWXAyn5AQtgPA4HKDkK6PQrmMwKnEOUsKX_dUeogZcziLH1rIfeZ=w1200|https://lh3.googleusercontent.com/pw/AP1GczNfDFNDqI7-eEa1sX0YBuKDNQt170gncGzoudMLkDOgZt0B1jXaUgEWVRC7_2qpYL1Y-dJmsaRIYrX5cakaHtXGkg0tWBnj6I9GCfCDYc16f1npb6yo=w1200|https://lh3.googleusercontent.com/pw/AP1GczPSB-J9RPe70UviLe51DH0lJZUEt1Hy8lTVBR5Bzxpp1sOaeeu_tizyiO6wl83J2r1kOtBjxwd7RvB0qFKKgDm6NxGR08tv_DNKd22AJhDrXgxkyoNp=w1200|https://lh3.googleusercontent.com/pw/AP1GczP3AiBKBCjiwihS5DUJZrij5efGpQPGjhIuXcKwwfJwq5s52jBThMVF9jnZXLol0awSTlP2ZorCH9sbFFCSq6Yaq3byQdPig7Lh-L4QnLEPvrkg4wOW=w1200|https://lh3.googleusercontent.com/pw/AP1GczM7__w7Qa-gbGhoOMXgQ-_jN09by_Eml_StpEILUyR0H7yc_fCAb6B-xegtDf31HSpjJ-ZuSXvxsrAl2tqgSWyXGZOTCfGKFvhK9318GjvcnOnxf3gv=w1200|https://lh3.googleusercontent.com/pw/AP1GczMwy9iIy9kHNIPBFEqr2C-pgEx5XbQK80GoVz8T0wJu91VzSjLtWqAIxdSezKOytqsyJqK87o5BOXIlMqEZrC4ywzAubqRnyAlMTNnW0-ExR68b7gko=w1200|https://lh3.googleusercontent.com/pw/AP1GczPhiidqMdAinxkslFZwuoxjsmO5CTLEL92pBUUogr054HLwqNDJ8SMjSoECwIg9NDEx2KSfLa-Y0LecUuS9dXTtu2tw1vBklveMMC74bWBsDsbTPHA1=w1200|https://lh3.googleusercontent.com/pw/AP1GczP5kK8LmQHPg44UvLYvb3bbo9Wzl__5l3ei17Xn9wIA9RvQ2h4c8YUJb_Qm9NcaCMRC6D9VP-vMB847_msbDeXKYSN-4ILYY-e6DqdpZeDNRvZkk6Rc=w1200|https://lh3.googleusercontent.com/pw/AP1GczPzIj0xlP5BaqMrv6NJnyJHR8zp8W3KltmPo8pwwnUeu9WbWFNQygb7N1lvXtCe6CHzXH1J1XKG3q3jvB5YmJoJRCyEJ6bt1Viw0WSO_ksqK5PVjlLZ=w1200|https://lh3.googleusercontent.com/pw/AP1GczOnJPndbDpSwWksiubIUm1VCw9NuqMQgamAM7bkWxdApnxF5U27bCT4bivBid5uJMByaoD_NkancuPCw5lGviyaUDLLVFN2S1r9jILXLUYQn9mLtiNd=w1200|https://lh3.googleusercontent.com/pw/AP1GczPioTstd__CxN-N38gAx-t0eaV0h4cm1UtScpBI-BNhc0lRS83-hMA0M97Wv8jiIM0pUKHArLnDuR_9Fx9ueONUXsP-Yqg01ONGBJZLuceu6ywXWblu=w1200|https://lh3.googleusercontent.com/pw/AP1GczPziZzNBLRHlOy1nFFBd2S95O3DWbwaP4QHgX6dwRADxO9pkO4BvNNWAQmWCjxbVxWshoGuTyfXs-vAUsObu8msRWUaYgQW4ycilBp7Lq0R5uJ3tJ2t=w1200|https://lh3.googleusercontent.com/pw/AP1GczObL8Z9-lgLbbKpJynNr70M5YvZ1uHKT4iYPxzTxfqkDipFsc6aHt0mR2dyLNfP9SAviR4PInh_5FpLZj7viM1QigEksKAU6HnGaSEDYUXI55Kp2fDn=w1200|https://lh3.googleusercontent.com/pw/AP1GczOhBOGZFAkUA-ZQERwI4-q0mgTmN26ZwLBivFabicQIlawHCz3BZQtYShWYRFPAjh7ZItxJFnUUuHJs9nGmQdRUSP5HU5Iom3CeBH5BO8rl-j2jQiyp=w1200|https://lh3.googleusercontent.com/pw/AP1GczMofedXs1bM1CE1uGm38usqnCXylRsXWOeNDCo5NO6tEkeKokFri5YwJFvjC1EjAv3s9DzD5w4ggoqu2dD788S7ITrMafXtpKIr3kFQ7Af5pXA8w8AO=w1200|https://lh3.googleusercontent.com/pw/AP1GczOM1XrbgQSr9_chR2F_I52f3qylBbmL9-PVU-Mban8vwAyP8iSMQAiAgP0B2JgXm3tQCW64mT8I98n-SgOct5dcWWfNKzvMv5g5RQ6BnJpEIjxme8uu=w1200|https://lh3.googleusercontent.com/pw/AP1GczOuUzFPBTerxUwjRyM-lr6AvlmCXlpFBT8yDDwL-9_YCVT4G_NYI9qs-QLMfapaMBv29zHvQRmKjxYuESiQOmYm9bmmVfQ7w2xKdDB5tyZe02viSUEJ=w1200|https://lh3.googleusercontent.com/pw/AP1GczPHVIWARYj9dO4ilxWLTSRVCKaDCKmRjgmlzFochgK3w6exqkK6rfsUElcHu2BCMzyu1aKdQ60NB0FGp-s9DdboCuNwU-7U4xJ__W4dmdG1YtsdI7Ed=w1200|https://lh3.googleusercontent.com/pw/AP1GczO9LOnadE6ISq9r77qdaKg6fST46ptNmyJnPqVPGucAYAEgi4l_hUxb3Hy20_1XdXWJXl8ZVwzuC6E6WrwyIclTWD1mf4asRkk2MfvrxuxY9iE_UgYU=w1200|https://lh3.googleusercontent.com/pw/AP1GczOFMhDLoEPDI82Oasf3j16TbOR5AbzNs0hhf6XS9ikLEkRXKkbxefChXoAb7-lpJbCUwTQz63faaj6zo5_WYRV-YFkhI4OjtMETekxWZX97aIYYPA3N=w1200|https://lh3.googleusercontent.com/pw/AP1GczMOksAqP6nCp7erE076fKiRz9vqclW3u3Vfq-HZZNRaX50OruEloWCdaTG5SmaRBc75o8Eh_gJzBEytRsOHK0tmtmv6CE2wRVgOcYWyV5Ol8ewswXZ5=w1200|https://lh3.googleusercontent.com/pw/AP1GczMpL6YGQkKjTY075YasC_YfNlz88F5Kbtgibofl1hNycD4IbQscXuW2EJ2K7BJOksfORyQKF3YnBhMoxx1vAAhmmsDXcvkFg6JYf8uDWrwMcNA69ka7=w1200|https://lh3.googleusercontent.com/pw/AP1GczNqbPz2_Mc3qiZkBf7sjJbALMwKzyhIf9Z-Il8uUqu_B93Sx3NlzzRmUg5nLpDUVPOKyOaZVfpyoDdIEIFtfsRC5ad5YHZlxHR_wwT4DQGoRc9h6qJB=w1200|https://lh3.googleusercontent.com/pw/AP1GczPfh1FufdBh2fFkZwN6WCWJccIMfTV1hpGe9ggmtye3G7aNg5HQOgApivpsvO-R-ibBdSRPt6o688QwkGQX59iVbIlS_zB33XxXu1XQOtHmPnW2EWdS=w1200|https://lh3.googleusercontent.com/pw/AP1GczMMgSsgfIjq4-6xm4Mg2mbkCTd-3mcDE2PRWAJizw1dW1sc43dxHiEiwwRJMC0e_WzRpOkPQxc6t37EF-Jrz2hxKnxRKF-m_GiQamAlCyOvPp_u0-t2=w1200|https://lh3.googleusercontent.com/pw/AP1GczPeWSnCgQ1B7QmVc52u8hozvncX-T8QImHzMD2jZw9T0J51rOG3XcOU2CJk5T91n-S_sAmRMbY_ztollbXAbjhxklnlO3os7NhvLE3n5kJrDtFiGQAy=w1200|https://lh3.googleusercontent.com/pw/AP1GczN7jJT6g5yM5WP4sFYlc2qlziyW1cPjZTFh8yuEYMgYVccrgzmyvCOvkW84TH97vYEg8yfhxUYO1sN8D33kGq-Jn3wrik3qWPRQsHz9VDWk_GM-56bb=w1200|https://lh3.googleusercontent.com/pw/AP1GczNF71Qd6gRD_ayRbbmNbteCavuVupwhDVEO0nJOIfR-eaNcYDcU0ZhtTjOXPZ5G1fcDFZMhxPMvNR4V__RUBZntzWTtXUI8nLuZZnA_-JfcK8bSamNB=w1200|https://lh3.googleusercontent.com/pw/AP1GczPGc4drqL5mclMcEV7RQ1LTrMgh1Yf3IcfaaipZgHHUj36HkBshUXbb2mPo_Zq5LSR7c3yfwtbNx8aTA1h7jugdP2hTibFR7y_-cF0nk6ZWIdWUl-t_=w1200|https://lh3.googleusercontent.com/pw/AP1GczMpCgomIKwUHRDoq1H4qCWxjjAq9QvvYiN4oh6CpLkWoK5LGNxgPHWlb8h7MZK3hzMrXPbAhXNMbaT4ZoJo91jEKpe2mQO4KWIxwv6ZrBYbf1_QGn72=w1200|https://lh3.googleusercontent.com/pw/AP1GczO-voXJaDdX5OsbQetCwd8w-PLHZBGQA6axElNsDMnmq7_z9cMQ8W14_QLPnCfazCLVl80mQEISd7Hthe9INrlRES9A1RVLe55fpmXublF4z1RFP4RT=w1200|https://lh3.googleusercontent.com/pw/AP1GczPPGEyBabM7AMK4mtfZWtfxIKPIKvfcOCohHQYrynV--Ff9DaYMzPaqtm8KwT5fTATTp-6qeSyUQGPmb0bQFFVoQIWQ6CPZwoyLvhLazsTKKhkCpQ8e=w1200</v>
      </c>
      <c r="AJ184" s="46"/>
      <c r="AK184" s="46"/>
      <c r="AL184" s="46"/>
      <c r="AM184" s="46"/>
      <c r="AN184" s="46"/>
      <c r="AO184" s="46"/>
      <c r="AP184" s="46"/>
      <c r="AQ184" s="46"/>
      <c r="AR184" s="46"/>
      <c r="AS184" s="46"/>
      <c r="AT184" s="46"/>
      <c r="AU184" s="46"/>
      <c r="AV184" s="46"/>
      <c r="AW184" s="46"/>
      <c r="AX184" s="46"/>
      <c r="AY184" s="46"/>
      <c r="AZ184" s="46"/>
      <c r="BA184" s="46"/>
      <c r="BB184" s="46"/>
      <c r="BC184" s="46"/>
      <c r="BD184" s="46"/>
      <c r="BE184" s="46"/>
      <c r="BF184" s="46"/>
      <c r="BG184" s="46"/>
      <c r="BH184" s="46"/>
      <c r="BI184" s="46"/>
      <c r="BJ184" s="46"/>
      <c r="BK184" s="46"/>
      <c r="BL184" s="46"/>
      <c r="BM184" s="46"/>
      <c r="BN184" s="46"/>
      <c r="BO184" s="46"/>
      <c r="BP184" s="46"/>
      <c r="BQ184" s="46"/>
      <c r="BR184" s="46"/>
      <c r="BS184" s="46"/>
      <c r="BT184" s="46"/>
      <c r="BU184" s="46"/>
      <c r="BV184" s="46"/>
      <c r="BW184" s="46"/>
      <c r="BX184" s="46"/>
      <c r="BY184" s="46"/>
      <c r="BZ184" s="46"/>
      <c r="CA184" s="46"/>
      <c r="CB184" s="46"/>
      <c r="CC184" s="46"/>
    </row>
    <row r="185">
      <c r="A185" s="87" t="str">
        <f>IFERROR(__xludf.DUMMYFUNCTION("""COMPUTED_VALUE"""),"155")</f>
        <v>155</v>
      </c>
      <c r="B185" s="46" t="str">
        <f>IFERROR(__xludf.DUMMYFUNCTION("""COMPUTED_VALUE"""),"Casa con dos apartamentos en barrio La Toma")</f>
        <v>Casa con dos apartamentos en barrio La Toma</v>
      </c>
      <c r="C185" s="46" t="str">
        <f>IFERROR(__xludf.DUMMYFUNCTION("""COMPUTED_VALUE"""),"Casa rentable")</f>
        <v>Casa rentable</v>
      </c>
      <c r="D185" s="46" t="str">
        <f>IFERROR(__xludf.DUMMYFUNCTION("""COMPUTED_VALUE"""),"La Toma")</f>
        <v>La Toma</v>
      </c>
      <c r="E185" s="46"/>
      <c r="F185" s="90">
        <f>IFERROR(__xludf.DUMMYFUNCTION("""COMPUTED_VALUE"""),6.4E8)</f>
        <v>640000000</v>
      </c>
      <c r="G185" s="46" t="str">
        <f>IFERROR(__xludf.DUMMYFUNCTION("""COMPUTED_VALUE"""),"$500'000.000 a $1.000'000.000")</f>
        <v>$500'000.000 a $1.000'000.000</v>
      </c>
      <c r="H185" s="46"/>
      <c r="I185" s="46"/>
      <c r="J185" s="46" t="str">
        <f>IFERROR(__xludf.DUMMYFUNCTION("""COMPUTED_VALUE"""),"Centro")</f>
        <v>Centro</v>
      </c>
      <c r="K185" s="87" t="str">
        <f>IFERROR(__xludf.DUMMYFUNCTION("""COMPUTED_VALUE"""),"3")</f>
        <v>3</v>
      </c>
      <c r="L185" s="46">
        <f>IFERROR(__xludf.DUMMYFUNCTION("""COMPUTED_VALUE"""),6.0)</f>
        <v>6</v>
      </c>
      <c r="M185" s="46"/>
      <c r="N185" s="46">
        <f>IFERROR(__xludf.DUMMYFUNCTION("""COMPUTED_VALUE"""),4.0)</f>
        <v>4</v>
      </c>
      <c r="O185" s="46">
        <f>IFERROR(__xludf.DUMMYFUNCTION("""COMPUTED_VALUE"""),0.0)</f>
        <v>0</v>
      </c>
      <c r="P185" s="46">
        <f>IFERROR(__xludf.DUMMYFUNCTION("""COMPUTED_VALUE"""),2.0)</f>
        <v>2</v>
      </c>
      <c r="Q185" s="92">
        <f>IFERROR(__xludf.DUMMYFUNCTION("""COMPUTED_VALUE"""),489.0)</f>
        <v>489</v>
      </c>
      <c r="R185" s="92">
        <f>IFERROR(__xludf.DUMMYFUNCTION("""COMPUTED_VALUE"""),0.0)</f>
        <v>0</v>
      </c>
      <c r="S185" s="87" t="str">
        <f>IFERROR(__xludf.DUMMYFUNCTION("""COMPUTED_VALUE"""),"Rentabilidad $1,100,000")</f>
        <v>Rentabilidad $1,100,000</v>
      </c>
      <c r="T185" s="46" t="str">
        <f>IFERROR(__xludf.DUMMYFUNCTION("""COMPUTED_VALUE"""),"Neiva")</f>
        <v>Neiva</v>
      </c>
      <c r="U185" s="87" t="str">
        <f>IFERROR(__xludf.DUMMYFUNCTION("""COMPUTED_VALUE"""),"3")</f>
        <v>3</v>
      </c>
      <c r="V185" s="46" t="str">
        <f>IFERROR(__xludf.DUMMYFUNCTION("""COMPUTED_VALUE"""),"Medianera")</f>
        <v>Medianera</v>
      </c>
      <c r="W185" s="46"/>
      <c r="X185" s="46">
        <f>IFERROR(__xludf.DUMMYFUNCTION("""COMPUTED_VALUE"""),4.0)</f>
        <v>4</v>
      </c>
      <c r="Y185" s="46" t="str">
        <f>IFERROR(__xludf.DUMMYFUNCTION("""COMPUTED_VALUE"""),"No tiene")</f>
        <v>No tiene</v>
      </c>
      <c r="Z185" s="90" t="str">
        <f>IFERROR(__xludf.DUMMYFUNCTION("""COMPUTED_VALUE"""),"No aplica")</f>
        <v>No aplica</v>
      </c>
      <c r="AA185" s="33" t="str">
        <f>IFERROR(__xludf.DUMMYFUNCTION("""COMPUTED_VALUE"""),"48 años")</f>
        <v>48 años</v>
      </c>
      <c r="AB185" s="144" t="str">
        <f>IFERROR(__xludf.DUMMYFUNCTION("""COMPUTED_VALUE"""),"https://photos.app.goo.gl/KQV17NGjgUXDxUjr5")</f>
        <v>https://photos.app.goo.gl/KQV17NGjgUXDxUjr5</v>
      </c>
      <c r="AC185" s="46" t="str">
        <f>IFERROR(__xludf.DUMMYFUNCTION("""COMPUTED_VALUE"""),"Se VENDE Casa rentable con excelente ubicación cuenta con un área de terreno de 224.40 m2. Primer piso: Aparta estudio que consta de una habitación, baño, cocina integral, zona de lavandería, y parqueadero para moto. Casa primer piso: sala, comedor, baño "&amp;"social, 4 habitaciones con closets en madera, habitación principal con baño privado, zona de lavandería y patio de ropas, cocina integral, habitación de servicio con baño privado, y parqueadero cubierto. Segundo piso Apto con sala-comedor, cocina integral"&amp;", 4 habitaciones baño social y baño privado, zona de patio, estudio y parqueadero cubierto en el primer piso.")</f>
        <v>Se VENDE Casa rentable con excelente ubicación cuenta con un área de terreno de 224.40 m2. Primer piso: Aparta estudio que consta de una habitación, baño, cocina integral, zona de lavandería, y parqueadero para moto. Casa primer piso: sala, comedor, baño social, 4 habitaciones con closets en madera, habitación principal con baño privado, zona de lavandería y patio de ropas, cocina integral, habitación de servicio con baño privado, y parqueadero cubierto. Segundo piso Apto con sala-comedor, cocina integral, 4 habitaciones baño social y baño privado, zona de patio, estudio y parqueadero cubierto en el primer piso.</v>
      </c>
      <c r="AD185" s="46"/>
      <c r="AE185" s="46"/>
      <c r="AF185" s="46" t="str">
        <f>IFERROR(__xludf.DUMMYFUNCTION("""COMPUTED_VALUE"""),"semi-integral")</f>
        <v>semi-integral</v>
      </c>
      <c r="AG185" s="46"/>
      <c r="AH185" s="46" t="str">
        <f>IFERROR(__xludf.DUMMYFUNCTION("""COMPUTED_VALUE"""),"Verbal")</f>
        <v>Verbal</v>
      </c>
      <c r="AI185" s="92" t="str">
        <f>IFERROR(__xludf.DUMMYFUNCTION("""COMPUTED_VALUE"""),"https://lh3.googleusercontent.com/pw/AP1GczNhXKIwoImf1JdG3sOdWkMrmZfwYdeIg6xXUr8WErNWHKwehSpxxlxfBCPoEaKh95iCwwuUepo356SyPvXh2yTFMcD9m6l_-_YMORZpWfIdp40JVXbD=w1200|https://lh3.googleusercontent.com/pw/AP1GczOiGE-iCNduC9QfmCh3KZ_kLAVww5mDmm32FeqPS_mFHWFodc"&amp;"-Dr9NhDvb-UXwEwbOsT9diT-B2j72UPFo4jqRogYhMhnBiT0lPo2t6smuPZHPWVvjb=w1200|https://lh3.googleusercontent.com/pw/AP1GczNNFzWqb9CKj7JmA5sK4ETj-IOKcomkDQx414DCQp69MipHNCbF06eUjAvPxpvqC1Liu2u5p_26ZDDisfZiF41HQoE9p4O50lDQLX0ndWz_tbPfG6hx=w1200|https://lh3.google"&amp;"usercontent.com/pw/AP1GczNFVccI3kLVh8LzwkzOdL6CUyQVQHDU7Cj2nJgPZGxYl7WvCkmJsO9Dusdt0hwGRfiTDhL7O3iYYOj4KZ5bjuraqHHOyzLN5B8QOzh7iHJHBL6IyvM3=w1200|https://lh3.googleusercontent.com/pw/AP1GczMW77Ms3LqU3w7RKbp_ilwwyOxjyA_BVcooyB-9pJbKF2zpgf0YPFiFgtfYbMG9B4jK"&amp;"j31yF9IvBqxY7m_dYWz754kL0SfW0ezKKTRzouRGRj0c7DVd=w1200|https://lh3.googleusercontent.com/pw/AP1GczM8O4UfG35TYH-MAEn8ZCjJ8B0iOH_iURL6ynRHUCtiPUcXjuxT2BgBAKAXyi2I7CWy0AdnAmA6tNmsw_-GJH1W2lKDUsbgFur6JAnJdFVhfpW9tH8w=w1200|https://lh3.googleusercontent.com/pw"&amp;"/AP1GczOCvkrmQROuNZSVRJJYbEURuNMyPiEXrSwSKSt9ogs7u_N4Lj_bp6eTeucW1G-WYwGGH8YZgxDois8Il9BVdEFNdZdrnkUqQv0LxE22Hv3j_16HVqka=w1200|https://lh3.googleusercontent.com/pw/AP1GczM4h8VFf2nRvpU6xT3Akx_T6besaAr73oI8px61C869RXCZ1MWrrgjNAeLfifKVxhYEMc_aTJcFc0ABqEV11q"&amp;"fYdnr4uIg5VsUrrWhScSx9Qv-63B0k=w1200|https://lh3.googleusercontent.com/pw/AP1GczNIN1FEhWagAetWbG0wKWzOmq1jQuwn6u2zH1HapS68CKFG0o9_PFrUK831vXXB-1zjFcvrdb-TwJNheYoRyj9-yDLl-v0mhu_RnMDthSUBBDUaSB3E=w1200|https://lh3.googleusercontent.com/pw/AP1GczNIjjz97QVCd"&amp;"zFcpQC5RVVo3SWmnsu4x8JojB6AWEYdDLfXk_wWdyJdevjAxYthNqSGe_kn7XfPUxyqrBAUAon_wB23oOR4rzqDegG7DEGwc9Q0LnlJ=w1200|https://lh3.googleusercontent.com/pw/AP1GczPk9-hc5QxjHn0ndJr3zYSCIuPw1sOnOXgqHoHLO23ZWbTGUhri7hl-yyPyvTDaIS9sepnveCqKDszMFELdNaqVIlwnbrlVpgLE1AGf"&amp;"oBWdovdOXIPb=w1200|https://lh3.googleusercontent.com/pw/AP1GczPELbtDKPB4WGtEWAXN_hiSyrgfwXYsPdx6O6FBdmXJPNQSXfeB-_F9HK44R5sNAR2rSmUw8-a8Bf_iN7oYN87tYT6KmNFEbzTGG2Tb94MlG6HSbfwT=w1200|https://lh3.googleusercontent.com/pw/AP1GczPuHSeHuOaFEcCxfebLgFjE6x5nlfi"&amp;"6_UOWNZsAqSRblOCUhvaEhTOJXsYXxu5avAy3CWAYhDn3pcDtXke8VtOxdXYNw_I2yqjnvDG3MN9agaBLUVnn=w1200|https://lh3.googleusercontent.com/pw/AP1GczP2J9vTKjrAeqlN7UgpDSbkYdj043mvUvUcVIqUmpTS7dHfSc1pAhX3o8P2ATLedBGvGNPtR52dM4h21-syAy4Qx8O_qb7bKZhPl0iGSL29dQVlU7c-=w1200"&amp;"|https://lh3.googleusercontent.com/pw/AP1GczPkJgszUWR0xhREhGFTob8GNDMTpFpaya-Ce0X60TCwmeaB_SwKnxOO_QRUM5RDcvyYpDztS_rCCxL5Mkp7cw6wuioaSyEVsJG6tEWr_artbH3Ke-gV=w1200|https://lh3.googleusercontent.com/pw/AP1GczPAW3BTAyIxdOo0RiTEE4QqR4QBftGv3CTy5YmVcIekvjOZt"&amp;"Di0kHL4oRi6Y0qjLXsef4TofRjRizVWKcvl_daY_2Ry2DoT0aX5j7sLVN9ocrDJp_94=w1200")</f>
        <v>https://lh3.googleusercontent.com/pw/AP1GczNhXKIwoImf1JdG3sOdWkMrmZfwYdeIg6xXUr8WErNWHKwehSpxxlxfBCPoEaKh95iCwwuUepo356SyPvXh2yTFMcD9m6l_-_YMORZpWfIdp40JVXbD=w1200|https://lh3.googleusercontent.com/pw/AP1GczOiGE-iCNduC9QfmCh3KZ_kLAVww5mDmm32FeqPS_mFHWFodc-Dr9NhDvb-UXwEwbOsT9diT-B2j72UPFo4jqRogYhMhnBiT0lPo2t6smuPZHPWVvjb=w1200|https://lh3.googleusercontent.com/pw/AP1GczNNFzWqb9CKj7JmA5sK4ETj-IOKcomkDQx414DCQp69MipHNCbF06eUjAvPxpvqC1Liu2u5p_26ZDDisfZiF41HQoE9p4O50lDQLX0ndWz_tbPfG6hx=w1200|https://lh3.googleusercontent.com/pw/AP1GczNFVccI3kLVh8LzwkzOdL6CUyQVQHDU7Cj2nJgPZGxYl7WvCkmJsO9Dusdt0hwGRfiTDhL7O3iYYOj4KZ5bjuraqHHOyzLN5B8QOzh7iHJHBL6IyvM3=w1200|https://lh3.googleusercontent.com/pw/AP1GczMW77Ms3LqU3w7RKbp_ilwwyOxjyA_BVcooyB-9pJbKF2zpgf0YPFiFgtfYbMG9B4jKj31yF9IvBqxY7m_dYWz754kL0SfW0ezKKTRzouRGRj0c7DVd=w1200|https://lh3.googleusercontent.com/pw/AP1GczM8O4UfG35TYH-MAEn8ZCjJ8B0iOH_iURL6ynRHUCtiPUcXjuxT2BgBAKAXyi2I7CWy0AdnAmA6tNmsw_-GJH1W2lKDUsbgFur6JAnJdFVhfpW9tH8w=w1200|https://lh3.googleusercontent.com/pw/AP1GczOCvkrmQROuNZSVRJJYbEURuNMyPiEXrSwSKSt9ogs7u_N4Lj_bp6eTeucW1G-WYwGGH8YZgxDois8Il9BVdEFNdZdrnkUqQv0LxE22Hv3j_16HVqka=w1200|https://lh3.googleusercontent.com/pw/AP1GczM4h8VFf2nRvpU6xT3Akx_T6besaAr73oI8px61C869RXCZ1MWrrgjNAeLfifKVxhYEMc_aTJcFc0ABqEV11qfYdnr4uIg5VsUrrWhScSx9Qv-63B0k=w1200|https://lh3.googleusercontent.com/pw/AP1GczNIN1FEhWagAetWbG0wKWzOmq1jQuwn6u2zH1HapS68CKFG0o9_PFrUK831vXXB-1zjFcvrdb-TwJNheYoRyj9-yDLl-v0mhu_RnMDthSUBBDUaSB3E=w1200|https://lh3.googleusercontent.com/pw/AP1GczNIjjz97QVCdzFcpQC5RVVo3SWmnsu4x8JojB6AWEYdDLfXk_wWdyJdevjAxYthNqSGe_kn7XfPUxyqrBAUAon_wB23oOR4rzqDegG7DEGwc9Q0LnlJ=w1200|https://lh3.googleusercontent.com/pw/AP1GczPk9-hc5QxjHn0ndJr3zYSCIuPw1sOnOXgqHoHLO23ZWbTGUhri7hl-yyPyvTDaIS9sepnveCqKDszMFELdNaqVIlwnbrlVpgLE1AGfoBWdovdOXIPb=w1200|https://lh3.googleusercontent.com/pw/AP1GczPELbtDKPB4WGtEWAXN_hiSyrgfwXYsPdx6O6FBdmXJPNQSXfeB-_F9HK44R5sNAR2rSmUw8-a8Bf_iN7oYN87tYT6KmNFEbzTGG2Tb94MlG6HSbfwT=w1200|https://lh3.googleusercontent.com/pw/AP1GczPuHSeHuOaFEcCxfebLgFjE6x5nlfi6_UOWNZsAqSRblOCUhvaEhTOJXsYXxu5avAy3CWAYhDn3pcDtXke8VtOxdXYNw_I2yqjnvDG3MN9agaBLUVnn=w1200|https://lh3.googleusercontent.com/pw/AP1GczP2J9vTKjrAeqlN7UgpDSbkYdj043mvUvUcVIqUmpTS7dHfSc1pAhX3o8P2ATLedBGvGNPtR52dM4h21-syAy4Qx8O_qb7bKZhPl0iGSL29dQVlU7c-=w1200|https://lh3.googleusercontent.com/pw/AP1GczPkJgszUWR0xhREhGFTob8GNDMTpFpaya-Ce0X60TCwmeaB_SwKnxOO_QRUM5RDcvyYpDztS_rCCxL5Mkp7cw6wuioaSyEVsJG6tEWr_artbH3Ke-gV=w1200|https://lh3.googleusercontent.com/pw/AP1GczPAW3BTAyIxdOo0RiTEE4QqR4QBftGv3CTy5YmVcIekvjOZtDi0kHL4oRi6Y0qjLXsef4TofRjRizVWKcvl_daY_2Ry2DoT0aX5j7sLVN9ocrDJp_94=w1200</v>
      </c>
      <c r="AJ185" s="46"/>
      <c r="AK185" s="46"/>
      <c r="AL185" s="46"/>
      <c r="AM185" s="46"/>
      <c r="AN185" s="46"/>
      <c r="AO185" s="46"/>
      <c r="AP185" s="46"/>
      <c r="AQ185" s="46"/>
      <c r="AR185" s="46"/>
      <c r="AS185" s="46"/>
      <c r="AT185" s="46"/>
      <c r="AU185" s="46"/>
      <c r="AV185" s="46"/>
      <c r="AW185" s="46"/>
      <c r="AX185" s="46"/>
      <c r="AY185" s="46"/>
      <c r="AZ185" s="46"/>
      <c r="BA185" s="46"/>
      <c r="BB185" s="46"/>
      <c r="BC185" s="46"/>
      <c r="BD185" s="46"/>
      <c r="BE185" s="46"/>
      <c r="BF185" s="46"/>
      <c r="BG185" s="46"/>
      <c r="BH185" s="46"/>
      <c r="BI185" s="46"/>
      <c r="BJ185" s="46"/>
      <c r="BK185" s="46"/>
      <c r="BL185" s="46"/>
      <c r="BM185" s="46"/>
      <c r="BN185" s="46"/>
      <c r="BO185" s="46"/>
      <c r="BP185" s="46"/>
      <c r="BQ185" s="46"/>
      <c r="BR185" s="46"/>
      <c r="BS185" s="46"/>
      <c r="BT185" s="46"/>
      <c r="BU185" s="46"/>
      <c r="BV185" s="46"/>
      <c r="BW185" s="46"/>
      <c r="BX185" s="46"/>
      <c r="BY185" s="46"/>
      <c r="BZ185" s="46"/>
      <c r="CA185" s="46"/>
      <c r="CB185" s="46"/>
      <c r="CC185" s="46"/>
    </row>
    <row r="186">
      <c r="A186" s="87" t="str">
        <f>IFERROR(__xludf.DUMMYFUNCTION("""COMPUTED_VALUE"""),"851")</f>
        <v>851</v>
      </c>
      <c r="B186" s="46" t="str">
        <f>IFERROR(__xludf.DUMMYFUNCTION("""COMPUTED_VALUE"""),"Casa en barrio Emaya - sur")</f>
        <v>Casa en barrio Emaya - sur</v>
      </c>
      <c r="C186" s="46" t="str">
        <f>IFERROR(__xludf.DUMMYFUNCTION("""COMPUTED_VALUE"""),"Casa")</f>
        <v>Casa</v>
      </c>
      <c r="D186" s="46" t="str">
        <f>IFERROR(__xludf.DUMMYFUNCTION("""COMPUTED_VALUE"""),"Emaya")</f>
        <v>Emaya</v>
      </c>
      <c r="E186" s="46"/>
      <c r="F186" s="90">
        <f>IFERROR(__xludf.DUMMYFUNCTION("""COMPUTED_VALUE"""),1.3E8)</f>
        <v>130000000</v>
      </c>
      <c r="G186" s="46" t="str">
        <f>IFERROR(__xludf.DUMMYFUNCTION("""COMPUTED_VALUE"""),"$100'000.000 a $200'000.000")</f>
        <v>$100'000.000 a $200'000.000</v>
      </c>
      <c r="H186" s="46"/>
      <c r="I186" s="46"/>
      <c r="J186" s="46" t="str">
        <f>IFERROR(__xludf.DUMMYFUNCTION("""COMPUTED_VALUE"""),"Sur")</f>
        <v>Sur</v>
      </c>
      <c r="K186" s="87" t="str">
        <f>IFERROR(__xludf.DUMMYFUNCTION("""COMPUTED_VALUE"""),"6")</f>
        <v>6</v>
      </c>
      <c r="L186" s="46">
        <f>IFERROR(__xludf.DUMMYFUNCTION("""COMPUTED_VALUE"""),3.0)</f>
        <v>3</v>
      </c>
      <c r="M186" s="46"/>
      <c r="N186" s="46">
        <f>IFERROR(__xludf.DUMMYFUNCTION("""COMPUTED_VALUE"""),1.0)</f>
        <v>1</v>
      </c>
      <c r="O186" s="46">
        <f>IFERROR(__xludf.DUMMYFUNCTION("""COMPUTED_VALUE"""),0.0)</f>
        <v>0</v>
      </c>
      <c r="P186" s="46">
        <f>IFERROR(__xludf.DUMMYFUNCTION("""COMPUTED_VALUE"""),1.0)</f>
        <v>1</v>
      </c>
      <c r="Q186" s="92">
        <f>IFERROR(__xludf.DUMMYFUNCTION("""COMPUTED_VALUE"""),100.0)</f>
        <v>100</v>
      </c>
      <c r="R186" s="92">
        <f>IFERROR(__xludf.DUMMYFUNCTION("""COMPUTED_VALUE"""),104.0)</f>
        <v>104</v>
      </c>
      <c r="S186" s="87" t="str">
        <f>IFERROR(__xludf.DUMMYFUNCTION("""COMPUTED_VALUE""")," ")</f>
        <v> </v>
      </c>
      <c r="T186" s="46" t="str">
        <f>IFERROR(__xludf.DUMMYFUNCTION("""COMPUTED_VALUE"""),"Neiva")</f>
        <v>Neiva</v>
      </c>
      <c r="U186" s="87" t="str">
        <f>IFERROR(__xludf.DUMMYFUNCTION("""COMPUTED_VALUE"""),"2")</f>
        <v>2</v>
      </c>
      <c r="V186" s="46" t="str">
        <f>IFERROR(__xludf.DUMMYFUNCTION("""COMPUTED_VALUE"""),"Medianera")</f>
        <v>Medianera</v>
      </c>
      <c r="W186" s="46"/>
      <c r="X186" s="46">
        <f>IFERROR(__xludf.DUMMYFUNCTION("""COMPUTED_VALUE"""),0.0)</f>
        <v>0</v>
      </c>
      <c r="Y186" s="46" t="str">
        <f>IFERROR(__xludf.DUMMYFUNCTION("""COMPUTED_VALUE"""),"No tiene")</f>
        <v>No tiene</v>
      </c>
      <c r="Z186" s="90"/>
      <c r="AA186" s="33" t="str">
        <f>IFERROR(__xludf.DUMMYFUNCTION("""COMPUTED_VALUE"""),"No aplica")</f>
        <v>No aplica</v>
      </c>
      <c r="AB186" s="96" t="str">
        <f>IFERROR(__xludf.DUMMYFUNCTION("""COMPUTED_VALUE"""),"https://photos.app.goo.gl/MKPDnv4JVsmbi2wp7")</f>
        <v>https://photos.app.goo.gl/MKPDnv4JVsmbi2wp7</v>
      </c>
      <c r="AC186" s="46" t="str">
        <f>IFERROR(__xludf.DUMMYFUNCTION("""COMPUTED_VALUE"""),"Casa medianera, cuenta con reja antejardín, sala comedor, cocina básica,   3 habitaciones (no puertas), un baño y patio. Cubierta en teja de zinc con cercha en madera, piso en  cerámica, baldosa y cemento esmaltado pulido.")</f>
        <v>Casa medianera, cuenta con reja antejardín, sala comedor, cocina básica,   3 habitaciones (no puertas), un baño y patio. Cubierta en teja de zinc con cercha en madera, piso en  cerámica, baldosa y cemento esmaltado pulido.</v>
      </c>
      <c r="AD186" s="46" t="str">
        <f>IFERROR(__xludf.DUMMYFUNCTION("""COMPUTED_VALUE"""),"Casa medianera, estrato 2.")</f>
        <v>Casa medianera, estrato 2.</v>
      </c>
      <c r="AE186" s="46"/>
      <c r="AF186" s="46" t="str">
        <f>IFERROR(__xludf.DUMMYFUNCTION("""COMPUTED_VALUE"""),"básica")</f>
        <v>básica</v>
      </c>
      <c r="AG186" s="46"/>
      <c r="AH186" s="46" t="str">
        <f>IFERROR(__xludf.DUMMYFUNCTION("""COMPUTED_VALUE"""),"Aliado")</f>
        <v>Aliado</v>
      </c>
      <c r="AI186" s="92" t="str">
        <f>IFERROR(__xludf.DUMMYFUNCTION("""COMPUTED_VALUE"""),"https://lh3.googleusercontent.com/pw/AP1GczOuoBNwDBFU8_vN76HUZ29ojIZiqJyiosxC-u3KWhVjZshw28R1isgUmMWxP1zx8DJg15ux1xcWJhQVekvgex8rGKQ4Qf1VqVmwAklWL1Y8towZ8qo9=w1200|https://lh3.googleusercontent.com/pw/AP1GczO0IrQJDw5t3pMwAc4_1NExEXxrudpaCjZq9kMAsLc8IKzUIi"&amp;"Gj8pSVi9aRltVKkRWkvckxkR3cH5gPsKYG_IC4D4nVG7sSMslfgGYZWRVZmLj5UZw7=w1200|https://lh3.googleusercontent.com/pw/AP1GczNQI-u384HpvBUWfGslpjIsnKkQxcZbAozUUf_0jrtd191lZ4mzyI2z_Jsf5CBkVXwqjiKHBpI9tgVKvDPJl0YWShDvJaCFmcasrY_nxVqtAzG8Oopy=w1200|https://lh3.google"&amp;"usercontent.com/pw/AP1GczP2kwyxyxkpWcCa04eKm0GZKzj0F0ghQfbr8rqtR9iMZMKhR1Uobee6DsvzG_iGz9D7DO692ViWC1YA3JUVoQeYXuD01IhJtc_rNLIMwXOGbrY_iUt7=w1200|https://lh3.googleusercontent.com/pw/AP1GczO3OsN3u0fUSNH1U0Z-HqIS9iC85da4S8wxvlw5lCrUcrGlD8OSgialfufLP2iEoKOv"&amp;"6mOBjZMPsSU9EVj30RN0SNlMMS0VL6903NJ_qkhYi8liEg-X=w1200|https://lh3.googleusercontent.com/pw/AP1GczOLnK4TeXUKvEsnjClxvLjEoc14wFaNSC4AKHMT6k0jQgV60vAPe8QNM26IWrVoKcv-APNJB6rj7sdBh9Wm0JqafRm25l2r2uvTyMMRv6CnurBUI0IP=w1200|https://lh3.googleusercontent.com/pw"&amp;"/AP1GczNrf_sfsGJScabPbMBoAHf7CogW4kmThzw9PMgKELCb_DXDjQUOQZBSpC1a8LbSS1f-9h2nPWIrZE6g36e8-WD4cpMX6M1lU2zulN7IhydEphs8ZIio=w1200|https://lh3.googleusercontent.com/pw/AP1GczMLXvG7fEEsEQf6OYQSIDTrFoLghhjpzt9Ewr5XvU6oEegVA6If0nfYIiLpqB8hSaATQY6M5bh-HF4h9tgImh"&amp;"awlqJ7x4Fe3SleZxiLPryUPIWqka7s=w1200|https://lh3.googleusercontent.com/pw/AP1GczPCfh0SqY4PLzmlwOFSJjaOdG4MC3Ip30zxjV0axe-Mb1AL4VR8HNV6guD4XiqgfAwyW3MWYOZOyNmD6QMM8FKx9TcmVlpxIKkbkyzRMtq0rnesmqP7=w1200|https://lh3.googleusercontent.com/pw/AP1GczPfqWvyWuxD8"&amp;"WOA_1wZgEhXZI4rPnsDgCJl-gmZX1WGJX-y0bbV4XW8Mhay9DABvnjdU7v_D2rGo9pGBKXFuouF_Q24UerylG3JgG57nN83AkRfpfqu=w1200|https://lh3.googleusercontent.com/pw/AP1GczMzIS0LoVK4GPbYSE76mTOlWwNOaNaz5p2z5F2J6djIOHGVrZ6PbD9oQ35SA7N9SOQxD4IDaJvtitTq2a4ly-9bxuDBXByqTLMwGSFp"&amp;"THIxvtbLt7Rm=w1200|https://lh3.googleusercontent.com/pw/AP1GczNdue5_u4x1LmCNEkaDC84bQZXvIxBOfL8w97aepfW7QYcFQFIrAtmOHCn1sUCDTjBxo4SMdaypCiAXi5ucHPuojsrSlwnOi8dtuXixRPv2UT0QP32p=w1200|https://lh3.googleusercontent.com/pw/AP1GczOAMNsaul9QkPnlZhm0WSGTg5gZjsA"&amp;"JiOrbmzLmdzDJ_Y0074s5260V924Wv1eEUuOle7CfWq2qbGCNIklPaNjyKbzP4bnxI4yYsYJ3n25TW5rdzDzL=w1200|https://lh3.googleusercontent.com/pw/AP1GczM4Ok_9PyNyDZL5EJaO37tt8SsFhBcgs7IHtHOjD8NkfOcjueM3wmt06MgsCku3GjyXtS0rQ3rnodruFEmM8vtLPVV939MgBKKYqXJvYVUu9cYQMi6j=w1200")</f>
        <v>https://lh3.googleusercontent.com/pw/AP1GczOuoBNwDBFU8_vN76HUZ29ojIZiqJyiosxC-u3KWhVjZshw28R1isgUmMWxP1zx8DJg15ux1xcWJhQVekvgex8rGKQ4Qf1VqVmwAklWL1Y8towZ8qo9=w1200|https://lh3.googleusercontent.com/pw/AP1GczO0IrQJDw5t3pMwAc4_1NExEXxrudpaCjZq9kMAsLc8IKzUIiGj8pSVi9aRltVKkRWkvckxkR3cH5gPsKYG_IC4D4nVG7sSMslfgGYZWRVZmLj5UZw7=w1200|https://lh3.googleusercontent.com/pw/AP1GczNQI-u384HpvBUWfGslpjIsnKkQxcZbAozUUf_0jrtd191lZ4mzyI2z_Jsf5CBkVXwqjiKHBpI9tgVKvDPJl0YWShDvJaCFmcasrY_nxVqtAzG8Oopy=w1200|https://lh3.googleusercontent.com/pw/AP1GczP2kwyxyxkpWcCa04eKm0GZKzj0F0ghQfbr8rqtR9iMZMKhR1Uobee6DsvzG_iGz9D7DO692ViWC1YA3JUVoQeYXuD01IhJtc_rNLIMwXOGbrY_iUt7=w1200|https://lh3.googleusercontent.com/pw/AP1GczO3OsN3u0fUSNH1U0Z-HqIS9iC85da4S8wxvlw5lCrUcrGlD8OSgialfufLP2iEoKOv6mOBjZMPsSU9EVj30RN0SNlMMS0VL6903NJ_qkhYi8liEg-X=w1200|https://lh3.googleusercontent.com/pw/AP1GczOLnK4TeXUKvEsnjClxvLjEoc14wFaNSC4AKHMT6k0jQgV60vAPe8QNM26IWrVoKcv-APNJB6rj7sdBh9Wm0JqafRm25l2r2uvTyMMRv6CnurBUI0IP=w1200|https://lh3.googleusercontent.com/pw/AP1GczNrf_sfsGJScabPbMBoAHf7CogW4kmThzw9PMgKELCb_DXDjQUOQZBSpC1a8LbSS1f-9h2nPWIrZE6g36e8-WD4cpMX6M1lU2zulN7IhydEphs8ZIio=w1200|https://lh3.googleusercontent.com/pw/AP1GczMLXvG7fEEsEQf6OYQSIDTrFoLghhjpzt9Ewr5XvU6oEegVA6If0nfYIiLpqB8hSaATQY6M5bh-HF4h9tgImhawlqJ7x4Fe3SleZxiLPryUPIWqka7s=w1200|https://lh3.googleusercontent.com/pw/AP1GczPCfh0SqY4PLzmlwOFSJjaOdG4MC3Ip30zxjV0axe-Mb1AL4VR8HNV6guD4XiqgfAwyW3MWYOZOyNmD6QMM8FKx9TcmVlpxIKkbkyzRMtq0rnesmqP7=w1200|https://lh3.googleusercontent.com/pw/AP1GczPfqWvyWuxD8WOA_1wZgEhXZI4rPnsDgCJl-gmZX1WGJX-y0bbV4XW8Mhay9DABvnjdU7v_D2rGo9pGBKXFuouF_Q24UerylG3JgG57nN83AkRfpfqu=w1200|https://lh3.googleusercontent.com/pw/AP1GczMzIS0LoVK4GPbYSE76mTOlWwNOaNaz5p2z5F2J6djIOHGVrZ6PbD9oQ35SA7N9SOQxD4IDaJvtitTq2a4ly-9bxuDBXByqTLMwGSFpTHIxvtbLt7Rm=w1200|https://lh3.googleusercontent.com/pw/AP1GczNdue5_u4x1LmCNEkaDC84bQZXvIxBOfL8w97aepfW7QYcFQFIrAtmOHCn1sUCDTjBxo4SMdaypCiAXi5ucHPuojsrSlwnOi8dtuXixRPv2UT0QP32p=w1200|https://lh3.googleusercontent.com/pw/AP1GczOAMNsaul9QkPnlZhm0WSGTg5gZjsAJiOrbmzLmdzDJ_Y0074s5260V924Wv1eEUuOle7CfWq2qbGCNIklPaNjyKbzP4bnxI4yYsYJ3n25TW5rdzDzL=w1200|https://lh3.googleusercontent.com/pw/AP1GczM4Ok_9PyNyDZL5EJaO37tt8SsFhBcgs7IHtHOjD8NkfOcjueM3wmt06MgsCku3GjyXtS0rQ3rnodruFEmM8vtLPVV939MgBKKYqXJvYVUu9cYQMi6j=w1200</v>
      </c>
      <c r="AJ186" s="46"/>
      <c r="AK186" s="46"/>
      <c r="AL186" s="46"/>
      <c r="AM186" s="46"/>
      <c r="AN186" s="46"/>
      <c r="AO186" s="46"/>
      <c r="AP186" s="46"/>
      <c r="AQ186" s="46"/>
      <c r="AR186" s="46"/>
      <c r="AS186" s="46"/>
      <c r="AT186" s="46"/>
      <c r="AU186" s="46"/>
      <c r="AV186" s="46"/>
      <c r="AW186" s="46"/>
      <c r="AX186" s="46"/>
      <c r="AY186" s="46"/>
      <c r="AZ186" s="46"/>
      <c r="BA186" s="46"/>
      <c r="BB186" s="46"/>
      <c r="BC186" s="46"/>
      <c r="BD186" s="46"/>
      <c r="BE186" s="46"/>
      <c r="BF186" s="46"/>
      <c r="BG186" s="46"/>
      <c r="BH186" s="46"/>
      <c r="BI186" s="46"/>
      <c r="BJ186" s="46"/>
      <c r="BK186" s="46"/>
      <c r="BL186" s="46"/>
      <c r="BM186" s="46"/>
      <c r="BN186" s="46"/>
      <c r="BO186" s="46"/>
      <c r="BP186" s="46"/>
      <c r="BQ186" s="46"/>
      <c r="BR186" s="46"/>
      <c r="BS186" s="46"/>
      <c r="BT186" s="46"/>
      <c r="BU186" s="46"/>
      <c r="BV186" s="46"/>
      <c r="BW186" s="46"/>
      <c r="BX186" s="46"/>
      <c r="BY186" s="46"/>
      <c r="BZ186" s="46"/>
      <c r="CA186" s="46"/>
      <c r="CB186" s="46"/>
      <c r="CC186" s="46"/>
    </row>
    <row r="187">
      <c r="A187" s="87" t="str">
        <f>IFERROR(__xludf.DUMMYFUNCTION("""COMPUTED_VALUE"""),"550")</f>
        <v>550</v>
      </c>
      <c r="B187" s="46" t="str">
        <f>IFERROR(__xludf.DUMMYFUNCTION("""COMPUTED_VALUE"""),"Casa en barrio Alamos - Pitalito")</f>
        <v>Casa en barrio Alamos - Pitalito</v>
      </c>
      <c r="C187" s="46" t="str">
        <f>IFERROR(__xludf.DUMMYFUNCTION("""COMPUTED_VALUE"""),"Casa")</f>
        <v>Casa</v>
      </c>
      <c r="D187" s="46" t="str">
        <f>IFERROR(__xludf.DUMMYFUNCTION("""COMPUTED_VALUE"""),"Alamos")</f>
        <v>Alamos</v>
      </c>
      <c r="E187" s="46"/>
      <c r="F187" s="90">
        <f>IFERROR(__xludf.DUMMYFUNCTION("""COMPUTED_VALUE"""),2.85E9)</f>
        <v>2850000000</v>
      </c>
      <c r="G187" s="46" t="str">
        <f>IFERROR(__xludf.DUMMYFUNCTION("""COMPUTED_VALUE"""),"Más de $1.000'000.000")</f>
        <v>Más de $1.000'000.000</v>
      </c>
      <c r="H187" s="46"/>
      <c r="I187" s="46"/>
      <c r="J187" s="46" t="str">
        <f>IFERROR(__xludf.DUMMYFUNCTION("""COMPUTED_VALUE"""),"Norte")</f>
        <v>Norte</v>
      </c>
      <c r="K187" s="87"/>
      <c r="L187" s="46">
        <f>IFERROR(__xludf.DUMMYFUNCTION("""COMPUTED_VALUE"""),3.0)</f>
        <v>3</v>
      </c>
      <c r="M187" s="46"/>
      <c r="N187" s="46">
        <f>IFERROR(__xludf.DUMMYFUNCTION("""COMPUTED_VALUE"""),3.0)</f>
        <v>3</v>
      </c>
      <c r="O187" s="46">
        <f>IFERROR(__xludf.DUMMYFUNCTION("""COMPUTED_VALUE"""),1.0)</f>
        <v>1</v>
      </c>
      <c r="P187" s="46">
        <f>IFERROR(__xludf.DUMMYFUNCTION("""COMPUTED_VALUE"""),2.0)</f>
        <v>2</v>
      </c>
      <c r="Q187" s="92">
        <f>IFERROR(__xludf.DUMMYFUNCTION("""COMPUTED_VALUE"""),315.0)</f>
        <v>315</v>
      </c>
      <c r="R187" s="92">
        <f>IFERROR(__xludf.DUMMYFUNCTION("""COMPUTED_VALUE"""),2029.0)</f>
        <v>2029</v>
      </c>
      <c r="S187" s="87" t="str">
        <f>IFERROR(__xludf.DUMMYFUNCTION("""COMPUTED_VALUE""")," ")</f>
        <v> </v>
      </c>
      <c r="T187" s="46" t="str">
        <f>IFERROR(__xludf.DUMMYFUNCTION("""COMPUTED_VALUE"""),"Neiva")</f>
        <v>Neiva</v>
      </c>
      <c r="U187" s="87" t="str">
        <f>IFERROR(__xludf.DUMMYFUNCTION("""COMPUTED_VALUE"""),"3")</f>
        <v>3</v>
      </c>
      <c r="V187" s="46" t="str">
        <f>IFERROR(__xludf.DUMMYFUNCTION("""COMPUTED_VALUE"""),"Esquinera")</f>
        <v>Esquinera</v>
      </c>
      <c r="W187" s="46"/>
      <c r="X187" s="46">
        <f>IFERROR(__xludf.DUMMYFUNCTION("""COMPUTED_VALUE"""),3.0)</f>
        <v>3</v>
      </c>
      <c r="Y187" s="46" t="str">
        <f>IFERROR(__xludf.DUMMYFUNCTION("""COMPUTED_VALUE"""),"No tiene")</f>
        <v>No tiene</v>
      </c>
      <c r="Z187" s="90" t="str">
        <f>IFERROR(__xludf.DUMMYFUNCTION("""COMPUTED_VALUE"""),"No aplica")</f>
        <v>No aplica</v>
      </c>
      <c r="AA187" s="33" t="str">
        <f>IFERROR(__xludf.DUMMYFUNCTION("""COMPUTED_VALUE"""),"No aplica")</f>
        <v>No aplica</v>
      </c>
      <c r="AB187" s="96" t="str">
        <f>IFERROR(__xludf.DUMMYFUNCTION("""COMPUTED_VALUE"""),"https://photos.app.goo.gl/dxsSPH77xX2x8ZNa8")</f>
        <v>https://photos.app.goo.gl/dxsSPH77xX2x8ZNa8</v>
      </c>
      <c r="AC187" s="46" t="str">
        <f>IFERROR(__xludf.DUMMYFUNCTION("""COMPUTED_VALUE"""),"En su interior, la arquitectura destaca por sus finos acabados modernos y materiales de excelente calidad. Los espacios lucen pisos de porcelanato formato grande en tono neutro, iluminación empotrada tipo ojos de buey en cielorrasos de drywall y una elega"&amp;"nte gama de tonos blancos y grises en sus paredes. La cocina integral está equipada con mesones de granito pulido en color negro absoluto, grifería monocontrol de alta gama y amplios gabinetes en melamina de tono carbón con herrajes de acero inoxidable. A"&amp;"simismo, la zona social y de baños integra revestimientos cerámicos de textura piedra y divisiones contemporáneas, creando un ambiente sofisticado listo para estrenar.")</f>
        <v>En su interior, la arquitectura destaca por sus finos acabados modernos y materiales de excelente calidad. Los espacios lucen pisos de porcelanato formato grande en tono neutro, iluminación empotrada tipo ojos de buey en cielorrasos de drywall y una elegante gama de tonos blancos y grises en sus paredes. La cocina integral está equipada con mesones de granito pulido en color negro absoluto, grifería monocontrol de alta gama y amplios gabinetes en melamina de tono carbón con herrajes de acero inoxidable. Asimismo, la zona social y de baños integra revestimientos cerámicos de textura piedra y divisiones contemporáneas, creando un ambiente sofisticado listo para estrenar.</v>
      </c>
      <c r="AD187" s="46" t="str">
        <f>IFERROR(__xludf.DUMMYFUNCTION("""COMPUTED_VALUE"""),"Esta impresionante propiedad remodelada combina la amplitud y tranquilidad de un entorno campestre con los beneficios de una ubicación privilegiada en el barrio Álamos de Pitalito, Huila, a pocos pasos del almacén Éxito. Situada sobre un imponente lote ur"&amp;"bano de 2.029 m² en estrato 3, la residencia está rodeada por un cerramiento perimetral de reja metálica sobre muro bajo y columnas de mampostería en tono granate, lo que garantiza máxima privacidad y seguridad. La vivienda, de 315 m² construidos, ha sido"&amp;" renovada estructuralmente con una cubierta completamente nueva en teja termoacústica de color rojo y redes eléctricas e hidráulicas actualizadas.")</f>
        <v>Esta impresionante propiedad remodelada combina la amplitud y tranquilidad de un entorno campestre con los beneficios de una ubicación privilegiada en el barrio Álamos de Pitalito, Huila, a pocos pasos del almacén Éxito. Situada sobre un imponente lote urbano de 2.029 m² en estrato 3, la residencia está rodeada por un cerramiento perimetral de reja metálica sobre muro bajo y columnas de mampostería en tono granate, lo que garantiza máxima privacidad y seguridad. La vivienda, de 315 m² construidos, ha sido renovada estructuralmente con una cubierta completamente nueva en teja termoacústica de color rojo y redes eléctricas e hidráulicas actualizadas.</v>
      </c>
      <c r="AE187" s="46"/>
      <c r="AF187" s="46" t="str">
        <f>IFERROR(__xludf.DUMMYFUNCTION("""COMPUTED_VALUE"""),"integral")</f>
        <v>integral</v>
      </c>
      <c r="AG187" s="46"/>
      <c r="AH187" s="46" t="str">
        <f>IFERROR(__xludf.DUMMYFUNCTION("""COMPUTED_VALUE"""),"Directo")</f>
        <v>Directo</v>
      </c>
      <c r="AI187" s="92" t="str">
        <f>IFERROR(__xludf.DUMMYFUNCTION("""COMPUTED_VALUE"""),"https://lh3.googleusercontent.com/pw/AP1GczOc_duFLjiysg0jaojN8xBhpIXss8u7pGwl6Xae8vY7bROrU7h3OTt7zjn6mNkdPzZvop_fSivQOpcTQSUg_H_vd00_AvEGE1SIuZmmwJEm_PLLXSKW=w1200|https://lh3.googleusercontent.com/pw/AP1GczMpWt3ffrR-woAMJXrmtggHRAMA2P6pouwh1RjEny7EY7qLji"&amp;"TEKm_xSykOg7v0zgJmK40YZnV-VDolh5e6kbo5pMtDxny4mPtbrFkooZU_3weW6vwd=w1200|https://lh3.googleusercontent.com/pw/AP1GczMYyDb_YKDyE2c0U5INxvXF6U3fZcZcprQwcp_ekb_GF6WdRxBAFJFHJARCmTeeS39hUu_wneM8pgU6sXNk_L_pAMTEGXzk7E11tht2H1kZ1M2vfMgW=w1200|https://lh3.google"&amp;"usercontent.com/pw/AP1GczNXYYSY7SduhP95XoTPXHgqfiAi1WwVuWqO9FPdmhbM6SHtKG-pbIvj7VkHW1RNRlggIiK8fqSWMbNofzGjCF58TWMyOWJ30b4kqTfWYZO1MpjlBz_D=w1200|https://lh3.googleusercontent.com/pw/AP1GczPGJ_tdvD2GXVdridoegMGr6J2S5DHzkbcHZUvxxUlCTc6pD1BMXf62Ic4P_L6oNQH7"&amp;"naOyuOI-Imsc-1WNaTYTfsyHGz7kFofKIUPCi8Dqo36rrBdz=w1200|https://lh3.googleusercontent.com/pw/AP1GczMeb7w6LXqUPiayWWhHKJnEU7srKJZQF6xYpH7dVqhNr2gD5BHSI1H2GBlBOHhV_trzeP8YXNOOuuQCJBzMjCiynq5LNbvANmKaM0RlaUs5OdrBOCZU=w1200|https://lh3.googleusercontent.com/pw"&amp;"/AP1GczP_aVYgm-nbqwwjgDL419YvmOxQ_CmAcVyaGTSflvYKyZts629t21z0FmXZyNX2XBCGpzmcg4r-JcAmmSn1k2bncccX6hk5ZjrgU9sX1HH6Q6uLTcAj=w1200|https://lh3.googleusercontent.com/pw/AP1GczMqqgaaw-l714ZkjcImoa3W9NDcarXwCxfkrIs8Oc0pmYRQ7vEscrgrMdHrDWwhI4s0YcP2B7hwuiZLAVy2Dj"&amp;"Pr9ZRmGsT4b87x9cYOFNp7aWfvYTlz=w1200|https://lh3.googleusercontent.com/pw/AP1GczOKBgvfMDPy_73Z9ELZ45FTRGf5ab8hG8R72pnJUrWM2ppJ5Fq86GLUVMJ-y_kGbXdSqdnJxxuyANk9M6_Q7oZgxYnh7FEnQ88VZRpSESzUizYZT6_7=w1200|https://lh3.googleusercontent.com/pw/AP1GczOi2pxBE6UXk"&amp;"eZ6rqCBTL_XepcdYaIGMm58ua6Y5l-253WnCS5pU3yU9X68q2XPPL8XFLUD-9zWZctuq12JcllqA8Ao_RfjD3z9VYQjXWJQerN9XoiQ=w1200|https://lh3.googleusercontent.com/pw/AP1GczOdbWflZ1EACuOZ06VFWolCR4Nn5Sc2gkGPJO0BM2wy9p1pr8UOET_VpLUYJ-oHyho17P8sVaCOM_CUGgfZtDcLIc8Ksylr6JafS9Ca"&amp;"wCEBo8sQa_uN=w1200|https://lh3.googleusercontent.com/pw/AP1GczM4Ro1dMYp9uG0UPylvYUF1JUlQgBdeJNED1iw4FV7FV-m-QRXkcbaCn64zBZ97904rAB2IFxLxcKOlvRa_2oEYhDoohnx4Ui9qJQCHjExE7HLyLBwq=w1200|https://lh3.googleusercontent.com/pw/AP1GczMRh-ClR6qka1r7W_ICITnar2EFDEO"&amp;"1pLMFMnvEtiNQFqWZIFE7Epw-7iOb2ppRRHF_brna9mGHWKiJQp8Kt0ScKGfiZHHaEglMCqM7T9p4JV_rogg-=w1200|https://lh3.googleusercontent.com/pw/AP1GczN4BiZ_AaLIrgnvp7Ir56SLo43KBuzscAzeuOdPvIKsG13Pesl1nB5v6yjIuWrBrct1N_qXPj1zwx9YmgVpaUJS3PQzrdJxQmV4CaUiQiOaXBgQtD1U=w1200"&amp;"|https://lh3.googleusercontent.com/pw/AP1GczMwq4fFRS1rdHAs1aEDRwwchRWcgZFikZuUQZ4CtFtZj4z3DVwB7ALUM2mOdHGPMOHoJ7QW1MfAv3AiuEPprdBaAldPqmlrWgQQUS92Q2QmhNda0_CK=w1200|https://lh3.googleusercontent.com/pw/AP1GczNjPuxVLp7VMB4_HC78f0dGdWDRtQmEfiFV1oQs7RgY6kQvm"&amp;"bTr0ScFdnSvYNtg2Vq1qRD8JoT2qMMkTTeTZqjHa1aET9amVJdjRmLPNuEQhi9yI_tL=w1200|https://lh3.googleusercontent.com/pw/AP1GczPVH8n4kIbms8iYQQEiMFzqg5sVT528rd2SZv1auwhxDzmNE6TrS8FV9fPussvDR9v-gXUAHNKqaHObk6SwjsDwxRhNWN8obFoEKpTx099T0TF6QIZi=w1200|https://lh3.googl"&amp;"eusercontent.com/pw/AP1GczPooYR5lR_UyX6CTqUH_vkQ5_VI_-idt6UH5ln00693WcYluTeVjDnq_oki-724a7ykXYcbhquqg26al3o8xJ_qSlJsNviyIX16HOK04nSzsq1axgel=w1200|https://lh3.googleusercontent.com/pw/AP1GczMpFW9EA2AXUnTojqHO3RwzvD9tAUzjmLumFN340G77kbU9JndBsnoi8USc3kJkICH"&amp;"fXyBvU0R99NAE8CqNZteYQUpHTIRE917FmTSnIQGV4wBKeswr=w1200|https://lh3.googleusercontent.com/pw/AP1GczM7hfwhl2A0iNmG0xJDIfnlcIDiMMroaFkCaLqF-WcpQFWo0RhUjBQCrfWXBXeztx1k5UM_vTOjTKJRlr1lpffO5LV4d9DG5ppFUr8_iWTJ1BIqujYJ=w1200|https://lh3.googleusercontent.com/p"&amp;"w/AP1GczOQO6w_pqHQwOK2BJVXrp74Fuzjvf3NlYUpP03QsXK9Q8671G5YxBwepzdoFZU26T7ZzSPji6_sVB2lsz_WzMYctBp7Amg3k_zQIsXZWpQzzP9baapy=w1200|https://lh3.googleusercontent.com/pw/AP1GczMe4hq0s9RY5HIlOTK__0YoLspRJDrfK2G-sfAqRbisGMXS4pRkVUW-fSyYgUktRihYJsM3_FbXOyw8Ot1mj"&amp;"rMYxUQMXkYzZOJf2ykS4aNUae0YjCxv=w1200|https://lh3.googleusercontent.com/pw/AP1GczPrhgVWgcBtWHSKee35L_ucTEjnClJdfom9BXr8tdJEcr55Fxj-s6VzWntI_7Ofi5qZxv7U6lj7b22XRD0nxn_ltXp3UbA4-zFPFwXaYPQNpIZfbor7=w1200|https://lh3.googleusercontent.com/pw/AP1GczPGYsGdECfZ"&amp;"wMMAvF0JsalWbz6KKuWMLHYe37nFK94nXL_Sbr26y6ZerVXzw0eQYytLYwvA67kA-3Z43CpVJ7VfIqNP1E12SS2GX0W_2Qz-VHZdpVsF=w1200|https://lh3.googleusercontent.com/pw/AP1GczMxWIhT0r2n7uiA0AalJU2PPkDaj_mOfAwKbumCHUCIMjGKv2SbQColhMwyEvjseIueGMfUGp3G30GkPG-qcO6CEhZHbT1esYyTkXA"&amp;"ufZJvSnjQGvp8=w1200|https://lh3.googleusercontent.com/pw/AP1GczObKsAe77bqm9KNRaBQrSCFaEJcc6RYIAo7xQVr66-O8v37QebDfO4knRLyl9iJBPWQFx24z5Re0oUiBcjBAl3uj06tbszlZw9PevZGEPZeiut8VYmX=w1200|https://lh3.googleusercontent.com/pw/AP1GczNKPwgiRevpR-cZmM3LK4lqu7TEDo"&amp;"uF0SPt5XHebT8lcXFAgv_23d_6GQ0rygfAmP2J2yqL02uJ2VZVCMwG_xG49Na2yXOjKOEAybewEvBqRuZB27jf=w1200|https://lh3.googleusercontent.com/pw/AP1GczNFFUR2eVLH2b-umd-Jkj4FITWFO2KsKc8fWuZ5XK75kL9A5uezM3QYzxlpXNJtA3hPSu2L-SQ41zrNs8GD5M-NVWy7URt81aZbgf7lokwWSxwvmRtu=w120"&amp;"0|https://lh3.googleusercontent.com/pw/AP1GczOK-0iAkiOKmfFfiQTFVIbx1TOE_fiAhy5HDod2RovPh4io38-BnSuH_cuD9XjFr9-PA_52eas6TtQMbjr6gqjtvhAeLGZ_qP9N3p6NepXJ7w51ycy4=w1200|https://lh3.googleusercontent.com/pw/AP1GczN9SFxvqaZKMJM23dPyvvhL4uiqK3NjA1WCx0wE1YxQUhq-"&amp;"CWorcRLUy6EkEEpX7Ef74_KJifhnVQSxYBHOt5YKwh2pq9xFozNNWq_p2EnPfswSrPKZ=w1200")</f>
        <v>https://lh3.googleusercontent.com/pw/AP1GczOc_duFLjiysg0jaojN8xBhpIXss8u7pGwl6Xae8vY7bROrU7h3OTt7zjn6mNkdPzZvop_fSivQOpcTQSUg_H_vd00_AvEGE1SIuZmmwJEm_PLLXSKW=w1200|https://lh3.googleusercontent.com/pw/AP1GczMpWt3ffrR-woAMJXrmtggHRAMA2P6pouwh1RjEny7EY7qLjiTEKm_xSykOg7v0zgJmK40YZnV-VDolh5e6kbo5pMtDxny4mPtbrFkooZU_3weW6vwd=w1200|https://lh3.googleusercontent.com/pw/AP1GczMYyDb_YKDyE2c0U5INxvXF6U3fZcZcprQwcp_ekb_GF6WdRxBAFJFHJARCmTeeS39hUu_wneM8pgU6sXNk_L_pAMTEGXzk7E11tht2H1kZ1M2vfMgW=w1200|https://lh3.googleusercontent.com/pw/AP1GczNXYYSY7SduhP95XoTPXHgqfiAi1WwVuWqO9FPdmhbM6SHtKG-pbIvj7VkHW1RNRlggIiK8fqSWMbNofzGjCF58TWMyOWJ30b4kqTfWYZO1MpjlBz_D=w1200|https://lh3.googleusercontent.com/pw/AP1GczPGJ_tdvD2GXVdridoegMGr6J2S5DHzkbcHZUvxxUlCTc6pD1BMXf62Ic4P_L6oNQH7naOyuOI-Imsc-1WNaTYTfsyHGz7kFofKIUPCi8Dqo36rrBdz=w1200|https://lh3.googleusercontent.com/pw/AP1GczMeb7w6LXqUPiayWWhHKJnEU7srKJZQF6xYpH7dVqhNr2gD5BHSI1H2GBlBOHhV_trzeP8YXNOOuuQCJBzMjCiynq5LNbvANmKaM0RlaUs5OdrBOCZU=w1200|https://lh3.googleusercontent.com/pw/AP1GczP_aVYgm-nbqwwjgDL419YvmOxQ_CmAcVyaGTSflvYKyZts629t21z0FmXZyNX2XBCGpzmcg4r-JcAmmSn1k2bncccX6hk5ZjrgU9sX1HH6Q6uLTcAj=w1200|https://lh3.googleusercontent.com/pw/AP1GczMqqgaaw-l714ZkjcImoa3W9NDcarXwCxfkrIs8Oc0pmYRQ7vEscrgrMdHrDWwhI4s0YcP2B7hwuiZLAVy2DjPr9ZRmGsT4b87x9cYOFNp7aWfvYTlz=w1200|https://lh3.googleusercontent.com/pw/AP1GczOKBgvfMDPy_73Z9ELZ45FTRGf5ab8hG8R72pnJUrWM2ppJ5Fq86GLUVMJ-y_kGbXdSqdnJxxuyANk9M6_Q7oZgxYnh7FEnQ88VZRpSESzUizYZT6_7=w1200|https://lh3.googleusercontent.com/pw/AP1GczOi2pxBE6UXkeZ6rqCBTL_XepcdYaIGMm58ua6Y5l-253WnCS5pU3yU9X68q2XPPL8XFLUD-9zWZctuq12JcllqA8Ao_RfjD3z9VYQjXWJQerN9XoiQ=w1200|https://lh3.googleusercontent.com/pw/AP1GczOdbWflZ1EACuOZ06VFWolCR4Nn5Sc2gkGPJO0BM2wy9p1pr8UOET_VpLUYJ-oHyho17P8sVaCOM_CUGgfZtDcLIc8Ksylr6JafS9CawCEBo8sQa_uN=w1200|https://lh3.googleusercontent.com/pw/AP1GczM4Ro1dMYp9uG0UPylvYUF1JUlQgBdeJNED1iw4FV7FV-m-QRXkcbaCn64zBZ97904rAB2IFxLxcKOlvRa_2oEYhDoohnx4Ui9qJQCHjExE7HLyLBwq=w1200|https://lh3.googleusercontent.com/pw/AP1GczMRh-ClR6qka1r7W_ICITnar2EFDEO1pLMFMnvEtiNQFqWZIFE7Epw-7iOb2ppRRHF_brna9mGHWKiJQp8Kt0ScKGfiZHHaEglMCqM7T9p4JV_rogg-=w1200|https://lh3.googleusercontent.com/pw/AP1GczN4BiZ_AaLIrgnvp7Ir56SLo43KBuzscAzeuOdPvIKsG13Pesl1nB5v6yjIuWrBrct1N_qXPj1zwx9YmgVpaUJS3PQzrdJxQmV4CaUiQiOaXBgQtD1U=w1200|https://lh3.googleusercontent.com/pw/AP1GczMwq4fFRS1rdHAs1aEDRwwchRWcgZFikZuUQZ4CtFtZj4z3DVwB7ALUM2mOdHGPMOHoJ7QW1MfAv3AiuEPprdBaAldPqmlrWgQQUS92Q2QmhNda0_CK=w1200|https://lh3.googleusercontent.com/pw/AP1GczNjPuxVLp7VMB4_HC78f0dGdWDRtQmEfiFV1oQs7RgY6kQvmbTr0ScFdnSvYNtg2Vq1qRD8JoT2qMMkTTeTZqjHa1aET9amVJdjRmLPNuEQhi9yI_tL=w1200|https://lh3.googleusercontent.com/pw/AP1GczPVH8n4kIbms8iYQQEiMFzqg5sVT528rd2SZv1auwhxDzmNE6TrS8FV9fPussvDR9v-gXUAHNKqaHObk6SwjsDwxRhNWN8obFoEKpTx099T0TF6QIZi=w1200|https://lh3.googleusercontent.com/pw/AP1GczPooYR5lR_UyX6CTqUH_vkQ5_VI_-idt6UH5ln00693WcYluTeVjDnq_oki-724a7ykXYcbhquqg26al3o8xJ_qSlJsNviyIX16HOK04nSzsq1axgel=w1200|https://lh3.googleusercontent.com/pw/AP1GczMpFW9EA2AXUnTojqHO3RwzvD9tAUzjmLumFN340G77kbU9JndBsnoi8USc3kJkICHfXyBvU0R99NAE8CqNZteYQUpHTIRE917FmTSnIQGV4wBKeswr=w1200|https://lh3.googleusercontent.com/pw/AP1GczM7hfwhl2A0iNmG0xJDIfnlcIDiMMroaFkCaLqF-WcpQFWo0RhUjBQCrfWXBXeztx1k5UM_vTOjTKJRlr1lpffO5LV4d9DG5ppFUr8_iWTJ1BIqujYJ=w1200|https://lh3.googleusercontent.com/pw/AP1GczOQO6w_pqHQwOK2BJVXrp74Fuzjvf3NlYUpP03QsXK9Q8671G5YxBwepzdoFZU26T7ZzSPji6_sVB2lsz_WzMYctBp7Amg3k_zQIsXZWpQzzP9baapy=w1200|https://lh3.googleusercontent.com/pw/AP1GczMe4hq0s9RY5HIlOTK__0YoLspRJDrfK2G-sfAqRbisGMXS4pRkVUW-fSyYgUktRihYJsM3_FbXOyw8Ot1mjrMYxUQMXkYzZOJf2ykS4aNUae0YjCxv=w1200|https://lh3.googleusercontent.com/pw/AP1GczPrhgVWgcBtWHSKee35L_ucTEjnClJdfom9BXr8tdJEcr55Fxj-s6VzWntI_7Ofi5qZxv7U6lj7b22XRD0nxn_ltXp3UbA4-zFPFwXaYPQNpIZfbor7=w1200|https://lh3.googleusercontent.com/pw/AP1GczPGYsGdECfZwMMAvF0JsalWbz6KKuWMLHYe37nFK94nXL_Sbr26y6ZerVXzw0eQYytLYwvA67kA-3Z43CpVJ7VfIqNP1E12SS2GX0W_2Qz-VHZdpVsF=w1200|https://lh3.googleusercontent.com/pw/AP1GczMxWIhT0r2n7uiA0AalJU2PPkDaj_mOfAwKbumCHUCIMjGKv2SbQColhMwyEvjseIueGMfUGp3G30GkPG-qcO6CEhZHbT1esYyTkXAufZJvSnjQGvp8=w1200|https://lh3.googleusercontent.com/pw/AP1GczObKsAe77bqm9KNRaBQrSCFaEJcc6RYIAo7xQVr66-O8v37QebDfO4knRLyl9iJBPWQFx24z5Re0oUiBcjBAl3uj06tbszlZw9PevZGEPZeiut8VYmX=w1200|https://lh3.googleusercontent.com/pw/AP1GczNKPwgiRevpR-cZmM3LK4lqu7TEDouF0SPt5XHebT8lcXFAgv_23d_6GQ0rygfAmP2J2yqL02uJ2VZVCMwG_xG49Na2yXOjKOEAybewEvBqRuZB27jf=w1200|https://lh3.googleusercontent.com/pw/AP1GczNFFUR2eVLH2b-umd-Jkj4FITWFO2KsKc8fWuZ5XK75kL9A5uezM3QYzxlpXNJtA3hPSu2L-SQ41zrNs8GD5M-NVWy7URt81aZbgf7lokwWSxwvmRtu=w1200|https://lh3.googleusercontent.com/pw/AP1GczOK-0iAkiOKmfFfiQTFVIbx1TOE_fiAhy5HDod2RovPh4io38-BnSuH_cuD9XjFr9-PA_52eas6TtQMbjr6gqjtvhAeLGZ_qP9N3p6NepXJ7w51ycy4=w1200|https://lh3.googleusercontent.com/pw/AP1GczN9SFxvqaZKMJM23dPyvvhL4uiqK3NjA1WCx0wE1YxQUhq-CWorcRLUy6EkEEpX7Ef74_KJifhnVQSxYBHOt5YKwh2pq9xFozNNWq_p2EnPfswSrPKZ=w1200</v>
      </c>
      <c r="AJ187" s="46"/>
      <c r="AK187" s="46"/>
      <c r="AL187" s="46"/>
      <c r="AM187" s="46"/>
      <c r="AN187" s="46"/>
      <c r="AO187" s="46"/>
      <c r="AP187" s="46"/>
      <c r="AQ187" s="46"/>
      <c r="AR187" s="46"/>
      <c r="AS187" s="46"/>
      <c r="AT187" s="46"/>
      <c r="AU187" s="46"/>
      <c r="AV187" s="46"/>
      <c r="AW187" s="46"/>
      <c r="AX187" s="46"/>
      <c r="AY187" s="46"/>
      <c r="AZ187" s="46"/>
      <c r="BA187" s="46"/>
      <c r="BB187" s="46"/>
      <c r="BC187" s="46"/>
      <c r="BD187" s="46"/>
      <c r="BE187" s="46"/>
      <c r="BF187" s="46"/>
      <c r="BG187" s="46"/>
      <c r="BH187" s="46"/>
      <c r="BI187" s="46"/>
      <c r="BJ187" s="46"/>
      <c r="BK187" s="46"/>
      <c r="BL187" s="46"/>
      <c r="BM187" s="46"/>
      <c r="BN187" s="46"/>
      <c r="BO187" s="46"/>
      <c r="BP187" s="46"/>
      <c r="BQ187" s="46"/>
      <c r="BR187" s="46"/>
      <c r="BS187" s="46"/>
      <c r="BT187" s="46"/>
      <c r="BU187" s="46"/>
      <c r="BV187" s="46"/>
      <c r="BW187" s="46"/>
      <c r="BX187" s="46"/>
      <c r="BY187" s="46"/>
      <c r="BZ187" s="46"/>
      <c r="CA187" s="46"/>
      <c r="CB187" s="46"/>
      <c r="CC187" s="46"/>
    </row>
    <row r="188">
      <c r="A188" s="87" t="str">
        <f>IFERROR(__xludf.DUMMYFUNCTION("""COMPUTED_VALUE"""),"892")</f>
        <v>892</v>
      </c>
      <c r="B188" s="46" t="str">
        <f>IFERROR(__xludf.DUMMYFUNCTION("""COMPUTED_VALUE"""),"Finca campestre - Riverita - Huila")</f>
        <v>Finca campestre - Riverita - Huila</v>
      </c>
      <c r="C188" s="46" t="str">
        <f>IFERROR(__xludf.DUMMYFUNCTION("""COMPUTED_VALUE"""),"Finca")</f>
        <v>Finca</v>
      </c>
      <c r="D188" s="46"/>
      <c r="E188" s="46"/>
      <c r="F188" s="90">
        <f>IFERROR(__xludf.DUMMYFUNCTION("""COMPUTED_VALUE"""),1.2E9)</f>
        <v>1200000000</v>
      </c>
      <c r="G188" s="46" t="str">
        <f>IFERROR(__xludf.DUMMYFUNCTION("""COMPUTED_VALUE"""),"Más de $1.000'000.000")</f>
        <v>Más de $1.000'000.000</v>
      </c>
      <c r="H188" s="46"/>
      <c r="I188" s="46"/>
      <c r="J188" s="46" t="str">
        <f>IFERROR(__xludf.DUMMYFUNCTION("""COMPUTED_VALUE"""),"Rural")</f>
        <v>Rural</v>
      </c>
      <c r="K188" s="87"/>
      <c r="L188" s="46">
        <f>IFERROR(__xludf.DUMMYFUNCTION("""COMPUTED_VALUE"""),4.0)</f>
        <v>4</v>
      </c>
      <c r="M188" s="46"/>
      <c r="N188" s="46">
        <f>IFERROR(__xludf.DUMMYFUNCTION("""COMPUTED_VALUE"""),4.0)</f>
        <v>4</v>
      </c>
      <c r="O188" s="46">
        <f>IFERROR(__xludf.DUMMYFUNCTION("""COMPUTED_VALUE"""),3.0)</f>
        <v>3</v>
      </c>
      <c r="P188" s="46">
        <f>IFERROR(__xludf.DUMMYFUNCTION("""COMPUTED_VALUE"""),1.0)</f>
        <v>1</v>
      </c>
      <c r="Q188" s="92">
        <f>IFERROR(__xludf.DUMMYFUNCTION("""COMPUTED_VALUE"""),650.0)</f>
        <v>650</v>
      </c>
      <c r="R188" s="92" t="str">
        <f>IFERROR(__xludf.DUMMYFUNCTION("""COMPUTED_VALUE"""),"30.000.00")</f>
        <v>30.000.00</v>
      </c>
      <c r="S188" s="87"/>
      <c r="T188" s="46" t="str">
        <f>IFERROR(__xludf.DUMMYFUNCTION("""COMPUTED_VALUE"""),"Riverita")</f>
        <v>Riverita</v>
      </c>
      <c r="U188" s="87"/>
      <c r="V188" s="46"/>
      <c r="W188" s="46"/>
      <c r="X188" s="46">
        <f>IFERROR(__xludf.DUMMYFUNCTION("""COMPUTED_VALUE"""),3.0)</f>
        <v>3</v>
      </c>
      <c r="Y188" s="46" t="str">
        <f>IFERROR(__xludf.DUMMYFUNCTION("""COMPUTED_VALUE"""),"Privada")</f>
        <v>Privada</v>
      </c>
      <c r="Z188" s="90"/>
      <c r="AA188" s="33" t="str">
        <f>IFERROR(__xludf.DUMMYFUNCTION("""COMPUTED_VALUE"""),"No aplica")</f>
        <v>No aplica</v>
      </c>
      <c r="AB188" s="96" t="str">
        <f>IFERROR(__xludf.DUMMYFUNCTION("""COMPUTED_VALUE"""),"https://photos.app.goo.gl/WMu8sreanb64biwQ6")</f>
        <v>https://photos.app.goo.gl/WMu8sreanb64biwQ6</v>
      </c>
      <c r="AC188" s="46" t="str">
        <f>IFERROR(__xludf.DUMMYFUNCTION("""COMPUTED_VALUE"""),"Finca campestre, ubicada en Riverita. Área del lote: 3 has. Aproximadamente, cuenta con 2 piscinas, 6 caballerizas, 2 lagos, parque para niños, cancha de futbol, 2 casas, (Principal y Mayordomo). Área de recreación, área de camping, área horno de barro tr"&amp;"adicional, área gallinero, establo, 2 aljibes (Uso riego y doméstico). Cuenta con todos los servicios.")</f>
        <v>Finca campestre, ubicada en Riverita. Área del lote: 3 has. Aproximadamente, cuenta con 2 piscinas, 6 caballerizas, 2 lagos, parque para niños, cancha de futbol, 2 casas, (Principal y Mayordomo). Área de recreación, área de camping, área horno de barro tradicional, área gallinero, establo, 2 aljibes (Uso riego y doméstico). Cuenta con todos los servicios.</v>
      </c>
      <c r="AD188" s="46" t="str">
        <f>IFERROR(__xludf.DUMMYFUNCTION("""COMPUTED_VALUE"""),"Sector turistico. Finca especial para recreación, turismo y alquiler.")</f>
        <v>Sector turistico. Finca especial para recreación, turismo y alquiler.</v>
      </c>
      <c r="AE188" s="46"/>
      <c r="AF188" s="46" t="str">
        <f>IFERROR(__xludf.DUMMYFUNCTION("""COMPUTED_VALUE"""),"semi-integral")</f>
        <v>semi-integral</v>
      </c>
      <c r="AG188" s="46"/>
      <c r="AH188" s="46" t="str">
        <f>IFERROR(__xludf.DUMMYFUNCTION("""COMPUTED_VALUE"""),"Directo")</f>
        <v>Directo</v>
      </c>
      <c r="AI188" s="92" t="str">
        <f>IFERROR(__xludf.DUMMYFUNCTION("""COMPUTED_VALUE"""),"https://lh3.googleusercontent.com/pw/AP1GczNBM7c5jiEJdHN6f2LOZfee6q0gnOEVIUS_jYHpQJ9kdAo8Rb10krC7ZRG6l5Glg3y6PnlGT9U6PRyI0QsDWr1ryM41X_uuBVoNfWjNa2VhonrMxhdp=w1200|https://lh3.googleusercontent.com/pw/AP1GczMe1RG3m1MFgqTiMknlYeCpgWAG6aByByYxpMqofplJMrLuUw"&amp;"_pCjCYEtPvzpMflPLNWM0aImWOv0s7a_AldlRNOU9c7wlBk6alO-A1H_XixyBKvgIH=w1200|https://lh3.googleusercontent.com/pw/AP1GczM2d84N4oCvAVue9nmmvmOJnJ7dkZDV0tYuuEilZoluCqTosRZpEpuiqX6HnYZFx3hMXXMmuqOVDL6jRnxEfBhGks1TLBD0C7Se6ZXji9jQ0YxuGr9-=w1200|https://lh3.google"&amp;"usercontent.com/pw/AP1GczO1VXqYOfmG2bFUwWG7UVK1WxVck05n1IHX1WuGtoIDKmmdFId9rttUT6oQtQCYPeJ2iPfDCc4En_blNBOCs9SPhYdbdi-0mv-Quk9Ku4XpVzPOoLav=w1200|https://lh3.googleusercontent.com/pw/AP1GczMXEZizNOINoQUqsI4ixqVcLN9MmkgeoZeJ7baXclIFQ5hk6LwQSnQVafHM1a74k9uv"&amp;"jvx9xKaLiFTPnAj8G84JQG8hDVVAhXO1YbMBDdos8ICmNLSV=w1200|https://lh3.googleusercontent.com/pw/AP1GczNvKT1A4vjuWWMzYNMAiXQI3wT66Hol5sWxUvT2odAZ3yJTvktg4MnVlsOU6cdEvCJWXWVlhG8bO8A_-31lzWhZ3If4iRAeYRAqrJRAlUJ9kjEZVHlP=w1200|https://lh3.googleusercontent.com/pw"&amp;"/AP1GczPyXVu5xJmKHFPe8dh0CNmRazfQ_MBs3eOB9f5zdpk-Y2rXIVzizIS_vpw1Y5ETGoL9z-hhAJ2-HhsidLVD6089_KJ3idfiCMplMppokzZ39gTX59eT=w1200|https://lh3.googleusercontent.com/pw/AP1GczMzcjlnKOEJPqYFjC1x1WqaEu-H3Xe-EO8yHeXWbRVv7XTZHis7niZ--12wcIDoGGOJ4XwTWJ8zejetlA22T4"&amp;"2EVzPkJfoJKGDNyIuC94HIgYtAHKWK=w1200|https://lh3.googleusercontent.com/pw/AP1GczMUngzVHbRgpoYsuTe-bOiJBb4O0iGfxQ_eLPaZJp17YmZrCJ-YCEnZ3jO0wcIEF5XGTqeltQsaNKj-A---yeIOMaSVBOslZ4gKXPMfhGHCxeilanio=w1200|https://lh3.googleusercontent.com/pw/AP1GczMUaG8Y8E7c9"&amp;"g_fgT6W1LcIUZdp3QcnvkNdDVXznrthF9cFw5klf3Dr6XhIZ-0yByswpW-Mv8280IxlnPT1gNe_zWVLLo8sMP6TfDIDsNgqlM25H24M=w1200|https://lh3.googleusercontent.com/pw/AP1GczO95be2NB87Y8DJMZL9oUyeOzTv7r119d17cijxMlAlt1sK9EU5H2I4cJV-CMP9ulM7lQexjMcJWVPjaUypNmWkIHSpr-09fsqB05Sg"&amp;"NcAFT2egyssY=w1200|https://lh3.googleusercontent.com/pw/AP1GczPeTnVfo29Ji1jXQv8G14or2_nQTBORwxPy1gmidzHKWVgcL57Ph8LdMS4sdyjm-P8lhvxswm5EMK37KnlwZHzn8Xqd_tAY41F2o8LrZmpfEOkF0q8t=w1200|https://lh3.googleusercontent.com/pw/AP1GczNKyuljpbahOLx__vKXCBplo7zPydn"&amp;"wh-BQNJ5zfR2-tkQj60xH3yt3BH0XjsuQeGCSWVzDd909Ug-9mp_SLgtPDxDvC8CxkrAltqjc9DkWmmx6ppsa=w1200|https://lh3.googleusercontent.com/pw/AP1GczP1luPqDNREmVCCeqhILBi2hfSWgp2CLoP494CinVzsCkVPGo1fz5_9vuaCeplIfVRRm85JPnFwmS5rQQTbTMCWLyBJidh-MQT3YqWIiuxkX1zkRdbF=w1200"&amp;"|https://lh3.googleusercontent.com/pw/AP1GczN2WVkKa52vIgdS5Zp8eZpYfJ84xIrSnVuj1oAAEYflT-tqsqhYSea4tje21bSl_DG8p11x1FlDCjQDMfWMg6GX_ZD6e9ijOA98DZq-xSdTgi05A541=w1200|https://lh3.googleusercontent.com/pw/AP1GczN-E3B-AtBhW1qiduGF53561yXd6QGUgSvSUoPObINXVM06D"&amp;"wzABni7JlX5aWUyeVPDEZhe3COWCQQvEE_wQ63qZTmtQcW1Np11AoyKVYcvcP847V19=w1200|https://lh3.googleusercontent.com/pw/AP1GczM1NqW4cG7ZaHHUp8FX7S0D_AcznYvbJ2M7_ZmaduVPuugQ0xF2_kJ6Mt_t1KQ-cqqSh2kKt6FBYx0RD7lZZO7dynjF6giyQZvzK6qWSOwPW7OcfFbN=w1200|https://lh3.googl"&amp;"eusercontent.com/pw/AP1GczNox2rLV5EHyBkcsZXupoUpt4mRG-nBH2OqtcoC0YJwVKJ6m4kbSBybRLmJ7h9Gq2AeYtZMMWGOFTjHX8snVw11SoeJmEMazuelxMsA2hzfbfo-EmTv=w1200|https://lh3.googleusercontent.com/pw/AP1GczNJPj0YK1k5SkJ8WfGf4zvNYGMSxwOIoCCixXq3f8B3Qn3x6kTvgADEIoeEgx9ykpF"&amp;"Y2v-ApPB4TojfY9fgxd7poKD40EaUHRr5zCHVBC_WdaqTlrXW=w1200|https://lh3.googleusercontent.com/pw/AP1GczOHyOBIVeUizHQLbT16wtdYRKYCGy2vMrDMKemxzPh-9Ag62xf0yY6XvLftycWai37e2QqWI9ieUefLGexwHiXLcEU_woSZVtBjEZC4rcq5nPUrUfKR=w1200|https://lh3.googleusercontent.com/p"&amp;"w/AP1GczMotD3c4nCfBBrOMHDfHk-HCE0F6ghhwBbfxY-0OQ0xsiR9SPIwEZCKgZ4kVIlPLs1xkVDvrSRf3HG-F9M7NCe666BKNpTtyGZDw-2yjjs_ADX0XCmo=w1200|https://lh3.googleusercontent.com/pw/AP1GczOcjDdwYkQZm7D2NOCDG53TaOHrMZu2z7RQ-3c71n4YiHQM8DdMV4ozhwnREDXWyZRgzW0o7pT7JmV3o1ADO"&amp;"4wv3w8mjdKshYLs5yFlqCqmty1XI_uY=w1200|https://lh3.googleusercontent.com/pw/AP1GczOC4TNe4lp_H0etchzKPj41Z0RYkryuftEkvOVobaOCjwaYB6UNBzpi7doNuIkTNkROM0qUjSfrznYYrXevGhcxRS9uyfHkwovzIf1zMsikcGWnf_vu=w1200|https://lh3.googleusercontent.com/pw/AP1GczM7o4gmwm7u"&amp;"pQbJW8VpvVm-8CL9oRIVN9aQffykce_u-zW1v3K5qWECtMz_je6yUbCaYX7SV_iBJEbVbJDWNe9Ap-fFB8N-Sqk4QfwK4seeWpjUAXqU=w1200|https://lh3.googleusercontent.com/pw/AP1GczM2LTx0z28SncAsy4ZqoHoEvgVahp_4BtPxH86Pxlrltr33hwpo-mJ02AP4DgfTLA6EO_ChEeHyQZNT4gOTxrCPpUQVAspodjOG2Fh"&amp;"fR7PrsHYS1luh=w1200|https://lh3.googleusercontent.com/pw/AP1GczNhHqOV4wTdEh1GOr47itHAst5HE3t8VvoW3FCzhm6oNxdP6FZRW57GCTy27k33lKD3e_zs004Oc7yLxdg6ZgQJV6N652k1nHV8MnV-x73Nq6_RMi6k=w1200|https://lh3.googleusercontent.com/pw/AP1GczM4ow6qQghUVL61RBlKwX7UCP94_I"&amp;"FyZFQZ47CWiXJOXJ7EC2xPgdtiRAu1kH_KdrJdaJ1RmUEq164b0U5ey16vOZ1KFQGaRvptCN8Se1lrtQ78CXTS=w1200")</f>
        <v>https://lh3.googleusercontent.com/pw/AP1GczNBM7c5jiEJdHN6f2LOZfee6q0gnOEVIUS_jYHpQJ9kdAo8Rb10krC7ZRG6l5Glg3y6PnlGT9U6PRyI0QsDWr1ryM41X_uuBVoNfWjNa2VhonrMxhdp=w1200|https://lh3.googleusercontent.com/pw/AP1GczMe1RG3m1MFgqTiMknlYeCpgWAG6aByByYxpMqofplJMrLuUw_pCjCYEtPvzpMflPLNWM0aImWOv0s7a_AldlRNOU9c7wlBk6alO-A1H_XixyBKvgIH=w1200|https://lh3.googleusercontent.com/pw/AP1GczM2d84N4oCvAVue9nmmvmOJnJ7dkZDV0tYuuEilZoluCqTosRZpEpuiqX6HnYZFx3hMXXMmuqOVDL6jRnxEfBhGks1TLBD0C7Se6ZXji9jQ0YxuGr9-=w1200|https://lh3.googleusercontent.com/pw/AP1GczO1VXqYOfmG2bFUwWG7UVK1WxVck05n1IHX1WuGtoIDKmmdFId9rttUT6oQtQCYPeJ2iPfDCc4En_blNBOCs9SPhYdbdi-0mv-Quk9Ku4XpVzPOoLav=w1200|https://lh3.googleusercontent.com/pw/AP1GczMXEZizNOINoQUqsI4ixqVcLN9MmkgeoZeJ7baXclIFQ5hk6LwQSnQVafHM1a74k9uvjvx9xKaLiFTPnAj8G84JQG8hDVVAhXO1YbMBDdos8ICmNLSV=w1200|https://lh3.googleusercontent.com/pw/AP1GczNvKT1A4vjuWWMzYNMAiXQI3wT66Hol5sWxUvT2odAZ3yJTvktg4MnVlsOU6cdEvCJWXWVlhG8bO8A_-31lzWhZ3If4iRAeYRAqrJRAlUJ9kjEZVHlP=w1200|https://lh3.googleusercontent.com/pw/AP1GczPyXVu5xJmKHFPe8dh0CNmRazfQ_MBs3eOB9f5zdpk-Y2rXIVzizIS_vpw1Y5ETGoL9z-hhAJ2-HhsidLVD6089_KJ3idfiCMplMppokzZ39gTX59eT=w1200|https://lh3.googleusercontent.com/pw/AP1GczMzcjlnKOEJPqYFjC1x1WqaEu-H3Xe-EO8yHeXWbRVv7XTZHis7niZ--12wcIDoGGOJ4XwTWJ8zejetlA22T42EVzPkJfoJKGDNyIuC94HIgYtAHKWK=w1200|https://lh3.googleusercontent.com/pw/AP1GczMUngzVHbRgpoYsuTe-bOiJBb4O0iGfxQ_eLPaZJp17YmZrCJ-YCEnZ3jO0wcIEF5XGTqeltQsaNKj-A---yeIOMaSVBOslZ4gKXPMfhGHCxeilanio=w1200|https://lh3.googleusercontent.com/pw/AP1GczMUaG8Y8E7c9g_fgT6W1LcIUZdp3QcnvkNdDVXznrthF9cFw5klf3Dr6XhIZ-0yByswpW-Mv8280IxlnPT1gNe_zWVLLo8sMP6TfDIDsNgqlM25H24M=w1200|https://lh3.googleusercontent.com/pw/AP1GczO95be2NB87Y8DJMZL9oUyeOzTv7r119d17cijxMlAlt1sK9EU5H2I4cJV-CMP9ulM7lQexjMcJWVPjaUypNmWkIHSpr-09fsqB05SgNcAFT2egyssY=w1200|https://lh3.googleusercontent.com/pw/AP1GczPeTnVfo29Ji1jXQv8G14or2_nQTBORwxPy1gmidzHKWVgcL57Ph8LdMS4sdyjm-P8lhvxswm5EMK37KnlwZHzn8Xqd_tAY41F2o8LrZmpfEOkF0q8t=w1200|https://lh3.googleusercontent.com/pw/AP1GczNKyuljpbahOLx__vKXCBplo7zPydnwh-BQNJ5zfR2-tkQj60xH3yt3BH0XjsuQeGCSWVzDd909Ug-9mp_SLgtPDxDvC8CxkrAltqjc9DkWmmx6ppsa=w1200|https://lh3.googleusercontent.com/pw/AP1GczP1luPqDNREmVCCeqhILBi2hfSWgp2CLoP494CinVzsCkVPGo1fz5_9vuaCeplIfVRRm85JPnFwmS5rQQTbTMCWLyBJidh-MQT3YqWIiuxkX1zkRdbF=w1200|https://lh3.googleusercontent.com/pw/AP1GczN2WVkKa52vIgdS5Zp8eZpYfJ84xIrSnVuj1oAAEYflT-tqsqhYSea4tje21bSl_DG8p11x1FlDCjQDMfWMg6GX_ZD6e9ijOA98DZq-xSdTgi05A541=w1200|https://lh3.googleusercontent.com/pw/AP1GczN-E3B-AtBhW1qiduGF53561yXd6QGUgSvSUoPObINXVM06DwzABni7JlX5aWUyeVPDEZhe3COWCQQvEE_wQ63qZTmtQcW1Np11AoyKVYcvcP847V19=w1200|https://lh3.googleusercontent.com/pw/AP1GczM1NqW4cG7ZaHHUp8FX7S0D_AcznYvbJ2M7_ZmaduVPuugQ0xF2_kJ6Mt_t1KQ-cqqSh2kKt6FBYx0RD7lZZO7dynjF6giyQZvzK6qWSOwPW7OcfFbN=w1200|https://lh3.googleusercontent.com/pw/AP1GczNox2rLV5EHyBkcsZXupoUpt4mRG-nBH2OqtcoC0YJwVKJ6m4kbSBybRLmJ7h9Gq2AeYtZMMWGOFTjHX8snVw11SoeJmEMazuelxMsA2hzfbfo-EmTv=w1200|https://lh3.googleusercontent.com/pw/AP1GczNJPj0YK1k5SkJ8WfGf4zvNYGMSxwOIoCCixXq3f8B3Qn3x6kTvgADEIoeEgx9ykpFY2v-ApPB4TojfY9fgxd7poKD40EaUHRr5zCHVBC_WdaqTlrXW=w1200|https://lh3.googleusercontent.com/pw/AP1GczOHyOBIVeUizHQLbT16wtdYRKYCGy2vMrDMKemxzPh-9Ag62xf0yY6XvLftycWai37e2QqWI9ieUefLGexwHiXLcEU_woSZVtBjEZC4rcq5nPUrUfKR=w1200|https://lh3.googleusercontent.com/pw/AP1GczMotD3c4nCfBBrOMHDfHk-HCE0F6ghhwBbfxY-0OQ0xsiR9SPIwEZCKgZ4kVIlPLs1xkVDvrSRf3HG-F9M7NCe666BKNpTtyGZDw-2yjjs_ADX0XCmo=w1200|https://lh3.googleusercontent.com/pw/AP1GczOcjDdwYkQZm7D2NOCDG53TaOHrMZu2z7RQ-3c71n4YiHQM8DdMV4ozhwnREDXWyZRgzW0o7pT7JmV3o1ADO4wv3w8mjdKshYLs5yFlqCqmty1XI_uY=w1200|https://lh3.googleusercontent.com/pw/AP1GczOC4TNe4lp_H0etchzKPj41Z0RYkryuftEkvOVobaOCjwaYB6UNBzpi7doNuIkTNkROM0qUjSfrznYYrXevGhcxRS9uyfHkwovzIf1zMsikcGWnf_vu=w1200|https://lh3.googleusercontent.com/pw/AP1GczM7o4gmwm7upQbJW8VpvVm-8CL9oRIVN9aQffykce_u-zW1v3K5qWECtMz_je6yUbCaYX7SV_iBJEbVbJDWNe9Ap-fFB8N-Sqk4QfwK4seeWpjUAXqU=w1200|https://lh3.googleusercontent.com/pw/AP1GczM2LTx0z28SncAsy4ZqoHoEvgVahp_4BtPxH86Pxlrltr33hwpo-mJ02AP4DgfTLA6EO_ChEeHyQZNT4gOTxrCPpUQVAspodjOG2FhfR7PrsHYS1luh=w1200|https://lh3.googleusercontent.com/pw/AP1GczNhHqOV4wTdEh1GOr47itHAst5HE3t8VvoW3FCzhm6oNxdP6FZRW57GCTy27k33lKD3e_zs004Oc7yLxdg6ZgQJV6N652k1nHV8MnV-x73Nq6_RMi6k=w1200|https://lh3.googleusercontent.com/pw/AP1GczM4ow6qQghUVL61RBlKwX7UCP94_IFyZFQZ47CWiXJOXJ7EC2xPgdtiRAu1kH_KdrJdaJ1RmUEq164b0U5ey16vOZ1KFQGaRvptCN8Se1lrtQ78CXTS=w1200</v>
      </c>
      <c r="AJ188" s="46"/>
      <c r="AK188" s="46"/>
      <c r="AL188" s="46"/>
      <c r="AM188" s="46"/>
      <c r="AN188" s="46"/>
      <c r="AO188" s="46"/>
      <c r="AP188" s="46"/>
      <c r="AQ188" s="46"/>
      <c r="AR188" s="46"/>
      <c r="AS188" s="46"/>
      <c r="AT188" s="46"/>
      <c r="AU188" s="46"/>
      <c r="AV188" s="46"/>
      <c r="AW188" s="46"/>
      <c r="AX188" s="46"/>
      <c r="AY188" s="46"/>
      <c r="AZ188" s="46"/>
      <c r="BA188" s="46"/>
      <c r="BB188" s="46"/>
      <c r="BC188" s="46"/>
      <c r="BD188" s="46"/>
      <c r="BE188" s="46"/>
      <c r="BF188" s="46"/>
      <c r="BG188" s="46"/>
      <c r="BH188" s="46"/>
      <c r="BI188" s="46"/>
      <c r="BJ188" s="46"/>
      <c r="BK188" s="46"/>
      <c r="BL188" s="46"/>
      <c r="BM188" s="46"/>
      <c r="BN188" s="46"/>
      <c r="BO188" s="46"/>
      <c r="BP188" s="46"/>
      <c r="BQ188" s="46"/>
      <c r="BR188" s="46"/>
      <c r="BS188" s="46"/>
      <c r="BT188" s="46"/>
      <c r="BU188" s="46"/>
      <c r="BV188" s="46"/>
      <c r="BW188" s="46"/>
      <c r="BX188" s="46"/>
      <c r="BY188" s="46"/>
      <c r="BZ188" s="46"/>
      <c r="CA188" s="46"/>
      <c r="CB188" s="46"/>
      <c r="CC188" s="46"/>
    </row>
    <row r="189">
      <c r="A189" s="87" t="str">
        <f>IFERROR(__xludf.DUMMYFUNCTION("""COMPUTED_VALUE"""),"045")</f>
        <v>045</v>
      </c>
      <c r="B189" s="46" t="str">
        <f>IFERROR(__xludf.DUMMYFUNCTION("""COMPUTED_VALUE"""),"Casa campestre en conjunto Condominio Hacienda San Miguel - Rivera")</f>
        <v>Casa campestre en conjunto Condominio Hacienda San Miguel - Rivera</v>
      </c>
      <c r="C189" s="46" t="str">
        <f>IFERROR(__xludf.DUMMYFUNCTION("""COMPUTED_VALUE"""),"Casa campestre en conjunto")</f>
        <v>Casa campestre en conjunto</v>
      </c>
      <c r="D189" s="46"/>
      <c r="E189" s="46"/>
      <c r="F189" s="90">
        <f>IFERROR(__xludf.DUMMYFUNCTION("""COMPUTED_VALUE"""),1.2E9)</f>
        <v>1200000000</v>
      </c>
      <c r="G189" s="46" t="str">
        <f>IFERROR(__xludf.DUMMYFUNCTION("""COMPUTED_VALUE"""),"Más de $1.000'000.000")</f>
        <v>Más de $1.000'000.000</v>
      </c>
      <c r="H189" s="46"/>
      <c r="I189" s="46"/>
      <c r="J189" s="46" t="str">
        <f>IFERROR(__xludf.DUMMYFUNCTION("""COMPUTED_VALUE"""),"Sur")</f>
        <v>Sur</v>
      </c>
      <c r="K189" s="87"/>
      <c r="L189" s="46">
        <f>IFERROR(__xludf.DUMMYFUNCTION("""COMPUTED_VALUE"""),4.0)</f>
        <v>4</v>
      </c>
      <c r="M189" s="46"/>
      <c r="N189" s="46">
        <f>IFERROR(__xludf.DUMMYFUNCTION("""COMPUTED_VALUE"""),4.0)</f>
        <v>4</v>
      </c>
      <c r="O189" s="46">
        <f>IFERROR(__xludf.DUMMYFUNCTION("""COMPUTED_VALUE"""),2.0)</f>
        <v>2</v>
      </c>
      <c r="P189" s="46">
        <f>IFERROR(__xludf.DUMMYFUNCTION("""COMPUTED_VALUE"""),1.0)</f>
        <v>1</v>
      </c>
      <c r="Q189" s="92">
        <f>IFERROR(__xludf.DUMMYFUNCTION("""COMPUTED_VALUE"""),250.0)</f>
        <v>250</v>
      </c>
      <c r="R189" s="92">
        <f>IFERROR(__xludf.DUMMYFUNCTION("""COMPUTED_VALUE"""),1600.0)</f>
        <v>1600</v>
      </c>
      <c r="S189" s="87" t="str">
        <f>IFERROR(__xludf.DUMMYFUNCTION("""COMPUTED_VALUE""")," ")</f>
        <v> </v>
      </c>
      <c r="T189" s="46" t="str">
        <f>IFERROR(__xludf.DUMMYFUNCTION("""COMPUTED_VALUE"""),"Rivera")</f>
        <v>Rivera</v>
      </c>
      <c r="U189" s="87" t="str">
        <f>IFERROR(__xludf.DUMMYFUNCTION("""COMPUTED_VALUE"""),"6")</f>
        <v>6</v>
      </c>
      <c r="V189" s="46"/>
      <c r="W189" s="46"/>
      <c r="X189" s="46">
        <f>IFERROR(__xludf.DUMMYFUNCTION("""COMPUTED_VALUE"""),4.0)</f>
        <v>4</v>
      </c>
      <c r="Y189" s="46" t="str">
        <f>IFERROR(__xludf.DUMMYFUNCTION("""COMPUTED_VALUE"""),"Privada")</f>
        <v>Privada</v>
      </c>
      <c r="Z189" s="90">
        <f>IFERROR(__xludf.DUMMYFUNCTION("""COMPUTED_VALUE"""),350000.0)</f>
        <v>350000</v>
      </c>
      <c r="AA189" s="33" t="str">
        <f>IFERROR(__xludf.DUMMYFUNCTION("""COMPUTED_VALUE"""),"No aplica")</f>
        <v>No aplica</v>
      </c>
      <c r="AB189" s="144" t="str">
        <f>IFERROR(__xludf.DUMMYFUNCTION("""COMPUTED_VALUE"""),"https://photos.app.goo.gl/m7uh6M9bRzjyNFss8")</f>
        <v>https://photos.app.goo.gl/m7uh6M9bRzjyNFss8</v>
      </c>
      <c r="AC189" s="46" t="str">
        <f>IFERROR(__xludf.DUMMYFUNCTION("""COMPUTED_VALUE"""),"Casa campestre con buenos acabados. Piso en cerámica, cielo raso en Dri Wall, Lámparas Led para empotrar. Divisiones en vidrio templado. Se vende a puerta cerrada (obras de arte, amoblada y equipada - 85% importado).")</f>
        <v>Casa campestre con buenos acabados. Piso en cerámica, cielo raso en Dri Wall, Lámparas Led para empotrar. Divisiones en vidrio templado. Se vende a puerta cerrada (obras de arte, amoblada y equipada - 85% importado).</v>
      </c>
      <c r="AD189" s="46" t="str">
        <f>IFERROR(__xludf.DUMMYFUNCTION("""COMPUTED_VALUE"""),"Área lote 1.600 m2. Cuenta con un área libre reserva -  bosque para camping. Se vende amoblada si lo desea. Excelentes acabados. La mayoría de electrodomésticos incluyendo la tina, son importados. Escritura al día. No se permuta.")</f>
        <v>Área lote 1.600 m2. Cuenta con un área libre reserva -  bosque para camping. Se vende amoblada si lo desea. Excelentes acabados. La mayoría de electrodomésticos incluyendo la tina, son importados. Escritura al día. No se permuta.</v>
      </c>
      <c r="AE189" s="46"/>
      <c r="AF189" s="46" t="str">
        <f>IFERROR(__xludf.DUMMYFUNCTION("""COMPUTED_VALUE"""),"integral")</f>
        <v>integral</v>
      </c>
      <c r="AG189" s="46"/>
      <c r="AH189" s="46" t="str">
        <f>IFERROR(__xludf.DUMMYFUNCTION("""COMPUTED_VALUE"""),"Directo")</f>
        <v>Directo</v>
      </c>
      <c r="AI189" s="92" t="str">
        <f>IFERROR(__xludf.DUMMYFUNCTION("""COMPUTED_VALUE"""),"https://lh3.googleusercontent.com/pw/AP1GczMtBMKQgvejSmdUqZV8FJ6nCetdVBbOqeHSpjew2phrcs2Pj8zYsGvWf_RdxbXF4q7Am_Xx4B8vhZPdiArrIlHDc60J9adotL_mhXeBiGL_TEN4RI6f=w1200|https://lh3.googleusercontent.com/pw/AP1GczNiQzZwUYCj43bRzA2Hsym1VzLqxiv5bu-z5N_yWHGMlpSfeT"&amp;"eDz6xeppj4han8Qhc3bHitngzNzKHHL7uVNjBVp8bV7-gpU7rfnr_7zgW4HkW4pXSw=w1200|https://lh3.googleusercontent.com/pw/AP1GczPLg9B6kVTkjdPj5SdVk878rk85MsaNO7xOoFWSjaQny5areVpgXSyWXCYK6_iDMK7z-SWR9wvzWe-_QN9f3lrsINZcbJUetcYKQzmRBS0hDAI2g4po=w1200|https://lh3.google"&amp;"usercontent.com/pw/AP1GczMPZCkoKeasn3QanL_Y3zNWL4zDx5NUbbVJU9s8Taa6g8yTIXErV5qfGQ8eZHvGTDT24Z0UuHuj0nRryEwiw8MKbg1xL341Msi6TANzxSQXqaDLKK62=w1200|https://lh3.googleusercontent.com/pw/AP1GczOXraUVEQD3h9OodbJzSXSu20RaLKAZ-1cnt6yTC5iI5dsZN7KMAOhA-vR6sRKs7dcT"&amp;"rIM62giltisKermigABpYiY4za47YrzbuJ3LZW1ljtauZvwC=w1200|https://lh3.googleusercontent.com/pw/AP1GczMgUolUEzOSLMyKu8dETTxSSdl4tjIkpMHt8KTymbWBEhk43sZBPJumucoQMh-E9mbRmBwZWTqbCM1vnyqP9XlOm9jxG6NJAGt5JjKMR_KWBy-BeZaq=w1200|https://lh3.googleusercontent.com/pw"&amp;"/AP1GczPQ8OY-478UtYGJvCZvrIfmEKqTnL25317oh6ijcTRdAiLgdBHTn1TBOHR8ceXcVB3Buy-QvFBQqlmxKnbb8lElXv9TcUT7eJ2rl64KsuTAXHmfTI3Q=w1200|https://lh3.googleusercontent.com/pw/AP1GczOlmtf3LpYfOipq16DgO4WzPdIR4Aov1S2CtHna2ic_HHT7SYzZSo0ecPBtXS_jIp2MgGJU-mehv9HZstFMGF"&amp;"XeDWrpFGPQmofUFsoO5wKw_9t32oi-=w1200|https://lh3.googleusercontent.com/pw/AP1GczMV5bLEmYxK5ft1cJBFX-cZHV7NCEqSQkkQrKlqhx-65u4wFoOp2wQpQaqQi7ee-waxTzCFmqWU5_q2pjC7yrPxYc8oR5R5obVzb29tzGIEmcE-YMKa=w1200|https://lh3.googleusercontent.com/pw/AP1GczOIZzstC1BLN"&amp;"80PdPgfxQkNcC1qVDmuoaj-cDwLhswN1FSZrot15jTUPWM8b9POh1oj6aHaKPRlY2dLhhNqmt6KTj4rtRFdBdGpqBpr6VFO5b-8RM7Z=w1200|https://lh3.googleusercontent.com/pw/AP1GczPirJArKmW3rzEMCdy0lw6lTO8g4CvVzyi4WwUDykeCgVD21cHj0YYplBDgwMXg2GR8yYeSW4qROELsYpDgtYgF6n1pOoT_m7-QdTuG"&amp;"l-lpdmRqIyWP=w1200|https://lh3.googleusercontent.com/pw/AP1GczNqO7aOEDYE_4rNJdZXM67F_kzWAGudGlkaDR22nkpa_Go6jAAH98V0vR6zWgOiukMI-eXsXuCzb28GMG9-YUekAMp6BxWrDqY0RRIkQ2gv5xtYba2G=w1200|https://lh3.googleusercontent.com/pw/AP1GczMGlx1A95ZbRaSwsGCNFG2r-gbxmfz"&amp;"cWnn7YJuUk-4_tYIAG67RxCEY0_MHNCf8BJLVWxiJDqgts4nuR26y26bWmBkvLzIAFH9k6bFLVDQ8OUOnQa74=w1200|https://lh3.googleusercontent.com/pw/AP1GczOaQyvMHbAnhel1GzSyDvpq3cQ2wsV5vazrE1XnaE-Lu_pK6bdStApUjYMrJehh8eqGsox4RjhIfNCk5AEKLBJrl2o-9ioSWBGtjhIe89Guwp9jAlaQ=w1200"&amp;"|https://lh3.googleusercontent.com/pw/AP1GczMrTkv4qrRS3jjEl3NcOEoaH9CPK6AWyk0xjcLOSg5FUpMErLQ3wfQlmW57-Ol_d4guUTQIZD5v9Xrv0zrCMiMok8hcOCMo4xIL3dVAdZYWJpSfrGoq=w1200|https://lh3.googleusercontent.com/pw/AP1GczM6q5d68RdIWZx6RiiWDinD_9UDDjxWZv8-S8bc6ioGzzJfH"&amp;"pZc6Kk3ClPIpsGG83SMY1NmPmUBbbwqLZBcN062t8A2dRCduQ2z3pK6n1UuciYahDOc=w1200|https://lh3.googleusercontent.com/pw/AP1GczPNFeux599U3zeuiShF43Mu0ug99pDHJgSei-YiP0H_Mhf0UHXmtmI87yP5boEs5pEZYQ2NXHVoRm-WAOOwaa4LPMQAojCgd-DAkAUDPhHI9PkmWrx5=w1200|https://lh3.googl"&amp;"eusercontent.com/pw/AP1GczM_-Whk3aLzIAOnWIGCBF25lcycZTpjpCJWxu-ySKhovzA56iUT0RAl3y_ibHQ_kZugWwvjzlGS5Ei_Plfy5QwinvM8uQBKK2CHz4lqjY_2ripWt-Cw=w1200|https://lh3.googleusercontent.com/pw/AP1GczNeOq2vWGlQJ2mDaL1wfI3HvL2Uv3s6dU_CPc24zdFM3AbnE4YVxIsavvRN5A3n8k7"&amp;"nTXYRAhaPbpWNxg2bZIOCHMfJ6p1EBljc9Ot0c4b648sW9aYf=w1200|https://lh3.googleusercontent.com/pw/AP1GczPp6YfeN6Spr-oUsqpE8Htfh3xS4FWIAyoQWcMWA3Y2UxWgmdIRXkcAJi9pacd8X5-pCqo_MiAMeOaNmhOeMT3kYeG37tbErK6SvsU6bF_Nc7dBxzzW=w1200|https://lh3.googleusercontent.com/p"&amp;"w/AP1GczOIRYdx5X1bQdKi29E_ZALDvlUUSMW7sOs68BAH37mZU6dLjF8xNSQI3bviQYm6CaSV10sFRfbqWJn_TO5e-T_rHfcMfkj3MbZ2aWpg2a_5MWrMnWbD=w1200|https://lh3.googleusercontent.com/pw/AP1GczOKMtxxxHDBZwvV74Tub7nmAb3czvGgfMZ3W6c4ydGoEyqIPY5VGF-0w9uq_X6AQVUNQU0G1JroxGTAHaYWE"&amp;"Qgg1rJqTjSZShEkM7BjUBHzqzmI-YMt=w1200|https://lh3.googleusercontent.com/pw/AP1GczMPbt4obUuyliy5VmTI2FOwysNEy1oDPXKzAbLeQh1X0IuSMAJ59pB4njMDdkNO-3PcsYIqMhknS-bqzRT_JLsINIOYhgQajHLXhpW6_yc8Ezupjnwe=w1200|https://lh3.googleusercontent.com/pw/AP1GczPeHsi-sTCM"&amp;"om3mYybCUuwnusflmHNV3EhB3iw8zw6skkvqUv4n_bnHwOThYuGvJ-IjyUMw7g1dUv-M2ENjdyyM8K_M-94ezapkMQ9G3Um3mggHQWg5=w1200|https://lh3.googleusercontent.com/pw/AP1GczNiOjU2edfGhHgH5Uo5yiDt9hRrYYgalA_JVhDfjY3CBpBxBdAXhiX2qtO3pnYWsQyEbz_tGKd1rviXMzFZwHtuTVIZIfWZCs2NM92"&amp;"qLma7mvrvhOs9=w1200|https://lh3.googleusercontent.com/pw/AP1GczO22SnxEpycEg84DXGFbP2WF9NvEutUr7RprTeMunoGFhPM59EWUZwpTmxhV6E_gmljdTVM-Klsdt21DuiQFjnXzSh9mM9JQZqS80nrFLJQhiPbiy01=w1200|https://lh3.googleusercontent.com/pw/AP1GczNrVjkJ8ZWU9Z4Xxl12nYDlP38Fcw"&amp;"LGHgctcfK_1bgQa8gB6HF1oeFNVcEjHXHEF10n8GMgbOJqWHALitnVxByYQ98Fo4Gt6SpkdM0s1ACJ2AnZKnc2=w1200|https://lh3.googleusercontent.com/pw/AP1GczPzdCQ1Zmv5jKl5wBTGq14qbsruKK528FIximf686tzQtftVheRp1cgKkd6m0IrETQG0u2MwqyH00nZWbFtaWzRYBHzesSDjRgAA8tXJ4lOegOyjjPj=w120"&amp;"0|https://lh3.googleusercontent.com/pw/AP1GczMbhVa0Ftuf94_nLpJUI_ai2rpWPaNVDEBPrafxdrm30tyTC_p4AX9ReMg0BYhz0S0Qyi0yrD5WgvLc8Tar_JXgcenZK7L45PuUcDuUIYaiuegXgeWc=w1200|https://lh3.googleusercontent.com/pw/AP1GczNrhphBlsQkN3incpvbVZO-0dHQnpIwpDBoeUeBrNeirs8Y"&amp;"4T0UCJTQYMeqvAE7tKLXzyVNS7Qc7BlXRB_mW-phj3xrr1bHERwXfZFPFFrJtaussxuG=w1200|https://lh3.googleusercontent.com/pw/AP1GczM9QDLx9wU1r5boU6PLcwZkWyvSVdkhV5-Jkqjd8s2bWsgwcnr_9nPgX4yjFlrlx0BYH4r_PDCQtXP20-IuemZeKGBJF6deazHXXSwQ35PfE8MyirDM=w1200")</f>
        <v>https://lh3.googleusercontent.com/pw/AP1GczMtBMKQgvejSmdUqZV8FJ6nCetdVBbOqeHSpjew2phrcs2Pj8zYsGvWf_RdxbXF4q7Am_Xx4B8vhZPdiArrIlHDc60J9adotL_mhXeBiGL_TEN4RI6f=w1200|https://lh3.googleusercontent.com/pw/AP1GczNiQzZwUYCj43bRzA2Hsym1VzLqxiv5bu-z5N_yWHGMlpSfeTeDz6xeppj4han8Qhc3bHitngzNzKHHL7uVNjBVp8bV7-gpU7rfnr_7zgW4HkW4pXSw=w1200|https://lh3.googleusercontent.com/pw/AP1GczPLg9B6kVTkjdPj5SdVk878rk85MsaNO7xOoFWSjaQny5areVpgXSyWXCYK6_iDMK7z-SWR9wvzWe-_QN9f3lrsINZcbJUetcYKQzmRBS0hDAI2g4po=w1200|https://lh3.googleusercontent.com/pw/AP1GczMPZCkoKeasn3QanL_Y3zNWL4zDx5NUbbVJU9s8Taa6g8yTIXErV5qfGQ8eZHvGTDT24Z0UuHuj0nRryEwiw8MKbg1xL341Msi6TANzxSQXqaDLKK62=w1200|https://lh3.googleusercontent.com/pw/AP1GczOXraUVEQD3h9OodbJzSXSu20RaLKAZ-1cnt6yTC5iI5dsZN7KMAOhA-vR6sRKs7dcTrIM62giltisKermigABpYiY4za47YrzbuJ3LZW1ljtauZvwC=w1200|https://lh3.googleusercontent.com/pw/AP1GczMgUolUEzOSLMyKu8dETTxSSdl4tjIkpMHt8KTymbWBEhk43sZBPJumucoQMh-E9mbRmBwZWTqbCM1vnyqP9XlOm9jxG6NJAGt5JjKMR_KWBy-BeZaq=w1200|https://lh3.googleusercontent.com/pw/AP1GczPQ8OY-478UtYGJvCZvrIfmEKqTnL25317oh6ijcTRdAiLgdBHTn1TBOHR8ceXcVB3Buy-QvFBQqlmxKnbb8lElXv9TcUT7eJ2rl64KsuTAXHmfTI3Q=w1200|https://lh3.googleusercontent.com/pw/AP1GczOlmtf3LpYfOipq16DgO4WzPdIR4Aov1S2CtHna2ic_HHT7SYzZSo0ecPBtXS_jIp2MgGJU-mehv9HZstFMGFXeDWrpFGPQmofUFsoO5wKw_9t32oi-=w1200|https://lh3.googleusercontent.com/pw/AP1GczMV5bLEmYxK5ft1cJBFX-cZHV7NCEqSQkkQrKlqhx-65u4wFoOp2wQpQaqQi7ee-waxTzCFmqWU5_q2pjC7yrPxYc8oR5R5obVzb29tzGIEmcE-YMKa=w1200|https://lh3.googleusercontent.com/pw/AP1GczOIZzstC1BLN80PdPgfxQkNcC1qVDmuoaj-cDwLhswN1FSZrot15jTUPWM8b9POh1oj6aHaKPRlY2dLhhNqmt6KTj4rtRFdBdGpqBpr6VFO5b-8RM7Z=w1200|https://lh3.googleusercontent.com/pw/AP1GczPirJArKmW3rzEMCdy0lw6lTO8g4CvVzyi4WwUDykeCgVD21cHj0YYplBDgwMXg2GR8yYeSW4qROELsYpDgtYgF6n1pOoT_m7-QdTuGl-lpdmRqIyWP=w1200|https://lh3.googleusercontent.com/pw/AP1GczNqO7aOEDYE_4rNJdZXM67F_kzWAGudGlkaDR22nkpa_Go6jAAH98V0vR6zWgOiukMI-eXsXuCzb28GMG9-YUekAMp6BxWrDqY0RRIkQ2gv5xtYba2G=w1200|https://lh3.googleusercontent.com/pw/AP1GczMGlx1A95ZbRaSwsGCNFG2r-gbxmfzcWnn7YJuUk-4_tYIAG67RxCEY0_MHNCf8BJLVWxiJDqgts4nuR26y26bWmBkvLzIAFH9k6bFLVDQ8OUOnQa74=w1200|https://lh3.googleusercontent.com/pw/AP1GczOaQyvMHbAnhel1GzSyDvpq3cQ2wsV5vazrE1XnaE-Lu_pK6bdStApUjYMrJehh8eqGsox4RjhIfNCk5AEKLBJrl2o-9ioSWBGtjhIe89Guwp9jAlaQ=w1200|https://lh3.googleusercontent.com/pw/AP1GczMrTkv4qrRS3jjEl3NcOEoaH9CPK6AWyk0xjcLOSg5FUpMErLQ3wfQlmW57-Ol_d4guUTQIZD5v9Xrv0zrCMiMok8hcOCMo4xIL3dVAdZYWJpSfrGoq=w1200|https://lh3.googleusercontent.com/pw/AP1GczM6q5d68RdIWZx6RiiWDinD_9UDDjxWZv8-S8bc6ioGzzJfHpZc6Kk3ClPIpsGG83SMY1NmPmUBbbwqLZBcN062t8A2dRCduQ2z3pK6n1UuciYahDOc=w1200|https://lh3.googleusercontent.com/pw/AP1GczPNFeux599U3zeuiShF43Mu0ug99pDHJgSei-YiP0H_Mhf0UHXmtmI87yP5boEs5pEZYQ2NXHVoRm-WAOOwaa4LPMQAojCgd-DAkAUDPhHI9PkmWrx5=w1200|https://lh3.googleusercontent.com/pw/AP1GczM_-Whk3aLzIAOnWIGCBF25lcycZTpjpCJWxu-ySKhovzA56iUT0RAl3y_ibHQ_kZugWwvjzlGS5Ei_Plfy5QwinvM8uQBKK2CHz4lqjY_2ripWt-Cw=w1200|https://lh3.googleusercontent.com/pw/AP1GczNeOq2vWGlQJ2mDaL1wfI3HvL2Uv3s6dU_CPc24zdFM3AbnE4YVxIsavvRN5A3n8k7nTXYRAhaPbpWNxg2bZIOCHMfJ6p1EBljc9Ot0c4b648sW9aYf=w1200|https://lh3.googleusercontent.com/pw/AP1GczPp6YfeN6Spr-oUsqpE8Htfh3xS4FWIAyoQWcMWA3Y2UxWgmdIRXkcAJi9pacd8X5-pCqo_MiAMeOaNmhOeMT3kYeG37tbErK6SvsU6bF_Nc7dBxzzW=w1200|https://lh3.googleusercontent.com/pw/AP1GczOIRYdx5X1bQdKi29E_ZALDvlUUSMW7sOs68BAH37mZU6dLjF8xNSQI3bviQYm6CaSV10sFRfbqWJn_TO5e-T_rHfcMfkj3MbZ2aWpg2a_5MWrMnWbD=w1200|https://lh3.googleusercontent.com/pw/AP1GczOKMtxxxHDBZwvV74Tub7nmAb3czvGgfMZ3W6c4ydGoEyqIPY5VGF-0w9uq_X6AQVUNQU0G1JroxGTAHaYWEQgg1rJqTjSZShEkM7BjUBHzqzmI-YMt=w1200|https://lh3.googleusercontent.com/pw/AP1GczMPbt4obUuyliy5VmTI2FOwysNEy1oDPXKzAbLeQh1X0IuSMAJ59pB4njMDdkNO-3PcsYIqMhknS-bqzRT_JLsINIOYhgQajHLXhpW6_yc8Ezupjnwe=w1200|https://lh3.googleusercontent.com/pw/AP1GczPeHsi-sTCMom3mYybCUuwnusflmHNV3EhB3iw8zw6skkvqUv4n_bnHwOThYuGvJ-IjyUMw7g1dUv-M2ENjdyyM8K_M-94ezapkMQ9G3Um3mggHQWg5=w1200|https://lh3.googleusercontent.com/pw/AP1GczNiOjU2edfGhHgH5Uo5yiDt9hRrYYgalA_JVhDfjY3CBpBxBdAXhiX2qtO3pnYWsQyEbz_tGKd1rviXMzFZwHtuTVIZIfWZCs2NM92qLma7mvrvhOs9=w1200|https://lh3.googleusercontent.com/pw/AP1GczO22SnxEpycEg84DXGFbP2WF9NvEutUr7RprTeMunoGFhPM59EWUZwpTmxhV6E_gmljdTVM-Klsdt21DuiQFjnXzSh9mM9JQZqS80nrFLJQhiPbiy01=w1200|https://lh3.googleusercontent.com/pw/AP1GczNrVjkJ8ZWU9Z4Xxl12nYDlP38FcwLGHgctcfK_1bgQa8gB6HF1oeFNVcEjHXHEF10n8GMgbOJqWHALitnVxByYQ98Fo4Gt6SpkdM0s1ACJ2AnZKnc2=w1200|https://lh3.googleusercontent.com/pw/AP1GczPzdCQ1Zmv5jKl5wBTGq14qbsruKK528FIximf686tzQtftVheRp1cgKkd6m0IrETQG0u2MwqyH00nZWbFtaWzRYBHzesSDjRgAA8tXJ4lOegOyjjPj=w1200|https://lh3.googleusercontent.com/pw/AP1GczMbhVa0Ftuf94_nLpJUI_ai2rpWPaNVDEBPrafxdrm30tyTC_p4AX9ReMg0BYhz0S0Qyi0yrD5WgvLc8Tar_JXgcenZK7L45PuUcDuUIYaiuegXgeWc=w1200|https://lh3.googleusercontent.com/pw/AP1GczNrhphBlsQkN3incpvbVZO-0dHQnpIwpDBoeUeBrNeirs8Y4T0UCJTQYMeqvAE7tKLXzyVNS7Qc7BlXRB_mW-phj3xrr1bHERwXfZFPFFrJtaussxuG=w1200|https://lh3.googleusercontent.com/pw/AP1GczM9QDLx9wU1r5boU6PLcwZkWyvSVdkhV5-Jkqjd8s2bWsgwcnr_9nPgX4yjFlrlx0BYH4r_PDCQtXP20-IuemZeKGBJF6deazHXXSwQ35PfE8MyirDM=w1200</v>
      </c>
      <c r="AJ189" s="46"/>
      <c r="AK189" s="46"/>
      <c r="AL189" s="46"/>
      <c r="AM189" s="46"/>
      <c r="AN189" s="46"/>
      <c r="AO189" s="46"/>
      <c r="AP189" s="46"/>
      <c r="AQ189" s="46"/>
      <c r="AR189" s="46"/>
      <c r="AS189" s="46"/>
      <c r="AT189" s="46"/>
      <c r="AU189" s="46"/>
      <c r="AV189" s="46"/>
      <c r="AW189" s="46"/>
      <c r="AX189" s="46"/>
      <c r="AY189" s="46"/>
      <c r="AZ189" s="46"/>
      <c r="BA189" s="46"/>
      <c r="BB189" s="46"/>
      <c r="BC189" s="46"/>
      <c r="BD189" s="46"/>
      <c r="BE189" s="46"/>
      <c r="BF189" s="46"/>
      <c r="BG189" s="46"/>
      <c r="BH189" s="46"/>
      <c r="BI189" s="46"/>
      <c r="BJ189" s="46"/>
      <c r="BK189" s="46"/>
      <c r="BL189" s="46"/>
      <c r="BM189" s="46"/>
      <c r="BN189" s="46"/>
      <c r="BO189" s="46"/>
      <c r="BP189" s="46"/>
      <c r="BQ189" s="46"/>
      <c r="BR189" s="46"/>
      <c r="BS189" s="46"/>
      <c r="BT189" s="46"/>
      <c r="BU189" s="46"/>
      <c r="BV189" s="46"/>
      <c r="BW189" s="46"/>
      <c r="BX189" s="46"/>
      <c r="BY189" s="46"/>
      <c r="BZ189" s="46"/>
      <c r="CA189" s="46"/>
      <c r="CB189" s="46"/>
      <c r="CC189" s="46"/>
    </row>
    <row r="190">
      <c r="A190" s="87" t="str">
        <f>IFERROR(__xludf.DUMMYFUNCTION("""COMPUTED_VALUE"""),"450")</f>
        <v>450</v>
      </c>
      <c r="B190" s="46" t="str">
        <f>IFERROR(__xludf.DUMMYFUNCTION("""COMPUTED_VALUE"""),"Finca campestre - Vda. Cusinde - Palermo.")</f>
        <v>Finca campestre - Vda. Cusinde - Palermo.</v>
      </c>
      <c r="C190" s="46" t="str">
        <f>IFERROR(__xludf.DUMMYFUNCTION("""COMPUTED_VALUE"""),"Finca")</f>
        <v>Finca</v>
      </c>
      <c r="D190" s="46"/>
      <c r="E190" s="46"/>
      <c r="F190" s="90">
        <f>IFERROR(__xludf.DUMMYFUNCTION("""COMPUTED_VALUE"""),9.5E8)</f>
        <v>950000000</v>
      </c>
      <c r="G190" s="46" t="str">
        <f>IFERROR(__xludf.DUMMYFUNCTION("""COMPUTED_VALUE"""),"$500'000.000 a $1.000'000.000")</f>
        <v>$500'000.000 a $1.000'000.000</v>
      </c>
      <c r="H190" s="46"/>
      <c r="I190" s="46"/>
      <c r="J190" s="46" t="str">
        <f>IFERROR(__xludf.DUMMYFUNCTION("""COMPUTED_VALUE"""),"Rural")</f>
        <v>Rural</v>
      </c>
      <c r="K190" s="87"/>
      <c r="L190" s="46">
        <f>IFERROR(__xludf.DUMMYFUNCTION("""COMPUTED_VALUE"""),7.0)</f>
        <v>7</v>
      </c>
      <c r="M190" s="46"/>
      <c r="N190" s="46">
        <f>IFERROR(__xludf.DUMMYFUNCTION("""COMPUTED_VALUE"""),4.0)</f>
        <v>4</v>
      </c>
      <c r="O190" s="46">
        <f>IFERROR(__xludf.DUMMYFUNCTION("""COMPUTED_VALUE"""),2.0)</f>
        <v>2</v>
      </c>
      <c r="P190" s="46">
        <f>IFERROR(__xludf.DUMMYFUNCTION("""COMPUTED_VALUE"""),1.0)</f>
        <v>1</v>
      </c>
      <c r="Q190" s="92">
        <f>IFERROR(__xludf.DUMMYFUNCTION("""COMPUTED_VALUE"""),350.0)</f>
        <v>350</v>
      </c>
      <c r="R190" s="92">
        <f>IFERROR(__xludf.DUMMYFUNCTION("""COMPUTED_VALUE"""),10000.0)</f>
        <v>10000</v>
      </c>
      <c r="S190" s="87"/>
      <c r="T190" s="46" t="str">
        <f>IFERROR(__xludf.DUMMYFUNCTION("""COMPUTED_VALUE"""),"Palermo")</f>
        <v>Palermo</v>
      </c>
      <c r="U190" s="87"/>
      <c r="V190" s="46"/>
      <c r="W190" s="46"/>
      <c r="X190" s="46">
        <f>IFERROR(__xludf.DUMMYFUNCTION("""COMPUTED_VALUE"""),4.0)</f>
        <v>4</v>
      </c>
      <c r="Y190" s="46" t="str">
        <f>IFERROR(__xludf.DUMMYFUNCTION("""COMPUTED_VALUE"""),"Privada")</f>
        <v>Privada</v>
      </c>
      <c r="Z190" s="90" t="str">
        <f>IFERROR(__xludf.DUMMYFUNCTION("""COMPUTED_VALUE"""),"No aplica")</f>
        <v>No aplica</v>
      </c>
      <c r="AA190" s="33" t="str">
        <f>IFERROR(__xludf.DUMMYFUNCTION("""COMPUTED_VALUE"""),"No aplica")</f>
        <v>No aplica</v>
      </c>
      <c r="AB190" s="96" t="str">
        <f>IFERROR(__xludf.DUMMYFUNCTION("""COMPUTED_VALUE"""),"https://photos.app.goo.gl/m288EAspwV3AtsiR7")</f>
        <v>https://photos.app.goo.gl/m288EAspwV3AtsiR7</v>
      </c>
      <c r="AC190" s="46" t="str">
        <f>IFERROR(__xludf.DUMMYFUNCTION("""COMPUTED_VALUE"""),"Casa 1 (Casa Principal) 4 habitaciones (2 de ellas con baño privado)1 baño social. Cocina integral. Sala-comedor. Cuarto de lavandería. Amplios corredores. Piscina: Incluye baño y Vestier propio. Casa 2 (Casa para Cuidadores o Mayordomos)3 habitaciones am"&amp;"plias. Un baño social. Zona de lavado. Cocina de leña. Instalaciones y Comodidades Zona Social: Amplio kiosco con bodega de almacenamiento y dos baños. Producción y Animales: * Dos pesebreras. Dos perreras. Horno de barro. Zona verde con árboles frutales."&amp;" Parqueadero: Espacio amplio para vehículos.")</f>
        <v>Casa 1 (Casa Principal) 4 habitaciones (2 de ellas con baño privado)1 baño social. Cocina integral. Sala-comedor. Cuarto de lavandería. Amplios corredores. Piscina: Incluye baño y Vestier propio. Casa 2 (Casa para Cuidadores o Mayordomos)3 habitaciones amplias. Un baño social. Zona de lavado. Cocina de leña. Instalaciones y Comodidades Zona Social: Amplio kiosco con bodega de almacenamiento y dos baños. Producción y Animales: * Dos pesebreras. Dos perreras. Horno de barro. Zona verde con árboles frutales. Parqueadero: Espacio amplio para vehículos.</v>
      </c>
      <c r="AD190" s="46" t="str">
        <f>IFERROR(__xludf.DUMMYFUNCTION("""COMPUTED_VALUE"""),"Ubicación: Vereda Cusinde, Municipio de Palermo. Acceso: Por la Zona Industrial de Palermo. Generalidades de la Propiedad. Área total: 1 hectárea ($10.000  m2)Viviendas: Cuenta con 2 casas (Principal y de Mayordomo).Seguridad: Toda la propiedad está encer"&amp;"rada en cerca viva. Accesos: Dos entradas (principal y secundaria).  Agua: Cuenta con agua de aljibe y acueducto. Almacenamiento: Alberca para almacenamiento de agua y dos bodegas.")</f>
        <v>Ubicación: Vereda Cusinde, Municipio de Palermo. Acceso: Por la Zona Industrial de Palermo. Generalidades de la Propiedad. Área total: 1 hectárea ($10.000  m2)Viviendas: Cuenta con 2 casas (Principal y de Mayordomo).Seguridad: Toda la propiedad está encerrada en cerca viva. Accesos: Dos entradas (principal y secundaria).  Agua: Cuenta con agua de aljibe y acueducto. Almacenamiento: Alberca para almacenamiento de agua y dos bodegas.</v>
      </c>
      <c r="AE190" s="46"/>
      <c r="AF190" s="46" t="str">
        <f>IFERROR(__xludf.DUMMYFUNCTION("""COMPUTED_VALUE"""),"integral")</f>
        <v>integral</v>
      </c>
      <c r="AG190" s="46"/>
      <c r="AH190" s="46" t="str">
        <f>IFERROR(__xludf.DUMMYFUNCTION("""COMPUTED_VALUE"""),"Directo")</f>
        <v>Directo</v>
      </c>
      <c r="AI190" s="92" t="str">
        <f>IFERROR(__xludf.DUMMYFUNCTION("""COMPUTED_VALUE"""),"https://lh3.googleusercontent.com/pw/AP1GczO1P-ZsZ-ohHK5_G2lXCIZgkhTofh02G9oXha1Ab-1j4niP07n-yN4pxW_kfYMOkX76BsJyxJa-XREKeIS-2qGXGJTs-0VfAZIQUAPU7WohLhP5DPi8=w1200|https://lh3.googleusercontent.com/pw/AP1GczMOs9ot24dHSGWUVpg_oqImKRfYIgIInxFlhZkPkZSjv2d9o5"&amp;"ugYagbDAQausKFIwDjfJDu2Nl_HUsbbvwirWWo-nnohcnxtQtzNCH8T-pzr1LOt_ws=w1200|https://lh3.googleusercontent.com/pw/AP1GczNoflhlHqnGivDrFzaK6iwvX1vRqgEAgeegUH44Rsq9CyZvY-b2zkiphMG1BRhzIR2YQv6vtRXxIxxjv79wQdvdRlGC7ub3Wze4geEe9gdPW-gc4LFL=w1200|https://lh3.google"&amp;"usercontent.com/pw/AP1GczNlOOfT2Wr-qPq5Bic9o-t1VIu5nCCpFWUxdXNpPvaRfNPaEKJi-7RLSOkR0EGrufPfddwIzlgcQ5j8vOZs7EkjZi2n61Ebb2ZbsVHaM3HCdNmU13DQ=w1200|https://lh3.googleusercontent.com/pw/AP1GczOrYfEHUvUZZ0W15POVEA7w7vMiTGO6Mz-FzvrJMbDAZl_8LcmNlbBzDC1X2jA4xsit"&amp;"SgGA60uVajiB6d-sb3Rg2etPXjSU_yJyjWF2OhAeLSWeskYC=w1200|https://lh3.googleusercontent.com/pw/AP1GczMySCZJsXRV3CR-c2m2IoU9mxok337u8t8Pu5uemCrZh9H3su7NhtpD2_ES9tuVyg296thv4zahpmPa8XyXbeSzAnXw3yEGT8Cs-NEWZbuSbb-DWhFY=w1200|https://lh3.googleusercontent.com/pw"&amp;"/AP1GczNAN9DaMrTz58j7dd1_9CtFbQ32cqu6SbNFX2X5fNd5fwSyjYDEfE95i_5iEUOevULboUE8DQABubT8CyokOMIATrBQ-CSDHhbMmSWfQs9Kj0xcNrAs=w1200|https://lh3.googleusercontent.com/pw/AP1GczNSx8F2W_2O9vq__dhjnp95vRwhhru6EDE1fQZCKfpuPJZuTn6ZDaqY4BrqW4-L2jr-3Bcy3woQI2kyWpx6B4"&amp;"83bMd2YDUPQ97cTSWKszm00d6XadgO=w1200|https://lh3.googleusercontent.com/pw/AP1GczNJr6iL9AUtWXkSBDth4wUTlOLuDigfM5R4NK5NMZKBEOmTPmqtflMMIhQWJafX2zUVE2hS3vrEQ-wXJO-GRmVVc6ZOQ2MzuHrmfn_05aNGCmzIXIjh=w1200|https://lh3.googleusercontent.com/pw/AP1GczOnOfN4hV4wP"&amp;"XJ0O4WB9kF088iRQOeG7bM4TJCnH83k4ANH-vjIIUJEMUxrtGLWj0vrJkqvik9vi7Hqz1okn4z9M-eqIxf4loWrHlM_3MM3Tfp_r9l_=w1200|https://lh3.googleusercontent.com/pw/AP1GczPCPNGMaQiG5KChR9iPE8TSSOG9yYzj6dglMMHfux-90pTwBDLOvVlHGQKntwX5BH50LjJeTMUP5bCTAwl5K0ol74ZQHSLtZmp_IgIu"&amp;"ENQ44nrzTE6p=w1200|https://lh3.googleusercontent.com/pw/AP1GczNo8oz78N2F8Gk1NtoYiQVpGPVhaX84Vm5KpD6DIaYiJBLX0QOHnCqV6Peg4rzxPiCef6pifgpA0o4W8VkJLlr3Rfa-S1AzlC6Bj13SkwYSuPukLXDY=w1200|https://lh3.googleusercontent.com/pw/AP1GczPwXX_ECChUguRY_pvB5ue3WHeRdCI"&amp;"z6_tZyTugcLRWiKQkJSIj884ARYVVoUNXo6qrDfMJhoMGU9jKTboCmuxvjL-rwkkbuNczFZcIZVgnaNqNbquc=w1200|https://lh3.googleusercontent.com/pw/AP1GczMVB_xRwi2z3siQD3A7r0LYr12omKjn6FhyUCcKL8CnA56Fkf-inpn6yFVwx5ZRXn0pV2aj9iCFN3yfHpQfT9Ruvn64uFfTahjVG3kfXbxzGB_ji5U-=w1200"&amp;"|https://lh3.googleusercontent.com/pw/AP1GczP2OZYlrWtdI0pwkwzSSnUHOECYI96b_5BmNk4un1xQJupAOn2deXD6Sj03oDYUy_XAxW7DI3U97XMt9MRWpIQwqw4I2HX6v_tLp6kA4DsWZ0elPJ56=w1200")</f>
        <v>https://lh3.googleusercontent.com/pw/AP1GczO1P-ZsZ-ohHK5_G2lXCIZgkhTofh02G9oXha1Ab-1j4niP07n-yN4pxW_kfYMOkX76BsJyxJa-XREKeIS-2qGXGJTs-0VfAZIQUAPU7WohLhP5DPi8=w1200|https://lh3.googleusercontent.com/pw/AP1GczMOs9ot24dHSGWUVpg_oqImKRfYIgIInxFlhZkPkZSjv2d9o5ugYagbDAQausKFIwDjfJDu2Nl_HUsbbvwirWWo-nnohcnxtQtzNCH8T-pzr1LOt_ws=w1200|https://lh3.googleusercontent.com/pw/AP1GczNoflhlHqnGivDrFzaK6iwvX1vRqgEAgeegUH44Rsq9CyZvY-b2zkiphMG1BRhzIR2YQv6vtRXxIxxjv79wQdvdRlGC7ub3Wze4geEe9gdPW-gc4LFL=w1200|https://lh3.googleusercontent.com/pw/AP1GczNlOOfT2Wr-qPq5Bic9o-t1VIu5nCCpFWUxdXNpPvaRfNPaEKJi-7RLSOkR0EGrufPfddwIzlgcQ5j8vOZs7EkjZi2n61Ebb2ZbsVHaM3HCdNmU13DQ=w1200|https://lh3.googleusercontent.com/pw/AP1GczOrYfEHUvUZZ0W15POVEA7w7vMiTGO6Mz-FzvrJMbDAZl_8LcmNlbBzDC1X2jA4xsitSgGA60uVajiB6d-sb3Rg2etPXjSU_yJyjWF2OhAeLSWeskYC=w1200|https://lh3.googleusercontent.com/pw/AP1GczMySCZJsXRV3CR-c2m2IoU9mxok337u8t8Pu5uemCrZh9H3su7NhtpD2_ES9tuVyg296thv4zahpmPa8XyXbeSzAnXw3yEGT8Cs-NEWZbuSbb-DWhFY=w1200|https://lh3.googleusercontent.com/pw/AP1GczNAN9DaMrTz58j7dd1_9CtFbQ32cqu6SbNFX2X5fNd5fwSyjYDEfE95i_5iEUOevULboUE8DQABubT8CyokOMIATrBQ-CSDHhbMmSWfQs9Kj0xcNrAs=w1200|https://lh3.googleusercontent.com/pw/AP1GczNSx8F2W_2O9vq__dhjnp95vRwhhru6EDE1fQZCKfpuPJZuTn6ZDaqY4BrqW4-L2jr-3Bcy3woQI2kyWpx6B483bMd2YDUPQ97cTSWKszm00d6XadgO=w1200|https://lh3.googleusercontent.com/pw/AP1GczNJr6iL9AUtWXkSBDth4wUTlOLuDigfM5R4NK5NMZKBEOmTPmqtflMMIhQWJafX2zUVE2hS3vrEQ-wXJO-GRmVVc6ZOQ2MzuHrmfn_05aNGCmzIXIjh=w1200|https://lh3.googleusercontent.com/pw/AP1GczOnOfN4hV4wPXJ0O4WB9kF088iRQOeG7bM4TJCnH83k4ANH-vjIIUJEMUxrtGLWj0vrJkqvik9vi7Hqz1okn4z9M-eqIxf4loWrHlM_3MM3Tfp_r9l_=w1200|https://lh3.googleusercontent.com/pw/AP1GczPCPNGMaQiG5KChR9iPE8TSSOG9yYzj6dglMMHfux-90pTwBDLOvVlHGQKntwX5BH50LjJeTMUP5bCTAwl5K0ol74ZQHSLtZmp_IgIuENQ44nrzTE6p=w1200|https://lh3.googleusercontent.com/pw/AP1GczNo8oz78N2F8Gk1NtoYiQVpGPVhaX84Vm5KpD6DIaYiJBLX0QOHnCqV6Peg4rzxPiCef6pifgpA0o4W8VkJLlr3Rfa-S1AzlC6Bj13SkwYSuPukLXDY=w1200|https://lh3.googleusercontent.com/pw/AP1GczPwXX_ECChUguRY_pvB5ue3WHeRdCIz6_tZyTugcLRWiKQkJSIj884ARYVVoUNXo6qrDfMJhoMGU9jKTboCmuxvjL-rwkkbuNczFZcIZVgnaNqNbquc=w1200|https://lh3.googleusercontent.com/pw/AP1GczMVB_xRwi2z3siQD3A7r0LYr12omKjn6FhyUCcKL8CnA56Fkf-inpn6yFVwx5ZRXn0pV2aj9iCFN3yfHpQfT9Ruvn64uFfTahjVG3kfXbxzGB_ji5U-=w1200|https://lh3.googleusercontent.com/pw/AP1GczP2OZYlrWtdI0pwkwzSSnUHOECYI96b_5BmNk4un1xQJupAOn2deXD6Sj03oDYUy_XAxW7DI3U97XMt9MRWpIQwqw4I2HX6v_tLp6kA4DsWZ0elPJ56=w1200</v>
      </c>
      <c r="AJ190" s="46"/>
      <c r="AK190" s="46"/>
      <c r="AL190" s="46"/>
      <c r="AM190" s="46"/>
      <c r="AN190" s="46"/>
      <c r="AO190" s="46"/>
      <c r="AP190" s="46"/>
      <c r="AQ190" s="46"/>
      <c r="AR190" s="46"/>
      <c r="AS190" s="46"/>
      <c r="AT190" s="46"/>
      <c r="AU190" s="46"/>
      <c r="AV190" s="46"/>
      <c r="AW190" s="46"/>
      <c r="AX190" s="46"/>
      <c r="AY190" s="46"/>
      <c r="AZ190" s="46"/>
      <c r="BA190" s="46"/>
      <c r="BB190" s="46"/>
      <c r="BC190" s="46"/>
      <c r="BD190" s="46"/>
      <c r="BE190" s="46"/>
      <c r="BF190" s="46"/>
      <c r="BG190" s="46"/>
      <c r="BH190" s="46"/>
      <c r="BI190" s="46"/>
      <c r="BJ190" s="46"/>
      <c r="BK190" s="46"/>
      <c r="BL190" s="46"/>
      <c r="BM190" s="46"/>
      <c r="BN190" s="46"/>
      <c r="BO190" s="46"/>
      <c r="BP190" s="46"/>
      <c r="BQ190" s="46"/>
      <c r="BR190" s="46"/>
      <c r="BS190" s="46"/>
      <c r="BT190" s="46"/>
      <c r="BU190" s="46"/>
      <c r="BV190" s="46"/>
      <c r="BW190" s="46"/>
      <c r="BX190" s="46"/>
      <c r="BY190" s="46"/>
      <c r="BZ190" s="46"/>
      <c r="CA190" s="46"/>
      <c r="CB190" s="46"/>
      <c r="CC190" s="46"/>
    </row>
    <row r="191">
      <c r="A191" s="87" t="str">
        <f>IFERROR(__xludf.DUMMYFUNCTION("""COMPUTED_VALUE"""),"627")</f>
        <v>627</v>
      </c>
      <c r="B191" s="46" t="str">
        <f>IFERROR(__xludf.DUMMYFUNCTION("""COMPUTED_VALUE"""),"Edificio  con 6 apartamentos y 2 locales en barrio La Rioja")</f>
        <v>Edificio  con 6 apartamentos y 2 locales en barrio La Rioja</v>
      </c>
      <c r="C191" s="46" t="str">
        <f>IFERROR(__xludf.DUMMYFUNCTION("""COMPUTED_VALUE"""),"Edificio rentable")</f>
        <v>Edificio rentable</v>
      </c>
      <c r="D191" s="90" t="str">
        <f>IFERROR(__xludf.DUMMYFUNCTION("""COMPUTED_VALUE"""),"La Rioja")</f>
        <v>La Rioja</v>
      </c>
      <c r="E191" s="46"/>
      <c r="F191" s="90">
        <f>IFERROR(__xludf.DUMMYFUNCTION("""COMPUTED_VALUE"""),7.7E8)</f>
        <v>770000000</v>
      </c>
      <c r="G191" s="46" t="str">
        <f>IFERROR(__xludf.DUMMYFUNCTION("""COMPUTED_VALUE"""),"$500'000.000 a $1.000'000.000")</f>
        <v>$500'000.000 a $1.000'000.000</v>
      </c>
      <c r="H191" s="46"/>
      <c r="I191" s="46"/>
      <c r="J191" s="46" t="str">
        <f>IFERROR(__xludf.DUMMYFUNCTION("""COMPUTED_VALUE"""),"Oriente")</f>
        <v>Oriente</v>
      </c>
      <c r="K191" s="87"/>
      <c r="L191" s="46">
        <f>IFERROR(__xludf.DUMMYFUNCTION("""COMPUTED_VALUE"""),12.0)</f>
        <v>12</v>
      </c>
      <c r="M191" s="46"/>
      <c r="N191" s="46">
        <f>IFERROR(__xludf.DUMMYFUNCTION("""COMPUTED_VALUE"""),8.0)</f>
        <v>8</v>
      </c>
      <c r="O191" s="46">
        <f>IFERROR(__xludf.DUMMYFUNCTION("""COMPUTED_VALUE"""),1.0)</f>
        <v>1</v>
      </c>
      <c r="P191" s="46">
        <f>IFERROR(__xludf.DUMMYFUNCTION("""COMPUTED_VALUE"""),3.0)</f>
        <v>3</v>
      </c>
      <c r="Q191" s="92">
        <f>IFERROR(__xludf.DUMMYFUNCTION("""COMPUTED_VALUE"""),270.0)</f>
        <v>270</v>
      </c>
      <c r="R191" s="92">
        <f>IFERROR(__xludf.DUMMYFUNCTION("""COMPUTED_VALUE"""),118.0)</f>
        <v>118</v>
      </c>
      <c r="S191" s="87" t="str">
        <f>IFERROR(__xludf.DUMMYFUNCTION("""COMPUTED_VALUE"""),"Rentabilidad $4,082,000")</f>
        <v>Rentabilidad $4,082,000</v>
      </c>
      <c r="T191" s="46" t="str">
        <f>IFERROR(__xludf.DUMMYFUNCTION("""COMPUTED_VALUE"""),"Neiva")</f>
        <v>Neiva</v>
      </c>
      <c r="U191" s="87" t="str">
        <f>IFERROR(__xludf.DUMMYFUNCTION("""COMPUTED_VALUE"""),"2")</f>
        <v>2</v>
      </c>
      <c r="V191" s="46" t="str">
        <f>IFERROR(__xludf.DUMMYFUNCTION("""COMPUTED_VALUE"""),"Esquinera")</f>
        <v>Esquinera</v>
      </c>
      <c r="W191" s="46"/>
      <c r="X191" s="46">
        <f>IFERROR(__xludf.DUMMYFUNCTION("""COMPUTED_VALUE"""),12.0)</f>
        <v>12</v>
      </c>
      <c r="Y191" s="46" t="str">
        <f>IFERROR(__xludf.DUMMYFUNCTION("""COMPUTED_VALUE"""),"No tiene")</f>
        <v>No tiene</v>
      </c>
      <c r="Z191" s="90" t="str">
        <f>IFERROR(__xludf.DUMMYFUNCTION("""COMPUTED_VALUE"""),"No aplica")</f>
        <v>No aplica</v>
      </c>
      <c r="AA191" s="33" t="str">
        <f>IFERROR(__xludf.DUMMYFUNCTION("""COMPUTED_VALUE"""),"16 años")</f>
        <v>16 años</v>
      </c>
      <c r="AB191" s="144" t="str">
        <f>IFERROR(__xludf.DUMMYFUNCTION("""COMPUTED_VALUE"""),"https://photos.app.goo.gl/ybDjP6GndB1PZxWc6")</f>
        <v>https://photos.app.goo.gl/ybDjP6GndB1PZxWc6</v>
      </c>
      <c r="AC191" s="46" t="str">
        <f>IFERROR(__xludf.DUMMYFUNCTION("""COMPUTED_VALUE"""),"Apartamentos con buenos acabados, Con garaje amplio,  sólo para motos.")</f>
        <v>Apartamentos con buenos acabados, Con garaje amplio,  sólo para motos.</v>
      </c>
      <c r="AD191" s="46" t="str">
        <f>IFERROR(__xludf.DUMMYFUNCTION("""COMPUTED_VALUE"""),"Edificio ubicado cerca a la Universidad Antonio Nariño. Cada apto con servicios publicos independientes estratos 2 y 3. Se permuta por inmueble o vehiculo en Bogotá de menor valo. No. finca.")</f>
        <v>Edificio ubicado cerca a la Universidad Antonio Nariño. Cada apto con servicios publicos independientes estratos 2 y 3. Se permuta por inmueble o vehiculo en Bogotá de menor valo. No. finca.</v>
      </c>
      <c r="AE191" s="46"/>
      <c r="AF191" s="46" t="str">
        <f>IFERROR(__xludf.DUMMYFUNCTION("""COMPUTED_VALUE"""),"semi-integral")</f>
        <v>semi-integral</v>
      </c>
      <c r="AG191" s="46"/>
      <c r="AH191" s="46" t="str">
        <f>IFERROR(__xludf.DUMMYFUNCTION("""COMPUTED_VALUE"""),"Directo")</f>
        <v>Directo</v>
      </c>
      <c r="AI191" s="92" t="str">
        <f>IFERROR(__xludf.DUMMYFUNCTION("""COMPUTED_VALUE"""),"https://lh3.googleusercontent.com/pw/AP1GczODyDWRB9R1e5UIddo5ZZFzkKSvI6-IJXNGpIkL4zGmA5O9cjhd8F_Y6kOhzRic6tOdLiw3lXq_Fyk81Dl9vwNsKQ1bkqv3lq1iRcRbNECKgf7gTXTi=w1200|https://lh3.googleusercontent.com/pw/AP1GczN3vRDFVT9-L55IRPCRyRJEAky7R1jd7dl-ci9-ejUS0q7z8B"&amp;"2bNSdBezrT2LFmzDHjHpr5aQzRNlxJnuBLAxKMJEWz4T_9JfIhX2m7xp3gaC4vue0j=w1200|https://lh3.googleusercontent.com/pw/AP1GczPc1hAMX14WCL5zxKO3lmVuzCD2Hu_80RAaRCvIRYnAUxotbMtUdcLfJZMuHtydG9RbSivzUhEivJlUaJZUnu4DpeL0hi9VJFA6PtXwoIXUXyw3AbNX=w1200|https://lh3.google"&amp;"usercontent.com/pw/AP1GczNlBgtx7f26OdXW68pswdESgdmQhg8EJcP1DMshJUUQORbM5SFaW8nDzspoMVJZY6PgG8rfW73n9Jc3KQWGsNLCemvILm6loUp45GfeF9RWfZ1-13B0=w1200|https://lh3.googleusercontent.com/pw/AP1GczP2ydBiRmkIYToRqy9SYtKr6mNU5BoWuqS2dt6N8gR7S53HpMgFm_Z5uvSCLv0TWn6L"&amp;"GZBttdbfr0vTFpYh_Kd-AHRL6cVcXLIdjm6o3Vbk5Eap7sr5=w1200|https://lh3.googleusercontent.com/pw/AP1GczP6iSiXVMEM6qxftWoHqwYNjIukgcu_jt_s1apNNzUclgx1ebll_mccgrBKLoImuLLFeNsg-RY9p_4TJva1evoYlp8Uvuk6WxEcK4Je8H1XPASpMPkS=w1200|https://lh3.googleusercontent.com/pw"&amp;"/AP1GczNXiIQKibQp4tHig2Ta-Bw8C2w7aqLVHaKOpitUHODv0zl95uahFab4FIldaNwY85d79CrGgerp4O-2kFpoW7Qjp7UY8Q53RZLcNTMe2WRL1eEgKyVJ=w1200|https://lh3.googleusercontent.com/pw/AP1GczMoOV5s6nuhGBwq6uDUfVjh8fDOlXpHXRJatJ7DCj2d_nCIg6tadn3gSHAX1VBD0n2cEKB5AmdyJ5VdL8PX1j"&amp;"Wi0-tCmu229L-7JGGbViYnRygPEVCv=w1200|https://lh3.googleusercontent.com/pw/AP1GczP4iwSLoiHc1wEq01Nj8PUPQTJLq1C7_bnhPxOt2VXt1JipmYwgwZ80OU1DiHO8PoV473REjgPgavCzigyBIdYU4qqa2b-BHprs8OL_IE5HrJopbGaK=w1200|https://lh3.googleusercontent.com/pw/AP1GczN6aN6_GbHSK"&amp;"_6JX9eMOtMT6PgdooiCklnOTwC69147kq5iEepOku0mlRXPch7zCHYw-uWLz5J-sJMN1MFyXb3vQ10obL5Zid_CG9F25LbwrL4vicbB=w1200|https://lh3.googleusercontent.com/pw/AP1GczNslbmJCqSx7IZZ_WWGQk-5-_TddlouNTQqfqgikvJrXxL7oV-NR8Qo4K3uYFcmxVNrSo6TptAmuEDOAeOhOBS_5tVBh8DsI2J8cHuY"&amp;"wZ6v351CKmj_=w1200|https://lh3.googleusercontent.com/pw/AP1GczM12Y1kYbbG39J8TN1F2wQ0si1ytk33xC_RsX4l5Y89kxxmDzORc5GCQNGYR4KYV8TwPE2ubJUciliXqVTcLRD5npI6lqzBdomUZqJGC7-W1Yn04BM9=w1200|https://lh3.googleusercontent.com/pw/AP1GczM1fTYMIWJQOAH5xgijtUPyqWtCNbn"&amp;"Ier-PzAONW_nMMkk-iOmR4A5uzPJ3eSdteZXSOzCEAwJmGpjLU7xac_977Fugz0652d6EkhiXo7q54zJdfteI=w1200|https://lh3.googleusercontent.com/pw/AP1GczPW0llZpH-BsaVdaA2rq8DXuoyG5U7uMBpkYpOQ6bOq7Tgqt_PFQZHAaP3bRZaT-a9tC3_dZFNasmoj4ccKRjkraIugZeBta4Vp1Az0AM3A0pULC51Q=w1200"&amp;"|https://lh3.googleusercontent.com/pw/AP1GczMZ5YbR0w4DLhIy0IHiThEVGPwlQTh9OL9yU3_xadanXZma4AnLS2cAZkUII2WtNW0H0rclkRtBshnX4RRfhaDKzxSeJNxcyDdT-JbW4Y27f_WkuExH=w1200|https://lh3.googleusercontent.com/pw/AP1GczPtqNusIY0BCh_GhDaLfYtnNMeSLT_fB_bSxHapsDzJVhLYA"&amp;"6E9mXDIYv2BtTvAGz3IeRhgQK-YmSWnKo695l59EvEj5YPahKMLmcNi3Nz7gqV7LeNP=w1200|https://lh3.googleusercontent.com/pw/AP1GczNz-Pw4W_oPwcHEQwd83XMMpEWgCWDErniCt4NMBSmXvrf-cfCIgL5WZeaqzW5KYjXBW63Vgx_IN7AL7RTikRTLLfJxcv5x4O9fid8ObJSULiQhd8NP=w1200|https://lh3.googl"&amp;"eusercontent.com/pw/AP1GczOVyzQMCvxxlLMgpfbqjR32QbjdTyhOAksyNx7dRq5b6auzERY-cpg2XubnBqmQ4CJw5fbHMxY28iXC0cH6aHMtu3eYVfmid8QGRiotL0Wy7AU6xTg-=w1200|https://lh3.googleusercontent.com/pw/AP1GczOWRQoXMvVXglnwOjrQXka6hah2jc-2d27tcW8kgRzR91UUkYdG24_eg4Lta0M2qq3"&amp;"Y44bKTBBCgGNaRKMcuX8IJUxY5DKNz-SLF7bOhLfYLMY71mr6=w1200")</f>
        <v>https://lh3.googleusercontent.com/pw/AP1GczODyDWRB9R1e5UIddo5ZZFzkKSvI6-IJXNGpIkL4zGmA5O9cjhd8F_Y6kOhzRic6tOdLiw3lXq_Fyk81Dl9vwNsKQ1bkqv3lq1iRcRbNECKgf7gTXTi=w1200|https://lh3.googleusercontent.com/pw/AP1GczN3vRDFVT9-L55IRPCRyRJEAky7R1jd7dl-ci9-ejUS0q7z8B2bNSdBezrT2LFmzDHjHpr5aQzRNlxJnuBLAxKMJEWz4T_9JfIhX2m7xp3gaC4vue0j=w1200|https://lh3.googleusercontent.com/pw/AP1GczPc1hAMX14WCL5zxKO3lmVuzCD2Hu_80RAaRCvIRYnAUxotbMtUdcLfJZMuHtydG9RbSivzUhEivJlUaJZUnu4DpeL0hi9VJFA6PtXwoIXUXyw3AbNX=w1200|https://lh3.googleusercontent.com/pw/AP1GczNlBgtx7f26OdXW68pswdESgdmQhg8EJcP1DMshJUUQORbM5SFaW8nDzspoMVJZY6PgG8rfW73n9Jc3KQWGsNLCemvILm6loUp45GfeF9RWfZ1-13B0=w1200|https://lh3.googleusercontent.com/pw/AP1GczP2ydBiRmkIYToRqy9SYtKr6mNU5BoWuqS2dt6N8gR7S53HpMgFm_Z5uvSCLv0TWn6LGZBttdbfr0vTFpYh_Kd-AHRL6cVcXLIdjm6o3Vbk5Eap7sr5=w1200|https://lh3.googleusercontent.com/pw/AP1GczP6iSiXVMEM6qxftWoHqwYNjIukgcu_jt_s1apNNzUclgx1ebll_mccgrBKLoImuLLFeNsg-RY9p_4TJva1evoYlp8Uvuk6WxEcK4Je8H1XPASpMPkS=w1200|https://lh3.googleusercontent.com/pw/AP1GczNXiIQKibQp4tHig2Ta-Bw8C2w7aqLVHaKOpitUHODv0zl95uahFab4FIldaNwY85d79CrGgerp4O-2kFpoW7Qjp7UY8Q53RZLcNTMe2WRL1eEgKyVJ=w1200|https://lh3.googleusercontent.com/pw/AP1GczMoOV5s6nuhGBwq6uDUfVjh8fDOlXpHXRJatJ7DCj2d_nCIg6tadn3gSHAX1VBD0n2cEKB5AmdyJ5VdL8PX1jWi0-tCmu229L-7JGGbViYnRygPEVCv=w1200|https://lh3.googleusercontent.com/pw/AP1GczP4iwSLoiHc1wEq01Nj8PUPQTJLq1C7_bnhPxOt2VXt1JipmYwgwZ80OU1DiHO8PoV473REjgPgavCzigyBIdYU4qqa2b-BHprs8OL_IE5HrJopbGaK=w1200|https://lh3.googleusercontent.com/pw/AP1GczN6aN6_GbHSK_6JX9eMOtMT6PgdooiCklnOTwC69147kq5iEepOku0mlRXPch7zCHYw-uWLz5J-sJMN1MFyXb3vQ10obL5Zid_CG9F25LbwrL4vicbB=w1200|https://lh3.googleusercontent.com/pw/AP1GczNslbmJCqSx7IZZ_WWGQk-5-_TddlouNTQqfqgikvJrXxL7oV-NR8Qo4K3uYFcmxVNrSo6TptAmuEDOAeOhOBS_5tVBh8DsI2J8cHuYwZ6v351CKmj_=w1200|https://lh3.googleusercontent.com/pw/AP1GczM12Y1kYbbG39J8TN1F2wQ0si1ytk33xC_RsX4l5Y89kxxmDzORc5GCQNGYR4KYV8TwPE2ubJUciliXqVTcLRD5npI6lqzBdomUZqJGC7-W1Yn04BM9=w1200|https://lh3.googleusercontent.com/pw/AP1GczM1fTYMIWJQOAH5xgijtUPyqWtCNbnIer-PzAONW_nMMkk-iOmR4A5uzPJ3eSdteZXSOzCEAwJmGpjLU7xac_977Fugz0652d6EkhiXo7q54zJdfteI=w1200|https://lh3.googleusercontent.com/pw/AP1GczPW0llZpH-BsaVdaA2rq8DXuoyG5U7uMBpkYpOQ6bOq7Tgqt_PFQZHAaP3bRZaT-a9tC3_dZFNasmoj4ccKRjkraIugZeBta4Vp1Az0AM3A0pULC51Q=w1200|https://lh3.googleusercontent.com/pw/AP1GczMZ5YbR0w4DLhIy0IHiThEVGPwlQTh9OL9yU3_xadanXZma4AnLS2cAZkUII2WtNW0H0rclkRtBshnX4RRfhaDKzxSeJNxcyDdT-JbW4Y27f_WkuExH=w1200|https://lh3.googleusercontent.com/pw/AP1GczPtqNusIY0BCh_GhDaLfYtnNMeSLT_fB_bSxHapsDzJVhLYA6E9mXDIYv2BtTvAGz3IeRhgQK-YmSWnKo695l59EvEj5YPahKMLmcNi3Nz7gqV7LeNP=w1200|https://lh3.googleusercontent.com/pw/AP1GczNz-Pw4W_oPwcHEQwd83XMMpEWgCWDErniCt4NMBSmXvrf-cfCIgL5WZeaqzW5KYjXBW63Vgx_IN7AL7RTikRTLLfJxcv5x4O9fid8ObJSULiQhd8NP=w1200|https://lh3.googleusercontent.com/pw/AP1GczOVyzQMCvxxlLMgpfbqjR32QbjdTyhOAksyNx7dRq5b6auzERY-cpg2XubnBqmQ4CJw5fbHMxY28iXC0cH6aHMtu3eYVfmid8QGRiotL0Wy7AU6xTg-=w1200|https://lh3.googleusercontent.com/pw/AP1GczOWRQoXMvVXglnwOjrQXka6hah2jc-2d27tcW8kgRzR91UUkYdG24_eg4Lta0M2qq3Y44bKTBBCgGNaRKMcuX8IJUxY5DKNz-SLF7bOhLfYLMY71mr6=w1200</v>
      </c>
      <c r="AJ191" s="46"/>
      <c r="AK191" s="46"/>
      <c r="AL191" s="46"/>
      <c r="AM191" s="46"/>
      <c r="AN191" s="46"/>
      <c r="AO191" s="46"/>
      <c r="AP191" s="46"/>
      <c r="AQ191" s="46"/>
      <c r="AR191" s="46"/>
      <c r="AS191" s="46"/>
      <c r="AT191" s="46"/>
      <c r="AU191" s="46"/>
      <c r="AV191" s="46"/>
      <c r="AW191" s="46"/>
      <c r="AX191" s="46"/>
      <c r="AY191" s="46"/>
      <c r="AZ191" s="46"/>
      <c r="BA191" s="46"/>
      <c r="BB191" s="46"/>
      <c r="BC191" s="46"/>
      <c r="BD191" s="46"/>
      <c r="BE191" s="46"/>
      <c r="BF191" s="46"/>
      <c r="BG191" s="46"/>
      <c r="BH191" s="46"/>
      <c r="BI191" s="46"/>
      <c r="BJ191" s="46"/>
      <c r="BK191" s="46"/>
      <c r="BL191" s="46"/>
      <c r="BM191" s="46"/>
      <c r="BN191" s="46"/>
      <c r="BO191" s="46"/>
      <c r="BP191" s="46"/>
      <c r="BQ191" s="46"/>
      <c r="BR191" s="46"/>
      <c r="BS191" s="46"/>
      <c r="BT191" s="46"/>
      <c r="BU191" s="46"/>
      <c r="BV191" s="46"/>
      <c r="BW191" s="46"/>
      <c r="BX191" s="46"/>
      <c r="BY191" s="46"/>
      <c r="BZ191" s="46"/>
      <c r="CA191" s="46"/>
      <c r="CB191" s="46"/>
      <c r="CC191" s="46"/>
    </row>
    <row r="192">
      <c r="A192" s="87" t="str">
        <f>IFERROR(__xludf.DUMMYFUNCTION("""COMPUTED_VALUE"""),"604")</f>
        <v>604</v>
      </c>
      <c r="B192" s="46" t="str">
        <f>IFERROR(__xludf.DUMMYFUNCTION("""COMPUTED_VALUE"""),"Casa en barrio El Altico")</f>
        <v>Casa en barrio El Altico</v>
      </c>
      <c r="C192" s="46" t="str">
        <f>IFERROR(__xludf.DUMMYFUNCTION("""COMPUTED_VALUE"""),"Casa")</f>
        <v>Casa</v>
      </c>
      <c r="D192" s="46" t="str">
        <f>IFERROR(__xludf.DUMMYFUNCTION("""COMPUTED_VALUE"""),"El Altico")</f>
        <v>El Altico</v>
      </c>
      <c r="E192" s="46"/>
      <c r="F192" s="90">
        <f>IFERROR(__xludf.DUMMYFUNCTION("""COMPUTED_VALUE"""),7.0E8)</f>
        <v>700000000</v>
      </c>
      <c r="G192" s="46" t="str">
        <f>IFERROR(__xludf.DUMMYFUNCTION("""COMPUTED_VALUE"""),"$500'000.000 a $1.000'000.000")</f>
        <v>$500'000.000 a $1.000'000.000</v>
      </c>
      <c r="H192" s="46"/>
      <c r="I192" s="46"/>
      <c r="J192" s="46" t="str">
        <f>IFERROR(__xludf.DUMMYFUNCTION("""COMPUTED_VALUE"""),"Centro")</f>
        <v>Centro</v>
      </c>
      <c r="K192" s="87"/>
      <c r="L192" s="46">
        <f>IFERROR(__xludf.DUMMYFUNCTION("""COMPUTED_VALUE"""),4.0)</f>
        <v>4</v>
      </c>
      <c r="M192" s="46"/>
      <c r="N192" s="46">
        <f>IFERROR(__xludf.DUMMYFUNCTION("""COMPUTED_VALUE"""),4.0)</f>
        <v>4</v>
      </c>
      <c r="O192" s="46">
        <f>IFERROR(__xludf.DUMMYFUNCTION("""COMPUTED_VALUE"""),3.0)</f>
        <v>3</v>
      </c>
      <c r="P192" s="46">
        <f>IFERROR(__xludf.DUMMYFUNCTION("""COMPUTED_VALUE"""),2.0)</f>
        <v>2</v>
      </c>
      <c r="Q192" s="92"/>
      <c r="R192" s="92">
        <f>IFERROR(__xludf.DUMMYFUNCTION("""COMPUTED_VALUE"""),240.0)</f>
        <v>240</v>
      </c>
      <c r="S192" s="87" t="str">
        <f>IFERROR(__xludf.DUMMYFUNCTION("""COMPUTED_VALUE""")," ")</f>
        <v> </v>
      </c>
      <c r="T192" s="46" t="str">
        <f>IFERROR(__xludf.DUMMYFUNCTION("""COMPUTED_VALUE"""),"Neiva")</f>
        <v>Neiva</v>
      </c>
      <c r="U192" s="87" t="str">
        <f>IFERROR(__xludf.DUMMYFUNCTION("""COMPUTED_VALUE"""),"4")</f>
        <v>4</v>
      </c>
      <c r="V192" s="46" t="str">
        <f>IFERROR(__xludf.DUMMYFUNCTION("""COMPUTED_VALUE"""),"Medianera")</f>
        <v>Medianera</v>
      </c>
      <c r="W192" s="46"/>
      <c r="X192" s="46">
        <f>IFERROR(__xludf.DUMMYFUNCTION("""COMPUTED_VALUE"""),4.0)</f>
        <v>4</v>
      </c>
      <c r="Y192" s="46" t="str">
        <f>IFERROR(__xludf.DUMMYFUNCTION("""COMPUTED_VALUE"""),"No tiene")</f>
        <v>No tiene</v>
      </c>
      <c r="Z192" s="90" t="str">
        <f>IFERROR(__xludf.DUMMYFUNCTION("""COMPUTED_VALUE"""),"No aplica")</f>
        <v>No aplica</v>
      </c>
      <c r="AA192" s="33" t="str">
        <f>IFERROR(__xludf.DUMMYFUNCTION("""COMPUTED_VALUE"""),"No aplica")</f>
        <v>No aplica</v>
      </c>
      <c r="AB192" s="96" t="str">
        <f>IFERROR(__xludf.DUMMYFUNCTION("""COMPUTED_VALUE"""),"https://photos.app.goo.gl/6hYQzTwBqSL4LgAk9")</f>
        <v>https://photos.app.goo.gl/6hYQzTwBqSL4LgAk9</v>
      </c>
      <c r="AC192" s="46" t="str">
        <f>IFERROR(__xludf.DUMMYFUNCTION("""COMPUTED_VALUE"""),"Casa con buenos acabados, piso en mármol, con Área de estudio. 2 habitaciones con baño privado. Todas las habitaciones con closet. Área de depósito. Patio amplio con Bbq y muro en fachaleta a 0.60 ml de altura y piso antideslizante. Buenos acabados piso e"&amp;"n mármol, muro en estuco veneciano y fachaleta, Carpintería marcos, puertas muebles empotrados, closet y pasamanos de la escalera en madera color miel.")</f>
        <v>Casa con buenos acabados, piso en mármol, con Área de estudio. 2 habitaciones con baño privado. Todas las habitaciones con closet. Área de depósito. Patio amplio con Bbq y muro en fachaleta a 0.60 ml de altura y piso antideslizante. Buenos acabados piso en mármol, muro en estuco veneciano y fachaleta, Carpintería marcos, puertas muebles empotrados, closet y pasamanos de la escalera en madera color miel.</v>
      </c>
      <c r="AD192" s="46" t="str">
        <f>IFERROR(__xludf.DUMMYFUNCTION("""COMPUTED_VALUE"""),"Casa  ubicada sobre vía vehicular amplia, casa remodelada, cuenta con un amplio ante jardín, con buena iluminación, ventilada y alta. Distribuida en 5 niveles. Escritura al día.")</f>
        <v>Casa  ubicada sobre vía vehicular amplia, casa remodelada, cuenta con un amplio ante jardín, con buena iluminación, ventilada y alta. Distribuida en 5 niveles. Escritura al día.</v>
      </c>
      <c r="AE192" s="46"/>
      <c r="AF192" s="46" t="str">
        <f>IFERROR(__xludf.DUMMYFUNCTION("""COMPUTED_VALUE"""),"integral")</f>
        <v>integral</v>
      </c>
      <c r="AG192" s="46"/>
      <c r="AH192" s="46" t="str">
        <f>IFERROR(__xludf.DUMMYFUNCTION("""COMPUTED_VALUE"""),"Directo")</f>
        <v>Directo</v>
      </c>
      <c r="AI192" s="92" t="str">
        <f>IFERROR(__xludf.DUMMYFUNCTION("""COMPUTED_VALUE"""),"https://lh3.googleusercontent.com/pw/AP1GczMKs1yHuPhO46_KIoGwqLwV1KMEWuG3xilK4QzXAX1eB7CiU3RkCoW0qVzCkxd-tQic16MEKb4sokWrHgx12Jt8_wgWrwMWhuR0WsKdHEKg0TviiR9p=w1200|https://lh3.googleusercontent.com/pw/AP1GczPuY160fPEtD8MmSa3e9D42XhmYj4KxtrcASZF7i-5mTkUl_R"&amp;"ZpaXn5eU34IVb9ylhCQxEswmPP_sT1pUlN7wKQ63oSBEIl9ploF7rTKTw_wm_0QOMl=w1200|https://lh3.googleusercontent.com/pw/AP1GczMPKsVwstlDiiEMJJtOOiiT1S8ggDN37mxafqi0f4DD7mwg1vszNLgX2O2WqgZafQDS4hqZK6CNadBR1657qMXBq2Ix3q4Bx_FokQs5V7f6TSN40PR7=w1200|https://lh3.google"&amp;"usercontent.com/pw/AP1GczMGB3F8bVToZi5WIB-H_V8Cur2S9Ljna_HFvNP62XWw5X6YTDfVFx9ujlIGIntuUFtLnWvtGrVjUfc9D9to0mztV6M02QF6s7514-sUatq4hm1fSLdw=w1200|https://lh3.googleusercontent.com/pw/AP1GczN_tN-N_LaPQLuUpD62auTTM9RAQnCb8JC-4fbIA1YICt3NSU-xESRBE5w3ptxHoMcT"&amp;"dLVmYK9mRklcwzRnRvko0Ke3frq8tgQlBtRnc1aN8NMNTfDz=w1200|https://lh3.googleusercontent.com/pw/AP1GczO6qgXQ70HzigwzMoJP-LBodnX_naicmpBdZfoHdth0FZZTslDCh7QcKTe07lDdaYBibkYSqKussPkLNbLBW3alML9fZ7d5J7AiLoMwYRctWtLoHJSx=w1200|https://lh3.googleusercontent.com/pw"&amp;"/AP1GczP2Z4KNcvL1PUEBec2f3c20JeRvktmLc-AJLk6HQnlG5P0NGnttbduR5ZSDCbaF1x2_hkIkGcC8u82-c5e6BrK8Ubf04P0hEYwOpnH875MMHw5LLHzI=w1200|https://lh3.googleusercontent.com/pw/AP1GczMWzdZQJkdPXNSDWJ90MHnNoYdWQkvsXCR__ovXeOcyXWm_yghp6h-oh9jRWFoG-nUMXeXuHFYzWz1oNEtn9T"&amp;"47PITYFKArcFp9zxBTNw14yzW9Fl4B=w1200|https://lh3.googleusercontent.com/pw/AP1GczMEKnE8FHzPW6hydtcCPY4nt100suiwXR-QGWUOqTHV6LlWT-sLsMqRRAqAnNEGnMG-tb5G1Q6B_ECoq3RzPcu23NQ-e4ABPd4GB_2eA-eVzO11FIlL=w1200|https://lh3.googleusercontent.com/pw/AP1GczPN9DRgKHiSC"&amp;"C3iJkm6-auhHuX14fwbxx-DBTPff9VqWshcQwlpuBeyvgG-SZhjWAsg0f-I012-2EZBfcJI_wPecxGvfDr59NlbD7rSVSUiNa2CHu6j=w1200|https://lh3.googleusercontent.com/pw/AP1GczOxothOkWVgJVGJjdUuqX2BgXdD553C4H3GJmNaQPmNRIbFKfPmpmuUsIAVVPhDLrjqZVY2faxF_8_R7kjckz1zUYrBWg216VyIEC1E"&amp;"fR8Mzwm9qpjU=w1200|https://lh3.googleusercontent.com/pw/AP1GczPVGiL-H1ykItZtAPuFJVw9W0hMvWx1vi2bbWL5PuGPA7h4z6N5W7evzEwSfG2NROKJC9ClXmkDaAbNtYyphjRG1iNe3aL111N4Y90I1jhlmqgpZbis=w1200|https://lh3.googleusercontent.com/pw/AP1GczNXvAOeTWO-T92uNqgg23TKzwisesM"&amp;"gyfL1N56KXqciEDEG4v4TiNfXXqswLdULDk5fyFKpynJcM3KvZh48tS1UpVciAMFrZ78UQZ7HhHeO9JnquEey=w1200|https://lh3.googleusercontent.com/pw/AP1GczMm24oZ9NLV7DWmWYvTCnKnD1LtVzs3tEFkSiovOXCD73uZvOQMDyNkCcR4eOmafkB1rZmGH5t4OCI_DWqluXI8uetgmq4aI4z0qW05mJP6H9IBBaln=w1200"&amp;"|https://lh3.googleusercontent.com/pw/AP1GczOg3Yn1Cf8S5Cat2baxkWZPCEfuyZ1k5cp8lV0MWhQPsKoeMyhuKLaZKB8CYvyGRaKiWkGRAefsDplMTOot00v-DL8KYii7Zu1kTgKOgj4nvwtNFowt=w1200|https://lh3.googleusercontent.com/pw/AP1GczNbLVbW92fJOpvUSXwnCIsVTeSox9j0soPaak4STfEx75P0F"&amp;"egR6yPpMk8ag4c6SnQ3SmYh3_6LgXXtSQeLyxbQ9s8EBxyF16a_RyTJlsR5sKzVqzVR=w1200|https://lh3.googleusercontent.com/pw/AP1GczOHo5OZI_RSX2Q8_0bjQ8PGMQYnQ3o7-MchLSNBUihphXwAvoBPGsDjkvbVyc0or3I994IOQauCf4pa9dm6ThyZXrmvmNby1dExLh5uDrfISrHoi8BH=w1200|https://lh3.googl"&amp;"eusercontent.com/pw/AP1GczMfcHzhjdRFQFDUOWJOp1Az0jsy6rxxH_Wh78L93kjREjtKY4wwdtYA5-0PZO_4I2gLcOxzH-ptjGShBZoogaC16CB-x-Xz8g2i2HkaZmuT2CdWunGg=w1200|https://lh3.googleusercontent.com/pw/AP1GczPed2AXmzmXHzC2Qw2_HpjW3jV4atRMLgulBV3JRehjfxJOAqL7h9WgZRlpLY0TbgW"&amp;"GT673yNGi4vaMSCytDunfNzbS6vjjvw0jnKrh5oKDTQmgBdv3=w1200|https://lh3.googleusercontent.com/pw/AP1GczM0d431wtXmGsA1WFdJMN8r3rwRlgktp1Ms0GRoA2eCnk4cuDMsScIw2_2tUQMITRkmueC1dMQvjbe58kPOQ6q7sZbKaO94O3t-qopk825Y6o6qljbT=w1200|https://lh3.googleusercontent.com/p"&amp;"w/AP1GczMZTDIFLKHLDlOdz4OpOS-23ptAwr_7snjLNP_weWS3JFgSrtV6dbfaOIVEn14BRDuKY2HqWS8En6jYdu8o3lSJ_ApD7XaAtSJs5JY9qN4HtHMKTls-=w1200|https://lh3.googleusercontent.com/pw/AP1GczMTkv6RE-L18yMMoaQPRtAU0CQvTQ3TkGYGpNMRexDrT1iditEdQ91gIFQ9ieKWhSM4kEaKOOdrv0eoh1_Ei"&amp;"z9Gj_tcRt45QbHt1XeHmvQ53fVVFhJr=w1200|https://lh3.googleusercontent.com/pw/AP1GczMDZ5OhXTwsJqVGpxpp1ety1aMCyaG9VirCR6Ht3yn9xCqCo0SDzx2loWdJ-dKKPqLxWdkotiZWJWDB5xVmJHUbkJsSWsuyn5LPYwcFINjDmXjI5owY=w1200|https://lh3.googleusercontent.com/pw/AP1GczMIM5FK1AQs"&amp;"z1PoQJbDwZxC1u_nB-cDDp8WB3YLL4RadNpF5Ry-fA6LC0u-VECwRqTeDq_9OErOt62lTy8CtUflkLvHw49W45DQ126TdnEtVYz00t9y=w1200|https://lh3.googleusercontent.com/pw/AP1GczO7UzgGZzyCl1CvJLdUtm7tvSHBPuURqDCFkfqPGrRCYOTMmOdfL8xpCcDws8FV5uLkX_r7W-oYOy-5KKvMIkUVC6188W8BqZEQFdX"&amp;"Lp_tkC4J_oq8L=w1200")</f>
        <v>https://lh3.googleusercontent.com/pw/AP1GczMKs1yHuPhO46_KIoGwqLwV1KMEWuG3xilK4QzXAX1eB7CiU3RkCoW0qVzCkxd-tQic16MEKb4sokWrHgx12Jt8_wgWrwMWhuR0WsKdHEKg0TviiR9p=w1200|https://lh3.googleusercontent.com/pw/AP1GczPuY160fPEtD8MmSa3e9D42XhmYj4KxtrcASZF7i-5mTkUl_RZpaXn5eU34IVb9ylhCQxEswmPP_sT1pUlN7wKQ63oSBEIl9ploF7rTKTw_wm_0QOMl=w1200|https://lh3.googleusercontent.com/pw/AP1GczMPKsVwstlDiiEMJJtOOiiT1S8ggDN37mxafqi0f4DD7mwg1vszNLgX2O2WqgZafQDS4hqZK6CNadBR1657qMXBq2Ix3q4Bx_FokQs5V7f6TSN40PR7=w1200|https://lh3.googleusercontent.com/pw/AP1GczMGB3F8bVToZi5WIB-H_V8Cur2S9Ljna_HFvNP62XWw5X6YTDfVFx9ujlIGIntuUFtLnWvtGrVjUfc9D9to0mztV6M02QF6s7514-sUatq4hm1fSLdw=w1200|https://lh3.googleusercontent.com/pw/AP1GczN_tN-N_LaPQLuUpD62auTTM9RAQnCb8JC-4fbIA1YICt3NSU-xESRBE5w3ptxHoMcTdLVmYK9mRklcwzRnRvko0Ke3frq8tgQlBtRnc1aN8NMNTfDz=w1200|https://lh3.googleusercontent.com/pw/AP1GczO6qgXQ70HzigwzMoJP-LBodnX_naicmpBdZfoHdth0FZZTslDCh7QcKTe07lDdaYBibkYSqKussPkLNbLBW3alML9fZ7d5J7AiLoMwYRctWtLoHJSx=w1200|https://lh3.googleusercontent.com/pw/AP1GczP2Z4KNcvL1PUEBec2f3c20JeRvktmLc-AJLk6HQnlG5P0NGnttbduR5ZSDCbaF1x2_hkIkGcC8u82-c5e6BrK8Ubf04P0hEYwOpnH875MMHw5LLHzI=w1200|https://lh3.googleusercontent.com/pw/AP1GczMWzdZQJkdPXNSDWJ90MHnNoYdWQkvsXCR__ovXeOcyXWm_yghp6h-oh9jRWFoG-nUMXeXuHFYzWz1oNEtn9T47PITYFKArcFp9zxBTNw14yzW9Fl4B=w1200|https://lh3.googleusercontent.com/pw/AP1GczMEKnE8FHzPW6hydtcCPY4nt100suiwXR-QGWUOqTHV6LlWT-sLsMqRRAqAnNEGnMG-tb5G1Q6B_ECoq3RzPcu23NQ-e4ABPd4GB_2eA-eVzO11FIlL=w1200|https://lh3.googleusercontent.com/pw/AP1GczPN9DRgKHiSCC3iJkm6-auhHuX14fwbxx-DBTPff9VqWshcQwlpuBeyvgG-SZhjWAsg0f-I012-2EZBfcJI_wPecxGvfDr59NlbD7rSVSUiNa2CHu6j=w1200|https://lh3.googleusercontent.com/pw/AP1GczOxothOkWVgJVGJjdUuqX2BgXdD553C4H3GJmNaQPmNRIbFKfPmpmuUsIAVVPhDLrjqZVY2faxF_8_R7kjckz1zUYrBWg216VyIEC1EfR8Mzwm9qpjU=w1200|https://lh3.googleusercontent.com/pw/AP1GczPVGiL-H1ykItZtAPuFJVw9W0hMvWx1vi2bbWL5PuGPA7h4z6N5W7evzEwSfG2NROKJC9ClXmkDaAbNtYyphjRG1iNe3aL111N4Y90I1jhlmqgpZbis=w1200|https://lh3.googleusercontent.com/pw/AP1GczNXvAOeTWO-T92uNqgg23TKzwisesMgyfL1N56KXqciEDEG4v4TiNfXXqswLdULDk5fyFKpynJcM3KvZh48tS1UpVciAMFrZ78UQZ7HhHeO9JnquEey=w1200|https://lh3.googleusercontent.com/pw/AP1GczMm24oZ9NLV7DWmWYvTCnKnD1LtVzs3tEFkSiovOXCD73uZvOQMDyNkCcR4eOmafkB1rZmGH5t4OCI_DWqluXI8uetgmq4aI4z0qW05mJP6H9IBBaln=w1200|https://lh3.googleusercontent.com/pw/AP1GczOg3Yn1Cf8S5Cat2baxkWZPCEfuyZ1k5cp8lV0MWhQPsKoeMyhuKLaZKB8CYvyGRaKiWkGRAefsDplMTOot00v-DL8KYii7Zu1kTgKOgj4nvwtNFowt=w1200|https://lh3.googleusercontent.com/pw/AP1GczNbLVbW92fJOpvUSXwnCIsVTeSox9j0soPaak4STfEx75P0FegR6yPpMk8ag4c6SnQ3SmYh3_6LgXXtSQeLyxbQ9s8EBxyF16a_RyTJlsR5sKzVqzVR=w1200|https://lh3.googleusercontent.com/pw/AP1GczOHo5OZI_RSX2Q8_0bjQ8PGMQYnQ3o7-MchLSNBUihphXwAvoBPGsDjkvbVyc0or3I994IOQauCf4pa9dm6ThyZXrmvmNby1dExLh5uDrfISrHoi8BH=w1200|https://lh3.googleusercontent.com/pw/AP1GczMfcHzhjdRFQFDUOWJOp1Az0jsy6rxxH_Wh78L93kjREjtKY4wwdtYA5-0PZO_4I2gLcOxzH-ptjGShBZoogaC16CB-x-Xz8g2i2HkaZmuT2CdWunGg=w1200|https://lh3.googleusercontent.com/pw/AP1GczPed2AXmzmXHzC2Qw2_HpjW3jV4atRMLgulBV3JRehjfxJOAqL7h9WgZRlpLY0TbgWGT673yNGi4vaMSCytDunfNzbS6vjjvw0jnKrh5oKDTQmgBdv3=w1200|https://lh3.googleusercontent.com/pw/AP1GczM0d431wtXmGsA1WFdJMN8r3rwRlgktp1Ms0GRoA2eCnk4cuDMsScIw2_2tUQMITRkmueC1dMQvjbe58kPOQ6q7sZbKaO94O3t-qopk825Y6o6qljbT=w1200|https://lh3.googleusercontent.com/pw/AP1GczMZTDIFLKHLDlOdz4OpOS-23ptAwr_7snjLNP_weWS3JFgSrtV6dbfaOIVEn14BRDuKY2HqWS8En6jYdu8o3lSJ_ApD7XaAtSJs5JY9qN4HtHMKTls-=w1200|https://lh3.googleusercontent.com/pw/AP1GczMTkv6RE-L18yMMoaQPRtAU0CQvTQ3TkGYGpNMRexDrT1iditEdQ91gIFQ9ieKWhSM4kEaKOOdrv0eoh1_Eiz9Gj_tcRt45QbHt1XeHmvQ53fVVFhJr=w1200|https://lh3.googleusercontent.com/pw/AP1GczMDZ5OhXTwsJqVGpxpp1ety1aMCyaG9VirCR6Ht3yn9xCqCo0SDzx2loWdJ-dKKPqLxWdkotiZWJWDB5xVmJHUbkJsSWsuyn5LPYwcFINjDmXjI5owY=w1200|https://lh3.googleusercontent.com/pw/AP1GczMIM5FK1AQsz1PoQJbDwZxC1u_nB-cDDp8WB3YLL4RadNpF5Ry-fA6LC0u-VECwRqTeDq_9OErOt62lTy8CtUflkLvHw49W45DQ126TdnEtVYz00t9y=w1200|https://lh3.googleusercontent.com/pw/AP1GczO7UzgGZzyCl1CvJLdUtm7tvSHBPuURqDCFkfqPGrRCYOTMmOdfL8xpCcDws8FV5uLkX_r7W-oYOy-5KKvMIkUVC6188W8BqZEQFdXLp_tkC4J_oq8L=w1200</v>
      </c>
      <c r="AJ192" s="46"/>
      <c r="AK192" s="46"/>
      <c r="AL192" s="46"/>
      <c r="AM192" s="46"/>
      <c r="AN192" s="46"/>
      <c r="AO192" s="46"/>
      <c r="AP192" s="46"/>
      <c r="AQ192" s="46"/>
      <c r="AR192" s="46"/>
      <c r="AS192" s="46"/>
      <c r="AT192" s="46"/>
      <c r="AU192" s="46"/>
      <c r="AV192" s="46"/>
      <c r="AW192" s="46"/>
      <c r="AX192" s="46"/>
      <c r="AY192" s="46"/>
      <c r="AZ192" s="46"/>
      <c r="BA192" s="46"/>
      <c r="BB192" s="46"/>
      <c r="BC192" s="46"/>
      <c r="BD192" s="46"/>
      <c r="BE192" s="46"/>
      <c r="BF192" s="46"/>
      <c r="BG192" s="46"/>
      <c r="BH192" s="46"/>
      <c r="BI192" s="46"/>
      <c r="BJ192" s="46"/>
      <c r="BK192" s="46"/>
      <c r="BL192" s="46"/>
      <c r="BM192" s="46"/>
      <c r="BN192" s="46"/>
      <c r="BO192" s="46"/>
      <c r="BP192" s="46"/>
      <c r="BQ192" s="46"/>
      <c r="BR192" s="46"/>
      <c r="BS192" s="46"/>
      <c r="BT192" s="46"/>
      <c r="BU192" s="46"/>
      <c r="BV192" s="46"/>
      <c r="BW192" s="46"/>
      <c r="BX192" s="46"/>
      <c r="BY192" s="46"/>
      <c r="BZ192" s="46"/>
      <c r="CA192" s="46"/>
      <c r="CB192" s="46"/>
      <c r="CC192" s="46"/>
    </row>
    <row r="193">
      <c r="A193" s="87" t="str">
        <f>IFERROR(__xludf.DUMMYFUNCTION("""COMPUTED_VALUE"""),"320")</f>
        <v>320</v>
      </c>
      <c r="B193" s="46" t="str">
        <f>IFERROR(__xludf.DUMMYFUNCTION("""COMPUTED_VALUE"""),"Edificio con tres apartamentos en barrio Campo Nuñez")</f>
        <v>Edificio con tres apartamentos en barrio Campo Nuñez</v>
      </c>
      <c r="C193" s="46" t="str">
        <f>IFERROR(__xludf.DUMMYFUNCTION("""COMPUTED_VALUE"""),"Edificio rentable")</f>
        <v>Edificio rentable</v>
      </c>
      <c r="D193" s="46" t="str">
        <f>IFERROR(__xludf.DUMMYFUNCTION("""COMPUTED_VALUE"""),"Campo Nuñez")</f>
        <v>Campo Nuñez</v>
      </c>
      <c r="E193" s="46"/>
      <c r="F193" s="90">
        <f>IFERROR(__xludf.DUMMYFUNCTION("""COMPUTED_VALUE"""),7.0E8)</f>
        <v>700000000</v>
      </c>
      <c r="G193" s="46" t="str">
        <f>IFERROR(__xludf.DUMMYFUNCTION("""COMPUTED_VALUE"""),"$500'000.000 a $1.000'000.000")</f>
        <v>$500'000.000 a $1.000'000.000</v>
      </c>
      <c r="H193" s="46"/>
      <c r="I193" s="46"/>
      <c r="J193" s="46" t="str">
        <f>IFERROR(__xludf.DUMMYFUNCTION("""COMPUTED_VALUE"""),"Centro")</f>
        <v>Centro</v>
      </c>
      <c r="K193" s="87" t="str">
        <f>IFERROR(__xludf.DUMMYFUNCTION("""COMPUTED_VALUE"""),"3")</f>
        <v>3</v>
      </c>
      <c r="L193" s="46">
        <f>IFERROR(__xludf.DUMMYFUNCTION("""COMPUTED_VALUE"""),9.0)</f>
        <v>9</v>
      </c>
      <c r="M193" s="46"/>
      <c r="N193" s="46">
        <f>IFERROR(__xludf.DUMMYFUNCTION("""COMPUTED_VALUE"""),6.0)</f>
        <v>6</v>
      </c>
      <c r="O193" s="46">
        <f>IFERROR(__xludf.DUMMYFUNCTION("""COMPUTED_VALUE"""),1.0)</f>
        <v>1</v>
      </c>
      <c r="P193" s="46">
        <f>IFERROR(__xludf.DUMMYFUNCTION("""COMPUTED_VALUE"""),3.0)</f>
        <v>3</v>
      </c>
      <c r="Q193" s="92">
        <f>IFERROR(__xludf.DUMMYFUNCTION("""COMPUTED_VALUE"""),260.0)</f>
        <v>260</v>
      </c>
      <c r="R193" s="92">
        <f>IFERROR(__xludf.DUMMYFUNCTION("""COMPUTED_VALUE"""),95.0)</f>
        <v>95</v>
      </c>
      <c r="S193" s="87" t="str">
        <f>IFERROR(__xludf.DUMMYFUNCTION("""COMPUTED_VALUE"""),"Rentabilidad $1,950,000")</f>
        <v>Rentabilidad $1,950,000</v>
      </c>
      <c r="T193" s="46" t="str">
        <f>IFERROR(__xludf.DUMMYFUNCTION("""COMPUTED_VALUE"""),"Neiva")</f>
        <v>Neiva</v>
      </c>
      <c r="U193" s="87" t="str">
        <f>IFERROR(__xludf.DUMMYFUNCTION("""COMPUTED_VALUE"""),"2")</f>
        <v>2</v>
      </c>
      <c r="V193" s="46" t="str">
        <f>IFERROR(__xludf.DUMMYFUNCTION("""COMPUTED_VALUE"""),"Medianera")</f>
        <v>Medianera</v>
      </c>
      <c r="W193" s="46"/>
      <c r="X193" s="46">
        <f>IFERROR(__xludf.DUMMYFUNCTION("""COMPUTED_VALUE"""),6.0)</f>
        <v>6</v>
      </c>
      <c r="Y193" s="46" t="str">
        <f>IFERROR(__xludf.DUMMYFUNCTION("""COMPUTED_VALUE"""),"No tiene")</f>
        <v>No tiene</v>
      </c>
      <c r="Z193" s="90" t="str">
        <f>IFERROR(__xludf.DUMMYFUNCTION("""COMPUTED_VALUE"""),"No aplica")</f>
        <v>No aplica</v>
      </c>
      <c r="AA193" s="33" t="str">
        <f>IFERROR(__xludf.DUMMYFUNCTION("""COMPUTED_VALUE"""),"30 años")</f>
        <v>30 años</v>
      </c>
      <c r="AB193" s="144" t="str">
        <f>IFERROR(__xludf.DUMMYFUNCTION("""COMPUTED_VALUE"""),"https://photos.app.goo.gl/MecKAB4MJ8qoYU1S6")</f>
        <v>https://photos.app.goo.gl/MecKAB4MJ8qoYU1S6</v>
      </c>
      <c r="AC193" s="46" t="str">
        <f>IFERROR(__xludf.DUMMYFUNCTION("""COMPUTED_VALUE"""),"Cuenta con buenos acabados, piso en porcelanato. Cielo raso en Dri Wall, con lámparas led de empotrar. Closet en madera. Carpintería externa en aluminio y la interna en madera.")</f>
        <v>Cuenta con buenos acabados, piso en porcelanato. Cielo raso en Dri Wall, con lámparas led de empotrar. Closet en madera. Carpintería externa en aluminio y la interna en madera.</v>
      </c>
      <c r="AD193" s="46" t="str">
        <f>IFERROR(__xludf.DUMMYFUNCTION("""COMPUTED_VALUE"""),"Edificio con 3 apartamentos. Dimensión del lote 9.50 x 10.0 ml. Bien ubicados, sobre vía vehicular amplia. Escritura al día. No se permuta.")</f>
        <v>Edificio con 3 apartamentos. Dimensión del lote 9.50 x 10.0 ml. Bien ubicados, sobre vía vehicular amplia. Escritura al día. No se permuta.</v>
      </c>
      <c r="AE193" s="46"/>
      <c r="AF193" s="46" t="str">
        <f>IFERROR(__xludf.DUMMYFUNCTION("""COMPUTED_VALUE"""),"integral")</f>
        <v>integral</v>
      </c>
      <c r="AG193" s="46"/>
      <c r="AH193" s="46" t="str">
        <f>IFERROR(__xludf.DUMMYFUNCTION("""COMPUTED_VALUE"""),"Directo")</f>
        <v>Directo</v>
      </c>
      <c r="AI193" s="92" t="str">
        <f>IFERROR(__xludf.DUMMYFUNCTION("""COMPUTED_VALUE"""),"https://lh3.googleusercontent.com/pw/AP1GczPizyuWTkl4xh2awCw8Fxl9iKxTUHTBagiECOaEog-XwPz3Z-ENHieo21GeNiw60bhPbxq56LsulIc8gv55-4tU9SaVH1392Mt2PCxqEEEghmEXCfjU=w1200|https://lh3.googleusercontent.com/pw/AP1GczMiwS233g6x3yRuWW2CkqnhuhPUcdsQo9Y_JgQVY5Zy-rxAO_"&amp;"nZQQv1ir9g5ZxvoXixlGt0mc2IzgpcdoxM-ceZrrW6rp_1vQW4hhc9Ifn9CzUufUHz=w1200|https://lh3.googleusercontent.com/pw/AP1GczNftIb1toTBHWm0TC88m7bJtiwMPuq7MTsqepk1hNun0cKDSX5VXLjW6EyclQuScpYQwPOSLYTVtk-0L4j8e1ILEKk9_TJw_xL7kDRhBihFgBnNj_8e=w1200|https://lh3.google"&amp;"usercontent.com/pw/AP1GczN669MZPtzlv2O83ADWWkZbGP8a3BZiypjKH7S1rVuOUfl3rQxw5NMBp0Q-ekmaJqKW30Hqh2JdwjOwjQyRBylR-u4VuMFmVUoZ2NHAbjGVoUAeyjQA=w1200|https://lh3.googleusercontent.com/pw/AP1GczP5EzT4pS9ecRy6jOiqaqeVZTEIroT4uMLQi4nn-zr4hod1A3SM3IsNcQUiT_nf0Oqv"&amp;"spaRWhmaWZwWalkDShSBvyeRtsp_yrrnwhwXr9HUzUNd5N9h=w1200|https://lh3.googleusercontent.com/pw/AP1GczMW7mIdb7vD-QoViwt9XnWyWLOTnpExNQhxscP00iThEn8tCZjjjgWpkZOwpOhveUfWGEUEZjWUWkHRnllExGeiXcU8J7L68t3-EBW39M9GIma5rsci=w1200|https://lh3.googleusercontent.com/pw"&amp;"/AP1GczO6ggv9Do56jUlKiHYCQOaQR0CA5XWjXrd5bqj_bIRvQ7kZ_2V7WteVWRpBaMOLcd3O6DB_w8TGF_5ZeVyf7wueMcDd7d62Zu6qFavHNjRCyhi8CFuB=w1200|https://lh3.googleusercontent.com/pw/AP1GczOmDjUGdT6IyTeSeMdRPe4O17aimya_yBuux4XE7vO1byKnu7KVN7hanSnRRTCHPaXR_gnJolGripgCnJDqQc"&amp;"l4N5e0itiYcQiNbVvsoL7pWWYMviqj=w1200|https://lh3.googleusercontent.com/pw/AP1GczN30h3fYvX71dwgRhzeW7q61jP9mVRa6UiSr2_UT0Q_ZRpLfokXS3ii4odHyRl2v6H0DGz8EkDEb1RN23aYM_bugIJhVg49V8IURwP1B0jt1DPugw5Y=w1200|https://lh3.googleusercontent.com/pw/AP1GczOPFZV6rko8y"&amp;"lr1uOdXngWyFj7Mj5hZWoGnv16793HXgLbf08FpWVn7Px04mybc8_ZGxJJPv8bU_NSFsOqRoL_7jGfDaaut7PrUG1OLe12hbZPJqq5f=w1200|https://lh3.googleusercontent.com/pw/AP1GczPeB3D0umOzlBbBXe32_pFRWYiRBIjtUelGKioye93HnDpV--1kl30P60tpqK5aRSGRmmL9Z7ZeLuIgE-s5YJ4DMXrnHY0OB2-LXegE"&amp;"3mVu3Pv0_IDE=w1200|https://lh3.googleusercontent.com/pw/AP1GczMOYds5iHt94FFigQfe7sgpV499FJZ-rSY9s8gXaYxBzdyrIYO5inzI29DZTgevvHisZxRQKVqcI8gQlZwzF9iKPhno5oFIbxcy05MPnjy3f8NZQlxN=w1200|https://lh3.googleusercontent.com/pw/AP1GczMUZivMqzoIKhN3Sshg4RG7M10XPfa"&amp;"87nWdoRoX7UJ4RFvPlV9TsZYE-k9At6Gp1YBFi3aqCtDSTGqcsrAPYJuVkC2MhwvFCJ3TO1kcaZsIkijQlKEB=w1200|https://lh3.googleusercontent.com/pw/AP1GczMQwNGSaP-cRQESLyO0sTULAK63B9I-L2wKPSbrnuJp4aWxMN_Qdtv35V8cawK8A6d3BBI4m4G3AeCboFqL4mEWP5-1uSZjxwa3qObeneRVc7nWr3tQ=w1200")</f>
        <v>https://lh3.googleusercontent.com/pw/AP1GczPizyuWTkl4xh2awCw8Fxl9iKxTUHTBagiECOaEog-XwPz3Z-ENHieo21GeNiw60bhPbxq56LsulIc8gv55-4tU9SaVH1392Mt2PCxqEEEghmEXCfjU=w1200|https://lh3.googleusercontent.com/pw/AP1GczMiwS233g6x3yRuWW2CkqnhuhPUcdsQo9Y_JgQVY5Zy-rxAO_nZQQv1ir9g5ZxvoXixlGt0mc2IzgpcdoxM-ceZrrW6rp_1vQW4hhc9Ifn9CzUufUHz=w1200|https://lh3.googleusercontent.com/pw/AP1GczNftIb1toTBHWm0TC88m7bJtiwMPuq7MTsqepk1hNun0cKDSX5VXLjW6EyclQuScpYQwPOSLYTVtk-0L4j8e1ILEKk9_TJw_xL7kDRhBihFgBnNj_8e=w1200|https://lh3.googleusercontent.com/pw/AP1GczN669MZPtzlv2O83ADWWkZbGP8a3BZiypjKH7S1rVuOUfl3rQxw5NMBp0Q-ekmaJqKW30Hqh2JdwjOwjQyRBylR-u4VuMFmVUoZ2NHAbjGVoUAeyjQA=w1200|https://lh3.googleusercontent.com/pw/AP1GczP5EzT4pS9ecRy6jOiqaqeVZTEIroT4uMLQi4nn-zr4hod1A3SM3IsNcQUiT_nf0OqvspaRWhmaWZwWalkDShSBvyeRtsp_yrrnwhwXr9HUzUNd5N9h=w1200|https://lh3.googleusercontent.com/pw/AP1GczMW7mIdb7vD-QoViwt9XnWyWLOTnpExNQhxscP00iThEn8tCZjjjgWpkZOwpOhveUfWGEUEZjWUWkHRnllExGeiXcU8J7L68t3-EBW39M9GIma5rsci=w1200|https://lh3.googleusercontent.com/pw/AP1GczO6ggv9Do56jUlKiHYCQOaQR0CA5XWjXrd5bqj_bIRvQ7kZ_2V7WteVWRpBaMOLcd3O6DB_w8TGF_5ZeVyf7wueMcDd7d62Zu6qFavHNjRCyhi8CFuB=w1200|https://lh3.googleusercontent.com/pw/AP1GczOmDjUGdT6IyTeSeMdRPe4O17aimya_yBuux4XE7vO1byKnu7KVN7hanSnRRTCHPaXR_gnJolGripgCnJDqQcl4N5e0itiYcQiNbVvsoL7pWWYMviqj=w1200|https://lh3.googleusercontent.com/pw/AP1GczN30h3fYvX71dwgRhzeW7q61jP9mVRa6UiSr2_UT0Q_ZRpLfokXS3ii4odHyRl2v6H0DGz8EkDEb1RN23aYM_bugIJhVg49V8IURwP1B0jt1DPugw5Y=w1200|https://lh3.googleusercontent.com/pw/AP1GczOPFZV6rko8ylr1uOdXngWyFj7Mj5hZWoGnv16793HXgLbf08FpWVn7Px04mybc8_ZGxJJPv8bU_NSFsOqRoL_7jGfDaaut7PrUG1OLe12hbZPJqq5f=w1200|https://lh3.googleusercontent.com/pw/AP1GczPeB3D0umOzlBbBXe32_pFRWYiRBIjtUelGKioye93HnDpV--1kl30P60tpqK5aRSGRmmL9Z7ZeLuIgE-s5YJ4DMXrnHY0OB2-LXegE3mVu3Pv0_IDE=w1200|https://lh3.googleusercontent.com/pw/AP1GczMOYds5iHt94FFigQfe7sgpV499FJZ-rSY9s8gXaYxBzdyrIYO5inzI29DZTgevvHisZxRQKVqcI8gQlZwzF9iKPhno5oFIbxcy05MPnjy3f8NZQlxN=w1200|https://lh3.googleusercontent.com/pw/AP1GczMUZivMqzoIKhN3Sshg4RG7M10XPfa87nWdoRoX7UJ4RFvPlV9TsZYE-k9At6Gp1YBFi3aqCtDSTGqcsrAPYJuVkC2MhwvFCJ3TO1kcaZsIkijQlKEB=w1200|https://lh3.googleusercontent.com/pw/AP1GczMQwNGSaP-cRQESLyO0sTULAK63B9I-L2wKPSbrnuJp4aWxMN_Qdtv35V8cawK8A6d3BBI4m4G3AeCboFqL4mEWP5-1uSZjxwa3qObeneRVc7nWr3tQ=w1200</v>
      </c>
      <c r="AJ193" s="46"/>
      <c r="AK193" s="46"/>
      <c r="AL193" s="46"/>
      <c r="AM193" s="46"/>
      <c r="AN193" s="46"/>
      <c r="AO193" s="46"/>
      <c r="AP193" s="46"/>
      <c r="AQ193" s="46"/>
      <c r="AR193" s="46"/>
      <c r="AS193" s="46"/>
      <c r="AT193" s="46"/>
      <c r="AU193" s="46"/>
      <c r="AV193" s="46"/>
      <c r="AW193" s="46"/>
      <c r="AX193" s="46"/>
      <c r="AY193" s="46"/>
      <c r="AZ193" s="46"/>
      <c r="BA193" s="46"/>
      <c r="BB193" s="46"/>
      <c r="BC193" s="46"/>
      <c r="BD193" s="46"/>
      <c r="BE193" s="46"/>
      <c r="BF193" s="46"/>
      <c r="BG193" s="46"/>
      <c r="BH193" s="46"/>
      <c r="BI193" s="46"/>
      <c r="BJ193" s="46"/>
      <c r="BK193" s="46"/>
      <c r="BL193" s="46"/>
      <c r="BM193" s="46"/>
      <c r="BN193" s="46"/>
      <c r="BO193" s="46"/>
      <c r="BP193" s="46"/>
      <c r="BQ193" s="46"/>
      <c r="BR193" s="46"/>
      <c r="BS193" s="46"/>
      <c r="BT193" s="46"/>
      <c r="BU193" s="46"/>
      <c r="BV193" s="46"/>
      <c r="BW193" s="46"/>
      <c r="BX193" s="46"/>
      <c r="BY193" s="46"/>
      <c r="BZ193" s="46"/>
      <c r="CA193" s="46"/>
      <c r="CB193" s="46"/>
      <c r="CC193" s="46"/>
    </row>
    <row r="194">
      <c r="A194" s="87" t="str">
        <f>IFERROR(__xludf.DUMMYFUNCTION("""COMPUTED_VALUE"""),"075")</f>
        <v>075</v>
      </c>
      <c r="B194" s="46" t="str">
        <f>IFERROR(__xludf.DUMMYFUNCTION("""COMPUTED_VALUE"""),"Casa con local más un apartamento y un apartaestudio en barrio Los Andes")</f>
        <v>Casa con local más un apartamento y un apartaestudio en barrio Los Andes</v>
      </c>
      <c r="C194" s="46" t="str">
        <f>IFERROR(__xludf.DUMMYFUNCTION("""COMPUTED_VALUE"""),"Casa rentable")</f>
        <v>Casa rentable</v>
      </c>
      <c r="D194" s="46" t="str">
        <f>IFERROR(__xludf.DUMMYFUNCTION("""COMPUTED_VALUE"""),"Los Andes")</f>
        <v>Los Andes</v>
      </c>
      <c r="E194" s="46"/>
      <c r="F194" s="90">
        <f>IFERROR(__xludf.DUMMYFUNCTION("""COMPUTED_VALUE"""),6.0E8)</f>
        <v>600000000</v>
      </c>
      <c r="G194" s="46" t="str">
        <f>IFERROR(__xludf.DUMMYFUNCTION("""COMPUTED_VALUE"""),"$500'000.000 a $1.000'000.000")</f>
        <v>$500'000.000 a $1.000'000.000</v>
      </c>
      <c r="H194" s="46"/>
      <c r="I194" s="46"/>
      <c r="J194" s="46" t="str">
        <f>IFERROR(__xludf.DUMMYFUNCTION("""COMPUTED_VALUE"""),"Norte")</f>
        <v>Norte</v>
      </c>
      <c r="K194" s="87"/>
      <c r="L194" s="46">
        <f>IFERROR(__xludf.DUMMYFUNCTION("""COMPUTED_VALUE"""),6.0)</f>
        <v>6</v>
      </c>
      <c r="M194" s="46"/>
      <c r="N194" s="46">
        <f>IFERROR(__xludf.DUMMYFUNCTION("""COMPUTED_VALUE"""),4.0)</f>
        <v>4</v>
      </c>
      <c r="O194" s="46">
        <f>IFERROR(__xludf.DUMMYFUNCTION("""COMPUTED_VALUE"""),1.0)</f>
        <v>1</v>
      </c>
      <c r="P194" s="46">
        <f>IFERROR(__xludf.DUMMYFUNCTION("""COMPUTED_VALUE"""),2.0)</f>
        <v>2</v>
      </c>
      <c r="Q194" s="92">
        <f>IFERROR(__xludf.DUMMYFUNCTION("""COMPUTED_VALUE"""),175.0)</f>
        <v>175</v>
      </c>
      <c r="R194" s="92">
        <f>IFERROR(__xludf.DUMMYFUNCTION("""COMPUTED_VALUE"""),90.0)</f>
        <v>90</v>
      </c>
      <c r="S194" s="87" t="str">
        <f>IFERROR(__xludf.DUMMYFUNCTION("""COMPUTED_VALUE"""),"Rentabilidad $2,800,000")</f>
        <v>Rentabilidad $2,800,000</v>
      </c>
      <c r="T194" s="46" t="str">
        <f>IFERROR(__xludf.DUMMYFUNCTION("""COMPUTED_VALUE"""),"Neiva")</f>
        <v>Neiva</v>
      </c>
      <c r="U194" s="87" t="str">
        <f>IFERROR(__xludf.DUMMYFUNCTION("""COMPUTED_VALUE"""),"2")</f>
        <v>2</v>
      </c>
      <c r="V194" s="46" t="str">
        <f>IFERROR(__xludf.DUMMYFUNCTION("""COMPUTED_VALUE"""),"Esquinera")</f>
        <v>Esquinera</v>
      </c>
      <c r="W194" s="46"/>
      <c r="X194" s="46">
        <f>IFERROR(__xludf.DUMMYFUNCTION("""COMPUTED_VALUE"""),4.0)</f>
        <v>4</v>
      </c>
      <c r="Y194" s="46" t="str">
        <f>IFERROR(__xludf.DUMMYFUNCTION("""COMPUTED_VALUE"""),"No tiene")</f>
        <v>No tiene</v>
      </c>
      <c r="Z194" s="90" t="str">
        <f>IFERROR(__xludf.DUMMYFUNCTION("""COMPUTED_VALUE"""),"No aplica")</f>
        <v>No aplica</v>
      </c>
      <c r="AA194" s="33" t="str">
        <f>IFERROR(__xludf.DUMMYFUNCTION("""COMPUTED_VALUE"""),"18 años")</f>
        <v>18 años</v>
      </c>
      <c r="AB194" s="144" t="str">
        <f>IFERROR(__xludf.DUMMYFUNCTION("""COMPUTED_VALUE"""),"https://photos.app.goo.gl/faSnxo1vFMSFvH6n8")</f>
        <v>https://photos.app.goo.gl/faSnxo1vFMSFvH6n8</v>
      </c>
      <c r="AC194" s="46" t="str">
        <f>IFERROR(__xludf.DUMMYFUNCTION("""COMPUTED_VALUE"""),"Casa con buenos acabados, piso en porcelanato, carpintería metálica, closet  y puertas de habitaciones en madera.")</f>
        <v>Casa con buenos acabados, piso en porcelanato, carpintería metálica, closet  y puertas de habitaciones en madera.</v>
      </c>
      <c r="AD194" s="46" t="str">
        <f>IFERROR(__xludf.DUMMYFUNCTION("""COMPUTED_VALUE"""),"Dimensión del lote 7.0 x 16.0 ml. Ubicada sobre avenida doble calzada con separador. Sector comercial. Cerca del centro comercial San Pedro y San Juan Plaza. Escritura al día. No se permuta.")</f>
        <v>Dimensión del lote 7.0 x 16.0 ml. Ubicada sobre avenida doble calzada con separador. Sector comercial. Cerca del centro comercial San Pedro y San Juan Plaza. Escritura al día. No se permuta.</v>
      </c>
      <c r="AE194" s="46"/>
      <c r="AF194" s="46" t="str">
        <f>IFERROR(__xludf.DUMMYFUNCTION("""COMPUTED_VALUE"""),"semi-integral")</f>
        <v>semi-integral</v>
      </c>
      <c r="AG194" s="46"/>
      <c r="AH194" s="46" t="str">
        <f>IFERROR(__xludf.DUMMYFUNCTION("""COMPUTED_VALUE"""),"Directo")</f>
        <v>Directo</v>
      </c>
      <c r="AI194" s="92" t="str">
        <f>IFERROR(__xludf.DUMMYFUNCTION("""COMPUTED_VALUE"""),"https://lh3.googleusercontent.com/pw/AP1GczNAeQb2-RrNDQldnbFf-AWYInVsWHjKR0rswYkWFQYFpI4bwAwknmojYx_y8_QtjMDe_D94EffyMlJ64fgtlmm3TQAuYDKQKL1jw2Rz_9qwL_qRHEHS=w1200|https://lh3.googleusercontent.com/pw/AP1GczMJrWjRgbtyXqW79TyHhEhJhRVo6JFzNlqXhE1amA7VH8UGoB"&amp;"iRPkSE3ezOvch0MaakKdC0per_IvYWLpx-Oi5OsPvvncQnYn4Shs_7jRmCNzQB2_bE=w1200|https://lh3.googleusercontent.com/pw/AP1GczOL0s01VvzJN-AhlUdIFt0iJnxBnV6ple0qEdgyr_7xD3uWeJsbDKyljKhlYpbfvvLXsEm2wc-ehlnEaQogRcYQBxJ5kwXYWlnz8iaqWzJa9OLC2XHN=w1200")</f>
        <v>https://lh3.googleusercontent.com/pw/AP1GczNAeQb2-RrNDQldnbFf-AWYInVsWHjKR0rswYkWFQYFpI4bwAwknmojYx_y8_QtjMDe_D94EffyMlJ64fgtlmm3TQAuYDKQKL1jw2Rz_9qwL_qRHEHS=w1200|https://lh3.googleusercontent.com/pw/AP1GczMJrWjRgbtyXqW79TyHhEhJhRVo6JFzNlqXhE1amA7VH8UGoBiRPkSE3ezOvch0MaakKdC0per_IvYWLpx-Oi5OsPvvncQnYn4Shs_7jRmCNzQB2_bE=w1200|https://lh3.googleusercontent.com/pw/AP1GczOL0s01VvzJN-AhlUdIFt0iJnxBnV6ple0qEdgyr_7xD3uWeJsbDKyljKhlYpbfvvLXsEm2wc-ehlnEaQogRcYQBxJ5kwXYWlnz8iaqWzJa9OLC2XHN=w1200</v>
      </c>
      <c r="AJ194" s="46"/>
      <c r="AK194" s="46"/>
      <c r="AL194" s="46"/>
      <c r="AM194" s="46"/>
      <c r="AN194" s="46"/>
      <c r="AO194" s="46"/>
      <c r="AP194" s="46"/>
      <c r="AQ194" s="46"/>
      <c r="AR194" s="46"/>
      <c r="AS194" s="46"/>
      <c r="AT194" s="46"/>
      <c r="AU194" s="46"/>
      <c r="AV194" s="46"/>
      <c r="AW194" s="46"/>
      <c r="AX194" s="46"/>
      <c r="AY194" s="46"/>
      <c r="AZ194" s="46"/>
      <c r="BA194" s="46"/>
      <c r="BB194" s="46"/>
      <c r="BC194" s="46"/>
      <c r="BD194" s="46"/>
      <c r="BE194" s="46"/>
      <c r="BF194" s="46"/>
      <c r="BG194" s="46"/>
      <c r="BH194" s="46"/>
      <c r="BI194" s="46"/>
      <c r="BJ194" s="46"/>
      <c r="BK194" s="46"/>
      <c r="BL194" s="46"/>
      <c r="BM194" s="46"/>
      <c r="BN194" s="46"/>
      <c r="BO194" s="46"/>
      <c r="BP194" s="46"/>
      <c r="BQ194" s="46"/>
      <c r="BR194" s="46"/>
      <c r="BS194" s="46"/>
      <c r="BT194" s="46"/>
      <c r="BU194" s="46"/>
      <c r="BV194" s="46"/>
      <c r="BW194" s="46"/>
      <c r="BX194" s="46"/>
      <c r="BY194" s="46"/>
      <c r="BZ194" s="46"/>
      <c r="CA194" s="46"/>
      <c r="CB194" s="46"/>
      <c r="CC194" s="46"/>
    </row>
    <row r="195">
      <c r="A195" s="87" t="str">
        <f>IFERROR(__xludf.DUMMYFUNCTION("""COMPUTED_VALUE"""),"852")</f>
        <v>852</v>
      </c>
      <c r="B195" s="46" t="str">
        <f>IFERROR(__xludf.DUMMYFUNCTION("""COMPUTED_VALUE"""),"Apartamento en Conjunto Residencial Tangara Ciudadela Nio - Av. 26")</f>
        <v>Apartamento en Conjunto Residencial Tangara Ciudadela Nio - Av. 26</v>
      </c>
      <c r="C195" s="46" t="str">
        <f>IFERROR(__xludf.DUMMYFUNCTION("""COMPUTED_VALUE"""),"Apartamento en conjunto")</f>
        <v>Apartamento en conjunto</v>
      </c>
      <c r="D195" s="46" t="str">
        <f>IFERROR(__xludf.DUMMYFUNCTION("""COMPUTED_VALUE"""),"Las Granjas")</f>
        <v>Las Granjas</v>
      </c>
      <c r="E195" s="46" t="str">
        <f>IFERROR(__xludf.DUMMYFUNCTION("""COMPUTED_VALUE"""),"Conjunto Residencial Tangara Ciudadela Nio")</f>
        <v>Conjunto Residencial Tangara Ciudadela Nio</v>
      </c>
      <c r="F195" s="90">
        <f>IFERROR(__xludf.DUMMYFUNCTION("""COMPUTED_VALUE"""),5.4E8)</f>
        <v>540000000</v>
      </c>
      <c r="G195" s="46" t="str">
        <f>IFERROR(__xludf.DUMMYFUNCTION("""COMPUTED_VALUE"""),"$500'000.000 a $1.000'000.000")</f>
        <v>$500'000.000 a $1.000'000.000</v>
      </c>
      <c r="H195" s="46"/>
      <c r="I195" s="46"/>
      <c r="J195" s="46" t="str">
        <f>IFERROR(__xludf.DUMMYFUNCTION("""COMPUTED_VALUE"""),"Norte")</f>
        <v>Norte</v>
      </c>
      <c r="K195" s="87" t="str">
        <f>IFERROR(__xludf.DUMMYFUNCTION("""COMPUTED_VALUE"""),"2")</f>
        <v>2</v>
      </c>
      <c r="L195" s="46">
        <f>IFERROR(__xludf.DUMMYFUNCTION("""COMPUTED_VALUE"""),3.0)</f>
        <v>3</v>
      </c>
      <c r="M195" s="46"/>
      <c r="N195" s="46">
        <f>IFERROR(__xludf.DUMMYFUNCTION("""COMPUTED_VALUE"""),2.0)</f>
        <v>2</v>
      </c>
      <c r="O195" s="46">
        <f>IFERROR(__xludf.DUMMYFUNCTION("""COMPUTED_VALUE"""),2.0)</f>
        <v>2</v>
      </c>
      <c r="P195" s="46">
        <f>IFERROR(__xludf.DUMMYFUNCTION("""COMPUTED_VALUE"""),7.0)</f>
        <v>7</v>
      </c>
      <c r="Q195" s="92">
        <f>IFERROR(__xludf.DUMMYFUNCTION("""COMPUTED_VALUE"""),114.43)</f>
        <v>114.43</v>
      </c>
      <c r="R195" s="92">
        <f>IFERROR(__xludf.DUMMYFUNCTION("""COMPUTED_VALUE"""),114.43)</f>
        <v>114.43</v>
      </c>
      <c r="S195" s="87" t="str">
        <f>IFERROR(__xludf.DUMMYFUNCTION("""COMPUTED_VALUE""")," ")</f>
        <v> </v>
      </c>
      <c r="T195" s="46" t="str">
        <f>IFERROR(__xludf.DUMMYFUNCTION("""COMPUTED_VALUE"""),"Neiva")</f>
        <v>Neiva</v>
      </c>
      <c r="U195" s="87" t="str">
        <f>IFERROR(__xludf.DUMMYFUNCTION("""COMPUTED_VALUE"""),"4")</f>
        <v>4</v>
      </c>
      <c r="V195" s="46" t="str">
        <f>IFERROR(__xludf.DUMMYFUNCTION("""COMPUTED_VALUE"""),"7o.")</f>
        <v>7o.</v>
      </c>
      <c r="W195" s="46"/>
      <c r="X195" s="46">
        <f>IFERROR(__xludf.DUMMYFUNCTION("""COMPUTED_VALUE"""),3.0)</f>
        <v>3</v>
      </c>
      <c r="Y195" s="46" t="str">
        <f>IFERROR(__xludf.DUMMYFUNCTION("""COMPUTED_VALUE"""),"Social")</f>
        <v>Social</v>
      </c>
      <c r="Z195" s="90">
        <f>IFERROR(__xludf.DUMMYFUNCTION("""COMPUTED_VALUE"""),554000.0)</f>
        <v>554000</v>
      </c>
      <c r="AA195" s="33" t="str">
        <f>IFERROR(__xludf.DUMMYFUNCTION("""COMPUTED_VALUE"""),"No aplica")</f>
        <v>No aplica</v>
      </c>
      <c r="AB195" s="96" t="str">
        <f>IFERROR(__xludf.DUMMYFUNCTION("""COMPUTED_VALUE"""),"https://photos.app.goo.gl/M12QLowt2h53KMYs7")</f>
        <v>https://photos.app.goo.gl/M12QLowt2h53KMYs7</v>
      </c>
      <c r="AC195" s="46" t="str">
        <f>IFERROR(__xludf.DUMMYFUNCTION("""COMPUTED_VALUE"""),"Distribución: Sala-Comedor amplia y acogedora con Aire acondicionado. Estudio. Moderna cocina integral abierta, amplia e iluminada. Zona de lavandería independiente + cuarto de depósito en sótano. Balcón amplio con hermosa vista al exterior del conjunto. "&amp;"Baño social. 3 habitaciones con excelente iluminación natural y Aire Acondicionado. Baño auxiliar y Baño privado en Habitación principal. Closets en madera de alta calidad. 2 parqueaderos privados y bodega.")</f>
        <v>Distribución: Sala-Comedor amplia y acogedora con Aire acondicionado. Estudio. Moderna cocina integral abierta, amplia e iluminada. Zona de lavandería independiente + cuarto de depósito en sótano. Balcón amplio con hermosa vista al exterior del conjunto. Baño social. 3 habitaciones con excelente iluminación natural y Aire Acondicionado. Baño auxiliar y Baño privado en Habitación principal. Closets en madera de alta calidad. 2 parqueaderos privados y bodega.</v>
      </c>
      <c r="AD195" s="46" t="str">
        <f>IFERROR(__xludf.DUMMYFUNCTION("""COMPUTED_VALUE"""),"Apartamento en un séptimo piso, en una zona de gran valorización, este hermoso Apartamento combina elegancia, comodidad y tranquilidad. Estrato 4. Con vista al interior. Lobby a doble altura tipo hotel. Excelentes acabados.")</f>
        <v>Apartamento en un séptimo piso, en una zona de gran valorización, este hermoso Apartamento combina elegancia, comodidad y tranquilidad. Estrato 4. Con vista al interior. Lobby a doble altura tipo hotel. Excelentes acabados.</v>
      </c>
      <c r="AE195" s="46"/>
      <c r="AF195" s="46" t="str">
        <f>IFERROR(__xludf.DUMMYFUNCTION("""COMPUTED_VALUE"""),"integral")</f>
        <v>integral</v>
      </c>
      <c r="AG195" s="46"/>
      <c r="AH195" s="46" t="str">
        <f>IFERROR(__xludf.DUMMYFUNCTION("""COMPUTED_VALUE"""),"Directo")</f>
        <v>Directo</v>
      </c>
      <c r="AI195" s="92" t="str">
        <f>IFERROR(__xludf.DUMMYFUNCTION("""COMPUTED_VALUE"""),"https://lh3.googleusercontent.com/pw/AP1GczO35a-PxHy6Ap07t9P1aURSMryZH0YP22lRIFZqYRBE4Qqj9o2rzFPQnfSdKYrq6KiFXekqgpQsnwFVEEClBeEKrDuobHDCdcAqUFyBx3YxphoPTGsJ=w1200|https://lh3.googleusercontent.com/pw/AP1GczPur_yAO5VGQYCsrJXYIhUTCKq_coWzKP6c5UXQf7j1Zmgs8j"&amp;"VjTsiYNOztzcCsD_VZ6T4AZVo46u61jK1hAfQQC9pxt4L8kp-KwbbOTREPZ0ZpncRZ=w1200|https://lh3.googleusercontent.com/pw/AP1GczMuWcfqh83BU_fcGO75FN_4HRu4vvITDH8DHr2JigRSmFZfgE2eiCM_YNyuL3KfgFfxEf8Vh4eJZZQ6b7ad_IeFgdzf8X37upifyggv0OFEJl6VSKAR=w1200|https://lh3.google"&amp;"usercontent.com/pw/AP1GczOdN0XTyGlDsG5SrdCDk1d3UDog1FLRnaF7wUelLMaqu-c-HStaI9GTK-vK6AUNZxHmSm4M07ysil8EHDZRKWBxrkEIB8Uu0B-v1VVPudpOLbn0ZJKF=w1200|https://lh3.googleusercontent.com/pw/AP1GczNgi4xncqzklvcaG8rn_HPb4RXCxtEUPHhYzhz-K8wvvhl-q0inb9j9BZhX9bf-IKfb"&amp;"DmglIuk_lfYxqPYP_FzIzo8EJ9F43x4eoTL2N7UFlFB2dou8=w1200|https://lh3.googleusercontent.com/pw/AP1GczMYZCJ_O4bK6o_8EL8vxyBqYYTMm0Rb2SXrz-PG-_4IQT3gpi0faxiFizrCrBinUNmIXA2ljHFareqH9-gfAaSW_j-hI9WQHJR22QcVlzumoEO9jp6D=w1200|https://lh3.googleusercontent.com/pw"&amp;"/AP1GczOMqrAbb5tLvg4Tgb2wCTe21yN9n3nw4INidyJo__pbCUdgpNWwQyesLuah4-ezQGhOvuCuWZcMxPV0GpkomQLEnadry_c9EktsKDgoOIJUW5-r4kch=w1200|https://lh3.googleusercontent.com/pw/AP1GczNjMex0pzZxQf2Ah3Z_vW7KqiVGEybd4aTecJSx7GHWEL6-gRTHIuLZL1xiU0KvO43lf6Bm0CYAdjG0V0u5-a"&amp;"qPWi7t9RC8MrNzZFaEj1_pl3LXttTh=w1200|https://lh3.googleusercontent.com/pw/AP1GczN3RDZsxNJIT9jMLcidzLBSRKNUjy3gSPbZZC46rrC4FXX2KyDtHkpMgjMizQKtytHJvUkSnubUzseQS4XQb4X_rNQ_TC4-jicpBQ0ryt8ZhnEjakVc=w1200|https://lh3.googleusercontent.com/pw/AP1GczMXboiA1nuCH"&amp;"ICn8_-y2PU3Jb7Yu-eNsPswrp7lcNXFY3D5yV3zSc2bCk7tMzfQNCAswBjAi_lqT8rzBV-1vlX3-woeL8goOOCr36OzuBGl3vIiHwnh=w1200|https://lh3.googleusercontent.com/pw/AP1GczP-yUSoGLv-T97Pc3hBi81P0HvXHX4w4pEybSnLBxMMMa2v5YEGXK3gt0CQs4YOsPrfKiHIND4V6qcIRJinxLTWGcixxGfpB2mroTp3"&amp;"WqJ6wZKde2YP=w1200|https://lh3.googleusercontent.com/pw/AP1GczOugXbUts4EMUdgktnMtWKvR9TxxQOqaUFJG9uHbj8wpRRG9LkfS9ptyrQlsI8sjzT7lpRmmR2yga3vw8wwE_WyJlKeMaAef-6R4-siv1i8LbxJ_rsU=w1200|https://lh3.googleusercontent.com/pw/AP1GczMLSxt37QEmM64xjiaNpPxCM3oXaXw"&amp;"1XsKsDN02pzog647xSSF3T-6FvCISnEsJKiQ-fo2LeWBQCjuJOKPuu60Txu8dd51jsQFht0nUd5rcXiC27OXr=w1200")</f>
        <v>https://lh3.googleusercontent.com/pw/AP1GczO35a-PxHy6Ap07t9P1aURSMryZH0YP22lRIFZqYRBE4Qqj9o2rzFPQnfSdKYrq6KiFXekqgpQsnwFVEEClBeEKrDuobHDCdcAqUFyBx3YxphoPTGsJ=w1200|https://lh3.googleusercontent.com/pw/AP1GczPur_yAO5VGQYCsrJXYIhUTCKq_coWzKP6c5UXQf7j1Zmgs8jVjTsiYNOztzcCsD_VZ6T4AZVo46u61jK1hAfQQC9pxt4L8kp-KwbbOTREPZ0ZpncRZ=w1200|https://lh3.googleusercontent.com/pw/AP1GczMuWcfqh83BU_fcGO75FN_4HRu4vvITDH8DHr2JigRSmFZfgE2eiCM_YNyuL3KfgFfxEf8Vh4eJZZQ6b7ad_IeFgdzf8X37upifyggv0OFEJl6VSKAR=w1200|https://lh3.googleusercontent.com/pw/AP1GczOdN0XTyGlDsG5SrdCDk1d3UDog1FLRnaF7wUelLMaqu-c-HStaI9GTK-vK6AUNZxHmSm4M07ysil8EHDZRKWBxrkEIB8Uu0B-v1VVPudpOLbn0ZJKF=w1200|https://lh3.googleusercontent.com/pw/AP1GczNgi4xncqzklvcaG8rn_HPb4RXCxtEUPHhYzhz-K8wvvhl-q0inb9j9BZhX9bf-IKfbDmglIuk_lfYxqPYP_FzIzo8EJ9F43x4eoTL2N7UFlFB2dou8=w1200|https://lh3.googleusercontent.com/pw/AP1GczMYZCJ_O4bK6o_8EL8vxyBqYYTMm0Rb2SXrz-PG-_4IQT3gpi0faxiFizrCrBinUNmIXA2ljHFareqH9-gfAaSW_j-hI9WQHJR22QcVlzumoEO9jp6D=w1200|https://lh3.googleusercontent.com/pw/AP1GczOMqrAbb5tLvg4Tgb2wCTe21yN9n3nw4INidyJo__pbCUdgpNWwQyesLuah4-ezQGhOvuCuWZcMxPV0GpkomQLEnadry_c9EktsKDgoOIJUW5-r4kch=w1200|https://lh3.googleusercontent.com/pw/AP1GczNjMex0pzZxQf2Ah3Z_vW7KqiVGEybd4aTecJSx7GHWEL6-gRTHIuLZL1xiU0KvO43lf6Bm0CYAdjG0V0u5-aqPWi7t9RC8MrNzZFaEj1_pl3LXttTh=w1200|https://lh3.googleusercontent.com/pw/AP1GczN3RDZsxNJIT9jMLcidzLBSRKNUjy3gSPbZZC46rrC4FXX2KyDtHkpMgjMizQKtytHJvUkSnubUzseQS4XQb4X_rNQ_TC4-jicpBQ0ryt8ZhnEjakVc=w1200|https://lh3.googleusercontent.com/pw/AP1GczMXboiA1nuCHICn8_-y2PU3Jb7Yu-eNsPswrp7lcNXFY3D5yV3zSc2bCk7tMzfQNCAswBjAi_lqT8rzBV-1vlX3-woeL8goOOCr36OzuBGl3vIiHwnh=w1200|https://lh3.googleusercontent.com/pw/AP1GczP-yUSoGLv-T97Pc3hBi81P0HvXHX4w4pEybSnLBxMMMa2v5YEGXK3gt0CQs4YOsPrfKiHIND4V6qcIRJinxLTWGcixxGfpB2mroTp3WqJ6wZKde2YP=w1200|https://lh3.googleusercontent.com/pw/AP1GczOugXbUts4EMUdgktnMtWKvR9TxxQOqaUFJG9uHbj8wpRRG9LkfS9ptyrQlsI8sjzT7lpRmmR2yga3vw8wwE_WyJlKeMaAef-6R4-siv1i8LbxJ_rsU=w1200|https://lh3.googleusercontent.com/pw/AP1GczMLSxt37QEmM64xjiaNpPxCM3oXaXw1XsKsDN02pzog647xSSF3T-6FvCISnEsJKiQ-fo2LeWBQCjuJOKPuu60Txu8dd51jsQFht0nUd5rcXiC27OXr=w1200</v>
      </c>
      <c r="AJ195" s="46"/>
      <c r="AK195" s="46"/>
      <c r="AL195" s="46"/>
      <c r="AM195" s="46"/>
      <c r="AN195" s="46"/>
      <c r="AO195" s="46"/>
      <c r="AP195" s="46"/>
      <c r="AQ195" s="46"/>
      <c r="AR195" s="46"/>
      <c r="AS195" s="46"/>
      <c r="AT195" s="46"/>
      <c r="AU195" s="46"/>
      <c r="AV195" s="46"/>
      <c r="AW195" s="46"/>
      <c r="AX195" s="46"/>
      <c r="AY195" s="46"/>
      <c r="AZ195" s="46"/>
      <c r="BA195" s="46"/>
      <c r="BB195" s="46"/>
      <c r="BC195" s="46"/>
      <c r="BD195" s="46"/>
      <c r="BE195" s="46"/>
      <c r="BF195" s="46"/>
      <c r="BG195" s="46"/>
      <c r="BH195" s="46"/>
      <c r="BI195" s="46"/>
      <c r="BJ195" s="46"/>
      <c r="BK195" s="46"/>
      <c r="BL195" s="46"/>
      <c r="BM195" s="46"/>
      <c r="BN195" s="46"/>
      <c r="BO195" s="46"/>
      <c r="BP195" s="46"/>
      <c r="BQ195" s="46"/>
      <c r="BR195" s="46"/>
      <c r="BS195" s="46"/>
      <c r="BT195" s="46"/>
      <c r="BU195" s="46"/>
      <c r="BV195" s="46"/>
      <c r="BW195" s="46"/>
      <c r="BX195" s="46"/>
      <c r="BY195" s="46"/>
      <c r="BZ195" s="46"/>
      <c r="CA195" s="46"/>
      <c r="CB195" s="46"/>
      <c r="CC195" s="46"/>
    </row>
    <row r="196">
      <c r="A196" s="87" t="str">
        <f>IFERROR(__xludf.DUMMYFUNCTION("""COMPUTED_VALUE"""),"220")</f>
        <v>220</v>
      </c>
      <c r="B196" s="46" t="str">
        <f>IFERROR(__xludf.DUMMYFUNCTION("""COMPUTED_VALUE"""),"Casa lote en barrio La Toma")</f>
        <v>Casa lote en barrio La Toma</v>
      </c>
      <c r="C196" s="46" t="str">
        <f>IFERROR(__xludf.DUMMYFUNCTION("""COMPUTED_VALUE"""),"Casa lote")</f>
        <v>Casa lote</v>
      </c>
      <c r="D196" s="46" t="str">
        <f>IFERROR(__xludf.DUMMYFUNCTION("""COMPUTED_VALUE"""),"La Toma")</f>
        <v>La Toma</v>
      </c>
      <c r="E196" s="90" t="str">
        <f>IFERROR(__xludf.DUMMYFUNCTION("""COMPUTED_VALUE""")," ")</f>
        <v> </v>
      </c>
      <c r="F196" s="90">
        <f>IFERROR(__xludf.DUMMYFUNCTION("""COMPUTED_VALUE"""),4.2E8)</f>
        <v>420000000</v>
      </c>
      <c r="G196" s="46" t="str">
        <f>IFERROR(__xludf.DUMMYFUNCTION("""COMPUTED_VALUE"""),"$400'000.000 a $500'000.000")</f>
        <v>$400'000.000 a $500'000.000</v>
      </c>
      <c r="H196" s="46"/>
      <c r="I196" s="46"/>
      <c r="J196" s="46" t="str">
        <f>IFERROR(__xludf.DUMMYFUNCTION("""COMPUTED_VALUE"""),"Centro")</f>
        <v>Centro</v>
      </c>
      <c r="K196" s="87" t="str">
        <f>IFERROR(__xludf.DUMMYFUNCTION("""COMPUTED_VALUE"""),"3")</f>
        <v>3</v>
      </c>
      <c r="L196" s="46">
        <f>IFERROR(__xludf.DUMMYFUNCTION("""COMPUTED_VALUE"""),3.0)</f>
        <v>3</v>
      </c>
      <c r="M196" s="46"/>
      <c r="N196" s="46">
        <f>IFERROR(__xludf.DUMMYFUNCTION("""COMPUTED_VALUE"""),1.0)</f>
        <v>1</v>
      </c>
      <c r="O196" s="46">
        <f>IFERROR(__xludf.DUMMYFUNCTION("""COMPUTED_VALUE"""),0.0)</f>
        <v>0</v>
      </c>
      <c r="P196" s="46">
        <f>IFERROR(__xludf.DUMMYFUNCTION("""COMPUTED_VALUE"""),1.0)</f>
        <v>1</v>
      </c>
      <c r="Q196" s="92">
        <f>IFERROR(__xludf.DUMMYFUNCTION("""COMPUTED_VALUE"""),247.0)</f>
        <v>247</v>
      </c>
      <c r="R196" s="92">
        <f>IFERROR(__xludf.DUMMYFUNCTION("""COMPUTED_VALUE"""),270.0)</f>
        <v>270</v>
      </c>
      <c r="S196" s="87" t="str">
        <f>IFERROR(__xludf.DUMMYFUNCTION("""COMPUTED_VALUE""")," ")</f>
        <v> </v>
      </c>
      <c r="T196" s="46" t="str">
        <f>IFERROR(__xludf.DUMMYFUNCTION("""COMPUTED_VALUE"""),"Neiva")</f>
        <v>Neiva</v>
      </c>
      <c r="U196" s="87" t="str">
        <f>IFERROR(__xludf.DUMMYFUNCTION("""COMPUTED_VALUE"""),"3")</f>
        <v>3</v>
      </c>
      <c r="V196" s="46" t="str">
        <f>IFERROR(__xludf.DUMMYFUNCTION("""COMPUTED_VALUE"""),"Medianera")</f>
        <v>Medianera</v>
      </c>
      <c r="W196" s="46"/>
      <c r="X196" s="46">
        <f>IFERROR(__xludf.DUMMYFUNCTION("""COMPUTED_VALUE"""),0.0)</f>
        <v>0</v>
      </c>
      <c r="Y196" s="46" t="str">
        <f>IFERROR(__xludf.DUMMYFUNCTION("""COMPUTED_VALUE"""),"No tiene")</f>
        <v>No tiene</v>
      </c>
      <c r="Z196" s="90" t="str">
        <f>IFERROR(__xludf.DUMMYFUNCTION("""COMPUTED_VALUE"""),"No aplica")</f>
        <v>No aplica</v>
      </c>
      <c r="AA196" s="33" t="str">
        <f>IFERROR(__xludf.DUMMYFUNCTION("""COMPUTED_VALUE"""),"No aplica")</f>
        <v>No aplica</v>
      </c>
      <c r="AB196" s="144" t="str">
        <f>IFERROR(__xludf.DUMMYFUNCTION("""COMPUTED_VALUE"""),"https://photos.app.goo.gl/VaLvWiBG6zi6BMQX6")</f>
        <v>https://photos.app.goo.gl/VaLvWiBG6zi6BMQX6</v>
      </c>
      <c r="AC196" s="46" t="str">
        <f>IFERROR(__xludf.DUMMYFUNCTION("""COMPUTED_VALUE"""),"Casa lote para remodelar en un 90%. Materiales en conservación. Piso en baldosa, cubierta en teja de zinc, cielo raso,  marcos y puertas en madera.")</f>
        <v>Casa lote para remodelar en un 90%. Materiales en conservación. Piso en baldosa, cubierta en teja de zinc, cielo raso,  marcos y puertas en madera.</v>
      </c>
      <c r="AD196" s="46" t="str">
        <f>IFERROR(__xludf.DUMMYFUNCTION("""COMPUTED_VALUE"""),"Dimensión del lote 9.0 ml x 30.0 ml. Con patio lineal. Sector Central - Barrio la Toma, enseguida de Bomberos y a 3 casas de la carrera 7.  Cerca de  las clínicas Medilaser y Uros. Escritura al día. No se permuta.")</f>
        <v>Dimensión del lote 9.0 ml x 30.0 ml. Con patio lineal. Sector Central - Barrio la Toma, enseguida de Bomberos y a 3 casas de la carrera 7.  Cerca de  las clínicas Medilaser y Uros. Escritura al día. No se permuta.</v>
      </c>
      <c r="AE196" s="46"/>
      <c r="AF196" s="46" t="str">
        <f>IFERROR(__xludf.DUMMYFUNCTION("""COMPUTED_VALUE"""),"básica")</f>
        <v>básica</v>
      </c>
      <c r="AG196" s="46"/>
      <c r="AH196" s="46" t="str">
        <f>IFERROR(__xludf.DUMMYFUNCTION("""COMPUTED_VALUE"""),"Directo")</f>
        <v>Directo</v>
      </c>
      <c r="AI196" s="92" t="str">
        <f>IFERROR(__xludf.DUMMYFUNCTION("""COMPUTED_VALUE"""),"https://lh3.googleusercontent.com/pw/AP1GczOuGOTgrnv2S4elxCFaS73FL2q7K1NN_BH5NqrOOWe9f5vfluuLR4hlXrk9i5hl6_TbD47Kkg046knfSFZeeoZM2TeanjRt6rEA2vY-VCpfIcYkBhuH=w1200|https://lh3.googleusercontent.com/pw/AP1GczN3oeSDE_Kz8fKADs_5NPLHJcf0AlcnrDEqxGTZCYaqtRQcsK"&amp;"cQSkRm40vhl-TmQOXu0j_F9rIBvcTcHLPouNixoFXrZKEibPEuDMQScL7o_UOCdR1m=w1200|https://lh3.googleusercontent.com/pw/AP1GczOOX8-BIoBnjo2fBSUAzDL1fRLezORjoF1dxBP5kHG3PybR2ZujFHomS0QwXEeouU_f30v1xzNLPc_UALg9xvTk8XCIdaCUQHaPG6v5ytaIBNd22Zd4=w1200|https://lh3.google"&amp;"usercontent.com/pw/AP1GczMkLRYZq_BnlcJxluJTwLIpbHxlb4wR8xOBzlIKltBlB2yxMHS8cwuTXa6p0_f2uTP89lq69Ar1TJtFpnMyibKMkTaFueQavgZLY-gNUeCAXZYveNj4=w1200|https://lh3.googleusercontent.com/pw/AP1GczNK18MyGM7DS4USaJjxy8WZvRJm-rt05yFmrTV-kNUracY06bEbDSt7QNVbgeDBrz4l"&amp;"_o0ry0c4KF0IEY_dFSSv3GO6VF0aXpgbMPnV2wvm1JOVF139=w1200|https://lh3.googleusercontent.com/pw/AP1GczPy8dpNdMRx0Yw6Ht1zroavELJNaTEFGzO6C8ThcjaoZAIE5ZdXTuunOPtrVm-2RIFZIWm14llvIsQwRY6MzzrQxTv_zHZGcSlAmn0I7k8EzwHgBqs1=w1200|https://lh3.googleusercontent.com/pw"&amp;"/AP1GczPXDQ4l0SykPkak-9iFRShWVktf9KrkIpsFYEh0Q05RY1Najs1UrXDyqLdoG9MAE1ewkn4dI6274cM1CGpTz4rir7HMiOLnxDM8wuCDte-n5VYYmtrB=w1200|https://lh3.googleusercontent.com/pw/AP1GczMS6OiH5hMRes0xtJL3975TFrDYWHE9r7YKZ0raPPAQSybGuBo7dq-6tGSGcLoi3DHbcSXbty-uNPgKKGxUVn"&amp;"enWjzp0YAV_2HBKqg2AuE6rcoqrlMz=w1200|https://lh3.googleusercontent.com/pw/AP1GczPW0MO5gAGbaQ89ubUP7rNhU62fVAC8dcyBbEKj0Oz6N0Y3ErlhIFkM2uUsvx6ykiWxif0CpzDZw1mu3bHcTVzB-IJiENhD7zvBDHL8MZ4UXAPqafrY=w1200")</f>
        <v>https://lh3.googleusercontent.com/pw/AP1GczOuGOTgrnv2S4elxCFaS73FL2q7K1NN_BH5NqrOOWe9f5vfluuLR4hlXrk9i5hl6_TbD47Kkg046knfSFZeeoZM2TeanjRt6rEA2vY-VCpfIcYkBhuH=w1200|https://lh3.googleusercontent.com/pw/AP1GczN3oeSDE_Kz8fKADs_5NPLHJcf0AlcnrDEqxGTZCYaqtRQcsKcQSkRm40vhl-TmQOXu0j_F9rIBvcTcHLPouNixoFXrZKEibPEuDMQScL7o_UOCdR1m=w1200|https://lh3.googleusercontent.com/pw/AP1GczOOX8-BIoBnjo2fBSUAzDL1fRLezORjoF1dxBP5kHG3PybR2ZujFHomS0QwXEeouU_f30v1xzNLPc_UALg9xvTk8XCIdaCUQHaPG6v5ytaIBNd22Zd4=w1200|https://lh3.googleusercontent.com/pw/AP1GczMkLRYZq_BnlcJxluJTwLIpbHxlb4wR8xOBzlIKltBlB2yxMHS8cwuTXa6p0_f2uTP89lq69Ar1TJtFpnMyibKMkTaFueQavgZLY-gNUeCAXZYveNj4=w1200|https://lh3.googleusercontent.com/pw/AP1GczNK18MyGM7DS4USaJjxy8WZvRJm-rt05yFmrTV-kNUracY06bEbDSt7QNVbgeDBrz4l_o0ry0c4KF0IEY_dFSSv3GO6VF0aXpgbMPnV2wvm1JOVF139=w1200|https://lh3.googleusercontent.com/pw/AP1GczPy8dpNdMRx0Yw6Ht1zroavELJNaTEFGzO6C8ThcjaoZAIE5ZdXTuunOPtrVm-2RIFZIWm14llvIsQwRY6MzzrQxTv_zHZGcSlAmn0I7k8EzwHgBqs1=w1200|https://lh3.googleusercontent.com/pw/AP1GczPXDQ4l0SykPkak-9iFRShWVktf9KrkIpsFYEh0Q05RY1Najs1UrXDyqLdoG9MAE1ewkn4dI6274cM1CGpTz4rir7HMiOLnxDM8wuCDte-n5VYYmtrB=w1200|https://lh3.googleusercontent.com/pw/AP1GczMS6OiH5hMRes0xtJL3975TFrDYWHE9r7YKZ0raPPAQSybGuBo7dq-6tGSGcLoi3DHbcSXbty-uNPgKKGxUVnenWjzp0YAV_2HBKqg2AuE6rcoqrlMz=w1200|https://lh3.googleusercontent.com/pw/AP1GczPW0MO5gAGbaQ89ubUP7rNhU62fVAC8dcyBbEKj0Oz6N0Y3ErlhIFkM2uUsvx6ykiWxif0CpzDZw1mu3bHcTVzB-IJiENhD7zvBDHL8MZ4UXAPqafrY=w1200</v>
      </c>
      <c r="AJ196" s="46"/>
      <c r="AK196" s="46"/>
      <c r="AL196" s="46"/>
      <c r="AM196" s="46"/>
      <c r="AN196" s="46"/>
      <c r="AO196" s="46"/>
      <c r="AP196" s="46"/>
      <c r="AQ196" s="46"/>
      <c r="AR196" s="46"/>
      <c r="AS196" s="46"/>
      <c r="AT196" s="46"/>
      <c r="AU196" s="46"/>
      <c r="AV196" s="46"/>
      <c r="AW196" s="46"/>
      <c r="AX196" s="46"/>
      <c r="AY196" s="46"/>
      <c r="AZ196" s="46"/>
      <c r="BA196" s="46"/>
      <c r="BB196" s="46"/>
      <c r="BC196" s="46"/>
      <c r="BD196" s="46"/>
      <c r="BE196" s="46"/>
      <c r="BF196" s="46"/>
      <c r="BG196" s="46"/>
      <c r="BH196" s="46"/>
      <c r="BI196" s="46"/>
      <c r="BJ196" s="46"/>
      <c r="BK196" s="46"/>
      <c r="BL196" s="46"/>
      <c r="BM196" s="46"/>
      <c r="BN196" s="46"/>
      <c r="BO196" s="46"/>
      <c r="BP196" s="46"/>
      <c r="BQ196" s="46"/>
      <c r="BR196" s="46"/>
      <c r="BS196" s="46"/>
      <c r="BT196" s="46"/>
      <c r="BU196" s="46"/>
      <c r="BV196" s="46"/>
      <c r="BW196" s="46"/>
      <c r="BX196" s="46"/>
      <c r="BY196" s="46"/>
      <c r="BZ196" s="46"/>
      <c r="CA196" s="46"/>
      <c r="CB196" s="46"/>
      <c r="CC196" s="46"/>
    </row>
    <row r="197">
      <c r="A197" s="87" t="str">
        <f>IFERROR(__xludf.DUMMYFUNCTION("""COMPUTED_VALUE"""),"363")</f>
        <v>363</v>
      </c>
      <c r="B197" s="46" t="str">
        <f>IFERROR(__xludf.DUMMYFUNCTION("""COMPUTED_VALUE"""),"Edificio de tres apartamentos en barrio Los Andaquíes - Rivera")</f>
        <v>Edificio de tres apartamentos en barrio Los Andaquíes - Rivera</v>
      </c>
      <c r="C197" s="46" t="str">
        <f>IFERROR(__xludf.DUMMYFUNCTION("""COMPUTED_VALUE"""),"Edificio rentable")</f>
        <v>Edificio rentable</v>
      </c>
      <c r="D197" s="46" t="str">
        <f>IFERROR(__xludf.DUMMYFUNCTION("""COMPUTED_VALUE"""),"Los Andaquíes")</f>
        <v>Los Andaquíes</v>
      </c>
      <c r="E197" s="46"/>
      <c r="F197" s="90">
        <f>IFERROR(__xludf.DUMMYFUNCTION("""COMPUTED_VALUE"""),4.0E8)</f>
        <v>400000000</v>
      </c>
      <c r="G197" s="46" t="str">
        <f>IFERROR(__xludf.DUMMYFUNCTION("""COMPUTED_VALUE"""),"$400'000.000 a $500'000.000")</f>
        <v>$400'000.000 a $500'000.000</v>
      </c>
      <c r="H197" s="46"/>
      <c r="I197" s="46"/>
      <c r="J197" s="46" t="str">
        <f>IFERROR(__xludf.DUMMYFUNCTION("""COMPUTED_VALUE"""),"Centro")</f>
        <v>Centro</v>
      </c>
      <c r="K197" s="87"/>
      <c r="L197" s="46">
        <f>IFERROR(__xludf.DUMMYFUNCTION("""COMPUTED_VALUE"""),9.0)</f>
        <v>9</v>
      </c>
      <c r="M197" s="46"/>
      <c r="N197" s="46">
        <f>IFERROR(__xludf.DUMMYFUNCTION("""COMPUTED_VALUE"""),6.0)</f>
        <v>6</v>
      </c>
      <c r="O197" s="46">
        <f>IFERROR(__xludf.DUMMYFUNCTION("""COMPUTED_VALUE"""),0.0)</f>
        <v>0</v>
      </c>
      <c r="P197" s="46">
        <f>IFERROR(__xludf.DUMMYFUNCTION("""COMPUTED_VALUE"""),3.0)</f>
        <v>3</v>
      </c>
      <c r="Q197" s="92">
        <f>IFERROR(__xludf.DUMMYFUNCTION("""COMPUTED_VALUE"""),300.0)</f>
        <v>300</v>
      </c>
      <c r="R197" s="92">
        <f>IFERROR(__xludf.DUMMYFUNCTION("""COMPUTED_VALUE"""),112.0)</f>
        <v>112</v>
      </c>
      <c r="S197" s="87" t="str">
        <f>IFERROR(__xludf.DUMMYFUNCTION("""COMPUTED_VALUE"""),"Rentabilidad $1,200,000")</f>
        <v>Rentabilidad $1,200,000</v>
      </c>
      <c r="T197" s="46" t="str">
        <f>IFERROR(__xludf.DUMMYFUNCTION("""COMPUTED_VALUE"""),"Riverita")</f>
        <v>Riverita</v>
      </c>
      <c r="U197" s="87" t="str">
        <f>IFERROR(__xludf.DUMMYFUNCTION("""COMPUTED_VALUE"""),"2")</f>
        <v>2</v>
      </c>
      <c r="V197" s="46" t="str">
        <f>IFERROR(__xludf.DUMMYFUNCTION("""COMPUTED_VALUE"""),"Medianera")</f>
        <v>Medianera</v>
      </c>
      <c r="W197" s="46"/>
      <c r="X197" s="46">
        <f>IFERROR(__xludf.DUMMYFUNCTION("""COMPUTED_VALUE"""),0.0)</f>
        <v>0</v>
      </c>
      <c r="Y197" s="46" t="str">
        <f>IFERROR(__xludf.DUMMYFUNCTION("""COMPUTED_VALUE"""),"No tiene")</f>
        <v>No tiene</v>
      </c>
      <c r="Z197" s="90" t="str">
        <f>IFERROR(__xludf.DUMMYFUNCTION("""COMPUTED_VALUE"""),"No aplica")</f>
        <v>No aplica</v>
      </c>
      <c r="AA197" s="33" t="str">
        <f>IFERROR(__xludf.DUMMYFUNCTION("""COMPUTED_VALUE"""),"28 años")</f>
        <v>28 años</v>
      </c>
      <c r="AB197" s="96" t="str">
        <f>IFERROR(__xludf.DUMMYFUNCTION("""COMPUTED_VALUE"""),"https://photos.app.goo.gl/S1nKKVfcRrcjGysH6")</f>
        <v>https://photos.app.goo.gl/S1nKKVfcRrcjGysH6</v>
      </c>
      <c r="AC197" s="46" t="str">
        <f>IFERROR(__xludf.DUMMYFUNCTION("""COMPUTED_VALUE"""),"Cuenta con piso en cerámica, puertas y ventanas externas en aluminio. Cielo raso en Dri Wall con lámparas Led de empotrar.")</f>
        <v>Cuenta con piso en cerámica, puertas y ventanas externas en aluminio. Cielo raso en Dri Wall con lámparas Led de empotrar.</v>
      </c>
      <c r="AD197" s="46" t="str">
        <f>IFERROR(__xludf.DUMMYFUNCTION("""COMPUTED_VALUE"""),"Municipio turístico. Edificio bicado sobre vía vehicular amplia. Escritura al día. No se permuta.")</f>
        <v>Municipio turístico. Edificio bicado sobre vía vehicular amplia. Escritura al día. No se permuta.</v>
      </c>
      <c r="AE197" s="46"/>
      <c r="AF197" s="46" t="str">
        <f>IFERROR(__xludf.DUMMYFUNCTION("""COMPUTED_VALUE"""),"semi-integral")</f>
        <v>semi-integral</v>
      </c>
      <c r="AG197" s="46"/>
      <c r="AH197" s="46" t="str">
        <f>IFERROR(__xludf.DUMMYFUNCTION("""COMPUTED_VALUE"""),"Directo")</f>
        <v>Directo</v>
      </c>
      <c r="AI197" s="92" t="str">
        <f>IFERROR(__xludf.DUMMYFUNCTION("""COMPUTED_VALUE"""),"https://lh3.googleusercontent.com/pw/AP1GczNXLe_KZiMQcWmr53KhmbaEcH0xCPiqR9tTgZyPpB_gjOB3WugyCRM8RxZzthun8heuK2AvX0CKl9QhM9mI4dcvTRTGA6w5NeH13lRXi-waRlEWXv3r=w1200|https://lh3.googleusercontent.com/pw/AP1GczOM0nlWkqVWVxkow3vTUpy7VYIst3PgbtUSXJ66066Hw1Kk6D"&amp;"DiMhqn4D75odzr00mzs6NihWecWASU5Fk6_VgG7cU-M2kJsj4ctP7quqXiiscWlq4s=w1200|https://lh3.googleusercontent.com/pw/AP1GczOpOwE_0P1ULc8_ReVLk98LD3Lw_jw6UBdSh9L29ItQRbteMX_9tD5O5fyEYXqvbZQpUyYzOrCKZJ-DcDrjFzy2N2n15-pyt4eer-0kZMA4_4N2S-wO=w1200|https://lh3.google"&amp;"usercontent.com/pw/AP1GczNEvlJJS60zdMo-srXd2vr4ic-5YLXocLM4pEx5UFiDtYfaqKrfpTMfmESRTTpBaxOOv3j3MlZujJPQzuftgs_BJ7sj0AQdRPzzTwsRA9CVuiDR4rcD=w1200|https://lh3.googleusercontent.com/pw/AP1GczOF6aXrCqYonmfyBLT5pU4S_z1ZN85AJ0p8JZRjFgwd6k2LUXdbkHsdWpr9Ci7udcWX"&amp;"KW5IMZXknMSg7KZfJuRr6_z2aMO7G554ULZrmKQWKlzmCZ9H=w1200|https://lh3.googleusercontent.com/pw/AP1GczORdgDJY-XUWZK1y2-044BdkHOREpUIs4eN1AelfVfzuQ90ajr_3jO-g03wzeUxoC68mrR1D5HwniV_k6NrlbncrKu7x803e9wsLVcpq6A-UKMmvzB6=w1200|https://lh3.googleusercontent.com/pw"&amp;"/AP1GczNozFegY_WEzvz-hnrf_ub-LNYZy-lA_LCSoNDFoPkQO3kwvbwFgLDsBX5Q_rc21Qz_Sg6JoLR2e7zWBQf8iYPsjPV1RmdIQfthMUxGWI8VIoU_pU55=w1200")</f>
        <v>https://lh3.googleusercontent.com/pw/AP1GczNXLe_KZiMQcWmr53KhmbaEcH0xCPiqR9tTgZyPpB_gjOB3WugyCRM8RxZzthun8heuK2AvX0CKl9QhM9mI4dcvTRTGA6w5NeH13lRXi-waRlEWXv3r=w1200|https://lh3.googleusercontent.com/pw/AP1GczOM0nlWkqVWVxkow3vTUpy7VYIst3PgbtUSXJ66066Hw1Kk6DDiMhqn4D75odzr00mzs6NihWecWASU5Fk6_VgG7cU-M2kJsj4ctP7quqXiiscWlq4s=w1200|https://lh3.googleusercontent.com/pw/AP1GczOpOwE_0P1ULc8_ReVLk98LD3Lw_jw6UBdSh9L29ItQRbteMX_9tD5O5fyEYXqvbZQpUyYzOrCKZJ-DcDrjFzy2N2n15-pyt4eer-0kZMA4_4N2S-wO=w1200|https://lh3.googleusercontent.com/pw/AP1GczNEvlJJS60zdMo-srXd2vr4ic-5YLXocLM4pEx5UFiDtYfaqKrfpTMfmESRTTpBaxOOv3j3MlZujJPQzuftgs_BJ7sj0AQdRPzzTwsRA9CVuiDR4rcD=w1200|https://lh3.googleusercontent.com/pw/AP1GczOF6aXrCqYonmfyBLT5pU4S_z1ZN85AJ0p8JZRjFgwd6k2LUXdbkHsdWpr9Ci7udcWXKW5IMZXknMSg7KZfJuRr6_z2aMO7G554ULZrmKQWKlzmCZ9H=w1200|https://lh3.googleusercontent.com/pw/AP1GczORdgDJY-XUWZK1y2-044BdkHOREpUIs4eN1AelfVfzuQ90ajr_3jO-g03wzeUxoC68mrR1D5HwniV_k6NrlbncrKu7x803e9wsLVcpq6A-UKMmvzB6=w1200|https://lh3.googleusercontent.com/pw/AP1GczNozFegY_WEzvz-hnrf_ub-LNYZy-lA_LCSoNDFoPkQO3kwvbwFgLDsBX5Q_rc21Qz_Sg6JoLR2e7zWBQf8iYPsjPV1RmdIQfthMUxGWI8VIoU_pU55=w1200</v>
      </c>
      <c r="AJ197" s="46"/>
      <c r="AK197" s="46"/>
      <c r="AL197" s="46"/>
      <c r="AM197" s="46"/>
      <c r="AN197" s="46"/>
      <c r="AO197" s="46"/>
      <c r="AP197" s="46"/>
      <c r="AQ197" s="46"/>
      <c r="AR197" s="46"/>
      <c r="AS197" s="46"/>
      <c r="AT197" s="46"/>
      <c r="AU197" s="46"/>
      <c r="AV197" s="46"/>
      <c r="AW197" s="46"/>
      <c r="AX197" s="46"/>
      <c r="AY197" s="46"/>
      <c r="AZ197" s="46"/>
      <c r="BA197" s="46"/>
      <c r="BB197" s="46"/>
      <c r="BC197" s="46"/>
      <c r="BD197" s="46"/>
      <c r="BE197" s="46"/>
      <c r="BF197" s="46"/>
      <c r="BG197" s="46"/>
      <c r="BH197" s="46"/>
      <c r="BI197" s="46"/>
      <c r="BJ197" s="46"/>
      <c r="BK197" s="46"/>
      <c r="BL197" s="46"/>
      <c r="BM197" s="46"/>
      <c r="BN197" s="46"/>
      <c r="BO197" s="46"/>
      <c r="BP197" s="46"/>
      <c r="BQ197" s="46"/>
      <c r="BR197" s="46"/>
      <c r="BS197" s="46"/>
      <c r="BT197" s="46"/>
      <c r="BU197" s="46"/>
      <c r="BV197" s="46"/>
      <c r="BW197" s="46"/>
      <c r="BX197" s="46"/>
      <c r="BY197" s="46"/>
      <c r="BZ197" s="46"/>
      <c r="CA197" s="46"/>
      <c r="CB197" s="46"/>
      <c r="CC197" s="46"/>
    </row>
    <row r="198">
      <c r="A198" s="87" t="str">
        <f>IFERROR(__xludf.DUMMYFUNCTION("""COMPUTED_VALUE"""),"240")</f>
        <v>240</v>
      </c>
      <c r="B198" s="46" t="str">
        <f>IFERROR(__xludf.DUMMYFUNCTION("""COMPUTED_VALUE"""),"Casa más 2 apartamentos y un local en barrio Alamos Norte")</f>
        <v>Casa más 2 apartamentos y un local en barrio Alamos Norte</v>
      </c>
      <c r="C198" s="46" t="str">
        <f>IFERROR(__xludf.DUMMYFUNCTION("""COMPUTED_VALUE"""),"Casa rentable")</f>
        <v>Casa rentable</v>
      </c>
      <c r="D198" s="46" t="str">
        <f>IFERROR(__xludf.DUMMYFUNCTION("""COMPUTED_VALUE"""),"Alamos Norte")</f>
        <v>Alamos Norte</v>
      </c>
      <c r="E198" s="46"/>
      <c r="F198" s="90">
        <f>IFERROR(__xludf.DUMMYFUNCTION("""COMPUTED_VALUE"""),4.0E8)</f>
        <v>400000000</v>
      </c>
      <c r="G198" s="46" t="str">
        <f>IFERROR(__xludf.DUMMYFUNCTION("""COMPUTED_VALUE"""),"$400'000.000 a $500'000.000")</f>
        <v>$400'000.000 a $500'000.000</v>
      </c>
      <c r="H198" s="46"/>
      <c r="I198" s="46"/>
      <c r="J198" s="46" t="str">
        <f>IFERROR(__xludf.DUMMYFUNCTION("""COMPUTED_VALUE"""),"Norte")</f>
        <v>Norte</v>
      </c>
      <c r="K198" s="87"/>
      <c r="L198" s="46">
        <f>IFERROR(__xludf.DUMMYFUNCTION("""COMPUTED_VALUE"""),7.0)</f>
        <v>7</v>
      </c>
      <c r="M198" s="46"/>
      <c r="N198" s="46">
        <f>IFERROR(__xludf.DUMMYFUNCTION("""COMPUTED_VALUE"""),4.0)</f>
        <v>4</v>
      </c>
      <c r="O198" s="46">
        <f>IFERROR(__xludf.DUMMYFUNCTION("""COMPUTED_VALUE"""),1.0)</f>
        <v>1</v>
      </c>
      <c r="P198" s="46">
        <f>IFERROR(__xludf.DUMMYFUNCTION("""COMPUTED_VALUE"""),2.0)</f>
        <v>2</v>
      </c>
      <c r="Q198" s="92">
        <f>IFERROR(__xludf.DUMMYFUNCTION("""COMPUTED_VALUE"""),200.0)</f>
        <v>200</v>
      </c>
      <c r="R198" s="92">
        <f>IFERROR(__xludf.DUMMYFUNCTION("""COMPUTED_VALUE"""),112.0)</f>
        <v>112</v>
      </c>
      <c r="S198" s="87" t="str">
        <f>IFERROR(__xludf.DUMMYFUNCTION("""COMPUTED_VALUE"""),"Rentabilidad $2,800,000")</f>
        <v>Rentabilidad $2,800,000</v>
      </c>
      <c r="T198" s="46" t="str">
        <f>IFERROR(__xludf.DUMMYFUNCTION("""COMPUTED_VALUE"""),"Neiva")</f>
        <v>Neiva</v>
      </c>
      <c r="U198" s="87" t="str">
        <f>IFERROR(__xludf.DUMMYFUNCTION("""COMPUTED_VALUE"""),"2")</f>
        <v>2</v>
      </c>
      <c r="V198" s="46" t="str">
        <f>IFERROR(__xludf.DUMMYFUNCTION("""COMPUTED_VALUE"""),"Medianera")</f>
        <v>Medianera</v>
      </c>
      <c r="W198" s="46"/>
      <c r="X198" s="46">
        <f>IFERROR(__xludf.DUMMYFUNCTION("""COMPUTED_VALUE"""),2.0)</f>
        <v>2</v>
      </c>
      <c r="Y198" s="46" t="str">
        <f>IFERROR(__xludf.DUMMYFUNCTION("""COMPUTED_VALUE"""),"No tiene")</f>
        <v>No tiene</v>
      </c>
      <c r="Z198" s="90" t="str">
        <f>IFERROR(__xludf.DUMMYFUNCTION("""COMPUTED_VALUE"""),"No aplica")</f>
        <v>No aplica</v>
      </c>
      <c r="AA198" s="33" t="str">
        <f>IFERROR(__xludf.DUMMYFUNCTION("""COMPUTED_VALUE"""),"12 años")</f>
        <v>12 años</v>
      </c>
      <c r="AB198" s="144" t="str">
        <f>IFERROR(__xludf.DUMMYFUNCTION("""COMPUTED_VALUE"""),"https://photos.app.goo.gl/9VWPgqFrjRj8vNLw8")</f>
        <v>https://photos.app.goo.gl/9VWPgqFrjRj8vNLw8</v>
      </c>
      <c r="AC198" s="46" t="str">
        <f>IFERROR(__xludf.DUMMYFUNCTION("""COMPUTED_VALUE"""),"Cuenta con buenos acabados, placa de entrepiso en placa fácil, a una altura de 3.0 ml. Piso en cerámica. Carpintería marcos, puertas, closet y muebles empotrados en madera. Cielo raso del segundo piso en icopor, lámparas Led de empotrar.")</f>
        <v>Cuenta con buenos acabados, placa de entrepiso en placa fácil, a una altura de 3.0 ml. Piso en cerámica. Carpintería marcos, puertas, closet y muebles empotrados en madera. Cielo raso del segundo piso en icopor, lámparas Led de empotrar.</v>
      </c>
      <c r="AD198" s="46" t="str">
        <f>IFERROR(__xludf.DUMMYFUNCTION("""COMPUTED_VALUE"""),"Casa  con reja antejardín. Bien ubicada sobre vía vehicular amplia doble calzada con separador calle 50 A, Altura de la casa 3 ml. Apartamentos con buenos acabados. Escritura al día. No se permuta.")</f>
        <v>Casa  con reja antejardín. Bien ubicada sobre vía vehicular amplia doble calzada con separador calle 50 A, Altura de la casa 3 ml. Apartamentos con buenos acabados. Escritura al día. No se permuta.</v>
      </c>
      <c r="AE198" s="46"/>
      <c r="AF198" s="46" t="str">
        <f>IFERROR(__xludf.DUMMYFUNCTION("""COMPUTED_VALUE"""),"semi-integral")</f>
        <v>semi-integral</v>
      </c>
      <c r="AG198" s="46"/>
      <c r="AH198" s="46" t="str">
        <f>IFERROR(__xludf.DUMMYFUNCTION("""COMPUTED_VALUE"""),"Directo")</f>
        <v>Directo</v>
      </c>
      <c r="AI198" s="92" t="str">
        <f>IFERROR(__xludf.DUMMYFUNCTION("""COMPUTED_VALUE"""),"https://lh3.googleusercontent.com/pw/AP1GczNH2L-CqBJkkE7XL5Inh3eIxpwxHGWMa2h3jjb0hfnfjKEH_FCVZYxEYZ5wxyBnVlhyO3Bx8uE_qXM8_y18iKFVp_448Lg9vuphh4J9yUUK7MSOxV_s=w1200|https://lh3.googleusercontent.com/pw/AP1GczOISQHSi--5wbTpSEjdN0L1yPuIWFNNN3xtieWQTp-4SiDjnC"&amp;"H94peDLFXHNdQeFYbQZO4svp_wAAzbp-vihlSBMfhkuhPS_zZ2hJzCb56df4QZZS1-=w1200|https://lh3.googleusercontent.com/pw/AP1GczO6vstkrQ66XzflO7unH6OmninIOeZiTbNMj6GppWY1V2cOUyc9STBOCm_VwmhpsGNuDZAAijJekxc7DZqVcGTuUfwxrIa6qR017aaKP006-p4eDm3n=w1200|https://lh3.google"&amp;"usercontent.com/pw/AP1GczNZbQAZEsClOdbAgYWtL6dbQEGWUTkuisVmgSJgswAIR7OuDpqNeUpLGsc7pdhY6Mzf5o9dM1kMfQhIIe-0uxpazu97FmE1d_6KMcnHmgB_1vow5BFW=w1200|https://lh3.googleusercontent.com/pw/AP1GczPHJGlVobBAvzBhGEzDFVoNq8OADjHJZJVH6To0ISkfRHVT7wjRPxcHG9sWXdB1OoTo"&amp;"xC7m2XilK5rpAp9AnCcj62yIZWUxAYq2cR2qjBqfXf3wsgrR=w1200|https://lh3.googleusercontent.com/pw/AP1GczNLqKgE4s7F0tf2_EmxDPiF4UHHJX_eoAyEHpRtCuRRkt73iXfhbzrycn3T1i6hdbTXPA61f1KuwI2_JdqO_C0WCA6yHR7uHfxtNnAZTQFXqYkY8EYH=w1200|https://lh3.googleusercontent.com/pw"&amp;"/AP1GczMTtm3_LToOusGeoyXnpX8s_QI9ty4NW_fpGZGbZqgE81b0hueJCfEzVysES2Kb58HAHYoQRt0kI82YDP5mr4-RULAQFl3i7CEBpsouPa5YmwmwO1r3=w1200|https://lh3.googleusercontent.com/pw/AP1GczMKQUFRGiOAZk2UIiJgbaLfdAJVeECMLvmRzOJkiTVUf6td-J1_jlQjZTu-ckYnNXb_Kqqr6l6SWvgz_Drly8"&amp;"fTCK9AeNSJYzzUoYKNqYvXr_SB0uW8=w1200|https://lh3.googleusercontent.com/pw/AP1GczNOzcecRFmTTpxbCrIX_4KGU07xNChddZ3bRQN9qPZ9YXHdU-sSSNNx4X9WpVD9bJTLdUTKHtPAUsRZwkqeJ3PCLWG4T-7ou2zKRP2MhZUuEw_ICIgS=w1200|https://lh3.googleusercontent.com/pw/AP1GczOEVI1znChoq"&amp;"W119WnOJh348xyA0vZR8uRrMt85ikrdwU3dCznZ5Wxj-GF-zawPMY9WS-AtLKInewWNTOmStIhjr3AsbLCk7TnOgM4O71LSq5j5Ak1E=w1200|https://lh3.googleusercontent.com/pw/AP1GczNcQWYy8aC1IMy7bInjVOPYGH7Ofrhtb6vTD14cLw-FACeS_SllJONzORC0GsuQMK99Py1IbWpCPZYPwi5oHo49yFmVV1OdIPzHSMdq"&amp;"PPEio7a_xrbl=w1200|https://lh3.googleusercontent.com/pw/AP1GczPpfjh_rW3Hx9tlJ_Jbj5AAShoswUHG4TrQdusYJoTBpYcstYyqBuTBEAFDNtKPbwUrJG1A3MDD0agA6sYhy7uffq5UkJ4CNn4eGcRHygmzY7BcRS3X=w1200|https://lh3.googleusercontent.com/pw/AP1GczNGNLhTYY2YZTXcnp4PoAcYpoFwl5R"&amp;"63kmTE5rXYi6zE_VVXH33Df2wZGemdYSsWGwTYYykIliu7U2xvp6gOA1z1PARusQqqHY0DfZhj2mQpm27O_51=w1200|https://lh3.googleusercontent.com/pw/AP1GczODjmVWj5wTA208qfkMHNxrAEvBnpUJt2Ia8FTBxxEy95iVwhj8YNkIY3OqY_O8vUdeuYtbRePnyrZyQbAv3PsyeYCxV6JwYAQkAAy3NurrueVHcnhL=w1200"&amp;"|https://lh3.googleusercontent.com/pw/AP1GczPrnKzuQBghXhBDPf0i-KcC-BtS_-5RQzMvJ7Kg6UebgGqvcAmu-0dNuxtrOSmF9cFyRHKcd8zoDEhi3XLS_qgPGWbf4pAA4fb0Apq7ynwLbPKQdT49=w1200|https://lh3.googleusercontent.com/pw/AP1GczNajlhO-aUU0GwB1GPs-3zTwlm8HdFcNaQrI5BN9xjmsw7EL"&amp;"KFqbXu9IOX8UCmkOD3dme3HopFs0jwlErJm6vFbmXyj_LAwNek6D4NZJ0MZjw8OToBM=w1200|https://lh3.googleusercontent.com/pw/AP1GczPbsEyksv92_x_m2iWyl9UFoO31MfIRdKThPRR77V3gDVw0tVttQxwwGkS0aMk-6SFEK7T66YeqM1mdzIF-ZztxbuKAKuLjCCapiW2ELGgpg-DPoqYP=w1200|https://lh3.googl"&amp;"eusercontent.com/pw/AP1GczMDedP539uudHaWnE0IHVPxaYGzZygTs7k-USq9lkPRdCJF6_XC7CUwoR6f-TREmyt9DnTftqCgvt4IOKEtvgxQZbazY_-EA1FSvf_oeghEmsJkOekL=w1200|https://lh3.googleusercontent.com/pw/AP1GczPT4FzNTfiW2Od2Wo1CvVS2tbXH4naDwEr8yo544FCvHaBa1w5IBFD_Xl9K7d5nR-U"&amp;"z9rPIH3vAIfZNCmYqUySIp2jHo3nrMcbeiZN8mhWgumD-MLnm=w1200|https://lh3.googleusercontent.com/pw/AP1GczO0mslpU7m8hBlMMDWHgojRjsWHZhGqJNSnQiZhFqgfKiJ5QQST3Gr6efwlPJZzAcNAA0UgqFILd2tLf_0r5vXiNCdAN2aEzgjIHE6CghV8td94jt9K=w1200|https://lh3.googleusercontent.com/p"&amp;"w/AP1GczOAID7xKtVj97lGcudRkUVlLvWzXrFv22CYjAKf3o8M7NSSGfeyXs6zHSut3-5TdBdW2WaqBxEQ1QcDbxcBWoqJhM_9AM9ggsWEbCc_3MzTKJDmAkMh=w1200|https://lh3.googleusercontent.com/pw/AP1GczPSrVx-JI3yF3i06Loi8cO3zD3vI_Aa9a8O7eRrVyeoQrKOi5qDzayG7HG51ECHC3svjSaOVJ03qD0igexRT"&amp;"UUM_HwxObC0WVTx_NgevORP8D3icmJD=w1200|https://lh3.googleusercontent.com/pw/AP1GczPXPu4vnZBR0QbfCcPEBYN-EQI0-PzUjkPwwtfwg6c0WXWSHtPxYFYWZON9XL-BLIhg6TLUlENz-kpwOEiihj-nwUySBEAd2hm4AuojSkgo9v7MhFAD=w1200|https://lh3.googleusercontent.com/pw/AP1GczOomcksRuTk"&amp;"TvN2vaIOZzZ11qrCNQdYNXugnvd89wUAUui7xPrq3Vuj4U8TGbF_TWlxGO3rvE3ddSDWsIuy1YICbV49dPz5UwWjYIOe5H-zYYSRkI3e=w1200|https://lh3.googleusercontent.com/pw/AP1GczPHfcjiMc7einskkSBw92c_KY3CRrVqkWhzhnAaxcLiecLM4yuVSD6vACsXn50wzlqlFNfOo16GlFQXwNG-A57lW19Tfzm6lW25Kf1"&amp;"tfzwQHyk54qvX=w1200|https://lh3.googleusercontent.com/pw/AP1GczO_cmiVAioLrSsc9MbvP7UChPAPvYojPGVr5u6mY1cpbfSQECwmCEB2zSO3ruMI77NSai39ilJkQa37zlqxDsALQo7nQRmpNLJ84Y5TjtcX44G5uaE1=w1200|https://lh3.googleusercontent.com/pw/AP1GczO_Btj2YkhSi_i8iN3sDym1RREyqo"&amp;"nNFCvSiWwC__jZlut5IpEbCdVNBVZJDDO2Sk8ESlBsAOF0eeDMiHWgpsgl8OSRiA3SmAUoHRTrwmccF-PDS34X=w1200|https://lh3.googleusercontent.com/pw/AP1GczN77bO561bAGyPeCaCw0bCmN8KXYOfKc3BZwBL8DO1lcRuJosG9FIrxesy4cimeH4KHeyMAVNuk4aIaq-RohLAduBRSwGftw7YWl6DijfU6NhNovTbq=w120"&amp;"0|https://lh3.googleusercontent.com/pw/AP1GczPoWwPBXZWVPuTWCbCXlLwJ1eeGE0-qzf9tKL72i4lGHsV9vI82B0eL-3UgPlCy2yd4pmU-ZBC8CTvXseoxmfSDMa5Nzmslye8QzjUxS51v7H_uEd9s=w1200|https://lh3.googleusercontent.com/pw/AP1GczMJFWzo9hqQ0TC8xep4FAzxJq6cJHq9ZQBNBBzCaFTAx8fk"&amp;"TtdVv9CnDEGQxaag2IDkSQ2JRIa6V_vhPzMVyxGNzsw9AqTb4o0gyAsly_DUfoXQvJ1l=w1200|https://lh3.googleusercontent.com/pw/AP1GczOCaVWHe6H1XoN-x4xvG3zr1sUH_tUSHPdcgxQptIdVTh8hDUYr29ImXqtaqfhXiCc10ggFsvQQYMDME11gzYbyd3GFh6jsFQn2su1mVPNPiPQqe5hB=w1200|https://lh3.goog"&amp;"leusercontent.com/pw/AP1GczOx1E3RqUe3bc7r8z3RCXVSi0XfwkMStvPX_4-of9zs7gTL3Usfe9hjeFsc6tNIsTL07rP2JHlE4JpLz8GivxrAa_tasvfJPDxM_gXP0TGdRBBj-O9O=w1200|https://lh3.googleusercontent.com/pw/AP1GczNf2EKVBMQfDsDefU6i70yWnQjt_2apymROrQv0S51W_bG1YHBNskHeZfz5vIQGxd"&amp;"5jSI_Pl_Z7bipgdo4mx_1YGu52X_391MAXUSAyKGHrIl8aybmT=w1200")</f>
        <v>https://lh3.googleusercontent.com/pw/AP1GczNH2L-CqBJkkE7XL5Inh3eIxpwxHGWMa2h3jjb0hfnfjKEH_FCVZYxEYZ5wxyBnVlhyO3Bx8uE_qXM8_y18iKFVp_448Lg9vuphh4J9yUUK7MSOxV_s=w1200|https://lh3.googleusercontent.com/pw/AP1GczOISQHSi--5wbTpSEjdN0L1yPuIWFNNN3xtieWQTp-4SiDjnCH94peDLFXHNdQeFYbQZO4svp_wAAzbp-vihlSBMfhkuhPS_zZ2hJzCb56df4QZZS1-=w1200|https://lh3.googleusercontent.com/pw/AP1GczO6vstkrQ66XzflO7unH6OmninIOeZiTbNMj6GppWY1V2cOUyc9STBOCm_VwmhpsGNuDZAAijJekxc7DZqVcGTuUfwxrIa6qR017aaKP006-p4eDm3n=w1200|https://lh3.googleusercontent.com/pw/AP1GczNZbQAZEsClOdbAgYWtL6dbQEGWUTkuisVmgSJgswAIR7OuDpqNeUpLGsc7pdhY6Mzf5o9dM1kMfQhIIe-0uxpazu97FmE1d_6KMcnHmgB_1vow5BFW=w1200|https://lh3.googleusercontent.com/pw/AP1GczPHJGlVobBAvzBhGEzDFVoNq8OADjHJZJVH6To0ISkfRHVT7wjRPxcHG9sWXdB1OoToxC7m2XilK5rpAp9AnCcj62yIZWUxAYq2cR2qjBqfXf3wsgrR=w1200|https://lh3.googleusercontent.com/pw/AP1GczNLqKgE4s7F0tf2_EmxDPiF4UHHJX_eoAyEHpRtCuRRkt73iXfhbzrycn3T1i6hdbTXPA61f1KuwI2_JdqO_C0WCA6yHR7uHfxtNnAZTQFXqYkY8EYH=w1200|https://lh3.googleusercontent.com/pw/AP1GczMTtm3_LToOusGeoyXnpX8s_QI9ty4NW_fpGZGbZqgE81b0hueJCfEzVysES2Kb58HAHYoQRt0kI82YDP5mr4-RULAQFl3i7CEBpsouPa5YmwmwO1r3=w1200|https://lh3.googleusercontent.com/pw/AP1GczMKQUFRGiOAZk2UIiJgbaLfdAJVeECMLvmRzOJkiTVUf6td-J1_jlQjZTu-ckYnNXb_Kqqr6l6SWvgz_Drly8fTCK9AeNSJYzzUoYKNqYvXr_SB0uW8=w1200|https://lh3.googleusercontent.com/pw/AP1GczNOzcecRFmTTpxbCrIX_4KGU07xNChddZ3bRQN9qPZ9YXHdU-sSSNNx4X9WpVD9bJTLdUTKHtPAUsRZwkqeJ3PCLWG4T-7ou2zKRP2MhZUuEw_ICIgS=w1200|https://lh3.googleusercontent.com/pw/AP1GczOEVI1znChoqW119WnOJh348xyA0vZR8uRrMt85ikrdwU3dCznZ5Wxj-GF-zawPMY9WS-AtLKInewWNTOmStIhjr3AsbLCk7TnOgM4O71LSq5j5Ak1E=w1200|https://lh3.googleusercontent.com/pw/AP1GczNcQWYy8aC1IMy7bInjVOPYGH7Ofrhtb6vTD14cLw-FACeS_SllJONzORC0GsuQMK99Py1IbWpCPZYPwi5oHo49yFmVV1OdIPzHSMdqPPEio7a_xrbl=w1200|https://lh3.googleusercontent.com/pw/AP1GczPpfjh_rW3Hx9tlJ_Jbj5AAShoswUHG4TrQdusYJoTBpYcstYyqBuTBEAFDNtKPbwUrJG1A3MDD0agA6sYhy7uffq5UkJ4CNn4eGcRHygmzY7BcRS3X=w1200|https://lh3.googleusercontent.com/pw/AP1GczNGNLhTYY2YZTXcnp4PoAcYpoFwl5R63kmTE5rXYi6zE_VVXH33Df2wZGemdYSsWGwTYYykIliu7U2xvp6gOA1z1PARusQqqHY0DfZhj2mQpm27O_51=w1200|https://lh3.googleusercontent.com/pw/AP1GczODjmVWj5wTA208qfkMHNxrAEvBnpUJt2Ia8FTBxxEy95iVwhj8YNkIY3OqY_O8vUdeuYtbRePnyrZyQbAv3PsyeYCxV6JwYAQkAAy3NurrueVHcnhL=w1200|https://lh3.googleusercontent.com/pw/AP1GczPrnKzuQBghXhBDPf0i-KcC-BtS_-5RQzMvJ7Kg6UebgGqvcAmu-0dNuxtrOSmF9cFyRHKcd8zoDEhi3XLS_qgPGWbf4pAA4fb0Apq7ynwLbPKQdT49=w1200|https://lh3.googleusercontent.com/pw/AP1GczNajlhO-aUU0GwB1GPs-3zTwlm8HdFcNaQrI5BN9xjmsw7ELKFqbXu9IOX8UCmkOD3dme3HopFs0jwlErJm6vFbmXyj_LAwNek6D4NZJ0MZjw8OToBM=w1200|https://lh3.googleusercontent.com/pw/AP1GczPbsEyksv92_x_m2iWyl9UFoO31MfIRdKThPRR77V3gDVw0tVttQxwwGkS0aMk-6SFEK7T66YeqM1mdzIF-ZztxbuKAKuLjCCapiW2ELGgpg-DPoqYP=w1200|https://lh3.googleusercontent.com/pw/AP1GczMDedP539uudHaWnE0IHVPxaYGzZygTs7k-USq9lkPRdCJF6_XC7CUwoR6f-TREmyt9DnTftqCgvt4IOKEtvgxQZbazY_-EA1FSvf_oeghEmsJkOekL=w1200|https://lh3.googleusercontent.com/pw/AP1GczPT4FzNTfiW2Od2Wo1CvVS2tbXH4naDwEr8yo544FCvHaBa1w5IBFD_Xl9K7d5nR-Uz9rPIH3vAIfZNCmYqUySIp2jHo3nrMcbeiZN8mhWgumD-MLnm=w1200|https://lh3.googleusercontent.com/pw/AP1GczO0mslpU7m8hBlMMDWHgojRjsWHZhGqJNSnQiZhFqgfKiJ5QQST3Gr6efwlPJZzAcNAA0UgqFILd2tLf_0r5vXiNCdAN2aEzgjIHE6CghV8td94jt9K=w1200|https://lh3.googleusercontent.com/pw/AP1GczOAID7xKtVj97lGcudRkUVlLvWzXrFv22CYjAKf3o8M7NSSGfeyXs6zHSut3-5TdBdW2WaqBxEQ1QcDbxcBWoqJhM_9AM9ggsWEbCc_3MzTKJDmAkMh=w1200|https://lh3.googleusercontent.com/pw/AP1GczPSrVx-JI3yF3i06Loi8cO3zD3vI_Aa9a8O7eRrVyeoQrKOi5qDzayG7HG51ECHC3svjSaOVJ03qD0igexRTUUM_HwxObC0WVTx_NgevORP8D3icmJD=w1200|https://lh3.googleusercontent.com/pw/AP1GczPXPu4vnZBR0QbfCcPEBYN-EQI0-PzUjkPwwtfwg6c0WXWSHtPxYFYWZON9XL-BLIhg6TLUlENz-kpwOEiihj-nwUySBEAd2hm4AuojSkgo9v7MhFAD=w1200|https://lh3.googleusercontent.com/pw/AP1GczOomcksRuTkTvN2vaIOZzZ11qrCNQdYNXugnvd89wUAUui7xPrq3Vuj4U8TGbF_TWlxGO3rvE3ddSDWsIuy1YICbV49dPz5UwWjYIOe5H-zYYSRkI3e=w1200|https://lh3.googleusercontent.com/pw/AP1GczPHfcjiMc7einskkSBw92c_KY3CRrVqkWhzhnAaxcLiecLM4yuVSD6vACsXn50wzlqlFNfOo16GlFQXwNG-A57lW19Tfzm6lW25Kf1tfzwQHyk54qvX=w1200|https://lh3.googleusercontent.com/pw/AP1GczO_cmiVAioLrSsc9MbvP7UChPAPvYojPGVr5u6mY1cpbfSQECwmCEB2zSO3ruMI77NSai39ilJkQa37zlqxDsALQo7nQRmpNLJ84Y5TjtcX44G5uaE1=w1200|https://lh3.googleusercontent.com/pw/AP1GczO_Btj2YkhSi_i8iN3sDym1RREyqonNFCvSiWwC__jZlut5IpEbCdVNBVZJDDO2Sk8ESlBsAOF0eeDMiHWgpsgl8OSRiA3SmAUoHRTrwmccF-PDS34X=w1200|https://lh3.googleusercontent.com/pw/AP1GczN77bO561bAGyPeCaCw0bCmN8KXYOfKc3BZwBL8DO1lcRuJosG9FIrxesy4cimeH4KHeyMAVNuk4aIaq-RohLAduBRSwGftw7YWl6DijfU6NhNovTbq=w1200|https://lh3.googleusercontent.com/pw/AP1GczPoWwPBXZWVPuTWCbCXlLwJ1eeGE0-qzf9tKL72i4lGHsV9vI82B0eL-3UgPlCy2yd4pmU-ZBC8CTvXseoxmfSDMa5Nzmslye8QzjUxS51v7H_uEd9s=w1200|https://lh3.googleusercontent.com/pw/AP1GczMJFWzo9hqQ0TC8xep4FAzxJq6cJHq9ZQBNBBzCaFTAx8fkTtdVv9CnDEGQxaag2IDkSQ2JRIa6V_vhPzMVyxGNzsw9AqTb4o0gyAsly_DUfoXQvJ1l=w1200|https://lh3.googleusercontent.com/pw/AP1GczOCaVWHe6H1XoN-x4xvG3zr1sUH_tUSHPdcgxQptIdVTh8hDUYr29ImXqtaqfhXiCc10ggFsvQQYMDME11gzYbyd3GFh6jsFQn2su1mVPNPiPQqe5hB=w1200|https://lh3.googleusercontent.com/pw/AP1GczOx1E3RqUe3bc7r8z3RCXVSi0XfwkMStvPX_4-of9zs7gTL3Usfe9hjeFsc6tNIsTL07rP2JHlE4JpLz8GivxrAa_tasvfJPDxM_gXP0TGdRBBj-O9O=w1200|https://lh3.googleusercontent.com/pw/AP1GczNf2EKVBMQfDsDefU6i70yWnQjt_2apymROrQv0S51W_bG1YHBNskHeZfz5vIQGxd5jSI_Pl_Z7bipgdo4mx_1YGu52X_391MAXUSAyKGHrIl8aybmT=w1200</v>
      </c>
      <c r="AJ198" s="46"/>
      <c r="AK198" s="46"/>
      <c r="AL198" s="46"/>
      <c r="AM198" s="46"/>
      <c r="AN198" s="46"/>
      <c r="AO198" s="46"/>
      <c r="AP198" s="46"/>
      <c r="AQ198" s="46"/>
      <c r="AR198" s="46"/>
      <c r="AS198" s="46"/>
      <c r="AT198" s="46"/>
      <c r="AU198" s="46"/>
      <c r="AV198" s="46"/>
      <c r="AW198" s="46"/>
      <c r="AX198" s="46"/>
      <c r="AY198" s="46"/>
      <c r="AZ198" s="46"/>
      <c r="BA198" s="46"/>
      <c r="BB198" s="46"/>
      <c r="BC198" s="46"/>
      <c r="BD198" s="46"/>
      <c r="BE198" s="46"/>
      <c r="BF198" s="46"/>
      <c r="BG198" s="46"/>
      <c r="BH198" s="46"/>
      <c r="BI198" s="46"/>
      <c r="BJ198" s="46"/>
      <c r="BK198" s="46"/>
      <c r="BL198" s="46"/>
      <c r="BM198" s="46"/>
      <c r="BN198" s="46"/>
      <c r="BO198" s="46"/>
      <c r="BP198" s="46"/>
      <c r="BQ198" s="46"/>
      <c r="BR198" s="46"/>
      <c r="BS198" s="46"/>
      <c r="BT198" s="46"/>
      <c r="BU198" s="46"/>
      <c r="BV198" s="46"/>
      <c r="BW198" s="46"/>
      <c r="BX198" s="46"/>
      <c r="BY198" s="46"/>
      <c r="BZ198" s="46"/>
      <c r="CA198" s="46"/>
      <c r="CB198" s="46"/>
      <c r="CC198" s="46"/>
    </row>
    <row r="199">
      <c r="A199" s="87" t="str">
        <f>IFERROR(__xludf.DUMMYFUNCTION("""COMPUTED_VALUE"""),"734")</f>
        <v>734</v>
      </c>
      <c r="B199" s="46" t="str">
        <f>IFERROR(__xludf.DUMMYFUNCTION("""COMPUTED_VALUE"""),"Casa en barrio Manzanares V etapa - Sur")</f>
        <v>Casa en barrio Manzanares V etapa - Sur</v>
      </c>
      <c r="C199" s="46" t="str">
        <f>IFERROR(__xludf.DUMMYFUNCTION("""COMPUTED_VALUE"""),"Casa")</f>
        <v>Casa</v>
      </c>
      <c r="D199" s="46" t="str">
        <f>IFERROR(__xludf.DUMMYFUNCTION("""COMPUTED_VALUE"""),"Manzanares V etapa")</f>
        <v>Manzanares V etapa</v>
      </c>
      <c r="E199" s="90"/>
      <c r="F199" s="90">
        <f>IFERROR(__xludf.DUMMYFUNCTION("""COMPUTED_VALUE"""),3.0E8)</f>
        <v>300000000</v>
      </c>
      <c r="G199" s="46" t="str">
        <f>IFERROR(__xludf.DUMMYFUNCTION("""COMPUTED_VALUE"""),"$300'000.000 a $400'000.000")</f>
        <v>$300'000.000 a $400'000.000</v>
      </c>
      <c r="H199" s="46"/>
      <c r="I199" s="46"/>
      <c r="J199" s="46" t="str">
        <f>IFERROR(__xludf.DUMMYFUNCTION("""COMPUTED_VALUE"""),"Sur")</f>
        <v>Sur</v>
      </c>
      <c r="K199" s="87" t="str">
        <f>IFERROR(__xludf.DUMMYFUNCTION("""COMPUTED_VALUE"""),"6")</f>
        <v>6</v>
      </c>
      <c r="L199" s="46">
        <f>IFERROR(__xludf.DUMMYFUNCTION("""COMPUTED_VALUE"""),3.0)</f>
        <v>3</v>
      </c>
      <c r="M199" s="46"/>
      <c r="N199" s="46">
        <f>IFERROR(__xludf.DUMMYFUNCTION("""COMPUTED_VALUE"""),3.0)</f>
        <v>3</v>
      </c>
      <c r="O199" s="46">
        <f>IFERROR(__xludf.DUMMYFUNCTION("""COMPUTED_VALUE"""),1.0)</f>
        <v>1</v>
      </c>
      <c r="P199" s="46">
        <f>IFERROR(__xludf.DUMMYFUNCTION("""COMPUTED_VALUE"""),2.0)</f>
        <v>2</v>
      </c>
      <c r="Q199" s="92">
        <f>IFERROR(__xludf.DUMMYFUNCTION("""COMPUTED_VALUE"""),125.0)</f>
        <v>125</v>
      </c>
      <c r="R199" s="92">
        <f>IFERROR(__xludf.DUMMYFUNCTION("""COMPUTED_VALUE"""),78.0)</f>
        <v>78</v>
      </c>
      <c r="S199" s="87" t="str">
        <f>IFERROR(__xludf.DUMMYFUNCTION("""COMPUTED_VALUE""")," ")</f>
        <v> </v>
      </c>
      <c r="T199" s="46" t="str">
        <f>IFERROR(__xludf.DUMMYFUNCTION("""COMPUTED_VALUE"""),"Neiva")</f>
        <v>Neiva</v>
      </c>
      <c r="U199" s="87" t="str">
        <f>IFERROR(__xludf.DUMMYFUNCTION("""COMPUTED_VALUE"""),"2")</f>
        <v>2</v>
      </c>
      <c r="V199" s="46" t="str">
        <f>IFERROR(__xludf.DUMMYFUNCTION("""COMPUTED_VALUE"""),"Medianera")</f>
        <v>Medianera</v>
      </c>
      <c r="W199" s="46"/>
      <c r="X199" s="46">
        <f>IFERROR(__xludf.DUMMYFUNCTION("""COMPUTED_VALUE"""),0.0)</f>
        <v>0</v>
      </c>
      <c r="Y199" s="46" t="str">
        <f>IFERROR(__xludf.DUMMYFUNCTION("""COMPUTED_VALUE"""),"No tiene")</f>
        <v>No tiene</v>
      </c>
      <c r="Z199" s="90" t="str">
        <f>IFERROR(__xludf.DUMMYFUNCTION("""COMPUTED_VALUE"""),"No aplica")</f>
        <v>No aplica</v>
      </c>
      <c r="AA199" s="33" t="str">
        <f>IFERROR(__xludf.DUMMYFUNCTION("""COMPUTED_VALUE"""),"No aplica")</f>
        <v>No aplica</v>
      </c>
      <c r="AB199" s="96" t="str">
        <f>IFERROR(__xludf.DUMMYFUNCTION("""COMPUTED_VALUE"""),"https://photos.app.goo.gl/3A5gjBviS2wQHNtF7")</f>
        <v>https://photos.app.goo.gl/3A5gjBviS2wQHNtF7</v>
      </c>
      <c r="AC199" s="46" t="str">
        <f>IFERROR(__xludf.DUMMYFUNCTION("""COMPUTED_VALUE"""),"Casa de dos plantas, bien ubicada y con buenos acabados. Piso en porcelanato, patio amplio. Cuenta con reja antejardín.")</f>
        <v>Casa de dos plantas, bien ubicada y con buenos acabados. Piso en porcelanato, patio amplio. Cuenta con reja antejardín.</v>
      </c>
      <c r="AD199" s="46" t="str">
        <f>IFERROR(__xludf.DUMMYFUNCTION("""COMPUTED_VALUE"""),"Ubicada a 3 cuadras de la Via principal y estación de gasolina.")</f>
        <v>Ubicada a 3 cuadras de la Via principal y estación de gasolina.</v>
      </c>
      <c r="AE199" s="46"/>
      <c r="AF199" s="46" t="str">
        <f>IFERROR(__xludf.DUMMYFUNCTION("""COMPUTED_VALUE"""),"integral")</f>
        <v>integral</v>
      </c>
      <c r="AG199" s="46"/>
      <c r="AH199" s="46" t="str">
        <f>IFERROR(__xludf.DUMMYFUNCTION("""COMPUTED_VALUE"""),"Directo")</f>
        <v>Directo</v>
      </c>
      <c r="AI199" s="92" t="str">
        <f>IFERROR(__xludf.DUMMYFUNCTION("""COMPUTED_VALUE"""),"https://lh3.googleusercontent.com/pw/AP1GczMR8M2r7u8tpsXRVFxgAmejo_Rp52MIHOCpCo_LBIKmnM2HOJDlt4dugx-OExYRZBH_26yfIfngZMZny_C-KiJL0opjGUUil0vleTVqS6Nxrz71VU4j=w1200|https://lh3.googleusercontent.com/pw/AP1GczMjJ9jCQwLgVqZDaOfV1c6uH6nVV0Guygyqnxd906iUzf2oOv"&amp;"mMiojqxt5CecbdeZQf4JMhzA0P6YBpytiCbkEdVxDzcB_MV-bznwpQ2ZLSn9_IU1-v=w1200|https://lh3.googleusercontent.com/pw/AP1GczMd27roNPHvysr8XO3VHZhcgHql6tgDTiRebwzbNf0jg18VenWMxqjNxHTxPqEJD_9FZOi6mXWDM4CdhwT5MzE0KSCB2cinNBUd3bLvXzPUD9mZhbRz=w1200|https://lh3.google"&amp;"usercontent.com/pw/AP1GczPayCwHd1a8Re5qU6owWe2O2oWfZGDQG8PkjcobdoHkni39pxrNp-7dmlvCw_z2nRIaj-FVwxOvxklyKnBZU_Ep0DTvbY-iQPr6GnXLeIUqsCH1HvYm=w1200|https://lh3.googleusercontent.com/pw/AP1GczMGWjDQWEfvK7zfv6eGNoG9Cm1Q6zHUr4x0OXfSt1Prlu751SCvqCSppgif4ctVu6wM"&amp;"o1afFJ5z8C44MVT7N5ESNR5vvD4jUZBKV47x65HlUSJc9-_R=w1200|https://lh3.googleusercontent.com/pw/AP1GczMIfiyquzkC9vz7yV4rq-MiFjpU4m7E9UvGlb_ILkwCLuySJ7pQ6cxFxpdfRV4uYuZf_Xz60H_JgwQ1YWhrg0FytAMJ30yZsTWl2tjnwHx-3wtuJ-UG=w1200|https://lh3.googleusercontent.com/pw"&amp;"/AP1GczMVGHwRXwHxfLywwZOvTpTqyZBC3SteklAHEuHmAYMIqc9C4OoAUkh_PvX82JKzM2GwNznxau2aJPTzIJd3CqNRhZM96Hv5xXsMWYNFRzOhvX0bIUHV=w1200|https://lh3.googleusercontent.com/pw/AP1GczNd7bywQqzIaIxGf5hwFLm__elK7LRRTawHcfATmALkjW4JQQq_91tnT8bs1fBugw5dKISN5YW4R6iVEtVuC7"&amp;"CpSaG-eo1sARzNfG3Ze27AIxNQmVoR=w1200|https://lh3.googleusercontent.com/pw/AP1GczN7kvbcLzgdbU0RxugNTuQ_L_n545bFLFoij3NuBNTRTSVKf2p8x6UoZ9Rlk54D6SlgQczUXZonEZCJZeV1B27KdJpsKwqFHNUPTf44pj6jQWTIdXyV=w1200|https://lh3.googleusercontent.com/pw/AP1GczN6yj1Wrbbmq"&amp;"KCdEMbB78kmB8k35WZtqfZQBybQit_OgsTOPLDtngrrgsXcxSiVf4V4t3g1OzDcZQFP_YucDfcFLK5Wy7LNVSSZCjKwmiqa8pFx4ISV=w1200|https://lh3.googleusercontent.com/pw/AP1GczNpmbIhrlyKNaLyL33JkqR8xHShj5hrNgTdA6IMzlacRqrzbk0hKad09A_axGjpHdy6wJEgR_fSOL-VkpuYXlD_X6TbeW5X_F6RgJ18"&amp;"ZTFWMeeoqnR-=w1200|https://lh3.googleusercontent.com/pw/AP1GczMGx9A6rI_oOSHM78DOwOM4jFbxw6QB8X3pG-1VjAlLsJKGRxgq7yWjx40bQu76qSo3jqCuUxQ6C-J1vGO2laolDWxoLN1OT_98_1QzF3q14eo7o4O-=w1200|https://lh3.googleusercontent.com/pw/AP1GczORA7DO2jwF4XLOI469wPfEhihhmOB"&amp;"ozAn6VoK29xN1twRANWvvHAdPOpH3IhkrfaEREQQ5qfR6elgnEULjJGRZ2kvw2bdwTk9bva3UeU6_2Y02T5Qb=w1200|https://lh3.googleusercontent.com/pw/AP1GczNX2QoKkaTDgLTbmmBTj6c3ACnqtoW8ZBgUnLapOeWYjIDXSWQwGO907kSs5Vf3Ah9hc0DrDQ6vcxGmk0P7iD1SyAbmVYq5wWmDJGM4Kpo_MQPgjF-K=w1200"&amp;"|https://lh3.googleusercontent.com/pw/AP1GczPxu4pS6dbhHq-M7JfpkIe5WBTF_zo1A3fnCh_q1pDR7wKC5zMl2PYySCceGV9Z471a8CJM1CqRu6r8HHBANHl9KadzarHnpuHcazhzThqK_6qKGrqI=w1200|https://lh3.googleusercontent.com/pw/AP1GczOyLeUDI3ED0TNxl6mxXxYVpVNvhkNVx7_4TBj39uGepeaFK"&amp;"-VOj6S4Ob7gjyfhnjtE2u_M5NoI38-_XBNColbHU0xBnyLEjGRZNoDfqd6CyF9qOIFL=w1200|https://lh3.googleusercontent.com/pw/AP1GczN51TDJI54YSdT2_n9s-KtzNh9TERGGwlAxPcuQv-jkkxmsQDDF-xezd53EPTJP-B6HCH2OuGBZT2SAVFIzog37pSwBrfTEts19i_1oVnENKo8Uf4pP=w1200|https://lh3.googl"&amp;"eusercontent.com/pw/AP1GczOA7R_0vs-IIsdt89PfnAlWuDvXMZySzuHYht_u3elEHvKzSFnVSLF9aT_1_9gaX8ljzwerALZ4gxQyBz4IQBcZu3902illzgVnSBFeQT5GCBtreHjw=w1200|https://lh3.googleusercontent.com/pw/AP1GczNWP5RZLKDcMpz-fmJkkAHp5gimeDtXzNQglwkIvtDA6iPbXZp8WZCszqRY8LEhWRT"&amp;"P8_vKvkxqU6EJnzwpDQJFtMtsVxeIm1KDXZ0YS8OVE2xjSJnZ=w1200|https://lh3.googleusercontent.com/pw/AP1GczNjMX_FFv2pep88sqJxbdumPs1P06x31EiQhjkt8g_8Jit9uxKK_dpdf2o1EMRbJvDdqpt3LrwTOq9rlyBq0qRBcKG5hZA__c8cFuicj4xs2_4Jxq-f=w1200|https://lh3.googleusercontent.com/p"&amp;"w/AP1GczMm0UC3ImVsbLJf55loxYYOtBkhOapneLoSv5P0tvZ31-lO4GD90mVHgTQuXXnB_7QY1M2pYpIzuSV1fnEVaWFauLqVsLuzI28JwUDGaPViYFpnW0vr=w1200|https://lh3.googleusercontent.com/pw/AP1GczMT6_0abKDMkWo7M6rnksVi6skjWTdZs_c9cWP7O1KjVXqdQwpROlbaiLXb1oK9es6bzfV23zAg2dqZlgwCA"&amp;"f8u5AZ_XsjBpJpkAfFvFbJr8TyV09V5=w1200|https://lh3.googleusercontent.com/pw/AP1GczPZUwFhi9oc_6coFZ25WdMhRoqqHF9nWu_HyGwDOuXZcWf1F2JlXUl1e4zNXKy0GvH7e-8NLuOVs446RK_sNANa5wGacol--pJgAn4WWVpUUXapxb3Y=w1200|https://lh3.googleusercontent.com/pw/AP1GczPXVrX2Ggd5"&amp;"f4GIrqseaCyRXt7sjZ5rV1rgbKnDrSv3zESmkgO45q-vx35q1czq9woWMwfZHcsxynlbWDoMS13PW6Jh3fKOEzXxOLElbYZyLHafzABP=w1200|https://lh3.googleusercontent.com/pw/AP1GczPa_hxljY0QPjJw6Htg2UJaqeSg_Ybm7Wee4mdaF-vVtf2giMiPr9XgdQgPIspYVBNOKtsfH9mr0unuvW0GXN9YYhfqpghvHMB141Y"&amp;"38BclI8Yz4szj=w1200|https://lh3.googleusercontent.com/pw/AP1GczPnFdjQ9Yg3kUd83_Cag3VK7eeOhnWsgMIrNalz3Jz4lc6eeGyjrrfV_a8h_wEquUu88YDPBcSuGgU2AhcmDlybMl1e_OkrD64wud5t9TF3-A5dPv0e=w1200|https://lh3.googleusercontent.com/pw/AP1GczMEjsGh4v6TBsr6i4Nhg_4_L3X5LX"&amp;"rO6HISKQq6IuBkMsbZp1D6rhqk1dWOWk7QDmIn8-JsxepdU1fYYPjYPF0240pkmlK6RIKGi-8tlBoCURoqsX2o=w1200|https://lh3.googleusercontent.com/pw/AP1GczOtYfRHep9N1iJA1icRuH5ty7isWI-3rbTOhR5EBVYMBPmDFdi4Pr1udqjgKl-ik17FkBNIzH22Bug245ctfMw69grncNFL6LzatloC6jGUChwRJmWq=w120"&amp;"0|https://lh3.googleusercontent.com/pw/AP1GczOqsN0vGA2g6LDoZBF6K_R-nXdfV86DscG-daPc7EfwDA6PcKmyKT2ixGBy76AW8QGEsY8JEBqpcBXZeYfXv3ivCR69NF1t41_25caEg3e874eKUmSu=w1200|https://lh3.googleusercontent.com/pw/AP1GczPEvzv9wD5KBdvwRQYyPGgohk8gcEakKcE-D2kdZ9hM_oHj"&amp;"clDj5hqLt6kwFZGMt0Cz9gbsNkKjawTR_viFevw6vI2fuDgBkKtypzbvu94tJZQfoT4S=w1200|https://lh3.googleusercontent.com/pw/AP1GczO3Lm4ZgWdsnmqQB2G6y5XdbwrfA1tXa7txxSzsZvbPHrNiojy4hVpxso0Ulnh1j76hxNdcDmHlGMatFte5aK4gbr6UtpqudxtGOl6IQXzEoaOx3sZg=w1200|https://lh3.goog"&amp;"leusercontent.com/pw/AP1GczMq33Yz8Opj-3Jy4FX4ku8sl8SJaFXNN0JwbIHws3SPwVFVmvdanj_vOX3YjVRvxcqaKRLfibbYp7DYtQRW_0Ul6pbACrXdhBYnQEqPZD-oS27atDfH=w1200|https://lh3.googleusercontent.com/pw/AP1GczPOco5-kSO1aKeaol3K8EhuZZxYnWxe-dUmPKChWS6oTUZhhHuitG_XFU9RwqmzOp"&amp;"USPtroygN6rao5BPQzcG1MZAbd-x2178S7m-q-mxiGVFvq5jFC=w1200")</f>
        <v>https://lh3.googleusercontent.com/pw/AP1GczMR8M2r7u8tpsXRVFxgAmejo_Rp52MIHOCpCo_LBIKmnM2HOJDlt4dugx-OExYRZBH_26yfIfngZMZny_C-KiJL0opjGUUil0vleTVqS6Nxrz71VU4j=w1200|https://lh3.googleusercontent.com/pw/AP1GczMjJ9jCQwLgVqZDaOfV1c6uH6nVV0Guygyqnxd906iUzf2oOvmMiojqxt5CecbdeZQf4JMhzA0P6YBpytiCbkEdVxDzcB_MV-bznwpQ2ZLSn9_IU1-v=w1200|https://lh3.googleusercontent.com/pw/AP1GczMd27roNPHvysr8XO3VHZhcgHql6tgDTiRebwzbNf0jg18VenWMxqjNxHTxPqEJD_9FZOi6mXWDM4CdhwT5MzE0KSCB2cinNBUd3bLvXzPUD9mZhbRz=w1200|https://lh3.googleusercontent.com/pw/AP1GczPayCwHd1a8Re5qU6owWe2O2oWfZGDQG8PkjcobdoHkni39pxrNp-7dmlvCw_z2nRIaj-FVwxOvxklyKnBZU_Ep0DTvbY-iQPr6GnXLeIUqsCH1HvYm=w1200|https://lh3.googleusercontent.com/pw/AP1GczMGWjDQWEfvK7zfv6eGNoG9Cm1Q6zHUr4x0OXfSt1Prlu751SCvqCSppgif4ctVu6wMo1afFJ5z8C44MVT7N5ESNR5vvD4jUZBKV47x65HlUSJc9-_R=w1200|https://lh3.googleusercontent.com/pw/AP1GczMIfiyquzkC9vz7yV4rq-MiFjpU4m7E9UvGlb_ILkwCLuySJ7pQ6cxFxpdfRV4uYuZf_Xz60H_JgwQ1YWhrg0FytAMJ30yZsTWl2tjnwHx-3wtuJ-UG=w1200|https://lh3.googleusercontent.com/pw/AP1GczMVGHwRXwHxfLywwZOvTpTqyZBC3SteklAHEuHmAYMIqc9C4OoAUkh_PvX82JKzM2GwNznxau2aJPTzIJd3CqNRhZM96Hv5xXsMWYNFRzOhvX0bIUHV=w1200|https://lh3.googleusercontent.com/pw/AP1GczNd7bywQqzIaIxGf5hwFLm__elK7LRRTawHcfATmALkjW4JQQq_91tnT8bs1fBugw5dKISN5YW4R6iVEtVuC7CpSaG-eo1sARzNfG3Ze27AIxNQmVoR=w1200|https://lh3.googleusercontent.com/pw/AP1GczN7kvbcLzgdbU0RxugNTuQ_L_n545bFLFoij3NuBNTRTSVKf2p8x6UoZ9Rlk54D6SlgQczUXZonEZCJZeV1B27KdJpsKwqFHNUPTf44pj6jQWTIdXyV=w1200|https://lh3.googleusercontent.com/pw/AP1GczN6yj1WrbbmqKCdEMbB78kmB8k35WZtqfZQBybQit_OgsTOPLDtngrrgsXcxSiVf4V4t3g1OzDcZQFP_YucDfcFLK5Wy7LNVSSZCjKwmiqa8pFx4ISV=w1200|https://lh3.googleusercontent.com/pw/AP1GczNpmbIhrlyKNaLyL33JkqR8xHShj5hrNgTdA6IMzlacRqrzbk0hKad09A_axGjpHdy6wJEgR_fSOL-VkpuYXlD_X6TbeW5X_F6RgJ18ZTFWMeeoqnR-=w1200|https://lh3.googleusercontent.com/pw/AP1GczMGx9A6rI_oOSHM78DOwOM4jFbxw6QB8X3pG-1VjAlLsJKGRxgq7yWjx40bQu76qSo3jqCuUxQ6C-J1vGO2laolDWxoLN1OT_98_1QzF3q14eo7o4O-=w1200|https://lh3.googleusercontent.com/pw/AP1GczORA7DO2jwF4XLOI469wPfEhihhmOBozAn6VoK29xN1twRANWvvHAdPOpH3IhkrfaEREQQ5qfR6elgnEULjJGRZ2kvw2bdwTk9bva3UeU6_2Y02T5Qb=w1200|https://lh3.googleusercontent.com/pw/AP1GczNX2QoKkaTDgLTbmmBTj6c3ACnqtoW8ZBgUnLapOeWYjIDXSWQwGO907kSs5Vf3Ah9hc0DrDQ6vcxGmk0P7iD1SyAbmVYq5wWmDJGM4Kpo_MQPgjF-K=w1200|https://lh3.googleusercontent.com/pw/AP1GczPxu4pS6dbhHq-M7JfpkIe5WBTF_zo1A3fnCh_q1pDR7wKC5zMl2PYySCceGV9Z471a8CJM1CqRu6r8HHBANHl9KadzarHnpuHcazhzThqK_6qKGrqI=w1200|https://lh3.googleusercontent.com/pw/AP1GczOyLeUDI3ED0TNxl6mxXxYVpVNvhkNVx7_4TBj39uGepeaFK-VOj6S4Ob7gjyfhnjtE2u_M5NoI38-_XBNColbHU0xBnyLEjGRZNoDfqd6CyF9qOIFL=w1200|https://lh3.googleusercontent.com/pw/AP1GczN51TDJI54YSdT2_n9s-KtzNh9TERGGwlAxPcuQv-jkkxmsQDDF-xezd53EPTJP-B6HCH2OuGBZT2SAVFIzog37pSwBrfTEts19i_1oVnENKo8Uf4pP=w1200|https://lh3.googleusercontent.com/pw/AP1GczOA7R_0vs-IIsdt89PfnAlWuDvXMZySzuHYht_u3elEHvKzSFnVSLF9aT_1_9gaX8ljzwerALZ4gxQyBz4IQBcZu3902illzgVnSBFeQT5GCBtreHjw=w1200|https://lh3.googleusercontent.com/pw/AP1GczNWP5RZLKDcMpz-fmJkkAHp5gimeDtXzNQglwkIvtDA6iPbXZp8WZCszqRY8LEhWRTP8_vKvkxqU6EJnzwpDQJFtMtsVxeIm1KDXZ0YS8OVE2xjSJnZ=w1200|https://lh3.googleusercontent.com/pw/AP1GczNjMX_FFv2pep88sqJxbdumPs1P06x31EiQhjkt8g_8Jit9uxKK_dpdf2o1EMRbJvDdqpt3LrwTOq9rlyBq0qRBcKG5hZA__c8cFuicj4xs2_4Jxq-f=w1200|https://lh3.googleusercontent.com/pw/AP1GczMm0UC3ImVsbLJf55loxYYOtBkhOapneLoSv5P0tvZ31-lO4GD90mVHgTQuXXnB_7QY1M2pYpIzuSV1fnEVaWFauLqVsLuzI28JwUDGaPViYFpnW0vr=w1200|https://lh3.googleusercontent.com/pw/AP1GczMT6_0abKDMkWo7M6rnksVi6skjWTdZs_c9cWP7O1KjVXqdQwpROlbaiLXb1oK9es6bzfV23zAg2dqZlgwCAf8u5AZ_XsjBpJpkAfFvFbJr8TyV09V5=w1200|https://lh3.googleusercontent.com/pw/AP1GczPZUwFhi9oc_6coFZ25WdMhRoqqHF9nWu_HyGwDOuXZcWf1F2JlXUl1e4zNXKy0GvH7e-8NLuOVs446RK_sNANa5wGacol--pJgAn4WWVpUUXapxb3Y=w1200|https://lh3.googleusercontent.com/pw/AP1GczPXVrX2Ggd5f4GIrqseaCyRXt7sjZ5rV1rgbKnDrSv3zESmkgO45q-vx35q1czq9woWMwfZHcsxynlbWDoMS13PW6Jh3fKOEzXxOLElbYZyLHafzABP=w1200|https://lh3.googleusercontent.com/pw/AP1GczPa_hxljY0QPjJw6Htg2UJaqeSg_Ybm7Wee4mdaF-vVtf2giMiPr9XgdQgPIspYVBNOKtsfH9mr0unuvW0GXN9YYhfqpghvHMB141Y38BclI8Yz4szj=w1200|https://lh3.googleusercontent.com/pw/AP1GczPnFdjQ9Yg3kUd83_Cag3VK7eeOhnWsgMIrNalz3Jz4lc6eeGyjrrfV_a8h_wEquUu88YDPBcSuGgU2AhcmDlybMl1e_OkrD64wud5t9TF3-A5dPv0e=w1200|https://lh3.googleusercontent.com/pw/AP1GczMEjsGh4v6TBsr6i4Nhg_4_L3X5LXrO6HISKQq6IuBkMsbZp1D6rhqk1dWOWk7QDmIn8-JsxepdU1fYYPjYPF0240pkmlK6RIKGi-8tlBoCURoqsX2o=w1200|https://lh3.googleusercontent.com/pw/AP1GczOtYfRHep9N1iJA1icRuH5ty7isWI-3rbTOhR5EBVYMBPmDFdi4Pr1udqjgKl-ik17FkBNIzH22Bug245ctfMw69grncNFL6LzatloC6jGUChwRJmWq=w1200|https://lh3.googleusercontent.com/pw/AP1GczOqsN0vGA2g6LDoZBF6K_R-nXdfV86DscG-daPc7EfwDA6PcKmyKT2ixGBy76AW8QGEsY8JEBqpcBXZeYfXv3ivCR69NF1t41_25caEg3e874eKUmSu=w1200|https://lh3.googleusercontent.com/pw/AP1GczPEvzv9wD5KBdvwRQYyPGgohk8gcEakKcE-D2kdZ9hM_oHjclDj5hqLt6kwFZGMt0Cz9gbsNkKjawTR_viFevw6vI2fuDgBkKtypzbvu94tJZQfoT4S=w1200|https://lh3.googleusercontent.com/pw/AP1GczO3Lm4ZgWdsnmqQB2G6y5XdbwrfA1tXa7txxSzsZvbPHrNiojy4hVpxso0Ulnh1j76hxNdcDmHlGMatFte5aK4gbr6UtpqudxtGOl6IQXzEoaOx3sZg=w1200|https://lh3.googleusercontent.com/pw/AP1GczMq33Yz8Opj-3Jy4FX4ku8sl8SJaFXNN0JwbIHws3SPwVFVmvdanj_vOX3YjVRvxcqaKRLfibbYp7DYtQRW_0Ul6pbACrXdhBYnQEqPZD-oS27atDfH=w1200|https://lh3.googleusercontent.com/pw/AP1GczPOco5-kSO1aKeaol3K8EhuZZxYnWxe-dUmPKChWS6oTUZhhHuitG_XFU9RwqmzOpUSPtroygN6rao5BPQzcG1MZAbd-x2178S7m-q-mxiGVFvq5jFC=w1200</v>
      </c>
      <c r="AJ199" s="46"/>
      <c r="AK199" s="46"/>
      <c r="AL199" s="46"/>
      <c r="AM199" s="46"/>
      <c r="AN199" s="46"/>
      <c r="AO199" s="46"/>
      <c r="AP199" s="46"/>
      <c r="AQ199" s="46"/>
      <c r="AR199" s="46"/>
      <c r="AS199" s="46"/>
      <c r="AT199" s="46"/>
      <c r="AU199" s="46"/>
      <c r="AV199" s="46"/>
      <c r="AW199" s="46"/>
      <c r="AX199" s="46"/>
      <c r="AY199" s="46"/>
      <c r="AZ199" s="46"/>
      <c r="BA199" s="46"/>
      <c r="BB199" s="46"/>
      <c r="BC199" s="46"/>
      <c r="BD199" s="46"/>
      <c r="BE199" s="46"/>
      <c r="BF199" s="46"/>
      <c r="BG199" s="46"/>
      <c r="BH199" s="46"/>
      <c r="BI199" s="46"/>
      <c r="BJ199" s="46"/>
      <c r="BK199" s="46"/>
      <c r="BL199" s="46"/>
      <c r="BM199" s="46"/>
      <c r="BN199" s="46"/>
      <c r="BO199" s="46"/>
      <c r="BP199" s="46"/>
      <c r="BQ199" s="46"/>
      <c r="BR199" s="46"/>
      <c r="BS199" s="46"/>
      <c r="BT199" s="46"/>
      <c r="BU199" s="46"/>
      <c r="BV199" s="46"/>
      <c r="BW199" s="46"/>
      <c r="BX199" s="46"/>
      <c r="BY199" s="46"/>
      <c r="BZ199" s="46"/>
      <c r="CA199" s="46"/>
      <c r="CB199" s="46"/>
      <c r="CC199" s="46"/>
    </row>
    <row r="200">
      <c r="A200" s="87" t="str">
        <f>IFERROR(__xludf.DUMMYFUNCTION("""COMPUTED_VALUE"""),"321")</f>
        <v>321</v>
      </c>
      <c r="B200" s="46" t="str">
        <f>IFERROR(__xludf.DUMMYFUNCTION("""COMPUTED_VALUE"""),"Casa con dos apartamentos en barrio Las Granjas")</f>
        <v>Casa con dos apartamentos en barrio Las Granjas</v>
      </c>
      <c r="C200" s="46" t="str">
        <f>IFERROR(__xludf.DUMMYFUNCTION("""COMPUTED_VALUE"""),"Casa rentable")</f>
        <v>Casa rentable</v>
      </c>
      <c r="D200" s="46" t="str">
        <f>IFERROR(__xludf.DUMMYFUNCTION("""COMPUTED_VALUE"""),"Las Granjas")</f>
        <v>Las Granjas</v>
      </c>
      <c r="E200" s="46"/>
      <c r="F200" s="90">
        <f>IFERROR(__xludf.DUMMYFUNCTION("""COMPUTED_VALUE"""),3.0E8)</f>
        <v>300000000</v>
      </c>
      <c r="G200" s="46" t="str">
        <f>IFERROR(__xludf.DUMMYFUNCTION("""COMPUTED_VALUE"""),"$300'000.000 a $400'000.000")</f>
        <v>$300'000.000 a $400'000.000</v>
      </c>
      <c r="H200" s="46"/>
      <c r="I200" s="46"/>
      <c r="J200" s="46" t="str">
        <f>IFERROR(__xludf.DUMMYFUNCTION("""COMPUTED_VALUE"""),"Norte")</f>
        <v>Norte</v>
      </c>
      <c r="K200" s="87" t="str">
        <f>IFERROR(__xludf.DUMMYFUNCTION("""COMPUTED_VALUE"""),"2")</f>
        <v>2</v>
      </c>
      <c r="L200" s="46">
        <f>IFERROR(__xludf.DUMMYFUNCTION("""COMPUTED_VALUE"""),5.0)</f>
        <v>5</v>
      </c>
      <c r="M200" s="46"/>
      <c r="N200" s="46">
        <f>IFERROR(__xludf.DUMMYFUNCTION("""COMPUTED_VALUE"""),2.0)</f>
        <v>2</v>
      </c>
      <c r="O200" s="46">
        <f>IFERROR(__xludf.DUMMYFUNCTION("""COMPUTED_VALUE"""),3.0)</f>
        <v>3</v>
      </c>
      <c r="P200" s="46">
        <f>IFERROR(__xludf.DUMMYFUNCTION("""COMPUTED_VALUE"""),1.0)</f>
        <v>1</v>
      </c>
      <c r="Q200" s="92">
        <f>IFERROR(__xludf.DUMMYFUNCTION("""COMPUTED_VALUE"""),188.0)</f>
        <v>188</v>
      </c>
      <c r="R200" s="92">
        <f>IFERROR(__xludf.DUMMYFUNCTION("""COMPUTED_VALUE"""),288.0)</f>
        <v>288</v>
      </c>
      <c r="S200" s="87" t="str">
        <f>IFERROR(__xludf.DUMMYFUNCTION("""COMPUTED_VALUE"""),"Rentabilidad $1,000,000")</f>
        <v>Rentabilidad $1,000,000</v>
      </c>
      <c r="T200" s="46" t="str">
        <f>IFERROR(__xludf.DUMMYFUNCTION("""COMPUTED_VALUE"""),"Neiva")</f>
        <v>Neiva</v>
      </c>
      <c r="U200" s="87" t="str">
        <f>IFERROR(__xludf.DUMMYFUNCTION("""COMPUTED_VALUE"""),"2")</f>
        <v>2</v>
      </c>
      <c r="V200" s="46" t="str">
        <f>IFERROR(__xludf.DUMMYFUNCTION("""COMPUTED_VALUE"""),"Medianera")</f>
        <v>Medianera</v>
      </c>
      <c r="W200" s="46"/>
      <c r="X200" s="46">
        <f>IFERROR(__xludf.DUMMYFUNCTION("""COMPUTED_VALUE"""),0.0)</f>
        <v>0</v>
      </c>
      <c r="Y200" s="46" t="str">
        <f>IFERROR(__xludf.DUMMYFUNCTION("""COMPUTED_VALUE"""),"No tiene")</f>
        <v>No tiene</v>
      </c>
      <c r="Z200" s="90" t="str">
        <f>IFERROR(__xludf.DUMMYFUNCTION("""COMPUTED_VALUE"""),"No aplica")</f>
        <v>No aplica</v>
      </c>
      <c r="AA200" s="33" t="str">
        <f>IFERROR(__xludf.DUMMYFUNCTION("""COMPUTED_VALUE"""),"25 años")</f>
        <v>25 años</v>
      </c>
      <c r="AB200" s="144" t="str">
        <f>IFERROR(__xludf.DUMMYFUNCTION("""COMPUTED_VALUE"""),"https://photos.app.goo.gl/9z5fRUHiNkwXYUsQ6")</f>
        <v>https://photos.app.goo.gl/9z5fRUHiNkwXYUsQ6</v>
      </c>
      <c r="AC200" s="46" t="str">
        <f>IFERROR(__xludf.DUMMYFUNCTION("""COMPUTED_VALUE"""),"Apartamento con buenos acabados, Cubierta en metaldek y perfil metálico. Piso en cerámica, cielo raso en icopor, área de servicios con cerámica antideslizante. Las habitaciones no cuentan con puertas. La casa para remodelar con materiales de conservación,"&amp;" piso en baldosa, cielo raso en Dri Wall con lámparas Led de empotrar. Patio amplio.")</f>
        <v>Apartamento con buenos acabados, Cubierta en metaldek y perfil metálico. Piso en cerámica, cielo raso en icopor, área de servicios con cerámica antideslizante. Las habitaciones no cuentan con puertas. La casa para remodelar con materiales de conservación, piso en baldosa, cielo raso en Dri Wall con lámparas Led de empotrar. Patio amplio.</v>
      </c>
      <c r="AD200" s="46" t="str">
        <f>IFERROR(__xludf.DUMMYFUNCTION("""COMPUTED_VALUE"""),"Dimensión del lote 12.0 ml x 24.00 ml. Cuenta con reja antejardín. Apartamento remodelado y la casa para remodelar en un 90%. Ubicada a una cuadra de la avenida 26. Escritura al día. Permuta no.")</f>
        <v>Dimensión del lote 12.0 ml x 24.00 ml. Cuenta con reja antejardín. Apartamento remodelado y la casa para remodelar en un 90%. Ubicada a una cuadra de la avenida 26. Escritura al día. Permuta no.</v>
      </c>
      <c r="AE200" s="46"/>
      <c r="AF200" s="46" t="str">
        <f>IFERROR(__xludf.DUMMYFUNCTION("""COMPUTED_VALUE"""),"semi-integral")</f>
        <v>semi-integral</v>
      </c>
      <c r="AG200" s="46"/>
      <c r="AH200" s="46" t="str">
        <f>IFERROR(__xludf.DUMMYFUNCTION("""COMPUTED_VALUE"""),"Directo")</f>
        <v>Directo</v>
      </c>
      <c r="AI200" s="92" t="str">
        <f>IFERROR(__xludf.DUMMYFUNCTION("""COMPUTED_VALUE"""),"https://lh3.googleusercontent.com/pw/AP1GczOdtS1Iz2ARgCzOkwylKkxHTfUXRUeY_NSD-2K0ZasVrW40GaW7r5Eo4pYnJhWsm8lp-xTj3nzaatNfGpdI07x2EgS-qgTNT0gm90jR_XfAfjirt24o=w1200|https://lh3.googleusercontent.com/pw/AP1GczPcdBYoPV62QRDdpfDGA7KPgcyLq0KaWmuAtqWY1MLJZEynoG"&amp;"Wn-i5kbKCRv876db8iBsXnb792InKd5JEiRmIwvzPY2dIVTRQZAEVGGcPMQOaI42eb=w1200|https://lh3.googleusercontent.com/pw/AP1GczNw3NME6sR0H6dB1Vckvnmogw19N_mUI1HgveSNklYmyX9cruIv9VoCuBF_KlzuN5tC8jQ961n27U-7urBbdBbOSva32QNoWMjprsbbpDMVq7VoEnng=w1200|https://lh3.google"&amp;"usercontent.com/pw/AP1GczNgdtTYGvyFOaXh4A5Ys5Y0G-8Ocg5eEYojFpHMN3HmERlHqrU2m0qVh-cyBLhOvh4hDXoISP9D5HG0D7NfofBJxCMJSoUFgLa8guv9Y8sBk9gRoThw=w1200|https://lh3.googleusercontent.com/pw/AP1GczMikBBFpUZHRPFgkgyfnxJ1233008Fb-aSU704i8SXFKrLxPmXuhn_vycz1tYImbmnQ"&amp;"wdL4uL8-zyEQGntYbNEs6DJy6y1rOZnbqnPExmtaNaZ81uxt=w1200|https://lh3.googleusercontent.com/pw/AP1GczOJRT8DSY8t_o2ecDUw9NqocWH5Sbd7RDO5UTJFCGr7kOlApuNaDt-eRKJXUjY9h5eAqKQF49UQ4y4-KFHn6L0gBF8s2t_FGIIJHAe9NKwJo6h2zf9S=w1200|https://lh3.googleusercontent.com/pw"&amp;"/AP1GczNQAfZCJZVi2nUh4_yslc2zCdD7cZdgePqlbqhg_9oJ74dxQsjrD29I7mC1e4hztHsmRD7_9rMm4ijs0tAFIq7ExbW1xBzpf7KESu-7kFaUPUC3YYyo=w1200|https://lh3.googleusercontent.com/pw/AP1GczM78sGLxB3lWguT6tzG6JpZ5GMoQZBm0cKbfudiIqBdEQb-blyUtTTuLuypwYYnY45j8gRMkirmisTEoDQAsu"&amp;"c0ch6pnRFzH9Y1xndzg8N3rdKHM6Kh=w1200|https://lh3.googleusercontent.com/pw/AP1GczMuSfbHumE4lk0OZLZQRFSHfrTMb6suNuN77PfDa1Xx25-ituTTd-Nc-52bdGQAblVunDln7xrD0UByHH3rvBSiYVATc0tKs27MUdTZsFl5tZze2sB_=w1200|https://lh3.googleusercontent.com/pw/AP1GczMCh7GNaO7Qz"&amp;"18EVXu5amBoE8vjnbws7vYvzvd559BKhpKJcNuFCv4RGMvbDcPl_z4p_lclboT-vpvll-VmwriRANuwy6ebahj01g3he-ujysoqoqb1=w1200|https://lh3.googleusercontent.com/pw/AP1GczMYqLCj9um93MDI8h2DETFvgMf1OD2JUITY7o-XeP3extWwhIWK3FIc7iZVcmW6ahZAPBJleBry2EnqRp0BqcnHuqTRlvg7KZDsLVbd"&amp;"EPmVnISOXzkQ=w1200|https://lh3.googleusercontent.com/pw/AP1GczPQwCW6sWXTwL-3eo7Gkj8-BEj4a3F0eI_4W1AeNESzUO8br7Z1SOE0mAuXCx_HojPhxZrYOKFagJgcPnHwl4n_D_sr5wPH5X_-QQD6qpm60zkq2nh6=w1200|https://lh3.googleusercontent.com/pw/AP1GczO-ZIYlQOsy09kMGB9ojAoQHOFiJ5-"&amp;"_mEEXjpj0rxB4RRMKcZP6o1qwQ4aPMRP2MfzDgaPpEtJts-rGeRIzbpA17DIsC0uIKJFHJwpORw_j4t-cC8qC=w1200|https://lh3.googleusercontent.com/pw/AP1GczP2zz6I10iiY_9IeSM5CV_Dp0A_-99vYFFLEFGAPQxWpM3oifhHinHUSl2TnV9Th2A1T5uDyHyXQiDX-KB5g2EoQXgnozYIf1HVuGqU32yQ8em_rkKH=w1200"&amp;"|https://lh3.googleusercontent.com/pw/AP1GczPo_NA1ksT25_e7EXUjgNc-3j9gA0N1biBxrWXP70-pL8VYCcl9SHY6TqdCUhCWqI9zh4vZMu0G4nD7c4oaKx_mRP1LIX4JGFM2Xi4Un1cJbzXiCDHY=w1200|https://lh3.googleusercontent.com/pw/AP1GczM5KWoOvSA2AhVIlsmRGZB-2eEWOw0WeKW0HnsqD50At_jJT"&amp;"sz5hvCwzf6JfBbMzMPLkJgsL3iZh_hCrTBKmSCkVXVVqXFOuWl4xBU8gUQmA2HzBXEm=w1200|https://lh3.googleusercontent.com/pw/AP1GczMhH0Ascvu0qcGSOlEC4EAqQ89SeSgb4t-gKxwho7t-GQ9xyHK1p-30n4pOsxtKOlRlche6yvVOCdFxUXgy_I4b-L8tz8kkBauVP_vKc_28eAOEHIP1=w1200|https://lh3.googl"&amp;"eusercontent.com/pw/AP1GczPPlRq2kuZbqYjelwsACg0Cp2y-W8E7PMTUGuubzbmjQZjiZ2VzY5V5W0aPuQYV5ON-URvzm5EJyu5mZzUUeWWR3mzucRwy0LE6kE2z3YO_GA2oJhFf=w1200|https://lh3.googleusercontent.com/pw/AP1GczNwrjYBrdn14UriJYw_6p-ph0N7Rawc5lnm5OVjmdDAPWjkVooJLOptdqm_2va4CA-"&amp;"r0tfLvuE1PMPnGDQ5XQI48XM3w3wE0Z3xhV-gQXEKx3MbacQ4=w1200")</f>
        <v>https://lh3.googleusercontent.com/pw/AP1GczOdtS1Iz2ARgCzOkwylKkxHTfUXRUeY_NSD-2K0ZasVrW40GaW7r5Eo4pYnJhWsm8lp-xTj3nzaatNfGpdI07x2EgS-qgTNT0gm90jR_XfAfjirt24o=w1200|https://lh3.googleusercontent.com/pw/AP1GczPcdBYoPV62QRDdpfDGA7KPgcyLq0KaWmuAtqWY1MLJZEynoGWn-i5kbKCRv876db8iBsXnb792InKd5JEiRmIwvzPY2dIVTRQZAEVGGcPMQOaI42eb=w1200|https://lh3.googleusercontent.com/pw/AP1GczNw3NME6sR0H6dB1Vckvnmogw19N_mUI1HgveSNklYmyX9cruIv9VoCuBF_KlzuN5tC8jQ961n27U-7urBbdBbOSva32QNoWMjprsbbpDMVq7VoEnng=w1200|https://lh3.googleusercontent.com/pw/AP1GczNgdtTYGvyFOaXh4A5Ys5Y0G-8Ocg5eEYojFpHMN3HmERlHqrU2m0qVh-cyBLhOvh4hDXoISP9D5HG0D7NfofBJxCMJSoUFgLa8guv9Y8sBk9gRoThw=w1200|https://lh3.googleusercontent.com/pw/AP1GczMikBBFpUZHRPFgkgyfnxJ1233008Fb-aSU704i8SXFKrLxPmXuhn_vycz1tYImbmnQwdL4uL8-zyEQGntYbNEs6DJy6y1rOZnbqnPExmtaNaZ81uxt=w1200|https://lh3.googleusercontent.com/pw/AP1GczOJRT8DSY8t_o2ecDUw9NqocWH5Sbd7RDO5UTJFCGr7kOlApuNaDt-eRKJXUjY9h5eAqKQF49UQ4y4-KFHn6L0gBF8s2t_FGIIJHAe9NKwJo6h2zf9S=w1200|https://lh3.googleusercontent.com/pw/AP1GczNQAfZCJZVi2nUh4_yslc2zCdD7cZdgePqlbqhg_9oJ74dxQsjrD29I7mC1e4hztHsmRD7_9rMm4ijs0tAFIq7ExbW1xBzpf7KESu-7kFaUPUC3YYyo=w1200|https://lh3.googleusercontent.com/pw/AP1GczM78sGLxB3lWguT6tzG6JpZ5GMoQZBm0cKbfudiIqBdEQb-blyUtTTuLuypwYYnY45j8gRMkirmisTEoDQAsuc0ch6pnRFzH9Y1xndzg8N3rdKHM6Kh=w1200|https://lh3.googleusercontent.com/pw/AP1GczMuSfbHumE4lk0OZLZQRFSHfrTMb6suNuN77PfDa1Xx25-ituTTd-Nc-52bdGQAblVunDln7xrD0UByHH3rvBSiYVATc0tKs27MUdTZsFl5tZze2sB_=w1200|https://lh3.googleusercontent.com/pw/AP1GczMCh7GNaO7Qz18EVXu5amBoE8vjnbws7vYvzvd559BKhpKJcNuFCv4RGMvbDcPl_z4p_lclboT-vpvll-VmwriRANuwy6ebahj01g3he-ujysoqoqb1=w1200|https://lh3.googleusercontent.com/pw/AP1GczMYqLCj9um93MDI8h2DETFvgMf1OD2JUITY7o-XeP3extWwhIWK3FIc7iZVcmW6ahZAPBJleBry2EnqRp0BqcnHuqTRlvg7KZDsLVbdEPmVnISOXzkQ=w1200|https://lh3.googleusercontent.com/pw/AP1GczPQwCW6sWXTwL-3eo7Gkj8-BEj4a3F0eI_4W1AeNESzUO8br7Z1SOE0mAuXCx_HojPhxZrYOKFagJgcPnHwl4n_D_sr5wPH5X_-QQD6qpm60zkq2nh6=w1200|https://lh3.googleusercontent.com/pw/AP1GczO-ZIYlQOsy09kMGB9ojAoQHOFiJ5-_mEEXjpj0rxB4RRMKcZP6o1qwQ4aPMRP2MfzDgaPpEtJts-rGeRIzbpA17DIsC0uIKJFHJwpORw_j4t-cC8qC=w1200|https://lh3.googleusercontent.com/pw/AP1GczP2zz6I10iiY_9IeSM5CV_Dp0A_-99vYFFLEFGAPQxWpM3oifhHinHUSl2TnV9Th2A1T5uDyHyXQiDX-KB5g2EoQXgnozYIf1HVuGqU32yQ8em_rkKH=w1200|https://lh3.googleusercontent.com/pw/AP1GczPo_NA1ksT25_e7EXUjgNc-3j9gA0N1biBxrWXP70-pL8VYCcl9SHY6TqdCUhCWqI9zh4vZMu0G4nD7c4oaKx_mRP1LIX4JGFM2Xi4Un1cJbzXiCDHY=w1200|https://lh3.googleusercontent.com/pw/AP1GczM5KWoOvSA2AhVIlsmRGZB-2eEWOw0WeKW0HnsqD50At_jJTsz5hvCwzf6JfBbMzMPLkJgsL3iZh_hCrTBKmSCkVXVVqXFOuWl4xBU8gUQmA2HzBXEm=w1200|https://lh3.googleusercontent.com/pw/AP1GczMhH0Ascvu0qcGSOlEC4EAqQ89SeSgb4t-gKxwho7t-GQ9xyHK1p-30n4pOsxtKOlRlche6yvVOCdFxUXgy_I4b-L8tz8kkBauVP_vKc_28eAOEHIP1=w1200|https://lh3.googleusercontent.com/pw/AP1GczPPlRq2kuZbqYjelwsACg0Cp2y-W8E7PMTUGuubzbmjQZjiZ2VzY5V5W0aPuQYV5ON-URvzm5EJyu5mZzUUeWWR3mzucRwy0LE6kE2z3YO_GA2oJhFf=w1200|https://lh3.googleusercontent.com/pw/AP1GczNwrjYBrdn14UriJYw_6p-ph0N7Rawc5lnm5OVjmdDAPWjkVooJLOptdqm_2va4CA-r0tfLvuE1PMPnGDQ5XQI48XM3w3wE0Z3xhV-gQXEKx3MbacQ4=w1200</v>
      </c>
      <c r="AJ200" s="46"/>
      <c r="AK200" s="46"/>
      <c r="AL200" s="46"/>
      <c r="AM200" s="46"/>
      <c r="AN200" s="46"/>
      <c r="AO200" s="46"/>
      <c r="AP200" s="46"/>
      <c r="AQ200" s="46"/>
      <c r="AR200" s="46"/>
      <c r="AS200" s="46"/>
      <c r="AT200" s="46"/>
      <c r="AU200" s="46"/>
      <c r="AV200" s="46"/>
      <c r="AW200" s="46"/>
      <c r="AX200" s="46"/>
      <c r="AY200" s="46"/>
      <c r="AZ200" s="46"/>
      <c r="BA200" s="46"/>
      <c r="BB200" s="46"/>
      <c r="BC200" s="46"/>
      <c r="BD200" s="46"/>
      <c r="BE200" s="46"/>
      <c r="BF200" s="46"/>
      <c r="BG200" s="46"/>
      <c r="BH200" s="46"/>
      <c r="BI200" s="46"/>
      <c r="BJ200" s="46"/>
      <c r="BK200" s="46"/>
      <c r="BL200" s="46"/>
      <c r="BM200" s="46"/>
      <c r="BN200" s="46"/>
      <c r="BO200" s="46"/>
      <c r="BP200" s="46"/>
      <c r="BQ200" s="46"/>
      <c r="BR200" s="46"/>
      <c r="BS200" s="46"/>
      <c r="BT200" s="46"/>
      <c r="BU200" s="46"/>
      <c r="BV200" s="46"/>
      <c r="BW200" s="46"/>
      <c r="BX200" s="46"/>
      <c r="BY200" s="46"/>
      <c r="BZ200" s="46"/>
      <c r="CA200" s="46"/>
      <c r="CB200" s="46"/>
      <c r="CC200" s="46"/>
    </row>
    <row r="201">
      <c r="A201" s="87" t="str">
        <f>IFERROR(__xludf.DUMMYFUNCTION("""COMPUTED_VALUE"""),"079")</f>
        <v>079</v>
      </c>
      <c r="B201" s="46" t="str">
        <f>IFERROR(__xludf.DUMMYFUNCTION("""COMPUTED_VALUE"""),"Casa lote en barrio La Toma")</f>
        <v>Casa lote en barrio La Toma</v>
      </c>
      <c r="C201" s="46" t="str">
        <f>IFERROR(__xludf.DUMMYFUNCTION("""COMPUTED_VALUE"""),"Casa lote")</f>
        <v>Casa lote</v>
      </c>
      <c r="D201" s="46" t="str">
        <f>IFERROR(__xludf.DUMMYFUNCTION("""COMPUTED_VALUE"""),"La Toma")</f>
        <v>La Toma</v>
      </c>
      <c r="E201" s="90" t="str">
        <f>IFERROR(__xludf.DUMMYFUNCTION("""COMPUTED_VALUE""")," ")</f>
        <v> </v>
      </c>
      <c r="F201" s="90">
        <f>IFERROR(__xludf.DUMMYFUNCTION("""COMPUTED_VALUE"""),3.0E8)</f>
        <v>300000000</v>
      </c>
      <c r="G201" s="46" t="str">
        <f>IFERROR(__xludf.DUMMYFUNCTION("""COMPUTED_VALUE"""),"$300'000.000 a $400'000.000")</f>
        <v>$300'000.000 a $400'000.000</v>
      </c>
      <c r="H201" s="46"/>
      <c r="I201" s="46"/>
      <c r="J201" s="46" t="str">
        <f>IFERROR(__xludf.DUMMYFUNCTION("""COMPUTED_VALUE"""),"Centro")</f>
        <v>Centro</v>
      </c>
      <c r="K201" s="87" t="str">
        <f>IFERROR(__xludf.DUMMYFUNCTION("""COMPUTED_VALUE"""),"3")</f>
        <v>3</v>
      </c>
      <c r="L201" s="46">
        <f>IFERROR(__xludf.DUMMYFUNCTION("""COMPUTED_VALUE"""),3.0)</f>
        <v>3</v>
      </c>
      <c r="M201" s="46"/>
      <c r="N201" s="46">
        <f>IFERROR(__xludf.DUMMYFUNCTION("""COMPUTED_VALUE"""),1.0)</f>
        <v>1</v>
      </c>
      <c r="O201" s="46">
        <f>IFERROR(__xludf.DUMMYFUNCTION("""COMPUTED_VALUE"""),0.0)</f>
        <v>0</v>
      </c>
      <c r="P201" s="46">
        <f>IFERROR(__xludf.DUMMYFUNCTION("""COMPUTED_VALUE"""),1.0)</f>
        <v>1</v>
      </c>
      <c r="Q201" s="92"/>
      <c r="R201" s="92">
        <f>IFERROR(__xludf.DUMMYFUNCTION("""COMPUTED_VALUE"""),466.0)</f>
        <v>466</v>
      </c>
      <c r="S201" s="87" t="str">
        <f>IFERROR(__xludf.DUMMYFUNCTION("""COMPUTED_VALUE""")," ")</f>
        <v> </v>
      </c>
      <c r="T201" s="46" t="str">
        <f>IFERROR(__xludf.DUMMYFUNCTION("""COMPUTED_VALUE"""),"Neiva")</f>
        <v>Neiva</v>
      </c>
      <c r="U201" s="87" t="str">
        <f>IFERROR(__xludf.DUMMYFUNCTION("""COMPUTED_VALUE"""),"3")</f>
        <v>3</v>
      </c>
      <c r="V201" s="46" t="str">
        <f>IFERROR(__xludf.DUMMYFUNCTION("""COMPUTED_VALUE"""),"Medianera")</f>
        <v>Medianera</v>
      </c>
      <c r="W201" s="46"/>
      <c r="X201" s="46">
        <f>IFERROR(__xludf.DUMMYFUNCTION("""COMPUTED_VALUE"""),0.0)</f>
        <v>0</v>
      </c>
      <c r="Y201" s="46" t="str">
        <f>IFERROR(__xludf.DUMMYFUNCTION("""COMPUTED_VALUE"""),"No tiene")</f>
        <v>No tiene</v>
      </c>
      <c r="Z201" s="90" t="str">
        <f>IFERROR(__xludf.DUMMYFUNCTION("""COMPUTED_VALUE"""),"No aplica")</f>
        <v>No aplica</v>
      </c>
      <c r="AA201" s="33" t="str">
        <f>IFERROR(__xludf.DUMMYFUNCTION("""COMPUTED_VALUE"""),"No aplica")</f>
        <v>No aplica</v>
      </c>
      <c r="AB201" s="144" t="str">
        <f>IFERROR(__xludf.DUMMYFUNCTION("""COMPUTED_VALUE"""),"https://photos.app.goo.gl/nJDWkAWQZzoqhfSN9")</f>
        <v>https://photos.app.goo.gl/nJDWkAWQZzoqhfSN9</v>
      </c>
      <c r="AC201" s="46" t="str">
        <f>IFERROR(__xludf.DUMMYFUNCTION("""COMPUTED_VALUE"""),"Casa antigua con acabados en conservación para remodelar. Cerca de la avenida.")</f>
        <v>Casa antigua con acabados en conservación para remodelar. Cerca de la avenida.</v>
      </c>
      <c r="AD201" s="46" t="str">
        <f>IFERROR(__xludf.DUMMYFUNCTION("""COMPUTED_VALUE"""),"Dimensión aproximada del lote con medidas irregulares 9.050 ml x 49.0 ml. Patio amplio. Ubicado sobre vía amplia destapada. A una cuadra de la  carrera 9. Escritura al día. No se permuta.")</f>
        <v>Dimensión aproximada del lote con medidas irregulares 9.050 ml x 49.0 ml. Patio amplio. Ubicado sobre vía amplia destapada. A una cuadra de la  carrera 9. Escritura al día. No se permuta.</v>
      </c>
      <c r="AE201" s="46"/>
      <c r="AF201" s="46" t="str">
        <f>IFERROR(__xludf.DUMMYFUNCTION("""COMPUTED_VALUE"""),"básica")</f>
        <v>básica</v>
      </c>
      <c r="AG201" s="46"/>
      <c r="AH201" s="46" t="str">
        <f>IFERROR(__xludf.DUMMYFUNCTION("""COMPUTED_VALUE"""),"Directo")</f>
        <v>Directo</v>
      </c>
      <c r="AI201" s="92" t="str">
        <f>IFERROR(__xludf.DUMMYFUNCTION("""COMPUTED_VALUE"""),"https://lh3.googleusercontent.com/pw/AP1GczP530wlQj0BdBRa9nbsRcfjo9ZbTsbJ1fVhLAx-MR2jKYRJnEsSex8buE1pr7dO4iwXkNkvlOoxrEYWiN5ySkaU_C8kXAoYXG731kFLCJMMcqvH_-mJ=w1200|https://lh3.googleusercontent.com/pw/AP1GczO2wrabDrzvR2fOp_sqzDzi9emtVP9oAgySG-Rz85oe2RroJJ"&amp;"YNLEg8BZqueaN0gK3bIMesAnB-tzoKUK0dJn9ulmaa-gIvg6u56DQFA8jNP-8y0UXy=w1200|https://lh3.googleusercontent.com/pw/AP1GczNOO_ayokD8cmKcdgAlNlgqBpa1--yyqeqPi6M9dcx1cSNWgCn--86sUAeMJIGFGuWDx-NDnN8-QP1VqfYJHiUbC9P5Laez5vGudM_J1PtpBgPzrKOJ=w1200|https://lh3.google"&amp;"usercontent.com/pw/AP1GczM-fSWcKiW1KrXXV2qEVris4Iui6KIWSZ7TJ979wmsHk6kgvifJNOoZU5Vu5f41ciKos6j3ii0GUJMTCEkiBVvC_rmf809u1geJMds77LcyfpdFm24Y=w1200|https://lh3.googleusercontent.com/pw/AP1GczPAFhdc1OjWlXD8tUImagRuHP-5yNnox23KsiMy-NyN4RrKHMbDP01XMKTYzCwHbTKO"&amp;"2lo27j0Nyvo93IZnQh9zbxvI_pSikgebA2F0KanqNpYCuayb=w1200|https://lh3.googleusercontent.com/pw/AP1GczOVdppsTa5tP1-xL7xqfHevOrxhR_tMog-MbEgaxG1jVQGAVkgUPK_qVeVEokM5p6NUpE2G7SJ7UWu4TL6sx0rT4Y9E5YjZjmJp8RdsMyWWCqYHO46C=w1200|https://lh3.googleusercontent.com/pw"&amp;"/AP1GczOp3VYALR4aELyHDSqfhgncdvojIpZAmTmYBvnB2x1wRyV-t72afy6I33LT3VOqfVs4w1rOlQ5uqdiIxcShdKnbIsokGsP5sg2rnJALTC0HKXF3pwP5=w1200|https://lh3.googleusercontent.com/pw/AP1GczPZmpsadJFp6iYESqTdJp77aIOVJkTCjgRqbnCzRVlulH0lGNqK3ZzdPvNw-sKCjQcndhAXqGoqBgXv8Qq1FH"&amp;"Jz55SqJGRV0P54-fulZWjMpSLPh17l=w1200|https://lh3.googleusercontent.com/pw/AP1GczOhKBNA0lo4af8XHhK-wjO45YyZUZYvptEXk6hiygFmyR36oQ4r6S8A-eStg1qg6fwZWG4m3cxDRaQiJcyQ9d5nJyGC5eSoWM2rIGvTFerwZik3h1Pv=w1200|https://lh3.googleusercontent.com/pw/AP1GczN2pDjcG7giI"&amp;"VI4KMx9Zh-9_y5egC0tzu7iDeAamvPK34VDiniS3MwhhKmbz5MbVPyHtHt7xQkz51zXPrPaqVq4JIh_BUofaiONej5lUnEunFzWIxKV=w1200|https://lh3.googleusercontent.com/pw/AP1GczNMB63y-4sx4PuTjE_MrLtPsc5MV31zhN_aUN4C9pHTj0HBW2pQLViKB1VqI46BqPdgHgwty0pgNc20t2BSDVllNq35SxwnmgnrhnL6"&amp;"iR1TG5uXG1Tg=w1200|https://lh3.googleusercontent.com/pw/AP1GczP-h03UdCoxwzK4yEOz7HJRtUFMmLVlsq138Xdf4sUnBFe5VI7HiRzFPDNZXbsiVdQ-yEMtmaH7gSlA0IEbWZtfxLJXd-m_W7LNr3sL96nOxmpNsBSf=w1200|https://lh3.googleusercontent.com/pw/AP1GczOVa08z4K7LOdLAEVDS4wNpYQ_xpwF"&amp;"PPEMtyZDF8468obAEzkUX7hY5DH2KToO82r_k8UmMNE1cVMKTufv5GCK9g02MWqzo9rFYB-j8YlseNFJXRWuI=w1200|https://lh3.googleusercontent.com/pw/AP1GczPY3dawVFp8T0O-DFWq4Ih_L2L5HTky-KKl7g3GG0TC_-jcxMYc-GAssfbtzkWmR40hnajhfnJUza9t1BzVI6-yWWCsjtZdCOJRED-lDiTRiYR8vK9_=w1200"&amp;"|https://lh3.googleusercontent.com/pw/AP1GczOL5xj0ELJuZLNCCJiRR9Rd50WLTmhxVL8iFu0hxnLUS5NJQnQBAKbrsz-bfUfMJU04xKHL73hSg8HYWl2WCZGb98zz7Gr7ivWWRI2t_OAvCkMLVuym=w1200|https://lh3.googleusercontent.com/pw/AP1GczNYjL8KKzVPu7yXCZAcFeRq0Nj--xYly34ImGVE5qr-RxQjP"&amp;"mxfZOUyNF6hxMCkuJOPIuHjTEV1Krnvycwo_n9n8vrvuBChCtc2aONOeDpmtqrAzHgN=w1200|https://lh3.googleusercontent.com/pw/AP1GczO3I9JiYXuwUSstgDryC87fP_UzomkE6fZt2cwR05bFwG4hMDOwwlnFyt-ZibIUVQ2ohnrxSxl-e4xJeqzhSZgZfyLp0xl6fUm1ljdtQkogqYpk6FJl=w1200|https://lh3.googl"&amp;"eusercontent.com/pw/AP1GczOgphN2u2rpp-jUCtvKIQ4KS0n4zXRYLx3CBJGCE0sxNPn7djuWAA4KbbJk8Wtl9IrgPe_p9o0TQeUrt9GoDFessSHLoEMlJXE6rCdfqma6zUtSSmEq=w1200|https://lh3.googleusercontent.com/pw/AP1GczNfiA3TWYY-eOyHl7hlMluf8Asn9hIEnbCafPqzwRteI5CNYt65dtgmKzzwMMxC6Dg"&amp;"vrAr__Y8tpon4Vg4LChu9dBRuKowebgmzu-TmptLl-komDR47=w1200|https://lh3.googleusercontent.com/pw/AP1GczNFLbt979EGVNhqC8jI1noz0SqYBNc6HwN5-JoagGJOVgKUm9Fc5u4Lyv-7HMDktK-6BF7qd82mhLz68U3frI7iVLSJiBSVh1-D12-RBajsE9aiupTh=w1200|https://lh3.googleusercontent.com/p"&amp;"w/AP1GczPjUeE7oLCCCZdfw5ACrpz_-kIax8mjUVOakx4wR9zp27J4V7rYKM55x_79njGRuMpdfGAZvlDr3oWR7nn2aLxkLLuoPVCfw7lf4Ek9IoFoObzGsfvz=w1200|https://lh3.googleusercontent.com/pw/AP1GczPm6fPQxbq4LZBQsdhz07Tly_fBjRmCeLIFbhcSKDBjJFGBxJRxj9sX8z92IXD1WGehyyvl2XUtnVCVPBcCp"&amp;"C-UUUgJqmm0Ly3aJ8uIozuis4BV5bM5=w1200|https://lh3.googleusercontent.com/pw/AP1GczPfhioVnSdJ0JW4AQfkA3ibTF7RntO7TYxTAWj2_88e1REsT0K96gIdfvmP7kE2V1fe54uxyL4bz-uwOpdHqrz1RgVf_Rx5xYytDuJvYEMMRTpHeE8v=w1200|https://lh3.googleusercontent.com/pw/AP1GczOSjS7J_Jkh"&amp;"UPe1hHIzLEzPVHYGP7lDarHwQrab3439y614jOxrI0mpqqS99UMbSv26EmVKqkrYsdEU9r55vt9ARXi5MN3fLSsjWl-OpVyYvUOGQxCe=w1200|https://lh3.googleusercontent.com/pw/AP1GczOgfidLjDspxNN09N8UyVqCFpwux182sO7mNxhu89hAYHAl9CU8SMRtWDq1tqPynCtXkxqkXh36ydQ4BMGYg9P4Kcc3ENZiq7tIvVn"&amp;"CGeWLhF3ZAMxE=w1200|https://lh3.googleusercontent.com/pw/AP1GczNM6mgudIhmy8ooGzhM7wUHO0qb4Kk3_snOw8KK8yHRQnQY9uDmZSq311wL62KTx0NSMhgHEEvk6pn7yH5KmIHzUpDspUD9NScAVJ2YwTcghjtuUEnr=w1200|https://lh3.googleusercontent.com/pw/AP1GczMQZCydEO9YCOZ8nKlJLk2aAwWFF2"&amp;"SmRGRrnN9dGF-aVJ7UyYaoOx9jFUG7O3klcAwWuxNjhmG2-KnZwTPIEFd4TKcS7TkcYoVIunbtrFdL6STterdW=w1200|https://lh3.googleusercontent.com/pw/AP1GczOemeSaRYBco7MaWNRgy5mm4oygqqGP2I1Or-cgjEdGzisnCpQPPxyAW4pv7xwC7r0BBhzPgndaNtFF-nA3gCmSZIHoVnuux4FWBQV113WIYddIjRCn=w120"&amp;"0|https://lh3.googleusercontent.com/pw/AP1GczN2-SLdS7kZFRHsKT7N1pm_LyUqoFI0KZ7eKOwcHaTmjxIg7TlAzuHaXjaLgrCRTOUiWZtraaCZuqJuD6mWGZY9TyDaW5ytoubJt-zBra_R5uLqzLWt=w1200")</f>
        <v>https://lh3.googleusercontent.com/pw/AP1GczP530wlQj0BdBRa9nbsRcfjo9ZbTsbJ1fVhLAx-MR2jKYRJnEsSex8buE1pr7dO4iwXkNkvlOoxrEYWiN5ySkaU_C8kXAoYXG731kFLCJMMcqvH_-mJ=w1200|https://lh3.googleusercontent.com/pw/AP1GczO2wrabDrzvR2fOp_sqzDzi9emtVP9oAgySG-Rz85oe2RroJJYNLEg8BZqueaN0gK3bIMesAnB-tzoKUK0dJn9ulmaa-gIvg6u56DQFA8jNP-8y0UXy=w1200|https://lh3.googleusercontent.com/pw/AP1GczNOO_ayokD8cmKcdgAlNlgqBpa1--yyqeqPi6M9dcx1cSNWgCn--86sUAeMJIGFGuWDx-NDnN8-QP1VqfYJHiUbC9P5Laez5vGudM_J1PtpBgPzrKOJ=w1200|https://lh3.googleusercontent.com/pw/AP1GczM-fSWcKiW1KrXXV2qEVris4Iui6KIWSZ7TJ979wmsHk6kgvifJNOoZU5Vu5f41ciKos6j3ii0GUJMTCEkiBVvC_rmf809u1geJMds77LcyfpdFm24Y=w1200|https://lh3.googleusercontent.com/pw/AP1GczPAFhdc1OjWlXD8tUImagRuHP-5yNnox23KsiMy-NyN4RrKHMbDP01XMKTYzCwHbTKO2lo27j0Nyvo93IZnQh9zbxvI_pSikgebA2F0KanqNpYCuayb=w1200|https://lh3.googleusercontent.com/pw/AP1GczOVdppsTa5tP1-xL7xqfHevOrxhR_tMog-MbEgaxG1jVQGAVkgUPK_qVeVEokM5p6NUpE2G7SJ7UWu4TL6sx0rT4Y9E5YjZjmJp8RdsMyWWCqYHO46C=w1200|https://lh3.googleusercontent.com/pw/AP1GczOp3VYALR4aELyHDSqfhgncdvojIpZAmTmYBvnB2x1wRyV-t72afy6I33LT3VOqfVs4w1rOlQ5uqdiIxcShdKnbIsokGsP5sg2rnJALTC0HKXF3pwP5=w1200|https://lh3.googleusercontent.com/pw/AP1GczPZmpsadJFp6iYESqTdJp77aIOVJkTCjgRqbnCzRVlulH0lGNqK3ZzdPvNw-sKCjQcndhAXqGoqBgXv8Qq1FHJz55SqJGRV0P54-fulZWjMpSLPh17l=w1200|https://lh3.googleusercontent.com/pw/AP1GczOhKBNA0lo4af8XHhK-wjO45YyZUZYvptEXk6hiygFmyR36oQ4r6S8A-eStg1qg6fwZWG4m3cxDRaQiJcyQ9d5nJyGC5eSoWM2rIGvTFerwZik3h1Pv=w1200|https://lh3.googleusercontent.com/pw/AP1GczN2pDjcG7giIVI4KMx9Zh-9_y5egC0tzu7iDeAamvPK34VDiniS3MwhhKmbz5MbVPyHtHt7xQkz51zXPrPaqVq4JIh_BUofaiONej5lUnEunFzWIxKV=w1200|https://lh3.googleusercontent.com/pw/AP1GczNMB63y-4sx4PuTjE_MrLtPsc5MV31zhN_aUN4C9pHTj0HBW2pQLViKB1VqI46BqPdgHgwty0pgNc20t2BSDVllNq35SxwnmgnrhnL6iR1TG5uXG1Tg=w1200|https://lh3.googleusercontent.com/pw/AP1GczP-h03UdCoxwzK4yEOz7HJRtUFMmLVlsq138Xdf4sUnBFe5VI7HiRzFPDNZXbsiVdQ-yEMtmaH7gSlA0IEbWZtfxLJXd-m_W7LNr3sL96nOxmpNsBSf=w1200|https://lh3.googleusercontent.com/pw/AP1GczOVa08z4K7LOdLAEVDS4wNpYQ_xpwFPPEMtyZDF8468obAEzkUX7hY5DH2KToO82r_k8UmMNE1cVMKTufv5GCK9g02MWqzo9rFYB-j8YlseNFJXRWuI=w1200|https://lh3.googleusercontent.com/pw/AP1GczPY3dawVFp8T0O-DFWq4Ih_L2L5HTky-KKl7g3GG0TC_-jcxMYc-GAssfbtzkWmR40hnajhfnJUza9t1BzVI6-yWWCsjtZdCOJRED-lDiTRiYR8vK9_=w1200|https://lh3.googleusercontent.com/pw/AP1GczOL5xj0ELJuZLNCCJiRR9Rd50WLTmhxVL8iFu0hxnLUS5NJQnQBAKbrsz-bfUfMJU04xKHL73hSg8HYWl2WCZGb98zz7Gr7ivWWRI2t_OAvCkMLVuym=w1200|https://lh3.googleusercontent.com/pw/AP1GczNYjL8KKzVPu7yXCZAcFeRq0Nj--xYly34ImGVE5qr-RxQjPmxfZOUyNF6hxMCkuJOPIuHjTEV1Krnvycwo_n9n8vrvuBChCtc2aONOeDpmtqrAzHgN=w1200|https://lh3.googleusercontent.com/pw/AP1GczO3I9JiYXuwUSstgDryC87fP_UzomkE6fZt2cwR05bFwG4hMDOwwlnFyt-ZibIUVQ2ohnrxSxl-e4xJeqzhSZgZfyLp0xl6fUm1ljdtQkogqYpk6FJl=w1200|https://lh3.googleusercontent.com/pw/AP1GczOgphN2u2rpp-jUCtvKIQ4KS0n4zXRYLx3CBJGCE0sxNPn7djuWAA4KbbJk8Wtl9IrgPe_p9o0TQeUrt9GoDFessSHLoEMlJXE6rCdfqma6zUtSSmEq=w1200|https://lh3.googleusercontent.com/pw/AP1GczNfiA3TWYY-eOyHl7hlMluf8Asn9hIEnbCafPqzwRteI5CNYt65dtgmKzzwMMxC6DgvrAr__Y8tpon4Vg4LChu9dBRuKowebgmzu-TmptLl-komDR47=w1200|https://lh3.googleusercontent.com/pw/AP1GczNFLbt979EGVNhqC8jI1noz0SqYBNc6HwN5-JoagGJOVgKUm9Fc5u4Lyv-7HMDktK-6BF7qd82mhLz68U3frI7iVLSJiBSVh1-D12-RBajsE9aiupTh=w1200|https://lh3.googleusercontent.com/pw/AP1GczPjUeE7oLCCCZdfw5ACrpz_-kIax8mjUVOakx4wR9zp27J4V7rYKM55x_79njGRuMpdfGAZvlDr3oWR7nn2aLxkLLuoPVCfw7lf4Ek9IoFoObzGsfvz=w1200|https://lh3.googleusercontent.com/pw/AP1GczPm6fPQxbq4LZBQsdhz07Tly_fBjRmCeLIFbhcSKDBjJFGBxJRxj9sX8z92IXD1WGehyyvl2XUtnVCVPBcCpC-UUUgJqmm0Ly3aJ8uIozuis4BV5bM5=w1200|https://lh3.googleusercontent.com/pw/AP1GczPfhioVnSdJ0JW4AQfkA3ibTF7RntO7TYxTAWj2_88e1REsT0K96gIdfvmP7kE2V1fe54uxyL4bz-uwOpdHqrz1RgVf_Rx5xYytDuJvYEMMRTpHeE8v=w1200|https://lh3.googleusercontent.com/pw/AP1GczOSjS7J_JkhUPe1hHIzLEzPVHYGP7lDarHwQrab3439y614jOxrI0mpqqS99UMbSv26EmVKqkrYsdEU9r55vt9ARXi5MN3fLSsjWl-OpVyYvUOGQxCe=w1200|https://lh3.googleusercontent.com/pw/AP1GczOgfidLjDspxNN09N8UyVqCFpwux182sO7mNxhu89hAYHAl9CU8SMRtWDq1tqPynCtXkxqkXh36ydQ4BMGYg9P4Kcc3ENZiq7tIvVnCGeWLhF3ZAMxE=w1200|https://lh3.googleusercontent.com/pw/AP1GczNM6mgudIhmy8ooGzhM7wUHO0qb4Kk3_snOw8KK8yHRQnQY9uDmZSq311wL62KTx0NSMhgHEEvk6pn7yH5KmIHzUpDspUD9NScAVJ2YwTcghjtuUEnr=w1200|https://lh3.googleusercontent.com/pw/AP1GczMQZCydEO9YCOZ8nKlJLk2aAwWFF2SmRGRrnN9dGF-aVJ7UyYaoOx9jFUG7O3klcAwWuxNjhmG2-KnZwTPIEFd4TKcS7TkcYoVIunbtrFdL6STterdW=w1200|https://lh3.googleusercontent.com/pw/AP1GczOemeSaRYBco7MaWNRgy5mm4oygqqGP2I1Or-cgjEdGzisnCpQPPxyAW4pv7xwC7r0BBhzPgndaNtFF-nA3gCmSZIHoVnuux4FWBQV113WIYddIjRCn=w1200|https://lh3.googleusercontent.com/pw/AP1GczN2-SLdS7kZFRHsKT7N1pm_LyUqoFI0KZ7eKOwcHaTmjxIg7TlAzuHaXjaLgrCRTOUiWZtraaCZuqJuD6mWGZY9TyDaW5ytoubJt-zBra_R5uLqzLWt=w1200</v>
      </c>
      <c r="AJ201" s="46"/>
      <c r="AK201" s="46"/>
      <c r="AL201" s="46"/>
      <c r="AM201" s="46"/>
      <c r="AN201" s="46"/>
      <c r="AO201" s="46"/>
      <c r="AP201" s="46"/>
      <c r="AQ201" s="46"/>
      <c r="AR201" s="46"/>
      <c r="AS201" s="46"/>
      <c r="AT201" s="46"/>
      <c r="AU201" s="46"/>
      <c r="AV201" s="46"/>
      <c r="AW201" s="46"/>
      <c r="AX201" s="46"/>
      <c r="AY201" s="46"/>
      <c r="AZ201" s="46"/>
      <c r="BA201" s="46"/>
      <c r="BB201" s="46"/>
      <c r="BC201" s="46"/>
      <c r="BD201" s="46"/>
      <c r="BE201" s="46"/>
      <c r="BF201" s="46"/>
      <c r="BG201" s="46"/>
      <c r="BH201" s="46"/>
      <c r="BI201" s="46"/>
      <c r="BJ201" s="46"/>
      <c r="BK201" s="46"/>
      <c r="BL201" s="46"/>
      <c r="BM201" s="46"/>
      <c r="BN201" s="46"/>
      <c r="BO201" s="46"/>
      <c r="BP201" s="46"/>
      <c r="BQ201" s="46"/>
      <c r="BR201" s="46"/>
      <c r="BS201" s="46"/>
      <c r="BT201" s="46"/>
      <c r="BU201" s="46"/>
      <c r="BV201" s="46"/>
      <c r="BW201" s="46"/>
      <c r="BX201" s="46"/>
      <c r="BY201" s="46"/>
      <c r="BZ201" s="46"/>
      <c r="CA201" s="46"/>
      <c r="CB201" s="46"/>
      <c r="CC201" s="46"/>
    </row>
    <row r="202">
      <c r="A202" s="87" t="str">
        <f>IFERROR(__xludf.DUMMYFUNCTION("""COMPUTED_VALUE"""),"520")</f>
        <v>520</v>
      </c>
      <c r="B202" s="46" t="str">
        <f>IFERROR(__xludf.DUMMYFUNCTION("""COMPUTED_VALUE"""),"Casa con habitación independiente en barrio Las Granjas")</f>
        <v>Casa con habitación independiente en barrio Las Granjas</v>
      </c>
      <c r="C202" s="46" t="str">
        <f>IFERROR(__xludf.DUMMYFUNCTION("""COMPUTED_VALUE"""),"Casa rentable")</f>
        <v>Casa rentable</v>
      </c>
      <c r="D202" s="46" t="str">
        <f>IFERROR(__xludf.DUMMYFUNCTION("""COMPUTED_VALUE"""),"Las Granjas")</f>
        <v>Las Granjas</v>
      </c>
      <c r="E202" s="46"/>
      <c r="F202" s="90">
        <f>IFERROR(__xludf.DUMMYFUNCTION("""COMPUTED_VALUE"""),2.8E8)</f>
        <v>280000000</v>
      </c>
      <c r="G202" s="46" t="str">
        <f>IFERROR(__xludf.DUMMYFUNCTION("""COMPUTED_VALUE"""),"$200'000.000 a $300'000.000")</f>
        <v>$200'000.000 a $300'000.000</v>
      </c>
      <c r="H202" s="46"/>
      <c r="I202" s="46"/>
      <c r="J202" s="46" t="str">
        <f>IFERROR(__xludf.DUMMYFUNCTION("""COMPUTED_VALUE"""),"Norte")</f>
        <v>Norte</v>
      </c>
      <c r="K202" s="87" t="str">
        <f>IFERROR(__xludf.DUMMYFUNCTION("""COMPUTED_VALUE"""),"2")</f>
        <v>2</v>
      </c>
      <c r="L202" s="46">
        <f>IFERROR(__xludf.DUMMYFUNCTION("""COMPUTED_VALUE"""),5.0)</f>
        <v>5</v>
      </c>
      <c r="M202" s="46"/>
      <c r="N202" s="46">
        <f>IFERROR(__xludf.DUMMYFUNCTION("""COMPUTED_VALUE"""),3.0)</f>
        <v>3</v>
      </c>
      <c r="O202" s="46">
        <f>IFERROR(__xludf.DUMMYFUNCTION("""COMPUTED_VALUE"""),1.0)</f>
        <v>1</v>
      </c>
      <c r="P202" s="46">
        <f>IFERROR(__xludf.DUMMYFUNCTION("""COMPUTED_VALUE"""),1.0)</f>
        <v>1</v>
      </c>
      <c r="Q202" s="92">
        <f>IFERROR(__xludf.DUMMYFUNCTION("""COMPUTED_VALUE"""),160.0)</f>
        <v>160</v>
      </c>
      <c r="R202" s="92">
        <f>IFERROR(__xludf.DUMMYFUNCTION("""COMPUTED_VALUE"""),167.0)</f>
        <v>167</v>
      </c>
      <c r="S202" s="87" t="str">
        <f>IFERROR(__xludf.DUMMYFUNCTION("""COMPUTED_VALUE"""),"Rentabilidad $1,100,000")</f>
        <v>Rentabilidad $1,100,000</v>
      </c>
      <c r="T202" s="46" t="str">
        <f>IFERROR(__xludf.DUMMYFUNCTION("""COMPUTED_VALUE"""),"Neiva")</f>
        <v>Neiva</v>
      </c>
      <c r="U202" s="87" t="str">
        <f>IFERROR(__xludf.DUMMYFUNCTION("""COMPUTED_VALUE"""),"2")</f>
        <v>2</v>
      </c>
      <c r="V202" s="46" t="str">
        <f>IFERROR(__xludf.DUMMYFUNCTION("""COMPUTED_VALUE"""),"Medianera")</f>
        <v>Medianera</v>
      </c>
      <c r="W202" s="46"/>
      <c r="X202" s="46">
        <f>IFERROR(__xludf.DUMMYFUNCTION("""COMPUTED_VALUE"""),2.0)</f>
        <v>2</v>
      </c>
      <c r="Y202" s="46" t="str">
        <f>IFERROR(__xludf.DUMMYFUNCTION("""COMPUTED_VALUE"""),"No tiene")</f>
        <v>No tiene</v>
      </c>
      <c r="Z202" s="90" t="str">
        <f>IFERROR(__xludf.DUMMYFUNCTION("""COMPUTED_VALUE"""),"No aplica")</f>
        <v>No aplica</v>
      </c>
      <c r="AA202" s="33" t="str">
        <f>IFERROR(__xludf.DUMMYFUNCTION("""COMPUTED_VALUE"""),"21 años")</f>
        <v>21 años</v>
      </c>
      <c r="AB202" s="144" t="str">
        <f>IFERROR(__xludf.DUMMYFUNCTION("""COMPUTED_VALUE"""),"https://photos.app.goo.gl/waqGKDfe1Bea7d8GA")</f>
        <v>https://photos.app.goo.gl/waqGKDfe1Bea7d8GA</v>
      </c>
      <c r="AC202" s="46" t="str">
        <f>IFERROR(__xludf.DUMMYFUNCTION("""COMPUTED_VALUE"""),"Casa antigua con acabados en conservación, Piso en cerámica, tableta roja, cielo raso en machehembre. Carpintería marcos, puestas, closet, muebles empotrados en madera. Patio pequeño central.")</f>
        <v>Casa antigua con acabados en conservación, Piso en cerámica, tableta roja, cielo raso en machehembre. Carpintería marcos, puestas, closet, muebles empotrados en madera. Patio pequeño central.</v>
      </c>
      <c r="AD202" s="46" t="str">
        <f>IFERROR(__xludf.DUMMYFUNCTION("""COMPUTED_VALUE"""),"Dimensión del lote 10.0 ml  x 16.70 ml.  El alcantarillado fue cambiado en el año 2007. Ubicada cerca a los diferentes equipamientos de apoyo a la familia, colegios, iglesia, Carmen Emilia, Aeropuerto, centros comerciales San Pedro y San Juan plaza. Ubica"&amp;"da a una cuadra de la Avenida 26. Escritura al día. No se permuta.")</f>
        <v>Dimensión del lote 10.0 ml  x 16.70 ml.  El alcantarillado fue cambiado en el año 2007. Ubicada cerca a los diferentes equipamientos de apoyo a la familia, colegios, iglesia, Carmen Emilia, Aeropuerto, centros comerciales San Pedro y San Juan plaza. Ubicada a una cuadra de la Avenida 26. Escritura al día. No se permuta.</v>
      </c>
      <c r="AE202" s="46"/>
      <c r="AF202" s="46" t="str">
        <f>IFERROR(__xludf.DUMMYFUNCTION("""COMPUTED_VALUE"""),"básica")</f>
        <v>básica</v>
      </c>
      <c r="AG202" s="46"/>
      <c r="AH202" s="46" t="str">
        <f>IFERROR(__xludf.DUMMYFUNCTION("""COMPUTED_VALUE"""),"Directo")</f>
        <v>Directo</v>
      </c>
      <c r="AI202" s="46" t="str">
        <f>IFERROR(__xludf.DUMMYFUNCTION("""COMPUTED_VALUE"""),"https://lh3.googleusercontent.com/pw/AP1GczNWRV1Q4BO2Ik8Ls9g4J30aSsb9NPnfsQ2jOxXcKjCWi5uWSN4sV-vSMicjqxaMuG3fpfmYsotPx_gKTsIha2zDy5qWQRitc5Hbsam6MgINU5tH18Gc=w1200|https://lh3.googleusercontent.com/pw/AP1GczNehP9TBi7MGdsYsclA49Q7jwbJF9PpYE0-9LevqP-sm-w-Ak"&amp;"_BTdRQlRkwp3NuiMUXolzPmsNdC6-ovzQ8muXNIP36LtOHMW1BvUVUiM6_6hqWgVF2=w1200|https://lh3.googleusercontent.com/pw/AP1GczMQRSmwyfgwvw7pD4J5wA59gT-we89jyhcg0UT6V0yks0CdtY-go9WIzzWnE9lP_3t0J6DQ0C7y8-IhLa_Vt8tGsyH5YHT2GWzfgiwbjWczN22MC28B=w1200|https://lh3.google"&amp;"usercontent.com/pw/AP1GczNXECQxHRvrEwMZkNDfHR4C6D_6Ia9frSpVaexYerV6S2c7yZXYwdXB3SxJHMv7InykI4kNe08defK0vAvMUSmy_q0J9KLS5bP2mZbw8uWwF4xx9z9A=w1200|https://lh3.googleusercontent.com/pw/AP1GczP6zX4723owUY7r_X8vJmMVU6l_TW_wOI1kWvGN-GfrXJ7WFB7SSc3H1t-DTnbRoPXl"&amp;"Dip3JZ217_lttm8jVp-TWiKomN7lvhwTtq9orzY4Wet23Vbf=w1200|https://lh3.googleusercontent.com/pw/AP1GczPtDY0WcCb1cXe3qRWbvTru5nBP89wbmCqCTR_biPyie5UThwt1XUo0WnSKRIg_1z-q6l5O9bOvCujDAUsK7BkV-vfDN0ed9XTJzMW2MzpCrqnJp9a-=w1200|https://lh3.googleusercontent.com/pw"&amp;"/AP1GczMx01JU398xx9fx--4KgnM3DGdcGIfjlsXb8sJCQXGZqyorSTqtuEwFQGQ-u2slCYcnsTDbQZhV9V046Lj3FkZxczu4HZk3Hb0xAA3XQuFoKnwlgiFW=w1200|https://lh3.googleusercontent.com/pw/AP1GczNLOsc5SNItg5mD2TaYCI41yyfKeMGSAL6j9HYPUnyJWD-u4cGknzcTPHagjZT02Mrol-X_C4XhmvmMVzmcGC"&amp;"6dVPrANjSJkkkjRoXyCE_iT8NPv2Wd=w1200|https://lh3.googleusercontent.com/pw/AP1GczNqhdculsVQ1dPd5XAWmJt95WkV7tEGEEjVj55irqIpwrlx5ooJvbs093SyCrYCmYwh08UQvnlBJOgHcfpoMPOwW5jsW0GjJVgdGMAYAdayhlyd2prZ=w1200|https://lh3.googleusercontent.com/pw/AP1GczPLrzBq-zM76"&amp;"jE2DqoAEE7FvKFCMXZm9tGOPAvlNBVJCnMW_cnQmi9sthpTtimupLBozk-0O4zxbVeiYm6q1vNukEcp-C-LX_Si3i5XyGkUTSAjNWoJ=w1200|https://lh3.googleusercontent.com/pw/AP1GczP_fdnorEeFFzevyldaHHG0kp1lGhyDvctWsmNjsG4_4LBvd_VacMSIlxEcgKT8dMqrXARNg91_8gZUNakhBe2vc6h5Fy0j8I5tHTVE"&amp;"PMStezNc4vOR=w1200|https://lh3.googleusercontent.com/pw/AP1GczOMjkoy6J2owla3s9p6TKPVODEAUH3CwBjJflH8Yn7qQaY2aCns5R9UHy0UwezNurIsNMrdredoWAr2_M1uLnDaJr9x-wxLI9vs_4zZDdvN9a6lhA1P=w1200|https://lh3.googleusercontent.com/pw/AP1GczMR2z9A9sbT7SGV8pKDCCGMtjm0ZXw"&amp;"gcF7hp8zW7dqkQH5Ol4434rCsuGOFSNaRxmOM9ONYc6nmz6R7i5mcVihyy9MH7Zl9pTonnJ57HR1oA988W8zW=w1200|https://lh3.googleusercontent.com/pw/AP1GczMjxFFp6-7OM3ViBmSt9VGG6gaFuq_ZjhrXdbnVDukh_3RQYLKIRiOTWwy0ogN0PIgUKR0aJg2Qv1lf9pxIfpZZWOd-xMDUdVntqpuEuKoySqY_-RTm=w1200"&amp;"|https://lh3.googleusercontent.com/pw/AP1GczPCgz8w16RErUqTLbwFgQR25eGyFtiY2R91zNGE-hZOZ-gyBGgtmN2ZADby8jyONZ9D-8UB4VN59e2i_7QGsou1IIAyr6C0F2B-jvADSX2OYpdVWpaF=w1200|https://lh3.googleusercontent.com/pw/AP1GczM7FmCHGfYsAnvC18W8F6u57xzGDFwWssvGY2HdcEKonHEgv"&amp;"1qSDkI5pEepSrSStNnanglrBORMc8cV2CwaMJO5sVnP40lsO1gj1pUD906y-AMaPLSU=w1200|https://lh3.googleusercontent.com/pw/AP1GczOSyGuUghSO49_5RdTpRwB-5KOLlJNc5GoZmsTza33OpIKnI-zOMBJSW8TGM3uzsCXjX0UKlv1Qv5WhvjIkrRwFMqZL0HKkAh6wiVaM23QWuM-OeTOV=w1200|https://lh3.googl"&amp;"eusercontent.com/pw/AP1GczOoGjJM71g8Nz3x9ZAKqtVJ-kP6c4yA-BLvL70mjGtv-MqUN15c7UxXB5iY04iDGBU18h6g6MsHzVVEFJR7X-6kKZLRjvrctaWN6jKH9pLWz5UbbXKI=w1200|https://lh3.googleusercontent.com/pw/AP1GczPoWLoWjUFO2_-Tx4C0m6it7WWP7rHN23RrIS2L5q2Ixdf1i9Xt6tBaqpbjuM6OsBE"&amp;"HaAFEJgSSxZ98B1ZXgUZb0JzfM8oGu_p40kyiwj79cd1lHdCy=w1200|https://lh3.googleusercontent.com/pw/AP1GczMlj-BtNXFaD--GGs5tNMhKz763AxEeoObiHSPipkcKR_CwKhOR3Q3DqIKVugewTiyTol7tztFquTd8K6zH8M755rGWyFPiszqI8JuVpL86Ap43Xef9=w1200|https://lh3.googleusercontent.com/p"&amp;"w/AP1GczPi35qGp6_kdeQ0pH1qoP4HpmwOMk6ihPjApk3B6T9sh-4AuQjESelc4ohA1end-4hwfPTYwFDppn7nXRDlLu9uvNa4Zwf8-klbBBQs8hjzdWGQ9pR0=w1200|https://lh3.googleusercontent.com/pw/AP1GczOtGJqYcQESeeORYVRty9PFGy75J0K-iDQ_yESL5ZsVSc8nNdDCRlv1Rs6VMJKoXf_bE8z9v3-_1vh-EGfXc"&amp;"-gv03SkZjTf5EumBo83dXRBLY7Zqs6K=w1200|https://lh3.googleusercontent.com/pw/AP1GczNjEj07ONr5Os7ul3Y_f8_cfvieVV_uTrA5cv4KBAfe7H36ZHA6HSW_7FREGmffYiY-jw0p0eTh2xMZpNNnx0DAG7huUvpTGbXa7VLFNx-DFW9IOdE7=w1200|https://lh3.googleusercontent.com/pw/AP1GczNAvxAM87Tm"&amp;"YcLOY26OF11YupOvojhgPwhWXFNvoeSL0sUNlReR32QE3MXPRpdArivo3JgkfDqOw6tNMW4R2tgVbwK_UDIi7EFyfyxOdUVuDNLpmhUD=w1200|https://lh3.googleusercontent.com/pw/AP1GczMGWKheBQdox1QcUp2-ZtMJDx7AuO_Jzib4Zdks4oe6KMZhDFpWhzma4iyu9uBqSh28xUJ223-BwGAaO1X7NX6EVhEHXgQsE19Mesa"&amp;"ApOnEJhzRYF25=w1200|https://lh3.googleusercontent.com/pw/AP1GczNNe8NNfMVysNl2zH8f7DPasOItcyTHTWx1TK-iurpqYewBmm6pGY1I2Pk9wwFhFQgtu-Pa7xz1wyxqY70xzCRMxLahsqjP73wsLCbkEyTvc9kffjiC=w1200|https://lh3.googleusercontent.com/pw/AP1GczO1-ICYrsR32szQ8h_OvWi1Xrb4k6"&amp;"wzc8AvfXuvIaN1A7XyIVl41GmIyuDpM3gsKBOoGBnEjwwnSr44mHFHgMidKLHPD7z0S6sSFOmyXG7sMZ76rRHe=w1200|https://lh3.googleusercontent.com/pw/AP1GczNGrFobkAdTAxPm7xd7tPhOA7x1KwdU41A4F9nnX3TmiB1zU6yTbfiY7NPAbYzlc81qeGq3oVoxebRolsNO9ByyXA8oVaBsZwkP_dTCW4oZ09CjYry_=w120"&amp;"0")</f>
        <v>https://lh3.googleusercontent.com/pw/AP1GczNWRV1Q4BO2Ik8Ls9g4J30aSsb9NPnfsQ2jOxXcKjCWi5uWSN4sV-vSMicjqxaMuG3fpfmYsotPx_gKTsIha2zDy5qWQRitc5Hbsam6MgINU5tH18Gc=w1200|https://lh3.googleusercontent.com/pw/AP1GczNehP9TBi7MGdsYsclA49Q7jwbJF9PpYE0-9LevqP-sm-w-Ak_BTdRQlRkwp3NuiMUXolzPmsNdC6-ovzQ8muXNIP36LtOHMW1BvUVUiM6_6hqWgVF2=w1200|https://lh3.googleusercontent.com/pw/AP1GczMQRSmwyfgwvw7pD4J5wA59gT-we89jyhcg0UT6V0yks0CdtY-go9WIzzWnE9lP_3t0J6DQ0C7y8-IhLa_Vt8tGsyH5YHT2GWzfgiwbjWczN22MC28B=w1200|https://lh3.googleusercontent.com/pw/AP1GczNXECQxHRvrEwMZkNDfHR4C6D_6Ia9frSpVaexYerV6S2c7yZXYwdXB3SxJHMv7InykI4kNe08defK0vAvMUSmy_q0J9KLS5bP2mZbw8uWwF4xx9z9A=w1200|https://lh3.googleusercontent.com/pw/AP1GczP6zX4723owUY7r_X8vJmMVU6l_TW_wOI1kWvGN-GfrXJ7WFB7SSc3H1t-DTnbRoPXlDip3JZ217_lttm8jVp-TWiKomN7lvhwTtq9orzY4Wet23Vbf=w1200|https://lh3.googleusercontent.com/pw/AP1GczPtDY0WcCb1cXe3qRWbvTru5nBP89wbmCqCTR_biPyie5UThwt1XUo0WnSKRIg_1z-q6l5O9bOvCujDAUsK7BkV-vfDN0ed9XTJzMW2MzpCrqnJp9a-=w1200|https://lh3.googleusercontent.com/pw/AP1GczMx01JU398xx9fx--4KgnM3DGdcGIfjlsXb8sJCQXGZqyorSTqtuEwFQGQ-u2slCYcnsTDbQZhV9V046Lj3FkZxczu4HZk3Hb0xAA3XQuFoKnwlgiFW=w1200|https://lh3.googleusercontent.com/pw/AP1GczNLOsc5SNItg5mD2TaYCI41yyfKeMGSAL6j9HYPUnyJWD-u4cGknzcTPHagjZT02Mrol-X_C4XhmvmMVzmcGC6dVPrANjSJkkkjRoXyCE_iT8NPv2Wd=w1200|https://lh3.googleusercontent.com/pw/AP1GczNqhdculsVQ1dPd5XAWmJt95WkV7tEGEEjVj55irqIpwrlx5ooJvbs093SyCrYCmYwh08UQvnlBJOgHcfpoMPOwW5jsW0GjJVgdGMAYAdayhlyd2prZ=w1200|https://lh3.googleusercontent.com/pw/AP1GczPLrzBq-zM76jE2DqoAEE7FvKFCMXZm9tGOPAvlNBVJCnMW_cnQmi9sthpTtimupLBozk-0O4zxbVeiYm6q1vNukEcp-C-LX_Si3i5XyGkUTSAjNWoJ=w1200|https://lh3.googleusercontent.com/pw/AP1GczP_fdnorEeFFzevyldaHHG0kp1lGhyDvctWsmNjsG4_4LBvd_VacMSIlxEcgKT8dMqrXARNg91_8gZUNakhBe2vc6h5Fy0j8I5tHTVEPMStezNc4vOR=w1200|https://lh3.googleusercontent.com/pw/AP1GczOMjkoy6J2owla3s9p6TKPVODEAUH3CwBjJflH8Yn7qQaY2aCns5R9UHy0UwezNurIsNMrdredoWAr2_M1uLnDaJr9x-wxLI9vs_4zZDdvN9a6lhA1P=w1200|https://lh3.googleusercontent.com/pw/AP1GczMR2z9A9sbT7SGV8pKDCCGMtjm0ZXwgcF7hp8zW7dqkQH5Ol4434rCsuGOFSNaRxmOM9ONYc6nmz6R7i5mcVihyy9MH7Zl9pTonnJ57HR1oA988W8zW=w1200|https://lh3.googleusercontent.com/pw/AP1GczMjxFFp6-7OM3ViBmSt9VGG6gaFuq_ZjhrXdbnVDukh_3RQYLKIRiOTWwy0ogN0PIgUKR0aJg2Qv1lf9pxIfpZZWOd-xMDUdVntqpuEuKoySqY_-RTm=w1200|https://lh3.googleusercontent.com/pw/AP1GczPCgz8w16RErUqTLbwFgQR25eGyFtiY2R91zNGE-hZOZ-gyBGgtmN2ZADby8jyONZ9D-8UB4VN59e2i_7QGsou1IIAyr6C0F2B-jvADSX2OYpdVWpaF=w1200|https://lh3.googleusercontent.com/pw/AP1GczM7FmCHGfYsAnvC18W8F6u57xzGDFwWssvGY2HdcEKonHEgv1qSDkI5pEepSrSStNnanglrBORMc8cV2CwaMJO5sVnP40lsO1gj1pUD906y-AMaPLSU=w1200|https://lh3.googleusercontent.com/pw/AP1GczOSyGuUghSO49_5RdTpRwB-5KOLlJNc5GoZmsTza33OpIKnI-zOMBJSW8TGM3uzsCXjX0UKlv1Qv5WhvjIkrRwFMqZL0HKkAh6wiVaM23QWuM-OeTOV=w1200|https://lh3.googleusercontent.com/pw/AP1GczOoGjJM71g8Nz3x9ZAKqtVJ-kP6c4yA-BLvL70mjGtv-MqUN15c7UxXB5iY04iDGBU18h6g6MsHzVVEFJR7X-6kKZLRjvrctaWN6jKH9pLWz5UbbXKI=w1200|https://lh3.googleusercontent.com/pw/AP1GczPoWLoWjUFO2_-Tx4C0m6it7WWP7rHN23RrIS2L5q2Ixdf1i9Xt6tBaqpbjuM6OsBEHaAFEJgSSxZ98B1ZXgUZb0JzfM8oGu_p40kyiwj79cd1lHdCy=w1200|https://lh3.googleusercontent.com/pw/AP1GczMlj-BtNXFaD--GGs5tNMhKz763AxEeoObiHSPipkcKR_CwKhOR3Q3DqIKVugewTiyTol7tztFquTd8K6zH8M755rGWyFPiszqI8JuVpL86Ap43Xef9=w1200|https://lh3.googleusercontent.com/pw/AP1GczPi35qGp6_kdeQ0pH1qoP4HpmwOMk6ihPjApk3B6T9sh-4AuQjESelc4ohA1end-4hwfPTYwFDppn7nXRDlLu9uvNa4Zwf8-klbBBQs8hjzdWGQ9pR0=w1200|https://lh3.googleusercontent.com/pw/AP1GczOtGJqYcQESeeORYVRty9PFGy75J0K-iDQ_yESL5ZsVSc8nNdDCRlv1Rs6VMJKoXf_bE8z9v3-_1vh-EGfXc-gv03SkZjTf5EumBo83dXRBLY7Zqs6K=w1200|https://lh3.googleusercontent.com/pw/AP1GczNjEj07ONr5Os7ul3Y_f8_cfvieVV_uTrA5cv4KBAfe7H36ZHA6HSW_7FREGmffYiY-jw0p0eTh2xMZpNNnx0DAG7huUvpTGbXa7VLFNx-DFW9IOdE7=w1200|https://lh3.googleusercontent.com/pw/AP1GczNAvxAM87TmYcLOY26OF11YupOvojhgPwhWXFNvoeSL0sUNlReR32QE3MXPRpdArivo3JgkfDqOw6tNMW4R2tgVbwK_UDIi7EFyfyxOdUVuDNLpmhUD=w1200|https://lh3.googleusercontent.com/pw/AP1GczMGWKheBQdox1QcUp2-ZtMJDx7AuO_Jzib4Zdks4oe6KMZhDFpWhzma4iyu9uBqSh28xUJ223-BwGAaO1X7NX6EVhEHXgQsE19MesaApOnEJhzRYF25=w1200|https://lh3.googleusercontent.com/pw/AP1GczNNe8NNfMVysNl2zH8f7DPasOItcyTHTWx1TK-iurpqYewBmm6pGY1I2Pk9wwFhFQgtu-Pa7xz1wyxqY70xzCRMxLahsqjP73wsLCbkEyTvc9kffjiC=w1200|https://lh3.googleusercontent.com/pw/AP1GczO1-ICYrsR32szQ8h_OvWi1Xrb4k6wzc8AvfXuvIaN1A7XyIVl41GmIyuDpM3gsKBOoGBnEjwwnSr44mHFHgMidKLHPD7z0S6sSFOmyXG7sMZ76rRHe=w1200|https://lh3.googleusercontent.com/pw/AP1GczNGrFobkAdTAxPm7xd7tPhOA7x1KwdU41A4F9nnX3TmiB1zU6yTbfiY7NPAbYzlc81qeGq3oVoxebRolsNO9ByyXA8oVaBsZwkP_dTCW4oZ09CjYry_=w1200</v>
      </c>
      <c r="AJ202" s="46"/>
      <c r="AK202" s="46"/>
      <c r="AL202" s="46"/>
      <c r="AM202" s="46"/>
      <c r="AN202" s="46"/>
      <c r="AO202" s="46"/>
      <c r="AP202" s="46"/>
      <c r="AQ202" s="46"/>
      <c r="AR202" s="46"/>
      <c r="AS202" s="46"/>
      <c r="AT202" s="46"/>
      <c r="AU202" s="46"/>
      <c r="AV202" s="46"/>
      <c r="AW202" s="46"/>
      <c r="AX202" s="46"/>
      <c r="AY202" s="46"/>
      <c r="AZ202" s="46"/>
      <c r="BA202" s="46"/>
      <c r="BB202" s="46"/>
      <c r="BC202" s="46"/>
      <c r="BD202" s="46"/>
      <c r="BE202" s="46"/>
      <c r="BF202" s="46"/>
      <c r="BG202" s="46"/>
      <c r="BH202" s="46"/>
      <c r="BI202" s="46"/>
      <c r="BJ202" s="46"/>
      <c r="BK202" s="46"/>
      <c r="BL202" s="46"/>
      <c r="BM202" s="46"/>
      <c r="BN202" s="46"/>
      <c r="BO202" s="46"/>
      <c r="BP202" s="46"/>
      <c r="BQ202" s="46"/>
      <c r="BR202" s="46"/>
      <c r="BS202" s="46"/>
      <c r="BT202" s="46"/>
      <c r="BU202" s="46"/>
      <c r="BV202" s="46"/>
      <c r="BW202" s="46"/>
      <c r="BX202" s="46"/>
      <c r="BY202" s="46"/>
      <c r="BZ202" s="46"/>
      <c r="CA202" s="46"/>
      <c r="CB202" s="46"/>
      <c r="CC202" s="46"/>
    </row>
    <row r="203">
      <c r="A203" s="87" t="str">
        <f>IFERROR(__xludf.DUMMYFUNCTION("""COMPUTED_VALUE"""),"347")</f>
        <v>347</v>
      </c>
      <c r="B203" s="46" t="str">
        <f>IFERROR(__xludf.DUMMYFUNCTION("""COMPUTED_VALUE"""),"Casa en obra gris con dos locales en El Juncal")</f>
        <v>Casa en obra gris con dos locales en El Juncal</v>
      </c>
      <c r="C203" s="46" t="str">
        <f>IFERROR(__xludf.DUMMYFUNCTION("""COMPUTED_VALUE"""),"Casa rentable")</f>
        <v>Casa rentable</v>
      </c>
      <c r="D203" s="46"/>
      <c r="E203" s="46"/>
      <c r="F203" s="90">
        <f>IFERROR(__xludf.DUMMYFUNCTION("""COMPUTED_VALUE"""),2.8E8)</f>
        <v>280000000</v>
      </c>
      <c r="G203" s="46" t="str">
        <f>IFERROR(__xludf.DUMMYFUNCTION("""COMPUTED_VALUE"""),"$200'000.000 a $300'000.000")</f>
        <v>$200'000.000 a $300'000.000</v>
      </c>
      <c r="H203" s="46"/>
      <c r="I203" s="46"/>
      <c r="J203" s="46" t="str">
        <f>IFERROR(__xludf.DUMMYFUNCTION("""COMPUTED_VALUE"""),"Sur")</f>
        <v>Sur</v>
      </c>
      <c r="K203" s="87"/>
      <c r="L203" s="46">
        <f>IFERROR(__xludf.DUMMYFUNCTION("""COMPUTED_VALUE"""),4.0)</f>
        <v>4</v>
      </c>
      <c r="M203" s="46"/>
      <c r="N203" s="46">
        <f>IFERROR(__xludf.DUMMYFUNCTION("""COMPUTED_VALUE"""),3.0)</f>
        <v>3</v>
      </c>
      <c r="O203" s="46">
        <f>IFERROR(__xludf.DUMMYFUNCTION("""COMPUTED_VALUE"""),0.0)</f>
        <v>0</v>
      </c>
      <c r="P203" s="46">
        <f>IFERROR(__xludf.DUMMYFUNCTION("""COMPUTED_VALUE"""),2.0)</f>
        <v>2</v>
      </c>
      <c r="Q203" s="92">
        <f>IFERROR(__xludf.DUMMYFUNCTION("""COMPUTED_VALUE"""),353.42)</f>
        <v>353.42</v>
      </c>
      <c r="R203" s="92">
        <f>IFERROR(__xludf.DUMMYFUNCTION("""COMPUTED_VALUE"""),172.5)</f>
        <v>172.5</v>
      </c>
      <c r="S203" s="87" t="str">
        <f>IFERROR(__xludf.DUMMYFUNCTION("""COMPUTED_VALUE"""),"Rentabilidad $1,500,000")</f>
        <v>Rentabilidad $1,500,000</v>
      </c>
      <c r="T203" s="46" t="str">
        <f>IFERROR(__xludf.DUMMYFUNCTION("""COMPUTED_VALUE"""),"Juncal")</f>
        <v>Juncal</v>
      </c>
      <c r="U203" s="87" t="str">
        <f>IFERROR(__xludf.DUMMYFUNCTION("""COMPUTED_VALUE"""),"2")</f>
        <v>2</v>
      </c>
      <c r="V203" s="46" t="str">
        <f>IFERROR(__xludf.DUMMYFUNCTION("""COMPUTED_VALUE"""),"Medianera")</f>
        <v>Medianera</v>
      </c>
      <c r="W203" s="46"/>
      <c r="X203" s="46">
        <f>IFERROR(__xludf.DUMMYFUNCTION("""COMPUTED_VALUE"""),1.0)</f>
        <v>1</v>
      </c>
      <c r="Y203" s="46" t="str">
        <f>IFERROR(__xludf.DUMMYFUNCTION("""COMPUTED_VALUE"""),"No tiene")</f>
        <v>No tiene</v>
      </c>
      <c r="Z203" s="90" t="str">
        <f>IFERROR(__xludf.DUMMYFUNCTION("""COMPUTED_VALUE"""),"No aplica")</f>
        <v>No aplica</v>
      </c>
      <c r="AA203" s="33" t="str">
        <f>IFERROR(__xludf.DUMMYFUNCTION("""COMPUTED_VALUE"""),"16 años")</f>
        <v>16 años</v>
      </c>
      <c r="AB203" s="144" t="str">
        <f>IFERROR(__xludf.DUMMYFUNCTION("""COMPUTED_VALUE"""),"https://photos.app.goo.gl/itEMcReEDAkVKjWD6")</f>
        <v>https://photos.app.goo.gl/itEMcReEDAkVKjWD6</v>
      </c>
      <c r="AC203" s="46" t="str">
        <f>IFERROR(__xludf.DUMMYFUNCTION("""COMPUTED_VALUE"""),"Casa rentable. En primer piso el local cuenta con buenos acabados y rentando. El segundo piso en obra gris. Teja en metaldeck, piso en cemento rustico – alistado.")</f>
        <v>Casa rentable. En primer piso el local cuenta con buenos acabados y rentando. El segundo piso en obra gris. Teja en metaldeck, piso en cemento rustico – alistado.</v>
      </c>
      <c r="AD203" s="46" t="str">
        <f>IFERROR(__xludf.DUMMYFUNCTION("""COMPUTED_VALUE"""),"Casa ubicada sobra la vía vehicular principal del corregimiento el Juncal. Dimensión del lote 11.50 ml x 15.0 ml. Escritura al día. No se permuta.")</f>
        <v>Casa ubicada sobra la vía vehicular principal del corregimiento el Juncal. Dimensión del lote 11.50 ml x 15.0 ml. Escritura al día. No se permuta.</v>
      </c>
      <c r="AE203" s="46"/>
      <c r="AF203" s="46" t="str">
        <f>IFERROR(__xludf.DUMMYFUNCTION("""COMPUTED_VALUE"""),"básica")</f>
        <v>básica</v>
      </c>
      <c r="AG203" s="46"/>
      <c r="AH203" s="46" t="str">
        <f>IFERROR(__xludf.DUMMYFUNCTION("""COMPUTED_VALUE"""),"Directo")</f>
        <v>Directo</v>
      </c>
      <c r="AI203" s="92" t="str">
        <f>IFERROR(__xludf.DUMMYFUNCTION("""COMPUTED_VALUE"""),"https://lh3.googleusercontent.com/pw/AP1GczPPxRxK0z2bus8jf_1Fu2inykCGi_g97dDQz_W2kYIRWuSBHL9yjdWT_93RvsPkhc0bjJcU8CSMvEJk8FiC6FzAMYGBE7DKixupIfd1DGf5oDPUz5lO=w1200|https://lh3.googleusercontent.com/pw/AP1GczN4LU6GJGWLzcgeRWBTVzJk46okiFoQgUGe5SWg3mMFe6DxxL"&amp;"lUW2mO8pgUWaf1LEmpysJt6_HfhHB3SkDZ1N0jbGGlX7oJCYFcXzzk1lir2fAZg7TP=w1200|https://lh3.googleusercontent.com/pw/AP1GczMRbN3uJAwi_TRDyWA_B4J1uQtkvTvo8XHMlLATSV8pm3a9PsBSbFi4n8LwyX3zAvefxA3Qat-ZefDioUqvnsdbcTp00wPL6mGPSyBCTHJVbj4hOxmi=w1200|https://lh3.google"&amp;"usercontent.com/pw/AP1GczNgV_UMRzrrBjVdGdcyiSexhePABdk47h70diPmxJplw-oruvAD8P0UF2wFqzxfZIK-akckLP96t3rqZO8FU3PuT7M4LzZpPzXYDJ-NIwsVKRCqiBgx=w1200|https://lh3.googleusercontent.com/pw/AP1GczMVxMlj-LEHTXIc4V3tb6DF6FfcJYKaDMIoSOEdft6Cdt3jw1i5F905q7Qh_BlCWjfg"&amp;"plCOFJS4D0TQJdN-Ktk4VjzQHk0wyTF8H9RkRzP3iLnoLdDG=w1200|https://lh3.googleusercontent.com/pw/AP1GczM-ZqltEESyCTHgOlPTBnRGBR7JYcef6bPhCn7vbjLRpJBYdpJ5E0H_7JdnoLbDQBfp-8Db24pAaz2sk9nlBBT2No66DE_N4aCP_n4tEREi2BK1POLA=w1200|https://lh3.googleusercontent.com/pw"&amp;"/AP1GczMPShzVV3cDZ8vMDORU3VV05kA1sNPyG_ATuK1ZfPSIS3p5hCzog6CEmpYluSW0RAIN6xFKDjXA1EBAB4FSeTmIK5W7NC2t0OPkcYm2UnBKX6VlVxMK=w1200|https://lh3.googleusercontent.com/pw/AP1GczPCbWB9HpuKCAzwvWUTDoS5CXcj0NS3G0LK6xJDdLINJ4bnLgwgPq-s7SVPkU5mWG_61grIgPD13HQwhuDxyb"&amp;"IBn4RHP6hSMxcfeW0rH-Ywteb9yHK3=w1200|https://lh3.googleusercontent.com/pw/AP1GczPaoqbMkrjYjWr82arDS5XAw0-aMxAqD8B49Cxb1vVeFRJTm5RjuduPg20OrsmJDghAjT7KszxjkHEewsaRdqez-FfarNupCDSnoZNhYfd2_X0bfC-3=w1200")</f>
        <v>https://lh3.googleusercontent.com/pw/AP1GczPPxRxK0z2bus8jf_1Fu2inykCGi_g97dDQz_W2kYIRWuSBHL9yjdWT_93RvsPkhc0bjJcU8CSMvEJk8FiC6FzAMYGBE7DKixupIfd1DGf5oDPUz5lO=w1200|https://lh3.googleusercontent.com/pw/AP1GczN4LU6GJGWLzcgeRWBTVzJk46okiFoQgUGe5SWg3mMFe6DxxLlUW2mO8pgUWaf1LEmpysJt6_HfhHB3SkDZ1N0jbGGlX7oJCYFcXzzk1lir2fAZg7TP=w1200|https://lh3.googleusercontent.com/pw/AP1GczMRbN3uJAwi_TRDyWA_B4J1uQtkvTvo8XHMlLATSV8pm3a9PsBSbFi4n8LwyX3zAvefxA3Qat-ZefDioUqvnsdbcTp00wPL6mGPSyBCTHJVbj4hOxmi=w1200|https://lh3.googleusercontent.com/pw/AP1GczNgV_UMRzrrBjVdGdcyiSexhePABdk47h70diPmxJplw-oruvAD8P0UF2wFqzxfZIK-akckLP96t3rqZO8FU3PuT7M4LzZpPzXYDJ-NIwsVKRCqiBgx=w1200|https://lh3.googleusercontent.com/pw/AP1GczMVxMlj-LEHTXIc4V3tb6DF6FfcJYKaDMIoSOEdft6Cdt3jw1i5F905q7Qh_BlCWjfgplCOFJS4D0TQJdN-Ktk4VjzQHk0wyTF8H9RkRzP3iLnoLdDG=w1200|https://lh3.googleusercontent.com/pw/AP1GczM-ZqltEESyCTHgOlPTBnRGBR7JYcef6bPhCn7vbjLRpJBYdpJ5E0H_7JdnoLbDQBfp-8Db24pAaz2sk9nlBBT2No66DE_N4aCP_n4tEREi2BK1POLA=w1200|https://lh3.googleusercontent.com/pw/AP1GczMPShzVV3cDZ8vMDORU3VV05kA1sNPyG_ATuK1ZfPSIS3p5hCzog6CEmpYluSW0RAIN6xFKDjXA1EBAB4FSeTmIK5W7NC2t0OPkcYm2UnBKX6VlVxMK=w1200|https://lh3.googleusercontent.com/pw/AP1GczPCbWB9HpuKCAzwvWUTDoS5CXcj0NS3G0LK6xJDdLINJ4bnLgwgPq-s7SVPkU5mWG_61grIgPD13HQwhuDxybIBn4RHP6hSMxcfeW0rH-Ywteb9yHK3=w1200|https://lh3.googleusercontent.com/pw/AP1GczPaoqbMkrjYjWr82arDS5XAw0-aMxAqD8B49Cxb1vVeFRJTm5RjuduPg20OrsmJDghAjT7KszxjkHEewsaRdqez-FfarNupCDSnoZNhYfd2_X0bfC-3=w1200</v>
      </c>
      <c r="AJ203" s="46"/>
      <c r="AK203" s="46"/>
      <c r="AL203" s="46"/>
      <c r="AM203" s="46"/>
      <c r="AN203" s="46"/>
      <c r="AO203" s="46"/>
      <c r="AP203" s="46"/>
      <c r="AQ203" s="46"/>
      <c r="AR203" s="46"/>
      <c r="AS203" s="46"/>
      <c r="AT203" s="46"/>
      <c r="AU203" s="46"/>
      <c r="AV203" s="46"/>
      <c r="AW203" s="46"/>
      <c r="AX203" s="46"/>
      <c r="AY203" s="46"/>
      <c r="AZ203" s="46"/>
      <c r="BA203" s="46"/>
      <c r="BB203" s="46"/>
      <c r="BC203" s="46"/>
      <c r="BD203" s="46"/>
      <c r="BE203" s="46"/>
      <c r="BF203" s="46"/>
      <c r="BG203" s="46"/>
      <c r="BH203" s="46"/>
      <c r="BI203" s="46"/>
      <c r="BJ203" s="46"/>
      <c r="BK203" s="46"/>
      <c r="BL203" s="46"/>
      <c r="BM203" s="46"/>
      <c r="BN203" s="46"/>
      <c r="BO203" s="46"/>
      <c r="BP203" s="46"/>
      <c r="BQ203" s="46"/>
      <c r="BR203" s="46"/>
      <c r="BS203" s="46"/>
      <c r="BT203" s="46"/>
      <c r="BU203" s="46"/>
      <c r="BV203" s="46"/>
      <c r="BW203" s="46"/>
      <c r="BX203" s="46"/>
      <c r="BY203" s="46"/>
      <c r="BZ203" s="46"/>
      <c r="CA203" s="46"/>
      <c r="CB203" s="46"/>
      <c r="CC203" s="46"/>
    </row>
    <row r="204">
      <c r="A204" s="87" t="str">
        <f>IFERROR(__xludf.DUMMYFUNCTION("""COMPUTED_VALUE"""),"246")</f>
        <v>246</v>
      </c>
      <c r="B204" s="46" t="str">
        <f>IFERROR(__xludf.DUMMYFUNCTION("""COMPUTED_VALUE"""),"Casa de 2 pisos independientes en barrio  Los Guaduales")</f>
        <v>Casa de 2 pisos independientes en barrio  Los Guaduales</v>
      </c>
      <c r="C204" s="46" t="str">
        <f>IFERROR(__xludf.DUMMYFUNCTION("""COMPUTED_VALUE"""),"Casa rentable")</f>
        <v>Casa rentable</v>
      </c>
      <c r="D204" s="46" t="str">
        <f>IFERROR(__xludf.DUMMYFUNCTION("""COMPUTED_VALUE"""),"Los Guaduales")</f>
        <v>Los Guaduales</v>
      </c>
      <c r="E204" s="46"/>
      <c r="F204" s="90">
        <f>IFERROR(__xludf.DUMMYFUNCTION("""COMPUTED_VALUE"""),2.8E8)</f>
        <v>280000000</v>
      </c>
      <c r="G204" s="46" t="str">
        <f>IFERROR(__xludf.DUMMYFUNCTION("""COMPUTED_VALUE"""),"$200'000.000 a $300'000.000")</f>
        <v>$200'000.000 a $300'000.000</v>
      </c>
      <c r="H204" s="46"/>
      <c r="I204" s="46"/>
      <c r="J204" s="46" t="str">
        <f>IFERROR(__xludf.DUMMYFUNCTION("""COMPUTED_VALUE"""),"Oriente")</f>
        <v>Oriente</v>
      </c>
      <c r="K204" s="87"/>
      <c r="L204" s="46">
        <f>IFERROR(__xludf.DUMMYFUNCTION("""COMPUTED_VALUE"""),6.0)</f>
        <v>6</v>
      </c>
      <c r="M204" s="46"/>
      <c r="N204" s="46">
        <f>IFERROR(__xludf.DUMMYFUNCTION("""COMPUTED_VALUE"""),4.0)</f>
        <v>4</v>
      </c>
      <c r="O204" s="46">
        <f>IFERROR(__xludf.DUMMYFUNCTION("""COMPUTED_VALUE"""),0.0)</f>
        <v>0</v>
      </c>
      <c r="P204" s="46">
        <f>IFERROR(__xludf.DUMMYFUNCTION("""COMPUTED_VALUE"""),2.0)</f>
        <v>2</v>
      </c>
      <c r="Q204" s="92">
        <f>IFERROR(__xludf.DUMMYFUNCTION("""COMPUTED_VALUE"""),192.0)</f>
        <v>192</v>
      </c>
      <c r="R204" s="92">
        <f>IFERROR(__xludf.DUMMYFUNCTION("""COMPUTED_VALUE"""),110.0)</f>
        <v>110</v>
      </c>
      <c r="S204" s="87" t="str">
        <f>IFERROR(__xludf.DUMMYFUNCTION("""COMPUTED_VALUE"""),"Rentabilidad $1,400,000")</f>
        <v>Rentabilidad $1,400,000</v>
      </c>
      <c r="T204" s="46" t="str">
        <f>IFERROR(__xludf.DUMMYFUNCTION("""COMPUTED_VALUE"""),"Neiva")</f>
        <v>Neiva</v>
      </c>
      <c r="U204" s="87" t="str">
        <f>IFERROR(__xludf.DUMMYFUNCTION("""COMPUTED_VALUE"""),"2")</f>
        <v>2</v>
      </c>
      <c r="V204" s="46" t="str">
        <f>IFERROR(__xludf.DUMMYFUNCTION("""COMPUTED_VALUE"""),"Medianera")</f>
        <v>Medianera</v>
      </c>
      <c r="W204" s="46"/>
      <c r="X204" s="46">
        <f>IFERROR(__xludf.DUMMYFUNCTION("""COMPUTED_VALUE"""),4.0)</f>
        <v>4</v>
      </c>
      <c r="Y204" s="46" t="str">
        <f>IFERROR(__xludf.DUMMYFUNCTION("""COMPUTED_VALUE"""),"No tiene")</f>
        <v>No tiene</v>
      </c>
      <c r="Z204" s="90" t="str">
        <f>IFERROR(__xludf.DUMMYFUNCTION("""COMPUTED_VALUE"""),"No aplica")</f>
        <v>No aplica</v>
      </c>
      <c r="AA204" s="33" t="str">
        <f>IFERROR(__xludf.DUMMYFUNCTION("""COMPUTED_VALUE"""),"17 años")</f>
        <v>17 años</v>
      </c>
      <c r="AB204" s="144" t="str">
        <f>IFERROR(__xludf.DUMMYFUNCTION("""COMPUTED_VALUE"""),"https://photos.app.goo.gl/PCiusEGX6c1wuiw3A")</f>
        <v>https://photos.app.goo.gl/PCiusEGX6c1wuiw3A</v>
      </c>
      <c r="AC204" s="46" t="str">
        <f>IFERROR(__xludf.DUMMYFUNCTION("""COMPUTED_VALUE"""),"Cuenta con buenos acabados. ")</f>
        <v>Cuenta con buenos acabados. </v>
      </c>
      <c r="AD204" s="46" t="str">
        <f>IFERROR(__xludf.DUMMYFUNCTION("""COMPUTED_VALUE"""),"Servicios públicos independientes.Cada apto cuenta con 3 habitaciones y 2 baños.")</f>
        <v>Servicios públicos independientes.Cada apto cuenta con 3 habitaciones y 2 baños.</v>
      </c>
      <c r="AE204" s="46"/>
      <c r="AF204" s="46" t="str">
        <f>IFERROR(__xludf.DUMMYFUNCTION("""COMPUTED_VALUE"""),"básica")</f>
        <v>básica</v>
      </c>
      <c r="AG204" s="46"/>
      <c r="AH204" s="46" t="str">
        <f>IFERROR(__xludf.DUMMYFUNCTION("""COMPUTED_VALUE"""),"Directo")</f>
        <v>Directo</v>
      </c>
      <c r="AI204" s="92" t="str">
        <f>IFERROR(__xludf.DUMMYFUNCTION("""COMPUTED_VALUE"""),"https://lh3.googleusercontent.com/pw/AP1GczOi1IH0CdiqjYD5gc96ZJRqxfHqefosXA7yaQXjARuUbu70JeOf17VYdtlcupugawlzRXkUjJcrUOSqqkM5iSuvysjLRHiBRADRdEMWWQcjFc4D0hP3=w1200|https://lh3.googleusercontent.com/pw/AP1GczOMWtYTdGipsRXnToHqeZXnV-NSfvZIQBiJu35d08lnWa4xKi"&amp;"xAwHYjjGWgtOt8KRxsuv2zINVojdGRpv7qiGnWQnBgmE1duqyXDvJ_ODQ9mQTxyWa8=w1200|https://lh3.googleusercontent.com/pw/AP1GczNcJr-38KRn2oVs9iKooJgtnpUr9p8LypyG8ZwMTUIHi4sk_jLcdRJps-H2-uDYei3Abm_4czLUTg8yjNZX0EEPumlY9zVEw3FcWC7OW-MZnSy1vs2z=w1200|https://lh3.google"&amp;"usercontent.com/pw/AP1GczOjrFx016fYzEjH1NpflzC2IeXWswqmq2oiUHlV8SdPbU8NHLd-6hVPWA9wnKxjAax9JrlAJgxwCZYnXoJmRHXEJ3AElqfZRbqiXUcRHQnzr1CYBfT1=w1200|https://lh3.googleusercontent.com/pw/AP1GczNYE3dZTdWaLIK6aRQuwVY6X8u7_j9W-1vQ0whixRQixJo4f92fOidGeUwMMrzRR_kK"&amp;"WPvGg2rkDLn6sMjSYc1smjfRdVkDLUEX6SLAc50z7TlKeklk=w1200|https://lh3.googleusercontent.com/pw/AP1GczPS-IY927piF5MhG1VPIUAKvFTIPVMp0fqIou5Pt1mdNgOc7yRvqQfDqs2FNWTE55ASHY6_sfBVHLWPDlPIzqHERx3OXi2SXI0zE6q9rcUG52QoWc0g=w1200|https://lh3.googleusercontent.com/pw"&amp;"/AP1GczOwTq8SqV9j43pXE0286bLT5PaRv5IMXINx8cq0EXqWtnayF8uUZIqf6Uu7HEDtzwbPYaJdisg5w_Bfnot3_y6PU882Uu733JKVKSEMCwXdtngSIXC0=w1200|https://lh3.googleusercontent.com/pw/AP1GczMLWMr7DsEDWEdIvOh7Z62XonelKHCNYdS1kEV2IIIPQ9e5gkSSqujU9oWievL39glN30q_QHmDuFlKTX5biZ"&amp;"eX-b3er-DpxB7fbs9pYDEi0IhlS4Ci=w1200|https://lh3.googleusercontent.com/pw/AP1GczNFrGPQwodM-Uu_IMgLP1U-yK5aznFBKdnvwXRnAoJFyHTgavYnsal8ZVaDPWaBYnZMeNOWJ7rlCMRpQvOlXxLYYxaCXAh6Ok1GymPTcO1ZXjJPfDBp=w1200|https://lh3.googleusercontent.com/pw/AP1GczMw6HwoUmBhs"&amp;"gRyzjnWTJIlGb-za51hqMgMfLIHzoteocbRlgJ9zR54mb8epAfmnhry5387ijEWxqpcI3kOSY0r5Y2M7Z4FI4JWeu7fzoOWPXaCDguW=w1200|https://lh3.googleusercontent.com/pw/AP1GczNszw6NrLHAKttkQ_nmZYO5Ke_njqPUNoUqqYCOIE9YYmekPzD_9_Uj7iFyimndLnNuHCXEsFMjpbSWlQvrKcx_6lkk9-fTWUsvLX0D"&amp;"pj9Q_sXhzQXL=w1200|https://lh3.googleusercontent.com/pw/AP1GczM8jNPKDEuLCgM2AW9IyoQWu32KTB2Fpdf3ZnaiKC2F2970CBbw8Lh36XYbAh_Mqann2np_ZKtBxdWhMls_qaUqe3Mzp-9jp6O_uhim1Brgy8VeZPXd=w1200|https://lh3.googleusercontent.com/pw/AP1GczOjjoid8VrZUKIbnFUX3d0gkKrOe1d"&amp;"2BTQYLB7qGZvL0-IxoOGsG0eQxH0YSdBVEDODaXBkEthkTdvn6C-3Gvr3oRJoYie4b6FPWWbNHCV_ZzStPSC9=w1200|https://lh3.googleusercontent.com/pw/AP1GczNCpYYVuFNyfPafMVP70zYcuI-yztWKA2AXZXdfrJNR-zcAoD4q8RPfmGtypBfogsfAH91hfOofbWl8O1cRnEraByvjxjvkoq7KJDRvdF4QBQmQH-zm=w1200"&amp;"|https://lh3.googleusercontent.com/pw/AP1GczMt7ZrtIdwyUBFUHWMkJZsWY8ETeFI-Q8zu6vmBUVGMBTjdg0dA4JR0DiFN5jV5hyVFzIjXd0rc4P-aqfMYFUE2MqwchqEVKGQDsUg9VUECLWf0EG3R=w1200|https://lh3.googleusercontent.com/pw/AP1GczNtfZwAsYDBqtDo-l289QPXHtRiMrjKFfFDOmuqKjGuVmcte"&amp;"eTurXpPzlEAFJ0u-My1Byb7MYmQEPVwUiuFL68kDysr7c5RsYnNltDgtpKhPuXoZ-M4=w1200|https://lh3.googleusercontent.com/pw/AP1GczO7kb0ZgEkp0Uw2QeY5QnthDu4w1v3bevVxshcSZEXp8eKLlKZFgwJoRQEkdCCu5xLyCmH9JDJK48B8WAuQ46oP7Bm_jJtriLcHKAlAGDO7w6uML3TP=w1200|https://lh3.googl"&amp;"eusercontent.com/pw/AP1GczNFuvlfV_k4TZr02hm_RuWTJWyg__OJYr_mtdImaaaEfazpx9FfRZ5FqDttphJXdrF_RFDE8_4qwUr1A0b5FNytMYVRT7NtcqBXLOWsw1wpMrxQry8x=w1200|https://lh3.googleusercontent.com/pw/AP1GczMvCa_f6eYfbJNjT6W1nPHcq9vdmsfLG8AyI5_7hJxl10MGGperwZGK03SNITH1npp"&amp;"Pp4muiUx9a7Ae5wbt3GvQ1af8gV0ShzDUKx_8HyVQsL4Wu0ft=w1200|https://lh3.googleusercontent.com/pw/AP1GczMeV5WbbDmBS4Cx1qnLoibOki5NjOdswqN7-gI3WdJC2dqISg-BGsAONGXqcQZLT2R9C-3FnxHZKHv181NqJPmd9Byfdj3WJlKuDzuvIiZZRzjExuAZ=w1200|https://lh3.googleusercontent.com/p"&amp;"w/AP1GczMdSuQKlo8NVz2zh3VsCNBV4Rwl8pnYneXAMYh-lTKjotHvtYtQfLz_KlKahiR3aS8jIyniaPhXQBh9an5AW-q947XEk_nTW33ZWUtA1FELbKc48apm=w1200|https://lh3.googleusercontent.com/pw/AP1GczPD-l01xnLfJtZDq3__XM04hOj82btnoUOyyDwTwUahzo-E8WIk-prgDunPi2_XOpC5nwzmyK5MmDChBcuS9"&amp;"n3UPizgPmZY6tS_4g2aOWhc08aXpWCT=w1200|https://lh3.googleusercontent.com/pw/AP1GczNw-d4wa12qkdeVLWOTu26yoX_VdW_UqeQeIKLaeDrS7_qZAJpBr21JikkeiFrpdBfWCsf0r19zcwXA9iQRYocdgisPBVMFiGMtWFsRA0PI9xxMn6QP=w1200|https://lh3.googleusercontent.com/pw/AP1GczNX5LPAXuf9"&amp;"Lm7CH_HU9dxtn9EfYEDZdzUytm0VR6VskL51EyYPjildmeMeW8YkC2kcX47VhRxuWux8cEFY5WLKbldVwkTeVzEHUruSUQjoWHqjR1dK=w1200|https://lh3.googleusercontent.com/pw/AP1GczPZ9oyHb4hzA_iXYAehg6wqV70mIQUbYWLntFYAnnJN7WBie-dygftHI9lyb1OGzpq5x9_UMMqaEpNyld-DABpgoEJtcB_wSSgnlaB"&amp;"7UpNVDNIdoMQ8=w1200|https://lh3.googleusercontent.com/pw/AP1GczPua9-KRMI6mnomlmxVZo5lZi57K6Bada0heTFaee6ee5z9PXVyDGEtfMiT3fwbWYnZEc-N3RHDGtcXpU0VrvJX28GetxTgTXhgsp0KQz3PJBW-XaLq=w1200|https://lh3.googleusercontent.com/pw/AP1GczNuNM69xm--0A5qEz_cViNKsrtGbi"&amp;"nV-200a0L7U_RigdAJipbpSTXa95_wDrgdEUXpRU_I5VAwz7ZjtCcK5FimIoR97LnEl3rBeOo-1qo3NLBNvcoS=w1200")</f>
        <v>https://lh3.googleusercontent.com/pw/AP1GczOi1IH0CdiqjYD5gc96ZJRqxfHqefosXA7yaQXjARuUbu70JeOf17VYdtlcupugawlzRXkUjJcrUOSqqkM5iSuvysjLRHiBRADRdEMWWQcjFc4D0hP3=w1200|https://lh3.googleusercontent.com/pw/AP1GczOMWtYTdGipsRXnToHqeZXnV-NSfvZIQBiJu35d08lnWa4xKixAwHYjjGWgtOt8KRxsuv2zINVojdGRpv7qiGnWQnBgmE1duqyXDvJ_ODQ9mQTxyWa8=w1200|https://lh3.googleusercontent.com/pw/AP1GczNcJr-38KRn2oVs9iKooJgtnpUr9p8LypyG8ZwMTUIHi4sk_jLcdRJps-H2-uDYei3Abm_4czLUTg8yjNZX0EEPumlY9zVEw3FcWC7OW-MZnSy1vs2z=w1200|https://lh3.googleusercontent.com/pw/AP1GczOjrFx016fYzEjH1NpflzC2IeXWswqmq2oiUHlV8SdPbU8NHLd-6hVPWA9wnKxjAax9JrlAJgxwCZYnXoJmRHXEJ3AElqfZRbqiXUcRHQnzr1CYBfT1=w1200|https://lh3.googleusercontent.com/pw/AP1GczNYE3dZTdWaLIK6aRQuwVY6X8u7_j9W-1vQ0whixRQixJo4f92fOidGeUwMMrzRR_kKWPvGg2rkDLn6sMjSYc1smjfRdVkDLUEX6SLAc50z7TlKeklk=w1200|https://lh3.googleusercontent.com/pw/AP1GczPS-IY927piF5MhG1VPIUAKvFTIPVMp0fqIou5Pt1mdNgOc7yRvqQfDqs2FNWTE55ASHY6_sfBVHLWPDlPIzqHERx3OXi2SXI0zE6q9rcUG52QoWc0g=w1200|https://lh3.googleusercontent.com/pw/AP1GczOwTq8SqV9j43pXE0286bLT5PaRv5IMXINx8cq0EXqWtnayF8uUZIqf6Uu7HEDtzwbPYaJdisg5w_Bfnot3_y6PU882Uu733JKVKSEMCwXdtngSIXC0=w1200|https://lh3.googleusercontent.com/pw/AP1GczMLWMr7DsEDWEdIvOh7Z62XonelKHCNYdS1kEV2IIIPQ9e5gkSSqujU9oWievL39glN30q_QHmDuFlKTX5biZeX-b3er-DpxB7fbs9pYDEi0IhlS4Ci=w1200|https://lh3.googleusercontent.com/pw/AP1GczNFrGPQwodM-Uu_IMgLP1U-yK5aznFBKdnvwXRnAoJFyHTgavYnsal8ZVaDPWaBYnZMeNOWJ7rlCMRpQvOlXxLYYxaCXAh6Ok1GymPTcO1ZXjJPfDBp=w1200|https://lh3.googleusercontent.com/pw/AP1GczMw6HwoUmBhsgRyzjnWTJIlGb-za51hqMgMfLIHzoteocbRlgJ9zR54mb8epAfmnhry5387ijEWxqpcI3kOSY0r5Y2M7Z4FI4JWeu7fzoOWPXaCDguW=w1200|https://lh3.googleusercontent.com/pw/AP1GczNszw6NrLHAKttkQ_nmZYO5Ke_njqPUNoUqqYCOIE9YYmekPzD_9_Uj7iFyimndLnNuHCXEsFMjpbSWlQvrKcx_6lkk9-fTWUsvLX0Dpj9Q_sXhzQXL=w1200|https://lh3.googleusercontent.com/pw/AP1GczM8jNPKDEuLCgM2AW9IyoQWu32KTB2Fpdf3ZnaiKC2F2970CBbw8Lh36XYbAh_Mqann2np_ZKtBxdWhMls_qaUqe3Mzp-9jp6O_uhim1Brgy8VeZPXd=w1200|https://lh3.googleusercontent.com/pw/AP1GczOjjoid8VrZUKIbnFUX3d0gkKrOe1d2BTQYLB7qGZvL0-IxoOGsG0eQxH0YSdBVEDODaXBkEthkTdvn6C-3Gvr3oRJoYie4b6FPWWbNHCV_ZzStPSC9=w1200|https://lh3.googleusercontent.com/pw/AP1GczNCpYYVuFNyfPafMVP70zYcuI-yztWKA2AXZXdfrJNR-zcAoD4q8RPfmGtypBfogsfAH91hfOofbWl8O1cRnEraByvjxjvkoq7KJDRvdF4QBQmQH-zm=w1200|https://lh3.googleusercontent.com/pw/AP1GczMt7ZrtIdwyUBFUHWMkJZsWY8ETeFI-Q8zu6vmBUVGMBTjdg0dA4JR0DiFN5jV5hyVFzIjXd0rc4P-aqfMYFUE2MqwchqEVKGQDsUg9VUECLWf0EG3R=w1200|https://lh3.googleusercontent.com/pw/AP1GczNtfZwAsYDBqtDo-l289QPXHtRiMrjKFfFDOmuqKjGuVmcteeTurXpPzlEAFJ0u-My1Byb7MYmQEPVwUiuFL68kDysr7c5RsYnNltDgtpKhPuXoZ-M4=w1200|https://lh3.googleusercontent.com/pw/AP1GczO7kb0ZgEkp0Uw2QeY5QnthDu4w1v3bevVxshcSZEXp8eKLlKZFgwJoRQEkdCCu5xLyCmH9JDJK48B8WAuQ46oP7Bm_jJtriLcHKAlAGDO7w6uML3TP=w1200|https://lh3.googleusercontent.com/pw/AP1GczNFuvlfV_k4TZr02hm_RuWTJWyg__OJYr_mtdImaaaEfazpx9FfRZ5FqDttphJXdrF_RFDE8_4qwUr1A0b5FNytMYVRT7NtcqBXLOWsw1wpMrxQry8x=w1200|https://lh3.googleusercontent.com/pw/AP1GczMvCa_f6eYfbJNjT6W1nPHcq9vdmsfLG8AyI5_7hJxl10MGGperwZGK03SNITH1nppPp4muiUx9a7Ae5wbt3GvQ1af8gV0ShzDUKx_8HyVQsL4Wu0ft=w1200|https://lh3.googleusercontent.com/pw/AP1GczMeV5WbbDmBS4Cx1qnLoibOki5NjOdswqN7-gI3WdJC2dqISg-BGsAONGXqcQZLT2R9C-3FnxHZKHv181NqJPmd9Byfdj3WJlKuDzuvIiZZRzjExuAZ=w1200|https://lh3.googleusercontent.com/pw/AP1GczMdSuQKlo8NVz2zh3VsCNBV4Rwl8pnYneXAMYh-lTKjotHvtYtQfLz_KlKahiR3aS8jIyniaPhXQBh9an5AW-q947XEk_nTW33ZWUtA1FELbKc48apm=w1200|https://lh3.googleusercontent.com/pw/AP1GczPD-l01xnLfJtZDq3__XM04hOj82btnoUOyyDwTwUahzo-E8WIk-prgDunPi2_XOpC5nwzmyK5MmDChBcuS9n3UPizgPmZY6tS_4g2aOWhc08aXpWCT=w1200|https://lh3.googleusercontent.com/pw/AP1GczNw-d4wa12qkdeVLWOTu26yoX_VdW_UqeQeIKLaeDrS7_qZAJpBr21JikkeiFrpdBfWCsf0r19zcwXA9iQRYocdgisPBVMFiGMtWFsRA0PI9xxMn6QP=w1200|https://lh3.googleusercontent.com/pw/AP1GczNX5LPAXuf9Lm7CH_HU9dxtn9EfYEDZdzUytm0VR6VskL51EyYPjildmeMeW8YkC2kcX47VhRxuWux8cEFY5WLKbldVwkTeVzEHUruSUQjoWHqjR1dK=w1200|https://lh3.googleusercontent.com/pw/AP1GczPZ9oyHb4hzA_iXYAehg6wqV70mIQUbYWLntFYAnnJN7WBie-dygftHI9lyb1OGzpq5x9_UMMqaEpNyld-DABpgoEJtcB_wSSgnlaB7UpNVDNIdoMQ8=w1200|https://lh3.googleusercontent.com/pw/AP1GczPua9-KRMI6mnomlmxVZo5lZi57K6Bada0heTFaee6ee5z9PXVyDGEtfMiT3fwbWYnZEc-N3RHDGtcXpU0VrvJX28GetxTgTXhgsp0KQz3PJBW-XaLq=w1200|https://lh3.googleusercontent.com/pw/AP1GczNuNM69xm--0A5qEz_cViNKsrtGbinV-200a0L7U_RigdAJipbpSTXa95_wDrgdEUXpRU_I5VAwz7ZjtCcK5FimIoR97LnEl3rBeOo-1qo3NLBNvcoS=w1200</v>
      </c>
      <c r="AJ204" s="46"/>
      <c r="AK204" s="46"/>
      <c r="AL204" s="46"/>
      <c r="AM204" s="46"/>
      <c r="AN204" s="46"/>
      <c r="AO204" s="46"/>
      <c r="AP204" s="46"/>
      <c r="AQ204" s="46"/>
      <c r="AR204" s="46"/>
      <c r="AS204" s="46"/>
      <c r="AT204" s="46"/>
      <c r="AU204" s="46"/>
      <c r="AV204" s="46"/>
      <c r="AW204" s="46"/>
      <c r="AX204" s="46"/>
      <c r="AY204" s="46"/>
      <c r="AZ204" s="46"/>
      <c r="BA204" s="46"/>
      <c r="BB204" s="46"/>
      <c r="BC204" s="46"/>
      <c r="BD204" s="46"/>
      <c r="BE204" s="46"/>
      <c r="BF204" s="46"/>
      <c r="BG204" s="46"/>
      <c r="BH204" s="46"/>
      <c r="BI204" s="46"/>
      <c r="BJ204" s="46"/>
      <c r="BK204" s="46"/>
      <c r="BL204" s="46"/>
      <c r="BM204" s="46"/>
      <c r="BN204" s="46"/>
      <c r="BO204" s="46"/>
      <c r="BP204" s="46"/>
      <c r="BQ204" s="46"/>
      <c r="BR204" s="46"/>
      <c r="BS204" s="46"/>
      <c r="BT204" s="46"/>
      <c r="BU204" s="46"/>
      <c r="BV204" s="46"/>
      <c r="BW204" s="46"/>
      <c r="BX204" s="46"/>
      <c r="BY204" s="46"/>
      <c r="BZ204" s="46"/>
      <c r="CA204" s="46"/>
      <c r="CB204" s="46"/>
      <c r="CC204" s="46"/>
    </row>
    <row r="205">
      <c r="A205" s="87" t="str">
        <f>IFERROR(__xludf.DUMMYFUNCTION("""COMPUTED_VALUE"""),"348")</f>
        <v>348</v>
      </c>
      <c r="B205" s="46" t="str">
        <f>IFERROR(__xludf.DUMMYFUNCTION("""COMPUTED_VALUE"""),"Casa en barrio Vergel - Alto")</f>
        <v>Casa en barrio Vergel - Alto</v>
      </c>
      <c r="C205" s="46" t="str">
        <f>IFERROR(__xludf.DUMMYFUNCTION("""COMPUTED_VALUE"""),"Casa")</f>
        <v>Casa</v>
      </c>
      <c r="D205" s="46" t="str">
        <f>IFERROR(__xludf.DUMMYFUNCTION("""COMPUTED_VALUE"""),"El Vergel")</f>
        <v>El Vergel</v>
      </c>
      <c r="E205" s="90" t="str">
        <f>IFERROR(__xludf.DUMMYFUNCTION("""COMPUTED_VALUE""")," ")</f>
        <v> </v>
      </c>
      <c r="F205" s="90">
        <f>IFERROR(__xludf.DUMMYFUNCTION("""COMPUTED_VALUE"""),2.6E8)</f>
        <v>260000000</v>
      </c>
      <c r="G205" s="46" t="str">
        <f>IFERROR(__xludf.DUMMYFUNCTION("""COMPUTED_VALUE"""),"$200'000.000 a $300'000.000")</f>
        <v>$200'000.000 a $300'000.000</v>
      </c>
      <c r="H205" s="46"/>
      <c r="I205" s="46"/>
      <c r="J205" s="46" t="str">
        <f>IFERROR(__xludf.DUMMYFUNCTION("""COMPUTED_VALUE"""),"Oriente")</f>
        <v>Oriente</v>
      </c>
      <c r="K205" s="87"/>
      <c r="L205" s="46">
        <f>IFERROR(__xludf.DUMMYFUNCTION("""COMPUTED_VALUE"""),5.0)</f>
        <v>5</v>
      </c>
      <c r="M205" s="46"/>
      <c r="N205" s="46">
        <f>IFERROR(__xludf.DUMMYFUNCTION("""COMPUTED_VALUE"""),4.0)</f>
        <v>4</v>
      </c>
      <c r="O205" s="46">
        <f>IFERROR(__xludf.DUMMYFUNCTION("""COMPUTED_VALUE"""),1.0)</f>
        <v>1</v>
      </c>
      <c r="P205" s="46">
        <f>IFERROR(__xludf.DUMMYFUNCTION("""COMPUTED_VALUE"""),2.0)</f>
        <v>2</v>
      </c>
      <c r="Q205" s="92">
        <f>IFERROR(__xludf.DUMMYFUNCTION("""COMPUTED_VALUE"""),173.0)</f>
        <v>173</v>
      </c>
      <c r="R205" s="92">
        <f>IFERROR(__xludf.DUMMYFUNCTION("""COMPUTED_VALUE"""),93.63)</f>
        <v>93.63</v>
      </c>
      <c r="S205" s="87" t="str">
        <f>IFERROR(__xludf.DUMMYFUNCTION("""COMPUTED_VALUE""")," ")</f>
        <v> </v>
      </c>
      <c r="T205" s="46" t="str">
        <f>IFERROR(__xludf.DUMMYFUNCTION("""COMPUTED_VALUE"""),"Neiva")</f>
        <v>Neiva</v>
      </c>
      <c r="U205" s="87" t="str">
        <f>IFERROR(__xludf.DUMMYFUNCTION("""COMPUTED_VALUE"""),"2")</f>
        <v>2</v>
      </c>
      <c r="V205" s="46" t="str">
        <f>IFERROR(__xludf.DUMMYFUNCTION("""COMPUTED_VALUE"""),"Medianera")</f>
        <v>Medianera</v>
      </c>
      <c r="W205" s="46"/>
      <c r="X205" s="46">
        <f>IFERROR(__xludf.DUMMYFUNCTION("""COMPUTED_VALUE"""),4.0)</f>
        <v>4</v>
      </c>
      <c r="Y205" s="46" t="str">
        <f>IFERROR(__xludf.DUMMYFUNCTION("""COMPUTED_VALUE"""),"No tiene")</f>
        <v>No tiene</v>
      </c>
      <c r="Z205" s="90" t="str">
        <f>IFERROR(__xludf.DUMMYFUNCTION("""COMPUTED_VALUE"""),"No aplica")</f>
        <v>No aplica</v>
      </c>
      <c r="AA205" s="33" t="str">
        <f>IFERROR(__xludf.DUMMYFUNCTION("""COMPUTED_VALUE"""),"No aplica")</f>
        <v>No aplica</v>
      </c>
      <c r="AB205" s="144" t="str">
        <f>IFERROR(__xludf.DUMMYFUNCTION("""COMPUTED_VALUE"""),"https://photos.app.goo.gl/wvHaHgL6N1Dcynpd8")</f>
        <v>https://photos.app.goo.gl/wvHaHgL6N1Dcynpd8</v>
      </c>
      <c r="AC205" s="46" t="str">
        <f>IFERROR(__xludf.DUMMYFUNCTION("""COMPUTED_VALUE"""),"Con buenos acabados, piso en cerámica y tablón rojo, muros en estuco veneciano, carpintería marcos, puertas, closet y muebles empotrados en madera. Cubierta en teja de asbesto cemento, cielo raso en segundo piso en machehembre.")</f>
        <v>Con buenos acabados, piso en cerámica y tablón rojo, muros en estuco veneciano, carpintería marcos, puertas, closet y muebles empotrados en madera. Cubierta en teja de asbesto cemento, cielo raso en segundo piso en machehembre.</v>
      </c>
      <c r="AD205" s="46" t="str">
        <f>IFERROR(__xludf.DUMMYFUNCTION("""COMPUTED_VALUE"""),"Casa con reja antejardín, ubicada sobre vía  vehicular una calzada. Tiene niveles en primer piso. Patio amplio. Escritura al día. No se permuta.")</f>
        <v>Casa con reja antejardín, ubicada sobre vía  vehicular una calzada. Tiene niveles en primer piso. Patio amplio. Escritura al día. No se permuta.</v>
      </c>
      <c r="AE205" s="46"/>
      <c r="AF205" s="46" t="str">
        <f>IFERROR(__xludf.DUMMYFUNCTION("""COMPUTED_VALUE"""),"integral")</f>
        <v>integral</v>
      </c>
      <c r="AG205" s="46"/>
      <c r="AH205" s="46" t="str">
        <f>IFERROR(__xludf.DUMMYFUNCTION("""COMPUTED_VALUE"""),"Directo")</f>
        <v>Directo</v>
      </c>
      <c r="AI205" s="92" t="str">
        <f>IFERROR(__xludf.DUMMYFUNCTION("""COMPUTED_VALUE"""),"https://lh3.googleusercontent.com/pw/AP1GczOlMIaP_IPcQhKpHGIGz-qzLl_uPSD2LOXLfZ3A37EVqeKy6nba7lomGmk1ktsf_zkiAG2k7POcaFcsVVwcJ9TguuhfuNajysqWsL1rlETPjyz_uaoz=w1200|https://lh3.googleusercontent.com/pw/AP1GczMQq_YCnVbKlxTJ_wwjlc8o26VdF7Nkx5ngAd5UXy1ElYYl67"&amp;"RxXTLh6R-gSgZMU8vkTbg-SFJleeaPZpdpmlhWMhVlX_e-mRNzIcJEia77_hwIfNNP=w1200|https://lh3.googleusercontent.com/pw/AP1GczOKu-pAPc0donABEI84XN5OwiekLrE47AQeORCgsjzMrI1E0wBZ4xIweHGb4J_fv_jK3e-x5X1EvXbCjtQitIGalzVbRPH4LzVTnpD7KrKiZsv5xFs6=w1200|https://lh3.google"&amp;"usercontent.com/pw/AP1GczPECa_eY1ClDU5NHwvSoGE7da3d7K27XuCoZK4xQl6ZQL9mCoJn38dif8ygeKz5cI_dIttUEGCYDODGk7QAdn5jhLo3O2kS0GDNaD9096dTx2EBXd1X=w1200|https://lh3.googleusercontent.com/pw/AP1GczPx_21i7PwmcjtnhYoaJ_MWLHnSJ_eRfg0eiwjRJqRTegbrCJ46spz_XGS3fUvHEsZU"&amp;"rwEMi0xOUgm2qHU1bEkF1tzwT2ulNylXHVRGoIM1IuPJzM0d=w1200|https://lh3.googleusercontent.com/pw/AP1GczOmE4fnIUMmxONO27ZSu6JpYw1Ij3ZFSnFvPiPAXYTNFgpSGX2KeyFFzPRaK0HKK8LQnuVUXodW3owXCt8-Ef7OBEvIiDhhjw7Ggd4pY3c6dzzJtOaS=w1200|https://lh3.googleusercontent.com/pw"&amp;"/AP1GczOkh-jywXnWjNdSxj8syU4TV-UX5EGX46VfwT2AVWOgUDTS4uCG_41LaMYn88_S9tQFLZFZ3MQO7MuP50sorI_HBHbZs7fQ0HQVMNFnrfHYsjsYnDjf=w1200|https://lh3.googleusercontent.com/pw/AP1GczP2rAnfkxu_8TP2hUMTue1ujb7P2AcpvjpsT36xWanjmIGrb3UI3kotDuHnrG8fOM4r7-Z0hwX2xN4Kknmg94"&amp;"tisNOt4hzdOhHZ6VuBj-50EKyxSkRq=w1200|https://lh3.googleusercontent.com/pw/AP1GczP4BCq8lC3s7nO0UWu6Mpa8alsvvZmCjq7jtqDpADMS_cnU8eLXfBag6idMgxWRM_buEmrg_2Acz-XcD_XU0gec61T8Su0EssKp5zQjcVJbS7dhs3uT=w1200|https://lh3.googleusercontent.com/pw/AP1GczNtQ2FNJopcP"&amp;"ilmbsjZsWzYv55DeTyk7Lk-ASw2jglG0488UdIpQBz4BQ0w6AQ1dLDyuKr3hd5iOhkkXl4ubaqi_iQrDza01i2UaNhWtdzsuHs2rbRD=w1200|https://lh3.googleusercontent.com/pw/AP1GczOLtVI-w1Zq2Q2gQJUBnGBJCBGTdR98m2em0u5-bHH31I7vcSMSA9l3-wiBcD5P6cTKcdspqnc1gmUKMKZ3qfAYIxbuqSU__pQIe40h"&amp;"3iYkxWSTOZwd=w1200|https://lh3.googleusercontent.com/pw/AP1GczM-19IhQrE8XvjIK1c8EtLko8xTbheH-zZS73BelHJS0PK1wp5t7Cgi7PAmPKx05tlXHYBYGEuMKN6ArYbBfBxNtBfquteOvXYzirLWw0l37973TknH=w1200|https://lh3.googleusercontent.com/pw/AP1GczNceUEt7NuSxZQL9o_F2Ibjy6OHHhS"&amp;"iP_JHNCR5x_xLVHkfmh2p3iNbCLymcjE7gfG7EDOOMg_Lji0fsDrYhAx_WxUDLHCc2Eq11DvkYpn-LtLqUSjG=w1200|https://lh3.googleusercontent.com/pw/AP1GczOrUFIVF6SEUynQCawt2kByLM_X3Fy58b74t5fMLcxsuvI1K1mueFGuZQsrbRPXV_7dSYfVYjhYWVzpNMjCusWnhQsHoHL11nTGGmWpL3xdhGx4xpgO=w1200"&amp;"|https://lh3.googleusercontent.com/pw/AP1GczNQsx19X20IjlKPMyh0IrlQp3jPoFMez3GrIEQ9qahJ704qUhZncicopetXxmxUGVbe-Cu5oSu8Ir78DXoshzsRubm1z3o54IIZz2q1FS6ctEkrEXt3=w1200|https://lh3.googleusercontent.com/pw/AP1GczPwxnxT95ChxyuXiXMFOXwpsPgecz8mCKvPZ-YdQcFMgM6cK"&amp;"nGVNnh9QYiiNoFTG-FqMZGVtTbdxppFwe_MmrQ0Q_L6Wc-f1yFfVG0UgYYh5OkJr3hk=w1200|https://lh3.googleusercontent.com/pw/AP1GczPsh-Nvy0q9-o9VdeDqYU5sInnsUEX2HDVjrTQR3voXMcaw7LH7rkkIcO6CKa-rY9AiiRLwEW-bi2tS5NE1oTdmuTA2WP8JoiowhXCwx4WTyccTovVL=w1200|https://lh3.googl"&amp;"eusercontent.com/pw/AP1GczNfxDgoXDPCS04TIiRtfojx7Dz0bvlUCrvsxP0AT_o0xjGrNOmePU2G_4nf2zHchvGyQVAIuIGQ5GucriFkO3wyxTV_Mt0SE0V-917p-7VUwveh2vup=w1200|https://lh3.googleusercontent.com/pw/AP1GczOEIDViOvxcJHIQXgXYqjygGAvJ6A6N977JXZgqoHDb-CHxGbf-idlFMAmjEY0Qjkk"&amp;"8pBchp8Wt-L91U4AMZPYuxsi9wZUHbxRPLCy_yZ5hJHE4Lisq=w1200|https://lh3.googleusercontent.com/pw/AP1GczMoq30mMJIdf7LCcW9DsLDnSIW3FJVIIMD0htnx2H-1YiHznVJCyQ5lSBmSg9rE_iivu-aFfcEr8Icn4hoN6BFUdBsIboxWW46IZWelsg9Tv0zQlpzB=w1200")</f>
        <v>https://lh3.googleusercontent.com/pw/AP1GczOlMIaP_IPcQhKpHGIGz-qzLl_uPSD2LOXLfZ3A37EVqeKy6nba7lomGmk1ktsf_zkiAG2k7POcaFcsVVwcJ9TguuhfuNajysqWsL1rlETPjyz_uaoz=w1200|https://lh3.googleusercontent.com/pw/AP1GczMQq_YCnVbKlxTJ_wwjlc8o26VdF7Nkx5ngAd5UXy1ElYYl67RxXTLh6R-gSgZMU8vkTbg-SFJleeaPZpdpmlhWMhVlX_e-mRNzIcJEia77_hwIfNNP=w1200|https://lh3.googleusercontent.com/pw/AP1GczOKu-pAPc0donABEI84XN5OwiekLrE47AQeORCgsjzMrI1E0wBZ4xIweHGb4J_fv_jK3e-x5X1EvXbCjtQitIGalzVbRPH4LzVTnpD7KrKiZsv5xFs6=w1200|https://lh3.googleusercontent.com/pw/AP1GczPECa_eY1ClDU5NHwvSoGE7da3d7K27XuCoZK4xQl6ZQL9mCoJn38dif8ygeKz5cI_dIttUEGCYDODGk7QAdn5jhLo3O2kS0GDNaD9096dTx2EBXd1X=w1200|https://lh3.googleusercontent.com/pw/AP1GczPx_21i7PwmcjtnhYoaJ_MWLHnSJ_eRfg0eiwjRJqRTegbrCJ46spz_XGS3fUvHEsZUrwEMi0xOUgm2qHU1bEkF1tzwT2ulNylXHVRGoIM1IuPJzM0d=w1200|https://lh3.googleusercontent.com/pw/AP1GczOmE4fnIUMmxONO27ZSu6JpYw1Ij3ZFSnFvPiPAXYTNFgpSGX2KeyFFzPRaK0HKK8LQnuVUXodW3owXCt8-Ef7OBEvIiDhhjw7Ggd4pY3c6dzzJtOaS=w1200|https://lh3.googleusercontent.com/pw/AP1GczOkh-jywXnWjNdSxj8syU4TV-UX5EGX46VfwT2AVWOgUDTS4uCG_41LaMYn88_S9tQFLZFZ3MQO7MuP50sorI_HBHbZs7fQ0HQVMNFnrfHYsjsYnDjf=w1200|https://lh3.googleusercontent.com/pw/AP1GczP2rAnfkxu_8TP2hUMTue1ujb7P2AcpvjpsT36xWanjmIGrb3UI3kotDuHnrG8fOM4r7-Z0hwX2xN4Kknmg94tisNOt4hzdOhHZ6VuBj-50EKyxSkRq=w1200|https://lh3.googleusercontent.com/pw/AP1GczP4BCq8lC3s7nO0UWu6Mpa8alsvvZmCjq7jtqDpADMS_cnU8eLXfBag6idMgxWRM_buEmrg_2Acz-XcD_XU0gec61T8Su0EssKp5zQjcVJbS7dhs3uT=w1200|https://lh3.googleusercontent.com/pw/AP1GczNtQ2FNJopcPilmbsjZsWzYv55DeTyk7Lk-ASw2jglG0488UdIpQBz4BQ0w6AQ1dLDyuKr3hd5iOhkkXl4ubaqi_iQrDza01i2UaNhWtdzsuHs2rbRD=w1200|https://lh3.googleusercontent.com/pw/AP1GczOLtVI-w1Zq2Q2gQJUBnGBJCBGTdR98m2em0u5-bHH31I7vcSMSA9l3-wiBcD5P6cTKcdspqnc1gmUKMKZ3qfAYIxbuqSU__pQIe40h3iYkxWSTOZwd=w1200|https://lh3.googleusercontent.com/pw/AP1GczM-19IhQrE8XvjIK1c8EtLko8xTbheH-zZS73BelHJS0PK1wp5t7Cgi7PAmPKx05tlXHYBYGEuMKN6ArYbBfBxNtBfquteOvXYzirLWw0l37973TknH=w1200|https://lh3.googleusercontent.com/pw/AP1GczNceUEt7NuSxZQL9o_F2Ibjy6OHHhSiP_JHNCR5x_xLVHkfmh2p3iNbCLymcjE7gfG7EDOOMg_Lji0fsDrYhAx_WxUDLHCc2Eq11DvkYpn-LtLqUSjG=w1200|https://lh3.googleusercontent.com/pw/AP1GczOrUFIVF6SEUynQCawt2kByLM_X3Fy58b74t5fMLcxsuvI1K1mueFGuZQsrbRPXV_7dSYfVYjhYWVzpNMjCusWnhQsHoHL11nTGGmWpL3xdhGx4xpgO=w1200|https://lh3.googleusercontent.com/pw/AP1GczNQsx19X20IjlKPMyh0IrlQp3jPoFMez3GrIEQ9qahJ704qUhZncicopetXxmxUGVbe-Cu5oSu8Ir78DXoshzsRubm1z3o54IIZz2q1FS6ctEkrEXt3=w1200|https://lh3.googleusercontent.com/pw/AP1GczPwxnxT95ChxyuXiXMFOXwpsPgecz8mCKvPZ-YdQcFMgM6cKnGVNnh9QYiiNoFTG-FqMZGVtTbdxppFwe_MmrQ0Q_L6Wc-f1yFfVG0UgYYh5OkJr3hk=w1200|https://lh3.googleusercontent.com/pw/AP1GczPsh-Nvy0q9-o9VdeDqYU5sInnsUEX2HDVjrTQR3voXMcaw7LH7rkkIcO6CKa-rY9AiiRLwEW-bi2tS5NE1oTdmuTA2WP8JoiowhXCwx4WTyccTovVL=w1200|https://lh3.googleusercontent.com/pw/AP1GczNfxDgoXDPCS04TIiRtfojx7Dz0bvlUCrvsxP0AT_o0xjGrNOmePU2G_4nf2zHchvGyQVAIuIGQ5GucriFkO3wyxTV_Mt0SE0V-917p-7VUwveh2vup=w1200|https://lh3.googleusercontent.com/pw/AP1GczOEIDViOvxcJHIQXgXYqjygGAvJ6A6N977JXZgqoHDb-CHxGbf-idlFMAmjEY0Qjkk8pBchp8Wt-L91U4AMZPYuxsi9wZUHbxRPLCy_yZ5hJHE4Lisq=w1200|https://lh3.googleusercontent.com/pw/AP1GczMoq30mMJIdf7LCcW9DsLDnSIW3FJVIIMD0htnx2H-1YiHznVJCyQ5lSBmSg9rE_iivu-aFfcEr8Icn4hoN6BFUdBsIboxWW46IZWelsg9Tv0zQlpzB=w1200</v>
      </c>
      <c r="AJ205" s="46"/>
      <c r="AK205" s="46"/>
      <c r="AL205" s="46"/>
      <c r="AM205" s="46"/>
      <c r="AN205" s="46"/>
      <c r="AO205" s="46"/>
      <c r="AP205" s="46"/>
      <c r="AQ205" s="46"/>
      <c r="AR205" s="46"/>
      <c r="AS205" s="46"/>
      <c r="AT205" s="46"/>
      <c r="AU205" s="46"/>
      <c r="AV205" s="46"/>
      <c r="AW205" s="46"/>
      <c r="AX205" s="46"/>
      <c r="AY205" s="46"/>
      <c r="AZ205" s="46"/>
      <c r="BA205" s="46"/>
      <c r="BB205" s="46"/>
      <c r="BC205" s="46"/>
      <c r="BD205" s="46"/>
      <c r="BE205" s="46"/>
      <c r="BF205" s="46"/>
      <c r="BG205" s="46"/>
      <c r="BH205" s="46"/>
      <c r="BI205" s="46"/>
      <c r="BJ205" s="46"/>
      <c r="BK205" s="46"/>
      <c r="BL205" s="46"/>
      <c r="BM205" s="46"/>
      <c r="BN205" s="46"/>
      <c r="BO205" s="46"/>
      <c r="BP205" s="46"/>
      <c r="BQ205" s="46"/>
      <c r="BR205" s="46"/>
      <c r="BS205" s="46"/>
      <c r="BT205" s="46"/>
      <c r="BU205" s="46"/>
      <c r="BV205" s="46"/>
      <c r="BW205" s="46"/>
      <c r="BX205" s="46"/>
      <c r="BY205" s="46"/>
      <c r="BZ205" s="46"/>
      <c r="CA205" s="46"/>
      <c r="CB205" s="46"/>
      <c r="CC205" s="46"/>
    </row>
    <row r="206">
      <c r="A206" s="87" t="str">
        <f>IFERROR(__xludf.DUMMYFUNCTION("""COMPUTED_VALUE"""),"551")</f>
        <v>551</v>
      </c>
      <c r="B206" s="46" t="str">
        <f>IFERROR(__xludf.DUMMYFUNCTION("""COMPUTED_VALUE"""),"Casa en conjunto Residencial Valle de San Remo - Sur")</f>
        <v>Casa en conjunto Residencial Valle de San Remo - Sur</v>
      </c>
      <c r="C206" s="46" t="str">
        <f>IFERROR(__xludf.DUMMYFUNCTION("""COMPUTED_VALUE"""),"Casa en conjunto")</f>
        <v>Casa en conjunto</v>
      </c>
      <c r="D206" s="46"/>
      <c r="E206" s="46" t="str">
        <f>IFERROR(__xludf.DUMMYFUNCTION("""COMPUTED_VALUE"""),"Conjunto Residencial Valle de San Remo")</f>
        <v>Conjunto Residencial Valle de San Remo</v>
      </c>
      <c r="F206" s="90">
        <f>IFERROR(__xludf.DUMMYFUNCTION("""COMPUTED_VALUE"""),2.4E8)</f>
        <v>240000000</v>
      </c>
      <c r="G206" s="46" t="str">
        <f>IFERROR(__xludf.DUMMYFUNCTION("""COMPUTED_VALUE"""),"$200'000.000 a $300'000.000")</f>
        <v>$200'000.000 a $300'000.000</v>
      </c>
      <c r="H206" s="46"/>
      <c r="I206" s="46"/>
      <c r="J206" s="46" t="str">
        <f>IFERROR(__xludf.DUMMYFUNCTION("""COMPUTED_VALUE"""),"Sur")</f>
        <v>Sur</v>
      </c>
      <c r="K206" s="87"/>
      <c r="L206" s="46">
        <f>IFERROR(__xludf.DUMMYFUNCTION("""COMPUTED_VALUE"""),3.0)</f>
        <v>3</v>
      </c>
      <c r="M206" s="46"/>
      <c r="N206" s="46">
        <f>IFERROR(__xludf.DUMMYFUNCTION("""COMPUTED_VALUE"""),3.0)</f>
        <v>3</v>
      </c>
      <c r="O206" s="46">
        <f>IFERROR(__xludf.DUMMYFUNCTION("""COMPUTED_VALUE"""),1.0)</f>
        <v>1</v>
      </c>
      <c r="P206" s="46">
        <f>IFERROR(__xludf.DUMMYFUNCTION("""COMPUTED_VALUE"""),2.0)</f>
        <v>2</v>
      </c>
      <c r="Q206" s="92">
        <f>IFERROR(__xludf.DUMMYFUNCTION("""COMPUTED_VALUE"""),110.0)</f>
        <v>110</v>
      </c>
      <c r="R206" s="92">
        <f>IFERROR(__xludf.DUMMYFUNCTION("""COMPUTED_VALUE"""),92.83)</f>
        <v>92.83</v>
      </c>
      <c r="S206" s="87" t="str">
        <f>IFERROR(__xludf.DUMMYFUNCTION("""COMPUTED_VALUE""")," ")</f>
        <v> </v>
      </c>
      <c r="T206" s="46" t="str">
        <f>IFERROR(__xludf.DUMMYFUNCTION("""COMPUTED_VALUE"""),"Neiva")</f>
        <v>Neiva</v>
      </c>
      <c r="U206" s="87" t="str">
        <f>IFERROR(__xludf.DUMMYFUNCTION("""COMPUTED_VALUE"""),"2")</f>
        <v>2</v>
      </c>
      <c r="V206" s="46" t="str">
        <f>IFERROR(__xludf.DUMMYFUNCTION("""COMPUTED_VALUE"""),"Medianera")</f>
        <v>Medianera</v>
      </c>
      <c r="W206" s="46"/>
      <c r="X206" s="46">
        <f>IFERROR(__xludf.DUMMYFUNCTION("""COMPUTED_VALUE"""),0.0)</f>
        <v>0</v>
      </c>
      <c r="Y206" s="46" t="str">
        <f>IFERROR(__xludf.DUMMYFUNCTION("""COMPUTED_VALUE"""),"Social")</f>
        <v>Social</v>
      </c>
      <c r="Z206" s="90">
        <f>IFERROR(__xludf.DUMMYFUNCTION("""COMPUTED_VALUE"""),150000.0)</f>
        <v>150000</v>
      </c>
      <c r="AA206" s="33" t="str">
        <f>IFERROR(__xludf.DUMMYFUNCTION("""COMPUTED_VALUE"""),"No aplica")</f>
        <v>No aplica</v>
      </c>
      <c r="AB206" s="96" t="str">
        <f>IFERROR(__xludf.DUMMYFUNCTION("""COMPUTED_VALUE"""),"https://photos.app.goo.gl/d2Cduyf1nQgpWCid8")</f>
        <v>https://photos.app.goo.gl/d2Cduyf1nQgpWCid8</v>
      </c>
      <c r="AC206" s="46" t="str">
        <f>IFERROR(__xludf.DUMMYFUNCTION("""COMPUTED_VALUE"""),"Ubicada en el conjunto Residencial San Remo II ETAPA, esta destacada casa medianera de estrato 2 combina comodidad, eficiencia funcional y potencial de crecimiento sobre un lote de 92,83 m². Al ser una propiedad medianera clasificada en estrato 2, represe"&amp;"nta una excelente oportunidad para quienes buscan maximizar su presupuesto de vivienda sin sacrificar la seguridad, tranquilidad y convivencia armoniosa que brinda un entorno residencial cerrado. Los interiores destacan por la uniformidad de sus acabados,"&amp;" incluyendo pisos en cerámica blanca que realzan la luminosidad y paredes estucadas y pintadas de blanco que aportan una sensación de amplitud.")</f>
        <v>Ubicada en el conjunto Residencial San Remo II ETAPA, esta destacada casa medianera de estrato 2 combina comodidad, eficiencia funcional y potencial de crecimiento sobre un lote de 92,83 m². Al ser una propiedad medianera clasificada en estrato 2, representa una excelente oportunidad para quienes buscan maximizar su presupuesto de vivienda sin sacrificar la seguridad, tranquilidad y convivencia armoniosa que brinda un entorno residencial cerrado. Los interiores destacan por la uniformidad de sus acabados, incluyendo pisos en cerámica blanca que realzan la luminosidad y paredes estucadas y pintadas de blanco que aportan una sensación de amplitud.</v>
      </c>
      <c r="AD206" s="46" t="str">
        <f>IFERROR(__xludf.DUMMYFUNCTION("""COMPUTED_VALUE"""),"La propiedad cuenta con un área construida de 110,0 m² distribuidos óptimamente en sus dos niveles, garantizando espacios integrados para el día a día y áreas privadas independientes para el descanso. Su diseño aprovecha cada metro cuadrado para ofrecer a"&amp;"mbientes ventilados e iluminados con carpintería de aluminio y vidrio. Entre los detalles adicionales que incrementan su valor, cocina básica con mesón en acero inoxidable y un salpicadero en cerámica gris. El segundo piso incorpora un cielo raso en PVC g"&amp;"ris con luminarias tipo bala que aporta un toque contemporáneo y práctico. Finalmente, el mayor valor agregado de la casa es que cuenta con la placa de techo preparada para la ampliación, permitiendo la futura construcción de una cuarta habitación sobre e"&amp;"l área disponible.")</f>
        <v>La propiedad cuenta con un área construida de 110,0 m² distribuidos óptimamente en sus dos niveles, garantizando espacios integrados para el día a día y áreas privadas independientes para el descanso. Su diseño aprovecha cada metro cuadrado para ofrecer ambientes ventilados e iluminados con carpintería de aluminio y vidrio. Entre los detalles adicionales que incrementan su valor, cocina básica con mesón en acero inoxidable y un salpicadero en cerámica gris. El segundo piso incorpora un cielo raso en PVC gris con luminarias tipo bala que aporta un toque contemporáneo y práctico. Finalmente, el mayor valor agregado de la casa es que cuenta con la placa de techo preparada para la ampliación, permitiendo la futura construcción de una cuarta habitación sobre el área disponible.</v>
      </c>
      <c r="AE206" s="46"/>
      <c r="AF206" s="46" t="str">
        <f>IFERROR(__xludf.DUMMYFUNCTION("""COMPUTED_VALUE"""),"básica")</f>
        <v>básica</v>
      </c>
      <c r="AG206" s="46"/>
      <c r="AH206" s="46" t="str">
        <f>IFERROR(__xludf.DUMMYFUNCTION("""COMPUTED_VALUE"""),"Directo")</f>
        <v>Directo</v>
      </c>
      <c r="AI206" s="92" t="str">
        <f>IFERROR(__xludf.DUMMYFUNCTION("""COMPUTED_VALUE"""),"https://lh3.googleusercontent.com/pw/AP1GczPr3EVejgPjgRzpqYJWIPsmm1QIy78KN0d9tSswOyDxA9i4DXpQtX-zSZU7MF_XpcVYWe5A1wuMWD0U0SwzBlsPSg8LNCy_uQuUjpMMIBEh8h_9Vq9a=w1200|https://lh3.googleusercontent.com/pw/AP1GczN5HRnf-_vJdDKASd1FOEbY0GwcucpPD46k2n0qgjiiP-MJ2r"&amp;"TLp1CvrO5eNHGx_SbqKZgm6xh32jdYmCdQjR0xo5ORv21yVmre2XB2sIJTj_b4r-5W=w1200|https://lh3.googleusercontent.com/pw/AP1GczM1XvaHqyj_504hzQF0L-mSTZGHt6L-GeeoHLoSKyAWB7ytTiNVcfES3LjKah3OmNl8FktwbqBzrU8Ehct5XGiZmWeSn3ypbQDmtRV4dy9LjzT1bQ4e=w1200|https://lh3.google"&amp;"usercontent.com/pw/AP1GczNQ9vcdiigSIOv5jFG_PVgXBwFMKaoT-5aog2aWt2-r6bnP2jPKc_hdrrKXN8tBGUhbAmZtJXQG3JC0kh_dNODrw7uEAWvuqLb-IsiLqEz-81u1xwf9=w1200|https://lh3.googleusercontent.com/pw/AP1GczNiHYddbkScORgY3oQSdHJYZy0gFnLfoUJJu5vyoQZOvdMDjNbfw7A6RJvuy3FY3AdH"&amp;"pwdn0vctYNhz611U-je8lxGV6SB3U1MCgj7sHee8CgiBoVAt=w1200|https://lh3.googleusercontent.com/pw/AP1GczOcPqODJgDH9BqFwkffV1VWh5D4RpR32FrPV9qNKV6OsHxFggOw6HucWvXD7pk5OevlIE549fjSS3dSEAruDOKZEYjVTFXS6EvcigJN8zXVmFMX5V-j=w1200|https://lh3.googleusercontent.com/pw"&amp;"/AP1GczNmyqbcGLRzhjrYPWppAQuzu0ntGRdh843MSggDqCXe-5B8bMTXaUMCMVSy4t_AsqMKI64WMSLLsPMw_rjrxx2u8aPaiobAFl3g-Qv_aTgONwqL8Pqj=w1200|https://lh3.googleusercontent.com/pw/AP1GczOin5vf5RoL8vkV5VvdHZejkyDtHifW6NUaAolBPTNC-XR9CrobA1TumB1bai1rl0Obvz-zYTn2Y24bAw3hH7"&amp;"o7UMiWHF3qQL0DXhH9-sEbiSuTqKPh=w1200|https://lh3.googleusercontent.com/pw/AP1GczO6m2iSOcSedSsAAR4rEvGkJkFs9eblJ6-hE3Zqeo3fLrDKsjk-7gGeO6YvU5Rkeby-ebOARPiU-XD7Xb11CtupmmrlXYxsCSMf0ihho-76cVoiZ_39=w1200|https://lh3.googleusercontent.com/pw/AP1GczNScEcNT0gxa"&amp;"xqyTGgJJBn9BiWcZGr3wO9TKrvgkz_GL1abfmpgXSF5ed3tkmCjTGM2FlDAJWdxFFl2VHXa1b-CeMTn6r0PNt7SVee2AcnRJChUzcPn=w1200|https://lh3.googleusercontent.com/pw/AP1GczPTapCvrXa1pC_vS6m1hAqwLAP_kz4hm76L8Y7vgsR_Z6D2fIdfgykLGWzCLXPCVhS7Pm2GxeWUWs6DDC5yrgc2HCg1a-vt9GAOspSC"&amp;"sHLZGi-c2o3Q=w1200|https://lh3.googleusercontent.com/pw/AP1GczPBt3yv7JFFGIszPZ6TQd53pIUOOWTTPCvEHHsKV2BsX9TQJ7jkQuTtGF-DSq7AbtmQJDEYX2NQK7W5HJonrFwg0ohyfZPZRRMOufRrlBHpdkzrdI0l=w1200|https://lh3.googleusercontent.com/pw/AP1GczPeVA12owcow_PrIKUxfFQTCd3JsWW"&amp;"DVHEC-saWlYijouwxzS50fqbjn6kAbBtxX37L5x6KXY-XkjoUpq74-gQFvHtNSTQkXqgO9KrsXfLB6A1vkFut=w1200|https://lh3.googleusercontent.com/pw/AP1GczOr0VDXbBEkPHeFWBPjRu5abhzGiCjACpuZD1tvYNomC2IJVCo_IGhZpJD2bNQXUScF80VqUZpEncdCz7zLjH31WMMZAX3hPq0IORJ2kcHMORD7H5mz=w1200"&amp;"|https://lh3.googleusercontent.com/pw/AP1GczMsQH__P3bgNttL3v7FG9HrnNEWQSJhZ7SCd-pqor0rw8iR3UzU2b_oZX4aNdORw2oBTy6Yl1g_mV4-r_0YBQe624kFhc69ys7mO2uvHRe2FPCs6GSR=w1200|https://lh3.googleusercontent.com/pw/AP1GczNFZhJ6j6ExbnieB4Pc89tcV0K067u9wB7a3ynto9MBcQTLD"&amp;"9aJXB-pAB8uIjk1BCgIgYP69siaOmMlcsTL4VamajEHzJHa2UPs_stKiZs9JKF41igb=w1200|https://lh3.googleusercontent.com/pw/AP1GczOZ3e6NjAXe2vevDEtZG_vUdYf1xosBzf-v3jwRdmvLFZ35v8JKgf4lMqoiYLdP6fviIVyZGA9_55fnv2URlJE2KozeTAQxCClu-ayrmo7jKa0WuMcD=w1200|https://lh3.googl"&amp;"eusercontent.com/pw/AP1GczMEztkf0CniRU56quhUpi2ynWLmunI_J7Cd6bqsJX35yoSLFS6v-pxcZcHGkGU7_77dNh-WlAL-puMLFT0ig99nMVlysZfqmaY6mCUK8vwri4dn5SoH=w1200|https://lh3.googleusercontent.com/pw/AP1GczMQau05uxk0oHbppp-1QHDpu-TDhJlq4FVLBdldpo4d2yYNLemTdo_6de7NO8dMMA8"&amp;"5XsTCYVXrHCIpvDzxk8uSUks0Mue95vkKLD1lgh7EGR02eMrW=w1200|https://lh3.googleusercontent.com/pw/AP1GczM-ofkKGsM_k4S6NadPTNtNowC8XzB4a9PH7s9k06vVFTsgj3LNDklTQks0FPJnzIVpd6SzxBM1Ow6T2HDLl6EPHePD-ze4XFMQjcNHjN_mptTIo3ZU=w1200|https://lh3.googleusercontent.com/p"&amp;"w/AP1GczM3qKim-H4iwxPyg3a-37ZNrKVgRUcd12YV1rVtZqMBX8PVJYn7iOHhczQQzimWEdz0E5Fws323U09XW_CAkZJUnli8vkPdD9a_WqFeCqmbJo9ioAyr=w1200|https://lh3.googleusercontent.com/pw/AP1GczNzZvOl34tqhZxZP_Mi9S7GX6ecr_1rCduQdl6z5lZtbZ2Nn-GUosL-2a5YVYVVW8Fg7M8trnt9oquWGiKF6"&amp;"38jpzu8l0RGUK-alKQJXUntDgd0_SjO=w1200|https://lh3.googleusercontent.com/pw/AP1GczNeqDF64gCMnW85YGiwF3mVqiJy91WI5AZd3p40qHCShdTi0dJmPkBUTkY5UHZQRvbwlDyQ1mugNixhZ16zmVyG4k0uhkff3gP8Faa1Je_9k_CmGCWc=w1200|https://lh3.googleusercontent.com/pw/AP1GczNECVV24bxR"&amp;"arvukZwEs6GHvk-HnGttmEQwFSr-e8l6wxD7usGBSZSiPkswyHUHm7WWGqv72Mkq1BwIBRPm2KBjJmHOYri0qHMnqjYJj44j1U4iNZMp=w1200|https://lh3.googleusercontent.com/pw/AP1GczMbkceBqvQY7blo5C9sAFXPelVcl_dV8YG98uu9l4Tz9nZGgilzVuXjscgC9ilXgRRVOb2G3BXkzC5N_cYlsXREH7X4AdmlnhmRtqo"&amp;"JzDyU31nTx6d3=w1200|https://lh3.googleusercontent.com/pw/AP1GczMWxBljiWQoQQhERsZWb9ZTEul5MTPIatMAVP6ih_4GeJ36pnq_c9xp2brgD_pjX9aGqMVxHw8zcors2oFx8X0vyJ-cbxnkez3zhfatpf6-Rk9Ajy8g=w1200|https://lh3.googleusercontent.com/pw/AP1GczPg8Wyvh2_FgZJGeMAnH3Oa2NgYdJ"&amp;"ZjOZwO1iGXLM420n2lh7SboZ2jm32Fqr2BQgGivW2akLu2hidh2YwLwORQ3Rsrwn11XFAHpPyk8jth3UgIBtgC=w1200|https://lh3.googleusercontent.com/pw/AP1GczN12bInsjtq_EAkg3ZM9EIYcAUSyW7q8EFQKXTHOQBW6JE6gh2Vk7887FSXIS0nDA3lUyP3ERNHJ7jzAVyryRQjs5bR2cd1C9NVALCNVmi0zqrVNZrM=w120"&amp;"0")</f>
        <v>https://lh3.googleusercontent.com/pw/AP1GczPr3EVejgPjgRzpqYJWIPsmm1QIy78KN0d9tSswOyDxA9i4DXpQtX-zSZU7MF_XpcVYWe5A1wuMWD0U0SwzBlsPSg8LNCy_uQuUjpMMIBEh8h_9Vq9a=w1200|https://lh3.googleusercontent.com/pw/AP1GczN5HRnf-_vJdDKASd1FOEbY0GwcucpPD46k2n0qgjiiP-MJ2rTLp1CvrO5eNHGx_SbqKZgm6xh32jdYmCdQjR0xo5ORv21yVmre2XB2sIJTj_b4r-5W=w1200|https://lh3.googleusercontent.com/pw/AP1GczM1XvaHqyj_504hzQF0L-mSTZGHt6L-GeeoHLoSKyAWB7ytTiNVcfES3LjKah3OmNl8FktwbqBzrU8Ehct5XGiZmWeSn3ypbQDmtRV4dy9LjzT1bQ4e=w1200|https://lh3.googleusercontent.com/pw/AP1GczNQ9vcdiigSIOv5jFG_PVgXBwFMKaoT-5aog2aWt2-r6bnP2jPKc_hdrrKXN8tBGUhbAmZtJXQG3JC0kh_dNODrw7uEAWvuqLb-IsiLqEz-81u1xwf9=w1200|https://lh3.googleusercontent.com/pw/AP1GczNiHYddbkScORgY3oQSdHJYZy0gFnLfoUJJu5vyoQZOvdMDjNbfw7A6RJvuy3FY3AdHpwdn0vctYNhz611U-je8lxGV6SB3U1MCgj7sHee8CgiBoVAt=w1200|https://lh3.googleusercontent.com/pw/AP1GczOcPqODJgDH9BqFwkffV1VWh5D4RpR32FrPV9qNKV6OsHxFggOw6HucWvXD7pk5OevlIE549fjSS3dSEAruDOKZEYjVTFXS6EvcigJN8zXVmFMX5V-j=w1200|https://lh3.googleusercontent.com/pw/AP1GczNmyqbcGLRzhjrYPWppAQuzu0ntGRdh843MSggDqCXe-5B8bMTXaUMCMVSy4t_AsqMKI64WMSLLsPMw_rjrxx2u8aPaiobAFl3g-Qv_aTgONwqL8Pqj=w1200|https://lh3.googleusercontent.com/pw/AP1GczOin5vf5RoL8vkV5VvdHZejkyDtHifW6NUaAolBPTNC-XR9CrobA1TumB1bai1rl0Obvz-zYTn2Y24bAw3hH7o7UMiWHF3qQL0DXhH9-sEbiSuTqKPh=w1200|https://lh3.googleusercontent.com/pw/AP1GczO6m2iSOcSedSsAAR4rEvGkJkFs9eblJ6-hE3Zqeo3fLrDKsjk-7gGeO6YvU5Rkeby-ebOARPiU-XD7Xb11CtupmmrlXYxsCSMf0ihho-76cVoiZ_39=w1200|https://lh3.googleusercontent.com/pw/AP1GczNScEcNT0gxaxqyTGgJJBn9BiWcZGr3wO9TKrvgkz_GL1abfmpgXSF5ed3tkmCjTGM2FlDAJWdxFFl2VHXa1b-CeMTn6r0PNt7SVee2AcnRJChUzcPn=w1200|https://lh3.googleusercontent.com/pw/AP1GczPTapCvrXa1pC_vS6m1hAqwLAP_kz4hm76L8Y7vgsR_Z6D2fIdfgykLGWzCLXPCVhS7Pm2GxeWUWs6DDC5yrgc2HCg1a-vt9GAOspSCsHLZGi-c2o3Q=w1200|https://lh3.googleusercontent.com/pw/AP1GczPBt3yv7JFFGIszPZ6TQd53pIUOOWTTPCvEHHsKV2BsX9TQJ7jkQuTtGF-DSq7AbtmQJDEYX2NQK7W5HJonrFwg0ohyfZPZRRMOufRrlBHpdkzrdI0l=w1200|https://lh3.googleusercontent.com/pw/AP1GczPeVA12owcow_PrIKUxfFQTCd3JsWWDVHEC-saWlYijouwxzS50fqbjn6kAbBtxX37L5x6KXY-XkjoUpq74-gQFvHtNSTQkXqgO9KrsXfLB6A1vkFut=w1200|https://lh3.googleusercontent.com/pw/AP1GczOr0VDXbBEkPHeFWBPjRu5abhzGiCjACpuZD1tvYNomC2IJVCo_IGhZpJD2bNQXUScF80VqUZpEncdCz7zLjH31WMMZAX3hPq0IORJ2kcHMORD7H5mz=w1200|https://lh3.googleusercontent.com/pw/AP1GczMsQH__P3bgNttL3v7FG9HrnNEWQSJhZ7SCd-pqor0rw8iR3UzU2b_oZX4aNdORw2oBTy6Yl1g_mV4-r_0YBQe624kFhc69ys7mO2uvHRe2FPCs6GSR=w1200|https://lh3.googleusercontent.com/pw/AP1GczNFZhJ6j6ExbnieB4Pc89tcV0K067u9wB7a3ynto9MBcQTLD9aJXB-pAB8uIjk1BCgIgYP69siaOmMlcsTL4VamajEHzJHa2UPs_stKiZs9JKF41igb=w1200|https://lh3.googleusercontent.com/pw/AP1GczOZ3e6NjAXe2vevDEtZG_vUdYf1xosBzf-v3jwRdmvLFZ35v8JKgf4lMqoiYLdP6fviIVyZGA9_55fnv2URlJE2KozeTAQxCClu-ayrmo7jKa0WuMcD=w1200|https://lh3.googleusercontent.com/pw/AP1GczMEztkf0CniRU56quhUpi2ynWLmunI_J7Cd6bqsJX35yoSLFS6v-pxcZcHGkGU7_77dNh-WlAL-puMLFT0ig99nMVlysZfqmaY6mCUK8vwri4dn5SoH=w1200|https://lh3.googleusercontent.com/pw/AP1GczMQau05uxk0oHbppp-1QHDpu-TDhJlq4FVLBdldpo4d2yYNLemTdo_6de7NO8dMMA85XsTCYVXrHCIpvDzxk8uSUks0Mue95vkKLD1lgh7EGR02eMrW=w1200|https://lh3.googleusercontent.com/pw/AP1GczM-ofkKGsM_k4S6NadPTNtNowC8XzB4a9PH7s9k06vVFTsgj3LNDklTQks0FPJnzIVpd6SzxBM1Ow6T2HDLl6EPHePD-ze4XFMQjcNHjN_mptTIo3ZU=w1200|https://lh3.googleusercontent.com/pw/AP1GczM3qKim-H4iwxPyg3a-37ZNrKVgRUcd12YV1rVtZqMBX8PVJYn7iOHhczQQzimWEdz0E5Fws323U09XW_CAkZJUnli8vkPdD9a_WqFeCqmbJo9ioAyr=w1200|https://lh3.googleusercontent.com/pw/AP1GczNzZvOl34tqhZxZP_Mi9S7GX6ecr_1rCduQdl6z5lZtbZ2Nn-GUosL-2a5YVYVVW8Fg7M8trnt9oquWGiKF638jpzu8l0RGUK-alKQJXUntDgd0_SjO=w1200|https://lh3.googleusercontent.com/pw/AP1GczNeqDF64gCMnW85YGiwF3mVqiJy91WI5AZd3p40qHCShdTi0dJmPkBUTkY5UHZQRvbwlDyQ1mugNixhZ16zmVyG4k0uhkff3gP8Faa1Je_9k_CmGCWc=w1200|https://lh3.googleusercontent.com/pw/AP1GczNECVV24bxRarvukZwEs6GHvk-HnGttmEQwFSr-e8l6wxD7usGBSZSiPkswyHUHm7WWGqv72Mkq1BwIBRPm2KBjJmHOYri0qHMnqjYJj44j1U4iNZMp=w1200|https://lh3.googleusercontent.com/pw/AP1GczMbkceBqvQY7blo5C9sAFXPelVcl_dV8YG98uu9l4Tz9nZGgilzVuXjscgC9ilXgRRVOb2G3BXkzC5N_cYlsXREH7X4AdmlnhmRtqoJzDyU31nTx6d3=w1200|https://lh3.googleusercontent.com/pw/AP1GczMWxBljiWQoQQhERsZWb9ZTEul5MTPIatMAVP6ih_4GeJ36pnq_c9xp2brgD_pjX9aGqMVxHw8zcors2oFx8X0vyJ-cbxnkez3zhfatpf6-Rk9Ajy8g=w1200|https://lh3.googleusercontent.com/pw/AP1GczPg8Wyvh2_FgZJGeMAnH3Oa2NgYdJZjOZwO1iGXLM420n2lh7SboZ2jm32Fqr2BQgGivW2akLu2hidh2YwLwORQ3Rsrwn11XFAHpPyk8jth3UgIBtgC=w1200|https://lh3.googleusercontent.com/pw/AP1GczN12bInsjtq_EAkg3ZM9EIYcAUSyW7q8EFQKXTHOQBW6JE6gh2Vk7887FSXIS0nDA3lUyP3ERNHJ7jzAVyryRQjs5bR2cd1C9NVALCNVmi0zqrVNZrM=w1200</v>
      </c>
      <c r="AJ206" s="46"/>
      <c r="AK206" s="46"/>
      <c r="AL206" s="46"/>
      <c r="AM206" s="46"/>
      <c r="AN206" s="46"/>
      <c r="AO206" s="46"/>
      <c r="AP206" s="46"/>
      <c r="AQ206" s="46"/>
      <c r="AR206" s="46"/>
      <c r="AS206" s="46"/>
      <c r="AT206" s="46"/>
      <c r="AU206" s="46"/>
      <c r="AV206" s="46"/>
      <c r="AW206" s="46"/>
      <c r="AX206" s="46"/>
      <c r="AY206" s="46"/>
      <c r="AZ206" s="46"/>
      <c r="BA206" s="46"/>
      <c r="BB206" s="46"/>
      <c r="BC206" s="46"/>
      <c r="BD206" s="46"/>
      <c r="BE206" s="46"/>
      <c r="BF206" s="46"/>
      <c r="BG206" s="46"/>
      <c r="BH206" s="46"/>
      <c r="BI206" s="46"/>
      <c r="BJ206" s="46"/>
      <c r="BK206" s="46"/>
      <c r="BL206" s="46"/>
      <c r="BM206" s="46"/>
      <c r="BN206" s="46"/>
      <c r="BO206" s="46"/>
      <c r="BP206" s="46"/>
      <c r="BQ206" s="46"/>
      <c r="BR206" s="46"/>
      <c r="BS206" s="46"/>
      <c r="BT206" s="46"/>
      <c r="BU206" s="46"/>
      <c r="BV206" s="46"/>
      <c r="BW206" s="46"/>
      <c r="BX206" s="46"/>
      <c r="BY206" s="46"/>
      <c r="BZ206" s="46"/>
      <c r="CA206" s="46"/>
      <c r="CB206" s="46"/>
      <c r="CC206" s="46"/>
    </row>
    <row r="207">
      <c r="A207" s="87" t="str">
        <f>IFERROR(__xludf.DUMMYFUNCTION("""COMPUTED_VALUE"""),"569")</f>
        <v>569</v>
      </c>
      <c r="B207" s="46" t="str">
        <f>IFERROR(__xludf.DUMMYFUNCTION("""COMPUTED_VALUE"""),"Casa en barrio Bogotá")</f>
        <v>Casa en barrio Bogotá</v>
      </c>
      <c r="C207" s="46" t="str">
        <f>IFERROR(__xludf.DUMMYFUNCTION("""COMPUTED_VALUE"""),"Casa")</f>
        <v>Casa</v>
      </c>
      <c r="D207" s="46" t="str">
        <f>IFERROR(__xludf.DUMMYFUNCTION("""COMPUTED_VALUE"""),"Barrio Bogotá")</f>
        <v>Barrio Bogotá</v>
      </c>
      <c r="E207" s="90" t="str">
        <f>IFERROR(__xludf.DUMMYFUNCTION("""COMPUTED_VALUE""")," ")</f>
        <v> </v>
      </c>
      <c r="F207" s="90">
        <f>IFERROR(__xludf.DUMMYFUNCTION("""COMPUTED_VALUE"""),1.8E8)</f>
        <v>180000000</v>
      </c>
      <c r="G207" s="46" t="str">
        <f>IFERROR(__xludf.DUMMYFUNCTION("""COMPUTED_VALUE"""),"$100'000.000 a $200'000.000")</f>
        <v>$100'000.000 a $200'000.000</v>
      </c>
      <c r="H207" s="46"/>
      <c r="I207" s="46"/>
      <c r="J207" s="46" t="str">
        <f>IFERROR(__xludf.DUMMYFUNCTION("""COMPUTED_VALUE"""),"Sur")</f>
        <v>Sur</v>
      </c>
      <c r="K207" s="87"/>
      <c r="L207" s="46">
        <f>IFERROR(__xludf.DUMMYFUNCTION("""COMPUTED_VALUE"""),3.0)</f>
        <v>3</v>
      </c>
      <c r="M207" s="46"/>
      <c r="N207" s="46">
        <f>IFERROR(__xludf.DUMMYFUNCTION("""COMPUTED_VALUE"""),1.0)</f>
        <v>1</v>
      </c>
      <c r="O207" s="46">
        <f>IFERROR(__xludf.DUMMYFUNCTION("""COMPUTED_VALUE"""),3.0)</f>
        <v>3</v>
      </c>
      <c r="P207" s="46">
        <f>IFERROR(__xludf.DUMMYFUNCTION("""COMPUTED_VALUE"""),1.0)</f>
        <v>1</v>
      </c>
      <c r="Q207" s="92">
        <f>IFERROR(__xludf.DUMMYFUNCTION("""COMPUTED_VALUE"""),120.0)</f>
        <v>120</v>
      </c>
      <c r="R207" s="92">
        <f>IFERROR(__xludf.DUMMYFUNCTION("""COMPUTED_VALUE"""),240.0)</f>
        <v>240</v>
      </c>
      <c r="S207" s="87" t="str">
        <f>IFERROR(__xludf.DUMMYFUNCTION("""COMPUTED_VALUE""")," ")</f>
        <v> </v>
      </c>
      <c r="T207" s="46" t="str">
        <f>IFERROR(__xludf.DUMMYFUNCTION("""COMPUTED_VALUE"""),"Neiva")</f>
        <v>Neiva</v>
      </c>
      <c r="U207" s="87"/>
      <c r="V207" s="46" t="str">
        <f>IFERROR(__xludf.DUMMYFUNCTION("""COMPUTED_VALUE"""),"Medianera")</f>
        <v>Medianera</v>
      </c>
      <c r="W207" s="46"/>
      <c r="X207" s="46">
        <f>IFERROR(__xludf.DUMMYFUNCTION("""COMPUTED_VALUE"""),0.0)</f>
        <v>0</v>
      </c>
      <c r="Y207" s="46" t="str">
        <f>IFERROR(__xludf.DUMMYFUNCTION("""COMPUTED_VALUE"""),"No tiene")</f>
        <v>No tiene</v>
      </c>
      <c r="Z207" s="90" t="str">
        <f>IFERROR(__xludf.DUMMYFUNCTION("""COMPUTED_VALUE"""),"No aplica")</f>
        <v>No aplica</v>
      </c>
      <c r="AA207" s="33" t="str">
        <f>IFERROR(__xludf.DUMMYFUNCTION("""COMPUTED_VALUE"""),"No aplica")</f>
        <v>No aplica</v>
      </c>
      <c r="AB207" s="96" t="str">
        <f>IFERROR(__xludf.DUMMYFUNCTION("""COMPUTED_VALUE"""),"https://photos.app.goo.gl/34KGoMpwwxVPeV8A9")</f>
        <v>https://photos.app.goo.gl/34KGoMpwwxVPeV8A9</v>
      </c>
      <c r="AC207" s="46" t="str">
        <f>IFERROR(__xludf.DUMMYFUNCTION("""COMPUTED_VALUE"""),"Cuenta con acabados de conservación, piso en baldosa, cubierta en teja de zinc, perfil en madera, cielo raso en PVC, con lámparas Led de empotrar se 18”, patio  amplio, en su mayor extensión con cemento rustico y tierra con árboles y jardines.")</f>
        <v>Cuenta con acabados de conservación, piso en baldosa, cubierta en teja de zinc, perfil en madera, cielo raso en PVC, con lámparas Led de empotrar se 18”, patio  amplio, en su mayor extensión con cemento rustico y tierra con árboles y jardines.</v>
      </c>
      <c r="AD207" s="46" t="str">
        <f>IFERROR(__xludf.DUMMYFUNCTION("""COMPUTED_VALUE"""),"Dimensión del lote 12.0 ml x 20.0 ml. Ubicada sobre vía amplia.  Patio amplio. Escritura al día. No se permuta.")</f>
        <v>Dimensión del lote 12.0 ml x 20.0 ml. Ubicada sobre vía amplia.  Patio amplio. Escritura al día. No se permuta.</v>
      </c>
      <c r="AE207" s="46"/>
      <c r="AF207" s="46" t="str">
        <f>IFERROR(__xludf.DUMMYFUNCTION("""COMPUTED_VALUE"""),"básica")</f>
        <v>básica</v>
      </c>
      <c r="AG207" s="46"/>
      <c r="AH207" s="46" t="str">
        <f>IFERROR(__xludf.DUMMYFUNCTION("""COMPUTED_VALUE"""),"Directo")</f>
        <v>Directo</v>
      </c>
      <c r="AI207" s="92" t="str">
        <f>IFERROR(__xludf.DUMMYFUNCTION("""COMPUTED_VALUE"""),"https://lh3.googleusercontent.com/pw/AP1GczOtjV2vz_IlwZDwJ4tpogY9dQA0GjGo4qPiS40htusPz7GTOxQO1QBTvlXVZazIVZcTQxx1QcjIGaOxTJJLUaGcV-vEAQ4d82Lks6v2w2czzxYg4k90=w1200|https://lh3.googleusercontent.com/pw/AP1GczMYZWO9sa2DL3owIqZkFGQVF88zAsIH0lZP14XJlK9-ADIn_J"&amp;"zuQlWM00Z1LRmgmZMgjZ5o-GNabAcjROg0mCK5xupCbxJ-6YiR1v5jhBw873pXHNHw=w1200|https://lh3.googleusercontent.com/pw/AP1GczNHHrHy0CVyxDhvJuGTS45J1yQvvtZrC_g4j5O0w2VQDBKCK1vRURJWI-0qJ3w3TFi5pr1ypIE5WFsLMrpWACItZwW_VCVxRTSKdzcoHecwPlKVTfcC=w1200|https://lh3.google"&amp;"usercontent.com/pw/AP1GczOww42btFYoMuLPYEbO8x1NX7wnpIx6StHt3N5x7rWKbuxPdecxlEUYhovBRJ2j0Tb6DCpRSqkuCh2N1QtC9HEHZiOXjWe1nreBC7hC0jecW-npo7Hs=w1200|https://lh3.googleusercontent.com/pw/AP1GczMumgOEvrT9oq1-LTz8V5WyS-ukq1T6ghyYeeI55vUu5Vtt1x7nu4IaqrDJ1jaa4XF-"&amp;"qZjObmk1q3MX8jc5ug9L-h-_GHyv-bs6B0AS8LWwxpvhSkU3=w1200|https://lh3.googleusercontent.com/pw/AP1GczP3O2auyQucHPnnpHKcfelNjhIS7yHoan1xRJtjGDKnJdRaBCubyJsBWkaSWe2rmQAfp-2DNFiuQ2lHaMV_i8WaNzKHb6dPShqs7tqiyJYO9_wtXHOW=w1200|https://lh3.googleusercontent.com/pw"&amp;"/AP1GczMpedIEUXY4oFZCIxay1tOr4sTNkKDqmgGC6VQf4lf6tjqAKPfQrB2HrbibvjTPaQzTSqHAZPYwKi029p8r7yPEbtOYZO99PKLsZE1O3quYSS7TtCwi=w1200|https://lh3.googleusercontent.com/pw/AP1GczOnlMOuLzidi4pCJYYmLBnB7iJ2JqtfTaSgGnMA4pc35Ra_2m9WIwwAWe0TOcirFoAeMBRwGCgLyLvAXThZyk"&amp;"JH6Q3Bm-leY6dB9hjPwN5eNhOKUSoC=w1200|https://lh3.googleusercontent.com/pw/AP1GczOGakJlaGxKJaMJL_TJk7sB1NWOoM8v6KQqaJrZAkcDnn5tUq765plen467ePuKTB6nrxhPhuEnFvNQqbBt46C5tRcqNswrHKCAkQtc6Oxh7O9tCkMt=w1200|https://lh3.googleusercontent.com/pw/AP1GczNrYbGQ2j9OD"&amp;"Dm-rDywD0rrIxP0Zi6DwTUkr59yNqwFlEX0AN0rZ7cl4aNB34nZoE1r9OebGjlgM2z7HKLs5mS05vKt3tL-wGIt7sW1YSFwhCrBU40w=w1200|https://lh3.googleusercontent.com/pw/AP1GczM2G1jJ7HOazFkIVve6s8e1nHYj-y6vH9s2gg9FdW3wEl8tOGeT0dE0-hhZ53c7m3q83KEg7TVvvoaDYoWBgwdsrUhQpqK6sO-Lj1xv"&amp;"Fvbq-fXlpmLp=w1200|https://lh3.googleusercontent.com/pw/AP1GczPxLlAFSBQAb7nmWGwnu-BWVE1wTlgAjHlMtVNitQDQ1IjSkbdqllkoXhblI3NJ8f2U7HDlU2M0XVsS-8Q5eeBY5rkWMLZpKy280OWuoDqQ_sW2Hh9E=w1200")</f>
        <v>https://lh3.googleusercontent.com/pw/AP1GczOtjV2vz_IlwZDwJ4tpogY9dQA0GjGo4qPiS40htusPz7GTOxQO1QBTvlXVZazIVZcTQxx1QcjIGaOxTJJLUaGcV-vEAQ4d82Lks6v2w2czzxYg4k90=w1200|https://lh3.googleusercontent.com/pw/AP1GczMYZWO9sa2DL3owIqZkFGQVF88zAsIH0lZP14XJlK9-ADIn_JzuQlWM00Z1LRmgmZMgjZ5o-GNabAcjROg0mCK5xupCbxJ-6YiR1v5jhBw873pXHNHw=w1200|https://lh3.googleusercontent.com/pw/AP1GczNHHrHy0CVyxDhvJuGTS45J1yQvvtZrC_g4j5O0w2VQDBKCK1vRURJWI-0qJ3w3TFi5pr1ypIE5WFsLMrpWACItZwW_VCVxRTSKdzcoHecwPlKVTfcC=w1200|https://lh3.googleusercontent.com/pw/AP1GczOww42btFYoMuLPYEbO8x1NX7wnpIx6StHt3N5x7rWKbuxPdecxlEUYhovBRJ2j0Tb6DCpRSqkuCh2N1QtC9HEHZiOXjWe1nreBC7hC0jecW-npo7Hs=w1200|https://lh3.googleusercontent.com/pw/AP1GczMumgOEvrT9oq1-LTz8V5WyS-ukq1T6ghyYeeI55vUu5Vtt1x7nu4IaqrDJ1jaa4XF-qZjObmk1q3MX8jc5ug9L-h-_GHyv-bs6B0AS8LWwxpvhSkU3=w1200|https://lh3.googleusercontent.com/pw/AP1GczP3O2auyQucHPnnpHKcfelNjhIS7yHoan1xRJtjGDKnJdRaBCubyJsBWkaSWe2rmQAfp-2DNFiuQ2lHaMV_i8WaNzKHb6dPShqs7tqiyJYO9_wtXHOW=w1200|https://lh3.googleusercontent.com/pw/AP1GczMpedIEUXY4oFZCIxay1tOr4sTNkKDqmgGC6VQf4lf6tjqAKPfQrB2HrbibvjTPaQzTSqHAZPYwKi029p8r7yPEbtOYZO99PKLsZE1O3quYSS7TtCwi=w1200|https://lh3.googleusercontent.com/pw/AP1GczOnlMOuLzidi4pCJYYmLBnB7iJ2JqtfTaSgGnMA4pc35Ra_2m9WIwwAWe0TOcirFoAeMBRwGCgLyLvAXThZykJH6Q3Bm-leY6dB9hjPwN5eNhOKUSoC=w1200|https://lh3.googleusercontent.com/pw/AP1GczOGakJlaGxKJaMJL_TJk7sB1NWOoM8v6KQqaJrZAkcDnn5tUq765plen467ePuKTB6nrxhPhuEnFvNQqbBt46C5tRcqNswrHKCAkQtc6Oxh7O9tCkMt=w1200|https://lh3.googleusercontent.com/pw/AP1GczNrYbGQ2j9ODDm-rDywD0rrIxP0Zi6DwTUkr59yNqwFlEX0AN0rZ7cl4aNB34nZoE1r9OebGjlgM2z7HKLs5mS05vKt3tL-wGIt7sW1YSFwhCrBU40w=w1200|https://lh3.googleusercontent.com/pw/AP1GczM2G1jJ7HOazFkIVve6s8e1nHYj-y6vH9s2gg9FdW3wEl8tOGeT0dE0-hhZ53c7m3q83KEg7TVvvoaDYoWBgwdsrUhQpqK6sO-Lj1xvFvbq-fXlpmLp=w1200|https://lh3.googleusercontent.com/pw/AP1GczPxLlAFSBQAb7nmWGwnu-BWVE1wTlgAjHlMtVNitQDQ1IjSkbdqllkoXhblI3NJ8f2U7HDlU2M0XVsS-8Q5eeBY5rkWMLZpKy280OWuoDqQ_sW2Hh9E=w1200</v>
      </c>
      <c r="AJ207" s="46"/>
      <c r="AK207" s="46"/>
      <c r="AL207" s="46"/>
      <c r="AM207" s="46"/>
      <c r="AN207" s="46"/>
      <c r="AO207" s="46"/>
      <c r="AP207" s="46"/>
      <c r="AQ207" s="46"/>
      <c r="AR207" s="46"/>
      <c r="AS207" s="46"/>
      <c r="AT207" s="46"/>
      <c r="AU207" s="46"/>
      <c r="AV207" s="46"/>
      <c r="AW207" s="46"/>
      <c r="AX207" s="46"/>
      <c r="AY207" s="46"/>
      <c r="AZ207" s="46"/>
      <c r="BA207" s="46"/>
      <c r="BB207" s="46"/>
      <c r="BC207" s="46"/>
      <c r="BD207" s="46"/>
      <c r="BE207" s="46"/>
      <c r="BF207" s="46"/>
      <c r="BG207" s="46"/>
      <c r="BH207" s="46"/>
      <c r="BI207" s="46"/>
      <c r="BJ207" s="46"/>
      <c r="BK207" s="46"/>
      <c r="BL207" s="46"/>
      <c r="BM207" s="46"/>
      <c r="BN207" s="46"/>
      <c r="BO207" s="46"/>
      <c r="BP207" s="46"/>
      <c r="BQ207" s="46"/>
      <c r="BR207" s="46"/>
      <c r="BS207" s="46"/>
      <c r="BT207" s="46"/>
      <c r="BU207" s="46"/>
      <c r="BV207" s="46"/>
      <c r="BW207" s="46"/>
      <c r="BX207" s="46"/>
      <c r="BY207" s="46"/>
      <c r="BZ207" s="46"/>
      <c r="CA207" s="46"/>
      <c r="CB207" s="46"/>
      <c r="CC207" s="46"/>
    </row>
    <row r="208">
      <c r="A208" s="87" t="str">
        <f>IFERROR(__xludf.DUMMYFUNCTION("""COMPUTED_VALUE"""),"439")</f>
        <v>439</v>
      </c>
      <c r="B208" s="46" t="str">
        <f>IFERROR(__xludf.DUMMYFUNCTION("""COMPUTED_VALUE"""),"Apartamento en conjunto Residencial La Esmeralda - Norte")</f>
        <v>Apartamento en conjunto Residencial La Esmeralda - Norte</v>
      </c>
      <c r="C208" s="46" t="str">
        <f>IFERROR(__xludf.DUMMYFUNCTION("""COMPUTED_VALUE"""),"Apartamento en conjunto")</f>
        <v>Apartamento en conjunto</v>
      </c>
      <c r="D208" s="46" t="str">
        <f>IFERROR(__xludf.DUMMYFUNCTION("""COMPUTED_VALUE"""),"Las Granjas")</f>
        <v>Las Granjas</v>
      </c>
      <c r="E208" s="46" t="str">
        <f>IFERROR(__xludf.DUMMYFUNCTION("""COMPUTED_VALUE"""),"Condominio La Esmeralda")</f>
        <v>Condominio La Esmeralda</v>
      </c>
      <c r="F208" s="90">
        <f>IFERROR(__xludf.DUMMYFUNCTION("""COMPUTED_VALUE"""),1.8E8)</f>
        <v>180000000</v>
      </c>
      <c r="G208" s="46" t="str">
        <f>IFERROR(__xludf.DUMMYFUNCTION("""COMPUTED_VALUE"""),"$100'000.000 a $200'000.000")</f>
        <v>$100'000.000 a $200'000.000</v>
      </c>
      <c r="H208" s="46"/>
      <c r="I208" s="46"/>
      <c r="J208" s="46" t="str">
        <f>IFERROR(__xludf.DUMMYFUNCTION("""COMPUTED_VALUE"""),"Norte")</f>
        <v>Norte</v>
      </c>
      <c r="K208" s="87" t="str">
        <f>IFERROR(__xludf.DUMMYFUNCTION("""COMPUTED_VALUE"""),"2")</f>
        <v>2</v>
      </c>
      <c r="L208" s="46">
        <f>IFERROR(__xludf.DUMMYFUNCTION("""COMPUTED_VALUE"""),3.0)</f>
        <v>3</v>
      </c>
      <c r="M208" s="46"/>
      <c r="N208" s="46">
        <f>IFERROR(__xludf.DUMMYFUNCTION("""COMPUTED_VALUE"""),2.0)</f>
        <v>2</v>
      </c>
      <c r="O208" s="46">
        <f>IFERROR(__xludf.DUMMYFUNCTION("""COMPUTED_VALUE"""),1.0)</f>
        <v>1</v>
      </c>
      <c r="P208" s="46">
        <f>IFERROR(__xludf.DUMMYFUNCTION("""COMPUTED_VALUE"""),5.0)</f>
        <v>5</v>
      </c>
      <c r="Q208" s="92">
        <f>IFERROR(__xludf.DUMMYFUNCTION("""COMPUTED_VALUE"""),75.9)</f>
        <v>75.9</v>
      </c>
      <c r="R208" s="92">
        <f>IFERROR(__xludf.DUMMYFUNCTION("""COMPUTED_VALUE"""),75.9)</f>
        <v>75.9</v>
      </c>
      <c r="S208" s="87" t="str">
        <f>IFERROR(__xludf.DUMMYFUNCTION("""COMPUTED_VALUE""")," ")</f>
        <v> </v>
      </c>
      <c r="T208" s="46" t="str">
        <f>IFERROR(__xludf.DUMMYFUNCTION("""COMPUTED_VALUE"""),"Neiva")</f>
        <v>Neiva</v>
      </c>
      <c r="U208" s="87" t="str">
        <f>IFERROR(__xludf.DUMMYFUNCTION("""COMPUTED_VALUE"""),"3")</f>
        <v>3</v>
      </c>
      <c r="V208" s="46" t="str">
        <f>IFERROR(__xludf.DUMMYFUNCTION("""COMPUTED_VALUE"""),"5to.")</f>
        <v>5to.</v>
      </c>
      <c r="W208" s="46"/>
      <c r="X208" s="46">
        <f>IFERROR(__xludf.DUMMYFUNCTION("""COMPUTED_VALUE"""),3.0)</f>
        <v>3</v>
      </c>
      <c r="Y208" s="46" t="str">
        <f>IFERROR(__xludf.DUMMYFUNCTION("""COMPUTED_VALUE"""),"Social")</f>
        <v>Social</v>
      </c>
      <c r="Z208" s="90">
        <f>IFERROR(__xludf.DUMMYFUNCTION("""COMPUTED_VALUE"""),379000.0)</f>
        <v>379000</v>
      </c>
      <c r="AA208" s="33" t="str">
        <f>IFERROR(__xludf.DUMMYFUNCTION("""COMPUTED_VALUE"""),"No aplica")</f>
        <v>No aplica</v>
      </c>
      <c r="AB208" s="96" t="str">
        <f>IFERROR(__xludf.DUMMYFUNCTION("""COMPUTED_VALUE"""),"https://photos.app.goo.gl/bcbHHWkeWFovPXhZ8")</f>
        <v>https://photos.app.goo.gl/bcbHHWkeWFovPXhZ8</v>
      </c>
      <c r="AC208" s="46" t="str">
        <f>IFERROR(__xludf.DUMMYFUNCTION("""COMPUTED_VALUE"""),"Este acogedor apartamento de estrato 3, ubicado en el Conjunto Residencial La Esmeralda, destaca por su excelente distribución interna y acabados llenos de carácter. El área social ofrece una cómoda sala-comedor revestida con pisos de cerámica brillante y"&amp;" muros en un llamativo tono terracota con elegantes molduras blancas que enmarcan un techo texturizado. La cocina integral está completamente equipada con mesones oscuros, estufa, horno y amplios muebles superiores e inferiores en color blanco clásico con"&amp;" detalles de vidrio. La zona privada se compone de tres habitaciones dotadas con clósets —resaltando un imponente mueble empotrado de piso a techo con zapatero integrado en la alcoba principal—, dos baños modernos con enchapados de calidad y un pasillo co"&amp;"nector, sumando la gran ventaja de contar con su propio parqueadero privado.")</f>
        <v>Este acogedor apartamento de estrato 3, ubicado en el Conjunto Residencial La Esmeralda, destaca por su excelente distribución interna y acabados llenos de carácter. El área social ofrece una cómoda sala-comedor revestida con pisos de cerámica brillante y muros en un llamativo tono terracota con elegantes molduras blancas que enmarcan un techo texturizado. La cocina integral está completamente equipada con mesones oscuros, estufa, horno y amplios muebles superiores e inferiores en color blanco clásico con detalles de vidrio. La zona privada se compone de tres habitaciones dotadas con clósets —resaltando un imponente mueble empotrado de piso a techo con zapatero integrado en la alcoba principal—, dos baños modernos con enchapados de calidad y un pasillo conector, sumando la gran ventaja de contar con su propio parqueadero privado.</v>
      </c>
      <c r="AD208" s="46" t="str">
        <f>IFERROR(__xludf.DUMMYFUNCTION("""COMPUTED_VALUE"""),"La propiedad representa una oportunidad de inversión excepcional gracias a sus atributos de confort y esparcimiento, ideales para cautivar de inmediato a cualquier comprador. El inmueble ofrece un bienestar térmico superior al incluir aire acondicionado i"&amp;"nstalado en la zona de descanso, garantizando frescura constante. Además, el estilo de vida se eleva al máximo dentro del complejo residencial gracias al acceso exclusivo a una fantástica piscina social perfecta para los días de descanso y recreación en f"&amp;"amilia. Por sus espacios listos para habitar, excelente iluminación natural y una ubicación residencial estratégica, este apartamento es la elección definitiva para quienes buscan comodidad, seguridad y alta valorización desde el primer día.")</f>
        <v>La propiedad representa una oportunidad de inversión excepcional gracias a sus atributos de confort y esparcimiento, ideales para cautivar de inmediato a cualquier comprador. El inmueble ofrece un bienestar térmico superior al incluir aire acondicionado instalado en la zona de descanso, garantizando frescura constante. Además, el estilo de vida se eleva al máximo dentro del complejo residencial gracias al acceso exclusivo a una fantástica piscina social perfecta para los días de descanso y recreación en familia. Por sus espacios listos para habitar, excelente iluminación natural y una ubicación residencial estratégica, este apartamento es la elección definitiva para quienes buscan comodidad, seguridad y alta valorización desde el primer día.</v>
      </c>
      <c r="AE208" s="46"/>
      <c r="AF208" s="46" t="str">
        <f>IFERROR(__xludf.DUMMYFUNCTION("""COMPUTED_VALUE"""),"integral")</f>
        <v>integral</v>
      </c>
      <c r="AG208" s="46"/>
      <c r="AH208" s="46" t="str">
        <f>IFERROR(__xludf.DUMMYFUNCTION("""COMPUTED_VALUE"""),"Directo")</f>
        <v>Directo</v>
      </c>
      <c r="AI208" s="92" t="str">
        <f>IFERROR(__xludf.DUMMYFUNCTION("""COMPUTED_VALUE"""),"https://lh3.googleusercontent.com/pw/AP1GczNoLZo9r5NoYn_iJ-mcwEiTZf737cg3shm9Vv5IkYysRmgU02_0tp3JLKLUffCEsTjMSojCHeCabBqo3Re3N79d3K9B6JVYYMfJiNsXiQ-IlUOjMpCt=w1200|https://lh3.googleusercontent.com/pw/AP1GczNDgn_pOQ3Y5jJ4nlYPGKuPogj8F9Vv8nYY7dtDu1oz9_M2M9"&amp;"eegWeT9DVT3oP-lBHL7AWGILo71X9YUYbR3l439lCrG6vI4WwL31JtTczKZpqzcIjC=w1200|https://lh3.googleusercontent.com/pw/AP1GczNMLYZdjOQTvFV5rCMQrLZ_rp9VjbNPuaKsKbxBUDgtwTlx-UKVlb6LwM0il__NsfsFDIdV9q65TMsM2uYY5GuXs5_wKBhd_5dwlFlreEcb4wHGdtvJ=w1200|https://lh3.google"&amp;"usercontent.com/pw/AP1GczMyhA4b6weyHiSMAMdnjwpBpBAP223b9G4V0P5aKHhkH23UuXjnxuKVHd5xNILXVbCm0cpSItQrQJa9maoElBPw0ty1ydlzguyV8khrPiWs24iVIZ_S=w1200|https://lh3.googleusercontent.com/pw/AP1GczOpiQebQdUmHzfd0UkM-tfY_t-aHgPDl3eSTKBUJaBBNXfBosU6YaHO_JcoroQPWAys"&amp;"7iHYVKHD7cXKdO1cFx4_Opj2--52KEZFmOrt43RRcyG2pO73=w1200|https://lh3.googleusercontent.com/pw/AP1GczNnAgSXdnM-qZVxailcDZO59SM2CUXIoQ-hnOiKWgG0_9jqSQwNzqyscLCqfbdWYZLiC2gJLQkMyB5tEJ2OhOpNR8Vt3djkLXv0T-mbQfmCGoK3yjTm=w1200|https://lh3.googleusercontent.com/pw"&amp;"/AP1GczMO9k57IKd52izMzqdYBo4fqnPq8gEJgXQPBlU8jhjd_OUDJPmzDqmUdFbYczb2nrkZmKued3edUY58GSUAmgvBLcA20QkruytEcDqOnkc5VhDRxmpB=w1200|https://lh3.googleusercontent.com/pw/AP1GczPjLrDexR5r_eAyCQ-fs1ERlaoFnbjSFgGJM0Hq1A97YHDgWFanL0o3eFUTA1hPl0E4NevVlQOO9icwOYLRuN"&amp;"W2o-tP4fUT-ARxzfeJ-iB-uDJPtIGz=w1200|https://lh3.googleusercontent.com/pw/AP1GczNq9meKRcA7CUgBR7D57vXO6DlKuFm9SGYVrU2Py3pMb4Yqs35uCiBG2wgUbHXxnvFXlAPVD4iasFfq6X6N9seWkubrRY7W6Z16uJjmO7cw6eK_0TZ6=w1200|https://lh3.googleusercontent.com/pw/AP1GczMpwxFaIraxr"&amp;"pBylJwBqcZ4OQwYl3xA2addb9GV27ekzpjQuC2vinRKbO-DBxAkSPVuMAQFA29jwTZGu7KFH4Q13tCGZLe_x0WzE2mEy-AEoC-vxph4=w1200|https://lh3.googleusercontent.com/pw/AP1GczMqYejj3o1i9Uj6ZA56rGH5ReDlKaN2gU2Y7elOKrwmOjL60ncDtXsd6TX7uYRyemKvwBramvp2bAVsaL6C8wa3YuExQGkO5C13VdT2"&amp;"VnXogtjH6ax1=w1200|https://lh3.googleusercontent.com/pw/AP1GczPHJK1Lou46Rx9HTqHqEOoCRkLFPKAdkRisxDfp31PXsDDQnaOAlmTy8oc6KJaA7u-bIveYwLGrRA6xgHq7yBlx_u9UwOiRbbjwLQsNrJciiYc9Worx=w1200|https://lh3.googleusercontent.com/pw/AP1GczMwY10aB7fgw57jf8twu4X-TtfVUr-"&amp;"l65qkc3luvUUKERoPbYJWWmSLHYOCOD8XHjvW4ZSeho6k1Pf2zWaxx48frazH06AIu2KapeRrn5A52r3cmFPb=w1200|https://lh3.googleusercontent.com/pw/AP1GczMHIbxVGJahteXYnbyTKjxbhkxpjDC2ehqZmMGQKZ92S8diZtNUUJVdlNHG3rtosb0XuyMFFqR4DNAB6rQE4mQAsmmoDd6KWpfr_gsgxLgPYZXGiVV0=w1200"&amp;"|https://lh3.googleusercontent.com/pw/AP1GczMVSdC36nnXPvZwCU0ohQUxRg1ppmYw8sWuNooH-N6DFEic6B2axmu5ZtX10hPkm7sJLPvRlVWPdYmrrpTPs_V2nPoxASNhuejFwWczwgw4-66Lxasc=w1200|https://lh3.googleusercontent.com/pw/AP1GczM_OlD7TMKxukQDONlICvWeCzHgJ_yeIyoQJ8etLaCS536gh"&amp;"DQq9Fyaj3d_nKwCzxUgHIjmPbJJgaF5f8uglr-jhyqQ93P7YpkCgD0Lt5OXukWzHqTc=w1200|https://lh3.googleusercontent.com/pw/AP1GczOIjrp4XN0PypsH6WTvf5WJCLdEC4a0t0CaA6YDU-4OmfUiq6FRUniXg-k876on37jhvczHAFAbfLZjrAvd1imiNVfxqBnR3XbYAdtwG3LHPVRdzLLu=w1200|https://lh3.googl"&amp;"eusercontent.com/pw/AP1GczNluoutjE1LmXC5cXcibQ59p-yDC0-nnxaYfTU1xAoKoJNfEW7bSF47daF2SWxh4ZchbQ-OZ-Ol4IXoINDWOVh8S0247hAUlsjsR7K2SzHu-4OjOq-C=w1200|https://lh3.googleusercontent.com/pw/AP1GczOaIOG8gMhQSKoRqUCYeXlYib52TsX_pu240PIT8is3qCzNqiR8PpYaudYeqxEARZ-"&amp;"Mr2r5abX2AAdtX6meQ-700Q77JzyJuT6dSq67Sj2F5DTLHsz2=w1200|https://lh3.googleusercontent.com/pw/AP1GczOD9GHwzUji2lbpZj3AfCSPEscqT2XLbloUCUgmcy0HcEhErAN9L8Xcgmq2-iMRk0EtWf9cw_4HXlKlUuf_rRtqJd5EKiLFY7DhXbQarcmnRCfvs0MZ=w1200|https://lh3.googleusercontent.com/p"&amp;"w/AP1GczMpSjb6_XwIA88sXKDbZryMhy027x3d0KubLotgasin4ohvs3fyQU-KarCJIYmdK5DGv9c8UATef-ZOmcVmUWQ0Ch12x18ZidaHdWs6nWPBNM2oQJQs=w1200|https://lh3.googleusercontent.com/pw/AP1GczN0VaVloIIjRw6yb_p-UfGk8aFGTNwGkfZKdmX47x3aLroN5ivGO-1PzxJpg3qNXNnkaMBaGJojGdwN4GOe2"&amp;"jF9jazjSv6xFh5U88bsWk8zB_6Sy8g_=w1200|https://lh3.googleusercontent.com/pw/AP1GczPmTe019eUigCuCke00IYuAcNaCBNhBcpq09y_CLyA0mrgSJZ-TwUfQ9-WMTBVuzNWxemAuiKv6IBmYDnqfBtQjpJX0l99VQAOUd9gNM_vhh957B0tY=w1200|https://lh3.googleusercontent.com/pw/AP1GczM1X0jmMXhZ"&amp;"FH1mjp6vjGr1ljDw8kcNl8RryyrT36yK4Kvd0F5TGQmyqiba2gHp5FYKIqlg8VyqFFHKlkqAp0Dg_EYxMq683jlVGh2U-VZfIBEu_RqX=w1200|https://lh3.googleusercontent.com/pw/AP1GczOWKtZRZa9WMB-v0jqgmm91G3ICOsO7h2p53Gkf0TPtN2ODN4XoiXotrdiwoVUTvchV7VLmLVnQhhags93SYFtgl2TenqkfCg4uKcb"&amp;"D988oQi77sAYW=w1200|https://lh3.googleusercontent.com/pw/AP1GczOeVD5iFjWieDgfuPiFElVpFMKWGGHj1u8Hz5hMZRoFwzjicX439_6VH8piX6medCk3ciDHnyHlu6AKEFoxVvfS7kGcQRBuVEuESJxJUB5fLME2Wkh6=w1200|https://lh3.googleusercontent.com/pw/AP1GczMNHl__Wf3YqAbG_M50o3eg8-E6T2"&amp;"R4A2erJeSItBpaqMbXxHmZbY_U1eYTvuMBhr_JMP66BWokdreBpnMSEtB1Q-enjFHjbAhG8vsSixwK11Nv0hrB=w1200")</f>
        <v>https://lh3.googleusercontent.com/pw/AP1GczNoLZo9r5NoYn_iJ-mcwEiTZf737cg3shm9Vv5IkYysRmgU02_0tp3JLKLUffCEsTjMSojCHeCabBqo3Re3N79d3K9B6JVYYMfJiNsXiQ-IlUOjMpCt=w1200|https://lh3.googleusercontent.com/pw/AP1GczNDgn_pOQ3Y5jJ4nlYPGKuPogj8F9Vv8nYY7dtDu1oz9_M2M9eegWeT9DVT3oP-lBHL7AWGILo71X9YUYbR3l439lCrG6vI4WwL31JtTczKZpqzcIjC=w1200|https://lh3.googleusercontent.com/pw/AP1GczNMLYZdjOQTvFV5rCMQrLZ_rp9VjbNPuaKsKbxBUDgtwTlx-UKVlb6LwM0il__NsfsFDIdV9q65TMsM2uYY5GuXs5_wKBhd_5dwlFlreEcb4wHGdtvJ=w1200|https://lh3.googleusercontent.com/pw/AP1GczMyhA4b6weyHiSMAMdnjwpBpBAP223b9G4V0P5aKHhkH23UuXjnxuKVHd5xNILXVbCm0cpSItQrQJa9maoElBPw0ty1ydlzguyV8khrPiWs24iVIZ_S=w1200|https://lh3.googleusercontent.com/pw/AP1GczOpiQebQdUmHzfd0UkM-tfY_t-aHgPDl3eSTKBUJaBBNXfBosU6YaHO_JcoroQPWAys7iHYVKHD7cXKdO1cFx4_Opj2--52KEZFmOrt43RRcyG2pO73=w1200|https://lh3.googleusercontent.com/pw/AP1GczNnAgSXdnM-qZVxailcDZO59SM2CUXIoQ-hnOiKWgG0_9jqSQwNzqyscLCqfbdWYZLiC2gJLQkMyB5tEJ2OhOpNR8Vt3djkLXv0T-mbQfmCGoK3yjTm=w1200|https://lh3.googleusercontent.com/pw/AP1GczMO9k57IKd52izMzqdYBo4fqnPq8gEJgXQPBlU8jhjd_OUDJPmzDqmUdFbYczb2nrkZmKued3edUY58GSUAmgvBLcA20QkruytEcDqOnkc5VhDRxmpB=w1200|https://lh3.googleusercontent.com/pw/AP1GczPjLrDexR5r_eAyCQ-fs1ERlaoFnbjSFgGJM0Hq1A97YHDgWFanL0o3eFUTA1hPl0E4NevVlQOO9icwOYLRuNW2o-tP4fUT-ARxzfeJ-iB-uDJPtIGz=w1200|https://lh3.googleusercontent.com/pw/AP1GczNq9meKRcA7CUgBR7D57vXO6DlKuFm9SGYVrU2Py3pMb4Yqs35uCiBG2wgUbHXxnvFXlAPVD4iasFfq6X6N9seWkubrRY7W6Z16uJjmO7cw6eK_0TZ6=w1200|https://lh3.googleusercontent.com/pw/AP1GczMpwxFaIraxrpBylJwBqcZ4OQwYl3xA2addb9GV27ekzpjQuC2vinRKbO-DBxAkSPVuMAQFA29jwTZGu7KFH4Q13tCGZLe_x0WzE2mEy-AEoC-vxph4=w1200|https://lh3.googleusercontent.com/pw/AP1GczMqYejj3o1i9Uj6ZA56rGH5ReDlKaN2gU2Y7elOKrwmOjL60ncDtXsd6TX7uYRyemKvwBramvp2bAVsaL6C8wa3YuExQGkO5C13VdT2VnXogtjH6ax1=w1200|https://lh3.googleusercontent.com/pw/AP1GczPHJK1Lou46Rx9HTqHqEOoCRkLFPKAdkRisxDfp31PXsDDQnaOAlmTy8oc6KJaA7u-bIveYwLGrRA6xgHq7yBlx_u9UwOiRbbjwLQsNrJciiYc9Worx=w1200|https://lh3.googleusercontent.com/pw/AP1GczMwY10aB7fgw57jf8twu4X-TtfVUr-l65qkc3luvUUKERoPbYJWWmSLHYOCOD8XHjvW4ZSeho6k1Pf2zWaxx48frazH06AIu2KapeRrn5A52r3cmFPb=w1200|https://lh3.googleusercontent.com/pw/AP1GczMHIbxVGJahteXYnbyTKjxbhkxpjDC2ehqZmMGQKZ92S8diZtNUUJVdlNHG3rtosb0XuyMFFqR4DNAB6rQE4mQAsmmoDd6KWpfr_gsgxLgPYZXGiVV0=w1200|https://lh3.googleusercontent.com/pw/AP1GczMVSdC36nnXPvZwCU0ohQUxRg1ppmYw8sWuNooH-N6DFEic6B2axmu5ZtX10hPkm7sJLPvRlVWPdYmrrpTPs_V2nPoxASNhuejFwWczwgw4-66Lxasc=w1200|https://lh3.googleusercontent.com/pw/AP1GczM_OlD7TMKxukQDONlICvWeCzHgJ_yeIyoQJ8etLaCS536ghDQq9Fyaj3d_nKwCzxUgHIjmPbJJgaF5f8uglr-jhyqQ93P7YpkCgD0Lt5OXukWzHqTc=w1200|https://lh3.googleusercontent.com/pw/AP1GczOIjrp4XN0PypsH6WTvf5WJCLdEC4a0t0CaA6YDU-4OmfUiq6FRUniXg-k876on37jhvczHAFAbfLZjrAvd1imiNVfxqBnR3XbYAdtwG3LHPVRdzLLu=w1200|https://lh3.googleusercontent.com/pw/AP1GczNluoutjE1LmXC5cXcibQ59p-yDC0-nnxaYfTU1xAoKoJNfEW7bSF47daF2SWxh4ZchbQ-OZ-Ol4IXoINDWOVh8S0247hAUlsjsR7K2SzHu-4OjOq-C=w1200|https://lh3.googleusercontent.com/pw/AP1GczOaIOG8gMhQSKoRqUCYeXlYib52TsX_pu240PIT8is3qCzNqiR8PpYaudYeqxEARZ-Mr2r5abX2AAdtX6meQ-700Q77JzyJuT6dSq67Sj2F5DTLHsz2=w1200|https://lh3.googleusercontent.com/pw/AP1GczOD9GHwzUji2lbpZj3AfCSPEscqT2XLbloUCUgmcy0HcEhErAN9L8Xcgmq2-iMRk0EtWf9cw_4HXlKlUuf_rRtqJd5EKiLFY7DhXbQarcmnRCfvs0MZ=w1200|https://lh3.googleusercontent.com/pw/AP1GczMpSjb6_XwIA88sXKDbZryMhy027x3d0KubLotgasin4ohvs3fyQU-KarCJIYmdK5DGv9c8UATef-ZOmcVmUWQ0Ch12x18ZidaHdWs6nWPBNM2oQJQs=w1200|https://lh3.googleusercontent.com/pw/AP1GczN0VaVloIIjRw6yb_p-UfGk8aFGTNwGkfZKdmX47x3aLroN5ivGO-1PzxJpg3qNXNnkaMBaGJojGdwN4GOe2jF9jazjSv6xFh5U88bsWk8zB_6Sy8g_=w1200|https://lh3.googleusercontent.com/pw/AP1GczPmTe019eUigCuCke00IYuAcNaCBNhBcpq09y_CLyA0mrgSJZ-TwUfQ9-WMTBVuzNWxemAuiKv6IBmYDnqfBtQjpJX0l99VQAOUd9gNM_vhh957B0tY=w1200|https://lh3.googleusercontent.com/pw/AP1GczM1X0jmMXhZFH1mjp6vjGr1ljDw8kcNl8RryyrT36yK4Kvd0F5TGQmyqiba2gHp5FYKIqlg8VyqFFHKlkqAp0Dg_EYxMq683jlVGh2U-VZfIBEu_RqX=w1200|https://lh3.googleusercontent.com/pw/AP1GczOWKtZRZa9WMB-v0jqgmm91G3ICOsO7h2p53Gkf0TPtN2ODN4XoiXotrdiwoVUTvchV7VLmLVnQhhags93SYFtgl2TenqkfCg4uKcbD988oQi77sAYW=w1200|https://lh3.googleusercontent.com/pw/AP1GczOeVD5iFjWieDgfuPiFElVpFMKWGGHj1u8Hz5hMZRoFwzjicX439_6VH8piX6medCk3ciDHnyHlu6AKEFoxVvfS7kGcQRBuVEuESJxJUB5fLME2Wkh6=w1200|https://lh3.googleusercontent.com/pw/AP1GczMNHl__Wf3YqAbG_M50o3eg8-E6T2R4A2erJeSItBpaqMbXxHmZbY_U1eYTvuMBhr_JMP66BWokdreBpnMSEtB1Q-enjFHjbAhG8vsSixwK11Nv0hrB=w1200</v>
      </c>
      <c r="AJ208" s="46"/>
      <c r="AK208" s="46"/>
      <c r="AL208" s="46"/>
      <c r="AM208" s="46"/>
      <c r="AN208" s="46"/>
      <c r="AO208" s="46"/>
      <c r="AP208" s="46"/>
      <c r="AQ208" s="46"/>
      <c r="AR208" s="46"/>
      <c r="AS208" s="46"/>
      <c r="AT208" s="46"/>
      <c r="AU208" s="46"/>
      <c r="AV208" s="46"/>
      <c r="AW208" s="46"/>
      <c r="AX208" s="46"/>
      <c r="AY208" s="46"/>
      <c r="AZ208" s="46"/>
      <c r="BA208" s="46"/>
      <c r="BB208" s="46"/>
      <c r="BC208" s="46"/>
      <c r="BD208" s="46"/>
      <c r="BE208" s="46"/>
      <c r="BF208" s="46"/>
      <c r="BG208" s="46"/>
      <c r="BH208" s="46"/>
      <c r="BI208" s="46"/>
      <c r="BJ208" s="46"/>
      <c r="BK208" s="46"/>
      <c r="BL208" s="46"/>
      <c r="BM208" s="46"/>
      <c r="BN208" s="46"/>
      <c r="BO208" s="46"/>
      <c r="BP208" s="46"/>
      <c r="BQ208" s="46"/>
      <c r="BR208" s="46"/>
      <c r="BS208" s="46"/>
      <c r="BT208" s="46"/>
      <c r="BU208" s="46"/>
      <c r="BV208" s="46"/>
      <c r="BW208" s="46"/>
      <c r="BX208" s="46"/>
      <c r="BY208" s="46"/>
      <c r="BZ208" s="46"/>
      <c r="CA208" s="46"/>
      <c r="CB208" s="46"/>
      <c r="CC208" s="46"/>
    </row>
    <row r="209">
      <c r="A209" s="87" t="str">
        <f>IFERROR(__xludf.DUMMYFUNCTION("""COMPUTED_VALUE"""),"221")</f>
        <v>221</v>
      </c>
      <c r="B209" s="46" t="str">
        <f>IFERROR(__xludf.DUMMYFUNCTION("""COMPUTED_VALUE"""),"Casa en  Conjunto Portal Del Salitre")</f>
        <v>Casa en  Conjunto Portal Del Salitre</v>
      </c>
      <c r="C209" s="46" t="str">
        <f>IFERROR(__xludf.DUMMYFUNCTION("""COMPUTED_VALUE"""),"Casa en conjunto")</f>
        <v>Casa en conjunto</v>
      </c>
      <c r="D209" s="46" t="str">
        <f>IFERROR(__xludf.DUMMYFUNCTION("""COMPUTED_VALUE"""),"Ciudad Salitre")</f>
        <v>Ciudad Salitre</v>
      </c>
      <c r="E209" s="46" t="str">
        <f>IFERROR(__xludf.DUMMYFUNCTION("""COMPUTED_VALUE"""),"Portal Del Salitre")</f>
        <v>Portal Del Salitre</v>
      </c>
      <c r="F209" s="90">
        <f>IFERROR(__xludf.DUMMYFUNCTION("""COMPUTED_VALUE"""),1.78E8)</f>
        <v>178000000</v>
      </c>
      <c r="G209" s="46" t="str">
        <f>IFERROR(__xludf.DUMMYFUNCTION("""COMPUTED_VALUE"""),"$100'000.000 a $200'000.000")</f>
        <v>$100'000.000 a $200'000.000</v>
      </c>
      <c r="H209" s="46"/>
      <c r="I209" s="46"/>
      <c r="J209" s="46" t="str">
        <f>IFERROR(__xludf.DUMMYFUNCTION("""COMPUTED_VALUE"""),"Oriente")</f>
        <v>Oriente</v>
      </c>
      <c r="K209" s="87"/>
      <c r="L209" s="46">
        <f>IFERROR(__xludf.DUMMYFUNCTION("""COMPUTED_VALUE"""),2.0)</f>
        <v>2</v>
      </c>
      <c r="M209" s="46"/>
      <c r="N209" s="46">
        <f>IFERROR(__xludf.DUMMYFUNCTION("""COMPUTED_VALUE"""),2.0)</f>
        <v>2</v>
      </c>
      <c r="O209" s="46">
        <f>IFERROR(__xludf.DUMMYFUNCTION("""COMPUTED_VALUE"""),1.0)</f>
        <v>1</v>
      </c>
      <c r="P209" s="46">
        <f>IFERROR(__xludf.DUMMYFUNCTION("""COMPUTED_VALUE"""),2.0)</f>
        <v>2</v>
      </c>
      <c r="Q209" s="92">
        <f>IFERROR(__xludf.DUMMYFUNCTION("""COMPUTED_VALUE"""),100.0)</f>
        <v>100</v>
      </c>
      <c r="R209" s="92">
        <f>IFERROR(__xludf.DUMMYFUNCTION("""COMPUTED_VALUE"""),54.48)</f>
        <v>54.48</v>
      </c>
      <c r="S209" s="87" t="str">
        <f>IFERROR(__xludf.DUMMYFUNCTION("""COMPUTED_VALUE""")," ")</f>
        <v> </v>
      </c>
      <c r="T209" s="46" t="str">
        <f>IFERROR(__xludf.DUMMYFUNCTION("""COMPUTED_VALUE"""),"Neiva")</f>
        <v>Neiva</v>
      </c>
      <c r="U209" s="87" t="str">
        <f>IFERROR(__xludf.DUMMYFUNCTION("""COMPUTED_VALUE"""),"2")</f>
        <v>2</v>
      </c>
      <c r="V209" s="46" t="str">
        <f>IFERROR(__xludf.DUMMYFUNCTION("""COMPUTED_VALUE"""),"Medianera")</f>
        <v>Medianera</v>
      </c>
      <c r="W209" s="46"/>
      <c r="X209" s="46">
        <f>IFERROR(__xludf.DUMMYFUNCTION("""COMPUTED_VALUE"""),2.0)</f>
        <v>2</v>
      </c>
      <c r="Y209" s="46" t="str">
        <f>IFERROR(__xludf.DUMMYFUNCTION("""COMPUTED_VALUE"""),"Social")</f>
        <v>Social</v>
      </c>
      <c r="Z209" s="90">
        <f>IFERROR(__xludf.DUMMYFUNCTION("""COMPUTED_VALUE"""),281000.0)</f>
        <v>281000</v>
      </c>
      <c r="AA209" s="33" t="str">
        <f>IFERROR(__xludf.DUMMYFUNCTION("""COMPUTED_VALUE"""),"No aplica")</f>
        <v>No aplica</v>
      </c>
      <c r="AB209" s="96" t="str">
        <f>IFERROR(__xludf.DUMMYFUNCTION("""COMPUTED_VALUE"""),"https://photos.app.goo.gl/LPYqsyhFpfUEwXjq7")</f>
        <v>https://photos.app.goo.gl/LPYqsyhFpfUEwXjq7</v>
      </c>
      <c r="AC209" s="46" t="str">
        <f>IFERROR(__xludf.DUMMYFUNCTION("""COMPUTED_VALUE""")," Casa con buenos acabados, ladrillo a la vista, piso en cerámica, carpintería marcos, puertas, closet en madera color wengue, Marcos y puertas externas en aluminio anodizado con vidrio templado y baranda del balcón en hierro forjado. ")</f>
        <v> Casa con buenos acabados, ladrillo a la vista, piso en cerámica, carpintería marcos, puertas, closet en madera color wengue, Marcos y puertas externas en aluminio anodizado con vidrio templado y baranda del balcón en hierro forjado. </v>
      </c>
      <c r="AD209" s="46" t="str">
        <f>IFERROR(__xludf.DUMMYFUNCTION("""COMPUTED_VALUE"""),"Conjunto  conformado con 34 casas. Casa pequeña de dos pisos. Con doble acceso. Buenos acabados. Cerca del conjunto alto llano,  supermercado popular. Escritura al día. No se permuta.")</f>
        <v>Conjunto  conformado con 34 casas. Casa pequeña de dos pisos. Con doble acceso. Buenos acabados. Cerca del conjunto alto llano,  supermercado popular. Escritura al día. No se permuta.</v>
      </c>
      <c r="AE209" s="46"/>
      <c r="AF209" s="46" t="str">
        <f>IFERROR(__xludf.DUMMYFUNCTION("""COMPUTED_VALUE"""),"integral")</f>
        <v>integral</v>
      </c>
      <c r="AG209" s="46"/>
      <c r="AH209" s="46" t="str">
        <f>IFERROR(__xludf.DUMMYFUNCTION("""COMPUTED_VALUE"""),"Directo")</f>
        <v>Directo</v>
      </c>
      <c r="AI209" s="92" t="str">
        <f>IFERROR(__xludf.DUMMYFUNCTION("""COMPUTED_VALUE"""),"https://lh3.googleusercontent.com/pw/AP1GczPoqj7NoEW6FmV9ZjesM2gjAMxffiiPntW1y4iNaQfLSnyjIxHLqPAv12otskmRKuSaDIAhKRR3_0PDcFSA1JF2h3ZPtCbAE59mAqhP99rof7DkTZVV=w1200|https://lh3.googleusercontent.com/pw/AP1GczP9RI64WZrDhnbTkkCpJW2Io-jpXhG82QBHqq6aecbLKtBJth"&amp;"kUXh1PQcqELyzauoq9Pqku4XtmoPH0YIw2YgXByZHevBFTDoB1LAy8jjefmdtQBtqT=w1200|https://lh3.googleusercontent.com/pw/AP1GczMGt1qMOGdL4Jpb3RVs1BCSIZti5MO8GzR53DXvopM00EshXWZHB_HayD9c65hR0Oks_4SGbGdSEnJEV6wIPPbJ-9Yvfxml0EQJBZoIcL7EqIPtSq0y=w1200|https://lh3.google"&amp;"usercontent.com/pw/AP1GczOT1fF3dQHAB5HJpplYVPyPBoeXvdcPHPWfMoB2_ZA_pQGrhfkolW7Y3PsH08nf4KpxgUGWJtVHXa4FWCeNMF42_FM44QV-8BXUCYCQ1TzRKU2uAfGg=w1200|https://lh3.googleusercontent.com/pw/AP1GczMt-PNRfTMf13ke_8qz4Jy0UDLycSpkUsd0Xe1_VLudXAXUBonR_iOGOLYz-D0HQk5L"&amp;"odMdv5ehuNIcBhU8dF-aKIIcn2U4iFexEwtzTzryxp1VWAot=w1200|https://lh3.googleusercontent.com/pw/AP1GczNOHnMMAtrbBc-ALORvYba0zjkZDtl3m31xSwT-i3CZDE6UWMKTQEJt6MBD1FujF1rgn2uN_6-bO1aeJjN3fyCuaFWOa6_DUvfj8lXxr9rvRDb2CCM8=w1200|https://lh3.googleusercontent.com/pw"&amp;"/AP1GczPmdYBFUkvwDxklA3zfue3_JK4xvoLA4T8jbd9KMlABoEyRXHhd592-QToNFc3SzRCN4nBmB4yIxfs1Xw8qmNMB0ZoJqkpLTrz7wtl-MPEyE_JPvNeH=w1200|https://lh3.googleusercontent.com/pw/AP1GczO4Q0ulgXKyp7NxoSTEdh8AQiHmBhEwx5NnOVHc3o9qR38vs2xxe1Yjrc1Ehv5PzOzO2vxXQmfLMgNVOmYrHI"&amp;"esjsypODMHlI0VbEBn3MpSfMFdk5Fv=w1200|https://lh3.googleusercontent.com/pw/AP1GczOXM1y_LEiLXwqCkISjVP-Jxjkf3wf5a7D3khuZ56aQ82S4LUOwOP8fnNmuq4JQj8COzcrEg8B3neQ0gC4ubcylX015Pc8fZ5igt2BQgFmhXL7LA5eq=w1200|https://lh3.googleusercontent.com/pw/AP1GczMIsZK5rrzTU"&amp;"tSEjMcqzK9Z34BUKNh7SaVfftRt8YV5bDZ_mageQUgOqXjcgvI0D0KMBTo_zJ-tq9tVTMeWyJR3Q6BvtamlHwTJX4fkTUCGIBiwLNT7=w1200|https://lh3.googleusercontent.com/pw/AP1GczMz3y37zNBOHB9kDNOhvxA0R3BicphQJzWVGmm_am0wD4MvzOUqliAT-3p5iBQAfu0z2f2LlFj5L7b-WFU63Fj7lXz6TEgMA-E9fI5A"&amp;"hvNBrzQ_wBh8=w1200|https://lh3.googleusercontent.com/pw/AP1GczPC-gZpfpaq3X5CtVdm0Xo3jlQOVJEBTKDcbIe4greUEo9YubkSi6QrFTUWRCbwHxXbFGQqCxFxWAG7Yyx56u-_6DVZiHSog3WOXnNIJq73KTA4UqBZ=w1200|https://lh3.googleusercontent.com/pw/AP1GczO5ebTIjnJXxax7EWFbY0_C3KkTeGU"&amp;"Qo_Lp_NToaN4LIJBDKrhkqwBOi-0SKPN75VRwkE1YAh-2BcgRF4KNnAEzopFesA6zcVWIkPVsfTQCbEz1Yg3Q=w1200")</f>
        <v>https://lh3.googleusercontent.com/pw/AP1GczPoqj7NoEW6FmV9ZjesM2gjAMxffiiPntW1y4iNaQfLSnyjIxHLqPAv12otskmRKuSaDIAhKRR3_0PDcFSA1JF2h3ZPtCbAE59mAqhP99rof7DkTZVV=w1200|https://lh3.googleusercontent.com/pw/AP1GczP9RI64WZrDhnbTkkCpJW2Io-jpXhG82QBHqq6aecbLKtBJthkUXh1PQcqELyzauoq9Pqku4XtmoPH0YIw2YgXByZHevBFTDoB1LAy8jjefmdtQBtqT=w1200|https://lh3.googleusercontent.com/pw/AP1GczMGt1qMOGdL4Jpb3RVs1BCSIZti5MO8GzR53DXvopM00EshXWZHB_HayD9c65hR0Oks_4SGbGdSEnJEV6wIPPbJ-9Yvfxml0EQJBZoIcL7EqIPtSq0y=w1200|https://lh3.googleusercontent.com/pw/AP1GczOT1fF3dQHAB5HJpplYVPyPBoeXvdcPHPWfMoB2_ZA_pQGrhfkolW7Y3PsH08nf4KpxgUGWJtVHXa4FWCeNMF42_FM44QV-8BXUCYCQ1TzRKU2uAfGg=w1200|https://lh3.googleusercontent.com/pw/AP1GczMt-PNRfTMf13ke_8qz4Jy0UDLycSpkUsd0Xe1_VLudXAXUBonR_iOGOLYz-D0HQk5LodMdv5ehuNIcBhU8dF-aKIIcn2U4iFexEwtzTzryxp1VWAot=w1200|https://lh3.googleusercontent.com/pw/AP1GczNOHnMMAtrbBc-ALORvYba0zjkZDtl3m31xSwT-i3CZDE6UWMKTQEJt6MBD1FujF1rgn2uN_6-bO1aeJjN3fyCuaFWOa6_DUvfj8lXxr9rvRDb2CCM8=w1200|https://lh3.googleusercontent.com/pw/AP1GczPmdYBFUkvwDxklA3zfue3_JK4xvoLA4T8jbd9KMlABoEyRXHhd592-QToNFc3SzRCN4nBmB4yIxfs1Xw8qmNMB0ZoJqkpLTrz7wtl-MPEyE_JPvNeH=w1200|https://lh3.googleusercontent.com/pw/AP1GczO4Q0ulgXKyp7NxoSTEdh8AQiHmBhEwx5NnOVHc3o9qR38vs2xxe1Yjrc1Ehv5PzOzO2vxXQmfLMgNVOmYrHIesjsypODMHlI0VbEBn3MpSfMFdk5Fv=w1200|https://lh3.googleusercontent.com/pw/AP1GczOXM1y_LEiLXwqCkISjVP-Jxjkf3wf5a7D3khuZ56aQ82S4LUOwOP8fnNmuq4JQj8COzcrEg8B3neQ0gC4ubcylX015Pc8fZ5igt2BQgFmhXL7LA5eq=w1200|https://lh3.googleusercontent.com/pw/AP1GczMIsZK5rrzTUtSEjMcqzK9Z34BUKNh7SaVfftRt8YV5bDZ_mageQUgOqXjcgvI0D0KMBTo_zJ-tq9tVTMeWyJR3Q6BvtamlHwTJX4fkTUCGIBiwLNT7=w1200|https://lh3.googleusercontent.com/pw/AP1GczMz3y37zNBOHB9kDNOhvxA0R3BicphQJzWVGmm_am0wD4MvzOUqliAT-3p5iBQAfu0z2f2LlFj5L7b-WFU63Fj7lXz6TEgMA-E9fI5AhvNBrzQ_wBh8=w1200|https://lh3.googleusercontent.com/pw/AP1GczPC-gZpfpaq3X5CtVdm0Xo3jlQOVJEBTKDcbIe4greUEo9YubkSi6QrFTUWRCbwHxXbFGQqCxFxWAG7Yyx56u-_6DVZiHSog3WOXnNIJq73KTA4UqBZ=w1200|https://lh3.googleusercontent.com/pw/AP1GczO5ebTIjnJXxax7EWFbY0_C3KkTeGUQo_Lp_NToaN4LIJBDKrhkqwBOi-0SKPN75VRwkE1YAh-2BcgRF4KNnAEzopFesA6zcVWIkPVsfTQCbEz1Yg3Q=w1200</v>
      </c>
      <c r="AJ209" s="46"/>
      <c r="AK209" s="46"/>
      <c r="AL209" s="46"/>
      <c r="AM209" s="46"/>
      <c r="AN209" s="46"/>
      <c r="AO209" s="46"/>
      <c r="AP209" s="46"/>
      <c r="AQ209" s="46"/>
      <c r="AR209" s="46"/>
      <c r="AS209" s="46"/>
      <c r="AT209" s="46"/>
      <c r="AU209" s="46"/>
      <c r="AV209" s="46"/>
      <c r="AW209" s="46"/>
      <c r="AX209" s="46"/>
      <c r="AY209" s="46"/>
      <c r="AZ209" s="46"/>
      <c r="BA209" s="46"/>
      <c r="BB209" s="46"/>
      <c r="BC209" s="46"/>
      <c r="BD209" s="46"/>
      <c r="BE209" s="46"/>
      <c r="BF209" s="46"/>
      <c r="BG209" s="46"/>
      <c r="BH209" s="46"/>
      <c r="BI209" s="46"/>
      <c r="BJ209" s="46"/>
      <c r="BK209" s="46"/>
      <c r="BL209" s="46"/>
      <c r="BM209" s="46"/>
      <c r="BN209" s="46"/>
      <c r="BO209" s="46"/>
      <c r="BP209" s="46"/>
      <c r="BQ209" s="46"/>
      <c r="BR209" s="46"/>
      <c r="BS209" s="46"/>
      <c r="BT209" s="46"/>
      <c r="BU209" s="46"/>
      <c r="BV209" s="46"/>
      <c r="BW209" s="46"/>
      <c r="BX209" s="46"/>
      <c r="BY209" s="46"/>
      <c r="BZ209" s="46"/>
      <c r="CA209" s="46"/>
      <c r="CB209" s="46"/>
      <c r="CC209" s="46"/>
    </row>
    <row r="210">
      <c r="A210" s="87" t="str">
        <f>IFERROR(__xludf.DUMMYFUNCTION("""COMPUTED_VALUE"""),"282")</f>
        <v>282</v>
      </c>
      <c r="B210" s="46" t="str">
        <f>IFERROR(__xludf.DUMMYFUNCTION("""COMPUTED_VALUE"""),"Casa en barrio Chicala")</f>
        <v>Casa en barrio Chicala</v>
      </c>
      <c r="C210" s="46" t="str">
        <f>IFERROR(__xludf.DUMMYFUNCTION("""COMPUTED_VALUE"""),"Casa")</f>
        <v>Casa</v>
      </c>
      <c r="D210" s="46" t="str">
        <f>IFERROR(__xludf.DUMMYFUNCTION("""COMPUTED_VALUE"""),"Chicalá")</f>
        <v>Chicalá</v>
      </c>
      <c r="E210" s="90" t="str">
        <f>IFERROR(__xludf.DUMMYFUNCTION("""COMPUTED_VALUE""")," ")</f>
        <v> </v>
      </c>
      <c r="F210" s="90">
        <f>IFERROR(__xludf.DUMMYFUNCTION("""COMPUTED_VALUE"""),1.5E8)</f>
        <v>150000000</v>
      </c>
      <c r="G210" s="46" t="str">
        <f>IFERROR(__xludf.DUMMYFUNCTION("""COMPUTED_VALUE"""),"$100'000.000 a $200'000.000")</f>
        <v>$100'000.000 a $200'000.000</v>
      </c>
      <c r="H210" s="46"/>
      <c r="I210" s="46"/>
      <c r="J210" s="46" t="str">
        <f>IFERROR(__xludf.DUMMYFUNCTION("""COMPUTED_VALUE"""),"Norte")</f>
        <v>Norte</v>
      </c>
      <c r="K210" s="87"/>
      <c r="L210" s="46">
        <f>IFERROR(__xludf.DUMMYFUNCTION("""COMPUTED_VALUE"""),3.0)</f>
        <v>3</v>
      </c>
      <c r="M210" s="46"/>
      <c r="N210" s="46">
        <f>IFERROR(__xludf.DUMMYFUNCTION("""COMPUTED_VALUE"""),1.0)</f>
        <v>1</v>
      </c>
      <c r="O210" s="46">
        <f>IFERROR(__xludf.DUMMYFUNCTION("""COMPUTED_VALUE"""),0.0)</f>
        <v>0</v>
      </c>
      <c r="P210" s="46">
        <f>IFERROR(__xludf.DUMMYFUNCTION("""COMPUTED_VALUE"""),2.0)</f>
        <v>2</v>
      </c>
      <c r="Q210" s="92">
        <f>IFERROR(__xludf.DUMMYFUNCTION("""COMPUTED_VALUE"""),110.0)</f>
        <v>110</v>
      </c>
      <c r="R210" s="92">
        <f>IFERROR(__xludf.DUMMYFUNCTION("""COMPUTED_VALUE"""),63.0)</f>
        <v>63</v>
      </c>
      <c r="S210" s="87" t="str">
        <f>IFERROR(__xludf.DUMMYFUNCTION("""COMPUTED_VALUE"""),"Rentabilidad $500,000")</f>
        <v>Rentabilidad $500,000</v>
      </c>
      <c r="T210" s="46" t="str">
        <f>IFERROR(__xludf.DUMMYFUNCTION("""COMPUTED_VALUE"""),"Neiva")</f>
        <v>Neiva</v>
      </c>
      <c r="U210" s="87" t="str">
        <f>IFERROR(__xludf.DUMMYFUNCTION("""COMPUTED_VALUE"""),"2")</f>
        <v>2</v>
      </c>
      <c r="V210" s="46" t="str">
        <f>IFERROR(__xludf.DUMMYFUNCTION("""COMPUTED_VALUE"""),"Medianera")</f>
        <v>Medianera</v>
      </c>
      <c r="W210" s="46"/>
      <c r="X210" s="46">
        <f>IFERROR(__xludf.DUMMYFUNCTION("""COMPUTED_VALUE"""),0.0)</f>
        <v>0</v>
      </c>
      <c r="Y210" s="46" t="str">
        <f>IFERROR(__xludf.DUMMYFUNCTION("""COMPUTED_VALUE"""),"No tiene")</f>
        <v>No tiene</v>
      </c>
      <c r="Z210" s="90" t="str">
        <f>IFERROR(__xludf.DUMMYFUNCTION("""COMPUTED_VALUE"""),"No aplica")</f>
        <v>No aplica</v>
      </c>
      <c r="AA210" s="33" t="str">
        <f>IFERROR(__xludf.DUMMYFUNCTION("""COMPUTED_VALUE"""),"25 años")</f>
        <v>25 años</v>
      </c>
      <c r="AB210" s="96" t="str">
        <f>IFERROR(__xludf.DUMMYFUNCTION("""COMPUTED_VALUE"""),"https://photos.app.goo.gl/1RmDVwjwVstzpCz47")</f>
        <v>https://photos.app.goo.gl/1RmDVwjwVstzpCz47</v>
      </c>
      <c r="AC210" s="46" t="str">
        <f>IFERROR(__xludf.DUMMYFUNCTION("""COMPUTED_VALUE"""),"Casa con buenos acabados, piso en cerámica, el patio en tableta roja, no cuenta con reja antejardín.")</f>
        <v>Casa con buenos acabados, piso en cerámica, el patio en tableta roja, no cuenta con reja antejardín.</v>
      </c>
      <c r="AD210" s="46" t="str">
        <f>IFERROR(__xludf.DUMMYFUNCTION("""COMPUTED_VALUE"""),"Casa en el sector de Chicalá medio, Con diseño original, ubicada sobre vía peatonal. A una casa de la esquina y bahía vehicular amplia. Escritura al día. No permuta.")</f>
        <v>Casa en el sector de Chicalá medio, Con diseño original, ubicada sobre vía peatonal. A una casa de la esquina y bahía vehicular amplia. Escritura al día. No permuta.</v>
      </c>
      <c r="AE210" s="46"/>
      <c r="AF210" s="46" t="str">
        <f>IFERROR(__xludf.DUMMYFUNCTION("""COMPUTED_VALUE"""),"semi-integral")</f>
        <v>semi-integral</v>
      </c>
      <c r="AG210" s="46"/>
      <c r="AH210" s="46" t="str">
        <f>IFERROR(__xludf.DUMMYFUNCTION("""COMPUTED_VALUE"""),"Directo")</f>
        <v>Directo</v>
      </c>
      <c r="AI210" s="92" t="str">
        <f>IFERROR(__xludf.DUMMYFUNCTION("""COMPUTED_VALUE"""),"https://lh3.googleusercontent.com/pw/AP1GczP1w7umzjDwhL1b5N9Kd2ZVvVoFrg06KyUnDdN74pl_ID8n1Wndwb0K1_5KnyTIAxoOdfGHRSqE__JBT3bhTVBI5ushB_9yAWCeUNoMH8SHRZChWo5j=w1200|https://lh3.googleusercontent.com/pw/AP1GczPTtUpIxdJfOoghaYmZwWvOX3mG9HZNHg-TwTz3ZjqCqmF1yd"&amp;"7DCi6NlZ69anYxDa2BRe3pdljKK2Yw6UpEcdkS3TlvSm8XhnbFUaJrEFrVw5_ppdrQ=w1200|https://lh3.googleusercontent.com/pw/AP1GczMLeE93SSusGPvppJ-ISv-AsNTlUHZijq9WxLWkOjEyps9Aj35qF34SgPYGgA5Nt-bVI_3Z2eZ61glSSDiT3irCblaewBcIjtnxxBWdyln1mv5Qun7N=w1200|https://lh3.google"&amp;"usercontent.com/pw/AP1GczPeSjUIb9NEoGB8BpuyYM7ndexGJWpFE5vra_IKJBLU9Ta31G-I4JF-2jL8ciRF7ad6clrk68tgj1ZOOLUWK9AO5cY8mWkpANwLq-ynf897nbACZfe4=w1200|https://lh3.googleusercontent.com/pw/AP1GczNwpLwkWlHXuUgDndgywyn-wcs-jKAMpstZsAlnv0QeGUodYIaKb5L79qD-ChxgMYOF"&amp;"bkHMfqUI0dICVXj2bM_yvL5n6MQ7cvwDoBpcyl28OSKs9XwU=w1200|https://lh3.googleusercontent.com/pw/AP1GczNcxAdHPlxFZJCLDlekEV0p1xgq76J5s5yTsbYOruVTW44rOnN-jUvTHUDryiGnVIpuHy5OaxstC45Pt3ZaF3FHGoAUGGeN9A69ZfljazjRGcLnyx4W=w1200|https://lh3.googleusercontent.com/pw"&amp;"/AP1GczOhs_Dy8HiT2_gBkykKemUn1XeBcTkw3BSAFBS2BqbnU4C-NxpuAjMMQVxNnK0hHWrYokJSnDc5Ju9Z_Y53HTzYGaG0MBrTLbzk1sqy23MLzkCBUVDL=w1200|https://lh3.googleusercontent.com/pw/AP1GczOMFbEiRWraqKr1sEBfSoG0A8LDnykf_lnU3TVc0nTcftjcYOnfQCbtlRH2mECB5jPpv1M97-AVOr-LjP2TYG"&amp;"Bun1oErW6gvFBSHcsmmsqCzHgk8cMN=w1200|https://lh3.googleusercontent.com/pw/AP1GczOkkIAmS-fkXP8IJSW2H1TTgnq89gdAej_ksk-1IBzRset9ygdoUYQFYsnBayijktzy52slxvTemu5-UfaMZq56aLmTf4dikVJtaLXmod0fz4CmxG7A=w1200|https://lh3.googleusercontent.com/pw/AP1GczNxdapfO9xFE"&amp;"ouBShv5ro2SKSbnzptbJFgvBb2e_G2FmB9Hpv96aOA9QYSIQxeZ_gdyuZ8WCXpMYQQJn23ozwcMy6eVy_lXibw9oQ3PwO9ke8l6CvSU=w1200|https://lh3.googleusercontent.com/pw/AP1GczMfR9sYlcl7lenDHQy6Dk17urMafn5KQcq7dE9zx007GzPbVJHd0pNBs6EG_g3LzXc6BPkS3KLZX2Lndo6-MJDkYXajenygipMeDRS9"&amp;"6XQqFpI8NXgx=w1200|https://lh3.googleusercontent.com/pw/AP1GczMOVQ5djfFDVBem1XGauj3BEqJNA6cLywPxUE0DIejaCK0ODxgzIReB6mlgZZr51DM-1NjxDFOqtXxSX9QjkvJlA8MsIRwgnb7_EosX6vI99kHa8cM7=w1200|https://lh3.googleusercontent.com/pw/AP1GczPp9MXI67jgbPvsCvmxwPtjgQtA4uw"&amp;"jMYhCeH4OD6ecpyrPiuT7o-I_oBp5O24BWv_-Jj-Z5Aing1IqLqxoUa43ok-tZTU-fdpSmKKBwDsiJfw-pmt5=w1200|https://lh3.googleusercontent.com/pw/AP1GczM8-oB6kbdugo7G1k1REjqO5Q7f--OxUWTtExe2JQKPMk8ZndJyvQralfwzdgiS28f6dUNsGb6w9oedtAn6-W2tX5nmG4rGPztz53186yBuWN3rurU8=w1200"&amp;"|https://lh3.googleusercontent.com/pw/AP1GczND2hSlc5Scn9bKG5fCXpVJF6uwujnDMo3SiuzGN_PE57zCa2EbfGBC-3cYRJ_1b05nBDS0QsH-sTsQ_Qkt_qC1khMkxC3jD2iGY4xNmlK8nfAJsEUn=w1200|https://lh3.googleusercontent.com/pw/AP1GczOzhOUtdMHrZDPMfd_2b0jbk5ude6aCqBzAjvC0LRaYkxAUk"&amp;"dfyptQP_ZVzqCoDbpTBNNLgQ9HeZNjoN5dvAofKD4r4beYK6KPXHj3ZEkAnz2IcY9HP=w1200|https://lh3.googleusercontent.com/pw/AP1GczOdSouV4NHUBiZ28GHTH8gnC3B4cuDmWdCNcwL21SvD82J8BYbE6suLpqHuvKOysVjaDmt91SKo60neAij3rHWxSpSxxLwAsXUhF2CrtuaQl45DB8w4=w1200")</f>
        <v>https://lh3.googleusercontent.com/pw/AP1GczP1w7umzjDwhL1b5N9Kd2ZVvVoFrg06KyUnDdN74pl_ID8n1Wndwb0K1_5KnyTIAxoOdfGHRSqE__JBT3bhTVBI5ushB_9yAWCeUNoMH8SHRZChWo5j=w1200|https://lh3.googleusercontent.com/pw/AP1GczPTtUpIxdJfOoghaYmZwWvOX3mG9HZNHg-TwTz3ZjqCqmF1yd7DCi6NlZ69anYxDa2BRe3pdljKK2Yw6UpEcdkS3TlvSm8XhnbFUaJrEFrVw5_ppdrQ=w1200|https://lh3.googleusercontent.com/pw/AP1GczMLeE93SSusGPvppJ-ISv-AsNTlUHZijq9WxLWkOjEyps9Aj35qF34SgPYGgA5Nt-bVI_3Z2eZ61glSSDiT3irCblaewBcIjtnxxBWdyln1mv5Qun7N=w1200|https://lh3.googleusercontent.com/pw/AP1GczPeSjUIb9NEoGB8BpuyYM7ndexGJWpFE5vra_IKJBLU9Ta31G-I4JF-2jL8ciRF7ad6clrk68tgj1ZOOLUWK9AO5cY8mWkpANwLq-ynf897nbACZfe4=w1200|https://lh3.googleusercontent.com/pw/AP1GczNwpLwkWlHXuUgDndgywyn-wcs-jKAMpstZsAlnv0QeGUodYIaKb5L79qD-ChxgMYOFbkHMfqUI0dICVXj2bM_yvL5n6MQ7cvwDoBpcyl28OSKs9XwU=w1200|https://lh3.googleusercontent.com/pw/AP1GczNcxAdHPlxFZJCLDlekEV0p1xgq76J5s5yTsbYOruVTW44rOnN-jUvTHUDryiGnVIpuHy5OaxstC45Pt3ZaF3FHGoAUGGeN9A69ZfljazjRGcLnyx4W=w1200|https://lh3.googleusercontent.com/pw/AP1GczOhs_Dy8HiT2_gBkykKemUn1XeBcTkw3BSAFBS2BqbnU4C-NxpuAjMMQVxNnK0hHWrYokJSnDc5Ju9Z_Y53HTzYGaG0MBrTLbzk1sqy23MLzkCBUVDL=w1200|https://lh3.googleusercontent.com/pw/AP1GczOMFbEiRWraqKr1sEBfSoG0A8LDnykf_lnU3TVc0nTcftjcYOnfQCbtlRH2mECB5jPpv1M97-AVOr-LjP2TYGBun1oErW6gvFBSHcsmmsqCzHgk8cMN=w1200|https://lh3.googleusercontent.com/pw/AP1GczOkkIAmS-fkXP8IJSW2H1TTgnq89gdAej_ksk-1IBzRset9ygdoUYQFYsnBayijktzy52slxvTemu5-UfaMZq56aLmTf4dikVJtaLXmod0fz4CmxG7A=w1200|https://lh3.googleusercontent.com/pw/AP1GczNxdapfO9xFEouBShv5ro2SKSbnzptbJFgvBb2e_G2FmB9Hpv96aOA9QYSIQxeZ_gdyuZ8WCXpMYQQJn23ozwcMy6eVy_lXibw9oQ3PwO9ke8l6CvSU=w1200|https://lh3.googleusercontent.com/pw/AP1GczMfR9sYlcl7lenDHQy6Dk17urMafn5KQcq7dE9zx007GzPbVJHd0pNBs6EG_g3LzXc6BPkS3KLZX2Lndo6-MJDkYXajenygipMeDRS96XQqFpI8NXgx=w1200|https://lh3.googleusercontent.com/pw/AP1GczMOVQ5djfFDVBem1XGauj3BEqJNA6cLywPxUE0DIejaCK0ODxgzIReB6mlgZZr51DM-1NjxDFOqtXxSX9QjkvJlA8MsIRwgnb7_EosX6vI99kHa8cM7=w1200|https://lh3.googleusercontent.com/pw/AP1GczPp9MXI67jgbPvsCvmxwPtjgQtA4uwjMYhCeH4OD6ecpyrPiuT7o-I_oBp5O24BWv_-Jj-Z5Aing1IqLqxoUa43ok-tZTU-fdpSmKKBwDsiJfw-pmt5=w1200|https://lh3.googleusercontent.com/pw/AP1GczM8-oB6kbdugo7G1k1REjqO5Q7f--OxUWTtExe2JQKPMk8ZndJyvQralfwzdgiS28f6dUNsGb6w9oedtAn6-W2tX5nmG4rGPztz53186yBuWN3rurU8=w1200|https://lh3.googleusercontent.com/pw/AP1GczND2hSlc5Scn9bKG5fCXpVJF6uwujnDMo3SiuzGN_PE57zCa2EbfGBC-3cYRJ_1b05nBDS0QsH-sTsQ_Qkt_qC1khMkxC3jD2iGY4xNmlK8nfAJsEUn=w1200|https://lh3.googleusercontent.com/pw/AP1GczOzhOUtdMHrZDPMfd_2b0jbk5ude6aCqBzAjvC0LRaYkxAUkdfyptQP_ZVzqCoDbpTBNNLgQ9HeZNjoN5dvAofKD4r4beYK6KPXHj3ZEkAnz2IcY9HP=w1200|https://lh3.googleusercontent.com/pw/AP1GczOdSouV4NHUBiZ28GHTH8gnC3B4cuDmWdCNcwL21SvD82J8BYbE6suLpqHuvKOysVjaDmt91SKo60neAij3rHWxSpSxxLwAsXUhF2CrtuaQl45DB8w4=w1200</v>
      </c>
      <c r="AJ210" s="46"/>
      <c r="AK210" s="46"/>
      <c r="AL210" s="46"/>
      <c r="AM210" s="46"/>
      <c r="AN210" s="46"/>
      <c r="AO210" s="46"/>
      <c r="AP210" s="46"/>
      <c r="AQ210" s="46"/>
      <c r="AR210" s="46"/>
      <c r="AS210" s="46"/>
      <c r="AT210" s="46"/>
      <c r="AU210" s="46"/>
      <c r="AV210" s="46"/>
      <c r="AW210" s="46"/>
      <c r="AX210" s="46"/>
      <c r="AY210" s="46"/>
      <c r="AZ210" s="46"/>
      <c r="BA210" s="46"/>
      <c r="BB210" s="46"/>
      <c r="BC210" s="46"/>
      <c r="BD210" s="46"/>
      <c r="BE210" s="46"/>
      <c r="BF210" s="46"/>
      <c r="BG210" s="46"/>
      <c r="BH210" s="46"/>
      <c r="BI210" s="46"/>
      <c r="BJ210" s="46"/>
      <c r="BK210" s="46"/>
      <c r="BL210" s="46"/>
      <c r="BM210" s="46"/>
      <c r="BN210" s="46"/>
      <c r="BO210" s="46"/>
      <c r="BP210" s="46"/>
      <c r="BQ210" s="46"/>
      <c r="BR210" s="46"/>
      <c r="BS210" s="46"/>
      <c r="BT210" s="46"/>
      <c r="BU210" s="46"/>
      <c r="BV210" s="46"/>
      <c r="BW210" s="46"/>
      <c r="BX210" s="46"/>
      <c r="BY210" s="46"/>
      <c r="BZ210" s="46"/>
      <c r="CA210" s="46"/>
      <c r="CB210" s="46"/>
      <c r="CC210" s="46"/>
    </row>
    <row r="211">
      <c r="A211" s="87" t="str">
        <f>IFERROR(__xludf.DUMMYFUNCTION("""COMPUTED_VALUE"""),"117")</f>
        <v>117</v>
      </c>
      <c r="B211" s="46" t="str">
        <f>IFERROR(__xludf.DUMMYFUNCTION("""COMPUTED_VALUE"""),"Apartamento en conjunto Ciudadela Residencial Entre Rios - Surbastos")</f>
        <v>Apartamento en conjunto Ciudadela Residencial Entre Rios - Surbastos</v>
      </c>
      <c r="C211" s="46" t="str">
        <f>IFERROR(__xludf.DUMMYFUNCTION("""COMPUTED_VALUE"""),"Apartamento en conjunto")</f>
        <v>Apartamento en conjunto</v>
      </c>
      <c r="D211" s="46"/>
      <c r="E211" s="46" t="str">
        <f>IFERROR(__xludf.DUMMYFUNCTION("""COMPUTED_VALUE"""),"Conjunto Ciudadela Residencial Entre Ríos")</f>
        <v>Conjunto Ciudadela Residencial Entre Ríos</v>
      </c>
      <c r="F211" s="90">
        <f>IFERROR(__xludf.DUMMYFUNCTION("""COMPUTED_VALUE"""),1.5E8)</f>
        <v>150000000</v>
      </c>
      <c r="G211" s="46" t="str">
        <f>IFERROR(__xludf.DUMMYFUNCTION("""COMPUTED_VALUE"""),"$100'000.000 a $200'000.000")</f>
        <v>$100'000.000 a $200'000.000</v>
      </c>
      <c r="H211" s="46"/>
      <c r="I211" s="46"/>
      <c r="J211" s="46" t="str">
        <f>IFERROR(__xludf.DUMMYFUNCTION("""COMPUTED_VALUE"""),"Sur")</f>
        <v>Sur</v>
      </c>
      <c r="K211" s="87"/>
      <c r="L211" s="46">
        <f>IFERROR(__xludf.DUMMYFUNCTION("""COMPUTED_VALUE"""),3.0)</f>
        <v>3</v>
      </c>
      <c r="M211" s="46"/>
      <c r="N211" s="46">
        <f>IFERROR(__xludf.DUMMYFUNCTION("""COMPUTED_VALUE"""),1.0)</f>
        <v>1</v>
      </c>
      <c r="O211" s="46">
        <f>IFERROR(__xludf.DUMMYFUNCTION("""COMPUTED_VALUE"""),1.0)</f>
        <v>1</v>
      </c>
      <c r="P211" s="46">
        <f>IFERROR(__xludf.DUMMYFUNCTION("""COMPUTED_VALUE"""),3.0)</f>
        <v>3</v>
      </c>
      <c r="Q211" s="92">
        <f>IFERROR(__xludf.DUMMYFUNCTION("""COMPUTED_VALUE"""),55.0)</f>
        <v>55</v>
      </c>
      <c r="R211" s="92">
        <f>IFERROR(__xludf.DUMMYFUNCTION("""COMPUTED_VALUE"""),48.0)</f>
        <v>48</v>
      </c>
      <c r="S211" s="87" t="str">
        <f>IFERROR(__xludf.DUMMYFUNCTION("""COMPUTED_VALUE""")," ")</f>
        <v> </v>
      </c>
      <c r="T211" s="46" t="str">
        <f>IFERROR(__xludf.DUMMYFUNCTION("""COMPUTED_VALUE"""),"Neiva")</f>
        <v>Neiva</v>
      </c>
      <c r="U211" s="87" t="str">
        <f>IFERROR(__xludf.DUMMYFUNCTION("""COMPUTED_VALUE"""),"2")</f>
        <v>2</v>
      </c>
      <c r="V211" s="46" t="str">
        <f>IFERROR(__xludf.DUMMYFUNCTION("""COMPUTED_VALUE"""),"3er.")</f>
        <v>3er.</v>
      </c>
      <c r="W211" s="46"/>
      <c r="X211" s="46">
        <f>IFERROR(__xludf.DUMMYFUNCTION("""COMPUTED_VALUE"""),0.0)</f>
        <v>0</v>
      </c>
      <c r="Y211" s="46" t="str">
        <f>IFERROR(__xludf.DUMMYFUNCTION("""COMPUTED_VALUE"""),"Social")</f>
        <v>Social</v>
      </c>
      <c r="Z211" s="90">
        <f>IFERROR(__xludf.DUMMYFUNCTION("""COMPUTED_VALUE"""),148000.0)</f>
        <v>148000</v>
      </c>
      <c r="AA211" s="33" t="str">
        <f>IFERROR(__xludf.DUMMYFUNCTION("""COMPUTED_VALUE"""),"No aplica")</f>
        <v>No aplica</v>
      </c>
      <c r="AB211" s="96" t="str">
        <f>IFERROR(__xludf.DUMMYFUNCTION("""COMPUTED_VALUE"""),"https://photos.app.goo.gl/KjHnDQGCE5zVvSbv5")</f>
        <v>https://photos.app.goo.gl/KjHnDQGCE5zVvSbv5</v>
      </c>
      <c r="AC211" s="46" t="str">
        <f>IFERROR(__xludf.DUMMYFUNCTION("""COMPUTED_VALUE"""),"Apartamento listo para habitar, cuenta con un área construida de 55,00m2 y un área privada de 48,00 m2.  Distribución. Sala, comedor, 3 habitaciones, la habitación principal con closet, aire acondicionado y puerta con chapa de seguridad y dos habitaciones"&amp;" sin closet y sin puertas. Pisos en cerámica color beich, muros con acabados impecables en blanco y un ventanal corredizo que da acceso directo a un balcón privado con baranda de seguridad con vidrio y con vista interna del conjunto")</f>
        <v>Apartamento listo para habitar, cuenta con un área construida de 55,00m2 y un área privada de 48,00 m2.  Distribución. Sala, comedor, 3 habitaciones, la habitación principal con closet, aire acondicionado y puerta con chapa de seguridad y dos habitaciones sin closet y sin puertas. Pisos en cerámica color beich, muros con acabados impecables en blanco y un ventanal corredizo que da acceso directo a un balcón privado con baranda de seguridad con vidrio y con vista interna del conjunto</v>
      </c>
      <c r="AD211" s="46" t="str">
        <f>IFERROR(__xludf.DUMMYFUNCTION("""COMPUTED_VALUE"""),"Apartamento ubicado en el prestigioso conjunto Ciudadela Residencial Entre Ríos, en el Sur estratégicamente en un tercer piso, bien iluminado y ventilado.  El conjunto ofrece un ambiente residencial sumamente tranquilo y familiar, equipado con amplias ven"&amp;"tajas logísticas que incluyen parqueaderos comunales exclusivos para propietarios, estacionamiento cómodo para visitantes y espacios técnicos diseñados para bicicletas. Con escritura al día. Oportunidad de inversión.")</f>
        <v>Apartamento ubicado en el prestigioso conjunto Ciudadela Residencial Entre Ríos, en el Sur estratégicamente en un tercer piso, bien iluminado y ventilado.  El conjunto ofrece un ambiente residencial sumamente tranquilo y familiar, equipado con amplias ventajas logísticas que incluyen parqueaderos comunales exclusivos para propietarios, estacionamiento cómodo para visitantes y espacios técnicos diseñados para bicicletas. Con escritura al día. Oportunidad de inversión.</v>
      </c>
      <c r="AE211" s="46"/>
      <c r="AF211" s="46" t="str">
        <f>IFERROR(__xludf.DUMMYFUNCTION("""COMPUTED_VALUE"""),"Semi-integral")</f>
        <v>Semi-integral</v>
      </c>
      <c r="AG211" s="46"/>
      <c r="AH211" s="46" t="str">
        <f>IFERROR(__xludf.DUMMYFUNCTION("""COMPUTED_VALUE"""),"Directo")</f>
        <v>Directo</v>
      </c>
      <c r="AI211" s="92" t="str">
        <f>IFERROR(__xludf.DUMMYFUNCTION("""COMPUTED_VALUE"""),"https://lh3.googleusercontent.com/pw/AP1GczMPO1UH7ftO2c4l0pEW3dD3EirDKXu41YYWePT-HLuu4oi3NA3Okc-2j362g4b0snQeHPRL_ub97loc1gixBHL8zPXLOIF6YBd-Ai4ja4VAn3B2jQwe=w1200|https://lh3.googleusercontent.com/pw/AP1GczNLAplNLQSo3CKYSuNO0BrTNFBA9Wo8Mf7DOghm2zgyue4KjB"&amp;"kWQTqtW20EjwhZ7v-0Z5H7jpewQY4UUglsmrwQfuBZLgxHQ8OUO2YMolP1G9AD3v97=w1200|https://lh3.googleusercontent.com/pw/AP1GczPJ5PeMnE1ULTTLwDuA3a5WZ3b0L-HKVv_EjbbpD8iDma8hRoYS7ieOs2gDr9yoU5QLE2Aikz4Jb-IkncKASF8rosa3VV96BH-mYz5KlxVVzvKU0FtD=w1200|https://lh3.google"&amp;"usercontent.com/pw/AP1GczMgWw0kZ0mBCGzHivyuU-_WIPxNKHwJrkuVYtbN39VhKasxPs3pG-7QdKrV72XDQSR2KyvNbose9ZO52xkW1iZ7GfPA77MR21RoJA2Flog0uuZA5D2f=w1200|https://lh3.googleusercontent.com/pw/AP1GczPIEUgYv75kSjm3AdYuUF0seJkIGpswd5XFgHo2dn1qOs7P8JVXNMgfouOBVbSCGGzj"&amp;"eV-tn6M633fOYQqmchY_aY6_kZHijYtucP1h8hAIFazrrTfg=w1200|https://lh3.googleusercontent.com/pw/AP1GczM3tMN-njxrpI0N6E6D6l3wJandB5u7b9q1SOLtpL-en4_lYbLLDtV6yC_du3a7GYjkMgYWCt6a4TkJh1BMJAvlQxwZvt9f9QY-sfDPIX6cohmo4udY=w1200|https://lh3.googleusercontent.com/pw"&amp;"/AP1GczO9Ur1QSrX_ou9uAocIuCZgBeVwdBw27jRlOVYmqGbCQ4hK7wgcRC_5BzllVCxBNM5pY_An7iNRQ0c-WKZK2PEUcCo_R1BX_ogcVsCxq4mU0irkmwyM=w1200|https://lh3.googleusercontent.com/pw/AP1GczNGImjlru0tVlNmxtPZY1wCJmqyc78TW9SyK4kDKndQP_qutwP4mwJxieX6HjO9BF982SrmsUnFB5DovLMfMM"&amp;"FlG5j6rO6TLmUDKBT1DB9IAevG6f-9=w1200|https://lh3.googleusercontent.com/pw/AP1GczPb3MQmQ3oZsrO-3nbBoYesUyUcmzNUlnyd2cCg1fQdkvM-IhBtg_2cwEro2jNeL2lzeW_QyIaLH5qnTujuWtOfM6ymGgw6hBDhFs9SRzRjsLL4L_k8=w1200|https://lh3.googleusercontent.com/pw/AP1GczOCUCZbkvcbo"&amp;"Waqc7tVJIBjXzXjU1v56oVAsHAQEFiN8UR4iBpUJnAV6sMFKEw31m11gaHu77vVHNUF2xeIRYFR_IQVV4Ku1TM7WepsBbA_KX24c9vz=w1200|https://lh3.googleusercontent.com/pw/AP1GczN-S6VXyhWnW2-ZQU9IJRgXV07g1Y8ikUojE4f2SvgiY4kX5DqugUoYsJirC9p962VDgqSFLgiu0zWAHixb6w5kYNix4jcWLV0EKHMp"&amp;"6N76tjq3s7vG=w1200|https://lh3.googleusercontent.com/pw/AP1GczMcSjJFjW0NoiHsImjPixeafVDSxTH_TRu5LnKromJ_kCfSxeQjicMATHAOT5XEPMl0xLNedRB9klgb3DUJCK1M-owjZiin2RME01x02Ofn5cFx2evG=w1200|https://lh3.googleusercontent.com/pw/AP1GczOTHWjO0hC6V2QU0CFiFv-e3uTF1Ib"&amp;"qUjU3GcbnRgHVAw4AtFuy_y2YzjM7dhLlzZvZ-vFtRu_O9iOf844Jan43QGA6tZyYI-6y16M0YfdBaZYt_tnl=w1200|https://lh3.googleusercontent.com/pw/AP1GczOF1GkRK9EkYWP9LJHxzRerQ2jB_Vbm5WEEk6qOBYFixedLEIeOQ1FAp_WQ-W8sK_dguvkLrx4MQPCkOaPBfvQXwG4iuw7hNea9E9-l7nc5bxxrvgIc=w1200"&amp;"|https://lh3.googleusercontent.com/pw/AP1GczOsByFrSlN9UZqq5XlnLDGHIMZBSf2_7IXwf0fvErR3DcwutDaibskGm7B92_uzUuJ2WHBSv7_GL_4KoaXFkdGkWNPfrLhTGKV4HvmWfgeWiA62YKTY=w1200|https://lh3.googleusercontent.com/pw/AP1GczObYlc734Y2QMh2MDEt1o9sfOBgY_FoK1fZKv3kAT113mN4d"&amp;"unAf9pVGVL6HqK2NeKWsWeryhpgF4XmDBCI_ODJZlXh4a68t_rJkwuXXkxMWZiWmZSL=w1200|https://lh3.googleusercontent.com/pw/AP1GczNvos_FTu2X-iLsHObZLsxfRAfmJ2Z0uAs1Sx0DF0dTdKHuGSKc3i7Ar4113QnY-3lo7sSZUnoyaAP_y4Z8SNlZ0vFZZ7AP7AbTZKxed5Q91_BHZNT4=w1200|https://lh3.googl"&amp;"eusercontent.com/pw/AP1GczOMLuTmxK1a7RITu2Mgj8nkAHBsEPo4W9Fh7EV719S-N-nMHZPOrz0HsTOp77-S9WbYn1FDimJXUtaDiGfs_xHSn5pR2KjEhMiYoLvm3mDoG_7YXQ6p=w1200|https://lh3.googleusercontent.com/pw/AP1GczNtRA9ImnNZgTVmFDW8mTeXzLAJhon8s4bnby-GSkSALGK-eEOhCqqn5tsRaX65pIP"&amp;"f1iU4nRka-XqUZgW2vDlUVhJxeXnqegmu8223X3gHS49SIy2B=w1200|https://lh3.googleusercontent.com/pw/AP1GczPLPK2uH1LNuIDxIUJ9H-RWumvhxUSMNtPHVUUtL1hLn5xERcAvJenIgN-fHmXl9zfPJI_w-Vg1jI-FgKu0Fz6HIV0VtNWeyxT_XjLE1hRvf2acF10m=w1200|https://lh3.googleusercontent.com/p"&amp;"w/AP1GczOoAuOUFqZysRCz2z8g_pYQixrPzRW_qbdePSz5OZKrVfntVHeFw3Qi7GASt3ynlqcqTYYjOXafcTrCkC8zeg_Rf8ErxqZFiNl6Lvmf916xKhXu669L=w1200|https://lh3.googleusercontent.com/pw/AP1GczN9-im6QSYRd548TR5NGUNSOyJhpEbSWkmiMsDRmV5zJoSR68MaZM-bfGvMjvnBcxYmOoPpYNcXQUtAUYR7C"&amp;"9tZMhh6HOOjaToSCsaTRj8f5-z-wiZZ=w1200|https://lh3.googleusercontent.com/pw/AP1GczPUy62IxB-XXM-OANvZenMqdqpVTKf-3yPVGkTkTc3q-zgD_X7yD9rXtqyOG2dSQhGibsZRSCfeHGtB2-Ce5IJjH98e-wWkeZpoquVQ911FbWXcHhTA=w1200|https://lh3.googleusercontent.com/pw/AP1GczPBGJKhCDKI"&amp;"gaDkgEuhyLIFBYsE5Z-cfepzcxhV8hpwr9aezgwHybTPWlDI3ImdQXxkdAPBJYzMIfd7cF1v-89_GSwjDjDBGXZpLbKpF0KIGqmhKgzP=w1200|https://lh3.googleusercontent.com/pw/AP1GczMptphPVhtXwB3h8j3nWRFkjR6GjSi0t8Bef2IsUwKSkKv-Qn3r9zXbh5RLnl-Hbio6GQIfG1AiHM2iqwMcgs3zFs1u4cYQL6IC1Xs"&amp;"-ooFHt7MJpGgg=w1200|https://lh3.googleusercontent.com/pw/AP1GczMJ1MCrGsCMS1WQUFac8W2TSe2VLwsxVdC_s3RgyZPuqDu7Js736ANkF267MsCUjeaRXfkGP-kCbt4YmC_uTG6bfhtDocEMixK_XsdBKDDwOW7E71cJ=w1200|https://lh3.googleusercontent.com/pw/AP1GczPfWZEjKPO6LxZE3HBR88u6GK6n6N"&amp;"f9uOQEYPu6Zy-RYsTg4aPyivUzs8AsVYcHy9O0f3AGa-eHP8HBOcEvdCteN_5q5GrvtsCv01JRd70hHtpnT1ga=w1200|https://lh3.googleusercontent.com/pw/AP1GczP1L1qazAF5NWYqs7ikXsEcn0TeqWbTdMTp9AGis6ur-5nkI_4cCLzTkGGzMCoO2XNp21q5PussO4hGqk_ggwdnJLoERuwNyFUo2JN9KpMJXTE9P1Eh=w120"&amp;"0|https://lh3.googleusercontent.com/pw/AP1GczPfh3PbfIY3m-69dY2VGEaHHE6TeZfKU-t4cfn6FqP5duRpKWMtCaMx3gbEn6oEKqS_OVdeKPlQ5m8gFa6W1991mut0NYhAYM3dZeMuUPpGO0seePeg=w1200|https://lh3.googleusercontent.com/pw/AP1GczNsGsurzAkGfL5kM4tig0i06fmHhlJ83BeeeblQW8r4Dy8u"&amp;"bL_DU5Z3peRnDjXL3lngnQbYaoi7Bcn3-60PzS616D8xTErhOusJEjjkhKBcCx5H-NOm=w1200|https://lh3.googleusercontent.com/pw/AP1GczPCaVwz4oJTC3B_6gOeWMYD-6SS-jZ9xoNQAQHfJ6GsmnuYs6EvCNqwpRmUqdzreeLtNNjXLV6_injNQEB7jVXwlKOtQ8M2fQB0hmi__qYqJLFDNHRf=w1200|https://lh3.goog"&amp;"leusercontent.com/pw/AP1GczP_qUwje0UJg-Zj6e9qUiaCCi28tlxmue5EKclnFUECprMqKy7nl882zmvQGAk5zaiEreLzeThjWMGbNzDsVvMylAXKOv51-o5lPlQWmLOdAKGC_GgF=w1200|https://lh3.googleusercontent.com/pw/AP1GczNjmzXeHSyMJZndzZ4K9jLdv8HX67P4PzkxZUArLz9cfHZx0u46DEQr22QR3Et8kQ"&amp;"MqyLycBelPbg8Y5W98o1NECStNhYk1BB9kkuC5K2SpUpRdJJeO=w1200|https://lh3.googleusercontent.com/pw/AP1GczOp9Ta62mHk-xUjjjrR4SGFAdYE6doEOuASfobIdR5P_R8VgZMoZrdr6DrtZcso7bQxqhk1Z3rxNuu1gHxF0pEwyz4fvFxWjfC1EZgyyzdmeUt-vRKW=w1200|https://lh3.googleusercontent.com/"&amp;"pw/AP1GczNxJGvY9ZNpOoq6mL18lcRARAF3EmgEqfSe9fsTz7DaQc6xzQWg_R20GCdZxbPx8Ngow2kKMwY5TdOJR6wPQspmDpvggCHPayRvf0wFWEPfq54bDuxz=w1200|https://lh3.googleusercontent.com/pw/AP1GczNahaz9t-QroeeOgSOorr9AJf1i_gL716E3_StNnLYrBEJOzvcIpmur1ySi3niqmgP6ngEXMvL2zSvdXwt9"&amp;"m2sLvfMEZSpm-dncsFo35szDKz3_IVwC=w1200|https://lh3.googleusercontent.com/pw/AP1GczMgGkOnjJaku1sGdPcqg-MQ8-Xn10K0ubyipmeYObI8bYpLGBhzCJevVSPLbiwLhPBu-iLpGuuna1g3WFj5tZ79HITQNtKm5ekImexE3ioZqP1gdhF6=w1200|https://lh3.googleusercontent.com/pw/AP1GczMfIP9Dkg5"&amp;"Vj3p_Dg7vUhf8V_7q8tffWS1ZlqyDu4PhmLD9Qi_CjVd4zMHzkpwrVAIOM68FDUakw7BCVa-B5LS5osQses8W8NA-gW8IrMe8QkRpHVd-=w1200|https://lh3.googleusercontent.com/pw/AP1GczNY9EpqyM5BWtfB37dqqH6yXwm4rqEehJ0U0mxq475KvnvJOLFlL7zhp-tP1kGoVZcCDM7gsddOgpkOkXCyDKDOYT9K3Z7jUwoLUx"&amp;"u3nEG84C87AzwI=w1200|https://lh3.googleusercontent.com/pw/AP1GczMfQ8TEH7z74WaQl5LpChdSi3VMGNGaha1quf9Bx0WoimWFrOKTY0X4tFtopAM9RW_EqCKIU4x4gN_2WS3FFnxUKaCQgTaUuuW4KNIaJXjXG3pB5OTH=w1200|https://lh3.googleusercontent.com/pw/AP1GczNxKjhL1M5Kj092HpNSv495N9cV-"&amp;"LRSSNDPtuIHgjuXmzEzTq3YCBHBcYyk2Y0j1g_6hxPa5pjtvzcJ0JpKf1qA44-E-RN1Hh7xvyqzXeOCLxzeLaIN=w1200|https://lh3.googleusercontent.com/pw/AP1GczM0C38pk0yAHQjfRvK_rgQocWeoFkCOZxQowRGTExjG7JTgKw1g1D_1lUaqwT6tCgPeMRgmIss9REY10Z6m0HUa9E530xTXgJE4011r9ytR_Q3EAw4g=w12"&amp;"00|https://lh3.googleusercontent.com/pw/AP1GczNVJzLp6pqIQObfaw8GLPgrJGrm4eZX9tuFuhfaqr3Z_wDDFj-vsv58pCvsgytUTjTqciUl18ZHwq4qQnq6BCa-I5CAHCKBtIW63VREY5E8o6LXoN-0=w1200|https://lh3.googleusercontent.com/pw/AP1GczOOuiBXxMgEIu43UdyS_AZHoz_EUScrx1MiLXffbqlDlo4"&amp;"KVnDDr_YVprm47uLUs-5dunVbyVeD-EEo1Um0kzQXUxJOZE5R31Tgm5JJ52UYwDmaVGJe=w1200|https://lh3.googleusercontent.com/pw/AP1GczPmjrLFH-2Gjp29IOlTwQavR1_5SmshgeAixTYd8cAaOgA73vFsqEEmFX-6RnEbl_ctFMEqz-V5LzYJR4PQ6tWIzDVvRII_SdvZ9vyRgCrrKxwHFBej=w1200|https://lh3.goo"&amp;"gleusercontent.com/pw/AP1GczMl0-pMmy-VDj4RwvKt-H0zCslXJcV9NzAbx_lN6fxnYXb5g8cpL71qJUUBg8DDGiZ7bOEOxsE0Q4CkF4qGxClIiy2h-D2JX4f-GVirRfnREBuesfEf=w1200|https://lh3.googleusercontent.com/pw/AP1GczODWqtNnmBtM7rX5cqcnRspn3BXffKfkUD-qB-iJn7WXoXZ6aviWdi7zJ5kZrTlh"&amp;"q5bDf-ZQq4rbqD1tdrgGoyM89ux2sTuZf7T5oVpsgd7t4_j9V75=w1200|https://lh3.googleusercontent.com/pw/AP1GczPd0vs2rVbQ0GU1JHzbx_9j6caWQlOl8LVR_GLlAoW8lM375xsURUl8JGM4Fntwf_ZFnLZU5BbKKVFG4391MCn55u8-By2o7eajppg6mOK-nNHbSmrX=w1200")</f>
        <v>https://lh3.googleusercontent.com/pw/AP1GczMPO1UH7ftO2c4l0pEW3dD3EirDKXu41YYWePT-HLuu4oi3NA3Okc-2j362g4b0snQeHPRL_ub97loc1gixBHL8zPXLOIF6YBd-Ai4ja4VAn3B2jQwe=w1200|https://lh3.googleusercontent.com/pw/AP1GczNLAplNLQSo3CKYSuNO0BrTNFBA9Wo8Mf7DOghm2zgyue4KjBkWQTqtW20EjwhZ7v-0Z5H7jpewQY4UUglsmrwQfuBZLgxHQ8OUO2YMolP1G9AD3v97=w1200|https://lh3.googleusercontent.com/pw/AP1GczPJ5PeMnE1ULTTLwDuA3a5WZ3b0L-HKVv_EjbbpD8iDma8hRoYS7ieOs2gDr9yoU5QLE2Aikz4Jb-IkncKASF8rosa3VV96BH-mYz5KlxVVzvKU0FtD=w1200|https://lh3.googleusercontent.com/pw/AP1GczMgWw0kZ0mBCGzHivyuU-_WIPxNKHwJrkuVYtbN39VhKasxPs3pG-7QdKrV72XDQSR2KyvNbose9ZO52xkW1iZ7GfPA77MR21RoJA2Flog0uuZA5D2f=w1200|https://lh3.googleusercontent.com/pw/AP1GczPIEUgYv75kSjm3AdYuUF0seJkIGpswd5XFgHo2dn1qOs7P8JVXNMgfouOBVbSCGGzjeV-tn6M633fOYQqmchY_aY6_kZHijYtucP1h8hAIFazrrTfg=w1200|https://lh3.googleusercontent.com/pw/AP1GczM3tMN-njxrpI0N6E6D6l3wJandB5u7b9q1SOLtpL-en4_lYbLLDtV6yC_du3a7GYjkMgYWCt6a4TkJh1BMJAvlQxwZvt9f9QY-sfDPIX6cohmo4udY=w1200|https://lh3.googleusercontent.com/pw/AP1GczO9Ur1QSrX_ou9uAocIuCZgBeVwdBw27jRlOVYmqGbCQ4hK7wgcRC_5BzllVCxBNM5pY_An7iNRQ0c-WKZK2PEUcCo_R1BX_ogcVsCxq4mU0irkmwyM=w1200|https://lh3.googleusercontent.com/pw/AP1GczNGImjlru0tVlNmxtPZY1wCJmqyc78TW9SyK4kDKndQP_qutwP4mwJxieX6HjO9BF982SrmsUnFB5DovLMfMMFlG5j6rO6TLmUDKBT1DB9IAevG6f-9=w1200|https://lh3.googleusercontent.com/pw/AP1GczPb3MQmQ3oZsrO-3nbBoYesUyUcmzNUlnyd2cCg1fQdkvM-IhBtg_2cwEro2jNeL2lzeW_QyIaLH5qnTujuWtOfM6ymGgw6hBDhFs9SRzRjsLL4L_k8=w1200|https://lh3.googleusercontent.com/pw/AP1GczOCUCZbkvcboWaqc7tVJIBjXzXjU1v56oVAsHAQEFiN8UR4iBpUJnAV6sMFKEw31m11gaHu77vVHNUF2xeIRYFR_IQVV4Ku1TM7WepsBbA_KX24c9vz=w1200|https://lh3.googleusercontent.com/pw/AP1GczN-S6VXyhWnW2-ZQU9IJRgXV07g1Y8ikUojE4f2SvgiY4kX5DqugUoYsJirC9p962VDgqSFLgiu0zWAHixb6w5kYNix4jcWLV0EKHMp6N76tjq3s7vG=w1200|https://lh3.googleusercontent.com/pw/AP1GczMcSjJFjW0NoiHsImjPixeafVDSxTH_TRu5LnKromJ_kCfSxeQjicMATHAOT5XEPMl0xLNedRB9klgb3DUJCK1M-owjZiin2RME01x02Ofn5cFx2evG=w1200|https://lh3.googleusercontent.com/pw/AP1GczOTHWjO0hC6V2QU0CFiFv-e3uTF1IbqUjU3GcbnRgHVAw4AtFuy_y2YzjM7dhLlzZvZ-vFtRu_O9iOf844Jan43QGA6tZyYI-6y16M0YfdBaZYt_tnl=w1200|https://lh3.googleusercontent.com/pw/AP1GczOF1GkRK9EkYWP9LJHxzRerQ2jB_Vbm5WEEk6qOBYFixedLEIeOQ1FAp_WQ-W8sK_dguvkLrx4MQPCkOaPBfvQXwG4iuw7hNea9E9-l7nc5bxxrvgIc=w1200|https://lh3.googleusercontent.com/pw/AP1GczOsByFrSlN9UZqq5XlnLDGHIMZBSf2_7IXwf0fvErR3DcwutDaibskGm7B92_uzUuJ2WHBSv7_GL_4KoaXFkdGkWNPfrLhTGKV4HvmWfgeWiA62YKTY=w1200|https://lh3.googleusercontent.com/pw/AP1GczObYlc734Y2QMh2MDEt1o9sfOBgY_FoK1fZKv3kAT113mN4dunAf9pVGVL6HqK2NeKWsWeryhpgF4XmDBCI_ODJZlXh4a68t_rJkwuXXkxMWZiWmZSL=w1200|https://lh3.googleusercontent.com/pw/AP1GczNvos_FTu2X-iLsHObZLsxfRAfmJ2Z0uAs1Sx0DF0dTdKHuGSKc3i7Ar4113QnY-3lo7sSZUnoyaAP_y4Z8SNlZ0vFZZ7AP7AbTZKxed5Q91_BHZNT4=w1200|https://lh3.googleusercontent.com/pw/AP1GczOMLuTmxK1a7RITu2Mgj8nkAHBsEPo4W9Fh7EV719S-N-nMHZPOrz0HsTOp77-S9WbYn1FDimJXUtaDiGfs_xHSn5pR2KjEhMiYoLvm3mDoG_7YXQ6p=w1200|https://lh3.googleusercontent.com/pw/AP1GczNtRA9ImnNZgTVmFDW8mTeXzLAJhon8s4bnby-GSkSALGK-eEOhCqqn5tsRaX65pIPf1iU4nRka-XqUZgW2vDlUVhJxeXnqegmu8223X3gHS49SIy2B=w1200|https://lh3.googleusercontent.com/pw/AP1GczPLPK2uH1LNuIDxIUJ9H-RWumvhxUSMNtPHVUUtL1hLn5xERcAvJenIgN-fHmXl9zfPJI_w-Vg1jI-FgKu0Fz6HIV0VtNWeyxT_XjLE1hRvf2acF10m=w1200|https://lh3.googleusercontent.com/pw/AP1GczOoAuOUFqZysRCz2z8g_pYQixrPzRW_qbdePSz5OZKrVfntVHeFw3Qi7GASt3ynlqcqTYYjOXafcTrCkC8zeg_Rf8ErxqZFiNl6Lvmf916xKhXu669L=w1200|https://lh3.googleusercontent.com/pw/AP1GczN9-im6QSYRd548TR5NGUNSOyJhpEbSWkmiMsDRmV5zJoSR68MaZM-bfGvMjvnBcxYmOoPpYNcXQUtAUYR7C9tZMhh6HOOjaToSCsaTRj8f5-z-wiZZ=w1200|https://lh3.googleusercontent.com/pw/AP1GczPUy62IxB-XXM-OANvZenMqdqpVTKf-3yPVGkTkTc3q-zgD_X7yD9rXtqyOG2dSQhGibsZRSCfeHGtB2-Ce5IJjH98e-wWkeZpoquVQ911FbWXcHhTA=w1200|https://lh3.googleusercontent.com/pw/AP1GczPBGJKhCDKIgaDkgEuhyLIFBYsE5Z-cfepzcxhV8hpwr9aezgwHybTPWlDI3ImdQXxkdAPBJYzMIfd7cF1v-89_GSwjDjDBGXZpLbKpF0KIGqmhKgzP=w1200|https://lh3.googleusercontent.com/pw/AP1GczMptphPVhtXwB3h8j3nWRFkjR6GjSi0t8Bef2IsUwKSkKv-Qn3r9zXbh5RLnl-Hbio6GQIfG1AiHM2iqwMcgs3zFs1u4cYQL6IC1Xs-ooFHt7MJpGgg=w1200|https://lh3.googleusercontent.com/pw/AP1GczMJ1MCrGsCMS1WQUFac8W2TSe2VLwsxVdC_s3RgyZPuqDu7Js736ANkF267MsCUjeaRXfkGP-kCbt4YmC_uTG6bfhtDocEMixK_XsdBKDDwOW7E71cJ=w1200|https://lh3.googleusercontent.com/pw/AP1GczPfWZEjKPO6LxZE3HBR88u6GK6n6Nf9uOQEYPu6Zy-RYsTg4aPyivUzs8AsVYcHy9O0f3AGa-eHP8HBOcEvdCteN_5q5GrvtsCv01JRd70hHtpnT1ga=w1200|https://lh3.googleusercontent.com/pw/AP1GczP1L1qazAF5NWYqs7ikXsEcn0TeqWbTdMTp9AGis6ur-5nkI_4cCLzTkGGzMCoO2XNp21q5PussO4hGqk_ggwdnJLoERuwNyFUo2JN9KpMJXTE9P1Eh=w1200|https://lh3.googleusercontent.com/pw/AP1GczPfh3PbfIY3m-69dY2VGEaHHE6TeZfKU-t4cfn6FqP5duRpKWMtCaMx3gbEn6oEKqS_OVdeKPlQ5m8gFa6W1991mut0NYhAYM3dZeMuUPpGO0seePeg=w1200|https://lh3.googleusercontent.com/pw/AP1GczNsGsurzAkGfL5kM4tig0i06fmHhlJ83BeeeblQW8r4Dy8ubL_DU5Z3peRnDjXL3lngnQbYaoi7Bcn3-60PzS616D8xTErhOusJEjjkhKBcCx5H-NOm=w1200|https://lh3.googleusercontent.com/pw/AP1GczPCaVwz4oJTC3B_6gOeWMYD-6SS-jZ9xoNQAQHfJ6GsmnuYs6EvCNqwpRmUqdzreeLtNNjXLV6_injNQEB7jVXwlKOtQ8M2fQB0hmi__qYqJLFDNHRf=w1200|https://lh3.googleusercontent.com/pw/AP1GczP_qUwje0UJg-Zj6e9qUiaCCi28tlxmue5EKclnFUECprMqKy7nl882zmvQGAk5zaiEreLzeThjWMGbNzDsVvMylAXKOv51-o5lPlQWmLOdAKGC_GgF=w1200|https://lh3.googleusercontent.com/pw/AP1GczNjmzXeHSyMJZndzZ4K9jLdv8HX67P4PzkxZUArLz9cfHZx0u46DEQr22QR3Et8kQMqyLycBelPbg8Y5W98o1NECStNhYk1BB9kkuC5K2SpUpRdJJeO=w1200|https://lh3.googleusercontent.com/pw/AP1GczOp9Ta62mHk-xUjjjrR4SGFAdYE6doEOuASfobIdR5P_R8VgZMoZrdr6DrtZcso7bQxqhk1Z3rxNuu1gHxF0pEwyz4fvFxWjfC1EZgyyzdmeUt-vRKW=w1200|https://lh3.googleusercontent.com/pw/AP1GczNxJGvY9ZNpOoq6mL18lcRARAF3EmgEqfSe9fsTz7DaQc6xzQWg_R20GCdZxbPx8Ngow2kKMwY5TdOJR6wPQspmDpvggCHPayRvf0wFWEPfq54bDuxz=w1200|https://lh3.googleusercontent.com/pw/AP1GczNahaz9t-QroeeOgSOorr9AJf1i_gL716E3_StNnLYrBEJOzvcIpmur1ySi3niqmgP6ngEXMvL2zSvdXwt9m2sLvfMEZSpm-dncsFo35szDKz3_IVwC=w1200|https://lh3.googleusercontent.com/pw/AP1GczMgGkOnjJaku1sGdPcqg-MQ8-Xn10K0ubyipmeYObI8bYpLGBhzCJevVSPLbiwLhPBu-iLpGuuna1g3WFj5tZ79HITQNtKm5ekImexE3ioZqP1gdhF6=w1200|https://lh3.googleusercontent.com/pw/AP1GczMfIP9Dkg5Vj3p_Dg7vUhf8V_7q8tffWS1ZlqyDu4PhmLD9Qi_CjVd4zMHzkpwrVAIOM68FDUakw7BCVa-B5LS5osQses8W8NA-gW8IrMe8QkRpHVd-=w1200|https://lh3.googleusercontent.com/pw/AP1GczNY9EpqyM5BWtfB37dqqH6yXwm4rqEehJ0U0mxq475KvnvJOLFlL7zhp-tP1kGoVZcCDM7gsddOgpkOkXCyDKDOYT9K3Z7jUwoLUxu3nEG84C87AzwI=w1200|https://lh3.googleusercontent.com/pw/AP1GczMfQ8TEH7z74WaQl5LpChdSi3VMGNGaha1quf9Bx0WoimWFrOKTY0X4tFtopAM9RW_EqCKIU4x4gN_2WS3FFnxUKaCQgTaUuuW4KNIaJXjXG3pB5OTH=w1200|https://lh3.googleusercontent.com/pw/AP1GczNxKjhL1M5Kj092HpNSv495N9cV-LRSSNDPtuIHgjuXmzEzTq3YCBHBcYyk2Y0j1g_6hxPa5pjtvzcJ0JpKf1qA44-E-RN1Hh7xvyqzXeOCLxzeLaIN=w1200|https://lh3.googleusercontent.com/pw/AP1GczM0C38pk0yAHQjfRvK_rgQocWeoFkCOZxQowRGTExjG7JTgKw1g1D_1lUaqwT6tCgPeMRgmIss9REY10Z6m0HUa9E530xTXgJE4011r9ytR_Q3EAw4g=w1200|https://lh3.googleusercontent.com/pw/AP1GczNVJzLp6pqIQObfaw8GLPgrJGrm4eZX9tuFuhfaqr3Z_wDDFj-vsv58pCvsgytUTjTqciUl18ZHwq4qQnq6BCa-I5CAHCKBtIW63VREY5E8o6LXoN-0=w1200|https://lh3.googleusercontent.com/pw/AP1GczOOuiBXxMgEIu43UdyS_AZHoz_EUScrx1MiLXffbqlDlo4KVnDDr_YVprm47uLUs-5dunVbyVeD-EEo1Um0kzQXUxJOZE5R31Tgm5JJ52UYwDmaVGJe=w1200|https://lh3.googleusercontent.com/pw/AP1GczPmjrLFH-2Gjp29IOlTwQavR1_5SmshgeAixTYd8cAaOgA73vFsqEEmFX-6RnEbl_ctFMEqz-V5LzYJR4PQ6tWIzDVvRII_SdvZ9vyRgCrrKxwHFBej=w1200|https://lh3.googleusercontent.com/pw/AP1GczMl0-pMmy-VDj4RwvKt-H0zCslXJcV9NzAbx_lN6fxnYXb5g8cpL71qJUUBg8DDGiZ7bOEOxsE0Q4CkF4qGxClIiy2h-D2JX4f-GVirRfnREBuesfEf=w1200|https://lh3.googleusercontent.com/pw/AP1GczODWqtNnmBtM7rX5cqcnRspn3BXffKfkUD-qB-iJn7WXoXZ6aviWdi7zJ5kZrTlhq5bDf-ZQq4rbqD1tdrgGoyM89ux2sTuZf7T5oVpsgd7t4_j9V75=w1200|https://lh3.googleusercontent.com/pw/AP1GczPd0vs2rVbQ0GU1JHzbx_9j6caWQlOl8LVR_GLlAoW8lM375xsURUl8JGM4Fntwf_ZFnLZU5BbKKVFG4391MCn55u8-By2o7eajppg6mOK-nNHbSmrX=w1200</v>
      </c>
      <c r="AJ211" s="46"/>
      <c r="AK211" s="46"/>
      <c r="AL211" s="46"/>
      <c r="AM211" s="46"/>
      <c r="AN211" s="46"/>
      <c r="AO211" s="46"/>
      <c r="AP211" s="46"/>
      <c r="AQ211" s="46"/>
      <c r="AR211" s="46"/>
      <c r="AS211" s="46"/>
      <c r="AT211" s="46"/>
      <c r="AU211" s="46"/>
      <c r="AV211" s="46"/>
      <c r="AW211" s="46"/>
      <c r="AX211" s="46"/>
      <c r="AY211" s="46"/>
      <c r="AZ211" s="46"/>
      <c r="BA211" s="46"/>
      <c r="BB211" s="46"/>
      <c r="BC211" s="46"/>
      <c r="BD211" s="46"/>
      <c r="BE211" s="46"/>
      <c r="BF211" s="46"/>
      <c r="BG211" s="46"/>
      <c r="BH211" s="46"/>
      <c r="BI211" s="46"/>
      <c r="BJ211" s="46"/>
      <c r="BK211" s="46"/>
      <c r="BL211" s="46"/>
      <c r="BM211" s="46"/>
      <c r="BN211" s="46"/>
      <c r="BO211" s="46"/>
      <c r="BP211" s="46"/>
      <c r="BQ211" s="46"/>
      <c r="BR211" s="46"/>
      <c r="BS211" s="46"/>
      <c r="BT211" s="46"/>
      <c r="BU211" s="46"/>
      <c r="BV211" s="46"/>
      <c r="BW211" s="46"/>
      <c r="BX211" s="46"/>
      <c r="BY211" s="46"/>
      <c r="BZ211" s="46"/>
      <c r="CA211" s="46"/>
      <c r="CB211" s="46"/>
      <c r="CC211" s="46"/>
    </row>
    <row r="212">
      <c r="A212" s="87" t="str">
        <f>IFERROR(__xludf.DUMMYFUNCTION("""COMPUTED_VALUE"""),"522")</f>
        <v>522</v>
      </c>
      <c r="B212" s="46" t="str">
        <f>IFERROR(__xludf.DUMMYFUNCTION("""COMPUTED_VALUE"""),"Casa en la Urbanización Mirador de la Victoria - Campoalegre")</f>
        <v>Casa en la Urbanización Mirador de la Victoria - Campoalegre</v>
      </c>
      <c r="C212" s="46" t="str">
        <f>IFERROR(__xludf.DUMMYFUNCTION("""COMPUTED_VALUE"""),"Casa")</f>
        <v>Casa</v>
      </c>
      <c r="D212" s="46" t="str">
        <f>IFERROR(__xludf.DUMMYFUNCTION("""COMPUTED_VALUE"""),"Mirador de la Victoria")</f>
        <v>Mirador de la Victoria</v>
      </c>
      <c r="E212" s="46"/>
      <c r="F212" s="90">
        <f>IFERROR(__xludf.DUMMYFUNCTION("""COMPUTED_VALUE"""),1.1E8)</f>
        <v>110000000</v>
      </c>
      <c r="G212" s="46" t="str">
        <f>IFERROR(__xludf.DUMMYFUNCTION("""COMPUTED_VALUE"""),"$100'000.000 a $200'000.000")</f>
        <v>$100'000.000 a $200'000.000</v>
      </c>
      <c r="H212" s="46"/>
      <c r="I212" s="46"/>
      <c r="J212" s="46" t="str">
        <f>IFERROR(__xludf.DUMMYFUNCTION("""COMPUTED_VALUE"""),"Sur")</f>
        <v>Sur</v>
      </c>
      <c r="K212" s="87"/>
      <c r="L212" s="46">
        <f>IFERROR(__xludf.DUMMYFUNCTION("""COMPUTED_VALUE"""),3.0)</f>
        <v>3</v>
      </c>
      <c r="M212" s="46"/>
      <c r="N212" s="46">
        <f>IFERROR(__xludf.DUMMYFUNCTION("""COMPUTED_VALUE"""),2.0)</f>
        <v>2</v>
      </c>
      <c r="O212" s="46">
        <f>IFERROR(__xludf.DUMMYFUNCTION("""COMPUTED_VALUE"""),1.0)</f>
        <v>1</v>
      </c>
      <c r="P212" s="46">
        <f>IFERROR(__xludf.DUMMYFUNCTION("""COMPUTED_VALUE"""),1.0)</f>
        <v>1</v>
      </c>
      <c r="Q212" s="92">
        <f>IFERROR(__xludf.DUMMYFUNCTION("""COMPUTED_VALUE"""),84.0)</f>
        <v>84</v>
      </c>
      <c r="R212" s="92">
        <f>IFERROR(__xludf.DUMMYFUNCTION("""COMPUTED_VALUE"""),84.0)</f>
        <v>84</v>
      </c>
      <c r="S212" s="87" t="str">
        <f>IFERROR(__xludf.DUMMYFUNCTION("""COMPUTED_VALUE""")," ")</f>
        <v> </v>
      </c>
      <c r="T212" s="46" t="str">
        <f>IFERROR(__xludf.DUMMYFUNCTION("""COMPUTED_VALUE"""),"Campoalegre")</f>
        <v>Campoalegre</v>
      </c>
      <c r="U212" s="87" t="str">
        <f>IFERROR(__xludf.DUMMYFUNCTION("""COMPUTED_VALUE"""),"1")</f>
        <v>1</v>
      </c>
      <c r="V212" s="46" t="str">
        <f>IFERROR(__xludf.DUMMYFUNCTION("""COMPUTED_VALUE"""),"Medianera")</f>
        <v>Medianera</v>
      </c>
      <c r="W212" s="46"/>
      <c r="X212" s="46">
        <f>IFERROR(__xludf.DUMMYFUNCTION("""COMPUTED_VALUE"""),0.0)</f>
        <v>0</v>
      </c>
      <c r="Y212" s="46" t="str">
        <f>IFERROR(__xludf.DUMMYFUNCTION("""COMPUTED_VALUE"""),"No tiene")</f>
        <v>No tiene</v>
      </c>
      <c r="Z212" s="90"/>
      <c r="AA212" s="33" t="str">
        <f>IFERROR(__xludf.DUMMYFUNCTION("""COMPUTED_VALUE"""),"No aplica")</f>
        <v>No aplica</v>
      </c>
      <c r="AB212" s="96" t="str">
        <f>IFERROR(__xludf.DUMMYFUNCTION("""COMPUTED_VALUE"""),"https://photos.app.goo.gl/ySdUsbd2wtMtgKm2A")</f>
        <v>https://photos.app.goo.gl/ySdUsbd2wtMtgKm2A</v>
      </c>
      <c r="AC212" s="46" t="str">
        <f>IFERROR(__xludf.DUMMYFUNCTION("""COMPUTED_VALUE"""),"Esta excelente propiedad destaca por una distribución funcional y moderna, diseñada para el máximo aprovechamiento de cada espacio. Cuenta con una amplia sala-comedor ideal para compartir en familia, una cocina equipada con mesón de concreto enchapado en "&amp;"cerámica y una elegante barra estilo colonial. La zona privada ofrece una generosa alcoba principal (3.48 m x 3.40 m) con baño privado, junto a dos cómodas alcobas auxiliares (3.28 m x 3.00 m) y un baño social impecable. Complementan la vivienda un patio "&amp;"de ropas independiente con excelente ventilación natural mediante claraboyas, parqueadero cubierto propio y finos acabados interiores en estuco, fachada protegida en graniplast de alta durabilidad y una sólida estructura de cubierta en bloquelón con cerch"&amp;"as metálicas totalmente impermeabilizada. OBRA GRIS.")</f>
        <v>Esta excelente propiedad destaca por una distribución funcional y moderna, diseñada para el máximo aprovechamiento de cada espacio. Cuenta con una amplia sala-comedor ideal para compartir en familia, una cocina equipada con mesón de concreto enchapado en cerámica y una elegante barra estilo colonial. La zona privada ofrece una generosa alcoba principal (3.48 m x 3.40 m) con baño privado, junto a dos cómodas alcobas auxiliares (3.28 m x 3.00 m) y un baño social impecable. Complementan la vivienda un patio de ropas independiente con excelente ventilación natural mediante claraboyas, parqueadero cubierto propio y finos acabados interiores en estuco, fachada protegida en graniplast de alta durabilidad y una sólida estructura de cubierta en bloquelón con cerchas metálicas totalmente impermeabilizada. OBRA GRIS.</v>
      </c>
      <c r="AD212" s="46" t="str">
        <f>IFERROR(__xludf.DUMMYFUNCTION("""COMPUTED_VALUE"""),"Invertir en este inmueble es asegurar confort, seguridad y valorización inmediata en una de las zonas con mayor proyección. Su diseño arquitectónico combina a la perfección la robustez estructural con detalles estéticos listos para habitar, como sus impon"&amp;"entes ventanales y puerta principal en ornamentación negra de formato premium que garantizan iluminación y elegancia. La comodidad de un parqueadero cubierto propio, la óptima instalación eléctrica interna de 110V distribuida en múltiples circuitos indepe"&amp;"ndientes y la total claridad legal con planos arquitectónicos y estructurales al día, convierten a esta propiedad en la opción más competitiva y atractiva del mercado actual. Dimensión: 7.0 ML X 12.0 ML.")</f>
        <v>Invertir en este inmueble es asegurar confort, seguridad y valorización inmediata en una de las zonas con mayor proyección. Su diseño arquitectónico combina a la perfección la robustez estructural con detalles estéticos listos para habitar, como sus imponentes ventanales y puerta principal en ornamentación negra de formato premium que garantizan iluminación y elegancia. La comodidad de un parqueadero cubierto propio, la óptima instalación eléctrica interna de 110V distribuida en múltiples circuitos independientes y la total claridad legal con planos arquitectónicos y estructurales al día, convierten a esta propiedad en la opción más competitiva y atractiva del mercado actual. Dimensión: 7.0 ML X 12.0 ML.</v>
      </c>
      <c r="AE212" s="46"/>
      <c r="AF212" s="46" t="str">
        <f>IFERROR(__xludf.DUMMYFUNCTION("""COMPUTED_VALUE"""),"básica")</f>
        <v>básica</v>
      </c>
      <c r="AG212" s="46"/>
      <c r="AH212" s="46" t="str">
        <f>IFERROR(__xludf.DUMMYFUNCTION("""COMPUTED_VALUE"""),"Directo")</f>
        <v>Directo</v>
      </c>
      <c r="AI212" s="92" t="str">
        <f>IFERROR(__xludf.DUMMYFUNCTION("""COMPUTED_VALUE"""),"https://lh3.googleusercontent.com/pw/AP1GczPuCN4BA2mBlZbcDIm2aXTi--hPRNygZ3kLfdqxP4yOF_w6oyVZLnv2SxUPuFmf9XciqmAtEZC3nOXB0i_Ev9SVaMk87zs-7qlrbV0avNJ9yD4eSYgz=w1200|https://lh3.googleusercontent.com/pw/AP1GczMbu0cRoIZrtObruolassvVx_qARXZMrX22ZmAiW0NWFwFsmU"&amp;"PrRQkj7AU9rK6N2gjVILUFChNVab6WzsL9IRCeS7b2MDKoHSg6Y8uD15pFuL4mFhqS=w1200|https://lh3.googleusercontent.com/pw/AP1GczNLqdQp_lNBlgiDzjV73DQdChQIusb2wuXpjjaLdQdckGfLCHMaMePu1PZZSr8zu1CiXdGsVLyqD8QCwHd1gMvc1iqM30pJBFl6sHpJvkz_ZzC5VmyS=w1200|https://lh3.google"&amp;"usercontent.com/pw/AP1GczNBFehjaS1uxRZI9l9axP221ldpBO6LAk0Oy2tU1RhWXUt3LWJYVsdyXqLJOhBGkjEBtUlVj-i-6eGBuX_RvRudg0C3qtn9vlLWDDlMwTFjEhopQPqj=w1200|https://lh3.googleusercontent.com/pw/AP1GczMjetDdiiFwG9HFFelD2MQKVxy39xFKMtwqSV13DPczUHJZqPsJODS9l9IT2IhTPPhw"&amp;"PYbgdL09SVrrNtyLKp7ZRongCnUfRnXoSocNyMLaTtodFjRt=w1200|https://lh3.googleusercontent.com/pw/AP1GczPwseSraeJ-gsmCDclVUQzpcTJK_mvyvpu6zQks5N38F6tWstaK5EgWU8AT2amemdMhHsumNXFt_prDzleWPJOClpQATQHtF4IaRso1ZZjbZe2zSqg1=w1200|https://lh3.googleusercontent.com/pw"&amp;"/AP1GczOlLvaPkWasGWNleUY0bfJjTqEAfvmWlnsxLxxj2EJnbmCtBA1Avvv3zC2bgdYdM_fpuwyCHmic_xVJRa644pPI69hRytJWWm6WBEDx5nFrfOCEUE8P=w1200|https://lh3.googleusercontent.com/pw/AP1GczNP78QKHF7MqJPMFrfiuvUrZO3QnkHIdppHV7mSe20dPK4Rz-l2kWPKZQHnZziH1V98Vio1jLyuzrMGa03iA_"&amp;"DbtMEwBgaC6h2kDp6O1xPazQNV-IrX=w1200")</f>
        <v>https://lh3.googleusercontent.com/pw/AP1GczPuCN4BA2mBlZbcDIm2aXTi--hPRNygZ3kLfdqxP4yOF_w6oyVZLnv2SxUPuFmf9XciqmAtEZC3nOXB0i_Ev9SVaMk87zs-7qlrbV0avNJ9yD4eSYgz=w1200|https://lh3.googleusercontent.com/pw/AP1GczMbu0cRoIZrtObruolassvVx_qARXZMrX22ZmAiW0NWFwFsmUPrRQkj7AU9rK6N2gjVILUFChNVab6WzsL9IRCeS7b2MDKoHSg6Y8uD15pFuL4mFhqS=w1200|https://lh3.googleusercontent.com/pw/AP1GczNLqdQp_lNBlgiDzjV73DQdChQIusb2wuXpjjaLdQdckGfLCHMaMePu1PZZSr8zu1CiXdGsVLyqD8QCwHd1gMvc1iqM30pJBFl6sHpJvkz_ZzC5VmyS=w1200|https://lh3.googleusercontent.com/pw/AP1GczNBFehjaS1uxRZI9l9axP221ldpBO6LAk0Oy2tU1RhWXUt3LWJYVsdyXqLJOhBGkjEBtUlVj-i-6eGBuX_RvRudg0C3qtn9vlLWDDlMwTFjEhopQPqj=w1200|https://lh3.googleusercontent.com/pw/AP1GczMjetDdiiFwG9HFFelD2MQKVxy39xFKMtwqSV13DPczUHJZqPsJODS9l9IT2IhTPPhwPYbgdL09SVrrNtyLKp7ZRongCnUfRnXoSocNyMLaTtodFjRt=w1200|https://lh3.googleusercontent.com/pw/AP1GczPwseSraeJ-gsmCDclVUQzpcTJK_mvyvpu6zQks5N38F6tWstaK5EgWU8AT2amemdMhHsumNXFt_prDzleWPJOClpQATQHtF4IaRso1ZZjbZe2zSqg1=w1200|https://lh3.googleusercontent.com/pw/AP1GczOlLvaPkWasGWNleUY0bfJjTqEAfvmWlnsxLxxj2EJnbmCtBA1Avvv3zC2bgdYdM_fpuwyCHmic_xVJRa644pPI69hRytJWWm6WBEDx5nFrfOCEUE8P=w1200|https://lh3.googleusercontent.com/pw/AP1GczNP78QKHF7MqJPMFrfiuvUrZO3QnkHIdppHV7mSe20dPK4Rz-l2kWPKZQHnZziH1V98Vio1jLyuzrMGa03iA_DbtMEwBgaC6h2kDp6O1xPazQNV-IrX=w1200</v>
      </c>
      <c r="AJ212" s="46"/>
      <c r="AK212" s="46"/>
      <c r="AL212" s="46"/>
      <c r="AM212" s="46"/>
      <c r="AN212" s="46"/>
      <c r="AO212" s="46"/>
      <c r="AP212" s="46"/>
      <c r="AQ212" s="46"/>
      <c r="AR212" s="46"/>
      <c r="AS212" s="46"/>
      <c r="AT212" s="46"/>
      <c r="AU212" s="46"/>
      <c r="AV212" s="46"/>
      <c r="AW212" s="46"/>
      <c r="AX212" s="46"/>
      <c r="AY212" s="46"/>
      <c r="AZ212" s="46"/>
      <c r="BA212" s="46"/>
      <c r="BB212" s="46"/>
      <c r="BC212" s="46"/>
      <c r="BD212" s="46"/>
      <c r="BE212" s="46"/>
      <c r="BF212" s="46"/>
      <c r="BG212" s="46"/>
      <c r="BH212" s="46"/>
      <c r="BI212" s="46"/>
      <c r="BJ212" s="46"/>
      <c r="BK212" s="46"/>
      <c r="BL212" s="46"/>
      <c r="BM212" s="46"/>
      <c r="BN212" s="46"/>
      <c r="BO212" s="46"/>
      <c r="BP212" s="46"/>
      <c r="BQ212" s="46"/>
      <c r="BR212" s="46"/>
      <c r="BS212" s="46"/>
      <c r="BT212" s="46"/>
      <c r="BU212" s="46"/>
      <c r="BV212" s="46"/>
      <c r="BW212" s="46"/>
      <c r="BX212" s="46"/>
      <c r="BY212" s="46"/>
      <c r="BZ212" s="46"/>
      <c r="CA212" s="46"/>
      <c r="CB212" s="46"/>
      <c r="CC212" s="46"/>
    </row>
    <row r="213">
      <c r="A213" s="87" t="str">
        <f>IFERROR(__xludf.DUMMYFUNCTION("""COMPUTED_VALUE"""),"788")</f>
        <v>788</v>
      </c>
      <c r="B213" s="46" t="str">
        <f>IFERROR(__xludf.DUMMYFUNCTION("""COMPUTED_VALUE"""),"Lote en conjunto Condominio Campestre Campo Berdez-Vía Juncal")</f>
        <v>Lote en conjunto Condominio Campestre Campo Berdez-Vía Juncal</v>
      </c>
      <c r="C213" s="46" t="str">
        <f>IFERROR(__xludf.DUMMYFUNCTION("""COMPUTED_VALUE"""),"Lote en conjunto")</f>
        <v>Lote en conjunto</v>
      </c>
      <c r="D213" s="46"/>
      <c r="E213" s="46" t="str">
        <f>IFERROR(__xludf.DUMMYFUNCTION("""COMPUTED_VALUE"""),"Condominio Campestre Campo Berdez")</f>
        <v>Condominio Campestre Campo Berdez</v>
      </c>
      <c r="F213" s="90">
        <f>IFERROR(__xludf.DUMMYFUNCTION("""COMPUTED_VALUE"""),1.0E8)</f>
        <v>100000000</v>
      </c>
      <c r="G213" s="46" t="str">
        <f>IFERROR(__xludf.DUMMYFUNCTION("""COMPUTED_VALUE"""),"$100'000.000 a $200'000.000")</f>
        <v>$100'000.000 a $200'000.000</v>
      </c>
      <c r="H213" s="46"/>
      <c r="I213" s="46"/>
      <c r="J213" s="46" t="str">
        <f>IFERROR(__xludf.DUMMYFUNCTION("""COMPUTED_VALUE"""),"Sur")</f>
        <v>Sur</v>
      </c>
      <c r="K213" s="87"/>
      <c r="L213" s="46">
        <f>IFERROR(__xludf.DUMMYFUNCTION("""COMPUTED_VALUE"""),0.0)</f>
        <v>0</v>
      </c>
      <c r="M213" s="46"/>
      <c r="N213" s="46">
        <f>IFERROR(__xludf.DUMMYFUNCTION("""COMPUTED_VALUE"""),0.0)</f>
        <v>0</v>
      </c>
      <c r="O213" s="46">
        <f>IFERROR(__xludf.DUMMYFUNCTION("""COMPUTED_VALUE"""),0.0)</f>
        <v>0</v>
      </c>
      <c r="P213" s="46">
        <f>IFERROR(__xludf.DUMMYFUNCTION("""COMPUTED_VALUE"""),0.0)</f>
        <v>0</v>
      </c>
      <c r="Q213" s="92">
        <f>IFERROR(__xludf.DUMMYFUNCTION("""COMPUTED_VALUE"""),0.0)</f>
        <v>0</v>
      </c>
      <c r="R213" s="92">
        <f>IFERROR(__xludf.DUMMYFUNCTION("""COMPUTED_VALUE"""),751.27)</f>
        <v>751.27</v>
      </c>
      <c r="S213" s="87"/>
      <c r="T213" s="46" t="str">
        <f>IFERROR(__xludf.DUMMYFUNCTION("""COMPUTED_VALUE"""),"Juncal")</f>
        <v>Juncal</v>
      </c>
      <c r="U213" s="87" t="str">
        <f>IFERROR(__xludf.DUMMYFUNCTION("""COMPUTED_VALUE"""),"4")</f>
        <v>4</v>
      </c>
      <c r="V213" s="46" t="str">
        <f>IFERROR(__xludf.DUMMYFUNCTION("""COMPUTED_VALUE"""),"Medianera")</f>
        <v>Medianera</v>
      </c>
      <c r="W213" s="46"/>
      <c r="X213" s="46">
        <f>IFERROR(__xludf.DUMMYFUNCTION("""COMPUTED_VALUE"""),0.0)</f>
        <v>0</v>
      </c>
      <c r="Y213" s="46" t="str">
        <f>IFERROR(__xludf.DUMMYFUNCTION("""COMPUTED_VALUE"""),"Social")</f>
        <v>Social</v>
      </c>
      <c r="Z213" s="90">
        <f>IFERROR(__xludf.DUMMYFUNCTION("""COMPUTED_VALUE"""),100000.0)</f>
        <v>100000</v>
      </c>
      <c r="AA213" s="33" t="str">
        <f>IFERROR(__xludf.DUMMYFUNCTION("""COMPUTED_VALUE"""),"No aplica")</f>
        <v>No aplica</v>
      </c>
      <c r="AB213" s="96" t="str">
        <f>IFERROR(__xludf.DUMMYFUNCTION("""COMPUTED_VALUE"""),"https://photos.app.goo.gl/CzXXn36mVpKn7ut49")</f>
        <v>https://photos.app.goo.gl/CzXXn36mVpKn7ut49</v>
      </c>
      <c r="AC213" s="46" t="str">
        <f>IFERROR(__xludf.DUMMYFUNCTION("""COMPUTED_VALUE"""),"Zona comun : Porteria, iglesia , salón comunal, canchas, parque infantil,  caballeriza, piscina")</f>
        <v>Zona comun : Porteria, iglesia , salón comunal, canchas, parque infantil,  caballeriza, piscina</v>
      </c>
      <c r="AD213" s="46" t="str">
        <f>IFERROR(__xludf.DUMMYFUNCTION("""COMPUTED_VALUE"""),"Lote campestre urbanizado conjunto campo berdez a 500mts  del cruce de Palermo el juncal - corredor vial jucal betania")</f>
        <v>Lote campestre urbanizado conjunto campo berdez a 500mts  del cruce de Palermo el juncal - corredor vial jucal betania</v>
      </c>
      <c r="AE213" s="46"/>
      <c r="AF213" s="46">
        <f>IFERROR(__xludf.DUMMYFUNCTION("""COMPUTED_VALUE"""),0.0)</f>
        <v>0</v>
      </c>
      <c r="AG213" s="46"/>
      <c r="AH213" s="46" t="str">
        <f>IFERROR(__xludf.DUMMYFUNCTION("""COMPUTED_VALUE"""),"Directo")</f>
        <v>Directo</v>
      </c>
      <c r="AI213" s="92" t="str">
        <f>IFERROR(__xludf.DUMMYFUNCTION("""COMPUTED_VALUE"""),"https://lh3.googleusercontent.com/pw/AP1GczOcsQC4o2ftVxYQ2AZHzRuwO_smjtc79E3Q-qhh9MbHkA3vA-Q1lQfserRUMSehHQUDLMM9mjez-kJ8DHu8-eJkP7poZUlm-wd42z5tjnjJxqkc5v6v=w1200|https://lh3.googleusercontent.com/pw/AP1GczPhtMSpuTIhQ5pfV4UgEP4Hd88TN3M6BQm314JQauGd-_cBmL"&amp;"vv0Pn4jTASrkwdj83zTLCpFv3JZukX2tUCwBCrlqUBmgY0LqfDde26Rku9fJ7V2fBM=w1200|https://lh3.googleusercontent.com/pw/AP1GczNgHI68-ZE6ulrM8VyZ3jd1QXr6_vuvMsTkOHG5hDAg8eZ4IHIwexXEuonblPRsMwzELE35e0c2GYFYenGb1CwJ7oqAeL4AL_3QmPHEHkoH0VofqcCg=w1200|https://lh3.google"&amp;"usercontent.com/pw/AP1GczMxuhh9QHIPiIFrBxHqg8E0POxuzAPLXFUbaq_uGHp8YnZU4aeqtp2LS437VDznlXA5RP_q0j3VfBl2gakVJEqwEDMkCoWeURjLN65_wFIoBH2qiKqY=w1200|https://lh3.googleusercontent.com/pw/AP1GczNshjeGx2e796JNhcvpN09jIoQI-CBmdfqRP1JVm7UOtmW_xW5ot6FL-egNavp3V6z5"&amp;"-Dn_cEcs7NHubVkLk17oMIu-dccmrog-IFVmsEQpdnmJ6WNE=w1200|https://lh3.googleusercontent.com/pw/AP1GczPorKTtOIphg_Jc-U7bVUzq9GRkLXLumfh_VBmXoXS9V36VvXs7TgRkSdeOvRkZEHbrTzy5Y5YwzrebB2mdz7eCUZel21GxD1IEkYbDQRWD0C--z9D9=w1200|https://lh3.googleusercontent.com/pw"&amp;"/AP1GczOxW2sMJ-jglhYN5TnJT73vRmzp-_p5hs3gEth3gtpSalPCJq7VGpRbE0Nev_8g24EyTXZsgImpRSB_ZA3wnVXnGhuS_O-Q0DM5T4ltlxTDWHXjzfE2=w1200|https://lh3.googleusercontent.com/pw/AP1GczN1v5omWQh0K5isc5-EQdB0M41ObmyrgBZATOWNvdGjNRHxXbpeh1KefXGbh9oM41mBFBnj2cmbEU9C5Yx0aJ"&amp;"cr0S4gbpR94D95uH55zWhzHiSM8FQv=w1200|https://lh3.googleusercontent.com/pw/AP1GczOt0yulOJ9yyorNBdo6R4vffdLwwYxbVDqx1BeB6iLKeiRBIRbmMDT19tk2ADHZpnIOMqOJLsUpYAFcSgYU4u_JzugDP8ZJM6nNrGPrg_C3Wavl_bRw=w1200")</f>
        <v>https://lh3.googleusercontent.com/pw/AP1GczOcsQC4o2ftVxYQ2AZHzRuwO_smjtc79E3Q-qhh9MbHkA3vA-Q1lQfserRUMSehHQUDLMM9mjez-kJ8DHu8-eJkP7poZUlm-wd42z5tjnjJxqkc5v6v=w1200|https://lh3.googleusercontent.com/pw/AP1GczPhtMSpuTIhQ5pfV4UgEP4Hd88TN3M6BQm314JQauGd-_cBmLvv0Pn4jTASrkwdj83zTLCpFv3JZukX2tUCwBCrlqUBmgY0LqfDde26Rku9fJ7V2fBM=w1200|https://lh3.googleusercontent.com/pw/AP1GczNgHI68-ZE6ulrM8VyZ3jd1QXr6_vuvMsTkOHG5hDAg8eZ4IHIwexXEuonblPRsMwzELE35e0c2GYFYenGb1CwJ7oqAeL4AL_3QmPHEHkoH0VofqcCg=w1200|https://lh3.googleusercontent.com/pw/AP1GczMxuhh9QHIPiIFrBxHqg8E0POxuzAPLXFUbaq_uGHp8YnZU4aeqtp2LS437VDznlXA5RP_q0j3VfBl2gakVJEqwEDMkCoWeURjLN65_wFIoBH2qiKqY=w1200|https://lh3.googleusercontent.com/pw/AP1GczNshjeGx2e796JNhcvpN09jIoQI-CBmdfqRP1JVm7UOtmW_xW5ot6FL-egNavp3V6z5-Dn_cEcs7NHubVkLk17oMIu-dccmrog-IFVmsEQpdnmJ6WNE=w1200|https://lh3.googleusercontent.com/pw/AP1GczPorKTtOIphg_Jc-U7bVUzq9GRkLXLumfh_VBmXoXS9V36VvXs7TgRkSdeOvRkZEHbrTzy5Y5YwzrebB2mdz7eCUZel21GxD1IEkYbDQRWD0C--z9D9=w1200|https://lh3.googleusercontent.com/pw/AP1GczOxW2sMJ-jglhYN5TnJT73vRmzp-_p5hs3gEth3gtpSalPCJq7VGpRbE0Nev_8g24EyTXZsgImpRSB_ZA3wnVXnGhuS_O-Q0DM5T4ltlxTDWHXjzfE2=w1200|https://lh3.googleusercontent.com/pw/AP1GczN1v5omWQh0K5isc5-EQdB0M41ObmyrgBZATOWNvdGjNRHxXbpeh1KefXGbh9oM41mBFBnj2cmbEU9C5Yx0aJcr0S4gbpR94D95uH55zWhzHiSM8FQv=w1200|https://lh3.googleusercontent.com/pw/AP1GczOt0yulOJ9yyorNBdo6R4vffdLwwYxbVDqx1BeB6iLKeiRBIRbmMDT19tk2ADHZpnIOMqOJLsUpYAFcSgYU4u_JzugDP8ZJM6nNrGPrg_C3Wavl_bRw=w1200</v>
      </c>
      <c r="AJ213" s="46"/>
      <c r="AK213" s="46"/>
      <c r="AL213" s="46"/>
      <c r="AM213" s="46"/>
      <c r="AN213" s="46"/>
      <c r="AO213" s="46"/>
      <c r="AP213" s="46"/>
      <c r="AQ213" s="46"/>
      <c r="AR213" s="46"/>
      <c r="AS213" s="46"/>
      <c r="AT213" s="46"/>
      <c r="AU213" s="46"/>
      <c r="AV213" s="46"/>
      <c r="AW213" s="46"/>
      <c r="AX213" s="46"/>
      <c r="AY213" s="46"/>
      <c r="AZ213" s="46"/>
      <c r="BA213" s="46"/>
      <c r="BB213" s="46"/>
      <c r="BC213" s="46"/>
      <c r="BD213" s="46"/>
      <c r="BE213" s="46"/>
      <c r="BF213" s="46"/>
      <c r="BG213" s="46"/>
      <c r="BH213" s="46"/>
      <c r="BI213" s="46"/>
      <c r="BJ213" s="46"/>
      <c r="BK213" s="46"/>
      <c r="BL213" s="46"/>
      <c r="BM213" s="46"/>
      <c r="BN213" s="46"/>
      <c r="BO213" s="46"/>
      <c r="BP213" s="46"/>
      <c r="BQ213" s="46"/>
      <c r="BR213" s="46"/>
      <c r="BS213" s="46"/>
      <c r="BT213" s="46"/>
      <c r="BU213" s="46"/>
      <c r="BV213" s="46"/>
      <c r="BW213" s="46"/>
      <c r="BX213" s="46"/>
      <c r="BY213" s="46"/>
      <c r="BZ213" s="46"/>
      <c r="CA213" s="46"/>
      <c r="CB213" s="46"/>
      <c r="CC213" s="46"/>
    </row>
    <row r="214">
      <c r="A214" s="87" t="str">
        <f>IFERROR(__xludf.DUMMYFUNCTION("""COMPUTED_VALUE"""),"574")</f>
        <v>574</v>
      </c>
      <c r="B214" s="46" t="str">
        <f>IFERROR(__xludf.DUMMYFUNCTION("""COMPUTED_VALUE"""),"Casa en barrio La paz - Sur-Or")</f>
        <v>Casa en barrio La paz - Sur-Or</v>
      </c>
      <c r="C214" s="46" t="str">
        <f>IFERROR(__xludf.DUMMYFUNCTION("""COMPUTED_VALUE"""),"Casa")</f>
        <v>Casa</v>
      </c>
      <c r="D214" s="46" t="str">
        <f>IFERROR(__xludf.DUMMYFUNCTION("""COMPUTED_VALUE"""),"La paz")</f>
        <v>La paz</v>
      </c>
      <c r="E214" s="46"/>
      <c r="F214" s="90">
        <f>IFERROR(__xludf.DUMMYFUNCTION("""COMPUTED_VALUE"""),1.5E8)</f>
        <v>150000000</v>
      </c>
      <c r="G214" s="46" t="str">
        <f>IFERROR(__xludf.DUMMYFUNCTION("""COMPUTED_VALUE"""),"$100'000.000 a $200'000.000")</f>
        <v>$100'000.000 a $200'000.000</v>
      </c>
      <c r="H214" s="46"/>
      <c r="I214" s="46"/>
      <c r="J214" s="46" t="str">
        <f>IFERROR(__xludf.DUMMYFUNCTION("""COMPUTED_VALUE"""),"Sur")</f>
        <v>Sur</v>
      </c>
      <c r="K214" s="87" t="str">
        <f>IFERROR(__xludf.DUMMYFUNCTION("""COMPUTED_VALUE"""),"8")</f>
        <v>8</v>
      </c>
      <c r="L214" s="46">
        <f>IFERROR(__xludf.DUMMYFUNCTION("""COMPUTED_VALUE"""),5.0)</f>
        <v>5</v>
      </c>
      <c r="M214" s="46">
        <f>IFERROR(__xludf.DUMMYFUNCTION("""COMPUTED_VALUE"""),2.0)</f>
        <v>2</v>
      </c>
      <c r="N214" s="46">
        <f>IFERROR(__xludf.DUMMYFUNCTION("""COMPUTED_VALUE"""),2.0)</f>
        <v>2</v>
      </c>
      <c r="O214" s="46">
        <f>IFERROR(__xludf.DUMMYFUNCTION("""COMPUTED_VALUE"""),1.0)</f>
        <v>1</v>
      </c>
      <c r="P214" s="46">
        <f>IFERROR(__xludf.DUMMYFUNCTION("""COMPUTED_VALUE"""),2.0)</f>
        <v>2</v>
      </c>
      <c r="Q214" s="92">
        <f>IFERROR(__xludf.DUMMYFUNCTION("""COMPUTED_VALUE"""),110.0)</f>
        <v>110</v>
      </c>
      <c r="R214" s="92">
        <f>IFERROR(__xludf.DUMMYFUNCTION("""COMPUTED_VALUE"""),72.0)</f>
        <v>72</v>
      </c>
      <c r="S214" s="87" t="str">
        <f>IFERROR(__xludf.DUMMYFUNCTION("""COMPUTED_VALUE""")," ")</f>
        <v> </v>
      </c>
      <c r="T214" s="46" t="str">
        <f>IFERROR(__xludf.DUMMYFUNCTION("""COMPUTED_VALUE"""),"Neiva")</f>
        <v>Neiva</v>
      </c>
      <c r="U214" s="87" t="str">
        <f>IFERROR(__xludf.DUMMYFUNCTION("""COMPUTED_VALUE"""),"1")</f>
        <v>1</v>
      </c>
      <c r="V214" s="46" t="str">
        <f>IFERROR(__xludf.DUMMYFUNCTION("""COMPUTED_VALUE"""),"Medianera")</f>
        <v>Medianera</v>
      </c>
      <c r="W214" s="46" t="str">
        <f>IFERROR(__xludf.DUMMYFUNCTION("""COMPUTED_VALUE"""),"Vehicular")</f>
        <v>Vehicular</v>
      </c>
      <c r="X214" s="46">
        <f>IFERROR(__xludf.DUMMYFUNCTION("""COMPUTED_VALUE"""),0.0)</f>
        <v>0</v>
      </c>
      <c r="Y214" s="46" t="str">
        <f>IFERROR(__xludf.DUMMYFUNCTION("""COMPUTED_VALUE"""),"No tiene")</f>
        <v>No tiene</v>
      </c>
      <c r="Z214" s="90" t="str">
        <f>IFERROR(__xludf.DUMMYFUNCTION("""COMPUTED_VALUE"""),"No aplica")</f>
        <v>No aplica</v>
      </c>
      <c r="AA214" s="33" t="str">
        <f>IFERROR(__xludf.DUMMYFUNCTION("""COMPUTED_VALUE"""),"No aplica")</f>
        <v>No aplica</v>
      </c>
      <c r="AB214" s="96" t="str">
        <f>IFERROR(__xludf.DUMMYFUNCTION("""COMPUTED_VALUE"""),"https://photos.app.goo.gl/ELzNVeSarC7Dikh37")</f>
        <v>https://photos.app.goo.gl/ELzNVeSarC7Dikh37</v>
      </c>
      <c r="AC214" s="46" t="str">
        <f>IFERROR(__xludf.DUMMYFUNCTION("""COMPUTED_VALUE"""),"Espacios amplios y acabados completos. La distribución interior cuenta con un garaje espacioso, sala, comedor, cocina básica revestida en baldosín con mesón de concreto lavable y lavaplatos en acero inoxidable, área de servicios, 5 habitaciones con puerta"&amp;"s en madera y 2 baños. Sus acabados integran pisos en cerámica y baldosa, cielo raso en PVC con lámparas LED empotradas, divisiones de baño en acrílico, carpintería mixta en aluminio y madera, y cubierta de eternit en la zona del patio. Como plus de segur"&amp;"idad, la propiedad incluye un sistema instalado de 3 cámaras de vigilancia.")</f>
        <v>Espacios amplios y acabados completos. La distribución interior cuenta con un garaje espacioso, sala, comedor, cocina básica revestida en baldosín con mesón de concreto lavable y lavaplatos en acero inoxidable, área de servicios, 5 habitaciones con puertas en madera y 2 baños. Sus acabados integran pisos en cerámica y baldosa, cielo raso en PVC con lámparas LED empotradas, divisiones de baño en acrílico, carpintería mixta en aluminio y madera, y cubierta de eternit en la zona del patio. Como plus de seguridad, la propiedad incluye un sistema instalado de 3 cámaras de vigilancia.</v>
      </c>
      <c r="AD214" s="46" t="str">
        <f>IFERROR(__xludf.DUMMYFUNCTION("""COMPUTED_VALUE"""),"Oportunidad de inversión en el suroriental de Neiva. Se vende funcional casa de dos pisos (Código 574) ubicada en el barrio La Paz, construida sobre un terreno medianero de 6.0 m por 12.0 m (72.0 m² de lote y 110.0 m² construidos) en estrato 1. La viviend"&amp;"a se destaca por su reja exterior en metálica, antejardín amplio y su excelente cercanía al CAI y las escuelas Floresmiro Azuero y Claretianos. Además, incluye red de alcantarillado en PVC de 6 pulgadas, una habitación en el primer nivel y un espacio con "&amp;"gran potencial para proyectar un local comercial.")</f>
        <v>Oportunidad de inversión en el suroriental de Neiva. Se vende funcional casa de dos pisos (Código 574) ubicada en el barrio La Paz, construida sobre un terreno medianero de 6.0 m por 12.0 m (72.0 m² de lote y 110.0 m² construidos) en estrato 1. La vivienda se destaca por su reja exterior en metálica, antejardín amplio y su excelente cercanía al CAI y las escuelas Floresmiro Azuero y Claretianos. Además, incluye red de alcantarillado en PVC de 6 pulgadas, una habitación en el primer nivel y un espacio con gran potencial para proyectar un local comercial.</v>
      </c>
      <c r="AE214" s="46"/>
      <c r="AF214" s="46" t="str">
        <f>IFERROR(__xludf.DUMMYFUNCTION("""COMPUTED_VALUE"""),"básica")</f>
        <v>básica</v>
      </c>
      <c r="AG214" s="46"/>
      <c r="AH214" s="46" t="str">
        <f>IFERROR(__xludf.DUMMYFUNCTION("""COMPUTED_VALUE"""),"Directo")</f>
        <v>Directo</v>
      </c>
      <c r="AI214" s="92" t="str">
        <f>IFERROR(__xludf.DUMMYFUNCTION("""COMPUTED_VALUE"""),"https://lh3.googleusercontent.com/pw/AP1GczPIaK5I-5PL8oH8AilxMns4HvukdQhbQ-fsjtA3g2w_kLRryt_JJBe66b0aoXXzSB8LgQujU6khwDWonVKpvCj1RRRvuCSxtPuAuMLfB7eEEw-OPTJZ=w1200|https://lh3.googleusercontent.com/pw/AP1GczPOavLoRhFGgVeQK3tqhbZrMNhV7kNmevK20bvnc_evt0-OU1"&amp;"ImuHieWmsurFPiHxpQhH4WQlQoaV0Kd3wPCBi2L9L7N1PeMteI1IqjwpCb6_tt1LVQ=w1200|https://lh3.googleusercontent.com/pw/AP1GczOpRAqqYn-93BTi-oNeUsGmgYftcGJrbXOYghWeiYqh8GdAnf6YrH7zZ0wfx-tnATomRLAiZGiOFkvoefyMOCZ0IRjahlROKdI1mF0VtDYyC_8Gm-uF=w1200|https://lh3.google"&amp;"usercontent.com/pw/AP1GczNh3d3L9mnvkvL-OB3dA1jEoO7JaFN-e17Ts2cydtK35nprJ0kLl2aMZpn3SdoYkC97LYQjYigMQja8Wg8Z95oBikear3i9qdoMRBaGy55_4gOfg86J=w1200|https://lh3.googleusercontent.com/pw/AP1GczP08eekbXFRrf6GhlN7L2evPMSEosaUfDCeoxhj_UQ7D6KYUDpY60G4qpyUzPcsAhlA"&amp;"AyLGtDftcdF3MzlaOV1c3bUliEeDQCbDom6EzM3Mdl7_c3lf=w1200|https://lh3.googleusercontent.com/pw/AP1GczOWMxBDEbr8AwUtLIDeFjl4I5rNPSxT8l9RFjbtXhR6YVGqHMS-gR7c0lToSi6BHXve5SCyw8qiX7hQFW7XdwLHUILINIaKQSvZ-kxK-KOkMCPsw8P5=w1200|https://lh3.googleusercontent.com/pw"&amp;"/AP1GczPM9cHkvpBWASj6saKGu5c_QtQ_GyfjyUTXj_LgxQ8v1gBCQcimpT0SPDw-mObtMocUJAUyyFmU8wfsFqgdrR5U6oEUVyk8tHllCdFoaN0Kya2tJFEF=w1200|https://lh3.googleusercontent.com/pw/AP1GczPgxf1luqgYmCFc9YwQweUZct2o0JaMD-LTc-3mQapMvJnyQ3Fudeu8lBltcZmz-6Gabq0hpWWmRkhyd5UmW6"&amp;"-oORomMdaGCDkncPb9Kk_cAYkY4Afo=w1200|https://lh3.googleusercontent.com/pw/AP1GczNvAPiYIAfcQ5m9_Qa29cYy8O76usJyB70UDz_M_kY9bcH81jlwlJc4_DZ6_0jjw3Q0ylAJlpFnltYBcYXHDLMGG9dL97Kl5RFpcoWWBBiVJg1s8a8P=w1200|https://lh3.googleusercontent.com/pw/AP1GczNffA2Wg50F3"&amp;"gRBWZb4py8uKyC4qc5QytTCrAJdVJYuTFz6Us18IaMygp0q07J3_o97_dQRGdXLqdoiIG-spQu6-nCaTRyjMEh27DWTaMGnj3eKfqv7=w1200|https://lh3.googleusercontent.com/pw/AP1GczOgxClIA-VY1nyjAXICbGEfHdnRh_zcugW2vRkUK7fQ4LCcbwnGy-oEzXyTiZ8GdT9fI_NXL54BqQ1cFvV3DdfcQ4eqEjIgNOkPTjCB"&amp;"67wro9cbF-Jw=w1200|https://lh3.googleusercontent.com/pw/AP1GczOVPK7R2NH4R4c87ovswZHQOqZZQFFcvjhQ5LEOcCUTlIu7FlHwp9FwMdTfp1OHCGFNfCWxbAytfoQeZJyUhXRWf7cp1qyTuw9e6yxIsnVeSM1Bi_dk=w1200|https://lh3.googleusercontent.com/pw/AP1GczMu5rETh08ej-JvFlgKUDjq2VxI9Cf"&amp;"6Kkpz_ujx1f-z2AjWablFf-Ael4Zbqd6MC-FlXnp_IzoBc0qE307y_U2hdsjt1ruFAuMJW0_VgY3pTf4nmxu8=w1200|https://lh3.googleusercontent.com/pw/AP1GczN3GOPOFXFTH8JdpzzOgewxjGwmxppvThX3SG5Sr-KvMmwONA5VFqiUY8ElXQpEVVgNpw9ole67tRflu9BMqMrPaDxttu7TaWQlMew9jm5Nhl8WrW9a=w1200"&amp;"|https://lh3.googleusercontent.com/pw/AP1GczPaC-2QizvGZIE5dAIN9o-9Hu5fyHCBgOhOI0kxuQ66ZoqaemUod-_tki6ZWPfsVkJ7vTgC9tv4YIZHDQ8xyIt3tCmHP-AbLGjWeRUJy40gQjv7_M8H=w1200|https://lh3.googleusercontent.com/pw/AP1GczPFH2_OzA4m4SCuoxGw8oVWLnq0CaykXaQbpJqmhQf_P4tHQ"&amp;"bctPRZ6waeau9vW8KFy8y2nItNNL0rchG_AVq-fh0mNRuy8Pb-TUbODkIMxof63aObL=w1200|https://lh3.googleusercontent.com/pw/AP1GczMc802WeXZ03cTOUUbKcDDaou6dSbqtFBbnpL8eRavyINcG791Ks7WWioEENoMGkktkmKHYVnFiHDCDWycWY1C0Yz_yhgM3mXg2N__TJXTjbflD-Kh2=w1200|https://lh3.googl"&amp;"eusercontent.com/pw/AP1GczMQ-TTfoR95ivamclWdZYLRw3JOYaICFKEKlNOCKUQyAou_XE1u4MBGW_NllscK1oobYDw2EuelPxKxURhp7MStLHh21ezy5gZE9I7dI4vySU2WRaup=w1200|https://lh3.googleusercontent.com/pw/AP1GczNBKBs9-rBnVzZTkC8t6Tf58ktQXoS0pRfwweZmcSB8UUq0d8Cg17Bkol3DiQV1FoG"&amp;"9cMNiWl4yKX3PK5PtsPQ1KWQTYI2lXjLKqiiXngrV0WKnENLC=w1200|https://lh3.googleusercontent.com/pw/AP1GczMUVFKuJIbh34Li2mfBzoKDPqHN87y6TrUeRGOtQihD4_sDnZjWiZ31HQP6-rRR1MrsOrD3aCD5A4c8TGAUDzlwOTvj2uJOBO_vfzs29gZi4AplVWkx=w1200|https://lh3.googleusercontent.com/p"&amp;"w/AP1GczPd63Zw2Z49FeOjxKpkmLGaguRcA0dcNLg7cV66Np69Eun_Kj_2xPBS5W4KkLSYNsvRPbncFI5_5aw9Tgn4_sM5yjzBHqXYG6bXCy1QQrZalZlEPO9g=w1200|https://lh3.googleusercontent.com/pw/AP1GczMoVm8zkst2LlyJmoh4nu1IyguSMHnsJ3AYWYfLqzyOI7rYWlqmup0ESUAaUUYPegZCqkXCMTOIM8_LaurEV"&amp;"KDtzurf36cUHpKRZdRufgD9RpJ0Mmrf=w1200|https://lh3.googleusercontent.com/pw/AP1GczMJFiYee4wqQHAT3T3GSiVVEXAK5by42kxl7fCaj7zF4bupUSW8kuIMFTdQtAO9btUAbu7ILPatkXzH3UdU-vmS_88FQSEam1-IXOsyBjcHJdhr-iCL=w1200|https://lh3.googleusercontent.com/pw/AP1GczM31y_L1HMX"&amp;"MoNmH9Dc8kD8esfLx9lgR8TESJVI3o0OVOEiyEfBO5S8fT3f4c2vItQwS0FVZ2ov-8wizhDD79woFT8RL3bMTS2D05DAqZKIPNVYyzvc=w1200|https://lh3.googleusercontent.com/pw/AP1GczOjw8S7Mws_RBv9dvu6N2Z6EsOh7wJANWUztANZIcUUzUTCmmFo0Hl8sovjRKvpXGO3mWmP_5ZBEutkxrl8-RddwRfwPzw1MkiHboY"&amp;"GLDjhMUMGvmp6=w1200|https://lh3.googleusercontent.com/pw/AP1GczOcNDRT3uvexXPD6jh7oosOxkbZwkwnxJZfZ0PKwkvna2glGDXncW2L9mxqyNf65vl4K5A1FA6L_y0Tvy-98F6MwanE-w1R6p7D0T9v1nanOP_XDN1G=w1200|https://lh3.googleusercontent.com/pw/AP1GczPEL13ZHZgWC8AKQ2WhT7K607D8eZ"&amp;"dq07T4G-966Qx1ArcuM5y9BiPypUJ6zgf069kb97ROExv3QMfBPPVi2YmRwONV2bN3mMHd2N9ZHErZ1Bo7Yyh6=w1200|https://lh3.googleusercontent.com/pw/AP1GczPJtYgsDneAD4B98fm0FrVqSLV70ue8IErAHg4yHWAeCNC_4U2br8ATcaPRSib8yhfw9F9dqigfHBfaH25gSE1ZbXQ2ifZHRjeSCVe0Rjcot8Ew4dUD=w120"&amp;"0|https://lh3.googleusercontent.com/pw/AP1GczOhju8fz5rcIstMT2AAPgaNxF-pyJ_mp6oKaxPx_y5FIWyMCP9rjK6vd4p9E2o6l_0MlHxkr4LQIPlbbR7QjolbHTznPezWJ0pXN8bndjRPBe_WdYlq=w1200|https://lh3.googleusercontent.com/pw/AP1GczOMabOHuLQ1eTnh0CjYVNtVj61EMaX44nTcNkgT6n_Aao2M"&amp;"DqdEZm0K5CXVV7gm_U-UUw2PtP1iqKINgFLtY76veMCEqegbbddSaGYOeg8UVCMj6C2Y=w1200|https://lh3.googleusercontent.com/pw/AP1GczP1gOW7CvUxtI0_3N6ITwu5i6m5BXkhGC3CEE_2xjPMWODdOS2hFn5JejJK7YYHiRR2-rURbyHOr4XMdGcRb12m2rR4SZoj8ZYIg5BEaHmQ8RZ6lSrH=w1200|https://lh3.goog"&amp;"leusercontent.com/pw/AP1GczN-1tsyS34fTjo91ZldJ8SaIE4zNgH115wg4_aMtKVOtwLUlc3UNA_5lVd1Y15PHW-_yD9wNEtASziJlPMgAPAtRM_56j090WyV0A3-p4Yofi7apEn5=w1200|https://lh3.googleusercontent.com/pw/AP1GczPpk2_l13r84LMCR1AbBpI_5lBIA0-CXW7Iqi8IweS5wJSIbKqePD841aF3Oa-M0L"&amp;"mwfRjzrmDt_SyOcXHy_mzH7AaI_yVWLa1A3hRkbxhROg-J2Ctx=w1200|https://lh3.googleusercontent.com/pw/AP1GczMMYtb3oV6mJeLxPCPBXyPwVe9eW3Cl2aRetrhcQMhCxw1Emq5ozSxDkIsDn9jNJKpapk8330-W2fwdSgJCd-WRox-KLQDUjxvBgue7VAyzo_NHOnXc=w1200")</f>
        <v>https://lh3.googleusercontent.com/pw/AP1GczPIaK5I-5PL8oH8AilxMns4HvukdQhbQ-fsjtA3g2w_kLRryt_JJBe66b0aoXXzSB8LgQujU6khwDWonVKpvCj1RRRvuCSxtPuAuMLfB7eEEw-OPTJZ=w1200|https://lh3.googleusercontent.com/pw/AP1GczPOavLoRhFGgVeQK3tqhbZrMNhV7kNmevK20bvnc_evt0-OU1ImuHieWmsurFPiHxpQhH4WQlQoaV0Kd3wPCBi2L9L7N1PeMteI1IqjwpCb6_tt1LVQ=w1200|https://lh3.googleusercontent.com/pw/AP1GczOpRAqqYn-93BTi-oNeUsGmgYftcGJrbXOYghWeiYqh8GdAnf6YrH7zZ0wfx-tnATomRLAiZGiOFkvoefyMOCZ0IRjahlROKdI1mF0VtDYyC_8Gm-uF=w1200|https://lh3.googleusercontent.com/pw/AP1GczNh3d3L9mnvkvL-OB3dA1jEoO7JaFN-e17Ts2cydtK35nprJ0kLl2aMZpn3SdoYkC97LYQjYigMQja8Wg8Z95oBikear3i9qdoMRBaGy55_4gOfg86J=w1200|https://lh3.googleusercontent.com/pw/AP1GczP08eekbXFRrf6GhlN7L2evPMSEosaUfDCeoxhj_UQ7D6KYUDpY60G4qpyUzPcsAhlAAyLGtDftcdF3MzlaOV1c3bUliEeDQCbDom6EzM3Mdl7_c3lf=w1200|https://lh3.googleusercontent.com/pw/AP1GczOWMxBDEbr8AwUtLIDeFjl4I5rNPSxT8l9RFjbtXhR6YVGqHMS-gR7c0lToSi6BHXve5SCyw8qiX7hQFW7XdwLHUILINIaKQSvZ-kxK-KOkMCPsw8P5=w1200|https://lh3.googleusercontent.com/pw/AP1GczPM9cHkvpBWASj6saKGu5c_QtQ_GyfjyUTXj_LgxQ8v1gBCQcimpT0SPDw-mObtMocUJAUyyFmU8wfsFqgdrR5U6oEUVyk8tHllCdFoaN0Kya2tJFEF=w1200|https://lh3.googleusercontent.com/pw/AP1GczPgxf1luqgYmCFc9YwQweUZct2o0JaMD-LTc-3mQapMvJnyQ3Fudeu8lBltcZmz-6Gabq0hpWWmRkhyd5UmW6-oORomMdaGCDkncPb9Kk_cAYkY4Afo=w1200|https://lh3.googleusercontent.com/pw/AP1GczNvAPiYIAfcQ5m9_Qa29cYy8O76usJyB70UDz_M_kY9bcH81jlwlJc4_DZ6_0jjw3Q0ylAJlpFnltYBcYXHDLMGG9dL97Kl5RFpcoWWBBiVJg1s8a8P=w1200|https://lh3.googleusercontent.com/pw/AP1GczNffA2Wg50F3gRBWZb4py8uKyC4qc5QytTCrAJdVJYuTFz6Us18IaMygp0q07J3_o97_dQRGdXLqdoiIG-spQu6-nCaTRyjMEh27DWTaMGnj3eKfqv7=w1200|https://lh3.googleusercontent.com/pw/AP1GczOgxClIA-VY1nyjAXICbGEfHdnRh_zcugW2vRkUK7fQ4LCcbwnGy-oEzXyTiZ8GdT9fI_NXL54BqQ1cFvV3DdfcQ4eqEjIgNOkPTjCB67wro9cbF-Jw=w1200|https://lh3.googleusercontent.com/pw/AP1GczOVPK7R2NH4R4c87ovswZHQOqZZQFFcvjhQ5LEOcCUTlIu7FlHwp9FwMdTfp1OHCGFNfCWxbAytfoQeZJyUhXRWf7cp1qyTuw9e6yxIsnVeSM1Bi_dk=w1200|https://lh3.googleusercontent.com/pw/AP1GczMu5rETh08ej-JvFlgKUDjq2VxI9Cf6Kkpz_ujx1f-z2AjWablFf-Ael4Zbqd6MC-FlXnp_IzoBc0qE307y_U2hdsjt1ruFAuMJW0_VgY3pTf4nmxu8=w1200|https://lh3.googleusercontent.com/pw/AP1GczN3GOPOFXFTH8JdpzzOgewxjGwmxppvThX3SG5Sr-KvMmwONA5VFqiUY8ElXQpEVVgNpw9ole67tRflu9BMqMrPaDxttu7TaWQlMew9jm5Nhl8WrW9a=w1200|https://lh3.googleusercontent.com/pw/AP1GczPaC-2QizvGZIE5dAIN9o-9Hu5fyHCBgOhOI0kxuQ66ZoqaemUod-_tki6ZWPfsVkJ7vTgC9tv4YIZHDQ8xyIt3tCmHP-AbLGjWeRUJy40gQjv7_M8H=w1200|https://lh3.googleusercontent.com/pw/AP1GczPFH2_OzA4m4SCuoxGw8oVWLnq0CaykXaQbpJqmhQf_P4tHQbctPRZ6waeau9vW8KFy8y2nItNNL0rchG_AVq-fh0mNRuy8Pb-TUbODkIMxof63aObL=w1200|https://lh3.googleusercontent.com/pw/AP1GczMc802WeXZ03cTOUUbKcDDaou6dSbqtFBbnpL8eRavyINcG791Ks7WWioEENoMGkktkmKHYVnFiHDCDWycWY1C0Yz_yhgM3mXg2N__TJXTjbflD-Kh2=w1200|https://lh3.googleusercontent.com/pw/AP1GczMQ-TTfoR95ivamclWdZYLRw3JOYaICFKEKlNOCKUQyAou_XE1u4MBGW_NllscK1oobYDw2EuelPxKxURhp7MStLHh21ezy5gZE9I7dI4vySU2WRaup=w1200|https://lh3.googleusercontent.com/pw/AP1GczNBKBs9-rBnVzZTkC8t6Tf58ktQXoS0pRfwweZmcSB8UUq0d8Cg17Bkol3DiQV1FoG9cMNiWl4yKX3PK5PtsPQ1KWQTYI2lXjLKqiiXngrV0WKnENLC=w1200|https://lh3.googleusercontent.com/pw/AP1GczMUVFKuJIbh34Li2mfBzoKDPqHN87y6TrUeRGOtQihD4_sDnZjWiZ31HQP6-rRR1MrsOrD3aCD5A4c8TGAUDzlwOTvj2uJOBO_vfzs29gZi4AplVWkx=w1200|https://lh3.googleusercontent.com/pw/AP1GczPd63Zw2Z49FeOjxKpkmLGaguRcA0dcNLg7cV66Np69Eun_Kj_2xPBS5W4KkLSYNsvRPbncFI5_5aw9Tgn4_sM5yjzBHqXYG6bXCy1QQrZalZlEPO9g=w1200|https://lh3.googleusercontent.com/pw/AP1GczMoVm8zkst2LlyJmoh4nu1IyguSMHnsJ3AYWYfLqzyOI7rYWlqmup0ESUAaUUYPegZCqkXCMTOIM8_LaurEVKDtzurf36cUHpKRZdRufgD9RpJ0Mmrf=w1200|https://lh3.googleusercontent.com/pw/AP1GczMJFiYee4wqQHAT3T3GSiVVEXAK5by42kxl7fCaj7zF4bupUSW8kuIMFTdQtAO9btUAbu7ILPatkXzH3UdU-vmS_88FQSEam1-IXOsyBjcHJdhr-iCL=w1200|https://lh3.googleusercontent.com/pw/AP1GczM31y_L1HMXMoNmH9Dc8kD8esfLx9lgR8TESJVI3o0OVOEiyEfBO5S8fT3f4c2vItQwS0FVZ2ov-8wizhDD79woFT8RL3bMTS2D05DAqZKIPNVYyzvc=w1200|https://lh3.googleusercontent.com/pw/AP1GczOjw8S7Mws_RBv9dvu6N2Z6EsOh7wJANWUztANZIcUUzUTCmmFo0Hl8sovjRKvpXGO3mWmP_5ZBEutkxrl8-RddwRfwPzw1MkiHboYGLDjhMUMGvmp6=w1200|https://lh3.googleusercontent.com/pw/AP1GczOcNDRT3uvexXPD6jh7oosOxkbZwkwnxJZfZ0PKwkvna2glGDXncW2L9mxqyNf65vl4K5A1FA6L_y0Tvy-98F6MwanE-w1R6p7D0T9v1nanOP_XDN1G=w1200|https://lh3.googleusercontent.com/pw/AP1GczPEL13ZHZgWC8AKQ2WhT7K607D8eZdq07T4G-966Qx1ArcuM5y9BiPypUJ6zgf069kb97ROExv3QMfBPPVi2YmRwONV2bN3mMHd2N9ZHErZ1Bo7Yyh6=w1200|https://lh3.googleusercontent.com/pw/AP1GczPJtYgsDneAD4B98fm0FrVqSLV70ue8IErAHg4yHWAeCNC_4U2br8ATcaPRSib8yhfw9F9dqigfHBfaH25gSE1ZbXQ2ifZHRjeSCVe0Rjcot8Ew4dUD=w1200|https://lh3.googleusercontent.com/pw/AP1GczOhju8fz5rcIstMT2AAPgaNxF-pyJ_mp6oKaxPx_y5FIWyMCP9rjK6vd4p9E2o6l_0MlHxkr4LQIPlbbR7QjolbHTznPezWJ0pXN8bndjRPBe_WdYlq=w1200|https://lh3.googleusercontent.com/pw/AP1GczOMabOHuLQ1eTnh0CjYVNtVj61EMaX44nTcNkgT6n_Aao2MDqdEZm0K5CXVV7gm_U-UUw2PtP1iqKINgFLtY76veMCEqegbbddSaGYOeg8UVCMj6C2Y=w1200|https://lh3.googleusercontent.com/pw/AP1GczP1gOW7CvUxtI0_3N6ITwu5i6m5BXkhGC3CEE_2xjPMWODdOS2hFn5JejJK7YYHiRR2-rURbyHOr4XMdGcRb12m2rR4SZoj8ZYIg5BEaHmQ8RZ6lSrH=w1200|https://lh3.googleusercontent.com/pw/AP1GczN-1tsyS34fTjo91ZldJ8SaIE4zNgH115wg4_aMtKVOtwLUlc3UNA_5lVd1Y15PHW-_yD9wNEtASziJlPMgAPAtRM_56j090WyV0A3-p4Yofi7apEn5=w1200|https://lh3.googleusercontent.com/pw/AP1GczPpk2_l13r84LMCR1AbBpI_5lBIA0-CXW7Iqi8IweS5wJSIbKqePD841aF3Oa-M0LmwfRjzrmDt_SyOcXHy_mzH7AaI_yVWLa1A3hRkbxhROg-J2Ctx=w1200|https://lh3.googleusercontent.com/pw/AP1GczMMYtb3oV6mJeLxPCPBXyPwVe9eW3Cl2aRetrhcQMhCxw1Emq5ozSxDkIsDn9jNJKpapk8330-W2fwdSgJCd-WRox-KLQDUjxvBgue7VAyzo_NHOnXc=w1200</v>
      </c>
      <c r="AJ214" s="46"/>
      <c r="AK214" s="46"/>
      <c r="AL214" s="46"/>
      <c r="AM214" s="46"/>
      <c r="AN214" s="46"/>
      <c r="AO214" s="46"/>
      <c r="AP214" s="46"/>
      <c r="AQ214" s="46"/>
      <c r="AR214" s="46"/>
      <c r="AS214" s="46"/>
      <c r="AT214" s="46"/>
      <c r="AU214" s="46"/>
      <c r="AV214" s="46"/>
      <c r="AW214" s="46"/>
      <c r="AX214" s="46"/>
      <c r="AY214" s="46"/>
      <c r="AZ214" s="46"/>
      <c r="BA214" s="46"/>
      <c r="BB214" s="46"/>
      <c r="BC214" s="46"/>
      <c r="BD214" s="46"/>
      <c r="BE214" s="46"/>
      <c r="BF214" s="46"/>
      <c r="BG214" s="46"/>
      <c r="BH214" s="46"/>
      <c r="BI214" s="46"/>
      <c r="BJ214" s="46"/>
      <c r="BK214" s="46"/>
      <c r="BL214" s="46"/>
      <c r="BM214" s="46"/>
      <c r="BN214" s="46"/>
      <c r="BO214" s="46"/>
      <c r="BP214" s="46"/>
      <c r="BQ214" s="46"/>
      <c r="BR214" s="46"/>
      <c r="BS214" s="46"/>
      <c r="BT214" s="46"/>
      <c r="BU214" s="46"/>
      <c r="BV214" s="46"/>
      <c r="BW214" s="46"/>
      <c r="BX214" s="46"/>
      <c r="BY214" s="46"/>
      <c r="BZ214" s="46"/>
      <c r="CA214" s="46"/>
      <c r="CB214" s="46"/>
      <c r="CC214" s="46"/>
    </row>
    <row r="215">
      <c r="A215" s="87" t="str">
        <f>IFERROR(__xludf.DUMMYFUNCTION("""COMPUTED_VALUE"""),"352")</f>
        <v>352</v>
      </c>
      <c r="B215" s="46" t="str">
        <f>IFERROR(__xludf.DUMMYFUNCTION("""COMPUTED_VALUE"""),"Edificio rentable con 31 habitaciones y local  en barrio Las Granjas")</f>
        <v>Edificio rentable con 31 habitaciones y local  en barrio Las Granjas</v>
      </c>
      <c r="C215" s="46" t="str">
        <f>IFERROR(__xludf.DUMMYFUNCTION("""COMPUTED_VALUE"""),"Edificio rentable")</f>
        <v>Edificio rentable</v>
      </c>
      <c r="D215" s="90" t="str">
        <f>IFERROR(__xludf.DUMMYFUNCTION("""COMPUTED_VALUE"""),"Las Granjas")</f>
        <v>Las Granjas</v>
      </c>
      <c r="E215" s="46"/>
      <c r="F215" s="90">
        <f>IFERROR(__xludf.DUMMYFUNCTION("""COMPUTED_VALUE"""),6.8E9)</f>
        <v>6800000000</v>
      </c>
      <c r="G215" s="46" t="str">
        <f>IFERROR(__xludf.DUMMYFUNCTION("""COMPUTED_VALUE"""),"Más de $1.000'000.000")</f>
        <v>Más de $1.000'000.000</v>
      </c>
      <c r="H215" s="46"/>
      <c r="I215" s="46"/>
      <c r="J215" s="46" t="str">
        <f>IFERROR(__xludf.DUMMYFUNCTION("""COMPUTED_VALUE"""),"Norte")</f>
        <v>Norte</v>
      </c>
      <c r="K215" s="87" t="str">
        <f>IFERROR(__xludf.DUMMYFUNCTION("""COMPUTED_VALUE"""),"2")</f>
        <v>2</v>
      </c>
      <c r="L215" s="46">
        <f>IFERROR(__xludf.DUMMYFUNCTION("""COMPUTED_VALUE"""),31.0)</f>
        <v>31</v>
      </c>
      <c r="M215" s="46"/>
      <c r="N215" s="46">
        <f>IFERROR(__xludf.DUMMYFUNCTION("""COMPUTED_VALUE"""),35.0)</f>
        <v>35</v>
      </c>
      <c r="O215" s="46">
        <f>IFERROR(__xludf.DUMMYFUNCTION("""COMPUTED_VALUE"""),0.0)</f>
        <v>0</v>
      </c>
      <c r="P215" s="46">
        <f>IFERROR(__xludf.DUMMYFUNCTION("""COMPUTED_VALUE"""),5.0)</f>
        <v>5</v>
      </c>
      <c r="Q215" s="92">
        <f>IFERROR(__xludf.DUMMYFUNCTION("""COMPUTED_VALUE"""),1800.0)</f>
        <v>1800</v>
      </c>
      <c r="R215" s="92">
        <f>IFERROR(__xludf.DUMMYFUNCTION("""COMPUTED_VALUE"""),360.0)</f>
        <v>360</v>
      </c>
      <c r="S215" s="87" t="str">
        <f>IFERROR(__xludf.DUMMYFUNCTION("""COMPUTED_VALUE""")," ")</f>
        <v> </v>
      </c>
      <c r="T215" s="46" t="str">
        <f>IFERROR(__xludf.DUMMYFUNCTION("""COMPUTED_VALUE"""),"Neiva")</f>
        <v>Neiva</v>
      </c>
      <c r="U215" s="87" t="str">
        <f>IFERROR(__xludf.DUMMYFUNCTION("""COMPUTED_VALUE"""),"3")</f>
        <v>3</v>
      </c>
      <c r="V215" s="46" t="str">
        <f>IFERROR(__xludf.DUMMYFUNCTION("""COMPUTED_VALUE"""),"Medianera")</f>
        <v>Medianera</v>
      </c>
      <c r="W215" s="46"/>
      <c r="X215" s="46">
        <f>IFERROR(__xludf.DUMMYFUNCTION("""COMPUTED_VALUE"""),31.0)</f>
        <v>31</v>
      </c>
      <c r="Y215" s="46" t="str">
        <f>IFERROR(__xludf.DUMMYFUNCTION("""COMPUTED_VALUE"""),"No tiene")</f>
        <v>No tiene</v>
      </c>
      <c r="Z215" s="90" t="str">
        <f>IFERROR(__xludf.DUMMYFUNCTION("""COMPUTED_VALUE"""),"No aplica")</f>
        <v>No aplica</v>
      </c>
      <c r="AA215" s="33" t="str">
        <f>IFERROR(__xludf.DUMMYFUNCTION("""COMPUTED_VALUE"""),"No aplica")</f>
        <v>No aplica</v>
      </c>
      <c r="AB215" s="144" t="str">
        <f>IFERROR(__xludf.DUMMYFUNCTION("""COMPUTED_VALUE"""),"https://photos.app.goo.gl/5uKvQGabQK1sdntd7")</f>
        <v>https://photos.app.goo.gl/5uKvQGabQK1sdntd7</v>
      </c>
      <c r="AC215" s="46" t="str">
        <f>IFERROR(__xludf.DUMMYFUNCTION("""COMPUTED_VALUE"""),"Cuentas con buenos acabados. De las 31 habitaciones, 4 cuentan con cocina integral.Pisos en cerámica, carpinteria en aluminio, metálica y madera.")</f>
        <v>Cuentas con buenos acabados. De las 31 habitaciones, 4 cuentan con cocina integral.Pisos en cerámica, carpinteria en aluminio, metálica y madera.</v>
      </c>
      <c r="AD215" s="46" t="str">
        <f>IFERROR(__xludf.DUMMYFUNCTION("""COMPUTED_VALUE"""),"Ubicado cerca al Aeropuerto, San Juan y San Pedro plaza. Cuenta con salón de eventos para 40 personas, bar, restaurante, area de lavanderia y terraza.")</f>
        <v>Ubicado cerca al Aeropuerto, San Juan y San Pedro plaza. Cuenta con salón de eventos para 40 personas, bar, restaurante, area de lavanderia y terraza.</v>
      </c>
      <c r="AE215" s="46"/>
      <c r="AF215" s="46" t="str">
        <f>IFERROR(__xludf.DUMMYFUNCTION("""COMPUTED_VALUE"""),"integral")</f>
        <v>integral</v>
      </c>
      <c r="AG215" s="46"/>
      <c r="AH215" s="46" t="str">
        <f>IFERROR(__xludf.DUMMYFUNCTION("""COMPUTED_VALUE"""),"Verbal")</f>
        <v>Verbal</v>
      </c>
      <c r="AI215" s="92" t="str">
        <f>IFERROR(__xludf.DUMMYFUNCTION("""COMPUTED_VALUE"""),"https://lh3.googleusercontent.com/pw/AP1GczNCBgGgi2RRZ-VYQdQoSnpdxdZJLLFOCUuQmyx0_ZiQEMSIz_xJdw66tQeyAPKtMldKCFJcG7HIiHNmKrLUiISE4G7acnRguubn76pUGyE5TOrY4nCl=w1200|https://lh3.googleusercontent.com/pw/AP1GczOomR98QadHel2FpNtatI9oNvergqeCfdwv1XK7bvn2Fh0JTh"&amp;"x6lW2lC2uOAhfGmSeJpjdwIpGXxNDYSu-5_ygjGjS1z0Au4D9mNkF2kKGZjPAdUSCP=w1200|https://lh3.googleusercontent.com/pw/AP1GczP1udhUsSZH6pt491K7ZNtmW6-o6ymy2LRPQQlayIjyzrjo_z6IENAmxbJPQ2_yy6AxehAI1toCz_vXBpGaFxs3x92O3ZNHqrUXkvx2ZxznywM2pS5D=w1200|https://lh3.google"&amp;"usercontent.com/pw/AP1GczP2AWUP3EQlePPP6aOkRKfexkHw1W1A26h21Pd-D3MhrXI5zY8J1jylZPTOe8PBsiXV7baoft86_6ah6kZ9DmPIkD_M2oxHwcVBxsHMZD2Vs8en4eGR=w1200")</f>
        <v>https://lh3.googleusercontent.com/pw/AP1GczNCBgGgi2RRZ-VYQdQoSnpdxdZJLLFOCUuQmyx0_ZiQEMSIz_xJdw66tQeyAPKtMldKCFJcG7HIiHNmKrLUiISE4G7acnRguubn76pUGyE5TOrY4nCl=w1200|https://lh3.googleusercontent.com/pw/AP1GczOomR98QadHel2FpNtatI9oNvergqeCfdwv1XK7bvn2Fh0JThx6lW2lC2uOAhfGmSeJpjdwIpGXxNDYSu-5_ygjGjS1z0Au4D9mNkF2kKGZjPAdUSCP=w1200|https://lh3.googleusercontent.com/pw/AP1GczP1udhUsSZH6pt491K7ZNtmW6-o6ymy2LRPQQlayIjyzrjo_z6IENAmxbJPQ2_yy6AxehAI1toCz_vXBpGaFxs3x92O3ZNHqrUXkvx2ZxznywM2pS5D=w1200|https://lh3.googleusercontent.com/pw/AP1GczP2AWUP3EQlePPP6aOkRKfexkHw1W1A26h21Pd-D3MhrXI5zY8J1jylZPTOe8PBsiXV7baoft86_6ah6kZ9DmPIkD_M2oxHwcVBxsHMZD2Vs8en4eGR=w1200</v>
      </c>
      <c r="AJ215" s="46"/>
      <c r="AK215" s="46"/>
      <c r="AL215" s="46"/>
      <c r="AM215" s="46"/>
      <c r="AN215" s="46"/>
      <c r="AO215" s="46"/>
      <c r="AP215" s="46"/>
      <c r="AQ215" s="46"/>
      <c r="AR215" s="46"/>
      <c r="AS215" s="46"/>
      <c r="AT215" s="46"/>
      <c r="AU215" s="46"/>
      <c r="AV215" s="46"/>
      <c r="AW215" s="46"/>
      <c r="AX215" s="46"/>
      <c r="AY215" s="46"/>
      <c r="AZ215" s="46"/>
      <c r="BA215" s="46"/>
      <c r="BB215" s="46"/>
      <c r="BC215" s="46"/>
      <c r="BD215" s="46"/>
      <c r="BE215" s="46"/>
      <c r="BF215" s="46"/>
      <c r="BG215" s="46"/>
      <c r="BH215" s="46"/>
      <c r="BI215" s="46"/>
      <c r="BJ215" s="46"/>
      <c r="BK215" s="46"/>
      <c r="BL215" s="46"/>
      <c r="BM215" s="46"/>
      <c r="BN215" s="46"/>
      <c r="BO215" s="46"/>
      <c r="BP215" s="46"/>
      <c r="BQ215" s="46"/>
      <c r="BR215" s="46"/>
      <c r="BS215" s="46"/>
      <c r="BT215" s="46"/>
      <c r="BU215" s="46"/>
      <c r="BV215" s="46"/>
      <c r="BW215" s="46"/>
      <c r="BX215" s="46"/>
      <c r="BY215" s="46"/>
      <c r="BZ215" s="46"/>
      <c r="CA215" s="46"/>
      <c r="CB215" s="46"/>
      <c r="CC215" s="46"/>
    </row>
    <row r="216">
      <c r="A216" s="87" t="str">
        <f>IFERROR(__xludf.DUMMYFUNCTION("""COMPUTED_VALUE"""),"800")</f>
        <v>800</v>
      </c>
      <c r="B216" s="46" t="str">
        <f>IFERROR(__xludf.DUMMYFUNCTION("""COMPUTED_VALUE"""),"Finca ganadera en El Agrado - Huila")</f>
        <v>Finca ganadera en El Agrado - Huila</v>
      </c>
      <c r="C216" s="46" t="str">
        <f>IFERROR(__xludf.DUMMYFUNCTION("""COMPUTED_VALUE"""),"Finca")</f>
        <v>Finca</v>
      </c>
      <c r="D216" s="46"/>
      <c r="E216" s="46"/>
      <c r="F216" s="90">
        <f>IFERROR(__xludf.DUMMYFUNCTION("""COMPUTED_VALUE"""),5.117E9)</f>
        <v>5117000000</v>
      </c>
      <c r="G216" s="46" t="str">
        <f>IFERROR(__xludf.DUMMYFUNCTION("""COMPUTED_VALUE"""),"Más de $1.000'000.000")</f>
        <v>Más de $1.000'000.000</v>
      </c>
      <c r="H216" s="46"/>
      <c r="I216" s="46"/>
      <c r="J216" s="46" t="str">
        <f>IFERROR(__xludf.DUMMYFUNCTION("""COMPUTED_VALUE"""),"Rural")</f>
        <v>Rural</v>
      </c>
      <c r="K216" s="87"/>
      <c r="L216" s="46">
        <f>IFERROR(__xludf.DUMMYFUNCTION("""COMPUTED_VALUE"""),7.0)</f>
        <v>7</v>
      </c>
      <c r="M216" s="46"/>
      <c r="N216" s="46">
        <f>IFERROR(__xludf.DUMMYFUNCTION("""COMPUTED_VALUE"""),3.0)</f>
        <v>3</v>
      </c>
      <c r="O216" s="46">
        <f>IFERROR(__xludf.DUMMYFUNCTION("""COMPUTED_VALUE"""),2.0)</f>
        <v>2</v>
      </c>
      <c r="P216" s="46">
        <f>IFERROR(__xludf.DUMMYFUNCTION("""COMPUTED_VALUE"""),1.0)</f>
        <v>1</v>
      </c>
      <c r="Q216" s="92">
        <f>IFERROR(__xludf.DUMMYFUNCTION("""COMPUTED_VALUE"""),350.0)</f>
        <v>350</v>
      </c>
      <c r="R216" s="92" t="str">
        <f>IFERROR(__xludf.DUMMYFUNCTION("""COMPUTED_VALUE"""),"5.386.568")</f>
        <v>5.386.568</v>
      </c>
      <c r="S216" s="87"/>
      <c r="T216" s="46" t="str">
        <f>IFERROR(__xludf.DUMMYFUNCTION("""COMPUTED_VALUE"""),"Agrado")</f>
        <v>Agrado</v>
      </c>
      <c r="U216" s="87"/>
      <c r="V216" s="46"/>
      <c r="W216" s="46"/>
      <c r="X216" s="46">
        <f>IFERROR(__xludf.DUMMYFUNCTION("""COMPUTED_VALUE"""),5.0)</f>
        <v>5</v>
      </c>
      <c r="Y216" s="46" t="str">
        <f>IFERROR(__xludf.DUMMYFUNCTION("""COMPUTED_VALUE"""),"No tiene")</f>
        <v>No tiene</v>
      </c>
      <c r="Z216" s="90" t="str">
        <f>IFERROR(__xludf.DUMMYFUNCTION("""COMPUTED_VALUE"""),"No aplica")</f>
        <v>No aplica</v>
      </c>
      <c r="AA216" s="33" t="str">
        <f>IFERROR(__xludf.DUMMYFUNCTION("""COMPUTED_VALUE"""),"No aplica")</f>
        <v>No aplica</v>
      </c>
      <c r="AB216" s="96" t="str">
        <f>IFERROR(__xludf.DUMMYFUNCTION("""COMPUTED_VALUE"""),"https://photos.app.goo.gl/sU8yUpy657T5Uuat7")</f>
        <v>https://photos.app.goo.gl/sU8yUpy657T5Uuat7</v>
      </c>
      <c r="AC216" s="46" t="str">
        <f>IFERROR(__xludf.DUMMYFUNCTION("""COMPUTED_VALUE"""),"AGUA: Cuenta con 2 aljibes. TOPOGRAFIA: 180 has, planas. CORRALES: En madera y cemento. ")</f>
        <v>AGUA: Cuenta con 2 aljibes. TOPOGRAFIA: 180 has, planas. CORRALES: En madera y cemento. </v>
      </c>
      <c r="AD216" s="46" t="str">
        <f>IFERROR(__xludf.DUMMYFUNCTION("""COMPUTED_VALUE"""),"Distancia: A1 klm la represa el Quimbo. A 5 minutos Vía principal.")</f>
        <v>Distancia: A1 klm la represa el Quimbo. A 5 minutos Vía principal.</v>
      </c>
      <c r="AE216" s="46"/>
      <c r="AF216" s="46" t="str">
        <f>IFERROR(__xludf.DUMMYFUNCTION("""COMPUTED_VALUE"""),"semi-integral")</f>
        <v>semi-integral</v>
      </c>
      <c r="AG216" s="46"/>
      <c r="AH216" s="46" t="str">
        <f>IFERROR(__xludf.DUMMYFUNCTION("""COMPUTED_VALUE"""),"Verbal")</f>
        <v>Verbal</v>
      </c>
      <c r="AI216" s="92" t="str">
        <f>IFERROR(__xludf.DUMMYFUNCTION("""COMPUTED_VALUE"""),"https://lh3.googleusercontent.com/pw/AP1GczN0VYaNk_D90gy-DhFXTuKxTdseSzKxBMEnx_uD4XnXc5P-h9TSeiMs5RQvwHbnKxXpdhEQimorX7nS4Sf4mhMXAIyKh9cgb4E2SENhryvvU-C3EQNo=w1200|https://lh3.googleusercontent.com/pw/AP1GczOnN4fQ0wH7TlNlwutPtvN-HqwUlYoKqaRyErxO5Z3dxwMHKi"&amp;"bjrMD4ReZuMXLLtKt1RMK3SeI-V7wRUHlyzqHshKLaw1_kO9uYWLXzTON-78wUjq7P=w1200|https://lh3.googleusercontent.com/pw/AP1GczPA83BqPYBftY6fxyE3cYLXLerEaweXHJVzLXc2c2KmHKMsMIDPisXku1e25vLg_Wy5ZtutlGCFO-Yf_uK3EyBRl0PXIoyNTZPjYXgCooa8J-gsayOj=w1200|https://lh3.google"&amp;"usercontent.com/pw/AP1GczMni7d_bWmzoRkP64M5iwTnxBMNHgfcPM0u2UNmf29rZU6xbeHTUAl7pGhvvcxJWu9CNlk_OIokeZ_VPPFvIoVuk991oVFjrF1cvRnjyewrIoiWb0uc=w1200|https://lh3.googleusercontent.com/pw/AP1GczNWV1UopjjPh5F_o0mkJFZytvrMaWz7Ig5O0BH1EP1NXGlFJ4y32bZSZUJhbbQcXAMG"&amp;"Bc-lVGdVopJPuXw1Mht4mnrK8kB7NYubehfos97VgTf_rxSM=w1200|https://lh3.googleusercontent.com/pw/AP1GczPT_O0_oPdxp_05Gc_2K0RWsnPErFY8sqLLs31tY9FOiL-uBlC8tKnZfY0hhs6PKYShBwWKaAKJhj4JtgPpw352Il4NOi__aWiTSbGo7YIVsTZT6D2O=w1200|https://lh3.googleusercontent.com/pw"&amp;"/AP1GczOK945ItdHOrmyctrByllmOmvfChlmN6k3_9wXR3GxZy39IIN6B0YeeENyKq2Wk1UMt25YSVflTpFIqTV-DpPo-s0VcLqgNCvsb7OI86Sw_6BhKQVXT=w1200|https://lh3.googleusercontent.com/pw/AP1GczN2Qr_tw-lcuCD94tEgvG0gli0STY_KVh0gH9RM8SXq7Mj8i5bl_uYeCOcJ9SGvZhF2f6zTqR4RbBpBuB_VLK"&amp;"8EsqkKZFPyUe0us0o5z5S1mopl7Wf5=w1200|https://lh3.googleusercontent.com/pw/AP1GczPR2tKhLTR_dK0iZ28BEMImvUH9KcBBCzWw2UVngKfsyZl_T-3ekxi2Fq3aPI2wU5Brcw5zOz7U_IkyjJy0_CeOIb8XH4J9GsIGZJ2Cg0SeW1i3lCop=w1200|https://lh3.googleusercontent.com/pw/AP1GczOM9pBygUxwN"&amp;"Bl0RbKaxsL7bdJPhzU7V4oMebAApYg8_UsAiUNezm4WKB8OWgsL2oBDI3NHJrQGF83a2PaYOdGMA17PbCQYiBYT9G3zJLxYfsY6cCLJ=w1200|https://lh3.googleusercontent.com/pw/AP1GczOszV4hQxgu7n6hrPGWfP-g4pgggQp4gNRKaK7vmzAaAD9WuPodMEl9Ng-hnLVeshs5sYbbYp2i2uU7l5TSXtsDkRqMo2jKgXk26eii"&amp;"pVNZavqCSPfB=w1200|https://lh3.googleusercontent.com/pw/AP1GczNlm2U0-wKTFl9qFdwuY0twNkhB1yubRw_CKecasZbS1xdSepV4L4tGuPP5QLvo9klZZYwL8swGvFc4CL3iAQvXBB-Isoa_QlxrnUDsY4lYhNnGxHHO=w1200|https://lh3.googleusercontent.com/pw/AP1GczMpWQrfAMNc2CHL0ctlix8z-z7AZXo"&amp;"0I_JgurlIPJtcArAwwPA5_qSata73xeDzdFa2YgbD6ppfo4QcFXIEBBzgJtsVVwI0O-HTUo34DNmO2QoLqr2F=w1200|https://lh3.googleusercontent.com/pw/AP1GczPMTEeTsTJx2vRjk8bfw0WWB8LlK-ftX9r3boaSNHpQEYsF2AM0JJ2qERlD0Ip3L3zCyZkU3KTa0ljA8BrOacc5jkIDgmmx02eb8OU_OoGGv1d0d-PJ=w1200"&amp;"|https://lh3.googleusercontent.com/pw/AP1GczPncC4yt7hen9iQ5uQxdohuyuNMiwXtC4DKaXjNkwJP6mZFg5dNIhlvEKNRXibpx7NJpY8xf_a-9wc6ITE_tNaD-4pF_f3WJVQ3NsbIUh6196tgYIrc=w1200|https://lh3.googleusercontent.com/pw/AP1GczOroOPb2ort-sE-NZJA2dwhlt9MApEcm9f4V5bWJezzgj5fI"&amp;"OQzELubXdlHAQURNcf49QiKTAVUl1HxXdwJxpgMAWtw0hiaHYVT0tfunG9iqVx2mTnS=w1200|https://lh3.googleusercontent.com/pw/AP1GczO4XPs3t6RvCeUkjPpdb1y6st84jGLy1682mnqBity4gt2gqae8BCcrP6vTrhGOB6JOLjjum5ZiEfWNmG2OZ_CmKigo8hJvdLr0kwve91eINfv1Vs0n=w1200|https://lh3.googl"&amp;"eusercontent.com/pw/AP1GczPo1uTcOSOsyIQw0K231ehxoULp04Mmo_2TidRCvwuLCV3EtIes_SKo8s_M1N4Cl4ucXRl0OewfkrHBVyqL5nBogO3A_qXdRXqv2poNy18FH5YXwUpQ=w1200|https://lh3.googleusercontent.com/pw/AP1GczMVviBU6UQ42cH6rEEityvh7rJoWoNRTmPFJQ5fzXP8VKOhd3peTGCHAqaGEJmIAFJ"&amp;"uadX5IwsipR2tprRlV7_ygFdKjiUXyIzxskJjr3Fnljtlu5Mo=w1200|https://lh3.googleusercontent.com/pw/AP1GczOXP_iPg2XCpW7HB4I2A_DZ7hhN1bwGKkvQy3aQQL_V_GaqG9NWrhlHDwPRH-UPmqi3PhjBmqtQfNd5hJtIGEzZrfS6IPwx-xVHV6r8kgngl2aLH7am=w1200|https://lh3.googleusercontent.com/p"&amp;"w/AP1GczOe6uxouMbHTsGUeLKSJc_uzYhCXhFw3LksGRUmaZ7Yq5YEYeHyalsD28DCSi_nkpP8nmHy6lKX4GIlLZWoS2_KRy8UJoLbu2b-5oD8P5A7qaYcBJZe=w1200|https://lh3.googleusercontent.com/pw/AP1GczOPwrZhvjTxQttWu-nLhHaRUNMB_XdRFYI40thsKchPwrzK5TMsZvwVrdPUi2CbuoBQQe7cnAOR906WFGPeE"&amp;"ybtd2YKlclmyJPbyePUU2uv0Rt0IStG=w1200|https://lh3.googleusercontent.com/pw/AP1GczOH_G5nVJ1fp7kOMV7zzVl64gFiL9Tyfrf2dqBJu0P8t5hvKHRTAc70gJsjk1RZ90KhRkVQyHiFfdaMnfJ7qwEMkbU3Sw6F8ushlJ09XBLk3J8p1mOY=w1200|https://lh3.googleusercontent.com/pw/AP1GczN76Ps0QXd0"&amp;"ZXJrhVXtKhAymPXu5obgW5V6mp6oby4exujRDedYI-gUxy4-0K1FwwyDwj3S18k4MRhQN653VP-VpipUbdIUFnuBrsbj75BSbauxXzTQ=w1200|https://lh3.googleusercontent.com/pw/AP1GczPNq9lDT9cL5FlnCTS8o9Q6f9kMJKvGYK2B6tO4qZ0VQ0EpIIIdwjYxW-4ODgn1Yh1UcYyW3loLKIQTDN3f4K8QAkzUNULv-9oride"&amp;"PjBv0E08atRYa=w1200|https://lh3.googleusercontent.com/pw/AP1GczNrYEay-7EuzeVsnLy0bNj2RwLUBm4cvev1uu8suxfp_RT5SwWgiwERhpPFfPlpargAtWgwxWOLKGZS_M0ylG6WHw22Rx8Ns07ht-l8efKQa9KXWdaC=w1200|https://lh3.googleusercontent.com/pw/AP1GczPqS83KwigXDFBZDVesFbICt4tLJ_"&amp;"OGO3_dPi6fq0GjQGq_DiE806iG1UQ14BIF1Gx-nVAxRas_OkyzaG4LjRvyWamLRRP-GR5tmrekmzPjj690zsGe=w1200|https://lh3.googleusercontent.com/pw/AP1GczMAnc4CE66gPCIvG5fU9ujmr_6gn9-dUpXTcq5BNIj-2KjwxTadeiXuNAF7D4n5L3-3zQD2oRaLSPkK5TyNS5w0HAHSZ_b01y36TLgT2FNdSZXgyGor=w120"&amp;"0")</f>
        <v>https://lh3.googleusercontent.com/pw/AP1GczN0VYaNk_D90gy-DhFXTuKxTdseSzKxBMEnx_uD4XnXc5P-h9TSeiMs5RQvwHbnKxXpdhEQimorX7nS4Sf4mhMXAIyKh9cgb4E2SENhryvvU-C3EQNo=w1200|https://lh3.googleusercontent.com/pw/AP1GczOnN4fQ0wH7TlNlwutPtvN-HqwUlYoKqaRyErxO5Z3dxwMHKibjrMD4ReZuMXLLtKt1RMK3SeI-V7wRUHlyzqHshKLaw1_kO9uYWLXzTON-78wUjq7P=w1200|https://lh3.googleusercontent.com/pw/AP1GczPA83BqPYBftY6fxyE3cYLXLerEaweXHJVzLXc2c2KmHKMsMIDPisXku1e25vLg_Wy5ZtutlGCFO-Yf_uK3EyBRl0PXIoyNTZPjYXgCooa8J-gsayOj=w1200|https://lh3.googleusercontent.com/pw/AP1GczMni7d_bWmzoRkP64M5iwTnxBMNHgfcPM0u2UNmf29rZU6xbeHTUAl7pGhvvcxJWu9CNlk_OIokeZ_VPPFvIoVuk991oVFjrF1cvRnjyewrIoiWb0uc=w1200|https://lh3.googleusercontent.com/pw/AP1GczNWV1UopjjPh5F_o0mkJFZytvrMaWz7Ig5O0BH1EP1NXGlFJ4y32bZSZUJhbbQcXAMGBc-lVGdVopJPuXw1Mht4mnrK8kB7NYubehfos97VgTf_rxSM=w1200|https://lh3.googleusercontent.com/pw/AP1GczPT_O0_oPdxp_05Gc_2K0RWsnPErFY8sqLLs31tY9FOiL-uBlC8tKnZfY0hhs6PKYShBwWKaAKJhj4JtgPpw352Il4NOi__aWiTSbGo7YIVsTZT6D2O=w1200|https://lh3.googleusercontent.com/pw/AP1GczOK945ItdHOrmyctrByllmOmvfChlmN6k3_9wXR3GxZy39IIN6B0YeeENyKq2Wk1UMt25YSVflTpFIqTV-DpPo-s0VcLqgNCvsb7OI86Sw_6BhKQVXT=w1200|https://lh3.googleusercontent.com/pw/AP1GczN2Qr_tw-lcuCD94tEgvG0gli0STY_KVh0gH9RM8SXq7Mj8i5bl_uYeCOcJ9SGvZhF2f6zTqR4RbBpBuB_VLK8EsqkKZFPyUe0us0o5z5S1mopl7Wf5=w1200|https://lh3.googleusercontent.com/pw/AP1GczPR2tKhLTR_dK0iZ28BEMImvUH9KcBBCzWw2UVngKfsyZl_T-3ekxi2Fq3aPI2wU5Brcw5zOz7U_IkyjJy0_CeOIb8XH4J9GsIGZJ2Cg0SeW1i3lCop=w1200|https://lh3.googleusercontent.com/pw/AP1GczOM9pBygUxwNBl0RbKaxsL7bdJPhzU7V4oMebAApYg8_UsAiUNezm4WKB8OWgsL2oBDI3NHJrQGF83a2PaYOdGMA17PbCQYiBYT9G3zJLxYfsY6cCLJ=w1200|https://lh3.googleusercontent.com/pw/AP1GczOszV4hQxgu7n6hrPGWfP-g4pgggQp4gNRKaK7vmzAaAD9WuPodMEl9Ng-hnLVeshs5sYbbYp2i2uU7l5TSXtsDkRqMo2jKgXk26eiipVNZavqCSPfB=w1200|https://lh3.googleusercontent.com/pw/AP1GczNlm2U0-wKTFl9qFdwuY0twNkhB1yubRw_CKecasZbS1xdSepV4L4tGuPP5QLvo9klZZYwL8swGvFc4CL3iAQvXBB-Isoa_QlxrnUDsY4lYhNnGxHHO=w1200|https://lh3.googleusercontent.com/pw/AP1GczMpWQrfAMNc2CHL0ctlix8z-z7AZXo0I_JgurlIPJtcArAwwPA5_qSata73xeDzdFa2YgbD6ppfo4QcFXIEBBzgJtsVVwI0O-HTUo34DNmO2QoLqr2F=w1200|https://lh3.googleusercontent.com/pw/AP1GczPMTEeTsTJx2vRjk8bfw0WWB8LlK-ftX9r3boaSNHpQEYsF2AM0JJ2qERlD0Ip3L3zCyZkU3KTa0ljA8BrOacc5jkIDgmmx02eb8OU_OoGGv1d0d-PJ=w1200|https://lh3.googleusercontent.com/pw/AP1GczPncC4yt7hen9iQ5uQxdohuyuNMiwXtC4DKaXjNkwJP6mZFg5dNIhlvEKNRXibpx7NJpY8xf_a-9wc6ITE_tNaD-4pF_f3WJVQ3NsbIUh6196tgYIrc=w1200|https://lh3.googleusercontent.com/pw/AP1GczOroOPb2ort-sE-NZJA2dwhlt9MApEcm9f4V5bWJezzgj5fIOQzELubXdlHAQURNcf49QiKTAVUl1HxXdwJxpgMAWtw0hiaHYVT0tfunG9iqVx2mTnS=w1200|https://lh3.googleusercontent.com/pw/AP1GczO4XPs3t6RvCeUkjPpdb1y6st84jGLy1682mnqBity4gt2gqae8BCcrP6vTrhGOB6JOLjjum5ZiEfWNmG2OZ_CmKigo8hJvdLr0kwve91eINfv1Vs0n=w1200|https://lh3.googleusercontent.com/pw/AP1GczPo1uTcOSOsyIQw0K231ehxoULp04Mmo_2TidRCvwuLCV3EtIes_SKo8s_M1N4Cl4ucXRl0OewfkrHBVyqL5nBogO3A_qXdRXqv2poNy18FH5YXwUpQ=w1200|https://lh3.googleusercontent.com/pw/AP1GczMVviBU6UQ42cH6rEEityvh7rJoWoNRTmPFJQ5fzXP8VKOhd3peTGCHAqaGEJmIAFJuadX5IwsipR2tprRlV7_ygFdKjiUXyIzxskJjr3Fnljtlu5Mo=w1200|https://lh3.googleusercontent.com/pw/AP1GczOXP_iPg2XCpW7HB4I2A_DZ7hhN1bwGKkvQy3aQQL_V_GaqG9NWrhlHDwPRH-UPmqi3PhjBmqtQfNd5hJtIGEzZrfS6IPwx-xVHV6r8kgngl2aLH7am=w1200|https://lh3.googleusercontent.com/pw/AP1GczOe6uxouMbHTsGUeLKSJc_uzYhCXhFw3LksGRUmaZ7Yq5YEYeHyalsD28DCSi_nkpP8nmHy6lKX4GIlLZWoS2_KRy8UJoLbu2b-5oD8P5A7qaYcBJZe=w1200|https://lh3.googleusercontent.com/pw/AP1GczOPwrZhvjTxQttWu-nLhHaRUNMB_XdRFYI40thsKchPwrzK5TMsZvwVrdPUi2CbuoBQQe7cnAOR906WFGPeEybtd2YKlclmyJPbyePUU2uv0Rt0IStG=w1200|https://lh3.googleusercontent.com/pw/AP1GczOH_G5nVJ1fp7kOMV7zzVl64gFiL9Tyfrf2dqBJu0P8t5hvKHRTAc70gJsjk1RZ90KhRkVQyHiFfdaMnfJ7qwEMkbU3Sw6F8ushlJ09XBLk3J8p1mOY=w1200|https://lh3.googleusercontent.com/pw/AP1GczN76Ps0QXd0ZXJrhVXtKhAymPXu5obgW5V6mp6oby4exujRDedYI-gUxy4-0K1FwwyDwj3S18k4MRhQN653VP-VpipUbdIUFnuBrsbj75BSbauxXzTQ=w1200|https://lh3.googleusercontent.com/pw/AP1GczPNq9lDT9cL5FlnCTS8o9Q6f9kMJKvGYK2B6tO4qZ0VQ0EpIIIdwjYxW-4ODgn1Yh1UcYyW3loLKIQTDN3f4K8QAkzUNULv-9oridePjBv0E08atRYa=w1200|https://lh3.googleusercontent.com/pw/AP1GczNrYEay-7EuzeVsnLy0bNj2RwLUBm4cvev1uu8suxfp_RT5SwWgiwERhpPFfPlpargAtWgwxWOLKGZS_M0ylG6WHw22Rx8Ns07ht-l8efKQa9KXWdaC=w1200|https://lh3.googleusercontent.com/pw/AP1GczPqS83KwigXDFBZDVesFbICt4tLJ_OGO3_dPi6fq0GjQGq_DiE806iG1UQ14BIF1Gx-nVAxRas_OkyzaG4LjRvyWamLRRP-GR5tmrekmzPjj690zsGe=w1200|https://lh3.googleusercontent.com/pw/AP1GczMAnc4CE66gPCIvG5fU9ujmr_6gn9-dUpXTcq5BNIj-2KjwxTadeiXuNAF7D4n5L3-3zQD2oRaLSPkK5TyNS5w0HAHSZ_b01y36TLgT2FNdSZXgyGor=w1200</v>
      </c>
      <c r="AJ216" s="46"/>
      <c r="AK216" s="46"/>
      <c r="AL216" s="46"/>
      <c r="AM216" s="46"/>
      <c r="AN216" s="46"/>
      <c r="AO216" s="46"/>
      <c r="AP216" s="46"/>
      <c r="AQ216" s="46"/>
      <c r="AR216" s="46"/>
      <c r="AS216" s="46"/>
      <c r="AT216" s="46"/>
      <c r="AU216" s="46"/>
      <c r="AV216" s="46"/>
      <c r="AW216" s="46"/>
      <c r="AX216" s="46"/>
      <c r="AY216" s="46"/>
      <c r="AZ216" s="46"/>
      <c r="BA216" s="46"/>
      <c r="BB216" s="46"/>
      <c r="BC216" s="46"/>
      <c r="BD216" s="46"/>
      <c r="BE216" s="46"/>
      <c r="BF216" s="46"/>
      <c r="BG216" s="46"/>
      <c r="BH216" s="46"/>
      <c r="BI216" s="46"/>
      <c r="BJ216" s="46"/>
      <c r="BK216" s="46"/>
      <c r="BL216" s="46"/>
      <c r="BM216" s="46"/>
      <c r="BN216" s="46"/>
      <c r="BO216" s="46"/>
      <c r="BP216" s="46"/>
      <c r="BQ216" s="46"/>
      <c r="BR216" s="46"/>
      <c r="BS216" s="46"/>
      <c r="BT216" s="46"/>
      <c r="BU216" s="46"/>
      <c r="BV216" s="46"/>
      <c r="BW216" s="46"/>
      <c r="BX216" s="46"/>
      <c r="BY216" s="46"/>
      <c r="BZ216" s="46"/>
      <c r="CA216" s="46"/>
      <c r="CB216" s="46"/>
      <c r="CC216" s="46"/>
    </row>
    <row r="217">
      <c r="A217" s="87" t="str">
        <f>IFERROR(__xludf.DUMMYFUNCTION("""COMPUTED_VALUE"""),"571")</f>
        <v>571</v>
      </c>
      <c r="B217" s="46" t="str">
        <f>IFERROR(__xludf.DUMMYFUNCTION("""COMPUTED_VALUE"""),"Lote urbano  - mayor extensión - Norte")</f>
        <v>Lote urbano  - mayor extensión - Norte</v>
      </c>
      <c r="C217" s="46" t="str">
        <f>IFERROR(__xludf.DUMMYFUNCTION("""COMPUTED_VALUE"""),"Lote")</f>
        <v>Lote</v>
      </c>
      <c r="D217" s="46"/>
      <c r="E217" s="46"/>
      <c r="F217" s="90">
        <f>IFERROR(__xludf.DUMMYFUNCTION("""COMPUTED_VALUE"""),3.5E9)</f>
        <v>3500000000</v>
      </c>
      <c r="G217" s="46" t="str">
        <f>IFERROR(__xludf.DUMMYFUNCTION("""COMPUTED_VALUE"""),"Más de $1.000'000.000")</f>
        <v>Más de $1.000'000.000</v>
      </c>
      <c r="H217" s="46"/>
      <c r="I217" s="46"/>
      <c r="J217" s="46" t="str">
        <f>IFERROR(__xludf.DUMMYFUNCTION("""COMPUTED_VALUE"""),"Norte")</f>
        <v>Norte</v>
      </c>
      <c r="K217" s="87"/>
      <c r="L217" s="46">
        <f>IFERROR(__xludf.DUMMYFUNCTION("""COMPUTED_VALUE"""),0.0)</f>
        <v>0</v>
      </c>
      <c r="M217" s="46"/>
      <c r="N217" s="46">
        <f>IFERROR(__xludf.DUMMYFUNCTION("""COMPUTED_VALUE"""),0.0)</f>
        <v>0</v>
      </c>
      <c r="O217" s="46">
        <f>IFERROR(__xludf.DUMMYFUNCTION("""COMPUTED_VALUE"""),0.0)</f>
        <v>0</v>
      </c>
      <c r="P217" s="46">
        <f>IFERROR(__xludf.DUMMYFUNCTION("""COMPUTED_VALUE"""),0.0)</f>
        <v>0</v>
      </c>
      <c r="Q217" s="92">
        <f>IFERROR(__xludf.DUMMYFUNCTION("""COMPUTED_VALUE"""),0.0)</f>
        <v>0</v>
      </c>
      <c r="R217" s="92">
        <f>IFERROR(__xludf.DUMMYFUNCTION("""COMPUTED_VALUE"""),5572.13)</f>
        <v>5572.13</v>
      </c>
      <c r="S217" s="87" t="str">
        <f>IFERROR(__xludf.DUMMYFUNCTION("""COMPUTED_VALUE""")," ")</f>
        <v> </v>
      </c>
      <c r="T217" s="46" t="str">
        <f>IFERROR(__xludf.DUMMYFUNCTION("""COMPUTED_VALUE"""),"Neiva")</f>
        <v>Neiva</v>
      </c>
      <c r="U217" s="87"/>
      <c r="V217" s="46" t="str">
        <f>IFERROR(__xludf.DUMMYFUNCTION("""COMPUTED_VALUE"""),"Esquinero")</f>
        <v>Esquinero</v>
      </c>
      <c r="W217" s="46"/>
      <c r="X217" s="46">
        <f>IFERROR(__xludf.DUMMYFUNCTION("""COMPUTED_VALUE"""),0.0)</f>
        <v>0</v>
      </c>
      <c r="Y217" s="46" t="str">
        <f>IFERROR(__xludf.DUMMYFUNCTION("""COMPUTED_VALUE"""),"No tiene")</f>
        <v>No tiene</v>
      </c>
      <c r="Z217" s="90" t="str">
        <f>IFERROR(__xludf.DUMMYFUNCTION("""COMPUTED_VALUE"""),"No aplica")</f>
        <v>No aplica</v>
      </c>
      <c r="AA217" s="33" t="str">
        <f>IFERROR(__xludf.DUMMYFUNCTION("""COMPUTED_VALUE"""),"No aplica")</f>
        <v>No aplica</v>
      </c>
      <c r="AB217" s="96" t="str">
        <f>IFERROR(__xludf.DUMMYFUNCTION("""COMPUTED_VALUE"""),"https://photos.app.goo.gl/mraBH3mGL4N5yz4Z7")</f>
        <v>https://photos.app.goo.gl/mraBH3mGL4N5yz4Z7</v>
      </c>
      <c r="AC217" s="46" t="str">
        <f>IFERROR(__xludf.DUMMYFUNCTION("""COMPUTED_VALUE"""),"Excelente oportunidad de inversión en el norte de Neiva con este lote esquinero urbanizable de 5.572,13 m², ubicado en la Calle 46 No. 24-20, colindando con el barrio Los Cipreses y frente al Conjunto Residencial San Pablo. El terreno cuenta con una topog"&amp;"rafía regular y medidas perimetrales de 120,36 ml al norte, 107,85 ml al sur, 49,00 ml al oriente y 50,27 ml al occidente, ofreciendo un amplio frente sobre la vía principal y un uso de suelo mixto (residencial y comercial) plenamente apto y consolidado p"&amp;"ara proyectos en altura, torres de apartamentos o desarrollos mixtos.")</f>
        <v>Excelente oportunidad de inversión en el norte de Neiva con este lote esquinero urbanizable de 5.572,13 m², ubicado en la Calle 46 No. 24-20, colindando con el barrio Los Cipreses y frente al Conjunto Residencial San Pablo. El terreno cuenta con una topografía regular y medidas perimetrales de 120,36 ml al norte, 107,85 ml al sur, 49,00 ml al oriente y 50,27 ml al occidente, ofreciendo un amplio frente sobre la vía principal y un uso de suelo mixto (residencial y comercial) plenamente apto y consolidado para proyectos en altura, torres de apartamentos o desarrollos mixtos.</v>
      </c>
      <c r="AD217" s="46" t="str">
        <f>IFERROR(__xludf.DUMMYFUNCTION("""COMPUTED_VALUE"""),"La propiedad tiene un valor de $3.500 millones de pesos ($628.140 por m²), con escrituras e impuestos al día, libre de gravámenes y lista para trámite de licencias o escrituración inmediata. Su localización estratégica dentro de una zona residencial de al"&amp;"ta valorización y rodeada de conjuntos consolidados (San Pablo, Villa Nubia y San Valentín) garantiza rentabilidad y rápida absorción comercial; venta directa de contado, sin permuta.")</f>
        <v>La propiedad tiene un valor de $3.500 millones de pesos ($628.140 por m²), con escrituras e impuestos al día, libre de gravámenes y lista para trámite de licencias o escrituración inmediata. Su localización estratégica dentro de una zona residencial de alta valorización y rodeada de conjuntos consolidados (San Pablo, Villa Nubia y San Valentín) garantiza rentabilidad y rápida absorción comercial; venta directa de contado, sin permuta.</v>
      </c>
      <c r="AE217" s="46"/>
      <c r="AF217" s="46">
        <f>IFERROR(__xludf.DUMMYFUNCTION("""COMPUTED_VALUE"""),0.0)</f>
        <v>0</v>
      </c>
      <c r="AG217" s="46"/>
      <c r="AH217" s="46" t="str">
        <f>IFERROR(__xludf.DUMMYFUNCTION("""COMPUTED_VALUE"""),"Verbal")</f>
        <v>Verbal</v>
      </c>
      <c r="AI217" s="92" t="str">
        <f>IFERROR(__xludf.DUMMYFUNCTION("""COMPUTED_VALUE"""),"https://lh3.googleusercontent.com/pw/AP1GczP2KXjUHfnCFf5cn_Y1Ycm9AhxXpLJWIkTRA_ekM_Gkg8wr2yx6O0Fyc3nfYtFkt8Psl6PZ_1K3hBySrOy5Si2KUBU-tHs1hbt8zRvtTzCai7Aj0xac=w1200|https://lh3.googleusercontent.com/pw/AP1GczPPArxDRv25gGwZ5uP8H77avvNS4USgRPywXyOl19bce6C5xF"&amp;"aF3gVpPWCSdpogRJ4IkV7tU8s0hQrnXGhhBG13nJ5-6V1vv5JNjchCEP1B0-Kzi6EQ=w1200|https://lh3.googleusercontent.com/pw/AP1GczNwsSxdovRTSB_QdHToB27v-_UBobXzgYggmg-ljzsRDNKRfm3j9gyWz9GPhHfGkYSz-KO9RyXpo9hOo4YsutowriqZwrwDNLxoJg8WbRhDLent2E6S=w1200")</f>
        <v>https://lh3.googleusercontent.com/pw/AP1GczP2KXjUHfnCFf5cn_Y1Ycm9AhxXpLJWIkTRA_ekM_Gkg8wr2yx6O0Fyc3nfYtFkt8Psl6PZ_1K3hBySrOy5Si2KUBU-tHs1hbt8zRvtTzCai7Aj0xac=w1200|https://lh3.googleusercontent.com/pw/AP1GczPPArxDRv25gGwZ5uP8H77avvNS4USgRPywXyOl19bce6C5xFaF3gVpPWCSdpogRJ4IkV7tU8s0hQrnXGhhBG13nJ5-6V1vv5JNjchCEP1B0-Kzi6EQ=w1200|https://lh3.googleusercontent.com/pw/AP1GczNwsSxdovRTSB_QdHToB27v-_UBobXzgYggmg-ljzsRDNKRfm3j9gyWz9GPhHfGkYSz-KO9RyXpo9hOo4YsutowriqZwrwDNLxoJg8WbRhDLent2E6S=w1200</v>
      </c>
      <c r="AJ217" s="46"/>
      <c r="AK217" s="46"/>
      <c r="AL217" s="46"/>
      <c r="AM217" s="46"/>
      <c r="AN217" s="46"/>
      <c r="AO217" s="46"/>
      <c r="AP217" s="46"/>
      <c r="AQ217" s="46"/>
      <c r="AR217" s="46"/>
      <c r="AS217" s="46"/>
      <c r="AT217" s="46"/>
      <c r="AU217" s="46"/>
      <c r="AV217" s="46"/>
      <c r="AW217" s="46"/>
      <c r="AX217" s="46"/>
      <c r="AY217" s="46"/>
      <c r="AZ217" s="46"/>
      <c r="BA217" s="46"/>
      <c r="BB217" s="46"/>
      <c r="BC217" s="46"/>
      <c r="BD217" s="46"/>
      <c r="BE217" s="46"/>
      <c r="BF217" s="46"/>
      <c r="BG217" s="46"/>
      <c r="BH217" s="46"/>
      <c r="BI217" s="46"/>
      <c r="BJ217" s="46"/>
      <c r="BK217" s="46"/>
      <c r="BL217" s="46"/>
      <c r="BM217" s="46"/>
      <c r="BN217" s="46"/>
      <c r="BO217" s="46"/>
      <c r="BP217" s="46"/>
      <c r="BQ217" s="46"/>
      <c r="BR217" s="46"/>
      <c r="BS217" s="46"/>
      <c r="BT217" s="46"/>
      <c r="BU217" s="46"/>
      <c r="BV217" s="46"/>
      <c r="BW217" s="46"/>
      <c r="BX217" s="46"/>
      <c r="BY217" s="46"/>
      <c r="BZ217" s="46"/>
      <c r="CA217" s="46"/>
      <c r="CB217" s="46"/>
      <c r="CC217" s="46"/>
    </row>
    <row r="218">
      <c r="A218" s="87" t="str">
        <f>IFERROR(__xludf.DUMMYFUNCTION("""COMPUTED_VALUE"""),"291")</f>
        <v>291</v>
      </c>
      <c r="B218" s="46" t="str">
        <f>IFERROR(__xludf.DUMMYFUNCTION("""COMPUTED_VALUE"""),"Edificio rentable - Hotel Center")</f>
        <v>Edificio rentable - Hotel Center</v>
      </c>
      <c r="C218" s="46" t="str">
        <f>IFERROR(__xludf.DUMMYFUNCTION("""COMPUTED_VALUE"""),"Edificio rentable")</f>
        <v>Edificio rentable</v>
      </c>
      <c r="D218" s="46" t="str">
        <f>IFERROR(__xludf.DUMMYFUNCTION("""COMPUTED_VALUE"""),"Centro")</f>
        <v>Centro</v>
      </c>
      <c r="E218" s="46"/>
      <c r="F218" s="90">
        <f>IFERROR(__xludf.DUMMYFUNCTION("""COMPUTED_VALUE"""),2.6E9)</f>
        <v>2600000000</v>
      </c>
      <c r="G218" s="46" t="str">
        <f>IFERROR(__xludf.DUMMYFUNCTION("""COMPUTED_VALUE"""),"Más de $1.000'000.000")</f>
        <v>Más de $1.000'000.000</v>
      </c>
      <c r="H218" s="46"/>
      <c r="I218" s="46"/>
      <c r="J218" s="46" t="str">
        <f>IFERROR(__xludf.DUMMYFUNCTION("""COMPUTED_VALUE"""),"Centro")</f>
        <v>Centro</v>
      </c>
      <c r="K218" s="87"/>
      <c r="L218" s="46">
        <f>IFERROR(__xludf.DUMMYFUNCTION("""COMPUTED_VALUE"""),30.0)</f>
        <v>30</v>
      </c>
      <c r="M218" s="46"/>
      <c r="N218" s="46">
        <f>IFERROR(__xludf.DUMMYFUNCTION("""COMPUTED_VALUE"""),34.0)</f>
        <v>34</v>
      </c>
      <c r="O218" s="46">
        <f>IFERROR(__xludf.DUMMYFUNCTION("""COMPUTED_VALUE"""),1.0)</f>
        <v>1</v>
      </c>
      <c r="P218" s="46">
        <f>IFERROR(__xludf.DUMMYFUNCTION("""COMPUTED_VALUE"""),2.0)</f>
        <v>2</v>
      </c>
      <c r="Q218" s="92">
        <f>IFERROR(__xludf.DUMMYFUNCTION("""COMPUTED_VALUE"""),960.0)</f>
        <v>960</v>
      </c>
      <c r="R218" s="92">
        <f>IFERROR(__xludf.DUMMYFUNCTION("""COMPUTED_VALUE"""),504.0)</f>
        <v>504</v>
      </c>
      <c r="S218" s="87" t="str">
        <f>IFERROR(__xludf.DUMMYFUNCTION("""COMPUTED_VALUE"""),"Rentabilidad $17,000,000")</f>
        <v>Rentabilidad $17,000,000</v>
      </c>
      <c r="T218" s="46" t="str">
        <f>IFERROR(__xludf.DUMMYFUNCTION("""COMPUTED_VALUE"""),"Neiva")</f>
        <v>Neiva</v>
      </c>
      <c r="U218" s="87" t="str">
        <f>IFERROR(__xludf.DUMMYFUNCTION("""COMPUTED_VALUE"""),"4")</f>
        <v>4</v>
      </c>
      <c r="V218" s="46" t="str">
        <f>IFERROR(__xludf.DUMMYFUNCTION("""COMPUTED_VALUE"""),"Medianera")</f>
        <v>Medianera</v>
      </c>
      <c r="W218" s="46"/>
      <c r="X218" s="46">
        <f>IFERROR(__xludf.DUMMYFUNCTION("""COMPUTED_VALUE"""),20.0)</f>
        <v>20</v>
      </c>
      <c r="Y218" s="46" t="str">
        <f>IFERROR(__xludf.DUMMYFUNCTION("""COMPUTED_VALUE"""),"No tiene")</f>
        <v>No tiene</v>
      </c>
      <c r="Z218" s="90" t="str">
        <f>IFERROR(__xludf.DUMMYFUNCTION("""COMPUTED_VALUE"""),"No aplica")</f>
        <v>No aplica</v>
      </c>
      <c r="AA218" s="33" t="str">
        <f>IFERROR(__xludf.DUMMYFUNCTION("""COMPUTED_VALUE"""),"13 años")</f>
        <v>13 años</v>
      </c>
      <c r="AB218" s="96" t="str">
        <f>IFERROR(__xludf.DUMMYFUNCTION("""COMPUTED_VALUE"""),"https://photos.app.goo.gl/owGzaGHSr5R6KcJu6")</f>
        <v>https://photos.app.goo.gl/owGzaGHSr5R6KcJu6</v>
      </c>
      <c r="AC218" s="46"/>
      <c r="AD218" s="46" t="str">
        <f>IFERROR(__xludf.DUMMYFUNCTION("""COMPUTED_VALUE"""),"Hotel de paso para remodelar. Bien ubicado, plaza San Pedro. Cuenta con 30 habitaciones y 3 locales. Dimensión del lote 18.00 ml x 28.00 ml. Escritura al día. Permuta si, por inmueble rentable en Neiva y efectivo.")</f>
        <v>Hotel de paso para remodelar. Bien ubicado, plaza San Pedro. Cuenta con 30 habitaciones y 3 locales. Dimensión del lote 18.00 ml x 28.00 ml. Escritura al día. Permuta si, por inmueble rentable en Neiva y efectivo.</v>
      </c>
      <c r="AE218" s="46"/>
      <c r="AF218" s="46" t="str">
        <f>IFERROR(__xludf.DUMMYFUNCTION("""COMPUTED_VALUE"""),"básica")</f>
        <v>básica</v>
      </c>
      <c r="AG218" s="46"/>
      <c r="AH218" s="46" t="str">
        <f>IFERROR(__xludf.DUMMYFUNCTION("""COMPUTED_VALUE"""),"Verbal")</f>
        <v>Verbal</v>
      </c>
      <c r="AI218" s="92" t="str">
        <f>IFERROR(__xludf.DUMMYFUNCTION("""COMPUTED_VALUE"""),"https://lh3.googleusercontent.com/pw/AP1GczMuJ9KGtSomrE4Qa3ysh1pjtFuvOtVxnUl3bvi3Jq2oW8k_AIw_PcUaDHIPmTXjUWJCWpBH8v9frnGONfGg_hyDVGKp1233oFZtA8_4t6jy--xXaD_g=w1200|https://lh3.googleusercontent.com/pw/AP1GczP5jH1nZVZNBEm4se4CKyzXbbJf5jsbwYLGi1UrpWeyyhLrnJ"&amp;"vByXDWEfEpYu7m38TtxyxBx-ccsDyWo7xaW4uRCSD5MUfazDbV442kz4hwgnEEibAs=w1200|https://lh3.googleusercontent.com/pw/AP1GczO6t8ObMYU3K19Fr4q082tJkYusJZ6mUGQ-q08BwmqCJgfj62MUTif3nEnQOQvoapOepmqF1p5_4yJ83vbrl3xef24YXEkQyajOC2zDyOBz4jMqGxzQ=w1200|https://lh3.google"&amp;"usercontent.com/pw/AP1GczOQ_SfrRKegaBc7kfppUPHfLOMu0kuAEeWEDPiCcFoeQa-Yy5ENO2zMpjCgTplLFX1jTjAcH7rQf5glhbZXkpCHBtlY-wxwdW0giDkGgbEpfq3UqdFv=w1200|https://lh3.googleusercontent.com/pw/AP1GczOGCGxblW7HjRo3XFJYnt7wz3B_xY-7-6G71tqzPCGrMNOFZecHkrK319nDb0ZQT1qo"&amp;"FhWajXfL1C0OVNFlrDhP_CKImkIKVSy9AGUjd-eEcH4PVjSe=w1200|https://lh3.googleusercontent.com/pw/AP1GczPmOZpsITtsIlOlNfmks47Itgyc3Px348Bp6qZ8eutt-hkcFMFBljnJCiTWOecge4IIW-nO-s04gzDAo_M95D2L83ycFYh4gSvXFbTYbtxUxSsEVF0o=w1200|https://lh3.googleusercontent.com/pw"&amp;"/AP1GczN036l5HipFItPJJMu3igc8UuI0NpsFDe_vcUbM3S6uG_voskFRVTANFAOfyvSG_UNxiRU3VuDABe9p0e_EvV-uXCoXqL9PS8TV-TsiCyOX8o9B_6FX=w1200|https://lh3.googleusercontent.com/pw/AP1GczP1QqvAuN0FKk5On1E4S1xmCH-PPRQjtRKAXzp1sQJRHNWKtOrVk6-ARncU3mgvgxK6pUqZLz_Vvt3G6sPNGn"&amp;"YS_lkZ69rOollBDjeOUDnrnJoICZ1A=w1200|https://lh3.googleusercontent.com/pw/AP1GczOAthPeRH3vHqjQ2EAVRm6GhugmkFIr822PCoje_OjshhzbI99jKRpbL2xkTVEj5XMUJ6i3HSDV4Cj_XPyZYi1RbkXaGLXqMV1_diJLHfdUUwQjoOFg=w1200|https://lh3.googleusercontent.com/pw/AP1GczOQbLBvYgRCA"&amp;"u9mYIE8vP8M-EUABPYcAOJ_9hDG93_f1oR6DC9riplk8ztxDMB23z5f8oXuLJ9aGNiMFEwb_wGU0l-R3kQ7k8B69kprpzgxTVQaAxYp=w1200|https://lh3.googleusercontent.com/pw/AP1GczNkozxlxbzbJHGuvJhw5U2cGqja9-TZSg0SgJqY9zc5Q1i8cvqi3DwJNuRgPRvn-YXTAdmFHRY_JPdjtu1SpI-ly05VMXx8qfsxaWiD"&amp;"YS3uz4cBD-K3=w1200|https://lh3.googleusercontent.com/pw/AP1GczOoTX49eiKJ3bDwOGFHvopou3ysoYy2fMYkhhf5KhDOwRswN8yWl19h9khn8c0spKnJjMpRZxOYe83w6tNqC7P79Gn9vEaIObct9qwNXluDh8dMVvzK=w1200|https://lh3.googleusercontent.com/pw/AP1GczMzyvOic6EWH1nmhBOCoe8gy9RHRgF"&amp;"rhspPTQ6P6f_uKHRB8CnCpXUb0_oQmiTuX457SVJQ63NO30u2-qO4Dr_eYlQ_ZZUD-XNMC2ACigheETcHfQwI=w1200|https://lh3.googleusercontent.com/pw/AP1GczPSep7CZigw2Cd8HQtjb0mK9Whwe-xi7VBZyl5rkpFDk6hj4-6YeZWZ5hVKSt5Xzu2zRp1AisDkOeAjxxzdXcW6sIbga5QAmc65qF42B0Wu9l1GEuQ1=w1200"&amp;"|https://lh3.googleusercontent.com/pw/AP1GczPXhgz-QGNr4qXjDQVbqS23_dHrL3kK8TjqJt4tFTkfClO5JJb927UYt-K1Z-GdYlk4MzRPtkJJDkn2FvU0E0sTgQIiCxzxVA6V-oqWFvGjU3Seg4dl=w1200|https://lh3.googleusercontent.com/pw/AP1GczO92zZePuXs7xGbD7QnlFbJBJX8xe_asjrwW1HxpqCSAf0jw"&amp;"NVijyQvYKn_2Kwv82GWjGmvIAQ_BtN1mPRI9wz_XFNMRvFSuM0I1eiWzhYhbLmlTBxw=w1200|https://lh3.googleusercontent.com/pw/AP1GczNhMgpVCCbGA4ASX_NJhWWwS9pGoG2K6t7qwKuEhFDEttZpv0sl9pz3zqoD1Guln6IZgIA5rOhPyCcZ3foU7GoLKvvB19RNYLUMIZeZeCJGE5Z7uXVz=w1200|https://lh3.googl"&amp;"eusercontent.com/pw/AP1GczPpO4m67hjgWnwPdYeNt1rHZA0fZZjSuQ7Fnd2yD4BjngJhHvFb-b55eGHQwU_HV34Rn8-sNKIVzo1KpHjrmtgIq9h3ueJgdZ-z1600W-dVZ3_6tbXb=w1200|https://lh3.googleusercontent.com/pw/AP1GczNpc7kxZHWwvbezGo0rYmJSXtYrOIhgjmH1mPWGoYdPmXL3iogUY1fM6BKRwAXTC9s"&amp;"Y8DQzvxUevjZixWc5meibvg6F7yyAHAZzpeWx2_ZULcxMDI2W=w1200|https://lh3.googleusercontent.com/pw/AP1GczNp6CIdUHntLHlIznB_oEWu4ilGmHjR2lrtX7aaQEfUwIxVoGknXiWtv23U0JiiX1D9Ob9JxS2Puvvf7crbuYIB2kOz4LV7dlfZkpRvB1va0Jkb9qCN=w1200|https://lh3.googleusercontent.com/p"&amp;"w/AP1GczM-04CJtM_rfiZhkRdqMwNmjKw4S8b7iYMaua-7nWCzQzvXI3dBHhUkchDtXADnRb59sjFxeGLSXdWg8PKZtiBqUibPikv5EmQ7hMsPfu5x2gKi2kbC=w1200|https://lh3.googleusercontent.com/pw/AP1GczPjZ13cqOQrXAxomJArJCZcQ_c-owE6K1vbUXXIyS33gsJvEKRhOzDcpi60V7GS77Jys7bAh8ds26yP-78E4"&amp;"0ua9iNoS5XKT5VCGeniv_KFd3xKk0cd=w1200|https://lh3.googleusercontent.com/pw/AP1GczO2pXUpv1yTEBYxCErSv943XBdHnAafzqmXQRP78ADKo1P9Br_dRb94ZvMiPPhml0L5zFEOuCqNCf0w5zh0y63BbiKeMU7oakK7zlW4N9ySBZKu8NiU=w1200|https://lh3.googleusercontent.com/pw/AP1GczMukduSzLcD"&amp;"e_tINwh6nsDahbJQWfbtlYnSTRa2swdr5Uh0x_WEi0NjgYWDgCKUMm1ERn5X3dYrL2NOCVrA66hBAIEvTrTBbXO9AT-3gwptTMl1S-TX=w1200|https://lh3.googleusercontent.com/pw/AP1GczPTZxBa1VC16TNHi_p8K_oCWzfP8JXMo2TKunCPSz8nIo_M9qydyQQNqvKtWFMzxHKnR0FD4WeMQPU_Qc8Kj8aIRXsu5z_zDwpEvm8"&amp;"QyLadNN9JkTJr=w1200")</f>
        <v>https://lh3.googleusercontent.com/pw/AP1GczMuJ9KGtSomrE4Qa3ysh1pjtFuvOtVxnUl3bvi3Jq2oW8k_AIw_PcUaDHIPmTXjUWJCWpBH8v9frnGONfGg_hyDVGKp1233oFZtA8_4t6jy--xXaD_g=w1200|https://lh3.googleusercontent.com/pw/AP1GczP5jH1nZVZNBEm4se4CKyzXbbJf5jsbwYLGi1UrpWeyyhLrnJvByXDWEfEpYu7m38TtxyxBx-ccsDyWo7xaW4uRCSD5MUfazDbV442kz4hwgnEEibAs=w1200|https://lh3.googleusercontent.com/pw/AP1GczO6t8ObMYU3K19Fr4q082tJkYusJZ6mUGQ-q08BwmqCJgfj62MUTif3nEnQOQvoapOepmqF1p5_4yJ83vbrl3xef24YXEkQyajOC2zDyOBz4jMqGxzQ=w1200|https://lh3.googleusercontent.com/pw/AP1GczOQ_SfrRKegaBc7kfppUPHfLOMu0kuAEeWEDPiCcFoeQa-Yy5ENO2zMpjCgTplLFX1jTjAcH7rQf5glhbZXkpCHBtlY-wxwdW0giDkGgbEpfq3UqdFv=w1200|https://lh3.googleusercontent.com/pw/AP1GczOGCGxblW7HjRo3XFJYnt7wz3B_xY-7-6G71tqzPCGrMNOFZecHkrK319nDb0ZQT1qoFhWajXfL1C0OVNFlrDhP_CKImkIKVSy9AGUjd-eEcH4PVjSe=w1200|https://lh3.googleusercontent.com/pw/AP1GczPmOZpsITtsIlOlNfmks47Itgyc3Px348Bp6qZ8eutt-hkcFMFBljnJCiTWOecge4IIW-nO-s04gzDAo_M95D2L83ycFYh4gSvXFbTYbtxUxSsEVF0o=w1200|https://lh3.googleusercontent.com/pw/AP1GczN036l5HipFItPJJMu3igc8UuI0NpsFDe_vcUbM3S6uG_voskFRVTANFAOfyvSG_UNxiRU3VuDABe9p0e_EvV-uXCoXqL9PS8TV-TsiCyOX8o9B_6FX=w1200|https://lh3.googleusercontent.com/pw/AP1GczP1QqvAuN0FKk5On1E4S1xmCH-PPRQjtRKAXzp1sQJRHNWKtOrVk6-ARncU3mgvgxK6pUqZLz_Vvt3G6sPNGnYS_lkZ69rOollBDjeOUDnrnJoICZ1A=w1200|https://lh3.googleusercontent.com/pw/AP1GczOAthPeRH3vHqjQ2EAVRm6GhugmkFIr822PCoje_OjshhzbI99jKRpbL2xkTVEj5XMUJ6i3HSDV4Cj_XPyZYi1RbkXaGLXqMV1_diJLHfdUUwQjoOFg=w1200|https://lh3.googleusercontent.com/pw/AP1GczOQbLBvYgRCAu9mYIE8vP8M-EUABPYcAOJ_9hDG93_f1oR6DC9riplk8ztxDMB23z5f8oXuLJ9aGNiMFEwb_wGU0l-R3kQ7k8B69kprpzgxTVQaAxYp=w1200|https://lh3.googleusercontent.com/pw/AP1GczNkozxlxbzbJHGuvJhw5U2cGqja9-TZSg0SgJqY9zc5Q1i8cvqi3DwJNuRgPRvn-YXTAdmFHRY_JPdjtu1SpI-ly05VMXx8qfsxaWiDYS3uz4cBD-K3=w1200|https://lh3.googleusercontent.com/pw/AP1GczOoTX49eiKJ3bDwOGFHvopou3ysoYy2fMYkhhf5KhDOwRswN8yWl19h9khn8c0spKnJjMpRZxOYe83w6tNqC7P79Gn9vEaIObct9qwNXluDh8dMVvzK=w1200|https://lh3.googleusercontent.com/pw/AP1GczMzyvOic6EWH1nmhBOCoe8gy9RHRgFrhspPTQ6P6f_uKHRB8CnCpXUb0_oQmiTuX457SVJQ63NO30u2-qO4Dr_eYlQ_ZZUD-XNMC2ACigheETcHfQwI=w1200|https://lh3.googleusercontent.com/pw/AP1GczPSep7CZigw2Cd8HQtjb0mK9Whwe-xi7VBZyl5rkpFDk6hj4-6YeZWZ5hVKSt5Xzu2zRp1AisDkOeAjxxzdXcW6sIbga5QAmc65qF42B0Wu9l1GEuQ1=w1200|https://lh3.googleusercontent.com/pw/AP1GczPXhgz-QGNr4qXjDQVbqS23_dHrL3kK8TjqJt4tFTkfClO5JJb927UYt-K1Z-GdYlk4MzRPtkJJDkn2FvU0E0sTgQIiCxzxVA6V-oqWFvGjU3Seg4dl=w1200|https://lh3.googleusercontent.com/pw/AP1GczO92zZePuXs7xGbD7QnlFbJBJX8xe_asjrwW1HxpqCSAf0jwNVijyQvYKn_2Kwv82GWjGmvIAQ_BtN1mPRI9wz_XFNMRvFSuM0I1eiWzhYhbLmlTBxw=w1200|https://lh3.googleusercontent.com/pw/AP1GczNhMgpVCCbGA4ASX_NJhWWwS9pGoG2K6t7qwKuEhFDEttZpv0sl9pz3zqoD1Guln6IZgIA5rOhPyCcZ3foU7GoLKvvB19RNYLUMIZeZeCJGE5Z7uXVz=w1200|https://lh3.googleusercontent.com/pw/AP1GczPpO4m67hjgWnwPdYeNt1rHZA0fZZjSuQ7Fnd2yD4BjngJhHvFb-b55eGHQwU_HV34Rn8-sNKIVzo1KpHjrmtgIq9h3ueJgdZ-z1600W-dVZ3_6tbXb=w1200|https://lh3.googleusercontent.com/pw/AP1GczNpc7kxZHWwvbezGo0rYmJSXtYrOIhgjmH1mPWGoYdPmXL3iogUY1fM6BKRwAXTC9sY8DQzvxUevjZixWc5meibvg6F7yyAHAZzpeWx2_ZULcxMDI2W=w1200|https://lh3.googleusercontent.com/pw/AP1GczNp6CIdUHntLHlIznB_oEWu4ilGmHjR2lrtX7aaQEfUwIxVoGknXiWtv23U0JiiX1D9Ob9JxS2Puvvf7crbuYIB2kOz4LV7dlfZkpRvB1va0Jkb9qCN=w1200|https://lh3.googleusercontent.com/pw/AP1GczM-04CJtM_rfiZhkRdqMwNmjKw4S8b7iYMaua-7nWCzQzvXI3dBHhUkchDtXADnRb59sjFxeGLSXdWg8PKZtiBqUibPikv5EmQ7hMsPfu5x2gKi2kbC=w1200|https://lh3.googleusercontent.com/pw/AP1GczPjZ13cqOQrXAxomJArJCZcQ_c-owE6K1vbUXXIyS33gsJvEKRhOzDcpi60V7GS77Jys7bAh8ds26yP-78E40ua9iNoS5XKT5VCGeniv_KFd3xKk0cd=w1200|https://lh3.googleusercontent.com/pw/AP1GczO2pXUpv1yTEBYxCErSv943XBdHnAafzqmXQRP78ADKo1P9Br_dRb94ZvMiPPhml0L5zFEOuCqNCf0w5zh0y63BbiKeMU7oakK7zlW4N9ySBZKu8NiU=w1200|https://lh3.googleusercontent.com/pw/AP1GczMukduSzLcDe_tINwh6nsDahbJQWfbtlYnSTRa2swdr5Uh0x_WEi0NjgYWDgCKUMm1ERn5X3dYrL2NOCVrA66hBAIEvTrTBbXO9AT-3gwptTMl1S-TX=w1200|https://lh3.googleusercontent.com/pw/AP1GczPTZxBa1VC16TNHi_p8K_oCWzfP8JXMo2TKunCPSz8nIo_M9qydyQQNqvKtWFMzxHKnR0FD4WeMQPU_Qc8Kj8aIRXsu5z_zDwpEvm8QyLadNN9JkTJr=w1200</v>
      </c>
      <c r="AJ218" s="46"/>
      <c r="AK218" s="46"/>
      <c r="AL218" s="46"/>
      <c r="AM218" s="46"/>
      <c r="AN218" s="46"/>
      <c r="AO218" s="46"/>
      <c r="AP218" s="46"/>
      <c r="AQ218" s="46"/>
      <c r="AR218" s="46"/>
      <c r="AS218" s="46"/>
      <c r="AT218" s="46"/>
      <c r="AU218" s="46"/>
      <c r="AV218" s="46"/>
      <c r="AW218" s="46"/>
      <c r="AX218" s="46"/>
      <c r="AY218" s="46"/>
      <c r="AZ218" s="46"/>
      <c r="BA218" s="46"/>
      <c r="BB218" s="46"/>
      <c r="BC218" s="46"/>
      <c r="BD218" s="46"/>
      <c r="BE218" s="46"/>
      <c r="BF218" s="46"/>
      <c r="BG218" s="46"/>
      <c r="BH218" s="46"/>
      <c r="BI218" s="46"/>
      <c r="BJ218" s="46"/>
      <c r="BK218" s="46"/>
      <c r="BL218" s="46"/>
      <c r="BM218" s="46"/>
      <c r="BN218" s="46"/>
      <c r="BO218" s="46"/>
      <c r="BP218" s="46"/>
      <c r="BQ218" s="46"/>
      <c r="BR218" s="46"/>
      <c r="BS218" s="46"/>
      <c r="BT218" s="46"/>
      <c r="BU218" s="46"/>
      <c r="BV218" s="46"/>
      <c r="BW218" s="46"/>
      <c r="BX218" s="46"/>
      <c r="BY218" s="46"/>
      <c r="BZ218" s="46"/>
      <c r="CA218" s="46"/>
      <c r="CB218" s="46"/>
      <c r="CC218" s="46"/>
    </row>
    <row r="219">
      <c r="A219" s="87" t="str">
        <f>IFERROR(__xludf.DUMMYFUNCTION("""COMPUTED_VALUE"""),"474")</f>
        <v>474</v>
      </c>
      <c r="B219" s="46" t="str">
        <f>IFERROR(__xludf.DUMMYFUNCTION("""COMPUTED_VALUE"""),"Finca Avicola - Vda. La Orquídea -Juncal - Sur")</f>
        <v>Finca Avicola - Vda. La Orquídea -Juncal - Sur</v>
      </c>
      <c r="C219" s="46" t="str">
        <f>IFERROR(__xludf.DUMMYFUNCTION("""COMPUTED_VALUE"""),"Finca")</f>
        <v>Finca</v>
      </c>
      <c r="D219" s="46"/>
      <c r="E219" s="46"/>
      <c r="F219" s="90">
        <f>IFERROR(__xludf.DUMMYFUNCTION("""COMPUTED_VALUE"""),1.5E9)</f>
        <v>1500000000</v>
      </c>
      <c r="G219" s="46" t="str">
        <f>IFERROR(__xludf.DUMMYFUNCTION("""COMPUTED_VALUE"""),"Más de $1.000'000.000")</f>
        <v>Más de $1.000'000.000</v>
      </c>
      <c r="H219" s="46"/>
      <c r="I219" s="46"/>
      <c r="J219" s="46" t="str">
        <f>IFERROR(__xludf.DUMMYFUNCTION("""COMPUTED_VALUE"""),"Sur")</f>
        <v>Sur</v>
      </c>
      <c r="K219" s="87"/>
      <c r="L219" s="46">
        <f>IFERROR(__xludf.DUMMYFUNCTION("""COMPUTED_VALUE"""),4.0)</f>
        <v>4</v>
      </c>
      <c r="M219" s="46"/>
      <c r="N219" s="46">
        <f>IFERROR(__xludf.DUMMYFUNCTION("""COMPUTED_VALUE"""),2.0)</f>
        <v>2</v>
      </c>
      <c r="O219" s="46">
        <f>IFERROR(__xludf.DUMMYFUNCTION("""COMPUTED_VALUE"""),1.0)</f>
        <v>1</v>
      </c>
      <c r="P219" s="46">
        <f>IFERROR(__xludf.DUMMYFUNCTION("""COMPUTED_VALUE"""),1.0)</f>
        <v>1</v>
      </c>
      <c r="Q219" s="92">
        <f>IFERROR(__xludf.DUMMYFUNCTION("""COMPUTED_VALUE"""),0.0)</f>
        <v>0</v>
      </c>
      <c r="R219" s="92">
        <f>IFERROR(__xludf.DUMMYFUNCTION("""COMPUTED_VALUE"""),50000.0)</f>
        <v>50000</v>
      </c>
      <c r="S219" s="87" t="str">
        <f>IFERROR(__xludf.DUMMYFUNCTION("""COMPUTED_VALUE""")," ")</f>
        <v> </v>
      </c>
      <c r="T219" s="46" t="str">
        <f>IFERROR(__xludf.DUMMYFUNCTION("""COMPUTED_VALUE"""),"Juncal")</f>
        <v>Juncal</v>
      </c>
      <c r="U219" s="87"/>
      <c r="V219" s="46"/>
      <c r="W219" s="46"/>
      <c r="X219" s="46">
        <f>IFERROR(__xludf.DUMMYFUNCTION("""COMPUTED_VALUE"""),0.0)</f>
        <v>0</v>
      </c>
      <c r="Y219" s="46" t="str">
        <f>IFERROR(__xludf.DUMMYFUNCTION("""COMPUTED_VALUE"""),"No tiene")</f>
        <v>No tiene</v>
      </c>
      <c r="Z219" s="90" t="str">
        <f>IFERROR(__xludf.DUMMYFUNCTION("""COMPUTED_VALUE"""),"No aplica")</f>
        <v>No aplica</v>
      </c>
      <c r="AA219" s="33" t="str">
        <f>IFERROR(__xludf.DUMMYFUNCTION("""COMPUTED_VALUE"""),"No aplica")</f>
        <v>No aplica</v>
      </c>
      <c r="AB219" s="96" t="str">
        <f>IFERROR(__xludf.DUMMYFUNCTION("""COMPUTED_VALUE"""),"https://photos.app.goo.gl/xmsXw3KkGxxyEzxd9")</f>
        <v>https://photos.app.goo.gl/xmsXw3KkGxxyEzxd9</v>
      </c>
      <c r="AC219" s="46" t="str">
        <f>IFERROR(__xludf.DUMMYFUNCTION("""COMPUTED_VALUE"""),"Finca Avicola, Ubicada en el Juncal – Palermo, vereda la orquídea. Area total: 5 hectáreas. (3 has + 700 m2 en escritura publica). En una hectárea hay 7 galpones con capacidad 22 mil pollos. 1 potrero de 2 hectáreas. 2 hectáreas - con 230 palos en aguacat"&amp;"e está en producción. Cien palos de plátano. Tiene 2 casas: Casa principal y la del mayordomo.")</f>
        <v>Finca Avicola, Ubicada en el Juncal – Palermo, vereda la orquídea. Area total: 5 hectáreas. (3 has + 700 m2 en escritura publica). En una hectárea hay 7 galpones con capacidad 22 mil pollos. 1 potrero de 2 hectáreas. 2 hectáreas - con 230 palos en aguacate está en producción. Cien palos de plátano. Tiene 2 casas: Casa principal y la del mayordomo.</v>
      </c>
      <c r="AD219" s="46" t="str">
        <f>IFERROR(__xludf.DUMMYFUNCTION("""COMPUTED_VALUE"""),"El agua es por medio de aljibe con 12.0 ml  de profundidad-(2.50mx2.50) y la quebrada sardinata que pasa por el predio, ademas cuenta con aspersores. Distancias: De la finca al Juncal 3 kilómetros. Vía hasta la finca. Escrituras al día.")</f>
        <v>El agua es por medio de aljibe con 12.0 ml  de profundidad-(2.50mx2.50) y la quebrada sardinata que pasa por el predio, ademas cuenta con aspersores. Distancias: De la finca al Juncal 3 kilómetros. Vía hasta la finca. Escrituras al día.</v>
      </c>
      <c r="AE219" s="46"/>
      <c r="AF219" s="46" t="str">
        <f>IFERROR(__xludf.DUMMYFUNCTION("""COMPUTED_VALUE"""),"básica")</f>
        <v>básica</v>
      </c>
      <c r="AG219" s="46"/>
      <c r="AH219" s="46" t="str">
        <f>IFERROR(__xludf.DUMMYFUNCTION("""COMPUTED_VALUE"""),"Verbal")</f>
        <v>Verbal</v>
      </c>
      <c r="AI219" s="92" t="str">
        <f>IFERROR(__xludf.DUMMYFUNCTION("""COMPUTED_VALUE"""),"https://lh3.googleusercontent.com/pw/AP1GczOec21a5So1UmYTi1fEHHUI-yZCpQ_EjxLQGqjLmx6vc6ZBMQjiLugOKT5G-26yFHo30LwjmmpKFcAObZ7iDsmviMMP0vWq5IPBFdhKdcp3opSliJ2N=w1200|https://lh3.googleusercontent.com/pw/AP1GczOfGv09mpdlz1psnTlP1lTA6q6msSjab4Nt4ukeOjmErFIakr"&amp;"UGx5HY-5hv8KvbLbjV0kJKHQimcVA3jd5cEEM3awguDpZllW5q_LpclwItyS6-vLJX=w1200|https://lh3.googleusercontent.com/pw/AP1GczNW69x3nzsUi9eGB94mrC8LcfcShW6c1PKZu3eKnN_S819HwDnyWBwR_3s6XeiseC9K4boIaTmZ61jpGMqe6dgWva7Hrx_syU7IM9_6YnVcYmL_OL-O=w1200|https://lh3.google"&amp;"usercontent.com/pw/AP1GczMqjaR4ftVFjF2O3jTiY4Djemp7KCUQQY7XYsPYRwBVuiufmL0W3NZBdKhKrRu-CuI9VyWYxTd0EI9CaPWkXUn8xnXeuyJxSqeaw3zdyL028J1va_NI=w1200|https://lh3.googleusercontent.com/pw/AP1GczPyPCeSKjNAvjSdWeJOG1lSH6iLHcdePp4p8G2YJZ7Cdz7uraRyqD2oRLz5oiwB7vDG"&amp;"58h4g-6_9dbVpv_2w6h6I4zSGNZS_VLRqslFjJ3P3F4liOqY=w1200|https://lh3.googleusercontent.com/pw/AP1GczOuLMizHRgIRXoU_26iwsXy5T8gNyp6F8QfgtgGvci4YOd6NGoQekkQbeDUlcn7YraANzIc1nsYJ6MkZonXrXJRJaEnib4Wi3Q3QuT8v21OWG5z5RQe=w1200|https://lh3.googleusercontent.com/pw"&amp;"/AP1GczPknJLkDpdQz_mumfyJV1aAIT0-ofd__c-d0Wu6mAqHvJypx6Y-CcLsZQzX9Fts7mR3cVCCmrcBfNZQMWCDjHW-eFsWxgzkB4ntZvXxycAFuMiFga-G=w1200|https://lh3.googleusercontent.com/pw/AP1GczPeelgi-Q8k-3r4BrcCN7vOeG6ZsmIB3MDWJgFDWEfBrXXF6pw6-931Mk1bPWD7msUPOALwRZGuicp1z6xT_1"&amp;"rH6T598SSfG5WhVQEUChKzF5VvRzfh=w1200|https://lh3.googleusercontent.com/pw/AP1GczOhXL0elavGPNFKE6BrEsXXhHjKUfHJZJr5W90Qflp1xAMc6yM-KnkQGiCUyzic_OjXnEbjTy_gARMB6q-MKkXcOxsgBIQIlevuvooOopOQ2JfraDYC=w1200|https://lh3.googleusercontent.com/pw/AP1GczMVkOzExaNBz"&amp;"cf3XJAhtGMfLmM7TNhdMqbu7Ggy6RDQ_ZtmMhWOPdI6jBw5uvDI0F9g4Np_XyJk7GdSGl6ptPGf8gqLR8n_JVohl6pngShT4RQ-AGhq=w1200|https://lh3.googleusercontent.com/pw/AP1GczNoeIvUYyOKURgTQsxzLddZsIJnnAYWJl1qsL_2EZVozXrHPl8rHX-8tq-_TkuzwE1rlfMFspiWm59kY440rj-3NkZLeN5G24mdNYn7"&amp;"5OW0IOQvrzdO=w1200|https://lh3.googleusercontent.com/pw/AP1GczNxSVxNfqAy5OHmw-dQCIbSSHqpklWucYh5wDZbW-_4V8rcrSviXFV1rTE-hm_dl4K5M1zmuVSaB-DBjv4U-WGqNMfp8rW9KZmVJCdbxoyOfE3ruRub=w1200|https://lh3.googleusercontent.com/pw/AP1GczN_0aJgA_2cqh-9x2onWBTZTuGxYsE"&amp;"J-9-H5Z1pq9YPqyl2pWX7dj32SEdwb7ei2elXYd24oeQ34mqLG-fmuu0GmrOkXqHh5KpNZccG18j2vUdzKCvt=w1200|https://lh3.googleusercontent.com/pw/AP1GczOPv3yXYy9rq_hLVNP6qvEimgQbNgLDLnnoVnawTSjBbH3Uy50Bg9vtvQrezfAQ8XOWP0JInh4RDAWvwwx_tN3vYyp3UwgclqMvpidfx0c3DPkIUKyM=w1200"&amp;"|https://lh3.googleusercontent.com/pw/AP1GczNdyGMp0LGAd5pg_1gHpYUvIMUo0LTvsYMBdyIIOCmFMdCop4EM-AWw_jZobASykmCc1yDoBunU2qr0gHbT97kuYKCMhKCqQC2RCU-7IPiRYGFeyveY=w1200|https://lh3.googleusercontent.com/pw/AP1GczNuIbZshAKPS6FTtWJhc1XdlRXp9l5E60opFaO1f8zWmtq55"&amp;"MBowm4GylXrecIiWueoEMJXRb1ck8yizZ2dj4UG5K1sndG987hMIpyjxehhgE6IegQF=w1200|https://lh3.googleusercontent.com/pw/AP1GczMXY8ewVrtu1SDTrpfrMo9w3FnZEdXKix7s_w9GMmwCpYK4edYvGXagmztnpAckHabMWlTv6rCHUt7UR6AMqijQShp4VXy1ofi_orzS-Sq9sJx1wCOI=w1200|https://lh3.googl"&amp;"eusercontent.com/pw/AP1GczMDxpBiEnBXBh_pSaoIvAeoR-6MHTTbpyZWxaAp0IHNoFCZCSfaioCJrR5-sMkrHqN0BvlArR0BMY9bUHzzxCJnOWXr6TJ5n8VrmDL3SAQC3za7kuRn=w1200|https://lh3.googleusercontent.com/pw/AP1GczPmoFz-V9vbea3xcuyC9Mdsnhvkan0rcICRo__wK55Ez-wwzD7tOOpu7MWBykdN5oe"&amp;"_uuv-K-b-wciKRjEaanVgxo28t_bBR4eORMeLiZKyw5ZQ0OmM=w1200|https://lh3.googleusercontent.com/pw/AP1GczOE0bB9jMJiWxOCAKY_QOeDQFvuDcri1PkeGrFZA7cz4HmkY1XiYfx6axK_ID4TDk0wj6CpS7cJaXAuynqiEnsSzNP-FBHiKIuwyhq1NcDj0J6M2_ng=w1200|https://lh3.googleusercontent.com/p"&amp;"w/AP1GczP_wKy1lJpUkkWARnAMbIm07YKHaPhG5i8k6Uabq9O5ofLOnxM47h1T9ow-6GAaV3P021deqMERgPr5MjmTaTH0O5vCNBdaucukDkUyOnRRexpbnYCd=w1200|https://lh3.googleusercontent.com/pw/AP1GczOySqMOsaLe23f16nn1em79ooGzecShnYZvdWXZ-0bim_6B73z05yVxq-JMX_yWKOALq6D6Xw7smfsdv0fSj"&amp;"jcoNe0rcCaMxS_6JTt5l-PyWrbPSqSD=w1200|https://lh3.googleusercontent.com/pw/AP1GczOdtkyXsg81w1RtgoB6k65WIFhtwNdUXRAWiJTWeZ_msQe9M5JvQ7prx7g3_qmG8C8SJ-KHsGak-JJ5K7TYJdIjJYA-vUAO0wrBRaOAi2wMa06p46EJ=w1200|https://lh3.googleusercontent.com/pw/AP1GczPWGuwM3Xbx"&amp;"AoIwpFLnAnpIAoV1t2lY5J0WcjOgdnsuBPfRVvnIhKLisHP_xwr42r4hzRWz3rCEs6EbYbU6Nf4nnXO-O0_Hii8D1SHPQnVerNfS4Oo-=w1200|https://lh3.googleusercontent.com/pw/AP1GczO3uFtvD3TSWc7NgfIVrnFeJEYErrvJomfmp3gR_tVZy4M0dX5u-sIaEGsbapUR50U5RhDlmqTW4RsMSct3tACPaiDm82buov8194s"&amp;"-3o-vcAHDcVQy=w1200|https://lh3.googleusercontent.com/pw/AP1GczOP6lGWsNBO21J7Io3q0u873bqXqzf76HOHICnpXAvX_dDF9VfDJcFsGgs2D43qGb2YrmFN-RpCCrjnquux3iOMUUFb9fpc1mrnfmqX-o_fvIcvffJG=w1200|https://lh3.googleusercontent.com/pw/AP1GczNwLF9ba8obRS3qlNZ332BniWIevy"&amp;"u4736M4BhF2IH-1_UJlvgLKEnz5ib_L98cGCXQWcrBVzogMWVsRo1FCOpLYJC17zu6kiQTWRhCsaCtqgHwX_3p=w1200")</f>
        <v>https://lh3.googleusercontent.com/pw/AP1GczOec21a5So1UmYTi1fEHHUI-yZCpQ_EjxLQGqjLmx6vc6ZBMQjiLugOKT5G-26yFHo30LwjmmpKFcAObZ7iDsmviMMP0vWq5IPBFdhKdcp3opSliJ2N=w1200|https://lh3.googleusercontent.com/pw/AP1GczOfGv09mpdlz1psnTlP1lTA6q6msSjab4Nt4ukeOjmErFIakrUGx5HY-5hv8KvbLbjV0kJKHQimcVA3jd5cEEM3awguDpZllW5q_LpclwItyS6-vLJX=w1200|https://lh3.googleusercontent.com/pw/AP1GczNW69x3nzsUi9eGB94mrC8LcfcShW6c1PKZu3eKnN_S819HwDnyWBwR_3s6XeiseC9K4boIaTmZ61jpGMqe6dgWva7Hrx_syU7IM9_6YnVcYmL_OL-O=w1200|https://lh3.googleusercontent.com/pw/AP1GczMqjaR4ftVFjF2O3jTiY4Djemp7KCUQQY7XYsPYRwBVuiufmL0W3NZBdKhKrRu-CuI9VyWYxTd0EI9CaPWkXUn8xnXeuyJxSqeaw3zdyL028J1va_NI=w1200|https://lh3.googleusercontent.com/pw/AP1GczPyPCeSKjNAvjSdWeJOG1lSH6iLHcdePp4p8G2YJZ7Cdz7uraRyqD2oRLz5oiwB7vDG58h4g-6_9dbVpv_2w6h6I4zSGNZS_VLRqslFjJ3P3F4liOqY=w1200|https://lh3.googleusercontent.com/pw/AP1GczOuLMizHRgIRXoU_26iwsXy5T8gNyp6F8QfgtgGvci4YOd6NGoQekkQbeDUlcn7YraANzIc1nsYJ6MkZonXrXJRJaEnib4Wi3Q3QuT8v21OWG5z5RQe=w1200|https://lh3.googleusercontent.com/pw/AP1GczPknJLkDpdQz_mumfyJV1aAIT0-ofd__c-d0Wu6mAqHvJypx6Y-CcLsZQzX9Fts7mR3cVCCmrcBfNZQMWCDjHW-eFsWxgzkB4ntZvXxycAFuMiFga-G=w1200|https://lh3.googleusercontent.com/pw/AP1GczPeelgi-Q8k-3r4BrcCN7vOeG6ZsmIB3MDWJgFDWEfBrXXF6pw6-931Mk1bPWD7msUPOALwRZGuicp1z6xT_1rH6T598SSfG5WhVQEUChKzF5VvRzfh=w1200|https://lh3.googleusercontent.com/pw/AP1GczOhXL0elavGPNFKE6BrEsXXhHjKUfHJZJr5W90Qflp1xAMc6yM-KnkQGiCUyzic_OjXnEbjTy_gARMB6q-MKkXcOxsgBIQIlevuvooOopOQ2JfraDYC=w1200|https://lh3.googleusercontent.com/pw/AP1GczMVkOzExaNBzcf3XJAhtGMfLmM7TNhdMqbu7Ggy6RDQ_ZtmMhWOPdI6jBw5uvDI0F9g4Np_XyJk7GdSGl6ptPGf8gqLR8n_JVohl6pngShT4RQ-AGhq=w1200|https://lh3.googleusercontent.com/pw/AP1GczNoeIvUYyOKURgTQsxzLddZsIJnnAYWJl1qsL_2EZVozXrHPl8rHX-8tq-_TkuzwE1rlfMFspiWm59kY440rj-3NkZLeN5G24mdNYn75OW0IOQvrzdO=w1200|https://lh3.googleusercontent.com/pw/AP1GczNxSVxNfqAy5OHmw-dQCIbSSHqpklWucYh5wDZbW-_4V8rcrSviXFV1rTE-hm_dl4K5M1zmuVSaB-DBjv4U-WGqNMfp8rW9KZmVJCdbxoyOfE3ruRub=w1200|https://lh3.googleusercontent.com/pw/AP1GczN_0aJgA_2cqh-9x2onWBTZTuGxYsEJ-9-H5Z1pq9YPqyl2pWX7dj32SEdwb7ei2elXYd24oeQ34mqLG-fmuu0GmrOkXqHh5KpNZccG18j2vUdzKCvt=w1200|https://lh3.googleusercontent.com/pw/AP1GczOPv3yXYy9rq_hLVNP6qvEimgQbNgLDLnnoVnawTSjBbH3Uy50Bg9vtvQrezfAQ8XOWP0JInh4RDAWvwwx_tN3vYyp3UwgclqMvpidfx0c3DPkIUKyM=w1200|https://lh3.googleusercontent.com/pw/AP1GczNdyGMp0LGAd5pg_1gHpYUvIMUo0LTvsYMBdyIIOCmFMdCop4EM-AWw_jZobASykmCc1yDoBunU2qr0gHbT97kuYKCMhKCqQC2RCU-7IPiRYGFeyveY=w1200|https://lh3.googleusercontent.com/pw/AP1GczNuIbZshAKPS6FTtWJhc1XdlRXp9l5E60opFaO1f8zWmtq55MBowm4GylXrecIiWueoEMJXRb1ck8yizZ2dj4UG5K1sndG987hMIpyjxehhgE6IegQF=w1200|https://lh3.googleusercontent.com/pw/AP1GczMXY8ewVrtu1SDTrpfrMo9w3FnZEdXKix7s_w9GMmwCpYK4edYvGXagmztnpAckHabMWlTv6rCHUt7UR6AMqijQShp4VXy1ofi_orzS-Sq9sJx1wCOI=w1200|https://lh3.googleusercontent.com/pw/AP1GczMDxpBiEnBXBh_pSaoIvAeoR-6MHTTbpyZWxaAp0IHNoFCZCSfaioCJrR5-sMkrHqN0BvlArR0BMY9bUHzzxCJnOWXr6TJ5n8VrmDL3SAQC3za7kuRn=w1200|https://lh3.googleusercontent.com/pw/AP1GczPmoFz-V9vbea3xcuyC9Mdsnhvkan0rcICRo__wK55Ez-wwzD7tOOpu7MWBykdN5oe_uuv-K-b-wciKRjEaanVgxo28t_bBR4eORMeLiZKyw5ZQ0OmM=w1200|https://lh3.googleusercontent.com/pw/AP1GczOE0bB9jMJiWxOCAKY_QOeDQFvuDcri1PkeGrFZA7cz4HmkY1XiYfx6axK_ID4TDk0wj6CpS7cJaXAuynqiEnsSzNP-FBHiKIuwyhq1NcDj0J6M2_ng=w1200|https://lh3.googleusercontent.com/pw/AP1GczP_wKy1lJpUkkWARnAMbIm07YKHaPhG5i8k6Uabq9O5ofLOnxM47h1T9ow-6GAaV3P021deqMERgPr5MjmTaTH0O5vCNBdaucukDkUyOnRRexpbnYCd=w1200|https://lh3.googleusercontent.com/pw/AP1GczOySqMOsaLe23f16nn1em79ooGzecShnYZvdWXZ-0bim_6B73z05yVxq-JMX_yWKOALq6D6Xw7smfsdv0fSjjcoNe0rcCaMxS_6JTt5l-PyWrbPSqSD=w1200|https://lh3.googleusercontent.com/pw/AP1GczOdtkyXsg81w1RtgoB6k65WIFhtwNdUXRAWiJTWeZ_msQe9M5JvQ7prx7g3_qmG8C8SJ-KHsGak-JJ5K7TYJdIjJYA-vUAO0wrBRaOAi2wMa06p46EJ=w1200|https://lh3.googleusercontent.com/pw/AP1GczPWGuwM3XbxAoIwpFLnAnpIAoV1t2lY5J0WcjOgdnsuBPfRVvnIhKLisHP_xwr42r4hzRWz3rCEs6EbYbU6Nf4nnXO-O0_Hii8D1SHPQnVerNfS4Oo-=w1200|https://lh3.googleusercontent.com/pw/AP1GczO3uFtvD3TSWc7NgfIVrnFeJEYErrvJomfmp3gR_tVZy4M0dX5u-sIaEGsbapUR50U5RhDlmqTW4RsMSct3tACPaiDm82buov8194s-3o-vcAHDcVQy=w1200|https://lh3.googleusercontent.com/pw/AP1GczOP6lGWsNBO21J7Io3q0u873bqXqzf76HOHICnpXAvX_dDF9VfDJcFsGgs2D43qGb2YrmFN-RpCCrjnquux3iOMUUFb9fpc1mrnfmqX-o_fvIcvffJG=w1200|https://lh3.googleusercontent.com/pw/AP1GczNwLF9ba8obRS3qlNZ332BniWIevyu4736M4BhF2IH-1_UJlvgLKEnz5ib_L98cGCXQWcrBVzogMWVsRo1FCOpLYJC17zu6kiQTWRhCsaCtqgHwX_3p=w1200</v>
      </c>
      <c r="AJ219" s="46"/>
      <c r="AK219" s="46"/>
      <c r="AL219" s="46"/>
      <c r="AM219" s="46"/>
      <c r="AN219" s="46"/>
      <c r="AO219" s="46"/>
      <c r="AP219" s="46"/>
      <c r="AQ219" s="46"/>
      <c r="AR219" s="46"/>
      <c r="AS219" s="46"/>
      <c r="AT219" s="46"/>
      <c r="AU219" s="46"/>
      <c r="AV219" s="46"/>
      <c r="AW219" s="46"/>
      <c r="AX219" s="46"/>
      <c r="AY219" s="46"/>
      <c r="AZ219" s="46"/>
      <c r="BA219" s="46"/>
      <c r="BB219" s="46"/>
      <c r="BC219" s="46"/>
      <c r="BD219" s="46"/>
      <c r="BE219" s="46"/>
      <c r="BF219" s="46"/>
      <c r="BG219" s="46"/>
      <c r="BH219" s="46"/>
      <c r="BI219" s="46"/>
      <c r="BJ219" s="46"/>
      <c r="BK219" s="46"/>
      <c r="BL219" s="46"/>
      <c r="BM219" s="46"/>
      <c r="BN219" s="46"/>
      <c r="BO219" s="46"/>
      <c r="BP219" s="46"/>
      <c r="BQ219" s="46"/>
      <c r="BR219" s="46"/>
      <c r="BS219" s="46"/>
      <c r="BT219" s="46"/>
      <c r="BU219" s="46"/>
      <c r="BV219" s="46"/>
      <c r="BW219" s="46"/>
      <c r="BX219" s="46"/>
      <c r="BY219" s="46"/>
      <c r="BZ219" s="46"/>
      <c r="CA219" s="46"/>
      <c r="CB219" s="46"/>
      <c r="CC219" s="46"/>
    </row>
    <row r="220">
      <c r="A220" s="87" t="str">
        <f>IFERROR(__xludf.DUMMYFUNCTION("""COMPUTED_VALUE"""),"593")</f>
        <v>593</v>
      </c>
      <c r="B220" s="46" t="str">
        <f>IFERROR(__xludf.DUMMYFUNCTION("""COMPUTED_VALUE"""),"Edificio rentable con 19 habitaciones y 2 locales en barrio Centro")</f>
        <v>Edificio rentable con 19 habitaciones y 2 locales en barrio Centro</v>
      </c>
      <c r="C220" s="46" t="str">
        <f>IFERROR(__xludf.DUMMYFUNCTION("""COMPUTED_VALUE"""),"Edificio rentable")</f>
        <v>Edificio rentable</v>
      </c>
      <c r="D220" s="46" t="str">
        <f>IFERROR(__xludf.DUMMYFUNCTION("""COMPUTED_VALUE"""),"Centro")</f>
        <v>Centro</v>
      </c>
      <c r="E220" s="46"/>
      <c r="F220" s="90">
        <f>IFERROR(__xludf.DUMMYFUNCTION("""COMPUTED_VALUE"""),1.4E9)</f>
        <v>1400000000</v>
      </c>
      <c r="G220" s="46" t="str">
        <f>IFERROR(__xludf.DUMMYFUNCTION("""COMPUTED_VALUE"""),"Más de $1.000'000.000")</f>
        <v>Más de $1.000'000.000</v>
      </c>
      <c r="H220" s="46"/>
      <c r="I220" s="46"/>
      <c r="J220" s="46" t="str">
        <f>IFERROR(__xludf.DUMMYFUNCTION("""COMPUTED_VALUE"""),"Centro")</f>
        <v>Centro</v>
      </c>
      <c r="K220" s="87"/>
      <c r="L220" s="46">
        <f>IFERROR(__xludf.DUMMYFUNCTION("""COMPUTED_VALUE"""),19.0)</f>
        <v>19</v>
      </c>
      <c r="M220" s="46"/>
      <c r="N220" s="46">
        <f>IFERROR(__xludf.DUMMYFUNCTION("""COMPUTED_VALUE"""),22.0)</f>
        <v>22</v>
      </c>
      <c r="O220" s="46">
        <f>IFERROR(__xludf.DUMMYFUNCTION("""COMPUTED_VALUE"""),0.0)</f>
        <v>0</v>
      </c>
      <c r="P220" s="46">
        <f>IFERROR(__xludf.DUMMYFUNCTION("""COMPUTED_VALUE"""),3.0)</f>
        <v>3</v>
      </c>
      <c r="Q220" s="92">
        <f>IFERROR(__xludf.DUMMYFUNCTION("""COMPUTED_VALUE"""),560.0)</f>
        <v>560</v>
      </c>
      <c r="R220" s="92">
        <f>IFERROR(__xludf.DUMMYFUNCTION("""COMPUTED_VALUE"""),162.0)</f>
        <v>162</v>
      </c>
      <c r="S220" s="87" t="str">
        <f>IFERROR(__xludf.DUMMYFUNCTION("""COMPUTED_VALUE"""),"Rentabilidad $12,000,000")</f>
        <v>Rentabilidad $12,000,000</v>
      </c>
      <c r="T220" s="46" t="str">
        <f>IFERROR(__xludf.DUMMYFUNCTION("""COMPUTED_VALUE"""),"Neiva")</f>
        <v>Neiva</v>
      </c>
      <c r="U220" s="87" t="str">
        <f>IFERROR(__xludf.DUMMYFUNCTION("""COMPUTED_VALUE"""),"Comercial")</f>
        <v>Comercial</v>
      </c>
      <c r="V220" s="46" t="str">
        <f>IFERROR(__xludf.DUMMYFUNCTION("""COMPUTED_VALUE"""),"Medianera")</f>
        <v>Medianera</v>
      </c>
      <c r="W220" s="46"/>
      <c r="X220" s="46">
        <f>IFERROR(__xludf.DUMMYFUNCTION("""COMPUTED_VALUE"""),19.0)</f>
        <v>19</v>
      </c>
      <c r="Y220" s="46" t="str">
        <f>IFERROR(__xludf.DUMMYFUNCTION("""COMPUTED_VALUE"""),"No tiene")</f>
        <v>No tiene</v>
      </c>
      <c r="Z220" s="90" t="str">
        <f>IFERROR(__xludf.DUMMYFUNCTION("""COMPUTED_VALUE"""),"No aplica")</f>
        <v>No aplica</v>
      </c>
      <c r="AA220" s="33" t="str">
        <f>IFERROR(__xludf.DUMMYFUNCTION("""COMPUTED_VALUE"""),"10 años")</f>
        <v>10 años</v>
      </c>
      <c r="AB220" s="96" t="str">
        <f>IFERROR(__xludf.DUMMYFUNCTION("""COMPUTED_VALUE"""),"https://photos.app.goo.gl/7eAR7XjbR28wwFx29")</f>
        <v>https://photos.app.goo.gl/7eAR7XjbR28wwFx29</v>
      </c>
      <c r="AC220" s="46" t="str">
        <f>IFERROR(__xludf.DUMMYFUNCTION("""COMPUTED_VALUE"""),"Cuenta con buenos acabados. Cada habitación cuenta con aire acondicionado, closet y baño.")</f>
        <v>Cuenta con buenos acabados. Cada habitación cuenta con aire acondicionado, closet y baño.</v>
      </c>
      <c r="AD220" s="46" t="str">
        <f>IFERROR(__xludf.DUMMYFUNCTION("""COMPUTED_VALUE"""),"Edificio  central, ubicado sobre el malecom.  19 habitaciones y 2 locales. Rentabilidad TB $12 mlls - TA $26 mlls.")</f>
        <v>Edificio  central, ubicado sobre el malecom.  19 habitaciones y 2 locales. Rentabilidad TB $12 mlls - TA $26 mlls.</v>
      </c>
      <c r="AE220" s="46"/>
      <c r="AF220" s="46" t="str">
        <f>IFERROR(__xludf.DUMMYFUNCTION("""COMPUTED_VALUE"""),"integral")</f>
        <v>integral</v>
      </c>
      <c r="AG220" s="46"/>
      <c r="AH220" s="46" t="str">
        <f>IFERROR(__xludf.DUMMYFUNCTION("""COMPUTED_VALUE"""),"Verbal")</f>
        <v>Verbal</v>
      </c>
      <c r="AI220" s="92" t="str">
        <f>IFERROR(__xludf.DUMMYFUNCTION("""COMPUTED_VALUE"""),"https://lh3.googleusercontent.com/pw/AP1GczOnToTX_qBcdHLZcQcxyQ1vkQh9TjvGv5ndU-nxQJeSOySORyy5iwjbp5IDt5FN1KXJbCY95_3aodMrFdek8GUMTmrJ0wS8S8M2_bb_XrYeQFuOBmDC=w1200|https://lh3.googleusercontent.com/pw/AP1GczMF8apNMySoMH-5aoz8lqXzkwk7Hh1Ey6cd9-2g5286pCQAB-"&amp;"PGOkPnyV7sO906AqQo-5oHqlv255OD9BaJ5WWCDAMnNsOoambulGlj6ZzA44Mt8Ng5=w1200|https://lh3.googleusercontent.com/pw/AP1GczOtVNgdlL9UPza1GVo2JPdqFJSbvN4EHk9GjVq-XeJxv3lcr44lnlv0dWnRKn9lVfBO7Ye7KSE8VluhL8xXy1Iy2crTcNzgAz9k490RNp2JesUNd3FE=w1200|https://lh3.google"&amp;"usercontent.com/pw/AP1GczMVZoHIkf-q-9_d3K7Q991_dGZwhh0o9RmsIsrkpnE3w7RfnwS392GgGA8Quv1-PakOnbWXMPWjqsY5eMjkCWt-fK6gxYCJVaEhGILIl24sfAJuhr_s=w1200|https://lh3.googleusercontent.com/pw/AP1GczNlKlXBVRHnTewN55lVbaMIsRJ0cuosCQc0Sij4Cj64rir1uAcOtutM1vWqv_Wp6_jo"&amp;"6DSGQ58xIg9Mn0JPby_dmTSToEfNbd-TrpRs_GGhauVydjQq=w1200|https://lh3.googleusercontent.com/pw/AP1GczPGvyi-judV-HFb4qelQSiIz_tVIyhDaGhz9pFa29vQ1tqWkxGNNCrU2LRtEcshP5-cJWqSPwf3IK5enxT1ClX7AIpy7r9w-OnkAteYXT4Ok0E2z6TX=w1200|https://lh3.googleusercontent.com/pw"&amp;"/AP1GczOKvQdbnEpuEH-WJ8sa3j5Ma83rl80o4RLsXACpZOKHyj2IUG_cJL_aRhcUQceQYDG9WPqhTJQ8pvLSNTIJ19vEEd27hb-raT8FlUYMKCywiJMPrE_b=w1200|https://lh3.googleusercontent.com/pw/AP1GczOrllrN2Xv939c_Rp2t4q1vVuNeHDbI2fNK1AO-aEQN0KsV2LsB_M-7aatIkbct8w2ipyeg_BJHs4I7XM9W3r"&amp;"E7E6sWXK02AlJEnU4pA3qubeacl71m=w1200|https://lh3.googleusercontent.com/pw/AP1GczOlzpJQMGyQLzcPk-8lR_z_Zt3Rjj40auoRZKiLs9IJS4xEk0KF5jdE-a_KLdcSC-45KapXyB4ttMevdeaWBdNOnMfbkdUSa7QD_hU-zGhu2MyWLCF8=w1200")</f>
        <v>https://lh3.googleusercontent.com/pw/AP1GczOnToTX_qBcdHLZcQcxyQ1vkQh9TjvGv5ndU-nxQJeSOySORyy5iwjbp5IDt5FN1KXJbCY95_3aodMrFdek8GUMTmrJ0wS8S8M2_bb_XrYeQFuOBmDC=w1200|https://lh3.googleusercontent.com/pw/AP1GczMF8apNMySoMH-5aoz8lqXzkwk7Hh1Ey6cd9-2g5286pCQAB-PGOkPnyV7sO906AqQo-5oHqlv255OD9BaJ5WWCDAMnNsOoambulGlj6ZzA44Mt8Ng5=w1200|https://lh3.googleusercontent.com/pw/AP1GczOtVNgdlL9UPza1GVo2JPdqFJSbvN4EHk9GjVq-XeJxv3lcr44lnlv0dWnRKn9lVfBO7Ye7KSE8VluhL8xXy1Iy2crTcNzgAz9k490RNp2JesUNd3FE=w1200|https://lh3.googleusercontent.com/pw/AP1GczMVZoHIkf-q-9_d3K7Q991_dGZwhh0o9RmsIsrkpnE3w7RfnwS392GgGA8Quv1-PakOnbWXMPWjqsY5eMjkCWt-fK6gxYCJVaEhGILIl24sfAJuhr_s=w1200|https://lh3.googleusercontent.com/pw/AP1GczNlKlXBVRHnTewN55lVbaMIsRJ0cuosCQc0Sij4Cj64rir1uAcOtutM1vWqv_Wp6_jo6DSGQ58xIg9Mn0JPby_dmTSToEfNbd-TrpRs_GGhauVydjQq=w1200|https://lh3.googleusercontent.com/pw/AP1GczPGvyi-judV-HFb4qelQSiIz_tVIyhDaGhz9pFa29vQ1tqWkxGNNCrU2LRtEcshP5-cJWqSPwf3IK5enxT1ClX7AIpy7r9w-OnkAteYXT4Ok0E2z6TX=w1200|https://lh3.googleusercontent.com/pw/AP1GczOKvQdbnEpuEH-WJ8sa3j5Ma83rl80o4RLsXACpZOKHyj2IUG_cJL_aRhcUQceQYDG9WPqhTJQ8pvLSNTIJ19vEEd27hb-raT8FlUYMKCywiJMPrE_b=w1200|https://lh3.googleusercontent.com/pw/AP1GczOrllrN2Xv939c_Rp2t4q1vVuNeHDbI2fNK1AO-aEQN0KsV2LsB_M-7aatIkbct8w2ipyeg_BJHs4I7XM9W3rE7E6sWXK02AlJEnU4pA3qubeacl71m=w1200|https://lh3.googleusercontent.com/pw/AP1GczOlzpJQMGyQLzcPk-8lR_z_Zt3Rjj40auoRZKiLs9IJS4xEk0KF5jdE-a_KLdcSC-45KapXyB4ttMevdeaWBdNOnMfbkdUSa7QD_hU-zGhu2MyWLCF8=w1200</v>
      </c>
      <c r="AJ220" s="46"/>
      <c r="AK220" s="46"/>
      <c r="AL220" s="46"/>
      <c r="AM220" s="46"/>
      <c r="AN220" s="46"/>
      <c r="AO220" s="46"/>
      <c r="AP220" s="46"/>
      <c r="AQ220" s="46"/>
      <c r="AR220" s="46"/>
      <c r="AS220" s="46"/>
      <c r="AT220" s="46"/>
      <c r="AU220" s="46"/>
      <c r="AV220" s="46"/>
      <c r="AW220" s="46"/>
      <c r="AX220" s="46"/>
      <c r="AY220" s="46"/>
      <c r="AZ220" s="46"/>
      <c r="BA220" s="46"/>
      <c r="BB220" s="46"/>
      <c r="BC220" s="46"/>
      <c r="BD220" s="46"/>
      <c r="BE220" s="46"/>
      <c r="BF220" s="46"/>
      <c r="BG220" s="46"/>
      <c r="BH220" s="46"/>
      <c r="BI220" s="46"/>
      <c r="BJ220" s="46"/>
      <c r="BK220" s="46"/>
      <c r="BL220" s="46"/>
      <c r="BM220" s="46"/>
      <c r="BN220" s="46"/>
      <c r="BO220" s="46"/>
      <c r="BP220" s="46"/>
      <c r="BQ220" s="46"/>
      <c r="BR220" s="46"/>
      <c r="BS220" s="46"/>
      <c r="BT220" s="46"/>
      <c r="BU220" s="46"/>
      <c r="BV220" s="46"/>
      <c r="BW220" s="46"/>
      <c r="BX220" s="46"/>
      <c r="BY220" s="46"/>
      <c r="BZ220" s="46"/>
      <c r="CA220" s="46"/>
      <c r="CB220" s="46"/>
      <c r="CC220" s="46"/>
    </row>
    <row r="221">
      <c r="A221" s="87" t="str">
        <f>IFERROR(__xludf.DUMMYFUNCTION("""COMPUTED_VALUE"""),"781")</f>
        <v>781</v>
      </c>
      <c r="B221" s="46" t="str">
        <f>IFERROR(__xludf.DUMMYFUNCTION("""COMPUTED_VALUE"""),"Finca agrícola - Vda. Villa Adriana - La Ulloa - Huila")</f>
        <v>Finca agrícola - Vda. Villa Adriana - La Ulloa - Huila</v>
      </c>
      <c r="C221" s="46" t="str">
        <f>IFERROR(__xludf.DUMMYFUNCTION("""COMPUTED_VALUE"""),"Finca")</f>
        <v>Finca</v>
      </c>
      <c r="D221" s="46" t="str">
        <f>IFERROR(__xludf.DUMMYFUNCTION("""COMPUTED_VALUE"""),"Ulloa")</f>
        <v>Ulloa</v>
      </c>
      <c r="E221" s="46"/>
      <c r="F221" s="90">
        <f>IFERROR(__xludf.DUMMYFUNCTION("""COMPUTED_VALUE"""),1.25E9)</f>
        <v>1250000000</v>
      </c>
      <c r="G221" s="46" t="str">
        <f>IFERROR(__xludf.DUMMYFUNCTION("""COMPUTED_VALUE"""),"Más de $1.000'000.000")</f>
        <v>Más de $1.000'000.000</v>
      </c>
      <c r="H221" s="46"/>
      <c r="I221" s="46"/>
      <c r="J221" s="46" t="str">
        <f>IFERROR(__xludf.DUMMYFUNCTION("""COMPUTED_VALUE"""),"Rural")</f>
        <v>Rural</v>
      </c>
      <c r="K221" s="87"/>
      <c r="L221" s="46">
        <f>IFERROR(__xludf.DUMMYFUNCTION("""COMPUTED_VALUE"""),5.0)</f>
        <v>5</v>
      </c>
      <c r="M221" s="46"/>
      <c r="N221" s="46">
        <f>IFERROR(__xludf.DUMMYFUNCTION("""COMPUTED_VALUE"""),4.0)</f>
        <v>4</v>
      </c>
      <c r="O221" s="46">
        <f>IFERROR(__xludf.DUMMYFUNCTION("""COMPUTED_VALUE"""),2.0)</f>
        <v>2</v>
      </c>
      <c r="P221" s="46">
        <f>IFERROR(__xludf.DUMMYFUNCTION("""COMPUTED_VALUE"""),1.0)</f>
        <v>1</v>
      </c>
      <c r="Q221" s="92">
        <f>IFERROR(__xludf.DUMMYFUNCTION("""COMPUTED_VALUE"""),1950.0)</f>
        <v>1950</v>
      </c>
      <c r="R221" s="92" t="str">
        <f>IFERROR(__xludf.DUMMYFUNCTION("""COMPUTED_VALUE"""),"6.169.83")</f>
        <v>6.169.83</v>
      </c>
      <c r="S221" s="87" t="str">
        <f>IFERROR(__xludf.DUMMYFUNCTION("""COMPUTED_VALUE""")," ")</f>
        <v> </v>
      </c>
      <c r="T221" s="46" t="str">
        <f>IFERROR(__xludf.DUMMYFUNCTION("""COMPUTED_VALUE"""),"Ulloa")</f>
        <v>Ulloa</v>
      </c>
      <c r="U221" s="87"/>
      <c r="V221" s="46"/>
      <c r="W221" s="46"/>
      <c r="X221" s="46"/>
      <c r="Y221" s="46" t="str">
        <f>IFERROR(__xludf.DUMMYFUNCTION("""COMPUTED_VALUE"""),"Privada")</f>
        <v>Privada</v>
      </c>
      <c r="Z221" s="90"/>
      <c r="AA221" s="33" t="str">
        <f>IFERROR(__xludf.DUMMYFUNCTION("""COMPUTED_VALUE"""),"No aplica")</f>
        <v>No aplica</v>
      </c>
      <c r="AB221" s="96" t="str">
        <f>IFERROR(__xludf.DUMMYFUNCTION("""COMPUTED_VALUE"""),"https://photos.app.goo.gl/9J3sKjenW5Bs2XxN9")</f>
        <v>https://photos.app.goo.gl/9J3sKjenW5Bs2XxN9</v>
      </c>
      <c r="AC221" s="46" t="str">
        <f>IFERROR(__xludf.DUMMYFUNCTION("""COMPUTED_VALUE"""),"CARACTERISTICAS: AREA FISICA: 6.169.83 M2. AREA ESCRITURA: 5.890.0O M2. Ubicación: La Ulloa. Vereda: Villa Adriana. Departamento: Huila. DESCRIPCION: Una casa básica. Lote: 141.47 m2 Una cabaña nueva.🔸️Lagos: 7  - 1. 365.57 m2. 2. 185.23 m2. 3. 89.56 m2."&amp;" 4. 171.57 m2. 5. 211.12 m2. 6. 226.90 m2. 7. 26.01 m2.🔸️Galpones: 4 Capacidad: 2.500 gallinas. 1. 53.87 m2. 2. 83.94 m2. 3. 80.0 m2 4. 84.44 m2. 🔸️Cocheras: 37.36 m2 Perrera: 1. Horno: 1. Depósito: 1. 🟦AREA SOCIAL: Piscina: 87.07 m2. Casa juego para n"&amp;"iños. Billar: 49.86 m2. 🟨CULTIVOS: Cacao: Area 108.16 m2. Yuca y maiz: area 160.0 m2. Arboles frutales: Area: 780.78 m2. Mango, guanábana, carambolo etc.")</f>
        <v>CARACTERISTICAS: AREA FISICA: 6.169.83 M2. AREA ESCRITURA: 5.890.0O M2. Ubicación: La Ulloa. Vereda: Villa Adriana. Departamento: Huila. DESCRIPCION: Una casa básica. Lote: 141.47 m2 Una cabaña nueva.🔸️Lagos: 7  - 1. 365.57 m2. 2. 185.23 m2. 3. 89.56 m2. 4. 171.57 m2. 5. 211.12 m2. 6. 226.90 m2. 7. 26.01 m2.🔸️Galpones: 4 Capacidad: 2.500 gallinas. 1. 53.87 m2. 2. 83.94 m2. 3. 80.0 m2 4. 84.44 m2. 🔸️Cocheras: 37.36 m2 Perrera: 1. Horno: 1. Depósito: 1. 🟦AREA SOCIAL: Piscina: 87.07 m2. Casa juego para niños. Billar: 49.86 m2. 🟨CULTIVOS: Cacao: Area 108.16 m2. Yuca y maiz: area 160.0 m2. Arboles frutales: Area: 780.78 m2. Mango, guanábana, carambolo etc.</v>
      </c>
      <c r="AD221" s="46" t="str">
        <f>IFERROR(__xludf.DUMMYFUNCTION("""COMPUTED_VALUE"""),"🟩AGUA: 🔹️Quebrada pasa por el lindero superior de la finca. Permiso de la CAM  por 10 años para captar agua. 🔹️Acueducto veredal. Mensual $40.000 🟧DISTANCIAS vs TIEMPO:🔸️Neiva - Ulloa- la finca . 12 kms - 25 minutos.🔸️Finca a Vía nacional ruta 45- L"&amp;"a cabañita 7 kms - 20 minutos.")</f>
        <v>🟩AGUA: 🔹️Quebrada pasa por el lindero superior de la finca. Permiso de la CAM  por 10 años para captar agua. 🔹️Acueducto veredal. Mensual $40.000 🟧DISTANCIAS vs TIEMPO:🔸️Neiva - Ulloa- la finca . 12 kms - 25 minutos.🔸️Finca a Vía nacional ruta 45- La cabañita 7 kms - 20 minutos.</v>
      </c>
      <c r="AE221" s="46"/>
      <c r="AF221" s="46" t="str">
        <f>IFERROR(__xludf.DUMMYFUNCTION("""COMPUTED_VALUE"""),"básica")</f>
        <v>básica</v>
      </c>
      <c r="AG221" s="46"/>
      <c r="AH221" s="46" t="str">
        <f>IFERROR(__xludf.DUMMYFUNCTION("""COMPUTED_VALUE"""),"Verbal")</f>
        <v>Verbal</v>
      </c>
      <c r="AI221" s="92" t="str">
        <f>IFERROR(__xludf.DUMMYFUNCTION("""COMPUTED_VALUE"""),"https://lh3.googleusercontent.com/pw/AP1GczOtQYcRNx0TRQgWiTnsezjqKhE3opuHNhIcHvSy1I1UIZNHyKK8y3FnclXEokXhEEKOgqz4RsQNZw8HvP_NESPdWepGSQpTEa0OO3qLEWWAr3MUPVIJ=w1200|https://lh3.googleusercontent.com/pw/AP1GczOR8lSFGb3YNRLKoDgJeOh7biNJhKUVF1dIGLhqot6cNZTkYL"&amp;"FDXPzy0DU50qWlYNZwECK1k3YhzHtZi5mlYrff0CCmyDtH9JSaiJqubN4WrIXRm3O2=w1200|https://lh3.googleusercontent.com/pw/AP1GczNzXJTaFsXsibDJ2YuRuPH7SKlHVempkm2xcraiiN2uGgrWtJ8G-UbhkSlZ30FyouBZh4Fb9Jdp-R6E2GvBpFe2a1tfjFXB35sEQH-FiW-mAsNNA-ID=w1200|https://lh3.google"&amp;"usercontent.com/pw/AP1GczPVbI9HCJOORnRQ7wIXWxQIaIVfKj8DLwE_ksHbNzwj-exAiGm-x3HOHVgdq1YLtOFjR0U6WCaviCAozQumqCf3dQ5MwXCKdQPw6DjaJnex3jwgPDn_=w1200|https://lh3.googleusercontent.com/pw/AP1GczOSUiohTjKzmGLKwrienYHda9U1rmv0wDQCk-bkZJwnvv29Q8Qocz1o_qk5JLEerAcQ"&amp;"hp9cdjiySiAoG0y_rXDMI4TnNMX7tfW1XHfabb4LJAZeHgUg=w1200|https://lh3.googleusercontent.com/pw/AP1GczMJaMfJhht9CLNQgz1umFMYKpbe43ljFQY9L7bslnauiCjN69pfbRBXw-cIkBgvysWtQ18dAAxN7e4reC_KRBuIbga_FAU27zXFzg0An1gO1BiM-clj=w1200|https://lh3.googleusercontent.com/pw"&amp;"/AP1GczMoYJDdfEsz_B7nwU2jGRx7iW6iXYeIn8GUQyTBQC28StYgr60E0zvQ3LOg3ehtBwV6eSRegKa7El4_NxzmmL2OTX0cdGosWO0iyOKw3-o13NWkKFdx=w1200|https://lh3.googleusercontent.com/pw/AP1GczMhWP3G1LUxjRm9akj4ztbkrcAKmEyW8_xPENRd6VsTA6ZVsC_gtB6dqWQC1AlzLg5PbFKTp8744cQSrmSku4"&amp;"dPT8iIYlZhbyHQlMA0sYSwNAZrvsRO=w1200|https://lh3.googleusercontent.com/pw/AP1GczMbXRCm0l24QJtn0oC75V6WoX3mzO7B_6V_vgAn7VHyFifHcfbA-3RfevZfo3WyHYEJUoZ2WXyorgpcWe9fh_Cx8QCb-8ooq6SyENOaufWr7ZUffojS=w1200|https://lh3.googleusercontent.com/pw/AP1GczOIFz5cDJhzz"&amp;"9-CFDLorSn_X7N2s71twu_9kTSTI2MRXF1NiIOdfm0NPXo3dUk4YSgTuCl0fHRZaUaJF003FvQSLvnd-bfMCPn43ALCKge8PdH8Hh9j=w1200|https://lh3.googleusercontent.com/pw/AP1GczPw-o4VlovCqJvmPKMXaFmr9RnSd47Zi9yjvcvxyE9Uho555B-1rTByere5p5V0Hk32C9jCbl8zHr_OqSReduIXw11iidBO1m9CbKz_"&amp;"Tlq-Q08e4uU8=w1200|https://lh3.googleusercontent.com/pw/AP1GczMrs84deuieKRDXicHqdNk4T4PJJle0YdX7wOOoIljBkUIg9KXEnGQHNZ2a4MiIxPOwD1FeLSXjyzkq3gaPiaObH1B6W_4uyRQ-WVAuo4Cs9-nTrHs7=w1200|https://lh3.googleusercontent.com/pw/AP1GczOAjJV5hfvaPO3mEkXCfgJOEpSDptG"&amp;"FBFUpuXZpl1tdxO485ixKH7K4D2_uxLdOsTrtjGZ-YFFBmuneZqfDiMW7bBQhbtbNi6q4Jxxwir_AX68NKRra=w1200|https://lh3.googleusercontent.com/pw/AP1GczNemUCjxt5qiKBt3BlMwNWhg_6_eoqbhForQ-EzxVN-1aqrH_etvCxze0lAvFm3TPzhhepDKdWSppLKwrceiQhWGaVdzSRsPqxGTPh0x9_bQO3y0ZzL=w1200"&amp;"|https://lh3.googleusercontent.com/pw/AP1GczM6_Xtl9i9S_SIiuxlRlXwd8s327fQBBzl-Q2leIw8xoPM7E2f5FZyeES4fhIuAGIY4cvUbtH5oCgAvgKfV77ksatN6V_Wqv1THVJL-6YMxysf7FYse=w1200|https://lh3.googleusercontent.com/pw/AP1GczMtrrqIEuUMx12SDXWfmrE9WJeSNC0yhWOJMhOYYK9JEyqVs"&amp;"Z6ZTXCkTDULlo5dtICee93m7DOZGX4EfuYFolhzTq2VCq6aR8iA_WkUvjiOAJKRJ4Sa=w1200|https://lh3.googleusercontent.com/pw/AP1GczPuNr0a2eqVTMyYhxh2n-XjsGIvTSxbN-Q7OpzCcmZLnn-VxgDAIyV2jcDTkFl-iM2OpdUFWItZYzmczhxxdISPREjDvB-dMCMuWjA6SPZmogmc_nXR=w1200|https://lh3.googl"&amp;"eusercontent.com/pw/AP1GczOfYW_ExUuMKemXs0bvEbyi4k3Ej04YR02-y6lA7MYAbAgLLX2oply_ElOimfSRZByfutSd0MdfZHHziGLDbHkq_bRD6rN0Wq4CZFuQRWg84JqNhlex=w1200|https://lh3.googleusercontent.com/pw/AP1GczOIg9oiOAsPKCteAvTE3oR3luDmdjPQWtnMx4As9x2mDIuS3Z2YhMekywAxt4QnpQj"&amp;"8em2ILnUfJHwznV8FckPkPEvVhc5TYacOlfrhW3aQL6qiJdSU=w1200|https://lh3.googleusercontent.com/pw/AP1GczMq7L3BbWF1lNvbOIBYqWRoiW9pNS7Xxg2xHXmhfMlre2pEm8u7m24lyo9GEA4fyNAyDupwfQyv3n1Y1UubZ1cuBu4-NH7sWQzJuvrH7gSerOpBWHEt=w1200|https://lh3.googleusercontent.com/p"&amp;"w/AP1GczNbRkdH0vMKkm2ZlI7yQ1YBu0qDmWOo5KRV9YRXXfK0K_uObvZyuPFYXTeNp6wi9ppwJWtdd-dO0D8PHwCBfatDX1KlS_4u44PG12COwKZXMAQjA76s=w1200|https://lh3.googleusercontent.com/pw/AP1GczMPKApyJlADu1IeeP-TXomPadpoJoKKuMVxotiOK895fIK5GCPXvzDwkilunT1G8q26Nht1PI0MJSBmUKAwW"&amp;"v-_bf4KdMMwhqzxkMJl0De8tT3hdFDr=w1200|https://lh3.googleusercontent.com/pw/AP1GczNr7OKsx66U_S0ceX7ekvdJx05AjhSWlHvk3wSY4QhxIHwAklPK28t5X75-khsrhrvPYd1hH3Kl8dmOpx1H4gITOQMoO1VfbBkoBfP-z-z6lnja8GeP=w1200|https://lh3.googleusercontent.com/pw/AP1GczMf1pxZ_hC3"&amp;"V6DEHHOhGvYZ6T8rJUq1LW78t0z-SqGT1w3ciK8t2uEg-Th1l0hyYEJ5yNHj4SCCHfai00gLDX1-hf2P2Bw13QrbzX1bj2YFr3-IJpnM=w1200|https://lh3.googleusercontent.com/pw/AP1GczOYP--k9fVSL85h7xKzSTJxBkxMai3VxlGgKcLxYb5WWz_TEIt-xWpmlxXM66I4iuSDI9kPokq9Ka0E2RQ7x_dEB-DMLpxUNrCK56t"&amp;"U_RywyYSHxd0l=w1200|https://lh3.googleusercontent.com/pw/AP1GczPBVf4gzMYIZFPCNfhvYHwoTl6DQ8QRmtUjuRlS2vAuIb-o2wdhSxuxkagLbZAHMCfMwmiu7BNWzGSxq9pVkDG-2hWOoo2D5fIjwzgqT85uUILtYmIt=w1200|https://lh3.googleusercontent.com/pw/AP1GczMrSqPkCnLaWUtgfmSkW9WdPjvN28"&amp;"DYB6Z6xZEVEoxugjlepk9ds_fS8eCIUt191w9Nys-e6o30TttusACUD_MmSUUNTzqV0vkUlmMLX8PMbLY_LNMd=w1200|https://lh3.googleusercontent.com/pw/AP1GczMAGDuQn_g2WEeq1qcFsBAC0hFhRLnjREkvstO0v5HcciQ9erz3bqyXAnSsznBJt_pfk_DqmMgwI4ERT1P_--IhRySPhZN9uf4IfZ5d8xa4DBRtFyOD=w120"&amp;"0|https://lh3.googleusercontent.com/pw/AP1GczNF57gRaw1B68Vnn-CcTXZQjVdObJY8MW_25rXEbDFRX_2qWpTRidrWtwQ4FeeIV_ggkpQm7wdvYXspPNEI7KB7Y_JvdK-gEGVePzMoEYzi2d75A-wV=w1200|https://lh3.googleusercontent.com/pw/AP1GczPWeuEI9c1QSXB5rsq_GT2qFSyl4UVKqcNE3buyqgSeCkiI"&amp;"-37p5-AzcMS-aQHmpJu9_3bYGjiwz-rZLC-zw_D1N1i96iZQXn6m5e_Y3WFurtAOH0An=w1200|https://lh3.googleusercontent.com/pw/AP1GczOiq2Fth6qjlHF2HWLXSemLFGuR-MCswlxArQY-80T9s1XBUpMNyPoCp1TM2t6Ipanpn8x5EMEmT2rp2nYNAvN-_OwO-SuWURjQ2z5aAI6ffUWhjQGM=w1200|https://lh3.goog"&amp;"leusercontent.com/pw/AP1GczPjBkHiNaDVtdRXk1GZzQtI4YBAq-ouOPDMSv6usI8C6LIRLDKKZTBVRxV7IiEPWsBpuAsXQ0LPqDH06vfXBa8LNlpqjuZfZfu7IHwE-VtoFlJrm-6u=w1200|https://lh3.googleusercontent.com/pw/AP1GczNiLxbkWsOLgS4ovHwBRNVFhYL2iY0YVqC5KhbSjmpUg13jXZB9kndF5fucgQ6Zq7"&amp;"0X0eOqcr6bZplj-eP6CkYKaBKs19GkB9As189oUuCDsc39V6xB=w1200|https://lh3.googleusercontent.com/pw/AP1GczMovuhCNbOei4F5dwzRfbnOmM_usPZievxrB9BMKqGpJ8H9aAc9ssS9iaR8JDonc9XanKiPfBpVcY_udS76xTOphoJc2CZ9gl0-R7uEPkq2NNAFS_N3=w1200|https://lh3.googleusercontent.com/"&amp;"pw/AP1GczNtK61s4otj1lTJRXcH5AJUsUUploCLdrcXGycKD3MRrUhVF3JY8b6TffEUC8OCFWqoRpbPBW_mmsfaQos3XIbj3gE6fX6f7btsoska8q8Ss9AAUaP6=w1200|https://lh3.googleusercontent.com/pw/AP1GczMZIaiFg9ZEXedqQd2AhoGFFwn-1ZPmxOy-i23K05zqFKIaA62AgvPjYfjl-OL1l7L8RSJbhhNFGqIiBnPr"&amp;"V3tSlqCuAE9lkiMpkc8EuFSDeyVHqzgC=w1200|https://lh3.googleusercontent.com/pw/AP1GczM5cdxKruQqI3KfBrO36xJo5xjbykBA2lFZy6hd9s_HqFbK9TTC7gA1v2B0YponrMm-afPLlSGPlDpbs8q0Qi357PnLBrXFESK6O4sUUs9wef6-5EfB=w1200|https://lh3.googleusercontent.com/pw/AP1GczNSxelcKiD"&amp;"PfrzXcqekOIL3Rt7VetTR2emTg1MPB29iorWtdhTQoBnp5wKYgebdPyGClxTYS0xmZ_XMJt21h7mxdYKSZGOIk-3YuHWh1om1d_PXO6wN=w1200|https://lh3.googleusercontent.com/pw/AP1GczMcihNuvMDK-8CCq1jpNno7mOnlMsNiRboZ7lmkyak9uwYlrWg0ztq_1zlZQ7MVlLjRSZcTJA8DyZpBoJpXyy832QX-HYkRm3emKi"&amp;"dMZTzQmnhP_hSk=w1200|https://lh3.googleusercontent.com/pw/AP1GczMRNQ4MZDoDdgo78Df7V_GO1obcDukD9AqGnergLWI1g8GTy0Yz-bHZoNFeI1_xz8LSaJlXvSB6j3NLw9nt7Ui63DyaCgm0Rd5ABcNbQlJawBunJoZi=w1200|https://lh3.googleusercontent.com/pw/AP1GczOuKqtoBloXoVygEpOBJn_vHEdqM"&amp;"fgxLEEdKbIOrXVDhHH2y6n-AT__7bXtHuHWF3m1-H6Ya5ENFAgtcJhru4OZqzdlGwnApFQlAobp1IsJ4SUaS-j6=w1200|https://lh3.googleusercontent.com/pw/AP1GczPU2npQYTs4OeuC3xO1I9w7dgLuE8NFTtQiJKPCJIMBqVRd38levfF-fNHljaztmsAZq9JkJiatQv-Hr6_T6rYldJN3_YBqNTfD2y0ahj7KOw-yIB5K=w12"&amp;"00|https://lh3.googleusercontent.com/pw/AP1GczPnyUBUR_LoUe4YQYTcoqWAM6Ty_O4rZSiKcP2P7r1EYMQQswx0ztx3H3vuDGjk-NAjVnqrIucQaEca_UDY___oRlP6vzvhityXcDlXboujtubLrRG4=w1200|https://lh3.googleusercontent.com/pw/AP1GczM_Lk2teDicURx-sZowVCRPzTFIN--N8-O_WNchCZFTLM0"&amp;"XtrXKiV3zaBU8E8bu8CihZqwVjmTAx0-LvKZFMl9DxNhGkQOraCTIJaxgarXxPHLvtzyF=w1200|https://lh3.googleusercontent.com/pw/AP1GczMleL9afsZvCXpNYeA4-GM5wnTRh-JO_gYYs5hmSA38Eu-ocIUkmk8nT1B7aIbfhxaS4xFaiX5tkfzjiQFP2xx2jCqo46OO0W567oKoRdRbSZfeAVkR=w1200|https://lh3.goo"&amp;"gleusercontent.com/pw/AP1GczMlHj7JT3cvPnds3VuEBt9jdEKBFuE74SsSENM2eyLX2eiIa3PQe62CZ-VQ3Ee8nsBejyf7-2nduEMtXlEqT9LbrF842JCPnPJU4pbsqkRkkbfrDJde=w1200|https://lh3.googleusercontent.com/pw/AP1GczOZpFCxiqZ_HU2Mb2hdIEiDlZVdSXURgqeRqbcLdSKjrWDtSKT_Utg19AnrD0LqN"&amp;"QTVaaU_MIUbiKYHkAdM4vLyq0rLLP2hH9AWMsqGBs4lSU-uVC1_=w1200|https://lh3.googleusercontent.com/pw/AP1GczMlR3btV9pTY7Vpjz_BFABASprlnPU-jwmtyMDiI8FrHXq_o4cgmXaObVA4XRm_8zMpoxO9Gna1iTZguADNvVbr4ljLUI4EMmX-gIYzqG6XBrVivPdn=w1200|https://lh3.googleusercontent.com"&amp;"/pw/AP1GczOby4ZB8IUN_W2VmAvr2qCZhT6SzBXGO0Ox56ZFodOEWneOL5Q3O6Ca6IS1qBh53kd7OG9nl8DHC6zRaUg5C44qiTBDPmbCTbWpsgDgjPeSD979QAU3=w1200|https://lh3.googleusercontent.com/pw/AP1GczPPenwhH0w98UikraJTMkzVR8DM2RbmRJe1P6v2SblYEr_MAGnXnzdFhdy3MXfNkfXy8vW-uswd4DjVbrH"&amp;"sCOskqCNSdGtH8WSd4pb6PE3sO0xfRXkf=w1200|https://lh3.googleusercontent.com/pw/AP1GczNDFlWeyQ84jQONX5iYzbS5zcxYVtO__E9gACLkddTBybU4QCC7fWAMoe1W8b4VZK1Bii2-ZzjmGj8ISzg9vctZ2fz1lsdD1T2ykbCq-dK_iEO1fJVo=w1200|https://lh3.googleusercontent.com/pw/AP1GczOtFPxkqj"&amp;"q2lH8eGw27xl-FaNr67ayZ_IQs1umuvhI81oMC2WCRmjbUZ4og4l-BK0grXBlfp1j-XwrfqHblWV6Q4VCyThAL56Fwk7-r2jEYZTAgCi8R=w1200|https://lh3.googleusercontent.com/pw/AP1GczN4Kt4NifowhIJ4g3vEq8HBskN-fB70qPQFyo-ZYa5RaXn06vqH79PLqygpamowxYRzMUjnm3svt83rzISVW-UtmzKzSqyB7D7UR"&amp;"063OcG99Ko-Yi-n=w1200|https://lh3.googleusercontent.com/pw/AP1GczPggO3QQbZmwgexcByYtSwlen7ng8RsI1qUl6Vn3bCUBDfquNjb5GDUXs803UFAtegRRci1MYrsf83we6NjK0X81p_Qn9hw1M7rAPyuzDu65CCsqnJ_=w1200|https://lh3.googleusercontent.com/pw/AP1GczPcKTy1SKDnByyjKaRtZkN8nT2U"&amp;"SGJMv1MOnnfxqHH9kE8bVC7kzimJShIaVat89JgMkL_ZxH9WAYo5kAoGmGVEAJzdRvwhZ37IRB_S02nEs8Co585e=w1200|https://lh3.googleusercontent.com/pw/AP1GczO1s2nqWf3vwY2G6LuiwrYLQlPcC4E-N9AI_E5kRbm-VXu9WpX3dee3eOvTwt95MKHkG8OCqSDIia9750QYZHWNkhsHtyd7lnc-mgyBAs_PFKzORXUs=w1"&amp;"200|https://lh3.googleusercontent.com/pw/AP1GczMMq47K3tzBJL_5ZfHS4M6AG1GzECbh1iXAOdNC_4xbMHrtfrZVDyz5DPuJNYiBwYKX7QyVc2zwUhf7fm7Li19D5McefrEAb5gg2u_s7XAVyJJGFQQV=w1200|https://lh3.googleusercontent.com/pw/AP1GczPUQpadYl9-oSISgzf5tB6vVGLqkn2HARXDmBAh2h3npb"&amp;"0DuoUhbGdn1t2CKsw4vS9OxM8TvRXwggo4ldsvgw0lGBWsy1uHaRsVv8Vy0G6PUANYBE9K=w1200|https://lh3.googleusercontent.com/pw/AP1GczOw9nbHqD8-ULZZSKQreSXeJyi0ihTIczVShgz-BGkAWjFQqZvHb9VWikQgsruKlYf4XZ7E-aAJgpSPLzzI9mNZN5MgN9llrAy90Uk-k0UfmPRWyKQF=w1200|https://lh3.go"&amp;"ogleusercontent.com/pw/AP1GczOVWKhrEh9Lesc_f1RAGc2mmXJYptMyO7JWf5P659tpZAM5HrmmTicObKQ-pwH1D4YHx-koG-AkHVuz1zWh3ukuYtfH5Ae6SzbGw9ca9Yf_t_6DfVnr=w1200|https://lh3.googleusercontent.com/pw/AP1GczOFs8NUGD1JJTVvuJKwuNpvIUd_svWmrUzbXYJOoH2rVNn3c48QOCPB_-UK2mgp"&amp;"981XsfnuR1X1a5B69MCbDOra4XJ0LfQ35W4jdI7ksjJNSpIU6lhq=w1200|https://lh3.googleusercontent.com/pw/AP1GczNFYiaefMPRIMkZYZgYvLzoFmHPYzDYw350LCWmREbhsaM6poQr1qs9w3Vx0JEtTynCTpgd5s2LGSpRQa9PxMTYL7gcsqEcf1lwQqJ8CEoYchdj5GWN=w1200|https://lh3.googleusercontent.co"&amp;"m/pw/AP1GczNqELKvSJAOKNaRgGpomsjdv9srg4IZgiA-mZKjeycpyn12-plcMXblLUKSoF6oAHbhVRxKqjW4YxrpQj93CcQzArPZdFrqx4oPg8tIj4vdTs_c9JAs=w1200|https://lh3.googleusercontent.com/pw/AP1GczN0qywkm5ibaQBWeL0nzRAjOXFlMCg5Ncz0nDhMBivCXiYcI8gsUc-Zmywmc651rQ7ebhjhNlaNxcFI7t"&amp;"hHIiajA-GVI1Q2Pfb_OjQInpzkGeiGWjPi=w1200|https://lh3.googleusercontent.com/pw/AP1GczO4N7vu2ypwPuRG5PFHCURZQvXrr18yHJ6NQpTuI_DnlzyMWeNO1WGJD8aEdqYoWGJGUavog1LBPgYP1ui4W3UhPpO4xUhVzjdzzKkHF1zzuR55ngbd=w1200|https://lh3.googleusercontent.com/pw/AP1GczPYUeE9a"&amp;"X7MSZfaTfstwvvl_TgzHlGZEKoKPdkjlq8NFoJCZCKS0bSd5M-1C5WqxfsJNL-DkwRx_i2mYpLUDzcfsLJIeLUM_X5EPeDOtQ8TGXv6qEXA=w1200|https://lh3.googleusercontent.com/pw/AP1GczNFvd-XFlsOrhHpNYXQ6rO_yP3ecoyUnclgXSywGFky2szFKNiFfwkaRACBRfSts3XjEyqxdBHyFyA6bJIG5SDqfPdMU3JHQbX0"&amp;"yEKa3-y2ut7FZmbA=w1200|https://lh3.googleusercontent.com/pw/AP1GczMY1NtV-WNhSlrDJS-b7m6BAG4SgC44Mo682K2fFW2AkAUBl-Q4wi2l2Hrm_dVWDodUNe2ygA7swF9x0_K23I7w_sdcwS02YYadMsDLgcWozCmui_k9=w1200|https://lh3.googleusercontent.com/pw/AP1GczP5SweHqOs5vYt75WmaaPc9Bqh"&amp;"OTsBibB5Z3uvdmyQ9bDB71H3jEWuTMHqjNR9Lx8Mqpj1P56CW4XeKf2Sm6Gb6XnjTEDZNk87sibNPeO5JpwhkKB_r=w1200|https://lh3.googleusercontent.com/pw/AP1GczP8PM51UKo7ZJCJyhifIoaBhLQW96Y5XfMca-1Rat34M3ihmY7Wjajc62Z8YL8Z1cCMMYtlBHOFQbbPMkYya1Gqb3YktwxHmoUuzNiZE5pprEHazXes=w"&amp;"1200|https://lh3.googleusercontent.com/pw/AP1GczNB9g7OtuSacyFNCkR3Or14jksbSHdao0uX4p9gDCCrZc_7xQsZLlbsxyxgVk00iDLB5kvWEvBhLUTy5KjrdQu9yDTst6MwQed2wjqgoJE403Rpy82T=w1200|https://lh3.googleusercontent.com/pw/AP1GczMSTJtmeqwC6XMce3A7tMrh0OrUe-F3pHfom6hIk1MtD"&amp;"vjkGz7mM0ZvROYeGF8Uq8dX2DKF-fxUyp7Sa2j-AOu5K982EeuB431K3J7fKG4VlFb0HXi_=w1200|https://lh3.googleusercontent.com/pw/AP1GczO4znCmN6ekpjek2fm3179UkJPREAmOu57hc8UFvvAMPrn0D9ls-DCHql262zqqixbcfB_CuahC4Y6UriMONn9oHHgoDLhdtVmal0VLmj_lBPWUYthM=w1200|https://lh3.g"&amp;"oogleusercontent.com/pw/AP1GczOXRznHgOgFu-eS4l34UlUqKbBpQDhONwMXOfWyXLPQHdyZSSUGySRTeB59ah_fNoNww2EWz6ZRqzKuFwKtvwrShxFEy3rOarA_duiJJ6iRnAHQ0cW6=w1200|https://lh3.googleusercontent.com/pw/AP1GczMuGjS-LjedprkcDfVvgoSdHak5Ex1-BDq7FTaHHZ6B5qaKYBofaxDAM_gbiiW"&amp;"yNFdAnmjR6Qf5MLliq3G7typlZ395jprlPW9sgZ_JnU0l8-Jh5nNi=w1200|https://lh3.googleusercontent.com/pw/AP1GczNnyEfcA0hvUKC44vjegoJ4EVeEr7ciIbY2RuRnAOu8-9WqZaiVldsnMf6LluqsgStjA4f7xWDJ6lpMfmAa3BvfDH1fX3DoarjL6ZBk0LEygTM9pVoJ=w1200|https://lh3.googleusercontent.c"&amp;"om/pw/AP1GczMmT32UPe8sv4fM7TdNPdweoP2fNxHZP-vtmc_420dDirorXv3G8F3CntvZS4zhxtKCbU5CMyAHCWfFxTADS1DJQDLru8uBSHFdcK1_gZYTWK5lXBqk=w1200|https://lh3.googleusercontent.com/pw/AP1GczMv5zvGUG8Zi1qA5UXXkzT_r5p63bxx6fRRAb1QNvaRIkulbyaz3XVycC5o-mwBn3XmjTmFrcls3DD45"&amp;"hSrOOLm-lf-4cp8VlCED5QrmO4xvvbG6QK7=w1200|https://lh3.googleusercontent.com/pw/AP1GczOSqDXR21qjZb_NmNWYPwor42z2IdjwBkxktJ6j4y5E5vP_7M4fpViof8-z813_MWKttocH_rQAn_v8FK-0BRL636xFrviuVErQH6zntG9idH0m_HRb=w1200|https://lh3.googleusercontent.com/pw/AP1GczMBJYdy"&amp;"yz0ycHIYDnynPDetgQyFJC_vyB6vaE7otAQq2I9VrF2pNdvWTVXZU9Zm1CNGcGRXkbQ-JyHG40MJWB0X9ZH-ah3V44i3qgpDeKXqSPSco5ec=w1200|https://lh3.googleusercontent.com/pw/AP1GczMPOq0vAvxILg5D1clUzf1bn_N6qDVezxPkNa1FZ7Z3e6dqy3Ol1DD5TuTfV2_-EG8uccPWbEaoCGSidhz5X3SB6DJJxv4KOU7"&amp;"MARl1QgmfKRnWI0XF=w1200|https://lh3.googleusercontent.com/pw/AP1GczPHesfiYeKt1h14apAJ4PW-zdK1vSmU7sCDltmrdfHSDk5v41i6ywzshwNO_aA7og5j2uGKJc2wAfoHsYTV4D1Vrs392d4lCHN9wi9B158KPs0DMI2m=w1200|https://lh3.googleusercontent.com/pw/AP1GczNrNUkbddnQuZwzKHXbQxxuzz"&amp;"ZX_BaPHYEi_NVMGEDAAtMNiBtMNybX4H7s-0T_GbS21zn4QeoZsAQ3TvDv4ArMwEih44yDx7K1AiiXhY722QMFg4PA=w1200|https://lh3.googleusercontent.com/pw/AP1GczN23nbiU7-NFAi41dIpdEL95B6pmjrmdVvMF8TfZK1W-ETsrlA4L-94_kzN6l1wCoPPWWvVakcgq6ht0X0SVRYHOfzhoiK8HRvtIItUpQoxWRNiCSF0="&amp;"w1200|https://lh3.googleusercontent.com/pw/AP1GczMnB94pzPfR57txY-e0Phm263Mv51AJ3PDTck_ziuFivouPqcgJccgKGKSRprBI3g6KCqoxRuOW7L8s6YoZamQeNKpqVyelN1Vm_LuvU8zQuWdv4HXY=w1200|https://lh3.googleusercontent.com/pw/AP1GczOporjN8BdCuD9H-sS-U7u-2ReD7CedPkc4XmY_PozY"&amp;"YIOF-RICTZQ0tftnopkTT-2cWRIMqe8cXz5B7cfoXt4tFIIxeARpcsoRPe3H6282wwOD0f4X=w1200|https://lh3.googleusercontent.com/pw/AP1GczPT40zZXhvMRKIqYTqW6uh-mNsmydXGzK0o3O7xMFqGaLTC9ADaTYLfRL7tdzk3G8etKzMbDkWNo5wsfe9nvJ56UuFxDdIU0Ic72oEUCnKzQ8UuUZnU=w1200|https://lh3."&amp;"googleusercontent.com/pw/AP1GczPbWd-IOMjNQ6n5-sxGONvld1WDPxIzTzGB2dioDY-D_MDrGdQPCfbfO5BcACq-E_jir8yDV9957eTLgZoYQnI5fCrw44-Ie0ujo0wdTg3iM0ko_eHz=w1200|https://lh3.googleusercontent.com/pw/AP1GczOwSp4j7aAn2P5qBqgwjbylVnbsHlqHGCqQTFL5pEarE6COySQpIixzcko7D9"&amp;"0ok8vayNFGTXDjGO88rPiDBRc8boXxZdxh-W4Sp96pWGk2hJ_oyjMS=w1200|https://lh3.googleusercontent.com/pw/AP1GczN0yMI7nl46GUyKS54UYrWfoOBW3ykyPygF6bipOU8aX__Uaz4j9GC-jvJb3CtYK-h8DSuahonSBxKY4yFzY_-kOj6C5PNwaJTzgJYPIJP7G4EKl7Ag=w1200|https://lh3.googleusercontent."&amp;"com/pw/AP1GczMklA2uX2Fz4fVTSGK5-H3Zbip1m2fbC7ka_zHJZCEFU3RjCREn0ghgt662Qv3OAC_SmW7emR6XXEA6swuagBaOIJnAQgdiULe12XVCle27fcno1Uld=w1200|https://lh3.googleusercontent.com/pw/AP1GczMBAe1MnDoq9oIwBIOzgGE9elrWr2Ekgon5IALtUJcoxAFgEIwug2lSGGQiWZKbByRFJH7_-WOMiirK"&amp;"iJFpr2WAHDBbxReYJzZf9N3uINpywhhBqTIR=w1200|https://lh3.googleusercontent.com/pw/AP1GczMC0odS-SdZcPJBQqrLYdDITQtHxzUqDdd4Av7K97ZnGhYj6qE6UpTj18L1K5_cbnDE1Dc9_jeJ8aJgGg5r7FgDjRhfznDsJkCJZHewsrFA6cIkgheF=w1200|https://lh3.googleusercontent.com/pw/AP1GczOfD57"&amp;"_rpL_NiZnyIZEBaEFIyr8GuBeP27ifcoGC-GHB73wwUre7c4TJKKBWtcOOObiWYj-tRShuh3bOkJsinyan2frqAA3k2mgETThT70iD5vg7-Vk=w1200|https://lh3.googleusercontent.com/pw/AP1GczO3yZngJmJMfuHVMTYmLch1Bvevi6OPkNPkOP26uufLAoyqf3KllVgVAqCNSCKYwAIc2Ouu3HFhJcjgF_gt2Jgbhw9oZDwqeQ"&amp;"McX3F8qm8O1Fqw2cIP=w1200|https://lh3.googleusercontent.com/pw/AP1GczPSRgcbpSRyA8tg-Y-UVJYGBNQ-nkTj0PjOZRxFHr6bn3nnQz7KbNobIWqdJt7t9-lLMjWJD_zyXlI9ZJhU73jcWAW7bRPZwv4LTBgflhdhzVgQnAAB=w1200|https://lh3.googleusercontent.com/pw/AP1GczNpFTy0-nVgqQUMd4YPEpSG0"&amp;"3TQKbkxZ4mntq4oj4wMxsYJod_Uhoxr87t2RQFAfFlUQIeJf7Le-tKNn0_vpQi59q_J5O4g83VQ1AsCrm0uykeIQshE=w1200|https://lh3.googleusercontent.com/pw/AP1GczMU9Q5IA7EJRIvW5ZdVq_nJ_pi9EBxA_oX4rEac14FAnJTW76jFU7mftW0vMXKnJeaHJ_rkw1AUAN32-hvEmMMT5NbwJr4OAIDBCWC9zVl9bTqGYPWv"&amp;"=w1200|https://lh3.googleusercontent.com/pw/AP1GczN17wTviLpuO_FgOELTsJZ_EaramxmBpoHInrOJwezOjf9hlhQopuNcJd1uXpiXEfGU_Vf3t3pKiIbWdbOnW4VpQzQ7RXgbIh_5-jrfzlIZOAd2PJK_=w1200|https://lh3.googleusercontent.com/pw/AP1GczN6mtKJAqgjpJLfFIGE9TKOeyp1M0Drae-YV0PgElG"&amp;"kyl4exS7TN5OEpZVdclyM-lNPXH78gPh0VtFYxpEUULi5oGZ-4bR6n6XmhJPRRJtjAuebHtoo=w1200|https://lh3.googleusercontent.com/pw/AP1GczPancIlnUuNzecJnaX83bTWiMKNcf0tyfl5XABreajD3uIrOzuQxy8okDXIGu-wKCLqomWgzMbH3PdPlrXc6VtTNEylxU4njIm4fQYv-QtT9LalGqXt=w1200|https://lh3"&amp;".googleusercontent.com/pw/AP1GczMe4W336fDGxJV8Wkb9sDnMqnBXM0S-3gPqCSLKTs08_YHuv_mFH7O8upZMqhyBFB_xC6Ir0BUI7kXZfN6S2HmEiPXQw90e-SlgEgJyC3z5wroaqjlh=w1200|https://lh3.googleusercontent.com/pw/AP1GczPT8-QLm9XZyoywVcd1kTCh0HlDlttJ1L_-_14X7zooQRYVhPwlUJSyS99p8"&amp;"yW57hQE0PtPbqwtZ-7C60Tq5ugyIW5GEiyIgqRHT87GKD5c9H4Y19YY=w1200|https://lh3.googleusercontent.com/pw/AP1GczMv75G_B_lehkv7Zxc-Ikz_movRm9f45M3TtMjqvxScInbro2ucoM8WCmf5mVa6ww546MQXd3BgTv8qbKdRtr20d3VMkjDWUsPhr1XjtKO78Jj4V5bV=w1200|https://lh3.googleusercontent"&amp;".com/pw/AP1GczMzDMk_UvHyY9oTuV4dlGduQXnRH4GNF3fMY01gBOc09GRuTmRxgR1A9YwChXhLoKNt3zdOp-cc2Id8-C-VxitkjBvcZF1eSerFr_WSTk6Qs5nfEEaf=w1200|https://lh3.googleusercontent.com/pw/AP1GczMscilzLa1_FrgKrVnkK4dOA5ybIft_NwUoXJwvpf5zPSpmKqUeRyPJhsL6j01fnc4ra1auU6SBz15"&amp;"yvnsaKpfk6EG5uVPZ_5o_bdzTWdNi-0k6YWO5=w1200|https://lh3.googleusercontent.com/pw/AP1GczMDsW79xZLX8MWguV08xX7avTW7ex0hknWnlFgL8PFi98e1yw5IxBMSLqfa6im637qMOUZzrfbqRaZrWdynFJ0vzpQKys_tirJsFU6pvVwp_YNCZIUC=w1200|https://lh3.googleusercontent.com/pw/AP1GczP076"&amp;"r_lraaBFTgbN27O0ZEcrl-BvEZRRmOqvH2oipHZji1G2k1mD2k5kZpq8fAS1SnJ1e0T5ufJ16IypPFvUCc4Pdv5Gsaa0Np_qCQsCgmLycO8s_B=w1200|https://lh3.googleusercontent.com/pw/AP1GczNTd_C4cUAR4nNxzSSev2ZrDHYnc-BuVcL8QTX-b91hxKNkWMfjB_31CrwdVCVGavK43TF2HtCGkCiv4aqhXkzOxbMyacpgf"&amp;"Nc3YlC-q91MR1REaDYD=w1200|https://lh3.googleusercontent.com/pw/AP1GczNoNKh3Mv74enHk8XZgb4DznOMvSgNrw3esD9I4prnWw-fOz5t23DJyNkIQax_X6wAmQ00AsaJ28H5-_IpJe7htTgT1hIk6ENfE2yIEio-lC567bcuk=w1200|https://lh3.googleusercontent.com/pw/AP1GczOcb6P1Eu7YiefgzBK84K2O"&amp;"AzkLARnm-Gc_QP03OveiSoma6KMyxqUtHkuBTywB-_vx_BRLQ4wa1Qqj1eVOk47vNSbprhdT-0Foyh6PUxY6N0b9iGEU=w1200|https://lh3.googleusercontent.com/pw/AP1GczPlisCJJbZ0t2XjxiQexIM3IyZurmgZDLrhdFDtWdO86U88xOVCTOqgzgoyhPSQdWCfU3rY58HZx_pE01mMyLJJA95mDvMUjQedRlIZjcN9stZnO5A"&amp;"9=w1200|https://lh3.googleusercontent.com/pw/AP1GczNI0lTvyruV5OwdzVQsQ_8b5uq20GWLD1YEEqhxzgK4rOB6NNP7yI2vydBnDVromYRwNN4K0trfT8GK1HuCBnv2y8hut0KFcCogglidoG1AaUtE8Fxo=w1200|https://lh3.googleusercontent.com/pw/AP1GczPkV2E30V2t04XRU0IaSwFkIPmcfKC6AHmzLBhmUN"&amp;"8FKbeSOcp6aAQh7V2tvb5vXXzAYt1fGWKnuAV6loz9UNUV6zaF2x3joTwvWKYsoEHeHjZZpxVM=w1200|https://lh3.googleusercontent.com/pw/AP1GczPAHCf1u5U-lcNLh4E4tcjAe1IRsAsmWILSyMUfcuLsy8pLi861jucy5qs2c2zieWXSPlnMi9BKqrHCRft1o3DZ9ef8V2MqhaK7M1_gwqKO0SRcVBmx=w1200|https://lh"&amp;"3.googleusercontent.com/pw/AP1GczMmx4-tkEzli9V6Vh1AP1dby9-E2jUUXPieye0WVsYa-Od81AxsnYAKoPN47KBWUbGQY1jm7Evbt3NfUaexhQRATx-MHDK-XYx5bV5pCYVbIS01e7N0=w1200|https://lh3.googleusercontent.com/pw/AP1GczPrVvu4DzR_3u9_FTSFmQpkXUU7keRpAnZ4s42pTtmPlHwp1BOOJp3BXXIw"&amp;"4W_lGttEV9FXBs6BaHIRD1WS23Vn4SlCLA0GHFRcocVnUDY1WVo5naqH=w1200|https://lh3.googleusercontent.com/pw/AP1GczN6aCU0hlFgaESI9yCHyRhSEVTDzS0iNFKqM6q8-DeNIbzRT5YMj3fLN7TOVQXH56DdmMd9xYzxMJkRxSEeZUj8zl3FbTyhkkzJfzKljR04wTh4W4iE=w1200|https://lh3.googleuserconten"&amp;"t.com/pw/AP1GczMcxSmAIzkItdqTqg_3IUEfLsrWoD9x-cU5z5r-dFWqE_uiKWEkrNnwCaYsJIxKzU0iJdyRUHv1nfNZcDBqxc8uKtPjPCpHkUgUNNStYkGACOgqg2eG=w1200|https://lh3.googleusercontent.com/pw/AP1GczPTCI8qwy_e_Wwno1lorJbjHvLOoXPeKaqi3P54ZLiW5etosLdC5nCfDlQUWey1-ROQT3mJKs5wdN"&amp;"YtSgK1BofWGWDSlzXRVuEtM8D-l9PQSqupqPgX=w1200|https://lh3.googleusercontent.com/pw/AP1GczNiprKVuDiGig7zLwn31AE9nUtVQs7oSOjNhWmwSVXJKUNQBsJ3MRteq3lr9ofZdbyAwcebZLLnGBlukdVCQPDF26aiA4FKYorpuIEAWvmNiPKgYPTz=w1200|https://lh3.googleusercontent.com/pw/AP1GczOy7"&amp;"xsh0M2a_JcgRUcqvJyNVPtej9L2iFnzX_WAFquVdu2kScNW5HS5BL5icQxtUCiDwigFYR2iK3XIWJ1rn9gdHZ5Ol2Fp46AWdTf4lec1KFmZzIsc=w1200|https://lh3.googleusercontent.com/pw/AP1GczPxaQAWScKb_0D8e7OLmONXzs--sdKJqIgUljvbE9xHGgWzgaFTrR_fDCraPbF1q-z0mglrMjs3eXbp0XkQOHvDvWtOzhi8"&amp;"G2NZoxygTaFkkYMwPLEH=w1200|https://lh3.googleusercontent.com/pw/AP1GczNkeBvWiNzGaQJh9F5HOTvEuDVayuxoQjF6LGQu8VE1_jTwDq4b30WfgdjZL7zNF-HClmcclUrlY_kSdEPuijpQJrt8qYJgJ0jB6rW0lYRM2c9SVL1o=w1200|https://lh3.googleusercontent.com/pw/AP1GczNGhj0EzE_yeXR7XRX9g7Z"&amp;"W1bYoQj1cSFxu31Y8UIg8Wioh7Ypm6HdZIMqoQAhHVJ_Rq1LAdT95o1_G9MjmOvlw5iI5xnChG16dC20UWMJc_W-htxbx=w1200|https://lh3.googleusercontent.com/pw/AP1GczNd3S_jTdFYZbPuWTKqHNhvREFmBaFlvytIDxZ_Reo_0NSEhcGLiH9rq2HToyA2F_pIJqdfjfyivwFLfLs3xqGkxV33qpn3yiFl9GbXIHRaGs2FTj"&amp;"WR=w1200|https://lh3.googleusercontent.com/pw/AP1GczMgVgMYVjNjeBZZB8GMB0c1Gk_GhEZMR6Xov8Q3Tpv10mnWhlXD5SVH_2vJln04GOWkYEjdu9my7Dn4FYPrChVxAPqNonFrq14NagCwsxnj3C3xLAAA=w1200|https://lh3.googleusercontent.com/pw/AP1GczNTJiR1jsUiZ1HIF5OudJRQWkzg1laDiJ8JIh-t6"&amp;"56YsZbfj_MR5sG-7Ekyr-7kP7RHu-kRuXA0BmvmZbByxj9qlBcCMmlQcT1FZ2tTbThzM3GMdixr=w1200|https://lh3.googleusercontent.com/pw/AP1GczMRUEhxU5_09WsYlQPdJwXMLA0cL3m3okPH0TX5ZIi_YONbSb4vK-plXEa-IqradctXDyCwKX6jYpqCumXCvVCYEgRGYQtnUe1PYKmWMD4GSBFFLrRE=w1200|https://l"&amp;"h3.googleusercontent.com/pw/AP1GczNrk-SLXV72jWwe7s1FHmiy91uNX4DoF5qzOOkOXgo4zByM13luZzSb2il46O420TkCr-vPKkz7h51UxElKrOJKbvwv6gQ0juIh8YWMN58NwqBLioGW=w1200|https://lh3.googleusercontent.com/pw/AP1GczMm5ezA-0a5VEBBQZr_BENsq7hgbh9v-p-PMiFpaaALpW9AX4Vj9NY0_ST"&amp;"pqOp56sOyTEAfnmBhxCoTBpgyqBSllNA2xFShRiEgdd-O2egVLWv_Lio6=w1200|https://lh3.googleusercontent.com/pw/AP1GczOK7mEuzx4aKWqfZQqMmeT9hQ67skyJ9W3cTe2FOnPv27qlMJfP-itXfA9HJNAjxY_3uWJzpa50fS_-pE79nH3kYpgDLzDxvjORxeAXmnxtaZbGcWHa=w1200|https://lh3.googleuserconte"&amp;"nt.com/pw/AP1GczPpem6P_e-gma-y2vaCDFlHWnrByeicqQUzBntZIMfuVsxkeJjMG5mqHlsfDWo2yl6X48_fjo-TQFkI6N_eIQZiz4USAwQF4qGxgeRB8CrRUKNn-_Xp=w1200|https://lh3.googleusercontent.com/pw/AP1GczMFzNVIJWZSy6WKZgnDa9Qf2QPOrL3vZte_UInW2Rd88lu_sHG2sXdvTnE-OpjZMDKB1zTws5bTo"&amp;"EhWlXfd24eZteJ9HqLIAdTUuCijpBV1EskVJZlT=w1200|https://lh3.googleusercontent.com/pw/AP1GczOSvUXjnW9GzKqm7PjEd7MmTjctIqAQh5SeTAR4w2cxR-uaJkxxtcmrmc2tqQEa7luHbJ8ei2xDA2kfwk0Ocnv-5aDUxQPtsGcvdHgzTLhQ6ugqRf2U=w1200|https://lh3.googleusercontent.com/pw/AP1GczNW"&amp;"K_cy31VeD_ZiKhTrWKDyY5RKMrl4Gn2rnYHNV_G9TMlA45NuIHGXo1DE5yOYfZNXHNfJvVFxsjIlbqZeuAh4zmJlCCdpIxw-ZMD31d5BiE08nCjW=w1200|https://lh3.googleusercontent.com/pw/AP1GczMo6su40ew9otUUrgNxJYIgIg-6ORjCEuJM2pe3zeO66c5xYDTh_Z3UjlZjkvlMM8yaupnJK7OWAvZuH31w-p27jWqkX8g"&amp;"FcSyyPjs4ipcCDxgbgNWl=w1200|https://lh3.googleusercontent.com/pw/AP1GczOIy__jLXth0dzbCKlP-gjfDZl5R5wRevSV2-5dY6kyNHtevkU3j2KwZPCQJCyuPTg577ZNlYJBkYwJtNOlhH8WFkoxfi5ESH987yedKymgCyiD5ydJ=w1200|https://lh3.googleusercontent.com/pw/AP1GczMfPhmpX3WpxBg9L8SpHO"&amp;"WXhIt_XoXAqkgXuoQZOK_5wqryolptw43oW4G5ImT9GO0o7tSbNoRpdBYvCC7U61PNX0Bvr8wPRIEDHJ5DErLJU9NFVxuz=w1200|https://lh3.googleusercontent.com/pw/AP1GczMMyqZ1_4EDDKXNRJAUYWouhAhZuod0DLMmohX5SKGspwvlTKq8xrwAfqx6-Izt9OxDzQDp0PvGSHP2KQyBNQjexXINZElSlpGlCZPC-sNDjjkYn"&amp;"Wa9=w1200|https://lh3.googleusercontent.com/pw/AP1GczOB_b2n9OeV3PjR3ZTbAA7a9BXzicXWxxFPJnXUfRzGNB7qi0N17DmvWTXqBWYUkMlhUSKoA9H20TZlVm-XhZyaLqzl8qHRC3WXlm6wfqvO8eFnlerm=w1200|https://lh3.googleusercontent.com/pw/AP1GczM3z8mi2wsf1AlPIOBu6d8J2InKx8MZzzsowGKJ"&amp;"-rNpIO3lbQsMrFqh0t08AVtqeNDM1gExAxb9BIjFCzcAIiHQOzB1yu95-zT6dK-m_FiMZndBicni=w1200|https://lh3.googleusercontent.com/pw/AP1GczNOPiHdN_OqtYXji4SmDf04Uy-UvotgalDj3Zzqy0nIbG03mSD1GW_FeTpC_DAaTVfnQAw5FdS-YyxH3BF9ihof4efmqSsXOJYaGYrhLY9CjeSJwYdD=w1200|https://"&amp;"lh3.googleusercontent.com/pw/AP1GczNywI-26va3hi71n7lQ8hyKmX4knTidwQYnP17Pv14Io5oWX1afGuKitWXErjpL28u7BhQFGNhqZ_MwjbFynA0HfHbBCQIeDbVGlu54OLSsVYgWc01o=w1200|https://lh3.googleusercontent.com/pw/AP1GczMTZmKR4OFMvVO_m3MX_KsTp7xrr6waNskveYoHW1VIgVcLu75xQZohtO"&amp;"t2JuZ1yckfsLU33Jn0ohke25M0p_XjAg3udKukZWlg35Y3SgmtEGl-S2A5=w1200|https://lh3.googleusercontent.com/pw/AP1GczO60BrwQiCQqR3GTtA7_FHFfQaBKhpIHdv3z3Rn9ePGlNIbeCmPui1gtoYIeNeGpMI_LMaPugqKyfM5KtZ-YleNtY_Cg6rLZmdomL-WvHfJaAf1Iyhf=w1200|https://lh3.googleusercont"&amp;"ent.com/pw/AP1GczPs9ejWNB1y7cOHmVwYyXsR0Pn1w5BKHHdWbB1LOBut4JfvQybjwJZko15i7ZRZu-aT6MBhIZUutHwqEdFFnqWzk4UFsKqzp7aLNpsuqskHbCcDrJSP=w1200|https://lh3.googleusercontent.com/pw/AP1GczPfC9ZZ75EO-50G5llpCrehzNVAtFnEVBMCJLdJcM77p3O5WkJlmE_1vUJFgHfWh4_Y9LKVIeei"&amp;"GcODu_xGEf1p8S-7luurbXw8yY8jjdnlAIJ1knVS=w1200|https://lh3.googleusercontent.com/pw/AP1GczMUJRkEo0ra7MV3RE8hSTpTYs9XdKxRMUP57B8sBsp2n3v7hXX1eqWpb4r9xh-AfJNgmklH2okbzV5lgyckcwmkaAXSgfI4iNmV7LGt_D-DLyYPyAjR=w1200|https://lh3.googleusercontent.com/pw/AP1GczO"&amp;"xmc-SsFQrHsa8u8HY4TJ3uMGPpwMo7AzKl6phMfaKGi6w8bMSDhms6gzxYn8vKptkD9P88-ktuOwFs7tDge6vEBHHpkwNyIY6-z_g7LwVgQ67N2Rh=w1200|https://lh3.googleusercontent.com/pw/AP1GczMvJmWy7MGtF-Ox8AxuXpfKs5o8xVl1dkcw_M44_pVjRXfEtuc5cCqEreGSbhJ9kEbF1fsJAFuVmQ7LsNhA9RlmP89YN2"&amp;"2azJ2jypSOBh-S77Vj7QZr=w1200|https://lh3.googleusercontent.com/pw/AP1GczNrbd9p8iv9WazPvpe8cFTDLMRdA0CrRUyC6JtekGl1J_KyQ-QynhZAzfWjdOFhzS4xIcXJ2WDLEjHO_DWGQKmp6CmxX5WArjZRotm4eWk4kbC_bty3=w1200|https://lh3.googleusercontent.com/pw/AP1GczP-2YwpxGdXzBIqY7e83"&amp;"5OHuVPAwdSJ7w4k-qBz7rXbSmZBLEGE9fbkXmA8T5wryAZt3f_nxj5q6rfgnm33NxsU2ChNhSr-1Tm1hvKFmQNTfMHDJABe=w1200|https://lh3.googleusercontent.com/pw/AP1GczNCGFBYDOjG1FCaTFPJfcRY7Ic4GOq_W4o43fw0u6CF2T6qhkeXb8qX-QTDn9jPLZb3iExJXDQIIWwP3LTkqwPsT39Bwku496W1u4t7h_vsFTz7"&amp;"55lf=w1200|https://lh3.googleusercontent.com/pw/AP1GczPX6NgT9uaEGoPSNvTq_99FODiU9dYzkX80EJhVxfUFACzZFw1H3y6GyGzvalCpJkBqq4FwaVRMbObrCttFECjRad-7DUdlMheprFL5V_8ozphQUC9-=w1200|https://lh3.googleusercontent.com/pw/AP1GczPl0KoKAEc7XWUHhouDgsHsqbBuFOjNH3Kn3wU"&amp;"B-YrFW4G5CgCptMU0tKy6MLQMZGNOq4wrJ4GOUlO3kA9qGudjQhkSVRYUESPf6nyR9qpRGz4su7vY=w1200|https://lh3.googleusercontent.com/pw/AP1GczPn9Zhf_jBvioDcNV9GGQS34id3qWfWqennGGmUST_VYvSC4nF5ByCdukMTbjrKehj1f8OmdJIKWY2wPexp1-4vpi0SKNV-0tZQI8USZ6x5Qp2PJWCu=w1200|https:/"&amp;"/lh3.googleusercontent.com/pw/AP1GczOHTbf0Z8Zd3nkl1_RiQgHsNeNngDqHeari0lfvcEy7vlWiQ1DgHvJxYAtgcnMlf5pStJqao_k1UqSvHX_rCoY2MwFTToWYnFdEIC9v5dBUhbwSRH92=w1200|https://lh3.googleusercontent.com/pw/AP1GczP23hY4f5SuTXZDRus2VIzTj8faFo1Gf7WCCenxDnDkOwp0Kq18yn5Yo"&amp;"OtB97AIN3zMtGcDJr9hrlUwhCvpvhlk9Vp3qi54huOC0V_17OmE0rY8PJQ9=w1200|https://lh3.googleusercontent.com/pw/AP1GczO3l-h6nsNTv3yMpPjqDn9GoXBHY7IHssFb2cq-f0ziEAmC8bSTsVvR64zOQ-3QSRuTCONQ7AkXf1eSbdx6ksHJi_UKypHKaKvQbDxa6ry0oPmtasF9=w1200|https://lh3.googleusercon"&amp;"tent.com/pw/AP1GczP-CsW06knwfwitYVo88LqLXG9WuENO6KT1wZ-QRZo3jzuadjrRhh7Wo2B9ASTKH9OKQlp6r02dV_ON5vC62uI2Tpd89uQ9MSZyOZTmt4hW8aXrV5Ug=w1200|https://lh3.googleusercontent.com/pw/AP1GczO8CmertgWf6nqW-OJO0Z6Fc_BGINbTRFPZl2jfX_Q5aNAeAI239HGjVcOlTIqPfaZozLjbpNU"&amp;"vqPK9XNOs0RLOHUS8vPRGpLFvb0hw_LJMOjsrLzPp=w1200|https://lh3.googleusercontent.com/pw/AP1GczPtC5ugSnyNp_K09iXbWCReDrjMzsP8hD5HEcdu69W3sZxHGM8ChdKfbU7VLKCS4smrSaAeOTcJUwjvHnP0Tr2nkDtpf87lGTKHRRBk3tGmlkoOnicx=w1200|https://lh3.googleusercontent.com/pw/AP1Gcz"&amp;"Ptsz9AtobENTbbWaPIqquizkbBE44D6xv54eyyFjTFqUnsXe7wKIIGJwfE1756EDI6JiYmTcjIMWU6H9IfRmoUCbN6cOY5Zl-f5KJKS5KTuqeu7HGp=w1200|https://lh3.googleusercontent.com/pw/AP1GczPtTkmYBWqTZaRtngKTtDpeiRTMML5a-jav5ZiesZI_Cm_QuFtWdO-bAS-o2Hs90w5yeMJi9dDWaJmI6BiMSdf2l4Yoa"&amp;"BC0up1j_JfelPE5f36wkFgf=w1200|https://lh3.googleusercontent.com/pw/AP1GczPsZ80DXvWgEvZ8AogqZkk-BQ0zEWQHz-1Im7AqTdJ4TdLMtVpTNBEPvCD-PWhJReBDPWuD-1Ys8bDUTz15O6nRQEdSV7abfIz7WbYoawb9PKElipaZ=w1200|https://lh3.googleusercontent.com/pw/AP1GczPISwd1xLMGmDgcJgjR"&amp;"bMEeBCTVLINM-s2vcTkioyi4u4idkTx9ZUWjNIMPYO7CN_uwuRNLTErgHvCgz8FYQO9rp8vk5nxM-V-9cuoFG0ebuWY9E9ei=w1200|https://lh3.googleusercontent.com/pw/AP1GczPxB63eN43yFIsZoGt0D_hBmBlcYTefOCo1C3lVEg7TnKV8tNMegv2WaloPlif1q9cA2K66pY6BFxtuUFr2OWmYn48Iw8NwdKNBOJzopOi6013"&amp;"WbXo_=w1200|https://lh3.googleusercontent.com/pw/AP1GczPshrkCz5o2IdGKTqt08FDnVw3OKOJRqpDxqNNusBQMy7-cGk42Qg9RlNFjHoOdGvaC2is-_MgWqwvty9pCa8r16dFZupYVrLqq3oiLLG0vQP6Gb65m=w1200|https://lh3.googleusercontent.com/pw/AP1GczODPTQr0sI-x6J9HUgZtzbelI9cAE6HaP4f5F"&amp;"Tl7cImlRqIiMXOr5eV3HSFPmLjG8GIpuNf5QzruozKPonJE6QiFWuddamkU3voc07mEDuyUvcwR26J=w1200|https://lh3.googleusercontent.com/pw/AP1GczNA7Jb31nJu0uUPKCfyer1N5EnsYEcW48-6uhBDbRSoLxGTXe4SoiXaDTSa-eSiTLu-EL43JvTHSTZ_eRuJDJYSVHkN2P5MoQszCXjHVUOYLIlMJ2tz=w1200|https:"&amp;"//lh3.googleusercontent.com/pw/AP1GczMpF444pmWmtCS7hYv6vyQkUdV8FZJHsjkeu8kZtYp7aCsu3JRRNL2DjeXZYiTPEAdcEZHf_fuQ9D19MOzMHQo6g_MFruzR_sz2qEKxs21tw2EKx3D4=w1200|https://lh3.googleusercontent.com/pw/AP1GczNigyDQ2CNvH_NTx2xY6QTihZJjuSnUrNmyzz8H5JGQ7TaSnexvWWS4"&amp;"uZqVorQ6XUM8d5Oh1lTtkrI1sKtt7Ho0uv9ThLhBwDdWOA0b84XZAuOM2IWF=w1200|https://lh3.googleusercontent.com/pw/AP1GczMd9JWChipyv44nj-vqW-0ZQqF6KfEOoeUrddejJqs_f0WRr38C5tZoRLiIQgWKPhAqsu-InodwkSLucJvqYmESsW6GFeFliWW8XRWA5tqK96E647HA=w1200|https://lh3.googleuserco"&amp;"ntent.com/pw/AP1GczMyNErFHCQymTGj71UzPlw64pi8-WsNIZBiBDkr2alUWcBOX7mTnIy8To-4WYrS7uiBdnqiWEGaS2Ims3kGVE9a1CMAZMnxvTPuy1zBq232Us-Xu_8C=w1200|https://lh3.googleusercontent.com/pw/AP1GczOiMv3Mr2Lz-IP7vcxYPptXyWctoJGUL8lq7VVoyxilfBhYa0PcDGn3UO6vb2iWJTNzPYoFfN"&amp;"TxQ3CAkO3jKNlj6WZanlW4k0EGHO2LFV8tfHS6MlbH=w1200|https://lh3.googleusercontent.com/pw/AP1GczN2G-wzKdjra1CXnejOeHs7B05q5Euco9rW62_WnXBp2fF6AeSj9-7kptETFj5EgaZsYAESDZmODYTeGmY9ZK_z3GDT5brSAXwVHAYQ52PnVBiONTTZ=w1200|https://lh3.googleusercontent.com/pw/AP1Gc"&amp;"zMaQ3wxG0eTD5Uz_WeaIHLijyFpStdw7ucBe5AYcIxLNiqfRuTXdIBxCuu8cVX3DlI8HVeQQR1wDi3vf7VqeMMC2OgqPQRkeQfeC6HpQczSLI5JYv2H=w1200|https://lh3.googleusercontent.com/pw/AP1GczPPai3wD3izlvKKsPhlgUMbzjtAbU5VjEK5Ch_LTp-38hqCTArcpVC7QW8kGEqPnsovhoVOPR32SAqIobuimsjCbv9K"&amp;"J6aEzmaiEcczaCSnvFYDGE2U=w1200|https://lh3.googleusercontent.com/pw/AP1GczO4ivkjFWH41Top_VDDG3aPtZa6tjutcnuyLO_FY5BOYBRsaOVfmgYf8gpIVP-8S6qXpAnAucv9h8Fht_97HWZgW4TdEuy_-pXScKNm0vPzFa3He_Hh=w1200|https://lh3.googleusercontent.com/pw/AP1GczP8AvPXQY2pFGJ6oAP"&amp;"mlqNWbvdGGBX2GpDk9buM2NDX_ifpLrYmfhP770Cw8TU4XSRUvs3FH_20LZbQJVvB7j_IArs3R3X4pQZT0iOQ4rxbikhzWNmP=w1200|https://lh3.googleusercontent.com/pw/AP1GczODFH4fuIj9MTSLzEEBC-iWO1hziBZu8qWmwCwVdmsUnfS_hfnJ51ZcuMNTakF5brza5DeC-_H_inBoMqBaXLzGR1SwLVLp6oYrCCHwO-QQGm"&amp;"noxw1T=w1200|https://lh3.googleusercontent.com/pw/AP1GczOGcM-OgwyJdORqCexCks2XbqbuxIlaVeH-7YclWI5C9U0PTouGUna1nfkOlSHVQL0Gu1ompUD4sJElVjk1MfwDmReLzwkITPZO5WjRKCqGFU8kA81q=w1200|https://lh3.googleusercontent.com/pw/AP1GczP7CZKrzV8QDhItrABSljY2R0eJn-it-Tilp"&amp;"d4znjbmDy6aleLdd-6LBcR-XWbbKgASHGK-Qer8KDtQs6U4G_cs8gFKGlscPNGvUYpsETymOBZ7XlQ2=w1200|https://lh3.googleusercontent.com/pw/AP1GczMte8NMyEg4ZqdPUaoG7Fvb-neJLEp9p0jf3A7AAfPJSkAsFdrsH3hx51aprxw9h8SIfxjFD1Om7fJr9wS06jCSRpu7EM44jLpFuiIJ3HsISARF5JEG=w1200|https"&amp;"://lh3.googleusercontent.com/pw/AP1GczOY7Vb0t4A74wNuTZtetGZoqJU-vIF_8MaqEwhWGKGYWXaZlLsVs0A7npY5YxbcyGXfxmJN5301Iljw_7AbI4EM9__q8W2Al5ORdNE_5my66H4Ue2v6=w1200|https://lh3.googleusercontent.com/pw/AP1GczPijpEmbwWouuTs8e5XGAOyGlLyANzPGCs0z8Mt9KV330PzRRQbjUr"&amp;"4XdbRKm-68o8REJRIUCmMriKptf8ucGzWzxf0H2EUnj24vaNTsd8kVPal5lBK=w1200|https://lh3.googleusercontent.com/pw/AP1GczPjDdzStF1kPL1Y0ur-jFC3J_7tgEqPlGDjG2QhAAOf4tBabJwXZI8wlhkGAG9cYSuqfaUJSEf3OvAv6Klt_mmoWk1fEbuFMhpEyBQTi59p_xLr2ANZ=w1200|https://lh3.googleuserc"&amp;"ontent.com/pw/AP1GczMUKDnpqugnTs_qi_ZGo88EzDrk4qE7VNuZbTIeWAKumtIWsyWI70_3pcUApPWE7i-F2zuOlDL5lU-jXg3oWSSJJgi_vhzLU6eU14yJRDQqsfNyLZ2m=w1200|https://lh3.googleusercontent.com/pw/AP1GczMB7l6k5T_PYCsR3LHJVwGLpSr3bhMNSuF_7JXdAWhTGJK0ZZOuSVJkYJaP7UoLtIYHOv_kO"&amp;"R-OezUwV6_rTjd66x4P5DMzjn5jZOpeU03s8WyaCnzJ=w1200|https://lh3.googleusercontent.com/pw/AP1GczO0tjVC8TycH97OaYFcj-5hJCfJnqmsgwBZ9dwdZkPwMDeWpa8CeWcgGGqDb7p1yp9Q4sUAm2s-A9n31ZZRsGiUrjdyqohzcqYQU9i_yEZpoh9tiEB8=w1200|https://lh3.googleusercontent.com/pw/AP1G"&amp;"czMUcV5JhOk5oSCWv3JSaOvc0wjC8iSyxCocBM2dQ_XXW7nnfobVW7a4SP3kg6Ob0aM_jOr9Pn-NZkvxBkBrAzcbzkpZwktODEBP0N-_MbwEfTUIngvn=w1200|https://lh3.googleusercontent.com/pw/AP1GczNbUQMgQ8acsAc-irrj7ZX9zkn0WnrOJNsx6SlvC8dJypEBVxzUjOH-ZizquGO6jcIKkPgD7JipmXJ5EWmpkGdN4n_"&amp;"ktygkRbrPfGt44-20SyOV5LsY=w1200|https://lh3.googleusercontent.com/pw/AP1GczOQIdft5nPcoT4O3CtXuqtWGi4pos0Kaf_PYmyJb8pofZPty9-cqxPGGWSu899tjn1P97KwDXKV4QaimCavQgeyCLT0dGgiIKF7Y6imUC6AG5xtc2I4=w1200|https://lh3.googleusercontent.com/pw/AP1GczPEjCFqHund3sCHdN"&amp;"DcN9SUEb936KEze44aOZTkKgSxFFAt41YNn-I2FC2wK70csglC-wQZl5x8m2wapKDmVKIzAlJuQpA258rx087GpzMROB9uBND9=w1200|https://lh3.googleusercontent.com/pw/AP1GczPNsi4N9Vr6LCCrv2a2XH-uG7311fJdPziJhi6BwDCUwnQwjljN77IufiyocKCLn-wX0fkkQi5f0hRFYFFao_guBqFaQZZw5PcRwLR2KAb98"&amp;"Z_KboD7=w1200|https://lh3.googleusercontent.com/pw/AP1GczMY4bTQTnMo31-13WMbeCAnB1EJSbLw_7gzzEkhzOYLDaIihWd-0Z-DKTKlfYBM0pwrPD0p66K9eXpQo8bcWhw-8RqHHfSJ8-o1KSSMkcbF7CuAvXSM=w1200|https://lh3.googleusercontent.com/pw/AP1GczOZ67HsDQlkOTe8qDO57tjclSuGMnU3heet"&amp;"o3B4uakKpeQ4KnmSDs5DIN7Ow6yxC3HBhPfg9HPgDyzvS4O7CH6N9GNwOtWoTAI1YWEdmAx1fDJd5iUx=w1200|https://lh3.googleusercontent.com/pw/AP1GczOSNFRe5KGgEfXFAmHWtbgWfSDNPqqSxCQ4XGu6_o8ufzl2MfjN4ftOJqsTwt4rlA44HtWgLE4DNx792DHJbUh-hz_FEYwyUw7bLnIzBTL1nQp4rQF4=w1200|http"&amp;"s://lh3.googleusercontent.com/pw/AP1GczPBivX5hgfV0fTkz-CSeGK517LLqoGIEAfM9v42Lnx5S73TwLIa3nDIQ_iqndNvPFgsOA6pFxfbU5nHTkVV0QJf7ofKxyu_6RZvdXd7hjisWMZXIaXD=w1200|https://lh3.googleusercontent.com/pw/AP1GczNMnPWstWXlUGVLUVzg_Mx4gnmH75a7akV5Lc7Xv45RvTeQeDd4r8"&amp;"TlDaJD037Mq_qCnDo3qWNjvT7tLUhIBRMbzQoEC0zXqnNXtP1wKIyD7FWppveb=w1200|https://lh3.googleusercontent.com/pw/AP1GczOXA6a6FmHeI83e-C0gKDNvKqlYP48kjrH5Z_Kx3T9c3aPxFOEKPj5yZrjRxE8-6h5nCcjAWzHbUFbb7JioQFT-1vhlhxaGqYyyGxVRyJIKzaIiA6c0=w1200|https://lh3.googleuser"&amp;"content.com/pw/AP1GczOr8FPUO68PvfaDTEXHCFMy7GlLOKv1XVzjrJNOzKdLYP5X_HDKMSdiNQnZb5GfCwhcZIHlEG_nuPTAGJ1wyGb1TK35itkzoM3J0klTVwdID_ueTmSB=w1200|https://lh3.googleusercontent.com/pw/AP1GczOYoYESUGcWvHQ9upGKj_RebIkAdXLGa8-xsSDILQWErxnvF0eCodMGRUVzJBqsCvVsehEy"&amp;"Q1U2-h2Le22iKd9LFgV0rOpQAm_OJmN8pgpAdTP-s5XI=w1200|https://lh3.googleusercontent.com/pw/AP1GczPbldLd5ir2UZe4CH7fA_wU6YwAvi7hb-d4bqkzJYQQ0v0UgWDH7L9wiwahEAfFD9RBKLppVisCCS9F0raVla4L9sGXWKTriijGUu0dzmOlTLcUHD5s=w1200|https://lh3.googleusercontent.com/pw/AP1"&amp;"GczPBYGjbJi0HpD4Tf_xrMV7J5qAgeODVirg_zQ1PKq-uE-HLMA884ISSufMjfXpcW-F8Zm_OrlWe70FYtwZCGsyPs-ajzk9dXDLhr5ZumikAJ981qEOD=w1200|https://lh3.googleusercontent.com/pw/AP1GczMEdohkzI-83pOXta5BiosdiB8S9GzGvKe0G2W2Qe1_IJMpVgdNWoClPSkD-t-Un68Oehkuygj2SE3Htflw8K2-TO"&amp;"jFTjMgwVaU-3aAjcKpmehaG45E=w1200|https://lh3.googleusercontent.com/pw/AP1GczPzIx0HsZVcKcTj6bLcjD5xZxYKcunjWMMsaCRiOGkUGm1lvLijb_c_t_Hr--wBYsTZuXHbnx_tz8mrDdSNw71jt0r7NMJdie6o_Z9C869khQrnwIBD=w1200|https://lh3.googleusercontent.com/pw/AP1GczP2xlHGqbLUIedxO"&amp;"Lg2pIBF-i7upYA4WiKjvdvW0PMX3BWYztUqkxG7RAMBK2jDUaSNQWKxtovMp7ZNCD2D1Fh4Ogqyes7-o8aDmoMFmLOGuLp_FySO=w1200|https://lh3.googleusercontent.com/pw/AP1GczNe3qxlXsFah4tgEB8673M-zcyf-aRWs1_3OOwdLpLgZtRvHY-PTFSpoBOrhD3ctG05L1fEQcZEYdpOSsiUtc29z462aFhjynDH2wKHaK5-"&amp;"1c0Vh3IO=w1200|https://lh3.googleusercontent.com/pw/AP1GczP4skUVzW3OzXVK-uleaqDyx2450DUAedppdHGaSSpX5LQMPzftj4UfUFqRa7R02HxGSTbNZstU5yBpRa2fMCWnWZ_H9PiYzRGL7mMMH6uDwpPeIdKA=w1200|https://lh3.googleusercontent.com/pw/AP1GczNvQFhWWdnEyDffwUrdIF9J8qJ_RYcUi3A"&amp;"-442EMRZYNyuFkcsSgSDKQ454NTJuzCi0Qc7SWs7jWJ1xUmoRHO3BfAIP1AuohhcEmNULBtus5Px7Zt17=w1200|https://lh3.googleusercontent.com/pw/AP1GczMXCE1h0IypoJP_TAbob8vsF7N3LbSeckODFcD4IXETT79AcZ9dD2ONz4NERr626FA0yjK_uwDchAIK6-zdEggP0UkCQtwPxFjdORwot0jJEJazxCyt=w1200|htt"&amp;"ps://lh3.googleusercontent.com/pw/AP1GczMF8XerZLoKj8SlSMe47lRG7iDxGCAusjv2zE1qxIG3o3HHOY4YVu6nj9a4qH9YNeZo5Sj7_W3ZyzOHgK25RR0I0kRTuJnae7oLBi0gyLhGUT1pZmIv=w1200|https://lh3.googleusercontent.com/pw/AP1GczOeL7Dtp1dUzSw5zbV4QJHevo9DK95pZqYkn2v10U-kL_oVpdcQF"&amp;"kjLNDM9GDYRYxxD2hTnq5Hsu96ypgwVrR9KiZQ378ON_QCyH5_RSmm8wzpijSgd=w1200|https://lh3.googleusercontent.com/pw/AP1GczP9yEbnyoOP3bV_7KLIayV8Mk9gLVrea6-MWcyP74qaXShntvuXG68L6nT46EWBAae__0rlNC7HhigMPcQ9Sio1gGdi1VieD75dBdMoPiOY0CLdbMOl=w1200|https://lh3.googleuse"&amp;"rcontent.com/pw/AP1GczNAeWnWJPzbpT_CsGBYElHgzTGve1B80VW8rzv00OqlhwUfhsGVW6IwWlvLZcAiLIQlTwAwhjnfrYafhnPPDdcrTBCxRJ-gtqV36iLHlIBlJjhXS5BJ=w1200|https://lh3.googleusercontent.com/pw/AP1GczNtzXqCzFlwhYKukjXnyVo6NTto1pPdgdVypB1BtpMr1f6alZMTvJjDichcbMkJiuOa-cU"&amp;"KBXQLbPlP59LZcT-__lNFuhELbuPDJqNc53RwAsWRC2DR=w1200|https://lh3.googleusercontent.com/pw/AP1GczMVFtgmuKMSHkMm_uIs_fGivixBztYxgGV6OxEN7m1zKxFjhK40tn0vU1vEdNTBmW4ni1v8gnMiEevZisZfZYYnpXdezxvltOcHVGMR2WzHuE3JZLyY=w1200|https://lh3.googleusercontent.com/pw/AP"&amp;"1GczOkCSljWH3Z0KBgcKb0INVekjfo37pmykTL9auJeByusd-WwIQvLoapLFXoes4-6VD-xQ2HRQUDrMh_mFWyGq71inz2KVTiKTYlmyizUDGik7c8h9qn=w1200|https://lh3.googleusercontent.com/pw/AP1GczPbbtjkmZp7-AdEfA96WxeFn8hsahNGqX3IUX-VfO0857YpJ33L-Wlmv7pNqAgSuq9vc7sw3rCbZ4HoODWS3sjai"&amp;"-OXZgSukZ713rerKN4f1NIvcuse=w1200|https://lh3.googleusercontent.com/pw/AP1GczPWRZcMxnXuyQEQMYSBq8zvLHG46pJdmSddkEjYr60sVoxBzzA9eIh3vMb5LtqbLAoZlcdLoWL5ouAIlMqnUe8Cb9RTgAXVPERvoTMj2FWKYWPQWRHz=w1200")</f>
        <v>https://lh3.googleusercontent.com/pw/AP1GczOtQYcRNx0TRQgWiTnsezjqKhE3opuHNhIcHvSy1I1UIZNHyKK8y3FnclXEokXhEEKOgqz4RsQNZw8HvP_NESPdWepGSQpTEa0OO3qLEWWAr3MUPVIJ=w1200|https://lh3.googleusercontent.com/pw/AP1GczOR8lSFGb3YNRLKoDgJeOh7biNJhKUVF1dIGLhqot6cNZTkYLFDXPzy0DU50qWlYNZwECK1k3YhzHtZi5mlYrff0CCmyDtH9JSaiJqubN4WrIXRm3O2=w1200|https://lh3.googleusercontent.com/pw/AP1GczNzXJTaFsXsibDJ2YuRuPH7SKlHVempkm2xcraiiN2uGgrWtJ8G-UbhkSlZ30FyouBZh4Fb9Jdp-R6E2GvBpFe2a1tfjFXB35sEQH-FiW-mAsNNA-ID=w1200|https://lh3.googleusercontent.com/pw/AP1GczPVbI9HCJOORnRQ7wIXWxQIaIVfKj8DLwE_ksHbNzwj-exAiGm-x3HOHVgdq1YLtOFjR0U6WCaviCAozQumqCf3dQ5MwXCKdQPw6DjaJnex3jwgPDn_=w1200|https://lh3.googleusercontent.com/pw/AP1GczOSUiohTjKzmGLKwrienYHda9U1rmv0wDQCk-bkZJwnvv29Q8Qocz1o_qk5JLEerAcQhp9cdjiySiAoG0y_rXDMI4TnNMX7tfW1XHfabb4LJAZeHgUg=w1200|https://lh3.googleusercontent.com/pw/AP1GczMJaMfJhht9CLNQgz1umFMYKpbe43ljFQY9L7bslnauiCjN69pfbRBXw-cIkBgvysWtQ18dAAxN7e4reC_KRBuIbga_FAU27zXFzg0An1gO1BiM-clj=w1200|https://lh3.googleusercontent.com/pw/AP1GczMoYJDdfEsz_B7nwU2jGRx7iW6iXYeIn8GUQyTBQC28StYgr60E0zvQ3LOg3ehtBwV6eSRegKa7El4_NxzmmL2OTX0cdGosWO0iyOKw3-o13NWkKFdx=w1200|https://lh3.googleusercontent.com/pw/AP1GczMhWP3G1LUxjRm9akj4ztbkrcAKmEyW8_xPENRd6VsTA6ZVsC_gtB6dqWQC1AlzLg5PbFKTp8744cQSrmSku4dPT8iIYlZhbyHQlMA0sYSwNAZrvsRO=w1200|https://lh3.googleusercontent.com/pw/AP1GczMbXRCm0l24QJtn0oC75V6WoX3mzO7B_6V_vgAn7VHyFifHcfbA-3RfevZfo3WyHYEJUoZ2WXyorgpcWe9fh_Cx8QCb-8ooq6SyENOaufWr7ZUffojS=w1200|https://lh3.googleusercontent.com/pw/AP1GczOIFz5cDJhzz9-CFDLorSn_X7N2s71twu_9kTSTI2MRXF1NiIOdfm0NPXo3dUk4YSgTuCl0fHRZaUaJF003FvQSLvnd-bfMCPn43ALCKge8PdH8Hh9j=w1200|https://lh3.googleusercontent.com/pw/AP1GczPw-o4VlovCqJvmPKMXaFmr9RnSd47Zi9yjvcvxyE9Uho555B-1rTByere5p5V0Hk32C9jCbl8zHr_OqSReduIXw11iidBO1m9CbKz_Tlq-Q08e4uU8=w1200|https://lh3.googleusercontent.com/pw/AP1GczMrs84deuieKRDXicHqdNk4T4PJJle0YdX7wOOoIljBkUIg9KXEnGQHNZ2a4MiIxPOwD1FeLSXjyzkq3gaPiaObH1B6W_4uyRQ-WVAuo4Cs9-nTrHs7=w1200|https://lh3.googleusercontent.com/pw/AP1GczOAjJV5hfvaPO3mEkXCfgJOEpSDptGFBFUpuXZpl1tdxO485ixKH7K4D2_uxLdOsTrtjGZ-YFFBmuneZqfDiMW7bBQhbtbNi6q4Jxxwir_AX68NKRra=w1200|https://lh3.googleusercontent.com/pw/AP1GczNemUCjxt5qiKBt3BlMwNWhg_6_eoqbhForQ-EzxVN-1aqrH_etvCxze0lAvFm3TPzhhepDKdWSppLKwrceiQhWGaVdzSRsPqxGTPh0x9_bQO3y0ZzL=w1200|https://lh3.googleusercontent.com/pw/AP1GczM6_Xtl9i9S_SIiuxlRlXwd8s327fQBBzl-Q2leIw8xoPM7E2f5FZyeES4fhIuAGIY4cvUbtH5oCgAvgKfV77ksatN6V_Wqv1THVJL-6YMxysf7FYse=w1200|https://lh3.googleusercontent.com/pw/AP1GczMtrrqIEuUMx12SDXWfmrE9WJeSNC0yhWOJMhOYYK9JEyqVsZ6ZTXCkTDULlo5dtICee93m7DOZGX4EfuYFolhzTq2VCq6aR8iA_WkUvjiOAJKRJ4Sa=w1200|https://lh3.googleusercontent.com/pw/AP1GczPuNr0a2eqVTMyYhxh2n-XjsGIvTSxbN-Q7OpzCcmZLnn-VxgDAIyV2jcDTkFl-iM2OpdUFWItZYzmczhxxdISPREjDvB-dMCMuWjA6SPZmogmc_nXR=w1200|https://lh3.googleusercontent.com/pw/AP1GczOfYW_ExUuMKemXs0bvEbyi4k3Ej04YR02-y6lA7MYAbAgLLX2oply_ElOimfSRZByfutSd0MdfZHHziGLDbHkq_bRD6rN0Wq4CZFuQRWg84JqNhlex=w1200|https://lh3.googleusercontent.com/pw/AP1GczOIg9oiOAsPKCteAvTE3oR3luDmdjPQWtnMx4As9x2mDIuS3Z2YhMekywAxt4QnpQj8em2ILnUfJHwznV8FckPkPEvVhc5TYacOlfrhW3aQL6qiJdSU=w1200|https://lh3.googleusercontent.com/pw/AP1GczMq7L3BbWF1lNvbOIBYqWRoiW9pNS7Xxg2xHXmhfMlre2pEm8u7m24lyo9GEA4fyNAyDupwfQyv3n1Y1UubZ1cuBu4-NH7sWQzJuvrH7gSerOpBWHEt=w1200|https://lh3.googleusercontent.com/pw/AP1GczNbRkdH0vMKkm2ZlI7yQ1YBu0qDmWOo5KRV9YRXXfK0K_uObvZyuPFYXTeNp6wi9ppwJWtdd-dO0D8PHwCBfatDX1KlS_4u44PG12COwKZXMAQjA76s=w1200|https://lh3.googleusercontent.com/pw/AP1GczMPKApyJlADu1IeeP-TXomPadpoJoKKuMVxotiOK895fIK5GCPXvzDwkilunT1G8q26Nht1PI0MJSBmUKAwWv-_bf4KdMMwhqzxkMJl0De8tT3hdFDr=w1200|https://lh3.googleusercontent.com/pw/AP1GczNr7OKsx66U_S0ceX7ekvdJx05AjhSWlHvk3wSY4QhxIHwAklPK28t5X75-khsrhrvPYd1hH3Kl8dmOpx1H4gITOQMoO1VfbBkoBfP-z-z6lnja8GeP=w1200|https://lh3.googleusercontent.com/pw/AP1GczMf1pxZ_hC3V6DEHHOhGvYZ6T8rJUq1LW78t0z-SqGT1w3ciK8t2uEg-Th1l0hyYEJ5yNHj4SCCHfai00gLDX1-hf2P2Bw13QrbzX1bj2YFr3-IJpnM=w1200|https://lh3.googleusercontent.com/pw/AP1GczOYP--k9fVSL85h7xKzSTJxBkxMai3VxlGgKcLxYb5WWz_TEIt-xWpmlxXM66I4iuSDI9kPokq9Ka0E2RQ7x_dEB-DMLpxUNrCK56tU_RywyYSHxd0l=w1200|https://lh3.googleusercontent.com/pw/AP1GczPBVf4gzMYIZFPCNfhvYHwoTl6DQ8QRmtUjuRlS2vAuIb-o2wdhSxuxkagLbZAHMCfMwmiu7BNWzGSxq9pVkDG-2hWOoo2D5fIjwzgqT85uUILtYmIt=w1200|https://lh3.googleusercontent.com/pw/AP1GczMrSqPkCnLaWUtgfmSkW9WdPjvN28DYB6Z6xZEVEoxugjlepk9ds_fS8eCIUt191w9Nys-e6o30TttusACUD_MmSUUNTzqV0vkUlmMLX8PMbLY_LNMd=w1200|https://lh3.googleusercontent.com/pw/AP1GczMAGDuQn_g2WEeq1qcFsBAC0hFhRLnjREkvstO0v5HcciQ9erz3bqyXAnSsznBJt_pfk_DqmMgwI4ERT1P_--IhRySPhZN9uf4IfZ5d8xa4DBRtFyOD=w1200|https://lh3.googleusercontent.com/pw/AP1GczNF57gRaw1B68Vnn-CcTXZQjVdObJY8MW_25rXEbDFRX_2qWpTRidrWtwQ4FeeIV_ggkpQm7wdvYXspPNEI7KB7Y_JvdK-gEGVePzMoEYzi2d75A-wV=w1200|https://lh3.googleusercontent.com/pw/AP1GczPWeuEI9c1QSXB5rsq_GT2qFSyl4UVKqcNE3buyqgSeCkiI-37p5-AzcMS-aQHmpJu9_3bYGjiwz-rZLC-zw_D1N1i96iZQXn6m5e_Y3WFurtAOH0An=w1200|https://lh3.googleusercontent.com/pw/AP1GczOiq2Fth6qjlHF2HWLXSemLFGuR-MCswlxArQY-80T9s1XBUpMNyPoCp1TM2t6Ipanpn8x5EMEmT2rp2nYNAvN-_OwO-SuWURjQ2z5aAI6ffUWhjQGM=w1200|https://lh3.googleusercontent.com/pw/AP1GczPjBkHiNaDVtdRXk1GZzQtI4YBAq-ouOPDMSv6usI8C6LIRLDKKZTBVRxV7IiEPWsBpuAsXQ0LPqDH06vfXBa8LNlpqjuZfZfu7IHwE-VtoFlJrm-6u=w1200|https://lh3.googleusercontent.com/pw/AP1GczNiLxbkWsOLgS4ovHwBRNVFhYL2iY0YVqC5KhbSjmpUg13jXZB9kndF5fucgQ6Zq70X0eOqcr6bZplj-eP6CkYKaBKs19GkB9As189oUuCDsc39V6xB=w1200|https://lh3.googleusercontent.com/pw/AP1GczMovuhCNbOei4F5dwzRfbnOmM_usPZievxrB9BMKqGpJ8H9aAc9ssS9iaR8JDonc9XanKiPfBpVcY_udS76xTOphoJc2CZ9gl0-R7uEPkq2NNAFS_N3=w1200|https://lh3.googleusercontent.com/pw/AP1GczNtK61s4otj1lTJRXcH5AJUsUUploCLdrcXGycKD3MRrUhVF3JY8b6TffEUC8OCFWqoRpbPBW_mmsfaQos3XIbj3gE6fX6f7btsoska8q8Ss9AAUaP6=w1200|https://lh3.googleusercontent.com/pw/AP1GczMZIaiFg9ZEXedqQd2AhoGFFwn-1ZPmxOy-i23K05zqFKIaA62AgvPjYfjl-OL1l7L8RSJbhhNFGqIiBnPrV3tSlqCuAE9lkiMpkc8EuFSDeyVHqzgC=w1200|https://lh3.googleusercontent.com/pw/AP1GczM5cdxKruQqI3KfBrO36xJo5xjbykBA2lFZy6hd9s_HqFbK9TTC7gA1v2B0YponrMm-afPLlSGPlDpbs8q0Qi357PnLBrXFESK6O4sUUs9wef6-5EfB=w1200|https://lh3.googleusercontent.com/pw/AP1GczNSxelcKiDPfrzXcqekOIL3Rt7VetTR2emTg1MPB29iorWtdhTQoBnp5wKYgebdPyGClxTYS0xmZ_XMJt21h7mxdYKSZGOIk-3YuHWh1om1d_PXO6wN=w1200|https://lh3.googleusercontent.com/pw/AP1GczMcihNuvMDK-8CCq1jpNno7mOnlMsNiRboZ7lmkyak9uwYlrWg0ztq_1zlZQ7MVlLjRSZcTJA8DyZpBoJpXyy832QX-HYkRm3emKidMZTzQmnhP_hSk=w1200|https://lh3.googleusercontent.com/pw/AP1GczMRNQ4MZDoDdgo78Df7V_GO1obcDukD9AqGnergLWI1g8GTy0Yz-bHZoNFeI1_xz8LSaJlXvSB6j3NLw9nt7Ui63DyaCgm0Rd5ABcNbQlJawBunJoZi=w1200|https://lh3.googleusercontent.com/pw/AP1GczOuKqtoBloXoVygEpOBJn_vHEdqMfgxLEEdKbIOrXVDhHH2y6n-AT__7bXtHuHWF3m1-H6Ya5ENFAgtcJhru4OZqzdlGwnApFQlAobp1IsJ4SUaS-j6=w1200|https://lh3.googleusercontent.com/pw/AP1GczPU2npQYTs4OeuC3xO1I9w7dgLuE8NFTtQiJKPCJIMBqVRd38levfF-fNHljaztmsAZq9JkJiatQv-Hr6_T6rYldJN3_YBqNTfD2y0ahj7KOw-yIB5K=w1200|https://lh3.googleusercontent.com/pw/AP1GczPnyUBUR_LoUe4YQYTcoqWAM6Ty_O4rZSiKcP2P7r1EYMQQswx0ztx3H3vuDGjk-NAjVnqrIucQaEca_UDY___oRlP6vzvhityXcDlXboujtubLrRG4=w1200|https://lh3.googleusercontent.com/pw/AP1GczM_Lk2teDicURx-sZowVCRPzTFIN--N8-O_WNchCZFTLM0XtrXKiV3zaBU8E8bu8CihZqwVjmTAx0-LvKZFMl9DxNhGkQOraCTIJaxgarXxPHLvtzyF=w1200|https://lh3.googleusercontent.com/pw/AP1GczMleL9afsZvCXpNYeA4-GM5wnTRh-JO_gYYs5hmSA38Eu-ocIUkmk8nT1B7aIbfhxaS4xFaiX5tkfzjiQFP2xx2jCqo46OO0W567oKoRdRbSZfeAVkR=w1200|https://lh3.googleusercontent.com/pw/AP1GczMlHj7JT3cvPnds3VuEBt9jdEKBFuE74SsSENM2eyLX2eiIa3PQe62CZ-VQ3Ee8nsBejyf7-2nduEMtXlEqT9LbrF842JCPnPJU4pbsqkRkkbfrDJde=w1200|https://lh3.googleusercontent.com/pw/AP1GczOZpFCxiqZ_HU2Mb2hdIEiDlZVdSXURgqeRqbcLdSKjrWDtSKT_Utg19AnrD0LqNQTVaaU_MIUbiKYHkAdM4vLyq0rLLP2hH9AWMsqGBs4lSU-uVC1_=w1200|https://lh3.googleusercontent.com/pw/AP1GczMlR3btV9pTY7Vpjz_BFABASprlnPU-jwmtyMDiI8FrHXq_o4cgmXaObVA4XRm_8zMpoxO9Gna1iTZguADNvVbr4ljLUI4EMmX-gIYzqG6XBrVivPdn=w1200|https://lh3.googleusercontent.com/pw/AP1GczOby4ZB8IUN_W2VmAvr2qCZhT6SzBXGO0Ox56ZFodOEWneOL5Q3O6Ca6IS1qBh53kd7OG9nl8DHC6zRaUg5C44qiTBDPmbCTbWpsgDgjPeSD979QAU3=w1200|https://lh3.googleusercontent.com/pw/AP1GczPPenwhH0w98UikraJTMkzVR8DM2RbmRJe1P6v2SblYEr_MAGnXnzdFhdy3MXfNkfXy8vW-uswd4DjVbrHsCOskqCNSdGtH8WSd4pb6PE3sO0xfRXkf=w1200|https://lh3.googleusercontent.com/pw/AP1GczNDFlWeyQ84jQONX5iYzbS5zcxYVtO__E9gACLkddTBybU4QCC7fWAMoe1W8b4VZK1Bii2-ZzjmGj8ISzg9vctZ2fz1lsdD1T2ykbCq-dK_iEO1fJVo=w1200|https://lh3.googleusercontent.com/pw/AP1GczOtFPxkqjq2lH8eGw27xl-FaNr67ayZ_IQs1umuvhI81oMC2WCRmjbUZ4og4l-BK0grXBlfp1j-XwrfqHblWV6Q4VCyThAL56Fwk7-r2jEYZTAgCi8R=w1200|https://lh3.googleusercontent.com/pw/AP1GczN4Kt4NifowhIJ4g3vEq8HBskN-fB70qPQFyo-ZYa5RaXn06vqH79PLqygpamowxYRzMUjnm3svt83rzISVW-UtmzKzSqyB7D7UR063OcG99Ko-Yi-n=w1200|https://lh3.googleusercontent.com/pw/AP1GczPggO3QQbZmwgexcByYtSwlen7ng8RsI1qUl6Vn3bCUBDfquNjb5GDUXs803UFAtegRRci1MYrsf83we6NjK0X81p_Qn9hw1M7rAPyuzDu65CCsqnJ_=w1200|https://lh3.googleusercontent.com/pw/AP1GczPcKTy1SKDnByyjKaRtZkN8nT2USGJMv1MOnnfxqHH9kE8bVC7kzimJShIaVat89JgMkL_ZxH9WAYo5kAoGmGVEAJzdRvwhZ37IRB_S02nEs8Co585e=w1200|https://lh3.googleusercontent.com/pw/AP1GczO1s2nqWf3vwY2G6LuiwrYLQlPcC4E-N9AI_E5kRbm-VXu9WpX3dee3eOvTwt95MKHkG8OCqSDIia9750QYZHWNkhsHtyd7lnc-mgyBAs_PFKzORXUs=w1200|https://lh3.googleusercontent.com/pw/AP1GczMMq47K3tzBJL_5ZfHS4M6AG1GzECbh1iXAOdNC_4xbMHrtfrZVDyz5DPuJNYiBwYKX7QyVc2zwUhf7fm7Li19D5McefrEAb5gg2u_s7XAVyJJGFQQV=w1200|https://lh3.googleusercontent.com/pw/AP1GczPUQpadYl9-oSISgzf5tB6vVGLqkn2HARXDmBAh2h3npb0DuoUhbGdn1t2CKsw4vS9OxM8TvRXwggo4ldsvgw0lGBWsy1uHaRsVv8Vy0G6PUANYBE9K=w1200|https://lh3.googleusercontent.com/pw/AP1GczOw9nbHqD8-ULZZSKQreSXeJyi0ihTIczVShgz-BGkAWjFQqZvHb9VWikQgsruKlYf4XZ7E-aAJgpSPLzzI9mNZN5MgN9llrAy90Uk-k0UfmPRWyKQF=w1200|https://lh3.googleusercontent.com/pw/AP1GczOVWKhrEh9Lesc_f1RAGc2mmXJYptMyO7JWf5P659tpZAM5HrmmTicObKQ-pwH1D4YHx-koG-AkHVuz1zWh3ukuYtfH5Ae6SzbGw9ca9Yf_t_6DfVnr=w1200|https://lh3.googleusercontent.com/pw/AP1GczOFs8NUGD1JJTVvuJKwuNpvIUd_svWmrUzbXYJOoH2rVNn3c48QOCPB_-UK2mgp981XsfnuR1X1a5B69MCbDOra4XJ0LfQ35W4jdI7ksjJNSpIU6lhq=w1200|https://lh3.googleusercontent.com/pw/AP1GczNFYiaefMPRIMkZYZgYvLzoFmHPYzDYw350LCWmREbhsaM6poQr1qs9w3Vx0JEtTynCTpgd5s2LGSpRQa9PxMTYL7gcsqEcf1lwQqJ8CEoYchdj5GWN=w1200|https://lh3.googleusercontent.com/pw/AP1GczNqELKvSJAOKNaRgGpomsjdv9srg4IZgiA-mZKjeycpyn12-plcMXblLUKSoF6oAHbhVRxKqjW4YxrpQj93CcQzArPZdFrqx4oPg8tIj4vdTs_c9JAs=w1200|https://lh3.googleusercontent.com/pw/AP1GczN0qywkm5ibaQBWeL0nzRAjOXFlMCg5Ncz0nDhMBivCXiYcI8gsUc-Zmywmc651rQ7ebhjhNlaNxcFI7thHIiajA-GVI1Q2Pfb_OjQInpzkGeiGWjPi=w1200|https://lh3.googleusercontent.com/pw/AP1GczO4N7vu2ypwPuRG5PFHCURZQvXrr18yHJ6NQpTuI_DnlzyMWeNO1WGJD8aEdqYoWGJGUavog1LBPgYP1ui4W3UhPpO4xUhVzjdzzKkHF1zzuR55ngbd=w1200|https://lh3.googleusercontent.com/pw/AP1GczPYUeE9aX7MSZfaTfstwvvl_TgzHlGZEKoKPdkjlq8NFoJCZCKS0bSd5M-1C5WqxfsJNL-DkwRx_i2mYpLUDzcfsLJIeLUM_X5EPeDOtQ8TGXv6qEXA=w1200|https://lh3.googleusercontent.com/pw/AP1GczNFvd-XFlsOrhHpNYXQ6rO_yP3ecoyUnclgXSywGFky2szFKNiFfwkaRACBRfSts3XjEyqxdBHyFyA6bJIG5SDqfPdMU3JHQbX0yEKa3-y2ut7FZmbA=w1200|https://lh3.googleusercontent.com/pw/AP1GczMY1NtV-WNhSlrDJS-b7m6BAG4SgC44Mo682K2fFW2AkAUBl-Q4wi2l2Hrm_dVWDodUNe2ygA7swF9x0_K23I7w_sdcwS02YYadMsDLgcWozCmui_k9=w1200|https://lh3.googleusercontent.com/pw/AP1GczP5SweHqOs5vYt75WmaaPc9BqhOTsBibB5Z3uvdmyQ9bDB71H3jEWuTMHqjNR9Lx8Mqpj1P56CW4XeKf2Sm6Gb6XnjTEDZNk87sibNPeO5JpwhkKB_r=w1200|https://lh3.googleusercontent.com/pw/AP1GczP8PM51UKo7ZJCJyhifIoaBhLQW96Y5XfMca-1Rat34M3ihmY7Wjajc62Z8YL8Z1cCMMYtlBHOFQbbPMkYya1Gqb3YktwxHmoUuzNiZE5pprEHazXes=w1200|https://lh3.googleusercontent.com/pw/AP1GczNB9g7OtuSacyFNCkR3Or14jksbSHdao0uX4p9gDCCrZc_7xQsZLlbsxyxgVk00iDLB5kvWEvBhLUTy5KjrdQu9yDTst6MwQed2wjqgoJE403Rpy82T=w1200|https://lh3.googleusercontent.com/pw/AP1GczMSTJtmeqwC6XMce3A7tMrh0OrUe-F3pHfom6hIk1MtDvjkGz7mM0ZvROYeGF8Uq8dX2DKF-fxUyp7Sa2j-AOu5K982EeuB431K3J7fKG4VlFb0HXi_=w1200|https://lh3.googleusercontent.com/pw/AP1GczO4znCmN6ekpjek2fm3179UkJPREAmOu57hc8UFvvAMPrn0D9ls-DCHql262zqqixbcfB_CuahC4Y6UriMONn9oHHgoDLhdtVmal0VLmj_lBPWUYthM=w1200|https://lh3.googleusercontent.com/pw/AP1GczOXRznHgOgFu-eS4l34UlUqKbBpQDhONwMXOfWyXLPQHdyZSSUGySRTeB59ah_fNoNww2EWz6ZRqzKuFwKtvwrShxFEy3rOarA_duiJJ6iRnAHQ0cW6=w1200|https://lh3.googleusercontent.com/pw/AP1GczMuGjS-LjedprkcDfVvgoSdHak5Ex1-BDq7FTaHHZ6B5qaKYBofaxDAM_gbiiWyNFdAnmjR6Qf5MLliq3G7typlZ395jprlPW9sgZ_JnU0l8-Jh5nNi=w1200|https://lh3.googleusercontent.com/pw/AP1GczNnyEfcA0hvUKC44vjegoJ4EVeEr7ciIbY2RuRnAOu8-9WqZaiVldsnMf6LluqsgStjA4f7xWDJ6lpMfmAa3BvfDH1fX3DoarjL6ZBk0LEygTM9pVoJ=w1200|https://lh3.googleusercontent.com/pw/AP1GczMmT32UPe8sv4fM7TdNPdweoP2fNxHZP-vtmc_420dDirorXv3G8F3CntvZS4zhxtKCbU5CMyAHCWfFxTADS1DJQDLru8uBSHFdcK1_gZYTWK5lXBqk=w1200|https://lh3.googleusercontent.com/pw/AP1GczMv5zvGUG8Zi1qA5UXXkzT_r5p63bxx6fRRAb1QNvaRIkulbyaz3XVycC5o-mwBn3XmjTmFrcls3DD45hSrOOLm-lf-4cp8VlCED5QrmO4xvvbG6QK7=w1200|https://lh3.googleusercontent.com/pw/AP1GczOSqDXR21qjZb_NmNWYPwor42z2IdjwBkxktJ6j4y5E5vP_7M4fpViof8-z813_MWKttocH_rQAn_v8FK-0BRL636xFrviuVErQH6zntG9idH0m_HRb=w1200|https://lh3.googleusercontent.com/pw/AP1GczMBJYdyyz0ycHIYDnynPDetgQyFJC_vyB6vaE7otAQq2I9VrF2pNdvWTVXZU9Zm1CNGcGRXkbQ-JyHG40MJWB0X9ZH-ah3V44i3qgpDeKXqSPSco5ec=w1200|https://lh3.googleusercontent.com/pw/AP1GczMPOq0vAvxILg5D1clUzf1bn_N6qDVezxPkNa1FZ7Z3e6dqy3Ol1DD5TuTfV2_-EG8uccPWbEaoCGSidhz5X3SB6DJJxv4KOU7MARl1QgmfKRnWI0XF=w1200|https://lh3.googleusercontent.com/pw/AP1GczPHesfiYeKt1h14apAJ4PW-zdK1vSmU7sCDltmrdfHSDk5v41i6ywzshwNO_aA7og5j2uGKJc2wAfoHsYTV4D1Vrs392d4lCHN9wi9B158KPs0DMI2m=w1200|https://lh3.googleusercontent.com/pw/AP1GczNrNUkbddnQuZwzKHXbQxxuzzZX_BaPHYEi_NVMGEDAAtMNiBtMNybX4H7s-0T_GbS21zn4QeoZsAQ3TvDv4ArMwEih44yDx7K1AiiXhY722QMFg4PA=w1200|https://lh3.googleusercontent.com/pw/AP1GczN23nbiU7-NFAi41dIpdEL95B6pmjrmdVvMF8TfZK1W-ETsrlA4L-94_kzN6l1wCoPPWWvVakcgq6ht0X0SVRYHOfzhoiK8HRvtIItUpQoxWRNiCSF0=w1200|https://lh3.googleusercontent.com/pw/AP1GczMnB94pzPfR57txY-e0Phm263Mv51AJ3PDTck_ziuFivouPqcgJccgKGKSRprBI3g6KCqoxRuOW7L8s6YoZamQeNKpqVyelN1Vm_LuvU8zQuWdv4HXY=w1200|https://lh3.googleusercontent.com/pw/AP1GczOporjN8BdCuD9H-sS-U7u-2ReD7CedPkc4XmY_PozYYIOF-RICTZQ0tftnopkTT-2cWRIMqe8cXz5B7cfoXt4tFIIxeARpcsoRPe3H6282wwOD0f4X=w1200|https://lh3.googleusercontent.com/pw/AP1GczPT40zZXhvMRKIqYTqW6uh-mNsmydXGzK0o3O7xMFqGaLTC9ADaTYLfRL7tdzk3G8etKzMbDkWNo5wsfe9nvJ56UuFxDdIU0Ic72oEUCnKzQ8UuUZnU=w1200|https://lh3.googleusercontent.com/pw/AP1GczPbWd-IOMjNQ6n5-sxGONvld1WDPxIzTzGB2dioDY-D_MDrGdQPCfbfO5BcACq-E_jir8yDV9957eTLgZoYQnI5fCrw44-Ie0ujo0wdTg3iM0ko_eHz=w1200|https://lh3.googleusercontent.com/pw/AP1GczOwSp4j7aAn2P5qBqgwjbylVnbsHlqHGCqQTFL5pEarE6COySQpIixzcko7D90ok8vayNFGTXDjGO88rPiDBRc8boXxZdxh-W4Sp96pWGk2hJ_oyjMS=w1200|https://lh3.googleusercontent.com/pw/AP1GczN0yMI7nl46GUyKS54UYrWfoOBW3ykyPygF6bipOU8aX__Uaz4j9GC-jvJb3CtYK-h8DSuahonSBxKY4yFzY_-kOj6C5PNwaJTzgJYPIJP7G4EKl7Ag=w1200|https://lh3.googleusercontent.com/pw/AP1GczMklA2uX2Fz4fVTSGK5-H3Zbip1m2fbC7ka_zHJZCEFU3RjCREn0ghgt662Qv3OAC_SmW7emR6XXEA6swuagBaOIJnAQgdiULe12XVCle27fcno1Uld=w1200|https://lh3.googleusercontent.com/pw/AP1GczMBAe1MnDoq9oIwBIOzgGE9elrWr2Ekgon5IALtUJcoxAFgEIwug2lSGGQiWZKbByRFJH7_-WOMiirKiJFpr2WAHDBbxReYJzZf9N3uINpywhhBqTIR=w1200|https://lh3.googleusercontent.com/pw/AP1GczMC0odS-SdZcPJBQqrLYdDITQtHxzUqDdd4Av7K97ZnGhYj6qE6UpTj18L1K5_cbnDE1Dc9_jeJ8aJgGg5r7FgDjRhfznDsJkCJZHewsrFA6cIkgheF=w1200|https://lh3.googleusercontent.com/pw/AP1GczOfD57_rpL_NiZnyIZEBaEFIyr8GuBeP27ifcoGC-GHB73wwUre7c4TJKKBWtcOOObiWYj-tRShuh3bOkJsinyan2frqAA3k2mgETThT70iD5vg7-Vk=w1200|https://lh3.googleusercontent.com/pw/AP1GczO3yZngJmJMfuHVMTYmLch1Bvevi6OPkNPkOP26uufLAoyqf3KllVgVAqCNSCKYwAIc2Ouu3HFhJcjgF_gt2Jgbhw9oZDwqeQMcX3F8qm8O1Fqw2cIP=w1200|https://lh3.googleusercontent.com/pw/AP1GczPSRgcbpSRyA8tg-Y-UVJYGBNQ-nkTj0PjOZRxFHr6bn3nnQz7KbNobIWqdJt7t9-lLMjWJD_zyXlI9ZJhU73jcWAW7bRPZwv4LTBgflhdhzVgQnAAB=w1200|https://lh3.googleusercontent.com/pw/AP1GczNpFTy0-nVgqQUMd4YPEpSG03TQKbkxZ4mntq4oj4wMxsYJod_Uhoxr87t2RQFAfFlUQIeJf7Le-tKNn0_vpQi59q_J5O4g83VQ1AsCrm0uykeIQshE=w1200|https://lh3.googleusercontent.com/pw/AP1GczMU9Q5IA7EJRIvW5ZdVq_nJ_pi9EBxA_oX4rEac14FAnJTW76jFU7mftW0vMXKnJeaHJ_rkw1AUAN32-hvEmMMT5NbwJr4OAIDBCWC9zVl9bTqGYPWv=w1200|https://lh3.googleusercontent.com/pw/AP1GczN17wTviLpuO_FgOELTsJZ_EaramxmBpoHInrOJwezOjf9hlhQopuNcJd1uXpiXEfGU_Vf3t3pKiIbWdbOnW4VpQzQ7RXgbIh_5-jrfzlIZOAd2PJK_=w1200|https://lh3.googleusercontent.com/pw/AP1GczN6mtKJAqgjpJLfFIGE9TKOeyp1M0Drae-YV0PgElGkyl4exS7TN5OEpZVdclyM-lNPXH78gPh0VtFYxpEUULi5oGZ-4bR6n6XmhJPRRJtjAuebHtoo=w1200|https://lh3.googleusercontent.com/pw/AP1GczPancIlnUuNzecJnaX83bTWiMKNcf0tyfl5XABreajD3uIrOzuQxy8okDXIGu-wKCLqomWgzMbH3PdPlrXc6VtTNEylxU4njIm4fQYv-QtT9LalGqXt=w1200|https://lh3.googleusercontent.com/pw/AP1GczMe4W336fDGxJV8Wkb9sDnMqnBXM0S-3gPqCSLKTs08_YHuv_mFH7O8upZMqhyBFB_xC6Ir0BUI7kXZfN6S2HmEiPXQw90e-SlgEgJyC3z5wroaqjlh=w1200|https://lh3.googleusercontent.com/pw/AP1GczPT8-QLm9XZyoywVcd1kTCh0HlDlttJ1L_-_14X7zooQRYVhPwlUJSyS99p8yW57hQE0PtPbqwtZ-7C60Tq5ugyIW5GEiyIgqRHT87GKD5c9H4Y19YY=w1200|https://lh3.googleusercontent.com/pw/AP1GczMv75G_B_lehkv7Zxc-Ikz_movRm9f45M3TtMjqvxScInbro2ucoM8WCmf5mVa6ww546MQXd3BgTv8qbKdRtr20d3VMkjDWUsPhr1XjtKO78Jj4V5bV=w1200|https://lh3.googleusercontent.com/pw/AP1GczMzDMk_UvHyY9oTuV4dlGduQXnRH4GNF3fMY01gBOc09GRuTmRxgR1A9YwChXhLoKNt3zdOp-cc2Id8-C-VxitkjBvcZF1eSerFr_WSTk6Qs5nfEEaf=w1200|https://lh3.googleusercontent.com/pw/AP1GczMscilzLa1_FrgKrVnkK4dOA5ybIft_NwUoXJwvpf5zPSpmKqUeRyPJhsL6j01fnc4ra1auU6SBz15yvnsaKpfk6EG5uVPZ_5o_bdzTWdNi-0k6YWO5=w1200|https://lh3.googleusercontent.com/pw/AP1GczMDsW79xZLX8MWguV08xX7avTW7ex0hknWnlFgL8PFi98e1yw5IxBMSLqfa6im637qMOUZzrfbqRaZrWdynFJ0vzpQKys_tirJsFU6pvVwp_YNCZIUC=w1200|https://lh3.googleusercontent.com/pw/AP1GczP076r_lraaBFTgbN27O0ZEcrl-BvEZRRmOqvH2oipHZji1G2k1mD2k5kZpq8fAS1SnJ1e0T5ufJ16IypPFvUCc4Pdv5Gsaa0Np_qCQsCgmLycO8s_B=w1200|https://lh3.googleusercontent.com/pw/AP1GczNTd_C4cUAR4nNxzSSev2ZrDHYnc-BuVcL8QTX-b91hxKNkWMfjB_31CrwdVCVGavK43TF2HtCGkCiv4aqhXkzOxbMyacpgfNc3YlC-q91MR1REaDYD=w1200|https://lh3.googleusercontent.com/pw/AP1GczNoNKh3Mv74enHk8XZgb4DznOMvSgNrw3esD9I4prnWw-fOz5t23DJyNkIQax_X6wAmQ00AsaJ28H5-_IpJe7htTgT1hIk6ENfE2yIEio-lC567bcuk=w1200|https://lh3.googleusercontent.com/pw/AP1GczOcb6P1Eu7YiefgzBK84K2OAzkLARnm-Gc_QP03OveiSoma6KMyxqUtHkuBTywB-_vx_BRLQ4wa1Qqj1eVOk47vNSbprhdT-0Foyh6PUxY6N0b9iGEU=w1200|https://lh3.googleusercontent.com/pw/AP1GczPlisCJJbZ0t2XjxiQexIM3IyZurmgZDLrhdFDtWdO86U88xOVCTOqgzgoyhPSQdWCfU3rY58HZx_pE01mMyLJJA95mDvMUjQedRlIZjcN9stZnO5A9=w1200|https://lh3.googleusercontent.com/pw/AP1GczNI0lTvyruV5OwdzVQsQ_8b5uq20GWLD1YEEqhxzgK4rOB6NNP7yI2vydBnDVromYRwNN4K0trfT8GK1HuCBnv2y8hut0KFcCogglidoG1AaUtE8Fxo=w1200|https://lh3.googleusercontent.com/pw/AP1GczPkV2E30V2t04XRU0IaSwFkIPmcfKC6AHmzLBhmUN8FKbeSOcp6aAQh7V2tvb5vXXzAYt1fGWKnuAV6loz9UNUV6zaF2x3joTwvWKYsoEHeHjZZpxVM=w1200|https://lh3.googleusercontent.com/pw/AP1GczPAHCf1u5U-lcNLh4E4tcjAe1IRsAsmWILSyMUfcuLsy8pLi861jucy5qs2c2zieWXSPlnMi9BKqrHCRft1o3DZ9ef8V2MqhaK7M1_gwqKO0SRcVBmx=w1200|https://lh3.googleusercontent.com/pw/AP1GczMmx4-tkEzli9V6Vh1AP1dby9-E2jUUXPieye0WVsYa-Od81AxsnYAKoPN47KBWUbGQY1jm7Evbt3NfUaexhQRATx-MHDK-XYx5bV5pCYVbIS01e7N0=w1200|https://lh3.googleusercontent.com/pw/AP1GczPrVvu4DzR_3u9_FTSFmQpkXUU7keRpAnZ4s42pTtmPlHwp1BOOJp3BXXIw4W_lGttEV9FXBs6BaHIRD1WS23Vn4SlCLA0GHFRcocVnUDY1WVo5naqH=w1200|https://lh3.googleusercontent.com/pw/AP1GczN6aCU0hlFgaESI9yCHyRhSEVTDzS0iNFKqM6q8-DeNIbzRT5YMj3fLN7TOVQXH56DdmMd9xYzxMJkRxSEeZUj8zl3FbTyhkkzJfzKljR04wTh4W4iE=w1200|https://lh3.googleusercontent.com/pw/AP1GczMcxSmAIzkItdqTqg_3IUEfLsrWoD9x-cU5z5r-dFWqE_uiKWEkrNnwCaYsJIxKzU0iJdyRUHv1nfNZcDBqxc8uKtPjPCpHkUgUNNStYkGACOgqg2eG=w1200|https://lh3.googleusercontent.com/pw/AP1GczPTCI8qwy_e_Wwno1lorJbjHvLOoXPeKaqi3P54ZLiW5etosLdC5nCfDlQUWey1-ROQT3mJKs5wdNYtSgK1BofWGWDSlzXRVuEtM8D-l9PQSqupqPgX=w1200|https://lh3.googleusercontent.com/pw/AP1GczNiprKVuDiGig7zLwn31AE9nUtVQs7oSOjNhWmwSVXJKUNQBsJ3MRteq3lr9ofZdbyAwcebZLLnGBlukdVCQPDF26aiA4FKYorpuIEAWvmNiPKgYPTz=w1200|https://lh3.googleusercontent.com/pw/AP1GczOy7xsh0M2a_JcgRUcqvJyNVPtej9L2iFnzX_WAFquVdu2kScNW5HS5BL5icQxtUCiDwigFYR2iK3XIWJ1rn9gdHZ5Ol2Fp46AWdTf4lec1KFmZzIsc=w1200|https://lh3.googleusercontent.com/pw/AP1GczPxaQAWScKb_0D8e7OLmONXzs--sdKJqIgUljvbE9xHGgWzgaFTrR_fDCraPbF1q-z0mglrMjs3eXbp0XkQOHvDvWtOzhi8G2NZoxygTaFkkYMwPLEH=w1200|https://lh3.googleusercontent.com/pw/AP1GczNkeBvWiNzGaQJh9F5HOTvEuDVayuxoQjF6LGQu8VE1_jTwDq4b30WfgdjZL7zNF-HClmcclUrlY_kSdEPuijpQJrt8qYJgJ0jB6rW0lYRM2c9SVL1o=w1200|https://lh3.googleusercontent.com/pw/AP1GczNGhj0EzE_yeXR7XRX9g7ZW1bYoQj1cSFxu31Y8UIg8Wioh7Ypm6HdZIMqoQAhHVJ_Rq1LAdT95o1_G9MjmOvlw5iI5xnChG16dC20UWMJc_W-htxbx=w1200|https://lh3.googleusercontent.com/pw/AP1GczNd3S_jTdFYZbPuWTKqHNhvREFmBaFlvytIDxZ_Reo_0NSEhcGLiH9rq2HToyA2F_pIJqdfjfyivwFLfLs3xqGkxV33qpn3yiFl9GbXIHRaGs2FTjWR=w1200|https://lh3.googleusercontent.com/pw/AP1GczMgVgMYVjNjeBZZB8GMB0c1Gk_GhEZMR6Xov8Q3Tpv10mnWhlXD5SVH_2vJln04GOWkYEjdu9my7Dn4FYPrChVxAPqNonFrq14NagCwsxnj3C3xLAAA=w1200|https://lh3.googleusercontent.com/pw/AP1GczNTJiR1jsUiZ1HIF5OudJRQWkzg1laDiJ8JIh-t656YsZbfj_MR5sG-7Ekyr-7kP7RHu-kRuXA0BmvmZbByxj9qlBcCMmlQcT1FZ2tTbThzM3GMdixr=w1200|https://lh3.googleusercontent.com/pw/AP1GczMRUEhxU5_09WsYlQPdJwXMLA0cL3m3okPH0TX5ZIi_YONbSb4vK-plXEa-IqradctXDyCwKX6jYpqCumXCvVCYEgRGYQtnUe1PYKmWMD4GSBFFLrRE=w1200|https://lh3.googleusercontent.com/pw/AP1GczNrk-SLXV72jWwe7s1FHmiy91uNX4DoF5qzOOkOXgo4zByM13luZzSb2il46O420TkCr-vPKkz7h51UxElKrOJKbvwv6gQ0juIh8YWMN58NwqBLioGW=w1200|https://lh3.googleusercontent.com/pw/AP1GczMm5ezA-0a5VEBBQZr_BENsq7hgbh9v-p-PMiFpaaALpW9AX4Vj9NY0_STpqOp56sOyTEAfnmBhxCoTBpgyqBSllNA2xFShRiEgdd-O2egVLWv_Lio6=w1200|https://lh3.googleusercontent.com/pw/AP1GczOK7mEuzx4aKWqfZQqMmeT9hQ67skyJ9W3cTe2FOnPv27qlMJfP-itXfA9HJNAjxY_3uWJzpa50fS_-pE79nH3kYpgDLzDxvjORxeAXmnxtaZbGcWHa=w1200|https://lh3.googleusercontent.com/pw/AP1GczPpem6P_e-gma-y2vaCDFlHWnrByeicqQUzBntZIMfuVsxkeJjMG5mqHlsfDWo2yl6X48_fjo-TQFkI6N_eIQZiz4USAwQF4qGxgeRB8CrRUKNn-_Xp=w1200|https://lh3.googleusercontent.com/pw/AP1GczMFzNVIJWZSy6WKZgnDa9Qf2QPOrL3vZte_UInW2Rd88lu_sHG2sXdvTnE-OpjZMDKB1zTws5bToEhWlXfd24eZteJ9HqLIAdTUuCijpBV1EskVJZlT=w1200|https://lh3.googleusercontent.com/pw/AP1GczOSvUXjnW9GzKqm7PjEd7MmTjctIqAQh5SeTAR4w2cxR-uaJkxxtcmrmc2tqQEa7luHbJ8ei2xDA2kfwk0Ocnv-5aDUxQPtsGcvdHgzTLhQ6ugqRf2U=w1200|https://lh3.googleusercontent.com/pw/AP1GczNWK_cy31VeD_ZiKhTrWKDyY5RKMrl4Gn2rnYHNV_G9TMlA45NuIHGXo1DE5yOYfZNXHNfJvVFxsjIlbqZeuAh4zmJlCCdpIxw-ZMD31d5BiE08nCjW=w1200|https://lh3.googleusercontent.com/pw/AP1GczMo6su40ew9otUUrgNxJYIgIg-6ORjCEuJM2pe3zeO66c5xYDTh_Z3UjlZjkvlMM8yaupnJK7OWAvZuH31w-p27jWqkX8gFcSyyPjs4ipcCDxgbgNWl=w1200|https://lh3.googleusercontent.com/pw/AP1GczOIy__jLXth0dzbCKlP-gjfDZl5R5wRevSV2-5dY6kyNHtevkU3j2KwZPCQJCyuPTg577ZNlYJBkYwJtNOlhH8WFkoxfi5ESH987yedKymgCyiD5ydJ=w1200|https://lh3.googleusercontent.com/pw/AP1GczMfPhmpX3WpxBg9L8SpHOWXhIt_XoXAqkgXuoQZOK_5wqryolptw43oW4G5ImT9GO0o7tSbNoRpdBYvCC7U61PNX0Bvr8wPRIEDHJ5DErLJU9NFVxuz=w1200|https://lh3.googleusercontent.com/pw/AP1GczMMyqZ1_4EDDKXNRJAUYWouhAhZuod0DLMmohX5SKGspwvlTKq8xrwAfqx6-Izt9OxDzQDp0PvGSHP2KQyBNQjexXINZElSlpGlCZPC-sNDjjkYnWa9=w1200|https://lh3.googleusercontent.com/pw/AP1GczOB_b2n9OeV3PjR3ZTbAA7a9BXzicXWxxFPJnXUfRzGNB7qi0N17DmvWTXqBWYUkMlhUSKoA9H20TZlVm-XhZyaLqzl8qHRC3WXlm6wfqvO8eFnlerm=w1200|https://lh3.googleusercontent.com/pw/AP1GczM3z8mi2wsf1AlPIOBu6d8J2InKx8MZzzsowGKJ-rNpIO3lbQsMrFqh0t08AVtqeNDM1gExAxb9BIjFCzcAIiHQOzB1yu95-zT6dK-m_FiMZndBicni=w1200|https://lh3.googleusercontent.com/pw/AP1GczNOPiHdN_OqtYXji4SmDf04Uy-UvotgalDj3Zzqy0nIbG03mSD1GW_FeTpC_DAaTVfnQAw5FdS-YyxH3BF9ihof4efmqSsXOJYaGYrhLY9CjeSJwYdD=w1200|https://lh3.googleusercontent.com/pw/AP1GczNywI-26va3hi71n7lQ8hyKmX4knTidwQYnP17Pv14Io5oWX1afGuKitWXErjpL28u7BhQFGNhqZ_MwjbFynA0HfHbBCQIeDbVGlu54OLSsVYgWc01o=w1200|https://lh3.googleusercontent.com/pw/AP1GczMTZmKR4OFMvVO_m3MX_KsTp7xrr6waNskveYoHW1VIgVcLu75xQZohtOt2JuZ1yckfsLU33Jn0ohke25M0p_XjAg3udKukZWlg35Y3SgmtEGl-S2A5=w1200|https://lh3.googleusercontent.com/pw/AP1GczO60BrwQiCQqR3GTtA7_FHFfQaBKhpIHdv3z3Rn9ePGlNIbeCmPui1gtoYIeNeGpMI_LMaPugqKyfM5KtZ-YleNtY_Cg6rLZmdomL-WvHfJaAf1Iyhf=w1200|https://lh3.googleusercontent.com/pw/AP1GczPs9ejWNB1y7cOHmVwYyXsR0Pn1w5BKHHdWbB1LOBut4JfvQybjwJZko15i7ZRZu-aT6MBhIZUutHwqEdFFnqWzk4UFsKqzp7aLNpsuqskHbCcDrJSP=w1200|https://lh3.googleusercontent.com/pw/AP1GczPfC9ZZ75EO-50G5llpCrehzNVAtFnEVBMCJLdJcM77p3O5WkJlmE_1vUJFgHfWh4_Y9LKVIeeiGcODu_xGEf1p8S-7luurbXw8yY8jjdnlAIJ1knVS=w1200|https://lh3.googleusercontent.com/pw/AP1GczMUJRkEo0ra7MV3RE8hSTpTYs9XdKxRMUP57B8sBsp2n3v7hXX1eqWpb4r9xh-AfJNgmklH2okbzV5lgyckcwmkaAXSgfI4iNmV7LGt_D-DLyYPyAjR=w1200|https://lh3.googleusercontent.com/pw/AP1GczOxmc-SsFQrHsa8u8HY4TJ3uMGPpwMo7AzKl6phMfaKGi6w8bMSDhms6gzxYn8vKptkD9P88-ktuOwFs7tDge6vEBHHpkwNyIY6-z_g7LwVgQ67N2Rh=w1200|https://lh3.googleusercontent.com/pw/AP1GczMvJmWy7MGtF-Ox8AxuXpfKs5o8xVl1dkcw_M44_pVjRXfEtuc5cCqEreGSbhJ9kEbF1fsJAFuVmQ7LsNhA9RlmP89YN22azJ2jypSOBh-S77Vj7QZr=w1200|https://lh3.googleusercontent.com/pw/AP1GczNrbd9p8iv9WazPvpe8cFTDLMRdA0CrRUyC6JtekGl1J_KyQ-QynhZAzfWjdOFhzS4xIcXJ2WDLEjHO_DWGQKmp6CmxX5WArjZRotm4eWk4kbC_bty3=w1200|https://lh3.googleusercontent.com/pw/AP1GczP-2YwpxGdXzBIqY7e835OHuVPAwdSJ7w4k-qBz7rXbSmZBLEGE9fbkXmA8T5wryAZt3f_nxj5q6rfgnm33NxsU2ChNhSr-1Tm1hvKFmQNTfMHDJABe=w1200|https://lh3.googleusercontent.com/pw/AP1GczNCGFBYDOjG1FCaTFPJfcRY7Ic4GOq_W4o43fw0u6CF2T6qhkeXb8qX-QTDn9jPLZb3iExJXDQIIWwP3LTkqwPsT39Bwku496W1u4t7h_vsFTz755lf=w1200|https://lh3.googleusercontent.com/pw/AP1GczPX6NgT9uaEGoPSNvTq_99FODiU9dYzkX80EJhVxfUFACzZFw1H3y6GyGzvalCpJkBqq4FwaVRMbObrCttFECjRad-7DUdlMheprFL5V_8ozphQUC9-=w1200|https://lh3.googleusercontent.com/pw/AP1GczPl0KoKAEc7XWUHhouDgsHsqbBuFOjNH3Kn3wUB-YrFW4G5CgCptMU0tKy6MLQMZGNOq4wrJ4GOUlO3kA9qGudjQhkSVRYUESPf6nyR9qpRGz4su7vY=w1200|https://lh3.googleusercontent.com/pw/AP1GczPn9Zhf_jBvioDcNV9GGQS34id3qWfWqennGGmUST_VYvSC4nF5ByCdukMTbjrKehj1f8OmdJIKWY2wPexp1-4vpi0SKNV-0tZQI8USZ6x5Qp2PJWCu=w1200|https://lh3.googleusercontent.com/pw/AP1GczOHTbf0Z8Zd3nkl1_RiQgHsNeNngDqHeari0lfvcEy7vlWiQ1DgHvJxYAtgcnMlf5pStJqao_k1UqSvHX_rCoY2MwFTToWYnFdEIC9v5dBUhbwSRH92=w1200|https://lh3.googleusercontent.com/pw/AP1GczP23hY4f5SuTXZDRus2VIzTj8faFo1Gf7WCCenxDnDkOwp0Kq18yn5YoOtB97AIN3zMtGcDJr9hrlUwhCvpvhlk9Vp3qi54huOC0V_17OmE0rY8PJQ9=w1200|https://lh3.googleusercontent.com/pw/AP1GczO3l-h6nsNTv3yMpPjqDn9GoXBHY7IHssFb2cq-f0ziEAmC8bSTsVvR64zOQ-3QSRuTCONQ7AkXf1eSbdx6ksHJi_UKypHKaKvQbDxa6ry0oPmtasF9=w1200|https://lh3.googleusercontent.com/pw/AP1GczP-CsW06knwfwitYVo88LqLXG9WuENO6KT1wZ-QRZo3jzuadjrRhh7Wo2B9ASTKH9OKQlp6r02dV_ON5vC62uI2Tpd89uQ9MSZyOZTmt4hW8aXrV5Ug=w1200|https://lh3.googleusercontent.com/pw/AP1GczO8CmertgWf6nqW-OJO0Z6Fc_BGINbTRFPZl2jfX_Q5aNAeAI239HGjVcOlTIqPfaZozLjbpNUvqPK9XNOs0RLOHUS8vPRGpLFvb0hw_LJMOjsrLzPp=w1200|https://lh3.googleusercontent.com/pw/AP1GczPtC5ugSnyNp_K09iXbWCReDrjMzsP8hD5HEcdu69W3sZxHGM8ChdKfbU7VLKCS4smrSaAeOTcJUwjvHnP0Tr2nkDtpf87lGTKHRRBk3tGmlkoOnicx=w1200|https://lh3.googleusercontent.com/pw/AP1GczPtsz9AtobENTbbWaPIqquizkbBE44D6xv54eyyFjTFqUnsXe7wKIIGJwfE1756EDI6JiYmTcjIMWU6H9IfRmoUCbN6cOY5Zl-f5KJKS5KTuqeu7HGp=w1200|https://lh3.googleusercontent.com/pw/AP1GczPtTkmYBWqTZaRtngKTtDpeiRTMML5a-jav5ZiesZI_Cm_QuFtWdO-bAS-o2Hs90w5yeMJi9dDWaJmI6BiMSdf2l4YoaBC0up1j_JfelPE5f36wkFgf=w1200|https://lh3.googleusercontent.com/pw/AP1GczPsZ80DXvWgEvZ8AogqZkk-BQ0zEWQHz-1Im7AqTdJ4TdLMtVpTNBEPvCD-PWhJReBDPWuD-1Ys8bDUTz15O6nRQEdSV7abfIz7WbYoawb9PKElipaZ=w1200|https://lh3.googleusercontent.com/pw/AP1GczPISwd1xLMGmDgcJgjRbMEeBCTVLINM-s2vcTkioyi4u4idkTx9ZUWjNIMPYO7CN_uwuRNLTErgHvCgz8FYQO9rp8vk5nxM-V-9cuoFG0ebuWY9E9ei=w1200|https://lh3.googleusercontent.com/pw/AP1GczPxB63eN43yFIsZoGt0D_hBmBlcYTefOCo1C3lVEg7TnKV8tNMegv2WaloPlif1q9cA2K66pY6BFxtuUFr2OWmYn48Iw8NwdKNBOJzopOi6013WbXo_=w1200|https://lh3.googleusercontent.com/pw/AP1GczPshrkCz5o2IdGKTqt08FDnVw3OKOJRqpDxqNNusBQMy7-cGk42Qg9RlNFjHoOdGvaC2is-_MgWqwvty9pCa8r16dFZupYVrLqq3oiLLG0vQP6Gb65m=w1200|https://lh3.googleusercontent.com/pw/AP1GczODPTQr0sI-x6J9HUgZtzbelI9cAE6HaP4f5FTl7cImlRqIiMXOr5eV3HSFPmLjG8GIpuNf5QzruozKPonJE6QiFWuddamkU3voc07mEDuyUvcwR26J=w1200|https://lh3.googleusercontent.com/pw/AP1GczNA7Jb31nJu0uUPKCfyer1N5EnsYEcW48-6uhBDbRSoLxGTXe4SoiXaDTSa-eSiTLu-EL43JvTHSTZ_eRuJDJYSVHkN2P5MoQszCXjHVUOYLIlMJ2tz=w1200|https://lh3.googleusercontent.com/pw/AP1GczMpF444pmWmtCS7hYv6vyQkUdV8FZJHsjkeu8kZtYp7aCsu3JRRNL2DjeXZYiTPEAdcEZHf_fuQ9D19MOzMHQo6g_MFruzR_sz2qEKxs21tw2EKx3D4=w1200|https://lh3.googleusercontent.com/pw/AP1GczNigyDQ2CNvH_NTx2xY6QTihZJjuSnUrNmyzz8H5JGQ7TaSnexvWWS4uZqVorQ6XUM8d5Oh1lTtkrI1sKtt7Ho0uv9ThLhBwDdWOA0b84XZAuOM2IWF=w1200|https://lh3.googleusercontent.com/pw/AP1GczMd9JWChipyv44nj-vqW-0ZQqF6KfEOoeUrddejJqs_f0WRr38C5tZoRLiIQgWKPhAqsu-InodwkSLucJvqYmESsW6GFeFliWW8XRWA5tqK96E647HA=w1200|https://lh3.googleusercontent.com/pw/AP1GczMyNErFHCQymTGj71UzPlw64pi8-WsNIZBiBDkr2alUWcBOX7mTnIy8To-4WYrS7uiBdnqiWEGaS2Ims3kGVE9a1CMAZMnxvTPuy1zBq232Us-Xu_8C=w1200|https://lh3.googleusercontent.com/pw/AP1GczOiMv3Mr2Lz-IP7vcxYPptXyWctoJGUL8lq7VVoyxilfBhYa0PcDGn3UO6vb2iWJTNzPYoFfNTxQ3CAkO3jKNlj6WZanlW4k0EGHO2LFV8tfHS6MlbH=w1200|https://lh3.googleusercontent.com/pw/AP1GczN2G-wzKdjra1CXnejOeHs7B05q5Euco9rW62_WnXBp2fF6AeSj9-7kptETFj5EgaZsYAESDZmODYTeGmY9ZK_z3GDT5brSAXwVHAYQ52PnVBiONTTZ=w1200|https://lh3.googleusercontent.com/pw/AP1GczMaQ3wxG0eTD5Uz_WeaIHLijyFpStdw7ucBe5AYcIxLNiqfRuTXdIBxCuu8cVX3DlI8HVeQQR1wDi3vf7VqeMMC2OgqPQRkeQfeC6HpQczSLI5JYv2H=w1200|https://lh3.googleusercontent.com/pw/AP1GczPPai3wD3izlvKKsPhlgUMbzjtAbU5VjEK5Ch_LTp-38hqCTArcpVC7QW8kGEqPnsovhoVOPR32SAqIobuimsjCbv9KJ6aEzmaiEcczaCSnvFYDGE2U=w1200|https://lh3.googleusercontent.com/pw/AP1GczO4ivkjFWH41Top_VDDG3aPtZa6tjutcnuyLO_FY5BOYBRsaOVfmgYf8gpIVP-8S6qXpAnAucv9h8Fht_97HWZgW4TdEuy_-pXScKNm0vPzFa3He_Hh=w1200|https://lh3.googleusercontent.com/pw/AP1GczP8AvPXQY2pFGJ6oAPmlqNWbvdGGBX2GpDk9buM2NDX_ifpLrYmfhP770Cw8TU4XSRUvs3FH_20LZbQJVvB7j_IArs3R3X4pQZT0iOQ4rxbikhzWNmP=w1200|https://lh3.googleusercontent.com/pw/AP1GczODFH4fuIj9MTSLzEEBC-iWO1hziBZu8qWmwCwVdmsUnfS_hfnJ51ZcuMNTakF5brza5DeC-_H_inBoMqBaXLzGR1SwLVLp6oYrCCHwO-QQGmnoxw1T=w1200|https://lh3.googleusercontent.com/pw/AP1GczOGcM-OgwyJdORqCexCks2XbqbuxIlaVeH-7YclWI5C9U0PTouGUna1nfkOlSHVQL0Gu1ompUD4sJElVjk1MfwDmReLzwkITPZO5WjRKCqGFU8kA81q=w1200|https://lh3.googleusercontent.com/pw/AP1GczP7CZKrzV8QDhItrABSljY2R0eJn-it-Tilpd4znjbmDy6aleLdd-6LBcR-XWbbKgASHGK-Qer8KDtQs6U4G_cs8gFKGlscPNGvUYpsETymOBZ7XlQ2=w1200|https://lh3.googleusercontent.com/pw/AP1GczMte8NMyEg4ZqdPUaoG7Fvb-neJLEp9p0jf3A7AAfPJSkAsFdrsH3hx51aprxw9h8SIfxjFD1Om7fJr9wS06jCSRpu7EM44jLpFuiIJ3HsISARF5JEG=w1200|https://lh3.googleusercontent.com/pw/AP1GczOY7Vb0t4A74wNuTZtetGZoqJU-vIF_8MaqEwhWGKGYWXaZlLsVs0A7npY5YxbcyGXfxmJN5301Iljw_7AbI4EM9__q8W2Al5ORdNE_5my66H4Ue2v6=w1200|https://lh3.googleusercontent.com/pw/AP1GczPijpEmbwWouuTs8e5XGAOyGlLyANzPGCs0z8Mt9KV330PzRRQbjUr4XdbRKm-68o8REJRIUCmMriKptf8ucGzWzxf0H2EUnj24vaNTsd8kVPal5lBK=w1200|https://lh3.googleusercontent.com/pw/AP1GczPjDdzStF1kPL1Y0ur-jFC3J_7tgEqPlGDjG2QhAAOf4tBabJwXZI8wlhkGAG9cYSuqfaUJSEf3OvAv6Klt_mmoWk1fEbuFMhpEyBQTi59p_xLr2ANZ=w1200|https://lh3.googleusercontent.com/pw/AP1GczMUKDnpqugnTs_qi_ZGo88EzDrk4qE7VNuZbTIeWAKumtIWsyWI70_3pcUApPWE7i-F2zuOlDL5lU-jXg3oWSSJJgi_vhzLU6eU14yJRDQqsfNyLZ2m=w1200|https://lh3.googleusercontent.com/pw/AP1GczMB7l6k5T_PYCsR3LHJVwGLpSr3bhMNSuF_7JXdAWhTGJK0ZZOuSVJkYJaP7UoLtIYHOv_kOR-OezUwV6_rTjd66x4P5DMzjn5jZOpeU03s8WyaCnzJ=w1200|https://lh3.googleusercontent.com/pw/AP1GczO0tjVC8TycH97OaYFcj-5hJCfJnqmsgwBZ9dwdZkPwMDeWpa8CeWcgGGqDb7p1yp9Q4sUAm2s-A9n31ZZRsGiUrjdyqohzcqYQU9i_yEZpoh9tiEB8=w1200|https://lh3.googleusercontent.com/pw/AP1GczMUcV5JhOk5oSCWv3JSaOvc0wjC8iSyxCocBM2dQ_XXW7nnfobVW7a4SP3kg6Ob0aM_jOr9Pn-NZkvxBkBrAzcbzkpZwktODEBP0N-_MbwEfTUIngvn=w1200|https://lh3.googleusercontent.com/pw/AP1GczNbUQMgQ8acsAc-irrj7ZX9zkn0WnrOJNsx6SlvC8dJypEBVxzUjOH-ZizquGO6jcIKkPgD7JipmXJ5EWmpkGdN4n_ktygkRbrPfGt44-20SyOV5LsY=w1200|https://lh3.googleusercontent.com/pw/AP1GczOQIdft5nPcoT4O3CtXuqtWGi4pos0Kaf_PYmyJb8pofZPty9-cqxPGGWSu899tjn1P97KwDXKV4QaimCavQgeyCLT0dGgiIKF7Y6imUC6AG5xtc2I4=w1200|https://lh3.googleusercontent.com/pw/AP1GczPEjCFqHund3sCHdNDcN9SUEb936KEze44aOZTkKgSxFFAt41YNn-I2FC2wK70csglC-wQZl5x8m2wapKDmVKIzAlJuQpA258rx087GpzMROB9uBND9=w1200|https://lh3.googleusercontent.com/pw/AP1GczPNsi4N9Vr6LCCrv2a2XH-uG7311fJdPziJhi6BwDCUwnQwjljN77IufiyocKCLn-wX0fkkQi5f0hRFYFFao_guBqFaQZZw5PcRwLR2KAb98Z_KboD7=w1200|https://lh3.googleusercontent.com/pw/AP1GczMY4bTQTnMo31-13WMbeCAnB1EJSbLw_7gzzEkhzOYLDaIihWd-0Z-DKTKlfYBM0pwrPD0p66K9eXpQo8bcWhw-8RqHHfSJ8-o1KSSMkcbF7CuAvXSM=w1200|https://lh3.googleusercontent.com/pw/AP1GczOZ67HsDQlkOTe8qDO57tjclSuGMnU3heeto3B4uakKpeQ4KnmSDs5DIN7Ow6yxC3HBhPfg9HPgDyzvS4O7CH6N9GNwOtWoTAI1YWEdmAx1fDJd5iUx=w1200|https://lh3.googleusercontent.com/pw/AP1GczOSNFRe5KGgEfXFAmHWtbgWfSDNPqqSxCQ4XGu6_o8ufzl2MfjN4ftOJqsTwt4rlA44HtWgLE4DNx792DHJbUh-hz_FEYwyUw7bLnIzBTL1nQp4rQF4=w1200|https://lh3.googleusercontent.com/pw/AP1GczPBivX5hgfV0fTkz-CSeGK517LLqoGIEAfM9v42Lnx5S73TwLIa3nDIQ_iqndNvPFgsOA6pFxfbU5nHTkVV0QJf7ofKxyu_6RZvdXd7hjisWMZXIaXD=w1200|https://lh3.googleusercontent.com/pw/AP1GczNMnPWstWXlUGVLUVzg_Mx4gnmH75a7akV5Lc7Xv45RvTeQeDd4r8TlDaJD037Mq_qCnDo3qWNjvT7tLUhIBRMbzQoEC0zXqnNXtP1wKIyD7FWppveb=w1200|https://lh3.googleusercontent.com/pw/AP1GczOXA6a6FmHeI83e-C0gKDNvKqlYP48kjrH5Z_Kx3T9c3aPxFOEKPj5yZrjRxE8-6h5nCcjAWzHbUFbb7JioQFT-1vhlhxaGqYyyGxVRyJIKzaIiA6c0=w1200|https://lh3.googleusercontent.com/pw/AP1GczOr8FPUO68PvfaDTEXHCFMy7GlLOKv1XVzjrJNOzKdLYP5X_HDKMSdiNQnZb5GfCwhcZIHlEG_nuPTAGJ1wyGb1TK35itkzoM3J0klTVwdID_ueTmSB=w1200|https://lh3.googleusercontent.com/pw/AP1GczOYoYESUGcWvHQ9upGKj_RebIkAdXLGa8-xsSDILQWErxnvF0eCodMGRUVzJBqsCvVsehEyQ1U2-h2Le22iKd9LFgV0rOpQAm_OJmN8pgpAdTP-s5XI=w1200|https://lh3.googleusercontent.com/pw/AP1GczPbldLd5ir2UZe4CH7fA_wU6YwAvi7hb-d4bqkzJYQQ0v0UgWDH7L9wiwahEAfFD9RBKLppVisCCS9F0raVla4L9sGXWKTriijGUu0dzmOlTLcUHD5s=w1200|https://lh3.googleusercontent.com/pw/AP1GczPBYGjbJi0HpD4Tf_xrMV7J5qAgeODVirg_zQ1PKq-uE-HLMA884ISSufMjfXpcW-F8Zm_OrlWe70FYtwZCGsyPs-ajzk9dXDLhr5ZumikAJ981qEOD=w1200|https://lh3.googleusercontent.com/pw/AP1GczMEdohkzI-83pOXta5BiosdiB8S9GzGvKe0G2W2Qe1_IJMpVgdNWoClPSkD-t-Un68Oehkuygj2SE3Htflw8K2-TOjFTjMgwVaU-3aAjcKpmehaG45E=w1200|https://lh3.googleusercontent.com/pw/AP1GczPzIx0HsZVcKcTj6bLcjD5xZxYKcunjWMMsaCRiOGkUGm1lvLijb_c_t_Hr--wBYsTZuXHbnx_tz8mrDdSNw71jt0r7NMJdie6o_Z9C869khQrnwIBD=w1200|https://lh3.googleusercontent.com/pw/AP1GczP2xlHGqbLUIedxOLg2pIBF-i7upYA4WiKjvdvW0PMX3BWYztUqkxG7RAMBK2jDUaSNQWKxtovMp7ZNCD2D1Fh4Ogqyes7-o8aDmoMFmLOGuLp_FySO=w1200|https://lh3.googleusercontent.com/pw/AP1GczNe3qxlXsFah4tgEB8673M-zcyf-aRWs1_3OOwdLpLgZtRvHY-PTFSpoBOrhD3ctG05L1fEQcZEYdpOSsiUtc29z462aFhjynDH2wKHaK5-1c0Vh3IO=w1200|https://lh3.googleusercontent.com/pw/AP1GczP4skUVzW3OzXVK-uleaqDyx2450DUAedppdHGaSSpX5LQMPzftj4UfUFqRa7R02HxGSTbNZstU5yBpRa2fMCWnWZ_H9PiYzRGL7mMMH6uDwpPeIdKA=w1200|https://lh3.googleusercontent.com/pw/AP1GczNvQFhWWdnEyDffwUrdIF9J8qJ_RYcUi3A-442EMRZYNyuFkcsSgSDKQ454NTJuzCi0Qc7SWs7jWJ1xUmoRHO3BfAIP1AuohhcEmNULBtus5Px7Zt17=w1200|https://lh3.googleusercontent.com/pw/AP1GczMXCE1h0IypoJP_TAbob8vsF7N3LbSeckODFcD4IXETT79AcZ9dD2ONz4NERr626FA0yjK_uwDchAIK6-zdEggP0UkCQtwPxFjdORwot0jJEJazxCyt=w1200|https://lh3.googleusercontent.com/pw/AP1GczMF8XerZLoKj8SlSMe47lRG7iDxGCAusjv2zE1qxIG3o3HHOY4YVu6nj9a4qH9YNeZo5Sj7_W3ZyzOHgK25RR0I0kRTuJnae7oLBi0gyLhGUT1pZmIv=w1200|https://lh3.googleusercontent.com/pw/AP1GczOeL7Dtp1dUzSw5zbV4QJHevo9DK95pZqYkn2v10U-kL_oVpdcQFkjLNDM9GDYRYxxD2hTnq5Hsu96ypgwVrR9KiZQ378ON_QCyH5_RSmm8wzpijSgd=w1200|https://lh3.googleusercontent.com/pw/AP1GczP9yEbnyoOP3bV_7KLIayV8Mk9gLVrea6-MWcyP74qaXShntvuXG68L6nT46EWBAae__0rlNC7HhigMPcQ9Sio1gGdi1VieD75dBdMoPiOY0CLdbMOl=w1200|https://lh3.googleusercontent.com/pw/AP1GczNAeWnWJPzbpT_CsGBYElHgzTGve1B80VW8rzv00OqlhwUfhsGVW6IwWlvLZcAiLIQlTwAwhjnfrYafhnPPDdcrTBCxRJ-gtqV36iLHlIBlJjhXS5BJ=w1200|https://lh3.googleusercontent.com/pw/AP1GczNtzXqCzFlwhYKukjXnyVo6NTto1pPdgdVypB1BtpMr1f6alZMTvJjDichcbMkJiuOa-cUKBXQLbPlP59LZcT-__lNFuhELbuPDJqNc53RwAsWRC2DR=w1200|https://lh3.googleusercontent.com/pw/AP1GczMVFtgmuKMSHkMm_uIs_fGivixBztYxgGV6OxEN7m1zKxFjhK40tn0vU1vEdNTBmW4ni1v8gnMiEevZisZfZYYnpXdezxvltOcHVGMR2WzHuE3JZLyY=w1200|https://lh3.googleusercontent.com/pw/AP1GczOkCSljWH3Z0KBgcKb0INVekjfo37pmykTL9auJeByusd-WwIQvLoapLFXoes4-6VD-xQ2HRQUDrMh_mFWyGq71inz2KVTiKTYlmyizUDGik7c8h9qn=w1200|https://lh3.googleusercontent.com/pw/AP1GczPbbtjkmZp7-AdEfA96WxeFn8hsahNGqX3IUX-VfO0857YpJ33L-Wlmv7pNqAgSuq9vc7sw3rCbZ4HoODWS3sjai-OXZgSukZ713rerKN4f1NIvcuse=w1200|https://lh3.googleusercontent.com/pw/AP1GczPWRZcMxnXuyQEQMYSBq8zvLHG46pJdmSddkEjYr60sVoxBzzA9eIh3vMb5LtqbLAoZlcdLoWL5ouAIlMqnUe8Cb9RTgAXVPERvoTMj2FWKYWPQWRHz=w1200</v>
      </c>
      <c r="AJ221" s="46"/>
      <c r="AK221" s="46"/>
      <c r="AL221" s="46"/>
      <c r="AM221" s="46"/>
      <c r="AN221" s="46"/>
      <c r="AO221" s="46"/>
      <c r="AP221" s="46"/>
      <c r="AQ221" s="46"/>
      <c r="AR221" s="46"/>
      <c r="AS221" s="46"/>
      <c r="AT221" s="46"/>
      <c r="AU221" s="46"/>
      <c r="AV221" s="46"/>
      <c r="AW221" s="46"/>
      <c r="AX221" s="46"/>
      <c r="AY221" s="46"/>
      <c r="AZ221" s="46"/>
      <c r="BA221" s="46"/>
      <c r="BB221" s="46"/>
      <c r="BC221" s="46"/>
      <c r="BD221" s="46"/>
      <c r="BE221" s="46"/>
      <c r="BF221" s="46"/>
      <c r="BG221" s="46"/>
      <c r="BH221" s="46"/>
      <c r="BI221" s="46"/>
      <c r="BJ221" s="46"/>
      <c r="BK221" s="46"/>
      <c r="BL221" s="46"/>
      <c r="BM221" s="46"/>
      <c r="BN221" s="46"/>
      <c r="BO221" s="46"/>
      <c r="BP221" s="46"/>
      <c r="BQ221" s="46"/>
      <c r="BR221" s="46"/>
      <c r="BS221" s="46"/>
      <c r="BT221" s="46"/>
      <c r="BU221" s="46"/>
      <c r="BV221" s="46"/>
      <c r="BW221" s="46"/>
      <c r="BX221" s="46"/>
      <c r="BY221" s="46"/>
      <c r="BZ221" s="46"/>
      <c r="CA221" s="46"/>
      <c r="CB221" s="46"/>
      <c r="CC221" s="46"/>
    </row>
    <row r="222">
      <c r="A222" s="87" t="str">
        <f>IFERROR(__xludf.DUMMYFUNCTION("""COMPUTED_VALUE"""),"806")</f>
        <v>806</v>
      </c>
      <c r="B222" s="46" t="str">
        <f>IFERROR(__xludf.DUMMYFUNCTION("""COMPUTED_VALUE"""),"Finca ganadera en Santa María - Huila")</f>
        <v>Finca ganadera en Santa María - Huila</v>
      </c>
      <c r="C222" s="46" t="str">
        <f>IFERROR(__xludf.DUMMYFUNCTION("""COMPUTED_VALUE"""),"Finca")</f>
        <v>Finca</v>
      </c>
      <c r="D222" s="46"/>
      <c r="E222" s="46"/>
      <c r="F222" s="90">
        <f>IFERROR(__xludf.DUMMYFUNCTION("""COMPUTED_VALUE"""),1.05E9)</f>
        <v>1050000000</v>
      </c>
      <c r="G222" s="46" t="str">
        <f>IFERROR(__xludf.DUMMYFUNCTION("""COMPUTED_VALUE"""),"Más de $1.000'000.000")</f>
        <v>Más de $1.000'000.000</v>
      </c>
      <c r="H222" s="46"/>
      <c r="I222" s="46"/>
      <c r="J222" s="46" t="str">
        <f>IFERROR(__xludf.DUMMYFUNCTION("""COMPUTED_VALUE"""),"Rural")</f>
        <v>Rural</v>
      </c>
      <c r="K222" s="87"/>
      <c r="L222" s="46">
        <f>IFERROR(__xludf.DUMMYFUNCTION("""COMPUTED_VALUE"""),4.0)</f>
        <v>4</v>
      </c>
      <c r="M222" s="46"/>
      <c r="N222" s="46">
        <f>IFERROR(__xludf.DUMMYFUNCTION("""COMPUTED_VALUE"""),3.0)</f>
        <v>3</v>
      </c>
      <c r="O222" s="46">
        <f>IFERROR(__xludf.DUMMYFUNCTION("""COMPUTED_VALUE"""),2.0)</f>
        <v>2</v>
      </c>
      <c r="P222" s="46">
        <f>IFERROR(__xludf.DUMMYFUNCTION("""COMPUTED_VALUE"""),1.0)</f>
        <v>1</v>
      </c>
      <c r="Q222" s="92">
        <f>IFERROR(__xludf.DUMMYFUNCTION("""COMPUTED_VALUE"""),450.0)</f>
        <v>450</v>
      </c>
      <c r="R222" s="92">
        <f>IFERROR(__xludf.DUMMYFUNCTION("""COMPUTED_VALUE"""),1050000.0)</f>
        <v>1050000</v>
      </c>
      <c r="S222" s="87"/>
      <c r="T222" s="46" t="str">
        <f>IFERROR(__xludf.DUMMYFUNCTION("""COMPUTED_VALUE"""),"Santa María")</f>
        <v>Santa María</v>
      </c>
      <c r="U222" s="87"/>
      <c r="V222" s="46"/>
      <c r="W222" s="46"/>
      <c r="X222" s="46">
        <f>IFERROR(__xludf.DUMMYFUNCTION("""COMPUTED_VALUE"""),2.0)</f>
        <v>2</v>
      </c>
      <c r="Y222" s="46" t="str">
        <f>IFERROR(__xludf.DUMMYFUNCTION("""COMPUTED_VALUE"""),"No tiene")</f>
        <v>No tiene</v>
      </c>
      <c r="Z222" s="90" t="str">
        <f>IFERROR(__xludf.DUMMYFUNCTION("""COMPUTED_VALUE"""),"No aplica")</f>
        <v>No aplica</v>
      </c>
      <c r="AA222" s="33" t="str">
        <f>IFERROR(__xludf.DUMMYFUNCTION("""COMPUTED_VALUE"""),"No aplica")</f>
        <v>No aplica</v>
      </c>
      <c r="AB222" s="96" t="str">
        <f>IFERROR(__xludf.DUMMYFUNCTION("""COMPUTED_VALUE"""),"https://photos.app.goo.gl/nc6T15SXSgEHYwfR7")</f>
        <v>https://photos.app.goo.gl/nc6T15SXSgEHYwfR7</v>
      </c>
      <c r="AC222" s="46" t="str">
        <f>IFERROR(__xludf.DUMMYFUNCTION("""COMPUTED_VALUE"""),"Finca cuenta con hectáreas de conservación bosque nativo que no se cuenta. Topografía: ondulada. Altura: 2.530 msnm. Carga 80 animales. Corrales: en madera, estructura de la cubierta en hierro. Agua: Propias, nacederos y una quebrada que baña la finca. Po"&amp;"treros: 44. Casas: 2 (principal y mayordomo)). Servicios: Energía eléctrica, internet, pozo septico. Pastos: quicuyo y poa.Vía. La vía principal para el sur del Tolima, pasa por la finca.")</f>
        <v>Finca cuenta con hectáreas de conservación bosque nativo que no se cuenta. Topografía: ondulada. Altura: 2.530 msnm. Carga 80 animales. Corrales: en madera, estructura de la cubierta en hierro. Agua: Propias, nacederos y una quebrada que baña la finca. Potreros: 44. Casas: 2 (principal y mayordomo)). Servicios: Energía eléctrica, internet, pozo septico. Pastos: quicuyo y poa.Vía. La vía principal para el sur del Tolima, pasa por la finca.</v>
      </c>
      <c r="AD222" s="46" t="str">
        <f>IFERROR(__xludf.DUMMYFUNCTION("""COMPUTED_VALUE"""),"Distancias: De la finca al municipio Santa María 22 kms. Al colegio 15 minutos. A la escuela del Huila 5 minutos. A la escuela del Tolima 15 minutos. Establo: piso en tierra y un brete pequeño. Embarcadero: No. Cultivos: 2.000 plántulas de tomate de arbol"&amp;" en 2 etapas y unas 300 matas de mora. Algunas cercas de la finca ya tienen sembrados eucaliptos. Proyecto: Tiene excelentes agua para proyectos de trucha, ya estan los huecos.")</f>
        <v>Distancias: De la finca al municipio Santa María 22 kms. Al colegio 15 minutos. A la escuela del Huila 5 minutos. A la escuela del Tolima 15 minutos. Establo: piso en tierra y un brete pequeño. Embarcadero: No. Cultivos: 2.000 plántulas de tomate de arbol en 2 etapas y unas 300 matas de mora. Algunas cercas de la finca ya tienen sembrados eucaliptos. Proyecto: Tiene excelentes agua para proyectos de trucha, ya estan los huecos.</v>
      </c>
      <c r="AE222" s="46"/>
      <c r="AF222" s="46" t="str">
        <f>IFERROR(__xludf.DUMMYFUNCTION("""COMPUTED_VALUE"""),"semi-integral")</f>
        <v>semi-integral</v>
      </c>
      <c r="AG222" s="46"/>
      <c r="AH222" s="46" t="str">
        <f>IFERROR(__xludf.DUMMYFUNCTION("""COMPUTED_VALUE"""),"Verbal")</f>
        <v>Verbal</v>
      </c>
      <c r="AI222" s="92" t="str">
        <f>IFERROR(__xludf.DUMMYFUNCTION("""COMPUTED_VALUE"""),"https://lh3.googleusercontent.com/pw/AP1GczN3S4LEfc-JadjFnQytwXFTMoNTLgIub0_i2bSl1KtMYhY1Di2-BmRqBUgcmNGloqjN2qFBTWn5p3-YL3yZzymuMr6m-Qhiy-sBryUuSumAP0R_W2c=w1200|https://lh3.googleusercontent.com/pw/AP1GczMtUDdupggiZDA7jhbChq4JhJAoVEtp7hV1cPvX1-9VG_T150g"&amp;"xSmg5PgzS9WWPH6nZL7SMVpFzLPVUHp15F4D2t95c3VLxW2BU70b0ySnBTV9rJ40=w1200|https://lh3.googleusercontent.com/pw/AP1GczO4DOCjs97K_k4Qh54NyRU3iIEQ2_87FhPznoUYa2Ji_7IjqnJQQgBf9uQUTqvSlUBf44oVCi5YOOueAc5x-WhYjvxzdseuSJGwzv0YO3NyGirveGY=w1200|https://lh3.googleuse"&amp;"rcontent.com/pw/AP1GczPSb5z8H9UUlHOpk-wRiSGpnk0UVAfKN9Xh5SVAC7YRdhWNGX5axMyv7mFW2_zf1IgpTjD7-hSpp40gvtc18zZ-TS1YaJIgKwoCtY1OZFnJh0_Ddpo=w1200|https://lh3.googleusercontent.com/pw/AP1GczNPQ4BSUmZPgptDmDsStLT93T3JE2XCbGdmRmqGrbG-nHlFXilsqm0ECUHiklQpxIn6D3e5"&amp;"LTK-f1x4Qz-ZvvJRXHrJHtDAtVXIEYg4wqTPSp1cXIE=w1200|https://lh3.googleusercontent.com/pw/AP1GczPcR3vGMWr8fy5hbHAzJC8Gw594y47mACDjlqSJ6coxyhwvnv-j5CFNk8Y29kifoupp7JISgL9jUXTeKlSCUevEs6p3SqI_16OM07MH0YfXayf8jVo=w1200|https://lh3.googleusercontent.com/pw/AP1Gc"&amp;"zMQd-D5vsCwqZ3E_v-eOhN2jupseEDCCPdc4ijIeijcBtmNGurKTFeB2SxqJ3N-yBrztKLMNZGan7CKNU_qPU3h8miMGkLhrFQgVXPB9kiUAbkaTqw=w1200|https://lh3.googleusercontent.com/pw/AP1GczOBhuooBmyDzbYuRnxGnin4lrQ15SgvriGlf-2yakckre_QAL_CjJ-IyaD160g6PDhwhTYNVHC-rRod-4HKK2ZaF7Z4y"&amp;"hr53XG5xWgaQBqA0ThJeek=w1200|https://lh3.googleusercontent.com/pw/AP1GczNtwsx_w32rY0zd1elBv--lK8hM1hQvb4GIP4lXiF0bf2Cdwt0Fp9CBIadHuynckTTSWdlixT6qTsLjKm4TR4Zc_vHdIjQIq_DayOahNHh2sWyde4c=w1200|https://lh3.googleusercontent.com/pw/AP1GczOzTWwd4vTZyAv4rwXM6S"&amp;"N-KeI_OyoE-yU4LUkbAnQxtpmiRbJ6pXw0LQR98eWkYiNTVy6daOkZoMXfodacSXoLshjyDfwbCUO5Ge3cSWQop7-BerE=w1200|https://lh3.googleusercontent.com/pw/AP1GczO2P-FeXD7DihdilL3CZSicUAEZt1tKGUHt-6KzgpQ0ioJ8vmVSAYgOB6wNsO-HGDf3jKd0quhgPN_PBcPblkV46VigZgJkY23jRDibznLJ7dSVjl"&amp;"A=w1200|https://lh3.googleusercontent.com/pw/AP1GczO3mu3HhpY24QCxMxepNTHD0F7MZuwjef0AINn8Q4aw7NSsRwIAxMfywDHeEiEFCLzrHppzh3lgHzoK8D7ieYrlcF6_aU90Wwf-QVdf49zG1u94EHw=w1200|https://lh3.googleusercontent.com/pw/AP1GczOHyOMbMb2SgzODAusQ3Cfc06qr0fgE2oZ1yzkdwST"&amp;"Exs3pXTbwWPrDY7neFwcTpkSFwjQzPrVeUK-ipBVNVJL0FAjsyrbXSAVBSdngNkbfXlatVwU=w1200|https://lh3.googleusercontent.com/pw/AP1GczPcC8JfnvWATucv0DUCdaSRuWvFEQI60EyFfSaU2S-pKcO_RvR_gBLCNBI7YosaB8UgYZRjlCHZIHQA4frbt9Xon0FS3Huvirz1wTlD6ksXT7sMJ9U=w1200|https://lh3.g"&amp;"oogleusercontent.com/pw/AP1GczPhhzx2HzPNpAe5N4wCGtSG8Z3FMc57nf1MzkcEpiXDa50fUXK4620GZd43-YB8petvKIr-eulBCfnOxVwJNJtpe3fzKxM3uLG5gdr_mEPACQrW9e4=w1200|https://lh3.googleusercontent.com/pw/AP1GczOlCqb6zngW9M9U_skXPHYW14fCFSqur0DoFk_doNTdK67avEzfF2oQIRU_lL2e"&amp;"mPoFwPKwBxFRQGpS-Z69aoODs99s0co05M76c4ToEsqGRgnHv6c=w1200|https://lh3.googleusercontent.com/pw/AP1GczM5TYFzSJczxeHMjP9_g8pueV3Minl4mp6ETfMbr7LFSwkLIQVAjlqFOL1X9swKPkTrEj6Cv1lwoZiNGy4PAAxyFWrEtpu3AInHwF6DJLt8u8sxL2E=w1200|https://lh3.googleusercontent.com/"&amp;"pw/AP1GczMNrd79dLfpXB5Ddl7zDo-jUUugftGRzZ74PHcJLFBktolrYQRLgAOdEFYQIlfhA70r06rARF6-vPmFfIN6HViJMAQDdWCnj5-w-iGq0GUVHmhcnB4=w1200|https://lh3.googleusercontent.com/pw/AP1GczODJlWeYlRel6THe7kjpjYcjR1Ij721OZ0qkZfsqzTX8y8AnuwsNiZaXyFhxEl9F2q09GXdDzU6zdC_h_H_o"&amp;"_yVVQvSPKBFYEHElsMVkPpjXODDDgE=w1200|https://lh3.googleusercontent.com/pw/AP1GczPc2VZOWM-VFC3C_dP7ZqCBZN2fdGwHdNJWBP0xbGL-NN02rOQ8qvQt8Cb_eplPkyrZsGuywIp0hrTnbs2TlG1KEDo3YnXtQiNa_fjC03QyKFMk7w0=w1200|https://lh3.googleusercontent.com/pw/AP1GczNG_hQ-ZqRN-c"&amp;"Utd8bqQk9MppPO5vojII1JLKHrohvQELr4OKEi0Px2hfeesXxrslmY-3kNgWW9siC6KJeY0ayaCFIhzhM4sZ5t2fCyGYS7973pLYY=w1200|https://lh3.googleusercontent.com/pw/AP1GczNju8hr0cRtxWEhNj6tpc5Ykqh4JhhDSly382CuMV0QpfP3Tl_DJ0aGJOa4Q3ft-ryp6HoNZwf8jAkQ2RSCmJxSAaagHKJsbf8Xvub3VP"&amp;"TEc5LhJ5w=w1200|https://lh3.googleusercontent.com/pw/AP1GczNvUBHiM1JlSjFFb7D81wjp_AjQtbo8yksC1Ycydyrj5zSo9G8xAnx9ILu9c6MDtPWof7Myp0eo25PpqwKktSZZ29vKBM_-Wsuowkw7ubv80B5z2fk=w1200|https://lh3.googleusercontent.com/pw/AP1GczNqYVUMGDQEbjWmXZ50-wiTrF6U0t0W3Ig"&amp;"4lXmwt6GOqIXGi71Ww2zUMtFufyiXw_7Wt2E_ZsxN_em6EVB-wbcmN87-0WpHI1RnVRk5GPf8OlCY50w=w1200|https://lh3.googleusercontent.com/pw/AP1GczP0LqwJBFLBeKjJubCxWNiiOD9N4DggPD9PKJAvgh8bgitKexpxIpdAEyrygmR669RSe6QC59uv5yWMRHHggninuWIHLA9BpDzgL_OlDt1lI0I3qNk3=w1200")</f>
        <v>https://lh3.googleusercontent.com/pw/AP1GczN3S4LEfc-JadjFnQytwXFTMoNTLgIub0_i2bSl1KtMYhY1Di2-BmRqBUgcmNGloqjN2qFBTWn5p3-YL3yZzymuMr6m-Qhiy-sBryUuSumAP0R_W2c=w1200|https://lh3.googleusercontent.com/pw/AP1GczMtUDdupggiZDA7jhbChq4JhJAoVEtp7hV1cPvX1-9VG_T150gxSmg5PgzS9WWPH6nZL7SMVpFzLPVUHp15F4D2t95c3VLxW2BU70b0ySnBTV9rJ40=w1200|https://lh3.googleusercontent.com/pw/AP1GczO4DOCjs97K_k4Qh54NyRU3iIEQ2_87FhPznoUYa2Ji_7IjqnJQQgBf9uQUTqvSlUBf44oVCi5YOOueAc5x-WhYjvxzdseuSJGwzv0YO3NyGirveGY=w1200|https://lh3.googleusercontent.com/pw/AP1GczPSb5z8H9UUlHOpk-wRiSGpnk0UVAfKN9Xh5SVAC7YRdhWNGX5axMyv7mFW2_zf1IgpTjD7-hSpp40gvtc18zZ-TS1YaJIgKwoCtY1OZFnJh0_Ddpo=w1200|https://lh3.googleusercontent.com/pw/AP1GczNPQ4BSUmZPgptDmDsStLT93T3JE2XCbGdmRmqGrbG-nHlFXilsqm0ECUHiklQpxIn6D3e5LTK-f1x4Qz-ZvvJRXHrJHtDAtVXIEYg4wqTPSp1cXIE=w1200|https://lh3.googleusercontent.com/pw/AP1GczPcR3vGMWr8fy5hbHAzJC8Gw594y47mACDjlqSJ6coxyhwvnv-j5CFNk8Y29kifoupp7JISgL9jUXTeKlSCUevEs6p3SqI_16OM07MH0YfXayf8jVo=w1200|https://lh3.googleusercontent.com/pw/AP1GczMQd-D5vsCwqZ3E_v-eOhN2jupseEDCCPdc4ijIeijcBtmNGurKTFeB2SxqJ3N-yBrztKLMNZGan7CKNU_qPU3h8miMGkLhrFQgVXPB9kiUAbkaTqw=w1200|https://lh3.googleusercontent.com/pw/AP1GczOBhuooBmyDzbYuRnxGnin4lrQ15SgvriGlf-2yakckre_QAL_CjJ-IyaD160g6PDhwhTYNVHC-rRod-4HKK2ZaF7Z4yhr53XG5xWgaQBqA0ThJeek=w1200|https://lh3.googleusercontent.com/pw/AP1GczNtwsx_w32rY0zd1elBv--lK8hM1hQvb4GIP4lXiF0bf2Cdwt0Fp9CBIadHuynckTTSWdlixT6qTsLjKm4TR4Zc_vHdIjQIq_DayOahNHh2sWyde4c=w1200|https://lh3.googleusercontent.com/pw/AP1GczOzTWwd4vTZyAv4rwXM6SN-KeI_OyoE-yU4LUkbAnQxtpmiRbJ6pXw0LQR98eWkYiNTVy6daOkZoMXfodacSXoLshjyDfwbCUO5Ge3cSWQop7-BerE=w1200|https://lh3.googleusercontent.com/pw/AP1GczO2P-FeXD7DihdilL3CZSicUAEZt1tKGUHt-6KzgpQ0ioJ8vmVSAYgOB6wNsO-HGDf3jKd0quhgPN_PBcPblkV46VigZgJkY23jRDibznLJ7dSVjlA=w1200|https://lh3.googleusercontent.com/pw/AP1GczO3mu3HhpY24QCxMxepNTHD0F7MZuwjef0AINn8Q4aw7NSsRwIAxMfywDHeEiEFCLzrHppzh3lgHzoK8D7ieYrlcF6_aU90Wwf-QVdf49zG1u94EHw=w1200|https://lh3.googleusercontent.com/pw/AP1GczOHyOMbMb2SgzODAusQ3Cfc06qr0fgE2oZ1yzkdwSTExs3pXTbwWPrDY7neFwcTpkSFwjQzPrVeUK-ipBVNVJL0FAjsyrbXSAVBSdngNkbfXlatVwU=w1200|https://lh3.googleusercontent.com/pw/AP1GczPcC8JfnvWATucv0DUCdaSRuWvFEQI60EyFfSaU2S-pKcO_RvR_gBLCNBI7YosaB8UgYZRjlCHZIHQA4frbt9Xon0FS3Huvirz1wTlD6ksXT7sMJ9U=w1200|https://lh3.googleusercontent.com/pw/AP1GczPhhzx2HzPNpAe5N4wCGtSG8Z3FMc57nf1MzkcEpiXDa50fUXK4620GZd43-YB8petvKIr-eulBCfnOxVwJNJtpe3fzKxM3uLG5gdr_mEPACQrW9e4=w1200|https://lh3.googleusercontent.com/pw/AP1GczOlCqb6zngW9M9U_skXPHYW14fCFSqur0DoFk_doNTdK67avEzfF2oQIRU_lL2emPoFwPKwBxFRQGpS-Z69aoODs99s0co05M76c4ToEsqGRgnHv6c=w1200|https://lh3.googleusercontent.com/pw/AP1GczM5TYFzSJczxeHMjP9_g8pueV3Minl4mp6ETfMbr7LFSwkLIQVAjlqFOL1X9swKPkTrEj6Cv1lwoZiNGy4PAAxyFWrEtpu3AInHwF6DJLt8u8sxL2E=w1200|https://lh3.googleusercontent.com/pw/AP1GczMNrd79dLfpXB5Ddl7zDo-jUUugftGRzZ74PHcJLFBktolrYQRLgAOdEFYQIlfhA70r06rARF6-vPmFfIN6HViJMAQDdWCnj5-w-iGq0GUVHmhcnB4=w1200|https://lh3.googleusercontent.com/pw/AP1GczODJlWeYlRel6THe7kjpjYcjR1Ij721OZ0qkZfsqzTX8y8AnuwsNiZaXyFhxEl9F2q09GXdDzU6zdC_h_H_o_yVVQvSPKBFYEHElsMVkPpjXODDDgE=w1200|https://lh3.googleusercontent.com/pw/AP1GczPc2VZOWM-VFC3C_dP7ZqCBZN2fdGwHdNJWBP0xbGL-NN02rOQ8qvQt8Cb_eplPkyrZsGuywIp0hrTnbs2TlG1KEDo3YnXtQiNa_fjC03QyKFMk7w0=w1200|https://lh3.googleusercontent.com/pw/AP1GczNG_hQ-ZqRN-cUtd8bqQk9MppPO5vojII1JLKHrohvQELr4OKEi0Px2hfeesXxrslmY-3kNgWW9siC6KJeY0ayaCFIhzhM4sZ5t2fCyGYS7973pLYY=w1200|https://lh3.googleusercontent.com/pw/AP1GczNju8hr0cRtxWEhNj6tpc5Ykqh4JhhDSly382CuMV0QpfP3Tl_DJ0aGJOa4Q3ft-ryp6HoNZwf8jAkQ2RSCmJxSAaagHKJsbf8Xvub3VPTEc5LhJ5w=w1200|https://lh3.googleusercontent.com/pw/AP1GczNvUBHiM1JlSjFFb7D81wjp_AjQtbo8yksC1Ycydyrj5zSo9G8xAnx9ILu9c6MDtPWof7Myp0eo25PpqwKktSZZ29vKBM_-Wsuowkw7ubv80B5z2fk=w1200|https://lh3.googleusercontent.com/pw/AP1GczNqYVUMGDQEbjWmXZ50-wiTrF6U0t0W3Ig4lXmwt6GOqIXGi71Ww2zUMtFufyiXw_7Wt2E_ZsxN_em6EVB-wbcmN87-0WpHI1RnVRk5GPf8OlCY50w=w1200|https://lh3.googleusercontent.com/pw/AP1GczP0LqwJBFLBeKjJubCxWNiiOD9N4DggPD9PKJAvgh8bgitKexpxIpdAEyrygmR669RSe6QC59uv5yWMRHHggninuWIHLA9BpDzgL_OlDt1lI0I3qNk3=w1200</v>
      </c>
      <c r="AJ222" s="46"/>
      <c r="AK222" s="46"/>
      <c r="AL222" s="46"/>
      <c r="AM222" s="46"/>
      <c r="AN222" s="46"/>
      <c r="AO222" s="46"/>
      <c r="AP222" s="46"/>
      <c r="AQ222" s="46"/>
      <c r="AR222" s="46"/>
      <c r="AS222" s="46"/>
      <c r="AT222" s="46"/>
      <c r="AU222" s="46"/>
      <c r="AV222" s="46"/>
      <c r="AW222" s="46"/>
      <c r="AX222" s="46"/>
      <c r="AY222" s="46"/>
      <c r="AZ222" s="46"/>
      <c r="BA222" s="46"/>
      <c r="BB222" s="46"/>
      <c r="BC222" s="46"/>
      <c r="BD222" s="46"/>
      <c r="BE222" s="46"/>
      <c r="BF222" s="46"/>
      <c r="BG222" s="46"/>
      <c r="BH222" s="46"/>
      <c r="BI222" s="46"/>
      <c r="BJ222" s="46"/>
      <c r="BK222" s="46"/>
      <c r="BL222" s="46"/>
      <c r="BM222" s="46"/>
      <c r="BN222" s="46"/>
      <c r="BO222" s="46"/>
      <c r="BP222" s="46"/>
      <c r="BQ222" s="46"/>
      <c r="BR222" s="46"/>
      <c r="BS222" s="46"/>
      <c r="BT222" s="46"/>
      <c r="BU222" s="46"/>
      <c r="BV222" s="46"/>
      <c r="BW222" s="46"/>
      <c r="BX222" s="46"/>
      <c r="BY222" s="46"/>
      <c r="BZ222" s="46"/>
      <c r="CA222" s="46"/>
      <c r="CB222" s="46"/>
      <c r="CC222" s="46"/>
    </row>
    <row r="223">
      <c r="A223" s="87" t="str">
        <f>IFERROR(__xludf.DUMMYFUNCTION("""COMPUTED_VALUE"""),"807")</f>
        <v>807</v>
      </c>
      <c r="B223" s="46" t="str">
        <f>IFERROR(__xludf.DUMMYFUNCTION("""COMPUTED_VALUE"""),"Finca ganadera en Alto Juncal, Palermo - Huila")</f>
        <v>Finca ganadera en Alto Juncal, Palermo - Huila</v>
      </c>
      <c r="C223" s="46" t="str">
        <f>IFERROR(__xludf.DUMMYFUNCTION("""COMPUTED_VALUE"""),"Finca")</f>
        <v>Finca</v>
      </c>
      <c r="D223" s="46"/>
      <c r="E223" s="46"/>
      <c r="F223" s="90">
        <f>IFERROR(__xludf.DUMMYFUNCTION("""COMPUTED_VALUE"""),9.8E8)</f>
        <v>980000000</v>
      </c>
      <c r="G223" s="46" t="str">
        <f>IFERROR(__xludf.DUMMYFUNCTION("""COMPUTED_VALUE"""),"$500'000.000 a $1.000'000.000")</f>
        <v>$500'000.000 a $1.000'000.000</v>
      </c>
      <c r="H223" s="46"/>
      <c r="I223" s="46"/>
      <c r="J223" s="46" t="str">
        <f>IFERROR(__xludf.DUMMYFUNCTION("""COMPUTED_VALUE"""),"Rural")</f>
        <v>Rural</v>
      </c>
      <c r="K223" s="87"/>
      <c r="L223" s="46">
        <f>IFERROR(__xludf.DUMMYFUNCTION("""COMPUTED_VALUE"""),7.0)</f>
        <v>7</v>
      </c>
      <c r="M223" s="46"/>
      <c r="N223" s="46">
        <f>IFERROR(__xludf.DUMMYFUNCTION("""COMPUTED_VALUE"""),7.0)</f>
        <v>7</v>
      </c>
      <c r="O223" s="46">
        <f>IFERROR(__xludf.DUMMYFUNCTION("""COMPUTED_VALUE"""),4.0)</f>
        <v>4</v>
      </c>
      <c r="P223" s="46">
        <f>IFERROR(__xludf.DUMMYFUNCTION("""COMPUTED_VALUE"""),2.0)</f>
        <v>2</v>
      </c>
      <c r="Q223" s="92">
        <f>IFERROR(__xludf.DUMMYFUNCTION("""COMPUTED_VALUE"""),500.0)</f>
        <v>500</v>
      </c>
      <c r="R223" s="92">
        <f>IFERROR(__xludf.DUMMYFUNCTION("""COMPUTED_VALUE"""),100000.0)</f>
        <v>100000</v>
      </c>
      <c r="S223" s="87"/>
      <c r="T223" s="46" t="str">
        <f>IFERROR(__xludf.DUMMYFUNCTION("""COMPUTED_VALUE"""),"Juncal")</f>
        <v>Juncal</v>
      </c>
      <c r="U223" s="87"/>
      <c r="V223" s="46"/>
      <c r="W223" s="46"/>
      <c r="X223" s="46">
        <f>IFERROR(__xludf.DUMMYFUNCTION("""COMPUTED_VALUE"""),6.0)</f>
        <v>6</v>
      </c>
      <c r="Y223" s="46" t="str">
        <f>IFERROR(__xludf.DUMMYFUNCTION("""COMPUTED_VALUE"""),"Privada")</f>
        <v>Privada</v>
      </c>
      <c r="Z223" s="90" t="str">
        <f>IFERROR(__xludf.DUMMYFUNCTION("""COMPUTED_VALUE"""),"No aplica")</f>
        <v>No aplica</v>
      </c>
      <c r="AA223" s="33" t="str">
        <f>IFERROR(__xludf.DUMMYFUNCTION("""COMPUTED_VALUE"""),"No aplica")</f>
        <v>No aplica</v>
      </c>
      <c r="AB223" s="96" t="str">
        <f>IFERROR(__xludf.DUMMYFUNCTION("""COMPUTED_VALUE"""),"https://photos.app.goo.gl/WU262hfaFgyP4zDq6")</f>
        <v>https://photos.app.goo.gl/WU262hfaFgyP4zDq6</v>
      </c>
      <c r="AC223" s="46" t="str">
        <f>IFERROR(__xludf.DUMMYFUNCTION("""COMPUTED_VALUE"""),"Finca de 10 has. Topografía plana. Carga 15 cabezas.  Corrales para ganado en tubo y cemento, comederos y bebederos. Areas auxiliares: Una habitación para maquina pica pasto, capilla, 2 salones para eventos, piscina privada, una tienda con barra, un salón"&amp;" mirador con baño y Bbq y horno de barro. Cuenta con 2 casas (Principal y mayordomo).")</f>
        <v>Finca de 10 has. Topografía plana. Carga 15 cabezas.  Corrales para ganado en tubo y cemento, comederos y bebederos. Areas auxiliares: Una habitación para maquina pica pasto, capilla, 2 salones para eventos, piscina privada, una tienda con barra, un salón mirador con baño y Bbq y horno de barro. Cuenta con 2 casas (Principal y mayordomo).</v>
      </c>
      <c r="AD223" s="46" t="str">
        <f>IFERROR(__xludf.DUMMYFUNCTION("""COMPUTED_VALUE"""),"Agua: Acueducto veredal,  2 Aljibes de 1"" c/u, Quebrada la Sardinata, pasa por la mitad de la finca. Listo el estudio para nuevo punto de 2"" a perforar con bomba tipo lapicero y energía solar. Vía: Cuenta con vía hasta la casa. Distancias: De la finca a"&amp;" Neiva 35 minutos, de la finca a la vía principal 6 kms - 20 minutos. Cultivos: 120 palos de limon, plátano y yuca. Cuenta con marraneras y gallineros.")</f>
        <v>Agua: Acueducto veredal,  2 Aljibes de 1" c/u, Quebrada la Sardinata, pasa por la mitad de la finca. Listo el estudio para nuevo punto de 2" a perforar con bomba tipo lapicero y energía solar. Vía: Cuenta con vía hasta la casa. Distancias: De la finca a Neiva 35 minutos, de la finca a la vía principal 6 kms - 20 minutos. Cultivos: 120 palos de limon, plátano y yuca. Cuenta con marraneras y gallineros.</v>
      </c>
      <c r="AE223" s="46"/>
      <c r="AF223" s="46" t="str">
        <f>IFERROR(__xludf.DUMMYFUNCTION("""COMPUTED_VALUE"""),"integral")</f>
        <v>integral</v>
      </c>
      <c r="AG223" s="46"/>
      <c r="AH223" s="46" t="str">
        <f>IFERROR(__xludf.DUMMYFUNCTION("""COMPUTED_VALUE"""),"Verbal")</f>
        <v>Verbal</v>
      </c>
      <c r="AI223" s="92" t="str">
        <f>IFERROR(__xludf.DUMMYFUNCTION("""COMPUTED_VALUE"""),"https://lh3.googleusercontent.com/pw/AP1GczPvtwiuNDOgiTRIB2nJLru4-A_INBgCVKJbeosGi6NuFcM3hkv5L81zriPr4-hbfzdI0yK8xRF1iYvon3inumZ_qxQZ0gKpKFTkvXEUZHsWte_ABz6l=w1200|https://lh3.googleusercontent.com/pw/AP1GczP2D3cVF21v4ardtxU6U6ifrohzaDvSsvmAmIe-J-dwsa2osv"&amp;"Y7nQf3OUI2CQNhi26GH1ZfbCUXjjq6O4_OqzWS_NmXSqWOrxYG2W4gfXNzJ1FZ9Q3L=w1200|https://lh3.googleusercontent.com/pw/AP1GczMBQTUZ_xT3hFxwMhR7jn7YVmm5nwBq7PrCHuh4FEU2aWy8BKghAp9E9FpOxEW2k4RoxNB-4EGzlVodPZa-wSmH5wPpiOSVwFC1W1Yx538uqq-rCPET=w1200|https://lh3.google"&amp;"usercontent.com/pw/AP1GczNbjk1fQ2st6FVP_erILFQ6QXaUKIWPHSk3Ae4OBVGNM6Co_kywqUWpX--eDjXgV823KAQG9AN4UcCuY2wwrL2g2xS1dn9VpQs-5LZZDzh5cCbeXfXE=w1200|https://lh3.googleusercontent.com/pw/AP1GczMq8qJVIRBWCvWJknyVzFxFDtnXzrvvuhR6gGwTSvucxippupv__iDWsSKJoseNaXkM"&amp;"CtW4ZgEabwOcwyA-spLnQl5CWyc8OE1vF8l6pObZOywYnp65=w1200|https://lh3.googleusercontent.com/pw/AP1GczOnr3EfbYtEVxdWzUDakTSZe9a_H7N8mw8gWSmvzqf5FSpIjbFu4SpKF930MxFWip-ydc2DczNO0MuuOKv__VJ9csKp7mbaSZGWPLEbq5oyGj7v-pNW=w1200|https://lh3.googleusercontent.com/pw"&amp;"/AP1GczOqWbtPfEPvS7Wgrx9N9t4NuEXBYOPcxl6F5G9c-sf6onoKTJI6-Ql-Y5SFeUXSnrVH1y2jzu25gHQbi8wvMYemcJ-rj1RQK66sU9ul5tdc_9F2RBIU=w1200|https://lh3.googleusercontent.com/pw/AP1GczO2jSmNoKLGLeljBZX3Igg7_k2sKLfqKIwRPn_7sIcZs_fQV0iUXY3eMc0wLZ6NM2sVLk5XEDMo2Jou5DlQhT"&amp;"1kDYrLTZ7rfzlEJ-Ob-3tTiccjMy-p=w1200|https://lh3.googleusercontent.com/pw/AP1GczPMvDs0v5YDTiU0poSs2WK564AjPNpu96-QMi0plwDy5sQMrGwMJGtBt1kE6j8h5jWgxkZvpdHaqms4Zd60wRQg3cTuwUX7IvHlgyYh2zPhwIuABTQq=w1200|https://lh3.googleusercontent.com/pw/AP1GczP0M76qNdMEk"&amp;"7hwd9fZpS2YBKLrRGBVmTKSA-OFr8xbILLkji0ozANvv4BeaIKAX3ZchBo7VGe9_YetthfyVYUTPuxegPC6wTY58K9nwGv54EPpWvde=w1200|https://lh3.googleusercontent.com/pw/AP1GczPSmNWUXaLqwWEgsYR9f1tg7nETQudxZxVym3Zfx9WNZkb21IesvzsMwAF_2hCg5I2Upow7rxrcd_xR81f5ftD09NxDmNlTiLez9aiV"&amp;"Oa6qBF5kdalT=w1200|https://lh3.googleusercontent.com/pw/AP1GczPB--1SJUHCSCWToe2m0bLYlJ_-kxgbbxNagpNueLileU8GxrljvJ5CWx3mSfZe20ROZAWENsA-jHe_qWlpPpquOu_cegP4N3NPP-C0TcZQ5B5oBW0u=w1200|https://lh3.googleusercontent.com/pw/AP1GczOmYRQ49vHaGWG_kj9HCvyg9JpmIQF"&amp;"MrnXHyYM3eHEpb3zPCBqhjzXyasN3ORlHOvkgyvXyji1D0FiQ5K2EyfegQtL-LWa6dT8588LB0iKdRzh2t-RU=w1200|https://lh3.googleusercontent.com/pw/AP1GczMU8qnhx_BrVvj4t526epizG_ZhtbDvc5twQcl7XYi35v1ZNeAMq5toA_-UUupO2rFOcTSYDfo1oH9GlQ2XAwWfJy99WJeCYugz0CHsAGfnUsVDSe9E=w1200"&amp;"|https://lh3.googleusercontent.com/pw/AP1GczNzezfGhXmxvqGfuedcb4mhylyvw10_qF8IUG2JGxxfsBeb1FsfRBFJUmZNLRIGV9MAnLwngfC6vVf8tlhvKfNuggD4rlJ3Mnnx9Z3Xxmsc2HytxPNL=w1200|https://lh3.googleusercontent.com/pw/AP1GczO9iHvtaEeROfkxpEVTWrjqIDpQh_CHefxYt3WTLJGq3ZoHG"&amp;"exZ8AtAFmDCSQ42UJfpz3MWCoBUyOAjHnKUH6Cnc0QR7a5j9Wu0F3Y4Y4n8bBooGA2o=w1200|https://lh3.googleusercontent.com/pw/AP1GczO153XiwV1qXWcG-pcn3pAGzhOezciTwJY6pAMLvQKHRy_Y_FxxTRYvY5afC7QxCcMyH9bjhWxjYLUZ7j2tjEO2g7wMtQovhnTQ7pFbqL1l80yvxlU5=w1200|https://lh3.googl"&amp;"eusercontent.com/pw/AP1GczPPtjswgjTMaRzuHeaJiXdznlM08joe9fMLAhGCRumVYTrDnaxkGtBae7968viYHDUBohke5FJhhdFiYo_vnvT6_nhuL-ohydK2s17LselUcgdNfQHv=w1200|https://lh3.googleusercontent.com/pw/AP1GczObfNJ2xVrzlkW18lamp8i0asNAmXnRU3ibVFE9gYYfCB8_Nv9v5OFprhy_khjJSq8"&amp;"ZBsE3uOoJ47jNWK8PICZAc-SRdFhrOKH88HacooLF4f0zrkQ-=w1200|https://lh3.googleusercontent.com/pw/AP1GczPXa8Z490SlEMwYMR1D5Z_ReG5LDfYfl9y7wCIpPnsBcW4kc-FEIZe2VEEFq6P6W59Bz1neDOWpLmwhxv0sKdPHAMs435o9SubJrbY5dq3a40bK38Rt=w1200|https://lh3.googleusercontent.com/p"&amp;"w/AP1GczPe0tMTd98fkA7sIimWCdtOWHFULq8m0UKCumsIzmX3xGkqPsjI53a253Sgl6GR4QcsShalXtP6_EWod6SQKWCtILJUtVeGdjMpAeIOXWPicQz5BPAJ=w1200|https://lh3.googleusercontent.com/pw/AP1GczOdwuhjupwh2yCHMMWXwhEbiuW775eFu8TAn3Cou5bTK54hck_71zkF3K-NUTTzz9FcyX88f-B4IPlyTuhDE"&amp;"px6i1PoqcD2w1cQj7dkP2-7gHwf4jHD=w1200|https://lh3.googleusercontent.com/pw/AP1GczOLOIYRH3ht8Uqiv5PIzmrEm05EVkLJp6UMkAUzS3dJnCHXarV3Yl-k-NJsa-ES0Qvp7DDcbx16AbaUxOjIPQ6_1fL0_KKSqosYYuRYpYOg2VtSbkv8=w1200|https://lh3.googleusercontent.com/pw/AP1GczOjQZT2BUyL"&amp;"Axd-kIyHycLMW7Reao0dLugFYjdNLnqUJn-M2xYCKVwvMo0uP5OKXkVSTZG6zWZgm6o23-v6FbjnCFm8nZmZEvkMTOFP5NeT0RPo-xyk=w1200|https://lh3.googleusercontent.com/pw/AP1GczOmb2n4b1X1LKIBXH8ZI4qzjKteMUaPVarvI4QMutSOAJJGZzTl5yOKWh3ZPjKYb6BQ4C8Sq_3Pqzi9bn9IUPQXbC05de0bGX7k2tz"&amp;"vjhOHkUlOAomF=w1200|https://lh3.googleusercontent.com/pw/AP1GczPpPNFHJ0cNNs04KZJkFIdFgCOb5JdRyUC-jbaqLwWAc9CMf8XbyLFWQE6swdpxJ47WtOB-9D8p-EuZhkIaTMLs6droIatxQH5lnfhp7S8PhiW3B7Q-=w1200|https://lh3.googleusercontent.com/pw/AP1GczNuc1ZfPdhzq_Wfm0hjRxedxM-YkK"&amp;"dOVqRwMRvOc-vlv_42mvkYC2kpMepWFHuseLJzyTC1iU7M7rQy3iOCNj2JlVR7CiRcAQ6eV8u_IHkyubdUbLsg=w1200|https://lh3.googleusercontent.com/pw/AP1GczNxskc1W7ttYKx6VBvDHAGMl-8WnKJj8Tma562Zjmbx7xMUBTJuZmOMdz5kjuBPNcoJ4n7rW3BfVAtBvtPpL92D7EX1-PNIQ39NwQAgUavE4eWAHMLi=w120"&amp;"0|https://lh3.googleusercontent.com/pw/AP1GczPqMWugpfjcI1VXXz_erV6Kt4i_22lTQk1Qa1guBFMaeGhOeOOEigc_x-8VzYQnXYWpSOJGix5lDnQjiFgxlXFXIQSrRkqlrcXOtwlHOqCjCP7KFORP=w1200|https://lh3.googleusercontent.com/pw/AP1GczOhEW-EVqbMnqearxLpL3K42hjKAo1zCvk_3bAlrZ-Q6E9Y"&amp;"voGFNtHy68FGzQkQha8zQB4wjyAboGO0fwmCWHKSkiMbQQ2xDyVR0UbsMrn1zL1BmShX=w1200|https://lh3.googleusercontent.com/pw/AP1GczMGge0lkWEDRWz0CA4---owXwAI693kdA32Y5oIB7a_13FqqjnhgFqGu7RPh5DbeKgNWuVYHO_1VDL9JU5l844NvpsRR7G4URyJu4EDp05UEPW7kVYu=w1200")</f>
        <v>https://lh3.googleusercontent.com/pw/AP1GczPvtwiuNDOgiTRIB2nJLru4-A_INBgCVKJbeosGi6NuFcM3hkv5L81zriPr4-hbfzdI0yK8xRF1iYvon3inumZ_qxQZ0gKpKFTkvXEUZHsWte_ABz6l=w1200|https://lh3.googleusercontent.com/pw/AP1GczP2D3cVF21v4ardtxU6U6ifrohzaDvSsvmAmIe-J-dwsa2osvY7nQf3OUI2CQNhi26GH1ZfbCUXjjq6O4_OqzWS_NmXSqWOrxYG2W4gfXNzJ1FZ9Q3L=w1200|https://lh3.googleusercontent.com/pw/AP1GczMBQTUZ_xT3hFxwMhR7jn7YVmm5nwBq7PrCHuh4FEU2aWy8BKghAp9E9FpOxEW2k4RoxNB-4EGzlVodPZa-wSmH5wPpiOSVwFC1W1Yx538uqq-rCPET=w1200|https://lh3.googleusercontent.com/pw/AP1GczNbjk1fQ2st6FVP_erILFQ6QXaUKIWPHSk3Ae4OBVGNM6Co_kywqUWpX--eDjXgV823KAQG9AN4UcCuY2wwrL2g2xS1dn9VpQs-5LZZDzh5cCbeXfXE=w1200|https://lh3.googleusercontent.com/pw/AP1GczMq8qJVIRBWCvWJknyVzFxFDtnXzrvvuhR6gGwTSvucxippupv__iDWsSKJoseNaXkMCtW4ZgEabwOcwyA-spLnQl5CWyc8OE1vF8l6pObZOywYnp65=w1200|https://lh3.googleusercontent.com/pw/AP1GczOnr3EfbYtEVxdWzUDakTSZe9a_H7N8mw8gWSmvzqf5FSpIjbFu4SpKF930MxFWip-ydc2DczNO0MuuOKv__VJ9csKp7mbaSZGWPLEbq5oyGj7v-pNW=w1200|https://lh3.googleusercontent.com/pw/AP1GczOqWbtPfEPvS7Wgrx9N9t4NuEXBYOPcxl6F5G9c-sf6onoKTJI6-Ql-Y5SFeUXSnrVH1y2jzu25gHQbi8wvMYemcJ-rj1RQK66sU9ul5tdc_9F2RBIU=w1200|https://lh3.googleusercontent.com/pw/AP1GczO2jSmNoKLGLeljBZX3Igg7_k2sKLfqKIwRPn_7sIcZs_fQV0iUXY3eMc0wLZ6NM2sVLk5XEDMo2Jou5DlQhT1kDYrLTZ7rfzlEJ-Ob-3tTiccjMy-p=w1200|https://lh3.googleusercontent.com/pw/AP1GczPMvDs0v5YDTiU0poSs2WK564AjPNpu96-QMi0plwDy5sQMrGwMJGtBt1kE6j8h5jWgxkZvpdHaqms4Zd60wRQg3cTuwUX7IvHlgyYh2zPhwIuABTQq=w1200|https://lh3.googleusercontent.com/pw/AP1GczP0M76qNdMEk7hwd9fZpS2YBKLrRGBVmTKSA-OFr8xbILLkji0ozANvv4BeaIKAX3ZchBo7VGe9_YetthfyVYUTPuxegPC6wTY58K9nwGv54EPpWvde=w1200|https://lh3.googleusercontent.com/pw/AP1GczPSmNWUXaLqwWEgsYR9f1tg7nETQudxZxVym3Zfx9WNZkb21IesvzsMwAF_2hCg5I2Upow7rxrcd_xR81f5ftD09NxDmNlTiLez9aiVOa6qBF5kdalT=w1200|https://lh3.googleusercontent.com/pw/AP1GczPB--1SJUHCSCWToe2m0bLYlJ_-kxgbbxNagpNueLileU8GxrljvJ5CWx3mSfZe20ROZAWENsA-jHe_qWlpPpquOu_cegP4N3NPP-C0TcZQ5B5oBW0u=w1200|https://lh3.googleusercontent.com/pw/AP1GczOmYRQ49vHaGWG_kj9HCvyg9JpmIQFMrnXHyYM3eHEpb3zPCBqhjzXyasN3ORlHOvkgyvXyji1D0FiQ5K2EyfegQtL-LWa6dT8588LB0iKdRzh2t-RU=w1200|https://lh3.googleusercontent.com/pw/AP1GczMU8qnhx_BrVvj4t526epizG_ZhtbDvc5twQcl7XYi35v1ZNeAMq5toA_-UUupO2rFOcTSYDfo1oH9GlQ2XAwWfJy99WJeCYugz0CHsAGfnUsVDSe9E=w1200|https://lh3.googleusercontent.com/pw/AP1GczNzezfGhXmxvqGfuedcb4mhylyvw10_qF8IUG2JGxxfsBeb1FsfRBFJUmZNLRIGV9MAnLwngfC6vVf8tlhvKfNuggD4rlJ3Mnnx9Z3Xxmsc2HytxPNL=w1200|https://lh3.googleusercontent.com/pw/AP1GczO9iHvtaEeROfkxpEVTWrjqIDpQh_CHefxYt3WTLJGq3ZoHGexZ8AtAFmDCSQ42UJfpz3MWCoBUyOAjHnKUH6Cnc0QR7a5j9Wu0F3Y4Y4n8bBooGA2o=w1200|https://lh3.googleusercontent.com/pw/AP1GczO153XiwV1qXWcG-pcn3pAGzhOezciTwJY6pAMLvQKHRy_Y_FxxTRYvY5afC7QxCcMyH9bjhWxjYLUZ7j2tjEO2g7wMtQovhnTQ7pFbqL1l80yvxlU5=w1200|https://lh3.googleusercontent.com/pw/AP1GczPPtjswgjTMaRzuHeaJiXdznlM08joe9fMLAhGCRumVYTrDnaxkGtBae7968viYHDUBohke5FJhhdFiYo_vnvT6_nhuL-ohydK2s17LselUcgdNfQHv=w1200|https://lh3.googleusercontent.com/pw/AP1GczObfNJ2xVrzlkW18lamp8i0asNAmXnRU3ibVFE9gYYfCB8_Nv9v5OFprhy_khjJSq8ZBsE3uOoJ47jNWK8PICZAc-SRdFhrOKH88HacooLF4f0zrkQ-=w1200|https://lh3.googleusercontent.com/pw/AP1GczPXa8Z490SlEMwYMR1D5Z_ReG5LDfYfl9y7wCIpPnsBcW4kc-FEIZe2VEEFq6P6W59Bz1neDOWpLmwhxv0sKdPHAMs435o9SubJrbY5dq3a40bK38Rt=w1200|https://lh3.googleusercontent.com/pw/AP1GczPe0tMTd98fkA7sIimWCdtOWHFULq8m0UKCumsIzmX3xGkqPsjI53a253Sgl6GR4QcsShalXtP6_EWod6SQKWCtILJUtVeGdjMpAeIOXWPicQz5BPAJ=w1200|https://lh3.googleusercontent.com/pw/AP1GczOdwuhjupwh2yCHMMWXwhEbiuW775eFu8TAn3Cou5bTK54hck_71zkF3K-NUTTzz9FcyX88f-B4IPlyTuhDEpx6i1PoqcD2w1cQj7dkP2-7gHwf4jHD=w1200|https://lh3.googleusercontent.com/pw/AP1GczOLOIYRH3ht8Uqiv5PIzmrEm05EVkLJp6UMkAUzS3dJnCHXarV3Yl-k-NJsa-ES0Qvp7DDcbx16AbaUxOjIPQ6_1fL0_KKSqosYYuRYpYOg2VtSbkv8=w1200|https://lh3.googleusercontent.com/pw/AP1GczOjQZT2BUyLAxd-kIyHycLMW7Reao0dLugFYjdNLnqUJn-M2xYCKVwvMo0uP5OKXkVSTZG6zWZgm6o23-v6FbjnCFm8nZmZEvkMTOFP5NeT0RPo-xyk=w1200|https://lh3.googleusercontent.com/pw/AP1GczOmb2n4b1X1LKIBXH8ZI4qzjKteMUaPVarvI4QMutSOAJJGZzTl5yOKWh3ZPjKYb6BQ4C8Sq_3Pqzi9bn9IUPQXbC05de0bGX7k2tzvjhOHkUlOAomF=w1200|https://lh3.googleusercontent.com/pw/AP1GczPpPNFHJ0cNNs04KZJkFIdFgCOb5JdRyUC-jbaqLwWAc9CMf8XbyLFWQE6swdpxJ47WtOB-9D8p-EuZhkIaTMLs6droIatxQH5lnfhp7S8PhiW3B7Q-=w1200|https://lh3.googleusercontent.com/pw/AP1GczNuc1ZfPdhzq_Wfm0hjRxedxM-YkKdOVqRwMRvOc-vlv_42mvkYC2kpMepWFHuseLJzyTC1iU7M7rQy3iOCNj2JlVR7CiRcAQ6eV8u_IHkyubdUbLsg=w1200|https://lh3.googleusercontent.com/pw/AP1GczNxskc1W7ttYKx6VBvDHAGMl-8WnKJj8Tma562Zjmbx7xMUBTJuZmOMdz5kjuBPNcoJ4n7rW3BfVAtBvtPpL92D7EX1-PNIQ39NwQAgUavE4eWAHMLi=w1200|https://lh3.googleusercontent.com/pw/AP1GczPqMWugpfjcI1VXXz_erV6Kt4i_22lTQk1Qa1guBFMaeGhOeOOEigc_x-8VzYQnXYWpSOJGix5lDnQjiFgxlXFXIQSrRkqlrcXOtwlHOqCjCP7KFORP=w1200|https://lh3.googleusercontent.com/pw/AP1GczOhEW-EVqbMnqearxLpL3K42hjKAo1zCvk_3bAlrZ-Q6E9YvoGFNtHy68FGzQkQha8zQB4wjyAboGO0fwmCWHKSkiMbQQ2xDyVR0UbsMrn1zL1BmShX=w1200|https://lh3.googleusercontent.com/pw/AP1GczMGge0lkWEDRWz0CA4---owXwAI693kdA32Y5oIB7a_13FqqjnhgFqGu7RPh5DbeKgNWuVYHO_1VDL9JU5l844NvpsRR7G4URyJu4EDp05UEPW7kVYu=w1200</v>
      </c>
      <c r="AJ223" s="46"/>
      <c r="AK223" s="46"/>
      <c r="AL223" s="46"/>
      <c r="AM223" s="46"/>
      <c r="AN223" s="46"/>
      <c r="AO223" s="46"/>
      <c r="AP223" s="46"/>
      <c r="AQ223" s="46"/>
      <c r="AR223" s="46"/>
      <c r="AS223" s="46"/>
      <c r="AT223" s="46"/>
      <c r="AU223" s="46"/>
      <c r="AV223" s="46"/>
      <c r="AW223" s="46"/>
      <c r="AX223" s="46"/>
      <c r="AY223" s="46"/>
      <c r="AZ223" s="46"/>
      <c r="BA223" s="46"/>
      <c r="BB223" s="46"/>
      <c r="BC223" s="46"/>
      <c r="BD223" s="46"/>
      <c r="BE223" s="46"/>
      <c r="BF223" s="46"/>
      <c r="BG223" s="46"/>
      <c r="BH223" s="46"/>
      <c r="BI223" s="46"/>
      <c r="BJ223" s="46"/>
      <c r="BK223" s="46"/>
      <c r="BL223" s="46"/>
      <c r="BM223" s="46"/>
      <c r="BN223" s="46"/>
      <c r="BO223" s="46"/>
      <c r="BP223" s="46"/>
      <c r="BQ223" s="46"/>
      <c r="BR223" s="46"/>
      <c r="BS223" s="46"/>
      <c r="BT223" s="46"/>
      <c r="BU223" s="46"/>
      <c r="BV223" s="46"/>
      <c r="BW223" s="46"/>
      <c r="BX223" s="46"/>
      <c r="BY223" s="46"/>
      <c r="BZ223" s="46"/>
      <c r="CA223" s="46"/>
      <c r="CB223" s="46"/>
      <c r="CC223" s="46"/>
    </row>
    <row r="224">
      <c r="A224" s="87" t="str">
        <f>IFERROR(__xludf.DUMMYFUNCTION("""COMPUTED_VALUE"""),"646")</f>
        <v>646</v>
      </c>
      <c r="B224" s="46" t="str">
        <f>IFERROR(__xludf.DUMMYFUNCTION("""COMPUTED_VALUE"""),"Edificio rentable con 3 Apartamentos y un local en barrio Balcones del norte")</f>
        <v>Edificio rentable con 3 Apartamentos y un local en barrio Balcones del norte</v>
      </c>
      <c r="C224" s="46" t="str">
        <f>IFERROR(__xludf.DUMMYFUNCTION("""COMPUTED_VALUE"""),"Edificio rentable")</f>
        <v>Edificio rentable</v>
      </c>
      <c r="D224" s="90" t="str">
        <f>IFERROR(__xludf.DUMMYFUNCTION("""COMPUTED_VALUE"""),"Balcones del Norte")</f>
        <v>Balcones del Norte</v>
      </c>
      <c r="E224" s="46"/>
      <c r="F224" s="90">
        <f>IFERROR(__xludf.DUMMYFUNCTION("""COMPUTED_VALUE"""),8.0E8)</f>
        <v>800000000</v>
      </c>
      <c r="G224" s="46" t="str">
        <f>IFERROR(__xludf.DUMMYFUNCTION("""COMPUTED_VALUE"""),"$500'000.000 a $1.000'000.000")</f>
        <v>$500'000.000 a $1.000'000.000</v>
      </c>
      <c r="H224" s="46"/>
      <c r="I224" s="46"/>
      <c r="J224" s="46" t="str">
        <f>IFERROR(__xludf.DUMMYFUNCTION("""COMPUTED_VALUE"""),"Norte")</f>
        <v>Norte</v>
      </c>
      <c r="K224" s="87" t="str">
        <f>IFERROR(__xludf.DUMMYFUNCTION("""COMPUTED_VALUE"""),"0")</f>
        <v>0</v>
      </c>
      <c r="L224" s="46">
        <f>IFERROR(__xludf.DUMMYFUNCTION("""COMPUTED_VALUE"""),6.0)</f>
        <v>6</v>
      </c>
      <c r="M224" s="46"/>
      <c r="N224" s="46">
        <f>IFERROR(__xludf.DUMMYFUNCTION("""COMPUTED_VALUE"""),5.0)</f>
        <v>5</v>
      </c>
      <c r="O224" s="46">
        <f>IFERROR(__xludf.DUMMYFUNCTION("""COMPUTED_VALUE"""),1.0)</f>
        <v>1</v>
      </c>
      <c r="P224" s="46">
        <f>IFERROR(__xludf.DUMMYFUNCTION("""COMPUTED_VALUE"""),3.0)</f>
        <v>3</v>
      </c>
      <c r="Q224" s="92">
        <f>IFERROR(__xludf.DUMMYFUNCTION("""COMPUTED_VALUE"""),340.0)</f>
        <v>340</v>
      </c>
      <c r="R224" s="92">
        <f>IFERROR(__xludf.DUMMYFUNCTION("""COMPUTED_VALUE"""),120.0)</f>
        <v>120</v>
      </c>
      <c r="S224" s="87" t="str">
        <f>IFERROR(__xludf.DUMMYFUNCTION("""COMPUTED_VALUE"""),"Rentabilidad $3,000,000")</f>
        <v>Rentabilidad $3,000,000</v>
      </c>
      <c r="T224" s="46" t="str">
        <f>IFERROR(__xludf.DUMMYFUNCTION("""COMPUTED_VALUE"""),"Neiva")</f>
        <v>Neiva</v>
      </c>
      <c r="U224" s="87" t="str">
        <f>IFERROR(__xludf.DUMMYFUNCTION("""COMPUTED_VALUE"""),"2")</f>
        <v>2</v>
      </c>
      <c r="V224" s="46" t="str">
        <f>IFERROR(__xludf.DUMMYFUNCTION("""COMPUTED_VALUE"""),"Esquinera")</f>
        <v>Esquinera</v>
      </c>
      <c r="W224" s="46"/>
      <c r="X224" s="46">
        <f>IFERROR(__xludf.DUMMYFUNCTION("""COMPUTED_VALUE"""),6.0)</f>
        <v>6</v>
      </c>
      <c r="Y224" s="46" t="str">
        <f>IFERROR(__xludf.DUMMYFUNCTION("""COMPUTED_VALUE"""),"No tiene")</f>
        <v>No tiene</v>
      </c>
      <c r="Z224" s="90" t="str">
        <f>IFERROR(__xludf.DUMMYFUNCTION("""COMPUTED_VALUE"""),"No aplica")</f>
        <v>No aplica</v>
      </c>
      <c r="AA224" s="33" t="str">
        <f>IFERROR(__xludf.DUMMYFUNCTION("""COMPUTED_VALUE"""),"22 años")</f>
        <v>22 años</v>
      </c>
      <c r="AB224" s="144" t="str">
        <f>IFERROR(__xludf.DUMMYFUNCTION("""COMPUTED_VALUE"""),"https://photos.app.goo.gl/rgKAFZen8htxrBvW7")</f>
        <v>https://photos.app.goo.gl/rgKAFZen8htxrBvW7</v>
      </c>
      <c r="AC224" s="46" t="str">
        <f>IFERROR(__xludf.DUMMYFUNCTION("""COMPUTED_VALUE"""),"Cuenta con buenos acabados, Pisos en cerámica, cielo raso en PVC, lámparas Led de empotrar, Perfileria en aluminio, Divisiones en vidrio templado. ")</f>
        <v>Cuenta con buenos acabados, Pisos en cerámica, cielo raso en PVC, lámparas Led de empotrar, Perfileria en aluminio, Divisiones en vidrio templado. </v>
      </c>
      <c r="AD224" s="46" t="str">
        <f>IFERROR(__xludf.DUMMYFUNCTION("""COMPUTED_VALUE"""),"Edificio proyectado para 4 pisos, amoblado para colinving.   Antejardín del frente. 3.50 ml. Andén lateral 2.0 ml. Construido 1er y 2do piso. 3er piso muros de carga sin terminar.")</f>
        <v>Edificio proyectado para 4 pisos, amoblado para colinving.   Antejardín del frente. 3.50 ml. Andén lateral 2.0 ml. Construido 1er y 2do piso. 3er piso muros de carga sin terminar.</v>
      </c>
      <c r="AE224" s="46"/>
      <c r="AF224" s="46" t="str">
        <f>IFERROR(__xludf.DUMMYFUNCTION("""COMPUTED_VALUE"""),"semi-integral")</f>
        <v>semi-integral</v>
      </c>
      <c r="AG224" s="46"/>
      <c r="AH224" s="46" t="str">
        <f>IFERROR(__xludf.DUMMYFUNCTION("""COMPUTED_VALUE"""),"Verbal")</f>
        <v>Verbal</v>
      </c>
      <c r="AI224" s="92" t="str">
        <f>IFERROR(__xludf.DUMMYFUNCTION("""COMPUTED_VALUE"""),"https://lh3.googleusercontent.com/pw/AP1GczOLSHwVu3Ok6rZML3XAbSMskcn0CiNhxEEhk9xhtxdoTkj-FJYiHPfnUxTSdxPGrah9WdYB2ULUEiD3oIOF9Scv3vUZ5yCnGGse5I0yxHZwXRbztL9q=w1200|https://lh3.googleusercontent.com/pw/AP1GczMo3WGa4ZJ_SwbsSUFkSHsthFHyXpb2SMflpUd930pz0MR3_o"&amp;"2VxO0wPKY9uyiGT5YXvf0UsAdjjaD23kgMgzyjyqX926ugTAfMV2ahUxXMKLbWDM1o=w1200|https://lh3.googleusercontent.com/pw/AP1GczPdLf4rLVRqdc2s4-uDooHBLgXGfRBhCSItluqjtY7H4mOIEoM5nnDvaPgsNXhAFPsen5jpHNK7BVO565dzugs4WuhjcqkWa6ehxpasRhaVOz1XPLAg=w1200|https://lh3.google"&amp;"usercontent.com/pw/AP1GczMUDc8446bTRe5bAnP6-IAVdiR1g0MDInOydBx7xfhjRdRfOChJfU3IxvdMQRkfDj7rw5-i5bXWTsHsuEgVTFwWKakC2KDzayc-FiJb5Dya0YQWY6_Y=w1200|https://lh3.googleusercontent.com/pw/AP1GczPuupsnh7F5FKoazKskdWp5vL7kgBDVu6R9hZ-QCq04mNjN39c7roX_A5RrTkSksy7U"&amp;"fk9NUDZISw-ThnTpZ4fanlH2cZ1sh8vPk96OUtpPV0xrnZsq=w1200|https://lh3.googleusercontent.com/pw/AP1GczPqfqke2HxfuzF9qL9bETPUwfu4Gmcy5AhKA8368SXAXTt3-443CYE9xaaWMLURv4sbW3bHFhBa-Vj57Y5mw2At3BioSagTXNs0KQIsSsE7TXSdt-YX=w1200|https://lh3.googleusercontent.com/pw"&amp;"/AP1GczMllWzBIR96oq4-WI8qyH7rByu9y8YIubd03WWk1mvhR1NC5tRN2r8tDWSFCu82G8Sd2-Vg4iXdZTfljiBqbJGHVg91GNHmRqKL6g3BVFQN97C8_UYC=w1200|https://lh3.googleusercontent.com/pw/AP1GczPJxDAVR9W4Nk90oMAqIb71y7uxKrJd4K2fpYg4WtHDYAhTxsMT3XwZ7D-s-hicr7LI4PR9XjNN7YsmhwAb0P"&amp;"v8BxVu5wV0wVn72J55Ock21W_pgD7T=w1200|https://lh3.googleusercontent.com/pw/AP1GczOt0MmCRUBUivxfF4zC7MjRQTcsWI4ZUmUemlxfEKVPsF4JjEvWlXyGbTHCzuYi-y1yJE0Msctjee84U_vTYBwdRTDv6T-yad1xuZlvZLXrWfkS0HVx=w1200|https://lh3.googleusercontent.com/pw/AP1GczP6WeDljvet4"&amp;"HP8pRI1xbrdvskFbRMLLTufuIZPPlSSMf5s3sPDTt7w-bKQpWGYmco4zeZ3UnWL1x9Cp-xxTyI-yZRmJIK6G1QsHEp3iz1XoNcjWgsN=w1200|https://lh3.googleusercontent.com/pw/AP1GczO5HrR9aTrjN9HmbutHfxmSrhAd8Hqb6l8rge--L6JgAPAjGcBBIvtaWeuqCiZzRxHtfCwJoiMWy6Pmkti-he3j9WMxTxs6QvouboFp"&amp;"5qDO8JzD01ft=w1200|https://lh3.googleusercontent.com/pw/AP1GczOtrZnRKP3ibzgU46S-Y9iD2rI-FVewpWrRuIdxRXk9YCAYuKkcQLtEOJ0ZS_S6tQf3N4HKwUqPOY86M2tj-plYgMxc79LlYJBTXhoh-H9JnztaJ4Nv=w1200|https://lh3.googleusercontent.com/pw/AP1GczNMLR317veCD2FMG9qwXPnagziT58j"&amp;"Y81avw71ujYc4-BkeSxfiEwxDP3z_mvz8pHfpzhJv-4ei3S1DsOP2SuL2qOnBLDcp2zjMddK9Z7tMev3iSevm=w1200|https://lh3.googleusercontent.com/pw/AP1GczMysiNoJmc20ULzs-NL46A-0gXcdbVfYAGO2qEI1I6ggoYFnbi8o4e-CsMYN0xleEmBJVuX1_4-26tSaWpbx2vOPndJ9iiyEj7_YgdJoPIUeZYg4Rvp=w1200"&amp;"|https://lh3.googleusercontent.com/pw/AP1GczPf_mtAFzba9WoPVdmFJ981cXkF-1IY1TP4zkmrCg-O7WO4tgaoLXtYqPkaW2no7H4OHb2FWFh0aYOcFsNbCk5RLAGZFZKUYraLmqavTWZIqkC4Ed1v=w1200|https://lh3.googleusercontent.com/pw/AP1GczNhk9Cj5d5VZNFd0uj5GN-tnenn62teohMhguAwgMvtu8-KK"&amp;"6M1RY_BvtVN8M1gL6nTzBO-IHxQPe3KxH9Fz_OJONDQAb-1-EsqXD-LXsckCK8Z1kxS=w1200|https://lh3.googleusercontent.com/pw/AP1GczP4CmZurHS2NafSMUlqfBsiNPVZkZdB8pzs5C4jcFSTxInS7xZkhVXLl4_cp9AGU9jxgYYJ_aXQ_JsUIlwSW3CRixf9m0q3yP07dH5VEwFdiv7Oy6tV=w1200")</f>
        <v>https://lh3.googleusercontent.com/pw/AP1GczOLSHwVu3Ok6rZML3XAbSMskcn0CiNhxEEhk9xhtxdoTkj-FJYiHPfnUxTSdxPGrah9WdYB2ULUEiD3oIOF9Scv3vUZ5yCnGGse5I0yxHZwXRbztL9q=w1200|https://lh3.googleusercontent.com/pw/AP1GczMo3WGa4ZJ_SwbsSUFkSHsthFHyXpb2SMflpUd930pz0MR3_o2VxO0wPKY9uyiGT5YXvf0UsAdjjaD23kgMgzyjyqX926ugTAfMV2ahUxXMKLbWDM1o=w1200|https://lh3.googleusercontent.com/pw/AP1GczPdLf4rLVRqdc2s4-uDooHBLgXGfRBhCSItluqjtY7H4mOIEoM5nnDvaPgsNXhAFPsen5jpHNK7BVO565dzugs4WuhjcqkWa6ehxpasRhaVOz1XPLAg=w1200|https://lh3.googleusercontent.com/pw/AP1GczMUDc8446bTRe5bAnP6-IAVdiR1g0MDInOydBx7xfhjRdRfOChJfU3IxvdMQRkfDj7rw5-i5bXWTsHsuEgVTFwWKakC2KDzayc-FiJb5Dya0YQWY6_Y=w1200|https://lh3.googleusercontent.com/pw/AP1GczPuupsnh7F5FKoazKskdWp5vL7kgBDVu6R9hZ-QCq04mNjN39c7roX_A5RrTkSksy7Ufk9NUDZISw-ThnTpZ4fanlH2cZ1sh8vPk96OUtpPV0xrnZsq=w1200|https://lh3.googleusercontent.com/pw/AP1GczPqfqke2HxfuzF9qL9bETPUwfu4Gmcy5AhKA8368SXAXTt3-443CYE9xaaWMLURv4sbW3bHFhBa-Vj57Y5mw2At3BioSagTXNs0KQIsSsE7TXSdt-YX=w1200|https://lh3.googleusercontent.com/pw/AP1GczMllWzBIR96oq4-WI8qyH7rByu9y8YIubd03WWk1mvhR1NC5tRN2r8tDWSFCu82G8Sd2-Vg4iXdZTfljiBqbJGHVg91GNHmRqKL6g3BVFQN97C8_UYC=w1200|https://lh3.googleusercontent.com/pw/AP1GczPJxDAVR9W4Nk90oMAqIb71y7uxKrJd4K2fpYg4WtHDYAhTxsMT3XwZ7D-s-hicr7LI4PR9XjNN7YsmhwAb0Pv8BxVu5wV0wVn72J55Ock21W_pgD7T=w1200|https://lh3.googleusercontent.com/pw/AP1GczOt0MmCRUBUivxfF4zC7MjRQTcsWI4ZUmUemlxfEKVPsF4JjEvWlXyGbTHCzuYi-y1yJE0Msctjee84U_vTYBwdRTDv6T-yad1xuZlvZLXrWfkS0HVx=w1200|https://lh3.googleusercontent.com/pw/AP1GczP6WeDljvet4HP8pRI1xbrdvskFbRMLLTufuIZPPlSSMf5s3sPDTt7w-bKQpWGYmco4zeZ3UnWL1x9Cp-xxTyI-yZRmJIK6G1QsHEp3iz1XoNcjWgsN=w1200|https://lh3.googleusercontent.com/pw/AP1GczO5HrR9aTrjN9HmbutHfxmSrhAd8Hqb6l8rge--L6JgAPAjGcBBIvtaWeuqCiZzRxHtfCwJoiMWy6Pmkti-he3j9WMxTxs6QvouboFp5qDO8JzD01ft=w1200|https://lh3.googleusercontent.com/pw/AP1GczOtrZnRKP3ibzgU46S-Y9iD2rI-FVewpWrRuIdxRXk9YCAYuKkcQLtEOJ0ZS_S6tQf3N4HKwUqPOY86M2tj-plYgMxc79LlYJBTXhoh-H9JnztaJ4Nv=w1200|https://lh3.googleusercontent.com/pw/AP1GczNMLR317veCD2FMG9qwXPnagziT58jY81avw71ujYc4-BkeSxfiEwxDP3z_mvz8pHfpzhJv-4ei3S1DsOP2SuL2qOnBLDcp2zjMddK9Z7tMev3iSevm=w1200|https://lh3.googleusercontent.com/pw/AP1GczMysiNoJmc20ULzs-NL46A-0gXcdbVfYAGO2qEI1I6ggoYFnbi8o4e-CsMYN0xleEmBJVuX1_4-26tSaWpbx2vOPndJ9iiyEj7_YgdJoPIUeZYg4Rvp=w1200|https://lh3.googleusercontent.com/pw/AP1GczPf_mtAFzba9WoPVdmFJ981cXkF-1IY1TP4zkmrCg-O7WO4tgaoLXtYqPkaW2no7H4OHb2FWFh0aYOcFsNbCk5RLAGZFZKUYraLmqavTWZIqkC4Ed1v=w1200|https://lh3.googleusercontent.com/pw/AP1GczNhk9Cj5d5VZNFd0uj5GN-tnenn62teohMhguAwgMvtu8-KK6M1RY_BvtVN8M1gL6nTzBO-IHxQPe3KxH9Fz_OJONDQAb-1-EsqXD-LXsckCK8Z1kxS=w1200|https://lh3.googleusercontent.com/pw/AP1GczP4CmZurHS2NafSMUlqfBsiNPVZkZdB8pzs5C4jcFSTxInS7xZkhVXLl4_cp9AGU9jxgYYJ_aXQ_JsUIlwSW3CRixf9m0q3yP07dH5VEwFdiv7Oy6tV=w1200</v>
      </c>
      <c r="AJ224" s="46"/>
      <c r="AK224" s="46"/>
      <c r="AL224" s="46"/>
      <c r="AM224" s="46"/>
      <c r="AN224" s="46"/>
      <c r="AO224" s="46"/>
      <c r="AP224" s="46"/>
      <c r="AQ224" s="46"/>
      <c r="AR224" s="46"/>
      <c r="AS224" s="46"/>
      <c r="AT224" s="46"/>
      <c r="AU224" s="46"/>
      <c r="AV224" s="46"/>
      <c r="AW224" s="46"/>
      <c r="AX224" s="46"/>
      <c r="AY224" s="46"/>
      <c r="AZ224" s="46"/>
      <c r="BA224" s="46"/>
      <c r="BB224" s="46"/>
      <c r="BC224" s="46"/>
      <c r="BD224" s="46"/>
      <c r="BE224" s="46"/>
      <c r="BF224" s="46"/>
      <c r="BG224" s="46"/>
      <c r="BH224" s="46"/>
      <c r="BI224" s="46"/>
      <c r="BJ224" s="46"/>
      <c r="BK224" s="46"/>
      <c r="BL224" s="46"/>
      <c r="BM224" s="46"/>
      <c r="BN224" s="46"/>
      <c r="BO224" s="46"/>
      <c r="BP224" s="46"/>
      <c r="BQ224" s="46"/>
      <c r="BR224" s="46"/>
      <c r="BS224" s="46"/>
      <c r="BT224" s="46"/>
      <c r="BU224" s="46"/>
      <c r="BV224" s="46"/>
      <c r="BW224" s="46"/>
      <c r="BX224" s="46"/>
      <c r="BY224" s="46"/>
      <c r="BZ224" s="46"/>
      <c r="CA224" s="46"/>
      <c r="CB224" s="46"/>
      <c r="CC224" s="46"/>
    </row>
    <row r="225">
      <c r="A225" s="87" t="str">
        <f>IFERROR(__xludf.DUMMYFUNCTION("""COMPUTED_VALUE"""),"620")</f>
        <v>620</v>
      </c>
      <c r="B225" s="46" t="str">
        <f>IFERROR(__xludf.DUMMYFUNCTION("""COMPUTED_VALUE"""),"Casa campestre en Rivera")</f>
        <v>Casa campestre en Rivera</v>
      </c>
      <c r="C225" s="46" t="str">
        <f>IFERROR(__xludf.DUMMYFUNCTION("""COMPUTED_VALUE"""),"Casa campestre")</f>
        <v>Casa campestre</v>
      </c>
      <c r="D225" s="90"/>
      <c r="E225" s="46"/>
      <c r="F225" s="90">
        <f>IFERROR(__xludf.DUMMYFUNCTION("""COMPUTED_VALUE"""),7.5E8)</f>
        <v>750000000</v>
      </c>
      <c r="G225" s="46" t="str">
        <f>IFERROR(__xludf.DUMMYFUNCTION("""COMPUTED_VALUE"""),"$500'000.000 a $1.000'000.000")</f>
        <v>$500'000.000 a $1.000'000.000</v>
      </c>
      <c r="H225" s="46"/>
      <c r="I225" s="46"/>
      <c r="J225" s="46" t="str">
        <f>IFERROR(__xludf.DUMMYFUNCTION("""COMPUTED_VALUE"""),"Sur")</f>
        <v>Sur</v>
      </c>
      <c r="K225" s="87"/>
      <c r="L225" s="46">
        <f>IFERROR(__xludf.DUMMYFUNCTION("""COMPUTED_VALUE"""),4.0)</f>
        <v>4</v>
      </c>
      <c r="M225" s="46"/>
      <c r="N225" s="46">
        <f>IFERROR(__xludf.DUMMYFUNCTION("""COMPUTED_VALUE"""),5.0)</f>
        <v>5</v>
      </c>
      <c r="O225" s="46">
        <f>IFERROR(__xludf.DUMMYFUNCTION("""COMPUTED_VALUE"""),2.0)</f>
        <v>2</v>
      </c>
      <c r="P225" s="46">
        <f>IFERROR(__xludf.DUMMYFUNCTION("""COMPUTED_VALUE"""),1.0)</f>
        <v>1</v>
      </c>
      <c r="Q225" s="92">
        <f>IFERROR(__xludf.DUMMYFUNCTION("""COMPUTED_VALUE"""),250.0)</f>
        <v>250</v>
      </c>
      <c r="R225" s="92">
        <f>IFERROR(__xludf.DUMMYFUNCTION("""COMPUTED_VALUE"""),1100.0)</f>
        <v>1100</v>
      </c>
      <c r="S225" s="87" t="str">
        <f>IFERROR(__xludf.DUMMYFUNCTION("""COMPUTED_VALUE""")," ")</f>
        <v> </v>
      </c>
      <c r="T225" s="46" t="str">
        <f>IFERROR(__xludf.DUMMYFUNCTION("""COMPUTED_VALUE"""),"Rivera")</f>
        <v>Rivera</v>
      </c>
      <c r="U225" s="87" t="str">
        <f>IFERROR(__xludf.DUMMYFUNCTION("""COMPUTED_VALUE"""),"3")</f>
        <v>3</v>
      </c>
      <c r="V225" s="46">
        <f>IFERROR(__xludf.DUMMYFUNCTION("""COMPUTED_VALUE"""),0.0)</f>
        <v>0</v>
      </c>
      <c r="W225" s="46"/>
      <c r="X225" s="46">
        <f>IFERROR(__xludf.DUMMYFUNCTION("""COMPUTED_VALUE"""),4.0)</f>
        <v>4</v>
      </c>
      <c r="Y225" s="46" t="str">
        <f>IFERROR(__xludf.DUMMYFUNCTION("""COMPUTED_VALUE"""),"Jacuzzi")</f>
        <v>Jacuzzi</v>
      </c>
      <c r="Z225" s="90" t="str">
        <f>IFERROR(__xludf.DUMMYFUNCTION("""COMPUTED_VALUE"""),"No aplica")</f>
        <v>No aplica</v>
      </c>
      <c r="AA225" s="33" t="str">
        <f>IFERROR(__xludf.DUMMYFUNCTION("""COMPUTED_VALUE"""),"No aplica")</f>
        <v>No aplica</v>
      </c>
      <c r="AB225" s="144" t="str">
        <f>IFERROR(__xludf.DUMMYFUNCTION("""COMPUTED_VALUE"""),"https://photos.app.goo.gl/5777s2morKceCkBWA")</f>
        <v>https://photos.app.goo.gl/5777s2morKceCkBWA</v>
      </c>
      <c r="AC225" s="46" t="str">
        <f>IFERROR(__xludf.DUMMYFUNCTION("""COMPUTED_VALUE"""),"Cuenta con buenos acabados, piso en cerámica, cielo raso en driwall, carpintería en madera, divisiones en vidrio templado. Bbq y área social.")</f>
        <v>Cuenta con buenos acabados, piso en cerámica, cielo raso en driwall, carpintería en madera, divisiones en vidrio templado. Bbq y área social.</v>
      </c>
      <c r="AD225" s="46" t="str">
        <f>IFERROR(__xludf.DUMMYFUNCTION("""COMPUTED_VALUE"""),"Ubicada en Los Ocobos, antes de llegaar a Rivera y a 300 ml de la vía principal. Con todos los servicios. Nueva.")</f>
        <v>Ubicada en Los Ocobos, antes de llegaar a Rivera y a 300 ml de la vía principal. Con todos los servicios. Nueva.</v>
      </c>
      <c r="AE225" s="46"/>
      <c r="AF225" s="46" t="str">
        <f>IFERROR(__xludf.DUMMYFUNCTION("""COMPUTED_VALUE"""),"integral")</f>
        <v>integral</v>
      </c>
      <c r="AG225" s="46"/>
      <c r="AH225" s="46" t="str">
        <f>IFERROR(__xludf.DUMMYFUNCTION("""COMPUTED_VALUE"""),"Verbal")</f>
        <v>Verbal</v>
      </c>
      <c r="AI225" s="92" t="str">
        <f>IFERROR(__xludf.DUMMYFUNCTION("""COMPUTED_VALUE"""),"https://lh3.googleusercontent.com/pw/AP1GczPZKHvV-f22n9k9A_AXwwXUXWc4XRiJhH9_GeJ9kxy63wch9mv6oEverUNd4IcHa_t0oYRYqqgFKDu7zj6cp4-uGkneDEY_vWkpbuK6sKVOJTssOas1=w1200|https://lh3.googleusercontent.com/pw/AP1GczMhdvGRxYrLFo-jI5RdmcVR-U1ePprhFh4bcUdVWvVxXYdE9L"&amp;"BZ_eV1OwA7YK8d0b_HMLEfGaZ2lPdhHE63e_7w5vgASKSXzSJIYlTY6kGjPKBZiCsp=w1200|https://lh3.googleusercontent.com/pw/AP1GczO99HfOwPmq_s2DoMVAUbdOCniLGM9_WlUhBuY01o2yMNSubRb9vxOFidPacidCnByadn1U9EXgLPFgnCmRlT8pMNlsP6YZXDPD8v-YbhUSTrbGwq1-=w1200|https://lh3.google"&amp;"usercontent.com/pw/AP1GczM5m5bX8J2pVzWwR3xgRsjugFxBNZ5-UXaw2t1qg-9WKcRFWutE71xZbwECDQkDVlB1n8zOWaZYGOykdhv3-OEl31J-QPPgCKRptfI4GOUDGk24tv5p=w1200|https://lh3.googleusercontent.com/pw/AP1GczPukSnWNZB16sorTJNFAxl1gfsUITi0mpNV7AJDbWpCM2BwgGFXi2M0k7u3ZcKxbNOz"&amp;"Exn3DudjUeAxJiifzXh1JoihyBUzCXENrjUBuJboBB2H9y3H=w1200|https://lh3.googleusercontent.com/pw/AP1GczNrHoCb5IZbwJXCPRdXnaU7FsdAdfP0GH_APnnp1PaANY_sXZ4tDtfZTjEhR6_TDC2b0259kuZv0a_NFnjQ9XgqIq31jk0C8-aoiIxPKmzazyifBsTC=w1200|https://lh3.googleusercontent.com/pw"&amp;"/AP1GczPDOIkra1X5AeWB0SbYXgMIMWw--nLPurArbK8Pj0Ah7PH_WJ0d7p0TqgBUbLAPlikB63O0wc2odKkpLahrjIqnMotGXO6CyDUIDvfqrV2hHL7-CBUQ=w1200|https://lh3.googleusercontent.com/pw/AP1GczPA_3KFWhDinGmEMBEh70skjV_VG12xB55CWry1A3x8mS-4uhQdlr8_BcSoFQUdhNUdT2xGJVBx4ro3PNwstm"&amp;"Mx9nyuJbVmthV9vlxT27Snio8e37I5=w1200|https://lh3.googleusercontent.com/pw/AP1GczPxuWO9ISMLW4KS48TU-vDFgNeyRJZ_oy8oc03scDVUF8UE2Q3xf_8-eO8M_HYftyiKENbefvSOsSb3Oo3toOLk2Dta9_ArXLU3_NVmvBGdU2MXoUav=w1200|https://lh3.googleusercontent.com/pw/AP1GczOaOo8JWE0Wy"&amp;"xJga0khs5xMCDKycbXlEtSY5X8OwTkDoGOLQHKxM_Y0GeBfYMDnU0T98oCiJCfLasZBreyEm18BuhfrNKoiOTsstcRfaDMp51oOJDym=w1200|https://lh3.googleusercontent.com/pw/AP1GczPdlbd4QFV_FIMqjTxFWoy87Z2mg0ttmcMF6pQpe0icipdz6xu4bF8LUq0BZNMIVLmLpK33A7PoXeGdNG8KVL7OxFHm-jECbbsjXoHH"&amp;"fr7Ro-jQAl9P=w1200|https://lh3.googleusercontent.com/pw/AP1GczMLk9UxXsYg7278sVYkqcbAWGNG6DHq_YNox-w3mwJgAI-Gt6bUbV5FWztReOYU7qx2Hmm2aEfaPwxAOFWPDSZbd0Gq8jVGdq8VDBMvFinf21TNtlZ3=w1200|https://lh3.googleusercontent.com/pw/AP1GczOoUjtfgksK1kGkBVVXHEcQtRoigsr"&amp;"dHFoc0DeuIwNBH0PT-G1Qk1LXflpchnC6pGI_6_T61xcBg22DgpCa-hw_tfGLxjcym9uENAMV_HSwq3Hjcvun=w1200|https://lh3.googleusercontent.com/pw/AP1GczNknZqhilI27ZveLkAU4brMzklBzzW9e0d4jtvZ89c7DgVk2C1qwcDwSXQEujJU8lKZM5WMgbm6rYa-w5uiL5UlOI_YKdnwDu7k8J7iLYW4xWQRR3bG=w1200"&amp;"|https://lh3.googleusercontent.com/pw/AP1GczOrFAuXuiNPODPPSt8X-fXZ4Ds_Z_pjhf6K3LfAWvfn6rHoT5i6tkRaH8sCaWcajGZF1SosUTB4gHMxutFo6BpZoDhj9l2EBGy8ts3sGj-j-NtukZuw=w1200|https://lh3.googleusercontent.com/pw/AP1GczP__HjQmkXYYmD7dyad3H1KXi5a0k49WVlY1xnLsxo4d1h74"&amp;"f5RUk9vz_7Prhn6UItGOCF1hdBXn5jlA0AoTz_iNTcCajacV6PLlehEAKYc8bQl7G4V=w1200|https://lh3.googleusercontent.com/pw/AP1GczPXNkiQoX0J5cQkQBN_4k1PS1vr2Lj_3NUSOe79Gpt_XPLy_T-Iqz8Wr6d1YJJiSNZWE2kcGsM2T9nGNXngBAhZyGINLgnYKc3uYhC9wDv5qEisvbwF=w1200|https://lh3.googl"&amp;"eusercontent.com/pw/AP1GczP4x7C48dkzi8EvYzV71y6NVaZiA5YDc0pX4tbvSjhjM763r3lrM5nAXrPOfp8rFiunlPRK_1EfvrEun2K0EFgEkVbJ2sH4dAtGQkhp4bmSilc6gtRb=w1200|https://lh3.googleusercontent.com/pw/AP1GczNx2iWtaAIc9Of7OU6Km3peWnSp7yI16SBejJMB35LEemXaxyUcGN8u_BORE1VeqNw"&amp;"s_5k_y5e7EczyLP-AG_hn_Y3i1cIFXSjN2udLsKtAZtxTIxCZ=w1200|https://lh3.googleusercontent.com/pw/AP1GczM8sBuAQBtNrzQe9EWJNceYzitM31e55mVD9Xg7uvvHgBVKJHmA8v4y0pJsWSG0AjD6SjpdKe0o7mkWZSLD3H3iF5N7-ESNMXm6FbmC1GuTThHhAjKW=w1200")</f>
        <v>https://lh3.googleusercontent.com/pw/AP1GczPZKHvV-f22n9k9A_AXwwXUXWc4XRiJhH9_GeJ9kxy63wch9mv6oEverUNd4IcHa_t0oYRYqqgFKDu7zj6cp4-uGkneDEY_vWkpbuK6sKVOJTssOas1=w1200|https://lh3.googleusercontent.com/pw/AP1GczMhdvGRxYrLFo-jI5RdmcVR-U1ePprhFh4bcUdVWvVxXYdE9LBZ_eV1OwA7YK8d0b_HMLEfGaZ2lPdhHE63e_7w5vgASKSXzSJIYlTY6kGjPKBZiCsp=w1200|https://lh3.googleusercontent.com/pw/AP1GczO99HfOwPmq_s2DoMVAUbdOCniLGM9_WlUhBuY01o2yMNSubRb9vxOFidPacidCnByadn1U9EXgLPFgnCmRlT8pMNlsP6YZXDPD8v-YbhUSTrbGwq1-=w1200|https://lh3.googleusercontent.com/pw/AP1GczM5m5bX8J2pVzWwR3xgRsjugFxBNZ5-UXaw2t1qg-9WKcRFWutE71xZbwECDQkDVlB1n8zOWaZYGOykdhv3-OEl31J-QPPgCKRptfI4GOUDGk24tv5p=w1200|https://lh3.googleusercontent.com/pw/AP1GczPukSnWNZB16sorTJNFAxl1gfsUITi0mpNV7AJDbWpCM2BwgGFXi2M0k7u3ZcKxbNOzExn3DudjUeAxJiifzXh1JoihyBUzCXENrjUBuJboBB2H9y3H=w1200|https://lh3.googleusercontent.com/pw/AP1GczNrHoCb5IZbwJXCPRdXnaU7FsdAdfP0GH_APnnp1PaANY_sXZ4tDtfZTjEhR6_TDC2b0259kuZv0a_NFnjQ9XgqIq31jk0C8-aoiIxPKmzazyifBsTC=w1200|https://lh3.googleusercontent.com/pw/AP1GczPDOIkra1X5AeWB0SbYXgMIMWw--nLPurArbK8Pj0Ah7PH_WJ0d7p0TqgBUbLAPlikB63O0wc2odKkpLahrjIqnMotGXO6CyDUIDvfqrV2hHL7-CBUQ=w1200|https://lh3.googleusercontent.com/pw/AP1GczPA_3KFWhDinGmEMBEh70skjV_VG12xB55CWry1A3x8mS-4uhQdlr8_BcSoFQUdhNUdT2xGJVBx4ro3PNwstmMx9nyuJbVmthV9vlxT27Snio8e37I5=w1200|https://lh3.googleusercontent.com/pw/AP1GczPxuWO9ISMLW4KS48TU-vDFgNeyRJZ_oy8oc03scDVUF8UE2Q3xf_8-eO8M_HYftyiKENbefvSOsSb3Oo3toOLk2Dta9_ArXLU3_NVmvBGdU2MXoUav=w1200|https://lh3.googleusercontent.com/pw/AP1GczOaOo8JWE0WyxJga0khs5xMCDKycbXlEtSY5X8OwTkDoGOLQHKxM_Y0GeBfYMDnU0T98oCiJCfLasZBreyEm18BuhfrNKoiOTsstcRfaDMp51oOJDym=w1200|https://lh3.googleusercontent.com/pw/AP1GczPdlbd4QFV_FIMqjTxFWoy87Z2mg0ttmcMF6pQpe0icipdz6xu4bF8LUq0BZNMIVLmLpK33A7PoXeGdNG8KVL7OxFHm-jECbbsjXoHHfr7Ro-jQAl9P=w1200|https://lh3.googleusercontent.com/pw/AP1GczMLk9UxXsYg7278sVYkqcbAWGNG6DHq_YNox-w3mwJgAI-Gt6bUbV5FWztReOYU7qx2Hmm2aEfaPwxAOFWPDSZbd0Gq8jVGdq8VDBMvFinf21TNtlZ3=w1200|https://lh3.googleusercontent.com/pw/AP1GczOoUjtfgksK1kGkBVVXHEcQtRoigsrdHFoc0DeuIwNBH0PT-G1Qk1LXflpchnC6pGI_6_T61xcBg22DgpCa-hw_tfGLxjcym9uENAMV_HSwq3Hjcvun=w1200|https://lh3.googleusercontent.com/pw/AP1GczNknZqhilI27ZveLkAU4brMzklBzzW9e0d4jtvZ89c7DgVk2C1qwcDwSXQEujJU8lKZM5WMgbm6rYa-w5uiL5UlOI_YKdnwDu7k8J7iLYW4xWQRR3bG=w1200|https://lh3.googleusercontent.com/pw/AP1GczOrFAuXuiNPODPPSt8X-fXZ4Ds_Z_pjhf6K3LfAWvfn6rHoT5i6tkRaH8sCaWcajGZF1SosUTB4gHMxutFo6BpZoDhj9l2EBGy8ts3sGj-j-NtukZuw=w1200|https://lh3.googleusercontent.com/pw/AP1GczP__HjQmkXYYmD7dyad3H1KXi5a0k49WVlY1xnLsxo4d1h74f5RUk9vz_7Prhn6UItGOCF1hdBXn5jlA0AoTz_iNTcCajacV6PLlehEAKYc8bQl7G4V=w1200|https://lh3.googleusercontent.com/pw/AP1GczPXNkiQoX0J5cQkQBN_4k1PS1vr2Lj_3NUSOe79Gpt_XPLy_T-Iqz8Wr6d1YJJiSNZWE2kcGsM2T9nGNXngBAhZyGINLgnYKc3uYhC9wDv5qEisvbwF=w1200|https://lh3.googleusercontent.com/pw/AP1GczP4x7C48dkzi8EvYzV71y6NVaZiA5YDc0pX4tbvSjhjM763r3lrM5nAXrPOfp8rFiunlPRK_1EfvrEun2K0EFgEkVbJ2sH4dAtGQkhp4bmSilc6gtRb=w1200|https://lh3.googleusercontent.com/pw/AP1GczNx2iWtaAIc9Of7OU6Km3peWnSp7yI16SBejJMB35LEemXaxyUcGN8u_BORE1VeqNws_5k_y5e7EczyLP-AG_hn_Y3i1cIFXSjN2udLsKtAZtxTIxCZ=w1200|https://lh3.googleusercontent.com/pw/AP1GczM8sBuAQBtNrzQe9EWJNceYzitM31e55mVD9Xg7uvvHgBVKJHmA8v4y0pJsWSG0AjD6SjpdKe0o7mkWZSLD3H3iF5N7-ESNMXm6FbmC1GuTThHhAjKW=w1200</v>
      </c>
      <c r="AJ225" s="46"/>
      <c r="AK225" s="46"/>
      <c r="AL225" s="46"/>
      <c r="AM225" s="46"/>
      <c r="AN225" s="46"/>
      <c r="AO225" s="46"/>
      <c r="AP225" s="46"/>
      <c r="AQ225" s="46"/>
      <c r="AR225" s="46"/>
      <c r="AS225" s="46"/>
      <c r="AT225" s="46"/>
      <c r="AU225" s="46"/>
      <c r="AV225" s="46"/>
      <c r="AW225" s="46"/>
      <c r="AX225" s="46"/>
      <c r="AY225" s="46"/>
      <c r="AZ225" s="46"/>
      <c r="BA225" s="46"/>
      <c r="BB225" s="46"/>
      <c r="BC225" s="46"/>
      <c r="BD225" s="46"/>
      <c r="BE225" s="46"/>
      <c r="BF225" s="46"/>
      <c r="BG225" s="46"/>
      <c r="BH225" s="46"/>
      <c r="BI225" s="46"/>
      <c r="BJ225" s="46"/>
      <c r="BK225" s="46"/>
      <c r="BL225" s="46"/>
      <c r="BM225" s="46"/>
      <c r="BN225" s="46"/>
      <c r="BO225" s="46"/>
      <c r="BP225" s="46"/>
      <c r="BQ225" s="46"/>
      <c r="BR225" s="46"/>
      <c r="BS225" s="46"/>
      <c r="BT225" s="46"/>
      <c r="BU225" s="46"/>
      <c r="BV225" s="46"/>
      <c r="BW225" s="46"/>
      <c r="BX225" s="46"/>
      <c r="BY225" s="46"/>
      <c r="BZ225" s="46"/>
      <c r="CA225" s="46"/>
      <c r="CB225" s="46"/>
      <c r="CC225" s="46"/>
    </row>
    <row r="226">
      <c r="A226" s="87" t="str">
        <f>IFERROR(__xludf.DUMMYFUNCTION("""COMPUTED_VALUE"""),"013")</f>
        <v>013</v>
      </c>
      <c r="B226" s="46" t="str">
        <f>IFERROR(__xludf.DUMMYFUNCTION("""COMPUTED_VALUE"""),"2 casas lote seguidos en barrio Las Granjas")</f>
        <v>2 casas lote seguidos en barrio Las Granjas</v>
      </c>
      <c r="C226" s="46" t="str">
        <f>IFERROR(__xludf.DUMMYFUNCTION("""COMPUTED_VALUE"""),"Casa lote")</f>
        <v>Casa lote</v>
      </c>
      <c r="D226" s="46" t="str">
        <f>IFERROR(__xludf.DUMMYFUNCTION("""COMPUTED_VALUE"""),"Las Granjas")</f>
        <v>Las Granjas</v>
      </c>
      <c r="E226" s="90" t="str">
        <f>IFERROR(__xludf.DUMMYFUNCTION("""COMPUTED_VALUE""")," ")</f>
        <v> </v>
      </c>
      <c r="F226" s="90">
        <f>IFERROR(__xludf.DUMMYFUNCTION("""COMPUTED_VALUE"""),7.5E8)</f>
        <v>750000000</v>
      </c>
      <c r="G226" s="46" t="str">
        <f>IFERROR(__xludf.DUMMYFUNCTION("""COMPUTED_VALUE"""),"$500'000.000 a $1.000'000.000")</f>
        <v>$500'000.000 a $1.000'000.000</v>
      </c>
      <c r="H226" s="46"/>
      <c r="I226" s="46"/>
      <c r="J226" s="46" t="str">
        <f>IFERROR(__xludf.DUMMYFUNCTION("""COMPUTED_VALUE"""),"Norte")</f>
        <v>Norte</v>
      </c>
      <c r="K226" s="87" t="str">
        <f>IFERROR(__xludf.DUMMYFUNCTION("""COMPUTED_VALUE"""),"2")</f>
        <v>2</v>
      </c>
      <c r="L226" s="46">
        <f>IFERROR(__xludf.DUMMYFUNCTION("""COMPUTED_VALUE"""),4.0)</f>
        <v>4</v>
      </c>
      <c r="M226" s="46"/>
      <c r="N226" s="46">
        <f>IFERROR(__xludf.DUMMYFUNCTION("""COMPUTED_VALUE"""),2.0)</f>
        <v>2</v>
      </c>
      <c r="O226" s="46">
        <f>IFERROR(__xludf.DUMMYFUNCTION("""COMPUTED_VALUE"""),0.0)</f>
        <v>0</v>
      </c>
      <c r="P226" s="46">
        <f>IFERROR(__xludf.DUMMYFUNCTION("""COMPUTED_VALUE"""),1.0)</f>
        <v>1</v>
      </c>
      <c r="Q226" s="92">
        <f>IFERROR(__xludf.DUMMYFUNCTION("""COMPUTED_VALUE"""),200.0)</f>
        <v>200</v>
      </c>
      <c r="R226" s="92">
        <f>IFERROR(__xludf.DUMMYFUNCTION("""COMPUTED_VALUE"""),431.0)</f>
        <v>431</v>
      </c>
      <c r="S226" s="87" t="str">
        <f>IFERROR(__xludf.DUMMYFUNCTION("""COMPUTED_VALUE"""),"Rentabilidad $600,000")</f>
        <v>Rentabilidad $600,000</v>
      </c>
      <c r="T226" s="46" t="str">
        <f>IFERROR(__xludf.DUMMYFUNCTION("""COMPUTED_VALUE"""),"Neiva")</f>
        <v>Neiva</v>
      </c>
      <c r="U226" s="87" t="str">
        <f>IFERROR(__xludf.DUMMYFUNCTION("""COMPUTED_VALUE"""),"2")</f>
        <v>2</v>
      </c>
      <c r="V226" s="46" t="str">
        <f>IFERROR(__xludf.DUMMYFUNCTION("""COMPUTED_VALUE"""),"Esquinera")</f>
        <v>Esquinera</v>
      </c>
      <c r="W226" s="46"/>
      <c r="X226" s="46">
        <f>IFERROR(__xludf.DUMMYFUNCTION("""COMPUTED_VALUE"""),0.0)</f>
        <v>0</v>
      </c>
      <c r="Y226" s="179" t="str">
        <f>IFERROR(__xludf.DUMMYFUNCTION("""COMPUTED_VALUE"""),"No tiene")</f>
        <v>No tiene</v>
      </c>
      <c r="Z226" s="90" t="str">
        <f>IFERROR(__xludf.DUMMYFUNCTION("""COMPUTED_VALUE"""),"No aplica")</f>
        <v>No aplica</v>
      </c>
      <c r="AA226" s="33" t="str">
        <f>IFERROR(__xludf.DUMMYFUNCTION("""COMPUTED_VALUE"""),"104 años")</f>
        <v>104 años</v>
      </c>
      <c r="AB226" s="144" t="str">
        <f>IFERROR(__xludf.DUMMYFUNCTION("""COMPUTED_VALUE"""),"https://photos.app.goo.gl/Se2rjyd29VEGoztUA")</f>
        <v>https://photos.app.goo.gl/Se2rjyd29VEGoztUA</v>
      </c>
      <c r="AC226" s="46"/>
      <c r="AD226" s="46" t="str">
        <f>IFERROR(__xludf.DUMMYFUNCTION("""COMPUTED_VALUE"""),"Dos casa lotes seguidos, ubicados sobre la Avenida 26. Dimensión del lote aprox.  19.0 ml x 21.34 ml. Con patio amplio. Escrituras al Día. No se permuta.")</f>
        <v>Dos casa lotes seguidos, ubicados sobre la Avenida 26. Dimensión del lote aprox.  19.0 ml x 21.34 ml. Con patio amplio. Escrituras al Día. No se permuta.</v>
      </c>
      <c r="AE226" s="46"/>
      <c r="AF226" s="46" t="str">
        <f>IFERROR(__xludf.DUMMYFUNCTION("""COMPUTED_VALUE"""),"básica")</f>
        <v>básica</v>
      </c>
      <c r="AG226" s="46"/>
      <c r="AH226" s="46" t="str">
        <f>IFERROR(__xludf.DUMMYFUNCTION("""COMPUTED_VALUE"""),"Verbal")</f>
        <v>Verbal</v>
      </c>
      <c r="AI226" s="92" t="str">
        <f>IFERROR(__xludf.DUMMYFUNCTION("""COMPUTED_VALUE"""),"https://lh3.googleusercontent.com/pw/AP1GczPjkYHzCuNQzFyB1ttRaQ5akSv5BKYyuXcv7HYVJuEeQV-C39jAn07ahxlSglAn4vicftUb6JwYkIpKireMXPWNWxMWd9b8g-ovzgOkL1xpcin3M88=w1200|https://lh3.googleusercontent.com/pw/AP1GczNR86gqiKTxNRmj8SdMrfzlT0pRemxBqasVOZDuW9NmNPc0bfH"&amp;"CR2TjUCtYkFHgz6CEPvorHtLkq9cHvn73R6d_-G5GiAKlENQTPt_Q7BP0CCNfCa8=w1200|https://lh3.googleusercontent.com/pw/AP1GczPvHcytCLcHPiSZk3xem0YOOOaY3FHehgjq0j--Hn6OOQV4DhOkjbSaWx4GurSLzjwuCpVApE1C-i_-wO4kybD31udsx1Qu_s3c--_SB2RykOugtfY=w1200|https://lh3.googleuse"&amp;"rcontent.com/pw/AP1GczNd-U1rxCJUnby_2ZsUvwKHtGtaCuoyWqbuM_MFVpTshPFgW0TxOtXkuToLkM9fWpJiBvAeh2GdSMZJFWnwZ-FPREzlasZ7ZRRJtFwBhje7_bczHhM=w1200|https://lh3.googleusercontent.com/pw/AP1GczPFXxUicxniey8_2mBqauZRkyOO9td0DkxrX1mKRCRwC9A1XH9RJTHoKMMZOvHychaI6lQ5"&amp;"XLfyxfVBryiVld-JVjA7aazlRSyAljD-JIFbST_cw2g=w1200|https://lh3.googleusercontent.com/pw/AP1GczN8ksIwdmk4VmvSWSXU7MYz5rgAbtRoCk9O7wOKM06gAUBvpi_PnIoaxH2LwnDibLULl75q8mH2f1f54y-SiG98ELs3u_3EbT5FaJsIkfN9pf6rhbA=w1200|https://lh3.googleusercontent.com/pw/AP1Gc"&amp;"zOVz4u0V1EhIPe7GKEmz_S5ly0fKiMoGrS4o2a5cs6iFn49yrl64wst2vu9UlcOfB2X_-2cyfSiosgO62brZjD0sflEVKbuiLT2zH6MM4egOLMWICg=w1200|https://lh3.googleusercontent.com/pw/AP1GczPHs205L9oOiCx8DjXbQiMq5OihOpmlM_fAZWsMLtn919wFR7daBH7MUJYxbUJARBUg001z_R5W-C2MttsE7ulP3tS9x"&amp;"2lVWmvfwOLzPYMvwM3Jx6k=w1200|https://lh3.googleusercontent.com/pw/AP1GczPuj4dFfc3eYCEnVn34wuwzKNAYvB_90nhtuS0mwBB5YLo4r7RUUki2oVQ6dDRHGusRbFyWgYYJM5GFjHcEEnXqvWX2OGUzyuywExB6CVTY1HNTnbQ=w1200|https://lh3.googleusercontent.com/pw/AP1GczOJoyPJZ0ziJmGQP3urBj"&amp;"n-AHeG1ba1oZyuAYybA2OTcBWAccpk3tPGDSZCMKR9s8wP5u_Por0U08A-IAkiJxb_TJ1i7Ma9KUhwgWy34n8rMsyKrNU=w1200|https://lh3.googleusercontent.com/pw/AP1GczOnrevE4lTQWdepBeKXKaX6PAKNuz3AbH2zZGfLt6V41RbKep9K7KJvdmZWBAponbocxKIICGpXdDKKevKP8Ond1V7DqO77_PgrRB4Ha5d3W36scF"&amp;"w=w1200|https://lh3.googleusercontent.com/pw/AP1GczPahZxVG2KMrdEdaPYC4jXaIgxRsO17uASDkq6C3pNT7aZrEGRaUCJHGw5O2QYy5zTiv_5wtFSoA-L8nM_hBepUnEmwo-zxglk_pr-xaUprL7odDrI=w1200|https://lh3.googleusercontent.com/pw/AP1GczM1wwvkns4vHmtQCQ_PG_Xsk8TWYP7JC6XFKfTd43z"&amp;"5Zh4i_8XypH7i61ZQav8rclPiG5Mausj08uzpFKrpiBH18FyLb0I2nyrHl2yvaXslTZUWB6o=w1200|https://lh3.googleusercontent.com/pw/AP1GczPAdZnGsg_mCtP1Zk1gOe2JtvVHkbGFUYbOrCYGB18yjFTzUBkasCNUzAqrmIs13lb65oAD2iJPnUR2lFN6n2A0MthJEKHyXn7Vv7oGYX-WZaVaMKw=w1200|https://lh3.g"&amp;"oogleusercontent.com/pw/AP1GczO1jh45nMW3W4vyFyKKEXm_KyNcqxqKFCE_CukXaxQXldDkY77HhQeCzRuAE9Mf7NAbK8YtTV4M69bnDVPfl5fe_0FjU0QZYSBOJT8tTLROUg9LYbM=w1200|https://lh3.googleusercontent.com/pw/AP1GczOnFCimCnXqL1z7kQDeYGWodKvC2ZeEcuSENA5COzZEYCzrJ-Y4d2NE6wTFll2X"&amp;"SQBnLwsENF4SQMmn73MkrLCAVATrR9upRBMNkY3GmGOWkvTlrkw=w1200|https://lh3.googleusercontent.com/pw/AP1GczMDBkouhJDHyfGEnzAO_iIXlxZPkMhfnEQYmdcuc02fj_sIjim6bxzDDqCcMyTiAnNi0ePrccTmy-eAeKKeNbTKxp5lDhfUyDQ2FmSu5ZmXYoqi9wk=w1200|https://lh3.googleusercontent.com/"&amp;"pw/AP1GczMf_VI1hbi_zDszDpvCp8prUaq--akTlHOVVZNi4TlIfA5YUlKZ4gU6SoHJXAjZTKl9-NW3EuhHfeFTfqgnO0fF7dLYpmzVqwTLn32jtUipYzrz5qE=w1200|https://lh3.googleusercontent.com/pw/AP1GczPMxwAsRFZ54TV83yobdXLhJ50cNgE_-wzOE9L5FPHFZuVK6z4nGgjHx3NumXx9M8C0bVQ8rWStW2boSFUlI"&amp;"WRbT0H8-KgDroDl6mCH__YZk_dcPvk=w1200|https://lh3.googleusercontent.com/pw/AP1GczPurDk1Yc9qRRj0N0xP_-MDR3y46d0hyfF5NFBrgOk4sjoZ9_GYvlYRewj6vQ7aZM8Qqiy3CiW5fX2G5F4ndxhVpCCqE1v-28rjqWYXk7JbqI7x6GA=w1200|https://lh3.googleusercontent.com/pw/AP1GczN2SjayuDvLyt"&amp;"l3-TRqZCtNeDIVAQM3D0FXyRZAGEumljjKf7KQ8bDJH1YMDU7rC0Eoi3X4iklRCvpASuY9QHw9ivvIzXVsur0BiwWRihgAhBv1tf8=w1200|https://lh3.googleusercontent.com/pw/AP1GczMfvjgOgwl4-F7LqOXjL1hEoaeF2Axyief-iSFvpSM84aFCa-8HxSUouphrnvcy7RRbkWUkB9PRYJVBcl-aYMsgDHEXSxs5MJgJ6kyeUz"&amp;"SZKIKObuA=w1200|https://lh3.googleusercontent.com/pw/AP1GczO2WGyOL319b6u1psFHj1xKi7eNPavdEPZTdDgaBGjaORiyBq9qUCi53pjXwJzzdOusLDFbSQ7nMsY8JPz3jN6kOblqNPM6QfmSRNcVCppSW8DiTaE=w1200|https://lh3.googleusercontent.com/pw/AP1GczPsUDJVUPWbQL3ANFYE4AzwxHq5pSEi_KZ"&amp;"NyFeGKG-fUNlXtyodmm6hwoFoSOI_HgylGH9S6sjQ4Puntf1-0pupLvG6kl8I6qpUMF9q4KglDZSUEqI=w1200|https://lh3.googleusercontent.com/pw/AP1GczOaMRh-hsmuS2L5FQKgFZF3cD0sXLBRrPGXcqiA8P7RnaBrihJu6njNoDuxGnVVnp-VGuu5gMhcBPNWL_3zCDf-XluMmHiAF9XpKDhdLQBQ5pxrsH_D=w1200")</f>
        <v>https://lh3.googleusercontent.com/pw/AP1GczPjkYHzCuNQzFyB1ttRaQ5akSv5BKYyuXcv7HYVJuEeQV-C39jAn07ahxlSglAn4vicftUb6JwYkIpKireMXPWNWxMWd9b8g-ovzgOkL1xpcin3M88=w1200|https://lh3.googleusercontent.com/pw/AP1GczNR86gqiKTxNRmj8SdMrfzlT0pRemxBqasVOZDuW9NmNPc0bfHCR2TjUCtYkFHgz6CEPvorHtLkq9cHvn73R6d_-G5GiAKlENQTPt_Q7BP0CCNfCa8=w1200|https://lh3.googleusercontent.com/pw/AP1GczPvHcytCLcHPiSZk3xem0YOOOaY3FHehgjq0j--Hn6OOQV4DhOkjbSaWx4GurSLzjwuCpVApE1C-i_-wO4kybD31udsx1Qu_s3c--_SB2RykOugtfY=w1200|https://lh3.googleusercontent.com/pw/AP1GczNd-U1rxCJUnby_2ZsUvwKHtGtaCuoyWqbuM_MFVpTshPFgW0TxOtXkuToLkM9fWpJiBvAeh2GdSMZJFWnwZ-FPREzlasZ7ZRRJtFwBhje7_bczHhM=w1200|https://lh3.googleusercontent.com/pw/AP1GczPFXxUicxniey8_2mBqauZRkyOO9td0DkxrX1mKRCRwC9A1XH9RJTHoKMMZOvHychaI6lQ5XLfyxfVBryiVld-JVjA7aazlRSyAljD-JIFbST_cw2g=w1200|https://lh3.googleusercontent.com/pw/AP1GczN8ksIwdmk4VmvSWSXU7MYz5rgAbtRoCk9O7wOKM06gAUBvpi_PnIoaxH2LwnDibLULl75q8mH2f1f54y-SiG98ELs3u_3EbT5FaJsIkfN9pf6rhbA=w1200|https://lh3.googleusercontent.com/pw/AP1GczOVz4u0V1EhIPe7GKEmz_S5ly0fKiMoGrS4o2a5cs6iFn49yrl64wst2vu9UlcOfB2X_-2cyfSiosgO62brZjD0sflEVKbuiLT2zH6MM4egOLMWICg=w1200|https://lh3.googleusercontent.com/pw/AP1GczPHs205L9oOiCx8DjXbQiMq5OihOpmlM_fAZWsMLtn919wFR7daBH7MUJYxbUJARBUg001z_R5W-C2MttsE7ulP3tS9x2lVWmvfwOLzPYMvwM3Jx6k=w1200|https://lh3.googleusercontent.com/pw/AP1GczPuj4dFfc3eYCEnVn34wuwzKNAYvB_90nhtuS0mwBB5YLo4r7RUUki2oVQ6dDRHGusRbFyWgYYJM5GFjHcEEnXqvWX2OGUzyuywExB6CVTY1HNTnbQ=w1200|https://lh3.googleusercontent.com/pw/AP1GczOJoyPJZ0ziJmGQP3urBjn-AHeG1ba1oZyuAYybA2OTcBWAccpk3tPGDSZCMKR9s8wP5u_Por0U08A-IAkiJxb_TJ1i7Ma9KUhwgWy34n8rMsyKrNU=w1200|https://lh3.googleusercontent.com/pw/AP1GczOnrevE4lTQWdepBeKXKaX6PAKNuz3AbH2zZGfLt6V41RbKep9K7KJvdmZWBAponbocxKIICGpXdDKKevKP8Ond1V7DqO77_PgrRB4Ha5d3W36scFw=w1200|https://lh3.googleusercontent.com/pw/AP1GczPahZxVG2KMrdEdaPYC4jXaIgxRsO17uASDkq6C3pNT7aZrEGRaUCJHGw5O2QYy5zTiv_5wtFSoA-L8nM_hBepUnEmwo-zxglk_pr-xaUprL7odDrI=w1200|https://lh3.googleusercontent.com/pw/AP1GczM1wwvkns4vHmtQCQ_PG_Xsk8TWYP7JC6XFKfTd43z5Zh4i_8XypH7i61ZQav8rclPiG5Mausj08uzpFKrpiBH18FyLb0I2nyrHl2yvaXslTZUWB6o=w1200|https://lh3.googleusercontent.com/pw/AP1GczPAdZnGsg_mCtP1Zk1gOe2JtvVHkbGFUYbOrCYGB18yjFTzUBkasCNUzAqrmIs13lb65oAD2iJPnUR2lFN6n2A0MthJEKHyXn7Vv7oGYX-WZaVaMKw=w1200|https://lh3.googleusercontent.com/pw/AP1GczO1jh45nMW3W4vyFyKKEXm_KyNcqxqKFCE_CukXaxQXldDkY77HhQeCzRuAE9Mf7NAbK8YtTV4M69bnDVPfl5fe_0FjU0QZYSBOJT8tTLROUg9LYbM=w1200|https://lh3.googleusercontent.com/pw/AP1GczOnFCimCnXqL1z7kQDeYGWodKvC2ZeEcuSENA5COzZEYCzrJ-Y4d2NE6wTFll2XSQBnLwsENF4SQMmn73MkrLCAVATrR9upRBMNkY3GmGOWkvTlrkw=w1200|https://lh3.googleusercontent.com/pw/AP1GczMDBkouhJDHyfGEnzAO_iIXlxZPkMhfnEQYmdcuc02fj_sIjim6bxzDDqCcMyTiAnNi0ePrccTmy-eAeKKeNbTKxp5lDhfUyDQ2FmSu5ZmXYoqi9wk=w1200|https://lh3.googleusercontent.com/pw/AP1GczMf_VI1hbi_zDszDpvCp8prUaq--akTlHOVVZNi4TlIfA5YUlKZ4gU6SoHJXAjZTKl9-NW3EuhHfeFTfqgnO0fF7dLYpmzVqwTLn32jtUipYzrz5qE=w1200|https://lh3.googleusercontent.com/pw/AP1GczPMxwAsRFZ54TV83yobdXLhJ50cNgE_-wzOE9L5FPHFZuVK6z4nGgjHx3NumXx9M8C0bVQ8rWStW2boSFUlIWRbT0H8-KgDroDl6mCH__YZk_dcPvk=w1200|https://lh3.googleusercontent.com/pw/AP1GczPurDk1Yc9qRRj0N0xP_-MDR3y46d0hyfF5NFBrgOk4sjoZ9_GYvlYRewj6vQ7aZM8Qqiy3CiW5fX2G5F4ndxhVpCCqE1v-28rjqWYXk7JbqI7x6GA=w1200|https://lh3.googleusercontent.com/pw/AP1GczN2SjayuDvLytl3-TRqZCtNeDIVAQM3D0FXyRZAGEumljjKf7KQ8bDJH1YMDU7rC0Eoi3X4iklRCvpASuY9QHw9ivvIzXVsur0BiwWRihgAhBv1tf8=w1200|https://lh3.googleusercontent.com/pw/AP1GczMfvjgOgwl4-F7LqOXjL1hEoaeF2Axyief-iSFvpSM84aFCa-8HxSUouphrnvcy7RRbkWUkB9PRYJVBcl-aYMsgDHEXSxs5MJgJ6kyeUzSZKIKObuA=w1200|https://lh3.googleusercontent.com/pw/AP1GczO2WGyOL319b6u1psFHj1xKi7eNPavdEPZTdDgaBGjaORiyBq9qUCi53pjXwJzzdOusLDFbSQ7nMsY8JPz3jN6kOblqNPM6QfmSRNcVCppSW8DiTaE=w1200|https://lh3.googleusercontent.com/pw/AP1GczPsUDJVUPWbQL3ANFYE4AzwxHq5pSEi_KZNyFeGKG-fUNlXtyodmm6hwoFoSOI_HgylGH9S6sjQ4Puntf1-0pupLvG6kl8I6qpUMF9q4KglDZSUEqI=w1200|https://lh3.googleusercontent.com/pw/AP1GczOaMRh-hsmuS2L5FQKgFZF3cD0sXLBRrPGXcqiA8P7RnaBrihJu6njNoDuxGnVVnp-VGuu5gMhcBPNWL_3zCDf-XluMmHiAF9XpKDhdLQBQ5pxrsH_D=w1200</v>
      </c>
      <c r="AJ226" s="46"/>
      <c r="AK226" s="46"/>
      <c r="AL226" s="46"/>
      <c r="AM226" s="46"/>
      <c r="AN226" s="46"/>
      <c r="AO226" s="46"/>
      <c r="AP226" s="46"/>
      <c r="AQ226" s="46"/>
      <c r="AR226" s="46"/>
      <c r="AS226" s="46"/>
      <c r="AT226" s="46"/>
      <c r="AU226" s="46"/>
      <c r="AV226" s="46"/>
      <c r="AW226" s="46"/>
      <c r="AX226" s="46"/>
      <c r="AY226" s="46"/>
      <c r="AZ226" s="46"/>
      <c r="BA226" s="46"/>
      <c r="BB226" s="46"/>
      <c r="BC226" s="46"/>
      <c r="BD226" s="46"/>
      <c r="BE226" s="46"/>
      <c r="BF226" s="46"/>
      <c r="BG226" s="46"/>
      <c r="BH226" s="46"/>
      <c r="BI226" s="46"/>
      <c r="BJ226" s="46"/>
      <c r="BK226" s="46"/>
      <c r="BL226" s="46"/>
      <c r="BM226" s="46"/>
      <c r="BN226" s="46"/>
      <c r="BO226" s="46"/>
      <c r="BP226" s="46"/>
      <c r="BQ226" s="46"/>
      <c r="BR226" s="46"/>
      <c r="BS226" s="46"/>
      <c r="BT226" s="46"/>
      <c r="BU226" s="46"/>
      <c r="BV226" s="46"/>
      <c r="BW226" s="46"/>
      <c r="BX226" s="46"/>
      <c r="BY226" s="46"/>
      <c r="BZ226" s="46"/>
      <c r="CA226" s="46"/>
      <c r="CB226" s="46"/>
      <c r="CC226" s="46"/>
    </row>
    <row r="227">
      <c r="A227" s="87" t="str">
        <f>IFERROR(__xludf.DUMMYFUNCTION("""COMPUTED_VALUE"""),"277")</f>
        <v>277</v>
      </c>
      <c r="B227" s="46" t="str">
        <f>IFERROR(__xludf.DUMMYFUNCTION("""COMPUTED_VALUE"""),"Casa en barrio Las Granjas ")</f>
        <v>Casa en barrio Las Granjas </v>
      </c>
      <c r="C227" s="46" t="str">
        <f>IFERROR(__xludf.DUMMYFUNCTION("""COMPUTED_VALUE"""),"Casa")</f>
        <v>Casa</v>
      </c>
      <c r="D227" s="46" t="str">
        <f>IFERROR(__xludf.DUMMYFUNCTION("""COMPUTED_VALUE"""),"Las Granjas")</f>
        <v>Las Granjas</v>
      </c>
      <c r="E227" s="46"/>
      <c r="F227" s="90">
        <f>IFERROR(__xludf.DUMMYFUNCTION("""COMPUTED_VALUE"""),7.2E8)</f>
        <v>720000000</v>
      </c>
      <c r="G227" s="46" t="str">
        <f>IFERROR(__xludf.DUMMYFUNCTION("""COMPUTED_VALUE"""),"$500'000.000 a $1.000'000.000")</f>
        <v>$500'000.000 a $1.000'000.000</v>
      </c>
      <c r="H227" s="46"/>
      <c r="I227" s="46"/>
      <c r="J227" s="46" t="str">
        <f>IFERROR(__xludf.DUMMYFUNCTION("""COMPUTED_VALUE"""),"Norte")</f>
        <v>Norte</v>
      </c>
      <c r="K227" s="87" t="str">
        <f>IFERROR(__xludf.DUMMYFUNCTION("""COMPUTED_VALUE"""),"2")</f>
        <v>2</v>
      </c>
      <c r="L227" s="46">
        <f>IFERROR(__xludf.DUMMYFUNCTION("""COMPUTED_VALUE"""),5.0)</f>
        <v>5</v>
      </c>
      <c r="M227" s="46"/>
      <c r="N227" s="46">
        <f>IFERROR(__xludf.DUMMYFUNCTION("""COMPUTED_VALUE"""),1.0)</f>
        <v>1</v>
      </c>
      <c r="O227" s="46">
        <f>IFERROR(__xludf.DUMMYFUNCTION("""COMPUTED_VALUE"""),1.0)</f>
        <v>1</v>
      </c>
      <c r="P227" s="46">
        <f>IFERROR(__xludf.DUMMYFUNCTION("""COMPUTED_VALUE"""),1.0)</f>
        <v>1</v>
      </c>
      <c r="Q227" s="92">
        <f>IFERROR(__xludf.DUMMYFUNCTION("""COMPUTED_VALUE"""),180.0)</f>
        <v>180</v>
      </c>
      <c r="R227" s="92">
        <f>IFERROR(__xludf.DUMMYFUNCTION("""COMPUTED_VALUE"""),180.0)</f>
        <v>180</v>
      </c>
      <c r="S227" s="87" t="str">
        <f>IFERROR(__xludf.DUMMYFUNCTION("""COMPUTED_VALUE"""),"Rentabilidad $2,000,000")</f>
        <v>Rentabilidad $2,000,000</v>
      </c>
      <c r="T227" s="46" t="str">
        <f>IFERROR(__xludf.DUMMYFUNCTION("""COMPUTED_VALUE"""),"Neiva")</f>
        <v>Neiva</v>
      </c>
      <c r="U227" s="87" t="str">
        <f>IFERROR(__xludf.DUMMYFUNCTION("""COMPUTED_VALUE"""),"2")</f>
        <v>2</v>
      </c>
      <c r="V227" s="46" t="str">
        <f>IFERROR(__xludf.DUMMYFUNCTION("""COMPUTED_VALUE"""),"Medianera")</f>
        <v>Medianera</v>
      </c>
      <c r="W227" s="46"/>
      <c r="X227" s="46">
        <f>IFERROR(__xludf.DUMMYFUNCTION("""COMPUTED_VALUE"""),0.0)</f>
        <v>0</v>
      </c>
      <c r="Y227" s="179" t="str">
        <f>IFERROR(__xludf.DUMMYFUNCTION("""COMPUTED_VALUE"""),"No tiene")</f>
        <v>No tiene</v>
      </c>
      <c r="Z227" s="90" t="str">
        <f>IFERROR(__xludf.DUMMYFUNCTION("""COMPUTED_VALUE"""),"No aplica")</f>
        <v>No aplica</v>
      </c>
      <c r="AA227" s="33" t="str">
        <f>IFERROR(__xludf.DUMMYFUNCTION("""COMPUTED_VALUE"""),"30 años")</f>
        <v>30 años</v>
      </c>
      <c r="AB227" s="144" t="str">
        <f>IFERROR(__xludf.DUMMYFUNCTION("""COMPUTED_VALUE"""),"https://photos.app.goo.gl/e2dH5UwKbSdUfcbf7")</f>
        <v>https://photos.app.goo.gl/e2dH5UwKbSdUfcbf7</v>
      </c>
      <c r="AC227" s="46"/>
      <c r="AD227" s="46" t="str">
        <f>IFERROR(__xludf.DUMMYFUNCTION("""COMPUTED_VALUE"""),"Casa antigua para remodelar. Dimensión del lote 9.0 ml x 20.0 ml. Cerca de los centros comerciales San Juan y San Pedro plaza. Escritura al día. No se permuta.")</f>
        <v>Casa antigua para remodelar. Dimensión del lote 9.0 ml x 20.0 ml. Cerca de los centros comerciales San Juan y San Pedro plaza. Escritura al día. No se permuta.</v>
      </c>
      <c r="AE227" s="46"/>
      <c r="AF227" s="46" t="str">
        <f>IFERROR(__xludf.DUMMYFUNCTION("""COMPUTED_VALUE"""),"básica")</f>
        <v>básica</v>
      </c>
      <c r="AG227" s="46"/>
      <c r="AH227" s="46" t="str">
        <f>IFERROR(__xludf.DUMMYFUNCTION("""COMPUTED_VALUE"""),"Verbal")</f>
        <v>Verbal</v>
      </c>
      <c r="AI227" s="92" t="str">
        <f>IFERROR(__xludf.DUMMYFUNCTION("""COMPUTED_VALUE"""),"https://lh3.googleusercontent.com/pw/AP1GczPOacFCr3hp5trzHTGaCvTHgIX2RFVbB_6a5bXg19Ntw7Qx8_7jVtcnBjRb_ivhd_LdroKTwmtnDPXkVWeBbbGP2tOE0jRTicqXfIlb7HGS1Qznnvms=w1200|https://lh3.googleusercontent.com/pw/AP1GczMbYjjVVAIdNxNv8JiHuKgT5KRsf2ejNtgueJubOZKJUBiPUz"&amp;"Flc7jL2zYQbDAXT3hszVIVGjF0fv9odftfohVfjVY23SOJqOoinYLNHkFO469A3G6a=w1200|https://lh3.googleusercontent.com/pw/AP1GczOfKLHmEGdVCZAEVEifyBFPbIVplMAjBg6kbsrkAr6RARyRIyl3va22GWLgh4RYj4UG47I_CE-_xXMPLg4Nw4Ngh-fL3-INXC_bTD6OBkHn7LJT0sYr=w1200|https://lh3.google"&amp;"usercontent.com/pw/AP1GczPSRrJ5rOkaNlgNiW44nVjAWDRf5w6R0IcO81UomvcymscqAJXYByAd6Ig5PTChoo3BDd61JJUJu7tYDyZGW9Ro3cyMv9J7e2ldd8WJd29scj_7AhDl=w1200|https://lh3.googleusercontent.com/pw/AP1GczMLanvkJTHAPsiVmk-9o5xvKvWDB-hWAtso24JuhLsv0fpwa6GlzoFPj90-Pd3JQzqs"&amp;"SLIBUm07anhXfUvl0nOz0kObcOlT8wVYxkveOLM7CT0K-yee=w1200|https://lh3.googleusercontent.com/pw/AP1GczNtU7_DmzTk3k_M3Trdcxn7nYv9njs7DjUMi7jzJkD7UslKG9t_yUEs3DmI19NkDaThedYIdH1GNDrma40ZH82EXd3PR8AvD5gVrkKykOh4KvrPHzn8=w1200|https://lh3.googleusercontent.com/pw"&amp;"/AP1GczOQUn3KbvWkzGjTp0hAxstx7ZC_d7hr6fCUrCR-woNPPNFtihFJ_f866a7c8bDULtxflhEt8ou5F0CXGjD-eP0i__5K6PQCmsKko5p2hMis4MyvKXlE=w1200|https://lh3.googleusercontent.com/pw/AP1GczNnG_bYsvd5mMEJEHEWDNbcPEARWsi2Rv3bY1_uniQWUAWTUajIsIYGyXoLJuqEVcxP18LcAF9Mwjt2ssnPpT"&amp;"WULhV2eB56q2YwB0Ln2KUUjrG5x7sn=w1200|https://lh3.googleusercontent.com/pw/AP1GczNZFO_WenHvYAlqO_-zLMuTFKJgpde_4wkxMAgV7GALFeKaXDn9WrMAChabiplOsGRZbn-SjQ09t2kuRLK0vgc_7hibJij_VieawA6hnZz3IP5aUzT9=w1200|https://lh3.googleusercontent.com/pw/AP1GczNpSlApB8p7K"&amp;"Ji9t8R47bY44mSHoHSnPn1TMBGFN0nJ-zyypce77gk5H2SbOiekPGxOuAcCASlh-M9vv0hx5iVeqRNiosXffhCazFOeJogVS7bKjQ9_=w1200|https://lh3.googleusercontent.com/pw/AP1GczPi8p4kkbylGos5qWpZSoXupANVb2D57IKHfLIjLficI8LuAHby82jG9lLU_k_1p6MVWUv6QaaeMzAqNBwX84fveriLYudDw-RGqwYC"&amp;"Z6xWL9m5YxBv=w1200|https://lh3.googleusercontent.com/pw/AP1GczMmZ4tWZStYOGKHuYFigxWI4jZHkK2KKv0mHB17bMZIfIxFQ5BeVRE7ZxHGaWvoLQMZgyccb1MOfAWJjPu7V-k7j5_ypBHB28KhHBaN78BOHPHkhmaf=w1200")</f>
        <v>https://lh3.googleusercontent.com/pw/AP1GczPOacFCr3hp5trzHTGaCvTHgIX2RFVbB_6a5bXg19Ntw7Qx8_7jVtcnBjRb_ivhd_LdroKTwmtnDPXkVWeBbbGP2tOE0jRTicqXfIlb7HGS1Qznnvms=w1200|https://lh3.googleusercontent.com/pw/AP1GczMbYjjVVAIdNxNv8JiHuKgT5KRsf2ejNtgueJubOZKJUBiPUzFlc7jL2zYQbDAXT3hszVIVGjF0fv9odftfohVfjVY23SOJqOoinYLNHkFO469A3G6a=w1200|https://lh3.googleusercontent.com/pw/AP1GczOfKLHmEGdVCZAEVEifyBFPbIVplMAjBg6kbsrkAr6RARyRIyl3va22GWLgh4RYj4UG47I_CE-_xXMPLg4Nw4Ngh-fL3-INXC_bTD6OBkHn7LJT0sYr=w1200|https://lh3.googleusercontent.com/pw/AP1GczPSRrJ5rOkaNlgNiW44nVjAWDRf5w6R0IcO81UomvcymscqAJXYByAd6Ig5PTChoo3BDd61JJUJu7tYDyZGW9Ro3cyMv9J7e2ldd8WJd29scj_7AhDl=w1200|https://lh3.googleusercontent.com/pw/AP1GczMLanvkJTHAPsiVmk-9o5xvKvWDB-hWAtso24JuhLsv0fpwa6GlzoFPj90-Pd3JQzqsSLIBUm07anhXfUvl0nOz0kObcOlT8wVYxkveOLM7CT0K-yee=w1200|https://lh3.googleusercontent.com/pw/AP1GczNtU7_DmzTk3k_M3Trdcxn7nYv9njs7DjUMi7jzJkD7UslKG9t_yUEs3DmI19NkDaThedYIdH1GNDrma40ZH82EXd3PR8AvD5gVrkKykOh4KvrPHzn8=w1200|https://lh3.googleusercontent.com/pw/AP1GczOQUn3KbvWkzGjTp0hAxstx7ZC_d7hr6fCUrCR-woNPPNFtihFJ_f866a7c8bDULtxflhEt8ou5F0CXGjD-eP0i__5K6PQCmsKko5p2hMis4MyvKXlE=w1200|https://lh3.googleusercontent.com/pw/AP1GczNnG_bYsvd5mMEJEHEWDNbcPEARWsi2Rv3bY1_uniQWUAWTUajIsIYGyXoLJuqEVcxP18LcAF9Mwjt2ssnPpTWULhV2eB56q2YwB0Ln2KUUjrG5x7sn=w1200|https://lh3.googleusercontent.com/pw/AP1GczNZFO_WenHvYAlqO_-zLMuTFKJgpde_4wkxMAgV7GALFeKaXDn9WrMAChabiplOsGRZbn-SjQ09t2kuRLK0vgc_7hibJij_VieawA6hnZz3IP5aUzT9=w1200|https://lh3.googleusercontent.com/pw/AP1GczNpSlApB8p7KJi9t8R47bY44mSHoHSnPn1TMBGFN0nJ-zyypce77gk5H2SbOiekPGxOuAcCASlh-M9vv0hx5iVeqRNiosXffhCazFOeJogVS7bKjQ9_=w1200|https://lh3.googleusercontent.com/pw/AP1GczPi8p4kkbylGos5qWpZSoXupANVb2D57IKHfLIjLficI8LuAHby82jG9lLU_k_1p6MVWUv6QaaeMzAqNBwX84fveriLYudDw-RGqwYCZ6xWL9m5YxBv=w1200|https://lh3.googleusercontent.com/pw/AP1GczMmZ4tWZStYOGKHuYFigxWI4jZHkK2KKv0mHB17bMZIfIxFQ5BeVRE7ZxHGaWvoLQMZgyccb1MOfAWJjPu7V-k7j5_ypBHB28KhHBaN78BOHPHkhmaf=w1200</v>
      </c>
      <c r="AJ227" s="46"/>
      <c r="AK227" s="46"/>
      <c r="AL227" s="46"/>
      <c r="AM227" s="46"/>
      <c r="AN227" s="46"/>
      <c r="AO227" s="46"/>
      <c r="AP227" s="46"/>
      <c r="AQ227" s="46"/>
      <c r="AR227" s="46"/>
      <c r="AS227" s="46"/>
      <c r="AT227" s="46"/>
      <c r="AU227" s="46"/>
      <c r="AV227" s="46"/>
      <c r="AW227" s="46"/>
      <c r="AX227" s="46"/>
      <c r="AY227" s="46"/>
      <c r="AZ227" s="46"/>
      <c r="BA227" s="46"/>
      <c r="BB227" s="46"/>
      <c r="BC227" s="46"/>
      <c r="BD227" s="46"/>
      <c r="BE227" s="46"/>
      <c r="BF227" s="46"/>
      <c r="BG227" s="46"/>
      <c r="BH227" s="46"/>
      <c r="BI227" s="46"/>
      <c r="BJ227" s="46"/>
      <c r="BK227" s="46"/>
      <c r="BL227" s="46"/>
      <c r="BM227" s="46"/>
      <c r="BN227" s="46"/>
      <c r="BO227" s="46"/>
      <c r="BP227" s="46"/>
      <c r="BQ227" s="46"/>
      <c r="BR227" s="46"/>
      <c r="BS227" s="46"/>
      <c r="BT227" s="46"/>
      <c r="BU227" s="46"/>
      <c r="BV227" s="46"/>
      <c r="BW227" s="46"/>
      <c r="BX227" s="46"/>
      <c r="BY227" s="46"/>
      <c r="BZ227" s="46"/>
      <c r="CA227" s="46"/>
      <c r="CB227" s="46"/>
      <c r="CC227" s="46"/>
    </row>
    <row r="228">
      <c r="A228" s="87" t="str">
        <f>IFERROR(__xludf.DUMMYFUNCTION("""COMPUTED_VALUE"""),"805")</f>
        <v>805</v>
      </c>
      <c r="B228" s="46" t="str">
        <f>IFERROR(__xludf.DUMMYFUNCTION("""COMPUTED_VALUE"""),"Finca cacaotera en Riverita - Huila")</f>
        <v>Finca cacaotera en Riverita - Huila</v>
      </c>
      <c r="C228" s="46" t="str">
        <f>IFERROR(__xludf.DUMMYFUNCTION("""COMPUTED_VALUE"""),"Finca")</f>
        <v>Finca</v>
      </c>
      <c r="D228" s="46"/>
      <c r="E228" s="46"/>
      <c r="F228" s="90">
        <f>IFERROR(__xludf.DUMMYFUNCTION("""COMPUTED_VALUE"""),7.0E8)</f>
        <v>700000000</v>
      </c>
      <c r="G228" s="46" t="str">
        <f>IFERROR(__xludf.DUMMYFUNCTION("""COMPUTED_VALUE"""),"$500'000.000 a $1.000'000.000")</f>
        <v>$500'000.000 a $1.000'000.000</v>
      </c>
      <c r="H228" s="46"/>
      <c r="I228" s="46"/>
      <c r="J228" s="46" t="str">
        <f>IFERROR(__xludf.DUMMYFUNCTION("""COMPUTED_VALUE"""),"Rural")</f>
        <v>Rural</v>
      </c>
      <c r="K228" s="87"/>
      <c r="L228" s="46">
        <f>IFERROR(__xludf.DUMMYFUNCTION("""COMPUTED_VALUE"""),2.0)</f>
        <v>2</v>
      </c>
      <c r="M228" s="46"/>
      <c r="N228" s="46">
        <f>IFERROR(__xludf.DUMMYFUNCTION("""COMPUTED_VALUE"""),1.0)</f>
        <v>1</v>
      </c>
      <c r="O228" s="46">
        <f>IFERROR(__xludf.DUMMYFUNCTION("""COMPUTED_VALUE"""),1.0)</f>
        <v>1</v>
      </c>
      <c r="P228" s="46">
        <f>IFERROR(__xludf.DUMMYFUNCTION("""COMPUTED_VALUE"""),1.0)</f>
        <v>1</v>
      </c>
      <c r="Q228" s="92">
        <f>IFERROR(__xludf.DUMMYFUNCTION("""COMPUTED_VALUE"""),250.0)</f>
        <v>250</v>
      </c>
      <c r="R228" s="92">
        <f>IFERROR(__xludf.DUMMYFUNCTION("""COMPUTED_VALUE"""),40000.0)</f>
        <v>40000</v>
      </c>
      <c r="S228" s="87"/>
      <c r="T228" s="46" t="str">
        <f>IFERROR(__xludf.DUMMYFUNCTION("""COMPUTED_VALUE"""),"Riverita")</f>
        <v>Riverita</v>
      </c>
      <c r="U228" s="87"/>
      <c r="V228" s="46"/>
      <c r="W228" s="46"/>
      <c r="X228" s="46">
        <f>IFERROR(__xludf.DUMMYFUNCTION("""COMPUTED_VALUE"""),1.0)</f>
        <v>1</v>
      </c>
      <c r="Y228" s="46" t="str">
        <f>IFERROR(__xludf.DUMMYFUNCTION("""COMPUTED_VALUE"""),"No tiene")</f>
        <v>No tiene</v>
      </c>
      <c r="Z228" s="90" t="str">
        <f>IFERROR(__xludf.DUMMYFUNCTION("""COMPUTED_VALUE"""),"No aplica")</f>
        <v>No aplica</v>
      </c>
      <c r="AA228" s="33" t="str">
        <f>IFERROR(__xludf.DUMMYFUNCTION("""COMPUTED_VALUE"""),"No aplica")</f>
        <v>No aplica</v>
      </c>
      <c r="AB228" s="96" t="str">
        <f>IFERROR(__xludf.DUMMYFUNCTION("""COMPUTED_VALUE"""),"https://photos.app.goo.gl/6yAnteo6WodTVoMD7")</f>
        <v>https://photos.app.goo.gl/6yAnteo6WodTVoMD7</v>
      </c>
      <c r="AC228" s="46" t="str">
        <f>IFERROR(__xludf.DUMMYFUNCTION("""COMPUTED_VALUE"""),"Finca ubicada en la vereda Riverita. (cerca a la Finca Agroturistica Fenix). Con área de 40.000 m2. Altura: 700 msnm. Cultivos: 3.000 árboles de cacao. Lago. Agua: Se surte Quebrada de Rivera, 2 nacederos, turno de agua para riego por gravedad cada 20 día"&amp;"s. Acueducto veredal de 3/4 a 1/2 pulgada, buena presión. Precio trimestral del agua $50.000. Cuenta con una casa básica.Cuenta con piscina natural.")</f>
        <v>Finca ubicada en la vereda Riverita. (cerca a la Finca Agroturistica Fenix). Con área de 40.000 m2. Altura: 700 msnm. Cultivos: 3.000 árboles de cacao. Lago. Agua: Se surte Quebrada de Rivera, 2 nacederos, turno de agua para riego por gravedad cada 20 días. Acueducto veredal de 3/4 a 1/2 pulgada, buena presión. Precio trimestral del agua $50.000. Cuenta con una casa básica.Cuenta con piscina natural.</v>
      </c>
      <c r="AD228" s="46" t="str">
        <f>IFERROR(__xludf.DUMMYFUNCTION("""COMPUTED_VALUE"""),"Distancias:  3 kms de la finca a la vía nacional Neiva -Campoalegre. 5 kms al municipio de Rivera. 3 has de cacao con riego por gravedad. Escrituras al día. Vía destapada.")</f>
        <v>Distancias:  3 kms de la finca a la vía nacional Neiva -Campoalegre. 5 kms al municipio de Rivera. 3 has de cacao con riego por gravedad. Escrituras al día. Vía destapada.</v>
      </c>
      <c r="AE228" s="46"/>
      <c r="AF228" s="46" t="str">
        <f>IFERROR(__xludf.DUMMYFUNCTION("""COMPUTED_VALUE"""),"básica")</f>
        <v>básica</v>
      </c>
      <c r="AG228" s="46"/>
      <c r="AH228" s="46" t="str">
        <f>IFERROR(__xludf.DUMMYFUNCTION("""COMPUTED_VALUE"""),"Verbal")</f>
        <v>Verbal</v>
      </c>
      <c r="AI228" s="92" t="str">
        <f>IFERROR(__xludf.DUMMYFUNCTION("""COMPUTED_VALUE"""),"https://lh3.googleusercontent.com/pw/AP1GczNVRoqZcGP1HiGXAmKnmExUFBohVQkqc168n613Z8yf0umVlxCTCmGS63WMqhdERNLXWk3ua_Zzwl0rk6VBxVLLs-uulTpYhrhV2N6UjxiVAY6dEL8C=w1200|https://lh3.googleusercontent.com/pw/AP1GczOGQUX1_lTHNVmSDpS7cu4zMqnx6L-KXKd4-iod-n5cIMMabC"&amp;"kM6QJjNdshIQMXOOcOLe6E6GCK5czgkHXWiInibvSBIY4XtGsmiJ_tCypmgZJOKq5T=w1200|https://lh3.googleusercontent.com/pw/AP1GczNzGcMmxKV8eylhsPA18vfQ_O7SdTDeFtG2gh5B3ZN0Akb8--Ivq8KQAKi4FLxditL3ao25DDpYXBIShB962fodJ0kgLb2UekbHXiNLFS9U6SR6pZIJ=w1200|https://lh3.google"&amp;"usercontent.com/pw/AP1GczMNsB-XN6J3t71grOn3vcASygL3wGrUzjLIn_oBqqNZlYJ9a0-pA8Y4WwdFCrFjJN6ax4wwb4R7ZRCBEXxtQ6TfdAheVJQ1EoJZ66oWiDzxtR6u_Mg-=w1200|https://lh3.googleusercontent.com/pw/AP1GczMKC9xXfTFkynx33zAIX7Nre1fqImqADnaPw4ZqA89u5QFtoT_cQjrgA4_EgHnbtu1E"&amp;"UY_ZsaDs61kRCvc1HhxeNw2AwjcH_iTNgpNcr-Q8-14-2Idm=w1200|https://lh3.googleusercontent.com/pw/AP1GczMQJK9cuJRNqPsiNZeX35qbFyJySbz3DsNmY81Ugt7OlMjJ6gaCsdHTatY1nuH8VuG3F7Qx3DDRV2GQmOHArRzNEzLjnVElodH70uTNXjzvEgW50j13=w1200|https://lh3.googleusercontent.com/pw"&amp;"/AP1GczPBfLvgMgzepZcCDEGdp6TmCQiirJP4kIQxA3uEgoCVbJfDV1bsBQs8VQ3j3EhWf-SevgoO27U6l65B18QUVwDyNjB8RQKY-tPiCV8quOC2jiuB2PsV=w1200|https://lh3.googleusercontent.com/pw/AP1GczNlhPeuBCZ4yBYrSfm1Fa3IJsYKOXoQpMXMHPKiY8DS0mTx1z6kyMb0xwNijrO59DkPet9SJDxQQHqL-YeGIM"&amp;"9HveKAWeVWyNT6pzbRYNFTtsrn9sfU=w1200")</f>
        <v>https://lh3.googleusercontent.com/pw/AP1GczNVRoqZcGP1HiGXAmKnmExUFBohVQkqc168n613Z8yf0umVlxCTCmGS63WMqhdERNLXWk3ua_Zzwl0rk6VBxVLLs-uulTpYhrhV2N6UjxiVAY6dEL8C=w1200|https://lh3.googleusercontent.com/pw/AP1GczOGQUX1_lTHNVmSDpS7cu4zMqnx6L-KXKd4-iod-n5cIMMabCkM6QJjNdshIQMXOOcOLe6E6GCK5czgkHXWiInibvSBIY4XtGsmiJ_tCypmgZJOKq5T=w1200|https://lh3.googleusercontent.com/pw/AP1GczNzGcMmxKV8eylhsPA18vfQ_O7SdTDeFtG2gh5B3ZN0Akb8--Ivq8KQAKi4FLxditL3ao25DDpYXBIShB962fodJ0kgLb2UekbHXiNLFS9U6SR6pZIJ=w1200|https://lh3.googleusercontent.com/pw/AP1GczMNsB-XN6J3t71grOn3vcASygL3wGrUzjLIn_oBqqNZlYJ9a0-pA8Y4WwdFCrFjJN6ax4wwb4R7ZRCBEXxtQ6TfdAheVJQ1EoJZ66oWiDzxtR6u_Mg-=w1200|https://lh3.googleusercontent.com/pw/AP1GczMKC9xXfTFkynx33zAIX7Nre1fqImqADnaPw4ZqA89u5QFtoT_cQjrgA4_EgHnbtu1EUY_ZsaDs61kRCvc1HhxeNw2AwjcH_iTNgpNcr-Q8-14-2Idm=w1200|https://lh3.googleusercontent.com/pw/AP1GczMQJK9cuJRNqPsiNZeX35qbFyJySbz3DsNmY81Ugt7OlMjJ6gaCsdHTatY1nuH8VuG3F7Qx3DDRV2GQmOHArRzNEzLjnVElodH70uTNXjzvEgW50j13=w1200|https://lh3.googleusercontent.com/pw/AP1GczPBfLvgMgzepZcCDEGdp6TmCQiirJP4kIQxA3uEgoCVbJfDV1bsBQs8VQ3j3EhWf-SevgoO27U6l65B18QUVwDyNjB8RQKY-tPiCV8quOC2jiuB2PsV=w1200|https://lh3.googleusercontent.com/pw/AP1GczNlhPeuBCZ4yBYrSfm1Fa3IJsYKOXoQpMXMHPKiY8DS0mTx1z6kyMb0xwNijrO59DkPet9SJDxQQHqL-YeGIM9HveKAWeVWyNT6pzbRYNFTtsrn9sfU=w1200</v>
      </c>
      <c r="AJ228" s="46"/>
      <c r="AK228" s="46"/>
      <c r="AL228" s="46"/>
      <c r="AM228" s="46"/>
      <c r="AN228" s="46"/>
      <c r="AO228" s="46"/>
      <c r="AP228" s="46"/>
      <c r="AQ228" s="46"/>
      <c r="AR228" s="46"/>
      <c r="AS228" s="46"/>
      <c r="AT228" s="46"/>
      <c r="AU228" s="46"/>
      <c r="AV228" s="46"/>
      <c r="AW228" s="46"/>
      <c r="AX228" s="46"/>
      <c r="AY228" s="46"/>
      <c r="AZ228" s="46"/>
      <c r="BA228" s="46"/>
      <c r="BB228" s="46"/>
      <c r="BC228" s="46"/>
      <c r="BD228" s="46"/>
      <c r="BE228" s="46"/>
      <c r="BF228" s="46"/>
      <c r="BG228" s="46"/>
      <c r="BH228" s="46"/>
      <c r="BI228" s="46"/>
      <c r="BJ228" s="46"/>
      <c r="BK228" s="46"/>
      <c r="BL228" s="46"/>
      <c r="BM228" s="46"/>
      <c r="BN228" s="46"/>
      <c r="BO228" s="46"/>
      <c r="BP228" s="46"/>
      <c r="BQ228" s="46"/>
      <c r="BR228" s="46"/>
      <c r="BS228" s="46"/>
      <c r="BT228" s="46"/>
      <c r="BU228" s="46"/>
      <c r="BV228" s="46"/>
      <c r="BW228" s="46"/>
      <c r="BX228" s="46"/>
      <c r="BY228" s="46"/>
      <c r="BZ228" s="46"/>
      <c r="CA228" s="46"/>
      <c r="CB228" s="46"/>
      <c r="CC228" s="46"/>
    </row>
    <row r="229">
      <c r="A229" s="87" t="str">
        <f>IFERROR(__xludf.DUMMYFUNCTION("""COMPUTED_VALUE"""),"629")</f>
        <v>629</v>
      </c>
      <c r="B229" s="46" t="str">
        <f>IFERROR(__xludf.DUMMYFUNCTION("""COMPUTED_VALUE"""),"Casa de 2 pisos independientes en barrio Prado Alto")</f>
        <v>Casa de 2 pisos independientes en barrio Prado Alto</v>
      </c>
      <c r="C229" s="46" t="str">
        <f>IFERROR(__xludf.DUMMYFUNCTION("""COMPUTED_VALUE"""),"Casa rentable")</f>
        <v>Casa rentable</v>
      </c>
      <c r="D229" s="46" t="str">
        <f>IFERROR(__xludf.DUMMYFUNCTION("""COMPUTED_VALUE"""),"Prado Alto")</f>
        <v>Prado Alto</v>
      </c>
      <c r="E229" s="90"/>
      <c r="F229" s="90">
        <f>IFERROR(__xludf.DUMMYFUNCTION("""COMPUTED_VALUE"""),7.0E8)</f>
        <v>700000000</v>
      </c>
      <c r="G229" s="46" t="str">
        <f>IFERROR(__xludf.DUMMYFUNCTION("""COMPUTED_VALUE"""),"$500'000.000 a $1.000'000.000")</f>
        <v>$500'000.000 a $1.000'000.000</v>
      </c>
      <c r="H229" s="46"/>
      <c r="I229" s="46"/>
      <c r="J229" s="46" t="str">
        <f>IFERROR(__xludf.DUMMYFUNCTION("""COMPUTED_VALUE"""),"Oriente")</f>
        <v>Oriente</v>
      </c>
      <c r="K229" s="87"/>
      <c r="L229" s="46">
        <f>IFERROR(__xludf.DUMMYFUNCTION("""COMPUTED_VALUE"""),4.0)</f>
        <v>4</v>
      </c>
      <c r="M229" s="46"/>
      <c r="N229" s="46">
        <f>IFERROR(__xludf.DUMMYFUNCTION("""COMPUTED_VALUE"""),4.0)</f>
        <v>4</v>
      </c>
      <c r="O229" s="46">
        <f>IFERROR(__xludf.DUMMYFUNCTION("""COMPUTED_VALUE"""),2.0)</f>
        <v>2</v>
      </c>
      <c r="P229" s="46">
        <f>IFERROR(__xludf.DUMMYFUNCTION("""COMPUTED_VALUE"""),2.0)</f>
        <v>2</v>
      </c>
      <c r="Q229" s="92">
        <f>IFERROR(__xludf.DUMMYFUNCTION("""COMPUTED_VALUE"""),310.0)</f>
        <v>310</v>
      </c>
      <c r="R229" s="92">
        <f>IFERROR(__xludf.DUMMYFUNCTION("""COMPUTED_VALUE"""),171.0)</f>
        <v>171</v>
      </c>
      <c r="S229" s="87" t="str">
        <f>IFERROR(__xludf.DUMMYFUNCTION("""COMPUTED_VALUE"""),"Rentabilidad $3,000,000")</f>
        <v>Rentabilidad $3,000,000</v>
      </c>
      <c r="T229" s="46" t="str">
        <f>IFERROR(__xludf.DUMMYFUNCTION("""COMPUTED_VALUE"""),"Neiva")</f>
        <v>Neiva</v>
      </c>
      <c r="U229" s="87" t="str">
        <f>IFERROR(__xludf.DUMMYFUNCTION("""COMPUTED_VALUE"""),"4")</f>
        <v>4</v>
      </c>
      <c r="V229" s="46" t="str">
        <f>IFERROR(__xludf.DUMMYFUNCTION("""COMPUTED_VALUE"""),"Medianera")</f>
        <v>Medianera</v>
      </c>
      <c r="W229" s="46"/>
      <c r="X229" s="46">
        <f>IFERROR(__xludf.DUMMYFUNCTION("""COMPUTED_VALUE"""),3.0)</f>
        <v>3</v>
      </c>
      <c r="Y229" s="46" t="str">
        <f>IFERROR(__xludf.DUMMYFUNCTION("""COMPUTED_VALUE"""),"Jacuzzi")</f>
        <v>Jacuzzi</v>
      </c>
      <c r="Z229" s="90" t="str">
        <f>IFERROR(__xludf.DUMMYFUNCTION("""COMPUTED_VALUE"""),"No aplica")</f>
        <v>No aplica</v>
      </c>
      <c r="AA229" s="33"/>
      <c r="AB229" s="96" t="str">
        <f>IFERROR(__xludf.DUMMYFUNCTION("""COMPUTED_VALUE"""),"https://photos.app.goo.gl/vSUeZWEgBPSyQgTL8")</f>
        <v>https://photos.app.goo.gl/vSUeZWEgBPSyQgTL8</v>
      </c>
      <c r="AC229" s="46"/>
      <c r="AD229" s="46"/>
      <c r="AE229" s="46"/>
      <c r="AF229" s="46" t="str">
        <f>IFERROR(__xludf.DUMMYFUNCTION("""COMPUTED_VALUE"""),"integral")</f>
        <v>integral</v>
      </c>
      <c r="AG229" s="46"/>
      <c r="AH229" s="46" t="str">
        <f>IFERROR(__xludf.DUMMYFUNCTION("""COMPUTED_VALUE"""),"Verbal")</f>
        <v>Verbal</v>
      </c>
      <c r="AI229" s="92" t="str">
        <f>IFERROR(__xludf.DUMMYFUNCTION("""COMPUTED_VALUE"""),"https://lh3.googleusercontent.com/pw/AP1GczMhFp0Z0vZTYbsCfsQl501RcXJUQXAJHeqNg1FuYCgJRL_RhXFHv9Z4CKyI0SmDxwECu4eqPFx2qDSi7zvkgwRfGZYynhZKGY9dk3EynFHX2s4d6kuf=w1200|https://lh3.googleusercontent.com/pw/AP1GczP6IMDh3eFT5AMfAh_xoGSqV_AK22UM24NCYYz-sSPdqf3wxu"&amp;"nAJocdPtkrOe4TbFsaiTGKB_tbzWk5qemDREMJ_2uY5I2ZTKDoFFgxnKKE1tY9EPvs=w1200|https://lh3.googleusercontent.com/pw/AP1GczNvNwouiEHV_0vzi5wilt4e4AyAShHML5PdDSp5frYRtnY_AKgD5VTr2QwWFfi2uJH8XbLm05BVvMPjzTubI5UKXEG7ODwfT1YaWVkjSBSIfrnNvv2U=w1200|https://lh3.google"&amp;"usercontent.com/pw/AP1GczPYfpUn9vgPj4cavzI11Bx6wpIb93Qaqh1aGC9amz-iIcQkzMuphntGLaGDTvVQTWS4KZpNYdEONSKX6-wUxGgaAChsnFymOZqSC-VYaFoXwRxoeC7E=w1200|https://lh3.googleusercontent.com/pw/AP1GczNid4qL3s63CRNwW5FNHiqRw3mAlvktu6OE4F1c_kpPc5M1m36FxZ5zFmIkZRgUTHL1"&amp;"nAZ8QE753THHte-aSSM9mWSBbjjnY2zlzsLf3he6AzR1FM2b=w1200|https://lh3.googleusercontent.com/pw/AP1GczPbbNAtFVydSl1-cZpkVZ3OaA8GBwdsVKm7xC-f4jRt5ntSNteLsWO9cv7ASRp6S33d3xy3HQJhXNuE5axQJL914h__qjG89EUeiOX0lkyEBpt6v4Rh=w1200|https://lh3.googleusercontent.com/pw"&amp;"/AP1GczOg5-O1tTfiopzC7QFx07PwLjd3q8c23OPbg3CcCwxP_4V2x4uhESsJtSn7ly17cSCNAHFCs1DWytvk4I6xiK2TPJ_ky_TwljEvlQcct0r4CBJ80Qf8=w1200|https://lh3.googleusercontent.com/pw/AP1GczOoNscENleb2ukEa61Uw2JNWTmWYWYyAWw8ONxLu-QNWrPPr0n2ieQyFYY8hHH-0AiLzzWVQYExjBRrZwSYTR"&amp;"BAXAxHURp83OzucO9ja9NNHrteQ_7C=w1200|https://lh3.googleusercontent.com/pw/AP1GczM7E3Q6avCAf0TDFpIHvB1grJJskH4r-_3bdK_0ECCwBskzvcIthaLRi8ixeJCSRQtclJanRfO7-FPBcEM8ztBHVx71yjKEvY4gMq1DZsKS7FiCpMuM=w1200|https://lh3.googleusercontent.com/pw/AP1GczNG8FUe5uu0-"&amp;"g-bzX5b6Lvk8MOhM3e-5wWFdO9b9xIUG0Bp8A10b9YsLOoAM49ZMOw48Nomia_u659IPao-u2Lqanqm2znacNYdF4f-axEvloAZOidw=w1200|https://lh3.googleusercontent.com/pw/AP1GczMm7yKpgDfQySjV3h1ROmBG182HEqiRLP67YcyEOj1zwbenVBzPV5SpOTenEVyhmGNMPKgSbOb_aqaXHOYvw0HFTVglljzMmMJkTY77"&amp;"IbDA0475VmTv=w1200|https://lh3.googleusercontent.com/pw/AP1GczOWw5wUTIv8xvCQf_IfGLOUG6_xdpJwAq7qHITC0nYSjxuuPKtka1AoPZRYZdXvAgucWvV8L73lNEjUvhNNV8xEFRdTCyP8BkaY-AtKdqpeJO3lmvsX=w1200|https://lh3.googleusercontent.com/pw/AP1GczOuuOF-BZsIZZHKHBgLqXB8YmZMjdn"&amp;"M_vdjSw3YwFaDLtLWsmRU09-FjAdK7K4ZnTnXmN8JvIYG57eMorzeNX2RAGy5NcUA1GhYm-vMFW_aOu6Lt0v2=w1200|https://lh3.googleusercontent.com/pw/AP1GczOmiZjzIVtfZYH-kYZcEUKrUVgaOfy3YGqbxNXFI3UUQ3eIMAdkCdU5fNo55XMw7xn9rZqqm_WLf9yHmbsUsjDKLfta-iwTT_au7S4HwqUUIZmdXHsP=w1200"&amp;"|https://lh3.googleusercontent.com/pw/AP1GczMompS14LROVVJtwEfo--Xue54gaMrdFm-ZvQgOHLx4ZD43GdvQaxxn-FS76lDDdIm719Ih7ARzjYF_cwC-chNCQiDa5krNkKKntPIF7TpNAmGnoX3j=w1200|https://lh3.googleusercontent.com/pw/AP1GczMdwnYa7oqRX_9v9uiSvl4IvTPyuEVOd2sIfCcxjXtFRAs-v"&amp;"73QkkagNtgChiyakVJP7ROQ6_OvOzW2P6l4rgLgxc6iYQSAdhMoyzuZA3M7VVtB2ajY=w1200|https://lh3.googleusercontent.com/pw/AP1GczNWZx1YWY1Rta0YU95GRdRbvQ7TXdgncFM-5z24emc6PlKv7-LYjfR0f_7pyox7i0cDHJHy7bm3u8x1kwpznoyp1rx2ygYyKgeZVnPoU8uYdnL9gAQx=w1200|https://lh3.googl"&amp;"eusercontent.com/pw/AP1GczMaFZe3s7vadMHVwRaeoQfCN0J8sjKvG2tm2YWHYRsZko2pLh2y4mV6iNvR634P5a58CCf__hEj3QuKSM4qm4FwlfwdiE5RSszxtkFf7nshGhEyEGlp=w1200|https://lh3.googleusercontent.com/pw/AP1GczPHcx30xQJKlAVMFEO-1RbS32JUCI9B95Xbs8ejI9Ijd2-0_czak8dQH5BflI4Q4h2"&amp;"1C3Ydg1CeZbqKXY9YYE924TbOe5R9BY9TyyW5H6im35WRkluH=w1200|https://lh3.googleusercontent.com/pw/AP1GczMQx467rY-ZKEwLft_i-TQcF8Mah_RSHLuYLFOIBpKEFViNwAgP9wmx8q4XXECAuB-Sznm5SOCl5UGX0f6a5ga_kfkTcYrLzNkVRDDE5ScET1tFQ3r1=w1200|https://lh3.googleusercontent.com/p"&amp;"w/AP1GczMOqmrUTwE3eGV0J-WlOikchbETDYH1GOQBr50ZONEpfESw8I6ByYXWJzjB_d2MeMlAYaB8yJ_i0tC-20h0xLdEIp4fkBeFjKGov38D6h6II79xXtJk=w1200|https://lh3.googleusercontent.com/pw/AP1GczNfmm82Gwgi5B97sFrjaC3Jj3SPfkvFGtEAc_srR_vdhnQKoOwZk0I1bE_oH9LV_mpQMazqrJ2NpsHm0QfgC"&amp;"nfITNNNNZfhT9Cz2C3L_y3vvZuVj3Rb=w1200|https://lh3.googleusercontent.com/pw/AP1GczP2pLNxmBYAdUI5b70_xnx3jRN1OURKFSfVipoTHACFlszr_OXRmj1nqLT0qua5n38qgT_Jf4uZVRQtbdW3uxoVlQ4rpWlEiliAaWUMaGNNIpWOvON6=w1200|https://lh3.googleusercontent.com/pw/AP1GczNUoqoEs7mZ"&amp;"R-GVazoZWwLgkOKGiKwYnIiIS81TTXGpH40qWHU92pDVqaFwJEVbot6BnZvPyASHYMsLlE5A4c5WAgeqNFUryYVn77aRymGaTMX4Qwn3=w1200|https://lh3.googleusercontent.com/pw/AP1GczM1ueGE7ZQtMn8wNIGypT8fu2VV9g5rZva5QpGqeY6VJCjAIfMbLK1zsBdbRU2CBHCOW9vW9m32MdK4gxjoEtGo4eJlHaOCdCRbUe0"&amp;"1lcQvJRu_bOrJ=w1200|https://lh3.googleusercontent.com/pw/AP1GczMuyNGboLbWJAOO0jwszFwkdi5A_xTKi54VrrcZ1xxCO4MShlTJ_4gXbVgXAP4NU_GTztg3--Js44TMDEsUCKlTjb4RJBE6cg_ym_8fnw-m_36ZsYLw=w1200|https://lh3.googleusercontent.com/pw/AP1GczOFIm_QjUs9HvSbpTxdZ4-3UpMDNF"&amp;"-Z72Ka9RB3lrGxWEDsXtlsUQDqiMzfu6xwMQEiayK4bzH77mbwNjYpDLQNqNzf9M7XV3MCdN0I0TTtmd6d4Pud=w1200|https://lh3.googleusercontent.com/pw/AP1GczOUbD3EcY7fsqmCTg8Y8XgjF2yALtVYwmLpfCUIlX5CqOP2GIlxvrZQuW1KIPXnN-NT8prhPnWGqe6ic6nx1aFTLmWt9aFH_8cxQlK1ZYsTz1WP1KDY=w120"&amp;"0|https://lh3.googleusercontent.com/pw/AP1GczPXijY9NEnFxyuE52tD0JmWgfoxYGtd1HgvCae8FH9uWF9lazSAi30Z_TZdYAaIr6en6bMfeto-ZQihMcmK84VtqnpOhkxLINJCCBknrBav7kk0YY-4=w1200|https://lh3.googleusercontent.com/pw/AP1GczNHJYO0InuRq0sPeT416haGxybVVFJ4AeqMCICiCK_n7ooM"&amp;"V9L5yRkZxNgTa9hCnupUIBWvdfBcsnFQ8rOCmT5v_sMTKLzJa1bGpV58O1w7Z6K5WssY=w1200|https://lh3.googleusercontent.com/pw/AP1GczMqL2H80lz4HgFGx14YQJ8GnfuLp3-XaGQHydWyuobKMpziWtTOSiChJts9Xc7gL7BCDes0WGNsktLHFUxxVel4SNNCqa17CSiBR63aQFmRm9iPLldh=w1200|https://lh3.goog"&amp;"leusercontent.com/pw/AP1GczNPaOExo9SU3Rg3n_RLn7JTJK9ABJtK4ZxUjEWk2MYl3V_A-R32yxfGNWsICe_ft2agm18cm1hPrqaWd7gDCaCjQ_wNDRJ1VVCZQ-t_HDKk274v7bO3=w1200|https://lh3.googleusercontent.com/pw/AP1GczM5Kqn1CN_0gbweSjABvw0qyT1DsmRG5OAUT-_cMUxc6wzJlOADypeN5H0vzWxhcP"&amp;"ZzJGCX9fRPc6zE-__ba8sXkflEG8AsWoIQI4P_qvUjqG2InfNT=w1200|https://lh3.googleusercontent.com/pw/AP1GczMAEZgauzBUsoRsZg6ag6bz-D47jq5E99zoqQbdhcA-Z68-AEjbkLjGRSR-07rUrWNC8pXhRMY7hjPbfYVuBCfzOElOwo3DVn7bQD_EuLr5sqCV7pVv=w1200|https://lh3.googleusercontent.com/"&amp;"pw/AP1GczO6EA_jvTm9RXOVel8SmW-ke_En8l9xsBFMpkq5YfYga6WszBAwe-8NER7VbtTI4lvp9NnOUrvVwgV-5jMe9JFpyrCpFmvA2kSdCUeMb9Wnd89KaG10=w1200|https://lh3.googleusercontent.com/pw/AP1GczMd9Sqydfn3LxaE7mXBteAhB3odAw5WY-MO09yqkZXaXqWwIPQ4x3fhUr_Ep4XMyqfOx-j41NpfsNcela2u"&amp;"7_yWZNMtdikX9ZNDcjRaDVcdWStJglDg=w1200|https://lh3.googleusercontent.com/pw/AP1GczMDuzi0Y4aUFyiP_8Af47deWA-C2v-fJkGlzAHOfwmK7VQZClTivHW2WWZljn9fzifU9aR6dGOro6Uss17my_QSXlGDFxV1wi1VaNJyd4Ogacf-mLC4=w1200|https://lh3.googleusercontent.com/pw/AP1GczO1IpSEcO3"&amp;"GFjVduXRxRyFZtagfByi0H9zP9RVBt7o6PZDnRDWF2KOvg1rG-Re5BnzL7m86w9AH4aw41B3tW-ipwD6sSCKi2H3Zo6wCkd-cVhARS_2z=w1200|https://lh3.googleusercontent.com/pw/AP1GczOBlvsJPHmtJLgkLPLqF85x59tzcw1gB6bibeobLo3sd1kPiTRonu33GKQ2ttQ_4bqG7ZUtpZ_wNZmfwOxzgPwrlhgv8-A8KrLcl6"&amp;"kYW_cG6tFZuwXn=w1200|https://lh3.googleusercontent.com/pw/AP1GczPG41kBFJ0p058pJTxfb8wT0jri6GA39sui-X2CSWjN1f6_qar0EbNTKn3z6pJYm_EUOrJ4J1wCcPhIOQNudiyiAiDr9FKsvpeGfwwqoxFk4KSB-Mek=w1200|https://lh3.googleusercontent.com/pw/AP1GczOdRNQiQooPFKmk0LcZs1QLwbS8I"&amp;"YKLYoStDtwWJc-M39a07btrFFuDQ3ccfvXFdySuyZZTKW8jysR-l7uigrsUVavb_tQhNs6Bb_xxmP7VQEIObAFb=w1200|https://lh3.googleusercontent.com/pw/AP1GczPRl3V-5OjkNtue-rKh4GAB-nUx9ETxDuFYZEQX6cz_oidYtaEPWhWHAiUzk1Hoyd-J5g1wBzfqcmsQ0tNp-QGu4haPraRdZ9tTquvj3fRFM4rJtKsp=w12"&amp;"00|https://lh3.googleusercontent.com/pw/AP1GczMzs28ZYl4k-JDnk_IawaAkObFZxWwlTQ4PcheTuABoqs5qIOHsZdS9rPJ3v1eFAwlDySDWIE43c6fIh7gD6P9q_BOoNAfHQXL6VF__xSIglRFs-IK6=w1200|https://lh3.googleusercontent.com/pw/AP1GczPonMznhrNVCI1HaExne56DRAgaCu1i5Pr-mBBkxHmafAt"&amp;"5w9WvJalOR4LqAezIMxP2D_97Az_A8AqroEJwZACy62vEonZQHjMqIp6NEQnUSRYDD4nv=w1200|https://lh3.googleusercontent.com/pw/AP1GczOACVZ-jAedaqG0PaiNWuUJvv5sagCdwjhSZnETRtxVgeaQK-NaKoHUp-Gcg_fznjo4jolqDsKxK6GjCPwzzjYWeMeADeuwwyQD4PLU0hMTRHEJ_rJ2=w1200|https://lh3.goo"&amp;"gleusercontent.com/pw/AP1GczOc7Aqwf4-Au8d4s_lGEW6heywl--nlx5YE1ffa1pv8FFgwZ7iqxfq39HcLT5zgiFojeHae5_XXQi0Ac1vstrQ1fpupYO-52d3NTGSRzh5rux0ItAsu=w1200|https://lh3.googleusercontent.com/pw/AP1GczNYQBUk4zd6_5ipoKSuG7tFEXdnbBHbh63JQNBzZKdhIWmIX3UIeAMVCrMYTJTD-"&amp;"tGrOR5p84jK7Jew9o3xCDN2-vUJNM0br0Tjb0xzp_8A4M4dKyS1=w1200|https://lh3.googleusercontent.com/pw/AP1GczMmSOW7R8NCqtJLkuWiJm9GHIRAKTf9bquRU4xmaDyxagGCvNdfhdd-SqXiqO8iApac-H5NLyImm8BYAawKpkqmvxgUq6Mb5lomAS_B-Kv96wjGdO97=w1200|https://lh3.googleusercontent.com"&amp;"/pw/AP1GczPf7ljCN00U3rAGYIJr-FoE4c1NzMUPypSiZzV_H4U_82ynG7Chm7lGklH9sVaL7Wo1coAqP5kwYjb5dK_CJI639Nlmd3j8r1tqBcTcewlZkhbekb0d=w1200")</f>
        <v>https://lh3.googleusercontent.com/pw/AP1GczMhFp0Z0vZTYbsCfsQl501RcXJUQXAJHeqNg1FuYCgJRL_RhXFHv9Z4CKyI0SmDxwECu4eqPFx2qDSi7zvkgwRfGZYynhZKGY9dk3EynFHX2s4d6kuf=w1200|https://lh3.googleusercontent.com/pw/AP1GczP6IMDh3eFT5AMfAh_xoGSqV_AK22UM24NCYYz-sSPdqf3wxunAJocdPtkrOe4TbFsaiTGKB_tbzWk5qemDREMJ_2uY5I2ZTKDoFFgxnKKE1tY9EPvs=w1200|https://lh3.googleusercontent.com/pw/AP1GczNvNwouiEHV_0vzi5wilt4e4AyAShHML5PdDSp5frYRtnY_AKgD5VTr2QwWFfi2uJH8XbLm05BVvMPjzTubI5UKXEG7ODwfT1YaWVkjSBSIfrnNvv2U=w1200|https://lh3.googleusercontent.com/pw/AP1GczPYfpUn9vgPj4cavzI11Bx6wpIb93Qaqh1aGC9amz-iIcQkzMuphntGLaGDTvVQTWS4KZpNYdEONSKX6-wUxGgaAChsnFymOZqSC-VYaFoXwRxoeC7E=w1200|https://lh3.googleusercontent.com/pw/AP1GczNid4qL3s63CRNwW5FNHiqRw3mAlvktu6OE4F1c_kpPc5M1m36FxZ5zFmIkZRgUTHL1nAZ8QE753THHte-aSSM9mWSBbjjnY2zlzsLf3he6AzR1FM2b=w1200|https://lh3.googleusercontent.com/pw/AP1GczPbbNAtFVydSl1-cZpkVZ3OaA8GBwdsVKm7xC-f4jRt5ntSNteLsWO9cv7ASRp6S33d3xy3HQJhXNuE5axQJL914h__qjG89EUeiOX0lkyEBpt6v4Rh=w1200|https://lh3.googleusercontent.com/pw/AP1GczOg5-O1tTfiopzC7QFx07PwLjd3q8c23OPbg3CcCwxP_4V2x4uhESsJtSn7ly17cSCNAHFCs1DWytvk4I6xiK2TPJ_ky_TwljEvlQcct0r4CBJ80Qf8=w1200|https://lh3.googleusercontent.com/pw/AP1GczOoNscENleb2ukEa61Uw2JNWTmWYWYyAWw8ONxLu-QNWrPPr0n2ieQyFYY8hHH-0AiLzzWVQYExjBRrZwSYTRBAXAxHURp83OzucO9ja9NNHrteQ_7C=w1200|https://lh3.googleusercontent.com/pw/AP1GczM7E3Q6avCAf0TDFpIHvB1grJJskH4r-_3bdK_0ECCwBskzvcIthaLRi8ixeJCSRQtclJanRfO7-FPBcEM8ztBHVx71yjKEvY4gMq1DZsKS7FiCpMuM=w1200|https://lh3.googleusercontent.com/pw/AP1GczNG8FUe5uu0-g-bzX5b6Lvk8MOhM3e-5wWFdO9b9xIUG0Bp8A10b9YsLOoAM49ZMOw48Nomia_u659IPao-u2Lqanqm2znacNYdF4f-axEvloAZOidw=w1200|https://lh3.googleusercontent.com/pw/AP1GczMm7yKpgDfQySjV3h1ROmBG182HEqiRLP67YcyEOj1zwbenVBzPV5SpOTenEVyhmGNMPKgSbOb_aqaXHOYvw0HFTVglljzMmMJkTY77IbDA0475VmTv=w1200|https://lh3.googleusercontent.com/pw/AP1GczOWw5wUTIv8xvCQf_IfGLOUG6_xdpJwAq7qHITC0nYSjxuuPKtka1AoPZRYZdXvAgucWvV8L73lNEjUvhNNV8xEFRdTCyP8BkaY-AtKdqpeJO3lmvsX=w1200|https://lh3.googleusercontent.com/pw/AP1GczOuuOF-BZsIZZHKHBgLqXB8YmZMjdnM_vdjSw3YwFaDLtLWsmRU09-FjAdK7K4ZnTnXmN8JvIYG57eMorzeNX2RAGy5NcUA1GhYm-vMFW_aOu6Lt0v2=w1200|https://lh3.googleusercontent.com/pw/AP1GczOmiZjzIVtfZYH-kYZcEUKrUVgaOfy3YGqbxNXFI3UUQ3eIMAdkCdU5fNo55XMw7xn9rZqqm_WLf9yHmbsUsjDKLfta-iwTT_au7S4HwqUUIZmdXHsP=w1200|https://lh3.googleusercontent.com/pw/AP1GczMompS14LROVVJtwEfo--Xue54gaMrdFm-ZvQgOHLx4ZD43GdvQaxxn-FS76lDDdIm719Ih7ARzjYF_cwC-chNCQiDa5krNkKKntPIF7TpNAmGnoX3j=w1200|https://lh3.googleusercontent.com/pw/AP1GczMdwnYa7oqRX_9v9uiSvl4IvTPyuEVOd2sIfCcxjXtFRAs-v73QkkagNtgChiyakVJP7ROQ6_OvOzW2P6l4rgLgxc6iYQSAdhMoyzuZA3M7VVtB2ajY=w1200|https://lh3.googleusercontent.com/pw/AP1GczNWZx1YWY1Rta0YU95GRdRbvQ7TXdgncFM-5z24emc6PlKv7-LYjfR0f_7pyox7i0cDHJHy7bm3u8x1kwpznoyp1rx2ygYyKgeZVnPoU8uYdnL9gAQx=w1200|https://lh3.googleusercontent.com/pw/AP1GczMaFZe3s7vadMHVwRaeoQfCN0J8sjKvG2tm2YWHYRsZko2pLh2y4mV6iNvR634P5a58CCf__hEj3QuKSM4qm4FwlfwdiE5RSszxtkFf7nshGhEyEGlp=w1200|https://lh3.googleusercontent.com/pw/AP1GczPHcx30xQJKlAVMFEO-1RbS32JUCI9B95Xbs8ejI9Ijd2-0_czak8dQH5BflI4Q4h21C3Ydg1CeZbqKXY9YYE924TbOe5R9BY9TyyW5H6im35WRkluH=w1200|https://lh3.googleusercontent.com/pw/AP1GczMQx467rY-ZKEwLft_i-TQcF8Mah_RSHLuYLFOIBpKEFViNwAgP9wmx8q4XXECAuB-Sznm5SOCl5UGX0f6a5ga_kfkTcYrLzNkVRDDE5ScET1tFQ3r1=w1200|https://lh3.googleusercontent.com/pw/AP1GczMOqmrUTwE3eGV0J-WlOikchbETDYH1GOQBr50ZONEpfESw8I6ByYXWJzjB_d2MeMlAYaB8yJ_i0tC-20h0xLdEIp4fkBeFjKGov38D6h6II79xXtJk=w1200|https://lh3.googleusercontent.com/pw/AP1GczNfmm82Gwgi5B97sFrjaC3Jj3SPfkvFGtEAc_srR_vdhnQKoOwZk0I1bE_oH9LV_mpQMazqrJ2NpsHm0QfgCnfITNNNNZfhT9Cz2C3L_y3vvZuVj3Rb=w1200|https://lh3.googleusercontent.com/pw/AP1GczP2pLNxmBYAdUI5b70_xnx3jRN1OURKFSfVipoTHACFlszr_OXRmj1nqLT0qua5n38qgT_Jf4uZVRQtbdW3uxoVlQ4rpWlEiliAaWUMaGNNIpWOvON6=w1200|https://lh3.googleusercontent.com/pw/AP1GczNUoqoEs7mZR-GVazoZWwLgkOKGiKwYnIiIS81TTXGpH40qWHU92pDVqaFwJEVbot6BnZvPyASHYMsLlE5A4c5WAgeqNFUryYVn77aRymGaTMX4Qwn3=w1200|https://lh3.googleusercontent.com/pw/AP1GczM1ueGE7ZQtMn8wNIGypT8fu2VV9g5rZva5QpGqeY6VJCjAIfMbLK1zsBdbRU2CBHCOW9vW9m32MdK4gxjoEtGo4eJlHaOCdCRbUe01lcQvJRu_bOrJ=w1200|https://lh3.googleusercontent.com/pw/AP1GczMuyNGboLbWJAOO0jwszFwkdi5A_xTKi54VrrcZ1xxCO4MShlTJ_4gXbVgXAP4NU_GTztg3--Js44TMDEsUCKlTjb4RJBE6cg_ym_8fnw-m_36ZsYLw=w1200|https://lh3.googleusercontent.com/pw/AP1GczOFIm_QjUs9HvSbpTxdZ4-3UpMDNF-Z72Ka9RB3lrGxWEDsXtlsUQDqiMzfu6xwMQEiayK4bzH77mbwNjYpDLQNqNzf9M7XV3MCdN0I0TTtmd6d4Pud=w1200|https://lh3.googleusercontent.com/pw/AP1GczOUbD3EcY7fsqmCTg8Y8XgjF2yALtVYwmLpfCUIlX5CqOP2GIlxvrZQuW1KIPXnN-NT8prhPnWGqe6ic6nx1aFTLmWt9aFH_8cxQlK1ZYsTz1WP1KDY=w1200|https://lh3.googleusercontent.com/pw/AP1GczPXijY9NEnFxyuE52tD0JmWgfoxYGtd1HgvCae8FH9uWF9lazSAi30Z_TZdYAaIr6en6bMfeto-ZQihMcmK84VtqnpOhkxLINJCCBknrBav7kk0YY-4=w1200|https://lh3.googleusercontent.com/pw/AP1GczNHJYO0InuRq0sPeT416haGxybVVFJ4AeqMCICiCK_n7ooMV9L5yRkZxNgTa9hCnupUIBWvdfBcsnFQ8rOCmT5v_sMTKLzJa1bGpV58O1w7Z6K5WssY=w1200|https://lh3.googleusercontent.com/pw/AP1GczMqL2H80lz4HgFGx14YQJ8GnfuLp3-XaGQHydWyuobKMpziWtTOSiChJts9Xc7gL7BCDes0WGNsktLHFUxxVel4SNNCqa17CSiBR63aQFmRm9iPLldh=w1200|https://lh3.googleusercontent.com/pw/AP1GczNPaOExo9SU3Rg3n_RLn7JTJK9ABJtK4ZxUjEWk2MYl3V_A-R32yxfGNWsICe_ft2agm18cm1hPrqaWd7gDCaCjQ_wNDRJ1VVCZQ-t_HDKk274v7bO3=w1200|https://lh3.googleusercontent.com/pw/AP1GczM5Kqn1CN_0gbweSjABvw0qyT1DsmRG5OAUT-_cMUxc6wzJlOADypeN5H0vzWxhcPZzJGCX9fRPc6zE-__ba8sXkflEG8AsWoIQI4P_qvUjqG2InfNT=w1200|https://lh3.googleusercontent.com/pw/AP1GczMAEZgauzBUsoRsZg6ag6bz-D47jq5E99zoqQbdhcA-Z68-AEjbkLjGRSR-07rUrWNC8pXhRMY7hjPbfYVuBCfzOElOwo3DVn7bQD_EuLr5sqCV7pVv=w1200|https://lh3.googleusercontent.com/pw/AP1GczO6EA_jvTm9RXOVel8SmW-ke_En8l9xsBFMpkq5YfYga6WszBAwe-8NER7VbtTI4lvp9NnOUrvVwgV-5jMe9JFpyrCpFmvA2kSdCUeMb9Wnd89KaG10=w1200|https://lh3.googleusercontent.com/pw/AP1GczMd9Sqydfn3LxaE7mXBteAhB3odAw5WY-MO09yqkZXaXqWwIPQ4x3fhUr_Ep4XMyqfOx-j41NpfsNcela2u7_yWZNMtdikX9ZNDcjRaDVcdWStJglDg=w1200|https://lh3.googleusercontent.com/pw/AP1GczMDuzi0Y4aUFyiP_8Af47deWA-C2v-fJkGlzAHOfwmK7VQZClTivHW2WWZljn9fzifU9aR6dGOro6Uss17my_QSXlGDFxV1wi1VaNJyd4Ogacf-mLC4=w1200|https://lh3.googleusercontent.com/pw/AP1GczO1IpSEcO3GFjVduXRxRyFZtagfByi0H9zP9RVBt7o6PZDnRDWF2KOvg1rG-Re5BnzL7m86w9AH4aw41B3tW-ipwD6sSCKi2H3Zo6wCkd-cVhARS_2z=w1200|https://lh3.googleusercontent.com/pw/AP1GczOBlvsJPHmtJLgkLPLqF85x59tzcw1gB6bibeobLo3sd1kPiTRonu33GKQ2ttQ_4bqG7ZUtpZ_wNZmfwOxzgPwrlhgv8-A8KrLcl6kYW_cG6tFZuwXn=w1200|https://lh3.googleusercontent.com/pw/AP1GczPG41kBFJ0p058pJTxfb8wT0jri6GA39sui-X2CSWjN1f6_qar0EbNTKn3z6pJYm_EUOrJ4J1wCcPhIOQNudiyiAiDr9FKsvpeGfwwqoxFk4KSB-Mek=w1200|https://lh3.googleusercontent.com/pw/AP1GczOdRNQiQooPFKmk0LcZs1QLwbS8IYKLYoStDtwWJc-M39a07btrFFuDQ3ccfvXFdySuyZZTKW8jysR-l7uigrsUVavb_tQhNs6Bb_xxmP7VQEIObAFb=w1200|https://lh3.googleusercontent.com/pw/AP1GczPRl3V-5OjkNtue-rKh4GAB-nUx9ETxDuFYZEQX6cz_oidYtaEPWhWHAiUzk1Hoyd-J5g1wBzfqcmsQ0tNp-QGu4haPraRdZ9tTquvj3fRFM4rJtKsp=w1200|https://lh3.googleusercontent.com/pw/AP1GczMzs28ZYl4k-JDnk_IawaAkObFZxWwlTQ4PcheTuABoqs5qIOHsZdS9rPJ3v1eFAwlDySDWIE43c6fIh7gD6P9q_BOoNAfHQXL6VF__xSIglRFs-IK6=w1200|https://lh3.googleusercontent.com/pw/AP1GczPonMznhrNVCI1HaExne56DRAgaCu1i5Pr-mBBkxHmafAt5w9WvJalOR4LqAezIMxP2D_97Az_A8AqroEJwZACy62vEonZQHjMqIp6NEQnUSRYDD4nv=w1200|https://lh3.googleusercontent.com/pw/AP1GczOACVZ-jAedaqG0PaiNWuUJvv5sagCdwjhSZnETRtxVgeaQK-NaKoHUp-Gcg_fznjo4jolqDsKxK6GjCPwzzjYWeMeADeuwwyQD4PLU0hMTRHEJ_rJ2=w1200|https://lh3.googleusercontent.com/pw/AP1GczOc7Aqwf4-Au8d4s_lGEW6heywl--nlx5YE1ffa1pv8FFgwZ7iqxfq39HcLT5zgiFojeHae5_XXQi0Ac1vstrQ1fpupYO-52d3NTGSRzh5rux0ItAsu=w1200|https://lh3.googleusercontent.com/pw/AP1GczNYQBUk4zd6_5ipoKSuG7tFEXdnbBHbh63JQNBzZKdhIWmIX3UIeAMVCrMYTJTD-tGrOR5p84jK7Jew9o3xCDN2-vUJNM0br0Tjb0xzp_8A4M4dKyS1=w1200|https://lh3.googleusercontent.com/pw/AP1GczMmSOW7R8NCqtJLkuWiJm9GHIRAKTf9bquRU4xmaDyxagGCvNdfhdd-SqXiqO8iApac-H5NLyImm8BYAawKpkqmvxgUq6Mb5lomAS_B-Kv96wjGdO97=w1200|https://lh3.googleusercontent.com/pw/AP1GczPf7ljCN00U3rAGYIJr-FoE4c1NzMUPypSiZzV_H4U_82ynG7Chm7lGklH9sVaL7Wo1coAqP5kwYjb5dK_CJI639Nlmd3j8r1tqBcTcewlZkhbekb0d=w1200</v>
      </c>
      <c r="AJ229" s="46"/>
      <c r="AK229" s="46"/>
      <c r="AL229" s="46"/>
      <c r="AM229" s="46"/>
      <c r="AN229" s="46"/>
      <c r="AO229" s="46"/>
      <c r="AP229" s="46"/>
      <c r="AQ229" s="46"/>
      <c r="AR229" s="46"/>
      <c r="AS229" s="46"/>
      <c r="AT229" s="46"/>
      <c r="AU229" s="46"/>
      <c r="AV229" s="46"/>
      <c r="AW229" s="46"/>
      <c r="AX229" s="46"/>
      <c r="AY229" s="46"/>
      <c r="AZ229" s="46"/>
      <c r="BA229" s="46"/>
      <c r="BB229" s="46"/>
      <c r="BC229" s="46"/>
      <c r="BD229" s="46"/>
      <c r="BE229" s="46"/>
      <c r="BF229" s="46"/>
      <c r="BG229" s="46"/>
      <c r="BH229" s="46"/>
      <c r="BI229" s="46"/>
      <c r="BJ229" s="46"/>
      <c r="BK229" s="46"/>
      <c r="BL229" s="46"/>
      <c r="BM229" s="46"/>
      <c r="BN229" s="46"/>
      <c r="BO229" s="46"/>
      <c r="BP229" s="46"/>
      <c r="BQ229" s="46"/>
      <c r="BR229" s="46"/>
      <c r="BS229" s="46"/>
      <c r="BT229" s="46"/>
      <c r="BU229" s="46"/>
      <c r="BV229" s="46"/>
      <c r="BW229" s="46"/>
      <c r="BX229" s="46"/>
      <c r="BY229" s="46"/>
      <c r="BZ229" s="46"/>
      <c r="CA229" s="46"/>
      <c r="CB229" s="46"/>
      <c r="CC229" s="46"/>
    </row>
    <row r="230">
      <c r="A230" s="87" t="str">
        <f>IFERROR(__xludf.DUMMYFUNCTION("""COMPUTED_VALUE"""),"284")</f>
        <v>284</v>
      </c>
      <c r="B230" s="46" t="str">
        <f>IFERROR(__xludf.DUMMYFUNCTION("""COMPUTED_VALUE"""),"Casa más local en barrio Tenerife")</f>
        <v>Casa más local en barrio Tenerife</v>
      </c>
      <c r="C230" s="46" t="str">
        <f>IFERROR(__xludf.DUMMYFUNCTION("""COMPUTED_VALUE"""),"Casa rentable")</f>
        <v>Casa rentable</v>
      </c>
      <c r="D230" s="46" t="str">
        <f>IFERROR(__xludf.DUMMYFUNCTION("""COMPUTED_VALUE"""),"Tenerife")</f>
        <v>Tenerife</v>
      </c>
      <c r="E230" s="46"/>
      <c r="F230" s="90">
        <f>IFERROR(__xludf.DUMMYFUNCTION("""COMPUTED_VALUE"""),7.0E8)</f>
        <v>700000000</v>
      </c>
      <c r="G230" s="46" t="str">
        <f>IFERROR(__xludf.DUMMYFUNCTION("""COMPUTED_VALUE"""),"$500'000.000 a $1.000'000.000")</f>
        <v>$500'000.000 a $1.000'000.000</v>
      </c>
      <c r="H230" s="46"/>
      <c r="I230" s="46"/>
      <c r="J230" s="46" t="str">
        <f>IFERROR(__xludf.DUMMYFUNCTION("""COMPUTED_VALUE"""),"Centro")</f>
        <v>Centro</v>
      </c>
      <c r="K230" s="87"/>
      <c r="L230" s="46">
        <f>IFERROR(__xludf.DUMMYFUNCTION("""COMPUTED_VALUE"""),2.0)</f>
        <v>2</v>
      </c>
      <c r="M230" s="46"/>
      <c r="N230" s="46">
        <f>IFERROR(__xludf.DUMMYFUNCTION("""COMPUTED_VALUE"""),4.0)</f>
        <v>4</v>
      </c>
      <c r="O230" s="46">
        <f>IFERROR(__xludf.DUMMYFUNCTION("""COMPUTED_VALUE"""),0.0)</f>
        <v>0</v>
      </c>
      <c r="P230" s="46">
        <f>IFERROR(__xludf.DUMMYFUNCTION("""COMPUTED_VALUE"""),2.0)</f>
        <v>2</v>
      </c>
      <c r="Q230" s="92">
        <f>IFERROR(__xludf.DUMMYFUNCTION("""COMPUTED_VALUE"""),270.3)</f>
        <v>270.3</v>
      </c>
      <c r="R230" s="92">
        <f>IFERROR(__xludf.DUMMYFUNCTION("""COMPUTED_VALUE"""),242.3)</f>
        <v>242.3</v>
      </c>
      <c r="S230" s="87" t="str">
        <f>IFERROR(__xludf.DUMMYFUNCTION("""COMPUTED_VALUE"""),"Rentabilidad $3,500,000")</f>
        <v>Rentabilidad $3,500,000</v>
      </c>
      <c r="T230" s="46" t="str">
        <f>IFERROR(__xludf.DUMMYFUNCTION("""COMPUTED_VALUE"""),"Neiva")</f>
        <v>Neiva</v>
      </c>
      <c r="U230" s="87" t="str">
        <f>IFERROR(__xludf.DUMMYFUNCTION("""COMPUTED_VALUE"""),"4")</f>
        <v>4</v>
      </c>
      <c r="V230" s="46" t="str">
        <f>IFERROR(__xludf.DUMMYFUNCTION("""COMPUTED_VALUE"""),"Medianera")</f>
        <v>Medianera</v>
      </c>
      <c r="W230" s="46"/>
      <c r="X230" s="46">
        <f>IFERROR(__xludf.DUMMYFUNCTION("""COMPUTED_VALUE"""),2.0)</f>
        <v>2</v>
      </c>
      <c r="Y230" s="46" t="str">
        <f>IFERROR(__xludf.DUMMYFUNCTION("""COMPUTED_VALUE"""),"No tiene")</f>
        <v>No tiene</v>
      </c>
      <c r="Z230" s="90" t="str">
        <f>IFERROR(__xludf.DUMMYFUNCTION("""COMPUTED_VALUE"""),"No aplica")</f>
        <v>No aplica</v>
      </c>
      <c r="AA230" s="33" t="str">
        <f>IFERROR(__xludf.DUMMYFUNCTION("""COMPUTED_VALUE"""),"17 años")</f>
        <v>17 años</v>
      </c>
      <c r="AB230" s="144" t="str">
        <f>IFERROR(__xludf.DUMMYFUNCTION("""COMPUTED_VALUE"""),"https://photos.app.goo.gl/qo3xXSkiK3etd51v5")</f>
        <v>https://photos.app.goo.gl/qo3xXSkiK3etd51v5</v>
      </c>
      <c r="AC230" s="46"/>
      <c r="AD230" s="46"/>
      <c r="AE230" s="46"/>
      <c r="AF230" s="46" t="str">
        <f>IFERROR(__xludf.DUMMYFUNCTION("""COMPUTED_VALUE"""),"semi-integral")</f>
        <v>semi-integral</v>
      </c>
      <c r="AG230" s="46"/>
      <c r="AH230" s="46" t="str">
        <f>IFERROR(__xludf.DUMMYFUNCTION("""COMPUTED_VALUE"""),"Verbal")</f>
        <v>Verbal</v>
      </c>
      <c r="AI230" s="92" t="str">
        <f>IFERROR(__xludf.DUMMYFUNCTION("""COMPUTED_VALUE"""),"https://lh3.googleusercontent.com/pw/AP1GczNG4-ctQKouL4G5e-IONHw7S3wtm_A0gojuJF6PVaoCYwf3KLiH4Gzl9PGvwsFezHZhukWWeZsFaTEwGIFbQVihkYFiIaj97M9BD3VVVW-nHth2w-gR=w1200|https://lh3.googleusercontent.com/pw/AP1GczOWYFojjItBcKqX_3Q2U33Li4yp5fEO_RokTVH2FRE_nWoUPa"&amp;"dBWQNWaqXOnyllDWUZfrsWoXWfTsILJa-nycrKP6NvVNfsKddG---bU4yDms8Xgl2f=w1200|https://lh3.googleusercontent.com/pw/AP1GczMhjN09KXvgEmEVTey9pnF98YBkI_PAwgEPdD2WMIdfR5LyEtNA45YhtChwsWYoaqKwdm2zjQNImlDq1qx7K4R8uX00hoXK5h27GdzpzmsxsCUnA2E1=w1200|https://lh3.google"&amp;"usercontent.com/pw/AP1GczPhf45mdVlNxgeb_exFTQgNESgV-GJGlI4YfPwz2siHfeJDXWY5GP2g6B4Bci64VESXTFfzLnV4e9kw7j0pgMKhSfotbKSHXYxTo4TFIBDysWrSGLPC=w1200|https://lh3.googleusercontent.com/pw/AP1GczMB78HiZmfKxpdma086XdJEbWxUBxsXq1MRpfrSeY10Pn0ulzK6EcuPW2VHKyiFX2qX"&amp;"Gn0_RMzIxxyXAPX2jD0GT6XAv8Zx7ey2ZWBz_l2wSOKigE2k=w1200|https://lh3.googleusercontent.com/pw/AP1GczMGVQOrCmtCpAOdzZeZMa11HKFdSoBkA5KMjRMnPLx8r6rOy8ECRL-xuFSXOLvixI2mJl4uu8ryNpXzCYecR0vN8-uFuJ7weiBA-sJqU_6IZn29Q-ik=w1200|https://lh3.googleusercontent.com/pw"&amp;"/AP1GczPdoQ_ZX5Kv1_0zBGLxEUsfhdyS_PyEButVu9quHlm15oPgVYxrYctuW6DXXKOEb3m5SwVb3ypLhuuGSYcLkZqasf69cwer2npsTCJQZMlu2XfWgCdY=w1200|https://lh3.googleusercontent.com/pw/AP1GczO3mso3h1AHhHS12nsKWAmI7lVF9cfhY0ZHVs6YZ0hh7InrlIDmpelAH9pvUYgWm2ZpFxm_WRELn7pl4RPddf"&amp;"-HczE5MSf881vU7aavaRT5Fik_ymVj=w1200|https://lh3.googleusercontent.com/pw/AP1GczNmdScgfNctvf00c5BWvJEcVYgfVN4Y5V_5R_MBzRgOEVhRKCNDvQ70UKYZ_cT_1Ym0eHaQJ7YQdIeRczUYmllxY9tnz2jm6FIz7llQaswqX8d0J90r=w1200|https://lh3.googleusercontent.com/pw/AP1GczO6gEnjG5sUB"&amp;"v88bukHBEOfIiodXlS5bnsk1F0WyqGBSGFQsAnTJfjDsS6C9hhB5BV7O0F9y9R3V4HCidRNF-Kl5ybf5ABQcPyFSTvpkj7g3Y2JvVzO=w1200|https://lh3.googleusercontent.com/pw/AP1GczPlJpJtnl44--jCMXJK64cH4tuOSxsRCurKqRDbXQnGB3NL23WJ3VAWhoS_yRH9YgUnstCwEz5wMrmwM8mZ3oEW7zh_cHYaUD2-HVxV"&amp;"1br0tC6jcLZz=w1200|https://lh3.googleusercontent.com/pw/AP1GczO35p69yGP9WMwdB2gXCkszV5VAbp4cpv0jAqACh8FP75SwC_Q2wOO8Ep9ZQBD1wp3Xwt9VuVCkocBi-ijBBLr2ModEZru2k8lUYAeNBbKBW0p_C_K9=w1200|https://lh3.googleusercontent.com/pw/AP1GczP1V540zkmsBvxVc7g7wIXYwn7DqY1"&amp;"DaS-HQ-MCxvJmTIP7D-e-O32hWQ2PeoqOjxXPC59h7fjjIRUUjBxGUksGdmyeheFaYv9KFZJnLYHPR1rSyRq0=w1200")</f>
        <v>https://lh3.googleusercontent.com/pw/AP1GczNG4-ctQKouL4G5e-IONHw7S3wtm_A0gojuJF6PVaoCYwf3KLiH4Gzl9PGvwsFezHZhukWWeZsFaTEwGIFbQVihkYFiIaj97M9BD3VVVW-nHth2w-gR=w1200|https://lh3.googleusercontent.com/pw/AP1GczOWYFojjItBcKqX_3Q2U33Li4yp5fEO_RokTVH2FRE_nWoUPadBWQNWaqXOnyllDWUZfrsWoXWfTsILJa-nycrKP6NvVNfsKddG---bU4yDms8Xgl2f=w1200|https://lh3.googleusercontent.com/pw/AP1GczMhjN09KXvgEmEVTey9pnF98YBkI_PAwgEPdD2WMIdfR5LyEtNA45YhtChwsWYoaqKwdm2zjQNImlDq1qx7K4R8uX00hoXK5h27GdzpzmsxsCUnA2E1=w1200|https://lh3.googleusercontent.com/pw/AP1GczPhf45mdVlNxgeb_exFTQgNESgV-GJGlI4YfPwz2siHfeJDXWY5GP2g6B4Bci64VESXTFfzLnV4e9kw7j0pgMKhSfotbKSHXYxTo4TFIBDysWrSGLPC=w1200|https://lh3.googleusercontent.com/pw/AP1GczMB78HiZmfKxpdma086XdJEbWxUBxsXq1MRpfrSeY10Pn0ulzK6EcuPW2VHKyiFX2qXGn0_RMzIxxyXAPX2jD0GT6XAv8Zx7ey2ZWBz_l2wSOKigE2k=w1200|https://lh3.googleusercontent.com/pw/AP1GczMGVQOrCmtCpAOdzZeZMa11HKFdSoBkA5KMjRMnPLx8r6rOy8ECRL-xuFSXOLvixI2mJl4uu8ryNpXzCYecR0vN8-uFuJ7weiBA-sJqU_6IZn29Q-ik=w1200|https://lh3.googleusercontent.com/pw/AP1GczPdoQ_ZX5Kv1_0zBGLxEUsfhdyS_PyEButVu9quHlm15oPgVYxrYctuW6DXXKOEb3m5SwVb3ypLhuuGSYcLkZqasf69cwer2npsTCJQZMlu2XfWgCdY=w1200|https://lh3.googleusercontent.com/pw/AP1GczO3mso3h1AHhHS12nsKWAmI7lVF9cfhY0ZHVs6YZ0hh7InrlIDmpelAH9pvUYgWm2ZpFxm_WRELn7pl4RPddf-HczE5MSf881vU7aavaRT5Fik_ymVj=w1200|https://lh3.googleusercontent.com/pw/AP1GczNmdScgfNctvf00c5BWvJEcVYgfVN4Y5V_5R_MBzRgOEVhRKCNDvQ70UKYZ_cT_1Ym0eHaQJ7YQdIeRczUYmllxY9tnz2jm6FIz7llQaswqX8d0J90r=w1200|https://lh3.googleusercontent.com/pw/AP1GczO6gEnjG5sUBv88bukHBEOfIiodXlS5bnsk1F0WyqGBSGFQsAnTJfjDsS6C9hhB5BV7O0F9y9R3V4HCidRNF-Kl5ybf5ABQcPyFSTvpkj7g3Y2JvVzO=w1200|https://lh3.googleusercontent.com/pw/AP1GczPlJpJtnl44--jCMXJK64cH4tuOSxsRCurKqRDbXQnGB3NL23WJ3VAWhoS_yRH9YgUnstCwEz5wMrmwM8mZ3oEW7zh_cHYaUD2-HVxV1br0tC6jcLZz=w1200|https://lh3.googleusercontent.com/pw/AP1GczO35p69yGP9WMwdB2gXCkszV5VAbp4cpv0jAqACh8FP75SwC_Q2wOO8Ep9ZQBD1wp3Xwt9VuVCkocBi-ijBBLr2ModEZru2k8lUYAeNBbKBW0p_C_K9=w1200|https://lh3.googleusercontent.com/pw/AP1GczP1V540zkmsBvxVc7g7wIXYwn7DqY1DaS-HQ-MCxvJmTIP7D-e-O32hWQ2PeoqOjxXPC59h7fjjIRUUjBxGUksGdmyeheFaYv9KFZJnLYHPR1rSyRq0=w1200</v>
      </c>
      <c r="AJ230" s="46"/>
      <c r="AK230" s="46"/>
      <c r="AL230" s="46"/>
      <c r="AM230" s="46"/>
      <c r="AN230" s="46"/>
      <c r="AO230" s="46"/>
      <c r="AP230" s="46"/>
      <c r="AQ230" s="46"/>
      <c r="AR230" s="46"/>
      <c r="AS230" s="46"/>
      <c r="AT230" s="46"/>
      <c r="AU230" s="46"/>
      <c r="AV230" s="46"/>
      <c r="AW230" s="46"/>
      <c r="AX230" s="46"/>
      <c r="AY230" s="46"/>
      <c r="AZ230" s="46"/>
      <c r="BA230" s="46"/>
      <c r="BB230" s="46"/>
      <c r="BC230" s="46"/>
      <c r="BD230" s="46"/>
      <c r="BE230" s="46"/>
      <c r="BF230" s="46"/>
      <c r="BG230" s="46"/>
      <c r="BH230" s="46"/>
      <c r="BI230" s="46"/>
      <c r="BJ230" s="46"/>
      <c r="BK230" s="46"/>
      <c r="BL230" s="46"/>
      <c r="BM230" s="46"/>
      <c r="BN230" s="46"/>
      <c r="BO230" s="46"/>
      <c r="BP230" s="46"/>
      <c r="BQ230" s="46"/>
      <c r="BR230" s="46"/>
      <c r="BS230" s="46"/>
      <c r="BT230" s="46"/>
      <c r="BU230" s="46"/>
      <c r="BV230" s="46"/>
      <c r="BW230" s="46"/>
      <c r="BX230" s="46"/>
      <c r="BY230" s="46"/>
      <c r="BZ230" s="46"/>
      <c r="CA230" s="46"/>
      <c r="CB230" s="46"/>
      <c r="CC230" s="46"/>
    </row>
    <row r="231">
      <c r="A231" s="87" t="str">
        <f>IFERROR(__xludf.DUMMYFUNCTION("""COMPUTED_VALUE"""),"103")</f>
        <v>103</v>
      </c>
      <c r="B231" s="46" t="str">
        <f>IFERROR(__xludf.DUMMYFUNCTION("""COMPUTED_VALUE"""),"Casa campestre en conjunto Canaan via Ceagrodez (Rivera)")</f>
        <v>Casa campestre en conjunto Canaan via Ceagrodez (Rivera)</v>
      </c>
      <c r="C231" s="46" t="str">
        <f>IFERROR(__xludf.DUMMYFUNCTION("""COMPUTED_VALUE"""),"Casa campestre en conjunto")</f>
        <v>Casa campestre en conjunto</v>
      </c>
      <c r="D231" s="90" t="str">
        <f>IFERROR(__xludf.DUMMYFUNCTION("""COMPUTED_VALUE""")," ")</f>
        <v> </v>
      </c>
      <c r="E231" s="46" t="str">
        <f>IFERROR(__xludf.DUMMYFUNCTION("""COMPUTED_VALUE"""),"Canaan")</f>
        <v>Canaan</v>
      </c>
      <c r="F231" s="90">
        <f>IFERROR(__xludf.DUMMYFUNCTION("""COMPUTED_VALUE"""),6.5E8)</f>
        <v>650000000</v>
      </c>
      <c r="G231" s="46" t="str">
        <f>IFERROR(__xludf.DUMMYFUNCTION("""COMPUTED_VALUE"""),"$500'000.000 a $1.000'000.000")</f>
        <v>$500'000.000 a $1.000'000.000</v>
      </c>
      <c r="H231" s="46"/>
      <c r="I231" s="46"/>
      <c r="J231" s="46" t="str">
        <f>IFERROR(__xludf.DUMMYFUNCTION("""COMPUTED_VALUE"""),"Sur")</f>
        <v>Sur</v>
      </c>
      <c r="K231" s="87"/>
      <c r="L231" s="33">
        <f>IFERROR(__xludf.DUMMYFUNCTION("""COMPUTED_VALUE"""),3.0)</f>
        <v>3</v>
      </c>
      <c r="M231" s="33"/>
      <c r="N231" s="33">
        <f>IFERROR(__xludf.DUMMYFUNCTION("""COMPUTED_VALUE"""),2.0)</f>
        <v>2</v>
      </c>
      <c r="O231" s="33">
        <f>IFERROR(__xludf.DUMMYFUNCTION("""COMPUTED_VALUE"""),2.0)</f>
        <v>2</v>
      </c>
      <c r="P231" s="33">
        <f>IFERROR(__xludf.DUMMYFUNCTION("""COMPUTED_VALUE"""),1.0)</f>
        <v>1</v>
      </c>
      <c r="Q231" s="92">
        <f>IFERROR(__xludf.DUMMYFUNCTION("""COMPUTED_VALUE"""),1200.0)</f>
        <v>1200</v>
      </c>
      <c r="R231" s="92">
        <f>IFERROR(__xludf.DUMMYFUNCTION("""COMPUTED_VALUE"""),370.0)</f>
        <v>370</v>
      </c>
      <c r="S231" s="87" t="str">
        <f>IFERROR(__xludf.DUMMYFUNCTION("""COMPUTED_VALUE""")," ")</f>
        <v> </v>
      </c>
      <c r="T231" s="46" t="str">
        <f>IFERROR(__xludf.DUMMYFUNCTION("""COMPUTED_VALUE"""),"Rivera")</f>
        <v>Rivera</v>
      </c>
      <c r="U231" s="87" t="str">
        <f>IFERROR(__xludf.DUMMYFUNCTION("""COMPUTED_VALUE"""),"2")</f>
        <v>2</v>
      </c>
      <c r="V231" s="46"/>
      <c r="W231" s="46"/>
      <c r="X231" s="33">
        <f>IFERROR(__xludf.DUMMYFUNCTION("""COMPUTED_VALUE"""),2.0)</f>
        <v>2</v>
      </c>
      <c r="Y231" s="46" t="str">
        <f>IFERROR(__xludf.DUMMYFUNCTION("""COMPUTED_VALUE"""),"No tiene")</f>
        <v>No tiene</v>
      </c>
      <c r="Z231" s="90" t="str">
        <f>IFERROR(__xludf.DUMMYFUNCTION("""COMPUTED_VALUE"""),"No aplica")</f>
        <v>No aplica</v>
      </c>
      <c r="AA231" s="33" t="str">
        <f>IFERROR(__xludf.DUMMYFUNCTION("""COMPUTED_VALUE"""),"No aplica")</f>
        <v>No aplica</v>
      </c>
      <c r="AB231" s="96" t="str">
        <f>IFERROR(__xludf.DUMMYFUNCTION("""COMPUTED_VALUE"""),"https://photos.app.goo.gl/ht8dcbUxpU3pKCLm7")</f>
        <v>https://photos.app.goo.gl/ht8dcbUxpU3pKCLm7</v>
      </c>
      <c r="AC231" s="46" t="str">
        <f>IFERROR(__xludf.DUMMYFUNCTION("""COMPUTED_VALUE"""),"En su interior, la vivienda ofrece una distribución funcional compuesta por una moderna cocina integral abierta con isla y gabinetes de madera, sala, comedor, 3 habitaciones (dos equipadas con aire acondicionado) y 4 baños completos, sumados a un área de "&amp;"servicio con patio interno, cuarto auxiliar de ropas, bodega y depósito de herramientas. Sus zonas exteriores están diseñadas para el disfrute y la autosuficiencia, contando con piscina de 5x4 metros, área de café, zona de reuniones, parqueadero para 3 ve"&amp;"hículos y una variada producción agrícola que incluye huerta casera, cultivos de plátano y yuca, así como diversos árboles frutales (aguacate, cítricos, guanábana, marañón, uva, entre otros).")</f>
        <v>En su interior, la vivienda ofrece una distribución funcional compuesta por una moderna cocina integral abierta con isla y gabinetes de madera, sala, comedor, 3 habitaciones (dos equipadas con aire acondicionado) y 4 baños completos, sumados a un área de servicio con patio interno, cuarto auxiliar de ropas, bodega y depósito de herramientas. Sus zonas exteriores están diseñadas para el disfrute y la autosuficiencia, contando con piscina de 5x4 metros, área de café, zona de reuniones, parqueadero para 3 vehículos y una variada producción agrícola que incluye huerta casera, cultivos de plátano y yuca, así como diversos árboles frutales (aguacate, cítricos, guanábana, marañón, uva, entre otros).</v>
      </c>
      <c r="AD231" s="46" t="str">
        <f>IFERROR(__xludf.DUMMYFUNCTION("""COMPUTED_VALUE"""),"Ubicada en la vereda Los Medios (Rivera - La Ulloa, Huila), esta casa campestre totalmente remodelada se sitúa en un lote rural de estrato 2 de 1.200 m², con un área construida de 370 m². La propiedad destaca por sus acabados de alta calidad, que incluyen"&amp;" un amplio piso en cerámica de tono claro, muros interiores revestidos en fachaleta decorativa de piedra, elegantes cielos rasos en PVC brillante con iluminación LED empotrada, puertas en aluminio de tono azul que conectan con el exterior, clósets en made"&amp;"ra de pared a pared y una cubierta sustentada por sólidas cerchas metálicas. Además, cuenta con una infraestructura segura e independiente gracias a su cerramiento perimetral de malla a dos metros de altura complementado con limoncillo y concertina en la "&amp;"parte trasera, 7 cámaras de seguridad, lámparas solares, aljibe, pozo séptico y tanque de reserva de 2.000 litros.")</f>
        <v>Ubicada en la vereda Los Medios (Rivera - La Ulloa, Huila), esta casa campestre totalmente remodelada se sitúa en un lote rural de estrato 2 de 1.200 m², con un área construida de 370 m². La propiedad destaca por sus acabados de alta calidad, que incluyen un amplio piso en cerámica de tono claro, muros interiores revestidos en fachaleta decorativa de piedra, elegantes cielos rasos en PVC brillante con iluminación LED empotrada, puertas en aluminio de tono azul que conectan con el exterior, clósets en madera de pared a pared y una cubierta sustentada por sólidas cerchas metálicas. Además, cuenta con una infraestructura segura e independiente gracias a su cerramiento perimetral de malla a dos metros de altura complementado con limoncillo y concertina en la parte trasera, 7 cámaras de seguridad, lámparas solares, aljibe, pozo séptico y tanque de reserva de 2.000 litros.</v>
      </c>
      <c r="AE231" s="46"/>
      <c r="AF231" s="46" t="str">
        <f>IFERROR(__xludf.DUMMYFUNCTION("""COMPUTED_VALUE"""),"integral")</f>
        <v>integral</v>
      </c>
      <c r="AG231" s="46"/>
      <c r="AH231" s="46" t="str">
        <f>IFERROR(__xludf.DUMMYFUNCTION("""COMPUTED_VALUE"""),"Verbal")</f>
        <v>Verbal</v>
      </c>
      <c r="AI231" s="46" t="str">
        <f>IFERROR(__xludf.DUMMYFUNCTION("""COMPUTED_VALUE"""),"https://lh3.googleusercontent.com/pw/AP1GczOn_pyqcIeT38iNByoas2saO6OPlBYSPcSJXxBTeSpXfKCIOHGsYN4jcRnu83qYmpA-pQ7-x6JwjXp8DwOlykVQ6ilemN6djBNwewBqd9jc7645jEWu=w1200|https://lh3.googleusercontent.com/pw/AP1GczO8dws88Dqy-hrtytLYUENuWEF-467xJIWtehLpyFTcdjjgSJ"&amp;"eHo137tID6q-9unwjlUVLaQ8Yib1K_KbhC1_nHbmZGS16J1sTE9HEiqpUvPQRO00oO=w1200|https://lh3.googleusercontent.com/pw/AP1GczPasJo-oyYeSU6XFVhybL2gdiY5ZADwV1K5AuRhz7Gl4p8K2fViNzsRIUt7gyX70DlmQsEqCmrXiE6qclz-uBedxPz3N0SBzk87AWGaMJcX2RnsWow-=w1200|https://lh3.google"&amp;"usercontent.com/pw/AP1GczOMkeO0aZa785rfNGyQ_VMiAcelS6YUkOb0bWpj7nARJfZcPtEZe8uZPd9KHecGZundnNc5aF1a8c-gHw8AHdYjsziX7r2nxlVmpRQm547-k-qy6SDR=w1200|https://lh3.googleusercontent.com/pw/AP1GczOio0cH83XjvVjhA_-jJ4T0a38RCzV2P8paLkaN4-O1VavGqBC-3ejkSVx5Y45bz7Si"&amp;"F33SqTVG5c-GLKhx74JtElhV-WN-e8XdBkMs_ziPr8yGac3A=w1200|https://lh3.googleusercontent.com/pw/AP1GczPb8f-A-9rp6_9ZuMTlQWfCE8FLM7WhBkyATUcfU_STJC_kWz9BPPFtcdX86FyjZLMn06urHkb5UMEdN-GG_MOAAZzpid5YYK128znHDiUHbYTGGYp7=w1200|https://lh3.googleusercontent.com/pw"&amp;"/AP1GczOOw6AFMlsNQNxg8Ht0GBwFQRpE8bMLInA4xIqjPDWMKddOD2P6PyjzGxd1InkLY9FymWT5f_ZkA0jTjMAO8yGafAKqMR3z7zeZdvg26jXb9KEwfyl0=w1200|https://lh3.googleusercontent.com/pw/AP1GczPtf2Ir9UaclFkQ1GyVLAY_OS0zOlF0D9UY6B8L5ahl-KbqZTnGMoVDN49_ine1HhqaNwLdJ5cI36XZbJU6Uq"&amp;"793YSOBuVdHHXio8egPmIVVLCBYwnV=w1200|https://lh3.googleusercontent.com/pw/AP1GczPXvT5eSju2HIydLbEj7pTnTL_XQndq1AgobsfVOQaiZzbs2fskr5XkYE9JFQVFdYrV5BIfVmpt1BeWQa6rWFDa03hoIaddl_e_8bTZ_Z47LIsuZKNG=w1200|https://lh3.googleusercontent.com/pw/AP1GczPF0X64iCuYU"&amp;"uI72uyqLS6jzjKsHFFviQ3UpmPeb_gJ5gCB80T8hSNSZoCpGtmgF5z_O-vOYv0Q8uvP9ZcW8DV0pCEA0a_OdYDzL1mWi8RPgBLRrG6Q=w1200|https://lh3.googleusercontent.com/pw/AP1GczMWXXYD2ODdTHmkGRTwOS6-7guYFtVODmeAvwsfAlp3fiiE8bc1JDk0R9K6XdV4n9KeFEP1HBBe9L6aYjoAgTab2g1AmOZNbxTLHxHq"&amp;"GzSi33ayKyDQ=w1200|https://lh3.googleusercontent.com/pw/AP1GczMFdjgSvTFMaO6dHUO8bA34RImGdfVFOZEq6D4gIOR7whADOwCbpPPOAxKgLqn9wdZjeWElA6K6fhbTX9KeljSnwHc4ILiaPm27kV5t1zXsbbOPiHK-=w1200|https://lh3.googleusercontent.com/pw/AP1GczNPWQmUJmT8-8g_JQSNiCyslUU3aNx"&amp;"eX_Rc6f3HghnL46LZR1MfKw_kNgzTFmHwFBVry0WouY4ZktPGfNRU9C7WURkqFCtGOlYrmLFUt6yIJwkp4oRq=w1200|https://lh3.googleusercontent.com/pw/AP1GczOqxaLW0XQxnNks4eEdJutfTxlSlvHYSrls0yQVDoaX8JvIz39-O4exlZypgcKAZbicy2aZOVVRJDWYubGFOqLCsa5R7dUzR_EI3ta12RAO1ENjl8km=w1200"&amp;"|https://lh3.googleusercontent.com/pw/AP1GczPHEgxi99FI-NGX1DBH1eJLj4nht-WvHQv_CwpYBephxyncXP7LRC5XyQKlra3szQraJ3NnYNiwc8WpTcnK7fcurVek6JsLu1U_wTp5XQjd9DCkhuLe=w1200|https://lh3.googleusercontent.com/pw/AP1GczNKc-auhIJPomFBu_j459OD3Pu2na-z7s1lcxS4xyp-MPKDN"&amp;"r523Sfwr_FWYmkde4SdB2LdrZfKk3LYpxNCgKgzNl4cVNjckdW2zvBsUEtFqvvN4kkH=w1200|https://lh3.googleusercontent.com/pw/AP1GczOWFLNIwt4q9sEbLP7fq61DvpzmsWsw5Wn2IAzjLbfnm-wkqEWM6bOX6IpIxxSxUutN_k0OCdGaw8mqp3ga2udAzEwnqDxL83QSAZf1_cNeJg4ub9Yp=w1200|https://lh3.googl"&amp;"eusercontent.com/pw/AP1GczNVDBu0jIEHdU8T5qbLmxWF4AmV_-YiboBT1XHpZv9cHjvJXRsDjsvmRbjh7gWInhBDoEhLek7rVvtKq8wBVR2IaxIfxOzU9br5IVXpsS1VmM4ng4e9=w1200|https://lh3.googleusercontent.com/pw/AP1GczMqsbOSZvjn-Mu9PUxVa4hnytBBYoyBnixt8p7EPbArE7T3pU5tlu5rB7oF_sTt0Nv"&amp;"aT0B8IF1J3HmrfcnomL_goi5yCv-VPZtyj6NGWtgjgcl0mhbr=w1200|https://lh3.googleusercontent.com/pw/AP1GczOC7NX_N9-6N1t92GMnwXB8ySTTxUZd4egB_hhVKZgwCdeBXspSdSTXY-_pkYP8UzPOES-xDn6fe5Z5qMqjWFpvvDv3b9W79o38n-Y-4kHSVT1l5I10=w1200|https://lh3.googleusercontent.com/p"&amp;"w/AP1GczMgM54wZWW0ivz8O26_W53YJ9JdSDPLfOL6Uh-u0ZJOAdxOoC7umNj-rME3OVK_KYlhnVmvm8kPpHkE_-yQDy_e7BZHGVXgmJV3s9b_I23p18mz3tHU=w1200|https://lh3.googleusercontent.com/pw/AP1GczN8rkRzcxviyMUUGHN8vP0_mUrVy054qb-wgFeSbtovoyJmAkXM5ChBwmqvCtBesWHRW_d-htlJrI0wh-IvV"&amp;"Qf4jZht6uyr4DJyLxnCJ0pjpMICxN4G=w1200|https://lh3.googleusercontent.com/pw/AP1GczOduIlJSn3YC-KKG0OezE0kddsciQWyNoo0a7ODwBzC251i_CfJeA6fudcRMRBfxdAjrZ_-bxqYKuWSUNu50wSNyk2berPhgdNPb1ZRdaiBOQFLCnRL=w1200|https://lh3.googleusercontent.com/pw/AP1GczMmh3gbtRR8"&amp;"sd1COHWECG5yWAezyjpTr-73s3DQ1ZU5Oe3dBKJuSQ-OGFj9EiFDyrYYuZtoHdjTi5gAkjhoykfzE1XbFXhCn_a3m4AW-vKWTxK5rRbw=w1200|https://lh3.googleusercontent.com/pw/AP1GczPsW0aahr5zDmReYd5T47yGrSiQS6YECIwn1JTjtJnalDCAmO_7NSCkW-Ptf4mgp-MuWZRCSx1_CI9Ail7yGuOHdqBgIfxFhnocpY-"&amp;"hDJjNATanZO-w=w1200|https://lh3.googleusercontent.com/pw/AP1GczNDtcpidz65UHjkI4LK1PdOEk3u8XlgdVP8innDIfxNf-2Tv9SZ0tR5zsk9sbsv5XWBrU5ZTin6dCR8cJrQorf8dHFu4TMOuaGFwWzXtZAax5_q5vAZ=w1200|https://lh3.googleusercontent.com/pw/AP1GczNAZBCwHEa1lVYCxjdKxbWZwTWIvv"&amp;"F55ssGKNpRppJLwI1QU0C-_csfrXBDpxbKqFVCNiaHqB2cfNotI8tuFXIbkPAzFzp7rLZWdiV0p_G_COiuSOJs=w1200|https://lh3.googleusercontent.com/pw/AP1GczMSq4PtsPbM8bZGKdKIOOV0xNcMb97-utMgwaTDnemMKHew6t51RbnO2OPcEbyEvAWbhRik4txzNZZtAe7RJ5kR4uIqB5ykyFwipw5O-eEwyGLu_AWH=w120"&amp;"0|https://lh3.googleusercontent.com/pw/AP1GczOBZwlI166dLlXlzS4Ff2iimv8BzsuIdrwv5DTH8JreHAwaJpBR-CGViRH3_AojrnOoWPUMydKtOem6bLaqexkn31lroPK1BWdAZsPU1R6b1-GFNEPa=w1200|https://lh3.googleusercontent.com/pw/AP1GczOBvmH9YLglbwiRdasdc4MHDkjQ0_vQGuAh_piF2HFZKYsS"&amp;"q_xvOuOROGCHVLBAQrchmXxNfv4CTGDNVM_M5MEXq8mdvtiAGe6jhlbI6XvXZUs2dMfM=w1200|https://lh3.googleusercontent.com/pw/AP1GczOoIu1eZj9UHfi23sDwfjZ9h2sCwzAvMbzrxdEJuy-a5pS8YQJLyVewuvr9ZGPB3ThdoakciN6imyqQbE-dhJ-Tj28NGfJoQcp0h0r4pxcDUs-rI9zx=w1200|https://lh3.goog"&amp;"leusercontent.com/pw/AP1GczPSg5wAS0kS2qFqpRHrhkoDDNLz-RGllJxEUXAwZBg0dKYHhGMDtzNmXQb9wqJhmExM3HGwGDVzVG1enyFP33NcbxNCoK8Gb7d-kLAcf-azU3_FhDJZ=w1200|https://lh3.googleusercontent.com/pw/AP1GczMkLjKFJ5H-hSxIv8JMiAJrVOyvQ95ncffIgOAVnuBOym3C8bcr7zhpWO1is4O7Ma"&amp;"HU6O-K5NLY1r6lbV8z_Ct-7MAAIwh7FPheOb_e_JuLwllwJzCQ=w1200|https://lh3.googleusercontent.com/pw/AP1GczPTSqksWduqLSJYqJrkNtZBoDItolXczvlMWu4K1mMEbYofneYrf1K5JDdhvrkfeyzYQV3NSxa0Cw84Y3W8Y9RisAkKkEJXoXLfj-BJaOvXz8vaw82T=w1200|https://lh3.googleusercontent.com/"&amp;"pw/AP1GczP6HcF177MQ22yTaJAva-bpQKpKfS-EhWi-Ntor16UVNvSie4VsisPbSPAcvNOTERvpTaLOx7U2dBOp9SACsdlrAvz57NTSXkpm3mrNslo4lnjyVYez=w1200|https://lh3.googleusercontent.com/pw/AP1GczPzZ94mkLP-bMKGoDEQgivcwpe37wEU2nB3gbmKC3Sb9ueaFRi9PQjrCjfCh32G-DWpCT99eNA5hd2Va5SC"&amp;"AnxECyevUe8spXOpVxQLW1VcgbtZ2QUc=w1200|https://lh3.googleusercontent.com/pw/AP1GczPUVxqti49u_fCmAGU7DwZHpVc8ECGX5-A39cNqI34Z98zAbWCgzw8gGLgQIa5qglhpLEEZ0NqWUQYVBH_iIoDFjn7NCH_4ku0Yhqb4wpXzgAY4lZn_=w1200|https://lh3.googleusercontent.com/pw/AP1GczOjm7Q2JaU"&amp;"9RadTJPNLvL8KNv5MSnL4o3JH34RQWj1UOC5v5YmMIPNHqbyT2u9QlBrgjUFKk5LE-_yo0OGZw8yq-kcg5ebBUt8SsIJ4Bh2-_J5nsjEV=w1200|https://lh3.googleusercontent.com/pw/AP1GczMPO40kbQlQDUDMN_zhdjZ_7VE9eqykhv9Hz2XYGjL6Chj5SiWnXszKQVxJNNuUZA0wbtgKI7ZFgl1mfL33FWhb5jj888G-_nKjkF"&amp;"aphNtETo5TJgO8=w1200|https://lh3.googleusercontent.com/pw/AP1GczN1bZcme5ClqwZFA8B8p0Yz1dEAwBazsvYABuM7fNq-WyyzvsOD-zVHx1sOxoQsQe49zDdOrEpc1EFIdmKwMVi_knkiRQTTQtXjpFOGQqH8cEDunWwF=w1200|https://lh3.googleusercontent.com/pw/AP1GczP3Q3tDMrePgDY0-iUoBrIva_cm2"&amp;"1tVJfXzGmCBTo5bao-xCnaONAvSTzZtfs5l1qhUIFmtxIsjMWQxuU42XNsIaYjamC3rGP9udQLoB9B9ZJmCPKq0=w1200|https://lh3.googleusercontent.com/pw/AP1GczMXgDXxodMQBgSIE6mTPtiq4911uSqQ4a1_rbZMfQ902dUw_ZtLjVGaUbyiWFhv1Bjnk6dclayYyecNJl98lj4OXysn8jgz7bYEGZT7qG19z0M3u6S2=w12"&amp;"00|https://lh3.googleusercontent.com/pw/AP1GczPVBFE_16hT1hEivwQrosW5Iko9jZhsuvRMjv6yq_yQPd8ujEaqJzWgrMqr5gXcmkiUU6yXbnHXU9UEFkNOmLL-dCMDQkqTFBR81MDAnoI-xoqAvRx8=w1200|https://lh3.googleusercontent.com/pw/AP1GczO1ovlAP2q5NBBFe4fzXFqEfVa3noG6vKi_xPaPV3P0EyR"&amp;"HYuHzYpO7n_VsIwmZ6ERdUW0eKC8GcTQs913JSNrPy4HrpcD7suCPYvSXzYUNddSgH6fK=w1200|https://lh3.googleusercontent.com/pw/AP1GczM9KobCUpDh90bBYtFrkG9M4rY21xapZnmZW0jePfZzOpTkPgy2TswDr2UHIaiYTTlc_VxViGGGen5xEczbrMl0GnO8jkt-NBkLCKZH2LxTBqjKoSO0=w1200|https://lh3.goo"&amp;"gleusercontent.com/pw/AP1GczOtJryqjRbSa0cJxtX7ReXVTybEMNRdOfIkaf_4gdG9DR0JdbtWt2em81kBo1brs7QM1beGCYGChA-xmwQuJjNtnTJjm7jA1-V_QWHzLDezYn2WhN93=w1200|https://lh3.googleusercontent.com/pw/AP1GczOZWSHLfubpnOwvkDQLy3V53C594WBytzE8j0_JbHl7M4pJvpIow0LoG9HhqTkTr"&amp;"YDYLLzjn0AcuDRV7nXHZMxEoPJ0nB8pIEJlrOtpUwk2_E7x7TYC=w1200|https://lh3.googleusercontent.com/pw/AP1GczP5xaJ9y_3OIwLg-giyqBUBoy6SQYZk_BT5NdtNmVQlDDP6Z3xNb3bLT8t3eyD4OM43pKnu7Dibpy_fAmyBG2joOTrILdUEyzR-FRFchErlJPBUOiGj=w1200|https://lh3.googleusercontent.com"&amp;"/pw/AP1GczOId6lP-Ed_y6foG7mbPSVSS0DuENXji8nouGXolnIE9SGbcYKeyCyqUrLiwBc32xA8QX2bwPxYmNuXAR1VaksJIBDHnRnIZLzuLmlpyzLjNMDvD2yH=w1200|https://lh3.googleusercontent.com/pw/AP1GczNmTX2ACouqHgD4UGWoNJHURf-T-G3yH19JnyzI2c2HxuqbwBISPxY9jlDkHhmxur1kar6tdrUEhqVD9Sy"&amp;"0_THUEXJtToeqGPnFLSLHIRf193j2LDRd=w1200|https://lh3.googleusercontent.com/pw/AP1GczOeZSpXoaeRUzvnVUCG2CKRPaZ1OteBk5BSjUOx5NQLys-kfxapum2Fh3azTT4rcFb49dubDATGA5i81ofFeE-2Pq7pqE0iXNCBesAEzrqUl1Ds9XBR=w1200|https://lh3.googleusercontent.com/pw/AP1GczOv-sPbjn"&amp;"2f0cbaWxkXaeNi7Yq69Zw13c-KqwDYcvoIPxGYoheiM2wIP1pqBcT8G8q5-RLfY7Z94yh70LKtIW_F3yQE-fsaYfz60YpsspRs1c0oQb1_=w1200|https://lh3.googleusercontent.com/pw/AP1GczMBVbCmhZuPRZulcRcGd052oOb-1O7M5oWXLt5mVhg8g_cnRDZN7KfCmTORner9cZz0J8X3QkrJEDMW5zrUc3UoJKLwlax16-V7t"&amp;"zuqhYAGwU5HYDef=w1200|https://lh3.googleusercontent.com/pw/AP1GczP-iyoJdFZCtk1zlGbqgo9YLwzRw8WzTct2nN5DIB4gy1xCnA4qM9NIHuHg6TXugJlfUSEMOLbaxrp2MWuaH5UrUnP0bZYM6tThdMw6N-nbCuEcPeLx=w1200|https://lh3.googleusercontent.com/pw/AP1GczMV6OqUVZHPxYkmSGLHwARgGf_B"&amp;"tUX7q-9hpbOAsepFtOByUvGPYaZ_lHNFLUW_TBaA2q06Y7-yPxqu01dTCFlCfZaiRYHmn5038GvuSbDbfcQmAQsO=w1200|https://lh3.googleusercontent.com/pw/AP1GczN6T0Qd3HfEfiDPvc3l77kekmFTNP6SgtYP5srqyXK6Xm16U0cpAHdV1HV3CHjV8k5wL5aLRscteraHle3Q9KRtvoEStzK0z54tUDz-8sy_k2Qm2DiT=w1"&amp;"200|https://lh3.googleusercontent.com/pw/AP1GczMsFj062DzeNPO9d0MSeebL06xrIk04yBF-Pnl7TCBODvK3vDW8Si68XNPLvNbHvx6LkY-LPC-JbQjTY8plufNvjzuE4KoBS2WiqlqFu-sL0G-hyriJ=w1200|https://lh3.googleusercontent.com/pw/AP1GczM24NMK6HL_isyBL7S9gG6kN9uDHu9pa1d0drnyhSNGTI"&amp;"NMsTlb6JAD1lj0chtySUa7j9ZI1LquC9HhE8E7k2Ff91SeTTtIjSUjpA3NEtS-RlxIFyxe=w1200|https://lh3.googleusercontent.com/pw/AP1GczORz3jUMO51Zc35YnplFdMNYSrPhkWc8zXtd6-c3Xi94efImZgrRDjSxypAsEGN3WOUbvz9eRL3C0vbqPxPxUC9e1c2-bmeVIB5zE26s_eYKYQrBPd7=w1200|https://lh3.go"&amp;"ogleusercontent.com/pw/AP1GczM7DPGbZ_rGADp5aRVLc0O2qjgIBrmi1u3J1Vh0CNOvPEpOJ6vy1RrNpncTVQ2ocj5vE4M_ad_vixTChmYusdVrTDYYeOlbtRAOpzLJOyNqSBHNcyNN=w1200|https://lh3.googleusercontent.com/pw/AP1GczPKzC4OWZj-_yrflTpwQd9uUF3ra0K9slWBK6byeje0sphnWbL0TlIgaCVfZ5Ga"&amp;"ou1ME1-Kg7d4vLU5oBykT6P5n3tZL6JlIyephf1_OEEXDk3_rQLY=w1200|https://lh3.googleusercontent.com/pw/AP1GczNq3v-yfyKjaluRRsQxzu9IIRG1BwspAs3khZW8KJ-VT30BEhzzlQwyS06KEejIV782BEsLnqmxUDLAodphZZDbQD_F8mHNe1hS8Ah9G-vC5BC299wn=w1200|https://lh3.googleusercontent.co"&amp;"m/pw/AP1GczOVj8xomccIIiQ0CXqXgkPQUWkYFuoAalyikd0o_G2px9wQwki8NKkivjTEIVr9rdLn3CWtAK7AB10xAU9F69FpSB3FuwgJgH8pEo97Aph1VvdgUMAH=w1200|https://lh3.googleusercontent.com/pw/AP1GczPAi4zy8TonC2vBbBHZz7BSXFBjyPfgDQkLepH0v1Rj0uzttH1ANrqJk8fotVyF9Wp9JMntlZEXdH5bVs"&amp;"pZAIP4F_ZTc5t3o2BIQhL8yJ098Km_cxkD=w1200|https://lh3.googleusercontent.com/pw/AP1GczOKlJ8Sg_Q5qVK26Ch8jt5EBvs4mgaJfdp0g1z1dPOsxcuUk3kuDMjg8YTddO14pGdzriHSkvlpntL_Irc9TASMHc6D-BFgCpeJssFlT7UTHCk08JA2=w1200|https://lh3.googleusercontent.com/pw/AP1GczP3G6y_I"&amp;"IlNqeGpaU6AnmZqjCJamVRPl6SaxlpFoaJe468Kyu41KUJfhd1vm0RkaWV1sbnrSJbG8jpxwT3dy6Dz3FltaAP2hsvgk8bbLuK-jjO50C2T=w1200|https://lh3.googleusercontent.com/pw/AP1GczPTH_bcDx5kGKKc9H53GkMJn11V7coB2gKH-m39cdypCQPGh8qd65r9DUR7qYcxDPBN7npCRcTaRSpzaW0Kip616hIGAhYAclOy"&amp;"YYgG2lcs4Zzg8wWw=w1200|https://lh3.googleusercontent.com/pw/AP1GczPZURiZ1HjrrKQ921hjYwYutXg-kuZgmu1V8f_xm-ZhxOARViZqv9WrBP7DLZZA_2hto-xjTMCSUmyVzBD0ySUh98Dqnbb8PZy2FplJBGBXIDDmd9ib=w1200|https://lh3.googleusercontent.com/pw/AP1GczPswN2L7pVLonkVFrWaU7dGMGm"&amp;"obTCUToKNlDKJaTS5OFgdk4EtBNxM-PuWCjE_SWVt4R8JMLJjkF04FAIHvvmO4lAAZnV5W2hnajNpi7nr7x6squ3O=w1200|https://lh3.googleusercontent.com/pw/AP1GczMX9m5l4reKvRABveGWnOh_lxPrazJFxjwwrb7Ym1ESf9qhh8WRRgf9weauxtDvjLRSZOqHxI8Z1G2qOjgJlcM6HsRg39fN3_Td3ZXd0mevxdGMF16A=w"&amp;"1200|https://lh3.googleusercontent.com/pw/AP1GczMy8lS7EQEI53wNUK4MlJ8MTlnUOGRFjt1OeU8-zaR5HQfB_X2VmRS8GGudAxjZq_r_OaRT0YIg2MkgAaN6EjBLkPSHa6UDzxWX48J-KVoG3EPD48nQ=w1200|https://lh3.googleusercontent.com/pw/AP1GczOjzpLU2hJFlbFuad6FTZFQZzyQisKxAAsbkstI6FT0S"&amp;"9qT1ZV7gdln11dAEmyE2OwRINjrZNC1UBdOtOs7bpD-ErfSduPBDrxUP050A3SPJMfqIYhJ=w1200|https://lh3.googleusercontent.com/pw/AP1GczNrIMd1yMIJ4mQz8QbmevvbHM-z7lB-9tbjjdXYlTlnWZ5lnEm2JFVfjEYixy1Me6jsdxF7CCsyEOJfig2oS_AqNhPZQe4SzD4fk3Gcge437yT7-926=w1200|https://lh3.g"&amp;"oogleusercontent.com/pw/AP1GczOK4oS15ndWQPmZI8YYHZmzXyN1A8QwzyfvE7khamOmGhFOxxaYlxAVMHJlhqxx9imbA4TxqrMc75_v9xgjKwc7xV0LbLAd9YN-X2yr_gfyHnBb-E2f=w1200|https://lh3.googleusercontent.com/pw/AP1GczPP18DGsshbZxeNPWC_acHMXmFD2PEoHkAGnjCdoKiahnZSTtM-5xPjdxYAxCx"&amp;"2zQTeKS3yoXLi6Oc0LBcIgpe_7ExXDUlXzQNM-E8feb77DvHqoKQl=w1200|https://lh3.googleusercontent.com/pw/AP1GczPfFCykoan1IQ982XIIumzpQtcml4ir3iVXII5wG1IBqShPuw1kUD7UmBEu6eSqn1kW9yCntgMnUrYHwBcJU5Q8wnYhKofbaUUVVU_auMiRoMoFK2N6=w1200|https://lh3.googleusercontent.c"&amp;"om/pw/AP1GczOPCcuTHTjaDsInr640Ih-z2P7RppZGjJ9AkSuhIhKGvRiY4UQs6GWlqWaaYtH8ZjUB0-NwXGjcnNGdK9YQ6GXEFXjwM_dSsgC53iWb_QzdKIhy47m-=w1200|https://lh3.googleusercontent.com/pw/AP1GczO_spBtojX1WSXDuH0CoZSDQsgZH6J_wMJl5LGfPmKawfI5hxE_tijtzf9ztkR9wl48y39ZD3yDyRFaB"&amp;"Szdtr_3NWjyjZ-JDsr7RQzO9FqYrBtVF1rT=w1200|https://lh3.googleusercontent.com/pw/AP1GczNbasn_TLCDMyHgbu_5dzB9lKZL6x4As7n2t0WMHxguS43T08GT2Ji2EmAAAWwqwmrO6melvoYQrpkOSh1Tb6Fv9FXw8Iufeju1anIH_f2ZAXmQAFTg=w1200|https://lh3.googleusercontent.com/pw/AP1GczN76tn6"&amp;"dcSEJ3xUyInnTxdhMnTkvK1V4-gc5AFwGwu2ZW24musCh6vFW89YkVY7SSE0CY6c5R39yCuG6WfkNgFksT6ypo43vFx2sp5M4mVUIp1D7l68=w1200|https://lh3.googleusercontent.com/pw/AP1GczPqql9uoyNcVcQmUyoPsZqI9g70VQxZ6kChsEXE-CYtbC9hkPlbXJHlIHr7gJdxJn6Q6UVTejxjWhlKEuarLwCNmdpAdu_Pg31"&amp;"VND5trPKiBxBHmcqk=w1200|https://lh3.googleusercontent.com/pw/AP1GczPnY9lFJSn3jGM3rKrrGdK20DqsL9ylgU7_ybXzGbge4Rkr4e2jv1yI8GKKaGF9MTlONDWiz1IL9OCpfxnDbvrZz2c_9eWui_FqrZwDlOVA0VFr3_Md=w1200|https://lh3.googleusercontent.com/pw/AP1GczOxgCuoozt8g5A0E5tDoqFl1b"&amp;"mqqbvzhiKwyi7o-UaZXz8Ye9PfMgwSB6T6EoSpoIhnR2VsWuNiV2DGe2VTG622Zs4nQr0WlekgasOyebc-W_GwQyEw=w1200|https://lh3.googleusercontent.com/pw/AP1GczPNnV8vegcvMZW-MsxFLr28th4hegmC5kPebdbilgrDz-lQjSEIpTcJ_Yiv10b_cD1dtWJelncQHTqLQ0oW6EgLvyaMYbu-IPPfxpv4Zds9xanOerhB="&amp;"w1200|https://lh3.googleusercontent.com/pw/AP1GczOYDRYqlfLp3n4sc4aw311yKrFGeyHvCyLvdH7xmeJ9QPcKOHKRdBptX0QVJXGmBnxRbU7MoHJsNnJjYC_2fYCDOP4xhzS9fLmTXJ94lZnAaAHIqNzY=w1200|https://lh3.googleusercontent.com/pw/AP1GczNFddG36Hfl7s_7cbf4EUfYg-iQEG0T5NWzA6hVn3lk"&amp;"heAEM1UaEyKRybVZKI9aD0LcmFgGVUgQLsWe_GGSgpPr4XCwp0tJKBkx-203rWaZR-wEcQ_9=w1200|https://lh3.googleusercontent.com/pw/AP1GczOXWARsIL941wV81VXhh9fi4bJjRFo99ngClRY4Fr744ODfdjoOb3hVA8rmJGxMIGjYQeHfl8aAarippLTWLVeaJ_AU-O-j8QMPCsMh5w26sZnrivqd=w1200|https://lh3."&amp;"googleusercontent.com/pw/AP1GczN-jkiGAAgBYuoEQbsdg0hK9rDUJ2ARGDO9fYMAuFXl6_u8wDBMQKnt3HqvhvtUbS1vaxGcv8IP69YMDaYXfvafCr-lYMcBTqYUD6eZsrVN2jTl8R68=w1200|https://lh3.googleusercontent.com/pw/AP1GczMGkfJwYElMw2NI3C1_d4m_QtkpInKi-BXoyP3tdbMuasYYgM5LcT4gBLSxzX"&amp;"jwdIU2Y_72lSOzhgs193Mn2UvhHvUE6YzJmzisU4dBF8HP6llBHSdJ=w1200|https://lh3.googleusercontent.com/pw/AP1GczNptejTA5Pzk3JCGVTz9SChgVO4ot5Wldt-Xe0JA2tW7dONdI4Iuh8dZNzmWd3IRtCBsYflbVZXJQGMq2meMnroM6nWt_WFySkdTfkqL00cXoxQthMz=w1200|https://lh3.googleusercontent."&amp;"com/pw/AP1GczNf4l3Ty-F3NUtZ7u_KdamCE3wIVw_ZqB7LaoMZUw9C67SMRrAX2AhH5MWosglPfFKxsgv7IOR54QxyuABIo--9LvdToN26CQXJbAnWavqXeQyGn-lG=w1200|https://lh3.googleusercontent.com/pw/AP1GczNwm-MseMwD342VD0qFqNeixkNBa3qvGEyGLMzxuYX8Uu9KpQFVlykrKtXNvvQmkJVLX3XnQbxOeN4V"&amp;"n59Sf6ZLezGSvDkrgkTmgzx0xFT2zxc7LK9r=w1200|https://lh3.googleusercontent.com/pw/AP1GczPLLyzeBVlOKylmhUgagsQ0aRBJ5wiIUdlerLwDWuvwe7NJmXpU89aipxoGThrgOc_MVlUnYZjXC0QVJd7Ly4fJOTuOZ478fgPNx_5m6BLfxLN4W1So=w1200|https://lh3.googleusercontent.com/pw/AP1GczN4Ktl"&amp;"1aP7K_ScM7x-4z652pYrV_Rf5a8ffXVxiuZWvPPZ1SIobKZOW_sNh1Z87E-LaeoWGFceh_J4-OdrddAb3MUZV8Gfm1rJmLPC0E0gd1LT70ug_=w1200|https://lh3.googleusercontent.com/pw/AP1GczNk2dYTu-mqR8ZyNRDmKIhtb7_l0J04eO4f19U_Ry00gFQEGQZPoEdyhjl4CKrg4YlGDpSydoX-upa-hTdpX1nIuPTWm970Jw"&amp;"CrM4eHqbQ2aXuaLMCg=w1200|https://lh3.googleusercontent.com/pw/AP1GczNqovFXpPyEOZ7qd70tKHPiOvdkNd0Gr7zei_JtmJyEHhIu-aNlAUR7jDHcOIZBDDMLM4NU60L3XtL4tTUS1zArD8jsOC2HB2rKDdRwYWa1_QSd8NRH=w1200|https://lh3.googleusercontent.com/pw/AP1GczNRPCViGrVXE9Si7uLjzgq22"&amp;"zb9qHnZbezdjduP9AmdSepS3cWf6n1XiMLNEjo_Fb0fqcoju70mgTTF-JHfGBkbze81-sxl5OkgE0f2qsJ0H7WMvRjF=w1200|https://lh3.googleusercontent.com/pw/AP1GczNo4E0pCzZ6osFiPtJEWQ9asBYkGaQpMYj3XpyL5cSCopWxUVBJIuNH6aZuant62TFq5e6YwBJwlleZyWK0nNHCuOWYFbWJU8-IPHpAeh3DOB8DYSTs"&amp;"=w1200|https://lh3.googleusercontent.com/pw/AP1GczM4fLAqdSGJXaElb8x0m7CRsus8TZbOtC2JUQnpyvfX35gL-YPgub317PIJ--tCqdd-qxyedqpPwtDYVcCBDdzMbBVczSoJp2bnQJvRhxosHAyS2xGc=w1200|https://lh3.googleusercontent.com/pw/AP1GczMO6sJMDQ3wIYC27SvAX_R-pZDCGQrbqiR0_Y859r2"&amp;"9298rtLPHbqH3uF7uAZuPsPto0_BxOjt26mbkJCvb0iWhtv615qbTxNDQULfJHyYa9U_Ad62-=w1200|https://lh3.googleusercontent.com/pw/AP1GczOwdA4rxCrYZnTVZ89qB3plUofBaCa9UEKhSAD4rDRXUThg8RRm_iIvlSu7E9dsUEXTVSHgbvWbn5YOX3DFfGsoVEgBQjVVudGdOzLRazidEhpeNeUW=w1200|https://lh3"&amp;".googleusercontent.com/pw/AP1GczOTHHDOHPPFuwG--IIKdZ09D4MNMMazWurS5-ogVVkTwpKsKe379Kt2DjXgdOETq5udVqTO8uMWN6OrBiNVTw4u5mAtjaLHDBUkZcCk27Tc3KPD56Ou=w1200|https://lh3.googleusercontent.com/pw/AP1GczOw6VeG1TzkCpsXkc6TMl0rhmtNDCsbHzF1T3PPtFQym5Nkll0JDyGWGyB8z"&amp;"NqXHZcYM7cNjGrUGDx9k-5uvKREG-AbydmjbHOrnbyngXU9SJChLZuv=w1200|https://lh3.googleusercontent.com/pw/AP1GczNGNMIdJfA2PwZQVzgUiZpQrwSHhwEyniLMX4oBjaW8SrFXO9vkeoHPUHjzEzL7LCzdaFCWWosYYJdXO8YQO2vBUeuds2Q-hBihymT8XloaOG3mnp5N=w1200|https://lh3.googleusercontent"&amp;".com/pw/AP1GczM-e-8a_MOYpVqDJyLHXlHPcOEbDlypvJbRdhC_Rzk74p7lTIG-SPKwyAszmOUS0jrt7atBBvNPO2BEK8gRUh4UsTLVzIb1HURYQ9ekaLaADuZJ8uez=w1200|https://lh3.googleusercontent.com/pw/AP1GczPHBzbTWxM2QXHmwmM_Gc-59I20RqRN7RBYPBh6ZkSqqj1Cj-HZ1Nh-kuBK77MezYXZUDlRjtEEihG"&amp;"pKjWb5RnN3kYUozJIzHPudBJRXg3FQxn_V4nF=w1200|https://lh3.googleusercontent.com/pw/AP1GczOA6dPfQymIEI6d0rvqW_V0WnYIQbxRvD66oJRYxTAgL7z9j1_UFsTe_v9f_NIkEBpzhFpCNjec1b7YV-RpNLxztIbnQKZ96NgDvyNycCZQ6hjx0BUI=w1200|https://lh3.googleusercontent.com/pw/AP1GczMoyI"&amp;"SCf7jluHUp9EELFs61boKSK4Pf4WIZtwqbwBeXAUzr_XEPr-4y7nJEzMPZU722VMmFBM7fYEngHavvN84R-73Hlp5hCDnSgJWPs8z-TvQqGh85=w1200|https://lh3.googleusercontent.com/pw/AP1GczMfezI_ZNmjRuANzhNIr5iTWLr1fW6XbSee1jTS0I6ny1lXfiPBDn9_ZpO7WPosiSys3tREfWH2Uijj0iD9EUWaGZCrs3-_V"&amp;"9E7qzM8XNWymyofhELV=w1200|https://lh3.googleusercontent.com/pw/AP1GczNnn7YEuG7HlJokQpya4KriHJjluaG7Ge_PMRwBxIgK7pTgEc5yevQLPpbMrsHd5Y4CUye5RnFpHEcN-rZGOg_XfXT6Qby1vupN6sNFYGgD_KHMT8Xc=w1200|https://lh3.googleusercontent.com/pw/AP1GczNdoS0wgC4reoPsa4Gumlc0"&amp;"mFrwCoXPHJqNhdV-cArE3kjQ-F3QyssB4iiU0fw2Ubzcz_TdGY6MXP0mlMn7R43f5polqtEt5FVLhHD5UIuIXsShokTC=w1200|https://lh3.googleusercontent.com/pw/AP1GczOyRJxPB8xwkTn357PIHrWZKOjezan4awXO6jF15Qj9Cdq83bxQFp2D3XTmvkhC2j6RE-4fbv6gBj4PYxukHzXtcARxWs3AnJKnllY-kEO0_zRsvy4"&amp;"b=w1200|https://lh3.googleusercontent.com/pw/AP1GczP0GnA0k5RU8owJXK-DcZmUa1lJmFUVSVzgwWFHHDc0OZXbTzy5aTsje37k24uwkE2_5XxLVTMILQD0j_6TnzJKJFE1iA8POd5V1-h726oPrid3DrEn=w1200|https://lh3.googleusercontent.com/pw/AP1GczNbvG-gxcWEM3b9pX1XFlF8jrj8UbLLPLe39Mv1zP"&amp;"UY_Q1Xn3zyjqkpo7-K50RL50I_aownh7FiwL4xs4cs3mpLrzqY_saFsqoAjgh-k04NKsxYcWqB=w1200|https://lh3.googleusercontent.com/pw/AP1GczNFesbh1jLtgRPFHS6WLUPO1bpSEgiM7JhK1CvOtNv7b2IIbynaUl2ns7_Oewi0ca9lnpFh6aQdqf2-uhtFvtbUpbAWR5SthG7Ff2UE67ynkvTsiSLj=w1200|https://lh"&amp;"3.googleusercontent.com/pw/AP1GczMWxZOtvhRIi1BBvFQ5M-UL5YsIE8aHuQBpEc_XOe_dPkD614ulR2OWkApsHboa5ACn5cMRz-baa85jGXuOZpFAEWVN_q40hjhCPDokN28How-pykmk=w1200|https://lh3.googleusercontent.com/pw/AP1GczPv0exFTUJw3SfaNtBo94uc2Edq-roIr2HQTC9YIEcvK3SQyoaYcA_3uxsM"&amp;"w12ebCUTHZyn91nJlRvF_Ac7OabdN5B-LB7wX66BDPxXQ-LY_JmQu-Fe=w1200|https://lh3.googleusercontent.com/pw/AP1GczPhVd6LQ85U2zmgVRaPgvY09TpBlxCWzV432BoFfVXJG36dnGBAzTP40DfS6ofKq0rFwSreYJK-rM_-wVN7n_LvsjneV0kP3fknnV2BVh3e_K2SH0W3=w1200|https://lh3.googleuserconten"&amp;"t.com/pw/AP1GczMuY_-N6dba8-cr2-pZHPUG_uuE2hLur9xla0atOPBQlX6v7SnPBsa4GWVa4vL9XMQyXvXsOOoJ5aNjBa4mmERiMfbrMoAEtuhMaASj1I59wViE_kNV=w1200|https://lh3.googleusercontent.com/pw/AP1GczPraOblotZkX83pj-b-_Z0IsHn-_GFHEaAdMuOhKLyRUIqv7wWq5nZ6u0kzqHSp9daL67ZQ2zMdTu"&amp;"ZO2nLBB4vzCw6COMmqmGTG-WYQjJ2dv8VxcJa3=w1200|https://lh3.googleusercontent.com/pw/AP1GczPm0lQx4EG5Ae-0fImHmr4yabHFuFuzoAtpEqCwUopKAb9RXfMrPLDVubtQzEgl9g1W7jkMai38NPOZteBJT9EtBjxDrN6FCCEopgRAVBPCcdf3D7np=w1200|https://lh3.googleusercontent.com/pw/AP1GczOc2"&amp;"CyjufXYTIFgCxSMpfOio1DMNjFfQM4jE_6bn-ghM29T4oSgHE3VVegBse6Y3ZmqFTsmwrmQN1K75fZQkIU8a9_m06WGjlO-3rtHQcXkVJe5W5Ri=w1200|https://lh3.googleusercontent.com/pw/AP1GczMCXGAAmgZF65tw68xJzimOnwkMm8ReEDlzQgcZQLYgpMEJ9O04oHe0ByJFpyaHHt1RvI1l2eRNBJRUBbfslyH10eoTEzIr"&amp;"vZ01F2U15AvsIU1RThUM=w1200|https://lh3.googleusercontent.com/pw/AP1GczOaiBzAwCF3kcjAc7gYIKLAZjibgo95H25FGAeC5zuM4Lnp5rAkNKrNcxQzanDVBGT57b1sj6_14xElGHiRAGWz3Y51_J78U2rUetOIy8Y4w1TUzS1F=w1200|https://lh3.googleusercontent.com/pw/AP1GczNMpRKO2n_G7STdCG48gzR"&amp;"hOhNOzGTAoC1R_uuljLoQSJRmQVBe0OMmrs7Zb5fOSLyVMTHYvIQkVMFfhpIWlngHX9_ZSeXaB_q0T4EQRmuUsqFKFC-a=w1200|https://lh3.googleusercontent.com/pw/AP1GczPmXE6rVUrYozNlLkPu7udSV_M4TW0g-qrN22MiXWHV85InFlP3wJMPRjYBAopKBEjfNhedvA108s5hjPkZz6cFvbXyHl3yHTrvL-yH1yNAipESo7"&amp;"ai=w1200|https://lh3.googleusercontent.com/pw/AP1GczOr4EWlrK2MEs_C0caeF7_bIQZtuDjYNQmwgqmmtJwQTg0SM2CAEHufOA7tojmWyiKwt_BDBCWkySc51M68pvMF-4-8It6mCsjRyMyB28Y5uR8SZUu0=w1200|https://lh3.googleusercontent.com/pw/AP1GczPV5g017CBtmQcLMyt3cpiUG_3G3USXrry-bpv-9"&amp;"SS-4x2WPaNRRjl1TGyOWe-nuznglaDWWCSHrLrfSmdkXju9ylm7QfNCsqBmSyfjakv4NliuImGZ=w1200|https://lh3.googleusercontent.com/pw/AP1GczP3yxje3c1WO0x0zaG4vuuyxNddXjF1KA3oqY3_yJ94dwafsPCNq18s-u7qhG35RzOGURoVDxiZmxQ5EJdnOWIUnJydbKCM7sdH9h0yHHfNSR_zi5lz=w1200|https://l"&amp;"h3.googleusercontent.com/pw/AP1GczMZwYrwpGPDHYC8kf6VX2fseSMiEB_39RS5tj8hE94b2cH1EPSiGz7J4atd9rwr_p_OFuiZ1w4p5Qwk4dWJ7FEr0gGnlK0amOI_gmO7NJCq9f7z1q4f=w1200|https://lh3.googleusercontent.com/pw/AP1GczNkRqUfHJFuFDemktbEi8uX7u3zQoL2QkoIvi63PybJxUR4zfq-noIg5qz"&amp;"mBhqChd4OufuAxI3kx9rirBwBKPjNaByrFRVf3CcGSl-sIR2AS4rUDOj7=w1200|https://lh3.googleusercontent.com/pw/AP1GczMD-yzdYIYpQiZN_Q4C_YvWeJPCr4k3-i71qqtPgcU7pmTt1RFdw4uu01XyuJEyLodBPtkdA4aoQ08KMWYLj_i1LZPNYZ8KTOMHBgOFZzVIXcHh9TdM=w1200|https://lh3.googleuserconte"&amp;"nt.com/pw/AP1GczPmDWdOO1nPZZtY1Hyc4flMDZzoRDmp4I-9e-uJ3RHNBeM-T8AeQVJ3HroLjfala3SznbPqizwsKXupaboCNuwezKWkkMxSnk_TRgtXS5DvYpxKVM6b=w1200|https://lh3.googleusercontent.com/pw/AP1GczOthxky5cd6qQvXlk-CYlC8g6uI9HHY1bjQSoU6KZ8ljIVgg03yOYkeve-QENcuU13IZmVNrlwrx"&amp;"6YBVCiGwVWKOzvnTnnAcbfAju9BAZJ2rPyP6b_Y=w1200|https://lh3.googleusercontent.com/pw/AP1GczNrV-iyyN0nO1Wn57zQRXvRUQo62TjIlh51DBgOQWtGNUy6df-5Ebe2N9Z9_hExnXoJh469VNI7H5btB95iwvLjN1MPvHj9mVkT3jacdxBY4-g6yNBa=w1200|https://lh3.googleusercontent.com/pw/AP1GczOl"&amp;"dwXTvMawySYITiZPYOTHS0ZxgwHq25HOrHneZfeTKJeFr0UbJ9tI6_37DC_XVzbldUrRP0zF8uHOsLzpbKFSOT3SntI6vCq_eGufrA_0hrOyzEw7=w1200|https://lh3.googleusercontent.com/pw/AP1GczMvPRO0D-U1o-9TggL0I0-iaCWDbUlDJtA5tGkOj_Uew_mi3VGd2lvnZ9CbCajUQTlIsquoQm98xE7Vik70d0Vv3xPAzrH"&amp;"KKH-II-793Urd66KJgoWL=w1200|https://lh3.googleusercontent.com/pw/AP1GczNW-2J2GIR0YHe6ee5HgbHqznnbE7kHi0OHyJyoxYlc1qKBoOsWLUb6FMSnV2ogMY4I7JXBPqOd-eWQq6tRP86CyFyr2pgXAyaT5hARHyF38dyeqqdA=w1200|https://lh3.googleusercontent.com/pw/AP1GczNa4efyEBGioY8Vnwl8ER"&amp;"YxVT6qq34C05Um39c4V-KAoinrQpbTMl9lq1uzow8c-M7uViCA1t7QKWmj7bGBTNcbpM_wzbv5Hrs2l7rRJeZH7r4_t28-=w1200|https://lh3.googleusercontent.com/pw/AP1GczPRMyNdrSfJXlG9TFzzA9ZS4aKz1-ZBwLxvtuFFX9c8uH4bRRPbysoVrgUJKZ7x8evSxaKNz_Gghog8hYSa6s0n9GWU8oiSbl-KIj5uf9VX9Yy1X"&amp;"j-S=w1200|https://lh3.googleusercontent.com/pw/AP1GczO403gbLJ10N9FD9ObwFD6NINqHPWFuC2MS1KSw1dbaDQW2rz3d94C0hiDcLvWm6I2nfRTzkwgBvTNhqbaeYxl302ZKuA0sr0h9Eso1Vjw_al91uk3F=w1200|https://lh3.googleusercontent.com/pw/AP1GczPjSPNE9AtB-Cc6RxdcU4Ry-3bbS_C9OCJy02gQ"&amp;"4mayaKWtUsK4oh1YvN3LPAowP4cSKFeQ97Kp37HBl8wX230FEdv77T8jvWpWG873Cw1xj3itWK4i=w1200|https://lh3.googleusercontent.com/pw/AP1GczNcgErDol5zm6HwBqjkgiVVw2i3q2HqXxxJcKdqANzPxMe5oyS2sZzTX5xAluomWF_pw3KommM0OeSK0l7-XslLPfxkkEAk_xSnPn1BXiWjxekMazoF=w1200|https://"&amp;"lh3.googleusercontent.com/pw/AP1GczMr5xtHChtJkeo1bIEAF25RMt1VNwX1DiCxnITrQkvMB16Knf2_JNAdAb_ucJ2_Nw3uhNO_gA6Y2yM60n40weOFFwDCniDHVqXbZS5pAKndZ-Xqq4Zx=w1200|https://lh3.googleusercontent.com/pw/AP1GczO2vJf9QsjPfUNofEF7-PFBpQGZfgy-Y0ZYT2zrSbSni3YpaIGGF8hpM8"&amp;"AHSBoL75pSK7H-qdmTqwKQkTM-XDwx3mrG9FH2qUy_1g4QDCswpSdJHY9z=w1200|https://lh3.googleusercontent.com/pw/AP1GczOHvJj4mrm3l0jocIwVb8VPbBlEU0h9q43dkfve6SFIsjxPn7mUKXOEB9Uzd7TqGBnRGuAqU4RWk1JxufN6KLjb-7S6TGdjI3OmU7udI7Lk7bz_Gow6=w1200|https://lh3.googleusercont"&amp;"ent.com/pw/AP1GczMQvDAwfh6K9YHDkqQopdkigR5XsH4-NYm20cr57h9X9g9ewJO1seW1Ib0PIGP-qubbXLtXOxxqu3cJtJ2tNK9FK4CspoaNSGxk32The0vgFmsDnkJH=w1200|https://lh3.googleusercontent.com/pw/AP1GczOhKp5dhWbeisNOIPImt_KBHX7sSt0TGGnY0SZpwU6mpDtPw9PRm-w2hWXoZwtgogCNOtp9zbBB"&amp;"r5LArnhQL91GzQtPnDdyn6shKNaG2zh2UDjJUZOj=w1200|https://lh3.googleusercontent.com/pw/AP1GczMKQdy2koPt5jD3doHJm9vjdFJN1GEp5_wPyiXawFC_nBIYVYb9bQadVo4_-9pSP1i5KdtzWnkx7y9oD6rVWkpSiQKup__zfhYc3EqPNVXh8Pr3rRcT=w1200|https://lh3.googleusercontent.com/pw/AP1GczO"&amp;"uOIW-rjUpaeWDMKCKhWuVH0vHSNzRB_4j46pOyqKOH-_lnU_fYNAp9mBZFFQLHdw1uMrfIaFcNrBHGW5qkWDBRZ1_LXo2wN4gXtbRorkGUQro9hSN=w1200|https://lh3.googleusercontent.com/pw/AP1GczMl9zrki7wqJdI8hFnfBSzMuYjMSz1H9XCHMszKlJpylK37MC81ytX8y-LLZcJ_uPRzca_KBs6bkT6WgBy5jdP_kiHaUg"&amp;"Vf-P6nXawPwSJN5QvAtUax=w1200|https://lh3.googleusercontent.com/pw/AP1GczNZWhvuwBc5SY2aqCHJkEgagCtncUywDbeS0V7070N0LvVkriWKKMWIM5ieb7QwQ4bu6oWuIhu5dyKrInzB8aGnVCFA1LNqr8RKCDIOf63fvmARm9Il=w1200|https://lh3.googleusercontent.com/pw/AP1GczOE0huDb2vElR2oylcnP"&amp;"D3p5Y0zeWHPsDqc79eFQMALTK6-_ZKT5ks1gamidReDuzy-4QbtNsVywtHh65TjTBuwtCYUNMEVJpHpBzbWOQMzi4CIFZRN=w1200|https://lh3.googleusercontent.com/pw/AP1GczOAnDdKETgFbGcmHhG8as4d9XXskbKK-zfDxYprFIXhIrsZVUHeeRcTcgSQkAIe2hUZMMKD7-ONoOMxZyurI7m41IJEc7-cvcRAeHzV2_0zA60r"&amp;"oP1d=w1200|https://lh3.googleusercontent.com/pw/AP1GczPrHlSwQyRasVWTPn8-_4S6efsVtQ_yLprcHCNzQlZvXLmN0-CvoAuF9Dx571wGo8XXriM89QiPHu27vHcdgDElrGPoTmiihqpkaH1S99bErQpI6XxS=w1200|https://lh3.googleusercontent.com/pw/AP1GczPFfKtPwF5dUxZreOpTrhNDVhcH78gRoyTDTx9"&amp;"F_7CJKSK-7zU6ugmD2uEk3FoBhx2l9P1LFw7_bfNmm3TVGCwZCHYs-ijIdUdAkVZ7Vo5UTx8oGh-7=w1200|https://lh3.googleusercontent.com/pw/AP1GczPPQgKPDDFX80lMMyiYIeQ3SUuZ6BXS7m8nT7mFL1pRa6AQm3NbmkAetOIqieMAl39T1jYhpSjuV2aaLWsMDJdVrX8V4CMaw1dF2Wg-0RlOLbjEECIh=w1200|https:/"&amp;"/lh3.googleusercontent.com/pw/AP1GczNkuMB6s-Je4LowejN7AaHSZZpSvSQI11DMc8QruyiM7mgMlMy3Q9Vr5rqht10Hy65-yUfc7HYkhB2x2UxvKn579sXs-pWr4ef-mwW5kV4hS1gRwyzV=w1200|https://lh3.googleusercontent.com/pw/AP1GczO1XATTtraps6X-n4xSuua-DkOz7REj6CTujrXFlXItpv26xZXurhtPq"&amp;"uoRVGR18q_9OYgoEI2Tdq5dHu8QhPZxmi-lEB-sEU0Ym32prUEtehvDD4rj=w1200|https://lh3.googleusercontent.com/pw/AP1GczN4DZ0a3yc5-ZLByLD9WU3c8YLBCp4Ine1q5ZoaHKPLqfJjVo4uIebeGjsEH-qqTK_KuG3QAoXOkbJmeWzxojIfgOW4qJm_KiuNi3ksppXd4jf_4U77=w1200|https://lh3.googleusercon"&amp;"tent.com/pw/AP1GczMgqDs0N3J4uem2S_g20hFmaMPMhmaeVSpbFw35zeyl_uCAgLK_fGpofF4ZJaVDxBHL8LO5f3cVVAmjNB-Zakxfg_iDAEOxXLKGSdOCTb0aXrHGaNFF=w1200|https://lh3.googleusercontent.com/pw/AP1GczMwmROjzTQUBGdY4Ur_nUVDJTBCzuMuyJ37wufu7g4O3wdQ8hAW_Q7SLofWAaSv6AKvbhwq92S"&amp;"Z3fIhq1npD4o6UusOF5FMP-YGhENSfo-QteE__Sny=w1200|https://lh3.googleusercontent.com/pw/AP1GczOpowCp_QqII-bG2TvA2lyPMebkXU5mjCUrb_e05e_hallQlUPiiBOq3dxICTea4qJgzCrxBdFEdJwgzhdvsYl9gurwMVQhjhmKPRqhMOizCUxR-ACX=w1200|https://lh3.googleusercontent.com/pw/AP1Gcz"&amp;"N8-x6eYo0_AJW2XWsNFwnunWQBISZdynLlEG0vZzEfFkmLE3-7VxQMtA8U1I_PBJGNw5iUACVziSfYxvAIVWFIFdqkfA1I9ceN6_EIJWASV7uiJLeu=w1200|https://lh3.googleusercontent.com/pw/AP1GczMntXD0Ti4YjG01pVI2PSjgWq-sJrWF5BxEvs5xGkIXfo7ITblJA1clLVUkwEehCuDyloQRSac4bVNuxRndlqpT69Xd0"&amp;"geIeVTqpTxcd12VMMiqJDuZ=w1200|https://lh3.googleusercontent.com/pw/AP1GczNnjx4AEnQFTCb5Mo31aX1N5n_Fm-_wF-mlktWvf2YU_2ryJK6ECI1gqM0szP-mbQct_1bILZvuOxiOnL5kY8OFx2vXWo3-yrlNnor9Uk74X4xg1-se=w1200|https://lh3.googleusercontent.com/pw/AP1GczPALAaZH9cIjLH4ves2"&amp;"VnBnvW7_7PkamX_XxoSqcBXZFp2Zk8UbznhS1RsG_0eN267zp-ykwV4nLSbjAm7BNDemqku3xrTclRdnxGjwnqeuE9URSFvR=w1200|https://lh3.googleusercontent.com/pw/AP1GczOaOoLS6lL_yDqTSisp6fnvNgf62vw5Xla4c3Ir19WWeQA92KTLpXrPHjOxMK3Lp_iBwZ1n_is3PKdQRy7FAwvLFUFET2aW0dllwvy1FGKnoI-"&amp;"GQ_KX=w1200|https://lh3.googleusercontent.com/pw/AP1GczOcTzfglwMujTAD1xPvUQGE9cAT6dFTkWhnYl-hknCKGCQP3QYDVEt85c0G1FQYKYu8BT_ts7yuw7ToS9JXqS9wyztPUNKAGxSSEE_mt3pbKR5rsADU=w1200|https://lh3.googleusercontent.com/pw/AP1GczPXUXzaet_xgeXjDlfBCS4Na8xew9ZCVVxHvv"&amp;"ybPV9iMBMjnkBX7I3WMNLoXZ5JAS3od_X7sm0XlEpE83AgAAWqXtcH-wiRdCeBQiCX0bEP6_sZ9xqT=w1200|https://lh3.googleusercontent.com/pw/AP1GczNhgFWrz2XfdX55aQpwpZCQtwwJwBj-3cau9c6ZD_Iae1GgPqG5NwXvEOgtoZUcDW5fvT7ZmdxciCKh64azSSISYs_VlzxL6PCNvNCehs887agH5cDV=w1200|https:"&amp;"//lh3.googleusercontent.com/pw/AP1GczPdZdKbAjwXJHVd1k9TUVJ5AI17ZKPR-aq_IAeRfT_cEcOOKCOAQK7Q6ShBAfnsB-tvREwDGgQAfm0uO6OsF1GgTJa1Fy0fHd3K8NYe90CV7Y88-3Sj=w1200|https://lh3.googleusercontent.com/pw/AP1GczPMi5T1cXUEVNPdthmhqwx_W7xQYCvwskbBZVTUHTU5Xb21N_f0f22z"&amp;"kpHI4q5N92LekPmgw1n3e7slnvkzpdFRmlVmTBzxqxpprA0-ByjIVUJApOt4=w1200|https://lh3.googleusercontent.com/pw/AP1GczPbTUlZddAEhzNjxeBAmR7y3R2tOUkRhCrBsLVwK-zQO7g2rY7iLCrUHrkf3HGzUgG094mW4stU-SRSyLkXdGpblW7ZmgAjIN-J_9Ca-VNrKNLYLosX=w1200|https://lh3.googleuserco"&amp;"ntent.com/pw/AP1GczOwP9V0RHDoWGzS4kfIrbS9p6Kk6pQwv8hjA7dDKB5ZnGk2V5aS5PDMLorqU6cKGxeMzgjFklKSJZ3_S-2A2InPv8D3hTzPJ2TOOG5KtUazNqJCw4hn=w1200|https://lh3.googleusercontent.com/pw/AP1GczNKU5b4jfZgTIiI3zsFgg5snH-1mcbw6a_pMViBd2VxGo2h0Ab8tb_JSybZkUJX1n32x2gNKL"&amp;"kCvxffpHLVnpJCRzmR2UfF8pAWoFgZLNpH2nFm44ZR=w1200|https://lh3.googleusercontent.com/pw/AP1GczNWrnRrXbOJO-ykjc-cV31pfio5DSWezwwS375EeyDdZhlkMDUVsdvk_QCtR8nI51T8UaaWJg2g7MMNC92cOwfxi4N5tcGOYllY2tM5oKQB5IxLRFFk=w1200|https://lh3.googleusercontent.com/pw/AP1Gc"&amp;"zM3cj3eVHNm-Mt28zm1_D06gnNnOJrXtn1fUujb8iUooe-EqcBYBl8LRMc1sbHTNU3vUzypS9krHH44xMaU76tcUGIBSLPkGY0Nh6A9LQOunPXX4Y7B=w1200|https://lh3.googleusercontent.com/pw/AP1GczNLUZ4fM7sDn4pXp__1JXWLMOnGnaq7GNXQQ6c9p8OyHB-iOVaFe1M5Tb21dRAEa40ZcYF8-8VP-V8tEkGc9xbYZ_JB"&amp;"wnnz1E0tnE0doC7FFPEfnNEq=w1200|https://lh3.googleusercontent.com/pw/AP1GczOuKMaoG9gJQRVsWEu5JGqSar6q0Ob4GqO1C7c1JO-xZRO8_CEvY-uEJYfDaFgRw57oSGNg28IWT48hXUQacKiySGwKfSs421KHEynYCs-0RVxyc5rI=w1200|https://lh3.googleusercontent.com/pw/AP1GczOz1Tm-GbMPWre45P3"&amp;"q652_ZE6x_f-LqHB6ZKIbfHyjgKud5bug61_4hZjhjvGjegn9LritVhSydWLYL-QW3m-IX37gCQS6oPoD3RSomLoY6xezF2Di=w1200")</f>
        <v>https://lh3.googleusercontent.com/pw/AP1GczOn_pyqcIeT38iNByoas2saO6OPlBYSPcSJXxBTeSpXfKCIOHGsYN4jcRnu83qYmpA-pQ7-x6JwjXp8DwOlykVQ6ilemN6djBNwewBqd9jc7645jEWu=w1200|https://lh3.googleusercontent.com/pw/AP1GczO8dws88Dqy-hrtytLYUENuWEF-467xJIWtehLpyFTcdjjgSJeHo137tID6q-9unwjlUVLaQ8Yib1K_KbhC1_nHbmZGS16J1sTE9HEiqpUvPQRO00oO=w1200|https://lh3.googleusercontent.com/pw/AP1GczPasJo-oyYeSU6XFVhybL2gdiY5ZADwV1K5AuRhz7Gl4p8K2fViNzsRIUt7gyX70DlmQsEqCmrXiE6qclz-uBedxPz3N0SBzk87AWGaMJcX2RnsWow-=w1200|https://lh3.googleusercontent.com/pw/AP1GczOMkeO0aZa785rfNGyQ_VMiAcelS6YUkOb0bWpj7nARJfZcPtEZe8uZPd9KHecGZundnNc5aF1a8c-gHw8AHdYjsziX7r2nxlVmpRQm547-k-qy6SDR=w1200|https://lh3.googleusercontent.com/pw/AP1GczOio0cH83XjvVjhA_-jJ4T0a38RCzV2P8paLkaN4-O1VavGqBC-3ejkSVx5Y45bz7SiF33SqTVG5c-GLKhx74JtElhV-WN-e8XdBkMs_ziPr8yGac3A=w1200|https://lh3.googleusercontent.com/pw/AP1GczPb8f-A-9rp6_9ZuMTlQWfCE8FLM7WhBkyATUcfU_STJC_kWz9BPPFtcdX86FyjZLMn06urHkb5UMEdN-GG_MOAAZzpid5YYK128znHDiUHbYTGGYp7=w1200|https://lh3.googleusercontent.com/pw/AP1GczOOw6AFMlsNQNxg8Ht0GBwFQRpE8bMLInA4xIqjPDWMKddOD2P6PyjzGxd1InkLY9FymWT5f_ZkA0jTjMAO8yGafAKqMR3z7zeZdvg26jXb9KEwfyl0=w1200|https://lh3.googleusercontent.com/pw/AP1GczPtf2Ir9UaclFkQ1GyVLAY_OS0zOlF0D9UY6B8L5ahl-KbqZTnGMoVDN49_ine1HhqaNwLdJ5cI36XZbJU6Uq793YSOBuVdHHXio8egPmIVVLCBYwnV=w1200|https://lh3.googleusercontent.com/pw/AP1GczPXvT5eSju2HIydLbEj7pTnTL_XQndq1AgobsfVOQaiZzbs2fskr5XkYE9JFQVFdYrV5BIfVmpt1BeWQa6rWFDa03hoIaddl_e_8bTZ_Z47LIsuZKNG=w1200|https://lh3.googleusercontent.com/pw/AP1GczPF0X64iCuYUuI72uyqLS6jzjKsHFFviQ3UpmPeb_gJ5gCB80T8hSNSZoCpGtmgF5z_O-vOYv0Q8uvP9ZcW8DV0pCEA0a_OdYDzL1mWi8RPgBLRrG6Q=w1200|https://lh3.googleusercontent.com/pw/AP1GczMWXXYD2ODdTHmkGRTwOS6-7guYFtVODmeAvwsfAlp3fiiE8bc1JDk0R9K6XdV4n9KeFEP1HBBe9L6aYjoAgTab2g1AmOZNbxTLHxHqGzSi33ayKyDQ=w1200|https://lh3.googleusercontent.com/pw/AP1GczMFdjgSvTFMaO6dHUO8bA34RImGdfVFOZEq6D4gIOR7whADOwCbpPPOAxKgLqn9wdZjeWElA6K6fhbTX9KeljSnwHc4ILiaPm27kV5t1zXsbbOPiHK-=w1200|https://lh3.googleusercontent.com/pw/AP1GczNPWQmUJmT8-8g_JQSNiCyslUU3aNxeX_Rc6f3HghnL46LZR1MfKw_kNgzTFmHwFBVry0WouY4ZktPGfNRU9C7WURkqFCtGOlYrmLFUt6yIJwkp4oRq=w1200|https://lh3.googleusercontent.com/pw/AP1GczOqxaLW0XQxnNks4eEdJutfTxlSlvHYSrls0yQVDoaX8JvIz39-O4exlZypgcKAZbicy2aZOVVRJDWYubGFOqLCsa5R7dUzR_EI3ta12RAO1ENjl8km=w1200|https://lh3.googleusercontent.com/pw/AP1GczPHEgxi99FI-NGX1DBH1eJLj4nht-WvHQv_CwpYBephxyncXP7LRC5XyQKlra3szQraJ3NnYNiwc8WpTcnK7fcurVek6JsLu1U_wTp5XQjd9DCkhuLe=w1200|https://lh3.googleusercontent.com/pw/AP1GczNKc-auhIJPomFBu_j459OD3Pu2na-z7s1lcxS4xyp-MPKDNr523Sfwr_FWYmkde4SdB2LdrZfKk3LYpxNCgKgzNl4cVNjckdW2zvBsUEtFqvvN4kkH=w1200|https://lh3.googleusercontent.com/pw/AP1GczOWFLNIwt4q9sEbLP7fq61DvpzmsWsw5Wn2IAzjLbfnm-wkqEWM6bOX6IpIxxSxUutN_k0OCdGaw8mqp3ga2udAzEwnqDxL83QSAZf1_cNeJg4ub9Yp=w1200|https://lh3.googleusercontent.com/pw/AP1GczNVDBu0jIEHdU8T5qbLmxWF4AmV_-YiboBT1XHpZv9cHjvJXRsDjsvmRbjh7gWInhBDoEhLek7rVvtKq8wBVR2IaxIfxOzU9br5IVXpsS1VmM4ng4e9=w1200|https://lh3.googleusercontent.com/pw/AP1GczMqsbOSZvjn-Mu9PUxVa4hnytBBYoyBnixt8p7EPbArE7T3pU5tlu5rB7oF_sTt0NvaT0B8IF1J3HmrfcnomL_goi5yCv-VPZtyj6NGWtgjgcl0mhbr=w1200|https://lh3.googleusercontent.com/pw/AP1GczOC7NX_N9-6N1t92GMnwXB8ySTTxUZd4egB_hhVKZgwCdeBXspSdSTXY-_pkYP8UzPOES-xDn6fe5Z5qMqjWFpvvDv3b9W79o38n-Y-4kHSVT1l5I10=w1200|https://lh3.googleusercontent.com/pw/AP1GczMgM54wZWW0ivz8O26_W53YJ9JdSDPLfOL6Uh-u0ZJOAdxOoC7umNj-rME3OVK_KYlhnVmvm8kPpHkE_-yQDy_e7BZHGVXgmJV3s9b_I23p18mz3tHU=w1200|https://lh3.googleusercontent.com/pw/AP1GczN8rkRzcxviyMUUGHN8vP0_mUrVy054qb-wgFeSbtovoyJmAkXM5ChBwmqvCtBesWHRW_d-htlJrI0wh-IvVQf4jZht6uyr4DJyLxnCJ0pjpMICxN4G=w1200|https://lh3.googleusercontent.com/pw/AP1GczOduIlJSn3YC-KKG0OezE0kddsciQWyNoo0a7ODwBzC251i_CfJeA6fudcRMRBfxdAjrZ_-bxqYKuWSUNu50wSNyk2berPhgdNPb1ZRdaiBOQFLCnRL=w1200|https://lh3.googleusercontent.com/pw/AP1GczMmh3gbtRR8sd1COHWECG5yWAezyjpTr-73s3DQ1ZU5Oe3dBKJuSQ-OGFj9EiFDyrYYuZtoHdjTi5gAkjhoykfzE1XbFXhCn_a3m4AW-vKWTxK5rRbw=w1200|https://lh3.googleusercontent.com/pw/AP1GczPsW0aahr5zDmReYd5T47yGrSiQS6YECIwn1JTjtJnalDCAmO_7NSCkW-Ptf4mgp-MuWZRCSx1_CI9Ail7yGuOHdqBgIfxFhnocpY-hDJjNATanZO-w=w1200|https://lh3.googleusercontent.com/pw/AP1GczNDtcpidz65UHjkI4LK1PdOEk3u8XlgdVP8innDIfxNf-2Tv9SZ0tR5zsk9sbsv5XWBrU5ZTin6dCR8cJrQorf8dHFu4TMOuaGFwWzXtZAax5_q5vAZ=w1200|https://lh3.googleusercontent.com/pw/AP1GczNAZBCwHEa1lVYCxjdKxbWZwTWIvvF55ssGKNpRppJLwI1QU0C-_csfrXBDpxbKqFVCNiaHqB2cfNotI8tuFXIbkPAzFzp7rLZWdiV0p_G_COiuSOJs=w1200|https://lh3.googleusercontent.com/pw/AP1GczMSq4PtsPbM8bZGKdKIOOV0xNcMb97-utMgwaTDnemMKHew6t51RbnO2OPcEbyEvAWbhRik4txzNZZtAe7RJ5kR4uIqB5ykyFwipw5O-eEwyGLu_AWH=w1200|https://lh3.googleusercontent.com/pw/AP1GczOBZwlI166dLlXlzS4Ff2iimv8BzsuIdrwv5DTH8JreHAwaJpBR-CGViRH3_AojrnOoWPUMydKtOem6bLaqexkn31lroPK1BWdAZsPU1R6b1-GFNEPa=w1200|https://lh3.googleusercontent.com/pw/AP1GczOBvmH9YLglbwiRdasdc4MHDkjQ0_vQGuAh_piF2HFZKYsSq_xvOuOROGCHVLBAQrchmXxNfv4CTGDNVM_M5MEXq8mdvtiAGe6jhlbI6XvXZUs2dMfM=w1200|https://lh3.googleusercontent.com/pw/AP1GczOoIu1eZj9UHfi23sDwfjZ9h2sCwzAvMbzrxdEJuy-a5pS8YQJLyVewuvr9ZGPB3ThdoakciN6imyqQbE-dhJ-Tj28NGfJoQcp0h0r4pxcDUs-rI9zx=w1200|https://lh3.googleusercontent.com/pw/AP1GczPSg5wAS0kS2qFqpRHrhkoDDNLz-RGllJxEUXAwZBg0dKYHhGMDtzNmXQb9wqJhmExM3HGwGDVzVG1enyFP33NcbxNCoK8Gb7d-kLAcf-azU3_FhDJZ=w1200|https://lh3.googleusercontent.com/pw/AP1GczMkLjKFJ5H-hSxIv8JMiAJrVOyvQ95ncffIgOAVnuBOym3C8bcr7zhpWO1is4O7MaHU6O-K5NLY1r6lbV8z_Ct-7MAAIwh7FPheOb_e_JuLwllwJzCQ=w1200|https://lh3.googleusercontent.com/pw/AP1GczPTSqksWduqLSJYqJrkNtZBoDItolXczvlMWu4K1mMEbYofneYrf1K5JDdhvrkfeyzYQV3NSxa0Cw84Y3W8Y9RisAkKkEJXoXLfj-BJaOvXz8vaw82T=w1200|https://lh3.googleusercontent.com/pw/AP1GczP6HcF177MQ22yTaJAva-bpQKpKfS-EhWi-Ntor16UVNvSie4VsisPbSPAcvNOTERvpTaLOx7U2dBOp9SACsdlrAvz57NTSXkpm3mrNslo4lnjyVYez=w1200|https://lh3.googleusercontent.com/pw/AP1GczPzZ94mkLP-bMKGoDEQgivcwpe37wEU2nB3gbmKC3Sb9ueaFRi9PQjrCjfCh32G-DWpCT99eNA5hd2Va5SCAnxECyevUe8spXOpVxQLW1VcgbtZ2QUc=w1200|https://lh3.googleusercontent.com/pw/AP1GczPUVxqti49u_fCmAGU7DwZHpVc8ECGX5-A39cNqI34Z98zAbWCgzw8gGLgQIa5qglhpLEEZ0NqWUQYVBH_iIoDFjn7NCH_4ku0Yhqb4wpXzgAY4lZn_=w1200|https://lh3.googleusercontent.com/pw/AP1GczOjm7Q2JaU9RadTJPNLvL8KNv5MSnL4o3JH34RQWj1UOC5v5YmMIPNHqbyT2u9QlBrgjUFKk5LE-_yo0OGZw8yq-kcg5ebBUt8SsIJ4Bh2-_J5nsjEV=w1200|https://lh3.googleusercontent.com/pw/AP1GczMPO40kbQlQDUDMN_zhdjZ_7VE9eqykhv9Hz2XYGjL6Chj5SiWnXszKQVxJNNuUZA0wbtgKI7ZFgl1mfL33FWhb5jj888G-_nKjkFaphNtETo5TJgO8=w1200|https://lh3.googleusercontent.com/pw/AP1GczN1bZcme5ClqwZFA8B8p0Yz1dEAwBazsvYABuM7fNq-WyyzvsOD-zVHx1sOxoQsQe49zDdOrEpc1EFIdmKwMVi_knkiRQTTQtXjpFOGQqH8cEDunWwF=w1200|https://lh3.googleusercontent.com/pw/AP1GczP3Q3tDMrePgDY0-iUoBrIva_cm21tVJfXzGmCBTo5bao-xCnaONAvSTzZtfs5l1qhUIFmtxIsjMWQxuU42XNsIaYjamC3rGP9udQLoB9B9ZJmCPKq0=w1200|https://lh3.googleusercontent.com/pw/AP1GczMXgDXxodMQBgSIE6mTPtiq4911uSqQ4a1_rbZMfQ902dUw_ZtLjVGaUbyiWFhv1Bjnk6dclayYyecNJl98lj4OXysn8jgz7bYEGZT7qG19z0M3u6S2=w1200|https://lh3.googleusercontent.com/pw/AP1GczPVBFE_16hT1hEivwQrosW5Iko9jZhsuvRMjv6yq_yQPd8ujEaqJzWgrMqr5gXcmkiUU6yXbnHXU9UEFkNOmLL-dCMDQkqTFBR81MDAnoI-xoqAvRx8=w1200|https://lh3.googleusercontent.com/pw/AP1GczO1ovlAP2q5NBBFe4fzXFqEfVa3noG6vKi_xPaPV3P0EyRHYuHzYpO7n_VsIwmZ6ERdUW0eKC8GcTQs913JSNrPy4HrpcD7suCPYvSXzYUNddSgH6fK=w1200|https://lh3.googleusercontent.com/pw/AP1GczM9KobCUpDh90bBYtFrkG9M4rY21xapZnmZW0jePfZzOpTkPgy2TswDr2UHIaiYTTlc_VxViGGGen5xEczbrMl0GnO8jkt-NBkLCKZH2LxTBqjKoSO0=w1200|https://lh3.googleusercontent.com/pw/AP1GczOtJryqjRbSa0cJxtX7ReXVTybEMNRdOfIkaf_4gdG9DR0JdbtWt2em81kBo1brs7QM1beGCYGChA-xmwQuJjNtnTJjm7jA1-V_QWHzLDezYn2WhN93=w1200|https://lh3.googleusercontent.com/pw/AP1GczOZWSHLfubpnOwvkDQLy3V53C594WBytzE8j0_JbHl7M4pJvpIow0LoG9HhqTkTrYDYLLzjn0AcuDRV7nXHZMxEoPJ0nB8pIEJlrOtpUwk2_E7x7TYC=w1200|https://lh3.googleusercontent.com/pw/AP1GczP5xaJ9y_3OIwLg-giyqBUBoy6SQYZk_BT5NdtNmVQlDDP6Z3xNb3bLT8t3eyD4OM43pKnu7Dibpy_fAmyBG2joOTrILdUEyzR-FRFchErlJPBUOiGj=w1200|https://lh3.googleusercontent.com/pw/AP1GczOId6lP-Ed_y6foG7mbPSVSS0DuENXji8nouGXolnIE9SGbcYKeyCyqUrLiwBc32xA8QX2bwPxYmNuXAR1VaksJIBDHnRnIZLzuLmlpyzLjNMDvD2yH=w1200|https://lh3.googleusercontent.com/pw/AP1GczNmTX2ACouqHgD4UGWoNJHURf-T-G3yH19JnyzI2c2HxuqbwBISPxY9jlDkHhmxur1kar6tdrUEhqVD9Sy0_THUEXJtToeqGPnFLSLHIRf193j2LDRd=w1200|https://lh3.googleusercontent.com/pw/AP1GczOeZSpXoaeRUzvnVUCG2CKRPaZ1OteBk5BSjUOx5NQLys-kfxapum2Fh3azTT4rcFb49dubDATGA5i81ofFeE-2Pq7pqE0iXNCBesAEzrqUl1Ds9XBR=w1200|https://lh3.googleusercontent.com/pw/AP1GczOv-sPbjn2f0cbaWxkXaeNi7Yq69Zw13c-KqwDYcvoIPxGYoheiM2wIP1pqBcT8G8q5-RLfY7Z94yh70LKtIW_F3yQE-fsaYfz60YpsspRs1c0oQb1_=w1200|https://lh3.googleusercontent.com/pw/AP1GczMBVbCmhZuPRZulcRcGd052oOb-1O7M5oWXLt5mVhg8g_cnRDZN7KfCmTORner9cZz0J8X3QkrJEDMW5zrUc3UoJKLwlax16-V7tzuqhYAGwU5HYDef=w1200|https://lh3.googleusercontent.com/pw/AP1GczP-iyoJdFZCtk1zlGbqgo9YLwzRw8WzTct2nN5DIB4gy1xCnA4qM9NIHuHg6TXugJlfUSEMOLbaxrp2MWuaH5UrUnP0bZYM6tThdMw6N-nbCuEcPeLx=w1200|https://lh3.googleusercontent.com/pw/AP1GczMV6OqUVZHPxYkmSGLHwARgGf_BtUX7q-9hpbOAsepFtOByUvGPYaZ_lHNFLUW_TBaA2q06Y7-yPxqu01dTCFlCfZaiRYHmn5038GvuSbDbfcQmAQsO=w1200|https://lh3.googleusercontent.com/pw/AP1GczN6T0Qd3HfEfiDPvc3l77kekmFTNP6SgtYP5srqyXK6Xm16U0cpAHdV1HV3CHjV8k5wL5aLRscteraHle3Q9KRtvoEStzK0z54tUDz-8sy_k2Qm2DiT=w1200|https://lh3.googleusercontent.com/pw/AP1GczMsFj062DzeNPO9d0MSeebL06xrIk04yBF-Pnl7TCBODvK3vDW8Si68XNPLvNbHvx6LkY-LPC-JbQjTY8plufNvjzuE4KoBS2WiqlqFu-sL0G-hyriJ=w1200|https://lh3.googleusercontent.com/pw/AP1GczM24NMK6HL_isyBL7S9gG6kN9uDHu9pa1d0drnyhSNGTINMsTlb6JAD1lj0chtySUa7j9ZI1LquC9HhE8E7k2Ff91SeTTtIjSUjpA3NEtS-RlxIFyxe=w1200|https://lh3.googleusercontent.com/pw/AP1GczORz3jUMO51Zc35YnplFdMNYSrPhkWc8zXtd6-c3Xi94efImZgrRDjSxypAsEGN3WOUbvz9eRL3C0vbqPxPxUC9e1c2-bmeVIB5zE26s_eYKYQrBPd7=w1200|https://lh3.googleusercontent.com/pw/AP1GczM7DPGbZ_rGADp5aRVLc0O2qjgIBrmi1u3J1Vh0CNOvPEpOJ6vy1RrNpncTVQ2ocj5vE4M_ad_vixTChmYusdVrTDYYeOlbtRAOpzLJOyNqSBHNcyNN=w1200|https://lh3.googleusercontent.com/pw/AP1GczPKzC4OWZj-_yrflTpwQd9uUF3ra0K9slWBK6byeje0sphnWbL0TlIgaCVfZ5Gaou1ME1-Kg7d4vLU5oBykT6P5n3tZL6JlIyephf1_OEEXDk3_rQLY=w1200|https://lh3.googleusercontent.com/pw/AP1GczNq3v-yfyKjaluRRsQxzu9IIRG1BwspAs3khZW8KJ-VT30BEhzzlQwyS06KEejIV782BEsLnqmxUDLAodphZZDbQD_F8mHNe1hS8Ah9G-vC5BC299wn=w1200|https://lh3.googleusercontent.com/pw/AP1GczOVj8xomccIIiQ0CXqXgkPQUWkYFuoAalyikd0o_G2px9wQwki8NKkivjTEIVr9rdLn3CWtAK7AB10xAU9F69FpSB3FuwgJgH8pEo97Aph1VvdgUMAH=w1200|https://lh3.googleusercontent.com/pw/AP1GczPAi4zy8TonC2vBbBHZz7BSXFBjyPfgDQkLepH0v1Rj0uzttH1ANrqJk8fotVyF9Wp9JMntlZEXdH5bVspZAIP4F_ZTc5t3o2BIQhL8yJ098Km_cxkD=w1200|https://lh3.googleusercontent.com/pw/AP1GczOKlJ8Sg_Q5qVK26Ch8jt5EBvs4mgaJfdp0g1z1dPOsxcuUk3kuDMjg8YTddO14pGdzriHSkvlpntL_Irc9TASMHc6D-BFgCpeJssFlT7UTHCk08JA2=w1200|https://lh3.googleusercontent.com/pw/AP1GczP3G6y_IIlNqeGpaU6AnmZqjCJamVRPl6SaxlpFoaJe468Kyu41KUJfhd1vm0RkaWV1sbnrSJbG8jpxwT3dy6Dz3FltaAP2hsvgk8bbLuK-jjO50C2T=w1200|https://lh3.googleusercontent.com/pw/AP1GczPTH_bcDx5kGKKc9H53GkMJn11V7coB2gKH-m39cdypCQPGh8qd65r9DUR7qYcxDPBN7npCRcTaRSpzaW0Kip616hIGAhYAclOyYYgG2lcs4Zzg8wWw=w1200|https://lh3.googleusercontent.com/pw/AP1GczPZURiZ1HjrrKQ921hjYwYutXg-kuZgmu1V8f_xm-ZhxOARViZqv9WrBP7DLZZA_2hto-xjTMCSUmyVzBD0ySUh98Dqnbb8PZy2FplJBGBXIDDmd9ib=w1200|https://lh3.googleusercontent.com/pw/AP1GczPswN2L7pVLonkVFrWaU7dGMGmobTCUToKNlDKJaTS5OFgdk4EtBNxM-PuWCjE_SWVt4R8JMLJjkF04FAIHvvmO4lAAZnV5W2hnajNpi7nr7x6squ3O=w1200|https://lh3.googleusercontent.com/pw/AP1GczMX9m5l4reKvRABveGWnOh_lxPrazJFxjwwrb7Ym1ESf9qhh8WRRgf9weauxtDvjLRSZOqHxI8Z1G2qOjgJlcM6HsRg39fN3_Td3ZXd0mevxdGMF16A=w1200|https://lh3.googleusercontent.com/pw/AP1GczMy8lS7EQEI53wNUK4MlJ8MTlnUOGRFjt1OeU8-zaR5HQfB_X2VmRS8GGudAxjZq_r_OaRT0YIg2MkgAaN6EjBLkPSHa6UDzxWX48J-KVoG3EPD48nQ=w1200|https://lh3.googleusercontent.com/pw/AP1GczOjzpLU2hJFlbFuad6FTZFQZzyQisKxAAsbkstI6FT0S9qT1ZV7gdln11dAEmyE2OwRINjrZNC1UBdOtOs7bpD-ErfSduPBDrxUP050A3SPJMfqIYhJ=w1200|https://lh3.googleusercontent.com/pw/AP1GczNrIMd1yMIJ4mQz8QbmevvbHM-z7lB-9tbjjdXYlTlnWZ5lnEm2JFVfjEYixy1Me6jsdxF7CCsyEOJfig2oS_AqNhPZQe4SzD4fk3Gcge437yT7-926=w1200|https://lh3.googleusercontent.com/pw/AP1GczOK4oS15ndWQPmZI8YYHZmzXyN1A8QwzyfvE7khamOmGhFOxxaYlxAVMHJlhqxx9imbA4TxqrMc75_v9xgjKwc7xV0LbLAd9YN-X2yr_gfyHnBb-E2f=w1200|https://lh3.googleusercontent.com/pw/AP1GczPP18DGsshbZxeNPWC_acHMXmFD2PEoHkAGnjCdoKiahnZSTtM-5xPjdxYAxCx2zQTeKS3yoXLi6Oc0LBcIgpe_7ExXDUlXzQNM-E8feb77DvHqoKQl=w1200|https://lh3.googleusercontent.com/pw/AP1GczPfFCykoan1IQ982XIIumzpQtcml4ir3iVXII5wG1IBqShPuw1kUD7UmBEu6eSqn1kW9yCntgMnUrYHwBcJU5Q8wnYhKofbaUUVVU_auMiRoMoFK2N6=w1200|https://lh3.googleusercontent.com/pw/AP1GczOPCcuTHTjaDsInr640Ih-z2P7RppZGjJ9AkSuhIhKGvRiY4UQs6GWlqWaaYtH8ZjUB0-NwXGjcnNGdK9YQ6GXEFXjwM_dSsgC53iWb_QzdKIhy47m-=w1200|https://lh3.googleusercontent.com/pw/AP1GczO_spBtojX1WSXDuH0CoZSDQsgZH6J_wMJl5LGfPmKawfI5hxE_tijtzf9ztkR9wl48y39ZD3yDyRFaBSzdtr_3NWjyjZ-JDsr7RQzO9FqYrBtVF1rT=w1200|https://lh3.googleusercontent.com/pw/AP1GczNbasn_TLCDMyHgbu_5dzB9lKZL6x4As7n2t0WMHxguS43T08GT2Ji2EmAAAWwqwmrO6melvoYQrpkOSh1Tb6Fv9FXw8Iufeju1anIH_f2ZAXmQAFTg=w1200|https://lh3.googleusercontent.com/pw/AP1GczN76tn6dcSEJ3xUyInnTxdhMnTkvK1V4-gc5AFwGwu2ZW24musCh6vFW89YkVY7SSE0CY6c5R39yCuG6WfkNgFksT6ypo43vFx2sp5M4mVUIp1D7l68=w1200|https://lh3.googleusercontent.com/pw/AP1GczPqql9uoyNcVcQmUyoPsZqI9g70VQxZ6kChsEXE-CYtbC9hkPlbXJHlIHr7gJdxJn6Q6UVTejxjWhlKEuarLwCNmdpAdu_Pg31VND5trPKiBxBHmcqk=w1200|https://lh3.googleusercontent.com/pw/AP1GczPnY9lFJSn3jGM3rKrrGdK20DqsL9ylgU7_ybXzGbge4Rkr4e2jv1yI8GKKaGF9MTlONDWiz1IL9OCpfxnDbvrZz2c_9eWui_FqrZwDlOVA0VFr3_Md=w1200|https://lh3.googleusercontent.com/pw/AP1GczOxgCuoozt8g5A0E5tDoqFl1bmqqbvzhiKwyi7o-UaZXz8Ye9PfMgwSB6T6EoSpoIhnR2VsWuNiV2DGe2VTG622Zs4nQr0WlekgasOyebc-W_GwQyEw=w1200|https://lh3.googleusercontent.com/pw/AP1GczPNnV8vegcvMZW-MsxFLr28th4hegmC5kPebdbilgrDz-lQjSEIpTcJ_Yiv10b_cD1dtWJelncQHTqLQ0oW6EgLvyaMYbu-IPPfxpv4Zds9xanOerhB=w1200|https://lh3.googleusercontent.com/pw/AP1GczOYDRYqlfLp3n4sc4aw311yKrFGeyHvCyLvdH7xmeJ9QPcKOHKRdBptX0QVJXGmBnxRbU7MoHJsNnJjYC_2fYCDOP4xhzS9fLmTXJ94lZnAaAHIqNzY=w1200|https://lh3.googleusercontent.com/pw/AP1GczNFddG36Hfl7s_7cbf4EUfYg-iQEG0T5NWzA6hVn3lkheAEM1UaEyKRybVZKI9aD0LcmFgGVUgQLsWe_GGSgpPr4XCwp0tJKBkx-203rWaZR-wEcQ_9=w1200|https://lh3.googleusercontent.com/pw/AP1GczOXWARsIL941wV81VXhh9fi4bJjRFo99ngClRY4Fr744ODfdjoOb3hVA8rmJGxMIGjYQeHfl8aAarippLTWLVeaJ_AU-O-j8QMPCsMh5w26sZnrivqd=w1200|https://lh3.googleusercontent.com/pw/AP1GczN-jkiGAAgBYuoEQbsdg0hK9rDUJ2ARGDO9fYMAuFXl6_u8wDBMQKnt3HqvhvtUbS1vaxGcv8IP69YMDaYXfvafCr-lYMcBTqYUD6eZsrVN2jTl8R68=w1200|https://lh3.googleusercontent.com/pw/AP1GczMGkfJwYElMw2NI3C1_d4m_QtkpInKi-BXoyP3tdbMuasYYgM5LcT4gBLSxzXjwdIU2Y_72lSOzhgs193Mn2UvhHvUE6YzJmzisU4dBF8HP6llBHSdJ=w1200|https://lh3.googleusercontent.com/pw/AP1GczNptejTA5Pzk3JCGVTz9SChgVO4ot5Wldt-Xe0JA2tW7dONdI4Iuh8dZNzmWd3IRtCBsYflbVZXJQGMq2meMnroM6nWt_WFySkdTfkqL00cXoxQthMz=w1200|https://lh3.googleusercontent.com/pw/AP1GczNf4l3Ty-F3NUtZ7u_KdamCE3wIVw_ZqB7LaoMZUw9C67SMRrAX2AhH5MWosglPfFKxsgv7IOR54QxyuABIo--9LvdToN26CQXJbAnWavqXeQyGn-lG=w1200|https://lh3.googleusercontent.com/pw/AP1GczNwm-MseMwD342VD0qFqNeixkNBa3qvGEyGLMzxuYX8Uu9KpQFVlykrKtXNvvQmkJVLX3XnQbxOeN4Vn59Sf6ZLezGSvDkrgkTmgzx0xFT2zxc7LK9r=w1200|https://lh3.googleusercontent.com/pw/AP1GczPLLyzeBVlOKylmhUgagsQ0aRBJ5wiIUdlerLwDWuvwe7NJmXpU89aipxoGThrgOc_MVlUnYZjXC0QVJd7Ly4fJOTuOZ478fgPNx_5m6BLfxLN4W1So=w1200|https://lh3.googleusercontent.com/pw/AP1GczN4Ktl1aP7K_ScM7x-4z652pYrV_Rf5a8ffXVxiuZWvPPZ1SIobKZOW_sNh1Z87E-LaeoWGFceh_J4-OdrddAb3MUZV8Gfm1rJmLPC0E0gd1LT70ug_=w1200|https://lh3.googleusercontent.com/pw/AP1GczNk2dYTu-mqR8ZyNRDmKIhtb7_l0J04eO4f19U_Ry00gFQEGQZPoEdyhjl4CKrg4YlGDpSydoX-upa-hTdpX1nIuPTWm970JwCrM4eHqbQ2aXuaLMCg=w1200|https://lh3.googleusercontent.com/pw/AP1GczNqovFXpPyEOZ7qd70tKHPiOvdkNd0Gr7zei_JtmJyEHhIu-aNlAUR7jDHcOIZBDDMLM4NU60L3XtL4tTUS1zArD8jsOC2HB2rKDdRwYWa1_QSd8NRH=w1200|https://lh3.googleusercontent.com/pw/AP1GczNRPCViGrVXE9Si7uLjzgq22zb9qHnZbezdjduP9AmdSepS3cWf6n1XiMLNEjo_Fb0fqcoju70mgTTF-JHfGBkbze81-sxl5OkgE0f2qsJ0H7WMvRjF=w1200|https://lh3.googleusercontent.com/pw/AP1GczNo4E0pCzZ6osFiPtJEWQ9asBYkGaQpMYj3XpyL5cSCopWxUVBJIuNH6aZuant62TFq5e6YwBJwlleZyWK0nNHCuOWYFbWJU8-IPHpAeh3DOB8DYSTs=w1200|https://lh3.googleusercontent.com/pw/AP1GczM4fLAqdSGJXaElb8x0m7CRsus8TZbOtC2JUQnpyvfX35gL-YPgub317PIJ--tCqdd-qxyedqpPwtDYVcCBDdzMbBVczSoJp2bnQJvRhxosHAyS2xGc=w1200|https://lh3.googleusercontent.com/pw/AP1GczMO6sJMDQ3wIYC27SvAX_R-pZDCGQrbqiR0_Y859r29298rtLPHbqH3uF7uAZuPsPto0_BxOjt26mbkJCvb0iWhtv615qbTxNDQULfJHyYa9U_Ad62-=w1200|https://lh3.googleusercontent.com/pw/AP1GczOwdA4rxCrYZnTVZ89qB3plUofBaCa9UEKhSAD4rDRXUThg8RRm_iIvlSu7E9dsUEXTVSHgbvWbn5YOX3DFfGsoVEgBQjVVudGdOzLRazidEhpeNeUW=w1200|https://lh3.googleusercontent.com/pw/AP1GczOTHHDOHPPFuwG--IIKdZ09D4MNMMazWurS5-ogVVkTwpKsKe379Kt2DjXgdOETq5udVqTO8uMWN6OrBiNVTw4u5mAtjaLHDBUkZcCk27Tc3KPD56Ou=w1200|https://lh3.googleusercontent.com/pw/AP1GczOw6VeG1TzkCpsXkc6TMl0rhmtNDCsbHzF1T3PPtFQym5Nkll0JDyGWGyB8zNqXHZcYM7cNjGrUGDx9k-5uvKREG-AbydmjbHOrnbyngXU9SJChLZuv=w1200|https://lh3.googleusercontent.com/pw/AP1GczNGNMIdJfA2PwZQVzgUiZpQrwSHhwEyniLMX4oBjaW8SrFXO9vkeoHPUHjzEzL7LCzdaFCWWosYYJdXO8YQO2vBUeuds2Q-hBihymT8XloaOG3mnp5N=w1200|https://lh3.googleusercontent.com/pw/AP1GczM-e-8a_MOYpVqDJyLHXlHPcOEbDlypvJbRdhC_Rzk74p7lTIG-SPKwyAszmOUS0jrt7atBBvNPO2BEK8gRUh4UsTLVzIb1HURYQ9ekaLaADuZJ8uez=w1200|https://lh3.googleusercontent.com/pw/AP1GczPHBzbTWxM2QXHmwmM_Gc-59I20RqRN7RBYPBh6ZkSqqj1Cj-HZ1Nh-kuBK77MezYXZUDlRjtEEihGpKjWb5RnN3kYUozJIzHPudBJRXg3FQxn_V4nF=w1200|https://lh3.googleusercontent.com/pw/AP1GczOA6dPfQymIEI6d0rvqW_V0WnYIQbxRvD66oJRYxTAgL7z9j1_UFsTe_v9f_NIkEBpzhFpCNjec1b7YV-RpNLxztIbnQKZ96NgDvyNycCZQ6hjx0BUI=w1200|https://lh3.googleusercontent.com/pw/AP1GczMoyISCf7jluHUp9EELFs61boKSK4Pf4WIZtwqbwBeXAUzr_XEPr-4y7nJEzMPZU722VMmFBM7fYEngHavvN84R-73Hlp5hCDnSgJWPs8z-TvQqGh85=w1200|https://lh3.googleusercontent.com/pw/AP1GczMfezI_ZNmjRuANzhNIr5iTWLr1fW6XbSee1jTS0I6ny1lXfiPBDn9_ZpO7WPosiSys3tREfWH2Uijj0iD9EUWaGZCrs3-_V9E7qzM8XNWymyofhELV=w1200|https://lh3.googleusercontent.com/pw/AP1GczNnn7YEuG7HlJokQpya4KriHJjluaG7Ge_PMRwBxIgK7pTgEc5yevQLPpbMrsHd5Y4CUye5RnFpHEcN-rZGOg_XfXT6Qby1vupN6sNFYGgD_KHMT8Xc=w1200|https://lh3.googleusercontent.com/pw/AP1GczNdoS0wgC4reoPsa4Gumlc0mFrwCoXPHJqNhdV-cArE3kjQ-F3QyssB4iiU0fw2Ubzcz_TdGY6MXP0mlMn7R43f5polqtEt5FVLhHD5UIuIXsShokTC=w1200|https://lh3.googleusercontent.com/pw/AP1GczOyRJxPB8xwkTn357PIHrWZKOjezan4awXO6jF15Qj9Cdq83bxQFp2D3XTmvkhC2j6RE-4fbv6gBj4PYxukHzXtcARxWs3AnJKnllY-kEO0_zRsvy4b=w1200|https://lh3.googleusercontent.com/pw/AP1GczP0GnA0k5RU8owJXK-DcZmUa1lJmFUVSVzgwWFHHDc0OZXbTzy5aTsje37k24uwkE2_5XxLVTMILQD0j_6TnzJKJFE1iA8POd5V1-h726oPrid3DrEn=w1200|https://lh3.googleusercontent.com/pw/AP1GczNbvG-gxcWEM3b9pX1XFlF8jrj8UbLLPLe39Mv1zPUY_Q1Xn3zyjqkpo7-K50RL50I_aownh7FiwL4xs4cs3mpLrzqY_saFsqoAjgh-k04NKsxYcWqB=w1200|https://lh3.googleusercontent.com/pw/AP1GczNFesbh1jLtgRPFHS6WLUPO1bpSEgiM7JhK1CvOtNv7b2IIbynaUl2ns7_Oewi0ca9lnpFh6aQdqf2-uhtFvtbUpbAWR5SthG7Ff2UE67ynkvTsiSLj=w1200|https://lh3.googleusercontent.com/pw/AP1GczMWxZOtvhRIi1BBvFQ5M-UL5YsIE8aHuQBpEc_XOe_dPkD614ulR2OWkApsHboa5ACn5cMRz-baa85jGXuOZpFAEWVN_q40hjhCPDokN28How-pykmk=w1200|https://lh3.googleusercontent.com/pw/AP1GczPv0exFTUJw3SfaNtBo94uc2Edq-roIr2HQTC9YIEcvK3SQyoaYcA_3uxsMw12ebCUTHZyn91nJlRvF_Ac7OabdN5B-LB7wX66BDPxXQ-LY_JmQu-Fe=w1200|https://lh3.googleusercontent.com/pw/AP1GczPhVd6LQ85U2zmgVRaPgvY09TpBlxCWzV432BoFfVXJG36dnGBAzTP40DfS6ofKq0rFwSreYJK-rM_-wVN7n_LvsjneV0kP3fknnV2BVh3e_K2SH0W3=w1200|https://lh3.googleusercontent.com/pw/AP1GczMuY_-N6dba8-cr2-pZHPUG_uuE2hLur9xla0atOPBQlX6v7SnPBsa4GWVa4vL9XMQyXvXsOOoJ5aNjBa4mmERiMfbrMoAEtuhMaASj1I59wViE_kNV=w1200|https://lh3.googleusercontent.com/pw/AP1GczPraOblotZkX83pj-b-_Z0IsHn-_GFHEaAdMuOhKLyRUIqv7wWq5nZ6u0kzqHSp9daL67ZQ2zMdTuZO2nLBB4vzCw6COMmqmGTG-WYQjJ2dv8VxcJa3=w1200|https://lh3.googleusercontent.com/pw/AP1GczPm0lQx4EG5Ae-0fImHmr4yabHFuFuzoAtpEqCwUopKAb9RXfMrPLDVubtQzEgl9g1W7jkMai38NPOZteBJT9EtBjxDrN6FCCEopgRAVBPCcdf3D7np=w1200|https://lh3.googleusercontent.com/pw/AP1GczOc2CyjufXYTIFgCxSMpfOio1DMNjFfQM4jE_6bn-ghM29T4oSgHE3VVegBse6Y3ZmqFTsmwrmQN1K75fZQkIU8a9_m06WGjlO-3rtHQcXkVJe5W5Ri=w1200|https://lh3.googleusercontent.com/pw/AP1GczMCXGAAmgZF65tw68xJzimOnwkMm8ReEDlzQgcZQLYgpMEJ9O04oHe0ByJFpyaHHt1RvI1l2eRNBJRUBbfslyH10eoTEzIrvZ01F2U15AvsIU1RThUM=w1200|https://lh3.googleusercontent.com/pw/AP1GczOaiBzAwCF3kcjAc7gYIKLAZjibgo95H25FGAeC5zuM4Lnp5rAkNKrNcxQzanDVBGT57b1sj6_14xElGHiRAGWz3Y51_J78U2rUetOIy8Y4w1TUzS1F=w1200|https://lh3.googleusercontent.com/pw/AP1GczNMpRKO2n_G7STdCG48gzRhOhNOzGTAoC1R_uuljLoQSJRmQVBe0OMmrs7Zb5fOSLyVMTHYvIQkVMFfhpIWlngHX9_ZSeXaB_q0T4EQRmuUsqFKFC-a=w1200|https://lh3.googleusercontent.com/pw/AP1GczPmXE6rVUrYozNlLkPu7udSV_M4TW0g-qrN22MiXWHV85InFlP3wJMPRjYBAopKBEjfNhedvA108s5hjPkZz6cFvbXyHl3yHTrvL-yH1yNAipESo7ai=w1200|https://lh3.googleusercontent.com/pw/AP1GczOr4EWlrK2MEs_C0caeF7_bIQZtuDjYNQmwgqmmtJwQTg0SM2CAEHufOA7tojmWyiKwt_BDBCWkySc51M68pvMF-4-8It6mCsjRyMyB28Y5uR8SZUu0=w1200|https://lh3.googleusercontent.com/pw/AP1GczPV5g017CBtmQcLMyt3cpiUG_3G3USXrry-bpv-9SS-4x2WPaNRRjl1TGyOWe-nuznglaDWWCSHrLrfSmdkXju9ylm7QfNCsqBmSyfjakv4NliuImGZ=w1200|https://lh3.googleusercontent.com/pw/AP1GczP3yxje3c1WO0x0zaG4vuuyxNddXjF1KA3oqY3_yJ94dwafsPCNq18s-u7qhG35RzOGURoVDxiZmxQ5EJdnOWIUnJydbKCM7sdH9h0yHHfNSR_zi5lz=w1200|https://lh3.googleusercontent.com/pw/AP1GczMZwYrwpGPDHYC8kf6VX2fseSMiEB_39RS5tj8hE94b2cH1EPSiGz7J4atd9rwr_p_OFuiZ1w4p5Qwk4dWJ7FEr0gGnlK0amOI_gmO7NJCq9f7z1q4f=w1200|https://lh3.googleusercontent.com/pw/AP1GczNkRqUfHJFuFDemktbEi8uX7u3zQoL2QkoIvi63PybJxUR4zfq-noIg5qzmBhqChd4OufuAxI3kx9rirBwBKPjNaByrFRVf3CcGSl-sIR2AS4rUDOj7=w1200|https://lh3.googleusercontent.com/pw/AP1GczMD-yzdYIYpQiZN_Q4C_YvWeJPCr4k3-i71qqtPgcU7pmTt1RFdw4uu01XyuJEyLodBPtkdA4aoQ08KMWYLj_i1LZPNYZ8KTOMHBgOFZzVIXcHh9TdM=w1200|https://lh3.googleusercontent.com/pw/AP1GczPmDWdOO1nPZZtY1Hyc4flMDZzoRDmp4I-9e-uJ3RHNBeM-T8AeQVJ3HroLjfala3SznbPqizwsKXupaboCNuwezKWkkMxSnk_TRgtXS5DvYpxKVM6b=w1200|https://lh3.googleusercontent.com/pw/AP1GczOthxky5cd6qQvXlk-CYlC8g6uI9HHY1bjQSoU6KZ8ljIVgg03yOYkeve-QENcuU13IZmVNrlwrx6YBVCiGwVWKOzvnTnnAcbfAju9BAZJ2rPyP6b_Y=w1200|https://lh3.googleusercontent.com/pw/AP1GczNrV-iyyN0nO1Wn57zQRXvRUQo62TjIlh51DBgOQWtGNUy6df-5Ebe2N9Z9_hExnXoJh469VNI7H5btB95iwvLjN1MPvHj9mVkT3jacdxBY4-g6yNBa=w1200|https://lh3.googleusercontent.com/pw/AP1GczOldwXTvMawySYITiZPYOTHS0ZxgwHq25HOrHneZfeTKJeFr0UbJ9tI6_37DC_XVzbldUrRP0zF8uHOsLzpbKFSOT3SntI6vCq_eGufrA_0hrOyzEw7=w1200|https://lh3.googleusercontent.com/pw/AP1GczMvPRO0D-U1o-9TggL0I0-iaCWDbUlDJtA5tGkOj_Uew_mi3VGd2lvnZ9CbCajUQTlIsquoQm98xE7Vik70d0Vv3xPAzrHKKH-II-793Urd66KJgoWL=w1200|https://lh3.googleusercontent.com/pw/AP1GczNW-2J2GIR0YHe6ee5HgbHqznnbE7kHi0OHyJyoxYlc1qKBoOsWLUb6FMSnV2ogMY4I7JXBPqOd-eWQq6tRP86CyFyr2pgXAyaT5hARHyF38dyeqqdA=w1200|https://lh3.googleusercontent.com/pw/AP1GczNa4efyEBGioY8Vnwl8ERYxVT6qq34C05Um39c4V-KAoinrQpbTMl9lq1uzow8c-M7uViCA1t7QKWmj7bGBTNcbpM_wzbv5Hrs2l7rRJeZH7r4_t28-=w1200|https://lh3.googleusercontent.com/pw/AP1GczPRMyNdrSfJXlG9TFzzA9ZS4aKz1-ZBwLxvtuFFX9c8uH4bRRPbysoVrgUJKZ7x8evSxaKNz_Gghog8hYSa6s0n9GWU8oiSbl-KIj5uf9VX9Yy1Xj-S=w1200|https://lh3.googleusercontent.com/pw/AP1GczO403gbLJ10N9FD9ObwFD6NINqHPWFuC2MS1KSw1dbaDQW2rz3d94C0hiDcLvWm6I2nfRTzkwgBvTNhqbaeYxl302ZKuA0sr0h9Eso1Vjw_al91uk3F=w1200|https://lh3.googleusercontent.com/pw/AP1GczPjSPNE9AtB-Cc6RxdcU4Ry-3bbS_C9OCJy02gQ4mayaKWtUsK4oh1YvN3LPAowP4cSKFeQ97Kp37HBl8wX230FEdv77T8jvWpWG873Cw1xj3itWK4i=w1200|https://lh3.googleusercontent.com/pw/AP1GczNcgErDol5zm6HwBqjkgiVVw2i3q2HqXxxJcKdqANzPxMe5oyS2sZzTX5xAluomWF_pw3KommM0OeSK0l7-XslLPfxkkEAk_xSnPn1BXiWjxekMazoF=w1200|https://lh3.googleusercontent.com/pw/AP1GczMr5xtHChtJkeo1bIEAF25RMt1VNwX1DiCxnITrQkvMB16Knf2_JNAdAb_ucJ2_Nw3uhNO_gA6Y2yM60n40weOFFwDCniDHVqXbZS5pAKndZ-Xqq4Zx=w1200|https://lh3.googleusercontent.com/pw/AP1GczO2vJf9QsjPfUNofEF7-PFBpQGZfgy-Y0ZYT2zrSbSni3YpaIGGF8hpM8AHSBoL75pSK7H-qdmTqwKQkTM-XDwx3mrG9FH2qUy_1g4QDCswpSdJHY9z=w1200|https://lh3.googleusercontent.com/pw/AP1GczOHvJj4mrm3l0jocIwVb8VPbBlEU0h9q43dkfve6SFIsjxPn7mUKXOEB9Uzd7TqGBnRGuAqU4RWk1JxufN6KLjb-7S6TGdjI3OmU7udI7Lk7bz_Gow6=w1200|https://lh3.googleusercontent.com/pw/AP1GczMQvDAwfh6K9YHDkqQopdkigR5XsH4-NYm20cr57h9X9g9ewJO1seW1Ib0PIGP-qubbXLtXOxxqu3cJtJ2tNK9FK4CspoaNSGxk32The0vgFmsDnkJH=w1200|https://lh3.googleusercontent.com/pw/AP1GczOhKp5dhWbeisNOIPImt_KBHX7sSt0TGGnY0SZpwU6mpDtPw9PRm-w2hWXoZwtgogCNOtp9zbBBr5LArnhQL91GzQtPnDdyn6shKNaG2zh2UDjJUZOj=w1200|https://lh3.googleusercontent.com/pw/AP1GczMKQdy2koPt5jD3doHJm9vjdFJN1GEp5_wPyiXawFC_nBIYVYb9bQadVo4_-9pSP1i5KdtzWnkx7y9oD6rVWkpSiQKup__zfhYc3EqPNVXh8Pr3rRcT=w1200|https://lh3.googleusercontent.com/pw/AP1GczOuOIW-rjUpaeWDMKCKhWuVH0vHSNzRB_4j46pOyqKOH-_lnU_fYNAp9mBZFFQLHdw1uMrfIaFcNrBHGW5qkWDBRZ1_LXo2wN4gXtbRorkGUQro9hSN=w1200|https://lh3.googleusercontent.com/pw/AP1GczMl9zrki7wqJdI8hFnfBSzMuYjMSz1H9XCHMszKlJpylK37MC81ytX8y-LLZcJ_uPRzca_KBs6bkT6WgBy5jdP_kiHaUgVf-P6nXawPwSJN5QvAtUax=w1200|https://lh3.googleusercontent.com/pw/AP1GczNZWhvuwBc5SY2aqCHJkEgagCtncUywDbeS0V7070N0LvVkriWKKMWIM5ieb7QwQ4bu6oWuIhu5dyKrInzB8aGnVCFA1LNqr8RKCDIOf63fvmARm9Il=w1200|https://lh3.googleusercontent.com/pw/AP1GczOE0huDb2vElR2oylcnPD3p5Y0zeWHPsDqc79eFQMALTK6-_ZKT5ks1gamidReDuzy-4QbtNsVywtHh65TjTBuwtCYUNMEVJpHpBzbWOQMzi4CIFZRN=w1200|https://lh3.googleusercontent.com/pw/AP1GczOAnDdKETgFbGcmHhG8as4d9XXskbKK-zfDxYprFIXhIrsZVUHeeRcTcgSQkAIe2hUZMMKD7-ONoOMxZyurI7m41IJEc7-cvcRAeHzV2_0zA60roP1d=w1200|https://lh3.googleusercontent.com/pw/AP1GczPrHlSwQyRasVWTPn8-_4S6efsVtQ_yLprcHCNzQlZvXLmN0-CvoAuF9Dx571wGo8XXriM89QiPHu27vHcdgDElrGPoTmiihqpkaH1S99bErQpI6XxS=w1200|https://lh3.googleusercontent.com/pw/AP1GczPFfKtPwF5dUxZreOpTrhNDVhcH78gRoyTDTx9F_7CJKSK-7zU6ugmD2uEk3FoBhx2l9P1LFw7_bfNmm3TVGCwZCHYs-ijIdUdAkVZ7Vo5UTx8oGh-7=w1200|https://lh3.googleusercontent.com/pw/AP1GczPPQgKPDDFX80lMMyiYIeQ3SUuZ6BXS7m8nT7mFL1pRa6AQm3NbmkAetOIqieMAl39T1jYhpSjuV2aaLWsMDJdVrX8V4CMaw1dF2Wg-0RlOLbjEECIh=w1200|https://lh3.googleusercontent.com/pw/AP1GczNkuMB6s-Je4LowejN7AaHSZZpSvSQI11DMc8QruyiM7mgMlMy3Q9Vr5rqht10Hy65-yUfc7HYkhB2x2UxvKn579sXs-pWr4ef-mwW5kV4hS1gRwyzV=w1200|https://lh3.googleusercontent.com/pw/AP1GczO1XATTtraps6X-n4xSuua-DkOz7REj6CTujrXFlXItpv26xZXurhtPquoRVGR18q_9OYgoEI2Tdq5dHu8QhPZxmi-lEB-sEU0Ym32prUEtehvDD4rj=w1200|https://lh3.googleusercontent.com/pw/AP1GczN4DZ0a3yc5-ZLByLD9WU3c8YLBCp4Ine1q5ZoaHKPLqfJjVo4uIebeGjsEH-qqTK_KuG3QAoXOkbJmeWzxojIfgOW4qJm_KiuNi3ksppXd4jf_4U77=w1200|https://lh3.googleusercontent.com/pw/AP1GczMgqDs0N3J4uem2S_g20hFmaMPMhmaeVSpbFw35zeyl_uCAgLK_fGpofF4ZJaVDxBHL8LO5f3cVVAmjNB-Zakxfg_iDAEOxXLKGSdOCTb0aXrHGaNFF=w1200|https://lh3.googleusercontent.com/pw/AP1GczMwmROjzTQUBGdY4Ur_nUVDJTBCzuMuyJ37wufu7g4O3wdQ8hAW_Q7SLofWAaSv6AKvbhwq92SZ3fIhq1npD4o6UusOF5FMP-YGhENSfo-QteE__Sny=w1200|https://lh3.googleusercontent.com/pw/AP1GczOpowCp_QqII-bG2TvA2lyPMebkXU5mjCUrb_e05e_hallQlUPiiBOq3dxICTea4qJgzCrxBdFEdJwgzhdvsYl9gurwMVQhjhmKPRqhMOizCUxR-ACX=w1200|https://lh3.googleusercontent.com/pw/AP1GczN8-x6eYo0_AJW2XWsNFwnunWQBISZdynLlEG0vZzEfFkmLE3-7VxQMtA8U1I_PBJGNw5iUACVziSfYxvAIVWFIFdqkfA1I9ceN6_EIJWASV7uiJLeu=w1200|https://lh3.googleusercontent.com/pw/AP1GczMntXD0Ti4YjG01pVI2PSjgWq-sJrWF5BxEvs5xGkIXfo7ITblJA1clLVUkwEehCuDyloQRSac4bVNuxRndlqpT69Xd0geIeVTqpTxcd12VMMiqJDuZ=w1200|https://lh3.googleusercontent.com/pw/AP1GczNnjx4AEnQFTCb5Mo31aX1N5n_Fm-_wF-mlktWvf2YU_2ryJK6ECI1gqM0szP-mbQct_1bILZvuOxiOnL5kY8OFx2vXWo3-yrlNnor9Uk74X4xg1-se=w1200|https://lh3.googleusercontent.com/pw/AP1GczPALAaZH9cIjLH4ves2VnBnvW7_7PkamX_XxoSqcBXZFp2Zk8UbznhS1RsG_0eN267zp-ykwV4nLSbjAm7BNDemqku3xrTclRdnxGjwnqeuE9URSFvR=w1200|https://lh3.googleusercontent.com/pw/AP1GczOaOoLS6lL_yDqTSisp6fnvNgf62vw5Xla4c3Ir19WWeQA92KTLpXrPHjOxMK3Lp_iBwZ1n_is3PKdQRy7FAwvLFUFET2aW0dllwvy1FGKnoI-GQ_KX=w1200|https://lh3.googleusercontent.com/pw/AP1GczOcTzfglwMujTAD1xPvUQGE9cAT6dFTkWhnYl-hknCKGCQP3QYDVEt85c0G1FQYKYu8BT_ts7yuw7ToS9JXqS9wyztPUNKAGxSSEE_mt3pbKR5rsADU=w1200|https://lh3.googleusercontent.com/pw/AP1GczPXUXzaet_xgeXjDlfBCS4Na8xew9ZCVVxHvvybPV9iMBMjnkBX7I3WMNLoXZ5JAS3od_X7sm0XlEpE83AgAAWqXtcH-wiRdCeBQiCX0bEP6_sZ9xqT=w1200|https://lh3.googleusercontent.com/pw/AP1GczNhgFWrz2XfdX55aQpwpZCQtwwJwBj-3cau9c6ZD_Iae1GgPqG5NwXvEOgtoZUcDW5fvT7ZmdxciCKh64azSSISYs_VlzxL6PCNvNCehs887agH5cDV=w1200|https://lh3.googleusercontent.com/pw/AP1GczPdZdKbAjwXJHVd1k9TUVJ5AI17ZKPR-aq_IAeRfT_cEcOOKCOAQK7Q6ShBAfnsB-tvREwDGgQAfm0uO6OsF1GgTJa1Fy0fHd3K8NYe90CV7Y88-3Sj=w1200|https://lh3.googleusercontent.com/pw/AP1GczPMi5T1cXUEVNPdthmhqwx_W7xQYCvwskbBZVTUHTU5Xb21N_f0f22zkpHI4q5N92LekPmgw1n3e7slnvkzpdFRmlVmTBzxqxpprA0-ByjIVUJApOt4=w1200|https://lh3.googleusercontent.com/pw/AP1GczPbTUlZddAEhzNjxeBAmR7y3R2tOUkRhCrBsLVwK-zQO7g2rY7iLCrUHrkf3HGzUgG094mW4stU-SRSyLkXdGpblW7ZmgAjIN-J_9Ca-VNrKNLYLosX=w1200|https://lh3.googleusercontent.com/pw/AP1GczOwP9V0RHDoWGzS4kfIrbS9p6Kk6pQwv8hjA7dDKB5ZnGk2V5aS5PDMLorqU6cKGxeMzgjFklKSJZ3_S-2A2InPv8D3hTzPJ2TOOG5KtUazNqJCw4hn=w1200|https://lh3.googleusercontent.com/pw/AP1GczNKU5b4jfZgTIiI3zsFgg5snH-1mcbw6a_pMViBd2VxGo2h0Ab8tb_JSybZkUJX1n32x2gNKLkCvxffpHLVnpJCRzmR2UfF8pAWoFgZLNpH2nFm44ZR=w1200|https://lh3.googleusercontent.com/pw/AP1GczNWrnRrXbOJO-ykjc-cV31pfio5DSWezwwS375EeyDdZhlkMDUVsdvk_QCtR8nI51T8UaaWJg2g7MMNC92cOwfxi4N5tcGOYllY2tM5oKQB5IxLRFFk=w1200|https://lh3.googleusercontent.com/pw/AP1GczM3cj3eVHNm-Mt28zm1_D06gnNnOJrXtn1fUujb8iUooe-EqcBYBl8LRMc1sbHTNU3vUzypS9krHH44xMaU76tcUGIBSLPkGY0Nh6A9LQOunPXX4Y7B=w1200|https://lh3.googleusercontent.com/pw/AP1GczNLUZ4fM7sDn4pXp__1JXWLMOnGnaq7GNXQQ6c9p8OyHB-iOVaFe1M5Tb21dRAEa40ZcYF8-8VP-V8tEkGc9xbYZ_JBwnnz1E0tnE0doC7FFPEfnNEq=w1200|https://lh3.googleusercontent.com/pw/AP1GczOuKMaoG9gJQRVsWEu5JGqSar6q0Ob4GqO1C7c1JO-xZRO8_CEvY-uEJYfDaFgRw57oSGNg28IWT48hXUQacKiySGwKfSs421KHEynYCs-0RVxyc5rI=w1200|https://lh3.googleusercontent.com/pw/AP1GczOz1Tm-GbMPWre45P3q652_ZE6x_f-LqHB6ZKIbfHyjgKud5bug61_4hZjhjvGjegn9LritVhSydWLYL-QW3m-IX37gCQS6oPoD3RSomLoY6xezF2Di=w1200</v>
      </c>
      <c r="AJ231" s="46"/>
      <c r="AK231" s="46"/>
      <c r="AL231" s="46"/>
      <c r="AM231" s="46"/>
      <c r="AN231" s="46"/>
      <c r="AO231" s="46"/>
      <c r="AP231" s="46"/>
      <c r="AQ231" s="46"/>
      <c r="AR231" s="46"/>
      <c r="AS231" s="46"/>
      <c r="AT231" s="46"/>
      <c r="AU231" s="46"/>
      <c r="AV231" s="46"/>
      <c r="AW231" s="46"/>
      <c r="AX231" s="46"/>
      <c r="AY231" s="46"/>
      <c r="AZ231" s="46"/>
      <c r="BA231" s="46"/>
      <c r="BB231" s="46"/>
      <c r="BC231" s="46"/>
      <c r="BD231" s="46"/>
      <c r="BE231" s="46"/>
      <c r="BF231" s="46"/>
      <c r="BG231" s="46"/>
      <c r="BH231" s="46"/>
      <c r="BI231" s="46"/>
      <c r="BJ231" s="46"/>
      <c r="BK231" s="46"/>
      <c r="BL231" s="46"/>
      <c r="BM231" s="46"/>
      <c r="BN231" s="46"/>
      <c r="BO231" s="46"/>
      <c r="BP231" s="46"/>
      <c r="BQ231" s="46"/>
      <c r="BR231" s="46"/>
      <c r="BS231" s="46"/>
      <c r="BT231" s="46"/>
      <c r="BU231" s="46"/>
      <c r="BV231" s="46"/>
      <c r="BW231" s="46"/>
      <c r="BX231" s="46"/>
      <c r="BY231" s="46"/>
      <c r="BZ231" s="46"/>
      <c r="CA231" s="46"/>
      <c r="CB231" s="46"/>
      <c r="CC231" s="46"/>
    </row>
    <row r="232">
      <c r="A232" s="87" t="str">
        <f>IFERROR(__xludf.DUMMYFUNCTION("""COMPUTED_VALUE"""),"226")</f>
        <v>226</v>
      </c>
      <c r="B232" s="46" t="str">
        <f>IFERROR(__xludf.DUMMYFUNCTION("""COMPUTED_VALUE"""),"Casa con dos apartamentos en barrio Las Brisas")</f>
        <v>Casa con dos apartamentos en barrio Las Brisas</v>
      </c>
      <c r="C232" s="46" t="str">
        <f>IFERROR(__xludf.DUMMYFUNCTION("""COMPUTED_VALUE"""),"Casa rentable")</f>
        <v>Casa rentable</v>
      </c>
      <c r="D232" s="46" t="str">
        <f>IFERROR(__xludf.DUMMYFUNCTION("""COMPUTED_VALUE"""),"Las Brisas")</f>
        <v>Las Brisas</v>
      </c>
      <c r="E232" s="90" t="str">
        <f>IFERROR(__xludf.DUMMYFUNCTION("""COMPUTED_VALUE""")," ")</f>
        <v> </v>
      </c>
      <c r="F232" s="90">
        <f>IFERROR(__xludf.DUMMYFUNCTION("""COMPUTED_VALUE"""),6.2E8)</f>
        <v>620000000</v>
      </c>
      <c r="G232" s="46" t="str">
        <f>IFERROR(__xludf.DUMMYFUNCTION("""COMPUTED_VALUE"""),"$500'000.000 a $1.000'000.000")</f>
        <v>$500'000.000 a $1.000'000.000</v>
      </c>
      <c r="H232" s="46"/>
      <c r="I232" s="46"/>
      <c r="J232" s="46" t="str">
        <f>IFERROR(__xludf.DUMMYFUNCTION("""COMPUTED_VALUE"""),"Oriente")</f>
        <v>Oriente</v>
      </c>
      <c r="K232" s="87"/>
      <c r="L232" s="46">
        <f>IFERROR(__xludf.DUMMYFUNCTION("""COMPUTED_VALUE"""),7.0)</f>
        <v>7</v>
      </c>
      <c r="M232" s="46"/>
      <c r="N232" s="46">
        <f>IFERROR(__xludf.DUMMYFUNCTION("""COMPUTED_VALUE"""),3.0)</f>
        <v>3</v>
      </c>
      <c r="O232" s="46">
        <f>IFERROR(__xludf.DUMMYFUNCTION("""COMPUTED_VALUE"""),1.0)</f>
        <v>1</v>
      </c>
      <c r="P232" s="46">
        <f>IFERROR(__xludf.DUMMYFUNCTION("""COMPUTED_VALUE"""),1.0)</f>
        <v>1</v>
      </c>
      <c r="Q232" s="92">
        <f>IFERROR(__xludf.DUMMYFUNCTION("""COMPUTED_VALUE"""),150.0)</f>
        <v>150</v>
      </c>
      <c r="R232" s="92">
        <f>IFERROR(__xludf.DUMMYFUNCTION("""COMPUTED_VALUE"""),460.2)</f>
        <v>460.2</v>
      </c>
      <c r="S232" s="87" t="str">
        <f>IFERROR(__xludf.DUMMYFUNCTION("""COMPUTED_VALUE"""),"Rentabilidad $1,800,000")</f>
        <v>Rentabilidad $1,800,000</v>
      </c>
      <c r="T232" s="46" t="str">
        <f>IFERROR(__xludf.DUMMYFUNCTION("""COMPUTED_VALUE"""),"Neiva")</f>
        <v>Neiva</v>
      </c>
      <c r="U232" s="87" t="str">
        <f>IFERROR(__xludf.DUMMYFUNCTION("""COMPUTED_VALUE"""),"3")</f>
        <v>3</v>
      </c>
      <c r="V232" s="46" t="str">
        <f>IFERROR(__xludf.DUMMYFUNCTION("""COMPUTED_VALUE"""),"Medianera")</f>
        <v>Medianera</v>
      </c>
      <c r="W232" s="46"/>
      <c r="X232" s="46">
        <f>IFERROR(__xludf.DUMMYFUNCTION("""COMPUTED_VALUE"""),0.0)</f>
        <v>0</v>
      </c>
      <c r="Y232" s="46" t="str">
        <f>IFERROR(__xludf.DUMMYFUNCTION("""COMPUTED_VALUE"""),"No tiene")</f>
        <v>No tiene</v>
      </c>
      <c r="Z232" s="90" t="str">
        <f>IFERROR(__xludf.DUMMYFUNCTION("""COMPUTED_VALUE"""),"No aplica")</f>
        <v>No aplica</v>
      </c>
      <c r="AA232" s="33" t="str">
        <f>IFERROR(__xludf.DUMMYFUNCTION("""COMPUTED_VALUE"""),"29 años")</f>
        <v>29 años</v>
      </c>
      <c r="AB232" s="96" t="str">
        <f>IFERROR(__xludf.DUMMYFUNCTION("""COMPUTED_VALUE"""),"https://photos.app.goo.gl/3vWinmhjTfJUDdf59")</f>
        <v>https://photos.app.goo.gl/3vWinmhjTfJUDdf59</v>
      </c>
      <c r="AC232" s="46"/>
      <c r="AD232" s="46" t="str">
        <f>IFERROR(__xludf.DUMMYFUNCTION("""COMPUTED_VALUE"""),"Casa amplia antigua y rentable.  Dimensión del lote 13.0 ml x 35.40 ml. Bien ubicada sobre la Calle 8, vía doble calzada con separador. Sector comercial. Cuenta con 2 patios amplios. Escritura al día. No se permuta.")</f>
        <v>Casa amplia antigua y rentable.  Dimensión del lote 13.0 ml x 35.40 ml. Bien ubicada sobre la Calle 8, vía doble calzada con separador. Sector comercial. Cuenta con 2 patios amplios. Escritura al día. No se permuta.</v>
      </c>
      <c r="AE232" s="46"/>
      <c r="AF232" s="46" t="str">
        <f>IFERROR(__xludf.DUMMYFUNCTION("""COMPUTED_VALUE"""),"básica")</f>
        <v>básica</v>
      </c>
      <c r="AG232" s="46"/>
      <c r="AH232" s="46" t="str">
        <f>IFERROR(__xludf.DUMMYFUNCTION("""COMPUTED_VALUE"""),"Verbal")</f>
        <v>Verbal</v>
      </c>
      <c r="AI232" s="92" t="str">
        <f>IFERROR(__xludf.DUMMYFUNCTION("""COMPUTED_VALUE"""),"https://lh3.googleusercontent.com/pw/AP1GczO6OGkMT4sLOkZxJAxFU_bUlS_TCPyeEsj0wkU75cfFGsczw7wJain6zdL4z7bpFi9Ldl1ns5b9YrAA-BwXMnErsemsNRrvHIaP9_fPquR9aZADWuDS=w1200|https://lh3.googleusercontent.com/pw/AP1GczPCLk7mkt7ju6XtPxN2YrxkZgkZ8nnPn2t2Zehn5Qfej8YSdQ"&amp;"zQfj1OVFJuFre88ywp4goV99niO22NH5boxC-XcCe3V8Dg9r5lJTiX-G369Scgugr3=w1200|https://lh3.googleusercontent.com/pw/AP1GczNXPFsxBkzvT6wSHpdoAX6ds_XJlqZ_TSYVUEBHocDMP_rx4vKfLh0sHrpehxH6CZtn6S0zM9heeZlm6pRs_n__q03sGZFLdlzP6fGxbLeILTLwXFCP=w1200|https://lh3.google"&amp;"usercontent.com/pw/AP1GczMckPU2tAaHgEKA0ACE4597YKO5oMU37K8VYNd6X0yYEx_Jeitl_qIiLMqohtGht5RHcNR-jRu9L8bgtUE6RQf0sc54g1HHdTpVinDOV4CldFZ2MGuU=w1200|https://lh3.googleusercontent.com/pw/AP1GczNNbVUYiY796HEmO6YyoQEL3g_MH1bhpXwwg08OBXw9p28Zx8FFwzoCI8hljJa0mg6o"&amp;"ZQQW7xXJFWLRqnPDE1hwMmvf4EjSBJUq4x18dlLPfI8o8EDi=w1200|https://lh3.googleusercontent.com/pw/AP1GczP7IVZesEjpd5Xrn4cQidhLFx9lRaZ8EKp5MD8q4O5r6mT7_R94BIRDvQ3g5JzIfWRQ7yr4a9msM8M78BUTi1sPO5yohfqpz6KZFOotWOupbHZI8SrT=w1200|https://lh3.googleusercontent.com/pw"&amp;"/AP1GczN15Xx_I0DQONN9dNejpzpvZdWrxKTiN9SvZkTrVwFRoLq1u_rHgXYCeyKhY1qF-PulT1tRW1TDmdN8fNUipNDet8nQtZaRdaqPWkqG-8uBkrl1fpMU=w1200|https://lh3.googleusercontent.com/pw/AP1GczPXHxR4VjrqtruWQ41Ev07tPUFocba9rsPrbNpzwOaS8M58YzzHphe2WtjvdUstZ_x5SOeevdpm1ugGLoiyc4"&amp;"X5bDJQupOxRPzuTrttulJdNxmJYy_E=w1200|https://lh3.googleusercontent.com/pw/AP1GczMOWtQSHHLlpPBQO97IUdndWf3YUgJnzgK1-7hf-kAYmotnTbWaTd8C8s7DtxzBG2K_w6SXsYq10hH0vAn5XFxRQVCQSVviVzYbcLl_dpSoq50i5WSq=w1200|https://lh3.googleusercontent.com/pw/AP1GczPAzZWrJyJzi"&amp;"AsWHZeLBtTDIpTN6cV_eLPm_d_v8v7N98qAoEM5zuBb22i9xC_zsr5_kSFpKE8YK3ipNui_KwjKTsJsl3gKmWXtSv_ZrP3KDQaoFJNU=w1200|https://lh3.googleusercontent.com/pw/AP1GczNBzdb1Xd-HCrjWPzpxBS9RNTD8AP4yE2yWd5OAzNcJq3t0l369rCtH0pGX4IuxkImmd0dkk5XKyf1Sd0zX_UfORzBSncTmn15n5tvo"&amp;"U-iY-DFk2Krh=w1200|https://lh3.googleusercontent.com/pw/AP1GczOA31H52SFUR7_J0fmRVBrewJ2cBiqtjvdPPY3gREZvh_Vq828WUIuU1WkAZjWJBAMeGIdRGZm6JcaRBazInGmdVExLnnmsk3SuWIcpx8bdpMNAl4aK=w1200|https://lh3.googleusercontent.com/pw/AP1GczOZuZO5_E0010HPka3IjKa2WMlvfXf"&amp;"l3aofYars-_0emyMcyRLxYcTG9BfSpiydNx7orlFG560BOJvYKSgG9bEF5QN8Zgy5heH4GdyZAVGXJJ9TVTol=w1200|https://lh3.googleusercontent.com/pw/AP1GczP_8aNE_Q2HFx5d4lOYDFKeFH34yliQz95dbT6UHrqRVZihNUUphOwOWQGOSIVuKOnN_WS9AhYTGsnAJainkkBNYTGfHNX-JYEODzMpwVaewAH02xIR=w1200"&amp;"|https://lh3.googleusercontent.com/pw/AP1GczNGu0vSyrXy9JwoL-KuSdwVnP70wkqjkKUDXNVx1l-reBhw_hjsc0DAqk3nznTsjyeV6doXoSbOI2QgDaWE9f7yP4pziS1DRKpvU1hUkeZWfs-ful9X=w1200|https://lh3.googleusercontent.com/pw/AP1GczPcP2B8RSCQAHKSOCnMAku3J2x3VXFvGcz1rCq-ogRh7fA_-"&amp;"wykrVQ3G8PxMLCxLVScqhbIENwK9J6KvrSP87BCiDmObd3FUlSqdGcpqcclwiRDCH7E=w1200|https://lh3.googleusercontent.com/pw/AP1GczP-uqkDquEoghCE5FqJJHNNLnzGtfLO2xDYMadX-1ikMEMQbx51ZTI6VzHdvFSBmokzlW0PulpQqAVIOv1YYelPqav_6Jz_06FpV7OnnBkxEbo4Iu-x=w1200|https://lh3.googl"&amp;"eusercontent.com/pw/AP1GczOWt5T_W7d2vD_A28AbYUyxabz-xa0QmOO4FTlHg03XuqLc0kYz0qR-boecSZospzLTbqkFzEnNpsnHo0B6dPFhiwMTkcU8caT5IQmusaonTr5T-Olt=w1200|https://lh3.googleusercontent.com/pw/AP1GczOjQSwKMaBb_PpEXAmfORV6gGV1ZobaxjHkGiR6jA1V7qU1W5trCQE6IseHUY8hUYQ"&amp;"JgFP0LqtK4woXfzASPpAP28jC2_KlOZWpqqp3XGKU_wnPX68v=w1200|https://lh3.googleusercontent.com/pw/AP1GczOH3uFllRvz6aoB-Ip6T0g-ow20850Um1ThHRtGkwFjzu1laoRyU87WMMgZ5nBHGtvPuArekQ3EAAV8YzcRSNkTK36Jb6b9QqDv7JJzksQSu7fMoiKA=w1200|https://lh3.googleusercontent.com/p"&amp;"w/AP1GczM66p4yGyywXc_FNhPDXvMtSMchAOZrSkhkLNBTEEZI4ciDT1dq8RuZ9r-iyv5f1nBrZIgrmuEznprB3U8SIDOuIMVEoYHkPY_4aRwehO3PgXAMFW12=w1200")</f>
        <v>https://lh3.googleusercontent.com/pw/AP1GczO6OGkMT4sLOkZxJAxFU_bUlS_TCPyeEsj0wkU75cfFGsczw7wJain6zdL4z7bpFi9Ldl1ns5b9YrAA-BwXMnErsemsNRrvHIaP9_fPquR9aZADWuDS=w1200|https://lh3.googleusercontent.com/pw/AP1GczPCLk7mkt7ju6XtPxN2YrxkZgkZ8nnPn2t2Zehn5Qfej8YSdQzQfj1OVFJuFre88ywp4goV99niO22NH5boxC-XcCe3V8Dg9r5lJTiX-G369Scgugr3=w1200|https://lh3.googleusercontent.com/pw/AP1GczNXPFsxBkzvT6wSHpdoAX6ds_XJlqZ_TSYVUEBHocDMP_rx4vKfLh0sHrpehxH6CZtn6S0zM9heeZlm6pRs_n__q03sGZFLdlzP6fGxbLeILTLwXFCP=w1200|https://lh3.googleusercontent.com/pw/AP1GczMckPU2tAaHgEKA0ACE4597YKO5oMU37K8VYNd6X0yYEx_Jeitl_qIiLMqohtGht5RHcNR-jRu9L8bgtUE6RQf0sc54g1HHdTpVinDOV4CldFZ2MGuU=w1200|https://lh3.googleusercontent.com/pw/AP1GczNNbVUYiY796HEmO6YyoQEL3g_MH1bhpXwwg08OBXw9p28Zx8FFwzoCI8hljJa0mg6oZQQW7xXJFWLRqnPDE1hwMmvf4EjSBJUq4x18dlLPfI8o8EDi=w1200|https://lh3.googleusercontent.com/pw/AP1GczP7IVZesEjpd5Xrn4cQidhLFx9lRaZ8EKp5MD8q4O5r6mT7_R94BIRDvQ3g5JzIfWRQ7yr4a9msM8M78BUTi1sPO5yohfqpz6KZFOotWOupbHZI8SrT=w1200|https://lh3.googleusercontent.com/pw/AP1GczN15Xx_I0DQONN9dNejpzpvZdWrxKTiN9SvZkTrVwFRoLq1u_rHgXYCeyKhY1qF-PulT1tRW1TDmdN8fNUipNDet8nQtZaRdaqPWkqG-8uBkrl1fpMU=w1200|https://lh3.googleusercontent.com/pw/AP1GczPXHxR4VjrqtruWQ41Ev07tPUFocba9rsPrbNpzwOaS8M58YzzHphe2WtjvdUstZ_x5SOeevdpm1ugGLoiyc4X5bDJQupOxRPzuTrttulJdNxmJYy_E=w1200|https://lh3.googleusercontent.com/pw/AP1GczMOWtQSHHLlpPBQO97IUdndWf3YUgJnzgK1-7hf-kAYmotnTbWaTd8C8s7DtxzBG2K_w6SXsYq10hH0vAn5XFxRQVCQSVviVzYbcLl_dpSoq50i5WSq=w1200|https://lh3.googleusercontent.com/pw/AP1GczPAzZWrJyJziAsWHZeLBtTDIpTN6cV_eLPm_d_v8v7N98qAoEM5zuBb22i9xC_zsr5_kSFpKE8YK3ipNui_KwjKTsJsl3gKmWXtSv_ZrP3KDQaoFJNU=w1200|https://lh3.googleusercontent.com/pw/AP1GczNBzdb1Xd-HCrjWPzpxBS9RNTD8AP4yE2yWd5OAzNcJq3t0l369rCtH0pGX4IuxkImmd0dkk5XKyf1Sd0zX_UfORzBSncTmn15n5tvoU-iY-DFk2Krh=w1200|https://lh3.googleusercontent.com/pw/AP1GczOA31H52SFUR7_J0fmRVBrewJ2cBiqtjvdPPY3gREZvh_Vq828WUIuU1WkAZjWJBAMeGIdRGZm6JcaRBazInGmdVExLnnmsk3SuWIcpx8bdpMNAl4aK=w1200|https://lh3.googleusercontent.com/pw/AP1GczOZuZO5_E0010HPka3IjKa2WMlvfXfl3aofYars-_0emyMcyRLxYcTG9BfSpiydNx7orlFG560BOJvYKSgG9bEF5QN8Zgy5heH4GdyZAVGXJJ9TVTol=w1200|https://lh3.googleusercontent.com/pw/AP1GczP_8aNE_Q2HFx5d4lOYDFKeFH34yliQz95dbT6UHrqRVZihNUUphOwOWQGOSIVuKOnN_WS9AhYTGsnAJainkkBNYTGfHNX-JYEODzMpwVaewAH02xIR=w1200|https://lh3.googleusercontent.com/pw/AP1GczNGu0vSyrXy9JwoL-KuSdwVnP70wkqjkKUDXNVx1l-reBhw_hjsc0DAqk3nznTsjyeV6doXoSbOI2QgDaWE9f7yP4pziS1DRKpvU1hUkeZWfs-ful9X=w1200|https://lh3.googleusercontent.com/pw/AP1GczPcP2B8RSCQAHKSOCnMAku3J2x3VXFvGcz1rCq-ogRh7fA_-wykrVQ3G8PxMLCxLVScqhbIENwK9J6KvrSP87BCiDmObd3FUlSqdGcpqcclwiRDCH7E=w1200|https://lh3.googleusercontent.com/pw/AP1GczP-uqkDquEoghCE5FqJJHNNLnzGtfLO2xDYMadX-1ikMEMQbx51ZTI6VzHdvFSBmokzlW0PulpQqAVIOv1YYelPqav_6Jz_06FpV7OnnBkxEbo4Iu-x=w1200|https://lh3.googleusercontent.com/pw/AP1GczOWt5T_W7d2vD_A28AbYUyxabz-xa0QmOO4FTlHg03XuqLc0kYz0qR-boecSZospzLTbqkFzEnNpsnHo0B6dPFhiwMTkcU8caT5IQmusaonTr5T-Olt=w1200|https://lh3.googleusercontent.com/pw/AP1GczOjQSwKMaBb_PpEXAmfORV6gGV1ZobaxjHkGiR6jA1V7qU1W5trCQE6IseHUY8hUYQJgFP0LqtK4woXfzASPpAP28jC2_KlOZWpqqp3XGKU_wnPX68v=w1200|https://lh3.googleusercontent.com/pw/AP1GczOH3uFllRvz6aoB-Ip6T0g-ow20850Um1ThHRtGkwFjzu1laoRyU87WMMgZ5nBHGtvPuArekQ3EAAV8YzcRSNkTK36Jb6b9QqDv7JJzksQSu7fMoiKA=w1200|https://lh3.googleusercontent.com/pw/AP1GczM66p4yGyywXc_FNhPDXvMtSMchAOZrSkhkLNBTEEZI4ciDT1dq8RuZ9r-iyv5f1nBrZIgrmuEznprB3U8SIDOuIMVEoYHkPY_4aRwehO3PgXAMFW12=w1200</v>
      </c>
      <c r="AJ232" s="46"/>
      <c r="AK232" s="46"/>
      <c r="AL232" s="46"/>
      <c r="AM232" s="46"/>
      <c r="AN232" s="46"/>
      <c r="AO232" s="46"/>
      <c r="AP232" s="46"/>
      <c r="AQ232" s="46"/>
      <c r="AR232" s="46"/>
      <c r="AS232" s="46"/>
      <c r="AT232" s="46"/>
      <c r="AU232" s="46"/>
      <c r="AV232" s="46"/>
      <c r="AW232" s="46"/>
      <c r="AX232" s="46"/>
      <c r="AY232" s="46"/>
      <c r="AZ232" s="46"/>
      <c r="BA232" s="46"/>
      <c r="BB232" s="46"/>
      <c r="BC232" s="46"/>
      <c r="BD232" s="46"/>
      <c r="BE232" s="46"/>
      <c r="BF232" s="46"/>
      <c r="BG232" s="46"/>
      <c r="BH232" s="46"/>
      <c r="BI232" s="46"/>
      <c r="BJ232" s="46"/>
      <c r="BK232" s="46"/>
      <c r="BL232" s="46"/>
      <c r="BM232" s="46"/>
      <c r="BN232" s="46"/>
      <c r="BO232" s="46"/>
      <c r="BP232" s="46"/>
      <c r="BQ232" s="46"/>
      <c r="BR232" s="46"/>
      <c r="BS232" s="46"/>
      <c r="BT232" s="46"/>
      <c r="BU232" s="46"/>
      <c r="BV232" s="46"/>
      <c r="BW232" s="46"/>
      <c r="BX232" s="46"/>
      <c r="BY232" s="46"/>
      <c r="BZ232" s="46"/>
      <c r="CA232" s="46"/>
      <c r="CB232" s="46"/>
      <c r="CC232" s="46"/>
    </row>
    <row r="233">
      <c r="A233" s="87" t="str">
        <f>IFERROR(__xludf.DUMMYFUNCTION("""COMPUTED_VALUE"""),"506")</f>
        <v>506</v>
      </c>
      <c r="B233" s="46" t="str">
        <f>IFERROR(__xludf.DUMMYFUNCTION("""COMPUTED_VALUE"""),"Edificio con cuatro apartamentos en barrio Alamos Norte")</f>
        <v>Edificio con cuatro apartamentos en barrio Alamos Norte</v>
      </c>
      <c r="C233" s="46" t="str">
        <f>IFERROR(__xludf.DUMMYFUNCTION("""COMPUTED_VALUE"""),"Edificio rentable")</f>
        <v>Edificio rentable</v>
      </c>
      <c r="D233" s="46" t="str">
        <f>IFERROR(__xludf.DUMMYFUNCTION("""COMPUTED_VALUE"""),"Alamos Norte")</f>
        <v>Alamos Norte</v>
      </c>
      <c r="E233" s="46"/>
      <c r="F233" s="90">
        <f>IFERROR(__xludf.DUMMYFUNCTION("""COMPUTED_VALUE"""),6.0E8)</f>
        <v>600000000</v>
      </c>
      <c r="G233" s="46" t="str">
        <f>IFERROR(__xludf.DUMMYFUNCTION("""COMPUTED_VALUE"""),"$500'000.000 a $1.000'000.000")</f>
        <v>$500'000.000 a $1.000'000.000</v>
      </c>
      <c r="H233" s="46"/>
      <c r="I233" s="46"/>
      <c r="J233" s="46" t="str">
        <f>IFERROR(__xludf.DUMMYFUNCTION("""COMPUTED_VALUE"""),"Norte")</f>
        <v>Norte</v>
      </c>
      <c r="K233" s="46"/>
      <c r="L233" s="46">
        <f>IFERROR(__xludf.DUMMYFUNCTION("""COMPUTED_VALUE"""),8.0)</f>
        <v>8</v>
      </c>
      <c r="M233" s="46"/>
      <c r="N233" s="46">
        <f>IFERROR(__xludf.DUMMYFUNCTION("""COMPUTED_VALUE"""),4.0)</f>
        <v>4</v>
      </c>
      <c r="O233" s="46">
        <f>IFERROR(__xludf.DUMMYFUNCTION("""COMPUTED_VALUE"""),1.0)</f>
        <v>1</v>
      </c>
      <c r="P233" s="46">
        <f>IFERROR(__xludf.DUMMYFUNCTION("""COMPUTED_VALUE"""),3.0)</f>
        <v>3</v>
      </c>
      <c r="Q233" s="92"/>
      <c r="R233" s="92">
        <f>IFERROR(__xludf.DUMMYFUNCTION("""COMPUTED_VALUE"""),105.0)</f>
        <v>105</v>
      </c>
      <c r="S233" s="87" t="str">
        <f>IFERROR(__xludf.DUMMYFUNCTION("""COMPUTED_VALUE"""),"Rentabilidad $2,700,000")</f>
        <v>Rentabilidad $2,700,000</v>
      </c>
      <c r="T233" s="46" t="str">
        <f>IFERROR(__xludf.DUMMYFUNCTION("""COMPUTED_VALUE"""),"Neiva")</f>
        <v>Neiva</v>
      </c>
      <c r="U233" s="87" t="str">
        <f>IFERROR(__xludf.DUMMYFUNCTION("""COMPUTED_VALUE"""),"2")</f>
        <v>2</v>
      </c>
      <c r="V233" s="46" t="str">
        <f>IFERROR(__xludf.DUMMYFUNCTION("""COMPUTED_VALUE"""),"Medianera")</f>
        <v>Medianera</v>
      </c>
      <c r="W233" s="46"/>
      <c r="X233" s="46">
        <f>IFERROR(__xludf.DUMMYFUNCTION("""COMPUTED_VALUE"""),8.0)</f>
        <v>8</v>
      </c>
      <c r="Y233" s="46" t="str">
        <f>IFERROR(__xludf.DUMMYFUNCTION("""COMPUTED_VALUE"""),"No tiene")</f>
        <v>No tiene</v>
      </c>
      <c r="Z233" s="90" t="str">
        <f>IFERROR(__xludf.DUMMYFUNCTION("""COMPUTED_VALUE"""),"No aplica")</f>
        <v>No aplica</v>
      </c>
      <c r="AA233" s="33" t="str">
        <f>IFERROR(__xludf.DUMMYFUNCTION("""COMPUTED_VALUE"""),"19 años")</f>
        <v>19 años</v>
      </c>
      <c r="AB233" s="144" t="str">
        <f>IFERROR(__xludf.DUMMYFUNCTION("""COMPUTED_VALUE"""),"https://photos.app.goo.gl/SUhnDFn299R9Lub4A")</f>
        <v>https://photos.app.goo.gl/SUhnDFn299R9Lub4A</v>
      </c>
      <c r="AC233" s="46"/>
      <c r="AD233" s="46" t="str">
        <f>IFERROR(__xludf.DUMMYFUNCTION("""COMPUTED_VALUE"""),"Con servicios  públicos independientes. Bien ubicados. Sobre vía vehicular amplia, a una cuadra de Homecenter y calle 50. Buenos acabados. Construcción nueva. Escritura al día. No se permuta.")</f>
        <v>Con servicios  públicos independientes. Bien ubicados. Sobre vía vehicular amplia, a una cuadra de Homecenter y calle 50. Buenos acabados. Construcción nueva. Escritura al día. No se permuta.</v>
      </c>
      <c r="AE233" s="46"/>
      <c r="AF233" s="46" t="str">
        <f>IFERROR(__xludf.DUMMYFUNCTION("""COMPUTED_VALUE"""),"integral")</f>
        <v>integral</v>
      </c>
      <c r="AG233" s="46"/>
      <c r="AH233" s="46" t="str">
        <f>IFERROR(__xludf.DUMMYFUNCTION("""COMPUTED_VALUE"""),"Verbal")</f>
        <v>Verbal</v>
      </c>
      <c r="AI233" s="92" t="str">
        <f>IFERROR(__xludf.DUMMYFUNCTION("""COMPUTED_VALUE"""),"https://lh3.googleusercontent.com/pw/AP1GczNkFdA5lqMsDBjP4mQr_sEHTfG7f8KrL04o3TgFQYIUdp9HvRoFWjfC_FZCtmUl4JDLxh9WPyZhjx4Q72UKZwthVHNrqTqswwt9P23qnmp8tjSZVkVh=w1200|https://lh3.googleusercontent.com/pw/AP1GczMhD0drFwjscVrvjsm7XUFVWbyG20eSIgfddEzN5Nt9vhrjPY"&amp;"3UjFNw91O-QCrPEnuSccQjPvZrn8vVNLJvWmAaDMCZu40jfUBXHWcRiME8j_emJbPH=w1200|https://lh3.googleusercontent.com/pw/AP1GczMuc0O3xug4F1SlW2Fzrcz25tFBysoy3SfnQul_6CGu-S5Grm1PMg-DhfXtL580eki0NLKBpumpb18PPqzb8aLIx6-WYT3r3QT7CGvhJEXD_h68u1oS=w1200|https://lh3.google"&amp;"usercontent.com/pw/AP1GczMHxsZVcw8GW_ZekFZfIRKi4EVjjDQ-y9gYnKZLNoayvLz3KvedoxC7doltqgeDHm1Q3oePb4yMcDDJNbv5L3mBjUOukYbN3PQNwZnWei_WjYbePFEd=w1200|https://lh3.googleusercontent.com/pw/AP1GczPcp75_xD6Vr2ZR7NUZtYvcW6Bevm9RZ8YIdPXFOV4NC2AMvQ4646qHYwkG9ztzDJAp"&amp;"Y6rRNkb40nRtq8EbBJ-fJYyW_Y3tWfcnPOMtkhRAf1xYyehD=w1200|https://lh3.googleusercontent.com/pw/AP1GczOJvpa-hiPI6NXLQHZICCqs0HOHqymqGvXBikYhqbOpDsTPlnbUlxJFbbDG6m8aA-W-hAi0Bq8RgY0WJ5vE6L-jI9pdNQXSLuJzx1fQGSIfOyLOItf-=w1200|https://lh3.googleusercontent.com/pw"&amp;"/AP1GczNn2tkrkfoZv9T96ONrNiliXCmgFWFUA6f_GRshzM8WUKx3iola3kqb0_O9c4xanZ-G0lSnKRLoy0ugscTvcfx3qzat34id61cNY3tFAkA5FyMzBOBb=w1200|https://lh3.googleusercontent.com/pw/AP1GczN-wI4fvYnsu-Ew6eWATjdrwi-_H9Ii7sEIC1f7-NIsY1Ukvxs2iyRBqyWPbkIzJ_pgVljQDMaLIrVdhMLCwo"&amp;"Ffz_PYm7BnFhGKzFWCxRlbwflx4cJO=w1200|https://lh3.googleusercontent.com/pw/AP1GczP1vkRFdHvs37bXxl7ZC99QdLP6Dr1TnIz36GUfN8BTciwY-XnTjzTb_DGo-FTfOZrQPWmLH16Tr-4SYYKOVUFgjz3OgYIIdHkDK5XgNHQcI65Br861=w1200|https://lh3.googleusercontent.com/pw/AP1GczPKE8kezlvDY"&amp;"Wi-Ad_AZPnfj85gVKD4w5uOBROeecJd11dUKCdlmn4PetHdDdn71bDmPW7oCa9GqRrBMOQEnnkCvHrs7-8Nc5WM3-BcAW1gEguH5wvj=w1200")</f>
        <v>https://lh3.googleusercontent.com/pw/AP1GczNkFdA5lqMsDBjP4mQr_sEHTfG7f8KrL04o3TgFQYIUdp9HvRoFWjfC_FZCtmUl4JDLxh9WPyZhjx4Q72UKZwthVHNrqTqswwt9P23qnmp8tjSZVkVh=w1200|https://lh3.googleusercontent.com/pw/AP1GczMhD0drFwjscVrvjsm7XUFVWbyG20eSIgfddEzN5Nt9vhrjPY3UjFNw91O-QCrPEnuSccQjPvZrn8vVNLJvWmAaDMCZu40jfUBXHWcRiME8j_emJbPH=w1200|https://lh3.googleusercontent.com/pw/AP1GczMuc0O3xug4F1SlW2Fzrcz25tFBysoy3SfnQul_6CGu-S5Grm1PMg-DhfXtL580eki0NLKBpumpb18PPqzb8aLIx6-WYT3r3QT7CGvhJEXD_h68u1oS=w1200|https://lh3.googleusercontent.com/pw/AP1GczMHxsZVcw8GW_ZekFZfIRKi4EVjjDQ-y9gYnKZLNoayvLz3KvedoxC7doltqgeDHm1Q3oePb4yMcDDJNbv5L3mBjUOukYbN3PQNwZnWei_WjYbePFEd=w1200|https://lh3.googleusercontent.com/pw/AP1GczPcp75_xD6Vr2ZR7NUZtYvcW6Bevm9RZ8YIdPXFOV4NC2AMvQ4646qHYwkG9ztzDJApY6rRNkb40nRtq8EbBJ-fJYyW_Y3tWfcnPOMtkhRAf1xYyehD=w1200|https://lh3.googleusercontent.com/pw/AP1GczOJvpa-hiPI6NXLQHZICCqs0HOHqymqGvXBikYhqbOpDsTPlnbUlxJFbbDG6m8aA-W-hAi0Bq8RgY0WJ5vE6L-jI9pdNQXSLuJzx1fQGSIfOyLOItf-=w1200|https://lh3.googleusercontent.com/pw/AP1GczNn2tkrkfoZv9T96ONrNiliXCmgFWFUA6f_GRshzM8WUKx3iola3kqb0_O9c4xanZ-G0lSnKRLoy0ugscTvcfx3qzat34id61cNY3tFAkA5FyMzBOBb=w1200|https://lh3.googleusercontent.com/pw/AP1GczN-wI4fvYnsu-Ew6eWATjdrwi-_H9Ii7sEIC1f7-NIsY1Ukvxs2iyRBqyWPbkIzJ_pgVljQDMaLIrVdhMLCwoFfz_PYm7BnFhGKzFWCxRlbwflx4cJO=w1200|https://lh3.googleusercontent.com/pw/AP1GczP1vkRFdHvs37bXxl7ZC99QdLP6Dr1TnIz36GUfN8BTciwY-XnTjzTb_DGo-FTfOZrQPWmLH16Tr-4SYYKOVUFgjz3OgYIIdHkDK5XgNHQcI65Br861=w1200|https://lh3.googleusercontent.com/pw/AP1GczPKE8kezlvDYWi-Ad_AZPnfj85gVKD4w5uOBROeecJd11dUKCdlmn4PetHdDdn71bDmPW7oCa9GqRrBMOQEnnkCvHrs7-8Nc5WM3-BcAW1gEguH5wvj=w1200</v>
      </c>
      <c r="AJ233" s="46"/>
      <c r="AK233" s="46"/>
      <c r="AL233" s="46"/>
      <c r="AM233" s="46"/>
      <c r="AN233" s="46"/>
      <c r="AO233" s="46"/>
      <c r="AP233" s="46"/>
      <c r="AQ233" s="46"/>
      <c r="AR233" s="46"/>
      <c r="AS233" s="46"/>
      <c r="AT233" s="46"/>
      <c r="AU233" s="46"/>
      <c r="AV233" s="46"/>
      <c r="AW233" s="46"/>
      <c r="AX233" s="46"/>
      <c r="AY233" s="46"/>
      <c r="AZ233" s="46"/>
      <c r="BA233" s="46"/>
      <c r="BB233" s="46"/>
      <c r="BC233" s="46"/>
      <c r="BD233" s="46"/>
      <c r="BE233" s="46"/>
      <c r="BF233" s="46"/>
      <c r="BG233" s="46"/>
      <c r="BH233" s="46"/>
      <c r="BI233" s="46"/>
      <c r="BJ233" s="46"/>
      <c r="BK233" s="46"/>
      <c r="BL233" s="46"/>
      <c r="BM233" s="46"/>
      <c r="BN233" s="46"/>
      <c r="BO233" s="46"/>
      <c r="BP233" s="46"/>
      <c r="BQ233" s="46"/>
      <c r="BR233" s="46"/>
      <c r="BS233" s="46"/>
      <c r="BT233" s="46"/>
      <c r="BU233" s="46"/>
      <c r="BV233" s="46"/>
      <c r="BW233" s="46"/>
      <c r="BX233" s="46"/>
      <c r="BY233" s="46"/>
      <c r="BZ233" s="46"/>
      <c r="CA233" s="46"/>
      <c r="CB233" s="46"/>
      <c r="CC233" s="46"/>
    </row>
    <row r="234">
      <c r="A234" s="87" t="str">
        <f>IFERROR(__xludf.DUMMYFUNCTION("""COMPUTED_VALUE"""),"433")</f>
        <v>433</v>
      </c>
      <c r="B234" s="46" t="str">
        <f>IFERROR(__xludf.DUMMYFUNCTION("""COMPUTED_VALUE"""),"Casa campestre en Juncal")</f>
        <v>Casa campestre en Juncal</v>
      </c>
      <c r="C234" s="46" t="str">
        <f>IFERROR(__xludf.DUMMYFUNCTION("""COMPUTED_VALUE"""),"Casa campestre")</f>
        <v>Casa campestre</v>
      </c>
      <c r="D234" s="46"/>
      <c r="E234" s="46"/>
      <c r="F234" s="90">
        <f>IFERROR(__xludf.DUMMYFUNCTION("""COMPUTED_VALUE"""),5.8E8)</f>
        <v>580000000</v>
      </c>
      <c r="G234" s="46" t="str">
        <f>IFERROR(__xludf.DUMMYFUNCTION("""COMPUTED_VALUE"""),"$500'000.000 a $1.000'000.000")</f>
        <v>$500'000.000 a $1.000'000.000</v>
      </c>
      <c r="H234" s="46"/>
      <c r="I234" s="46"/>
      <c r="J234" s="46" t="str">
        <f>IFERROR(__xludf.DUMMYFUNCTION("""COMPUTED_VALUE"""),"Sur")</f>
        <v>Sur</v>
      </c>
      <c r="K234" s="87"/>
      <c r="L234" s="46">
        <f>IFERROR(__xludf.DUMMYFUNCTION("""COMPUTED_VALUE"""),4.0)</f>
        <v>4</v>
      </c>
      <c r="M234" s="46"/>
      <c r="N234" s="46">
        <f>IFERROR(__xludf.DUMMYFUNCTION("""COMPUTED_VALUE"""),3.0)</f>
        <v>3</v>
      </c>
      <c r="O234" s="46">
        <f>IFERROR(__xludf.DUMMYFUNCTION("""COMPUTED_VALUE"""),1.0)</f>
        <v>1</v>
      </c>
      <c r="P234" s="46">
        <f>IFERROR(__xludf.DUMMYFUNCTION("""COMPUTED_VALUE"""),1.0)</f>
        <v>1</v>
      </c>
      <c r="Q234" s="92">
        <f>IFERROR(__xludf.DUMMYFUNCTION("""COMPUTED_VALUE"""),144.0)</f>
        <v>144</v>
      </c>
      <c r="R234" s="92">
        <f>IFERROR(__xludf.DUMMYFUNCTION("""COMPUTED_VALUE"""),4646.0)</f>
        <v>4646</v>
      </c>
      <c r="S234" s="87" t="str">
        <f>IFERROR(__xludf.DUMMYFUNCTION("""COMPUTED_VALUE""")," ")</f>
        <v> </v>
      </c>
      <c r="T234" s="46" t="str">
        <f>IFERROR(__xludf.DUMMYFUNCTION("""COMPUTED_VALUE"""),"Palermo")</f>
        <v>Palermo</v>
      </c>
      <c r="U234" s="87" t="str">
        <f>IFERROR(__xludf.DUMMYFUNCTION("""COMPUTED_VALUE"""),"1")</f>
        <v>1</v>
      </c>
      <c r="V234" s="46"/>
      <c r="W234" s="46"/>
      <c r="X234" s="46">
        <f>IFERROR(__xludf.DUMMYFUNCTION("""COMPUTED_VALUE"""),2.0)</f>
        <v>2</v>
      </c>
      <c r="Y234" s="46" t="str">
        <f>IFERROR(__xludf.DUMMYFUNCTION("""COMPUTED_VALUE"""),"Privada")</f>
        <v>Privada</v>
      </c>
      <c r="Z234" s="90" t="str">
        <f>IFERROR(__xludf.DUMMYFUNCTION("""COMPUTED_VALUE"""),"No aplica")</f>
        <v>No aplica</v>
      </c>
      <c r="AA234" s="33" t="str">
        <f>IFERROR(__xludf.DUMMYFUNCTION("""COMPUTED_VALUE"""),"No aplica")</f>
        <v>No aplica</v>
      </c>
      <c r="AB234" s="144" t="str">
        <f>IFERROR(__xludf.DUMMYFUNCTION("""COMPUTED_VALUE"""),"https://photos.app.goo.gl/FkB5WTBKrrf5XScDA")</f>
        <v>https://photos.app.goo.gl/FkB5WTBKrrf5XScDA</v>
      </c>
      <c r="AC234" s="46"/>
      <c r="AD234" s="46" t="str">
        <f>IFERROR(__xludf.DUMMYFUNCTION("""COMPUTED_VALUE""")," Cerramiento en limoncillo.  Area casa 144.0 m2. (12.0 ml x 12.0 ml), acueducto propio, energía eléctrica 220 w. distancia a la vía principal 1 km + 200 ml.  A Neiva 14 km. Al juncal 2 km. Piscina, Jacuzzi, Bbq, jardines y cultivos. Escritura al día. Se p"&amp;"ermuta por casa en Neiva hasta de $200 mlls, el resto en efectivo.")</f>
        <v> Cerramiento en limoncillo.  Area casa 144.0 m2. (12.0 ml x 12.0 ml), acueducto propio, energía eléctrica 220 w. distancia a la vía principal 1 km + 200 ml.  A Neiva 14 km. Al juncal 2 km. Piscina, Jacuzzi, Bbq, jardines y cultivos. Escritura al día. Se permuta por casa en Neiva hasta de $200 mlls, el resto en efectivo.</v>
      </c>
      <c r="AE234" s="46"/>
      <c r="AF234" s="46" t="str">
        <f>IFERROR(__xludf.DUMMYFUNCTION("""COMPUTED_VALUE"""),"semi-integral")</f>
        <v>semi-integral</v>
      </c>
      <c r="AG234" s="46"/>
      <c r="AH234" s="46" t="str">
        <f>IFERROR(__xludf.DUMMYFUNCTION("""COMPUTED_VALUE"""),"Verbal")</f>
        <v>Verbal</v>
      </c>
      <c r="AI234" s="92" t="str">
        <f>IFERROR(__xludf.DUMMYFUNCTION("""COMPUTED_VALUE"""),"https://lh3.googleusercontent.com/pw/AP1GczOCMAw-HlS3loIMFdDyWHwRs5Y-zhNZWCPUz4CoHhcu3XGl9tbKeE81Uts0IYi_d0oUA5X8rNFhOkCu6XPEDcP7gDxpqJ87Of8D4yL8mn86HHds91Im=w1200|https://lh3.googleusercontent.com/pw/AP1GczMMA6uQFXbpZMMdRaCPJxugzt0mpw86pI7D2yTZDWias9XsTm"&amp;"kuDxCKvYB9TAtY17ZEsNpPmByeizqa825xq4C4pF8G7bNP-ragejtLhgPz9xKwbov-=w1200|https://lh3.googleusercontent.com/pw/AP1GczPpq3rm-gGCSJJzqgHarjcA9wMkbzoarS2SxbpCg4CYY_4OOmHAhYmqSEE3HS896M5i2l9VolgbgMaCpkxjjPg6Kf3Lv1X0FK5uwgE-oS0eH1vqnn3F=w1200|https://lh3.google"&amp;"usercontent.com/pw/AP1GczMWrRwvlV6T8NzC8iF8wkO9oq4xe39jtq6X8OMjn_zC9yEyZnm8RFR44yefcurZrjKgyQpV94erm_t35_Al8nJVjD1q0gU8QbHfHfHbTVACGOv4f0ak=w1200|https://lh3.googleusercontent.com/pw/AP1GczNiXIW7SIf7kpsvqdcaq2YawP2z01sepNqd8uAXdQ2u9xZQzuJUaQK17tXENm8ajbsx"&amp;"a_jKfqfXrSQ_fD77CFE-v7vMfbIyN-MFxUbHb04Nk7zm3vSw=w1200|https://lh3.googleusercontent.com/pw/AP1GczN2HMEVqenpit2uCGQLtHgwcxhFevHw6w34wfpw6Z6ivVSXIKyAo4h-Bs7xekvUqaxrHDa-6ogkl3idbu_J3ZXcpkTVQmdRaqo2holxmheG2adqhLYj=w1200|https://lh3.googleusercontent.com/pw"&amp;"/AP1GczM0J_GlprWI93_pG3D7FXbb7HhxbjjDsGvy5RBs8vsy92HbGF8bif5f6380SHIaGUuwM2MTGkQNRYjiZNT0m8Wxgw2zclPR9WLXMWHR9gepy1eMKuYv=w1200|https://lh3.googleusercontent.com/pw/AP1GczNa9f6nORhZascHxpP2MX9UR_IiGklJDcV_B0asNFZ7EGvaSoZwrgYDDHSJe2T20uzpyRffgjWmRhJqAAYaQE"&amp;"kmoMPTpeM2O3i9ji017fpKwMwTDXNI=w1200|https://lh3.googleusercontent.com/pw/AP1GczPBuHVyY017mxUvldaqFkTlnuzQb-qglldnWus1Y0CE-1_Z_prtv7zIR_V5ig419Y7divTYbssfTZosp5mhrUH3tOKaCftzSVcwsYuiPzt_zZOQcC2C=w1200|https://lh3.googleusercontent.com/pw/AP1GczM1VNoqVoB8-"&amp;"aNPAX10KqFyiF3fXYtnBayQD03uPZ5q75Lw0UkJaMoRyKZ1zXNVBiLcRrhbeNrL3I8rhYcwP1NW2ati3ym85ka4JxhBvSJkHsNFS2KU=w1200|https://lh3.googleusercontent.com/pw/AP1GczMkg5xz1KT0R2ZEoSc0G0AA_a8ScgiTihJk_9coRIu98o-w1cwwgJe-QFz04DAgvupexpOneKwKPngVOkI3_SD61sUE1bPZJiB_Ze4i"&amp;"4-VqMJegEWsP=w1200|https://lh3.googleusercontent.com/pw/AP1GczNtRrzN-ZahKTc53h4Rpv36C3V7PqtI7cJdx6xus755DNA7_70uRBMfUCs0oFKZar1IABRsHohJ53buBTWGe_GBum5I2Sl_257SDvMmLomrznKU71y3=w1200|https://lh3.googleusercontent.com/pw/AP1GczO2JLF-DkbpwO9CDOdffuN7i8hZH5E"&amp;"Hv9ogN0MeRhyXg6D3Q4tWBS6shAfEq2-H8MpxeJYkUKbZs5JcTH4QNjFbBSTIyL5U5mlMFvezchxQ4mExEJ47=w1200|https://lh3.googleusercontent.com/pw/AP1GczOJRxc0q_FmA2q1Q_32rRqso9X6LQ1-RtxfNFIN7c-PM-2jvyyb-hYLKKlhOht-CffklnDO3QBidH1j0GLtkwKVN07qlIUR8qqAZikvwo2gqsIsmdly=w1200"&amp;"|https://lh3.googleusercontent.com/pw/AP1GczPIY8Pu_ZNxQoB27nUxvutQdAZ52KJsDFrD83PuR0Nuc_bbm6jMF3vb2Zr7BcNb5xSbVWNAwU1E_mlvsGfij5umOu7Vjd83zUiCcABpS8ELJ2zve8sN=w1200|https://lh3.googleusercontent.com/pw/AP1GczPDvyBRsGprtYw_mk4hMjdZszZdtvdki_7-LvudjJvC-6Hu2"&amp;"e5E2tZonJHS4rmOioNsygI3FbebEkEefGhvgAqxBgU-4pb6EokkQoYZkVA9fmP4lOfE=w1200|https://lh3.googleusercontent.com/pw/AP1GczORd3fWouPxkXAOSYjA7EBLxnNcpQwgBNSBf3dQMzHnDw71zKo3mB3ASl9M-nr13bPE9SmUpGIjkjmMSgMGGduV66Ce2fZsYn0TK9MIfksGreXZuOLN=w1200")</f>
        <v>https://lh3.googleusercontent.com/pw/AP1GczOCMAw-HlS3loIMFdDyWHwRs5Y-zhNZWCPUz4CoHhcu3XGl9tbKeE81Uts0IYi_d0oUA5X8rNFhOkCu6XPEDcP7gDxpqJ87Of8D4yL8mn86HHds91Im=w1200|https://lh3.googleusercontent.com/pw/AP1GczMMA6uQFXbpZMMdRaCPJxugzt0mpw86pI7D2yTZDWias9XsTmkuDxCKvYB9TAtY17ZEsNpPmByeizqa825xq4C4pF8G7bNP-ragejtLhgPz9xKwbov-=w1200|https://lh3.googleusercontent.com/pw/AP1GczPpq3rm-gGCSJJzqgHarjcA9wMkbzoarS2SxbpCg4CYY_4OOmHAhYmqSEE3HS896M5i2l9VolgbgMaCpkxjjPg6Kf3Lv1X0FK5uwgE-oS0eH1vqnn3F=w1200|https://lh3.googleusercontent.com/pw/AP1GczMWrRwvlV6T8NzC8iF8wkO9oq4xe39jtq6X8OMjn_zC9yEyZnm8RFR44yefcurZrjKgyQpV94erm_t35_Al8nJVjD1q0gU8QbHfHfHbTVACGOv4f0ak=w1200|https://lh3.googleusercontent.com/pw/AP1GczNiXIW7SIf7kpsvqdcaq2YawP2z01sepNqd8uAXdQ2u9xZQzuJUaQK17tXENm8ajbsxa_jKfqfXrSQ_fD77CFE-v7vMfbIyN-MFxUbHb04Nk7zm3vSw=w1200|https://lh3.googleusercontent.com/pw/AP1GczN2HMEVqenpit2uCGQLtHgwcxhFevHw6w34wfpw6Z6ivVSXIKyAo4h-Bs7xekvUqaxrHDa-6ogkl3idbu_J3ZXcpkTVQmdRaqo2holxmheG2adqhLYj=w1200|https://lh3.googleusercontent.com/pw/AP1GczM0J_GlprWI93_pG3D7FXbb7HhxbjjDsGvy5RBs8vsy92HbGF8bif5f6380SHIaGUuwM2MTGkQNRYjiZNT0m8Wxgw2zclPR9WLXMWHR9gepy1eMKuYv=w1200|https://lh3.googleusercontent.com/pw/AP1GczNa9f6nORhZascHxpP2MX9UR_IiGklJDcV_B0asNFZ7EGvaSoZwrgYDDHSJe2T20uzpyRffgjWmRhJqAAYaQEkmoMPTpeM2O3i9ji017fpKwMwTDXNI=w1200|https://lh3.googleusercontent.com/pw/AP1GczPBuHVyY017mxUvldaqFkTlnuzQb-qglldnWus1Y0CE-1_Z_prtv7zIR_V5ig419Y7divTYbssfTZosp5mhrUH3tOKaCftzSVcwsYuiPzt_zZOQcC2C=w1200|https://lh3.googleusercontent.com/pw/AP1GczM1VNoqVoB8-aNPAX10KqFyiF3fXYtnBayQD03uPZ5q75Lw0UkJaMoRyKZ1zXNVBiLcRrhbeNrL3I8rhYcwP1NW2ati3ym85ka4JxhBvSJkHsNFS2KU=w1200|https://lh3.googleusercontent.com/pw/AP1GczMkg5xz1KT0R2ZEoSc0G0AA_a8ScgiTihJk_9coRIu98o-w1cwwgJe-QFz04DAgvupexpOneKwKPngVOkI3_SD61sUE1bPZJiB_Ze4i4-VqMJegEWsP=w1200|https://lh3.googleusercontent.com/pw/AP1GczNtRrzN-ZahKTc53h4Rpv36C3V7PqtI7cJdx6xus755DNA7_70uRBMfUCs0oFKZar1IABRsHohJ53buBTWGe_GBum5I2Sl_257SDvMmLomrznKU71y3=w1200|https://lh3.googleusercontent.com/pw/AP1GczO2JLF-DkbpwO9CDOdffuN7i8hZH5EHv9ogN0MeRhyXg6D3Q4tWBS6shAfEq2-H8MpxeJYkUKbZs5JcTH4QNjFbBSTIyL5U5mlMFvezchxQ4mExEJ47=w1200|https://lh3.googleusercontent.com/pw/AP1GczOJRxc0q_FmA2q1Q_32rRqso9X6LQ1-RtxfNFIN7c-PM-2jvyyb-hYLKKlhOht-CffklnDO3QBidH1j0GLtkwKVN07qlIUR8qqAZikvwo2gqsIsmdly=w1200|https://lh3.googleusercontent.com/pw/AP1GczPIY8Pu_ZNxQoB27nUxvutQdAZ52KJsDFrD83PuR0Nuc_bbm6jMF3vb2Zr7BcNb5xSbVWNAwU1E_mlvsGfij5umOu7Vjd83zUiCcABpS8ELJ2zve8sN=w1200|https://lh3.googleusercontent.com/pw/AP1GczPDvyBRsGprtYw_mk4hMjdZszZdtvdki_7-LvudjJvC-6Hu2e5E2tZonJHS4rmOioNsygI3FbebEkEefGhvgAqxBgU-4pb6EokkQoYZkVA9fmP4lOfE=w1200|https://lh3.googleusercontent.com/pw/AP1GczORd3fWouPxkXAOSYjA7EBLxnNcpQwgBNSBf3dQMzHnDw71zKo3mB3ASl9M-nr13bPE9SmUpGIjkjmMSgMGGduV66Ce2fZsYn0TK9MIfksGreXZuOLN=w1200</v>
      </c>
      <c r="AJ234" s="46"/>
      <c r="AK234" s="46"/>
      <c r="AL234" s="46"/>
      <c r="AM234" s="46"/>
      <c r="AN234" s="46"/>
      <c r="AO234" s="46"/>
      <c r="AP234" s="46"/>
      <c r="AQ234" s="46"/>
      <c r="AR234" s="46"/>
      <c r="AS234" s="46"/>
      <c r="AT234" s="46"/>
      <c r="AU234" s="46"/>
      <c r="AV234" s="46"/>
      <c r="AW234" s="46"/>
      <c r="AX234" s="46"/>
      <c r="AY234" s="46"/>
      <c r="AZ234" s="46"/>
      <c r="BA234" s="46"/>
      <c r="BB234" s="46"/>
      <c r="BC234" s="46"/>
      <c r="BD234" s="46"/>
      <c r="BE234" s="46"/>
      <c r="BF234" s="46"/>
      <c r="BG234" s="46"/>
      <c r="BH234" s="46"/>
      <c r="BI234" s="46"/>
      <c r="BJ234" s="46"/>
      <c r="BK234" s="46"/>
      <c r="BL234" s="46"/>
      <c r="BM234" s="46"/>
      <c r="BN234" s="46"/>
      <c r="BO234" s="46"/>
      <c r="BP234" s="46"/>
      <c r="BQ234" s="46"/>
      <c r="BR234" s="46"/>
      <c r="BS234" s="46"/>
      <c r="BT234" s="46"/>
      <c r="BU234" s="46"/>
      <c r="BV234" s="46"/>
      <c r="BW234" s="46"/>
      <c r="BX234" s="46"/>
      <c r="BY234" s="46"/>
      <c r="BZ234" s="46"/>
      <c r="CA234" s="46"/>
      <c r="CB234" s="46"/>
      <c r="CC234" s="46"/>
    </row>
    <row r="235">
      <c r="A235" s="87" t="str">
        <f>IFERROR(__xludf.DUMMYFUNCTION("""COMPUTED_VALUE"""),"080")</f>
        <v>080</v>
      </c>
      <c r="B235" s="46" t="str">
        <f>IFERROR(__xludf.DUMMYFUNCTION("""COMPUTED_VALUE"""),"Edificio con cuatro apartamentos en barrio Las Granjas")</f>
        <v>Edificio con cuatro apartamentos en barrio Las Granjas</v>
      </c>
      <c r="C235" s="46" t="str">
        <f>IFERROR(__xludf.DUMMYFUNCTION("""COMPUTED_VALUE"""),"Edificio rentable")</f>
        <v>Edificio rentable</v>
      </c>
      <c r="D235" s="46" t="str">
        <f>IFERROR(__xludf.DUMMYFUNCTION("""COMPUTED_VALUE"""),"Las Granjas")</f>
        <v>Las Granjas</v>
      </c>
      <c r="E235" s="90" t="str">
        <f>IFERROR(__xludf.DUMMYFUNCTION("""COMPUTED_VALUE""")," ")</f>
        <v> </v>
      </c>
      <c r="F235" s="90">
        <f>IFERROR(__xludf.DUMMYFUNCTION("""COMPUTED_VALUE"""),5.8E8)</f>
        <v>580000000</v>
      </c>
      <c r="G235" s="46" t="str">
        <f>IFERROR(__xludf.DUMMYFUNCTION("""COMPUTED_VALUE"""),"$500'000.000 a $1.000'000.000")</f>
        <v>$500'000.000 a $1.000'000.000</v>
      </c>
      <c r="H235" s="46"/>
      <c r="I235" s="46"/>
      <c r="J235" s="46" t="str">
        <f>IFERROR(__xludf.DUMMYFUNCTION("""COMPUTED_VALUE"""),"Norte")</f>
        <v>Norte</v>
      </c>
      <c r="K235" s="87" t="str">
        <f>IFERROR(__xludf.DUMMYFUNCTION("""COMPUTED_VALUE"""),"2")</f>
        <v>2</v>
      </c>
      <c r="L235" s="46">
        <f>IFERROR(__xludf.DUMMYFUNCTION("""COMPUTED_VALUE"""),14.0)</f>
        <v>14</v>
      </c>
      <c r="M235" s="46"/>
      <c r="N235" s="46">
        <f>IFERROR(__xludf.DUMMYFUNCTION("""COMPUTED_VALUE"""),7.0)</f>
        <v>7</v>
      </c>
      <c r="O235" s="46">
        <f>IFERROR(__xludf.DUMMYFUNCTION("""COMPUTED_VALUE"""),1.0)</f>
        <v>1</v>
      </c>
      <c r="P235" s="46">
        <f>IFERROR(__xludf.DUMMYFUNCTION("""COMPUTED_VALUE"""),3.0)</f>
        <v>3</v>
      </c>
      <c r="Q235" s="92">
        <f>IFERROR(__xludf.DUMMYFUNCTION("""COMPUTED_VALUE"""),12.0)</f>
        <v>12</v>
      </c>
      <c r="R235" s="92">
        <f>IFERROR(__xludf.DUMMYFUNCTION("""COMPUTED_VALUE"""),180.0)</f>
        <v>180</v>
      </c>
      <c r="S235" s="87" t="str">
        <f>IFERROR(__xludf.DUMMYFUNCTION("""COMPUTED_VALUE"""),"Rentabilidad $2,800,000")</f>
        <v>Rentabilidad $2,800,000</v>
      </c>
      <c r="T235" s="46" t="str">
        <f>IFERROR(__xludf.DUMMYFUNCTION("""COMPUTED_VALUE"""),"Neiva")</f>
        <v>Neiva</v>
      </c>
      <c r="U235" s="87" t="str">
        <f>IFERROR(__xludf.DUMMYFUNCTION("""COMPUTED_VALUE"""),"2")</f>
        <v>2</v>
      </c>
      <c r="V235" s="46" t="str">
        <f>IFERROR(__xludf.DUMMYFUNCTION("""COMPUTED_VALUE"""),"Medianera")</f>
        <v>Medianera</v>
      </c>
      <c r="W235" s="46"/>
      <c r="X235" s="46">
        <f>IFERROR(__xludf.DUMMYFUNCTION("""COMPUTED_VALUE"""),6.0)</f>
        <v>6</v>
      </c>
      <c r="Y235" s="179" t="str">
        <f>IFERROR(__xludf.DUMMYFUNCTION("""COMPUTED_VALUE"""),"No tiene")</f>
        <v>No tiene</v>
      </c>
      <c r="Z235" s="90" t="str">
        <f>IFERROR(__xludf.DUMMYFUNCTION("""COMPUTED_VALUE"""),"No aplica")</f>
        <v>No aplica</v>
      </c>
      <c r="AA235" s="33" t="str">
        <f>IFERROR(__xludf.DUMMYFUNCTION("""COMPUTED_VALUE"""),"17 años")</f>
        <v>17 años</v>
      </c>
      <c r="AB235" s="144" t="str">
        <f>IFERROR(__xludf.DUMMYFUNCTION("""COMPUTED_VALUE"""),"https://photos.app.goo.gl/inHTqNdUHAsmNeYx7")</f>
        <v>https://photos.app.goo.gl/inHTqNdUHAsmNeYx7</v>
      </c>
      <c r="AC235" s="46" t="str">
        <f>IFERROR(__xludf.DUMMYFUNCTION("""COMPUTED_VALUE"""),"Con buenos acabados, piso en cerámica, placa de entrepiso en placa fácil, cielo raso en Dri wall, lámparas led de empotrar, carpintería marcos, puertas metálicas.")</f>
        <v>Con buenos acabados, piso en cerámica, placa de entrepiso en placa fácil, cielo raso en Dri wall, lámparas led de empotrar, carpintería marcos, puertas metálicas.</v>
      </c>
      <c r="AD235" s="46" t="str">
        <f>IFERROR(__xludf.DUMMYFUNCTION("""COMPUTED_VALUE"""),"Dimensión del lote 9.0 ml x 20.0 ml. Ubicada en vía vehicular, buenos acabados. A una cuadra de la avenida 26. Cerca de los Centros comerciales San Pedro y San Juan plaza. Con reja antejardín. Escritura al día. No se permuta.")</f>
        <v>Dimensión del lote 9.0 ml x 20.0 ml. Ubicada en vía vehicular, buenos acabados. A una cuadra de la avenida 26. Cerca de los Centros comerciales San Pedro y San Juan plaza. Con reja antejardín. Escritura al día. No se permuta.</v>
      </c>
      <c r="AE235" s="46"/>
      <c r="AF235" s="46" t="str">
        <f>IFERROR(__xludf.DUMMYFUNCTION("""COMPUTED_VALUE"""),"integral")</f>
        <v>integral</v>
      </c>
      <c r="AG235" s="46"/>
      <c r="AH235" s="46" t="str">
        <f>IFERROR(__xludf.DUMMYFUNCTION("""COMPUTED_VALUE"""),"Verbal")</f>
        <v>Verbal</v>
      </c>
      <c r="AI235" s="92" t="str">
        <f>IFERROR(__xludf.DUMMYFUNCTION("""COMPUTED_VALUE"""),"https://lh3.googleusercontent.com/pw/AP1GczMfv2sPmo6xGCdYLE3f5RU2dpehGrxW6AKwa8ccPq9FxXo1qLulTqkOp65BeB-p0zai2ctj0tXXXH6VoX3QK67XS7UBP2Lv0gtV2ZZ0aDvd2LBGg7g=w1200|https://lh3.googleusercontent.com/pw/AP1GczMbJhdcaSBqshBWufYzq8vHgfUZmJLwhRaVXIgIB0HQ8DkZ4td"&amp;"RY6J_6g0JQLRyg6vXjDVOpT1QbhEZnUQSchsVtu9pMXxcTYOm9b8SUO7Rg60Ynlg=w1200|https://lh3.googleusercontent.com/pw/AP1GczPqAIFgzWl2TFh9YhTBXlcz6R9oNzvtsYm7xUgDXt_2QoDnYuMW5e_2hVD93_BewuWlO6aC7jejI-3Gub2E1wL8FqkwI9YGrI0oMCPQ_RJ4lmYoOvU=w1200|https://lh3.googleuse"&amp;"rcontent.com/pw/AP1GczMkQlSJfvRdZx20__Rz-PKWWtBAScx1uH90IpRxuuNyzuxsqfrVZvh37kh1e_6IAKSlnAom7TtaCtmb7CTozAV7ofzEbVV84yOCulSb8XO1qSvGT3Y=w1200|https://lh3.googleusercontent.com/pw/AP1GczPQmIGe2StFwnJj-NhHeY2L3qbfsMgT2-kWEeFjdDEHDxnw78OojuaT-fKZV0kdKKL3GG_-"&amp;"qxgryVzPhYvG93bIKDpLD-q5SBppUSdyzX8oaGS5PXg=w1200|https://lh3.googleusercontent.com/pw/AP1GczPQIKWJlRq-NpO4XYdCNx5xW5rxDsm0WL0IdaMUAz53tMrfxqKdQ2Pek29kMsHy-wqcK7wkfbB5vs6849F8uC0YUnprYpk9W_H5hglWUR9Dl3qqN1I=w1200|https://lh3.googleusercontent.com/pw/AP1Gc"&amp;"zM8wkrZHcYqWvhocdN-yFviMYYRjBfcqzQa7VlNl_AXS1aWb0lXX7HxXqfNUREkBndsOZX6TzeAPnNuN4eZSDHvTU70uQCaKEt6HWEnZKvLngw4GbU=w1200|https://lh3.googleusercontent.com/pw/AP1GczMFoFYmVQpNYk6v0C8QCL3OaKTmmxckmwzCVoyLJbLtw_Qf8MWi-T0CyF8u-IU_a39cgOmgR0fl-_WWxeQk2TWt4uKVs"&amp;"OzCi7cyh0RDYX_eku6THvU=w1200|https://lh3.googleusercontent.com/pw/AP1GczMlHfSjvkDMrcAtOihtCvYxIqUNEyLP48VIjBph1BodSUDasQPExN435UPvexoNEDHIDjX3RK8goc0ZHijIjp1lh2VX6idHknsDyA1EtfxkeGg3UL8=w1200|https://lh3.googleusercontent.com/pw/AP1GczN99goZKsPgLXnVvwDN2d"&amp;"t3MV9WAvyXtC2l2mtaa__mXCi-35wh87GhPwDPoPVDyZa4oUj6UDHGNycVifTd3foCLYC2Ybd0y_pu-0UYKW0z-qFkr3Q=w1200|https://lh3.googleusercontent.com/pw/AP1GczMT3_um1DAfbw0AXSEPoJOj9m7byLn9j9kt5VGD1B_2aqX1BWLerzjUECY62lfAwtUChhUhzAnH0596rBwT3RJjaJXv5O24lwgOuUUfTpSeHIbxIV"&amp;"c=w1200|https://lh3.googleusercontent.com/pw/AP1GczOea6Ei386Zyc6XwcTffozDJxOKwG1h0uTf_M33tEpY_kk08JEXLvDh_cOK9Iyn25FG23Sa2229FVEAGun-ws3WF2xPN4zyExQTAkd9suNsYEfFy8M=w1200|https://lh3.googleusercontent.com/pw/AP1GczPUik3SqgMuv4LwspMofh1Yg8XdcJZ1Z5Mo5ONTRGp"&amp;"FTpYDykTjmqQrWLyCzMYLRFhtqtISMh31SoEZRCDFpTZpU96I0AnOzZ0mKlZmHHWtWV74wFw=w1200|https://lh3.googleusercontent.com/pw/AP1GczPKXwQC8hgnCC7Rk0iowm5eWMTLOBzC_hhh6UBHqc4WKv0rAsugOWC2yyPR0mq3YyChHhxr_InHVlvvDL0EwsdUsYU0CupREC_3EH-8iRcm7o6NyY8=w1200|https://lh3.g"&amp;"oogleusercontent.com/pw/AP1GczOgaaNU0uxz6kTTc5pTcRDssbwHB5zsyiGTb6TXv6IIyk5lzHFR_lHwxQj01qYlW_y_wUjYFA6_Ze8rh-28eGMpYzXtOItaCZ7eQssl9ZO4PUwl34c=w1200|https://lh3.googleusercontent.com/pw/AP1GczMD-JyvOqjrFMuwdUFbM4EZCk9CqRxHAHoF-CJXNXPRsJsYUlTACrBSx1GzkJGa"&amp;"Czx9AGDscRBOnJTgv2PurwsFoxvpRNkAcsKAHBwPVIcf8gzeJK0=w1200|https://lh3.googleusercontent.com/pw/AP1GczMZCxiT0u5aIB_YZvrz8cDen3MXPSYBtcvqllO_Q4brJ9ouFllngzKS1NiNnnBBvDtoGgd1W03ov400BhiCelFDARyTZX9DMYIP-8HoXYx7acbkQow=w1200|https://lh3.googleusercontent.com/"&amp;"pw/AP1GczNtzYzqJNvWO7vVj3NSA7upRdUXI0mwW9cR0fl6jdqATRhw38DcR-JNKNVHAWVT8bbiyZqwQIgUbZSkHtccZ-cgRV4n8l8v04cMDzA61ZIixm9QILk=w1200|https://lh3.googleusercontent.com/pw/AP1GczPO88-JgjTNiACpKSaULBZ05pTDSEp8lp-k0rz4C_YzxQwJ5ea5-2hoRjhb6Vxojm7CUuWgXZ1w4X1xo7rmg"&amp;"cjiwQFzHiXXKUyBZxqXvUzCRzSMywM=w1200|https://lh3.googleusercontent.com/pw/AP1GczNghB0OuCFMp0jvTBpjwLo13YXr3p8AWyMJCP4sZ4hux2OCzFWcGPhb7DhG3E0GxrKP2_OfBxjteKWPZuXO6x6nqbgFsRA-kXXfA524nLVVe7Apsgw=w1200|https://lh3.googleusercontent.com/pw/AP1GczNMRfQO32YZrY"&amp;"FnjUpTinzB1KE0ALZmjof8gLsiL-hxnYDkEMpK0X2QWau9iMTvMP_L8E2CROwCAoi1KiFW7HT-5s_gI2EtZgi6ulIZoEUoILQOjRY=w1200|https://lh3.googleusercontent.com/pw/AP1GczMFX7zhd5okNYlb9V7VdGZ8OTv0e23hFYVScHc8Q51wBZWH5avOz4aeAxEoFxSmjJOD8-Y8DOJAp6KG5BsvwGeCjjHlvWm6g2XEkMJ08L"&amp;"msMdYKLxI=w1200|https://lh3.googleusercontent.com/pw/AP1GczMWYayr-x4FrxpO1pX7Uu0swYmPZcMu2FN6E6mibJnQYOjSqXu_ltRrjHrMmktPbKV0qRq78zRki2A1J15gcThCllKqHOeGEL1n25SuPhxcrn-8LuU=w1200|https://lh3.googleusercontent.com/pw/AP1GczMLWnbhWjbBTp0Cgx2rChEWn8iUrJszsJH"&amp;"AGYFje0nwYAAOxrSLbY-_78MEb7WV-cX1HW1oSFQFpne3FEGDp6sqBth7mB29MekPnQYvNy5Ej_EVQhM=w1200|https://lh3.googleusercontent.com/pw/AP1GczMJChXUKXcYBiX2MDU39s8FlCSsG4lTIp8VewePzdpoZJXPGKARDCNeBNOUPsI7qMOMgYwUK1kJzulJAbyVggiEhemp1eXJWDWodKoCmqnE3h0QM4wh=w1200")</f>
        <v>https://lh3.googleusercontent.com/pw/AP1GczMfv2sPmo6xGCdYLE3f5RU2dpehGrxW6AKwa8ccPq9FxXo1qLulTqkOp65BeB-p0zai2ctj0tXXXH6VoX3QK67XS7UBP2Lv0gtV2ZZ0aDvd2LBGg7g=w1200|https://lh3.googleusercontent.com/pw/AP1GczMbJhdcaSBqshBWufYzq8vHgfUZmJLwhRaVXIgIB0HQ8DkZ4tdRY6J_6g0JQLRyg6vXjDVOpT1QbhEZnUQSchsVtu9pMXxcTYOm9b8SUO7Rg60Ynlg=w1200|https://lh3.googleusercontent.com/pw/AP1GczPqAIFgzWl2TFh9YhTBXlcz6R9oNzvtsYm7xUgDXt_2QoDnYuMW5e_2hVD93_BewuWlO6aC7jejI-3Gub2E1wL8FqkwI9YGrI0oMCPQ_RJ4lmYoOvU=w1200|https://lh3.googleusercontent.com/pw/AP1GczMkQlSJfvRdZx20__Rz-PKWWtBAScx1uH90IpRxuuNyzuxsqfrVZvh37kh1e_6IAKSlnAom7TtaCtmb7CTozAV7ofzEbVV84yOCulSb8XO1qSvGT3Y=w1200|https://lh3.googleusercontent.com/pw/AP1GczPQmIGe2StFwnJj-NhHeY2L3qbfsMgT2-kWEeFjdDEHDxnw78OojuaT-fKZV0kdKKL3GG_-qxgryVzPhYvG93bIKDpLD-q5SBppUSdyzX8oaGS5PXg=w1200|https://lh3.googleusercontent.com/pw/AP1GczPQIKWJlRq-NpO4XYdCNx5xW5rxDsm0WL0IdaMUAz53tMrfxqKdQ2Pek29kMsHy-wqcK7wkfbB5vs6849F8uC0YUnprYpk9W_H5hglWUR9Dl3qqN1I=w1200|https://lh3.googleusercontent.com/pw/AP1GczM8wkrZHcYqWvhocdN-yFviMYYRjBfcqzQa7VlNl_AXS1aWb0lXX7HxXqfNUREkBndsOZX6TzeAPnNuN4eZSDHvTU70uQCaKEt6HWEnZKvLngw4GbU=w1200|https://lh3.googleusercontent.com/pw/AP1GczMFoFYmVQpNYk6v0C8QCL3OaKTmmxckmwzCVoyLJbLtw_Qf8MWi-T0CyF8u-IU_a39cgOmgR0fl-_WWxeQk2TWt4uKVsOzCi7cyh0RDYX_eku6THvU=w1200|https://lh3.googleusercontent.com/pw/AP1GczMlHfSjvkDMrcAtOihtCvYxIqUNEyLP48VIjBph1BodSUDasQPExN435UPvexoNEDHIDjX3RK8goc0ZHijIjp1lh2VX6idHknsDyA1EtfxkeGg3UL8=w1200|https://lh3.googleusercontent.com/pw/AP1GczN99goZKsPgLXnVvwDN2dt3MV9WAvyXtC2l2mtaa__mXCi-35wh87GhPwDPoPVDyZa4oUj6UDHGNycVifTd3foCLYC2Ybd0y_pu-0UYKW0z-qFkr3Q=w1200|https://lh3.googleusercontent.com/pw/AP1GczMT3_um1DAfbw0AXSEPoJOj9m7byLn9j9kt5VGD1B_2aqX1BWLerzjUECY62lfAwtUChhUhzAnH0596rBwT3RJjaJXv5O24lwgOuUUfTpSeHIbxIVc=w1200|https://lh3.googleusercontent.com/pw/AP1GczOea6Ei386Zyc6XwcTffozDJxOKwG1h0uTf_M33tEpY_kk08JEXLvDh_cOK9Iyn25FG23Sa2229FVEAGun-ws3WF2xPN4zyExQTAkd9suNsYEfFy8M=w1200|https://lh3.googleusercontent.com/pw/AP1GczPUik3SqgMuv4LwspMofh1Yg8XdcJZ1Z5Mo5ONTRGpFTpYDykTjmqQrWLyCzMYLRFhtqtISMh31SoEZRCDFpTZpU96I0AnOzZ0mKlZmHHWtWV74wFw=w1200|https://lh3.googleusercontent.com/pw/AP1GczPKXwQC8hgnCC7Rk0iowm5eWMTLOBzC_hhh6UBHqc4WKv0rAsugOWC2yyPR0mq3YyChHhxr_InHVlvvDL0EwsdUsYU0CupREC_3EH-8iRcm7o6NyY8=w1200|https://lh3.googleusercontent.com/pw/AP1GczOgaaNU0uxz6kTTc5pTcRDssbwHB5zsyiGTb6TXv6IIyk5lzHFR_lHwxQj01qYlW_y_wUjYFA6_Ze8rh-28eGMpYzXtOItaCZ7eQssl9ZO4PUwl34c=w1200|https://lh3.googleusercontent.com/pw/AP1GczMD-JyvOqjrFMuwdUFbM4EZCk9CqRxHAHoF-CJXNXPRsJsYUlTACrBSx1GzkJGaCzx9AGDscRBOnJTgv2PurwsFoxvpRNkAcsKAHBwPVIcf8gzeJK0=w1200|https://lh3.googleusercontent.com/pw/AP1GczMZCxiT0u5aIB_YZvrz8cDen3MXPSYBtcvqllO_Q4brJ9ouFllngzKS1NiNnnBBvDtoGgd1W03ov400BhiCelFDARyTZX9DMYIP-8HoXYx7acbkQow=w1200|https://lh3.googleusercontent.com/pw/AP1GczNtzYzqJNvWO7vVj3NSA7upRdUXI0mwW9cR0fl6jdqATRhw38DcR-JNKNVHAWVT8bbiyZqwQIgUbZSkHtccZ-cgRV4n8l8v04cMDzA61ZIixm9QILk=w1200|https://lh3.googleusercontent.com/pw/AP1GczPO88-JgjTNiACpKSaULBZ05pTDSEp8lp-k0rz4C_YzxQwJ5ea5-2hoRjhb6Vxojm7CUuWgXZ1w4X1xo7rmgcjiwQFzHiXXKUyBZxqXvUzCRzSMywM=w1200|https://lh3.googleusercontent.com/pw/AP1GczNghB0OuCFMp0jvTBpjwLo13YXr3p8AWyMJCP4sZ4hux2OCzFWcGPhb7DhG3E0GxrKP2_OfBxjteKWPZuXO6x6nqbgFsRA-kXXfA524nLVVe7Apsgw=w1200|https://lh3.googleusercontent.com/pw/AP1GczNMRfQO32YZrYFnjUpTinzB1KE0ALZmjof8gLsiL-hxnYDkEMpK0X2QWau9iMTvMP_L8E2CROwCAoi1KiFW7HT-5s_gI2EtZgi6ulIZoEUoILQOjRY=w1200|https://lh3.googleusercontent.com/pw/AP1GczMFX7zhd5okNYlb9V7VdGZ8OTv0e23hFYVScHc8Q51wBZWH5avOz4aeAxEoFxSmjJOD8-Y8DOJAp6KG5BsvwGeCjjHlvWm6g2XEkMJ08LmsMdYKLxI=w1200|https://lh3.googleusercontent.com/pw/AP1GczMWYayr-x4FrxpO1pX7Uu0swYmPZcMu2FN6E6mibJnQYOjSqXu_ltRrjHrMmktPbKV0qRq78zRki2A1J15gcThCllKqHOeGEL1n25SuPhxcrn-8LuU=w1200|https://lh3.googleusercontent.com/pw/AP1GczMLWnbhWjbBTp0Cgx2rChEWn8iUrJszsJHAGYFje0nwYAAOxrSLbY-_78MEb7WV-cX1HW1oSFQFpne3FEGDp6sqBth7mB29MekPnQYvNy5Ej_EVQhM=w1200|https://lh3.googleusercontent.com/pw/AP1GczMJChXUKXcYBiX2MDU39s8FlCSsG4lTIp8VewePzdpoZJXPGKARDCNeBNOUPsI7qMOMgYwUK1kJzulJAbyVggiEhemp1eXJWDWodKoCmqnE3h0QM4wh=w1200</v>
      </c>
      <c r="AJ235" s="46"/>
      <c r="AK235" s="46"/>
      <c r="AL235" s="46"/>
      <c r="AM235" s="46"/>
      <c r="AN235" s="46"/>
      <c r="AO235" s="46"/>
      <c r="AP235" s="46"/>
      <c r="AQ235" s="46"/>
      <c r="AR235" s="46"/>
      <c r="AS235" s="46"/>
      <c r="AT235" s="46"/>
      <c r="AU235" s="46"/>
      <c r="AV235" s="46"/>
      <c r="AW235" s="46"/>
      <c r="AX235" s="46"/>
      <c r="AY235" s="46"/>
      <c r="AZ235" s="46"/>
      <c r="BA235" s="46"/>
      <c r="BB235" s="46"/>
      <c r="BC235" s="46"/>
      <c r="BD235" s="46"/>
      <c r="BE235" s="46"/>
      <c r="BF235" s="46"/>
      <c r="BG235" s="46"/>
      <c r="BH235" s="46"/>
      <c r="BI235" s="46"/>
      <c r="BJ235" s="46"/>
      <c r="BK235" s="46"/>
      <c r="BL235" s="46"/>
      <c r="BM235" s="46"/>
      <c r="BN235" s="46"/>
      <c r="BO235" s="46"/>
      <c r="BP235" s="46"/>
      <c r="BQ235" s="46"/>
      <c r="BR235" s="46"/>
      <c r="BS235" s="46"/>
      <c r="BT235" s="46"/>
      <c r="BU235" s="46"/>
      <c r="BV235" s="46"/>
      <c r="BW235" s="46"/>
      <c r="BX235" s="46"/>
      <c r="BY235" s="46"/>
      <c r="BZ235" s="46"/>
      <c r="CA235" s="46"/>
      <c r="CB235" s="46"/>
      <c r="CC235" s="46"/>
    </row>
    <row r="236">
      <c r="A236" s="87" t="str">
        <f>IFERROR(__xludf.DUMMYFUNCTION("""COMPUTED_VALUE"""),"518")</f>
        <v>518</v>
      </c>
      <c r="B236" s="46" t="str">
        <f>IFERROR(__xludf.DUMMYFUNCTION("""COMPUTED_VALUE"""),"Casa con dos locales en barrio Tenerife")</f>
        <v>Casa con dos locales en barrio Tenerife</v>
      </c>
      <c r="C236" s="46" t="str">
        <f>IFERROR(__xludf.DUMMYFUNCTION("""COMPUTED_VALUE"""),"Casa rentable")</f>
        <v>Casa rentable</v>
      </c>
      <c r="D236" s="46" t="str">
        <f>IFERROR(__xludf.DUMMYFUNCTION("""COMPUTED_VALUE"""),"Tenerife")</f>
        <v>Tenerife</v>
      </c>
      <c r="E236" s="46"/>
      <c r="F236" s="90">
        <f>IFERROR(__xludf.DUMMYFUNCTION("""COMPUTED_VALUE"""),5.5E8)</f>
        <v>550000000</v>
      </c>
      <c r="G236" s="46" t="str">
        <f>IFERROR(__xludf.DUMMYFUNCTION("""COMPUTED_VALUE"""),"$500'000.000 a $1.000'000.000")</f>
        <v>$500'000.000 a $1.000'000.000</v>
      </c>
      <c r="H236" s="46"/>
      <c r="I236" s="46"/>
      <c r="J236" s="46" t="str">
        <f>IFERROR(__xludf.DUMMYFUNCTION("""COMPUTED_VALUE"""),"Centro")</f>
        <v>Centro</v>
      </c>
      <c r="K236" s="87"/>
      <c r="L236" s="46">
        <f>IFERROR(__xludf.DUMMYFUNCTION("""COMPUTED_VALUE"""),6.0)</f>
        <v>6</v>
      </c>
      <c r="M236" s="46"/>
      <c r="N236" s="46">
        <f>IFERROR(__xludf.DUMMYFUNCTION("""COMPUTED_VALUE"""),4.0)</f>
        <v>4</v>
      </c>
      <c r="O236" s="46">
        <f>IFERROR(__xludf.DUMMYFUNCTION("""COMPUTED_VALUE"""),0.0)</f>
        <v>0</v>
      </c>
      <c r="P236" s="46">
        <f>IFERROR(__xludf.DUMMYFUNCTION("""COMPUTED_VALUE"""),1.0)</f>
        <v>1</v>
      </c>
      <c r="Q236" s="92">
        <f>IFERROR(__xludf.DUMMYFUNCTION("""COMPUTED_VALUE"""),266.0)</f>
        <v>266</v>
      </c>
      <c r="R236" s="92">
        <f>IFERROR(__xludf.DUMMYFUNCTION("""COMPUTED_VALUE"""),266.0)</f>
        <v>266</v>
      </c>
      <c r="S236" s="87" t="str">
        <f>IFERROR(__xludf.DUMMYFUNCTION("""COMPUTED_VALUE"""),"Rentabilidad $1,300,000")</f>
        <v>Rentabilidad $1,300,000</v>
      </c>
      <c r="T236" s="46" t="str">
        <f>IFERROR(__xludf.DUMMYFUNCTION("""COMPUTED_VALUE"""),"Neiva")</f>
        <v>Neiva</v>
      </c>
      <c r="U236" s="87" t="str">
        <f>IFERROR(__xludf.DUMMYFUNCTION("""COMPUTED_VALUE"""),"Comercial")</f>
        <v>Comercial</v>
      </c>
      <c r="V236" s="46" t="str">
        <f>IFERROR(__xludf.DUMMYFUNCTION("""COMPUTED_VALUE"""),"Medianera")</f>
        <v>Medianera</v>
      </c>
      <c r="W236" s="46"/>
      <c r="X236" s="46">
        <f>IFERROR(__xludf.DUMMYFUNCTION("""COMPUTED_VALUE"""),2.0)</f>
        <v>2</v>
      </c>
      <c r="Y236" s="46" t="str">
        <f>IFERROR(__xludf.DUMMYFUNCTION("""COMPUTED_VALUE"""),"No tiene")</f>
        <v>No tiene</v>
      </c>
      <c r="Z236" s="90" t="str">
        <f>IFERROR(__xludf.DUMMYFUNCTION("""COMPUTED_VALUE"""),"No aplica")</f>
        <v>No aplica</v>
      </c>
      <c r="AA236" s="33" t="str">
        <f>IFERROR(__xludf.DUMMYFUNCTION("""COMPUTED_VALUE"""),"35 años")</f>
        <v>35 años</v>
      </c>
      <c r="AB236" s="144" t="str">
        <f>IFERROR(__xludf.DUMMYFUNCTION("""COMPUTED_VALUE"""),"https://photos.app.goo.gl/d6umWHuT9TKaYn6G6")</f>
        <v>https://photos.app.goo.gl/d6umWHuT9TKaYn6G6</v>
      </c>
      <c r="AC236" s="46"/>
      <c r="AD236" s="46" t="str">
        <f>IFERROR(__xludf.DUMMYFUNCTION("""COMPUTED_VALUE"""),"Casa antigua.  Ubicada sobre vía doble calzada y con separador. Sector comercial. Escritura al día. No se permuta.")</f>
        <v>Casa antigua.  Ubicada sobre vía doble calzada y con separador. Sector comercial. Escritura al día. No se permuta.</v>
      </c>
      <c r="AE236" s="46"/>
      <c r="AF236" s="46" t="str">
        <f>IFERROR(__xludf.DUMMYFUNCTION("""COMPUTED_VALUE"""),"básica")</f>
        <v>básica</v>
      </c>
      <c r="AG236" s="46"/>
      <c r="AH236" s="46" t="str">
        <f>IFERROR(__xludf.DUMMYFUNCTION("""COMPUTED_VALUE"""),"Verbal")</f>
        <v>Verbal</v>
      </c>
      <c r="AI236" s="92" t="str">
        <f>IFERROR(__xludf.DUMMYFUNCTION("""COMPUTED_VALUE"""),"https://lh3.googleusercontent.com/pw/AP1GczM0G0lwCxqJIlTes5x4ICIoxh6Ol5L-OF_QFGgIEc3Ah8oYxZp-iZI_uG1g7BsbIpBw3e48eMozDNQABrMz_3SWA490j17CwRywNExCyzUEEKGtsmJT=w1200|https://lh3.googleusercontent.com/pw/AP1GczOG6Lzev5-9W1jsB3l0Si0jFv-5-R4T4ENrviTFD2xt2T7nJJ"&amp;"y99TBPcyVg8b0Ri1IiNBpSrKW3GuUn9gDdFXQPGY1NZNSjw4Db3Eoxqmsowm-ML6LP=w1200|https://lh3.googleusercontent.com/pw/AP1GczMfNqyHVc7nvr8QBnZcL8JIIf_AJOY4Vr86j_QfvHd7lpD-Mx309J1a1HfuscJXxjlvMFKXu1ODVmknmSLkzkRIOtS0ZY16uZsi7FXrZkG-4jwB7T-W=w1200|https://lh3.google"&amp;"usercontent.com/pw/AP1GczPhbPK6FHdrOxmUOrlFb7obkOzXQpa-IROKEUmIzAX-BrQGrCcHEGfYq7GkLW7wO-zsBmnR2mPTE1dnH3Ddd3W8W-cieUqFHMXcZuxy_8jTw7-Mz3BA=w1200|https://lh3.googleusercontent.com/pw/AP1GczP2ejhmUfXA1ONsdd-dx4YmVi3yPgi6j6fbqN1bYxCuVelVifUyPEfMCh73EE22y1d2"&amp;"II2V9mt6yyDGtXD0SN6PSUquPzV0hPsb6LR2F5wWai6KbBZ-=w1200|https://lh3.googleusercontent.com/pw/AP1GczMCGy5Sd3OYUVkhIhRmjF2YYrnXUilHO_ACPktSuJUaAyg5dgp3oRs-wWEvFVTPl8roHShOkPzgPHPgCsFFu4-GuS9OKMxBXpXznJwMqRgLdkSk_M4r=w1200|https://lh3.googleusercontent.com/pw"&amp;"/AP1GczPPg8oe8MzB2Xewk-LehH5FQdTY7DY53wLbvgkBJU_bUDTp0WiEWtUQjQYxkTiOUGjGsHuh2GCiCDGwz6rOM-2mUmvcUMFE2GtdE9Fb19RYZIVxpo_p=w1200|https://lh3.googleusercontent.com/pw/AP1GczOylf07YDXuXm43EtXg57aw_njb0qcXL6WVEmkJTnzDxYkSA-4kbiRcv2QKfdQsa_r3273g76JRIEkLM7oc5S"&amp;"0Q_PExbmshBqBQ5fLehnT772sNYrA6=w1200|https://lh3.googleusercontent.com/pw/AP1GczMx0fnX30E37_8HFmM_6liTGrGt-xm3pgfEVbqxhLfNQ9NVGQlKTpEomiSxBTl5KqZpANM7jS_8jILD1HFWxXPm5iK_jq_Nbox5Fr_v2LuYvlA_SQPX=w1200|https://lh3.googleusercontent.com/pw/AP1GczPKDtzHZXORS"&amp;"I17A4ttElEiPwq45-Cor9fddx2zdjwriKhrIrQv6uQnRPK4DyDnO3DOY3t2NdxqD78NDFROhkJsEkSj5Xy4bIo7eU1xYTi-i0qQJ10y=w1200|https://lh3.googleusercontent.com/pw/AP1GczMjJki5taSVsqhxTdmLzaV3Hdh-ChEB9Ogda_42VxEEEIKqz29cE7PzmeF9QpG_wrDvwXRpjcWDY1DFtcYvkQvdsULA37MehjOBpofo"&amp;"X82nWkBN623S=w1200")</f>
        <v>https://lh3.googleusercontent.com/pw/AP1GczM0G0lwCxqJIlTes5x4ICIoxh6Ol5L-OF_QFGgIEc3Ah8oYxZp-iZI_uG1g7BsbIpBw3e48eMozDNQABrMz_3SWA490j17CwRywNExCyzUEEKGtsmJT=w1200|https://lh3.googleusercontent.com/pw/AP1GczOG6Lzev5-9W1jsB3l0Si0jFv-5-R4T4ENrviTFD2xt2T7nJJy99TBPcyVg8b0Ri1IiNBpSrKW3GuUn9gDdFXQPGY1NZNSjw4Db3Eoxqmsowm-ML6LP=w1200|https://lh3.googleusercontent.com/pw/AP1GczMfNqyHVc7nvr8QBnZcL8JIIf_AJOY4Vr86j_QfvHd7lpD-Mx309J1a1HfuscJXxjlvMFKXu1ODVmknmSLkzkRIOtS0ZY16uZsi7FXrZkG-4jwB7T-W=w1200|https://lh3.googleusercontent.com/pw/AP1GczPhbPK6FHdrOxmUOrlFb7obkOzXQpa-IROKEUmIzAX-BrQGrCcHEGfYq7GkLW7wO-zsBmnR2mPTE1dnH3Ddd3W8W-cieUqFHMXcZuxy_8jTw7-Mz3BA=w1200|https://lh3.googleusercontent.com/pw/AP1GczP2ejhmUfXA1ONsdd-dx4YmVi3yPgi6j6fbqN1bYxCuVelVifUyPEfMCh73EE22y1d2II2V9mt6yyDGtXD0SN6PSUquPzV0hPsb6LR2F5wWai6KbBZ-=w1200|https://lh3.googleusercontent.com/pw/AP1GczMCGy5Sd3OYUVkhIhRmjF2YYrnXUilHO_ACPktSuJUaAyg5dgp3oRs-wWEvFVTPl8roHShOkPzgPHPgCsFFu4-GuS9OKMxBXpXznJwMqRgLdkSk_M4r=w1200|https://lh3.googleusercontent.com/pw/AP1GczPPg8oe8MzB2Xewk-LehH5FQdTY7DY53wLbvgkBJU_bUDTp0WiEWtUQjQYxkTiOUGjGsHuh2GCiCDGwz6rOM-2mUmvcUMFE2GtdE9Fb19RYZIVxpo_p=w1200|https://lh3.googleusercontent.com/pw/AP1GczOylf07YDXuXm43EtXg57aw_njb0qcXL6WVEmkJTnzDxYkSA-4kbiRcv2QKfdQsa_r3273g76JRIEkLM7oc5S0Q_PExbmshBqBQ5fLehnT772sNYrA6=w1200|https://lh3.googleusercontent.com/pw/AP1GczMx0fnX30E37_8HFmM_6liTGrGt-xm3pgfEVbqxhLfNQ9NVGQlKTpEomiSxBTl5KqZpANM7jS_8jILD1HFWxXPm5iK_jq_Nbox5Fr_v2LuYvlA_SQPX=w1200|https://lh3.googleusercontent.com/pw/AP1GczPKDtzHZXORSI17A4ttElEiPwq45-Cor9fddx2zdjwriKhrIrQv6uQnRPK4DyDnO3DOY3t2NdxqD78NDFROhkJsEkSj5Xy4bIo7eU1xYTi-i0qQJ10y=w1200|https://lh3.googleusercontent.com/pw/AP1GczMjJki5taSVsqhxTdmLzaV3Hdh-ChEB9Ogda_42VxEEEIKqz29cE7PzmeF9QpG_wrDvwXRpjcWDY1DFtcYvkQvdsULA37MehjOBpofoX82nWkBN623S=w1200</v>
      </c>
      <c r="AJ236" s="46"/>
      <c r="AK236" s="46"/>
      <c r="AL236" s="46"/>
      <c r="AM236" s="46"/>
      <c r="AN236" s="46"/>
      <c r="AO236" s="46"/>
      <c r="AP236" s="46"/>
      <c r="AQ236" s="46"/>
      <c r="AR236" s="46"/>
      <c r="AS236" s="46"/>
      <c r="AT236" s="46"/>
      <c r="AU236" s="46"/>
      <c r="AV236" s="46"/>
      <c r="AW236" s="46"/>
      <c r="AX236" s="46"/>
      <c r="AY236" s="46"/>
      <c r="AZ236" s="46"/>
      <c r="BA236" s="46"/>
      <c r="BB236" s="46"/>
      <c r="BC236" s="46"/>
      <c r="BD236" s="46"/>
      <c r="BE236" s="46"/>
      <c r="BF236" s="46"/>
      <c r="BG236" s="46"/>
      <c r="BH236" s="46"/>
      <c r="BI236" s="46"/>
      <c r="BJ236" s="46"/>
      <c r="BK236" s="46"/>
      <c r="BL236" s="46"/>
      <c r="BM236" s="46"/>
      <c r="BN236" s="46"/>
      <c r="BO236" s="46"/>
      <c r="BP236" s="46"/>
      <c r="BQ236" s="46"/>
      <c r="BR236" s="46"/>
      <c r="BS236" s="46"/>
      <c r="BT236" s="46"/>
      <c r="BU236" s="46"/>
      <c r="BV236" s="46"/>
      <c r="BW236" s="46"/>
      <c r="BX236" s="46"/>
      <c r="BY236" s="46"/>
      <c r="BZ236" s="46"/>
      <c r="CA236" s="46"/>
      <c r="CB236" s="46"/>
      <c r="CC236" s="46"/>
    </row>
    <row r="237">
      <c r="A237" s="87" t="str">
        <f>IFERROR(__xludf.DUMMYFUNCTION("""COMPUTED_VALUE"""),"306")</f>
        <v>306</v>
      </c>
      <c r="B237" s="46" t="str">
        <f>IFERROR(__xludf.DUMMYFUNCTION("""COMPUTED_VALUE"""),"Casa campestre en conjunto - Vía a Termales - Rivera.")</f>
        <v>Casa campestre en conjunto - Vía a Termales - Rivera.</v>
      </c>
      <c r="C237" s="46" t="str">
        <f>IFERROR(__xludf.DUMMYFUNCTION("""COMPUTED_VALUE"""),"Casa campestre en conjunto")</f>
        <v>Casa campestre en conjunto</v>
      </c>
      <c r="D237" s="46"/>
      <c r="E237" s="46"/>
      <c r="F237" s="90">
        <f>IFERROR(__xludf.DUMMYFUNCTION("""COMPUTED_VALUE"""),5.5E8)</f>
        <v>550000000</v>
      </c>
      <c r="G237" s="46" t="str">
        <f>IFERROR(__xludf.DUMMYFUNCTION("""COMPUTED_VALUE"""),"$500'000.000 a $1.000'000.000")</f>
        <v>$500'000.000 a $1.000'000.000</v>
      </c>
      <c r="H237" s="46"/>
      <c r="I237" s="46"/>
      <c r="J237" s="46" t="str">
        <f>IFERROR(__xludf.DUMMYFUNCTION("""COMPUTED_VALUE"""),"Sur")</f>
        <v>Sur</v>
      </c>
      <c r="K237" s="87"/>
      <c r="L237" s="46">
        <f>IFERROR(__xludf.DUMMYFUNCTION("""COMPUTED_VALUE"""),4.0)</f>
        <v>4</v>
      </c>
      <c r="M237" s="46"/>
      <c r="N237" s="46">
        <f>IFERROR(__xludf.DUMMYFUNCTION("""COMPUTED_VALUE"""),4.0)</f>
        <v>4</v>
      </c>
      <c r="O237" s="46">
        <f>IFERROR(__xludf.DUMMYFUNCTION("""COMPUTED_VALUE"""),2.0)</f>
        <v>2</v>
      </c>
      <c r="P237" s="46">
        <f>IFERROR(__xludf.DUMMYFUNCTION("""COMPUTED_VALUE"""),2.0)</f>
        <v>2</v>
      </c>
      <c r="Q237" s="92">
        <f>IFERROR(__xludf.DUMMYFUNCTION("""COMPUTED_VALUE"""),405.0)</f>
        <v>405</v>
      </c>
      <c r="R237" s="92">
        <f>IFERROR(__xludf.DUMMYFUNCTION("""COMPUTED_VALUE"""),1900.0)</f>
        <v>1900</v>
      </c>
      <c r="S237" s="87" t="str">
        <f>IFERROR(__xludf.DUMMYFUNCTION("""COMPUTED_VALUE""")," ")</f>
        <v> </v>
      </c>
      <c r="T237" s="46" t="str">
        <f>IFERROR(__xludf.DUMMYFUNCTION("""COMPUTED_VALUE"""),"Rivera")</f>
        <v>Rivera</v>
      </c>
      <c r="U237" s="87" t="str">
        <f>IFERROR(__xludf.DUMMYFUNCTION("""COMPUTED_VALUE"""),"2")</f>
        <v>2</v>
      </c>
      <c r="V237" s="46" t="str">
        <f>IFERROR(__xludf.DUMMYFUNCTION("""COMPUTED_VALUE"""),"Medianera")</f>
        <v>Medianera</v>
      </c>
      <c r="W237" s="46"/>
      <c r="X237" s="46">
        <f>IFERROR(__xludf.DUMMYFUNCTION("""COMPUTED_VALUE"""),3.0)</f>
        <v>3</v>
      </c>
      <c r="Y237" s="46" t="str">
        <f>IFERROR(__xludf.DUMMYFUNCTION("""COMPUTED_VALUE"""),"Privada")</f>
        <v>Privada</v>
      </c>
      <c r="Z237" s="90" t="str">
        <f>IFERROR(__xludf.DUMMYFUNCTION("""COMPUTED_VALUE"""),"No aplica")</f>
        <v>No aplica</v>
      </c>
      <c r="AA237" s="33" t="str">
        <f>IFERROR(__xludf.DUMMYFUNCTION("""COMPUTED_VALUE"""),"No aplica")</f>
        <v>No aplica</v>
      </c>
      <c r="AB237" s="96" t="str">
        <f>IFERROR(__xludf.DUMMYFUNCTION("""COMPUTED_VALUE"""),"https://photos.app.goo.gl/BkL4mwwUDw4pAhix7")</f>
        <v>https://photos.app.goo.gl/BkL4mwwUDw4pAhix7</v>
      </c>
      <c r="AC237" s="46" t="str">
        <f>IFERROR(__xludf.DUMMYFUNCTION("""COMPUTED_VALUE"""),"Esta propiedad campestre cuenta con 405 m² de área construida distribuida en dos casas independientes con un diseño funcional y ventilado. En sus interiores ofrece sala, comedor, cuatro habitaciones, cuatro baños, bodega y una cocina semi-integral con mes"&amp;"ones en mampostería, estufa empotrada y muebles superiores de almacenamiento. Sus acabados destacan por pisos interiores en cerámica clara de gran formato que aportan luminosidad y amplitud, muros con acabados lisos, escaleras con baranda metálica y grand"&amp;"es ventanales con puertas corredizas en vidrio templado y perfilería de aluminio que conectan directamente con el entorno. En el exterior sobresale su corredor perimetral en U con pisos combinados en granito lavado e incrustaciones geométricas cerámicas, "&amp;"además de una terraza mirador con baranda de seguridad y vista panorámica de 180°.")</f>
        <v>Esta propiedad campestre cuenta con 405 m² de área construida distribuida en dos casas independientes con un diseño funcional y ventilado. En sus interiores ofrece sala, comedor, cuatro habitaciones, cuatro baños, bodega y una cocina semi-integral con mesones en mampostería, estufa empotrada y muebles superiores de almacenamiento. Sus acabados destacan por pisos interiores en cerámica clara de gran formato que aportan luminosidad y amplitud, muros con acabados lisos, escaleras con baranda metálica y grandes ventanales con puertas corredizas en vidrio templado y perfilería de aluminio que conectan directamente con el entorno. En el exterior sobresale su corredor perimetral en U con pisos combinados en granito lavado e incrustaciones geométricas cerámicas, además de una terraza mirador con baranda de seguridad y vista panorámica de 180°.</v>
      </c>
      <c r="AD237" s="46" t="str">
        <f>IFERROR(__xludf.DUMMYFUNCTION("""COMPUTED_VALUE"""),"Ubicada en un exclusivo conjunto cerrado de solo nueve predios en la vereda Termópilas, sobre la vía a los Termales de Rivera (Huila), la finca se encuentra sobre un amplio lote de 1.900 m² en estrato 2 rural (Código 306). Para el descanso y entretenimien"&amp;"to familiar dispone de piscina privada, y garantiza completa autonomía hídrica y de saneamiento gracias a su aljibe propio y sistema de pozo séptico")</f>
        <v>Ubicada en un exclusivo conjunto cerrado de solo nueve predios en la vereda Termópilas, sobre la vía a los Termales de Rivera (Huila), la finca se encuentra sobre un amplio lote de 1.900 m² en estrato 2 rural (Código 306). Para el descanso y entretenimiento familiar dispone de piscina privada, y garantiza completa autonomía hídrica y de saneamiento gracias a su aljibe propio y sistema de pozo séptico</v>
      </c>
      <c r="AE237" s="46"/>
      <c r="AF237" s="46" t="str">
        <f>IFERROR(__xludf.DUMMYFUNCTION("""COMPUTED_VALUE"""),"semi-integral")</f>
        <v>semi-integral</v>
      </c>
      <c r="AG237" s="46"/>
      <c r="AH237" s="46" t="str">
        <f>IFERROR(__xludf.DUMMYFUNCTION("""COMPUTED_VALUE"""),"Verbal")</f>
        <v>Verbal</v>
      </c>
      <c r="AI237" s="92" t="str">
        <f>IFERROR(__xludf.DUMMYFUNCTION("""COMPUTED_VALUE"""),"https://lh3.googleusercontent.com/pw/AP1GczPGKeqPmjLr4_d8pL7K8K0thFDgT--f2Xde6X7mtAoyWuXUSUAqzGDCitiJ087KjzntxT7sIs21gI4rrqS1Tk8-Tj9PQLXeaSUPd6WqeV3wP2swNqKh=w1200|https://lh3.googleusercontent.com/pw/AP1GczMr9nugT-muxI4wJrx8qbLwByTHEoahxIWvWKsdnWL0rQMAml"&amp;"6iqTYrBKIpQj7unB81cDCN7NMmolNPx6ZNjE_YVNnqnjUiZYLCEhyHUeBU1MRGOlih=w1200|https://lh3.googleusercontent.com/pw/AP1GczPYiiTwyMSv3grJK4FqMG1Fyt-CL1QgiSjSQnfUgH1s94AkSBnilBePH70yWBLkOepyxnmDm3V6Ri29ZeFdo61EJmwqxtK_lUskT8vHgYaordLqSutJ=w1200|https://lh3.google"&amp;"usercontent.com/pw/AP1GczNuRZf9GtWNCRwJ4CEl1TUTdx1Gxd-hrbk0vJNHNVns70Sns5RfTGX_9cdbgcFeRWL39iUNyrHa8ELq3azaPSY1XO_ldrTIxLPlZwOAF_aXccihpl52=w1200|https://lh3.googleusercontent.com/pw/AP1GczMVnWWzThHkXi1OMfI4oWd18Y1OLlRqZhvqGop0n0-BGHzUMtM86nguqIVpcMyG8VbQ"&amp;"2JNTQrBuOLUJr87_xPBt0QVURSYO9p-a9zYS8-obJ_rATQS8=w1200|https://lh3.googleusercontent.com/pw/AP1GczOIRUtHbbIGA3JyYrxismBkJuC6Kfx9bSbNvShgEDiihib73Xu1tVtE9ldIyj9xFtlaG78AjjivGe5MXwleT5UDZYMarcd_4VmbLf7DZ16KUfFT-S-P=w1200|https://lh3.googleusercontent.com/pw"&amp;"/AP1GczMa8tv0xacmeJanyOK7iTp_W7_OWY4chslc8u8R0ZBkMSoMaifHXTkodKuvsISrqeAv9Gr0omtyMjsB8rdMHu10hnpXvi2RpLDHyWc8oJVHpRtFkEZ7=w1200|https://lh3.googleusercontent.com/pw/AP1GczN5Gj7Bo2toiZjzc_Oe6Eftp7gEvYg8Irc4m8MK7-cqk8JjYgVeL6pHMzxlqeIBvvmlwASLIbKIbVklBTk_oN"&amp;"d7PJ5WLi6XhdvSPn2DodVYZWNAFS_i=w1200|https://lh3.googleusercontent.com/pw/AP1GczN50vHpheq9Og7SH6F2yPhSRa0RLW1FTUIb_JtI4QmIkJ3uMCdz1yLxjQt89_17zN-kbQ1N9h5AYdJy8zolj-98otaJLW-WuXRTSV00Rd56kyzw7T65=w1200|https://lh3.googleusercontent.com/pw/AP1GczMquhBM586gO"&amp;"RrHttrmtZGkRpAfX0S5IQeyZYc-ClalyGk0mHQebH4ZzG6iTiHlgRZTesXfk6uB3rr390CoeNFibltyD-Fo6DJ90Xf1ByQV6koZ6jzB=w1200|https://lh3.googleusercontent.com/pw/AP1GczNe7q5Cl8KQjjwHDtSnpGSqzRlEla0ZbTWNOicnBCjIImu6CgCp5y3jYMhaSSNlMsZH13jGvbLAIoJ9Hqzxu8rV_XOjT68l6mvVr9Mm"&amp;"T3RL8n8y0-P0=w1200|https://lh3.googleusercontent.com/pw/AP1GczNZr0BaR1lSB5_fHZ6k6U3Whaf9bo1nf_g6P3AKXrpQMhjVCxa2U4wsAo3pP-oCaIwuIJNxZiSvxk4hOcdzehE59w-fGzocbP5SSbBbk367ummrwnma=w1200|https://lh3.googleusercontent.com/pw/AP1GczPXBce9WEM6eIxdh7FAm4x7vmYtK7v"&amp;"mdCpqY8Dso_MIeyI8Mf2s_EQNBgXlisz6Ed_I1fWfm1AK8DyIj80VSscypZvV0YEFRn_0jiZepdk8Xo4UygFG=w1200|https://lh3.googleusercontent.com/pw/AP1GczOrp7ww05n-sXVR8O1mLlbeVZMCMc4idRkoxmPKr9KFmJaFa3Ap_wXhkspqtu2dvX1c9Zo6y2My_cGA466lmMmqVGDsBa318FAzCJg0rsRUfMN2GEa8=w1200"&amp;"|https://lh3.googleusercontent.com/pw/AP1GczM7lBdY9qCPhY17-MpkEgAr_jCPcV91a4AS6OkF6NMpbYM0ZT56Ai4SKPfqla3Toq_Cu_eb1mNlocaEaJoGnuTVWUsMlJdP2PK5i_mjL7d_wb3TPvDX=w1200|https://lh3.googleusercontent.com/pw/AP1GczPHARuBvaDhq3BgcKYgXXyT8sBQP4jdpGNJVGhowlEKrLq78"&amp;"tMKdhWi7BMZIQCG7zwOxxe5dtVEelVMPq7wKy0STh_hd3A3V_-Mt2TW_dqbWIMtOJk0=w1200|https://lh3.googleusercontent.com/pw/AP1GczOXgZueVI8k1QMcsWvy7SDHwj7vFCZAsfm9B9fGWd3SId3BSjla9ODJQ_97n5YAGIn548h6rQZ9fPuoibLs0YQxZfXJjLVPaEn_f4_nTKrJodL12-eX=w1200|https://lh3.googl"&amp;"eusercontent.com/pw/AP1GczN0KKL1Yeh9WtC7ROlsdjCkpMLmK8ld0x9sseUL61akQiffc0HEJQHVbeUe_kRMFNjLLAE5WOhJ-zhAcS40FvVEqpgVaNl-abpFzIQ54MpMO4B8dS0O=w1200|https://lh3.googleusercontent.com/pw/AP1GczN4zjUb8TVM6YjqXmJewRK6lVPmeU5cu37I200ohgbxL7KOMrFQ7X2Gkrn9XWSdPjY"&amp;"nvEvIGHsmvQRIJjHARBg2d2gyUMjDVbBv6egioGig4nUnJSZ6=w1200|https://lh3.googleusercontent.com/pw/AP1GczOQAR1xkWQtXIk50TAnjTerPxjTWaeqCOHuUCePTcVD17hjzx1GN63IZxhbuRL7W7X1avZXfnosxK0rmOke5WTHAuinhivbnbRilPhHhp-E6od6elfz=w1200|https://lh3.googleusercontent.com/p"&amp;"w/AP1GczMxSvunq73_qX9CtfpqTcqVN_hO5sYVVl65c-QABEk--Uv-IgO3TlEka4UH-RPqNUUB4Wz39HzfAtTeyeiI8yGeNW77-O6ufEfkxkw4mev8iP9SoKvi=w1200|https://lh3.googleusercontent.com/pw/AP1GczMEY5pmZSDndCbPXFgLaGQqNSGmIjcCnS4REgN_qF6RA_G4jSLI6VrkAV6krnwlva05h5dW0DXiMxWm0MgFl"&amp;"a6nfZCY7qniEJ8Hbz4oxOY25mPcHGTr=w1200|https://lh3.googleusercontent.com/pw/AP1GczNZoNXEgRcXi9OJXVV4QHq3lvGc_Vn6Uqah2PzXE3FtHzoPUabzxTZBcWgRwPk-P_C7fJKQvZgxayG7INWztvDPLq22y066V7FAaAz8avIg7PLDz7t5=w1200|https://lh3.googleusercontent.com/pw/AP1GczMbyqVsnjnp"&amp;"n0gjvxG1sJI94xD8igNCaNOhT5v4P1G_qDOwtIJq0ti33Wb6Jeia6ulbTZ2noUWQFbJpAOYP2esxg1gEbebllw_9DQoh47-IqDJn4mYy=w1200|https://lh3.googleusercontent.com/pw/AP1GczPx9FBAj9Q0s7qtP-uO08ZGd_YAoORLXy8oG76Nc4ct4NGocVDx2MHRpNir4J5CyPuSQOrK7EgUtC18JBRo-LEszI-u0n3YzRd7p8J"&amp;"sN18UU_5rGE5t=w1200|https://lh3.googleusercontent.com/pw/AP1GczOefUTvoAqa850Vgu0YHWDrtRZLV_AuLMVfyyhb1XADxbjH1HEwQshFvQkFdTwKbcPBMKCwN6yLKuc9WmetcTzCfsvOZAVL8SkjY80XNGqeii5M-vnE=w1200|https://lh3.googleusercontent.com/pw/AP1GczNQYkDLkV8GTzrmw3MFPgIXKPCd25"&amp;"jOzUiUQ3uDZ7WlwK3ldBN7ctp9cRnicNA4xACxzXjGleXV-oshHCsApZ4AES13sMOQw5jnDJ__FTAFmmTSibcL=w1200|https://lh3.googleusercontent.com/pw/AP1GczOXBbVQgfehE1AEHHAtG7MjBMdWbRZxpqBivXO4S_FinT70SsVQJv_t_jzcbIm4YsGxHQIK_0765M5UhMntScSQEpeFSh4ji8nuw6mY44uUjlkgev_q=w120"&amp;"0|https://lh3.googleusercontent.com/pw/AP1GczPePp2k-1a7w3rqR7L9QPDayNeQNlaQaLXOBbNfkrW-tf9n9k7yKSOGKVHLkPT5Qt0jcwRrQby5cXguLqAqScU9H5WKomOHVTtqmuklQmMN7SkYgODX=w1200|https://lh3.googleusercontent.com/pw/AP1GczO86-Gc5ji8RHhEINX0kAcQScVYKamvwoGw5s5kP1Q-27Q1"&amp;"jOJOFWAPIL9Qy79WGTTYXujxIU-vJbDA_HCGM_lgaLSLTqFzHr7-OEN9gznArOuoKO0E=w1200|https://lh3.googleusercontent.com/pw/AP1GczOzHN5tnJqHJ7l_-SA0RQAONFVjpWjAxii-9TZf_yM48jV4IxKo8jU1ifdmJ4KRRHdR5-ipkQYXwyovH9HQu98Vz-wJ6gF6wdQX_Ann3xmxzSreYohJ=w1200|https://lh3.goog"&amp;"leusercontent.com/pw/AP1GczMZ2aaUmJjTaYMqT-vJaSwJmtT8HOaP6xbJJ0pVwhgJjMhlM0NhcLoiozfO8XiQ5H3VjMlYyfVko5gHGyX9ciaDI0L1h61AAINcuHq5TT2CmN2AIpD9=w1200|https://lh3.googleusercontent.com/pw/AP1GczNxus02CQ_fX0eLGFU0bhgYtAQjNBMuZKHqR9TD32u3u-CPaDEXV4tqhoXlN3gtyr"&amp;"rvyH1hS7301a2dMryewIwWwBRw9HP24k8h3irJJeSHaVqWM0mn=w1200|https://lh3.googleusercontent.com/pw/AP1GczOADpNwObzqyG-Bjb3fHSuHbbSSHOJf6jFIe73hp-quybwVq3N5Es-Uf1uftrtsR9U1-PGXRgSRoslvcAusbAlqzVIFo3tda657ZDjFlESaufmU8JHQ=w1200|https://lh3.googleusercontent.com/"&amp;"pw/AP1GczNsXTbnIWqG87w_abU8VcSrhU5zT2gOLic3cG0fGXSlMpxU_hiGIsNI99979PwA0mL10oi6JfCS5ORjOlWj9x0JgqtPd_4DeBVKG6WwjVJ--VNQtfMg=w1200|https://lh3.googleusercontent.com/pw/AP1GczOcmZrKtOiCex9mHDi-0wqU_s3HIBPusKnVMYoDu1K1XHlkyt8QuavZbl8E-vQvNsEbQRaX7UEDIOPS_p1Q"&amp;"LsXetX0CrIsTYpfTHviW9NCkAX-kqpej=w1200|https://lh3.googleusercontent.com/pw/AP1GczN5W_tWq-ko9RPBLhHFExTqRHg3UcP4rflhk-0Rrb_RppIXNcNrxeVvzu133Yq4QCcds6HFiadVk3Tjew799lzLPeSFrcfsO0KRK58Xkd4ATF6y492y=w1200|https://lh3.googleusercontent.com/pw/AP1GczM7auI61jg"&amp;"BeIy03BRSLU7m5Xh9_0RDLx61JQdjaoBrbOStWw-sSI_Vxi7H6pvFnz5-lIKCTJeYEjp72T-Ji3PJSVGAOua6jp4rhsUBvnbDqE1Anpud=w1200|https://lh3.googleusercontent.com/pw/AP1GczMCDKOumOAcpkp-fQmnZAVIjPGN5SKjYCZ-aMajraG7Lm77Lqer9cq52-hpUEM7wk87ZAXRiSIpqwNP5A0r0CrpHFG3mCw3pP2F8N"&amp;"Zh5ela9OxpYEey=w1200|https://lh3.googleusercontent.com/pw/AP1GczOEGp4yKq7u6FKIRpmvT6-B_xRuy0qYQh-2wkXyWSAzwFhf-kqyf1-Jdolv9Uf37KE-kgLUDWYYbtEZYj5P4u1VGKitAzp1K8LvAdx906rssF2IOCVj=w1200|https://lh3.googleusercontent.com/pw/AP1GczNXdIGxS7jQt_wlLotjbwdsM8HZ8"&amp;"ogMHPnKijbcjs6M5YWX6kjW2JdSEmrsV5jLstEqWRZRw6kT7HrA9UKiIBTKyBO5xJI6Y6PSC5PGNxFi883NezqL=w1200|https://lh3.googleusercontent.com/pw/AP1GczMY87MMLdfJEpn3BFIziuMNDmUoj-LgpoVr9vnmTbKKPWjd__5ixmNjTzntcjeZgH9Fw9f5AJ7XVPkuX9cuMCG9bcDQUts6ub8uTAgcIcv_NWB7H4hL=w12"&amp;"00|https://lh3.googleusercontent.com/pw/AP1GczOvgnAFLhmd6HbSS45nTU0YuxqVyWLJkHFSQeUSp1IcildxPBftn5TDXCZx5QRdfzHjJGsJAH3_geMDU4p0ccq6EOVdbouECbfBC1-O4U3roqZ_D00M=w1200|https://lh3.googleusercontent.com/pw/AP1GczOVgZbkFkISEDeZTaey_Pf4v5PLO2Joj4q1-i5W_cEr-Iu"&amp;"MluyaFYBFhaYk05uhCg0fCzO9o1Vao4eDCME6pG1eeGnTpMQUUuZjbFnuVKJni5uk_VQS=w1200|https://lh3.googleusercontent.com/pw/AP1GczOozGyvCH_1j4Pjgo-gnKgV7-Fm0rojNGxo_Ftlow2ovt3P_tqpwhJrzqho04u6T0_xbqkEiTe2h9hhZHdaWb4PmcJoxfiTJGKywN2NrpFle9WcOOiM=w1200|https://lh3.goo"&amp;"gleusercontent.com/pw/AP1GczO_-FzkotRSQN2Pu7pwfVJWxmLZMB8T2El2ZILdNWs1gB443GP-lXOYWBLoiMT2rD5uDhQAocArIUloljeXv_jUFCQpl0ttb-ltX4x_yBUZ7VjtG6Kw=w1200|https://lh3.googleusercontent.com/pw/AP1GczOrDm4O_qmxOySduEWuYrf2KDW-SSYyuLcINvso7NEePIZ9NSJAHZ_MT1nqzQRk_"&amp;"J2USIiifLZly8SB233q6x5EI9BOvN9562LtYyb1-AInB-HVufn_=w1200|https://lh3.googleusercontent.com/pw/AP1GczOW8mSZwkuibDbVvVwE88kGrm13AR9Z4e43O2FdgaMIgkUtAf64DeBxj2F9uBX-7dgyZzoa2WVnDJLVDxymX2wA720LWDrDI6qi4IXckK4d1ZWzKMrB=w1200|https://lh3.googleusercontent.com"&amp;"/pw/AP1GczPW8hWSjny4ABHg9C7DpBbUudvGqqJuhOMQpL2DvIRJIIzx35WJxDtnTBK2eWUYPL0PvDBT_PteVygyJTZIAk4qpR59FhHx-OPyJ7TPTmk9RXXIPtbM=w1200|https://lh3.googleusercontent.com/pw/AP1GczNvxZ5AHL6CZxc5EshtCQWPHWkVzq3-dJnVxEUd3djFKfZJgAlY-PLgs6jWa_lSSrllQQfFQNyGiO092DL"&amp;"AL8UbuAPM0H1r2Nd7taXfuoN2-REmTT-m=w1200|https://lh3.googleusercontent.com/pw/AP1GczMqraacCcrT3BCBv2SKGsOW6LOyFbbBHF5bkoLsixbkNGAqB1xxQudc4nLAmMTCgyaAG0Medc6e_XcTDt5QxtHBxwYPU-9ZiONc9w4e4AOmH9cjcku2=w1200|https://lh3.googleusercontent.com/pw/AP1GczMYULLX3r"&amp;"D70ja6RZRl5KU0DJzJlTn3bCIaimA6xwmo4CmMfEdAiy50WaTiVBIHJ9LD2_RPj8Jh-LbIKtaSq0urCKRzyQZvNW7Ah3FdruwOGC3CbO5-=w1200")</f>
        <v>https://lh3.googleusercontent.com/pw/AP1GczPGKeqPmjLr4_d8pL7K8K0thFDgT--f2Xde6X7mtAoyWuXUSUAqzGDCitiJ087KjzntxT7sIs21gI4rrqS1Tk8-Tj9PQLXeaSUPd6WqeV3wP2swNqKh=w1200|https://lh3.googleusercontent.com/pw/AP1GczMr9nugT-muxI4wJrx8qbLwByTHEoahxIWvWKsdnWL0rQMAml6iqTYrBKIpQj7unB81cDCN7NMmolNPx6ZNjE_YVNnqnjUiZYLCEhyHUeBU1MRGOlih=w1200|https://lh3.googleusercontent.com/pw/AP1GczPYiiTwyMSv3grJK4FqMG1Fyt-CL1QgiSjSQnfUgH1s94AkSBnilBePH70yWBLkOepyxnmDm3V6Ri29ZeFdo61EJmwqxtK_lUskT8vHgYaordLqSutJ=w1200|https://lh3.googleusercontent.com/pw/AP1GczNuRZf9GtWNCRwJ4CEl1TUTdx1Gxd-hrbk0vJNHNVns70Sns5RfTGX_9cdbgcFeRWL39iUNyrHa8ELq3azaPSY1XO_ldrTIxLPlZwOAF_aXccihpl52=w1200|https://lh3.googleusercontent.com/pw/AP1GczMVnWWzThHkXi1OMfI4oWd18Y1OLlRqZhvqGop0n0-BGHzUMtM86nguqIVpcMyG8VbQ2JNTQrBuOLUJr87_xPBt0QVURSYO9p-a9zYS8-obJ_rATQS8=w1200|https://lh3.googleusercontent.com/pw/AP1GczOIRUtHbbIGA3JyYrxismBkJuC6Kfx9bSbNvShgEDiihib73Xu1tVtE9ldIyj9xFtlaG78AjjivGe5MXwleT5UDZYMarcd_4VmbLf7DZ16KUfFT-S-P=w1200|https://lh3.googleusercontent.com/pw/AP1GczMa8tv0xacmeJanyOK7iTp_W7_OWY4chslc8u8R0ZBkMSoMaifHXTkodKuvsISrqeAv9Gr0omtyMjsB8rdMHu10hnpXvi2RpLDHyWc8oJVHpRtFkEZ7=w1200|https://lh3.googleusercontent.com/pw/AP1GczN5Gj7Bo2toiZjzc_Oe6Eftp7gEvYg8Irc4m8MK7-cqk8JjYgVeL6pHMzxlqeIBvvmlwASLIbKIbVklBTk_oNd7PJ5WLi6XhdvSPn2DodVYZWNAFS_i=w1200|https://lh3.googleusercontent.com/pw/AP1GczN50vHpheq9Og7SH6F2yPhSRa0RLW1FTUIb_JtI4QmIkJ3uMCdz1yLxjQt89_17zN-kbQ1N9h5AYdJy8zolj-98otaJLW-WuXRTSV00Rd56kyzw7T65=w1200|https://lh3.googleusercontent.com/pw/AP1GczMquhBM586gORrHttrmtZGkRpAfX0S5IQeyZYc-ClalyGk0mHQebH4ZzG6iTiHlgRZTesXfk6uB3rr390CoeNFibltyD-Fo6DJ90Xf1ByQV6koZ6jzB=w1200|https://lh3.googleusercontent.com/pw/AP1GczNe7q5Cl8KQjjwHDtSnpGSqzRlEla0ZbTWNOicnBCjIImu6CgCp5y3jYMhaSSNlMsZH13jGvbLAIoJ9Hqzxu8rV_XOjT68l6mvVr9MmT3RL8n8y0-P0=w1200|https://lh3.googleusercontent.com/pw/AP1GczNZr0BaR1lSB5_fHZ6k6U3Whaf9bo1nf_g6P3AKXrpQMhjVCxa2U4wsAo3pP-oCaIwuIJNxZiSvxk4hOcdzehE59w-fGzocbP5SSbBbk367ummrwnma=w1200|https://lh3.googleusercontent.com/pw/AP1GczPXBce9WEM6eIxdh7FAm4x7vmYtK7vmdCpqY8Dso_MIeyI8Mf2s_EQNBgXlisz6Ed_I1fWfm1AK8DyIj80VSscypZvV0YEFRn_0jiZepdk8Xo4UygFG=w1200|https://lh3.googleusercontent.com/pw/AP1GczOrp7ww05n-sXVR8O1mLlbeVZMCMc4idRkoxmPKr9KFmJaFa3Ap_wXhkspqtu2dvX1c9Zo6y2My_cGA466lmMmqVGDsBa318FAzCJg0rsRUfMN2GEa8=w1200|https://lh3.googleusercontent.com/pw/AP1GczM7lBdY9qCPhY17-MpkEgAr_jCPcV91a4AS6OkF6NMpbYM0ZT56Ai4SKPfqla3Toq_Cu_eb1mNlocaEaJoGnuTVWUsMlJdP2PK5i_mjL7d_wb3TPvDX=w1200|https://lh3.googleusercontent.com/pw/AP1GczPHARuBvaDhq3BgcKYgXXyT8sBQP4jdpGNJVGhowlEKrLq78tMKdhWi7BMZIQCG7zwOxxe5dtVEelVMPq7wKy0STh_hd3A3V_-Mt2TW_dqbWIMtOJk0=w1200|https://lh3.googleusercontent.com/pw/AP1GczOXgZueVI8k1QMcsWvy7SDHwj7vFCZAsfm9B9fGWd3SId3BSjla9ODJQ_97n5YAGIn548h6rQZ9fPuoibLs0YQxZfXJjLVPaEn_f4_nTKrJodL12-eX=w1200|https://lh3.googleusercontent.com/pw/AP1GczN0KKL1Yeh9WtC7ROlsdjCkpMLmK8ld0x9sseUL61akQiffc0HEJQHVbeUe_kRMFNjLLAE5WOhJ-zhAcS40FvVEqpgVaNl-abpFzIQ54MpMO4B8dS0O=w1200|https://lh3.googleusercontent.com/pw/AP1GczN4zjUb8TVM6YjqXmJewRK6lVPmeU5cu37I200ohgbxL7KOMrFQ7X2Gkrn9XWSdPjYnvEvIGHsmvQRIJjHARBg2d2gyUMjDVbBv6egioGig4nUnJSZ6=w1200|https://lh3.googleusercontent.com/pw/AP1GczOQAR1xkWQtXIk50TAnjTerPxjTWaeqCOHuUCePTcVD17hjzx1GN63IZxhbuRL7W7X1avZXfnosxK0rmOke5WTHAuinhivbnbRilPhHhp-E6od6elfz=w1200|https://lh3.googleusercontent.com/pw/AP1GczMxSvunq73_qX9CtfpqTcqVN_hO5sYVVl65c-QABEk--Uv-IgO3TlEka4UH-RPqNUUB4Wz39HzfAtTeyeiI8yGeNW77-O6ufEfkxkw4mev8iP9SoKvi=w1200|https://lh3.googleusercontent.com/pw/AP1GczMEY5pmZSDndCbPXFgLaGQqNSGmIjcCnS4REgN_qF6RA_G4jSLI6VrkAV6krnwlva05h5dW0DXiMxWm0MgFla6nfZCY7qniEJ8Hbz4oxOY25mPcHGTr=w1200|https://lh3.googleusercontent.com/pw/AP1GczNZoNXEgRcXi9OJXVV4QHq3lvGc_Vn6Uqah2PzXE3FtHzoPUabzxTZBcWgRwPk-P_C7fJKQvZgxayG7INWztvDPLq22y066V7FAaAz8avIg7PLDz7t5=w1200|https://lh3.googleusercontent.com/pw/AP1GczMbyqVsnjnpn0gjvxG1sJI94xD8igNCaNOhT5v4P1G_qDOwtIJq0ti33Wb6Jeia6ulbTZ2noUWQFbJpAOYP2esxg1gEbebllw_9DQoh47-IqDJn4mYy=w1200|https://lh3.googleusercontent.com/pw/AP1GczPx9FBAj9Q0s7qtP-uO08ZGd_YAoORLXy8oG76Nc4ct4NGocVDx2MHRpNir4J5CyPuSQOrK7EgUtC18JBRo-LEszI-u0n3YzRd7p8JsN18UU_5rGE5t=w1200|https://lh3.googleusercontent.com/pw/AP1GczOefUTvoAqa850Vgu0YHWDrtRZLV_AuLMVfyyhb1XADxbjH1HEwQshFvQkFdTwKbcPBMKCwN6yLKuc9WmetcTzCfsvOZAVL8SkjY80XNGqeii5M-vnE=w1200|https://lh3.googleusercontent.com/pw/AP1GczNQYkDLkV8GTzrmw3MFPgIXKPCd25jOzUiUQ3uDZ7WlwK3ldBN7ctp9cRnicNA4xACxzXjGleXV-oshHCsApZ4AES13sMOQw5jnDJ__FTAFmmTSibcL=w1200|https://lh3.googleusercontent.com/pw/AP1GczOXBbVQgfehE1AEHHAtG7MjBMdWbRZxpqBivXO4S_FinT70SsVQJv_t_jzcbIm4YsGxHQIK_0765M5UhMntScSQEpeFSh4ji8nuw6mY44uUjlkgev_q=w1200|https://lh3.googleusercontent.com/pw/AP1GczPePp2k-1a7w3rqR7L9QPDayNeQNlaQaLXOBbNfkrW-tf9n9k7yKSOGKVHLkPT5Qt0jcwRrQby5cXguLqAqScU9H5WKomOHVTtqmuklQmMN7SkYgODX=w1200|https://lh3.googleusercontent.com/pw/AP1GczO86-Gc5ji8RHhEINX0kAcQScVYKamvwoGw5s5kP1Q-27Q1jOJOFWAPIL9Qy79WGTTYXujxIU-vJbDA_HCGM_lgaLSLTqFzHr7-OEN9gznArOuoKO0E=w1200|https://lh3.googleusercontent.com/pw/AP1GczOzHN5tnJqHJ7l_-SA0RQAONFVjpWjAxii-9TZf_yM48jV4IxKo8jU1ifdmJ4KRRHdR5-ipkQYXwyovH9HQu98Vz-wJ6gF6wdQX_Ann3xmxzSreYohJ=w1200|https://lh3.googleusercontent.com/pw/AP1GczMZ2aaUmJjTaYMqT-vJaSwJmtT8HOaP6xbJJ0pVwhgJjMhlM0NhcLoiozfO8XiQ5H3VjMlYyfVko5gHGyX9ciaDI0L1h61AAINcuHq5TT2CmN2AIpD9=w1200|https://lh3.googleusercontent.com/pw/AP1GczNxus02CQ_fX0eLGFU0bhgYtAQjNBMuZKHqR9TD32u3u-CPaDEXV4tqhoXlN3gtyrrvyH1hS7301a2dMryewIwWwBRw9HP24k8h3irJJeSHaVqWM0mn=w1200|https://lh3.googleusercontent.com/pw/AP1GczOADpNwObzqyG-Bjb3fHSuHbbSSHOJf6jFIe73hp-quybwVq3N5Es-Uf1uftrtsR9U1-PGXRgSRoslvcAusbAlqzVIFo3tda657ZDjFlESaufmU8JHQ=w1200|https://lh3.googleusercontent.com/pw/AP1GczNsXTbnIWqG87w_abU8VcSrhU5zT2gOLic3cG0fGXSlMpxU_hiGIsNI99979PwA0mL10oi6JfCS5ORjOlWj9x0JgqtPd_4DeBVKG6WwjVJ--VNQtfMg=w1200|https://lh3.googleusercontent.com/pw/AP1GczOcmZrKtOiCex9mHDi-0wqU_s3HIBPusKnVMYoDu1K1XHlkyt8QuavZbl8E-vQvNsEbQRaX7UEDIOPS_p1QLsXetX0CrIsTYpfTHviW9NCkAX-kqpej=w1200|https://lh3.googleusercontent.com/pw/AP1GczN5W_tWq-ko9RPBLhHFExTqRHg3UcP4rflhk-0Rrb_RppIXNcNrxeVvzu133Yq4QCcds6HFiadVk3Tjew799lzLPeSFrcfsO0KRK58Xkd4ATF6y492y=w1200|https://lh3.googleusercontent.com/pw/AP1GczM7auI61jgBeIy03BRSLU7m5Xh9_0RDLx61JQdjaoBrbOStWw-sSI_Vxi7H6pvFnz5-lIKCTJeYEjp72T-Ji3PJSVGAOua6jp4rhsUBvnbDqE1Anpud=w1200|https://lh3.googleusercontent.com/pw/AP1GczMCDKOumOAcpkp-fQmnZAVIjPGN5SKjYCZ-aMajraG7Lm77Lqer9cq52-hpUEM7wk87ZAXRiSIpqwNP5A0r0CrpHFG3mCw3pP2F8NZh5ela9OxpYEey=w1200|https://lh3.googleusercontent.com/pw/AP1GczOEGp4yKq7u6FKIRpmvT6-B_xRuy0qYQh-2wkXyWSAzwFhf-kqyf1-Jdolv9Uf37KE-kgLUDWYYbtEZYj5P4u1VGKitAzp1K8LvAdx906rssF2IOCVj=w1200|https://lh3.googleusercontent.com/pw/AP1GczNXdIGxS7jQt_wlLotjbwdsM8HZ8ogMHPnKijbcjs6M5YWX6kjW2JdSEmrsV5jLstEqWRZRw6kT7HrA9UKiIBTKyBO5xJI6Y6PSC5PGNxFi883NezqL=w1200|https://lh3.googleusercontent.com/pw/AP1GczMY87MMLdfJEpn3BFIziuMNDmUoj-LgpoVr9vnmTbKKPWjd__5ixmNjTzntcjeZgH9Fw9f5AJ7XVPkuX9cuMCG9bcDQUts6ub8uTAgcIcv_NWB7H4hL=w1200|https://lh3.googleusercontent.com/pw/AP1GczOvgnAFLhmd6HbSS45nTU0YuxqVyWLJkHFSQeUSp1IcildxPBftn5TDXCZx5QRdfzHjJGsJAH3_geMDU4p0ccq6EOVdbouECbfBC1-O4U3roqZ_D00M=w1200|https://lh3.googleusercontent.com/pw/AP1GczOVgZbkFkISEDeZTaey_Pf4v5PLO2Joj4q1-i5W_cEr-IuMluyaFYBFhaYk05uhCg0fCzO9o1Vao4eDCME6pG1eeGnTpMQUUuZjbFnuVKJni5uk_VQS=w1200|https://lh3.googleusercontent.com/pw/AP1GczOozGyvCH_1j4Pjgo-gnKgV7-Fm0rojNGxo_Ftlow2ovt3P_tqpwhJrzqho04u6T0_xbqkEiTe2h9hhZHdaWb4PmcJoxfiTJGKywN2NrpFle9WcOOiM=w1200|https://lh3.googleusercontent.com/pw/AP1GczO_-FzkotRSQN2Pu7pwfVJWxmLZMB8T2El2ZILdNWs1gB443GP-lXOYWBLoiMT2rD5uDhQAocArIUloljeXv_jUFCQpl0ttb-ltX4x_yBUZ7VjtG6Kw=w1200|https://lh3.googleusercontent.com/pw/AP1GczOrDm4O_qmxOySduEWuYrf2KDW-SSYyuLcINvso7NEePIZ9NSJAHZ_MT1nqzQRk_J2USIiifLZly8SB233q6x5EI9BOvN9562LtYyb1-AInB-HVufn_=w1200|https://lh3.googleusercontent.com/pw/AP1GczOW8mSZwkuibDbVvVwE88kGrm13AR9Z4e43O2FdgaMIgkUtAf64DeBxj2F9uBX-7dgyZzoa2WVnDJLVDxymX2wA720LWDrDI6qi4IXckK4d1ZWzKMrB=w1200|https://lh3.googleusercontent.com/pw/AP1GczPW8hWSjny4ABHg9C7DpBbUudvGqqJuhOMQpL2DvIRJIIzx35WJxDtnTBK2eWUYPL0PvDBT_PteVygyJTZIAk4qpR59FhHx-OPyJ7TPTmk9RXXIPtbM=w1200|https://lh3.googleusercontent.com/pw/AP1GczNvxZ5AHL6CZxc5EshtCQWPHWkVzq3-dJnVxEUd3djFKfZJgAlY-PLgs6jWa_lSSrllQQfFQNyGiO092DLAL8UbuAPM0H1r2Nd7taXfuoN2-REmTT-m=w1200|https://lh3.googleusercontent.com/pw/AP1GczMqraacCcrT3BCBv2SKGsOW6LOyFbbBHF5bkoLsixbkNGAqB1xxQudc4nLAmMTCgyaAG0Medc6e_XcTDt5QxtHBxwYPU-9ZiONc9w4e4AOmH9cjcku2=w1200|https://lh3.googleusercontent.com/pw/AP1GczMYULLX3rD70ja6RZRl5KU0DJzJlTn3bCIaimA6xwmo4CmMfEdAiy50WaTiVBIHJ9LD2_RPj8Jh-LbIKtaSq0urCKRzyQZvNW7Ah3FdruwOGC3CbO5-=w1200</v>
      </c>
      <c r="AJ237" s="46"/>
      <c r="AK237" s="46"/>
      <c r="AL237" s="46"/>
      <c r="AM237" s="46"/>
      <c r="AN237" s="46"/>
      <c r="AO237" s="46"/>
      <c r="AP237" s="46"/>
      <c r="AQ237" s="46"/>
      <c r="AR237" s="46"/>
      <c r="AS237" s="46"/>
      <c r="AT237" s="46"/>
      <c r="AU237" s="46"/>
      <c r="AV237" s="46"/>
      <c r="AW237" s="46"/>
      <c r="AX237" s="46"/>
      <c r="AY237" s="46"/>
      <c r="AZ237" s="46"/>
      <c r="BA237" s="46"/>
      <c r="BB237" s="46"/>
      <c r="BC237" s="46"/>
      <c r="BD237" s="46"/>
      <c r="BE237" s="46"/>
      <c r="BF237" s="46"/>
      <c r="BG237" s="46"/>
      <c r="BH237" s="46"/>
      <c r="BI237" s="46"/>
      <c r="BJ237" s="46"/>
      <c r="BK237" s="46"/>
      <c r="BL237" s="46"/>
      <c r="BM237" s="46"/>
      <c r="BN237" s="46"/>
      <c r="BO237" s="46"/>
      <c r="BP237" s="46"/>
      <c r="BQ237" s="46"/>
      <c r="BR237" s="46"/>
      <c r="BS237" s="46"/>
      <c r="BT237" s="46"/>
      <c r="BU237" s="46"/>
      <c r="BV237" s="46"/>
      <c r="BW237" s="46"/>
      <c r="BX237" s="46"/>
      <c r="BY237" s="46"/>
      <c r="BZ237" s="46"/>
      <c r="CA237" s="46"/>
      <c r="CB237" s="46"/>
      <c r="CC237" s="46"/>
    </row>
    <row r="238">
      <c r="A238" s="87" t="str">
        <f>IFERROR(__xludf.DUMMYFUNCTION("""COMPUTED_VALUE"""),"280")</f>
        <v>280</v>
      </c>
      <c r="B238" s="46" t="str">
        <f>IFERROR(__xludf.DUMMYFUNCTION("""COMPUTED_VALUE"""),"Apartamento en edificio Mirador de la Toma")</f>
        <v>Apartamento en edificio Mirador de la Toma</v>
      </c>
      <c r="C238" s="46" t="str">
        <f>IFERROR(__xludf.DUMMYFUNCTION("""COMPUTED_VALUE"""),"Apartamento")</f>
        <v>Apartamento</v>
      </c>
      <c r="D238" s="46" t="str">
        <f>IFERROR(__xludf.DUMMYFUNCTION("""COMPUTED_VALUE"""),"Centro")</f>
        <v>Centro</v>
      </c>
      <c r="E238" s="90"/>
      <c r="F238" s="90">
        <f>IFERROR(__xludf.DUMMYFUNCTION("""COMPUTED_VALUE"""),4.2E8)</f>
        <v>420000000</v>
      </c>
      <c r="G238" s="46" t="str">
        <f>IFERROR(__xludf.DUMMYFUNCTION("""COMPUTED_VALUE"""),"$400'000.000 a $500'000.000")</f>
        <v>$400'000.000 a $500'000.000</v>
      </c>
      <c r="H238" s="46"/>
      <c r="I238" s="46"/>
      <c r="J238" s="46" t="str">
        <f>IFERROR(__xludf.DUMMYFUNCTION("""COMPUTED_VALUE"""),"Centro")</f>
        <v>Centro</v>
      </c>
      <c r="K238" s="87"/>
      <c r="L238" s="46">
        <f>IFERROR(__xludf.DUMMYFUNCTION("""COMPUTED_VALUE"""),3.0)</f>
        <v>3</v>
      </c>
      <c r="M238" s="46"/>
      <c r="N238" s="46">
        <f>IFERROR(__xludf.DUMMYFUNCTION("""COMPUTED_VALUE"""),2.0)</f>
        <v>2</v>
      </c>
      <c r="O238" s="46">
        <f>IFERROR(__xludf.DUMMYFUNCTION("""COMPUTED_VALUE"""),1.0)</f>
        <v>1</v>
      </c>
      <c r="P238" s="46">
        <f>IFERROR(__xludf.DUMMYFUNCTION("""COMPUTED_VALUE"""),6.0)</f>
        <v>6</v>
      </c>
      <c r="Q238" s="92">
        <f>IFERROR(__xludf.DUMMYFUNCTION("""COMPUTED_VALUE"""),89.75)</f>
        <v>89.75</v>
      </c>
      <c r="R238" s="92">
        <f>IFERROR(__xludf.DUMMYFUNCTION("""COMPUTED_VALUE"""),89.75)</f>
        <v>89.75</v>
      </c>
      <c r="S238" s="87" t="str">
        <f>IFERROR(__xludf.DUMMYFUNCTION("""COMPUTED_VALUE""")," ")</f>
        <v> </v>
      </c>
      <c r="T238" s="46" t="str">
        <f>IFERROR(__xludf.DUMMYFUNCTION("""COMPUTED_VALUE"""),"Neiva")</f>
        <v>Neiva</v>
      </c>
      <c r="U238" s="87" t="str">
        <f>IFERROR(__xludf.DUMMYFUNCTION("""COMPUTED_VALUE"""),"5")</f>
        <v>5</v>
      </c>
      <c r="V238" s="46" t="str">
        <f>IFERROR(__xludf.DUMMYFUNCTION("""COMPUTED_VALUE"""),"6to.")</f>
        <v>6to.</v>
      </c>
      <c r="W238" s="46"/>
      <c r="X238" s="46">
        <f>IFERROR(__xludf.DUMMYFUNCTION("""COMPUTED_VALUE"""),3.0)</f>
        <v>3</v>
      </c>
      <c r="Y238" s="46" t="str">
        <f>IFERROR(__xludf.DUMMYFUNCTION("""COMPUTED_VALUE"""),"Social")</f>
        <v>Social</v>
      </c>
      <c r="Z238" s="90">
        <f>IFERROR(__xludf.DUMMYFUNCTION("""COMPUTED_VALUE"""),432000.0)</f>
        <v>432000</v>
      </c>
      <c r="AA238" s="33" t="str">
        <f>IFERROR(__xludf.DUMMYFUNCTION("""COMPUTED_VALUE"""),"No aplica")</f>
        <v>No aplica</v>
      </c>
      <c r="AB238" s="144" t="str">
        <f>IFERROR(__xludf.DUMMYFUNCTION("""COMPUTED_VALUE"""),"https://photos.app.goo.gl/2hEdEiHSJQdkBDuu7")</f>
        <v>https://photos.app.goo.gl/2hEdEiHSJQdkBDuu7</v>
      </c>
      <c r="AC238" s="46" t="str">
        <f>IFERROR(__xludf.DUMMYFUNCTION("""COMPUTED_VALUE"""),"Cuenta con excelentes acabados, con depósito, puntos para aire acondicionado y planta eléctrica.")</f>
        <v>Cuenta con excelentes acabados, con depósito, puntos para aire acondicionado y planta eléctrica.</v>
      </c>
      <c r="AD238" s="46" t="str">
        <f>IFERROR(__xludf.DUMMYFUNCTION("""COMPUTED_VALUE"""),"Edificio ubicado sobra La Toma con carrera 6. Edificio con 13 pisos. Antigüedad 8 años.")</f>
        <v>Edificio ubicado sobra La Toma con carrera 6. Edificio con 13 pisos. Antigüedad 8 años.</v>
      </c>
      <c r="AE238" s="46"/>
      <c r="AF238" s="46" t="str">
        <f>IFERROR(__xludf.DUMMYFUNCTION("""COMPUTED_VALUE"""),"integral")</f>
        <v>integral</v>
      </c>
      <c r="AG238" s="46"/>
      <c r="AH238" s="46" t="str">
        <f>IFERROR(__xludf.DUMMYFUNCTION("""COMPUTED_VALUE"""),"Verbal")</f>
        <v>Verbal</v>
      </c>
      <c r="AI238" s="92" t="str">
        <f>IFERROR(__xludf.DUMMYFUNCTION("""COMPUTED_VALUE"""),"https://lh3.googleusercontent.com/pw/AP1GczOocNYML_BlbYKwbKOxHAVB9lcTZPX6gwTvFRIVTqgLl7Mq5SZfqIQhHz7gDzf0h5ryFezQAnOgmGKTliNsjsWZo9_Ao0-kXujcqAsF0QZe501zpMNc=w1200|https://lh3.googleusercontent.com/pw/AP1GczORp5eU8cCjI1XUqYNBRD2q-HjJkGuEyXwETWH45KO45qWvsA"&amp;"cQZgI3k3SW-UjDcZd36bA93sKGAJ_fl-RpMeFJLY8JOdUDj4YTdtv_dEKe8Zo6wEMy=w1200|https://lh3.googleusercontent.com/pw/AP1GczPOMSjRRLJm2TYy16O26kBCvwp-ayrRSSDxXvdST4iZtN9UJT-fvXLnLojxQh_OvObiF39Z2AXkfIrl6d93ObyH8W6YDO8LeqdItpHRleI1_TLina-N=w1200|https://lh3.google"&amp;"usercontent.com/pw/AP1GczNZHyDyC2y4wlvl4ze9McKr0pkBgrnEiTO1f5MjEUdol8-qGhq810mAyN2IRCiURA5yeT2Qs1OOftK4DVksuDg5Ii1H5RgBk2bIbFXm2JrMQeevjsTJ=w1200|https://lh3.googleusercontent.com/pw/AP1GczMmjQi-dohatkKOwcM-HI_MVCrYhreS7m-AUz48U6fXF1D_puji7fl6_9DN8drWrBXk"&amp;"lVZSkjMDxmkZD0cn0PEfboO0juL0CQpnUtFsySjiLju1Xg_G=w1200|https://lh3.googleusercontent.com/pw/AP1GczPP-vBaHuTTKLoHrEwnN0-qxsEE2bwOUQbm-YyK4Ef9L_jJ2zUPCh_sMB5lnFxJzLjPGoqGRRm6AytcTDuundCcRL1LAEy0SxF1MFpCWtFEyw-RU-6p=w1200|https://lh3.googleusercontent.com/pw"&amp;"/AP1GczNx3ieFBc7yXN0e39A_2wmzx8JJD1G7KGfvr6BV14gkoI3MYWyUFR6UwjPfZLQvGaThox0ht8xuat4gbM6szBT0NK_x7ANEugVmv_RirskUeGqeaihU=w1200|https://lh3.googleusercontent.com/pw/AP1GczOstY7LITCRApwdaFCy8hMhHhR0T3FWYE39GwNud0XXd3RHP2GYbSOdzqnJmYUC8e2rWpLVSaZDGwadM4kl5h"&amp;"2tTSS5UovWeA-yLXOf4RU6JXMHXT5Y=w1200|https://lh3.googleusercontent.com/pw/AP1GczNxFf_i6LkGkGMDk_5d5slP2HSq7KcpH8r3JPYK1vn6AOyEoP6EpD0-pZiC2ig4eDZxJ5ulV5C6rFuTGP_VTFizKSNTL7pXWckbtXYr7CTxDAK3ZGug=w1200|https://lh3.googleusercontent.com/pw/AP1GczM6fKxpxt5Jn"&amp;"deKdB5SxCoOC8OvqzVrcqiXWVfqUgxp6n6fZziliTTsyEEf669WwJk9mcY16-l9yGfZrEzWZqV9IHgHp5JodtsbcetwfmStlpg-Ae1n=w1200|https://lh3.googleusercontent.com/pw/AP1GczOHdpuNS7KRcW0ujdyG0d5FsUj8hlHoDAoBsQyywImT9NEKs8XX8nvtUVrs9Clive78moDalC2HJqTicTP5z__VQF2bGczPKNTgIaXm"&amp;"sCv8lirjUhzS=w1200|https://lh3.googleusercontent.com/pw/AP1GczP7-KHlXgxftyzuTeEDrE-LN6gfzIR1HNcsp_6Ds-qcxLP75VL8LHxQPgRviKFvGK8hgp7ger6o386zZM2PuEtjXQTromLEjKf2pxApR2qLEONE2T8w=w1200")</f>
        <v>https://lh3.googleusercontent.com/pw/AP1GczOocNYML_BlbYKwbKOxHAVB9lcTZPX6gwTvFRIVTqgLl7Mq5SZfqIQhHz7gDzf0h5ryFezQAnOgmGKTliNsjsWZo9_Ao0-kXujcqAsF0QZe501zpMNc=w1200|https://lh3.googleusercontent.com/pw/AP1GczORp5eU8cCjI1XUqYNBRD2q-HjJkGuEyXwETWH45KO45qWvsAcQZgI3k3SW-UjDcZd36bA93sKGAJ_fl-RpMeFJLY8JOdUDj4YTdtv_dEKe8Zo6wEMy=w1200|https://lh3.googleusercontent.com/pw/AP1GczPOMSjRRLJm2TYy16O26kBCvwp-ayrRSSDxXvdST4iZtN9UJT-fvXLnLojxQh_OvObiF39Z2AXkfIrl6d93ObyH8W6YDO8LeqdItpHRleI1_TLina-N=w1200|https://lh3.googleusercontent.com/pw/AP1GczNZHyDyC2y4wlvl4ze9McKr0pkBgrnEiTO1f5MjEUdol8-qGhq810mAyN2IRCiURA5yeT2Qs1OOftK4DVksuDg5Ii1H5RgBk2bIbFXm2JrMQeevjsTJ=w1200|https://lh3.googleusercontent.com/pw/AP1GczMmjQi-dohatkKOwcM-HI_MVCrYhreS7m-AUz48U6fXF1D_puji7fl6_9DN8drWrBXklVZSkjMDxmkZD0cn0PEfboO0juL0CQpnUtFsySjiLju1Xg_G=w1200|https://lh3.googleusercontent.com/pw/AP1GczPP-vBaHuTTKLoHrEwnN0-qxsEE2bwOUQbm-YyK4Ef9L_jJ2zUPCh_sMB5lnFxJzLjPGoqGRRm6AytcTDuundCcRL1LAEy0SxF1MFpCWtFEyw-RU-6p=w1200|https://lh3.googleusercontent.com/pw/AP1GczNx3ieFBc7yXN0e39A_2wmzx8JJD1G7KGfvr6BV14gkoI3MYWyUFR6UwjPfZLQvGaThox0ht8xuat4gbM6szBT0NK_x7ANEugVmv_RirskUeGqeaihU=w1200|https://lh3.googleusercontent.com/pw/AP1GczOstY7LITCRApwdaFCy8hMhHhR0T3FWYE39GwNud0XXd3RHP2GYbSOdzqnJmYUC8e2rWpLVSaZDGwadM4kl5h2tTSS5UovWeA-yLXOf4RU6JXMHXT5Y=w1200|https://lh3.googleusercontent.com/pw/AP1GczNxFf_i6LkGkGMDk_5d5slP2HSq7KcpH8r3JPYK1vn6AOyEoP6EpD0-pZiC2ig4eDZxJ5ulV5C6rFuTGP_VTFizKSNTL7pXWckbtXYr7CTxDAK3ZGug=w1200|https://lh3.googleusercontent.com/pw/AP1GczM6fKxpxt5JndeKdB5SxCoOC8OvqzVrcqiXWVfqUgxp6n6fZziliTTsyEEf669WwJk9mcY16-l9yGfZrEzWZqV9IHgHp5JodtsbcetwfmStlpg-Ae1n=w1200|https://lh3.googleusercontent.com/pw/AP1GczOHdpuNS7KRcW0ujdyG0d5FsUj8hlHoDAoBsQyywImT9NEKs8XX8nvtUVrs9Clive78moDalC2HJqTicTP5z__VQF2bGczPKNTgIaXmsCv8lirjUhzS=w1200|https://lh3.googleusercontent.com/pw/AP1GczP7-KHlXgxftyzuTeEDrE-LN6gfzIR1HNcsp_6Ds-qcxLP75VL8LHxQPgRviKFvGK8hgp7ger6o386zZM2PuEtjXQTromLEjKf2pxApR2qLEONE2T8w=w1200</v>
      </c>
      <c r="AJ238" s="46"/>
      <c r="AK238" s="46"/>
      <c r="AL238" s="46"/>
      <c r="AM238" s="46"/>
      <c r="AN238" s="46"/>
      <c r="AO238" s="46"/>
      <c r="AP238" s="46"/>
      <c r="AQ238" s="46"/>
      <c r="AR238" s="46"/>
      <c r="AS238" s="46"/>
      <c r="AT238" s="46"/>
      <c r="AU238" s="46"/>
      <c r="AV238" s="46"/>
      <c r="AW238" s="46"/>
      <c r="AX238" s="46"/>
      <c r="AY238" s="46"/>
      <c r="AZ238" s="46"/>
      <c r="BA238" s="46"/>
      <c r="BB238" s="46"/>
      <c r="BC238" s="46"/>
      <c r="BD238" s="46"/>
      <c r="BE238" s="46"/>
      <c r="BF238" s="46"/>
      <c r="BG238" s="46"/>
      <c r="BH238" s="46"/>
      <c r="BI238" s="46"/>
      <c r="BJ238" s="46"/>
      <c r="BK238" s="46"/>
      <c r="BL238" s="46"/>
      <c r="BM238" s="46"/>
      <c r="BN238" s="46"/>
      <c r="BO238" s="46"/>
      <c r="BP238" s="46"/>
      <c r="BQ238" s="46"/>
      <c r="BR238" s="46"/>
      <c r="BS238" s="46"/>
      <c r="BT238" s="46"/>
      <c r="BU238" s="46"/>
      <c r="BV238" s="46"/>
      <c r="BW238" s="46"/>
      <c r="BX238" s="46"/>
      <c r="BY238" s="46"/>
      <c r="BZ238" s="46"/>
      <c r="CA238" s="46"/>
      <c r="CB238" s="46"/>
      <c r="CC238" s="46"/>
    </row>
    <row r="239">
      <c r="A239" s="87" t="str">
        <f>IFERROR(__xludf.DUMMYFUNCTION("""COMPUTED_VALUE"""),"087")</f>
        <v>087</v>
      </c>
      <c r="B239" s="46" t="str">
        <f>IFERROR(__xludf.DUMMYFUNCTION("""COMPUTED_VALUE"""),"Casa en barrio Las Granjas")</f>
        <v>Casa en barrio Las Granjas</v>
      </c>
      <c r="C239" s="46" t="str">
        <f>IFERROR(__xludf.DUMMYFUNCTION("""COMPUTED_VALUE"""),"Casa")</f>
        <v>Casa</v>
      </c>
      <c r="D239" s="46" t="str">
        <f>IFERROR(__xludf.DUMMYFUNCTION("""COMPUTED_VALUE"""),"Las Granjas")</f>
        <v>Las Granjas</v>
      </c>
      <c r="E239" s="90" t="str">
        <f>IFERROR(__xludf.DUMMYFUNCTION("""COMPUTED_VALUE""")," ")</f>
        <v> </v>
      </c>
      <c r="F239" s="90">
        <f>IFERROR(__xludf.DUMMYFUNCTION("""COMPUTED_VALUE"""),4.0E8)</f>
        <v>400000000</v>
      </c>
      <c r="G239" s="46" t="str">
        <f>IFERROR(__xludf.DUMMYFUNCTION("""COMPUTED_VALUE"""),"$400'000.000 a $500'000.000")</f>
        <v>$400'000.000 a $500'000.000</v>
      </c>
      <c r="H239" s="46"/>
      <c r="I239" s="46"/>
      <c r="J239" s="46" t="str">
        <f>IFERROR(__xludf.DUMMYFUNCTION("""COMPUTED_VALUE"""),"Norte")</f>
        <v>Norte</v>
      </c>
      <c r="K239" s="87" t="str">
        <f>IFERROR(__xludf.DUMMYFUNCTION("""COMPUTED_VALUE"""),"2")</f>
        <v>2</v>
      </c>
      <c r="L239" s="46">
        <f>IFERROR(__xludf.DUMMYFUNCTION("""COMPUTED_VALUE"""),5.0)</f>
        <v>5</v>
      </c>
      <c r="M239" s="46"/>
      <c r="N239" s="46">
        <f>IFERROR(__xludf.DUMMYFUNCTION("""COMPUTED_VALUE"""),2.0)</f>
        <v>2</v>
      </c>
      <c r="O239" s="46">
        <f>IFERROR(__xludf.DUMMYFUNCTION("""COMPUTED_VALUE"""),3.0)</f>
        <v>3</v>
      </c>
      <c r="P239" s="46">
        <f>IFERROR(__xludf.DUMMYFUNCTION("""COMPUTED_VALUE"""),1.0)</f>
        <v>1</v>
      </c>
      <c r="Q239" s="92">
        <f>IFERROR(__xludf.DUMMYFUNCTION("""COMPUTED_VALUE"""),188.0)</f>
        <v>188</v>
      </c>
      <c r="R239" s="92">
        <f>IFERROR(__xludf.DUMMYFUNCTION("""COMPUTED_VALUE"""),188.1)</f>
        <v>188.1</v>
      </c>
      <c r="S239" s="87" t="str">
        <f>IFERROR(__xludf.DUMMYFUNCTION("""COMPUTED_VALUE"""),"Rentabilidad $800,000")</f>
        <v>Rentabilidad $800,000</v>
      </c>
      <c r="T239" s="46" t="str">
        <f>IFERROR(__xludf.DUMMYFUNCTION("""COMPUTED_VALUE"""),"Neiva")</f>
        <v>Neiva</v>
      </c>
      <c r="U239" s="87" t="str">
        <f>IFERROR(__xludf.DUMMYFUNCTION("""COMPUTED_VALUE"""),"2")</f>
        <v>2</v>
      </c>
      <c r="V239" s="46" t="str">
        <f>IFERROR(__xludf.DUMMYFUNCTION("""COMPUTED_VALUE"""),"Esquinera")</f>
        <v>Esquinera</v>
      </c>
      <c r="W239" s="46"/>
      <c r="X239" s="46">
        <f>IFERROR(__xludf.DUMMYFUNCTION("""COMPUTED_VALUE"""),2.0)</f>
        <v>2</v>
      </c>
      <c r="Y239" s="179" t="str">
        <f>IFERROR(__xludf.DUMMYFUNCTION("""COMPUTED_VALUE"""),"No tiene")</f>
        <v>No tiene</v>
      </c>
      <c r="Z239" s="90" t="str">
        <f>IFERROR(__xludf.DUMMYFUNCTION("""COMPUTED_VALUE"""),"No aplica")</f>
        <v>No aplica</v>
      </c>
      <c r="AA239" s="33" t="str">
        <f>IFERROR(__xludf.DUMMYFUNCTION("""COMPUTED_VALUE"""),"42 años")</f>
        <v>42 años</v>
      </c>
      <c r="AB239" s="144" t="str">
        <f>IFERROR(__xludf.DUMMYFUNCTION("""COMPUTED_VALUE"""),"https://photos.app.goo.gl/ckewZJV6TJD1E9vS8")</f>
        <v>https://photos.app.goo.gl/ckewZJV6TJD1E9vS8</v>
      </c>
      <c r="AC239" s="46" t="str">
        <f>IFERROR(__xludf.DUMMYFUNCTION("""COMPUTED_VALUE"""),"Casa en venta en el barrio Las Granjas al norte de Neiva, propiedad esquinera con excelente ubicación sobre vía amplia pavimentada. 5 habitaciones, 2 baños, 3 garajes y cocina integral en 188 m² construidos. Esta casa genera una rentabilidad de $800.000 m"&amp;"ensuales, convirtiéndola en una inversión inmobiliaria en Neiva con retorno en aproximadamente 42 años. Barrio Las Granjas es una de las zonas más consolidadas del norte de Neiva, con alta demanda de arriendo y valorización constante. Reja antejardín, bue"&amp;"nos acabados y escritura al día.")</f>
        <v>Casa en venta en el barrio Las Granjas al norte de Neiva, propiedad esquinera con excelente ubicación sobre vía amplia pavimentada. 5 habitaciones, 2 baños, 3 garajes y cocina integral en 188 m² construidos. Esta casa genera una rentabilidad de $800.000 mensuales, convirtiéndola en una inversión inmobiliaria en Neiva con retorno en aproximadamente 42 años. Barrio Las Granjas es una de las zonas más consolidadas del norte de Neiva, con alta demanda de arriendo y valorización constante. Reja antejardín, buenos acabados y escritura al día.</v>
      </c>
      <c r="AD239" s="46" t="str">
        <f>IFERROR(__xludf.DUMMYFUNCTION("""COMPUTED_VALUE"""),"Casa en venta en barrio Las Granjas, Neiva norte. 5 habitaciones, 2 baños, 3 garajes, cocina integral. Casa esquinera sobre vía amplia pavimentada. Lote 9.50 x 18.80 ml, 188 m². Rentabilidad de $800.000 mensuales. Escritura al día. No se permuta.")</f>
        <v>Casa en venta en barrio Las Granjas, Neiva norte. 5 habitaciones, 2 baños, 3 garajes, cocina integral. Casa esquinera sobre vía amplia pavimentada. Lote 9.50 x 18.80 ml, 188 m². Rentabilidad de $800.000 mensuales. Escritura al día. No se permuta.</v>
      </c>
      <c r="AE239" s="46"/>
      <c r="AF239" s="46" t="str">
        <f>IFERROR(__xludf.DUMMYFUNCTION("""COMPUTED_VALUE"""),"integral")</f>
        <v>integral</v>
      </c>
      <c r="AG239" s="46"/>
      <c r="AH239" s="46" t="str">
        <f>IFERROR(__xludf.DUMMYFUNCTION("""COMPUTED_VALUE"""),"Verbal")</f>
        <v>Verbal</v>
      </c>
      <c r="AI239" s="46" t="str">
        <f>IFERROR(__xludf.DUMMYFUNCTION("""COMPUTED_VALUE"""),"https://lh3.googleusercontent.com/pw/AP1GczNM5mZXJY-T1OGjKaFs6Wx9klwtHHA2HJX2hTr_cP0KvP_BxX-R8Vbyz6QGZcULb057PkdvPuXmS5srKJv2VpWCyisrH_NVOQw7zLxWvS12vmFRPZF5=w1200|https://lh3.googleusercontent.com/pw/AP1GczMJuYCl80pNh-2cUE1pVrJieU1ZDP4cjGIGVcFY568Rl15cl8"&amp;"V1Hq80mpBeS3-b6AR0JG--pAx_qTsr1LVU4nI6ODsbe60jz30Z6bE5UqORFdBydU8w=w1200|https://lh3.googleusercontent.com/pw/AP1GczPMwMuflB9IxgDM--xLKBz30b5Ynama6CqQw2clAjpUAeXn_lqENUI9hYmBFl8ez5JvWz4448cxAht9ng20dPTy916DzmNm4pGdaZzTZ3SUz2vVjsqF=w1200|https://lh3.google"&amp;"usercontent.com/pw/AP1GczObrKDR_AnZjv6DnhFVxm5kV2A8xBN2OliCSZI6-zIoWZQSXtsgR-FpFZAq43lT5vKut2tSTFdZANZNwV7ZPKVplxHUy4M2cLYK06wdrUaEiaAZb7jm=w1200|https://lh3.googleusercontent.com/pw/AP1GczO48UaprEl2RsT07wrYlsmDCtVT1Qflz7VQDMoCs3zCpQqwLuOTrPqlKPFzBAz9xTZs"&amp;"46c2oZRkwG_lf_j4f6uHM-nhAI7PAi_OGHzFpCtePBoZPjUl=w1200|https://lh3.googleusercontent.com/pw/AP1GczPt6MggSidCqHaaO_HZKueSaW7T_si6ZI7-hu-RJkaKcdAP1ZzQzGaR5dX07rTuTfmUreixjvPFp1CiVCK65pdOG-AAMQ6zyOMJkV2TErau99YY0Tip=w1200|https://lh3.googleusercontent.com/pw"&amp;"/AP1GczPkFVsHY519LJ5KlXT2N9VmRfc27KlJD4qlnFn4z_qXxL4jJObNB1eEIPX2Y-hrDhtT5JNHmIVYA9icWofDK03vmkA_XUad9edBlu7JxOYq7PoLqix7=w1200|https://lh3.googleusercontent.com/pw/AP1GczPxab9F1Tt8W_NZAbDxyjrhOheWRi-vHxWQDoT03_UN47eF6SnmDuKUWza9io7aJ3LBjy-Of4r4wQzzpsQXzF"&amp;"HohadPLmjGBoWp37Oe-7yMy5WKHc7j=w1200|https://lh3.googleusercontent.com/pw/AP1GczPUl31U64gjf4u40f7rgr_AlgM_BUyRBGiBaGAAVHVVJwqXqhAcs46NuC2NSs9eSsBCLPD1ZAS70J87sP8P4VEBDWSVuMbTY0Cbtc58rnw5_-BRLfDF=w1200|https://lh3.googleusercontent.com/pw/AP1GczNTU4ExothJw"&amp;"lX3-zMz3PKU9kEzWAbG-Ml2-2dZeRESXICWXOYlx8BGRXXeXd6Y_bNvC-Oz-v-cJ7jW7KGgrRYd3AACxuhkYRgAyDjRWjFm879Yj6bS=w1200|https://lh3.googleusercontent.com/pw/AP1GczOdj6MDomUysaK_JWmLexzG62SQk2vUfB2RYw_yiBgwQXLzkiuB2Do7PCbq00Yipa8_L6dIhLMHro0-bJ3K15QH8tlb1BkgufX9wXft"&amp;"DEa2H76X8I2S=w1200")</f>
        <v>https://lh3.googleusercontent.com/pw/AP1GczNM5mZXJY-T1OGjKaFs6Wx9klwtHHA2HJX2hTr_cP0KvP_BxX-R8Vbyz6QGZcULb057PkdvPuXmS5srKJv2VpWCyisrH_NVOQw7zLxWvS12vmFRPZF5=w1200|https://lh3.googleusercontent.com/pw/AP1GczMJuYCl80pNh-2cUE1pVrJieU1ZDP4cjGIGVcFY568Rl15cl8V1Hq80mpBeS3-b6AR0JG--pAx_qTsr1LVU4nI6ODsbe60jz30Z6bE5UqORFdBydU8w=w1200|https://lh3.googleusercontent.com/pw/AP1GczPMwMuflB9IxgDM--xLKBz30b5Ynama6CqQw2clAjpUAeXn_lqENUI9hYmBFl8ez5JvWz4448cxAht9ng20dPTy916DzmNm4pGdaZzTZ3SUz2vVjsqF=w1200|https://lh3.googleusercontent.com/pw/AP1GczObrKDR_AnZjv6DnhFVxm5kV2A8xBN2OliCSZI6-zIoWZQSXtsgR-FpFZAq43lT5vKut2tSTFdZANZNwV7ZPKVplxHUy4M2cLYK06wdrUaEiaAZb7jm=w1200|https://lh3.googleusercontent.com/pw/AP1GczO48UaprEl2RsT07wrYlsmDCtVT1Qflz7VQDMoCs3zCpQqwLuOTrPqlKPFzBAz9xTZs46c2oZRkwG_lf_j4f6uHM-nhAI7PAi_OGHzFpCtePBoZPjUl=w1200|https://lh3.googleusercontent.com/pw/AP1GczPt6MggSidCqHaaO_HZKueSaW7T_si6ZI7-hu-RJkaKcdAP1ZzQzGaR5dX07rTuTfmUreixjvPFp1CiVCK65pdOG-AAMQ6zyOMJkV2TErau99YY0Tip=w1200|https://lh3.googleusercontent.com/pw/AP1GczPkFVsHY519LJ5KlXT2N9VmRfc27KlJD4qlnFn4z_qXxL4jJObNB1eEIPX2Y-hrDhtT5JNHmIVYA9icWofDK03vmkA_XUad9edBlu7JxOYq7PoLqix7=w1200|https://lh3.googleusercontent.com/pw/AP1GczPxab9F1Tt8W_NZAbDxyjrhOheWRi-vHxWQDoT03_UN47eF6SnmDuKUWza9io7aJ3LBjy-Of4r4wQzzpsQXzFHohadPLmjGBoWp37Oe-7yMy5WKHc7j=w1200|https://lh3.googleusercontent.com/pw/AP1GczPUl31U64gjf4u40f7rgr_AlgM_BUyRBGiBaGAAVHVVJwqXqhAcs46NuC2NSs9eSsBCLPD1ZAS70J87sP8P4VEBDWSVuMbTY0Cbtc58rnw5_-BRLfDF=w1200|https://lh3.googleusercontent.com/pw/AP1GczNTU4ExothJwlX3-zMz3PKU9kEzWAbG-Ml2-2dZeRESXICWXOYlx8BGRXXeXd6Y_bNvC-Oz-v-cJ7jW7KGgrRYd3AACxuhkYRgAyDjRWjFm879Yj6bS=w1200|https://lh3.googleusercontent.com/pw/AP1GczOdj6MDomUysaK_JWmLexzG62SQk2vUfB2RYw_yiBgwQXLzkiuB2Do7PCbq00Yipa8_L6dIhLMHro0-bJ3K15QH8tlb1BkgufX9wXftDEa2H76X8I2S=w1200</v>
      </c>
      <c r="AJ239" s="46"/>
      <c r="AK239" s="46"/>
      <c r="AL239" s="46"/>
      <c r="AM239" s="46"/>
      <c r="AN239" s="46"/>
      <c r="AO239" s="46"/>
      <c r="AP239" s="46"/>
      <c r="AQ239" s="46"/>
      <c r="AR239" s="46"/>
      <c r="AS239" s="46"/>
      <c r="AT239" s="46"/>
      <c r="AU239" s="46"/>
      <c r="AV239" s="46"/>
      <c r="AW239" s="46"/>
      <c r="AX239" s="46"/>
      <c r="AY239" s="46"/>
      <c r="AZ239" s="46"/>
      <c r="BA239" s="46"/>
      <c r="BB239" s="46"/>
      <c r="BC239" s="46"/>
      <c r="BD239" s="46"/>
      <c r="BE239" s="46"/>
      <c r="BF239" s="46"/>
      <c r="BG239" s="46"/>
      <c r="BH239" s="46"/>
      <c r="BI239" s="46"/>
      <c r="BJ239" s="46"/>
      <c r="BK239" s="46"/>
      <c r="BL239" s="46"/>
      <c r="BM239" s="46"/>
      <c r="BN239" s="46"/>
      <c r="BO239" s="46"/>
      <c r="BP239" s="46"/>
      <c r="BQ239" s="46"/>
      <c r="BR239" s="46"/>
      <c r="BS239" s="46"/>
      <c r="BT239" s="46"/>
      <c r="BU239" s="46"/>
      <c r="BV239" s="46"/>
      <c r="BW239" s="46"/>
      <c r="BX239" s="46"/>
      <c r="BY239" s="46"/>
      <c r="BZ239" s="46"/>
      <c r="CA239" s="46"/>
      <c r="CB239" s="46"/>
      <c r="CC239" s="46"/>
    </row>
    <row r="240">
      <c r="A240" s="87" t="str">
        <f>IFERROR(__xludf.DUMMYFUNCTION("""COMPUTED_VALUE"""),"470")</f>
        <v>470</v>
      </c>
      <c r="B240" s="46" t="str">
        <f>IFERROR(__xludf.DUMMYFUNCTION("""COMPUTED_VALUE"""),"Casa en conjunto Primera Avenida - Norte")</f>
        <v>Casa en conjunto Primera Avenida - Norte</v>
      </c>
      <c r="C240" s="46" t="str">
        <f>IFERROR(__xludf.DUMMYFUNCTION("""COMPUTED_VALUE"""),"Casa en conjunto")</f>
        <v>Casa en conjunto</v>
      </c>
      <c r="D240" s="46" t="str">
        <f>IFERROR(__xludf.DUMMYFUNCTION("""COMPUTED_VALUE"""),"Candido")</f>
        <v>Candido</v>
      </c>
      <c r="E240" s="46" t="str">
        <f>IFERROR(__xludf.DUMMYFUNCTION("""COMPUTED_VALUE"""),"Conjunto Primera Avenida")</f>
        <v>Conjunto Primera Avenida</v>
      </c>
      <c r="F240" s="90">
        <f>IFERROR(__xludf.DUMMYFUNCTION("""COMPUTED_VALUE"""),3.95E8)</f>
        <v>395000000</v>
      </c>
      <c r="G240" s="46" t="str">
        <f>IFERROR(__xludf.DUMMYFUNCTION("""COMPUTED_VALUE"""),"$300'000.000 a $400'000.000")</f>
        <v>$300'000.000 a $400'000.000</v>
      </c>
      <c r="H240" s="46"/>
      <c r="I240" s="46"/>
      <c r="J240" s="46" t="str">
        <f>IFERROR(__xludf.DUMMYFUNCTION("""COMPUTED_VALUE"""),"Norte")</f>
        <v>Norte</v>
      </c>
      <c r="K240" s="87" t="str">
        <f>IFERROR(__xludf.DUMMYFUNCTION("""COMPUTED_VALUE"""),"2")</f>
        <v>2</v>
      </c>
      <c r="L240" s="46">
        <f>IFERROR(__xludf.DUMMYFUNCTION("""COMPUTED_VALUE"""),3.0)</f>
        <v>3</v>
      </c>
      <c r="M240" s="46">
        <f>IFERROR(__xludf.DUMMYFUNCTION("""COMPUTED_VALUE"""),0.0)</f>
        <v>0</v>
      </c>
      <c r="N240" s="46">
        <f>IFERROR(__xludf.DUMMYFUNCTION("""COMPUTED_VALUE"""),3.0)</f>
        <v>3</v>
      </c>
      <c r="O240" s="46">
        <f>IFERROR(__xludf.DUMMYFUNCTION("""COMPUTED_VALUE"""),1.0)</f>
        <v>1</v>
      </c>
      <c r="P240" s="46">
        <f>IFERROR(__xludf.DUMMYFUNCTION("""COMPUTED_VALUE"""),2.0)</f>
        <v>2</v>
      </c>
      <c r="Q240" s="92">
        <f>IFERROR(__xludf.DUMMYFUNCTION("""COMPUTED_VALUE"""),112.26)</f>
        <v>112.26</v>
      </c>
      <c r="R240" s="92">
        <f>IFERROR(__xludf.DUMMYFUNCTION("""COMPUTED_VALUE"""),76.2)</f>
        <v>76.2</v>
      </c>
      <c r="S240" s="87" t="str">
        <f>IFERROR(__xludf.DUMMYFUNCTION("""COMPUTED_VALUE""")," ")</f>
        <v> </v>
      </c>
      <c r="T240" s="46" t="str">
        <f>IFERROR(__xludf.DUMMYFUNCTION("""COMPUTED_VALUE"""),"Neiva")</f>
        <v>Neiva</v>
      </c>
      <c r="U240" s="87" t="str">
        <f>IFERROR(__xludf.DUMMYFUNCTION("""COMPUTED_VALUE"""),"3")</f>
        <v>3</v>
      </c>
      <c r="V240" s="46" t="str">
        <f>IFERROR(__xludf.DUMMYFUNCTION("""COMPUTED_VALUE"""),"Esquinera")</f>
        <v>Esquinera</v>
      </c>
      <c r="W240" s="46" t="str">
        <f>IFERROR(__xludf.DUMMYFUNCTION("""COMPUTED_VALUE"""),"Vehicular")</f>
        <v>Vehicular</v>
      </c>
      <c r="X240" s="46">
        <f>IFERROR(__xludf.DUMMYFUNCTION("""COMPUTED_VALUE"""),3.0)</f>
        <v>3</v>
      </c>
      <c r="Y240" s="46" t="str">
        <f>IFERROR(__xludf.DUMMYFUNCTION("""COMPUTED_VALUE"""),"Social")</f>
        <v>Social</v>
      </c>
      <c r="Z240" s="90">
        <f>IFERROR(__xludf.DUMMYFUNCTION("""COMPUTED_VALUE"""),421000.0)</f>
        <v>421000</v>
      </c>
      <c r="AA240" s="33" t="str">
        <f>IFERROR(__xludf.DUMMYFUNCTION("""COMPUTED_VALUE"""),"No aplica")</f>
        <v>No aplica</v>
      </c>
      <c r="AB240" s="96" t="str">
        <f>IFERROR(__xludf.DUMMYFUNCTION("""COMPUTED_VALUE"""),"https://photos.app.goo.gl/oqB8DHSvi96CbmFX8")</f>
        <v>https://photos.app.goo.gl/oqB8DHSvi96CbmFX8</v>
      </c>
      <c r="AC240" s="46" t="str">
        <f>IFERROR(__xludf.DUMMYFUNCTION("""COMPUTED_VALUE"""),"Esta casa en el conjunto residencial Primera Avenida cuenta con una distribución funcional y acabados modernos. Al ingresar, encontrarás una sala-comedor integrada con pisos de mármol blanco veteado, los cuales se extienden también a una elegante escalera"&amp;" con pasamanos de acero y vidrio. La cocina integral está completamente equipada con gabinetes blancos brillantes, mesones de granito negro y un salpicadero de mármol similar al piso, además de electrodomésticos de acero inoxidable, incluyendo horno doble"&amp;", estufa de gas y campana extractora. La casa dispone de 3 habitaciones con clóset y 3 baños con acabados similares. Una de las grandes ventajas es su amplio patio interior, el cual cuenta con una parte techada en policarbonato, una pared de piedra textur"&amp;"izada, jardineras con plantas, un jacuzzi con hidromasaje y un área de servicios adyacente. NO CUENTA CON HABITACION EN PRIMER PISO.")</f>
        <v>Esta casa en el conjunto residencial Primera Avenida cuenta con una distribución funcional y acabados modernos. Al ingresar, encontrarás una sala-comedor integrada con pisos de mármol blanco veteado, los cuales se extienden también a una elegante escalera con pasamanos de acero y vidrio. La cocina integral está completamente equipada con gabinetes blancos brillantes, mesones de granito negro y un salpicadero de mármol similar al piso, además de electrodomésticos de acero inoxidable, incluyendo horno doble, estufa de gas y campana extractora. La casa dispone de 3 habitaciones con clóset y 3 baños con acabados similares. Una de las grandes ventajas es su amplio patio interior, el cual cuenta con una parte techada en policarbonato, una pared de piedra texturizada, jardineras con plantas, un jacuzzi con hidromasaje y un área de servicios adyacente. NO CUENTA CON HABITACION EN PRIMER PISO.</v>
      </c>
      <c r="AD240" s="46" t="str">
        <f>IFERROR(__xludf.DUMMYFUNCTION("""COMPUTED_VALUE"""),"Ubicada en una zona de estrato 3, esta propiedad ofrece la tranquilidad y seguridad de vivir en un conjunto cerrado con vigilancia las 24 horas del día, los 7 días de la semana, conjunto conformado por  26 casas de diseño moderno y acabados de calidad. La"&amp;" casa se asienta sobre un lote de 76.20 m², con un área construida de 112.26 m² distribuidos en dos niveles, y un área total de 130.17 m² que incluye el generoso patio. Esta combinación de espacios bien distribuidos, acabados contemporáneos y las amenidad"&amp;"es del conjunto la convierten en una opción ideal para familias que buscan comodidad y bienestar en Neiva.")</f>
        <v>Ubicada en una zona de estrato 3, esta propiedad ofrece la tranquilidad y seguridad de vivir en un conjunto cerrado con vigilancia las 24 horas del día, los 7 días de la semana, conjunto conformado por  26 casas de diseño moderno y acabados de calidad. La casa se asienta sobre un lote de 76.20 m², con un área construida de 112.26 m² distribuidos en dos niveles, y un área total de 130.17 m² que incluye el generoso patio. Esta combinación de espacios bien distribuidos, acabados contemporáneos y las amenidades del conjunto la convierten en una opción ideal para familias que buscan comodidad y bienestar en Neiva.</v>
      </c>
      <c r="AE240" s="46"/>
      <c r="AF240" s="46" t="str">
        <f>IFERROR(__xludf.DUMMYFUNCTION("""COMPUTED_VALUE"""),"integral")</f>
        <v>integral</v>
      </c>
      <c r="AG240" s="46"/>
      <c r="AH240" s="46" t="str">
        <f>IFERROR(__xludf.DUMMYFUNCTION("""COMPUTED_VALUE"""),"Verbal")</f>
        <v>Verbal</v>
      </c>
      <c r="AI240" s="92" t="str">
        <f>IFERROR(__xludf.DUMMYFUNCTION("""COMPUTED_VALUE"""),"https://lh3.googleusercontent.com/pw/AP1GczNfSc-5jv2n9pw0xtAmADgvBf2PGjKkiwmH6xWotSN2YhRhCRuZRAT0QzeWWsb1_rLBO06SOheIUnaKtIWOmNMZUa43HVUM-KkflW4IC3JYAhsEbcEp=w1200|https://lh3.googleusercontent.com/pw/AP1GczPIJmUagyvJ0pT-6jxM6sM-oZ-_xgqNjydDjpZtiKrJsOT7Y3"&amp;"lkalJPE5Ej4HcshBWbvHXBGhO5O6AI68Bi8cYXFiloorrj3k7kv6Tnl4GQAcJI28ll=w1200|https://lh3.googleusercontent.com/pw/AP1GczNpTMDxDn8SFWUBraMEOvXztWv1Ktqm-KR71iODMgrezyKQ4VFtwqA7F0jkyl21Ze0_ib294Tp3Lwd6u7VrSk6CeGW0kzW4r5bRHigE6qgHqOdhQer3=w1200|https://lh3.google"&amp;"usercontent.com/pw/AP1GczPYuT5ZvAeAt1bcpkh8RUOkLjDGvq-f0OSkz8oB-tQQ2ZNxBqpovJtMAEnC81ZYPtPjO9roeMvhgb7NLUSaDkHAcszuNbgWW8YZdHKOxo3z3KPQAY37=w1200|https://lh3.googleusercontent.com/pw/AP1GczPEJ8Pjeo_kc09lt3GJiLdRgGFZ-VD29TnYGup2qLl6n94rI1TqhUERWttmVNILZHBG"&amp;"CgJH2fMNpgsBtY56DWAIyTBfxzPxxWbhIIaeULeRwq3MiDpL=w1200|https://lh3.googleusercontent.com/pw/AP1GczPnv7cgorBqnj5ZJg-VIf61SWwkFj_A3qRKL38YR5tgzbAx0OxyEyJOOcpUn2g0zzgvgOXzd_0kHPK4miNJ5OgnufaXJFfLV-LuK1zjxoojwuuCZGaX=w1200|https://lh3.googleusercontent.com/pw"&amp;"/AP1GczPWzdwLdTarrpA2VIdeCtbCghZgEMrAvOo-PSLKrDij2Nv0y-AmJ_e6Dz-e2IGPsMUSYop2vZlLL6E4IYA-odeQAOxLbFpeqn2xOsJAifh405TyzV_8=w1200|https://lh3.googleusercontent.com/pw/AP1GczMmUmGY_yF7dUXTVL0-WGNaH77NDeHiqrPfPj5qha0hUk1w91BdZ81yIDqHgpD6z3ZImYtUYFSXDp4UMZTCoG"&amp;"f1abNItdXJIxinO7oJejFHMdV9Fc9Y=w1200|https://lh3.googleusercontent.com/pw/AP1GczNrURwnoz6SOyIUsE4lU4LbaXeeqMNDojsm6KfNH6zf6SrJWU4drRWIsw_SAKObpvUs4Sj77RcpBpdTzrCov3qprXUGyBKEK7nbZyrnlGCpI-CA0n02=w1200|https://lh3.googleusercontent.com/pw/AP1GczOJotTpJK53M"&amp;"PlssSsk7vFN5kIKDpb7H-RMJHxi3CzHQ4CRZ3WlsslqhJOdyomdUAJ6xLTxTLV0oakfbUzKqS7DDeIPQavt7PGHaf-93fsiRyXUzS9-=w1200|https://lh3.googleusercontent.com/pw/AP1GczMmLMr5ZCWIkkgPKQXB7imGrhsu4a5T49AU4q6NPh7xOzS3hZJw8_tTt7V8jZypMJn4wN6RhCOR0XW0n8WMD3NC32qR6AHuf1ZaPBiH"&amp;"hi-qIVEvoezP=w1200|https://lh3.googleusercontent.com/pw/AP1GczPN-BSzLyW0j9mfSLphq-A0jQRh_7cCUjkqxhPrZnV33cT94UPcVZ477GKjk26YojWSiEXjAtmbHkpbALAYc7231djzbcUXoysaaNf_Q3HrU1t-oomy=w1200|https://lh3.googleusercontent.com/pw/AP1GczP3L5uhT56LyqJv0vVDqvyXO4cfnZa"&amp;"8ZCsiZ-3v-bjYgfVElErARb08sRcLhAv5oBV2o70orWHhoz3CbBarF4pl7HSS4iVAsv3Gyeow1d0j9o0Uah4F=w1200|https://lh3.googleusercontent.com/pw/AP1GczOwDdp9T3oU9-GdippGnMwG5hRv2oQdPRhzghhg1XyPRaYGhtT3zK_yqcpnzDysgsQANcAniHs1t-MU9EQtLgpxvfTfnLzAQ0JoXuiAKJppcfvWucbw=w1200"&amp;"|https://lh3.googleusercontent.com/pw/AP1GczOQTAi-D1yyCiZHnfqtDb1YCgXcCs6yLNRaqc3al1YTxw5-8gEnvr7_5IkWR3a28jFhU8Np_VRNoFmTzbYmRGiqaenHq-CUlTcsn2AL886axi3A3zwJ=w1200|https://lh3.googleusercontent.com/pw/AP1GczO9pdyW6f1BEq29MkwJ4of1ELe5-s1BJI2IDFRytN3md10Mf"&amp;"R7BvWYgXAE2mArZ91j9LeTwk2hE48GPTc22-Go8rExD4eGzZWLDHAtAb_oVPJprClQi=w1200|https://lh3.googleusercontent.com/pw/AP1GczP2nx2xKn7Cn9zvdNndkeunfTRvcXgMZ4HHobUX9QdEd-1_tvEGc3U6G_fL6vmxWAqstXGAUqS_C6rGxIxv9955d_FHtULch_leSQ25o3wwDAGTUeih=w1200|https://lh3.googl"&amp;"eusercontent.com/pw/AP1GczMJM9L7cgEoUahJXOX6OeSa8K9aiZdNm4FWLYouFSG68YLb9GfMP3fSqRIoLNIjB03e1g-Cz5UKrF1Y6vQ0wzCRmH1HHikRCAnFrvk02oFALphLi_0f=w1200|https://lh3.googleusercontent.com/pw/AP1GczMuytIhW7Cj83pxln9EB_yrqYikIub-jYGS2aZY8KQYBQf32r9oZnuZIPhVfbI3j6_"&amp;"t5AWhabZ8_M1hq_UMHl8-3JNJ0EAn2pedkqshbyjZsMGZAhoN=w1200|https://lh3.googleusercontent.com/pw/AP1GczO6Wb6_4B-7PM_HJXGIklI6o2dTisznnRynj5uhEucnGK2BWaDA7kBBTMv-UYP7T16NXhnwx713uLwSo3WtP5PF5Uc69ZzXA8QsgiNd8g-1CZInV1eO=w1200|https://lh3.googleusercontent.com/p"&amp;"w/AP1GczNjgqRyQJYxOgkMDbEDwo5Y5jC5FfCbEhYXma8D0DzYXuG0z9kzm-z7bjyfQZdE4Z57L3K3mWhdSI5jNKl02TgReQVLtuU1O0LpvIUFDAFMdk6gwfPT=w1200|https://lh3.googleusercontent.com/pw/AP1GczNyGJEEjAf5VpDD8CLJG5-n_BQI4gRZT1fW62EyAzTxL6rJj5fzWuK0senO69jLXHslADjj4Q2rCSh-H62hv"&amp;"GeidKVoCzwKMp0_oArl5yMT6m4TV8Ht=w1200|https://lh3.googleusercontent.com/pw/AP1GczMLna-GpL9A73eBM4dFLxVFSX5eJo7b_3l-HUjxjF_XWAQOLL-IXU5s_zOSWBYoH84hmbefFpCBSK-YdSRssEEp49sJRYVGhmQlNkzz-ExfIIRZEyjz=w1200|https://lh3.googleusercontent.com/pw/AP1GczPA4UXKjDLn"&amp;"fLuycXGVtMwzBFyA4fa3M2HeTDn7iuFYE_M_lTnG7M5CHRNPxVWNiiSUsZiXHeiZl_dnGClUzKR2DKtRSwiFlhY2N2Uu-9tJ0hbNmnYa=w1200|https://lh3.googleusercontent.com/pw/AP1GczPG8-BGcPvZXRJPLpqTgeX3IMjc8792KhHZBwD9Aqh0yiuswc5J9FpVY5qLJJr44dG64dQeFyk7atQo65am1iGb2ORLJzF4MBMzloD"&amp;"Vse7zwYhc3om2=w1200|https://lh3.googleusercontent.com/pw/AP1GczOVgX2JH68DqxUWg9KXTLEwB23dd-NAv01PKffle6LpaTvhvs4Qq2nQiXNeawWIP4z8TdWkKE3-zyZdxuvvGmAd7Z0De4Ly-bLOHkmKIu5Lx7NNi7EN=w1200|https://lh3.googleusercontent.com/pw/AP1GczNr8g3XQpyiwCUFWM8kgDMa9Ok-RE"&amp;"QnXzTfJvY1zdn49JBXJ2P5_MftRg2Hku9D5wmZAdjFeSBTPCsZ-kR76I69pULgXJBeWBSwp8qml0XY-WXY_Ki1=w1200|https://lh3.googleusercontent.com/pw/AP1GczM5azkT3JK3kkZ4WNeS2K8xwSeqMSL9rzX0Z4OY8br3ScmcinL1gUf5iKzS2Pn1B1tNjYcBrfyCoajsQB3KWoDHJXtjVe2-CFACNrCK9CF1lF13bx1P=w120"&amp;"0|https://lh3.googleusercontent.com/pw/AP1GczN2vf6OlJjL-rrOJUI_SxlnnNaqjheUiJcvhlmYehta_PlCBo7hePwmtWIiuqNBrqzBXnjdcKFsrPoWcIzRlv8y1y8H8BIEFw0QJU8uckF4m0VjE5Sr=w1200|https://lh3.googleusercontent.com/pw/AP1GczO2yFxy-m6mCfDFS8zQAShAZvAVtpH4pLHOCqfy79CrvSdD"&amp;"DCU43v6BYdbeSPttuLLE5f0bGmR5UXPFuC7OOTEnW8kayQ8mMKJR5uKp1XArbjk7BYC7=w1200|https://lh3.googleusercontent.com/pw/AP1GczOaYe4W-nWR_PKFc1vZ9mUPmcZJDDV_r8IiAc7BoA25MOE4L7lsRuzDxvPf1D98FOUXWOhr_v2U271rSD3qO3REapql29_mcA376uHXIpqoaXaLiAia=w1200|https://lh3.goog"&amp;"leusercontent.com/pw/AP1GczOt2iitcdKgP-03t4yOJ0_s54B54EK02BFp29DFKjMPKmzWcvkHIs3FvWV9jOti1qDtNw9BIH9lzFSftudPpzJdGHfL_Ln8Ye9JfWQ0OiKvycnxj5V9=w1200|https://lh3.googleusercontent.com/pw/AP1GczOjLdWfjbbyWGvndU5cXhaXtXUASPKYo3z8j8uKxkBVnRNGETygXXMELtAwZPNbm6"&amp;"T64oPDU5oYLj74w5wCBkertjUaBiE336qRFRxNoCJqkHyquaPt=w1200|https://lh3.googleusercontent.com/pw/AP1GczPuTyxfNYQ_c-KdpQssBybeBYyFFRNuPJNTRbnrW3FIBVGlfsJIIjBQAfS5h5fXc3den76VIM5jE1mg_HcXOIxhuj_jeTjMunG6ukzSJb8muuKCffsQ=w1200|https://lh3.googleusercontent.com/"&amp;"pw/AP1GczPpyHOD9lJpblmsJa9aYyZuohCeFW0nuHZL6r5I5jF8m8TZLl2lcxYKDVHj_PYC2bwo0WkXYEbZGgMC7Nj2gfXf-nPCdjgO7HWf46nOpjGYvwjukgxU=w1200|https://lh3.googleusercontent.com/pw/AP1GczNfDWYqTDGEi9TvB1lVpfYMr_t563D51QtAE1_pb0JUoeXSeBggWOAEY_kXmL-vaFRA6shKuHCRG3L9nMDc"&amp;"PoPJ1S57iT17N4b-De8u5tzfGF2o3JZn=w1200|https://lh3.googleusercontent.com/pw/AP1GczM9WNS7BAscb22X1fSUKO-H1lsOF7F0ZrNZw1sgggfIyMnpNFC__C8x-f8czURlJipl0R6Q98EUW_D0xYWwVJQ6qyOHQoqYuhKzXJVkw8S78GHxa7wJ=w1200|https://lh3.googleusercontent.com/pw/AP1GczO6JVohbsT"&amp;"6YdboWnmdSmDUdkMEjSU7PNjrs0iBR8HO1DZgUCwkOgnn8i3tlo_wlDKXPlN2fTPN2culZCmW8pd5baqO3PkNmuBBXupwStPiRVeiH37u=w1200|https://lh3.googleusercontent.com/pw/AP1GczOswFQ30a34iH4JesYkQRjd6wJIIn3ci5A9hBwsJWr-Ewr-cGQJvB_IvMduVXAfcUoaRyhy19dZ9YN4JEik3R1fGXmOgA8k1XkNOs"&amp;"C9zdq8Pu3b0Pmw=w1200|https://lh3.googleusercontent.com/pw/AP1GczMxJ70wQMu3eRgARCZc8H2ch7Je2H5dZTITv3p5fOVzmsO1zF1H8pgBipropr96qdlUzGjF44ANXRHI9dko7g9LOWjHOKro2mZ7HCyhH9xuNukmoWfW=w1200|https://lh3.googleusercontent.com/pw/AP1GczOIPB6B4BiRC-qEB7o96HZ4tXAtW"&amp;"AC37OExOFKgkkVqEKdU5zhWpchAiHjLo0ky4lvftEZJDL1icYOyBgyrVQ6P6lnxHwsgPRGGcy2jHCsh-EED0eBP=w1200|https://lh3.googleusercontent.com/pw/AP1GczNnWXfkdFy3qSkiDkqXq0bkj74maTrhSvIFfnsoxcBRD0OSDjzAzNqPy6rP5Xr-5s884-h29y2dWgsvgqY_y76wnLTtgk8TNHODcMM8cjlCZo2_DkOs=w12"&amp;"00|https://lh3.googleusercontent.com/pw/AP1GczOv4qfKIpSNoB4md_rqiLWr4Fq9RJ5yS6OkxdRKlIJcbdnnx1g6QqCrVIET9_yXkf94UsKfc28w90xUQ-F_eNDgcK0B2tHJGTbTOwzJQl1yoHrVxArR=w1200|https://lh3.googleusercontent.com/pw/AP1GczOX6546BKwmxUO_yAmtFv01sMAV11pUlPmD8eLDI8UirGd"&amp;"wcwVu8j3kf217hUOsYuFFuJoFPheLSUj0tU_L-jXV0pxUqbdWDLbPTPOb9EBMGFSusfzl=w1200|https://lh3.googleusercontent.com/pw/AP1GczN4GQjRB05A0LC04kpeSrfI7W4RyxVBGSYsaFUdaysL_KC2bHeU6etLtPIeMdBptLoNPGJcSApQRhLBeotoV0sMxI0z_mU4W_zd3Ad04tWMkVkXrET4=w1200|https://lh3.goo"&amp;"gleusercontent.com/pw/AP1GczO_OCJK71KjD0Z7RKLm2uvyHDliKzCmI7BDzg6wKDwuhaUDVF-7JIdORBIk8m6_tJJMcRj5A1UZDCvqMzh_h9IjeFFh3huJ6abSWYKJD57Ak5lDWR0J=w1200|https://lh3.googleusercontent.com/pw/AP1GczPfdMzrUQPtV9glNlDsm6K5ZH06kbMvU346_3fvUVJGb9sBBKl5qw3uFHqRkFKX4"&amp;"rvSoF-gaIPlzGuA3tJVEFAz-KYeXQqljy6I9UHII0jvaujgQYl8=w1200|https://lh3.googleusercontent.com/pw/AP1GczOi84nQN2ZcTfGEjMbow1j8LyJUbTAa_bre5IQu8iDbNGVMV0MnLkAxlsbvtk4hRx0O-135kC7grA4k-g5id77srD_oGMLgacrJMYsCTA0nfwHeyEfg=w1200|https://lh3.googleusercontent.com"&amp;"/pw/AP1GczMLAetVz-h0yujdnHBz4lh5u_F3W6WMB1pGQA4ExCndTC6ruNa-zh7LjeY7q0U6oUT4r9jnyD1xV0tRU0d3C6MhFAAqNxPhBMHWjTVpc6Sc-HZzjgpV=w1200|https://lh3.googleusercontent.com/pw/AP1GczNvQhen2KsMMic08et7i4NUG1QWxJ-tn3sxAW13s09wQFjQ3POiJPacg4sW_mSumsjYcovxQ2hslUQsrci"&amp;"41_Cb8Xq6ah6XKe0kmGOOYs9aXtamEkt5=w1200|https://lh3.googleusercontent.com/pw/AP1GczPJFvkY4XBZxEfvHzGp6mYgDoOs2i9cdLTzn8O8tlTZKeqSJaLP3VB1aqPYw3ycvNymnAu64ZZONlTHtrHoG1IvcLwIHWI2SfXUwa2-OzAxu-fKJrMO=w1200|https://lh3.googleusercontent.com/pw/AP1GczOlzaG4Q6"&amp;"GkdY_hz-V4s2_zM69iRZ061VVhEDGOUyeN1WBWz_4LOD5SNYpHFoTgHZLos_ePB1Xjpl2_FNgqC6kORR9CKBm_niiEYFj4O4p6gDuzEnoL=w1200|https://lh3.googleusercontent.com/pw/AP1GczMJjHTGDnNb8R387T8YKxFKO221JEbptaqEkDi6uzW6mR1D0Ja2I-ufnNY8IzvaoJVlMBjvA-Fe5S9AeYk-wAEenr_G-5C-Tehcv"&amp;"hhj87Z1gcaWin0v=w1200|https://lh3.googleusercontent.com/pw/AP1GczPoPPT3IanWlVC3PSq_LGGyVayQStkfAmzteCTTkwEZB_FORzVNPR-Hjq4yjF_o-1VHY2d0Is2upIYqPUFH8tpN1cIalUeXM08ywrBFSXEw1GX2YwDA=w1200|https://lh3.googleusercontent.com/pw/AP1GczNFRNKpA2IzaC7stUxEucj3CQ4E"&amp;"hVDHfytYkS8GnBe6Sq8PCV45Jo9Mf2wyEkBjsg_0WvYb26N9HZYRjsXbzZQRJS1ix-6wZRTeCzeRhpZgGpx6NpiF=w1200|https://lh3.googleusercontent.com/pw/AP1GczP9poemE1DOOHVNgGiSkJxKOLdPPfhkKPdD9ChMLLbx-xL1DDZIUne-cRQjXqVA5zSUf8eGIO81ZaCiXm7s2aGcqx2yrOy8zqiqtpNNKisFqYE1M2fM=w1"&amp;"200|https://lh3.googleusercontent.com/pw/AP1GczM8IsBcLeMz4rJ1WpPeBRw5uZgFmTuaG3jBeA6l1vHnmQWlhCfEufY9JgcGIuCrXiBpMsYJwJ-1-yquNG6_kSzeRR1chM0N78gGT_rx0gtyCiXeom30=w1200|https://lh3.googleusercontent.com/pw/AP1GczMXAU3zeCmo9ZjkkKs4VMnHpTmmUYSj0L9EozbNYf_Zo6"&amp;"cpEQBwZWEAhzNaogUTqZvl8P74rOvL7bIJefrQ6aGFh99lnRJV-T_UxPpaAirycdcNGDeY=w1200|https://lh3.googleusercontent.com/pw/AP1GczOuD9P177W_O-dwEvhyqV8LNVjGftfzNpNBh2-ZZo3ifQJzq4kyLL_iENgbGUGe64Bpt3nvvm3ktouOrQiTiLPQ9Z3y_5UdsuGsapL82yO1XoYHLNJl=w1200|https://lh3.go"&amp;"ogleusercontent.com/pw/AP1GczP7wDJ7W9to2aDrNownbNqCDenINqHNxnH4Lne4pg-LDL33XB0Amn8pRHUR8WQwVQcsHru4ZvaJK5sxFgEJf6PcEA8pBro4refgoaQZyrM3Jy8BE6Mi=w1200|https://lh3.googleusercontent.com/pw/AP1GczNiIBswMutMP5GOQ4BkqM1Zi6uaVxlBzHYyZGqewRkpY30tHximUb-hf17Hwt68"&amp;"rIe5epfdXCsobmc-eXyJ_PnDBQbIwfjku-0y4VFtmaRENHj9-rLb=w1200|https://lh3.googleusercontent.com/pw/AP1GczNSFtOLICTqLw1hVF_ttgkn4Dh5rYSCAnV0mZcaeAUQlTInf-IXap0HyikVeerSpH0TEjHHtZQ49ivn9ibtMW77GKTan4c5kug3YyuJHmJjGYxrjQt7=w1200|https://lh3.googleusercontent.co"&amp;"m/pw/AP1GczMVrLF1Nu06kaukxoU-xYmB2rpA1A5EQfFFNWuxWkqKYJM0iXD2hHYP_qXVf7Lx0xtD4ksO3JjIgMTA745NAuL6Bl8QK-ppKrfrJKgUcDTaUQ-x82ZN=w1200|https://lh3.googleusercontent.com/pw/AP1GczPKE3OkHsm70OIrPHXok0XyODI16II2TDhd8ptmSNVfs35htJTKUTT6SAonJtoeAin4A7DOdFbvuJwDle"&amp;"pznvUf9vCBh7JlbbutZQXBsfC3vX_xOiux=w1200|https://lh3.googleusercontent.com/pw/AP1GczP6xM7Fu-ORQ3jGy2ezRczLokw--iFw61QdtAAf-zCO75_fLkkBY2jKn2uQ5YZPxsc4Yq9SJAYU7x9v74JNKgLEdVZhO7-MV1GAMlBY5Dp-H8KqnV0X=w1200|https://lh3.googleusercontent.com/pw/AP1GczOcd9fmG"&amp;"ajUIbGLU4WZb6ZZJziPfso0B36EdqYQSgFURa2r6KSbz3ncjQjcjDXdtoTAXulzQC7BZ1JY3aREB_kpRtxindrOofYz-7AWVBW0c7abEaMg=w1200|https://lh3.googleusercontent.com/pw/AP1GczMFtvcHmcsopW1anvWzzlnNmuyFyAqGWIIMB10AmIP-MDCr_rZ3tS3JoqbqAnelmGjH_6ypl02S2nq6_2qvU5UXXpkxz_BZequM"&amp;"7diDzcYHDpzfozsf=w1200|https://lh3.googleusercontent.com/pw/AP1GczNq3kI8AfvkxfbxOrb2sM8dSou7abymF2OcWmzLIETzMbbzEGVcFOUieyFu9C52_oCJaYrLTjd76kwN1N9vu2QOre2lBIzn4LC4bd2fz3whpWpweNxj=w1200")</f>
        <v>https://lh3.googleusercontent.com/pw/AP1GczNfSc-5jv2n9pw0xtAmADgvBf2PGjKkiwmH6xWotSN2YhRhCRuZRAT0QzeWWsb1_rLBO06SOheIUnaKtIWOmNMZUa43HVUM-KkflW4IC3JYAhsEbcEp=w1200|https://lh3.googleusercontent.com/pw/AP1GczPIJmUagyvJ0pT-6jxM6sM-oZ-_xgqNjydDjpZtiKrJsOT7Y3lkalJPE5Ej4HcshBWbvHXBGhO5O6AI68Bi8cYXFiloorrj3k7kv6Tnl4GQAcJI28ll=w1200|https://lh3.googleusercontent.com/pw/AP1GczNpTMDxDn8SFWUBraMEOvXztWv1Ktqm-KR71iODMgrezyKQ4VFtwqA7F0jkyl21Ze0_ib294Tp3Lwd6u7VrSk6CeGW0kzW4r5bRHigE6qgHqOdhQer3=w1200|https://lh3.googleusercontent.com/pw/AP1GczPYuT5ZvAeAt1bcpkh8RUOkLjDGvq-f0OSkz8oB-tQQ2ZNxBqpovJtMAEnC81ZYPtPjO9roeMvhgb7NLUSaDkHAcszuNbgWW8YZdHKOxo3z3KPQAY37=w1200|https://lh3.googleusercontent.com/pw/AP1GczPEJ8Pjeo_kc09lt3GJiLdRgGFZ-VD29TnYGup2qLl6n94rI1TqhUERWttmVNILZHBGCgJH2fMNpgsBtY56DWAIyTBfxzPxxWbhIIaeULeRwq3MiDpL=w1200|https://lh3.googleusercontent.com/pw/AP1GczPnv7cgorBqnj5ZJg-VIf61SWwkFj_A3qRKL38YR5tgzbAx0OxyEyJOOcpUn2g0zzgvgOXzd_0kHPK4miNJ5OgnufaXJFfLV-LuK1zjxoojwuuCZGaX=w1200|https://lh3.googleusercontent.com/pw/AP1GczPWzdwLdTarrpA2VIdeCtbCghZgEMrAvOo-PSLKrDij2Nv0y-AmJ_e6Dz-e2IGPsMUSYop2vZlLL6E4IYA-odeQAOxLbFpeqn2xOsJAifh405TyzV_8=w1200|https://lh3.googleusercontent.com/pw/AP1GczMmUmGY_yF7dUXTVL0-WGNaH77NDeHiqrPfPj5qha0hUk1w91BdZ81yIDqHgpD6z3ZImYtUYFSXDp4UMZTCoGf1abNItdXJIxinO7oJejFHMdV9Fc9Y=w1200|https://lh3.googleusercontent.com/pw/AP1GczNrURwnoz6SOyIUsE4lU4LbaXeeqMNDojsm6KfNH6zf6SrJWU4drRWIsw_SAKObpvUs4Sj77RcpBpdTzrCov3qprXUGyBKEK7nbZyrnlGCpI-CA0n02=w1200|https://lh3.googleusercontent.com/pw/AP1GczOJotTpJK53MPlssSsk7vFN5kIKDpb7H-RMJHxi3CzHQ4CRZ3WlsslqhJOdyomdUAJ6xLTxTLV0oakfbUzKqS7DDeIPQavt7PGHaf-93fsiRyXUzS9-=w1200|https://lh3.googleusercontent.com/pw/AP1GczMmLMr5ZCWIkkgPKQXB7imGrhsu4a5T49AU4q6NPh7xOzS3hZJw8_tTt7V8jZypMJn4wN6RhCOR0XW0n8WMD3NC32qR6AHuf1ZaPBiHhi-qIVEvoezP=w1200|https://lh3.googleusercontent.com/pw/AP1GczPN-BSzLyW0j9mfSLphq-A0jQRh_7cCUjkqxhPrZnV33cT94UPcVZ477GKjk26YojWSiEXjAtmbHkpbALAYc7231djzbcUXoysaaNf_Q3HrU1t-oomy=w1200|https://lh3.googleusercontent.com/pw/AP1GczP3L5uhT56LyqJv0vVDqvyXO4cfnZa8ZCsiZ-3v-bjYgfVElErARb08sRcLhAv5oBV2o70orWHhoz3CbBarF4pl7HSS4iVAsv3Gyeow1d0j9o0Uah4F=w1200|https://lh3.googleusercontent.com/pw/AP1GczOwDdp9T3oU9-GdippGnMwG5hRv2oQdPRhzghhg1XyPRaYGhtT3zK_yqcpnzDysgsQANcAniHs1t-MU9EQtLgpxvfTfnLzAQ0JoXuiAKJppcfvWucbw=w1200|https://lh3.googleusercontent.com/pw/AP1GczOQTAi-D1yyCiZHnfqtDb1YCgXcCs6yLNRaqc3al1YTxw5-8gEnvr7_5IkWR3a28jFhU8Np_VRNoFmTzbYmRGiqaenHq-CUlTcsn2AL886axi3A3zwJ=w1200|https://lh3.googleusercontent.com/pw/AP1GczO9pdyW6f1BEq29MkwJ4of1ELe5-s1BJI2IDFRytN3md10MfR7BvWYgXAE2mArZ91j9LeTwk2hE48GPTc22-Go8rExD4eGzZWLDHAtAb_oVPJprClQi=w1200|https://lh3.googleusercontent.com/pw/AP1GczP2nx2xKn7Cn9zvdNndkeunfTRvcXgMZ4HHobUX9QdEd-1_tvEGc3U6G_fL6vmxWAqstXGAUqS_C6rGxIxv9955d_FHtULch_leSQ25o3wwDAGTUeih=w1200|https://lh3.googleusercontent.com/pw/AP1GczMJM9L7cgEoUahJXOX6OeSa8K9aiZdNm4FWLYouFSG68YLb9GfMP3fSqRIoLNIjB03e1g-Cz5UKrF1Y6vQ0wzCRmH1HHikRCAnFrvk02oFALphLi_0f=w1200|https://lh3.googleusercontent.com/pw/AP1GczMuytIhW7Cj83pxln9EB_yrqYikIub-jYGS2aZY8KQYBQf32r9oZnuZIPhVfbI3j6_t5AWhabZ8_M1hq_UMHl8-3JNJ0EAn2pedkqshbyjZsMGZAhoN=w1200|https://lh3.googleusercontent.com/pw/AP1GczO6Wb6_4B-7PM_HJXGIklI6o2dTisznnRynj5uhEucnGK2BWaDA7kBBTMv-UYP7T16NXhnwx713uLwSo3WtP5PF5Uc69ZzXA8QsgiNd8g-1CZInV1eO=w1200|https://lh3.googleusercontent.com/pw/AP1GczNjgqRyQJYxOgkMDbEDwo5Y5jC5FfCbEhYXma8D0DzYXuG0z9kzm-z7bjyfQZdE4Z57L3K3mWhdSI5jNKl02TgReQVLtuU1O0LpvIUFDAFMdk6gwfPT=w1200|https://lh3.googleusercontent.com/pw/AP1GczNyGJEEjAf5VpDD8CLJG5-n_BQI4gRZT1fW62EyAzTxL6rJj5fzWuK0senO69jLXHslADjj4Q2rCSh-H62hvGeidKVoCzwKMp0_oArl5yMT6m4TV8Ht=w1200|https://lh3.googleusercontent.com/pw/AP1GczMLna-GpL9A73eBM4dFLxVFSX5eJo7b_3l-HUjxjF_XWAQOLL-IXU5s_zOSWBYoH84hmbefFpCBSK-YdSRssEEp49sJRYVGhmQlNkzz-ExfIIRZEyjz=w1200|https://lh3.googleusercontent.com/pw/AP1GczPA4UXKjDLnfLuycXGVtMwzBFyA4fa3M2HeTDn7iuFYE_M_lTnG7M5CHRNPxVWNiiSUsZiXHeiZl_dnGClUzKR2DKtRSwiFlhY2N2Uu-9tJ0hbNmnYa=w1200|https://lh3.googleusercontent.com/pw/AP1GczPG8-BGcPvZXRJPLpqTgeX3IMjc8792KhHZBwD9Aqh0yiuswc5J9FpVY5qLJJr44dG64dQeFyk7atQo65am1iGb2ORLJzF4MBMzloDVse7zwYhc3om2=w1200|https://lh3.googleusercontent.com/pw/AP1GczOVgX2JH68DqxUWg9KXTLEwB23dd-NAv01PKffle6LpaTvhvs4Qq2nQiXNeawWIP4z8TdWkKE3-zyZdxuvvGmAd7Z0De4Ly-bLOHkmKIu5Lx7NNi7EN=w1200|https://lh3.googleusercontent.com/pw/AP1GczNr8g3XQpyiwCUFWM8kgDMa9Ok-REQnXzTfJvY1zdn49JBXJ2P5_MftRg2Hku9D5wmZAdjFeSBTPCsZ-kR76I69pULgXJBeWBSwp8qml0XY-WXY_Ki1=w1200|https://lh3.googleusercontent.com/pw/AP1GczM5azkT3JK3kkZ4WNeS2K8xwSeqMSL9rzX0Z4OY8br3ScmcinL1gUf5iKzS2Pn1B1tNjYcBrfyCoajsQB3KWoDHJXtjVe2-CFACNrCK9CF1lF13bx1P=w1200|https://lh3.googleusercontent.com/pw/AP1GczN2vf6OlJjL-rrOJUI_SxlnnNaqjheUiJcvhlmYehta_PlCBo7hePwmtWIiuqNBrqzBXnjdcKFsrPoWcIzRlv8y1y8H8BIEFw0QJU8uckF4m0VjE5Sr=w1200|https://lh3.googleusercontent.com/pw/AP1GczO2yFxy-m6mCfDFS8zQAShAZvAVtpH4pLHOCqfy79CrvSdDDCU43v6BYdbeSPttuLLE5f0bGmR5UXPFuC7OOTEnW8kayQ8mMKJR5uKp1XArbjk7BYC7=w1200|https://lh3.googleusercontent.com/pw/AP1GczOaYe4W-nWR_PKFc1vZ9mUPmcZJDDV_r8IiAc7BoA25MOE4L7lsRuzDxvPf1D98FOUXWOhr_v2U271rSD3qO3REapql29_mcA376uHXIpqoaXaLiAia=w1200|https://lh3.googleusercontent.com/pw/AP1GczOt2iitcdKgP-03t4yOJ0_s54B54EK02BFp29DFKjMPKmzWcvkHIs3FvWV9jOti1qDtNw9BIH9lzFSftudPpzJdGHfL_Ln8Ye9JfWQ0OiKvycnxj5V9=w1200|https://lh3.googleusercontent.com/pw/AP1GczOjLdWfjbbyWGvndU5cXhaXtXUASPKYo3z8j8uKxkBVnRNGETygXXMELtAwZPNbm6T64oPDU5oYLj74w5wCBkertjUaBiE336qRFRxNoCJqkHyquaPt=w1200|https://lh3.googleusercontent.com/pw/AP1GczPuTyxfNYQ_c-KdpQssBybeBYyFFRNuPJNTRbnrW3FIBVGlfsJIIjBQAfS5h5fXc3den76VIM5jE1mg_HcXOIxhuj_jeTjMunG6ukzSJb8muuKCffsQ=w1200|https://lh3.googleusercontent.com/pw/AP1GczPpyHOD9lJpblmsJa9aYyZuohCeFW0nuHZL6r5I5jF8m8TZLl2lcxYKDVHj_PYC2bwo0WkXYEbZGgMC7Nj2gfXf-nPCdjgO7HWf46nOpjGYvwjukgxU=w1200|https://lh3.googleusercontent.com/pw/AP1GczNfDWYqTDGEi9TvB1lVpfYMr_t563D51QtAE1_pb0JUoeXSeBggWOAEY_kXmL-vaFRA6shKuHCRG3L9nMDcPoPJ1S57iT17N4b-De8u5tzfGF2o3JZn=w1200|https://lh3.googleusercontent.com/pw/AP1GczM9WNS7BAscb22X1fSUKO-H1lsOF7F0ZrNZw1sgggfIyMnpNFC__C8x-f8czURlJipl0R6Q98EUW_D0xYWwVJQ6qyOHQoqYuhKzXJVkw8S78GHxa7wJ=w1200|https://lh3.googleusercontent.com/pw/AP1GczO6JVohbsT6YdboWnmdSmDUdkMEjSU7PNjrs0iBR8HO1DZgUCwkOgnn8i3tlo_wlDKXPlN2fTPN2culZCmW8pd5baqO3PkNmuBBXupwStPiRVeiH37u=w1200|https://lh3.googleusercontent.com/pw/AP1GczOswFQ30a34iH4JesYkQRjd6wJIIn3ci5A9hBwsJWr-Ewr-cGQJvB_IvMduVXAfcUoaRyhy19dZ9YN4JEik3R1fGXmOgA8k1XkNOsC9zdq8Pu3b0Pmw=w1200|https://lh3.googleusercontent.com/pw/AP1GczMxJ70wQMu3eRgARCZc8H2ch7Je2H5dZTITv3p5fOVzmsO1zF1H8pgBipropr96qdlUzGjF44ANXRHI9dko7g9LOWjHOKro2mZ7HCyhH9xuNukmoWfW=w1200|https://lh3.googleusercontent.com/pw/AP1GczOIPB6B4BiRC-qEB7o96HZ4tXAtWAC37OExOFKgkkVqEKdU5zhWpchAiHjLo0ky4lvftEZJDL1icYOyBgyrVQ6P6lnxHwsgPRGGcy2jHCsh-EED0eBP=w1200|https://lh3.googleusercontent.com/pw/AP1GczNnWXfkdFy3qSkiDkqXq0bkj74maTrhSvIFfnsoxcBRD0OSDjzAzNqPy6rP5Xr-5s884-h29y2dWgsvgqY_y76wnLTtgk8TNHODcMM8cjlCZo2_DkOs=w1200|https://lh3.googleusercontent.com/pw/AP1GczOv4qfKIpSNoB4md_rqiLWr4Fq9RJ5yS6OkxdRKlIJcbdnnx1g6QqCrVIET9_yXkf94UsKfc28w90xUQ-F_eNDgcK0B2tHJGTbTOwzJQl1yoHrVxArR=w1200|https://lh3.googleusercontent.com/pw/AP1GczOX6546BKwmxUO_yAmtFv01sMAV11pUlPmD8eLDI8UirGdwcwVu8j3kf217hUOsYuFFuJoFPheLSUj0tU_L-jXV0pxUqbdWDLbPTPOb9EBMGFSusfzl=w1200|https://lh3.googleusercontent.com/pw/AP1GczN4GQjRB05A0LC04kpeSrfI7W4RyxVBGSYsaFUdaysL_KC2bHeU6etLtPIeMdBptLoNPGJcSApQRhLBeotoV0sMxI0z_mU4W_zd3Ad04tWMkVkXrET4=w1200|https://lh3.googleusercontent.com/pw/AP1GczO_OCJK71KjD0Z7RKLm2uvyHDliKzCmI7BDzg6wKDwuhaUDVF-7JIdORBIk8m6_tJJMcRj5A1UZDCvqMzh_h9IjeFFh3huJ6abSWYKJD57Ak5lDWR0J=w1200|https://lh3.googleusercontent.com/pw/AP1GczPfdMzrUQPtV9glNlDsm6K5ZH06kbMvU346_3fvUVJGb9sBBKl5qw3uFHqRkFKX4rvSoF-gaIPlzGuA3tJVEFAz-KYeXQqljy6I9UHII0jvaujgQYl8=w1200|https://lh3.googleusercontent.com/pw/AP1GczOi84nQN2ZcTfGEjMbow1j8LyJUbTAa_bre5IQu8iDbNGVMV0MnLkAxlsbvtk4hRx0O-135kC7grA4k-g5id77srD_oGMLgacrJMYsCTA0nfwHeyEfg=w1200|https://lh3.googleusercontent.com/pw/AP1GczMLAetVz-h0yujdnHBz4lh5u_F3W6WMB1pGQA4ExCndTC6ruNa-zh7LjeY7q0U6oUT4r9jnyD1xV0tRU0d3C6MhFAAqNxPhBMHWjTVpc6Sc-HZzjgpV=w1200|https://lh3.googleusercontent.com/pw/AP1GczNvQhen2KsMMic08et7i4NUG1QWxJ-tn3sxAW13s09wQFjQ3POiJPacg4sW_mSumsjYcovxQ2hslUQsrci41_Cb8Xq6ah6XKe0kmGOOYs9aXtamEkt5=w1200|https://lh3.googleusercontent.com/pw/AP1GczPJFvkY4XBZxEfvHzGp6mYgDoOs2i9cdLTzn8O8tlTZKeqSJaLP3VB1aqPYw3ycvNymnAu64ZZONlTHtrHoG1IvcLwIHWI2SfXUwa2-OzAxu-fKJrMO=w1200|https://lh3.googleusercontent.com/pw/AP1GczOlzaG4Q6GkdY_hz-V4s2_zM69iRZ061VVhEDGOUyeN1WBWz_4LOD5SNYpHFoTgHZLos_ePB1Xjpl2_FNgqC6kORR9CKBm_niiEYFj4O4p6gDuzEnoL=w1200|https://lh3.googleusercontent.com/pw/AP1GczMJjHTGDnNb8R387T8YKxFKO221JEbptaqEkDi6uzW6mR1D0Ja2I-ufnNY8IzvaoJVlMBjvA-Fe5S9AeYk-wAEenr_G-5C-Tehcvhhj87Z1gcaWin0v=w1200|https://lh3.googleusercontent.com/pw/AP1GczPoPPT3IanWlVC3PSq_LGGyVayQStkfAmzteCTTkwEZB_FORzVNPR-Hjq4yjF_o-1VHY2d0Is2upIYqPUFH8tpN1cIalUeXM08ywrBFSXEw1GX2YwDA=w1200|https://lh3.googleusercontent.com/pw/AP1GczNFRNKpA2IzaC7stUxEucj3CQ4EhVDHfytYkS8GnBe6Sq8PCV45Jo9Mf2wyEkBjsg_0WvYb26N9HZYRjsXbzZQRJS1ix-6wZRTeCzeRhpZgGpx6NpiF=w1200|https://lh3.googleusercontent.com/pw/AP1GczP9poemE1DOOHVNgGiSkJxKOLdPPfhkKPdD9ChMLLbx-xL1DDZIUne-cRQjXqVA5zSUf8eGIO81ZaCiXm7s2aGcqx2yrOy8zqiqtpNNKisFqYE1M2fM=w1200|https://lh3.googleusercontent.com/pw/AP1GczM8IsBcLeMz4rJ1WpPeBRw5uZgFmTuaG3jBeA6l1vHnmQWlhCfEufY9JgcGIuCrXiBpMsYJwJ-1-yquNG6_kSzeRR1chM0N78gGT_rx0gtyCiXeom30=w1200|https://lh3.googleusercontent.com/pw/AP1GczMXAU3zeCmo9ZjkkKs4VMnHpTmmUYSj0L9EozbNYf_Zo6cpEQBwZWEAhzNaogUTqZvl8P74rOvL7bIJefrQ6aGFh99lnRJV-T_UxPpaAirycdcNGDeY=w1200|https://lh3.googleusercontent.com/pw/AP1GczOuD9P177W_O-dwEvhyqV8LNVjGftfzNpNBh2-ZZo3ifQJzq4kyLL_iENgbGUGe64Bpt3nvvm3ktouOrQiTiLPQ9Z3y_5UdsuGsapL82yO1XoYHLNJl=w1200|https://lh3.googleusercontent.com/pw/AP1GczP7wDJ7W9to2aDrNownbNqCDenINqHNxnH4Lne4pg-LDL33XB0Amn8pRHUR8WQwVQcsHru4ZvaJK5sxFgEJf6PcEA8pBro4refgoaQZyrM3Jy8BE6Mi=w1200|https://lh3.googleusercontent.com/pw/AP1GczNiIBswMutMP5GOQ4BkqM1Zi6uaVxlBzHYyZGqewRkpY30tHximUb-hf17Hwt68rIe5epfdXCsobmc-eXyJ_PnDBQbIwfjku-0y4VFtmaRENHj9-rLb=w1200|https://lh3.googleusercontent.com/pw/AP1GczNSFtOLICTqLw1hVF_ttgkn4Dh5rYSCAnV0mZcaeAUQlTInf-IXap0HyikVeerSpH0TEjHHtZQ49ivn9ibtMW77GKTan4c5kug3YyuJHmJjGYxrjQt7=w1200|https://lh3.googleusercontent.com/pw/AP1GczMVrLF1Nu06kaukxoU-xYmB2rpA1A5EQfFFNWuxWkqKYJM0iXD2hHYP_qXVf7Lx0xtD4ksO3JjIgMTA745NAuL6Bl8QK-ppKrfrJKgUcDTaUQ-x82ZN=w1200|https://lh3.googleusercontent.com/pw/AP1GczPKE3OkHsm70OIrPHXok0XyODI16II2TDhd8ptmSNVfs35htJTKUTT6SAonJtoeAin4A7DOdFbvuJwDlepznvUf9vCBh7JlbbutZQXBsfC3vX_xOiux=w1200|https://lh3.googleusercontent.com/pw/AP1GczP6xM7Fu-ORQ3jGy2ezRczLokw--iFw61QdtAAf-zCO75_fLkkBY2jKn2uQ5YZPxsc4Yq9SJAYU7x9v74JNKgLEdVZhO7-MV1GAMlBY5Dp-H8KqnV0X=w1200|https://lh3.googleusercontent.com/pw/AP1GczOcd9fmGajUIbGLU4WZb6ZZJziPfso0B36EdqYQSgFURa2r6KSbz3ncjQjcjDXdtoTAXulzQC7BZ1JY3aREB_kpRtxindrOofYz-7AWVBW0c7abEaMg=w1200|https://lh3.googleusercontent.com/pw/AP1GczMFtvcHmcsopW1anvWzzlnNmuyFyAqGWIIMB10AmIP-MDCr_rZ3tS3JoqbqAnelmGjH_6ypl02S2nq6_2qvU5UXXpkxz_BZequM7diDzcYHDpzfozsf=w1200|https://lh3.googleusercontent.com/pw/AP1GczNq3kI8AfvkxfbxOrb2sM8dSou7abymF2OcWmzLIETzMbbzEGVcFOUieyFu9C52_oCJaYrLTjd76kwN1N9vu2QOre2lBIzn4LC4bd2fz3whpWpweNxj=w1200</v>
      </c>
      <c r="AJ240" s="46"/>
      <c r="AK240" s="46"/>
      <c r="AL240" s="46"/>
      <c r="AM240" s="46"/>
      <c r="AN240" s="46"/>
      <c r="AO240" s="46"/>
      <c r="AP240" s="46"/>
      <c r="AQ240" s="46"/>
      <c r="AR240" s="46"/>
      <c r="AS240" s="46"/>
      <c r="AT240" s="46"/>
      <c r="AU240" s="46"/>
      <c r="AV240" s="46"/>
      <c r="AW240" s="46"/>
      <c r="AX240" s="46"/>
      <c r="AY240" s="46"/>
      <c r="AZ240" s="46"/>
      <c r="BA240" s="46"/>
      <c r="BB240" s="46"/>
      <c r="BC240" s="46"/>
      <c r="BD240" s="46"/>
      <c r="BE240" s="46"/>
      <c r="BF240" s="46"/>
      <c r="BG240" s="46"/>
      <c r="BH240" s="46"/>
      <c r="BI240" s="46"/>
      <c r="BJ240" s="46"/>
      <c r="BK240" s="46"/>
      <c r="BL240" s="46"/>
      <c r="BM240" s="46"/>
      <c r="BN240" s="46"/>
      <c r="BO240" s="46"/>
      <c r="BP240" s="46"/>
      <c r="BQ240" s="46"/>
      <c r="BR240" s="46"/>
      <c r="BS240" s="46"/>
      <c r="BT240" s="46"/>
      <c r="BU240" s="46"/>
      <c r="BV240" s="46"/>
      <c r="BW240" s="46"/>
      <c r="BX240" s="46"/>
      <c r="BY240" s="46"/>
      <c r="BZ240" s="46"/>
      <c r="CA240" s="46"/>
      <c r="CB240" s="46"/>
      <c r="CC240" s="46"/>
    </row>
    <row r="241">
      <c r="A241" s="87" t="str">
        <f>IFERROR(__xludf.DUMMYFUNCTION("""COMPUTED_VALUE"""),"743")</f>
        <v>743</v>
      </c>
      <c r="B241" s="46" t="str">
        <f>IFERROR(__xludf.DUMMYFUNCTION("""COMPUTED_VALUE"""),"Lote sub-urbano - Oriente - Vía Vegalarga")</f>
        <v>Lote sub-urbano - Oriente - Vía Vegalarga</v>
      </c>
      <c r="C241" s="46" t="str">
        <f>IFERROR(__xludf.DUMMYFUNCTION("""COMPUTED_VALUE"""),"Lote")</f>
        <v>Lote</v>
      </c>
      <c r="D241" s="46"/>
      <c r="E241" s="90"/>
      <c r="F241" s="90">
        <f>IFERROR(__xludf.DUMMYFUNCTION("""COMPUTED_VALUE"""),3.87E8)</f>
        <v>387000000</v>
      </c>
      <c r="G241" s="46" t="str">
        <f>IFERROR(__xludf.DUMMYFUNCTION("""COMPUTED_VALUE"""),"$300'000.000 a $400'000.000")</f>
        <v>$300'000.000 a $400'000.000</v>
      </c>
      <c r="H241" s="46"/>
      <c r="I241" s="46"/>
      <c r="J241" s="46" t="str">
        <f>IFERROR(__xludf.DUMMYFUNCTION("""COMPUTED_VALUE"""),"Oriente")</f>
        <v>Oriente</v>
      </c>
      <c r="K241" s="87"/>
      <c r="L241" s="46">
        <f>IFERROR(__xludf.DUMMYFUNCTION("""COMPUTED_VALUE"""),0.0)</f>
        <v>0</v>
      </c>
      <c r="M241" s="46"/>
      <c r="N241" s="46">
        <f>IFERROR(__xludf.DUMMYFUNCTION("""COMPUTED_VALUE"""),0.0)</f>
        <v>0</v>
      </c>
      <c r="O241" s="46">
        <f>IFERROR(__xludf.DUMMYFUNCTION("""COMPUTED_VALUE"""),0.0)</f>
        <v>0</v>
      </c>
      <c r="P241" s="46">
        <f>IFERROR(__xludf.DUMMYFUNCTION("""COMPUTED_VALUE"""),0.0)</f>
        <v>0</v>
      </c>
      <c r="Q241" s="92">
        <f>IFERROR(__xludf.DUMMYFUNCTION("""COMPUTED_VALUE"""),0.0)</f>
        <v>0</v>
      </c>
      <c r="R241" s="92">
        <f>IFERROR(__xludf.DUMMYFUNCTION("""COMPUTED_VALUE"""),1798.0)</f>
        <v>1798</v>
      </c>
      <c r="S241" s="87" t="str">
        <f>IFERROR(__xludf.DUMMYFUNCTION("""COMPUTED_VALUE""")," ")</f>
        <v> </v>
      </c>
      <c r="T241" s="46" t="str">
        <f>IFERROR(__xludf.DUMMYFUNCTION("""COMPUTED_VALUE"""),"Neiva")</f>
        <v>Neiva</v>
      </c>
      <c r="U241" s="87" t="str">
        <f>IFERROR(__xludf.DUMMYFUNCTION("""COMPUTED_VALUE"""),"0")</f>
        <v>0</v>
      </c>
      <c r="V241" s="46">
        <f>IFERROR(__xludf.DUMMYFUNCTION("""COMPUTED_VALUE"""),0.0)</f>
        <v>0</v>
      </c>
      <c r="W241" s="46"/>
      <c r="X241" s="46">
        <f>IFERROR(__xludf.DUMMYFUNCTION("""COMPUTED_VALUE"""),0.0)</f>
        <v>0</v>
      </c>
      <c r="Y241" s="46" t="str">
        <f>IFERROR(__xludf.DUMMYFUNCTION("""COMPUTED_VALUE"""),"No tiene")</f>
        <v>No tiene</v>
      </c>
      <c r="Z241" s="90">
        <f>IFERROR(__xludf.DUMMYFUNCTION("""COMPUTED_VALUE"""),0.0)</f>
        <v>0</v>
      </c>
      <c r="AA241" s="33" t="str">
        <f>IFERROR(__xludf.DUMMYFUNCTION("""COMPUTED_VALUE"""),"No aplica")</f>
        <v>No aplica</v>
      </c>
      <c r="AB241" s="96" t="str">
        <f>IFERROR(__xludf.DUMMYFUNCTION("""COMPUTED_VALUE"""),"https://photos.app.goo.gl/owsU4TNseikSa9Nv7")</f>
        <v>https://photos.app.goo.gl/owsU4TNseikSa9Nv7</v>
      </c>
      <c r="AC241" s="46" t="str">
        <f>IFERROR(__xludf.DUMMYFUNCTION("""COMPUTED_VALUE"""),"Lote sub-urbano, ubicado sobre la vía a Vegalarga, cerca de los conjuntos Pradera, Mirador Yerbabuena y Sahara. Si desea mayor amplitud en área, se vende otro lote continuo.")</f>
        <v>Lote sub-urbano, ubicado sobre la vía a Vegalarga, cerca de los conjuntos Pradera, Mirador Yerbabuena y Sahara. Si desea mayor amplitud en área, se vende otro lote continuo.</v>
      </c>
      <c r="AD241" s="46" t="str">
        <f>IFERROR(__xludf.DUMMYFUNCTION("""COMPUTED_VALUE"""),"Sobre vía principal vía Vegalarga. Vereda Ceibas Afuera. Dimensión: 33.0 ml frente x 55.60 ml  fondo Aprox.")</f>
        <v>Sobre vía principal vía Vegalarga. Vereda Ceibas Afuera. Dimensión: 33.0 ml frente x 55.60 ml  fondo Aprox.</v>
      </c>
      <c r="AE241" s="46"/>
      <c r="AF241" s="46">
        <f>IFERROR(__xludf.DUMMYFUNCTION("""COMPUTED_VALUE"""),0.0)</f>
        <v>0</v>
      </c>
      <c r="AG241" s="46"/>
      <c r="AH241" s="46" t="str">
        <f>IFERROR(__xludf.DUMMYFUNCTION("""COMPUTED_VALUE"""),"Verbal")</f>
        <v>Verbal</v>
      </c>
      <c r="AI241" s="92" t="str">
        <f>IFERROR(__xludf.DUMMYFUNCTION("""COMPUTED_VALUE"""),"https://lh3.googleusercontent.com/pw/AP1GczPkaGY81LqlhTwe-Us5Exus861MiV2C5urnf1vYQ4XF3IHsVIpaa-Jb9A5HzCfOf8z7d06mylucCq0eyAP_wGwSWMNkcDe3TMAl-F0iGE3q2027HzED=w1200|https://lh3.googleusercontent.com/pw/AP1GczMo8vp1gd0XVo8xw8UZ05tIv1tG04zviRwDauJVTyBP3jihCb"&amp;"5V09TixXnVQ4jE26rKTV4PSypma1VTvg9gYnWLnJwc6ps5HfkeliREUIponPVF7DlT=w1200|https://lh3.googleusercontent.com/pw/AP1GczOQ75KDwwa1F0Qi12VLUilUcRYCYF0fD4v9Ll5BgbtSDhWnCCUWb7HJMm8yoqsV-meqvib7pn-ChWDupj8JSz-HlUUePj75jU1qepAbkJ58j7hkXPAx=w1200|https://lh3.google"&amp;"usercontent.com/pw/AP1GczMtadOljXNpmSzcrrYr3vMHoIv7eNSAasJNHX-rITBheClpHOHphj-hQu-ppG9p1QR9Rkc8s-JlalfbNvUBFulWLvAnveX2-L-2X1JfM5rQxTbH2H5M=w1200|https://lh3.googleusercontent.com/pw/AP1GczMF9Gr54F4pA-n2qlI6-8SuZfZr4LrQGc4Pam_lfgTWFMZbMRbxgPmWEfL3t2ieWe-v"&amp;"DhXmK_6FMtfo4oGbWS4UjtBJ4bHQSAwWf6U4FvpCx-wmhBew=w1200|https://lh3.googleusercontent.com/pw/AP1GczOrwZE4CnpiP9e8J148xXrATPd84n3J2Yd7a6w_MrC57Z6IKvMZbIJNy-JkCcrdCwvHMITEPsQEbjOe0Lh8LTDBsVIawVQDhsqavZwC39AsluZ9vne_=w1200|https://lh3.googleusercontent.com/pw"&amp;"/AP1GczMzeaZPpFHZLA9xaF2IxsIq-zNtZA6vueQhBw9BoolbT0PBzktJj-p-hfPgLWfGhqzq1Xgiih5Mlr-TGgTJWjmZ-wPvW9yfdX3ORnTzYQ9Bt2fQlg5W=w1200|https://lh3.googleusercontent.com/pw/AP1GczO1Kho5ttsR8KGEmDRevGeGO1Y4qB7wKh_tmZkgeiJu2HV4-o6U88GoB5V8dap3UyDUyxnVTpwMyaOnEL1iLL"&amp;"f4HPQhMz2dHb2CAL0LnMOzLxjKRqRP=w1200|https://lh3.googleusercontent.com/pw/AP1GczO_WuUAohHTMEWLC-zXSWQRhy49AztrGjnO5ZBsbGMxk05kJ101AFNhiKZt-T4_SSnPvawCdCw-QRqPTl0LkvY_G2RnxNeVc3Xjbm66EhvBFFxf43cI=w1200|https://lh3.googleusercontent.com/pw/AP1GczM7s7AJ79D6d"&amp;"OntcSlfO-npmisa5mqn-MPeczAK19vsz2fHrpSVcC5h31EGvPukaSCD2fgFCxMf02Uen7jFO8sTFpSB4HK5IBSUU5bInj-Oe8B-ZIpq=w1200|https://lh3.googleusercontent.com/pw/AP1GczNW5Z8kP8m1d34tyAeRVOP-_3z7S4EEVi4KdTsMOLGyWo9uc_2yMIntZR13wcX3hYTv9U-UCVCSEurx3_S6pKfzHJ9OqHyCy5PpChW-"&amp;"SywSzDG6YB0U=w1200|https://lh3.googleusercontent.com/pw/AP1GczNd0ZkNhJmskjCQ3JxFti34GaXOFXZEqMlDNu--2s5DGhMIr3nFTgK62B6TDIdkPBcqAjKWikzjP32ZAqO5vY-NHc6fymdX8poiobGkJzGqTgNT4dhL=w1200|https://lh3.googleusercontent.com/pw/AP1GczMbBqlSoCZCbPPYVRVZG9rpc3bh_vX"&amp;"7CFvwrYcslfP1Kd3n_VrU3reSlgkk_OpnLhzrKS3m_XICaY2Qx4G4I0vUE2_EW0PCHKxs_eobW3QI4IG9cPJU=w1200|https://lh3.googleusercontent.com/pw/AP1GczPw8PuN84bpg3atoRsZUVK_hylbdtPYpYQ1sQYuFPryoi4NRPk5RVZxK6hXOsNluaNr6ksPxfGlFU2Z_Hasgu37ev3sKpJyIfKabcd-GEjpGFUG7fFE=w1200"&amp;"|https://lh3.googleusercontent.com/pw/AP1GczNEz4cdQnvcPz53ZLvNz02mNE5Ey4qaUhGBeT5y5l7NHCQo7sfSavxfcYTOq_qKa8ATeYL4UnfdhjH-lwdLE0VZNRMcnCcDAn8TQ5mlOQ8NUcc3UjfG=w1200|https://lh3.googleusercontent.com/pw/AP1GczNlpiQmow0n-5P4CxidZIeYaHQ0pvJf-ekTgGqWCaO9Rhv0U"&amp;"0xXYv3ZwSyLN2uSqqaoefEA1Dk0029CMpYVGy0s_jQzPRqa_rZvHV6XIU3zTYaIFD-z=w1200|https://lh3.googleusercontent.com/pw/AP1GczMuBKSoMBpR8NdTKsawpwBBKYnwVxIjetKnd9QccUQjejlmPm4D9rQGfKxWV9I1Jer4EQSl7c7Bc0_hjsD_XdDv-VIsPTbZ0mbCKHXIfOou3DeVI4w5=w1200|https://lh3.googl"&amp;"eusercontent.com/pw/AP1GczPkR3DJTsonjLJAKGSKfTQSVHGLhbDKj710W4SVFWfhQsCirIWlehU5Acq2zaZ6W1BJHLSDKfU9TjX3-RMmVoXQGf6rk6_qgloSJoedbY6W1s_cY6Ip=w1200|https://lh3.googleusercontent.com/pw/AP1GczMhLGo6Zr80AtD0o04S3nF-RW_sFJllCS0JqpUZuxxpVsluhk_uk-NL1fKw0kgX7_S"&amp;"VgG1G1RXofYDEV70zbpUnuW-xcdO3Tzh_IFVP_i7-hKSyCEO0=w1200|https://lh3.googleusercontent.com/pw/AP1GczPfOpcK9vzuO3zY95JqMKHg-COZO8u3Nf9DQnmjAPwuqg92eyVXfK0I7DaTbT-UZx1m0jauUvOOpbjAdBieBBtyxyafWATL5Yjn656V1zvaKEX_E5VY=w1200|https://lh3.googleusercontent.com/p"&amp;"w/AP1GczPvnm5s3-uJOjeXh_7bjbkR9TmqhmKCSGB3OFUCrBrv1CAY7qfwsK6gigyD9O397WGVCIBpJdKd41GbZgaproHOUQ86-nNrtjsXhHxWjdRKtM709otr=w1200|https://lh3.googleusercontent.com/pw/AP1GczPUEQBTqUO9xfWhj-qf57gxufP9qUJPJ0xOxnB5sr063Ldi-mbHVwPePkzaY88-j42sojzwd4tYxdLL8LLtg"&amp;"oNPzff9K_dLNUcXME4MRfuKTQaKtX_s=w1200")</f>
        <v>https://lh3.googleusercontent.com/pw/AP1GczPkaGY81LqlhTwe-Us5Exus861MiV2C5urnf1vYQ4XF3IHsVIpaa-Jb9A5HzCfOf8z7d06mylucCq0eyAP_wGwSWMNkcDe3TMAl-F0iGE3q2027HzED=w1200|https://lh3.googleusercontent.com/pw/AP1GczMo8vp1gd0XVo8xw8UZ05tIv1tG04zviRwDauJVTyBP3jihCb5V09TixXnVQ4jE26rKTV4PSypma1VTvg9gYnWLnJwc6ps5HfkeliREUIponPVF7DlT=w1200|https://lh3.googleusercontent.com/pw/AP1GczOQ75KDwwa1F0Qi12VLUilUcRYCYF0fD4v9Ll5BgbtSDhWnCCUWb7HJMm8yoqsV-meqvib7pn-ChWDupj8JSz-HlUUePj75jU1qepAbkJ58j7hkXPAx=w1200|https://lh3.googleusercontent.com/pw/AP1GczMtadOljXNpmSzcrrYr3vMHoIv7eNSAasJNHX-rITBheClpHOHphj-hQu-ppG9p1QR9Rkc8s-JlalfbNvUBFulWLvAnveX2-L-2X1JfM5rQxTbH2H5M=w1200|https://lh3.googleusercontent.com/pw/AP1GczMF9Gr54F4pA-n2qlI6-8SuZfZr4LrQGc4Pam_lfgTWFMZbMRbxgPmWEfL3t2ieWe-vDhXmK_6FMtfo4oGbWS4UjtBJ4bHQSAwWf6U4FvpCx-wmhBew=w1200|https://lh3.googleusercontent.com/pw/AP1GczOrwZE4CnpiP9e8J148xXrATPd84n3J2Yd7a6w_MrC57Z6IKvMZbIJNy-JkCcrdCwvHMITEPsQEbjOe0Lh8LTDBsVIawVQDhsqavZwC39AsluZ9vne_=w1200|https://lh3.googleusercontent.com/pw/AP1GczMzeaZPpFHZLA9xaF2IxsIq-zNtZA6vueQhBw9BoolbT0PBzktJj-p-hfPgLWfGhqzq1Xgiih5Mlr-TGgTJWjmZ-wPvW9yfdX3ORnTzYQ9Bt2fQlg5W=w1200|https://lh3.googleusercontent.com/pw/AP1GczO1Kho5ttsR8KGEmDRevGeGO1Y4qB7wKh_tmZkgeiJu2HV4-o6U88GoB5V8dap3UyDUyxnVTpwMyaOnEL1iLLf4HPQhMz2dHb2CAL0LnMOzLxjKRqRP=w1200|https://lh3.googleusercontent.com/pw/AP1GczO_WuUAohHTMEWLC-zXSWQRhy49AztrGjnO5ZBsbGMxk05kJ101AFNhiKZt-T4_SSnPvawCdCw-QRqPTl0LkvY_G2RnxNeVc3Xjbm66EhvBFFxf43cI=w1200|https://lh3.googleusercontent.com/pw/AP1GczM7s7AJ79D6dOntcSlfO-npmisa5mqn-MPeczAK19vsz2fHrpSVcC5h31EGvPukaSCD2fgFCxMf02Uen7jFO8sTFpSB4HK5IBSUU5bInj-Oe8B-ZIpq=w1200|https://lh3.googleusercontent.com/pw/AP1GczNW5Z8kP8m1d34tyAeRVOP-_3z7S4EEVi4KdTsMOLGyWo9uc_2yMIntZR13wcX3hYTv9U-UCVCSEurx3_S6pKfzHJ9OqHyCy5PpChW-SywSzDG6YB0U=w1200|https://lh3.googleusercontent.com/pw/AP1GczNd0ZkNhJmskjCQ3JxFti34GaXOFXZEqMlDNu--2s5DGhMIr3nFTgK62B6TDIdkPBcqAjKWikzjP32ZAqO5vY-NHc6fymdX8poiobGkJzGqTgNT4dhL=w1200|https://lh3.googleusercontent.com/pw/AP1GczMbBqlSoCZCbPPYVRVZG9rpc3bh_vX7CFvwrYcslfP1Kd3n_VrU3reSlgkk_OpnLhzrKS3m_XICaY2Qx4G4I0vUE2_EW0PCHKxs_eobW3QI4IG9cPJU=w1200|https://lh3.googleusercontent.com/pw/AP1GczPw8PuN84bpg3atoRsZUVK_hylbdtPYpYQ1sQYuFPryoi4NRPk5RVZxK6hXOsNluaNr6ksPxfGlFU2Z_Hasgu37ev3sKpJyIfKabcd-GEjpGFUG7fFE=w1200|https://lh3.googleusercontent.com/pw/AP1GczNEz4cdQnvcPz53ZLvNz02mNE5Ey4qaUhGBeT5y5l7NHCQo7sfSavxfcYTOq_qKa8ATeYL4UnfdhjH-lwdLE0VZNRMcnCcDAn8TQ5mlOQ8NUcc3UjfG=w1200|https://lh3.googleusercontent.com/pw/AP1GczNlpiQmow0n-5P4CxidZIeYaHQ0pvJf-ekTgGqWCaO9Rhv0U0xXYv3ZwSyLN2uSqqaoefEA1Dk0029CMpYVGy0s_jQzPRqa_rZvHV6XIU3zTYaIFD-z=w1200|https://lh3.googleusercontent.com/pw/AP1GczMuBKSoMBpR8NdTKsawpwBBKYnwVxIjetKnd9QccUQjejlmPm4D9rQGfKxWV9I1Jer4EQSl7c7Bc0_hjsD_XdDv-VIsPTbZ0mbCKHXIfOou3DeVI4w5=w1200|https://lh3.googleusercontent.com/pw/AP1GczPkR3DJTsonjLJAKGSKfTQSVHGLhbDKj710W4SVFWfhQsCirIWlehU5Acq2zaZ6W1BJHLSDKfU9TjX3-RMmVoXQGf6rk6_qgloSJoedbY6W1s_cY6Ip=w1200|https://lh3.googleusercontent.com/pw/AP1GczMhLGo6Zr80AtD0o04S3nF-RW_sFJllCS0JqpUZuxxpVsluhk_uk-NL1fKw0kgX7_SVgG1G1RXofYDEV70zbpUnuW-xcdO3Tzh_IFVP_i7-hKSyCEO0=w1200|https://lh3.googleusercontent.com/pw/AP1GczPfOpcK9vzuO3zY95JqMKHg-COZO8u3Nf9DQnmjAPwuqg92eyVXfK0I7DaTbT-UZx1m0jauUvOOpbjAdBieBBtyxyafWATL5Yjn656V1zvaKEX_E5VY=w1200|https://lh3.googleusercontent.com/pw/AP1GczPvnm5s3-uJOjeXh_7bjbkR9TmqhmKCSGB3OFUCrBrv1CAY7qfwsK6gigyD9O397WGVCIBpJdKd41GbZgaproHOUQ86-nNrtjsXhHxWjdRKtM709otr=w1200|https://lh3.googleusercontent.com/pw/AP1GczPUEQBTqUO9xfWhj-qf57gxufP9qUJPJ0xOxnB5sr063Ldi-mbHVwPePkzaY88-j42sojzwd4tYxdLL8LLtgoNPzff9K_dLNUcXME4MRfuKTQaKtX_s=w1200</v>
      </c>
      <c r="AJ241" s="46"/>
      <c r="AK241" s="46"/>
      <c r="AL241" s="46"/>
      <c r="AM241" s="46"/>
      <c r="AN241" s="46"/>
      <c r="AO241" s="46"/>
      <c r="AP241" s="46"/>
      <c r="AQ241" s="46"/>
      <c r="AR241" s="46"/>
      <c r="AS241" s="46"/>
      <c r="AT241" s="46"/>
      <c r="AU241" s="46"/>
      <c r="AV241" s="46"/>
      <c r="AW241" s="46"/>
      <c r="AX241" s="46"/>
      <c r="AY241" s="46"/>
      <c r="AZ241" s="46"/>
      <c r="BA241" s="46"/>
      <c r="BB241" s="46"/>
      <c r="BC241" s="46"/>
      <c r="BD241" s="46"/>
      <c r="BE241" s="46"/>
      <c r="BF241" s="46"/>
      <c r="BG241" s="46"/>
      <c r="BH241" s="46"/>
      <c r="BI241" s="46"/>
      <c r="BJ241" s="46"/>
      <c r="BK241" s="46"/>
      <c r="BL241" s="46"/>
      <c r="BM241" s="46"/>
      <c r="BN241" s="46"/>
      <c r="BO241" s="46"/>
      <c r="BP241" s="46"/>
      <c r="BQ241" s="46"/>
      <c r="BR241" s="46"/>
      <c r="BS241" s="46"/>
      <c r="BT241" s="46"/>
      <c r="BU241" s="46"/>
      <c r="BV241" s="46"/>
      <c r="BW241" s="46"/>
      <c r="BX241" s="46"/>
      <c r="BY241" s="46"/>
      <c r="BZ241" s="46"/>
      <c r="CA241" s="46"/>
      <c r="CB241" s="46"/>
      <c r="CC241" s="46"/>
    </row>
    <row r="242">
      <c r="A242" s="87" t="str">
        <f>IFERROR(__xludf.DUMMYFUNCTION("""COMPUTED_VALUE"""),"423")</f>
        <v>423</v>
      </c>
      <c r="B242" s="46" t="str">
        <f>IFERROR(__xludf.DUMMYFUNCTION("""COMPUTED_VALUE"""),"Casa con apartaestudio y habitación independientes en barrio Las Granjas")</f>
        <v>Casa con apartaestudio y habitación independientes en barrio Las Granjas</v>
      </c>
      <c r="C242" s="46" t="str">
        <f>IFERROR(__xludf.DUMMYFUNCTION("""COMPUTED_VALUE"""),"Casa rentable")</f>
        <v>Casa rentable</v>
      </c>
      <c r="D242" s="46" t="str">
        <f>IFERROR(__xludf.DUMMYFUNCTION("""COMPUTED_VALUE"""),"Las Granjas")</f>
        <v>Las Granjas</v>
      </c>
      <c r="E242" s="46"/>
      <c r="F242" s="90">
        <f>IFERROR(__xludf.DUMMYFUNCTION("""COMPUTED_VALUE"""),3.8E8)</f>
        <v>380000000</v>
      </c>
      <c r="G242" s="46" t="str">
        <f>IFERROR(__xludf.DUMMYFUNCTION("""COMPUTED_VALUE"""),"$300'000.000 a $400'000.000")</f>
        <v>$300'000.000 a $400'000.000</v>
      </c>
      <c r="H242" s="46"/>
      <c r="I242" s="46"/>
      <c r="J242" s="46" t="str">
        <f>IFERROR(__xludf.DUMMYFUNCTION("""COMPUTED_VALUE"""),"Norte")</f>
        <v>Norte</v>
      </c>
      <c r="K242" s="87" t="str">
        <f>IFERROR(__xludf.DUMMYFUNCTION("""COMPUTED_VALUE"""),"2")</f>
        <v>2</v>
      </c>
      <c r="L242" s="46">
        <f>IFERROR(__xludf.DUMMYFUNCTION("""COMPUTED_VALUE"""),6.0)</f>
        <v>6</v>
      </c>
      <c r="M242" s="46"/>
      <c r="N242" s="46">
        <f>IFERROR(__xludf.DUMMYFUNCTION("""COMPUTED_VALUE"""),4.0)</f>
        <v>4</v>
      </c>
      <c r="O242" s="46">
        <f>IFERROR(__xludf.DUMMYFUNCTION("""COMPUTED_VALUE"""),1.0)</f>
        <v>1</v>
      </c>
      <c r="P242" s="46">
        <f>IFERROR(__xludf.DUMMYFUNCTION("""COMPUTED_VALUE"""),1.0)</f>
        <v>1</v>
      </c>
      <c r="Q242" s="179"/>
      <c r="R242" s="92">
        <f>IFERROR(__xludf.DUMMYFUNCTION("""COMPUTED_VALUE"""),297.0)</f>
        <v>297</v>
      </c>
      <c r="S242" s="87" t="str">
        <f>IFERROR(__xludf.DUMMYFUNCTION("""COMPUTED_VALUE"""),"Rentabilidad $1,915,000")</f>
        <v>Rentabilidad $1,915,000</v>
      </c>
      <c r="T242" s="46" t="str">
        <f>IFERROR(__xludf.DUMMYFUNCTION("""COMPUTED_VALUE"""),"Neiva")</f>
        <v>Neiva</v>
      </c>
      <c r="U242" s="87" t="str">
        <f>IFERROR(__xludf.DUMMYFUNCTION("""COMPUTED_VALUE"""),"2")</f>
        <v>2</v>
      </c>
      <c r="V242" s="46" t="str">
        <f>IFERROR(__xludf.DUMMYFUNCTION("""COMPUTED_VALUE"""),"Medianera")</f>
        <v>Medianera</v>
      </c>
      <c r="W242" s="46"/>
      <c r="X242" s="46" t="str">
        <f>IFERROR(__xludf.DUMMYFUNCTION("""COMPUTED_VALUE"""),"No")</f>
        <v>No</v>
      </c>
      <c r="Y242" s="179" t="str">
        <f>IFERROR(__xludf.DUMMYFUNCTION("""COMPUTED_VALUE"""),"No tiene")</f>
        <v>No tiene</v>
      </c>
      <c r="Z242" s="90" t="str">
        <f>IFERROR(__xludf.DUMMYFUNCTION("""COMPUTED_VALUE"""),"No aplica")</f>
        <v>No aplica</v>
      </c>
      <c r="AA242" s="33" t="str">
        <f>IFERROR(__xludf.DUMMYFUNCTION("""COMPUTED_VALUE"""),"17 años")</f>
        <v>17 años</v>
      </c>
      <c r="AB242" s="144" t="str">
        <f>IFERROR(__xludf.DUMMYFUNCTION("""COMPUTED_VALUE"""),"https://photos.app.goo.gl/VAdNDoM3VY9Lrx4HA")</f>
        <v>https://photos.app.goo.gl/VAdNDoM3VY9Lrx4HA</v>
      </c>
      <c r="AC242" s="46"/>
      <c r="AD242" s="46" t="str">
        <f>IFERROR(__xludf.DUMMYFUNCTION("""COMPUTED_VALUE"""),"Casa  antigua, ubicada sobre vía amplia, pasa  por el frente transporte público. Dimensión del lote 9.0 ml x 33.0 ml es el segundo lote más amplio del barrio. Con reja antejardín  altura antepecho.  Ubicada frente a un parque. Patio central y patio amplio"&amp;" con 2 árboles de naranja agria y breva. Escritura al día. No se permuta.")</f>
        <v>Casa  antigua, ubicada sobre vía amplia, pasa  por el frente transporte público. Dimensión del lote 9.0 ml x 33.0 ml es el segundo lote más amplio del barrio. Con reja antejardín  altura antepecho.  Ubicada frente a un parque. Patio central y patio amplio con 2 árboles de naranja agria y breva. Escritura al día. No se permuta.</v>
      </c>
      <c r="AE242" s="46"/>
      <c r="AF242" s="46" t="str">
        <f>IFERROR(__xludf.DUMMYFUNCTION("""COMPUTED_VALUE"""),"semi-integral")</f>
        <v>semi-integral</v>
      </c>
      <c r="AG242" s="46"/>
      <c r="AH242" s="46" t="str">
        <f>IFERROR(__xludf.DUMMYFUNCTION("""COMPUTED_VALUE"""),"Verbal")</f>
        <v>Verbal</v>
      </c>
      <c r="AI242" s="92" t="str">
        <f>IFERROR(__xludf.DUMMYFUNCTION("""COMPUTED_VALUE"""),"https://lh3.googleusercontent.com/pw/AP1GczOOA_Gh7dU3_R3RnuIUJKafUdT15sXBvClQ3dXNp2uKoq2y4A3Fq_QHWs-RP09aDQlzdjb5og7gtBKv47lFPtECdAxM1NbTDPV0frYOOXiCgOS9IQMy=w1200|https://lh3.googleusercontent.com/pw/AP1GczMU1Pqc_KbnX5E46pD6Fk5-rsQ20KevVCGqE3GpV1P0EauWkL"&amp;"AXOuqyoP6vTp9ybgKpIUSFBe0jj0Bv3bCgFy_zet2RrqbHSyIrfbmuN3nH6MYmH4FW=w1200|https://lh3.googleusercontent.com/pw/AP1GczOkAAAOUHXxLQU-mA_bG4crPElJU7hykJHkxDfv0MsdS4ZUQQlRTdwerB3u7RzSM6yZKSUV9X2B-8Hvz3TPVWUqh8LZ-JVsMaQtoe_yP-5lKvlbluUI=w1200|https://lh3.google"&amp;"usercontent.com/pw/AP1GczN4UNFYOaeUDakC3j1ONnOyKlP82hSa6tQAUQcjmpuZlFg1bwYabdRcoZ733yEeSfiZb7mZfD_XQ4B2zMrdkFcKkInBSwJodqxZlC6ZFqedh5PB5tjv=w1200|https://lh3.googleusercontent.com/pw/AP1GczNVABLodJE04Gl2aDXshLoz18YIKRFSrO5vPHv_vMxI7epsbaFGKWzvpA3LClZBM20G"&amp;"6Zg_E3vOXIYmJedK2tSvHaSTORUSLn9q8L_ue-7JcKvtpvN0=w1200|https://lh3.googleusercontent.com/pw/AP1GczNWNlON4hHK4DYP4KeyUfN52LD98C2hLmKBse-yLhykXiCAZ13_kVbVqvvgajMa2-xTxsew5l3acG0t1j9f71WAL8C_AqcugNDQ6Kb657k2EUA86Pif=w1200|https://lh3.googleusercontent.com/pw"&amp;"/AP1GczPzPdhXUX6qzdygpQw6gtoRMarZ-X8XbUe2TfEylYu-fDXYhaq594hiubL8V6Km1iVnTqsjzX44GgG9As5OITWlX3pH0iXZPOWm42jiSG7Pk35jRzl-=w1200|https://lh3.googleusercontent.com/pw/AP1GczMPj80W7oZaFJDIrny-5blojJOHa7xVyis9K4n50owhKOmNk4_TU6tCat2xq9MoY1N5ZTi_yUfmP81XkL2dQ9"&amp;"rXpreZN9PiUo-lanIz6cm3dHx2ms1v=w1200|https://lh3.googleusercontent.com/pw/AP1GczPViCGgPq3WFoK_xmCCkfbZqsWLSPif-XIUjQd4NF4x1X_21d4CWEG4bZd2s9avGRrTWk6vthj-TRPi-onNu9oLe-ISjIIKwWzKA_TYgTRMGVtFw0KN=w1200|https://lh3.googleusercontent.com/pw/AP1GczPrUC-Bgi4JA"&amp;"12EJ87ZANbYgdmXQl998HLKRFct-q0Sta-8ytR4DNyBbxkR2zzYxn26xImQlD0L9Eahmb3kN4Q43wOz-V4VPHSJaYa5Iko2cWrZRHrW=w1200|https://lh3.googleusercontent.com/pw/AP1GczNuacz3aqpIpshZOeiEoD-8ABIOlbWVMgScOrVfDUoGfdRUDqhVW0gLMxopPXUyejp6eKtH8BNHAusCIGZeJLzs47sSWtmbRJ3aXhi_"&amp;"odUS2wrvcK2R=w1200|https://lh3.googleusercontent.com/pw/AP1GczNrV110nCVjdqP1nZUCo2d5NjhZObd8xFpzbpiD2plVhAbtHrjXj0bhM_VdNtC-gU_Bs_UplR-ns_COH4C4R_UHQlEniSVSC8djH4rzrzprCp4sXaJL=w1200|https://lh3.googleusercontent.com/pw/AP1GczO540Gjvv06l7PJHaY-FH4D-oOHlEz"&amp;"zQ2foFJ5ZcolU7CAJY9rFPhfeZcH_U1PIXVAvw0juKx1unJI-fc1WYks5ENq3Miu3UVoGn3XhfDJC8kUUL1_D=w1200|https://lh3.googleusercontent.com/pw/AP1GczMB4kgTya9d9-vIKQCsLTFZsYk8OzOK2zEjgZ2PzluLAa_WgA2PfTkB6g8mAhlBnxFIKU1hHTHlaZ2loLFyCcOu2_qF4_j_clwlpq-JXsSCJwutts1j=w1200"&amp;"|https://lh3.googleusercontent.com/pw/AP1GczNBn-AAPsQ-0T6rAhWcGE9WqsMvxebKNAmZ6rkQ6aN7uRG5l3hjkjToImaGnw6A5vTKBFHZJHkhN2_LrC3lS6KMXwXg4OYIhQ7mkgUxajH3JuwZwY4g=w1200|https://lh3.googleusercontent.com/pw/AP1GczODMVcoHbnturoWwYNUIMpOQvZahwAddJ18CfoSWC-Giuo8q"&amp;"xesSJkW2P2Yt3_jMgMzGhpFRQ4d-nj5U1zu2ulWNKUM76kJtdUe-Xio4oaq9q7Gc6WP=w1200|https://lh3.googleusercontent.com/pw/AP1GczPX9xiGojxQJPC71iD_DuVeHojOtufAgilNIcV6l7AM7-b7lG4PfEVWHR3kny-kOvmv5ISwHxGIGvDcU3ozElrXeR47384IlDbX7tRu4EOQU3h8Ywvi=w1200|https://lh3.googl"&amp;"eusercontent.com/pw/AP1GczOlOfDpRBbx8l_LOGnFDDpMsugamq5FqarXOL_WwG1R4ISQXXbL-k2tBecAv3VcAIgLkpa6YNVEcaijYRvQPYMebt8nyQgBI3CYhWn3_QjozWn058QY=w1200|https://lh3.googleusercontent.com/pw/AP1GczMIuXuHqHmhwXJ1b2VbKH6pr2tEuP6EQW4XTc2z5m4JfcpF6_tGk8iw2b1rQLaukiW"&amp;"UMxlLdWDNf0K9NA-64ANkkJwS8AWy0KTnaI1nQodugoZvaSW2=w1200|https://lh3.googleusercontent.com/pw/AP1GczO97zxxNB-gb3ZvgP-j5SDm9DG0VauOKZG8DQpaoSKZJUQq2iT4Fqg2wGCxX5MTRDcMyJ_uX-C8TKZpzli4PEuKBjJOfnxlWOZ-RR1eGZGZRgZoCzbB=w1200|https://lh3.googleusercontent.com/p"&amp;"w/AP1GczMoPqMnx60XEEfQyJIJocAXooDWuRAkTeARXRgQq_jj_TbJIYBxPUSTwN28RatPjzJnr3k9F30bLXFxQ28GYyRq5PRhflekyx4GiA3_dCpaoT5HrJz2=w1200|https://lh3.googleusercontent.com/pw/AP1GczMCc97EWH4BdZYH-AHmVa1vBpotPRXNA9lA1SftseuLySi832VaClPKCfxosMPT3bucOAKkEOg-CjWvd1HhA"&amp;"iU9V1lXNlUEWapbrWol1d-ze9ypIreL=w1200|https://lh3.googleusercontent.com/pw/AP1GczOm9NSAcslbd_y442LrTaQb-RClNqX964uakTm4ValWEetdtC8PohtBauWxCNhE5Rn_kR0qM3RYkeAnOovBot-UwL5QgFqAEW1Bc6KMvMWdv1wOk2xv=w1200|https://lh3.googleusercontent.com/pw/AP1GczPe5HzndHw7"&amp;"hWFkRSjNwz_kx259iOSPW-oVbDZog7Yto9QyDaCtV9O5cvjlHwiBCKLqAsA52p2t7E6QHAL5aCQ3lYnvWgAmUGSLCM1Gc0yPdFvq_HvF=w1200|https://lh3.googleusercontent.com/pw/AP1GczOZConiFTBPvyx84Zu2esPUyABfCKNdms3b7IigB2wdUCuef1S_fG2uPC-gAuyitNAY-WxV4j9wn8mAmZz-he0XIDjExXxtJ8v5VHc"&amp;"ixyVjCqz_YiBt=w1200|https://lh3.googleusercontent.com/pw/AP1GczM2jLhVDGQlUOELmEOpVepTTYxI34cdU6ZYDTDCILo4tNVncldSg2KhDlMfXJ2XDtAZ8LcreZpTB19OIDwcSRAuV0NgGsQROwBulNjJKmQe2D3WT6kr=w1200|https://lh3.googleusercontent.com/pw/AP1GczOr0X-ljNd_fC8gCOb1r6wJs6AHIu"&amp;"MV9yCjejD5beH0BsOuD-o6NyIAKfO0auIbfLk3v4qZSBh4qPEKh1z-zwDfaachiLR6l3xlr0iLB8IxkWi0lDAy=w1200|https://lh3.googleusercontent.com/pw/AP1GczOK6Zf2c40kir5QDvTqG7gyUmhRyXq7Xlmt_2uDk_DYYVp-hoVEO5_ZckTO1dYAoQRD2TMVwMjvXLt_DIr6X9Pzg2tQbGArTXZ_yFE5qKY-hyruxSn8=w120"&amp;"0|https://lh3.googleusercontent.com/pw/AP1GczPcbe31-iErCvLVf104ABzgdyLMrs2GEcbLntBJ0A7pnJY16787dXYVl0kvesTx9PHPf26nvCmfFCyQJUHZ1dP2Ld_4AlH7415oYdUXy2HNfQ-g3aeW=w1200|https://lh3.googleusercontent.com/pw/AP1GczNc3tQ6lblCrDwzYuF0U2fYU_i2jncWjdL-aDgaI7r3fktu"&amp;"uJzbZWqkjUQ8SqozWw5a7SX6FYCsZj9eSz4pA-ELVE-dPS7k_dnt3JUyPdUgnKpO6c5V=w1200")</f>
        <v>https://lh3.googleusercontent.com/pw/AP1GczOOA_Gh7dU3_R3RnuIUJKafUdT15sXBvClQ3dXNp2uKoq2y4A3Fq_QHWs-RP09aDQlzdjb5og7gtBKv47lFPtECdAxM1NbTDPV0frYOOXiCgOS9IQMy=w1200|https://lh3.googleusercontent.com/pw/AP1GczMU1Pqc_KbnX5E46pD6Fk5-rsQ20KevVCGqE3GpV1P0EauWkLAXOuqyoP6vTp9ybgKpIUSFBe0jj0Bv3bCgFy_zet2RrqbHSyIrfbmuN3nH6MYmH4FW=w1200|https://lh3.googleusercontent.com/pw/AP1GczOkAAAOUHXxLQU-mA_bG4crPElJU7hykJHkxDfv0MsdS4ZUQQlRTdwerB3u7RzSM6yZKSUV9X2B-8Hvz3TPVWUqh8LZ-JVsMaQtoe_yP-5lKvlbluUI=w1200|https://lh3.googleusercontent.com/pw/AP1GczN4UNFYOaeUDakC3j1ONnOyKlP82hSa6tQAUQcjmpuZlFg1bwYabdRcoZ733yEeSfiZb7mZfD_XQ4B2zMrdkFcKkInBSwJodqxZlC6ZFqedh5PB5tjv=w1200|https://lh3.googleusercontent.com/pw/AP1GczNVABLodJE04Gl2aDXshLoz18YIKRFSrO5vPHv_vMxI7epsbaFGKWzvpA3LClZBM20G6Zg_E3vOXIYmJedK2tSvHaSTORUSLn9q8L_ue-7JcKvtpvN0=w1200|https://lh3.googleusercontent.com/pw/AP1GczNWNlON4hHK4DYP4KeyUfN52LD98C2hLmKBse-yLhykXiCAZ13_kVbVqvvgajMa2-xTxsew5l3acG0t1j9f71WAL8C_AqcugNDQ6Kb657k2EUA86Pif=w1200|https://lh3.googleusercontent.com/pw/AP1GczPzPdhXUX6qzdygpQw6gtoRMarZ-X8XbUe2TfEylYu-fDXYhaq594hiubL8V6Km1iVnTqsjzX44GgG9As5OITWlX3pH0iXZPOWm42jiSG7Pk35jRzl-=w1200|https://lh3.googleusercontent.com/pw/AP1GczMPj80W7oZaFJDIrny-5blojJOHa7xVyis9K4n50owhKOmNk4_TU6tCat2xq9MoY1N5ZTi_yUfmP81XkL2dQ9rXpreZN9PiUo-lanIz6cm3dHx2ms1v=w1200|https://lh3.googleusercontent.com/pw/AP1GczPViCGgPq3WFoK_xmCCkfbZqsWLSPif-XIUjQd4NF4x1X_21d4CWEG4bZd2s9avGRrTWk6vthj-TRPi-onNu9oLe-ISjIIKwWzKA_TYgTRMGVtFw0KN=w1200|https://lh3.googleusercontent.com/pw/AP1GczPrUC-Bgi4JA12EJ87ZANbYgdmXQl998HLKRFct-q0Sta-8ytR4DNyBbxkR2zzYxn26xImQlD0L9Eahmb3kN4Q43wOz-V4VPHSJaYa5Iko2cWrZRHrW=w1200|https://lh3.googleusercontent.com/pw/AP1GczNuacz3aqpIpshZOeiEoD-8ABIOlbWVMgScOrVfDUoGfdRUDqhVW0gLMxopPXUyejp6eKtH8BNHAusCIGZeJLzs47sSWtmbRJ3aXhi_odUS2wrvcK2R=w1200|https://lh3.googleusercontent.com/pw/AP1GczNrV110nCVjdqP1nZUCo2d5NjhZObd8xFpzbpiD2plVhAbtHrjXj0bhM_VdNtC-gU_Bs_UplR-ns_COH4C4R_UHQlEniSVSC8djH4rzrzprCp4sXaJL=w1200|https://lh3.googleusercontent.com/pw/AP1GczO540Gjvv06l7PJHaY-FH4D-oOHlEzzQ2foFJ5ZcolU7CAJY9rFPhfeZcH_U1PIXVAvw0juKx1unJI-fc1WYks5ENq3Miu3UVoGn3XhfDJC8kUUL1_D=w1200|https://lh3.googleusercontent.com/pw/AP1GczMB4kgTya9d9-vIKQCsLTFZsYk8OzOK2zEjgZ2PzluLAa_WgA2PfTkB6g8mAhlBnxFIKU1hHTHlaZ2loLFyCcOu2_qF4_j_clwlpq-JXsSCJwutts1j=w1200|https://lh3.googleusercontent.com/pw/AP1GczNBn-AAPsQ-0T6rAhWcGE9WqsMvxebKNAmZ6rkQ6aN7uRG5l3hjkjToImaGnw6A5vTKBFHZJHkhN2_LrC3lS6KMXwXg4OYIhQ7mkgUxajH3JuwZwY4g=w1200|https://lh3.googleusercontent.com/pw/AP1GczODMVcoHbnturoWwYNUIMpOQvZahwAddJ18CfoSWC-Giuo8qxesSJkW2P2Yt3_jMgMzGhpFRQ4d-nj5U1zu2ulWNKUM76kJtdUe-Xio4oaq9q7Gc6WP=w1200|https://lh3.googleusercontent.com/pw/AP1GczPX9xiGojxQJPC71iD_DuVeHojOtufAgilNIcV6l7AM7-b7lG4PfEVWHR3kny-kOvmv5ISwHxGIGvDcU3ozElrXeR47384IlDbX7tRu4EOQU3h8Ywvi=w1200|https://lh3.googleusercontent.com/pw/AP1GczOlOfDpRBbx8l_LOGnFDDpMsugamq5FqarXOL_WwG1R4ISQXXbL-k2tBecAv3VcAIgLkpa6YNVEcaijYRvQPYMebt8nyQgBI3CYhWn3_QjozWn058QY=w1200|https://lh3.googleusercontent.com/pw/AP1GczMIuXuHqHmhwXJ1b2VbKH6pr2tEuP6EQW4XTc2z5m4JfcpF6_tGk8iw2b1rQLaukiWUMxlLdWDNf0K9NA-64ANkkJwS8AWy0KTnaI1nQodugoZvaSW2=w1200|https://lh3.googleusercontent.com/pw/AP1GczO97zxxNB-gb3ZvgP-j5SDm9DG0VauOKZG8DQpaoSKZJUQq2iT4Fqg2wGCxX5MTRDcMyJ_uX-C8TKZpzli4PEuKBjJOfnxlWOZ-RR1eGZGZRgZoCzbB=w1200|https://lh3.googleusercontent.com/pw/AP1GczMoPqMnx60XEEfQyJIJocAXooDWuRAkTeARXRgQq_jj_TbJIYBxPUSTwN28RatPjzJnr3k9F30bLXFxQ28GYyRq5PRhflekyx4GiA3_dCpaoT5HrJz2=w1200|https://lh3.googleusercontent.com/pw/AP1GczMCc97EWH4BdZYH-AHmVa1vBpotPRXNA9lA1SftseuLySi832VaClPKCfxosMPT3bucOAKkEOg-CjWvd1HhAiU9V1lXNlUEWapbrWol1d-ze9ypIreL=w1200|https://lh3.googleusercontent.com/pw/AP1GczOm9NSAcslbd_y442LrTaQb-RClNqX964uakTm4ValWEetdtC8PohtBauWxCNhE5Rn_kR0qM3RYkeAnOovBot-UwL5QgFqAEW1Bc6KMvMWdv1wOk2xv=w1200|https://lh3.googleusercontent.com/pw/AP1GczPe5HzndHw7hWFkRSjNwz_kx259iOSPW-oVbDZog7Yto9QyDaCtV9O5cvjlHwiBCKLqAsA52p2t7E6QHAL5aCQ3lYnvWgAmUGSLCM1Gc0yPdFvq_HvF=w1200|https://lh3.googleusercontent.com/pw/AP1GczOZConiFTBPvyx84Zu2esPUyABfCKNdms3b7IigB2wdUCuef1S_fG2uPC-gAuyitNAY-WxV4j9wn8mAmZz-he0XIDjExXxtJ8v5VHcixyVjCqz_YiBt=w1200|https://lh3.googleusercontent.com/pw/AP1GczM2jLhVDGQlUOELmEOpVepTTYxI34cdU6ZYDTDCILo4tNVncldSg2KhDlMfXJ2XDtAZ8LcreZpTB19OIDwcSRAuV0NgGsQROwBulNjJKmQe2D3WT6kr=w1200|https://lh3.googleusercontent.com/pw/AP1GczOr0X-ljNd_fC8gCOb1r6wJs6AHIuMV9yCjejD5beH0BsOuD-o6NyIAKfO0auIbfLk3v4qZSBh4qPEKh1z-zwDfaachiLR6l3xlr0iLB8IxkWi0lDAy=w1200|https://lh3.googleusercontent.com/pw/AP1GczOK6Zf2c40kir5QDvTqG7gyUmhRyXq7Xlmt_2uDk_DYYVp-hoVEO5_ZckTO1dYAoQRD2TMVwMjvXLt_DIr6X9Pzg2tQbGArTXZ_yFE5qKY-hyruxSn8=w1200|https://lh3.googleusercontent.com/pw/AP1GczPcbe31-iErCvLVf104ABzgdyLMrs2GEcbLntBJ0A7pnJY16787dXYVl0kvesTx9PHPf26nvCmfFCyQJUHZ1dP2Ld_4AlH7415oYdUXy2HNfQ-g3aeW=w1200|https://lh3.googleusercontent.com/pw/AP1GczNc3tQ6lblCrDwzYuF0U2fYU_i2jncWjdL-aDgaI7r3fktuuJzbZWqkjUQ8SqozWw5a7SX6FYCsZj9eSz4pA-ELVE-dPS7k_dnt3JUyPdUgnKpO6c5V=w1200</v>
      </c>
      <c r="AJ242" s="46"/>
      <c r="AK242" s="46"/>
      <c r="AL242" s="46"/>
      <c r="AM242" s="46"/>
      <c r="AN242" s="46"/>
      <c r="AO242" s="46"/>
      <c r="AP242" s="46"/>
      <c r="AQ242" s="46"/>
      <c r="AR242" s="46"/>
      <c r="AS242" s="46"/>
      <c r="AT242" s="46"/>
      <c r="AU242" s="46"/>
      <c r="AV242" s="46"/>
      <c r="AW242" s="46"/>
      <c r="AX242" s="46"/>
      <c r="AY242" s="46"/>
      <c r="AZ242" s="46"/>
      <c r="BA242" s="46"/>
      <c r="BB242" s="46"/>
      <c r="BC242" s="46"/>
      <c r="BD242" s="46"/>
      <c r="BE242" s="46"/>
      <c r="BF242" s="46"/>
      <c r="BG242" s="46"/>
      <c r="BH242" s="46"/>
      <c r="BI242" s="46"/>
      <c r="BJ242" s="46"/>
      <c r="BK242" s="46"/>
      <c r="BL242" s="46"/>
      <c r="BM242" s="46"/>
      <c r="BN242" s="46"/>
      <c r="BO242" s="46"/>
      <c r="BP242" s="46"/>
      <c r="BQ242" s="46"/>
      <c r="BR242" s="46"/>
      <c r="BS242" s="46"/>
      <c r="BT242" s="46"/>
      <c r="BU242" s="46"/>
      <c r="BV242" s="46"/>
      <c r="BW242" s="46"/>
      <c r="BX242" s="46"/>
      <c r="BY242" s="46"/>
      <c r="BZ242" s="46"/>
      <c r="CA242" s="46"/>
      <c r="CB242" s="46"/>
      <c r="CC242" s="46"/>
    </row>
    <row r="243">
      <c r="A243" s="87" t="str">
        <f>IFERROR(__xludf.DUMMYFUNCTION("""COMPUTED_VALUE"""),"086")</f>
        <v>086</v>
      </c>
      <c r="B243" s="46" t="str">
        <f>IFERROR(__xludf.DUMMYFUNCTION("""COMPUTED_VALUE"""),"Casa en barrio Los Andes - Norte. Sobre Av. Cra. 16")</f>
        <v>Casa en barrio Los Andes - Norte. Sobre Av. Cra. 16</v>
      </c>
      <c r="C243" s="46" t="str">
        <f>IFERROR(__xludf.DUMMYFUNCTION("""COMPUTED_VALUE"""),"Casa")</f>
        <v>Casa</v>
      </c>
      <c r="D243" s="46" t="str">
        <f>IFERROR(__xludf.DUMMYFUNCTION("""COMPUTED_VALUE"""),"Los Andes")</f>
        <v>Los Andes</v>
      </c>
      <c r="E243" s="90" t="str">
        <f>IFERROR(__xludf.DUMMYFUNCTION("""COMPUTED_VALUE""")," ")</f>
        <v> </v>
      </c>
      <c r="F243" s="90">
        <f>IFERROR(__xludf.DUMMYFUNCTION("""COMPUTED_VALUE"""),3.8E8)</f>
        <v>380000000</v>
      </c>
      <c r="G243" s="46" t="str">
        <f>IFERROR(__xludf.DUMMYFUNCTION("""COMPUTED_VALUE"""),"$300'000.000 a $400'000.000")</f>
        <v>$300'000.000 a $400'000.000</v>
      </c>
      <c r="H243" s="46"/>
      <c r="I243" s="46"/>
      <c r="J243" s="46" t="str">
        <f>IFERROR(__xludf.DUMMYFUNCTION("""COMPUTED_VALUE"""),"Norte")</f>
        <v>Norte</v>
      </c>
      <c r="K243" s="87"/>
      <c r="L243" s="46">
        <f>IFERROR(__xludf.DUMMYFUNCTION("""COMPUTED_VALUE"""),4.0)</f>
        <v>4</v>
      </c>
      <c r="M243" s="46"/>
      <c r="N243" s="46">
        <f>IFERROR(__xludf.DUMMYFUNCTION("""COMPUTED_VALUE"""),4.0)</f>
        <v>4</v>
      </c>
      <c r="O243" s="46">
        <f>IFERROR(__xludf.DUMMYFUNCTION("""COMPUTED_VALUE"""),1.0)</f>
        <v>1</v>
      </c>
      <c r="P243" s="46">
        <f>IFERROR(__xludf.DUMMYFUNCTION("""COMPUTED_VALUE"""),2.0)</f>
        <v>2</v>
      </c>
      <c r="Q243" s="92">
        <f>IFERROR(__xludf.DUMMYFUNCTION("""COMPUTED_VALUE"""),198.0)</f>
        <v>198</v>
      </c>
      <c r="R243" s="92">
        <f>IFERROR(__xludf.DUMMYFUNCTION("""COMPUTED_VALUE"""),120.0)</f>
        <v>120</v>
      </c>
      <c r="S243" s="87" t="str">
        <f>IFERROR(__xludf.DUMMYFUNCTION("""COMPUTED_VALUE""")," ")</f>
        <v> </v>
      </c>
      <c r="T243" s="46" t="str">
        <f>IFERROR(__xludf.DUMMYFUNCTION("""COMPUTED_VALUE"""),"Neiva")</f>
        <v>Neiva</v>
      </c>
      <c r="U243" s="87" t="str">
        <f>IFERROR(__xludf.DUMMYFUNCTION("""COMPUTED_VALUE"""),"2")</f>
        <v>2</v>
      </c>
      <c r="V243" s="46" t="str">
        <f>IFERROR(__xludf.DUMMYFUNCTION("""COMPUTED_VALUE"""),"Medianera")</f>
        <v>Medianera</v>
      </c>
      <c r="W243" s="46"/>
      <c r="X243" s="46">
        <f>IFERROR(__xludf.DUMMYFUNCTION("""COMPUTED_VALUE"""),4.0)</f>
        <v>4</v>
      </c>
      <c r="Y243" s="179" t="str">
        <f>IFERROR(__xludf.DUMMYFUNCTION("""COMPUTED_VALUE"""),"No tiene")</f>
        <v>No tiene</v>
      </c>
      <c r="Z243" s="90" t="str">
        <f>IFERROR(__xludf.DUMMYFUNCTION("""COMPUTED_VALUE"""),"No aplica")</f>
        <v>No aplica</v>
      </c>
      <c r="AA243" s="33" t="str">
        <f>IFERROR(__xludf.DUMMYFUNCTION("""COMPUTED_VALUE"""),"No aplica")</f>
        <v>No aplica</v>
      </c>
      <c r="AB243" s="144" t="str">
        <f>IFERROR(__xludf.DUMMYFUNCTION("""COMPUTED_VALUE"""),"https://photos.app.goo.gl/kSFG3RuKevpxqgcq6")</f>
        <v>https://photos.app.goo.gl/kSFG3RuKevpxqgcq6</v>
      </c>
      <c r="AC243" s="46"/>
      <c r="AD243" s="46"/>
      <c r="AE243" s="46"/>
      <c r="AF243" s="46" t="str">
        <f>IFERROR(__xludf.DUMMYFUNCTION("""COMPUTED_VALUE"""),"semi-integral")</f>
        <v>semi-integral</v>
      </c>
      <c r="AG243" s="46"/>
      <c r="AH243" s="46" t="str">
        <f>IFERROR(__xludf.DUMMYFUNCTION("""COMPUTED_VALUE"""),"Verbal")</f>
        <v>Verbal</v>
      </c>
      <c r="AI243" s="46" t="str">
        <f>IFERROR(__xludf.DUMMYFUNCTION("""COMPUTED_VALUE"""),"https://lh3.googleusercontent.com/pw/AP1GczNf_FjrbU0jyKJ688-VR4hSUAKyjTkDQnhHsRBXD4NDuwok56ZHiCGIv4oMbuM6v-o9kFFLsnHV0zxyYNHcHaoiy949trpTG6s_LRvGH6b5IxKWcl3m=w1200|https://lh3.googleusercontent.com/pw/AP1GczP72jjjAaMhzfnWBipsrFChLI32trni5IKvO0WZM7j3gRPqem"&amp;"F3exPQ6rWBBsMhZs1xp1Hu1X86GhFDM5rHmbXch29GO-NOyP-puDQR_E8SAdNA3jxF=w1200|https://lh3.googleusercontent.com/pw/AP1GczNIEC_UH4OkM0ujmHXN9OpuPFXmpO_iCTWUIKjkRR9nkcFHhMdqgezFy8oruxPZfn8GBEB2UulwaSzmRzMvE66D60LONtB3e7pHpzCBfSrIXy-wEPp4=w1200|https://lh3.google"&amp;"usercontent.com/pw/AP1GczMaQW4-992eTD6LJc6D0QBql4EuuQDBUiGK0lUrBgetV8hXvMgatM31w9YCGYtziakQ-jMhMlI7tR0VLeGrh0vcjs4xqaFwj88c6oYHOksHf4BkL9Js=w1200|https://lh3.googleusercontent.com/pw/AP1GczMskwSMvGx0PLoTM1K_LsVXBmPKFmoJfuFNG3c7HQ_mb8wHPCxe_7UurA95pC3q5htn"&amp;"NkrJ3UWFGEKMCb_oUfcR5o24C3msAmv8HQWkvrSaQrc-CNQL=w1200|https://lh3.googleusercontent.com/pw/AP1GczMs9m40Ugp3ZofI37o1lzXDBwe0ko7DFbumUvVvz4SS0NgToku5rOTcv5XaGV751csOMNVGMMnZHPWXGbCUiSYOoVTRW-j3jDfPsKA0IsvdupcdFAES=w1200|https://lh3.googleusercontent.com/pw"&amp;"/AP1GczPK-s0sg1isrh8mkS0rkIlDOXX40zcvRCjebz7JBOUvCA9vZ75AVV8usHQS25qAfs3J-yYZmdruT-0VRTef7yP9EOr-qMjfd8MNRAqsSX5uAMToYIg1=w1200|https://lh3.googleusercontent.com/pw/AP1GczNtZnlJ7DlB5dPMQJMUHLg6pDlEdti4jU3Yn8J2hgheoDEZ1vhTh84aT8Op8rJ48D32QATozQdxne-TySyuBt"&amp;"kDJd_UGkWQf3TAzou_vYcsU_cD8Wb_=w1200|https://lh3.googleusercontent.com/pw/AP1GczM2Fqlr_1omNxN6YA9DoVUIt4vGebbd8VmXKPNQJoW7vqL5jIy5I5WZFM5TwG1Si0oMvtN5vYgias4bfUnXjQhTVrr1E13p00180J53UrdkqkRFCYQo=w1200|https://lh3.googleusercontent.com/pw/AP1GczOJK6y1DEvkH"&amp;"h5JUc-3lZv9hb6JlqLQRYnyK-0g8rKbDIfJE1q5O1p9qb9AwdykpA73TyihpJ5GIPVF8eegalA1uLhc2Tp35bHz9czSkDf6Z_L_SBZt=w1200|https://lh3.googleusercontent.com/pw/AP1GczNolnsUyurGNJF2jVTkPp1RpmPIghuOT55K5zN7uLsAhM9xg0J5nevlYoRjAI-cS-MvvsasHiNm5NNB6BmgxIXVTpGCmgj8IihfeQ3j"&amp;"HecnJ7r4D8Y_=w1200|https://lh3.googleusercontent.com/pw/AP1GczNDcUCdUmsUuPF30WQF29LyUDrz9DD19zQJaqi2ZBcdMyv0HdsxpNvCgG7x4FD7MEBXJ1mpJN7362AKggGg68WGBy6Tr3sy2aCwF7MjQolTvFbPgiCT=w1200|https://lh3.googleusercontent.com/pw/AP1GczMIgu7MyfUlC_DSxfxiAUq2E0jwD2C"&amp;"UCz9BdFEBmSikK4GvrZ3vo77_4Gn2HfB0wlmIucltUX_1XSFUJ6v4J1DRVyeW_tUMqxMiRxaeZDX-ugwNc60t=w1200|https://lh3.googleusercontent.com/pw/AP1GczMYqjZU-6W3M2xds5o4bchjw8FLW0pJa0p36P4p4F5KkB9qhBxJFIccmDjvp08SDwAmJvq7W6llKSfVJ6cWFwqrHZogjOt7AZf7XaUOa3ZTPsLOfHeZ=w1200"&amp;"|https://lh3.googleusercontent.com/pw/AP1GczOgRu9n_zd_rE8Ot1GhHK9bbsfaljcaGnEFkNtaFDZR5NAbZgxOvYTe1oCTgL0dp1TzHdqpkDfDE-mb6Ew_uxJ1GhepIcm0us7P9Fe5Zh8IFPpLYmqN=w1200|https://lh3.googleusercontent.com/pw/AP1GczOBd9qqVq_9X6WXJeA3Q3llk82q4CNo5UO209DC_d0N-DGH0"&amp;"kk1oAIQlioOmPU1Jj4UEj6QjtebRGuwh-CY-wvTTXrPlnIUt7XsdpEuL6r5gNyH3_eO=w1200|https://lh3.googleusercontent.com/pw/AP1GczOU_VftAFkuGPfJ4A2QmcpZN3wVqfYWzYgE1gkyY-fBaiavxGpkbbxR2GL-pCtcYom2kXse8B_bI70PUS4VH9eMI24ujrakyafMwW3QrGnIW3gZ3l47=w1200|https://lh3.googl"&amp;"eusercontent.com/pw/AP1GczNDV2xEXy12edDtQ13sZVu3Y3J4Y0XbYoD2_YVKpWNdtgWANGf85-k2MupwaoADgycPfdEW3IU39iH4CpxjndT-JNTKCy8ydD91MORyqPBmXdPL5Anu=w1200|https://lh3.googleusercontent.com/pw/AP1GczNq9GfE0AZMoO2Q_zOCn1uxoH6pN8cIY5DnVR_aZ6Qp5CQD-_nbpi9zwGtXsWBD6o9"&amp;"AeI6UASR6yzfhzo45N4Hl8d6Phinbth4InTqPxA_OEnQKTfQG=w1200|https://lh3.googleusercontent.com/pw/AP1GczOnlMnZVXiV7MqAWlfgdf-CKIatywXr1X9iW7KDQiMRE2qX2c-oUAw6FDgwZmBlTPW-mj6j9BjPQgRZUVAac7VglWBNEmgwDb39tBvrzxqkaRg4O8cD=w1200|https://lh3.googleusercontent.com/p"&amp;"w/AP1GczM-oLvfmXIyAzzXbPOkFFrIb1ZUQ_zVw6mqs7FUV6Bl92ZvaPkv_ij4Y6xc4EkR73O2VwpZhqbRMa19J6QdtDSCXPDQd9-1zvjoEga-slQ4psbqCU5U=w1200|https://lh3.googleusercontent.com/pw/AP1GczOI5YVVEiTEmeu7Y-5Qcvef2f-fGYLMYdxnw58Q--amqwm_rOixLKJi5K1yOUvQuPQZJcPsd8dnss-AyHGKB"&amp;"BO3ZD3aSZEJwRJTmmQRdSOJPMpSE6Np=w1200|https://lh3.googleusercontent.com/pw/AP1GczNTLjpKZfXf9ef18JPfUirlWpr8onhww569Zjmab5V59BjONhzEXWqH03dQtx-lD_3MEj7Gd8nUtoONAC7jlkbC02DRf71vf-W67yiKhJ0shQ3u2piG=w1200|https://lh3.googleusercontent.com/pw/AP1GczNX20DKhiLA"&amp;"_--RSz-g7ZFw2tPqWaFlzJ9fyE612k0vEmSgRkaGs9Yde21T_WdbSQcv397itgJROgfgbUDiZAk4fHEtKVaLvZeMue47k20JZRENn6gc=w1200|https://lh3.googleusercontent.com/pw/AP1GczOumZTrwV8t2DqqpPxu44JFt6VK-y1CHX_xdgL3RnlKLEJTP7BE5xwGc0DSCaFP-CGTtzd_50s8_zGWMoQq4XJ75zbTBjfBxCYcMz8"&amp;"pCt8Vpggj9YdH=w1200|https://lh3.googleusercontent.com/pw/AP1GczPGwYeH2GgcFgmJoALQiflb-IgSRqzurNROAL36UvTwHW22-6MYIvgC-DzMXdzPRY4LXtSGmEvcJhtMkOMvd61E3S43OdtjZUs0Cod__eN4u5i9VLKn=w1200|https://lh3.googleusercontent.com/pw/AP1GczMs18W3YnEaoeTthQ-kvPYI3YI92E"&amp;"s9aP1Re7ojpDX01Vwpe_BcclZ_cfg-ZeJYIfDttvYOlQ6dEJ9zF7M2fW_pae9REES-j_LQtV3tQbqLvqM8XREP=w1200|https://lh3.googleusercontent.com/pw/AP1GczNgW-RwrdGH5JMPE2mY6yKhBJKXDjYTi92AERiYEJUwSbzKc20goXeNCf4Ts99oxqgseStZaOOO1x1wXiZXhpunEE4CrzMrNJCuHWl7Bi8JN4UPTFJ9=w120"&amp;"0|https://lh3.googleusercontent.com/pw/AP1GczMXwSY8K3q95jjzZfTInUezYQN4yoevKMZWuqY54OrghKHHapoRqAO831lA1KJS47gxaeiZg4RXLrlXcqSkLJThPRd-YzNDYn-9mLeFq1dSZ5GBaZiA=w1200")</f>
        <v>https://lh3.googleusercontent.com/pw/AP1GczNf_FjrbU0jyKJ688-VR4hSUAKyjTkDQnhHsRBXD4NDuwok56ZHiCGIv4oMbuM6v-o9kFFLsnHV0zxyYNHcHaoiy949trpTG6s_LRvGH6b5IxKWcl3m=w1200|https://lh3.googleusercontent.com/pw/AP1GczP72jjjAaMhzfnWBipsrFChLI32trni5IKvO0WZM7j3gRPqemF3exPQ6rWBBsMhZs1xp1Hu1X86GhFDM5rHmbXch29GO-NOyP-puDQR_E8SAdNA3jxF=w1200|https://lh3.googleusercontent.com/pw/AP1GczNIEC_UH4OkM0ujmHXN9OpuPFXmpO_iCTWUIKjkRR9nkcFHhMdqgezFy8oruxPZfn8GBEB2UulwaSzmRzMvE66D60LONtB3e7pHpzCBfSrIXy-wEPp4=w1200|https://lh3.googleusercontent.com/pw/AP1GczMaQW4-992eTD6LJc6D0QBql4EuuQDBUiGK0lUrBgetV8hXvMgatM31w9YCGYtziakQ-jMhMlI7tR0VLeGrh0vcjs4xqaFwj88c6oYHOksHf4BkL9Js=w1200|https://lh3.googleusercontent.com/pw/AP1GczMskwSMvGx0PLoTM1K_LsVXBmPKFmoJfuFNG3c7HQ_mb8wHPCxe_7UurA95pC3q5htnNkrJ3UWFGEKMCb_oUfcR5o24C3msAmv8HQWkvrSaQrc-CNQL=w1200|https://lh3.googleusercontent.com/pw/AP1GczMs9m40Ugp3ZofI37o1lzXDBwe0ko7DFbumUvVvz4SS0NgToku5rOTcv5XaGV751csOMNVGMMnZHPWXGbCUiSYOoVTRW-j3jDfPsKA0IsvdupcdFAES=w1200|https://lh3.googleusercontent.com/pw/AP1GczPK-s0sg1isrh8mkS0rkIlDOXX40zcvRCjebz7JBOUvCA9vZ75AVV8usHQS25qAfs3J-yYZmdruT-0VRTef7yP9EOr-qMjfd8MNRAqsSX5uAMToYIg1=w1200|https://lh3.googleusercontent.com/pw/AP1GczNtZnlJ7DlB5dPMQJMUHLg6pDlEdti4jU3Yn8J2hgheoDEZ1vhTh84aT8Op8rJ48D32QATozQdxne-TySyuBtkDJd_UGkWQf3TAzou_vYcsU_cD8Wb_=w1200|https://lh3.googleusercontent.com/pw/AP1GczM2Fqlr_1omNxN6YA9DoVUIt4vGebbd8VmXKPNQJoW7vqL5jIy5I5WZFM5TwG1Si0oMvtN5vYgias4bfUnXjQhTVrr1E13p00180J53UrdkqkRFCYQo=w1200|https://lh3.googleusercontent.com/pw/AP1GczOJK6y1DEvkHh5JUc-3lZv9hb6JlqLQRYnyK-0g8rKbDIfJE1q5O1p9qb9AwdykpA73TyihpJ5GIPVF8eegalA1uLhc2Tp35bHz9czSkDf6Z_L_SBZt=w1200|https://lh3.googleusercontent.com/pw/AP1GczNolnsUyurGNJF2jVTkPp1RpmPIghuOT55K5zN7uLsAhM9xg0J5nevlYoRjAI-cS-MvvsasHiNm5NNB6BmgxIXVTpGCmgj8IihfeQ3jHecnJ7r4D8Y_=w1200|https://lh3.googleusercontent.com/pw/AP1GczNDcUCdUmsUuPF30WQF29LyUDrz9DD19zQJaqi2ZBcdMyv0HdsxpNvCgG7x4FD7MEBXJ1mpJN7362AKggGg68WGBy6Tr3sy2aCwF7MjQolTvFbPgiCT=w1200|https://lh3.googleusercontent.com/pw/AP1GczMIgu7MyfUlC_DSxfxiAUq2E0jwD2CUCz9BdFEBmSikK4GvrZ3vo77_4Gn2HfB0wlmIucltUX_1XSFUJ6v4J1DRVyeW_tUMqxMiRxaeZDX-ugwNc60t=w1200|https://lh3.googleusercontent.com/pw/AP1GczMYqjZU-6W3M2xds5o4bchjw8FLW0pJa0p36P4p4F5KkB9qhBxJFIccmDjvp08SDwAmJvq7W6llKSfVJ6cWFwqrHZogjOt7AZf7XaUOa3ZTPsLOfHeZ=w1200|https://lh3.googleusercontent.com/pw/AP1GczOgRu9n_zd_rE8Ot1GhHK9bbsfaljcaGnEFkNtaFDZR5NAbZgxOvYTe1oCTgL0dp1TzHdqpkDfDE-mb6Ew_uxJ1GhepIcm0us7P9Fe5Zh8IFPpLYmqN=w1200|https://lh3.googleusercontent.com/pw/AP1GczOBd9qqVq_9X6WXJeA3Q3llk82q4CNo5UO209DC_d0N-DGH0kk1oAIQlioOmPU1Jj4UEj6QjtebRGuwh-CY-wvTTXrPlnIUt7XsdpEuL6r5gNyH3_eO=w1200|https://lh3.googleusercontent.com/pw/AP1GczOU_VftAFkuGPfJ4A2QmcpZN3wVqfYWzYgE1gkyY-fBaiavxGpkbbxR2GL-pCtcYom2kXse8B_bI70PUS4VH9eMI24ujrakyafMwW3QrGnIW3gZ3l47=w1200|https://lh3.googleusercontent.com/pw/AP1GczNDV2xEXy12edDtQ13sZVu3Y3J4Y0XbYoD2_YVKpWNdtgWANGf85-k2MupwaoADgycPfdEW3IU39iH4CpxjndT-JNTKCy8ydD91MORyqPBmXdPL5Anu=w1200|https://lh3.googleusercontent.com/pw/AP1GczNq9GfE0AZMoO2Q_zOCn1uxoH6pN8cIY5DnVR_aZ6Qp5CQD-_nbpi9zwGtXsWBD6o9AeI6UASR6yzfhzo45N4Hl8d6Phinbth4InTqPxA_OEnQKTfQG=w1200|https://lh3.googleusercontent.com/pw/AP1GczOnlMnZVXiV7MqAWlfgdf-CKIatywXr1X9iW7KDQiMRE2qX2c-oUAw6FDgwZmBlTPW-mj6j9BjPQgRZUVAac7VglWBNEmgwDb39tBvrzxqkaRg4O8cD=w1200|https://lh3.googleusercontent.com/pw/AP1GczM-oLvfmXIyAzzXbPOkFFrIb1ZUQ_zVw6mqs7FUV6Bl92ZvaPkv_ij4Y6xc4EkR73O2VwpZhqbRMa19J6QdtDSCXPDQd9-1zvjoEga-slQ4psbqCU5U=w1200|https://lh3.googleusercontent.com/pw/AP1GczOI5YVVEiTEmeu7Y-5Qcvef2f-fGYLMYdxnw58Q--amqwm_rOixLKJi5K1yOUvQuPQZJcPsd8dnss-AyHGKBBO3ZD3aSZEJwRJTmmQRdSOJPMpSE6Np=w1200|https://lh3.googleusercontent.com/pw/AP1GczNTLjpKZfXf9ef18JPfUirlWpr8onhww569Zjmab5V59BjONhzEXWqH03dQtx-lD_3MEj7Gd8nUtoONAC7jlkbC02DRf71vf-W67yiKhJ0shQ3u2piG=w1200|https://lh3.googleusercontent.com/pw/AP1GczNX20DKhiLA_--RSz-g7ZFw2tPqWaFlzJ9fyE612k0vEmSgRkaGs9Yde21T_WdbSQcv397itgJROgfgbUDiZAk4fHEtKVaLvZeMue47k20JZRENn6gc=w1200|https://lh3.googleusercontent.com/pw/AP1GczOumZTrwV8t2DqqpPxu44JFt6VK-y1CHX_xdgL3RnlKLEJTP7BE5xwGc0DSCaFP-CGTtzd_50s8_zGWMoQq4XJ75zbTBjfBxCYcMz8pCt8Vpggj9YdH=w1200|https://lh3.googleusercontent.com/pw/AP1GczPGwYeH2GgcFgmJoALQiflb-IgSRqzurNROAL36UvTwHW22-6MYIvgC-DzMXdzPRY4LXtSGmEvcJhtMkOMvd61E3S43OdtjZUs0Cod__eN4u5i9VLKn=w1200|https://lh3.googleusercontent.com/pw/AP1GczMs18W3YnEaoeTthQ-kvPYI3YI92Es9aP1Re7ojpDX01Vwpe_BcclZ_cfg-ZeJYIfDttvYOlQ6dEJ9zF7M2fW_pae9REES-j_LQtV3tQbqLvqM8XREP=w1200|https://lh3.googleusercontent.com/pw/AP1GczNgW-RwrdGH5JMPE2mY6yKhBJKXDjYTi92AERiYEJUwSbzKc20goXeNCf4Ts99oxqgseStZaOOO1x1wXiZXhpunEE4CrzMrNJCuHWl7Bi8JN4UPTFJ9=w1200|https://lh3.googleusercontent.com/pw/AP1GczMXwSY8K3q95jjzZfTInUezYQN4yoevKMZWuqY54OrghKHHapoRqAO831lA1KJS47gxaeiZg4RXLrlXcqSkLJThPRd-YzNDYn-9mLeFq1dSZ5GBaZiA=w1200</v>
      </c>
      <c r="AJ243" s="46"/>
      <c r="AK243" s="46"/>
      <c r="AL243" s="46"/>
      <c r="AM243" s="46"/>
      <c r="AN243" s="46"/>
      <c r="AO243" s="46"/>
      <c r="AP243" s="46"/>
      <c r="AQ243" s="46"/>
      <c r="AR243" s="46"/>
      <c r="AS243" s="46"/>
      <c r="AT243" s="46"/>
      <c r="AU243" s="46"/>
      <c r="AV243" s="46"/>
      <c r="AW243" s="46"/>
      <c r="AX243" s="46"/>
      <c r="AY243" s="46"/>
      <c r="AZ243" s="46"/>
      <c r="BA243" s="46"/>
      <c r="BB243" s="46"/>
      <c r="BC243" s="46"/>
      <c r="BD243" s="46"/>
      <c r="BE243" s="46"/>
      <c r="BF243" s="46"/>
      <c r="BG243" s="46"/>
      <c r="BH243" s="46"/>
      <c r="BI243" s="46"/>
      <c r="BJ243" s="46"/>
      <c r="BK243" s="46"/>
      <c r="BL243" s="46"/>
      <c r="BM243" s="46"/>
      <c r="BN243" s="46"/>
      <c r="BO243" s="46"/>
      <c r="BP243" s="46"/>
      <c r="BQ243" s="46"/>
      <c r="BR243" s="46"/>
      <c r="BS243" s="46"/>
      <c r="BT243" s="46"/>
      <c r="BU243" s="46"/>
      <c r="BV243" s="46"/>
      <c r="BW243" s="46"/>
      <c r="BX243" s="46"/>
      <c r="BY243" s="46"/>
      <c r="BZ243" s="46"/>
      <c r="CA243" s="46"/>
      <c r="CB243" s="46"/>
      <c r="CC243" s="46"/>
    </row>
    <row r="244">
      <c r="A244" s="87" t="str">
        <f>IFERROR(__xludf.DUMMYFUNCTION("""COMPUTED_VALUE"""),"393")</f>
        <v>393</v>
      </c>
      <c r="B244" s="46" t="str">
        <f>IFERROR(__xludf.DUMMYFUNCTION("""COMPUTED_VALUE"""),"Casa con dos apartamentos en barrio Altico")</f>
        <v>Casa con dos apartamentos en barrio Altico</v>
      </c>
      <c r="C244" s="46" t="str">
        <f>IFERROR(__xludf.DUMMYFUNCTION("""COMPUTED_VALUE"""),"Casa rentable")</f>
        <v>Casa rentable</v>
      </c>
      <c r="D244" s="46" t="str">
        <f>IFERROR(__xludf.DUMMYFUNCTION("""COMPUTED_VALUE"""),"El Altico")</f>
        <v>El Altico</v>
      </c>
      <c r="E244" s="46"/>
      <c r="F244" s="90">
        <f>IFERROR(__xludf.DUMMYFUNCTION("""COMPUTED_VALUE"""),3.7E8)</f>
        <v>370000000</v>
      </c>
      <c r="G244" s="46" t="str">
        <f>IFERROR(__xludf.DUMMYFUNCTION("""COMPUTED_VALUE"""),"$300'000.000 a $400'000.000")</f>
        <v>$300'000.000 a $400'000.000</v>
      </c>
      <c r="H244" s="46"/>
      <c r="I244" s="46"/>
      <c r="J244" s="46" t="str">
        <f>IFERROR(__xludf.DUMMYFUNCTION("""COMPUTED_VALUE"""),"Centro")</f>
        <v>Centro</v>
      </c>
      <c r="K244" s="87"/>
      <c r="L244" s="46">
        <f>IFERROR(__xludf.DUMMYFUNCTION("""COMPUTED_VALUE"""),11.0)</f>
        <v>11</v>
      </c>
      <c r="M244" s="46"/>
      <c r="N244" s="46">
        <f>IFERROR(__xludf.DUMMYFUNCTION("""COMPUTED_VALUE"""),6.0)</f>
        <v>6</v>
      </c>
      <c r="O244" s="46">
        <f>IFERROR(__xludf.DUMMYFUNCTION("""COMPUTED_VALUE"""),1.0)</f>
        <v>1</v>
      </c>
      <c r="P244" s="46">
        <f>IFERROR(__xludf.DUMMYFUNCTION("""COMPUTED_VALUE"""),3.0)</f>
        <v>3</v>
      </c>
      <c r="Q244" s="92">
        <f>IFERROR(__xludf.DUMMYFUNCTION("""COMPUTED_VALUE"""),650.0)</f>
        <v>650</v>
      </c>
      <c r="R244" s="92">
        <f>IFERROR(__xludf.DUMMYFUNCTION("""COMPUTED_VALUE"""),250.0)</f>
        <v>250</v>
      </c>
      <c r="S244" s="87" t="str">
        <f>IFERROR(__xludf.DUMMYFUNCTION("""COMPUTED_VALUE""")," ")</f>
        <v> </v>
      </c>
      <c r="T244" s="46" t="str">
        <f>IFERROR(__xludf.DUMMYFUNCTION("""COMPUTED_VALUE"""),"Neiva")</f>
        <v>Neiva</v>
      </c>
      <c r="U244" s="87" t="str">
        <f>IFERROR(__xludf.DUMMYFUNCTION("""COMPUTED_VALUE"""),"3")</f>
        <v>3</v>
      </c>
      <c r="V244" s="46" t="str">
        <f>IFERROR(__xludf.DUMMYFUNCTION("""COMPUTED_VALUE"""),"Medianera")</f>
        <v>Medianera</v>
      </c>
      <c r="W244" s="46"/>
      <c r="X244" s="46">
        <f>IFERROR(__xludf.DUMMYFUNCTION("""COMPUTED_VALUE"""),11.0)</f>
        <v>11</v>
      </c>
      <c r="Y244" s="46" t="str">
        <f>IFERROR(__xludf.DUMMYFUNCTION("""COMPUTED_VALUE"""),"No tiene")</f>
        <v>No tiene</v>
      </c>
      <c r="Z244" s="90" t="str">
        <f>IFERROR(__xludf.DUMMYFUNCTION("""COMPUTED_VALUE"""),"No aplica")</f>
        <v>No aplica</v>
      </c>
      <c r="AA244" s="33" t="str">
        <f>IFERROR(__xludf.DUMMYFUNCTION("""COMPUTED_VALUE"""),"No aplica")</f>
        <v>No aplica</v>
      </c>
      <c r="AB244" s="144" t="str">
        <f>IFERROR(__xludf.DUMMYFUNCTION("""COMPUTED_VALUE"""),"https://photos.app.goo.gl/L8srihkG8Su13syv7")</f>
        <v>https://photos.app.goo.gl/L8srihkG8Su13syv7</v>
      </c>
      <c r="AC244" s="46"/>
      <c r="AD244" s="46"/>
      <c r="AE244" s="46"/>
      <c r="AF244" s="46" t="str">
        <f>IFERROR(__xludf.DUMMYFUNCTION("""COMPUTED_VALUE"""),"semi-integral")</f>
        <v>semi-integral</v>
      </c>
      <c r="AG244" s="46"/>
      <c r="AH244" s="46" t="str">
        <f>IFERROR(__xludf.DUMMYFUNCTION("""COMPUTED_VALUE"""),"Verbal")</f>
        <v>Verbal</v>
      </c>
      <c r="AI244" s="92" t="str">
        <f>IFERROR(__xludf.DUMMYFUNCTION("""COMPUTED_VALUE"""),"https://lh3.googleusercontent.com/pw/AP1GczN2fWpGiUsCSx6J-pxoACoKPdnOwi785v_uF2Et5DTKkMZVA_0UR994tTLLhzgMkwtGZxQBZj-tFW0Z-Ea5hoi_yMx6-L6wfDbuIkc7rReIVE5RJVHm=w1200|https://lh3.googleusercontent.com/pw/AP1GczPviht-HoGl4s15f4-5xW8Y22cWK9o-ayTMv8NWRbK488erCo"&amp;"ACa_AsATQZJz1WPbTnhGLnR0o77hySAUXPFkVSgfk6blIK_2hJRJuP4T6dKgzem9-Z=w1200|https://lh3.googleusercontent.com/pw/AP1GczP-PCkly1pjfZLQ8zgZ_XoU_Ygc_gNEls1T46QuK_AjGuxDo7ZhkKuivgBGPbOhAU4pnMPpeIOOCq3bbic6vnw9zfj9gYSTN200HJxrbasIh9FH3PR0=w1200|https://lh3.google"&amp;"usercontent.com/pw/AP1GczPpKMLzSKBTVBK_xcXnN8rHkpeM2x_PZ1AKyzp0ZAzwkIEX0DniNnv0IKTCcnWMrMS_5zE2uiBShxLdQN_-xOmVAx1D2mqyLsdvGNTrjExtDXq1D3DS=w1200|https://lh3.googleusercontent.com/pw/AP1GczMom5NXKNfu9tgWhRMLrJRcfUmqp1Mnp1iFxV-tMXze-UjWTGUe-UZVf9e2tAG11aUx"&amp;"-_6rsCfYkYUS9yvV11VPJmAOE9PMdZaBZUOegK9eu4vZUofc=w1200|https://lh3.googleusercontent.com/pw/AP1GczPbBIh1F792GTEd9R3yBBhbjlZBuKbjMgfyjQgagE8zEv6_8ri7GIUagUBTmxTygH1qPl_NtEHtq8hg70KqCyP9oul5aEA23fcXFd-CgW7gltdIoQLu=w1200|https://lh3.googleusercontent.com/pw"&amp;"/AP1GczPYCIfNT_VfNDa1ZXieUxYB4n6m6AocQ0jFyI4kAeaL4jO8xYOHsPrysE3u_66gepALDKEZkidICwQhWYC3XXd5mHfs8xQsGAtEIV6ae41FgeA0T6WH=w1200|https://lh3.googleusercontent.com/pw/AP1GczMn5q140c3h3C6hmjUDKybJhh-sz_5RbT1tXqGfzDRoPQ2Yc3N0eOR9WBeaSugpziQX572L3UG8bwvpGdIi3P"&amp;"q20gdRWEXWZPtBs8rnYPX3PfQLgddx=w1200|https://lh3.googleusercontent.com/pw/AP1GczNl9sw-0LY187RxMm4jyKLZBO4jKms_HMcU6wgmybWz3Ma2Yu1eQX0lWdTEuqa_AuxW6c-WOnln9DzLmot2aQN3PFBKXkFncM4buBulb8IdSbX2lZmC=w1200|https://lh3.googleusercontent.com/pw/AP1GczOxDErUVQSQO"&amp;"fQeDzTyiYuwz6-V2HXHtr9XiS7OCR4spD6SIFVcuPLAuPNlPANS3msjyjQWVgQpfqMS9vzbK_qnKnTQ_eP6LDZ39zarfKhe_lbnHzjy=w1200|https://lh3.googleusercontent.com/pw/AP1GczNOEIwok2thAB5ewS6tjnb2W3YjRvpZdMGYz-gnwwLt9MgaztyLFD-sdFQoNTZnKTaiJDQcxJlV2VwFOiwpE3M-N16gD1agde7rKfS0"&amp;"sEW1R5SeEyMd=w1200|https://lh3.googleusercontent.com/pw/AP1GczNJr3Q8-flYIMJsYXL5dG2S4kwChZU3iXFY1Gntf3l0QSju_HJIMXgpPO9bH6RLxCY9ZFcmfxMQ5fs7HHxy_0UGGdazUNZ5GW1VGjrgVKr9ED6XJYzm=w1200|https://lh3.googleusercontent.com/pw/AP1GczNbmyF-3bdpwY5DnmZpbd8sW6yA0An"&amp;"-z96UDJkpsjgjcoZ1384dfJAIHfOm2kdW7RNrQXuQXisuovTkh3IT-VPT-6g12b0FAag2FfI3kFxnr4mPbHwl=w1200|https://lh3.googleusercontent.com/pw/AP1GczOO7Kzo_V4iVw6pqxqtxbWOAsYJBGDoZ9cxb65q6L3rVuLfbu6aMsIs7GJRS7FqfoySpxfwex0xB_Sa0DEE7uAj3_pP1tWYnXlvNvLJ_FvtwUl9GQEA=w1200"&amp;"|https://lh3.googleusercontent.com/pw/AP1GczNWDQB93jK4Ms0jQCJ6jF9FPY45VPtwK_LUyUzLSq6aRBJ7gRTJSdwrKkj-6XDwCh-ulbhPHsZLZYi_fL-sx4YC0C7R_4erMowLFs1GrCo9yf3JHnj5=w1200|https://lh3.googleusercontent.com/pw/AP1GczPbs_VOZfOfFLxY0-iHmGY2_vrhygH1QcFBBP7BRGvpTk2im"&amp;"Bp3JQ5EUpFb9sMtNvJ-PxzSPNC-wrtc3rjAU5uNWNu69JUeUpUvIFyiw7ELm1KCevpa=w1200|https://lh3.googleusercontent.com/pw/AP1GczO_wwF8aeGu_4763hY5O01YpfAF8y9h0MAane_-ejqTZVb0q3kuS3NRb4KzYX5fYe9JMJ9ffc3rpJUAv9Blfi4Tj7zeAFwn5bnCxZXjXvHFnK7mhLnY=w1200|https://lh3.googl"&amp;"eusercontent.com/pw/AP1GczM7vrSOUJfqhU_ApLGSYPUgg7EdshQU5lS7p2gq3GivAH0UssqPXqo1yB40YAGDQ5AOM3iVvWv7gkQpP82tKxqskH1MBDLdcnO_6kELsyFnQuUw9-1i=w1200|https://lh3.googleusercontent.com/pw/AP1GczOv5Vuz57EzHMni5-nCekJWsp59-ElRbBGK0v0NxGjaUhKZM5zTtNV4SeYIZeEHCbK"&amp;"sSf-OuoRBiAw-fPNeXslrAVwGyH4D171bRNWK38ensmq9kE3s=w1200|https://lh3.googleusercontent.com/pw/AP1GczM5bRq9bVyZh-9-zkJLa7s0nT_1dZ3MKUkB9Apm9zD-hi7u3y0hKJj2SKsAg_RtA2QvBywf6Y_CxvWmVgHCkXJP5yijYzpMejggxnrKU_KEDEEnlZr7=w1200|https://lh3.googleusercontent.com/p"&amp;"w/AP1GczMNzIPFLpraRKFXrz3iV0g5FXKra5qiX-HGVMsbgCJsghnlGiTAhjrIj3jacDWtxtedMiFVwe660j60cbshnMpjjJoYSRPBWfUrQfBCy7Zscbxu5l8f=w1200|https://lh3.googleusercontent.com/pw/AP1GczOSbIW70tDiwX5wCW9rcmx3tigXxuYd6-qc3MCFz__iBlYFS-IAOyJZFOt1plgQJS5zD7grSGVzFBgf5MJ4F"&amp;"wIfFokzyn2zQVF8PBJoJeadV7EPocbS=w1200|https://lh3.googleusercontent.com/pw/AP1GczNmq01_Dvs1atDagcgvJZ7MISZOt0ge41Z85HZxqVwBm4W5_OHhkl5ka-jj2NDH7b7HKyDyMuo8Va9p971EGsQ6kne9OjzkTLUZL0eFKrjb0_OVSSAH=w1200|https://lh3.googleusercontent.com/pw/AP1GczOcFZUE9ukh"&amp;"YLst7W60DTDWQNsSM1XPVJXKek8ha5oMNk6AFdqDpCXO8V_e9Skzx99QzP7Ezq_Td8O8QV9VCKPJ5QHhwRHlq7D9BTZHNR1eAedFKALp=w1200|https://lh3.googleusercontent.com/pw/AP1GczOvMUgMGn4v4jFIymnd0r7Yq1EIBAFMSXUznXStTAeg9g2ax1bhp0SHpCYZEfLdhT9TPTW81Wu5GrU6uAMYK8-1uGWYSphAW2liL-x"&amp;"P3yLtQpDtZOB5=w1200|https://lh3.googleusercontent.com/pw/AP1GczN_QUNS1IBTlHbeeX5JnFrwSS09HmYL0H27gRBXq0pW0OuVoxVS8IP1WZjnI0-66c2-7LCtzovl8Q9q5LrTUdJi-w0dIdqmUbUt8-o6azJf4yxLvWe9=w1200|https://lh3.googleusercontent.com/pw/AP1GczOLBGI6fTFlag6K9c6pQGfui5K1dX"&amp;"IaRHz6WI60PSZur0mIx61ePtI95l2OMPhiY6AIyXBNvr8EM8MRq299XSFPkU28tI4vROG5P8Yh9TDfrI-2_-85=w1200|https://lh3.googleusercontent.com/pw/AP1GczPATZA6PJ650GnupvDNz3nTvFhhOv7Qb6IFqs7ASDjNal4-B7fVGNEzum3FigQBnzxRfbu5n7d9OdIIc2QuABrV8ltKt8Gh4awlA7ykNdGSyyKgaFNp=w120"&amp;"0|https://lh3.googleusercontent.com/pw/AP1GczOf5D6jTzMjFboBnSpCeO9m0d46q-OYJ3UGX5fMGoq_tYYwRRTZJTk1GmVUhfCT514zB0Q-1yVtOQusV_5pdFGgTr-MPhQL5kQhIPF3yaOO1JI00Pqq=w1200|https://lh3.googleusercontent.com/pw/AP1GczNnJybLFFLKlNgDavNPIYiMBCd__C9ze2S355muA2PCYBj1"&amp;"1JvRCmHP0s2F09NeU9Rn45Xc46Q8yF3-t2hHZDVcSmMWsLqweTkP-b1X-5JlGw58UWh0=w1200|https://lh3.googleusercontent.com/pw/AP1GczPnuI-xiZx_5lax3LEOW163j8iMBcHV7aEHDzXDMscecsCk0F1dXC_hcLGqy45HFL9wNH9ZC32DDup2G-TB2hCAzfWYPXyjR4hzZYuAIr4bo9LG8z9Q=w1200|https://lh3.goog"&amp;"leusercontent.com/pw/AP1GczME5j7zmqGKgrxTElEf3GI9IyCqeFJ8QD-P6pQBKSvDsMv8qdAbYvqQ8NeFA2ZWYFQKbV_9f0XtPZOmUI17EWhlRDU-OaCxH51WYIVyI6bG-lLtKrCJ=w1200|https://lh3.googleusercontent.com/pw/AP1GczMBlYDcolspt4fyypo4yZDpt7I-oXCWaS7zE_4u6mgMIBsfeQM4Ui3wBYSrbcPHhr"&amp;"SAm7m8vIopdDE8urv-aCcrFtr-FRzpe8K0-f41tDGdwAzpogRh=w1200|https://lh3.googleusercontent.com/pw/AP1GczMO2mEPj1_poCejfYWdg91C4FIDj6YPi7iOBz7grFkyrLQ3FgZ8_bolMPwUrFNGFcgOiwPpiNnuQBYil5-1gbGJbwrTLvgeFnuZeblKD2RyLLmhfVHv=w1200|https://lh3.googleusercontent.com/"&amp;"pw/AP1GczNHJ1zcgMs4T34V22-ckZnEv-EoGUe4xVSwVyiTAxY37uBNhLij7gv6rzQ0rZvB2vRr-cB696f3EPdARkSzeGlsNt1SXONNmPixVOMZUBBJJNA0UPHY=w1200|https://lh3.googleusercontent.com/pw/AP1GczNb8PiyvmoZ0yzgBNvJRtkGlGmpWpLOmHdYNJ8Ql560PvFjXw-HCIAppenmjFSKVmNDnSPX8H0_Fei-mOPW"&amp;"ELYCwGtQtSX13zXlXSGfqKt_OYtPqhWz=w1200|https://lh3.googleusercontent.com/pw/AP1GczOs6LfX4yR5c8C1kN7MZR2IsEGXxO3KlwZOsb4n2xoFABnu3pV6rp2hfvfilZbIStNv99HaDrStjfk-h3hjxAF-gPfcxYb8bmoJd6W6rlByeF2rJ3lE=w1200|https://lh3.googleusercontent.com/pw/AP1GczO2Ou-SecZ"&amp;"PM6Sxy2Zr-TLZVI1sLCczo3abz2YE5pO2u-TkBdKWO1ui1urDEkecFrhd5xzRpmoe__WgrCRPA7vhjWnrkXxDq-8b5UYis5z59hYLNmev=w1200|https://lh3.googleusercontent.com/pw/AP1GczOGgti1-IrGbOV4EOvnuNqi32E2a1MyzotLwffiGzUCd82_9mmqBdYv2tU1XM6-j8WoljZb23imUzsAnnKhlLhwyCIWLgZ3C54Daf"&amp;"7cXour-31Pim1H=w1200|https://lh3.googleusercontent.com/pw/AP1GczOu9pnEDvLiJyLdwj1vDXYOasgZ3QUbWTlYwn05854f-nJ0uABegg0T5fmTI6mQd-fxqv8_GPMzY4s8w7lwVS1HlMg5CxsX6cD99CyFsn_uMOMAmUfZ=w1200|https://lh3.googleusercontent.com/pw/AP1GczP0GgJlpC1DuyTkZJj-dMIxNLP_j"&amp;"3-q5inTpjzvePkHgEOgM2oHl5SaU2BRWNRaYsVElX6WGYj3VaTx33LIzd5BH7KrmIzJgFWYGegjpeexPMywNA77=w1200|https://lh3.googleusercontent.com/pw/AP1GczPF_VtS7DHRRyvXoFOID75Q1TthzAihTS0Bv70Rajip8IlTTsuNVty6zSPH7MnKSoW77hw1PEcOHMH5BqJwBQCWS0MaBDCSkjPVgHL4eYGLoAM2Y8C1=w12"&amp;"00|https://lh3.googleusercontent.com/pw/AP1GczNknEr7DgCnPN8YFagK72l1njF0qzHAdg-zpQPA0Y5Cs1Qi-kg_W5jj36eT1hlgvTSCP-9t0ypwMt43rI4h7bsPlSrZDcIaX32nNSaLz1-Z1mcFpm_e=w1200|https://lh3.googleusercontent.com/pw/AP1GczNEuTKtFay7kKYwVS46Jm4IO_Ed3hPk0AV96muGVgONSed"&amp;"EL9EWRLtHPva3jTLcWvltZ35fC8sCY02XkHMTtayQ7MrxTrLV899WVQrxWqpLLhxUBw0C=w1200|https://lh3.googleusercontent.com/pw/AP1GczOvHKC6F0KyeZY5GLPLfiI9JZT-x_fwrIYqsm_70yNYxyPB0cuaF6N8ZWacq0AdedRQDLKVE2B4qgWTZRm4Icn6sRgNduo806bEael-hgo2s85nGNWs=w1200|https://lh3.goo"&amp;"gleusercontent.com/pw/AP1GczNyLRjFk8dpdxSRN4690DKWq3dtndlARmLegz5_IgDQGKGOEIU3bM1gN4_4hk_UcNzGxh-7HCDs9zcoIqe15gx6kc3zxMYQ-JbdEBO_6n3zqiA_53ev=w1200|https://lh3.googleusercontent.com/pw/AP1GczP4EM437LaUmJam0r777D_Dm4e1otHoUl7uJajlrF_WWi8MKdlPHwjRKDSsITCIc"&amp;"qtYn944HcyIvLHzEeUd8qx58sflSTUrHJhgKpYCGzRY8vCC0JZF=w1200|https://lh3.googleusercontent.com/pw/AP1GczOYxdiunr_BFnFQyCQnub4HiXZd7TSy4BJgCkRbjvgB1hzVND7gMwWixFzfseBL3hTb9n2Ge9wg6daZ3PUN9tkk3vGTrSb94QCKxjV12nKj-rJsDGVK=w1200|https://lh3.googleusercontent.com"&amp;"/pw/AP1GczOaF9eURlgA3hCDphbS7X7puWmMDjkFqPSmCWpcYw1k9ZC-mGA9YXJujlmRVeAst6PvL7nnz2NJOyNgu6BzA7NkW-V2WMh69MA4fgh0qxDG94o10u21=w1200|https://lh3.googleusercontent.com/pw/AP1GczO8ZkKRn_of0YvjWMvbRhhARUUcTuy8BERcpw9viMgAZ5l2t43tB8sh9CJ3c5QCX6U-Vmg6VpZWxIeLQnK"&amp;"yFciBC1ZZncLInBRYA0dqVSjYH5P01gj9=w1200|https://lh3.googleusercontent.com/pw/AP1GczOQGUo7UOleNqzm6ZFvOf8A7EIaGjXKGG-4ah9FE-X46kqfWI42WcfY4YQRhmaycuIaJkCka0jOACisHqrW2TjNnzKO9kxitzQdLHjov27yJ0kY9gqq=w1200|https://lh3.googleusercontent.com/pw/AP1GczMMhwVZCM"&amp;"UUnjJ2CTOwgfxyJCFx3FlMAKJqPvqpNVPtuunPudDjObdjodkq_nEo8uzCV3Ejbbw6cJiX8TjDBGjMI82fx8dFkrAJLk26zC0ZYLRHb8yJ=w1200|https://lh3.googleusercontent.com/pw/AP1GczOXf4whbyMhq08GwQC_OUu9CnZj6lts2MhnmRSS6061Mnx6sb8jqEVh-gbpQS_W99waZZxMMWKQ1fGeE4-ww8HcdSvNx-ppX7e0E"&amp;"ewStcnY10QjLvGv=w1200|https://lh3.googleusercontent.com/pw/AP1GczNLt8MFkOagQTTjuZj7ZlagfuIMdxZIJrKtYMY1l5FTL0h1Jc6wdD66E9B11e7Chgyr0em9WVaresh6vxM9AnEEMN_39foSsb3ZmsK8hGq_9yPQc3Ss=w1200|https://lh3.googleusercontent.com/pw/AP1GczMSOMWzm1Y0zryUXF94fZrU1Ik3"&amp;"ZvnAjvEU25T_6bF4FY-HBmI4STczlizy6lDx4E7ttow-McJNcT0Bbr5wt7t4Q_NadeoqIaV4vhYMb1QlGkZwlBs-=w1200|https://lh3.googleusercontent.com/pw/AP1GczP7BTcXam9JuGujDReGdbVHELAL4anWNk47h2fnf7fFatJLeaAg4T2Mx63yQ_KDZOzPLUtqXJeqBUsiNpaaiMxf-1bxzqChUlFDv4NFU7lDtI2jEGPp=w1"&amp;"200|https://lh3.googleusercontent.com/pw/AP1GczPno2zDuCBnzff_pl6pcmXxIMM0iWHaUu4HYKGtyoQ2SYTNKXcpO4yIFggBuBrE1UsByq-nowfhXF9iBfcaEJEoXEEIL4xpUWu66Er5SE8o-EPRlIgm=w1200|https://lh3.googleusercontent.com/pw/AP1GczMuAp6HK0ryQnq1m-fu6K0dO22iLGPajbpzj0KgWv8SCo"&amp;"oQVxN0KaH4NeZeQJAyQscezyJWFGD4ShqNjv3xDIUOqFtnH0ql8D3hpOjh7edQap61yLP1=w1200|https://lh3.googleusercontent.com/pw/AP1GczPddCnObZDBMYrnistUVEy7Z2UG3dnNII1jMhkgz-wrKoN9S4XOQbrQKfw21pnAn6nvRBswBGWIhEgeXqXzeamhAkd9yfgqNW47SxL6dqYCufoR6WJZ=w1200|https://lh3.go"&amp;"ogleusercontent.com/pw/AP1GczOsfBCD3qXKtXmZ_l_wn6zcoH_FeN0UxDMUiUjeiR6TJ0DWYUREFMW6FveHqYp-glbm2cnhRbY4R6h1U6obCXM-FxHbciM9BrJ7z9yrbkehH3Y6zFxx=w1200|https://lh3.googleusercontent.com/pw/AP1GczOOWRkWuULcBc5xEjFZmjinAjjsmi8x8NPf_EMlIYeMqUAAXIVYMJq_hm6rGTnW"&amp;"e1gQtwwbEDhEZ8hBrnqVfe0BZQD2BiW1lUdFFaTWyjh6PpoUw9zc=w1200|https://lh3.googleusercontent.com/pw/AP1GczOkkT1o2y21OIfmzCcgirZh1VPoljX0cHU6HLHFXz8j0b5z7XV1oV7q_F3uKCxGoyrRKLqx1nqqCmOJNtGX3rZlGHjCKGquL3jbEafrTYYHmQEMsNOP=w1200|https://lh3.googleusercontent.co"&amp;"m/pw/AP1GczOxAy2HhIcxsknllGZH2TlOOddAL12DSoZJFvXJe1lf-sHxbMMbd3VsjEfUZj1vm6eEmKSs99yWf2mMmvlyyRTJ3Xx_pmxI_I2uc-oScM5cYZGLkevw=w1200|https://lh3.googleusercontent.com/pw/AP1GczNDiMjzFCf_xydzoKX1vM-VEEnA4zYn-hCc-cK-RtnMHATiVZvseWODlvh6PR2qk8Bf-xlWyOjnWsS1qJ"&amp;"lhK7l2DVyCA0vNpmKdx1OmUNjSmwhypwBh=w1200|https://lh3.googleusercontent.com/pw/AP1GczMxEwlqU9EK9OVXvhayd6fzR2Aq4dBNgJ_dF2v4ix0W1L4QLHaA3rma2JuwXe5JhBgY3YBX6XTp_mns7UGqVtOo2o4iaBIlE0CS7XGfAHKumg-lRZ_U=w1200|https://lh3.googleusercontent.com/pw/AP1GczO7_fkr4"&amp;"oo-9Iyypv-r7hOo4Yf-Zc3liHJ_dOfMphuRFuaR2qOe_xprSsovnVrw4TcL0HINPjJtvngZ9oHTE9yPtevBOOKLjkQYYxJ6sbr0VQQ-nku9=w1200|https://lh3.googleusercontent.com/pw/AP1GczPx71W5W_HnsU1xtZRI2EbdlM-FgNVB0KBVIVpUKKf1iilbmYS8xVhbShqs5DFlNqVCPC76euZaXAHw9PP3hejKE2YPZsqMXrlQ"&amp;"WSbhqHopGpegy9HK=w1200|https://lh3.googleusercontent.com/pw/AP1GczOEGmNBXCWFzkMdAT4srUyQ_ozQGZERk06p0ycNic9IBl5KENs6j6vmKbAGNM39R-U6cNyBAo5ECEiyugL3WHwRSSTZ6LXdEFURDS_CUw2suGs84WW7=w1200|https://lh3.googleusercontent.com/pw/AP1GczNwZrPiRgFY6G21xM2fKpipVGr"&amp;"Ds0ldvY_Gl2GkIw4qyjUoGzZnegk45U6SS5yPkR8ClnfaI6fqJp3ziABVGC-4hwk71Qhptw-a2d7kX8KWWOVWtRTT=w1200|https://lh3.googleusercontent.com/pw/AP1GczO3NJi3JQYRTmq1QRiFSFHM5uM0Orf4NRThXuAnW_1FQ7yOxT4Fi-Wsn3k2YY_WlN-k1EKjMmftkHZFXmdL5hP8I1JudqhpmXj-cQZWRhjfhpqwl10a=w"&amp;"1200|https://lh3.googleusercontent.com/pw/AP1GczPBe2zrq0tXynemVjRt_KYWyh0RnpJFx-RLndEDuEo00Jny2adsa_1MgQX4890Vf4yreZReOsOLHcqDn-UmglWaviSUNyYEsCcZw3WlXVr4TV7FsgV7=w1200|https://lh3.googleusercontent.com/pw/AP1GczPfAqFBsXZIdDqrnO0qLygEyi4Gkwl_FswOJxjCDjM-b"&amp;"VpvvmXWD5O5U441c_-325P2Tm_iV546cPKmmlmucG05csEb9gaI40FHAkXP5X3z44HP7faT=w1200|https://lh3.googleusercontent.com/pw/AP1GczPV2iYePYod7TQ1LhJkHlkcFsZAQrO14rH1eoBx50TPYWF7WyRkJ6WZgWP1Ggt4s0w_XaGpE5gPnyR3jLjEuBik_sDVXCSVSLbEfwZBIkn6TJWov9on=w1200|https://lh3.g"&amp;"oogleusercontent.com/pw/AP1GczOLu0wX-8HbUQDxNG_4qSSFi3sjtqCU4PJAJ_O5u3FIaRNiP02ZBcqn2WFhm4NN0Nkwn4hYcOShcRc4zqHE6s2gRFbG1sBK5PBH588eoioF2xGDi5aA=w1200|https://lh3.googleusercontent.com/pw/AP1GczOSDMuPHKAKczxIk3rnesRieO5vthRoQpAB2eLwqXxvYprQPCkWgyMZjD_XgyG"&amp;"9RGID6k1efwziRsVnW0HTzIlfTbGnAl85i5GEGV5rIBMgtcpmVjQE=w1200|https://lh3.googleusercontent.com/pw/AP1GczPQuioxzudl2lN2O2EgiA6Sqec3iHKT0QW3o_dsh8lsGpo1ADxImQpa51-A1zIkITy4nFV31tgC2i62QEFKOFy2hfXh9PLBs8pr97LtJIWbl7-J18zi=w1200|https://lh3.googleusercontent.c"&amp;"om/pw/AP1GczMqv968ZhIt6KuzjnFQBnlzUxZHJN0SDIvFPNQiCFv-hUcP9pY7TRxWif3rg3AKmghNlW48zJFxsL3rDSS4mWuDOZibsLieOVYR5aqPbZVSqCu7wnUj=w1200|https://lh3.googleusercontent.com/pw/AP1GczMJ284xFW8brKenAgRHv5dhf2ZMMXcv9juLfKahcMegKTTes9S4jbbjS1VWJjRYMMzFNEvwTZTIhz_xo"&amp;"iVGvhM_c_rIX2P92BQ6OrvHBB3A1sjXmZ2d=w1200")</f>
        <v>https://lh3.googleusercontent.com/pw/AP1GczN2fWpGiUsCSx6J-pxoACoKPdnOwi785v_uF2Et5DTKkMZVA_0UR994tTLLhzgMkwtGZxQBZj-tFW0Z-Ea5hoi_yMx6-L6wfDbuIkc7rReIVE5RJVHm=w1200|https://lh3.googleusercontent.com/pw/AP1GczPviht-HoGl4s15f4-5xW8Y22cWK9o-ayTMv8NWRbK488erCoACa_AsATQZJz1WPbTnhGLnR0o77hySAUXPFkVSgfk6blIK_2hJRJuP4T6dKgzem9-Z=w1200|https://lh3.googleusercontent.com/pw/AP1GczP-PCkly1pjfZLQ8zgZ_XoU_Ygc_gNEls1T46QuK_AjGuxDo7ZhkKuivgBGPbOhAU4pnMPpeIOOCq3bbic6vnw9zfj9gYSTN200HJxrbasIh9FH3PR0=w1200|https://lh3.googleusercontent.com/pw/AP1GczPpKMLzSKBTVBK_xcXnN8rHkpeM2x_PZ1AKyzp0ZAzwkIEX0DniNnv0IKTCcnWMrMS_5zE2uiBShxLdQN_-xOmVAx1D2mqyLsdvGNTrjExtDXq1D3DS=w1200|https://lh3.googleusercontent.com/pw/AP1GczMom5NXKNfu9tgWhRMLrJRcfUmqp1Mnp1iFxV-tMXze-UjWTGUe-UZVf9e2tAG11aUx-_6rsCfYkYUS9yvV11VPJmAOE9PMdZaBZUOegK9eu4vZUofc=w1200|https://lh3.googleusercontent.com/pw/AP1GczPbBIh1F792GTEd9R3yBBhbjlZBuKbjMgfyjQgagE8zEv6_8ri7GIUagUBTmxTygH1qPl_NtEHtq8hg70KqCyP9oul5aEA23fcXFd-CgW7gltdIoQLu=w1200|https://lh3.googleusercontent.com/pw/AP1GczPYCIfNT_VfNDa1ZXieUxYB4n6m6AocQ0jFyI4kAeaL4jO8xYOHsPrysE3u_66gepALDKEZkidICwQhWYC3XXd5mHfs8xQsGAtEIV6ae41FgeA0T6WH=w1200|https://lh3.googleusercontent.com/pw/AP1GczMn5q140c3h3C6hmjUDKybJhh-sz_5RbT1tXqGfzDRoPQ2Yc3N0eOR9WBeaSugpziQX572L3UG8bwvpGdIi3Pq20gdRWEXWZPtBs8rnYPX3PfQLgddx=w1200|https://lh3.googleusercontent.com/pw/AP1GczNl9sw-0LY187RxMm4jyKLZBO4jKms_HMcU6wgmybWz3Ma2Yu1eQX0lWdTEuqa_AuxW6c-WOnln9DzLmot2aQN3PFBKXkFncM4buBulb8IdSbX2lZmC=w1200|https://lh3.googleusercontent.com/pw/AP1GczOxDErUVQSQOfQeDzTyiYuwz6-V2HXHtr9XiS7OCR4spD6SIFVcuPLAuPNlPANS3msjyjQWVgQpfqMS9vzbK_qnKnTQ_eP6LDZ39zarfKhe_lbnHzjy=w1200|https://lh3.googleusercontent.com/pw/AP1GczNOEIwok2thAB5ewS6tjnb2W3YjRvpZdMGYz-gnwwLt9MgaztyLFD-sdFQoNTZnKTaiJDQcxJlV2VwFOiwpE3M-N16gD1agde7rKfS0sEW1R5SeEyMd=w1200|https://lh3.googleusercontent.com/pw/AP1GczNJr3Q8-flYIMJsYXL5dG2S4kwChZU3iXFY1Gntf3l0QSju_HJIMXgpPO9bH6RLxCY9ZFcmfxMQ5fs7HHxy_0UGGdazUNZ5GW1VGjrgVKr9ED6XJYzm=w1200|https://lh3.googleusercontent.com/pw/AP1GczNbmyF-3bdpwY5DnmZpbd8sW6yA0An-z96UDJkpsjgjcoZ1384dfJAIHfOm2kdW7RNrQXuQXisuovTkh3IT-VPT-6g12b0FAag2FfI3kFxnr4mPbHwl=w1200|https://lh3.googleusercontent.com/pw/AP1GczOO7Kzo_V4iVw6pqxqtxbWOAsYJBGDoZ9cxb65q6L3rVuLfbu6aMsIs7GJRS7FqfoySpxfwex0xB_Sa0DEE7uAj3_pP1tWYnXlvNvLJ_FvtwUl9GQEA=w1200|https://lh3.googleusercontent.com/pw/AP1GczNWDQB93jK4Ms0jQCJ6jF9FPY45VPtwK_LUyUzLSq6aRBJ7gRTJSdwrKkj-6XDwCh-ulbhPHsZLZYi_fL-sx4YC0C7R_4erMowLFs1GrCo9yf3JHnj5=w1200|https://lh3.googleusercontent.com/pw/AP1GczPbs_VOZfOfFLxY0-iHmGY2_vrhygH1QcFBBP7BRGvpTk2imBp3JQ5EUpFb9sMtNvJ-PxzSPNC-wrtc3rjAU5uNWNu69JUeUpUvIFyiw7ELm1KCevpa=w1200|https://lh3.googleusercontent.com/pw/AP1GczO_wwF8aeGu_4763hY5O01YpfAF8y9h0MAane_-ejqTZVb0q3kuS3NRb4KzYX5fYe9JMJ9ffc3rpJUAv9Blfi4Tj7zeAFwn5bnCxZXjXvHFnK7mhLnY=w1200|https://lh3.googleusercontent.com/pw/AP1GczM7vrSOUJfqhU_ApLGSYPUgg7EdshQU5lS7p2gq3GivAH0UssqPXqo1yB40YAGDQ5AOM3iVvWv7gkQpP82tKxqskH1MBDLdcnO_6kELsyFnQuUw9-1i=w1200|https://lh3.googleusercontent.com/pw/AP1GczOv5Vuz57EzHMni5-nCekJWsp59-ElRbBGK0v0NxGjaUhKZM5zTtNV4SeYIZeEHCbKsSf-OuoRBiAw-fPNeXslrAVwGyH4D171bRNWK38ensmq9kE3s=w1200|https://lh3.googleusercontent.com/pw/AP1GczM5bRq9bVyZh-9-zkJLa7s0nT_1dZ3MKUkB9Apm9zD-hi7u3y0hKJj2SKsAg_RtA2QvBywf6Y_CxvWmVgHCkXJP5yijYzpMejggxnrKU_KEDEEnlZr7=w1200|https://lh3.googleusercontent.com/pw/AP1GczMNzIPFLpraRKFXrz3iV0g5FXKra5qiX-HGVMsbgCJsghnlGiTAhjrIj3jacDWtxtedMiFVwe660j60cbshnMpjjJoYSRPBWfUrQfBCy7Zscbxu5l8f=w1200|https://lh3.googleusercontent.com/pw/AP1GczOSbIW70tDiwX5wCW9rcmx3tigXxuYd6-qc3MCFz__iBlYFS-IAOyJZFOt1plgQJS5zD7grSGVzFBgf5MJ4FwIfFokzyn2zQVF8PBJoJeadV7EPocbS=w1200|https://lh3.googleusercontent.com/pw/AP1GczNmq01_Dvs1atDagcgvJZ7MISZOt0ge41Z85HZxqVwBm4W5_OHhkl5ka-jj2NDH7b7HKyDyMuo8Va9p971EGsQ6kne9OjzkTLUZL0eFKrjb0_OVSSAH=w1200|https://lh3.googleusercontent.com/pw/AP1GczOcFZUE9ukhYLst7W60DTDWQNsSM1XPVJXKek8ha5oMNk6AFdqDpCXO8V_e9Skzx99QzP7Ezq_Td8O8QV9VCKPJ5QHhwRHlq7D9BTZHNR1eAedFKALp=w1200|https://lh3.googleusercontent.com/pw/AP1GczOvMUgMGn4v4jFIymnd0r7Yq1EIBAFMSXUznXStTAeg9g2ax1bhp0SHpCYZEfLdhT9TPTW81Wu5GrU6uAMYK8-1uGWYSphAW2liL-xP3yLtQpDtZOB5=w1200|https://lh3.googleusercontent.com/pw/AP1GczN_QUNS1IBTlHbeeX5JnFrwSS09HmYL0H27gRBXq0pW0OuVoxVS8IP1WZjnI0-66c2-7LCtzovl8Q9q5LrTUdJi-w0dIdqmUbUt8-o6azJf4yxLvWe9=w1200|https://lh3.googleusercontent.com/pw/AP1GczOLBGI6fTFlag6K9c6pQGfui5K1dXIaRHz6WI60PSZur0mIx61ePtI95l2OMPhiY6AIyXBNvr8EM8MRq299XSFPkU28tI4vROG5P8Yh9TDfrI-2_-85=w1200|https://lh3.googleusercontent.com/pw/AP1GczPATZA6PJ650GnupvDNz3nTvFhhOv7Qb6IFqs7ASDjNal4-B7fVGNEzum3FigQBnzxRfbu5n7d9OdIIc2QuABrV8ltKt8Gh4awlA7ykNdGSyyKgaFNp=w1200|https://lh3.googleusercontent.com/pw/AP1GczOf5D6jTzMjFboBnSpCeO9m0d46q-OYJ3UGX5fMGoq_tYYwRRTZJTk1GmVUhfCT514zB0Q-1yVtOQusV_5pdFGgTr-MPhQL5kQhIPF3yaOO1JI00Pqq=w1200|https://lh3.googleusercontent.com/pw/AP1GczNnJybLFFLKlNgDavNPIYiMBCd__C9ze2S355muA2PCYBj11JvRCmHP0s2F09NeU9Rn45Xc46Q8yF3-t2hHZDVcSmMWsLqweTkP-b1X-5JlGw58UWh0=w1200|https://lh3.googleusercontent.com/pw/AP1GczPnuI-xiZx_5lax3LEOW163j8iMBcHV7aEHDzXDMscecsCk0F1dXC_hcLGqy45HFL9wNH9ZC32DDup2G-TB2hCAzfWYPXyjR4hzZYuAIr4bo9LG8z9Q=w1200|https://lh3.googleusercontent.com/pw/AP1GczME5j7zmqGKgrxTElEf3GI9IyCqeFJ8QD-P6pQBKSvDsMv8qdAbYvqQ8NeFA2ZWYFQKbV_9f0XtPZOmUI17EWhlRDU-OaCxH51WYIVyI6bG-lLtKrCJ=w1200|https://lh3.googleusercontent.com/pw/AP1GczMBlYDcolspt4fyypo4yZDpt7I-oXCWaS7zE_4u6mgMIBsfeQM4Ui3wBYSrbcPHhrSAm7m8vIopdDE8urv-aCcrFtr-FRzpe8K0-f41tDGdwAzpogRh=w1200|https://lh3.googleusercontent.com/pw/AP1GczMO2mEPj1_poCejfYWdg91C4FIDj6YPi7iOBz7grFkyrLQ3FgZ8_bolMPwUrFNGFcgOiwPpiNnuQBYil5-1gbGJbwrTLvgeFnuZeblKD2RyLLmhfVHv=w1200|https://lh3.googleusercontent.com/pw/AP1GczNHJ1zcgMs4T34V22-ckZnEv-EoGUe4xVSwVyiTAxY37uBNhLij7gv6rzQ0rZvB2vRr-cB696f3EPdARkSzeGlsNt1SXONNmPixVOMZUBBJJNA0UPHY=w1200|https://lh3.googleusercontent.com/pw/AP1GczNb8PiyvmoZ0yzgBNvJRtkGlGmpWpLOmHdYNJ8Ql560PvFjXw-HCIAppenmjFSKVmNDnSPX8H0_Fei-mOPWELYCwGtQtSX13zXlXSGfqKt_OYtPqhWz=w1200|https://lh3.googleusercontent.com/pw/AP1GczOs6LfX4yR5c8C1kN7MZR2IsEGXxO3KlwZOsb4n2xoFABnu3pV6rp2hfvfilZbIStNv99HaDrStjfk-h3hjxAF-gPfcxYb8bmoJd6W6rlByeF2rJ3lE=w1200|https://lh3.googleusercontent.com/pw/AP1GczO2Ou-SecZPM6Sxy2Zr-TLZVI1sLCczo3abz2YE5pO2u-TkBdKWO1ui1urDEkecFrhd5xzRpmoe__WgrCRPA7vhjWnrkXxDq-8b5UYis5z59hYLNmev=w1200|https://lh3.googleusercontent.com/pw/AP1GczOGgti1-IrGbOV4EOvnuNqi32E2a1MyzotLwffiGzUCd82_9mmqBdYv2tU1XM6-j8WoljZb23imUzsAnnKhlLhwyCIWLgZ3C54Daf7cXour-31Pim1H=w1200|https://lh3.googleusercontent.com/pw/AP1GczOu9pnEDvLiJyLdwj1vDXYOasgZ3QUbWTlYwn05854f-nJ0uABegg0T5fmTI6mQd-fxqv8_GPMzY4s8w7lwVS1HlMg5CxsX6cD99CyFsn_uMOMAmUfZ=w1200|https://lh3.googleusercontent.com/pw/AP1GczP0GgJlpC1DuyTkZJj-dMIxNLP_j3-q5inTpjzvePkHgEOgM2oHl5SaU2BRWNRaYsVElX6WGYj3VaTx33LIzd5BH7KrmIzJgFWYGegjpeexPMywNA77=w1200|https://lh3.googleusercontent.com/pw/AP1GczPF_VtS7DHRRyvXoFOID75Q1TthzAihTS0Bv70Rajip8IlTTsuNVty6zSPH7MnKSoW77hw1PEcOHMH5BqJwBQCWS0MaBDCSkjPVgHL4eYGLoAM2Y8C1=w1200|https://lh3.googleusercontent.com/pw/AP1GczNknEr7DgCnPN8YFagK72l1njF0qzHAdg-zpQPA0Y5Cs1Qi-kg_W5jj36eT1hlgvTSCP-9t0ypwMt43rI4h7bsPlSrZDcIaX32nNSaLz1-Z1mcFpm_e=w1200|https://lh3.googleusercontent.com/pw/AP1GczNEuTKtFay7kKYwVS46Jm4IO_Ed3hPk0AV96muGVgONSedEL9EWRLtHPva3jTLcWvltZ35fC8sCY02XkHMTtayQ7MrxTrLV899WVQrxWqpLLhxUBw0C=w1200|https://lh3.googleusercontent.com/pw/AP1GczOvHKC6F0KyeZY5GLPLfiI9JZT-x_fwrIYqsm_70yNYxyPB0cuaF6N8ZWacq0AdedRQDLKVE2B4qgWTZRm4Icn6sRgNduo806bEael-hgo2s85nGNWs=w1200|https://lh3.googleusercontent.com/pw/AP1GczNyLRjFk8dpdxSRN4690DKWq3dtndlARmLegz5_IgDQGKGOEIU3bM1gN4_4hk_UcNzGxh-7HCDs9zcoIqe15gx6kc3zxMYQ-JbdEBO_6n3zqiA_53ev=w1200|https://lh3.googleusercontent.com/pw/AP1GczP4EM437LaUmJam0r777D_Dm4e1otHoUl7uJajlrF_WWi8MKdlPHwjRKDSsITCIcqtYn944HcyIvLHzEeUd8qx58sflSTUrHJhgKpYCGzRY8vCC0JZF=w1200|https://lh3.googleusercontent.com/pw/AP1GczOYxdiunr_BFnFQyCQnub4HiXZd7TSy4BJgCkRbjvgB1hzVND7gMwWixFzfseBL3hTb9n2Ge9wg6daZ3PUN9tkk3vGTrSb94QCKxjV12nKj-rJsDGVK=w1200|https://lh3.googleusercontent.com/pw/AP1GczOaF9eURlgA3hCDphbS7X7puWmMDjkFqPSmCWpcYw1k9ZC-mGA9YXJujlmRVeAst6PvL7nnz2NJOyNgu6BzA7NkW-V2WMh69MA4fgh0qxDG94o10u21=w1200|https://lh3.googleusercontent.com/pw/AP1GczO8ZkKRn_of0YvjWMvbRhhARUUcTuy8BERcpw9viMgAZ5l2t43tB8sh9CJ3c5QCX6U-Vmg6VpZWxIeLQnKyFciBC1ZZncLInBRYA0dqVSjYH5P01gj9=w1200|https://lh3.googleusercontent.com/pw/AP1GczOQGUo7UOleNqzm6ZFvOf8A7EIaGjXKGG-4ah9FE-X46kqfWI42WcfY4YQRhmaycuIaJkCka0jOACisHqrW2TjNnzKO9kxitzQdLHjov27yJ0kY9gqq=w1200|https://lh3.googleusercontent.com/pw/AP1GczMMhwVZCMUUnjJ2CTOwgfxyJCFx3FlMAKJqPvqpNVPtuunPudDjObdjodkq_nEo8uzCV3Ejbbw6cJiX8TjDBGjMI82fx8dFkrAJLk26zC0ZYLRHb8yJ=w1200|https://lh3.googleusercontent.com/pw/AP1GczOXf4whbyMhq08GwQC_OUu9CnZj6lts2MhnmRSS6061Mnx6sb8jqEVh-gbpQS_W99waZZxMMWKQ1fGeE4-ww8HcdSvNx-ppX7e0EewStcnY10QjLvGv=w1200|https://lh3.googleusercontent.com/pw/AP1GczNLt8MFkOagQTTjuZj7ZlagfuIMdxZIJrKtYMY1l5FTL0h1Jc6wdD66E9B11e7Chgyr0em9WVaresh6vxM9AnEEMN_39foSsb3ZmsK8hGq_9yPQc3Ss=w1200|https://lh3.googleusercontent.com/pw/AP1GczMSOMWzm1Y0zryUXF94fZrU1Ik3ZvnAjvEU25T_6bF4FY-HBmI4STczlizy6lDx4E7ttow-McJNcT0Bbr5wt7t4Q_NadeoqIaV4vhYMb1QlGkZwlBs-=w1200|https://lh3.googleusercontent.com/pw/AP1GczP7BTcXam9JuGujDReGdbVHELAL4anWNk47h2fnf7fFatJLeaAg4T2Mx63yQ_KDZOzPLUtqXJeqBUsiNpaaiMxf-1bxzqChUlFDv4NFU7lDtI2jEGPp=w1200|https://lh3.googleusercontent.com/pw/AP1GczPno2zDuCBnzff_pl6pcmXxIMM0iWHaUu4HYKGtyoQ2SYTNKXcpO4yIFggBuBrE1UsByq-nowfhXF9iBfcaEJEoXEEIL4xpUWu66Er5SE8o-EPRlIgm=w1200|https://lh3.googleusercontent.com/pw/AP1GczMuAp6HK0ryQnq1m-fu6K0dO22iLGPajbpzj0KgWv8SCooQVxN0KaH4NeZeQJAyQscezyJWFGD4ShqNjv3xDIUOqFtnH0ql8D3hpOjh7edQap61yLP1=w1200|https://lh3.googleusercontent.com/pw/AP1GczPddCnObZDBMYrnistUVEy7Z2UG3dnNII1jMhkgz-wrKoN9S4XOQbrQKfw21pnAn6nvRBswBGWIhEgeXqXzeamhAkd9yfgqNW47SxL6dqYCufoR6WJZ=w1200|https://lh3.googleusercontent.com/pw/AP1GczOsfBCD3qXKtXmZ_l_wn6zcoH_FeN0UxDMUiUjeiR6TJ0DWYUREFMW6FveHqYp-glbm2cnhRbY4R6h1U6obCXM-FxHbciM9BrJ7z9yrbkehH3Y6zFxx=w1200|https://lh3.googleusercontent.com/pw/AP1GczOOWRkWuULcBc5xEjFZmjinAjjsmi8x8NPf_EMlIYeMqUAAXIVYMJq_hm6rGTnWe1gQtwwbEDhEZ8hBrnqVfe0BZQD2BiW1lUdFFaTWyjh6PpoUw9zc=w1200|https://lh3.googleusercontent.com/pw/AP1GczOkkT1o2y21OIfmzCcgirZh1VPoljX0cHU6HLHFXz8j0b5z7XV1oV7q_F3uKCxGoyrRKLqx1nqqCmOJNtGX3rZlGHjCKGquL3jbEafrTYYHmQEMsNOP=w1200|https://lh3.googleusercontent.com/pw/AP1GczOxAy2HhIcxsknllGZH2TlOOddAL12DSoZJFvXJe1lf-sHxbMMbd3VsjEfUZj1vm6eEmKSs99yWf2mMmvlyyRTJ3Xx_pmxI_I2uc-oScM5cYZGLkevw=w1200|https://lh3.googleusercontent.com/pw/AP1GczNDiMjzFCf_xydzoKX1vM-VEEnA4zYn-hCc-cK-RtnMHATiVZvseWODlvh6PR2qk8Bf-xlWyOjnWsS1qJlhK7l2DVyCA0vNpmKdx1OmUNjSmwhypwBh=w1200|https://lh3.googleusercontent.com/pw/AP1GczMxEwlqU9EK9OVXvhayd6fzR2Aq4dBNgJ_dF2v4ix0W1L4QLHaA3rma2JuwXe5JhBgY3YBX6XTp_mns7UGqVtOo2o4iaBIlE0CS7XGfAHKumg-lRZ_U=w1200|https://lh3.googleusercontent.com/pw/AP1GczO7_fkr4oo-9Iyypv-r7hOo4Yf-Zc3liHJ_dOfMphuRFuaR2qOe_xprSsovnVrw4TcL0HINPjJtvngZ9oHTE9yPtevBOOKLjkQYYxJ6sbr0VQQ-nku9=w1200|https://lh3.googleusercontent.com/pw/AP1GczPx71W5W_HnsU1xtZRI2EbdlM-FgNVB0KBVIVpUKKf1iilbmYS8xVhbShqs5DFlNqVCPC76euZaXAHw9PP3hejKE2YPZsqMXrlQWSbhqHopGpegy9HK=w1200|https://lh3.googleusercontent.com/pw/AP1GczOEGmNBXCWFzkMdAT4srUyQ_ozQGZERk06p0ycNic9IBl5KENs6j6vmKbAGNM39R-U6cNyBAo5ECEiyugL3WHwRSSTZ6LXdEFURDS_CUw2suGs84WW7=w1200|https://lh3.googleusercontent.com/pw/AP1GczNwZrPiRgFY6G21xM2fKpipVGrDs0ldvY_Gl2GkIw4qyjUoGzZnegk45U6SS5yPkR8ClnfaI6fqJp3ziABVGC-4hwk71Qhptw-a2d7kX8KWWOVWtRTT=w1200|https://lh3.googleusercontent.com/pw/AP1GczO3NJi3JQYRTmq1QRiFSFHM5uM0Orf4NRThXuAnW_1FQ7yOxT4Fi-Wsn3k2YY_WlN-k1EKjMmftkHZFXmdL5hP8I1JudqhpmXj-cQZWRhjfhpqwl10a=w1200|https://lh3.googleusercontent.com/pw/AP1GczPBe2zrq0tXynemVjRt_KYWyh0RnpJFx-RLndEDuEo00Jny2adsa_1MgQX4890Vf4yreZReOsOLHcqDn-UmglWaviSUNyYEsCcZw3WlXVr4TV7FsgV7=w1200|https://lh3.googleusercontent.com/pw/AP1GczPfAqFBsXZIdDqrnO0qLygEyi4Gkwl_FswOJxjCDjM-bVpvvmXWD5O5U441c_-325P2Tm_iV546cPKmmlmucG05csEb9gaI40FHAkXP5X3z44HP7faT=w1200|https://lh3.googleusercontent.com/pw/AP1GczPV2iYePYod7TQ1LhJkHlkcFsZAQrO14rH1eoBx50TPYWF7WyRkJ6WZgWP1Ggt4s0w_XaGpE5gPnyR3jLjEuBik_sDVXCSVSLbEfwZBIkn6TJWov9on=w1200|https://lh3.googleusercontent.com/pw/AP1GczOLu0wX-8HbUQDxNG_4qSSFi3sjtqCU4PJAJ_O5u3FIaRNiP02ZBcqn2WFhm4NN0Nkwn4hYcOShcRc4zqHE6s2gRFbG1sBK5PBH588eoioF2xGDi5aA=w1200|https://lh3.googleusercontent.com/pw/AP1GczOSDMuPHKAKczxIk3rnesRieO5vthRoQpAB2eLwqXxvYprQPCkWgyMZjD_XgyG9RGID6k1efwziRsVnW0HTzIlfTbGnAl85i5GEGV5rIBMgtcpmVjQE=w1200|https://lh3.googleusercontent.com/pw/AP1GczPQuioxzudl2lN2O2EgiA6Sqec3iHKT0QW3o_dsh8lsGpo1ADxImQpa51-A1zIkITy4nFV31tgC2i62QEFKOFy2hfXh9PLBs8pr97LtJIWbl7-J18zi=w1200|https://lh3.googleusercontent.com/pw/AP1GczMqv968ZhIt6KuzjnFQBnlzUxZHJN0SDIvFPNQiCFv-hUcP9pY7TRxWif3rg3AKmghNlW48zJFxsL3rDSS4mWuDOZibsLieOVYR5aqPbZVSqCu7wnUj=w1200|https://lh3.googleusercontent.com/pw/AP1GczMJ284xFW8brKenAgRHv5dhf2ZMMXcv9juLfKahcMegKTTes9S4jbbjS1VWJjRYMMzFNEvwTZTIhz_xoiVGvhM_c_rIX2P92BQ6OrvHBB3A1sjXmZ2d=w1200</v>
      </c>
      <c r="AJ244" s="46"/>
      <c r="AK244" s="46"/>
      <c r="AL244" s="46"/>
      <c r="AM244" s="46"/>
      <c r="AN244" s="46"/>
      <c r="AO244" s="46"/>
      <c r="AP244" s="46"/>
      <c r="AQ244" s="46"/>
      <c r="AR244" s="46"/>
      <c r="AS244" s="46"/>
      <c r="AT244" s="46"/>
      <c r="AU244" s="46"/>
      <c r="AV244" s="46"/>
      <c r="AW244" s="46"/>
      <c r="AX244" s="46"/>
      <c r="AY244" s="46"/>
      <c r="AZ244" s="46"/>
      <c r="BA244" s="46"/>
      <c r="BB244" s="46"/>
      <c r="BC244" s="46"/>
      <c r="BD244" s="46"/>
      <c r="BE244" s="46"/>
      <c r="BF244" s="46"/>
      <c r="BG244" s="46"/>
      <c r="BH244" s="46"/>
      <c r="BI244" s="46"/>
      <c r="BJ244" s="46"/>
      <c r="BK244" s="46"/>
      <c r="BL244" s="46"/>
      <c r="BM244" s="46"/>
      <c r="BN244" s="46"/>
      <c r="BO244" s="46"/>
      <c r="BP244" s="46"/>
      <c r="BQ244" s="46"/>
      <c r="BR244" s="46"/>
      <c r="BS244" s="46"/>
      <c r="BT244" s="46"/>
      <c r="BU244" s="46"/>
      <c r="BV244" s="46"/>
      <c r="BW244" s="46"/>
      <c r="BX244" s="46"/>
      <c r="BY244" s="46"/>
      <c r="BZ244" s="46"/>
      <c r="CA244" s="46"/>
      <c r="CB244" s="46"/>
      <c r="CC244" s="46"/>
    </row>
    <row r="245">
      <c r="A245" s="87" t="str">
        <f>IFERROR(__xludf.DUMMYFUNCTION("""COMPUTED_VALUE"""),"335")</f>
        <v>335</v>
      </c>
      <c r="B245" s="46" t="str">
        <f>IFERROR(__xludf.DUMMYFUNCTION("""COMPUTED_VALUE"""),"Casa en barrio Diego De Ospina")</f>
        <v>Casa en barrio Diego De Ospina</v>
      </c>
      <c r="C245" s="46" t="str">
        <f>IFERROR(__xludf.DUMMYFUNCTION("""COMPUTED_VALUE"""),"Casa")</f>
        <v>Casa</v>
      </c>
      <c r="D245" s="46" t="str">
        <f>IFERROR(__xludf.DUMMYFUNCTION("""COMPUTED_VALUE"""),"Diego De Ospina")</f>
        <v>Diego De Ospina</v>
      </c>
      <c r="E245" s="46"/>
      <c r="F245" s="90">
        <f>IFERROR(__xludf.DUMMYFUNCTION("""COMPUTED_VALUE"""),3.5E8)</f>
        <v>350000000</v>
      </c>
      <c r="G245" s="46" t="str">
        <f>IFERROR(__xludf.DUMMYFUNCTION("""COMPUTED_VALUE"""),"$300'000.000 a $400'000.000")</f>
        <v>$300'000.000 a $400'000.000</v>
      </c>
      <c r="H245" s="46"/>
      <c r="I245" s="46"/>
      <c r="J245" s="46" t="str">
        <f>IFERROR(__xludf.DUMMYFUNCTION("""COMPUTED_VALUE"""),"Centro")</f>
        <v>Centro</v>
      </c>
      <c r="K245" s="87" t="str">
        <f>IFERROR(__xludf.DUMMYFUNCTION("""COMPUTED_VALUE"""),"2")</f>
        <v>2</v>
      </c>
      <c r="L245" s="46">
        <f>IFERROR(__xludf.DUMMYFUNCTION("""COMPUTED_VALUE"""),6.0)</f>
        <v>6</v>
      </c>
      <c r="M245" s="46"/>
      <c r="N245" s="46">
        <f>IFERROR(__xludf.DUMMYFUNCTION("""COMPUTED_VALUE"""),2.0)</f>
        <v>2</v>
      </c>
      <c r="O245" s="46">
        <f>IFERROR(__xludf.DUMMYFUNCTION("""COMPUTED_VALUE"""),1.0)</f>
        <v>1</v>
      </c>
      <c r="P245" s="46">
        <f>IFERROR(__xludf.DUMMYFUNCTION("""COMPUTED_VALUE"""),1.0)</f>
        <v>1</v>
      </c>
      <c r="Q245" s="92">
        <f>IFERROR(__xludf.DUMMYFUNCTION("""COMPUTED_VALUE"""),232.0)</f>
        <v>232</v>
      </c>
      <c r="R245" s="92">
        <f>IFERROR(__xludf.DUMMYFUNCTION("""COMPUTED_VALUE"""),232.0)</f>
        <v>232</v>
      </c>
      <c r="S245" s="87" t="str">
        <f>IFERROR(__xludf.DUMMYFUNCTION("""COMPUTED_VALUE""")," ")</f>
        <v> </v>
      </c>
      <c r="T245" s="46" t="str">
        <f>IFERROR(__xludf.DUMMYFUNCTION("""COMPUTED_VALUE"""),"Neiva")</f>
        <v>Neiva</v>
      </c>
      <c r="U245" s="87" t="str">
        <f>IFERROR(__xludf.DUMMYFUNCTION("""COMPUTED_VALUE"""),"3")</f>
        <v>3</v>
      </c>
      <c r="V245" s="46" t="str">
        <f>IFERROR(__xludf.DUMMYFUNCTION("""COMPUTED_VALUE"""),"Medianera")</f>
        <v>Medianera</v>
      </c>
      <c r="W245" s="46"/>
      <c r="X245" s="46"/>
      <c r="Y245" s="46" t="str">
        <f>IFERROR(__xludf.DUMMYFUNCTION("""COMPUTED_VALUE"""),"No tiene")</f>
        <v>No tiene</v>
      </c>
      <c r="Z245" s="90" t="str">
        <f>IFERROR(__xludf.DUMMYFUNCTION("""COMPUTED_VALUE"""),"No aplica")</f>
        <v>No aplica</v>
      </c>
      <c r="AA245" s="33" t="str">
        <f>IFERROR(__xludf.DUMMYFUNCTION("""COMPUTED_VALUE"""),"No aplica")</f>
        <v>No aplica</v>
      </c>
      <c r="AB245" s="96" t="str">
        <f>IFERROR(__xludf.DUMMYFUNCTION("""COMPUTED_VALUE"""),"https://photos.app.goo.gl/PRBw3zRyA7QBUFid6")</f>
        <v>https://photos.app.goo.gl/PRBw3zRyA7QBUFid6</v>
      </c>
      <c r="AC245" s="46"/>
      <c r="AD245" s="46"/>
      <c r="AE245" s="46"/>
      <c r="AF245" s="46" t="str">
        <f>IFERROR(__xludf.DUMMYFUNCTION("""COMPUTED_VALUE"""),"")</f>
        <v/>
      </c>
      <c r="AG245" s="46"/>
      <c r="AH245" s="46" t="str">
        <f>IFERROR(__xludf.DUMMYFUNCTION("""COMPUTED_VALUE"""),"Verbal")</f>
        <v>Verbal</v>
      </c>
      <c r="AI245" s="92" t="str">
        <f>IFERROR(__xludf.DUMMYFUNCTION("""COMPUTED_VALUE"""),"https://lh3.googleusercontent.com/pw/AP1GczNMRbmNos6MFDSavrYEjfGLGYsNmfX9z-kpsLv33DBO9e7mOuRuQKYk8Mzl-CxI79OgS1pGsHl_mtuh3D2PfDFUfUuFbzKASwsp2-IFvt12czxR8hl-=w1200|https://lh3.googleusercontent.com/pw/AP1GczMau228pATnILm7uQz9iVqIsVBKz5wjv7W_PmZFbXzUqrfyqm"&amp;"wqaE_UYfx1CnpW6ApW6VdSiSXp-CrbQPEljzG-ltEzrRl0ZeYPS_o9V8AhwE9wFgYj=w1200|https://lh3.googleusercontent.com/pw/AP1GczOgAb5saZYV1eAuFSO_2lvOhbV50YfFTpBrlyaM1JBb0BHBBC1c3PMrXADsOi6V8sI7hkCKVUi1GHnmlv6lF6QCbX89HtLm51zU1vBpX-PVsWazaQ8y=w1200|https://lh3.google"&amp;"usercontent.com/pw/AP1GczPeUIM_qdlwtk8E1ciX0Fb1hJawSObvIgDze36kSdRvhYgjwgQ-ouB9jAjPhLxMnJS4mlMe5nY_l4pnATuH15PFpsLvPc63LT9k3XUVf8lukgy7vdpV=w1200|https://lh3.googleusercontent.com/pw/AP1GczOpZlh1Ibzao_eGA97ZQ96JNX4GDBCRXv61nh_zAEYCZKJOSbc3jQZk72OGdAJKdhST"&amp;"fpuA19Yr5MFU49KPtGwQvBAlv-vHie7X5twWqgqniO2Um3XO=w1200|https://lh3.googleusercontent.com/pw/AP1GczMNEM6Vof42_8tPLO-qhQUiyCMPt4BcezGupb5c_gVQFX-83dMrNM3WATgop_0jWGNxPpdMlRTrvxIiSZ6MCqCRaXWLbYfqwQS0YFqaUhFj2zykdQ0A=w1200|https://lh3.googleusercontent.com/pw"&amp;"/AP1GczNUjiQgqhtQSf41ITxXWFMDsJ6gDyb6yEeN2yBAOdJV0g0zWxWaYCpbGY2oSO7rzabR0MDhAI8BSU9-dCBTJZzJh46Jl-TpWuQwVZ2sjXi-uRtfkI5-=w1200|https://lh3.googleusercontent.com/pw/AP1GczOYanDUkKgCD43zfzR0WOvxBG6K-hUW_8yy2fC6WEQUMtvLqGYCPKFlUtI6Aef4JMPPr8N66MPiUSMDJzQL-F"&amp;"P-xoX1_JJgSN5opC3BENj0zPu1hEA0=w1200|https://lh3.googleusercontent.com/pw/AP1GczPpBbOs4-sLj82TqQu8Mht-_gUggwhAbmkrOxwPhHLxvhlZ33OuTAKak9idxmy4vTOU1nTLruYVaTvRUY7-WwCaFwcC2dUWTs2_dyBwsQTgmLd8Q3II=w1200|https://lh3.googleusercontent.com/pw/AP1GczPNtwINGiTVr"&amp;"HRHxcE6V6cGTVme6Xdc2I6tTQfGxCFPUECKx0RIbI6r5GXAGeCqd00P31v42f4cbQR5MXlPo6ua1uT1jxBHP6dhu5xpGETjHSvhL_dS=w1200|https://lh3.googleusercontent.com/pw/AP1GczOdQVFnTQ-PD553pTWgNp7ZVn-sNa75M811hC8PQZ87jfZ9MFJsVsECXUqLN0PMwnFACI01KP48LxWoC7wViVPlJGQqJoYlmjXSwjuD"&amp;"NwjjeApG1yDi=w1200|https://lh3.googleusercontent.com/pw/AP1GczN0iJcfTcvgfuuesi5sXhERcIep5iW1jAdvmmfKZ8RFzc4hYsgOr1p78duhABtdTIl9XaK-SB407NeccMF0shG2lSKzoHdVlosvEfJeZUmQ1saUhPGr=w1200|https://lh3.googleusercontent.com/pw/AP1GczM4BOSCgg4gMQu0sSvT01rwhcCWTmf"&amp;"wz3ivh35rM84SaWKuJUR-x-UfPAzE_iG6fiuNYG290Idx0veglB76tRr0rQP-qLZf2wFaorrcDx6ZzIBTRGCt=w1200|https://lh3.googleusercontent.com/pw/AP1GczMgvBK5NQfh3BZsBBeSuHi0YHw7r11YkB8DFKeQQ8BphrDqu7yQA0PwpE0toUCUQlrSPQ3X1ucUnJmmpX9Mt3RDDUDLjNyNR1b0-RBTek0E4nICjEDp=w1200"&amp;"|https://lh3.googleusercontent.com/pw/AP1GczNkbzdXsjxYuNNRNXtAAzzzeENtUf0MdH5-9lX4reWdxIXJ5L3znD6A79rrHKhab0YvlOdjZNHs4K-rOe_5crwkd0y07wBxIvldSgCRSHwEwsfzXGET=w1200|https://lh3.googleusercontent.com/pw/AP1GczMoA6E15Oo9aQMPxA7ligdD5vgUuEmrcwAeAfTtjuOj3PHTI"&amp;"RYutXp27UeWYrVgB9HmlGo3XrNfhzy1rUWPWoV4dWmu5kxCvsmV2He6Z38MUfyckKHm=w1200|https://lh3.googleusercontent.com/pw/AP1GczN3g0BHlWXdJLVpyIJtSV-jcmJP7PTHzDeydKyucsA_TNJXQQnks_6zt_vCPxf9Cl3LoGd8MROnYjSYZP7EzxzAH5NtGPUD7oWf3V8YLRSZHb3BpIjr=w1200")</f>
        <v>https://lh3.googleusercontent.com/pw/AP1GczNMRbmNos6MFDSavrYEjfGLGYsNmfX9z-kpsLv33DBO9e7mOuRuQKYk8Mzl-CxI79OgS1pGsHl_mtuh3D2PfDFUfUuFbzKASwsp2-IFvt12czxR8hl-=w1200|https://lh3.googleusercontent.com/pw/AP1GczMau228pATnILm7uQz9iVqIsVBKz5wjv7W_PmZFbXzUqrfyqmwqaE_UYfx1CnpW6ApW6VdSiSXp-CrbQPEljzG-ltEzrRl0ZeYPS_o9V8AhwE9wFgYj=w1200|https://lh3.googleusercontent.com/pw/AP1GczOgAb5saZYV1eAuFSO_2lvOhbV50YfFTpBrlyaM1JBb0BHBBC1c3PMrXADsOi6V8sI7hkCKVUi1GHnmlv6lF6QCbX89HtLm51zU1vBpX-PVsWazaQ8y=w1200|https://lh3.googleusercontent.com/pw/AP1GczPeUIM_qdlwtk8E1ciX0Fb1hJawSObvIgDze36kSdRvhYgjwgQ-ouB9jAjPhLxMnJS4mlMe5nY_l4pnATuH15PFpsLvPc63LT9k3XUVf8lukgy7vdpV=w1200|https://lh3.googleusercontent.com/pw/AP1GczOpZlh1Ibzao_eGA97ZQ96JNX4GDBCRXv61nh_zAEYCZKJOSbc3jQZk72OGdAJKdhSTfpuA19Yr5MFU49KPtGwQvBAlv-vHie7X5twWqgqniO2Um3XO=w1200|https://lh3.googleusercontent.com/pw/AP1GczMNEM6Vof42_8tPLO-qhQUiyCMPt4BcezGupb5c_gVQFX-83dMrNM3WATgop_0jWGNxPpdMlRTrvxIiSZ6MCqCRaXWLbYfqwQS0YFqaUhFj2zykdQ0A=w1200|https://lh3.googleusercontent.com/pw/AP1GczNUjiQgqhtQSf41ITxXWFMDsJ6gDyb6yEeN2yBAOdJV0g0zWxWaYCpbGY2oSO7rzabR0MDhAI8BSU9-dCBTJZzJh46Jl-TpWuQwVZ2sjXi-uRtfkI5-=w1200|https://lh3.googleusercontent.com/pw/AP1GczOYanDUkKgCD43zfzR0WOvxBG6K-hUW_8yy2fC6WEQUMtvLqGYCPKFlUtI6Aef4JMPPr8N66MPiUSMDJzQL-FP-xoX1_JJgSN5opC3BENj0zPu1hEA0=w1200|https://lh3.googleusercontent.com/pw/AP1GczPpBbOs4-sLj82TqQu8Mht-_gUggwhAbmkrOxwPhHLxvhlZ33OuTAKak9idxmy4vTOU1nTLruYVaTvRUY7-WwCaFwcC2dUWTs2_dyBwsQTgmLd8Q3II=w1200|https://lh3.googleusercontent.com/pw/AP1GczPNtwINGiTVrHRHxcE6V6cGTVme6Xdc2I6tTQfGxCFPUECKx0RIbI6r5GXAGeCqd00P31v42f4cbQR5MXlPo6ua1uT1jxBHP6dhu5xpGETjHSvhL_dS=w1200|https://lh3.googleusercontent.com/pw/AP1GczOdQVFnTQ-PD553pTWgNp7ZVn-sNa75M811hC8PQZ87jfZ9MFJsVsECXUqLN0PMwnFACI01KP48LxWoC7wViVPlJGQqJoYlmjXSwjuDNwjjeApG1yDi=w1200|https://lh3.googleusercontent.com/pw/AP1GczN0iJcfTcvgfuuesi5sXhERcIep5iW1jAdvmmfKZ8RFzc4hYsgOr1p78duhABtdTIl9XaK-SB407NeccMF0shG2lSKzoHdVlosvEfJeZUmQ1saUhPGr=w1200|https://lh3.googleusercontent.com/pw/AP1GczM4BOSCgg4gMQu0sSvT01rwhcCWTmfwz3ivh35rM84SaWKuJUR-x-UfPAzE_iG6fiuNYG290Idx0veglB76tRr0rQP-qLZf2wFaorrcDx6ZzIBTRGCt=w1200|https://lh3.googleusercontent.com/pw/AP1GczMgvBK5NQfh3BZsBBeSuHi0YHw7r11YkB8DFKeQQ8BphrDqu7yQA0PwpE0toUCUQlrSPQ3X1ucUnJmmpX9Mt3RDDUDLjNyNR1b0-RBTek0E4nICjEDp=w1200|https://lh3.googleusercontent.com/pw/AP1GczNkbzdXsjxYuNNRNXtAAzzzeENtUf0MdH5-9lX4reWdxIXJ5L3znD6A79rrHKhab0YvlOdjZNHs4K-rOe_5crwkd0y07wBxIvldSgCRSHwEwsfzXGET=w1200|https://lh3.googleusercontent.com/pw/AP1GczMoA6E15Oo9aQMPxA7ligdD5vgUuEmrcwAeAfTtjuOj3PHTIRYutXp27UeWYrVgB9HmlGo3XrNfhzy1rUWPWoV4dWmu5kxCvsmV2He6Z38MUfyckKHm=w1200|https://lh3.googleusercontent.com/pw/AP1GczN3g0BHlWXdJLVpyIJtSV-jcmJP7PTHzDeydKyucsA_TNJXQQnks_6zt_vCPxf9Cl3LoGd8MROnYjSYZP7EzxzAH5NtGPUD7oWf3V8YLRSZHb3BpIjr=w1200</v>
      </c>
      <c r="AJ245" s="46"/>
      <c r="AK245" s="46"/>
      <c r="AL245" s="46"/>
      <c r="AM245" s="46"/>
      <c r="AN245" s="46"/>
      <c r="AO245" s="46"/>
      <c r="AP245" s="46"/>
      <c r="AQ245" s="46"/>
      <c r="AR245" s="46"/>
      <c r="AS245" s="46"/>
      <c r="AT245" s="46"/>
      <c r="AU245" s="46"/>
      <c r="AV245" s="46"/>
      <c r="AW245" s="46"/>
      <c r="AX245" s="46"/>
      <c r="AY245" s="46"/>
      <c r="AZ245" s="46"/>
      <c r="BA245" s="46"/>
      <c r="BB245" s="46"/>
      <c r="BC245" s="46"/>
      <c r="BD245" s="46"/>
      <c r="BE245" s="46"/>
      <c r="BF245" s="46"/>
      <c r="BG245" s="46"/>
      <c r="BH245" s="46"/>
      <c r="BI245" s="46"/>
      <c r="BJ245" s="46"/>
      <c r="BK245" s="46"/>
      <c r="BL245" s="46"/>
      <c r="BM245" s="46"/>
      <c r="BN245" s="46"/>
      <c r="BO245" s="46"/>
      <c r="BP245" s="46"/>
      <c r="BQ245" s="46"/>
      <c r="BR245" s="46"/>
      <c r="BS245" s="46"/>
      <c r="BT245" s="46"/>
      <c r="BU245" s="46"/>
      <c r="BV245" s="46"/>
      <c r="BW245" s="46"/>
      <c r="BX245" s="46"/>
      <c r="BY245" s="46"/>
      <c r="BZ245" s="46"/>
      <c r="CA245" s="46"/>
      <c r="CB245" s="46"/>
      <c r="CC245" s="46"/>
    </row>
    <row r="246">
      <c r="A246" s="87" t="str">
        <f>IFERROR(__xludf.DUMMYFUNCTION("""COMPUTED_VALUE"""),"162")</f>
        <v>162</v>
      </c>
      <c r="B246" s="46" t="str">
        <f>IFERROR(__xludf.DUMMYFUNCTION("""COMPUTED_VALUE"""),"Finca ganadera en Puerto rico - Caquetá")</f>
        <v>Finca ganadera en Puerto rico - Caquetá</v>
      </c>
      <c r="C246" s="46" t="str">
        <f>IFERROR(__xludf.DUMMYFUNCTION("""COMPUTED_VALUE"""),"Finca")</f>
        <v>Finca</v>
      </c>
      <c r="D246" s="46"/>
      <c r="E246" s="46"/>
      <c r="F246" s="90">
        <f>IFERROR(__xludf.DUMMYFUNCTION("""COMPUTED_VALUE"""),3.5E8)</f>
        <v>350000000</v>
      </c>
      <c r="G246" s="46" t="str">
        <f>IFERROR(__xludf.DUMMYFUNCTION("""COMPUTED_VALUE"""),"$300'000.000 a $400'000.000")</f>
        <v>$300'000.000 a $400'000.000</v>
      </c>
      <c r="H246" s="46"/>
      <c r="I246" s="46"/>
      <c r="J246" s="46" t="str">
        <f>IFERROR(__xludf.DUMMYFUNCTION("""COMPUTED_VALUE"""),"Rural")</f>
        <v>Rural</v>
      </c>
      <c r="K246" s="87"/>
      <c r="L246" s="46">
        <f>IFERROR(__xludf.DUMMYFUNCTION("""COMPUTED_VALUE"""),3.0)</f>
        <v>3</v>
      </c>
      <c r="M246" s="46"/>
      <c r="N246" s="46">
        <f>IFERROR(__xludf.DUMMYFUNCTION("""COMPUTED_VALUE"""),2.0)</f>
        <v>2</v>
      </c>
      <c r="O246" s="46">
        <f>IFERROR(__xludf.DUMMYFUNCTION("""COMPUTED_VALUE"""),1.0)</f>
        <v>1</v>
      </c>
      <c r="P246" s="46">
        <f>IFERROR(__xludf.DUMMYFUNCTION("""COMPUTED_VALUE"""),1.0)</f>
        <v>1</v>
      </c>
      <c r="Q246" s="92">
        <f>IFERROR(__xludf.DUMMYFUNCTION("""COMPUTED_VALUE"""),250.0)</f>
        <v>250</v>
      </c>
      <c r="R246" s="92">
        <f>IFERROR(__xludf.DUMMYFUNCTION("""COMPUTED_VALUE"""),480000.0)</f>
        <v>480000</v>
      </c>
      <c r="S246" s="87" t="str">
        <f>IFERROR(__xludf.DUMMYFUNCTION("""COMPUTED_VALUE""")," ")</f>
        <v> </v>
      </c>
      <c r="T246" s="46" t="str">
        <f>IFERROR(__xludf.DUMMYFUNCTION("""COMPUTED_VALUE"""),"Puerto rico")</f>
        <v>Puerto rico</v>
      </c>
      <c r="U246" s="87"/>
      <c r="V246" s="46"/>
      <c r="W246" s="46"/>
      <c r="X246" s="46"/>
      <c r="Y246" s="46" t="str">
        <f>IFERROR(__xludf.DUMMYFUNCTION("""COMPUTED_VALUE"""),"No tiene")</f>
        <v>No tiene</v>
      </c>
      <c r="Z246" s="90" t="str">
        <f>IFERROR(__xludf.DUMMYFUNCTION("""COMPUTED_VALUE"""),"No aplica")</f>
        <v>No aplica</v>
      </c>
      <c r="AA246" s="33" t="str">
        <f>IFERROR(__xludf.DUMMYFUNCTION("""COMPUTED_VALUE"""),"No aplica")</f>
        <v>No aplica</v>
      </c>
      <c r="AB246" s="96" t="str">
        <f>IFERROR(__xludf.DUMMYFUNCTION("""COMPUTED_VALUE"""),"https://photos.app.goo.gl/TXX6msddF9pfSCax5")</f>
        <v>https://photos.app.goo.gl/TXX6msddF9pfSCax5</v>
      </c>
      <c r="AC246" s="46"/>
      <c r="AD246" s="46"/>
      <c r="AE246" s="46"/>
      <c r="AF246" s="46" t="str">
        <f>IFERROR(__xludf.DUMMYFUNCTION("""COMPUTED_VALUE"""),"básica")</f>
        <v>básica</v>
      </c>
      <c r="AG246" s="46"/>
      <c r="AH246" s="46" t="str">
        <f>IFERROR(__xludf.DUMMYFUNCTION("""COMPUTED_VALUE"""),"Verbal")</f>
        <v>Verbal</v>
      </c>
      <c r="AI246" s="92" t="str">
        <f>IFERROR(__xludf.DUMMYFUNCTION("""COMPUTED_VALUE"""),"https://lh3.googleusercontent.com/pw/AP1GczNA8riXnZYtyG0tVOBY9AImWAzihe1Qoc1hSGyVrnaM3BcqyQtlmUFrXUgjFrVo97aMUcFOks1gHLT5k7VC0B09wjTgYdmkW_BHldOn2k19JIA9SuZk=w1200|https://lh3.googleusercontent.com/pw/AP1GczP123wGXWtPB0HnqkSa_b9SlYALBqu8I3zbcsvIRMlK7oghw0"&amp;"dTb2uesbKXC10dm0XtArFWoOWi3iv3a_T28bHHdNoGRIUi4FGLxgMaS-dxAK2Abk4j=w1200|https://lh3.googleusercontent.com/pw/AP1GczMBzbXaIM6nuhxjXav993gUN5gMnjOXLQqctQDXrY_OJgRBbX57XBhnio9viIFXj47aL0XyzsfbkEFh2JwiTZW209hCD1AYTI803ih3ehyXvR2oMhRz=w1200|https://lh3.google"&amp;"usercontent.com/pw/AP1GczPcAMp826epefSoyyBx_44lyc29mQ_d3nZUvy1Etxha4acyfxWhIIg61W9fvRjRegWY_zSAjpXKP9UPVMu2RpUTPCX9zh-XVgldaOC6tOxTHvLimi3t=w1200|https://lh3.googleusercontent.com/pw/AP1GczPP9MXJ5fLS-0C2vVZoJq0kx0p_mcTKlneZElLdM3IDcVcE5eSaTS4s5IAhQs3wahYK"&amp;"dd23qXxeCTEoBrAcFCxPsnHsY84vbkJEci3fqynPycqCAB2F=w1200|https://lh3.googleusercontent.com/pw/AP1GczOOpCBjobw87Fwzn5tHgLQuDBVE9oq5D7ZByPVoa4qViuDALwqoGt-z91ZU8rQDOB6mv5neqcuN3-hqsf8aMqW_SRDs0RlNA011L7DR9L0-fAk4hL9P=w1200|https://lh3.googleusercontent.com/pw"&amp;"/AP1GczPXiZz6eGAtfD1mEMwyi34uZbl52dSKBq2LfD3UENWZ-g4nB1z7OKUyrNOANuJE_jZuaLF_bDq2ASwZWEzKKw9r-JWNqdUEqc_fS2z-2tHL0yOM6Vhb=w1200|https://lh3.googleusercontent.com/pw/AP1GczObzN7OcbfF2YE244MdkPXV8vVviXN83H7sLxy7A6Nq3maMSLEg1i6m1diZSuiNm5WqZ7yFseuaOnNCRl34UY"&amp;"NogfFTDZHgGEdp3I1NqiTFsME2QuQP=w1200|https://lh3.googleusercontent.com/pw/AP1GczNkLSw0-UZVF8JXcio1qNpupwcU7IwKmZyLNUaDBNy1j7sO00GskBN5VZq7t2hlFTJh-mAbzi3wM-m_cKSrs8TuGpDVAPD26p874jQQCPGx3_TZwH-s=w1200|https://lh3.googleusercontent.com/pw/AP1GczNg3ViqQKPF0"&amp;"vqckLKQO3inPU24361H1arOiJPy35qtLV2Vd29rkak0qG7RiKHdxfZyLv3PYNLavjUHsReIKUUqIUrXtA1m7Mm-bZux5mqr2TWMzW4m=w1200|https://lh3.googleusercontent.com/pw/AP1GczOtbqnqx4LbmEOuZap3CVUgoZWewwdA-yZx_T5JjSOKD_E-i2UyRa_GXgIHDpG6sp3BEailz5VhvN0C0WBcO1a5yroxhqJyCSVNKJOe"&amp;"IQ9u5DP3DUEh=w1200|https://lh3.googleusercontent.com/pw/AP1GczO6_rVGvzguDHaBTKJb22O378pNVQbhF7L3TJLboKM2e08tdTSnTV-9cxNRqhjDNchKJCQy981j4YdvXXM53R-jZfHJ17_5hFn3Bv2z4bh93qV-x-QU=w1200|https://lh3.googleusercontent.com/pw/AP1GczO9RZYuE9iEmcwMrgftacnFtraNcEL"&amp;"RsvShuWnBSjaJb-CwOyOGkSIbRGPcuP7dICCc4NiO9cs0J8MoGJnuXx08C6ryLTgoII-qe3BNXLJxKMRQncOW=w1200|https://lh3.googleusercontent.com/pw/AP1GczO27tB5Syx4aJm2cGNOHaZR4l030Sr1iQSQIMH7flImIZnKb0RbbpYe8qPq9lN5cRgfs5QD_D-3W7PQ4xx_FOcgIhqsABMtaPD7C2xtqaB2kTxDkaHu=w1200"&amp;"|https://lh3.googleusercontent.com/pw/AP1GczPfG3Irq56oruRQwMIs4QxpmyGIuFhWKuW_SIhFc-Y9UlZ8qa16wpsnqNS431OOkImqzBAF87EYg3iCMcxiwmb45HQPV2IrB8SfVGdu7Rs61AaALRRK=w1200|https://lh3.googleusercontent.com/pw/AP1GczPUKb3H4OURJHhQNHNx1kqyPtooAb2OW-YOREBQJwBPtorK6"&amp;"jpbUMsu2v83kk61MdXNNPjwpqDt0DyDMzJ8Mp1YuBCLQBHGE1izunOX6hxJR4RQpRGG=w1200|https://lh3.googleusercontent.com/pw/AP1GczOao3eEFRxdUONqWBwijDL3nZhIS-9PhcBYGX0-WGmyWUCBLJ5PEACnErvW-M85iLqd_JuEAOyCtqQKH-WQb5W1ln0byNEvsHZDRG9XXLbMbRUc-Y6C=w1200")</f>
        <v>https://lh3.googleusercontent.com/pw/AP1GczNA8riXnZYtyG0tVOBY9AImWAzihe1Qoc1hSGyVrnaM3BcqyQtlmUFrXUgjFrVo97aMUcFOks1gHLT5k7VC0B09wjTgYdmkW_BHldOn2k19JIA9SuZk=w1200|https://lh3.googleusercontent.com/pw/AP1GczP123wGXWtPB0HnqkSa_b9SlYALBqu8I3zbcsvIRMlK7oghw0dTb2uesbKXC10dm0XtArFWoOWi3iv3a_T28bHHdNoGRIUi4FGLxgMaS-dxAK2Abk4j=w1200|https://lh3.googleusercontent.com/pw/AP1GczMBzbXaIM6nuhxjXav993gUN5gMnjOXLQqctQDXrY_OJgRBbX57XBhnio9viIFXj47aL0XyzsfbkEFh2JwiTZW209hCD1AYTI803ih3ehyXvR2oMhRz=w1200|https://lh3.googleusercontent.com/pw/AP1GczPcAMp826epefSoyyBx_44lyc29mQ_d3nZUvy1Etxha4acyfxWhIIg61W9fvRjRegWY_zSAjpXKP9UPVMu2RpUTPCX9zh-XVgldaOC6tOxTHvLimi3t=w1200|https://lh3.googleusercontent.com/pw/AP1GczPP9MXJ5fLS-0C2vVZoJq0kx0p_mcTKlneZElLdM3IDcVcE5eSaTS4s5IAhQs3wahYKdd23qXxeCTEoBrAcFCxPsnHsY84vbkJEci3fqynPycqCAB2F=w1200|https://lh3.googleusercontent.com/pw/AP1GczOOpCBjobw87Fwzn5tHgLQuDBVE9oq5D7ZByPVoa4qViuDALwqoGt-z91ZU8rQDOB6mv5neqcuN3-hqsf8aMqW_SRDs0RlNA011L7DR9L0-fAk4hL9P=w1200|https://lh3.googleusercontent.com/pw/AP1GczPXiZz6eGAtfD1mEMwyi34uZbl52dSKBq2LfD3UENWZ-g4nB1z7OKUyrNOANuJE_jZuaLF_bDq2ASwZWEzKKw9r-JWNqdUEqc_fS2z-2tHL0yOM6Vhb=w1200|https://lh3.googleusercontent.com/pw/AP1GczObzN7OcbfF2YE244MdkPXV8vVviXN83H7sLxy7A6Nq3maMSLEg1i6m1diZSuiNm5WqZ7yFseuaOnNCRl34UYNogfFTDZHgGEdp3I1NqiTFsME2QuQP=w1200|https://lh3.googleusercontent.com/pw/AP1GczNkLSw0-UZVF8JXcio1qNpupwcU7IwKmZyLNUaDBNy1j7sO00GskBN5VZq7t2hlFTJh-mAbzi3wM-m_cKSrs8TuGpDVAPD26p874jQQCPGx3_TZwH-s=w1200|https://lh3.googleusercontent.com/pw/AP1GczNg3ViqQKPF0vqckLKQO3inPU24361H1arOiJPy35qtLV2Vd29rkak0qG7RiKHdxfZyLv3PYNLavjUHsReIKUUqIUrXtA1m7Mm-bZux5mqr2TWMzW4m=w1200|https://lh3.googleusercontent.com/pw/AP1GczOtbqnqx4LbmEOuZap3CVUgoZWewwdA-yZx_T5JjSOKD_E-i2UyRa_GXgIHDpG6sp3BEailz5VhvN0C0WBcO1a5yroxhqJyCSVNKJOeIQ9u5DP3DUEh=w1200|https://lh3.googleusercontent.com/pw/AP1GczO6_rVGvzguDHaBTKJb22O378pNVQbhF7L3TJLboKM2e08tdTSnTV-9cxNRqhjDNchKJCQy981j4YdvXXM53R-jZfHJ17_5hFn3Bv2z4bh93qV-x-QU=w1200|https://lh3.googleusercontent.com/pw/AP1GczO9RZYuE9iEmcwMrgftacnFtraNcELRsvShuWnBSjaJb-CwOyOGkSIbRGPcuP7dICCc4NiO9cs0J8MoGJnuXx08C6ryLTgoII-qe3BNXLJxKMRQncOW=w1200|https://lh3.googleusercontent.com/pw/AP1GczO27tB5Syx4aJm2cGNOHaZR4l030Sr1iQSQIMH7flImIZnKb0RbbpYe8qPq9lN5cRgfs5QD_D-3W7PQ4xx_FOcgIhqsABMtaPD7C2xtqaB2kTxDkaHu=w1200|https://lh3.googleusercontent.com/pw/AP1GczPfG3Irq56oruRQwMIs4QxpmyGIuFhWKuW_SIhFc-Y9UlZ8qa16wpsnqNS431OOkImqzBAF87EYg3iCMcxiwmb45HQPV2IrB8SfVGdu7Rs61AaALRRK=w1200|https://lh3.googleusercontent.com/pw/AP1GczPUKb3H4OURJHhQNHNx1kqyPtooAb2OW-YOREBQJwBPtorK6jpbUMsu2v83kk61MdXNNPjwpqDt0DyDMzJ8Mp1YuBCLQBHGE1izunOX6hxJR4RQpRGG=w1200|https://lh3.googleusercontent.com/pw/AP1GczOao3eEFRxdUONqWBwijDL3nZhIS-9PhcBYGX0-WGmyWUCBLJ5PEACnErvW-M85iLqd_JuEAOyCtqQKH-WQb5W1ln0byNEvsHZDRG9XXLbMbRUc-Y6C=w1200</v>
      </c>
      <c r="AJ246" s="46"/>
      <c r="AK246" s="46"/>
      <c r="AL246" s="46"/>
      <c r="AM246" s="46"/>
      <c r="AN246" s="46"/>
      <c r="AO246" s="46"/>
      <c r="AP246" s="46"/>
      <c r="AQ246" s="46"/>
      <c r="AR246" s="46"/>
      <c r="AS246" s="46"/>
      <c r="AT246" s="46"/>
      <c r="AU246" s="46"/>
      <c r="AV246" s="46"/>
      <c r="AW246" s="46"/>
      <c r="AX246" s="46"/>
      <c r="AY246" s="46"/>
      <c r="AZ246" s="46"/>
      <c r="BA246" s="46"/>
      <c r="BB246" s="46"/>
      <c r="BC246" s="46"/>
      <c r="BD246" s="46"/>
      <c r="BE246" s="46"/>
      <c r="BF246" s="46"/>
      <c r="BG246" s="46"/>
      <c r="BH246" s="46"/>
      <c r="BI246" s="46"/>
      <c r="BJ246" s="46"/>
      <c r="BK246" s="46"/>
      <c r="BL246" s="46"/>
      <c r="BM246" s="46"/>
      <c r="BN246" s="46"/>
      <c r="BO246" s="46"/>
      <c r="BP246" s="46"/>
      <c r="BQ246" s="46"/>
      <c r="BR246" s="46"/>
      <c r="BS246" s="46"/>
      <c r="BT246" s="46"/>
      <c r="BU246" s="46"/>
      <c r="BV246" s="46"/>
      <c r="BW246" s="46"/>
      <c r="BX246" s="46"/>
      <c r="BY246" s="46"/>
      <c r="BZ246" s="46"/>
      <c r="CA246" s="46"/>
      <c r="CB246" s="46"/>
      <c r="CC246" s="46"/>
    </row>
    <row r="247">
      <c r="A247" s="87" t="str">
        <f>IFERROR(__xludf.DUMMYFUNCTION("""COMPUTED_VALUE"""),"102")</f>
        <v>102</v>
      </c>
      <c r="B247" s="46" t="str">
        <f>IFERROR(__xludf.DUMMYFUNCTION("""COMPUTED_VALUE"""),"Finca arrocera en Campoalegre - Huila")</f>
        <v>Finca arrocera en Campoalegre - Huila</v>
      </c>
      <c r="C247" s="46" t="str">
        <f>IFERROR(__xludf.DUMMYFUNCTION("""COMPUTED_VALUE"""),"Finca")</f>
        <v>Finca</v>
      </c>
      <c r="D247" s="46"/>
      <c r="E247" s="46"/>
      <c r="F247" s="90">
        <f>IFERROR(__xludf.DUMMYFUNCTION("""COMPUTED_VALUE"""),3.5E8)</f>
        <v>350000000</v>
      </c>
      <c r="G247" s="46" t="str">
        <f>IFERROR(__xludf.DUMMYFUNCTION("""COMPUTED_VALUE"""),"$300'000.000 a $400'000.000")</f>
        <v>$300'000.000 a $400'000.000</v>
      </c>
      <c r="H247" s="46"/>
      <c r="I247" s="46"/>
      <c r="J247" s="46" t="str">
        <f>IFERROR(__xludf.DUMMYFUNCTION("""COMPUTED_VALUE"""),"Rural")</f>
        <v>Rural</v>
      </c>
      <c r="K247" s="87"/>
      <c r="L247" s="46">
        <f>IFERROR(__xludf.DUMMYFUNCTION("""COMPUTED_VALUE"""),0.0)</f>
        <v>0</v>
      </c>
      <c r="M247" s="46"/>
      <c r="N247" s="46">
        <f>IFERROR(__xludf.DUMMYFUNCTION("""COMPUTED_VALUE"""),0.0)</f>
        <v>0</v>
      </c>
      <c r="O247" s="46">
        <f>IFERROR(__xludf.DUMMYFUNCTION("""COMPUTED_VALUE"""),0.0)</f>
        <v>0</v>
      </c>
      <c r="P247" s="46">
        <f>IFERROR(__xludf.DUMMYFUNCTION("""COMPUTED_VALUE"""),0.0)</f>
        <v>0</v>
      </c>
      <c r="Q247" s="92">
        <f>IFERROR(__xludf.DUMMYFUNCTION("""COMPUTED_VALUE"""),0.0)</f>
        <v>0</v>
      </c>
      <c r="R247" s="92">
        <f>IFERROR(__xludf.DUMMYFUNCTION("""COMPUTED_VALUE"""),40000.0)</f>
        <v>40000</v>
      </c>
      <c r="S247" s="87"/>
      <c r="T247" s="46" t="str">
        <f>IFERROR(__xludf.DUMMYFUNCTION("""COMPUTED_VALUE"""),"Campoalegre")</f>
        <v>Campoalegre</v>
      </c>
      <c r="U247" s="87"/>
      <c r="V247" s="46"/>
      <c r="W247" s="46"/>
      <c r="X247" s="46">
        <f>IFERROR(__xludf.DUMMYFUNCTION("""COMPUTED_VALUE"""),0.0)</f>
        <v>0</v>
      </c>
      <c r="Y247" s="46" t="str">
        <f>IFERROR(__xludf.DUMMYFUNCTION("""COMPUTED_VALUE"""),"No tiene")</f>
        <v>No tiene</v>
      </c>
      <c r="Z247" s="90" t="str">
        <f>IFERROR(__xludf.DUMMYFUNCTION("""COMPUTED_VALUE"""),"No aplica")</f>
        <v>No aplica</v>
      </c>
      <c r="AA247" s="33" t="str">
        <f>IFERROR(__xludf.DUMMYFUNCTION("""COMPUTED_VALUE"""),"No aplica")</f>
        <v>No aplica</v>
      </c>
      <c r="AB247" s="96" t="str">
        <f>IFERROR(__xludf.DUMMYFUNCTION("""COMPUTED_VALUE"""),"https://photos.app.goo.gl/f2zJ2ip7i6WaDPdU7")</f>
        <v>https://photos.app.goo.gl/f2zJ2ip7i6WaDPdU7</v>
      </c>
      <c r="AC247" s="46" t="str">
        <f>IFERROR(__xludf.DUMMYFUNCTION("""COMPUTED_VALUE"""),"Finca arrocera con 40.000 m2. Topografia plana. Altura 525 msnm. Agua:  Por gravedad, tomo propio. No cuenta con casa. Otros cultivos, maiz, algodón, patilla, tomate, plátano.")</f>
        <v>Finca arrocera con 40.000 m2. Topografia plana. Altura 525 msnm. Agua:  Por gravedad, tomo propio. No cuenta con casa. Otros cultivos, maiz, algodón, patilla, tomate, plátano.</v>
      </c>
      <c r="AD247" s="46" t="str">
        <f>IFERROR(__xludf.DUMMYFUNCTION("""COMPUTED_VALUE"""),"Finca ubicada en la vereda Llano sur. Distancias: A 3 kms el municipio de Campoalegre y 2.5 kms a la Vía nacional. Escritura al día. Rentabilidad: 12 mlls al año. ($6 mlls por cosecha de arroz).")</f>
        <v>Finca ubicada en la vereda Llano sur. Distancias: A 3 kms el municipio de Campoalegre y 2.5 kms a la Vía nacional. Escritura al día. Rentabilidad: 12 mlls al año. ($6 mlls por cosecha de arroz).</v>
      </c>
      <c r="AE247" s="46"/>
      <c r="AF247" s="46">
        <f>IFERROR(__xludf.DUMMYFUNCTION("""COMPUTED_VALUE"""),0.0)</f>
        <v>0</v>
      </c>
      <c r="AG247" s="46"/>
      <c r="AH247" s="46" t="str">
        <f>IFERROR(__xludf.DUMMYFUNCTION("""COMPUTED_VALUE"""),"Verbal")</f>
        <v>Verbal</v>
      </c>
      <c r="AI247" s="92" t="str">
        <f>IFERROR(__xludf.DUMMYFUNCTION("""COMPUTED_VALUE"""),"https://lh3.googleusercontent.com/pw/AP1GczPVDts72LpxsqbaMkwoYE4IkRc7yhmAsIyfkS5oawwz4lk7chX8k7U8MXnudvrLkjJxbkCdxE7a18t-5jbCsZSZ2fwA0QvF5eZxqJBtFSi9k3blRLAD=w1200|https://lh3.googleusercontent.com/pw/AP1GczOsRiv10Eh_u2R-bSVzPhsKToiWQO2_Sn88Lfp4sNylKvTcxX"&amp;"rxRqlyroPh4hFfauNrhr9mii61GnCTRRu2q1yG8-gUxSIjsHfK63RBJUJco3PjFvaW=w1200|https://lh3.googleusercontent.com/pw/AP1GczPF42_hIAy4WLc520UXQu9k8CflYSeiIBUH6CqaJlKGlJxgC2EHgC2PMYqBa5OqSkv0sRtjDu756rKoqSarq3dv5RmhmZXCXP-wonOMOkXg1N2OZejX=w1200|https://lh3.google"&amp;"usercontent.com/pw/AP1GczN-EepsNRrGZOmGl-G-9NFM3dfqZ_wwd5IWqQmHRxjnHhtoC-XO69cL8gxSchiJgWqgkKyLmsE-UsPBaVy7PfgAsTit6q68gpxohX9MPswWfKZH8BJS=w1200|https://lh3.googleusercontent.com/pw/AP1GczPPq-d4bGrnpQhVj0Ut0cEDLMn7TJw-5cVZfwbzHcg1YG_1QbCXcFdYyUksPCm2ZBFY"&amp;"OQpzdeffz8nFhYlRVMrRbLeNzQ1uWoO8z6vwBJyrzunJCptX=w1200|https://lh3.googleusercontent.com/pw/AP1GczMKIf8H0vpM0N9ghtvBOlEn3rTfxIum4RUJal1RcZ6i2oSNqO_r-ls96vQahYz_I04eYe-D6uCABYDT80BmLJQmwtRmVnGoY2GwBSA1g4uZSoYWLfTF=w1200|https://lh3.googleusercontent.com/pw"&amp;"/AP1GczMTB0oGkNrJBgCAoaAqofJdOF7Vrrwvt0BBVlMfYKk82McB4LRliNfRQYWxcsJASU9s_gmR_etk_Q2UTDn60V-7tfp285HL8Runv1f246xiiuOeEaoW=w1200|https://lh3.googleusercontent.com/pw/AP1GczOeMTEtvdHpYnCKFeIs80eBe1sb_YopV76P_-5qNH6H_6XiNkkW4cmWJODVqQ7gX2OAC-nb8cwnEj92PSTG7d"&amp;"v7dkq-xlH-esUQovFugBrFM2TBqZac=w1200")</f>
        <v>https://lh3.googleusercontent.com/pw/AP1GczPVDts72LpxsqbaMkwoYE4IkRc7yhmAsIyfkS5oawwz4lk7chX8k7U8MXnudvrLkjJxbkCdxE7a18t-5jbCsZSZ2fwA0QvF5eZxqJBtFSi9k3blRLAD=w1200|https://lh3.googleusercontent.com/pw/AP1GczOsRiv10Eh_u2R-bSVzPhsKToiWQO2_Sn88Lfp4sNylKvTcxXrxRqlyroPh4hFfauNrhr9mii61GnCTRRu2q1yG8-gUxSIjsHfK63RBJUJco3PjFvaW=w1200|https://lh3.googleusercontent.com/pw/AP1GczPF42_hIAy4WLc520UXQu9k8CflYSeiIBUH6CqaJlKGlJxgC2EHgC2PMYqBa5OqSkv0sRtjDu756rKoqSarq3dv5RmhmZXCXP-wonOMOkXg1N2OZejX=w1200|https://lh3.googleusercontent.com/pw/AP1GczN-EepsNRrGZOmGl-G-9NFM3dfqZ_wwd5IWqQmHRxjnHhtoC-XO69cL8gxSchiJgWqgkKyLmsE-UsPBaVy7PfgAsTit6q68gpxohX9MPswWfKZH8BJS=w1200|https://lh3.googleusercontent.com/pw/AP1GczPPq-d4bGrnpQhVj0Ut0cEDLMn7TJw-5cVZfwbzHcg1YG_1QbCXcFdYyUksPCm2ZBFYOQpzdeffz8nFhYlRVMrRbLeNzQ1uWoO8z6vwBJyrzunJCptX=w1200|https://lh3.googleusercontent.com/pw/AP1GczMKIf8H0vpM0N9ghtvBOlEn3rTfxIum4RUJal1RcZ6i2oSNqO_r-ls96vQahYz_I04eYe-D6uCABYDT80BmLJQmwtRmVnGoY2GwBSA1g4uZSoYWLfTF=w1200|https://lh3.googleusercontent.com/pw/AP1GczMTB0oGkNrJBgCAoaAqofJdOF7Vrrwvt0BBVlMfYKk82McB4LRliNfRQYWxcsJASU9s_gmR_etk_Q2UTDn60V-7tfp285HL8Runv1f246xiiuOeEaoW=w1200|https://lh3.googleusercontent.com/pw/AP1GczOeMTEtvdHpYnCKFeIs80eBe1sb_YopV76P_-5qNH6H_6XiNkkW4cmWJODVqQ7gX2OAC-nb8cwnEj92PSTG7dv7dkq-xlH-esUQovFugBrFM2TBqZac=w1200</v>
      </c>
      <c r="AJ247" s="46"/>
      <c r="AK247" s="46"/>
      <c r="AL247" s="46"/>
      <c r="AM247" s="46"/>
      <c r="AN247" s="46"/>
      <c r="AO247" s="46"/>
      <c r="AP247" s="46"/>
      <c r="AQ247" s="46"/>
      <c r="AR247" s="46"/>
      <c r="AS247" s="46"/>
      <c r="AT247" s="46"/>
      <c r="AU247" s="46"/>
      <c r="AV247" s="46"/>
      <c r="AW247" s="46"/>
      <c r="AX247" s="46"/>
      <c r="AY247" s="46"/>
      <c r="AZ247" s="46"/>
      <c r="BA247" s="46"/>
      <c r="BB247" s="46"/>
      <c r="BC247" s="46"/>
      <c r="BD247" s="46"/>
      <c r="BE247" s="46"/>
      <c r="BF247" s="46"/>
      <c r="BG247" s="46"/>
      <c r="BH247" s="46"/>
      <c r="BI247" s="46"/>
      <c r="BJ247" s="46"/>
      <c r="BK247" s="46"/>
      <c r="BL247" s="46"/>
      <c r="BM247" s="46"/>
      <c r="BN247" s="46"/>
      <c r="BO247" s="46"/>
      <c r="BP247" s="46"/>
      <c r="BQ247" s="46"/>
      <c r="BR247" s="46"/>
      <c r="BS247" s="46"/>
      <c r="BT247" s="46"/>
      <c r="BU247" s="46"/>
      <c r="BV247" s="46"/>
      <c r="BW247" s="46"/>
      <c r="BX247" s="46"/>
      <c r="BY247" s="46"/>
      <c r="BZ247" s="46"/>
      <c r="CA247" s="46"/>
      <c r="CB247" s="46"/>
      <c r="CC247" s="46"/>
    </row>
    <row r="248">
      <c r="A248" s="87" t="str">
        <f>IFERROR(__xludf.DUMMYFUNCTION("""COMPUTED_VALUE"""),"039")</f>
        <v>039</v>
      </c>
      <c r="B248" s="46" t="str">
        <f>IFERROR(__xludf.DUMMYFUNCTION("""COMPUTED_VALUE"""),"Casa en barrio Altico ")</f>
        <v>Casa en barrio Altico </v>
      </c>
      <c r="C248" s="46" t="str">
        <f>IFERROR(__xludf.DUMMYFUNCTION("""COMPUTED_VALUE"""),"Casa")</f>
        <v>Casa</v>
      </c>
      <c r="D248" s="46" t="str">
        <f>IFERROR(__xludf.DUMMYFUNCTION("""COMPUTED_VALUE"""),"El Altico")</f>
        <v>El Altico</v>
      </c>
      <c r="E248" s="90" t="str">
        <f>IFERROR(__xludf.DUMMYFUNCTION("""COMPUTED_VALUE""")," ")</f>
        <v> </v>
      </c>
      <c r="F248" s="90">
        <f>IFERROR(__xludf.DUMMYFUNCTION("""COMPUTED_VALUE"""),3.3E8)</f>
        <v>330000000</v>
      </c>
      <c r="G248" s="46" t="str">
        <f>IFERROR(__xludf.DUMMYFUNCTION("""COMPUTED_VALUE"""),"$300'000.000 a $400'000.000")</f>
        <v>$300'000.000 a $400'000.000</v>
      </c>
      <c r="H248" s="46"/>
      <c r="I248" s="46"/>
      <c r="J248" s="46" t="str">
        <f>IFERROR(__xludf.DUMMYFUNCTION("""COMPUTED_VALUE"""),"Centro")</f>
        <v>Centro</v>
      </c>
      <c r="K248" s="87"/>
      <c r="L248" s="46">
        <f>IFERROR(__xludf.DUMMYFUNCTION("""COMPUTED_VALUE"""),4.0)</f>
        <v>4</v>
      </c>
      <c r="M248" s="46"/>
      <c r="N248" s="46">
        <f>IFERROR(__xludf.DUMMYFUNCTION("""COMPUTED_VALUE"""),2.0)</f>
        <v>2</v>
      </c>
      <c r="O248" s="46">
        <f>IFERROR(__xludf.DUMMYFUNCTION("""COMPUTED_VALUE"""),0.0)</f>
        <v>0</v>
      </c>
      <c r="P248" s="46">
        <f>IFERROR(__xludf.DUMMYFUNCTION("""COMPUTED_VALUE"""),1.0)</f>
        <v>1</v>
      </c>
      <c r="Q248" s="92"/>
      <c r="R248" s="92">
        <f>IFERROR(__xludf.DUMMYFUNCTION("""COMPUTED_VALUE"""),171.0)</f>
        <v>171</v>
      </c>
      <c r="S248" s="87" t="str">
        <f>IFERROR(__xludf.DUMMYFUNCTION("""COMPUTED_VALUE"""),"Rentabilidad $1,500,000")</f>
        <v>Rentabilidad $1,500,000</v>
      </c>
      <c r="T248" s="46" t="str">
        <f>IFERROR(__xludf.DUMMYFUNCTION("""COMPUTED_VALUE"""),"Neiva")</f>
        <v>Neiva</v>
      </c>
      <c r="U248" s="87" t="str">
        <f>IFERROR(__xludf.DUMMYFUNCTION("""COMPUTED_VALUE"""),"4")</f>
        <v>4</v>
      </c>
      <c r="V248" s="46" t="str">
        <f>IFERROR(__xludf.DUMMYFUNCTION("""COMPUTED_VALUE"""),"Medianera")</f>
        <v>Medianera</v>
      </c>
      <c r="W248" s="46"/>
      <c r="X248" s="46">
        <f>IFERROR(__xludf.DUMMYFUNCTION("""COMPUTED_VALUE"""),3.0)</f>
        <v>3</v>
      </c>
      <c r="Y248" s="46" t="str">
        <f>IFERROR(__xludf.DUMMYFUNCTION("""COMPUTED_VALUE"""),"No tiene")</f>
        <v>No tiene</v>
      </c>
      <c r="Z248" s="90" t="str">
        <f>IFERROR(__xludf.DUMMYFUNCTION("""COMPUTED_VALUE"""),"No aplica")</f>
        <v>No aplica</v>
      </c>
      <c r="AA248" s="33" t="str">
        <f>IFERROR(__xludf.DUMMYFUNCTION("""COMPUTED_VALUE"""),"18 años")</f>
        <v>18 años</v>
      </c>
      <c r="AB248" s="96" t="str">
        <f>IFERROR(__xludf.DUMMYFUNCTION("""COMPUTED_VALUE"""),"https://photos.app.goo.gl/9F5WjutUKUm9tWKf6")</f>
        <v>https://photos.app.goo.gl/9F5WjutUKUm9tWKf6</v>
      </c>
      <c r="AC248" s="46" t="str">
        <f>IFERROR(__xludf.DUMMYFUNCTION("""COMPUTED_VALUE"""),"Casa bien ubicada, medianera, 4 habitaciones amplias, 2 con closet una en madera y otro metálico, 3 baños, con buenos acabados, piso en marmol, cieloraso en Driwall, molduras en yeso, patio con piso en granito pulido y tableta roja, división de baños en a"&amp;"lumino y acrílico.")</f>
        <v>Casa bien ubicada, medianera, 4 habitaciones amplias, 2 con closet una en madera y otro metálico, 3 baños, con buenos acabados, piso en marmol, cieloraso en Driwall, molduras en yeso, patio con piso en granito pulido y tableta roja, división de baños en alumino y acrílico.</v>
      </c>
      <c r="AD248" s="46" t="str">
        <f>IFERROR(__xludf.DUMMYFUNCTION("""COMPUTED_VALUE"""),"Casa amplia, central, iluminada, ventilada y con reja antejardín.")</f>
        <v>Casa amplia, central, iluminada, ventilada y con reja antejardín.</v>
      </c>
      <c r="AE248" s="46"/>
      <c r="AF248" s="46" t="str">
        <f>IFERROR(__xludf.DUMMYFUNCTION("""COMPUTED_VALUE"""),"integral")</f>
        <v>integral</v>
      </c>
      <c r="AG248" s="46"/>
      <c r="AH248" s="46" t="str">
        <f>IFERROR(__xludf.DUMMYFUNCTION("""COMPUTED_VALUE"""),"Verbal")</f>
        <v>Verbal</v>
      </c>
      <c r="AI248" s="92" t="str">
        <f>IFERROR(__xludf.DUMMYFUNCTION("""COMPUTED_VALUE"""),"https://lh3.googleusercontent.com/pw/AP1GczNcBgeZBPzYw4yAS-pmepidcWkOmfVZNjsoljlqVHXsRO9smijto5A8NYIZTgz5j_XuJN3g7Ut5sdDsA6rGca1_c2lR_3NQUpCgPVIaaK3ZOgJflzP_=w1200|https://lh3.googleusercontent.com/pw/AP1GczMFcY_rkiZNtf6XD8iggBH9aeBASuYKpeFIx4-aODm5mWdQEA"&amp;"7yElmg-HwJkT7EArY3sNChPseuGY27rtxr7qI0a6rvHUILFex9U0xw_I9YOwqrVTe4=w1200|https://lh3.googleusercontent.com/pw/AP1GczNu5vdyOvwUJrkf2J159vIsuWhAIz0UHtSb7h_Jz8BnBBEldkxNrsCKltO7tYeZLNpBYA265F81Beuza-t7gvpvuR6nraopeGRnCUqVK7z-iS0FUgvP=w1200|https://lh3.google"&amp;"usercontent.com/pw/AP1GczPDz9qGX-cyNVi8DuIPdJnYx6r67lC5qiSAI19J3kOh-9W7FdyfWGmH4MbzcZkajEfgJjFMVutyikK_pthQWdu4l5bipS6ReyOHtDKuxaJGvHx2LkRt=w1200|https://lh3.googleusercontent.com/pw/AP1GczPgPFEbUp6rH9ZBCdrSXt6tTZaaYGTU5GHy0vRssO2TsPOcsw4uIHKVE1Piv0jVHO59"&amp;"uzmlgCLx90pkeHLmqpx92wH0KNIH9Nt04JJf7epr0DmuOHJ0=w1200|https://lh3.googleusercontent.com/pw/AP1GczOw6ebXtK-aXmT67h5kKXqX2bWtJiJmrQI2gbjOlZ9Ynq2uHq8YXCuZGxUE7qgja6PvJBM5XLFULdW8QQu2AHD6RuZxy5UHvt3nDNTnqQTZG-iCuLlp=w1200|https://lh3.googleusercontent.com/pw"&amp;"/AP1GczM1uyMaqftD4xAcq7MiUY-WprtcJ8H8SeljHXtUbZ4iui2EFC4sZeHt6Vkklwi_QY3vKdfgeZ5xfPCTKov9R4bHIvHd1lHiNOJGL3mfyy6H9M-dC1mJ=w1200|https://lh3.googleusercontent.com/pw/AP1GczOpOoQAQZakecUXrkMgTzgBSGyipydkCu_-0p5zQvPr-nI0efXUHtgcVu1t-ZZNCKyHtyalrs7UxxTolDZLSy"&amp;"OrToSl3pRkRWCFLtn_dX9f_Ik9eVwh=w1200|https://lh3.googleusercontent.com/pw/AP1GczNZ9LxvyMfv3CRkcAWxs6uREMGR-WGyUgHOFVtEbkCynMREUZ-j34NXpJ3nIDru4r_Ghd4dsoQmTe3IV721AX10yvtIU6vO31lCGU3Og1Txet4xyKtA=w1200|https://lh3.googleusercontent.com/pw/AP1GczMR8h2wvD76l"&amp;"mabSJemwi6ZdzNV_r0D1ZHbQlcz6CTdRzI85VnFkgiYJJuVHiOP18Gp8FGgZPgZdpkGo5OLKTE5V7JPAvFiWWJ6rYW7Kcki7tfTwVS5=w1200|https://lh3.googleusercontent.com/pw/AP1GczOtbU7m_6cJ3k-cbKbW8lKxo_Oc6LTtIsfDfkWFI-Xi0E9-_AL_m95qlFAKpC-NdTf_lmhfBhlWTVGcLUWAdTxtHSn_8FovVjZmSTr9"&amp;"gM-oSRE0OYJG=w1200|https://lh3.googleusercontent.com/pw/AP1GczPgjTxBbcpVQ1eJE1bwQjc9A1kxeOSI29fZsM-lVbaigBKHkopSJYLLwSbyq3Amh57I_4_rAlUbsxqhohjlaqzg5E5_hLNdtNUALlXDvYNRdlcE5H0R=w1200|https://lh3.googleusercontent.com/pw/AP1GczMYbCouyqI0_UHYr4LgLsuzVHzuvIj"&amp;"Izwi_mYDVBSi0R0_tIMkY03gRpeMAQrX2AZ8LiqZk5k5WtRhq-EwWDouPcxeLAw9mwTNY0byrBgeROL3s2j4f=w1200|https://lh3.googleusercontent.com/pw/AP1GczOUSTkhBlxOp47BoxFU99OPbY_54jJlIKbDD55l7hvYOtQZN5aLRu9OwWMMg35ax23WAa5T5bCExxapZjpIIZzH5edL6mtoZI-suRNOJAbt5Mt8f06r=w1200")</f>
        <v>https://lh3.googleusercontent.com/pw/AP1GczNcBgeZBPzYw4yAS-pmepidcWkOmfVZNjsoljlqVHXsRO9smijto5A8NYIZTgz5j_XuJN3g7Ut5sdDsA6rGca1_c2lR_3NQUpCgPVIaaK3ZOgJflzP_=w1200|https://lh3.googleusercontent.com/pw/AP1GczMFcY_rkiZNtf6XD8iggBH9aeBASuYKpeFIx4-aODm5mWdQEA7yElmg-HwJkT7EArY3sNChPseuGY27rtxr7qI0a6rvHUILFex9U0xw_I9YOwqrVTe4=w1200|https://lh3.googleusercontent.com/pw/AP1GczNu5vdyOvwUJrkf2J159vIsuWhAIz0UHtSb7h_Jz8BnBBEldkxNrsCKltO7tYeZLNpBYA265F81Beuza-t7gvpvuR6nraopeGRnCUqVK7z-iS0FUgvP=w1200|https://lh3.googleusercontent.com/pw/AP1GczPDz9qGX-cyNVi8DuIPdJnYx6r67lC5qiSAI19J3kOh-9W7FdyfWGmH4MbzcZkajEfgJjFMVutyikK_pthQWdu4l5bipS6ReyOHtDKuxaJGvHx2LkRt=w1200|https://lh3.googleusercontent.com/pw/AP1GczPgPFEbUp6rH9ZBCdrSXt6tTZaaYGTU5GHy0vRssO2TsPOcsw4uIHKVE1Piv0jVHO59uzmlgCLx90pkeHLmqpx92wH0KNIH9Nt04JJf7epr0DmuOHJ0=w1200|https://lh3.googleusercontent.com/pw/AP1GczOw6ebXtK-aXmT67h5kKXqX2bWtJiJmrQI2gbjOlZ9Ynq2uHq8YXCuZGxUE7qgja6PvJBM5XLFULdW8QQu2AHD6RuZxy5UHvt3nDNTnqQTZG-iCuLlp=w1200|https://lh3.googleusercontent.com/pw/AP1GczM1uyMaqftD4xAcq7MiUY-WprtcJ8H8SeljHXtUbZ4iui2EFC4sZeHt6Vkklwi_QY3vKdfgeZ5xfPCTKov9R4bHIvHd1lHiNOJGL3mfyy6H9M-dC1mJ=w1200|https://lh3.googleusercontent.com/pw/AP1GczOpOoQAQZakecUXrkMgTzgBSGyipydkCu_-0p5zQvPr-nI0efXUHtgcVu1t-ZZNCKyHtyalrs7UxxTolDZLSyOrToSl3pRkRWCFLtn_dX9f_Ik9eVwh=w1200|https://lh3.googleusercontent.com/pw/AP1GczNZ9LxvyMfv3CRkcAWxs6uREMGR-WGyUgHOFVtEbkCynMREUZ-j34NXpJ3nIDru4r_Ghd4dsoQmTe3IV721AX10yvtIU6vO31lCGU3Og1Txet4xyKtA=w1200|https://lh3.googleusercontent.com/pw/AP1GczMR8h2wvD76lmabSJemwi6ZdzNV_r0D1ZHbQlcz6CTdRzI85VnFkgiYJJuVHiOP18Gp8FGgZPgZdpkGo5OLKTE5V7JPAvFiWWJ6rYW7Kcki7tfTwVS5=w1200|https://lh3.googleusercontent.com/pw/AP1GczOtbU7m_6cJ3k-cbKbW8lKxo_Oc6LTtIsfDfkWFI-Xi0E9-_AL_m95qlFAKpC-NdTf_lmhfBhlWTVGcLUWAdTxtHSn_8FovVjZmSTr9gM-oSRE0OYJG=w1200|https://lh3.googleusercontent.com/pw/AP1GczPgjTxBbcpVQ1eJE1bwQjc9A1kxeOSI29fZsM-lVbaigBKHkopSJYLLwSbyq3Amh57I_4_rAlUbsxqhohjlaqzg5E5_hLNdtNUALlXDvYNRdlcE5H0R=w1200|https://lh3.googleusercontent.com/pw/AP1GczMYbCouyqI0_UHYr4LgLsuzVHzuvIjIzwi_mYDVBSi0R0_tIMkY03gRpeMAQrX2AZ8LiqZk5k5WtRhq-EwWDouPcxeLAw9mwTNY0byrBgeROL3s2j4f=w1200|https://lh3.googleusercontent.com/pw/AP1GczOUSTkhBlxOp47BoxFU99OPbY_54jJlIKbDD55l7hvYOtQZN5aLRu9OwWMMg35ax23WAa5T5bCExxapZjpIIZzH5edL6mtoZI-suRNOJAbt5Mt8f06r=w1200</v>
      </c>
      <c r="AJ248" s="46"/>
      <c r="AK248" s="46"/>
      <c r="AL248" s="46"/>
      <c r="AM248" s="46"/>
      <c r="AN248" s="46"/>
      <c r="AO248" s="46"/>
      <c r="AP248" s="46"/>
      <c r="AQ248" s="46"/>
      <c r="AR248" s="46"/>
      <c r="AS248" s="46"/>
      <c r="AT248" s="46"/>
      <c r="AU248" s="46"/>
      <c r="AV248" s="46"/>
      <c r="AW248" s="46"/>
      <c r="AX248" s="46"/>
      <c r="AY248" s="46"/>
      <c r="AZ248" s="46"/>
      <c r="BA248" s="46"/>
      <c r="BB248" s="46"/>
      <c r="BC248" s="46"/>
      <c r="BD248" s="46"/>
      <c r="BE248" s="46"/>
      <c r="BF248" s="46"/>
      <c r="BG248" s="46"/>
      <c r="BH248" s="46"/>
      <c r="BI248" s="46"/>
      <c r="BJ248" s="46"/>
      <c r="BK248" s="46"/>
      <c r="BL248" s="46"/>
      <c r="BM248" s="46"/>
      <c r="BN248" s="46"/>
      <c r="BO248" s="46"/>
      <c r="BP248" s="46"/>
      <c r="BQ248" s="46"/>
      <c r="BR248" s="46"/>
      <c r="BS248" s="46"/>
      <c r="BT248" s="46"/>
      <c r="BU248" s="46"/>
      <c r="BV248" s="46"/>
      <c r="BW248" s="46"/>
      <c r="BX248" s="46"/>
      <c r="BY248" s="46"/>
      <c r="BZ248" s="46"/>
      <c r="CA248" s="46"/>
      <c r="CB248" s="46"/>
      <c r="CC248" s="46"/>
    </row>
    <row r="249">
      <c r="A249" s="87" t="str">
        <f>IFERROR(__xludf.DUMMYFUNCTION("""COMPUTED_VALUE"""),"014")</f>
        <v>014</v>
      </c>
      <c r="B249" s="46" t="str">
        <f>IFERROR(__xludf.DUMMYFUNCTION("""COMPUTED_VALUE"""),"Casa con apartamento en barrio Las Granjas")</f>
        <v>Casa con apartamento en barrio Las Granjas</v>
      </c>
      <c r="C249" s="46" t="str">
        <f>IFERROR(__xludf.DUMMYFUNCTION("""COMPUTED_VALUE"""),"Casa rentable")</f>
        <v>Casa rentable</v>
      </c>
      <c r="D249" s="46" t="str">
        <f>IFERROR(__xludf.DUMMYFUNCTION("""COMPUTED_VALUE"""),"Las Granjas")</f>
        <v>Las Granjas</v>
      </c>
      <c r="E249" s="90"/>
      <c r="F249" s="90">
        <f>IFERROR(__xludf.DUMMYFUNCTION("""COMPUTED_VALUE"""),3.3E8)</f>
        <v>330000000</v>
      </c>
      <c r="G249" s="46" t="str">
        <f>IFERROR(__xludf.DUMMYFUNCTION("""COMPUTED_VALUE"""),"$300'000.000 a $400'000.000")</f>
        <v>$300'000.000 a $400'000.000</v>
      </c>
      <c r="H249" s="46"/>
      <c r="I249" s="46"/>
      <c r="J249" s="46" t="str">
        <f>IFERROR(__xludf.DUMMYFUNCTION("""COMPUTED_VALUE"""),"Norte")</f>
        <v>Norte</v>
      </c>
      <c r="K249" s="87" t="str">
        <f>IFERROR(__xludf.DUMMYFUNCTION("""COMPUTED_VALUE"""),"2")</f>
        <v>2</v>
      </c>
      <c r="L249" s="46">
        <f>IFERROR(__xludf.DUMMYFUNCTION("""COMPUTED_VALUE"""),6.0)</f>
        <v>6</v>
      </c>
      <c r="M249" s="46"/>
      <c r="N249" s="46">
        <f>IFERROR(__xludf.DUMMYFUNCTION("""COMPUTED_VALUE"""),3.0)</f>
        <v>3</v>
      </c>
      <c r="O249" s="46">
        <f>IFERROR(__xludf.DUMMYFUNCTION("""COMPUTED_VALUE"""),1.0)</f>
        <v>1</v>
      </c>
      <c r="P249" s="46">
        <f>IFERROR(__xludf.DUMMYFUNCTION("""COMPUTED_VALUE"""),1.0)</f>
        <v>1</v>
      </c>
      <c r="Q249" s="92">
        <f>IFERROR(__xludf.DUMMYFUNCTION("""COMPUTED_VALUE"""),170.0)</f>
        <v>170</v>
      </c>
      <c r="R249" s="92">
        <f>IFERROR(__xludf.DUMMYFUNCTION("""COMPUTED_VALUE"""),180.0)</f>
        <v>180</v>
      </c>
      <c r="S249" s="87" t="str">
        <f>IFERROR(__xludf.DUMMYFUNCTION("""COMPUTED_VALUE"""),"Rentabilidad $1,300,000")</f>
        <v>Rentabilidad $1,300,000</v>
      </c>
      <c r="T249" s="46" t="str">
        <f>IFERROR(__xludf.DUMMYFUNCTION("""COMPUTED_VALUE"""),"Neiva")</f>
        <v>Neiva</v>
      </c>
      <c r="U249" s="87" t="str">
        <f>IFERROR(__xludf.DUMMYFUNCTION("""COMPUTED_VALUE"""),"2")</f>
        <v>2</v>
      </c>
      <c r="V249" s="46" t="str">
        <f>IFERROR(__xludf.DUMMYFUNCTION("""COMPUTED_VALUE"""),"Medianera")</f>
        <v>Medianera</v>
      </c>
      <c r="W249" s="46"/>
      <c r="X249" s="46">
        <f>IFERROR(__xludf.DUMMYFUNCTION("""COMPUTED_VALUE"""),2.0)</f>
        <v>2</v>
      </c>
      <c r="Y249" s="179" t="str">
        <f>IFERROR(__xludf.DUMMYFUNCTION("""COMPUTED_VALUE"""),"No tiene")</f>
        <v>No tiene</v>
      </c>
      <c r="Z249" s="90" t="str">
        <f>IFERROR(__xludf.DUMMYFUNCTION("""COMPUTED_VALUE"""),"No aplica")</f>
        <v>No aplica</v>
      </c>
      <c r="AA249" s="33" t="str">
        <f>IFERROR(__xludf.DUMMYFUNCTION("""COMPUTED_VALUE"""),"21 años")</f>
        <v>21 años</v>
      </c>
      <c r="AB249" s="96" t="str">
        <f>IFERROR(__xludf.DUMMYFUNCTION("""COMPUTED_VALUE"""),"https://photos.app.goo.gl/iHhwkVwwHrLyJ1Pm9")</f>
        <v>https://photos.app.goo.gl/iHhwkVwwHrLyJ1Pm9</v>
      </c>
      <c r="AC249" s="46" t="str">
        <f>IFERROR(__xludf.DUMMYFUNCTION("""COMPUTED_VALUE"""),"Casa medianera cerca al c.c. San Pedro plaza, con reja antejardín.")</f>
        <v>Casa medianera cerca al c.c. San Pedro plaza, con reja antejardín.</v>
      </c>
      <c r="AD249" s="46"/>
      <c r="AE249" s="46"/>
      <c r="AF249" s="46" t="str">
        <f>IFERROR(__xludf.DUMMYFUNCTION("""COMPUTED_VALUE"""),"semi-integral")</f>
        <v>semi-integral</v>
      </c>
      <c r="AG249" s="46"/>
      <c r="AH249" s="46" t="str">
        <f>IFERROR(__xludf.DUMMYFUNCTION("""COMPUTED_VALUE"""),"Verbal")</f>
        <v>Verbal</v>
      </c>
      <c r="AI249" s="92" t="str">
        <f>IFERROR(__xludf.DUMMYFUNCTION("""COMPUTED_VALUE"""),"https://lh3.googleusercontent.com/pw/AP1GczPvCaBBpcosfd_vZFDeug5VKsZIbdCdv3YvY2wUZEzhhbywlFkTrC2t5PMfSp7ryleoVjvTkqw6IEBAf26NTWzhYyoJc8n8dOcZesQtFyen-_Aztyah=w1200|https://lh3.googleusercontent.com/pw/AP1GczOtvZ-A-hWLk0rV-P8stRjy7PQrnMpgNAbfEE_705mqR-j-MF"&amp;"drBN6WaPD-Bsih2IwjdBLcbfHOrDmOWXFj7gANyN2taJAD5-EsTL3VUgJBAebZCX9_=w1200|https://lh3.googleusercontent.com/pw/AP1GczNkgQnbLJQqGOef0pzZAs2Ch-evT2dhgyhrA7ynBHz7EQC9wZf9j40RKW_qVnKBSTA70UFLO5uPuV_EcThTvOjMWUHHnB_XS18svtpmDejqjErVZhsW=w1200|https://lh3.google"&amp;"usercontent.com/pw/AP1GczNPa5n89x1wWoWXNotp-tSK4ACFj6GIY45aNgi99FTovCqgeUerUh0wX5cbsdnnQSdCN4Wx2xdvek3GH8tP9-Xa0TrmpSnlemkMBWFLqEt2dAa4bmC5=w1200|https://lh3.googleusercontent.com/pw/AP1GczMy50qI-wMsXdkkypwDHZ4FtXV_fIMK6J_E8ZNsS9snE0sAS6Y6T8McN8kfsI64jOEm"&amp;"KxfvmGsdaU-XJ4XFW9G58-ytFcXgyjr-7cBA_3Qv7rSFRw0p=w1200|https://lh3.googleusercontent.com/pw/AP1GczOcUCVFPumovjLSU3vzF8UN-0HMAOJnxodldFNHjkIt4fT88aUEcKvRnWgwIFF7bqRJTmFX9m5rGQsJvGcPXWmfWfNY6XqbZjauVtF63kFYG37R0TJR=w1200|https://lh3.googleusercontent.com/pw"&amp;"/AP1GczNU2MY4bmtxUbMUOirIyEiQGrA5cbu38oSzVBW4L_wFMB3XRHCg2e1mB2gE59gGe60Qi2Xu5fSURXhnEsjvZGIlZ9pUBBoU8v--_axLZo7RfO48o7Rp=w1200|https://lh3.googleusercontent.com/pw/AP1GczMjf3t5M6tKCAvaXcSLTwKfJD5MC9Gbtb_9jTmF3vsdwsiFzweDvPDV33ayhHuwO5IdaTk53Tu95yiAylOaaY"&amp;"CguOHRI-jpR3wi34Q8W_BLUYBrk1Kw=w1200|https://lh3.googleusercontent.com/pw/AP1GczNj9pFbByeRS4-J-iJP0kgdfpqEko_WXKy-Fcm2OamVXEO7xdraTzx6fFvgMkhfBcZowsbuDOn4wt4JYDEyiM1zoJMkYtF-kTK1Taxn3bkZulDDsfdy=w1200|https://lh3.googleusercontent.com/pw/AP1GczO03Eq0PZE38"&amp;"G3bmTYmZY-Rh1W-XWjWNxN5r2Aln0DB5a3lZ125mNfVhzI1J7h8kdyHWG6khqX7eAdxuvtvL6JyzCJ08bPDLOmE0hpcDKUDjeF-Dp7N=w1200|https://lh3.googleusercontent.com/pw/AP1GczMGfo8rGa6lq0jY1dC4tPmIGo0wey-O1Dr0ZbGCmBDCMxpTYCp9aY2J_jtcnJNHBjF71f-8GrBFsmPqz1PcYJi6p-eYv68Bj1acl9fQ"&amp;"se794zotushW=w1200|https://lh3.googleusercontent.com/pw/AP1GczOeN8ZC9DUQtzWzlp46f-4ATruWPGr-dEDX2hv694mUdlJ4lLDDE7AXnMFRTZ7fwcFqEYy7rxpGkxudgsRHMFMG9mktEUYlqaaDAA7YTVaf-qdm_iXv=w1200|https://lh3.googleusercontent.com/pw/AP1GczPJ2326hqr75mVJY5VYmB8o_7CEUdY"&amp;"nDrpTFmmWrk7KnuN2yjcXmlR1A21HN0v8SpBO5h1Hhu2QxSePpXWkFMWqzRL0sDHbo9OXxvC5gKECKj9KaiKT=w1200|https://lh3.googleusercontent.com/pw/AP1GczNJ3aBE9aQyJSwdIHrPIjP2mIpHZPKfK5NS_orThUZmZDiouvX76AtWwdDNh5jXkaZExmxwmSUH3N2hJMvnusjueZQNeVUtSHGqq0-V-GzWbjJc-7fI=w1200"&amp;"|https://lh3.googleusercontent.com/pw/AP1GczMpMUddPtzPtSBXFSHMSNe4krrpX_zERjBOat89k0D14Bas7yu0SYKhxax4kFXe0CutvfpjpulHwmBSJseIMCz-E9EjIPEaSG2EKYXNxolUjmZDscLN=w1200|https://lh3.googleusercontent.com/pw/AP1GczOJOYfr5c96CWOh7NyKaPuYkLmj7J6owVOEalwG67-Rl4m52"&amp;"Ky-9_1qed0jd8HeqVRrDuugi0wPbHyfnQ9xTIcjZ-y1J5TtGorhIsOrPb9DRahWs3ee=w1200|https://lh3.googleusercontent.com/pw/AP1GczPvvOPaMtrd9gktMcy4opkYUeDU_BvdoMQMwJkutosswCZ7Gbf-hdkitfJsDKwdAqYqFWwro6VD6kXvLEUp4WqlHdog6oCTDGVRhdGnQG-hw79bJG5_=w1200|https://lh3.googl"&amp;"eusercontent.com/pw/AP1GczPCvCcEBGMTqtVYSpLBvKfPYtqw42SrjAwdLT9SzzvDglUoHTVeLAc6J1kwdgjTO6EhcIXo7wdNySyJpLeUHkzrFSKu-WLY_I5-n3bDszke6v_ELvvF=w1200|https://lh3.googleusercontent.com/pw/AP1GczM-Y9KT_GFnmYl8ceeuYf0kXckfuz4qDkAcchyVq7t8BNT6FtYNFW1cSmlrmgxzJVA"&amp;"HtD0Ko93W4YfPQ1nQi7cWjfMCZGxcPe9TqllgVuDyF4EhZ4Zf=w1200|https://lh3.googleusercontent.com/pw/AP1GczMirUOYWr7U20D9oR-Pk4oniAfAQwrTaEx63lgOqhtYyrHKXRqA8kgjlopL6rrmax__80sNx5dOmUZoJH9gNQ67egOR7e_lQArDzdXmaSVpwhZXjzNb=w1200|https://lh3.googleusercontent.com/p"&amp;"w/AP1GczMvq6JKbQ8omKFT1Sc3PV0Df2ESJWBeWHAyyCdMc5WCUS81vz9qL7PdRyWRAmPoDIcSZP4UpMgcShgtf5q7SnlXYsqy8YeBN7n6zKPQVhRenBbPMEIZ=w1200|https://lh3.googleusercontent.com/pw/AP1GczPn03iwph2XgTvIAIqy9bo_u5VlsQsam0MSoVowRxDjAHylZG_A6iLSBeViduzrRoy-_60aIu7wPEvcHcsuW"&amp;"p3N5ogRZw0RvQVp_gQzuPRltt-w11JK=w1200|https://lh3.googleusercontent.com/pw/AP1GczMhpYO9EIHoDUUQMS8xVEOz7f_L3djRn6RBQVV8Wq-dEBWnAhCByJPk93-A1pYHL7v7aHpWvPeIotE_SI4d1qCZNT_pri6C5GTcL-Vblcp6Y-5eiFAo=w1200|https://lh3.googleusercontent.com/pw/AP1GczMsr1jE9-I6"&amp;"xtHI3wN0yTfSMJDFuhl9OwxXfRh8F00JB8gnXtxhIDfrzrQtHkQBGtUttPLhw8e-a4J8GWVC5_EHAidhoiZ7EAQ-p62uc929wI-Vkwwb=w1200|https://lh3.googleusercontent.com/pw/AP1GczMwpUEziTORz39ryp46cwSQN2mqz0KhlEQFKR9N1SuRngQSWRZZdQL7Y4rfxwyY8H4sEEHCNjKd_5oZSxQ1hqg52LGwVk6tFg9DdJt"&amp;"OWwjOph6H9Xzp=w1200")</f>
        <v>https://lh3.googleusercontent.com/pw/AP1GczPvCaBBpcosfd_vZFDeug5VKsZIbdCdv3YvY2wUZEzhhbywlFkTrC2t5PMfSp7ryleoVjvTkqw6IEBAf26NTWzhYyoJc8n8dOcZesQtFyen-_Aztyah=w1200|https://lh3.googleusercontent.com/pw/AP1GczOtvZ-A-hWLk0rV-P8stRjy7PQrnMpgNAbfEE_705mqR-j-MFdrBN6WaPD-Bsih2IwjdBLcbfHOrDmOWXFj7gANyN2taJAD5-EsTL3VUgJBAebZCX9_=w1200|https://lh3.googleusercontent.com/pw/AP1GczNkgQnbLJQqGOef0pzZAs2Ch-evT2dhgyhrA7ynBHz7EQC9wZf9j40RKW_qVnKBSTA70UFLO5uPuV_EcThTvOjMWUHHnB_XS18svtpmDejqjErVZhsW=w1200|https://lh3.googleusercontent.com/pw/AP1GczNPa5n89x1wWoWXNotp-tSK4ACFj6GIY45aNgi99FTovCqgeUerUh0wX5cbsdnnQSdCN4Wx2xdvek3GH8tP9-Xa0TrmpSnlemkMBWFLqEt2dAa4bmC5=w1200|https://lh3.googleusercontent.com/pw/AP1GczMy50qI-wMsXdkkypwDHZ4FtXV_fIMK6J_E8ZNsS9snE0sAS6Y6T8McN8kfsI64jOEmKxfvmGsdaU-XJ4XFW9G58-ytFcXgyjr-7cBA_3Qv7rSFRw0p=w1200|https://lh3.googleusercontent.com/pw/AP1GczOcUCVFPumovjLSU3vzF8UN-0HMAOJnxodldFNHjkIt4fT88aUEcKvRnWgwIFF7bqRJTmFX9m5rGQsJvGcPXWmfWfNY6XqbZjauVtF63kFYG37R0TJR=w1200|https://lh3.googleusercontent.com/pw/AP1GczNU2MY4bmtxUbMUOirIyEiQGrA5cbu38oSzVBW4L_wFMB3XRHCg2e1mB2gE59gGe60Qi2Xu5fSURXhnEsjvZGIlZ9pUBBoU8v--_axLZo7RfO48o7Rp=w1200|https://lh3.googleusercontent.com/pw/AP1GczMjf3t5M6tKCAvaXcSLTwKfJD5MC9Gbtb_9jTmF3vsdwsiFzweDvPDV33ayhHuwO5IdaTk53Tu95yiAylOaaYCguOHRI-jpR3wi34Q8W_BLUYBrk1Kw=w1200|https://lh3.googleusercontent.com/pw/AP1GczNj9pFbByeRS4-J-iJP0kgdfpqEko_WXKy-Fcm2OamVXEO7xdraTzx6fFvgMkhfBcZowsbuDOn4wt4JYDEyiM1zoJMkYtF-kTK1Taxn3bkZulDDsfdy=w1200|https://lh3.googleusercontent.com/pw/AP1GczO03Eq0PZE38G3bmTYmZY-Rh1W-XWjWNxN5r2Aln0DB5a3lZ125mNfVhzI1J7h8kdyHWG6khqX7eAdxuvtvL6JyzCJ08bPDLOmE0hpcDKUDjeF-Dp7N=w1200|https://lh3.googleusercontent.com/pw/AP1GczMGfo8rGa6lq0jY1dC4tPmIGo0wey-O1Dr0ZbGCmBDCMxpTYCp9aY2J_jtcnJNHBjF71f-8GrBFsmPqz1PcYJi6p-eYv68Bj1acl9fQse794zotushW=w1200|https://lh3.googleusercontent.com/pw/AP1GczOeN8ZC9DUQtzWzlp46f-4ATruWPGr-dEDX2hv694mUdlJ4lLDDE7AXnMFRTZ7fwcFqEYy7rxpGkxudgsRHMFMG9mktEUYlqaaDAA7YTVaf-qdm_iXv=w1200|https://lh3.googleusercontent.com/pw/AP1GczPJ2326hqr75mVJY5VYmB8o_7CEUdYnDrpTFmmWrk7KnuN2yjcXmlR1A21HN0v8SpBO5h1Hhu2QxSePpXWkFMWqzRL0sDHbo9OXxvC5gKECKj9KaiKT=w1200|https://lh3.googleusercontent.com/pw/AP1GczNJ3aBE9aQyJSwdIHrPIjP2mIpHZPKfK5NS_orThUZmZDiouvX76AtWwdDNh5jXkaZExmxwmSUH3N2hJMvnusjueZQNeVUtSHGqq0-V-GzWbjJc-7fI=w1200|https://lh3.googleusercontent.com/pw/AP1GczMpMUddPtzPtSBXFSHMSNe4krrpX_zERjBOat89k0D14Bas7yu0SYKhxax4kFXe0CutvfpjpulHwmBSJseIMCz-E9EjIPEaSG2EKYXNxolUjmZDscLN=w1200|https://lh3.googleusercontent.com/pw/AP1GczOJOYfr5c96CWOh7NyKaPuYkLmj7J6owVOEalwG67-Rl4m52Ky-9_1qed0jd8HeqVRrDuugi0wPbHyfnQ9xTIcjZ-y1J5TtGorhIsOrPb9DRahWs3ee=w1200|https://lh3.googleusercontent.com/pw/AP1GczPvvOPaMtrd9gktMcy4opkYUeDU_BvdoMQMwJkutosswCZ7Gbf-hdkitfJsDKwdAqYqFWwro6VD6kXvLEUp4WqlHdog6oCTDGVRhdGnQG-hw79bJG5_=w1200|https://lh3.googleusercontent.com/pw/AP1GczPCvCcEBGMTqtVYSpLBvKfPYtqw42SrjAwdLT9SzzvDglUoHTVeLAc6J1kwdgjTO6EhcIXo7wdNySyJpLeUHkzrFSKu-WLY_I5-n3bDszke6v_ELvvF=w1200|https://lh3.googleusercontent.com/pw/AP1GczM-Y9KT_GFnmYl8ceeuYf0kXckfuz4qDkAcchyVq7t8BNT6FtYNFW1cSmlrmgxzJVAHtD0Ko93W4YfPQ1nQi7cWjfMCZGxcPe9TqllgVuDyF4EhZ4Zf=w1200|https://lh3.googleusercontent.com/pw/AP1GczMirUOYWr7U20D9oR-Pk4oniAfAQwrTaEx63lgOqhtYyrHKXRqA8kgjlopL6rrmax__80sNx5dOmUZoJH9gNQ67egOR7e_lQArDzdXmaSVpwhZXjzNb=w1200|https://lh3.googleusercontent.com/pw/AP1GczMvq6JKbQ8omKFT1Sc3PV0Df2ESJWBeWHAyyCdMc5WCUS81vz9qL7PdRyWRAmPoDIcSZP4UpMgcShgtf5q7SnlXYsqy8YeBN7n6zKPQVhRenBbPMEIZ=w1200|https://lh3.googleusercontent.com/pw/AP1GczPn03iwph2XgTvIAIqy9bo_u5VlsQsam0MSoVowRxDjAHylZG_A6iLSBeViduzrRoy-_60aIu7wPEvcHcsuWp3N5ogRZw0RvQVp_gQzuPRltt-w11JK=w1200|https://lh3.googleusercontent.com/pw/AP1GczMhpYO9EIHoDUUQMS8xVEOz7f_L3djRn6RBQVV8Wq-dEBWnAhCByJPk93-A1pYHL7v7aHpWvPeIotE_SI4d1qCZNT_pri6C5GTcL-Vblcp6Y-5eiFAo=w1200|https://lh3.googleusercontent.com/pw/AP1GczMsr1jE9-I6xtHI3wN0yTfSMJDFuhl9OwxXfRh8F00JB8gnXtxhIDfrzrQtHkQBGtUttPLhw8e-a4J8GWVC5_EHAidhoiZ7EAQ-p62uc929wI-Vkwwb=w1200|https://lh3.googleusercontent.com/pw/AP1GczMwpUEziTORz39ryp46cwSQN2mqz0KhlEQFKR9N1SuRngQSWRZZdQL7Y4rfxwyY8H4sEEHCNjKd_5oZSxQ1hqg52LGwVk6tFg9DdJtOWwjOph6H9Xzp=w1200</v>
      </c>
      <c r="AJ249" s="46"/>
      <c r="AK249" s="46"/>
      <c r="AL249" s="46"/>
      <c r="AM249" s="46"/>
      <c r="AN249" s="46"/>
      <c r="AO249" s="46"/>
      <c r="AP249" s="46"/>
      <c r="AQ249" s="46"/>
      <c r="AR249" s="46"/>
      <c r="AS249" s="46"/>
      <c r="AT249" s="46"/>
      <c r="AU249" s="46"/>
      <c r="AV249" s="46"/>
      <c r="AW249" s="46"/>
      <c r="AX249" s="46"/>
      <c r="AY249" s="46"/>
      <c r="AZ249" s="46"/>
      <c r="BA249" s="46"/>
      <c r="BB249" s="46"/>
      <c r="BC249" s="46"/>
      <c r="BD249" s="46"/>
      <c r="BE249" s="46"/>
      <c r="BF249" s="46"/>
      <c r="BG249" s="46"/>
      <c r="BH249" s="46"/>
      <c r="BI249" s="46"/>
      <c r="BJ249" s="46"/>
      <c r="BK249" s="46"/>
      <c r="BL249" s="46"/>
      <c r="BM249" s="46"/>
      <c r="BN249" s="46"/>
      <c r="BO249" s="46"/>
      <c r="BP249" s="46"/>
      <c r="BQ249" s="46"/>
      <c r="BR249" s="46"/>
      <c r="BS249" s="46"/>
      <c r="BT249" s="46"/>
      <c r="BU249" s="46"/>
      <c r="BV249" s="46"/>
      <c r="BW249" s="46"/>
      <c r="BX249" s="46"/>
      <c r="BY249" s="46"/>
      <c r="BZ249" s="46"/>
      <c r="CA249" s="46"/>
      <c r="CB249" s="46"/>
      <c r="CC249" s="46"/>
    </row>
    <row r="250">
      <c r="A250" s="87" t="str">
        <f>IFERROR(__xludf.DUMMYFUNCTION("""COMPUTED_VALUE"""),"758")</f>
        <v>758</v>
      </c>
      <c r="B250" s="46" t="str">
        <f>IFERROR(__xludf.DUMMYFUNCTION("""COMPUTED_VALUE"""),"Casa con local en barrio Santa Clara")</f>
        <v>Casa con local en barrio Santa Clara</v>
      </c>
      <c r="C250" s="46" t="str">
        <f>IFERROR(__xludf.DUMMYFUNCTION("""COMPUTED_VALUE"""),"Casa rentable")</f>
        <v>Casa rentable</v>
      </c>
      <c r="D250" s="46" t="str">
        <f>IFERROR(__xludf.DUMMYFUNCTION("""COMPUTED_VALUE"""),"Santa Clara")</f>
        <v>Santa Clara</v>
      </c>
      <c r="E250" s="90"/>
      <c r="F250" s="90">
        <f>IFERROR(__xludf.DUMMYFUNCTION("""COMPUTED_VALUE"""),3.2E8)</f>
        <v>320000000</v>
      </c>
      <c r="G250" s="46" t="str">
        <f>IFERROR(__xludf.DUMMYFUNCTION("""COMPUTED_VALUE"""),"$300'000.000 a $400'000.000")</f>
        <v>$300'000.000 a $400'000.000</v>
      </c>
      <c r="H250" s="46"/>
      <c r="I250" s="46"/>
      <c r="J250" s="46" t="str">
        <f>IFERROR(__xludf.DUMMYFUNCTION("""COMPUTED_VALUE"""),"Norte")</f>
        <v>Norte</v>
      </c>
      <c r="K250" s="87" t="str">
        <f>IFERROR(__xludf.DUMMYFUNCTION("""COMPUTED_VALUE"""),"2")</f>
        <v>2</v>
      </c>
      <c r="L250" s="46">
        <f>IFERROR(__xludf.DUMMYFUNCTION("""COMPUTED_VALUE"""),4.0)</f>
        <v>4</v>
      </c>
      <c r="M250" s="46"/>
      <c r="N250" s="46">
        <f>IFERROR(__xludf.DUMMYFUNCTION("""COMPUTED_VALUE"""),2.0)</f>
        <v>2</v>
      </c>
      <c r="O250" s="46">
        <f>IFERROR(__xludf.DUMMYFUNCTION("""COMPUTED_VALUE"""),1.0)</f>
        <v>1</v>
      </c>
      <c r="P250" s="46">
        <f>IFERROR(__xludf.DUMMYFUNCTION("""COMPUTED_VALUE"""),2.0)</f>
        <v>2</v>
      </c>
      <c r="Q250" s="92"/>
      <c r="R250" s="92">
        <f>IFERROR(__xludf.DUMMYFUNCTION("""COMPUTED_VALUE"""),75.0)</f>
        <v>75</v>
      </c>
      <c r="S250" s="87" t="str">
        <f>IFERROR(__xludf.DUMMYFUNCTION("""COMPUTED_VALUE"""),"Rentabilidad $2,000,000")</f>
        <v>Rentabilidad $2,000,000</v>
      </c>
      <c r="T250" s="46" t="str">
        <f>IFERROR(__xludf.DUMMYFUNCTION("""COMPUTED_VALUE"""),"Neiva")</f>
        <v>Neiva</v>
      </c>
      <c r="U250" s="87"/>
      <c r="V250" s="46" t="str">
        <f>IFERROR(__xludf.DUMMYFUNCTION("""COMPUTED_VALUE"""),"Medianera")</f>
        <v>Medianera</v>
      </c>
      <c r="W250" s="46"/>
      <c r="X250" s="46"/>
      <c r="Y250" s="46" t="str">
        <f>IFERROR(__xludf.DUMMYFUNCTION("""COMPUTED_VALUE"""),"No tiene")</f>
        <v>No tiene</v>
      </c>
      <c r="Z250" s="90"/>
      <c r="AA250" s="33"/>
      <c r="AB250" s="96" t="str">
        <f>IFERROR(__xludf.DUMMYFUNCTION("""COMPUTED_VALUE"""),"https://photos.app.goo.gl/8mUQLUfcDcZ9dtnS9")</f>
        <v>https://photos.app.goo.gl/8mUQLUfcDcZ9dtnS9</v>
      </c>
      <c r="AC250" s="46" t="str">
        <f>IFERROR(__xludf.DUMMYFUNCTION("""COMPUTED_VALUE"""),"Casa con reja antejardín.  LOTE 5.0 ml X 15.0  ml. Cuenta con local, 4 habitaciones 3 baños, bodega, cocina básica.")</f>
        <v>Casa con reja antejardín.  LOTE 5.0 ml X 15.0  ml. Cuenta con local, 4 habitaciones 3 baños, bodega, cocina básica.</v>
      </c>
      <c r="AD250" s="46" t="str">
        <f>IFERROR(__xludf.DUMMYFUNCTION("""COMPUTED_VALUE"""),"Excelente ubicación. Sobre la Avenida 26 - Sector comercial. Cerca a los centros comerciales San Pedro Plaza.")</f>
        <v>Excelente ubicación. Sobre la Avenida 26 - Sector comercial. Cerca a los centros comerciales San Pedro Plaza.</v>
      </c>
      <c r="AE250" s="46"/>
      <c r="AF250" s="46" t="str">
        <f>IFERROR(__xludf.DUMMYFUNCTION("""COMPUTED_VALUE"""),"semi-integral")</f>
        <v>semi-integral</v>
      </c>
      <c r="AG250" s="46"/>
      <c r="AH250" s="46" t="str">
        <f>IFERROR(__xludf.DUMMYFUNCTION("""COMPUTED_VALUE"""),"Verbal")</f>
        <v>Verbal</v>
      </c>
      <c r="AI250" s="92" t="str">
        <f>IFERROR(__xludf.DUMMYFUNCTION("""COMPUTED_VALUE"""),"https://lh3.googleusercontent.com/pw/AP1GczN_irTIIomHCquWx2pK7orBAlgiIXm9PJ-Yg3JJG4f_g_wtiIcc3IekDvjAo4uwFulvIaRvKbM8_F1xxDdHTNmBp5We4pTSkjWubICOBy0C9tDmtgjS=w1200|https://lh3.googleusercontent.com/pw/AP1GczPNbmfMvnKHUwP13cNJXX4czj9tc7-9ZbKmSZau1lfGlrn5Ex"&amp;"mAaAJsp66hqwkJMezWdiqGZXdBjCSfObml04R2chO4_n3_GchnMwbElIsGPR1jSJt3=w1200|https://lh3.googleusercontent.com/pw/AP1GczMhTGHtolCgAFMl8mMNgtnK6BGiUJGeE9fAEEWKljejjRcfcUdpgg7I6EwxXyuxjaG4oLBJ4DX8xl3PI8hd4ktjiQgyGp9j4T3pLC-ZmeD1MLthg1Qv=w1200|https://lh3.google"&amp;"usercontent.com/pw/AP1GczOCFC-3a0U8O3Ib19LaTq1BeA4uXWReWJ0vCYHyYFBP5RIcweGiH9Q5mcsHkp-h382MNQ403msFKS5XlMuf22a9k_bhZ6NbaA67i7hDHZr80Im6-w35=w1200|https://lh3.googleusercontent.com/pw/AP1GczM9ZS6XDXPkbqt1G8CkZthJAFDfsiLYxNh_JwL7yejLL1vRgPgAbkFa_YR-a9l4HwDT"&amp;"Fs3XoQ5ER0ocHnbrqj9VkgE3Dj2rIerSvR0K4kqQh3CcGpOG=w1200|https://lh3.googleusercontent.com/pw/AP1GczOR9l7juLDI5KPZKfNaJN44H9kzujuvlYFXjAQ4SwNUKf3Y5nnDbjR3UbF_kT1g1BzWcgEhHeocTTkcz9aEnPUom9t3Tmy6xJhZ7zgEbybn4pkZtMRU=w1200|https://lh3.googleusercontent.com/pw"&amp;"/AP1GczOLh9-rdG4obzjD6sbDVJKLGhhCRMO5fwIndYazJr0LLG_a8qhSR6kNYHjjFYYDytbKDFPBihCugSjJFZNDKFpL024ykng1OmtTqwBRDhhOytgF_8jI=w1200|https://lh3.googleusercontent.com/pw/AP1GczOiMTDpCHvFj4Ge0xG37eDcU4F4w5EWMlR-jVVtuEo7_Mf17CY1s4kXMJpZqXOyaHwYxfVkqmhPwRH2gsQVEW"&amp;"e_Zox6ArCsHWriBQDHTShw4eWP5Bfe=w1200|https://lh3.googleusercontent.com/pw/AP1GczMHG9a6XceVb4U_LGI1apUb_j0hs0XXcLRPBD-DQKB4KL0pWnNmUhdHAFNfxiaZzhDdaoSu-nrpbYvEVztM53WSqmJ9BO6XOLViMb8gbaP0cNWPo9iT=w1200|https://lh3.googleusercontent.com/pw/AP1GczPJLghpvHAmS"&amp;"_d8ic06OXJWQqva0At-HJYbN4vrRHd1HdHsVdVrw-KUyauOkuFOr7jkXnk8g66MPi7nv4XU2x6pxXkguGInpZljg0_4o27ZisvCc9uD=w1200|https://lh3.googleusercontent.com/pw/AP1GczNFVZPvZXMbvQO33_m0-n9o8JoSCpVHj3lp85R-a9HqvT4r7C5kkEdiIUv4TrDSciE6ZIImYdAGtPUgIw0SvQ9IOITgzgadO5lgSSEk"&amp;"PvMUbFlwa4IC=w1200|https://lh3.googleusercontent.com/pw/AP1GczPPuVck3KPr296lnq-Oxsb-ZPgmkaiM9t8b0Sb1GACYgJLT-zjD8bYgEbnXiVYyCR0j1wy83TweduruAgEpQ3rcUXUVHD0dJVftz_Oj0I94wCUGkWF1=w1200|https://lh3.googleusercontent.com/pw/AP1GczN_2e1vjmmHmxswnFByEJ6DHoL3dn5"&amp;"aP-2s0w4h1bhYnJJl4UC127S-0tEJVnN93hJit_hFSZbYTEGRehR2x1HZu_naEJcB_ih8u-sJ92jZ3HlxSe8d=w1200|https://lh3.googleusercontent.com/pw/AP1GczNzNTzCFwA_rT67lMu6Bfp_FJUYFbEqEKvwg9LEn4BAmTYPjxBr_AsL2MGNPFgXiOvojweOiENPItMV127Clqd0i23Qv18EULx6nbpM05W-Q4Cjg0Xa=w1200"&amp;"|https://lh3.googleusercontent.com/pw/AP1GczMzB_lxR-sdULToeYUbXyNK5wV6znlr-b4Eedu0ZAP4WdOAQ1I0Aap0WLiitVpmt_ow_uAXgCieZxLn7hPgUyw4YsG4dWiI4_Ot_zrwKRarYyTsr9ME=w1200|https://lh3.googleusercontent.com/pw/AP1GczNzX6cWSksAZkfFv3lhfACvikSIFrMiRod27v2dFJQB3Xzbl"&amp;"xd7Dfsl31_JpbtpM-yLs2YdHMBoyGQoWggqj_04iXgOZyHnWL5shwJ0sEmyL1z3Texj=w1200")</f>
        <v>https://lh3.googleusercontent.com/pw/AP1GczN_irTIIomHCquWx2pK7orBAlgiIXm9PJ-Yg3JJG4f_g_wtiIcc3IekDvjAo4uwFulvIaRvKbM8_F1xxDdHTNmBp5We4pTSkjWubICOBy0C9tDmtgjS=w1200|https://lh3.googleusercontent.com/pw/AP1GczPNbmfMvnKHUwP13cNJXX4czj9tc7-9ZbKmSZau1lfGlrn5ExmAaAJsp66hqwkJMezWdiqGZXdBjCSfObml04R2chO4_n3_GchnMwbElIsGPR1jSJt3=w1200|https://lh3.googleusercontent.com/pw/AP1GczMhTGHtolCgAFMl8mMNgtnK6BGiUJGeE9fAEEWKljejjRcfcUdpgg7I6EwxXyuxjaG4oLBJ4DX8xl3PI8hd4ktjiQgyGp9j4T3pLC-ZmeD1MLthg1Qv=w1200|https://lh3.googleusercontent.com/pw/AP1GczOCFC-3a0U8O3Ib19LaTq1BeA4uXWReWJ0vCYHyYFBP5RIcweGiH9Q5mcsHkp-h382MNQ403msFKS5XlMuf22a9k_bhZ6NbaA67i7hDHZr80Im6-w35=w1200|https://lh3.googleusercontent.com/pw/AP1GczM9ZS6XDXPkbqt1G8CkZthJAFDfsiLYxNh_JwL7yejLL1vRgPgAbkFa_YR-a9l4HwDTFs3XoQ5ER0ocHnbrqj9VkgE3Dj2rIerSvR0K4kqQh3CcGpOG=w1200|https://lh3.googleusercontent.com/pw/AP1GczOR9l7juLDI5KPZKfNaJN44H9kzujuvlYFXjAQ4SwNUKf3Y5nnDbjR3UbF_kT1g1BzWcgEhHeocTTkcz9aEnPUom9t3Tmy6xJhZ7zgEbybn4pkZtMRU=w1200|https://lh3.googleusercontent.com/pw/AP1GczOLh9-rdG4obzjD6sbDVJKLGhhCRMO5fwIndYazJr0LLG_a8qhSR6kNYHjjFYYDytbKDFPBihCugSjJFZNDKFpL024ykng1OmtTqwBRDhhOytgF_8jI=w1200|https://lh3.googleusercontent.com/pw/AP1GczOiMTDpCHvFj4Ge0xG37eDcU4F4w5EWMlR-jVVtuEo7_Mf17CY1s4kXMJpZqXOyaHwYxfVkqmhPwRH2gsQVEWe_Zox6ArCsHWriBQDHTShw4eWP5Bfe=w1200|https://lh3.googleusercontent.com/pw/AP1GczMHG9a6XceVb4U_LGI1apUb_j0hs0XXcLRPBD-DQKB4KL0pWnNmUhdHAFNfxiaZzhDdaoSu-nrpbYvEVztM53WSqmJ9BO6XOLViMb8gbaP0cNWPo9iT=w1200|https://lh3.googleusercontent.com/pw/AP1GczPJLghpvHAmS_d8ic06OXJWQqva0At-HJYbN4vrRHd1HdHsVdVrw-KUyauOkuFOr7jkXnk8g66MPi7nv4XU2x6pxXkguGInpZljg0_4o27ZisvCc9uD=w1200|https://lh3.googleusercontent.com/pw/AP1GczNFVZPvZXMbvQO33_m0-n9o8JoSCpVHj3lp85R-a9HqvT4r7C5kkEdiIUv4TrDSciE6ZIImYdAGtPUgIw0SvQ9IOITgzgadO5lgSSEkPvMUbFlwa4IC=w1200|https://lh3.googleusercontent.com/pw/AP1GczPPuVck3KPr296lnq-Oxsb-ZPgmkaiM9t8b0Sb1GACYgJLT-zjD8bYgEbnXiVYyCR0j1wy83TweduruAgEpQ3rcUXUVHD0dJVftz_Oj0I94wCUGkWF1=w1200|https://lh3.googleusercontent.com/pw/AP1GczN_2e1vjmmHmxswnFByEJ6DHoL3dn5aP-2s0w4h1bhYnJJl4UC127S-0tEJVnN93hJit_hFSZbYTEGRehR2x1HZu_naEJcB_ih8u-sJ92jZ3HlxSe8d=w1200|https://lh3.googleusercontent.com/pw/AP1GczNzNTzCFwA_rT67lMu6Bfp_FJUYFbEqEKvwg9LEn4BAmTYPjxBr_AsL2MGNPFgXiOvojweOiENPItMV127Clqd0i23Qv18EULx6nbpM05W-Q4Cjg0Xa=w1200|https://lh3.googleusercontent.com/pw/AP1GczMzB_lxR-sdULToeYUbXyNK5wV6znlr-b4Eedu0ZAP4WdOAQ1I0Aap0WLiitVpmt_ow_uAXgCieZxLn7hPgUyw4YsG4dWiI4_Ot_zrwKRarYyTsr9ME=w1200|https://lh3.googleusercontent.com/pw/AP1GczNzX6cWSksAZkfFv3lhfACvikSIFrMiRod27v2dFJQB3Xzblxd7Dfsl31_JpbtpM-yLs2YdHMBoyGQoWggqj_04iXgOZyHnWL5shwJ0sEmyL1z3Texj=w1200</v>
      </c>
      <c r="AJ250" s="46"/>
      <c r="AK250" s="46"/>
      <c r="AL250" s="46"/>
      <c r="AM250" s="46"/>
      <c r="AN250" s="46"/>
      <c r="AO250" s="46"/>
      <c r="AP250" s="46"/>
      <c r="AQ250" s="46"/>
      <c r="AR250" s="46"/>
      <c r="AS250" s="46"/>
      <c r="AT250" s="46"/>
      <c r="AU250" s="46"/>
      <c r="AV250" s="46"/>
      <c r="AW250" s="46"/>
      <c r="AX250" s="46"/>
      <c r="AY250" s="46"/>
      <c r="AZ250" s="46"/>
      <c r="BA250" s="46"/>
      <c r="BB250" s="46"/>
      <c r="BC250" s="46"/>
      <c r="BD250" s="46"/>
      <c r="BE250" s="46"/>
      <c r="BF250" s="46"/>
      <c r="BG250" s="46"/>
      <c r="BH250" s="46"/>
      <c r="BI250" s="46"/>
      <c r="BJ250" s="46"/>
      <c r="BK250" s="46"/>
      <c r="BL250" s="46"/>
      <c r="BM250" s="46"/>
      <c r="BN250" s="46"/>
      <c r="BO250" s="46"/>
      <c r="BP250" s="46"/>
      <c r="BQ250" s="46"/>
      <c r="BR250" s="46"/>
      <c r="BS250" s="46"/>
      <c r="BT250" s="46"/>
      <c r="BU250" s="46"/>
      <c r="BV250" s="46"/>
      <c r="BW250" s="46"/>
      <c r="BX250" s="46"/>
      <c r="BY250" s="46"/>
      <c r="BZ250" s="46"/>
      <c r="CA250" s="46"/>
      <c r="CB250" s="46"/>
      <c r="CC250" s="46"/>
    </row>
    <row r="251">
      <c r="A251" s="87" t="str">
        <f>IFERROR(__xludf.DUMMYFUNCTION("""COMPUTED_VALUE"""),"019")</f>
        <v>019</v>
      </c>
      <c r="B251" s="46" t="str">
        <f>IFERROR(__xludf.DUMMYFUNCTION("""COMPUTED_VALUE"""),"Apartamento en edificio Quirinal - Centro")</f>
        <v>Apartamento en edificio Quirinal - Centro</v>
      </c>
      <c r="C251" s="46" t="str">
        <f>IFERROR(__xludf.DUMMYFUNCTION("""COMPUTED_VALUE"""),"Apartamento")</f>
        <v>Apartamento</v>
      </c>
      <c r="D251" s="46" t="str">
        <f>IFERROR(__xludf.DUMMYFUNCTION("""COMPUTED_VALUE"""),"Quirinal")</f>
        <v>Quirinal</v>
      </c>
      <c r="E251" s="90" t="str">
        <f>IFERROR(__xludf.DUMMYFUNCTION("""COMPUTED_VALUE""")," ")</f>
        <v> </v>
      </c>
      <c r="F251" s="90">
        <f>IFERROR(__xludf.DUMMYFUNCTION("""COMPUTED_VALUE"""),3.0E8)</f>
        <v>300000000</v>
      </c>
      <c r="G251" s="46" t="str">
        <f>IFERROR(__xludf.DUMMYFUNCTION("""COMPUTED_VALUE"""),"$300'000.000 a $400'000.000")</f>
        <v>$300'000.000 a $400'000.000</v>
      </c>
      <c r="H251" s="46"/>
      <c r="I251" s="46"/>
      <c r="J251" s="46" t="str">
        <f>IFERROR(__xludf.DUMMYFUNCTION("""COMPUTED_VALUE"""),"Centro")</f>
        <v>Centro</v>
      </c>
      <c r="K251" s="87" t="str">
        <f>IFERROR(__xludf.DUMMYFUNCTION("""COMPUTED_VALUE"""),"3")</f>
        <v>3</v>
      </c>
      <c r="L251" s="46">
        <f>IFERROR(__xludf.DUMMYFUNCTION("""COMPUTED_VALUE"""),3.0)</f>
        <v>3</v>
      </c>
      <c r="M251" s="46"/>
      <c r="N251" s="46">
        <f>IFERROR(__xludf.DUMMYFUNCTION("""COMPUTED_VALUE"""),3.0)</f>
        <v>3</v>
      </c>
      <c r="O251" s="46">
        <f>IFERROR(__xludf.DUMMYFUNCTION("""COMPUTED_VALUE"""),1.0)</f>
        <v>1</v>
      </c>
      <c r="P251" s="46">
        <f>IFERROR(__xludf.DUMMYFUNCTION("""COMPUTED_VALUE"""),3.0)</f>
        <v>3</v>
      </c>
      <c r="Q251" s="92">
        <f>IFERROR(__xludf.DUMMYFUNCTION("""COMPUTED_VALUE"""),100.0)</f>
        <v>100</v>
      </c>
      <c r="R251" s="92">
        <f>IFERROR(__xludf.DUMMYFUNCTION("""COMPUTED_VALUE"""),100.0)</f>
        <v>100</v>
      </c>
      <c r="S251" s="87" t="str">
        <f>IFERROR(__xludf.DUMMYFUNCTION("""COMPUTED_VALUE""")," ")</f>
        <v> </v>
      </c>
      <c r="T251" s="46" t="str">
        <f>IFERROR(__xludf.DUMMYFUNCTION("""COMPUTED_VALUE"""),"Neiva")</f>
        <v>Neiva</v>
      </c>
      <c r="U251" s="87" t="str">
        <f>IFERROR(__xludf.DUMMYFUNCTION("""COMPUTED_VALUE"""),"5")</f>
        <v>5</v>
      </c>
      <c r="V251" s="46" t="str">
        <f>IFERROR(__xludf.DUMMYFUNCTION("""COMPUTED_VALUE"""),"3er.")</f>
        <v>3er.</v>
      </c>
      <c r="W251" s="46"/>
      <c r="X251" s="46">
        <f>IFERROR(__xludf.DUMMYFUNCTION("""COMPUTED_VALUE"""),3.0)</f>
        <v>3</v>
      </c>
      <c r="Y251" s="46" t="str">
        <f>IFERROR(__xludf.DUMMYFUNCTION("""COMPUTED_VALUE"""),"Social")</f>
        <v>Social</v>
      </c>
      <c r="Z251" s="90">
        <f>IFERROR(__xludf.DUMMYFUNCTION("""COMPUTED_VALUE"""),363000.0)</f>
        <v>363000</v>
      </c>
      <c r="AA251" s="33" t="str">
        <f>IFERROR(__xludf.DUMMYFUNCTION("""COMPUTED_VALUE"""),"No aplica")</f>
        <v>No aplica</v>
      </c>
      <c r="AB251" s="144" t="str">
        <f>IFERROR(__xludf.DUMMYFUNCTION("""COMPUTED_VALUE"""),"https://photos.app.goo.gl/Y17QF47eCpuRLgSh8")</f>
        <v>https://photos.app.goo.gl/Y17QF47eCpuRLgSh8</v>
      </c>
      <c r="AC251" s="46" t="str">
        <f>IFERROR(__xludf.DUMMYFUNCTION("""COMPUTED_VALUE"""),"Apartamento en venta en el centro de Neiva, ubicado en el tercer piso del reconocido Edificio Quirinal. Inmueble de estrato 5 con excelentes acabados, ideal para familias que buscan vivir en el corazón de la ciudad con acceso inmediato a bancos, colegios "&amp;"y comercio. Cuenta con zona social con piscina compartida, parqueadero privado cubierto y cocina integral. Una de las mejores opciones de apartamentos en venta en el centro de Neiva con este nivel de especificaciones.")</f>
        <v>Apartamento en venta en el centro de Neiva, ubicado en el tercer piso del reconocido Edificio Quirinal. Inmueble de estrato 5 con excelentes acabados, ideal para familias que buscan vivir en el corazón de la ciudad con acceso inmediato a bancos, colegios y comercio. Cuenta con zona social con piscina compartida, parqueadero privado cubierto y cocina integral. Una de las mejores opciones de apartamentos en venta en el centro de Neiva con este nivel de especificaciones.</v>
      </c>
      <c r="AD251" s="46" t="str">
        <f>IFERROR(__xludf.DUMMYFUNCTION("""COMPUTED_VALUE"""),"Casa en el tercer piso del edificio Quirinal en el centro de Neiva. 3 habitaciones, 3 baños, garaje privado, cocina integral y zona social con piscina. Área construida de 100 m², estrato 5. Escritura al día.")</f>
        <v>Casa en el tercer piso del edificio Quirinal en el centro de Neiva. 3 habitaciones, 3 baños, garaje privado, cocina integral y zona social con piscina. Área construida de 100 m², estrato 5. Escritura al día.</v>
      </c>
      <c r="AE251" s="46"/>
      <c r="AF251" s="46" t="str">
        <f>IFERROR(__xludf.DUMMYFUNCTION("""COMPUTED_VALUE"""),"integral")</f>
        <v>integral</v>
      </c>
      <c r="AG251" s="46"/>
      <c r="AH251" s="46" t="str">
        <f>IFERROR(__xludf.DUMMYFUNCTION("""COMPUTED_VALUE"""),"Verbal")</f>
        <v>Verbal</v>
      </c>
      <c r="AI251" s="92" t="str">
        <f>IFERROR(__xludf.DUMMYFUNCTION("""COMPUTED_VALUE"""),"https://lh3.googleusercontent.com/pw/AP1GczOJNmjeCqDVcM_kX_hHvaB6vWlGVY_XlAyHu_PodnNUY8dFgM0YAuoc3JNQ-mls4USUXYPjixiW5FYDfHMYsdNeOIT4MVelp93mG6BlvwHI1vqoUA-8=w1200|https://lh3.googleusercontent.com/pw/AP1GczNUbTnBJGaY8V4Iw-gVoKxQkdWNM2pJRIfKjzaEee5mxav0R5"&amp;"5cj6rluZmVerrog3l9hkFRuRQmFD9mx2z4soxN_5rE8Dp3Wo4fmU4pH7VCSahN8egX=w1200|https://lh3.googleusercontent.com/pw/AP1GczOH_o-xj93sLdZnMBdzlyoMYUqDo4PiyEXuo8roQXIQjOnbROPWvnQWa6AoX3eJf7EqTHNft25Wb5GtS4XibpY53NAVaWScIKICPpeWd7sqUoWr03bU=w1200|https://lh3.google"&amp;"usercontent.com/pw/AP1GczMW_494_mfnr3UlO4bOmsxNELQcOvQtupnNlhTu2R3YF-xt70g1G_xhBl0dtI_2RSRxD50zeuJmzxvi3Fbs6gOIo4haektyxr7kk78TVF9cpqfbrFFT=w1200|https://lh3.googleusercontent.com/pw/AP1GczPH8yeH0I9MPiIR5I4b3r84OuNuWDn9DTVU_tPZVnDLR_U9223keOH5bOlYOMZUwSQT"&amp;"5hQyEAB4oEMtZAO-tclbiRJu0L7mw8RcLjTk3NYQVc5JcbLe=w1200|https://lh3.googleusercontent.com/pw/AP1GczN390-L7e-dhb58CDCokCNgnRhsZAen_5Ko4FDdXOBOqeJIQrJd05oPfGlW9pl_rrSa8Xb4anll7expzVToBbLG_DrHO0CJ_u3j9KEg3CaO2kALcV-Q=w1200|https://lh3.googleusercontent.com/pw"&amp;"/AP1GczMgL3M_emCR7-dMtOD810QIzdKXW9IUlMjvYfMPcT-FLQ1CkJY6YQV5epLYmG8BdjiHNP_IX0LonhUEp7-zYqfoPaORQWc-IyWDcFA5ka7QH1Qqt7m0=w1200|https://lh3.googleusercontent.com/pw/AP1GczPFYtNMEcBgq7yyK1iif9StUdIXvzxWUVaC4QJf-Lm3UPzSC9WzGiZLNtKD-wo8JG6WP4w7uMAdy8Y4ZZhu0X"&amp;"-_vx0ATn3IcYr2v7KRtT6H527jqloy=w1200|https://lh3.googleusercontent.com/pw/AP1GczP-yXMNXfUPN_DwkQjDWBv5r6ON7fRGz0dbh_0IxJib81592ajnfbYndF1dRoUegRYTgmQI3bJNePUT0_o3N-4NWm04VV2gyXbTLWlEGK3Fs1ullR9P=w1200")</f>
        <v>https://lh3.googleusercontent.com/pw/AP1GczOJNmjeCqDVcM_kX_hHvaB6vWlGVY_XlAyHu_PodnNUY8dFgM0YAuoc3JNQ-mls4USUXYPjixiW5FYDfHMYsdNeOIT4MVelp93mG6BlvwHI1vqoUA-8=w1200|https://lh3.googleusercontent.com/pw/AP1GczNUbTnBJGaY8V4Iw-gVoKxQkdWNM2pJRIfKjzaEee5mxav0R55cj6rluZmVerrog3l9hkFRuRQmFD9mx2z4soxN_5rE8Dp3Wo4fmU4pH7VCSahN8egX=w1200|https://lh3.googleusercontent.com/pw/AP1GczOH_o-xj93sLdZnMBdzlyoMYUqDo4PiyEXuo8roQXIQjOnbROPWvnQWa6AoX3eJf7EqTHNft25Wb5GtS4XibpY53NAVaWScIKICPpeWd7sqUoWr03bU=w1200|https://lh3.googleusercontent.com/pw/AP1GczMW_494_mfnr3UlO4bOmsxNELQcOvQtupnNlhTu2R3YF-xt70g1G_xhBl0dtI_2RSRxD50zeuJmzxvi3Fbs6gOIo4haektyxr7kk78TVF9cpqfbrFFT=w1200|https://lh3.googleusercontent.com/pw/AP1GczPH8yeH0I9MPiIR5I4b3r84OuNuWDn9DTVU_tPZVnDLR_U9223keOH5bOlYOMZUwSQT5hQyEAB4oEMtZAO-tclbiRJu0L7mw8RcLjTk3NYQVc5JcbLe=w1200|https://lh3.googleusercontent.com/pw/AP1GczN390-L7e-dhb58CDCokCNgnRhsZAen_5Ko4FDdXOBOqeJIQrJd05oPfGlW9pl_rrSa8Xb4anll7expzVToBbLG_DrHO0CJ_u3j9KEg3CaO2kALcV-Q=w1200|https://lh3.googleusercontent.com/pw/AP1GczMgL3M_emCR7-dMtOD810QIzdKXW9IUlMjvYfMPcT-FLQ1CkJY6YQV5epLYmG8BdjiHNP_IX0LonhUEp7-zYqfoPaORQWc-IyWDcFA5ka7QH1Qqt7m0=w1200|https://lh3.googleusercontent.com/pw/AP1GczPFYtNMEcBgq7yyK1iif9StUdIXvzxWUVaC4QJf-Lm3UPzSC9WzGiZLNtKD-wo8JG6WP4w7uMAdy8Y4ZZhu0X-_vx0ATn3IcYr2v7KRtT6H527jqloy=w1200|https://lh3.googleusercontent.com/pw/AP1GczP-yXMNXfUPN_DwkQjDWBv5r6ON7fRGz0dbh_0IxJib81592ajnfbYndF1dRoUegRYTgmQI3bJNePUT0_o3N-4NWm04VV2gyXbTLWlEGK3Fs1ullR9P=w1200</v>
      </c>
      <c r="AJ251" s="46"/>
      <c r="AK251" s="46"/>
      <c r="AL251" s="46"/>
      <c r="AM251" s="46"/>
      <c r="AN251" s="46"/>
      <c r="AO251" s="46"/>
      <c r="AP251" s="46"/>
      <c r="AQ251" s="46"/>
      <c r="AR251" s="46"/>
      <c r="AS251" s="46"/>
      <c r="AT251" s="46"/>
      <c r="AU251" s="46"/>
      <c r="AV251" s="46"/>
      <c r="AW251" s="46"/>
      <c r="AX251" s="46"/>
      <c r="AY251" s="46"/>
      <c r="AZ251" s="46"/>
      <c r="BA251" s="46"/>
      <c r="BB251" s="46"/>
      <c r="BC251" s="46"/>
      <c r="BD251" s="46"/>
      <c r="BE251" s="46"/>
      <c r="BF251" s="46"/>
      <c r="BG251" s="46"/>
      <c r="BH251" s="46"/>
      <c r="BI251" s="46"/>
      <c r="BJ251" s="46"/>
      <c r="BK251" s="46"/>
      <c r="BL251" s="46"/>
      <c r="BM251" s="46"/>
      <c r="BN251" s="46"/>
      <c r="BO251" s="46"/>
      <c r="BP251" s="46"/>
      <c r="BQ251" s="46"/>
      <c r="BR251" s="46"/>
      <c r="BS251" s="46"/>
      <c r="BT251" s="46"/>
      <c r="BU251" s="46"/>
      <c r="BV251" s="46"/>
      <c r="BW251" s="46"/>
      <c r="BX251" s="46"/>
      <c r="BY251" s="46"/>
      <c r="BZ251" s="46"/>
      <c r="CA251" s="46"/>
      <c r="CB251" s="46"/>
      <c r="CC251" s="46"/>
    </row>
    <row r="252">
      <c r="A252" s="87" t="str">
        <f>IFERROR(__xludf.DUMMYFUNCTION("""COMPUTED_VALUE"""),"431")</f>
        <v>431</v>
      </c>
      <c r="B252" s="46" t="str">
        <f>IFERROR(__xludf.DUMMYFUNCTION("""COMPUTED_VALUE"""),"Casa en Conjunto Condominio Villa Flor - Melgar")</f>
        <v>Casa en Conjunto Condominio Villa Flor - Melgar</v>
      </c>
      <c r="C252" s="46" t="str">
        <f>IFERROR(__xludf.DUMMYFUNCTION("""COMPUTED_VALUE"""),"Casa en conjunto")</f>
        <v>Casa en conjunto</v>
      </c>
      <c r="D252" s="46"/>
      <c r="E252" s="46" t="str">
        <f>IFERROR(__xludf.DUMMYFUNCTION("""COMPUTED_VALUE"""),"Villa Flor")</f>
        <v>Villa Flor</v>
      </c>
      <c r="F252" s="90">
        <f>IFERROR(__xludf.DUMMYFUNCTION("""COMPUTED_VALUE"""),2.8E8)</f>
        <v>280000000</v>
      </c>
      <c r="G252" s="46" t="str">
        <f>IFERROR(__xludf.DUMMYFUNCTION("""COMPUTED_VALUE"""),"$200'000.000 a $300'000.000")</f>
        <v>$200'000.000 a $300'000.000</v>
      </c>
      <c r="H252" s="46"/>
      <c r="I252" s="46"/>
      <c r="J252" s="46" t="str">
        <f>IFERROR(__xludf.DUMMYFUNCTION("""COMPUTED_VALUE"""),"Centro")</f>
        <v>Centro</v>
      </c>
      <c r="K252" s="87"/>
      <c r="L252" s="46">
        <f>IFERROR(__xludf.DUMMYFUNCTION("""COMPUTED_VALUE"""),3.0)</f>
        <v>3</v>
      </c>
      <c r="M252" s="46"/>
      <c r="N252" s="46">
        <f>IFERROR(__xludf.DUMMYFUNCTION("""COMPUTED_VALUE"""),3.0)</f>
        <v>3</v>
      </c>
      <c r="O252" s="46">
        <f>IFERROR(__xludf.DUMMYFUNCTION("""COMPUTED_VALUE"""),1.0)</f>
        <v>1</v>
      </c>
      <c r="P252" s="46">
        <f>IFERROR(__xludf.DUMMYFUNCTION("""COMPUTED_VALUE"""),2.0)</f>
        <v>2</v>
      </c>
      <c r="Q252" s="92">
        <f>IFERROR(__xludf.DUMMYFUNCTION("""COMPUTED_VALUE"""),180.0)</f>
        <v>180</v>
      </c>
      <c r="R252" s="92">
        <f>IFERROR(__xludf.DUMMYFUNCTION("""COMPUTED_VALUE"""),109.0)</f>
        <v>109</v>
      </c>
      <c r="S252" s="87" t="str">
        <f>IFERROR(__xludf.DUMMYFUNCTION("""COMPUTED_VALUE""")," ")</f>
        <v> </v>
      </c>
      <c r="T252" s="46" t="str">
        <f>IFERROR(__xludf.DUMMYFUNCTION("""COMPUTED_VALUE"""),"Melgar")</f>
        <v>Melgar</v>
      </c>
      <c r="U252" s="87" t="str">
        <f>IFERROR(__xludf.DUMMYFUNCTION("""COMPUTED_VALUE"""),"4")</f>
        <v>4</v>
      </c>
      <c r="V252" s="46" t="str">
        <f>IFERROR(__xludf.DUMMYFUNCTION("""COMPUTED_VALUE"""),"Medianera")</f>
        <v>Medianera</v>
      </c>
      <c r="W252" s="46"/>
      <c r="X252" s="46">
        <f>IFERROR(__xludf.DUMMYFUNCTION("""COMPUTED_VALUE"""),3.0)</f>
        <v>3</v>
      </c>
      <c r="Y252" s="46" t="str">
        <f>IFERROR(__xludf.DUMMYFUNCTION("""COMPUTED_VALUE"""),"Social")</f>
        <v>Social</v>
      </c>
      <c r="Z252" s="90">
        <f>IFERROR(__xludf.DUMMYFUNCTION("""COMPUTED_VALUE"""),700000.0)</f>
        <v>700000</v>
      </c>
      <c r="AA252" s="33" t="str">
        <f>IFERROR(__xludf.DUMMYFUNCTION("""COMPUTED_VALUE"""),"No aplica")</f>
        <v>No aplica</v>
      </c>
      <c r="AB252" s="144" t="str">
        <f>IFERROR(__xludf.DUMMYFUNCTION("""COMPUTED_VALUE"""),"https://photos.app.goo.gl/iQrEvBkQUdUQt8gD6")</f>
        <v>https://photos.app.goo.gl/iQrEvBkQUdUQt8gD6</v>
      </c>
      <c r="AC252" s="46" t="str">
        <f>IFERROR(__xludf.DUMMYFUNCTION("""COMPUTED_VALUE"""),"Buenos acabados.")</f>
        <v>Buenos acabados.</v>
      </c>
      <c r="AD252" s="46" t="str">
        <f>IFERROR(__xludf.DUMMYFUNCTION("""COMPUTED_VALUE"""),"Buena ubicación, sector turistico.")</f>
        <v>Buena ubicación, sector turistico.</v>
      </c>
      <c r="AE252" s="46"/>
      <c r="AF252" s="46" t="str">
        <f>IFERROR(__xludf.DUMMYFUNCTION("""COMPUTED_VALUE"""),"integral")</f>
        <v>integral</v>
      </c>
      <c r="AG252" s="46"/>
      <c r="AH252" s="46" t="str">
        <f>IFERROR(__xludf.DUMMYFUNCTION("""COMPUTED_VALUE"""),"Verbal")</f>
        <v>Verbal</v>
      </c>
      <c r="AI252" s="92" t="str">
        <f>IFERROR(__xludf.DUMMYFUNCTION("""COMPUTED_VALUE"""),"https://lh3.googleusercontent.com/pw/AP1GczPP-1slVbKkeWTVv06SsMYb-BzJ_oPYAWM_F0SBCb8SXt4fkBb4x_g78-uSkMl741v0kCOumElxYp04swpW928QOew8XiAjytmSia7fgr8Pg_y1iAqq=w1200|https://lh3.googleusercontent.com/pw/AP1GczN9uAEe42f0GwMzqSJLkDIBMXxW7AC-Hds6c_vr7Y9yE7lFJs"&amp;"EhLUntd4Mj6Sx2GaCZjoLue-hru8BVPPiZNWDfK_slkBo8Wib-MH3uE9TUWexWeOaV=w1200|https://lh3.googleusercontent.com/pw/AP1GczMVLlRIthoUpy3P1FpaCPgRZyF5UxXta0-5hQCxJg5hwU4INvhVXOSGxnAL6MyDOEsri7K_tuwq46Ipb_9M1KM2Ihljf6Bvigaekj71_0qrfHesI3XT=w1200|https://lh3.google"&amp;"usercontent.com/pw/AP1GczPhtgSm_vtN5PTBtvcO0BHGYzh3ywuh_Y10GjFwJR8PlJdaZDMAqE1wiCOdSNqH36DMg4vedUqkImHN0jBu8Qsn7YSfSpgqnN5CfWr3bSjZePIxDoXP=w1200|https://lh3.googleusercontent.com/pw/AP1GczPVgaOte_Th0fbmonVDJ8J3Z8UVow_YLaJ_pl3F9WBWhoS68XoYE2ISYjbybKJ6kY8H"&amp;"usrt2aEpmgllOPGRCeYs9VTiaKx2WCx6Rn2JyI-92uQ6dgHO=w1200|https://lh3.googleusercontent.com/pw/AP1GczPR9wicvPihgG1d2eWJ5a929VbOGW1hwUoSikSsNb24Osw0BZlLhxWeZt8d0ls43ENVeaHzgCcvRXOHSDXxJn7pKVFDJCllie76UpJe5TinZCLSBnH1=w1200|https://lh3.googleusercontent.com/pw"&amp;"/AP1GczMYAZPqdxCP0XsZ9jU20LOPvuVyK6vJV7_cJ-oFweIv-eFp3jiWUIyjFMvpjYu0KGuohWE0cURMS0Bk4mPu94jsThcBwHOcYvk03YwGhoGO-Oc4sw2V=w1200|https://lh3.googleusercontent.com/pw/AP1GczN3KKCzQBeukNAMrBGmWWgDu65rXpiZ5uwGSweXVZ4q2_H-2_2b9cEe5gtwkZ6eYOIywJl0gPnAlWuIB5mhlw"&amp;"8m9-mMaxMGuakZ1FhTAAQPsFMA5ccU=w1200|https://lh3.googleusercontent.com/pw/AP1GczNh_JK9Mru-F955JeQWzEg80pBmrLzWrCSWrRlDwfqhhjlfEZJodFU0f70RDUubZmkbT4lnoBmRhZ9vMiG8BihW3c3GiTGOodWOdEqYGWVXepFIHWta=w1200|https://lh3.googleusercontent.com/pw/AP1GczOVCu_FYb68l"&amp;"EEgDHwVHXCOMuq_xwGCNAual7L1t1lgIPJNEGqwebIYwBUwp56AJeYLfo1A3ZXaLS7aqyTY5_sdFB1fU-uKOOEVHC6V11w0ewTSHs9D=w1200|https://lh3.googleusercontent.com/pw/AP1GczOv9Inb5glUYvrHvM98g0Kgf73IIfUHJEEi5abH6RCc_SzfFMmG1Hv9tqsoUqw8rsoKW-B1WQ6-3RqJ6QHi94lXQ1jBfHp5c5GmQldN"&amp;"OGCPr3Qoku3L=w1200|https://lh3.googleusercontent.com/pw/AP1GczPHal_fQ3SsZLW-NFXaPp0GLjJOgqtPVs4lkCcpfw81bthVB3G2lqlVjCIdfsmY82kuzCOoqxdv0rbg69FiCnP7J8GOzDO50YVcL47X4IGLTDyS_SS5=w1200|https://lh3.googleusercontent.com/pw/AP1GczNfTqFdewBmWT1MqefZSNTzo4Wbkg7"&amp;"xQS4ucd887LPma5kOsHVdxEYFwsR57UI5DgZc8NNzgrwqzsrMh9pLAVCYhp75wex7jNfww6K4iGwmNGVFcJia=w1200|https://lh3.googleusercontent.com/pw/AP1GczPl8Wko7yGJMxsEQYeozN69xD60YLHM6DoaPwf8wqOA4x2dmGUEoQxuGSAnwsT28duF18albjzZ4oV0iWuIunLTwTzy8VDMb-8GMWvVWoOrUwXu8ozb=w1200"&amp;"|https://lh3.googleusercontent.com/pw/AP1GczMnVRnzuPcoJAhbNCEKNAbgjPVqWrWE55sB0eYdVlXS1ad1zciDMysWTeoZc_HvJez1uyRFwSwni2cWAa4yQ0Spdgq4FwPh3kMgNIO0pnKhhUB5p6UB=w1200|https://lh3.googleusercontent.com/pw/AP1GczPGisesSMLB3SkS3KsCyGggd55Tsc95fCHR9ZiFBCkqzsoHQ"&amp;"C6nTUSF7cfUxJ2AsOYswttX_WX-Xr2pYMtN8ECXOA7AkPKfkkvvyOoFgTy1NaD-f0mG=w1200|https://lh3.googleusercontent.com/pw/AP1GczOQdKfRwSC6MsceLVrfxoSVLzW8ZKv1T-HnRCxT5k8meF8s89e2rR9jRKqaHpqxhINUHym8n7r0H-03_vsXBz6jb4dUxs4KF024NYPp4nxSMiwkY4tF=w1200|https://lh3.googl"&amp;"eusercontent.com/pw/AP1GczMsJzuBrfIuPkeka6rTcdJnpRraM2nw2Yq2vkB2gl5B6IC7PiQrg-DxIi4kZLGCiKhTSxZhbgkMpaNzt2YPZ6rU6mloY1ZhWlnoTuLyu0ve25P2ZjuM=w1200|https://lh3.googleusercontent.com/pw/AP1GczNzHJUrcoTg3UxN0Xj848DZbeTN-BmYeXKc4pTyi2VTyEQOcAWv17DjJPjXn4TzvyE"&amp;"X9NYt_2a1hw9YBAOMY1v6QBM6BDSvIc-ZHwy6o5jARe7Iwp5z=w1200|https://lh3.googleusercontent.com/pw/AP1GczPnO6x5yfsXZrsDmobb5QqHMlpj9pCsHXUWbXdO0nSE_RWmjSfJpxnu3e6YiYA-enIzZFptzkeRafLYS2xW6YCTdFT-K6KbEpDbazAZO5GB9R3meHeN=w1200")</f>
        <v>https://lh3.googleusercontent.com/pw/AP1GczPP-1slVbKkeWTVv06SsMYb-BzJ_oPYAWM_F0SBCb8SXt4fkBb4x_g78-uSkMl741v0kCOumElxYp04swpW928QOew8XiAjytmSia7fgr8Pg_y1iAqq=w1200|https://lh3.googleusercontent.com/pw/AP1GczN9uAEe42f0GwMzqSJLkDIBMXxW7AC-Hds6c_vr7Y9yE7lFJsEhLUntd4Mj6Sx2GaCZjoLue-hru8BVPPiZNWDfK_slkBo8Wib-MH3uE9TUWexWeOaV=w1200|https://lh3.googleusercontent.com/pw/AP1GczMVLlRIthoUpy3P1FpaCPgRZyF5UxXta0-5hQCxJg5hwU4INvhVXOSGxnAL6MyDOEsri7K_tuwq46Ipb_9M1KM2Ihljf6Bvigaekj71_0qrfHesI3XT=w1200|https://lh3.googleusercontent.com/pw/AP1GczPhtgSm_vtN5PTBtvcO0BHGYzh3ywuh_Y10GjFwJR8PlJdaZDMAqE1wiCOdSNqH36DMg4vedUqkImHN0jBu8Qsn7YSfSpgqnN5CfWr3bSjZePIxDoXP=w1200|https://lh3.googleusercontent.com/pw/AP1GczPVgaOte_Th0fbmonVDJ8J3Z8UVow_YLaJ_pl3F9WBWhoS68XoYE2ISYjbybKJ6kY8Husrt2aEpmgllOPGRCeYs9VTiaKx2WCx6Rn2JyI-92uQ6dgHO=w1200|https://lh3.googleusercontent.com/pw/AP1GczPR9wicvPihgG1d2eWJ5a929VbOGW1hwUoSikSsNb24Osw0BZlLhxWeZt8d0ls43ENVeaHzgCcvRXOHSDXxJn7pKVFDJCllie76UpJe5TinZCLSBnH1=w1200|https://lh3.googleusercontent.com/pw/AP1GczMYAZPqdxCP0XsZ9jU20LOPvuVyK6vJV7_cJ-oFweIv-eFp3jiWUIyjFMvpjYu0KGuohWE0cURMS0Bk4mPu94jsThcBwHOcYvk03YwGhoGO-Oc4sw2V=w1200|https://lh3.googleusercontent.com/pw/AP1GczN3KKCzQBeukNAMrBGmWWgDu65rXpiZ5uwGSweXVZ4q2_H-2_2b9cEe5gtwkZ6eYOIywJl0gPnAlWuIB5mhlw8m9-mMaxMGuakZ1FhTAAQPsFMA5ccU=w1200|https://lh3.googleusercontent.com/pw/AP1GczNh_JK9Mru-F955JeQWzEg80pBmrLzWrCSWrRlDwfqhhjlfEZJodFU0f70RDUubZmkbT4lnoBmRhZ9vMiG8BihW3c3GiTGOodWOdEqYGWVXepFIHWta=w1200|https://lh3.googleusercontent.com/pw/AP1GczOVCu_FYb68lEEgDHwVHXCOMuq_xwGCNAual7L1t1lgIPJNEGqwebIYwBUwp56AJeYLfo1A3ZXaLS7aqyTY5_sdFB1fU-uKOOEVHC6V11w0ewTSHs9D=w1200|https://lh3.googleusercontent.com/pw/AP1GczOv9Inb5glUYvrHvM98g0Kgf73IIfUHJEEi5abH6RCc_SzfFMmG1Hv9tqsoUqw8rsoKW-B1WQ6-3RqJ6QHi94lXQ1jBfHp5c5GmQldNOGCPr3Qoku3L=w1200|https://lh3.googleusercontent.com/pw/AP1GczPHal_fQ3SsZLW-NFXaPp0GLjJOgqtPVs4lkCcpfw81bthVB3G2lqlVjCIdfsmY82kuzCOoqxdv0rbg69FiCnP7J8GOzDO50YVcL47X4IGLTDyS_SS5=w1200|https://lh3.googleusercontent.com/pw/AP1GczNfTqFdewBmWT1MqefZSNTzo4Wbkg7xQS4ucd887LPma5kOsHVdxEYFwsR57UI5DgZc8NNzgrwqzsrMh9pLAVCYhp75wex7jNfww6K4iGwmNGVFcJia=w1200|https://lh3.googleusercontent.com/pw/AP1GczPl8Wko7yGJMxsEQYeozN69xD60YLHM6DoaPwf8wqOA4x2dmGUEoQxuGSAnwsT28duF18albjzZ4oV0iWuIunLTwTzy8VDMb-8GMWvVWoOrUwXu8ozb=w1200|https://lh3.googleusercontent.com/pw/AP1GczMnVRnzuPcoJAhbNCEKNAbgjPVqWrWE55sB0eYdVlXS1ad1zciDMysWTeoZc_HvJez1uyRFwSwni2cWAa4yQ0Spdgq4FwPh3kMgNIO0pnKhhUB5p6UB=w1200|https://lh3.googleusercontent.com/pw/AP1GczPGisesSMLB3SkS3KsCyGggd55Tsc95fCHR9ZiFBCkqzsoHQC6nTUSF7cfUxJ2AsOYswttX_WX-Xr2pYMtN8ECXOA7AkPKfkkvvyOoFgTy1NaD-f0mG=w1200|https://lh3.googleusercontent.com/pw/AP1GczOQdKfRwSC6MsceLVrfxoSVLzW8ZKv1T-HnRCxT5k8meF8s89e2rR9jRKqaHpqxhINUHym8n7r0H-03_vsXBz6jb4dUxs4KF024NYPp4nxSMiwkY4tF=w1200|https://lh3.googleusercontent.com/pw/AP1GczMsJzuBrfIuPkeka6rTcdJnpRraM2nw2Yq2vkB2gl5B6IC7PiQrg-DxIi4kZLGCiKhTSxZhbgkMpaNzt2YPZ6rU6mloY1ZhWlnoTuLyu0ve25P2ZjuM=w1200|https://lh3.googleusercontent.com/pw/AP1GczNzHJUrcoTg3UxN0Xj848DZbeTN-BmYeXKc4pTyi2VTyEQOcAWv17DjJPjXn4TzvyEX9NYt_2a1hw9YBAOMY1v6QBM6BDSvIc-ZHwy6o5jARe7Iwp5z=w1200|https://lh3.googleusercontent.com/pw/AP1GczPnO6x5yfsXZrsDmobb5QqHMlpj9pCsHXUWbXdO0nSE_RWmjSfJpxnu3e6YiYA-enIzZFptzkeRafLYS2xW6YCTdFT-K6KbEpDbazAZO5GB9R3meHeN=w1200</v>
      </c>
      <c r="AJ252" s="46"/>
      <c r="AK252" s="46"/>
      <c r="AL252" s="46"/>
      <c r="AM252" s="46"/>
      <c r="AN252" s="46"/>
      <c r="AO252" s="46"/>
      <c r="AP252" s="46"/>
      <c r="AQ252" s="46"/>
      <c r="AR252" s="46"/>
      <c r="AS252" s="46"/>
      <c r="AT252" s="46"/>
      <c r="AU252" s="46"/>
      <c r="AV252" s="46"/>
      <c r="AW252" s="46"/>
      <c r="AX252" s="46"/>
      <c r="AY252" s="46"/>
      <c r="AZ252" s="46"/>
      <c r="BA252" s="46"/>
      <c r="BB252" s="46"/>
      <c r="BC252" s="46"/>
      <c r="BD252" s="46"/>
      <c r="BE252" s="46"/>
      <c r="BF252" s="46"/>
      <c r="BG252" s="46"/>
      <c r="BH252" s="46"/>
      <c r="BI252" s="46"/>
      <c r="BJ252" s="46"/>
      <c r="BK252" s="46"/>
      <c r="BL252" s="46"/>
      <c r="BM252" s="46"/>
      <c r="BN252" s="46"/>
      <c r="BO252" s="46"/>
      <c r="BP252" s="46"/>
      <c r="BQ252" s="46"/>
      <c r="BR252" s="46"/>
      <c r="BS252" s="46"/>
      <c r="BT252" s="46"/>
      <c r="BU252" s="46"/>
      <c r="BV252" s="46"/>
      <c r="BW252" s="46"/>
      <c r="BX252" s="46"/>
      <c r="BY252" s="46"/>
      <c r="BZ252" s="46"/>
      <c r="CA252" s="46"/>
      <c r="CB252" s="46"/>
      <c r="CC252" s="46"/>
    </row>
    <row r="253">
      <c r="A253" s="87" t="str">
        <f>IFERROR(__xludf.DUMMYFUNCTION("""COMPUTED_VALUE"""),"108")</f>
        <v>108</v>
      </c>
      <c r="B253" s="46" t="str">
        <f>IFERROR(__xludf.DUMMYFUNCTION("""COMPUTED_VALUE"""),"Casa más dos apartaestudios en barrio Las Granjas")</f>
        <v>Casa más dos apartaestudios en barrio Las Granjas</v>
      </c>
      <c r="C253" s="46" t="str">
        <f>IFERROR(__xludf.DUMMYFUNCTION("""COMPUTED_VALUE"""),"Casa rentable")</f>
        <v>Casa rentable</v>
      </c>
      <c r="D253" s="46" t="str">
        <f>IFERROR(__xludf.DUMMYFUNCTION("""COMPUTED_VALUE"""),"Las Granjas")</f>
        <v>Las Granjas</v>
      </c>
      <c r="E253" s="90"/>
      <c r="F253" s="90">
        <f>IFERROR(__xludf.DUMMYFUNCTION("""COMPUTED_VALUE"""),2.8E8)</f>
        <v>280000000</v>
      </c>
      <c r="G253" s="46" t="str">
        <f>IFERROR(__xludf.DUMMYFUNCTION("""COMPUTED_VALUE"""),"$200'000.000 a $300'000.000")</f>
        <v>$200'000.000 a $300'000.000</v>
      </c>
      <c r="H253" s="46"/>
      <c r="I253" s="46"/>
      <c r="J253" s="46" t="str">
        <f>IFERROR(__xludf.DUMMYFUNCTION("""COMPUTED_VALUE"""),"Norte")</f>
        <v>Norte</v>
      </c>
      <c r="K253" s="87" t="str">
        <f>IFERROR(__xludf.DUMMYFUNCTION("""COMPUTED_VALUE"""),"2")</f>
        <v>2</v>
      </c>
      <c r="L253" s="46">
        <f>IFERROR(__xludf.DUMMYFUNCTION("""COMPUTED_VALUE"""),7.0)</f>
        <v>7</v>
      </c>
      <c r="M253" s="46"/>
      <c r="N253" s="46">
        <f>IFERROR(__xludf.DUMMYFUNCTION("""COMPUTED_VALUE"""),4.0)</f>
        <v>4</v>
      </c>
      <c r="O253" s="46">
        <f>IFERROR(__xludf.DUMMYFUNCTION("""COMPUTED_VALUE"""),1.0)</f>
        <v>1</v>
      </c>
      <c r="P253" s="46">
        <f>IFERROR(__xludf.DUMMYFUNCTION("""COMPUTED_VALUE"""),2.0)</f>
        <v>2</v>
      </c>
      <c r="Q253" s="92">
        <f>IFERROR(__xludf.DUMMYFUNCTION("""COMPUTED_VALUE"""),210.0)</f>
        <v>210</v>
      </c>
      <c r="R253" s="92">
        <f>IFERROR(__xludf.DUMMYFUNCTION("""COMPUTED_VALUE"""),180.0)</f>
        <v>180</v>
      </c>
      <c r="S253" s="87" t="str">
        <f>IFERROR(__xludf.DUMMYFUNCTION("""COMPUTED_VALUE"""),"Rentabilidad $1,800,000")</f>
        <v>Rentabilidad $1,800,000</v>
      </c>
      <c r="T253" s="46" t="str">
        <f>IFERROR(__xludf.DUMMYFUNCTION("""COMPUTED_VALUE"""),"Neiva")</f>
        <v>Neiva</v>
      </c>
      <c r="U253" s="87" t="str">
        <f>IFERROR(__xludf.DUMMYFUNCTION("""COMPUTED_VALUE"""),"2")</f>
        <v>2</v>
      </c>
      <c r="V253" s="46" t="str">
        <f>IFERROR(__xludf.DUMMYFUNCTION("""COMPUTED_VALUE"""),"Medianera")</f>
        <v>Medianera</v>
      </c>
      <c r="W253" s="46"/>
      <c r="X253" s="46">
        <f>IFERROR(__xludf.DUMMYFUNCTION("""COMPUTED_VALUE"""),0.0)</f>
        <v>0</v>
      </c>
      <c r="Y253" s="46" t="str">
        <f>IFERROR(__xludf.DUMMYFUNCTION("""COMPUTED_VALUE"""),"No tiene")</f>
        <v>No tiene</v>
      </c>
      <c r="Z253" s="90" t="str">
        <f>IFERROR(__xludf.DUMMYFUNCTION("""COMPUTED_VALUE"""),"No aplica")</f>
        <v>No aplica</v>
      </c>
      <c r="AA253" s="33" t="str">
        <f>IFERROR(__xludf.DUMMYFUNCTION("""COMPUTED_VALUE"""),"13 años")</f>
        <v>13 años</v>
      </c>
      <c r="AB253" s="144" t="str">
        <f>IFERROR(__xludf.DUMMYFUNCTION("""COMPUTED_VALUE"""),"https://photos.app.goo.gl/pwuasSkedRPi1xYPA")</f>
        <v>https://photos.app.goo.gl/pwuasSkedRPi1xYPA</v>
      </c>
      <c r="AC253" s="46"/>
      <c r="AD253" s="46" t="str">
        <f>IFERROR(__xludf.DUMMYFUNCTION("""COMPUTED_VALUE"""),"Alcantarillado se cambio en PVC hace 12 años. Tiene 2 escrituras. Con mezanine.")</f>
        <v>Alcantarillado se cambio en PVC hace 12 años. Tiene 2 escrituras. Con mezanine.</v>
      </c>
      <c r="AE253" s="46"/>
      <c r="AF253" s="46" t="str">
        <f>IFERROR(__xludf.DUMMYFUNCTION("""COMPUTED_VALUE"""),"semi-integral")</f>
        <v>semi-integral</v>
      </c>
      <c r="AG253" s="46"/>
      <c r="AH253" s="46" t="str">
        <f>IFERROR(__xludf.DUMMYFUNCTION("""COMPUTED_VALUE"""),"Verbal")</f>
        <v>Verbal</v>
      </c>
      <c r="AI253" s="92" t="str">
        <f>IFERROR(__xludf.DUMMYFUNCTION("""COMPUTED_VALUE"""),"https://lh3.googleusercontent.com/pw/AP1GczOPsDJFK1N1ZNDtmvuq_v2drxfDHXsg0wl-9wDvhmDjWT0IDM7hMxOZR4g9DrOaC8Onh7NJJ5jHUrfpp6mOk1MVw5gc1vrDyqxEHiO-d-KXDesNhvY8=w1200|https://lh3.googleusercontent.com/pw/AP1GczOrpeMbuf_iouI71apDLwpUvvqweIgNwqs85TayR5cvokTXK5"&amp;"MU2inTVLJM8Fl2zAaGYRkRhhfi6WMsoy6tpBOcwiHb2XZyQWopAMfDdZHe8dovBqUy=w1200|https://lh3.googleusercontent.com/pw/AP1GczP66sY-N-H-GAcqslj3qiTSxHsjdsK2jdkilDJHegm0fIyE9ZaQ2SBPlc7xoGr0SVnqJ0HxCThsbUcqVq4dM8k9Va6Hnma1V-RrLtOtuVJPVRXC2JUL=w1200|https://lh3.google"&amp;"usercontent.com/pw/AP1GczNtoDPwfDV3IsaiDIxKZOPopkv576J4nDBeRwUdRSe3eMyZDCRwBerG3poWC4-RkCWTMJEIIJubm0xFJ-krb0LqRtXqesDltdq90Uek5Tgs8CCtUlTJ=w1200|https://lh3.googleusercontent.com/pw/AP1GczMbqPb4c24Sqjwc4wc9iPxf2_8COOOE9bEfdcM-k65mq3LgavH1sl_ZcwFMF0oEHsnl"&amp;"zH9uw2NwWublE29Jr_p7OWqqepm-AhKX-GbnNPLnZ8bVA6TT=w1200|https://lh3.googleusercontent.com/pw/AP1GczM8IE7P_QrIDN-BlVIDemxloIG10a86C1oiT2MpOxW8T6X6oh4WkIxqrSOfa_PbGoSuU9n6ynIoAx8HgYsKMMFA5Qc6_GhmzRkjeWFTabHBTnWQKISG=w1200|https://lh3.googleusercontent.com/pw"&amp;"/AP1GczPJ_58L1teeuAfmynLKpM5LjOD0Ly4C-gRWf9ZwtTlXpwLPkKtIOaVheX-yCQjrmIq5qK_1o3QAF5hyi2KL69y6rFHUuf2hiCOgVucOSJ2rCIn7PzFQ=w1200|https://lh3.googleusercontent.com/pw/AP1GczOtO-yQM1iZqwODxHqPCTO40y4HZAb1u5N1b7oMsC1ucxVNZco2U2q45wNw_ZIW2FEPUE6TmIZY0wr23z47uA"&amp;"L3ptrxmOobO7yoGJkRls8gTGlGgmVY=w1200|https://lh3.googleusercontent.com/pw/AP1GczPPDpYPeTAI-A48VX2L8ysU4M0uJklvA3vLiuqKud2tldPrWFN19RadVU3Fjf4Pih-I0EcKsxYxxzBvaQ1N_Oznl0WQtVPLPhTseFbMzgK1w6kHlcLg=w1200|https://lh3.googleusercontent.com/pw/AP1GczNF7XJ9_bRbO"&amp;"dzyRXRfKWX_GetK8DbPBlJWguTrIb5D1LoIZ6f_HhfRWkpVD7IaRNqsBKxbNrWyMGotM35NbteSd_ylKOhE_U9Z_3PnyFcqLX3L_J_g=w1200|https://lh3.googleusercontent.com/pw/AP1GczMdRw2lxOXtrLPnGyHSndxTHRu7Lj_A5lS1mbQNfdIuV76VC9oWfZ6U83qbBSu2a2smgHgBvlPYug0rPl0GnEsm1wllbyBaQqxIrhvv"&amp;"m2GDLl6SL0oE=w1200|https://lh3.googleusercontent.com/pw/AP1GczNDg4BJ2RzsA-FhJf_hASYlPXN9cuTdgciXoEcLmxlZ7TJeqe4J19cyCYs4cC09DED7Q3IXhahEAvWZ5aoMedNtIW_8gTqeB3NUCWqwpY8h-ivgpzZH=w1200|https://lh3.googleusercontent.com/pw/AP1GczPy-zxycSImAlxXQSaBTcF1ScLbybm"&amp;"wqx3aw0Usanhdbz22ALoEifCGnpVt3rwMYFVJyP260ETS8gNX8pEXCHsttQq1BuDjVHHw730TlLc7XTyF-8JU=w1200|https://lh3.googleusercontent.com/pw/AP1GczOknC0dAMuWxaY8beAodkLvI8-enpwPZtBuTk8L071zHxtUQsKFw9EWPMGIjNinYdIeb22yHlHCtpaLVwS2USi7O0rtqAVT5kLg1yTl3uRMNqnE7FHg=w1200"&amp;"|https://lh3.googleusercontent.com/pw/AP1GczM5cszle01eZgXygmZsryDSZtvgd2sqF5sVy7HLGGWfNQlEEXkC0HfUmcVDSJK6KO6ThXvYaUApH92NgvBQY6fOsPLColqA65f2zwkOHQJg5omLtO-W=w1200|https://lh3.googleusercontent.com/pw/AP1GczOz-9cerhTi5B-h9OXFNqCQq3zIdiz9leGIYgSLl2Gl-ZSmT"&amp;"Q1yRPfjUulvRQkLjFWcWhPU3M_zo5DACFnRbfnyCFZuuXLpmsKtoVeefAPNDyPCYOoz=w1200|https://lh3.googleusercontent.com/pw/AP1GczMwJsmCQFE4oX5qLuFCJRQ_ROYauGh6H-u6U_YmoM0r4XA-F95LPtu-8O6UzxcaxltnjpdheBUel3TKDZDPV-6Faivim8ytMZcGfxe6kJOav1tCk4Ru=w1200|https://lh3.googl"&amp;"eusercontent.com/pw/AP1GczNe9h0vkMAk-RBJyGCxXp3zW6j0PgzMuXKT4vp5UFmxb9ESGZqmIrmeCTdf3InDimhTl7eK0RDAZog_Csd4ShXaR3oPvXCXfaQJTr4qyiloeHpBSuh9=w1200|https://lh3.googleusercontent.com/pw/AP1GczPGt44S07YGu2PcnYhNiZwR5mh0KyST7ajua2V9zfmyFYX8PCep0EWGfyLbhHhtR1y"&amp;"j0ZBdJWNNNUbOWUorDBcOxvW9m2sMoStcAR41FnbXqo4LcCpt=w1200|https://lh3.googleusercontent.com/pw/AP1GczNesz7fwWKHrui1VBFf6yXlsQNq7UwUq7GQuSl2k5-BOJN3Ic2Q7gzdOWrC_Kvqk-kRN83X8RKdV4UMa4vm4qhfBaI-KsMf153OzmEMVs7V78gBW0w7=w1200|https://lh3.googleusercontent.com/p"&amp;"w/AP1GczPad86ZZmerQQZGeas7c1vxGQheaX59iijU3S2rR5h6Gppc7uJxWkSWtjbrDKqfghh7q98DOtbCvasnTl-RyBwNxbEsdZa13clTDisI2zDYo6cVHVeT=w1200")</f>
        <v>https://lh3.googleusercontent.com/pw/AP1GczOPsDJFK1N1ZNDtmvuq_v2drxfDHXsg0wl-9wDvhmDjWT0IDM7hMxOZR4g9DrOaC8Onh7NJJ5jHUrfpp6mOk1MVw5gc1vrDyqxEHiO-d-KXDesNhvY8=w1200|https://lh3.googleusercontent.com/pw/AP1GczOrpeMbuf_iouI71apDLwpUvvqweIgNwqs85TayR5cvokTXK5MU2inTVLJM8Fl2zAaGYRkRhhfi6WMsoy6tpBOcwiHb2XZyQWopAMfDdZHe8dovBqUy=w1200|https://lh3.googleusercontent.com/pw/AP1GczP66sY-N-H-GAcqslj3qiTSxHsjdsK2jdkilDJHegm0fIyE9ZaQ2SBPlc7xoGr0SVnqJ0HxCThsbUcqVq4dM8k9Va6Hnma1V-RrLtOtuVJPVRXC2JUL=w1200|https://lh3.googleusercontent.com/pw/AP1GczNtoDPwfDV3IsaiDIxKZOPopkv576J4nDBeRwUdRSe3eMyZDCRwBerG3poWC4-RkCWTMJEIIJubm0xFJ-krb0LqRtXqesDltdq90Uek5Tgs8CCtUlTJ=w1200|https://lh3.googleusercontent.com/pw/AP1GczMbqPb4c24Sqjwc4wc9iPxf2_8COOOE9bEfdcM-k65mq3LgavH1sl_ZcwFMF0oEHsnlzH9uw2NwWublE29Jr_p7OWqqepm-AhKX-GbnNPLnZ8bVA6TT=w1200|https://lh3.googleusercontent.com/pw/AP1GczM8IE7P_QrIDN-BlVIDemxloIG10a86C1oiT2MpOxW8T6X6oh4WkIxqrSOfa_PbGoSuU9n6ynIoAx8HgYsKMMFA5Qc6_GhmzRkjeWFTabHBTnWQKISG=w1200|https://lh3.googleusercontent.com/pw/AP1GczPJ_58L1teeuAfmynLKpM5LjOD0Ly4C-gRWf9ZwtTlXpwLPkKtIOaVheX-yCQjrmIq5qK_1o3QAF5hyi2KL69y6rFHUuf2hiCOgVucOSJ2rCIn7PzFQ=w1200|https://lh3.googleusercontent.com/pw/AP1GczOtO-yQM1iZqwODxHqPCTO40y4HZAb1u5N1b7oMsC1ucxVNZco2U2q45wNw_ZIW2FEPUE6TmIZY0wr23z47uAL3ptrxmOobO7yoGJkRls8gTGlGgmVY=w1200|https://lh3.googleusercontent.com/pw/AP1GczPPDpYPeTAI-A48VX2L8ysU4M0uJklvA3vLiuqKud2tldPrWFN19RadVU3Fjf4Pih-I0EcKsxYxxzBvaQ1N_Oznl0WQtVPLPhTseFbMzgK1w6kHlcLg=w1200|https://lh3.googleusercontent.com/pw/AP1GczNF7XJ9_bRbOdzyRXRfKWX_GetK8DbPBlJWguTrIb5D1LoIZ6f_HhfRWkpVD7IaRNqsBKxbNrWyMGotM35NbteSd_ylKOhE_U9Z_3PnyFcqLX3L_J_g=w1200|https://lh3.googleusercontent.com/pw/AP1GczMdRw2lxOXtrLPnGyHSndxTHRu7Lj_A5lS1mbQNfdIuV76VC9oWfZ6U83qbBSu2a2smgHgBvlPYug0rPl0GnEsm1wllbyBaQqxIrhvvm2GDLl6SL0oE=w1200|https://lh3.googleusercontent.com/pw/AP1GczNDg4BJ2RzsA-FhJf_hASYlPXN9cuTdgciXoEcLmxlZ7TJeqe4J19cyCYs4cC09DED7Q3IXhahEAvWZ5aoMedNtIW_8gTqeB3NUCWqwpY8h-ivgpzZH=w1200|https://lh3.googleusercontent.com/pw/AP1GczPy-zxycSImAlxXQSaBTcF1ScLbybmwqx3aw0Usanhdbz22ALoEifCGnpVt3rwMYFVJyP260ETS8gNX8pEXCHsttQq1BuDjVHHw730TlLc7XTyF-8JU=w1200|https://lh3.googleusercontent.com/pw/AP1GczOknC0dAMuWxaY8beAodkLvI8-enpwPZtBuTk8L071zHxtUQsKFw9EWPMGIjNinYdIeb22yHlHCtpaLVwS2USi7O0rtqAVT5kLg1yTl3uRMNqnE7FHg=w1200|https://lh3.googleusercontent.com/pw/AP1GczM5cszle01eZgXygmZsryDSZtvgd2sqF5sVy7HLGGWfNQlEEXkC0HfUmcVDSJK6KO6ThXvYaUApH92NgvBQY6fOsPLColqA65f2zwkOHQJg5omLtO-W=w1200|https://lh3.googleusercontent.com/pw/AP1GczOz-9cerhTi5B-h9OXFNqCQq3zIdiz9leGIYgSLl2Gl-ZSmTQ1yRPfjUulvRQkLjFWcWhPU3M_zo5DACFnRbfnyCFZuuXLpmsKtoVeefAPNDyPCYOoz=w1200|https://lh3.googleusercontent.com/pw/AP1GczMwJsmCQFE4oX5qLuFCJRQ_ROYauGh6H-u6U_YmoM0r4XA-F95LPtu-8O6UzxcaxltnjpdheBUel3TKDZDPV-6Faivim8ytMZcGfxe6kJOav1tCk4Ru=w1200|https://lh3.googleusercontent.com/pw/AP1GczNe9h0vkMAk-RBJyGCxXp3zW6j0PgzMuXKT4vp5UFmxb9ESGZqmIrmeCTdf3InDimhTl7eK0RDAZog_Csd4ShXaR3oPvXCXfaQJTr4qyiloeHpBSuh9=w1200|https://lh3.googleusercontent.com/pw/AP1GczPGt44S07YGu2PcnYhNiZwR5mh0KyST7ajua2V9zfmyFYX8PCep0EWGfyLbhHhtR1yj0ZBdJWNNNUbOWUorDBcOxvW9m2sMoStcAR41FnbXqo4LcCpt=w1200|https://lh3.googleusercontent.com/pw/AP1GczNesz7fwWKHrui1VBFf6yXlsQNq7UwUq7GQuSl2k5-BOJN3Ic2Q7gzdOWrC_Kvqk-kRN83X8RKdV4UMa4vm4qhfBaI-KsMf153OzmEMVs7V78gBW0w7=w1200|https://lh3.googleusercontent.com/pw/AP1GczPad86ZZmerQQZGeas7c1vxGQheaX59iijU3S2rR5h6Gppc7uJxWkSWtjbrDKqfghh7q98DOtbCvasnTl-RyBwNxbEsdZa13clTDisI2zDYo6cVHVeT=w1200</v>
      </c>
      <c r="AJ253" s="46"/>
      <c r="AK253" s="46"/>
      <c r="AL253" s="46"/>
      <c r="AM253" s="46"/>
      <c r="AN253" s="46"/>
      <c r="AO253" s="46"/>
      <c r="AP253" s="46"/>
      <c r="AQ253" s="46"/>
      <c r="AR253" s="46"/>
      <c r="AS253" s="46"/>
      <c r="AT253" s="46"/>
      <c r="AU253" s="46"/>
      <c r="AV253" s="46"/>
      <c r="AW253" s="46"/>
      <c r="AX253" s="46"/>
      <c r="AY253" s="46"/>
      <c r="AZ253" s="46"/>
      <c r="BA253" s="46"/>
      <c r="BB253" s="46"/>
      <c r="BC253" s="46"/>
      <c r="BD253" s="46"/>
      <c r="BE253" s="46"/>
      <c r="BF253" s="46"/>
      <c r="BG253" s="46"/>
      <c r="BH253" s="46"/>
      <c r="BI253" s="46"/>
      <c r="BJ253" s="46"/>
      <c r="BK253" s="46"/>
      <c r="BL253" s="46"/>
      <c r="BM253" s="46"/>
      <c r="BN253" s="46"/>
      <c r="BO253" s="46"/>
      <c r="BP253" s="46"/>
      <c r="BQ253" s="46"/>
      <c r="BR253" s="46"/>
      <c r="BS253" s="46"/>
      <c r="BT253" s="46"/>
      <c r="BU253" s="46"/>
      <c r="BV253" s="46"/>
      <c r="BW253" s="46"/>
      <c r="BX253" s="46"/>
      <c r="BY253" s="46"/>
      <c r="BZ253" s="46"/>
      <c r="CA253" s="46"/>
      <c r="CB253" s="46"/>
      <c r="CC253" s="46"/>
    </row>
    <row r="254">
      <c r="A254" s="87" t="str">
        <f>IFERROR(__xludf.DUMMYFUNCTION("""COMPUTED_VALUE"""),"038")</f>
        <v>038</v>
      </c>
      <c r="B254" s="46" t="str">
        <f>IFERROR(__xludf.DUMMYFUNCTION("""COMPUTED_VALUE"""),"Casa en barrio Las Granjas")</f>
        <v>Casa en barrio Las Granjas</v>
      </c>
      <c r="C254" s="46" t="str">
        <f>IFERROR(__xludf.DUMMYFUNCTION("""COMPUTED_VALUE"""),"Casa")</f>
        <v>Casa</v>
      </c>
      <c r="D254" s="46" t="str">
        <f>IFERROR(__xludf.DUMMYFUNCTION("""COMPUTED_VALUE"""),"Las Granjas")</f>
        <v>Las Granjas</v>
      </c>
      <c r="E254" s="46"/>
      <c r="F254" s="90">
        <f>IFERROR(__xludf.DUMMYFUNCTION("""COMPUTED_VALUE"""),2.8E8)</f>
        <v>280000000</v>
      </c>
      <c r="G254" s="46" t="str">
        <f>IFERROR(__xludf.DUMMYFUNCTION("""COMPUTED_VALUE"""),"$200'000.000 a $300'000.000")</f>
        <v>$200'000.000 a $300'000.000</v>
      </c>
      <c r="H254" s="46"/>
      <c r="I254" s="46"/>
      <c r="J254" s="46" t="str">
        <f>IFERROR(__xludf.DUMMYFUNCTION("""COMPUTED_VALUE"""),"Norte")</f>
        <v>Norte</v>
      </c>
      <c r="K254" s="87" t="str">
        <f>IFERROR(__xludf.DUMMYFUNCTION("""COMPUTED_VALUE"""),"2")</f>
        <v>2</v>
      </c>
      <c r="L254" s="46">
        <f>IFERROR(__xludf.DUMMYFUNCTION("""COMPUTED_VALUE"""),4.0)</f>
        <v>4</v>
      </c>
      <c r="M254" s="46"/>
      <c r="N254" s="46">
        <f>IFERROR(__xludf.DUMMYFUNCTION("""COMPUTED_VALUE"""),1.0)</f>
        <v>1</v>
      </c>
      <c r="O254" s="46">
        <f>IFERROR(__xludf.DUMMYFUNCTION("""COMPUTED_VALUE"""),0.0)</f>
        <v>0</v>
      </c>
      <c r="P254" s="46">
        <f>IFERROR(__xludf.DUMMYFUNCTION("""COMPUTED_VALUE"""),1.0)</f>
        <v>1</v>
      </c>
      <c r="Q254" s="92">
        <f>IFERROR(__xludf.DUMMYFUNCTION("""COMPUTED_VALUE"""),160.0)</f>
        <v>160</v>
      </c>
      <c r="R254" s="92">
        <f>IFERROR(__xludf.DUMMYFUNCTION("""COMPUTED_VALUE"""),180.0)</f>
        <v>180</v>
      </c>
      <c r="S254" s="87" t="str">
        <f>IFERROR(__xludf.DUMMYFUNCTION("""COMPUTED_VALUE"""),"Rentabilidad $800,000")</f>
        <v>Rentabilidad $800,000</v>
      </c>
      <c r="T254" s="46" t="str">
        <f>IFERROR(__xludf.DUMMYFUNCTION("""COMPUTED_VALUE"""),"Neiva")</f>
        <v>Neiva</v>
      </c>
      <c r="U254" s="87" t="str">
        <f>IFERROR(__xludf.DUMMYFUNCTION("""COMPUTED_VALUE"""),"2")</f>
        <v>2</v>
      </c>
      <c r="V254" s="46" t="str">
        <f>IFERROR(__xludf.DUMMYFUNCTION("""COMPUTED_VALUE"""),"Medianera")</f>
        <v>Medianera</v>
      </c>
      <c r="W254" s="46"/>
      <c r="X254" s="46">
        <f>IFERROR(__xludf.DUMMYFUNCTION("""COMPUTED_VALUE"""),1.0)</f>
        <v>1</v>
      </c>
      <c r="Y254" s="179" t="str">
        <f>IFERROR(__xludf.DUMMYFUNCTION("""COMPUTED_VALUE"""),"No tiene")</f>
        <v>No tiene</v>
      </c>
      <c r="Z254" s="90" t="str">
        <f>IFERROR(__xludf.DUMMYFUNCTION("""COMPUTED_VALUE"""),"No aplica")</f>
        <v>No aplica</v>
      </c>
      <c r="AA254" s="33" t="str">
        <f>IFERROR(__xludf.DUMMYFUNCTION("""COMPUTED_VALUE"""),"29 años")</f>
        <v>29 años</v>
      </c>
      <c r="AB254" s="96" t="str">
        <f>IFERROR(__xludf.DUMMYFUNCTION("""COMPUTED_VALUE"""),"https://photos.app.goo.gl/QraPhs76ino1nDaH6")</f>
        <v>https://photos.app.goo.gl/QraPhs76ino1nDaH6</v>
      </c>
      <c r="AC254" s="46" t="str">
        <f>IFERROR(__xludf.DUMMYFUNCTION("""COMPUTED_VALUE"""),"Casa ubicada en el barrio Las Granjas, cerca de todos los equipamientos necesarios para la familia. Único dueño.
Distribución: Sala, comedor, cocina integral cerrada, 4 habitaciones, una con closet en madera, 3 con puertas en madera. Un baño enchapado, pi"&amp;"so en baldosa y cemento pulido, cielo raso en machihembrado. ")</f>
        <v>Casa ubicada en el barrio Las Granjas, cerca de todos los equipamientos necesarios para la familia. Único dueño.
Distribución: Sala, comedor, cocina integral cerrada, 4 habitaciones, una con closet en madera, 3 con puertas en madera. Un baño enchapado, piso en baldosa y cemento pulido, cielo raso en machihembrado. </v>
      </c>
      <c r="AD254" s="46" t="str">
        <f>IFERROR(__xludf.DUMMYFUNCTION("""COMPUTED_VALUE"""),"Dimensión del lote 9.0 ml x 20.0 ml. Con reja de seguridad. Ubicada en Vía vehicular. Patio amplio con piso en cerámica antideslizante y en el baño, con apoyos metálicos empotrados. Cubierta en asbesto cemento y cielo raso en machehembre. Escritura en pro"&amp;"ceso de sucesión. No se permuta.")</f>
        <v>Dimensión del lote 9.0 ml x 20.0 ml. Con reja de seguridad. Ubicada en Vía vehicular. Patio amplio con piso en cerámica antideslizante y en el baño, con apoyos metálicos empotrados. Cubierta en asbesto cemento y cielo raso en machehembre. Escritura en proceso de sucesión. No se permuta.</v>
      </c>
      <c r="AE254" s="46"/>
      <c r="AF254" s="46" t="str">
        <f>IFERROR(__xludf.DUMMYFUNCTION("""COMPUTED_VALUE"""),"semi-integral")</f>
        <v>semi-integral</v>
      </c>
      <c r="AG254" s="46"/>
      <c r="AH254" s="46" t="str">
        <f>IFERROR(__xludf.DUMMYFUNCTION("""COMPUTED_VALUE"""),"Verbal")</f>
        <v>Verbal</v>
      </c>
      <c r="AI254" s="92" t="str">
        <f>IFERROR(__xludf.DUMMYFUNCTION("""COMPUTED_VALUE"""),"https://lh3.googleusercontent.com/pw/AP1GczPtkG9qT7I0IulSliRhktbWw5vnps0EKSyea1MVQoQtXJnAD-65-_JlU_qSHFxA2gknmx0OKb9LrQbjJW9sP4-GUpur18iU1tRrfYVYczz14xvALEo=w1200|https://lh3.googleusercontent.com/pw/AP1GczO3fAllWMfsNWxAbvvc-R2PXht8JdUjmy3ZJKHzOScxEiS9id9"&amp;"TlyHRkwhx6P7A3zKzYS0gAjg3C-rGE71-uP0YbZrSHCWeP_8SCasJ7jhZnLW2eE0=w1200|https://lh3.googleusercontent.com/pw/AP1GczP_wnmpFjlYWdZFTxWNHKcjm41pe-sdo7GOxpWCr19D7Wa5rr7Yc7ryiITG_rwv31oJ3g65X9yAsH4yStc2riOwp6S1DQeVYeLOJ8_cbu-1KAVny18=w1200|https://lh3.googleuse"&amp;"rcontent.com/pw/AP1GczP7a3dSbwXsH9QO4hcIOo0oYfRjZhmZrHg4xY2bas8I8WeXJ1ccRKYzx-iZNP1aB0MDtKUJP1cQCuBtHVENxbDkAszHAGGDyhs2hEWtOSawc5ESNWc=w1200|https://lh3.googleusercontent.com/pw/AP1GczPVAyuwPjhPSeOT1JV-4KqgrNri9-SzqeZ8Zwc5ILz_gkSA1h3oe_KvgdSvvKa0d3I1JPEb"&amp;"8-23qPsBZtAOXHCp4w8wDwgwsmpTFJuW6sdLmPmRMsg=w1200|https://lh3.googleusercontent.com/pw/AP1GczNUfY8ipnciuBaU6UviyovutGfnFeET_DZ_RzqWdjdplOIHDk8EP0ifbZp73vy-VbpSvCbjlJM-v0jLHUW_j0_hoXBcxHa0Lv_TR-0Q2oUdTOckWVg=w1200|https://lh3.googleusercontent.com/pw/AP1Gc"&amp;"zNHOmyYy3Bs8YOywZIiz2LESTdF4ZoZ4gdlA1dLb0XfroKlQmuNMv_RTDXK-Z2GfWbZ932m6Jw5oIV1qlo-sGv2QGxywWAkFkyyMvbgUj-2KC8wr7E=w1200|https://lh3.googleusercontent.com/pw/AP1GczP1bGDigHuz3je8gwbtVLS1aTg2ni0fPO3gU35_CpdGF8amxaGGMmvyuYWSKGhD3_Art_I4WCoo4JIOnVC4-04ydmccj"&amp;"Es0HNWsw-8Nhozcgb8sfhA=w1200|https://lh3.googleusercontent.com/pw/AP1GczOUajradohpZNnMnZVGlLzkDgqB5TV6Cahtmrs_iHxzOm3rZ2oC6e7tpRSDZjF62ZYUgLvnwsXh05xCkWH96zVyrrZbFOe3FA584215u732-QBRf_M=w1200|https://lh3.googleusercontent.com/pw/AP1GczPN21QtZ10VJiWkjb39fe"&amp;"Yq0P0PlovwJMIsrwGcf6UlpMZGeHBhIblp6mSdazPnmARB2eAU5x2D-Ms8LpntwnE039qvuptOHpRTxkIfKUCR1YWPCxQ=w1200|https://lh3.googleusercontent.com/pw/AP1GczMp1ZZjrOb-ykVJHJepfcoYqG2R5svQXozlgQWwDqX8-wrqgsPwvU4F_rSGZWdcUYzVtmVwGROYDnWHO8vcBvk0sMcYlUKw3Ap0wNL6eA5agMzBMk"&amp;"A=w1200|https://lh3.googleusercontent.com/pw/AP1GczPcTq2GaYWBLTdZReaE23JXqV4HHXu1U3Yo98j5DWNrsUos3cqBPgq396giHKu5VRQMh9B-oQd-Q9JBpOhqqwy9v5SWdbzRH0gKhT7zkN9EttDF0Io=w1200|https://lh3.googleusercontent.com/pw/AP1GczP_TC22vRpHvB_KttOXFrt4c42DGnaBSTAQt3D4-9y"&amp;"dJIXxKu2Ic3fAfcUxBy80EW5eN5TyH7aQjVteZOpY1WAu12zunAqn3wL6Cj4iOTvoO_-bCkk=w1200|https://lh3.googleusercontent.com/pw/AP1GczODPhsn-x_envJAOjpuSJr2RSzhTYpZ_TZzGrqvW8qd4ilmqqCovZNb29i9u1jAtmL3cpxvjo7drS5RLsbAiF5mFPVlH8iFMAv6kNMyiIkEf_x8DIA=w1200|https://lh3.g"&amp;"oogleusercontent.com/pw/AP1GczP1eA0xdyfWrTH6Psmx0FOcYpbnoAXhxk_a1ILUSPO0ijD-4fSZ1I9Z1iw1PSibHg4PrK1ySi1eY0o5gRae3GZ76ozU-2lCsDO9s1xyTFz2Cu36jd4=w1200|https://lh3.googleusercontent.com/pw/AP1GczPSEJgDBfdm1AFdv80RLtK2WVH7s4tsX0lVxHArS77gixyIIlEe2oOcJlFoNEXZ"&amp;"uxgoHL1ZoSQl-qnpxNSfTyDUgKOCfLgqUVVUWb-QCOoc1tYqNEM=w1200|https://lh3.googleusercontent.com/pw/AP1GczPdJrEBaEXDmJ9wuo1T_oL3oPxUkizjo1j5Hj8_Fqf8T1aWEnuyLEenrT_TB0RlESWiEWvV5HYKljgDTEkiSk0-cSOIIur33o36fSmiLBXhUA0UpRE=w1200|https://lh3.googleusercontent.com/"&amp;"pw/AP1GczMBUldpGCFeht0L-IBlCFoPetM-ZmJ5QZWmvYRgrG_5qwetNXCzZKBhRqy8QJVe1oDLblx5ZFeN07QRnCVa8ymIc5vl0a5Pjj-hJ1ARmQtI-HPsspc=w1200|https://lh3.googleusercontent.com/pw/AP1GczOYnuJ0avE9_58XnfzSZocu98lC2JPmKxcHndO_x4cshYtoh0fLFDLog8voBKnB7W9kxmnQwbJZzCM4y_JvQ"&amp;"pHpYHWc7ysgDcEy6VV0CdE6WGYQTpg=w1200|https://lh3.googleusercontent.com/pw/AP1GczNAN9HdXbjwowXMdHKlQ5wMGZvfei55mWsGID-O3oyhgjc5rawrYUpiAamSccqFJpzfImoosGwlSP3ng-ktWEdefh0tB6mcWiRChDeSQVdg1OsU8oQ=w1200|https://lh3.googleusercontent.com/pw/AP1GczMvrl0MpQvwbz"&amp;"OfDkFldBuley6PE0p_NtbJjJu8KGHkG8BO8Y_gg5XHGDKHf9sh_MfxDSkZElxzgKtbJp88GhlxkcTLvAj3qcnxFUYUdtf0Y_WGrzc=w1200|https://lh3.googleusercontent.com/pw/AP1GczN2fW0viW0rCW0996eiTvOhSxTD7U8UsEFY9LPFTOUgpadwyiNi_FmpVlLjFVfToTjUNXx00LJufNpUcwZWDXeRHsZwlX1_0jCVh5FfMU"&amp;"wRCZtlxT4=w1200|https://lh3.googleusercontent.com/pw/AP1GczNmog62_YeObDD86L98GHuQoKNB60CAKJtHGSwLuD_DjtB3KZPELNQv4xNmQhBYc1iFwZ2YkInrDnotV7sxnUMgRuDHjEUbtUlqauceVXZmzIgSV3Wa=w1200")</f>
        <v>https://lh3.googleusercontent.com/pw/AP1GczPtkG9qT7I0IulSliRhktbWw5vnps0EKSyea1MVQoQtXJnAD-65-_JlU_qSHFxA2gknmx0OKb9LrQbjJW9sP4-GUpur18iU1tRrfYVYczz14xvALEo=w1200|https://lh3.googleusercontent.com/pw/AP1GczO3fAllWMfsNWxAbvvc-R2PXht8JdUjmy3ZJKHzOScxEiS9id9TlyHRkwhx6P7A3zKzYS0gAjg3C-rGE71-uP0YbZrSHCWeP_8SCasJ7jhZnLW2eE0=w1200|https://lh3.googleusercontent.com/pw/AP1GczP_wnmpFjlYWdZFTxWNHKcjm41pe-sdo7GOxpWCr19D7Wa5rr7Yc7ryiITG_rwv31oJ3g65X9yAsH4yStc2riOwp6S1DQeVYeLOJ8_cbu-1KAVny18=w1200|https://lh3.googleusercontent.com/pw/AP1GczP7a3dSbwXsH9QO4hcIOo0oYfRjZhmZrHg4xY2bas8I8WeXJ1ccRKYzx-iZNP1aB0MDtKUJP1cQCuBtHVENxbDkAszHAGGDyhs2hEWtOSawc5ESNWc=w1200|https://lh3.googleusercontent.com/pw/AP1GczPVAyuwPjhPSeOT1JV-4KqgrNri9-SzqeZ8Zwc5ILz_gkSA1h3oe_KvgdSvvKa0d3I1JPEb8-23qPsBZtAOXHCp4w8wDwgwsmpTFJuW6sdLmPmRMsg=w1200|https://lh3.googleusercontent.com/pw/AP1GczNUfY8ipnciuBaU6UviyovutGfnFeET_DZ_RzqWdjdplOIHDk8EP0ifbZp73vy-VbpSvCbjlJM-v0jLHUW_j0_hoXBcxHa0Lv_TR-0Q2oUdTOckWVg=w1200|https://lh3.googleusercontent.com/pw/AP1GczNHOmyYy3Bs8YOywZIiz2LESTdF4ZoZ4gdlA1dLb0XfroKlQmuNMv_RTDXK-Z2GfWbZ932m6Jw5oIV1qlo-sGv2QGxywWAkFkyyMvbgUj-2KC8wr7E=w1200|https://lh3.googleusercontent.com/pw/AP1GczP1bGDigHuz3je8gwbtVLS1aTg2ni0fPO3gU35_CpdGF8amxaGGMmvyuYWSKGhD3_Art_I4WCoo4JIOnVC4-04ydmccjEs0HNWsw-8Nhozcgb8sfhA=w1200|https://lh3.googleusercontent.com/pw/AP1GczOUajradohpZNnMnZVGlLzkDgqB5TV6Cahtmrs_iHxzOm3rZ2oC6e7tpRSDZjF62ZYUgLvnwsXh05xCkWH96zVyrrZbFOe3FA584215u732-QBRf_M=w1200|https://lh3.googleusercontent.com/pw/AP1GczPN21QtZ10VJiWkjb39feYq0P0PlovwJMIsrwGcf6UlpMZGeHBhIblp6mSdazPnmARB2eAU5x2D-Ms8LpntwnE039qvuptOHpRTxkIfKUCR1YWPCxQ=w1200|https://lh3.googleusercontent.com/pw/AP1GczMp1ZZjrOb-ykVJHJepfcoYqG2R5svQXozlgQWwDqX8-wrqgsPwvU4F_rSGZWdcUYzVtmVwGROYDnWHO8vcBvk0sMcYlUKw3Ap0wNL6eA5agMzBMkA=w1200|https://lh3.googleusercontent.com/pw/AP1GczPcTq2GaYWBLTdZReaE23JXqV4HHXu1U3Yo98j5DWNrsUos3cqBPgq396giHKu5VRQMh9B-oQd-Q9JBpOhqqwy9v5SWdbzRH0gKhT7zkN9EttDF0Io=w1200|https://lh3.googleusercontent.com/pw/AP1GczP_TC22vRpHvB_KttOXFrt4c42DGnaBSTAQt3D4-9ydJIXxKu2Ic3fAfcUxBy80EW5eN5TyH7aQjVteZOpY1WAu12zunAqn3wL6Cj4iOTvoO_-bCkk=w1200|https://lh3.googleusercontent.com/pw/AP1GczODPhsn-x_envJAOjpuSJr2RSzhTYpZ_TZzGrqvW8qd4ilmqqCovZNb29i9u1jAtmL3cpxvjo7drS5RLsbAiF5mFPVlH8iFMAv6kNMyiIkEf_x8DIA=w1200|https://lh3.googleusercontent.com/pw/AP1GczP1eA0xdyfWrTH6Psmx0FOcYpbnoAXhxk_a1ILUSPO0ijD-4fSZ1I9Z1iw1PSibHg4PrK1ySi1eY0o5gRae3GZ76ozU-2lCsDO9s1xyTFz2Cu36jd4=w1200|https://lh3.googleusercontent.com/pw/AP1GczPSEJgDBfdm1AFdv80RLtK2WVH7s4tsX0lVxHArS77gixyIIlEe2oOcJlFoNEXZuxgoHL1ZoSQl-qnpxNSfTyDUgKOCfLgqUVVUWb-QCOoc1tYqNEM=w1200|https://lh3.googleusercontent.com/pw/AP1GczPdJrEBaEXDmJ9wuo1T_oL3oPxUkizjo1j5Hj8_Fqf8T1aWEnuyLEenrT_TB0RlESWiEWvV5HYKljgDTEkiSk0-cSOIIur33o36fSmiLBXhUA0UpRE=w1200|https://lh3.googleusercontent.com/pw/AP1GczMBUldpGCFeht0L-IBlCFoPetM-ZmJ5QZWmvYRgrG_5qwetNXCzZKBhRqy8QJVe1oDLblx5ZFeN07QRnCVa8ymIc5vl0a5Pjj-hJ1ARmQtI-HPsspc=w1200|https://lh3.googleusercontent.com/pw/AP1GczOYnuJ0avE9_58XnfzSZocu98lC2JPmKxcHndO_x4cshYtoh0fLFDLog8voBKnB7W9kxmnQwbJZzCM4y_JvQpHpYHWc7ysgDcEy6VV0CdE6WGYQTpg=w1200|https://lh3.googleusercontent.com/pw/AP1GczNAN9HdXbjwowXMdHKlQ5wMGZvfei55mWsGID-O3oyhgjc5rawrYUpiAamSccqFJpzfImoosGwlSP3ng-ktWEdefh0tB6mcWiRChDeSQVdg1OsU8oQ=w1200|https://lh3.googleusercontent.com/pw/AP1GczMvrl0MpQvwbzOfDkFldBuley6PE0p_NtbJjJu8KGHkG8BO8Y_gg5XHGDKHf9sh_MfxDSkZElxzgKtbJp88GhlxkcTLvAj3qcnxFUYUdtf0Y_WGrzc=w1200|https://lh3.googleusercontent.com/pw/AP1GczN2fW0viW0rCW0996eiTvOhSxTD7U8UsEFY9LPFTOUgpadwyiNi_FmpVlLjFVfToTjUNXx00LJufNpUcwZWDXeRHsZwlX1_0jCVh5FfMUwRCZtlxT4=w1200|https://lh3.googleusercontent.com/pw/AP1GczNmog62_YeObDD86L98GHuQoKNB60CAKJtHGSwLuD_DjtB3KZPELNQv4xNmQhBYc1iFwZ2YkInrDnotV7sxnUMgRuDHjEUbtUlqauceVXZmzIgSV3Wa=w1200</v>
      </c>
      <c r="AJ254" s="46"/>
      <c r="AK254" s="46"/>
      <c r="AL254" s="46"/>
      <c r="AM254" s="46"/>
      <c r="AN254" s="46"/>
      <c r="AO254" s="46"/>
      <c r="AP254" s="46"/>
      <c r="AQ254" s="46"/>
      <c r="AR254" s="46"/>
      <c r="AS254" s="46"/>
      <c r="AT254" s="46"/>
      <c r="AU254" s="46"/>
      <c r="AV254" s="46"/>
      <c r="AW254" s="46"/>
      <c r="AX254" s="46"/>
      <c r="AY254" s="46"/>
      <c r="AZ254" s="46"/>
      <c r="BA254" s="46"/>
      <c r="BB254" s="46"/>
      <c r="BC254" s="46"/>
      <c r="BD254" s="46"/>
      <c r="BE254" s="46"/>
      <c r="BF254" s="46"/>
      <c r="BG254" s="46"/>
      <c r="BH254" s="46"/>
      <c r="BI254" s="46"/>
      <c r="BJ254" s="46"/>
      <c r="BK254" s="46"/>
      <c r="BL254" s="46"/>
      <c r="BM254" s="46"/>
      <c r="BN254" s="46"/>
      <c r="BO254" s="46"/>
      <c r="BP254" s="46"/>
      <c r="BQ254" s="46"/>
      <c r="BR254" s="46"/>
      <c r="BS254" s="46"/>
      <c r="BT254" s="46"/>
      <c r="BU254" s="46"/>
      <c r="BV254" s="46"/>
      <c r="BW254" s="46"/>
      <c r="BX254" s="46"/>
      <c r="BY254" s="46"/>
      <c r="BZ254" s="46"/>
      <c r="CA254" s="46"/>
      <c r="CB254" s="46"/>
      <c r="CC254" s="46"/>
    </row>
    <row r="255">
      <c r="A255" s="87" t="str">
        <f>IFERROR(__xludf.DUMMYFUNCTION("""COMPUTED_VALUE"""),"611")</f>
        <v>611</v>
      </c>
      <c r="B255" s="46" t="str">
        <f>IFERROR(__xludf.DUMMYFUNCTION("""COMPUTED_VALUE"""),"Casa en conjunto Residencial Valle de San Remo")</f>
        <v>Casa en conjunto Residencial Valle de San Remo</v>
      </c>
      <c r="C255" s="46" t="str">
        <f>IFERROR(__xludf.DUMMYFUNCTION("""COMPUTED_VALUE"""),"Casa en conjunto")</f>
        <v>Casa en conjunto</v>
      </c>
      <c r="D255" s="46"/>
      <c r="E255" s="46" t="str">
        <f>IFERROR(__xludf.DUMMYFUNCTION("""COMPUTED_VALUE"""),"Valle de San Remo")</f>
        <v>Valle de San Remo</v>
      </c>
      <c r="F255" s="90">
        <f>IFERROR(__xludf.DUMMYFUNCTION("""COMPUTED_VALUE"""),2.5E8)</f>
        <v>250000000</v>
      </c>
      <c r="G255" s="46" t="str">
        <f>IFERROR(__xludf.DUMMYFUNCTION("""COMPUTED_VALUE"""),"$200'000.000 a $300'000.000")</f>
        <v>$200'000.000 a $300'000.000</v>
      </c>
      <c r="H255" s="46"/>
      <c r="I255" s="46"/>
      <c r="J255" s="46" t="str">
        <f>IFERROR(__xludf.DUMMYFUNCTION("""COMPUTED_VALUE"""),"Sur")</f>
        <v>Sur</v>
      </c>
      <c r="K255" s="87"/>
      <c r="L255" s="46">
        <f>IFERROR(__xludf.DUMMYFUNCTION("""COMPUTED_VALUE"""),3.0)</f>
        <v>3</v>
      </c>
      <c r="M255" s="46"/>
      <c r="N255" s="46">
        <f>IFERROR(__xludf.DUMMYFUNCTION("""COMPUTED_VALUE"""),3.0)</f>
        <v>3</v>
      </c>
      <c r="O255" s="46">
        <f>IFERROR(__xludf.DUMMYFUNCTION("""COMPUTED_VALUE"""),1.0)</f>
        <v>1</v>
      </c>
      <c r="P255" s="46">
        <f>IFERROR(__xludf.DUMMYFUNCTION("""COMPUTED_VALUE"""),2.0)</f>
        <v>2</v>
      </c>
      <c r="Q255" s="92">
        <f>IFERROR(__xludf.DUMMYFUNCTION("""COMPUTED_VALUE"""),170.0)</f>
        <v>170</v>
      </c>
      <c r="R255" s="92">
        <f>IFERROR(__xludf.DUMMYFUNCTION("""COMPUTED_VALUE"""),92.0)</f>
        <v>92</v>
      </c>
      <c r="S255" s="87" t="str">
        <f>IFERROR(__xludf.DUMMYFUNCTION("""COMPUTED_VALUE""")," ")</f>
        <v> </v>
      </c>
      <c r="T255" s="46" t="str">
        <f>IFERROR(__xludf.DUMMYFUNCTION("""COMPUTED_VALUE"""),"Neiva")</f>
        <v>Neiva</v>
      </c>
      <c r="U255" s="87" t="str">
        <f>IFERROR(__xludf.DUMMYFUNCTION("""COMPUTED_VALUE"""),"2")</f>
        <v>2</v>
      </c>
      <c r="V255" s="46" t="str">
        <f>IFERROR(__xludf.DUMMYFUNCTION("""COMPUTED_VALUE"""),"Medianera")</f>
        <v>Medianera</v>
      </c>
      <c r="W255" s="46"/>
      <c r="X255" s="46">
        <f>IFERROR(__xludf.DUMMYFUNCTION("""COMPUTED_VALUE"""),1.0)</f>
        <v>1</v>
      </c>
      <c r="Y255" s="46" t="str">
        <f>IFERROR(__xludf.DUMMYFUNCTION("""COMPUTED_VALUE"""),"Social")</f>
        <v>Social</v>
      </c>
      <c r="Z255" s="90">
        <f>IFERROR(__xludf.DUMMYFUNCTION("""COMPUTED_VALUE"""),111000.0)</f>
        <v>111000</v>
      </c>
      <c r="AA255" s="33" t="str">
        <f>IFERROR(__xludf.DUMMYFUNCTION("""COMPUTED_VALUE"""),"No aplica")</f>
        <v>No aplica</v>
      </c>
      <c r="AB255" s="144" t="str">
        <f>IFERROR(__xludf.DUMMYFUNCTION("""COMPUTED_VALUE"""),"https://photos.app.goo.gl/SMX1KNLJMiJsYoiJ8")</f>
        <v>https://photos.app.goo.gl/SMX1KNLJMiJsYoiJ8</v>
      </c>
      <c r="AC255" s="46" t="str">
        <f>IFERROR(__xludf.DUMMYFUNCTION("""COMPUTED_VALUE"""),"Casa con buenos acabados, piso en cerámica, cielo raso en Driwall, con patio.")</f>
        <v>Casa con buenos acabados, piso en cerámica, cielo raso en Driwall, con patio.</v>
      </c>
      <c r="AD255" s="46" t="str">
        <f>IFERROR(__xludf.DUMMYFUNCTION("""COMPUTED_VALUE"""),"Antiguedad 3 años. Buena ubicación.")</f>
        <v>Antiguedad 3 años. Buena ubicación.</v>
      </c>
      <c r="AE255" s="46"/>
      <c r="AF255" s="46" t="str">
        <f>IFERROR(__xludf.DUMMYFUNCTION("""COMPUTED_VALUE"""),"integral")</f>
        <v>integral</v>
      </c>
      <c r="AG255" s="46"/>
      <c r="AH255" s="46" t="str">
        <f>IFERROR(__xludf.DUMMYFUNCTION("""COMPUTED_VALUE"""),"Verbal")</f>
        <v>Verbal</v>
      </c>
      <c r="AI255" s="92" t="str">
        <f>IFERROR(__xludf.DUMMYFUNCTION("""COMPUTED_VALUE"""),"https://lh3.googleusercontent.com/pw/AP1GczOB2CMru7zlyZfFKL8a56Xk4y_U4l3Qux-89Uoo74EqCR5QnjH9fy0o-u6BNuQBNldYFVPSpdHVg0KSxcpS8WUWSXqPcpVdCDYoeDPlKJr5wFejT34r=w1200|https://lh3.googleusercontent.com/pw/AP1GczPJKPMj2fq7e3OFzQN9MZuLMxW-pEFNGwLD6_MLocHSNQX0Rp"&amp;"eQIAG_DhwzRTbEWS2Ns43eNxGiqfGR9De9mVSflxrOFqdusWay5KZKUYuJjtK0wemV=w1200|https://lh3.googleusercontent.com/pw/AP1GczPXXriREknXfBYbF4tKmGWghkwA6Vc1IOJDc_tgYHhjAdTrb-G7f8GRppfrA0yJPmT_YchjZ_TWhjzAKlAHSSh3XGfZu735oQURKqfik34YP150CBah=w1200|https://lh3.google"&amp;"usercontent.com/pw/AP1GczMOiOEl5gUUnaZrbE6QLKJjDzXrVjO_rr-HwmGANmjWOG_JL062Nau30VXzNUIrctDn2hq2nOp7i3WA-_dhQOU9ADmmxiSOsBEB2hqmOLnN8ddnksUg=w1200|https://lh3.googleusercontent.com/pw/AP1GczO7bHoPQ6WR31PQnZcPgDO7qi_8hS5kn1sPnsKVeditqqBRkIbSuhP0YrCsofP7jdd9"&amp;"69U5V_1ZJZbTHzVpW8oCqTfBxxSp0uJGIVrHY-aH1JPPlGjN=w1200|https://lh3.googleusercontent.com/pw/AP1GczPAcJokCVX8WQiCnd5aFctMY38RMfo8hwxcNHhjPBXk_FeJStf1WlImVfC7F3RtDfzqa3ApPNGIfRWrr1R-IxEeJeLm4hweCm_4JcIiv0fS8qL55QvC=w1200|https://lh3.googleusercontent.com/pw"&amp;"/AP1GczNzSXzp2c5nQyGaHZ4T3S6Ue7HRqFNXnPrM5S8jpWF6Dylv8lVGgBOciD8-XZdPa1kuqv8GFdtSBeHHNGQgF5kvMjqyNxTwmBgnZBfl6CaFMY9wB31k=w1200|https://lh3.googleusercontent.com/pw/AP1GczOXA8VZZYpdYvveGNl5Z29YwHr7MLCC-ue4ppaS7zsNnuLBxSprO5gJA4eJlwH2qL6gbkIgTtpDUDsJmw8ECJ"&amp;"nkdtQU_WGj-YE0ZdlLzeGcuVQJf9Zl=w1200|https://lh3.googleusercontent.com/pw/AP1GczMTSZuI9jMMm4OoTNj8ZTpR7oNi67Ibh_JP13oCM2JHaNCFf05b8V9adg1q5vmEREa-eUniCffGlQHvjm0YRexLL7EKrfCguazsh0y3yTAiWE14HbeT=w1200|https://lh3.googleusercontent.com/pw/AP1GczPGkKIwa1Bk3"&amp;"nP7UopIKowmhLuSX0JkloRRaDpiAjUtOthsLaPE4QvikQVIq2sGQIZrCRKAq2liAwZ_ibTIsNgJJVUq0ruGDIeB6Lc18zNun3PnU-_b=w1200|https://lh3.googleusercontent.com/pw/AP1GczOhZePCiCht6ORDNDJTdXgM8dQKXaYjrYuadQEtJ02QaOxJxCD1CAE6XmuJMAsVAGK2mpC1aZ85MfRMUg8yw6OhnPcQKUAyh3Dp-9T7"&amp;"ORy-SP2KD_O5=w1200|https://lh3.googleusercontent.com/pw/AP1GczOJT2ROL44owAus7KgcaqLMwhPJUFX_v8XQjNI57W4Nrl3LacRoMrfelBGBUm5A-dfS5hI5c1t4WnK4_bzWrzZA8hLTeeIcT6szyEfqWGYhNM54Fu85=w1200|https://lh3.googleusercontent.com/pw/AP1GczP0mFEwe_x84zfiaDXU3758ArzOsvq"&amp;"wgstZjCpB1lu9pXU0pINfgfDYlwCm3qSn_TsFhkBP7z27e2kN0yQjFdVnifwkgUZkJgwzb-L8HHUsjiKQay01=w1200|https://lh3.googleusercontent.com/pw/AP1GczO_5IN4yZhsSGQfLk1HEmFWxNWT9S3QzXwOjuByibqcb64mjYvQwqiVMVmm0_uH-1hFCzuDP1hFL2W-8sFEpP-7k7lL8mCVdEewKFNQzjDboHmJHXD5=w1200"&amp;"|https://lh3.googleusercontent.com/pw/AP1GczMNNG9gkBu-FJCn029lU_el3cXyLiWLmVCYpljoXmZicakSJPaQr9jM_BQvjBtO29CXJgFcO42CtOvzWXzRAXH2RiFsCMhAx0f7HC3e7rf7I0Xa_cfU=w1200|https://lh3.googleusercontent.com/pw/AP1GczP8aVto79p-qk6ehUi1xWO-UCzkTDeE9Gu0V_vbUiq5-dJGW"&amp;"6wVoEEqR2-qeDCIKvPVn-Ozw-JFegVTwG8IW9bwNz1-LT71xOO7Js7RC2ILMu8dSMkh=w1200|https://lh3.googleusercontent.com/pw/AP1GczO8IJPi97AfCeDGkZcMJAqmDfdVjnwLq1zZ6_SFyole3Mqv52Z8N2F7FKO44ttbyiyDmZhWYiBl1hlKIVG_w2Cp8J9rAiil9haoUe77UKyaSnlMzDzW=w1200")</f>
        <v>https://lh3.googleusercontent.com/pw/AP1GczOB2CMru7zlyZfFKL8a56Xk4y_U4l3Qux-89Uoo74EqCR5QnjH9fy0o-u6BNuQBNldYFVPSpdHVg0KSxcpS8WUWSXqPcpVdCDYoeDPlKJr5wFejT34r=w1200|https://lh3.googleusercontent.com/pw/AP1GczPJKPMj2fq7e3OFzQN9MZuLMxW-pEFNGwLD6_MLocHSNQX0RpeQIAG_DhwzRTbEWS2Ns43eNxGiqfGR9De9mVSflxrOFqdusWay5KZKUYuJjtK0wemV=w1200|https://lh3.googleusercontent.com/pw/AP1GczPXXriREknXfBYbF4tKmGWghkwA6Vc1IOJDc_tgYHhjAdTrb-G7f8GRppfrA0yJPmT_YchjZ_TWhjzAKlAHSSh3XGfZu735oQURKqfik34YP150CBah=w1200|https://lh3.googleusercontent.com/pw/AP1GczMOiOEl5gUUnaZrbE6QLKJjDzXrVjO_rr-HwmGANmjWOG_JL062Nau30VXzNUIrctDn2hq2nOp7i3WA-_dhQOU9ADmmxiSOsBEB2hqmOLnN8ddnksUg=w1200|https://lh3.googleusercontent.com/pw/AP1GczO7bHoPQ6WR31PQnZcPgDO7qi_8hS5kn1sPnsKVeditqqBRkIbSuhP0YrCsofP7jdd969U5V_1ZJZbTHzVpW8oCqTfBxxSp0uJGIVrHY-aH1JPPlGjN=w1200|https://lh3.googleusercontent.com/pw/AP1GczPAcJokCVX8WQiCnd5aFctMY38RMfo8hwxcNHhjPBXk_FeJStf1WlImVfC7F3RtDfzqa3ApPNGIfRWrr1R-IxEeJeLm4hweCm_4JcIiv0fS8qL55QvC=w1200|https://lh3.googleusercontent.com/pw/AP1GczNzSXzp2c5nQyGaHZ4T3S6Ue7HRqFNXnPrM5S8jpWF6Dylv8lVGgBOciD8-XZdPa1kuqv8GFdtSBeHHNGQgF5kvMjqyNxTwmBgnZBfl6CaFMY9wB31k=w1200|https://lh3.googleusercontent.com/pw/AP1GczOXA8VZZYpdYvveGNl5Z29YwHr7MLCC-ue4ppaS7zsNnuLBxSprO5gJA4eJlwH2qL6gbkIgTtpDUDsJmw8ECJnkdtQU_WGj-YE0ZdlLzeGcuVQJf9Zl=w1200|https://lh3.googleusercontent.com/pw/AP1GczMTSZuI9jMMm4OoTNj8ZTpR7oNi67Ibh_JP13oCM2JHaNCFf05b8V9adg1q5vmEREa-eUniCffGlQHvjm0YRexLL7EKrfCguazsh0y3yTAiWE14HbeT=w1200|https://lh3.googleusercontent.com/pw/AP1GczPGkKIwa1Bk3nP7UopIKowmhLuSX0JkloRRaDpiAjUtOthsLaPE4QvikQVIq2sGQIZrCRKAq2liAwZ_ibTIsNgJJVUq0ruGDIeB6Lc18zNun3PnU-_b=w1200|https://lh3.googleusercontent.com/pw/AP1GczOhZePCiCht6ORDNDJTdXgM8dQKXaYjrYuadQEtJ02QaOxJxCD1CAE6XmuJMAsVAGK2mpC1aZ85MfRMUg8yw6OhnPcQKUAyh3Dp-9T7ORy-SP2KD_O5=w1200|https://lh3.googleusercontent.com/pw/AP1GczOJT2ROL44owAus7KgcaqLMwhPJUFX_v8XQjNI57W4Nrl3LacRoMrfelBGBUm5A-dfS5hI5c1t4WnK4_bzWrzZA8hLTeeIcT6szyEfqWGYhNM54Fu85=w1200|https://lh3.googleusercontent.com/pw/AP1GczP0mFEwe_x84zfiaDXU3758ArzOsvqwgstZjCpB1lu9pXU0pINfgfDYlwCm3qSn_TsFhkBP7z27e2kN0yQjFdVnifwkgUZkJgwzb-L8HHUsjiKQay01=w1200|https://lh3.googleusercontent.com/pw/AP1GczO_5IN4yZhsSGQfLk1HEmFWxNWT9S3QzXwOjuByibqcb64mjYvQwqiVMVmm0_uH-1hFCzuDP1hFL2W-8sFEpP-7k7lL8mCVdEewKFNQzjDboHmJHXD5=w1200|https://lh3.googleusercontent.com/pw/AP1GczMNNG9gkBu-FJCn029lU_el3cXyLiWLmVCYpljoXmZicakSJPaQr9jM_BQvjBtO29CXJgFcO42CtOvzWXzRAXH2RiFsCMhAx0f7HC3e7rf7I0Xa_cfU=w1200|https://lh3.googleusercontent.com/pw/AP1GczP8aVto79p-qk6ehUi1xWO-UCzkTDeE9Gu0V_vbUiq5-dJGW6wVoEEqR2-qeDCIKvPVn-Ozw-JFegVTwG8IW9bwNz1-LT71xOO7Js7RC2ILMu8dSMkh=w1200|https://lh3.googleusercontent.com/pw/AP1GczO8IJPi97AfCeDGkZcMJAqmDfdVjnwLq1zZ6_SFyole3Mqv52Z8N2F7FKO44ttbyiyDmZhWYiBl1hlKIVG_w2Cp8J9rAiil9haoUe77UKyaSnlMzDzW=w1200</v>
      </c>
      <c r="AJ255" s="46"/>
      <c r="AK255" s="46"/>
      <c r="AL255" s="46"/>
      <c r="AM255" s="46"/>
      <c r="AN255" s="46"/>
      <c r="AO255" s="46"/>
      <c r="AP255" s="46"/>
      <c r="AQ255" s="46"/>
      <c r="AR255" s="46"/>
      <c r="AS255" s="46"/>
      <c r="AT255" s="46"/>
      <c r="AU255" s="46"/>
      <c r="AV255" s="46"/>
      <c r="AW255" s="46"/>
      <c r="AX255" s="46"/>
      <c r="AY255" s="46"/>
      <c r="AZ255" s="46"/>
      <c r="BA255" s="46"/>
      <c r="BB255" s="46"/>
      <c r="BC255" s="46"/>
      <c r="BD255" s="46"/>
      <c r="BE255" s="46"/>
      <c r="BF255" s="46"/>
      <c r="BG255" s="46"/>
      <c r="BH255" s="46"/>
      <c r="BI255" s="46"/>
      <c r="BJ255" s="46"/>
      <c r="BK255" s="46"/>
      <c r="BL255" s="46"/>
      <c r="BM255" s="46"/>
      <c r="BN255" s="46"/>
      <c r="BO255" s="46"/>
      <c r="BP255" s="46"/>
      <c r="BQ255" s="46"/>
      <c r="BR255" s="46"/>
      <c r="BS255" s="46"/>
      <c r="BT255" s="46"/>
      <c r="BU255" s="46"/>
      <c r="BV255" s="46"/>
      <c r="BW255" s="46"/>
      <c r="BX255" s="46"/>
      <c r="BY255" s="46"/>
      <c r="BZ255" s="46"/>
      <c r="CA255" s="46"/>
      <c r="CB255" s="46"/>
      <c r="CC255" s="46"/>
    </row>
    <row r="256">
      <c r="A256" s="87" t="str">
        <f>IFERROR(__xludf.DUMMYFUNCTION("""COMPUTED_VALUE"""),"702")</f>
        <v>702</v>
      </c>
      <c r="B256" s="46" t="str">
        <f>IFERROR(__xludf.DUMMYFUNCTION("""COMPUTED_VALUE"""),"Casa en barrio El Vergel alto")</f>
        <v>Casa en barrio El Vergel alto</v>
      </c>
      <c r="C256" s="46" t="str">
        <f>IFERROR(__xludf.DUMMYFUNCTION("""COMPUTED_VALUE"""),"Casa")</f>
        <v>Casa</v>
      </c>
      <c r="D256" s="46" t="str">
        <f>IFERROR(__xludf.DUMMYFUNCTION("""COMPUTED_VALUE"""),"El Vergel")</f>
        <v>El Vergel</v>
      </c>
      <c r="E256" s="46"/>
      <c r="F256" s="90">
        <f>IFERROR(__xludf.DUMMYFUNCTION("""COMPUTED_VALUE"""),2.5E8)</f>
        <v>250000000</v>
      </c>
      <c r="G256" s="46" t="str">
        <f>IFERROR(__xludf.DUMMYFUNCTION("""COMPUTED_VALUE"""),"$200'000.000 a $300'000.000")</f>
        <v>$200'000.000 a $300'000.000</v>
      </c>
      <c r="H256" s="46"/>
      <c r="I256" s="46"/>
      <c r="J256" s="46" t="str">
        <f>IFERROR(__xludf.DUMMYFUNCTION("""COMPUTED_VALUE"""),"Oriente")</f>
        <v>Oriente</v>
      </c>
      <c r="K256" s="87"/>
      <c r="L256" s="46">
        <f>IFERROR(__xludf.DUMMYFUNCTION("""COMPUTED_VALUE"""),5.0)</f>
        <v>5</v>
      </c>
      <c r="M256" s="46"/>
      <c r="N256" s="46">
        <f>IFERROR(__xludf.DUMMYFUNCTION("""COMPUTED_VALUE"""),4.0)</f>
        <v>4</v>
      </c>
      <c r="O256" s="46">
        <f>IFERROR(__xludf.DUMMYFUNCTION("""COMPUTED_VALUE"""),1.0)</f>
        <v>1</v>
      </c>
      <c r="P256" s="46">
        <f>IFERROR(__xludf.DUMMYFUNCTION("""COMPUTED_VALUE"""),2.0)</f>
        <v>2</v>
      </c>
      <c r="Q256" s="92"/>
      <c r="R256" s="92">
        <f>IFERROR(__xludf.DUMMYFUNCTION("""COMPUTED_VALUE"""),90.0)</f>
        <v>90</v>
      </c>
      <c r="S256" s="87" t="str">
        <f>IFERROR(__xludf.DUMMYFUNCTION("""COMPUTED_VALUE""")," ")</f>
        <v> </v>
      </c>
      <c r="T256" s="46" t="str">
        <f>IFERROR(__xludf.DUMMYFUNCTION("""COMPUTED_VALUE"""),"Neiva")</f>
        <v>Neiva</v>
      </c>
      <c r="U256" s="87" t="str">
        <f>IFERROR(__xludf.DUMMYFUNCTION("""COMPUTED_VALUE"""),"2")</f>
        <v>2</v>
      </c>
      <c r="V256" s="46" t="str">
        <f>IFERROR(__xludf.DUMMYFUNCTION("""COMPUTED_VALUE"""),"Medianera")</f>
        <v>Medianera</v>
      </c>
      <c r="W256" s="46"/>
      <c r="X256" s="46">
        <f>IFERROR(__xludf.DUMMYFUNCTION("""COMPUTED_VALUE"""),3.0)</f>
        <v>3</v>
      </c>
      <c r="Y256" s="46" t="str">
        <f>IFERROR(__xludf.DUMMYFUNCTION("""COMPUTED_VALUE"""),"No tiene")</f>
        <v>No tiene</v>
      </c>
      <c r="Z256" s="90" t="str">
        <f>IFERROR(__xludf.DUMMYFUNCTION("""COMPUTED_VALUE"""),"No aplica")</f>
        <v>No aplica</v>
      </c>
      <c r="AA256" s="33" t="str">
        <f>IFERROR(__xludf.DUMMYFUNCTION("""COMPUTED_VALUE"""),"No aplica")</f>
        <v>No aplica</v>
      </c>
      <c r="AB256" s="96" t="str">
        <f>IFERROR(__xludf.DUMMYFUNCTION("""COMPUTED_VALUE"""),"https://photos.app.goo.gl/LFsEBeuCNZ93fK3C6")</f>
        <v>https://photos.app.goo.gl/LFsEBeuCNZ93fK3C6</v>
      </c>
      <c r="AC256" s="46"/>
      <c r="AD256" s="46" t="str">
        <f>IFERROR(__xludf.DUMMYFUNCTION("""COMPUTED_VALUE"""),"Casa Medianera en vía para un solo vehículo.")</f>
        <v>Casa Medianera en vía para un solo vehículo.</v>
      </c>
      <c r="AE256" s="46"/>
      <c r="AF256" s="46" t="str">
        <f>IFERROR(__xludf.DUMMYFUNCTION("""COMPUTED_VALUE"""),"semi-integral")</f>
        <v>semi-integral</v>
      </c>
      <c r="AG256" s="46"/>
      <c r="AH256" s="46" t="str">
        <f>IFERROR(__xludf.DUMMYFUNCTION("""COMPUTED_VALUE"""),"Verbal")</f>
        <v>Verbal</v>
      </c>
      <c r="AI256" s="92" t="str">
        <f>IFERROR(__xludf.DUMMYFUNCTION("""COMPUTED_VALUE"""),"https://lh3.googleusercontent.com/pw/AP1GczOCkSmd5jKIPS-ETX4Zwd6fJdRl67A2j1VOjNZZxBQO0ePiSHrunZ7TFZQsVH-8w7arEtcE35FjItS-dXueekIg3v_eKSwdk02nSyCsyGREI35jt4t9=w1200|https://lh3.googleusercontent.com/pw/AP1GczM06SXQ9nc8UTkubbd3hYEwEilE8k_wpSapn5ODnJU7gFqb-Y"&amp;"KQZEWcelROQFRqS1qRzD82IsSFacvavaXTubJnYc94vxK8mgvyp9BC9rU5IDJXO3Mx=w1200|https://lh3.googleusercontent.com/pw/AP1GczNHA_upoaicIOVrr8XqU9hvrw9rA3OFp6IjdYAvMk2vvY9dBFUg77dwhyNt3JFzkG-DLXonAWDbz-zO52jKFTVRc0qwkqPmxpZBe_nMojo1atBzfpDg=w1200|https://lh3.google"&amp;"usercontent.com/pw/AP1GczNm_Lzo_msnHPyZYZUSBBkaKWOpYspHtS_WoYQmB7pD2vNfaMoS4Y_CdqOZI48uGi1YvEeXOM5apmY5iXDNAlWkmlbNw3vrPSsxV5RxFzHpcfrSdOq-=w1200|https://lh3.googleusercontent.com/pw/AP1GczOQby8_pr4MXb9xCBgnjN6-EtOhDnQKKnWXnXQDQ3QDj7P3pKV6MUqVF6Wi8ODLizxK"&amp;"gv_SAZB_s4XbdICPnYD8Ofaipy2rQd29bnEPgO0pcClrdkkw=w1200|https://lh3.googleusercontent.com/pw/AP1GczOjH0N1CTZgT2bI9cV78lUfcm0zMaeCURt_UHU_92XnbZV-xbiw0vw_2-JjHD62t2Ua12dgt497ZTUQM0AheCWMuG419G4tjmDkUGGXj7dKfEnbBpTH=w1200|https://lh3.googleusercontent.com/pw"&amp;"/AP1GczNEemlcNDtiD_Jd4eucbuvd8SFyWgCDmh1sqnAnsbAYC36fWrqiQW5-LAcfAZeSF_3a6YkyqQzXyKHd39o1Y9ChcD69FkguRemjSpvEWZY7kDgJBx77=w1200|https://lh3.googleusercontent.com/pw/AP1GczNAIBhQSE7lxrM4qZzCq8vCoJ2Mdv-vJplizUn0d7v_snv9vsCnzMP86pXcgj0z0DSlib0lxXC9zamknz7Ice"&amp;"RBvSng3GGFB6Og84Dllj-Aw8bRcdzW=w1200|https://lh3.googleusercontent.com/pw/AP1GczNflhQvmHmd_c98Z5C30hO5W0ZDGF3UtWCpQRG4BGmyluBibO0DZchcX_nHkpsmUSq13ELZF0O0mUeQ0HV_l68Bb-NCXtZjWzAslZElY2iRlSk6MOmM=w1200|https://lh3.googleusercontent.com/pw/AP1GczPtfy_xdp2a5"&amp;"6ZZnWg-RICZCviCtXMf05rTdGOnRDPicQ7b3JLl8jLNy7akhi2XoXB92wrB8dqvKnrjg1Z0tvfM-VckLg79W276ToUJBONslNMLZV5L=w1200|https://lh3.googleusercontent.com/pw/AP1GczME1vzYX9Wwi-f358zTbWTc3snTgBpYj4onwQ90wKrOIRLZG7mluynZNjK3xSn83NSbTFCtqj5NDkMn66zyKf6mHHNwMSxS9ubIu53E"&amp;"x5lUJoNeAfiF=w1200|https://lh3.googleusercontent.com/pw/AP1GczNkesZTzytCOQkGtx1w5cVkLl_Zh9ZQFNHwbyAZr_3_0aXQP4g_kP6gf6XhRr3d4SZ5DQ_2PU-c8z0kfNYq057HglAgHPVW71HgZ8v7qMHq_hbmUUQk=w1200|https://lh3.googleusercontent.com/pw/AP1GczMlyWdAkH0P2-lXscOalELRyhbFRPf"&amp;"_pMVSn3vZKa9zVP8F4RDHLP0WWV2QhzILD5Hg5T8WdtWYhilocv8QnSQWoOB22DSE6M2xjzNlJDYye_YtL3dc=w1200|https://lh3.googleusercontent.com/pw/AP1GczNUI3O7dzt2yTJCueguOQUJxCWtQoYSnXXTE4h7cZsTHsAlboNbOejTmIO1ctP5SeV8xd7Ip8kadjND8Gom4t2y-B6LZu7XRlQOqYIkCZ8te5OuUbYw=w1200"&amp;"|https://lh3.googleusercontent.com/pw/AP1GczNFFbOejv258lbZZZB-cz-lu9WJjwMzOSxovFlkLGOxQDxWq5B7G_EWxObj22ef3VsMlFASksw7RMMkQP6NiFtUlkmcZQF3l-jJVtJPiCaSA69lINFT=w1200|https://lh3.googleusercontent.com/pw/AP1GczMAkljgQeQMiNqjLJH2wqDgn-FXRDGzp0BOO2zv4Zwe9Q8hS"&amp;"YDmMR-EBeoywb4drRYtw8oPXfjPRoVPcweB4U4Y-YsrYuTqAlqKNLoyqwhuiVMU9nk6=w1200|https://lh3.googleusercontent.com/pw/AP1GczN4xJNkNa4antDcos89FViYwcssxl3Bu0NCljRiO35wKyoVJZ0QNjt5BYYX7U8z_h7X_xZUN5cPUczY5uHn84M62rfksm4Q_jg2n_kCZDY06aE7OX68=w1200|https://lh3.googl"&amp;"eusercontent.com/pw/AP1GczPniRbNMTNjDzjOgIBpHuOSCgr2VN88dFK6j57tWsS3ZG2WaSku6HiQsrUoxMlH4j7ppmlDz_zOPOrFPBWs6vgDyPr18xhFfTmUrEKUUQfUSKcH0pS3=w1200|https://lh3.googleusercontent.com/pw/AP1GczPv-8ghsjRt4HEuj7AW2IR2YQAPNLfearFWYPDnb05V076fZwdnq-8h5wbNbwaIZCL"&amp;"BrRC0qvudfystuHcFZryVXJA_VDNeBYA0-ski_KfhrmKz5ZtS=w1200|https://lh3.googleusercontent.com/pw/AP1GczM0ZJPvjj9MoPfeqNXiCQTMzwyyWfDpyhiNERkeWxnl-dV-6FPfIlPne0oVezDFTf94JnwlDsxMg65vBTl9OXTx6Hx06zYiiFS3Amjb35lq31wuAmV-=w1200|https://lh3.googleusercontent.com/p"&amp;"w/AP1GczMGvgQrPlLG96FLt4SeHXHF0Lz_d0CpzlYjSFlYN_EZL3c3uSzNOJ0U5QHT_xgjiT4g44eDnq23sU7OLt1V3UpuX05t51CkhQNoMy8n35u3j1aTTSmT=w1200|https://lh3.googleusercontent.com/pw/AP1GczPE4X5TUqzbL-XOG8LTHR4r9MxSrLPUTZJhWLOEts-_GgoJl2XqkOFSYs-iz7L7W1wB-2v00CtUuRBOXzSCr"&amp;"kwZ5-XnGTsT4ET1-29aeThaM6h16I9Z=w1200|https://lh3.googleusercontent.com/pw/AP1GczNVtPcp4RdRI4bA6CzsXDhGGC4XGrxxNCaK5wDAL41Wairdqd3UywQBc1-QZyRFWttCU0eODmVW6iJtnB-LuqyWX71SSn2nYlth_YW30EPZbjAtAe-O=w1200|https://lh3.googleusercontent.com/pw/AP1GczOy7uFWPwFN"&amp;"ooBsq_pMlCMynTEjTadwB-R9vyD7NE5TFIMH70SYpzeYV5TrAK8xZyJrLspRRK3GGqZS-jsXIGCnjmryBsgzMWO3oK89uhpR3c6I1s4i=w1200|https://lh3.googleusercontent.com/pw/AP1GczOHLEir9L3a6TJeaBJOUNpydXycoplUYVzhu-61GEc377Dh28QpseS0mn9LK5qk4ekIdusw5HrZep-YwEXP5VuEPMjnGd3lTJ0Vxct"&amp;"IS_tkuIvE7PUh=w1200|https://lh3.googleusercontent.com/pw/AP1GczOiFGvwI7uJtXJuWX4B6CI9DFgfm-yTWYK2Qmxiio2f0lU8UrQHCKrXiIdjfcgnfyQT4CKsWzUbBgmSybL9HB7NP-smtU7VhojI_pgAxZ84gmzmT9AQ=w1200|https://lh3.googleusercontent.com/pw/AP1GczMtc7mtjuAsmuuqmDIRONvP-hXnSF"&amp;"GuFCM49JLsbHWYFKLGhwk-BqAhS_Fq0Mo6kOyhTpo1MxXlIRX96Nsl4xx37GUIAD51P9Sy0h5P9FUFt1fN3LQF=w1200|https://lh3.googleusercontent.com/pw/AP1GczNnvQL8tYBJvmgKD-IjwKWfDIz9PgS9CyLm7W2EGTr2z7DU8AUD9cB6iiiulZj1RBMfd_gPAVuTpij1lS3YDNDa5mfZdxBiOx2GKiFRWvYA9id0KQYm=w120"&amp;"0|https://lh3.googleusercontent.com/pw/AP1GczPZ8dpMxTkVSrni6ZohIOFx2G8PnYqZf9iK_X1iqnsC_pT1H18wIGD0dIim_mZmNGoCc11lviD9SSpz3An4cjD2O3s7uUHIR8ptCA6F1EvNiYWCF_Wi=w1200|https://lh3.googleusercontent.com/pw/AP1GczMooy9tXrl5PZYCifoJrukecQDueynwk-qPtNF5rjcHKUxp"&amp;"ohGCe3PVKsnl4OcBy9_w6ALAMnQ_Z3DkFgBOOXROCFXtwpCqc1cZZEL_dI0-QNcPTwvN=w1200|https://lh3.googleusercontent.com/pw/AP1GczN1II2p9NY9dD0qtT3_f52-W6gAhpN9sW4gFane-squ2mr_rjiJy1ww0lutUhSlMmNjzeD7D5V-gnVkvCaISqwM8SKb7ay-Muo3nwtip1fu3U1IHa_i=w1200|https://lh3.goog"&amp;"leusercontent.com/pw/AP1GczOo1CNcieqzvv1s4hZRErBjt49i7ywjCJnQwsBkn9813Dcd7Rq0EgJIYe1ah5ioM91whuhzEaKRGwLMxaULv3GaYcQNmW42AKEkz_cJTJv6gz2EyXWD=w1200|https://lh3.googleusercontent.com/pw/AP1GczPQrYN_P-ZnahXF8k2r7ikNKvRGjzu3FxpW4mQPVgsI6Lv7U1OPuuIeSXSiBNUFqX"&amp;"e5ADifbCpwGA1Lg9xAUlJPTj5Cfut9Mb0oXilnUpvDONlpVbvC=w1200|https://lh3.googleusercontent.com/pw/AP1GczN8UkOXccd8gEOVzYUPu8VhfWz_y0o3zFYwqZoq3WclU_faehYdF2LNAPDyp4GzAte3XTiZ9jRPKe2KyHpL3L_Ja_IL_WlIO-FZYBFAhej4labSjB75=w1200|https://lh3.googleusercontent.com/"&amp;"pw/AP1GczPONyThAqmNyMZxmpmG6AIh0sUzV30yChNDQ2SmLE09mNkbsF0c-Moh2ZfYRroQqy3dVXjsnuk9BfNoprWTKNZgKzS9n6U3w-kkd698eN_vOkVnhgMP=w1200|https://lh3.googleusercontent.com/pw/AP1GczM3yJNlu_1BiQ7DkF6KVM3JUYB0ZeAhoUpt9mxJSgH1carrrEw_lWRF8PvImCvrh42iTdBKsf6WlrpnL0BP"&amp;"5Rsz5y0pg_pviRzBvQxz5eya7WBhmqcR=w1200|https://lh3.googleusercontent.com/pw/AP1GczOlTiCa800HZW5PZ9eREY7MYRFu-IVseeTqdKp5et22spPGhwhbYycL8HdvpoQS4gPuSv0lntZgVAY-soaYZgP2P7NQHVD66bprSjcGqslSIlmcBiC7=w1200|https://lh3.googleusercontent.com/pw/AP1GczM99TVmBod"&amp;"rivf6vrsELFG8OP4DgxYRqFh0EXFX6YvjFbFFxrkCfXAoinsEj-KjvtmbdRmZuPMQ35tn8mygcsmXeENCZwI3xu0FJbZ1cWLpdwLerHVo=w1200")</f>
        <v>https://lh3.googleusercontent.com/pw/AP1GczOCkSmd5jKIPS-ETX4Zwd6fJdRl67A2j1VOjNZZxBQO0ePiSHrunZ7TFZQsVH-8w7arEtcE35FjItS-dXueekIg3v_eKSwdk02nSyCsyGREI35jt4t9=w1200|https://lh3.googleusercontent.com/pw/AP1GczM06SXQ9nc8UTkubbd3hYEwEilE8k_wpSapn5ODnJU7gFqb-YKQZEWcelROQFRqS1qRzD82IsSFacvavaXTubJnYc94vxK8mgvyp9BC9rU5IDJXO3Mx=w1200|https://lh3.googleusercontent.com/pw/AP1GczNHA_upoaicIOVrr8XqU9hvrw9rA3OFp6IjdYAvMk2vvY9dBFUg77dwhyNt3JFzkG-DLXonAWDbz-zO52jKFTVRc0qwkqPmxpZBe_nMojo1atBzfpDg=w1200|https://lh3.googleusercontent.com/pw/AP1GczNm_Lzo_msnHPyZYZUSBBkaKWOpYspHtS_WoYQmB7pD2vNfaMoS4Y_CdqOZI48uGi1YvEeXOM5apmY5iXDNAlWkmlbNw3vrPSsxV5RxFzHpcfrSdOq-=w1200|https://lh3.googleusercontent.com/pw/AP1GczOQby8_pr4MXb9xCBgnjN6-EtOhDnQKKnWXnXQDQ3QDj7P3pKV6MUqVF6Wi8ODLizxKgv_SAZB_s4XbdICPnYD8Ofaipy2rQd29bnEPgO0pcClrdkkw=w1200|https://lh3.googleusercontent.com/pw/AP1GczOjH0N1CTZgT2bI9cV78lUfcm0zMaeCURt_UHU_92XnbZV-xbiw0vw_2-JjHD62t2Ua12dgt497ZTUQM0AheCWMuG419G4tjmDkUGGXj7dKfEnbBpTH=w1200|https://lh3.googleusercontent.com/pw/AP1GczNEemlcNDtiD_Jd4eucbuvd8SFyWgCDmh1sqnAnsbAYC36fWrqiQW5-LAcfAZeSF_3a6YkyqQzXyKHd39o1Y9ChcD69FkguRemjSpvEWZY7kDgJBx77=w1200|https://lh3.googleusercontent.com/pw/AP1GczNAIBhQSE7lxrM4qZzCq8vCoJ2Mdv-vJplizUn0d7v_snv9vsCnzMP86pXcgj0z0DSlib0lxXC9zamknz7IceRBvSng3GGFB6Og84Dllj-Aw8bRcdzW=w1200|https://lh3.googleusercontent.com/pw/AP1GczNflhQvmHmd_c98Z5C30hO5W0ZDGF3UtWCpQRG4BGmyluBibO0DZchcX_nHkpsmUSq13ELZF0O0mUeQ0HV_l68Bb-NCXtZjWzAslZElY2iRlSk6MOmM=w1200|https://lh3.googleusercontent.com/pw/AP1GczPtfy_xdp2a56ZZnWg-RICZCviCtXMf05rTdGOnRDPicQ7b3JLl8jLNy7akhi2XoXB92wrB8dqvKnrjg1Z0tvfM-VckLg79W276ToUJBONslNMLZV5L=w1200|https://lh3.googleusercontent.com/pw/AP1GczME1vzYX9Wwi-f358zTbWTc3snTgBpYj4onwQ90wKrOIRLZG7mluynZNjK3xSn83NSbTFCtqj5NDkMn66zyKf6mHHNwMSxS9ubIu53Ex5lUJoNeAfiF=w1200|https://lh3.googleusercontent.com/pw/AP1GczNkesZTzytCOQkGtx1w5cVkLl_Zh9ZQFNHwbyAZr_3_0aXQP4g_kP6gf6XhRr3d4SZ5DQ_2PU-c8z0kfNYq057HglAgHPVW71HgZ8v7qMHq_hbmUUQk=w1200|https://lh3.googleusercontent.com/pw/AP1GczMlyWdAkH0P2-lXscOalELRyhbFRPf_pMVSn3vZKa9zVP8F4RDHLP0WWV2QhzILD5Hg5T8WdtWYhilocv8QnSQWoOB22DSE6M2xjzNlJDYye_YtL3dc=w1200|https://lh3.googleusercontent.com/pw/AP1GczNUI3O7dzt2yTJCueguOQUJxCWtQoYSnXXTE4h7cZsTHsAlboNbOejTmIO1ctP5SeV8xd7Ip8kadjND8Gom4t2y-B6LZu7XRlQOqYIkCZ8te5OuUbYw=w1200|https://lh3.googleusercontent.com/pw/AP1GczNFFbOejv258lbZZZB-cz-lu9WJjwMzOSxovFlkLGOxQDxWq5B7G_EWxObj22ef3VsMlFASksw7RMMkQP6NiFtUlkmcZQF3l-jJVtJPiCaSA69lINFT=w1200|https://lh3.googleusercontent.com/pw/AP1GczMAkljgQeQMiNqjLJH2wqDgn-FXRDGzp0BOO2zv4Zwe9Q8hSYDmMR-EBeoywb4drRYtw8oPXfjPRoVPcweB4U4Y-YsrYuTqAlqKNLoyqwhuiVMU9nk6=w1200|https://lh3.googleusercontent.com/pw/AP1GczN4xJNkNa4antDcos89FViYwcssxl3Bu0NCljRiO35wKyoVJZ0QNjt5BYYX7U8z_h7X_xZUN5cPUczY5uHn84M62rfksm4Q_jg2n_kCZDY06aE7OX68=w1200|https://lh3.googleusercontent.com/pw/AP1GczPniRbNMTNjDzjOgIBpHuOSCgr2VN88dFK6j57tWsS3ZG2WaSku6HiQsrUoxMlH4j7ppmlDz_zOPOrFPBWs6vgDyPr18xhFfTmUrEKUUQfUSKcH0pS3=w1200|https://lh3.googleusercontent.com/pw/AP1GczPv-8ghsjRt4HEuj7AW2IR2YQAPNLfearFWYPDnb05V076fZwdnq-8h5wbNbwaIZCLBrRC0qvudfystuHcFZryVXJA_VDNeBYA0-ski_KfhrmKz5ZtS=w1200|https://lh3.googleusercontent.com/pw/AP1GczM0ZJPvjj9MoPfeqNXiCQTMzwyyWfDpyhiNERkeWxnl-dV-6FPfIlPne0oVezDFTf94JnwlDsxMg65vBTl9OXTx6Hx06zYiiFS3Amjb35lq31wuAmV-=w1200|https://lh3.googleusercontent.com/pw/AP1GczMGvgQrPlLG96FLt4SeHXHF0Lz_d0CpzlYjSFlYN_EZL3c3uSzNOJ0U5QHT_xgjiT4g44eDnq23sU7OLt1V3UpuX05t51CkhQNoMy8n35u3j1aTTSmT=w1200|https://lh3.googleusercontent.com/pw/AP1GczPE4X5TUqzbL-XOG8LTHR4r9MxSrLPUTZJhWLOEts-_GgoJl2XqkOFSYs-iz7L7W1wB-2v00CtUuRBOXzSCrkwZ5-XnGTsT4ET1-29aeThaM6h16I9Z=w1200|https://lh3.googleusercontent.com/pw/AP1GczNVtPcp4RdRI4bA6CzsXDhGGC4XGrxxNCaK5wDAL41Wairdqd3UywQBc1-QZyRFWttCU0eODmVW6iJtnB-LuqyWX71SSn2nYlth_YW30EPZbjAtAe-O=w1200|https://lh3.googleusercontent.com/pw/AP1GczOy7uFWPwFNooBsq_pMlCMynTEjTadwB-R9vyD7NE5TFIMH70SYpzeYV5TrAK8xZyJrLspRRK3GGqZS-jsXIGCnjmryBsgzMWO3oK89uhpR3c6I1s4i=w1200|https://lh3.googleusercontent.com/pw/AP1GczOHLEir9L3a6TJeaBJOUNpydXycoplUYVzhu-61GEc377Dh28QpseS0mn9LK5qk4ekIdusw5HrZep-YwEXP5VuEPMjnGd3lTJ0VxctIS_tkuIvE7PUh=w1200|https://lh3.googleusercontent.com/pw/AP1GczOiFGvwI7uJtXJuWX4B6CI9DFgfm-yTWYK2Qmxiio2f0lU8UrQHCKrXiIdjfcgnfyQT4CKsWzUbBgmSybL9HB7NP-smtU7VhojI_pgAxZ84gmzmT9AQ=w1200|https://lh3.googleusercontent.com/pw/AP1GczMtc7mtjuAsmuuqmDIRONvP-hXnSFGuFCM49JLsbHWYFKLGhwk-BqAhS_Fq0Mo6kOyhTpo1MxXlIRX96Nsl4xx37GUIAD51P9Sy0h5P9FUFt1fN3LQF=w1200|https://lh3.googleusercontent.com/pw/AP1GczNnvQL8tYBJvmgKD-IjwKWfDIz9PgS9CyLm7W2EGTr2z7DU8AUD9cB6iiiulZj1RBMfd_gPAVuTpij1lS3YDNDa5mfZdxBiOx2GKiFRWvYA9id0KQYm=w1200|https://lh3.googleusercontent.com/pw/AP1GczPZ8dpMxTkVSrni6ZohIOFx2G8PnYqZf9iK_X1iqnsC_pT1H18wIGD0dIim_mZmNGoCc11lviD9SSpz3An4cjD2O3s7uUHIR8ptCA6F1EvNiYWCF_Wi=w1200|https://lh3.googleusercontent.com/pw/AP1GczMooy9tXrl5PZYCifoJrukecQDueynwk-qPtNF5rjcHKUxpohGCe3PVKsnl4OcBy9_w6ALAMnQ_Z3DkFgBOOXROCFXtwpCqc1cZZEL_dI0-QNcPTwvN=w1200|https://lh3.googleusercontent.com/pw/AP1GczN1II2p9NY9dD0qtT3_f52-W6gAhpN9sW4gFane-squ2mr_rjiJy1ww0lutUhSlMmNjzeD7D5V-gnVkvCaISqwM8SKb7ay-Muo3nwtip1fu3U1IHa_i=w1200|https://lh3.googleusercontent.com/pw/AP1GczOo1CNcieqzvv1s4hZRErBjt49i7ywjCJnQwsBkn9813Dcd7Rq0EgJIYe1ah5ioM91whuhzEaKRGwLMxaULv3GaYcQNmW42AKEkz_cJTJv6gz2EyXWD=w1200|https://lh3.googleusercontent.com/pw/AP1GczPQrYN_P-ZnahXF8k2r7ikNKvRGjzu3FxpW4mQPVgsI6Lv7U1OPuuIeSXSiBNUFqXe5ADifbCpwGA1Lg9xAUlJPTj5Cfut9Mb0oXilnUpvDONlpVbvC=w1200|https://lh3.googleusercontent.com/pw/AP1GczN8UkOXccd8gEOVzYUPu8VhfWz_y0o3zFYwqZoq3WclU_faehYdF2LNAPDyp4GzAte3XTiZ9jRPKe2KyHpL3L_Ja_IL_WlIO-FZYBFAhej4labSjB75=w1200|https://lh3.googleusercontent.com/pw/AP1GczPONyThAqmNyMZxmpmG6AIh0sUzV30yChNDQ2SmLE09mNkbsF0c-Moh2ZfYRroQqy3dVXjsnuk9BfNoprWTKNZgKzS9n6U3w-kkd698eN_vOkVnhgMP=w1200|https://lh3.googleusercontent.com/pw/AP1GczM3yJNlu_1BiQ7DkF6KVM3JUYB0ZeAhoUpt9mxJSgH1carrrEw_lWRF8PvImCvrh42iTdBKsf6WlrpnL0BP5Rsz5y0pg_pviRzBvQxz5eya7WBhmqcR=w1200|https://lh3.googleusercontent.com/pw/AP1GczOlTiCa800HZW5PZ9eREY7MYRFu-IVseeTqdKp5et22spPGhwhbYycL8HdvpoQS4gPuSv0lntZgVAY-soaYZgP2P7NQHVD66bprSjcGqslSIlmcBiC7=w1200|https://lh3.googleusercontent.com/pw/AP1GczM99TVmBodrivf6vrsELFG8OP4DgxYRqFh0EXFX6YvjFbFFxrkCfXAoinsEj-KjvtmbdRmZuPMQ35tn8mygcsmXeENCZwI3xu0FJbZ1cWLpdwLerHVo=w1200</v>
      </c>
      <c r="AJ256" s="46"/>
      <c r="AK256" s="46"/>
      <c r="AL256" s="46"/>
      <c r="AM256" s="46"/>
      <c r="AN256" s="46"/>
      <c r="AO256" s="46"/>
      <c r="AP256" s="46"/>
      <c r="AQ256" s="46"/>
      <c r="AR256" s="46"/>
      <c r="AS256" s="46"/>
      <c r="AT256" s="46"/>
      <c r="AU256" s="46"/>
      <c r="AV256" s="46"/>
      <c r="AW256" s="46"/>
      <c r="AX256" s="46"/>
      <c r="AY256" s="46"/>
      <c r="AZ256" s="46"/>
      <c r="BA256" s="46"/>
      <c r="BB256" s="46"/>
      <c r="BC256" s="46"/>
      <c r="BD256" s="46"/>
      <c r="BE256" s="46"/>
      <c r="BF256" s="46"/>
      <c r="BG256" s="46"/>
      <c r="BH256" s="46"/>
      <c r="BI256" s="46"/>
      <c r="BJ256" s="46"/>
      <c r="BK256" s="46"/>
      <c r="BL256" s="46"/>
      <c r="BM256" s="46"/>
      <c r="BN256" s="46"/>
      <c r="BO256" s="46"/>
      <c r="BP256" s="46"/>
      <c r="BQ256" s="46"/>
      <c r="BR256" s="46"/>
      <c r="BS256" s="46"/>
      <c r="BT256" s="46"/>
      <c r="BU256" s="46"/>
      <c r="BV256" s="46"/>
      <c r="BW256" s="46"/>
      <c r="BX256" s="46"/>
      <c r="BY256" s="46"/>
      <c r="BZ256" s="46"/>
      <c r="CA256" s="46"/>
      <c r="CB256" s="46"/>
      <c r="CC256" s="46"/>
    </row>
    <row r="257">
      <c r="A257" s="87" t="str">
        <f>IFERROR(__xludf.DUMMYFUNCTION("""COMPUTED_VALUE"""),"733")</f>
        <v>733</v>
      </c>
      <c r="B257" s="46" t="str">
        <f>IFERROR(__xludf.DUMMYFUNCTION("""COMPUTED_VALUE"""),"Oficina en edificio Colseguros - Centro - Caja agraria")</f>
        <v>Oficina en edificio Colseguros - Centro - Caja agraria</v>
      </c>
      <c r="C257" s="46" t="str">
        <f>IFERROR(__xludf.DUMMYFUNCTION("""COMPUTED_VALUE"""),"Oficina")</f>
        <v>Oficina</v>
      </c>
      <c r="D257" s="46" t="str">
        <f>IFERROR(__xludf.DUMMYFUNCTION("""COMPUTED_VALUE"""),"Centro")</f>
        <v>Centro</v>
      </c>
      <c r="E257" s="90"/>
      <c r="F257" s="90">
        <f>IFERROR(__xludf.DUMMYFUNCTION("""COMPUTED_VALUE"""),2.0E8)</f>
        <v>200000000</v>
      </c>
      <c r="G257" s="46" t="str">
        <f>IFERROR(__xludf.DUMMYFUNCTION("""COMPUTED_VALUE"""),"$200'000.000 a $300'000.000")</f>
        <v>$200'000.000 a $300'000.000</v>
      </c>
      <c r="H257" s="46"/>
      <c r="I257" s="46"/>
      <c r="J257" s="46" t="str">
        <f>IFERROR(__xludf.DUMMYFUNCTION("""COMPUTED_VALUE"""),"Centro")</f>
        <v>Centro</v>
      </c>
      <c r="K257" s="87" t="str">
        <f>IFERROR(__xludf.DUMMYFUNCTION("""COMPUTED_VALUE"""),"4")</f>
        <v>4</v>
      </c>
      <c r="L257" s="46">
        <f>IFERROR(__xludf.DUMMYFUNCTION("""COMPUTED_VALUE"""),0.0)</f>
        <v>0</v>
      </c>
      <c r="M257" s="46"/>
      <c r="N257" s="46">
        <f>IFERROR(__xludf.DUMMYFUNCTION("""COMPUTED_VALUE"""),1.0)</f>
        <v>1</v>
      </c>
      <c r="O257" s="46">
        <f>IFERROR(__xludf.DUMMYFUNCTION("""COMPUTED_VALUE"""),0.0)</f>
        <v>0</v>
      </c>
      <c r="P257" s="46">
        <f>IFERROR(__xludf.DUMMYFUNCTION("""COMPUTED_VALUE"""),2.0)</f>
        <v>2</v>
      </c>
      <c r="Q257" s="92">
        <f>IFERROR(__xludf.DUMMYFUNCTION("""COMPUTED_VALUE"""),46.6)</f>
        <v>46.6</v>
      </c>
      <c r="R257" s="92">
        <f>IFERROR(__xludf.DUMMYFUNCTION("""COMPUTED_VALUE"""),46.6)</f>
        <v>46.6</v>
      </c>
      <c r="S257" s="87" t="str">
        <f>IFERROR(__xludf.DUMMYFUNCTION("""COMPUTED_VALUE""")," ")</f>
        <v> </v>
      </c>
      <c r="T257" s="46" t="str">
        <f>IFERROR(__xludf.DUMMYFUNCTION("""COMPUTED_VALUE"""),"Neiva")</f>
        <v>Neiva</v>
      </c>
      <c r="U257" s="87" t="str">
        <f>IFERROR(__xludf.DUMMYFUNCTION("""COMPUTED_VALUE"""),"Comercial")</f>
        <v>Comercial</v>
      </c>
      <c r="V257" s="46" t="str">
        <f>IFERROR(__xludf.DUMMYFUNCTION("""COMPUTED_VALUE"""),"2do.")</f>
        <v>2do.</v>
      </c>
      <c r="W257" s="46"/>
      <c r="X257" s="46">
        <f>IFERROR(__xludf.DUMMYFUNCTION("""COMPUTED_VALUE"""),0.0)</f>
        <v>0</v>
      </c>
      <c r="Y257" s="46" t="str">
        <f>IFERROR(__xludf.DUMMYFUNCTION("""COMPUTED_VALUE"""),"No tiene")</f>
        <v>No tiene</v>
      </c>
      <c r="Z257" s="90">
        <f>IFERROR(__xludf.DUMMYFUNCTION("""COMPUTED_VALUE"""),352000.0)</f>
        <v>352000</v>
      </c>
      <c r="AA257" s="33" t="str">
        <f>IFERROR(__xludf.DUMMYFUNCTION("""COMPUTED_VALUE"""),"No aplica")</f>
        <v>No aplica</v>
      </c>
      <c r="AB257" s="96" t="str">
        <f>IFERROR(__xludf.DUMMYFUNCTION("""COMPUTED_VALUE"""),"https://photos.app.goo.gl/7kh8pv9B3KLyvDfy7")</f>
        <v>https://photos.app.goo.gl/7kh8pv9B3KLyvDfy7</v>
      </c>
      <c r="AC257" s="46" t="str">
        <f>IFERROR(__xludf.DUMMYFUNCTION("""COMPUTED_VALUE"""),"Oficina amplia, con buenos acabados, piso en cerámica, muebles empotrados en madera, divisiones en madera. ")</f>
        <v>Oficina amplia, con buenos acabados, piso en cerámica, muebles empotrados en madera, divisiones en madera. </v>
      </c>
      <c r="AD257" s="46" t="str">
        <f>IFERROR(__xludf.DUMMYFUNCTION("""COMPUTED_VALUE"""),"Oficina central, en edificio Colseguros, Calle 7 con carrera 5 - cerca al Edicio  Caja Agraria. Remodelado. Cableado eléctrico nuevo.")</f>
        <v>Oficina central, en edificio Colseguros, Calle 7 con carrera 5 - cerca al Edicio  Caja Agraria. Remodelado. Cableado eléctrico nuevo.</v>
      </c>
      <c r="AE257" s="46"/>
      <c r="AF257" s="46" t="str">
        <f>IFERROR(__xludf.DUMMYFUNCTION("""COMPUTED_VALUE"""),"básica")</f>
        <v>básica</v>
      </c>
      <c r="AG257" s="46"/>
      <c r="AH257" s="46" t="str">
        <f>IFERROR(__xludf.DUMMYFUNCTION("""COMPUTED_VALUE"""),"Verbal")</f>
        <v>Verbal</v>
      </c>
      <c r="AI257" s="92" t="str">
        <f>IFERROR(__xludf.DUMMYFUNCTION("""COMPUTED_VALUE"""),"https://lh3.googleusercontent.com/pw/AP1GczOFYHbXVSnlqbhaVtnGq0qZPe-k7BOil7pMoCUINly7LDE9rXsj9A9NlDQWxtkdMxekdbdqtqBHO0nsVr8Jibt1lJy8yTd58xiskKQBws2ympPSYhZA=w1200|https://lh3.googleusercontent.com/pw/AP1GczPBkU5LYpnzTSmKSRqvYXKAr1DI6VRCh7xdP-dLIKFfTr7c_H"&amp;"Qc12DrZz3PGWOoaagAKRuDgc73eOsJyhltHN-feSvmbnHwCYgLykTV7vO4bhustTxE=w1200|https://lh3.googleusercontent.com/pw/AP1GczMJA7phoqonqxGkTryaUlvhT31c1nJwUdPkPki1qtH4NT2-XDjqr1gqJadzaY38prcbECr15jMvUxa9PHYjXUlI9T6GdpWDwhAQ32bv8cNccqRzy-FY=w1200|https://lh3.google"&amp;"usercontent.com/pw/AP1GczPafRsTQO3LUlJNUEKEhOBipw4Oy-6Fa6XQbR0z9-xZDCeZZSGtJnpOTByeqnfba3PQgUvuSImekhzR9z1PZLBG08P6435YaIOwLjCCBjKScfgQm7dv=w1200|https://lh3.googleusercontent.com/pw/AP1GczOb7vYj3eqsZD0JD5VF0_kVTroVYtKtEE7PLM7e5vNbZjQy79qdo9wBDTZlEf9A5Jq_"&amp;"3G_8jIu77sTLUiKI9wX6mP94g1pTBLy0A1oKsE-6q4fbFRjp=w1200|https://lh3.googleusercontent.com/pw/AP1GczOfxTGeJd-pWmCIxjfl4jr1wi3ecKiVMIIR1FhPFKezQKJesDvChjpcSGOOnt_OpMqvvoHriS64NNzuEHudjxPAiJ8oZ-n4MJZpms9ubWKaIFKg2eB4=w1200|https://lh3.googleusercontent.com/pw"&amp;"/AP1GczPPsI5KNtRtdvaoBexQEOsSa1WkUo9YSlkPHX3SvlKPL0yceq-nUd_iOHro27PYgr36dudVzK81C3BIZo9AuoNifpIfPAdn26HDZIwt_Ph5qVaryhh3=w1200|https://lh3.googleusercontent.com/pw/AP1GczO5Ao-67C1bvR0_5Fjm4Gv2UuyK2053HcDMkU4cfdG2mXYb5moDtH2QHMsUBHWsJ1t3k1UEdgnuTHnUCt3wFP"&amp;"MvpPaKtq9m0tWcO3laWPmLeCIZxF_i=w1200|https://lh3.googleusercontent.com/pw/AP1GczMYGh9e351WDzMuY95EZgHs-MVXDwFePd_p3nkXEizEIbNJLEbv_31OnnajP7_ykD6lDHceqoL3pyNSZ3BqiS_ZQbrCqLogn-U45QpWoVuxt0SLAnBN=w1200|https://lh3.googleusercontent.com/pw/AP1GczM6YwxmSpuEH"&amp;"UgKbL2E3r_3ywDvhEb791Yi90MaqN478AgXiDceiOkDzRkR8VhLc8fOM4Njmca3UmQ4LuTVm6DmZ9JXbilUd34zsFXhenJ3SiRaxs_r=w1200|https://lh3.googleusercontent.com/pw/AP1GczO24k4XypV9SuRRiLyGV2R1Sdhj5koFR9kaOVNb8SLb9ryDHkGr23WpAFtiu4SdgwPUfQCp9dgtQYG0uGqknTT1nu_l8GdiXf_eTIDQ"&amp;"zlCfeZeONQm6=w1200|https://lh3.googleusercontent.com/pw/AP1GczOgthLZ55-e_V1Z0Oig5bwRdAf_LFd8M8_vnYYyLn-YE1oc7pU7EZ7tPPFi_w9UxmGGvHWn_gVo9Me1nltPjPGtZUPOargsryXmrzm5lzLk2yaaIgkF=w1200|https://lh3.googleusercontent.com/pw/AP1GczNqtYR56WJhsBp0KY98nEVCjZzevwq"&amp;"3S2II80SDFqCscTODY5CrCNk0wNNIg98zh5FGU8O-ADFfpxdz26NYZyhYF95ZRuPmhgpQMG4-nKBiU2v5c-yX=w1200|https://lh3.googleusercontent.com/pw/AP1GczPBnUM2ueLGZxh7SjW971c4no3k4qB15fPd6q612c6HGlwqPAMzYIVG6d-S1BKb3ZFCKPzpP1MnIpmCSPtAFYGJan55OekVxpDEm9Ggy3g-HuXI2x6S=w1200"&amp;"|https://lh3.googleusercontent.com/pw/AP1GczPfLE2UlRO-kEtPX-hgmWGkGBHIFG-EeToW-gR6iPcCz1msmOjO_0mHioIAsWuizhqtg7-O6aYvnIdjuj9Zo4A0FHPCffSY3iSHprm77Jway4K15mav=w1200")</f>
        <v>https://lh3.googleusercontent.com/pw/AP1GczOFYHbXVSnlqbhaVtnGq0qZPe-k7BOil7pMoCUINly7LDE9rXsj9A9NlDQWxtkdMxekdbdqtqBHO0nsVr8Jibt1lJy8yTd58xiskKQBws2ympPSYhZA=w1200|https://lh3.googleusercontent.com/pw/AP1GczPBkU5LYpnzTSmKSRqvYXKAr1DI6VRCh7xdP-dLIKFfTr7c_HQc12DrZz3PGWOoaagAKRuDgc73eOsJyhltHN-feSvmbnHwCYgLykTV7vO4bhustTxE=w1200|https://lh3.googleusercontent.com/pw/AP1GczMJA7phoqonqxGkTryaUlvhT31c1nJwUdPkPki1qtH4NT2-XDjqr1gqJadzaY38prcbECr15jMvUxa9PHYjXUlI9T6GdpWDwhAQ32bv8cNccqRzy-FY=w1200|https://lh3.googleusercontent.com/pw/AP1GczPafRsTQO3LUlJNUEKEhOBipw4Oy-6Fa6XQbR0z9-xZDCeZZSGtJnpOTByeqnfba3PQgUvuSImekhzR9z1PZLBG08P6435YaIOwLjCCBjKScfgQm7dv=w1200|https://lh3.googleusercontent.com/pw/AP1GczOb7vYj3eqsZD0JD5VF0_kVTroVYtKtEE7PLM7e5vNbZjQy79qdo9wBDTZlEf9A5Jq_3G_8jIu77sTLUiKI9wX6mP94g1pTBLy0A1oKsE-6q4fbFRjp=w1200|https://lh3.googleusercontent.com/pw/AP1GczOfxTGeJd-pWmCIxjfl4jr1wi3ecKiVMIIR1FhPFKezQKJesDvChjpcSGOOnt_OpMqvvoHriS64NNzuEHudjxPAiJ8oZ-n4MJZpms9ubWKaIFKg2eB4=w1200|https://lh3.googleusercontent.com/pw/AP1GczPPsI5KNtRtdvaoBexQEOsSa1WkUo9YSlkPHX3SvlKPL0yceq-nUd_iOHro27PYgr36dudVzK81C3BIZo9AuoNifpIfPAdn26HDZIwt_Ph5qVaryhh3=w1200|https://lh3.googleusercontent.com/pw/AP1GczO5Ao-67C1bvR0_5Fjm4Gv2UuyK2053HcDMkU4cfdG2mXYb5moDtH2QHMsUBHWsJ1t3k1UEdgnuTHnUCt3wFPMvpPaKtq9m0tWcO3laWPmLeCIZxF_i=w1200|https://lh3.googleusercontent.com/pw/AP1GczMYGh9e351WDzMuY95EZgHs-MVXDwFePd_p3nkXEizEIbNJLEbv_31OnnajP7_ykD6lDHceqoL3pyNSZ3BqiS_ZQbrCqLogn-U45QpWoVuxt0SLAnBN=w1200|https://lh3.googleusercontent.com/pw/AP1GczM6YwxmSpuEHUgKbL2E3r_3ywDvhEb791Yi90MaqN478AgXiDceiOkDzRkR8VhLc8fOM4Njmca3UmQ4LuTVm6DmZ9JXbilUd34zsFXhenJ3SiRaxs_r=w1200|https://lh3.googleusercontent.com/pw/AP1GczO24k4XypV9SuRRiLyGV2R1Sdhj5koFR9kaOVNb8SLb9ryDHkGr23WpAFtiu4SdgwPUfQCp9dgtQYG0uGqknTT1nu_l8GdiXf_eTIDQzlCfeZeONQm6=w1200|https://lh3.googleusercontent.com/pw/AP1GczOgthLZ55-e_V1Z0Oig5bwRdAf_LFd8M8_vnYYyLn-YE1oc7pU7EZ7tPPFi_w9UxmGGvHWn_gVo9Me1nltPjPGtZUPOargsryXmrzm5lzLk2yaaIgkF=w1200|https://lh3.googleusercontent.com/pw/AP1GczNqtYR56WJhsBp0KY98nEVCjZzevwq3S2II80SDFqCscTODY5CrCNk0wNNIg98zh5FGU8O-ADFfpxdz26NYZyhYF95ZRuPmhgpQMG4-nKBiU2v5c-yX=w1200|https://lh3.googleusercontent.com/pw/AP1GczPBnUM2ueLGZxh7SjW971c4no3k4qB15fPd6q612c6HGlwqPAMzYIVG6d-S1BKb3ZFCKPzpP1MnIpmCSPtAFYGJan55OekVxpDEm9Ggy3g-HuXI2x6S=w1200|https://lh3.googleusercontent.com/pw/AP1GczPfLE2UlRO-kEtPX-hgmWGkGBHIFG-EeToW-gR6iPcCz1msmOjO_0mHioIAsWuizhqtg7-O6aYvnIdjuj9Zo4A0FHPCffSY3iSHprm77Jway4K15mav=w1200</v>
      </c>
      <c r="AJ257" s="46"/>
      <c r="AK257" s="46"/>
      <c r="AL257" s="46"/>
      <c r="AM257" s="46"/>
      <c r="AN257" s="46"/>
      <c r="AO257" s="46"/>
      <c r="AP257" s="46"/>
      <c r="AQ257" s="46"/>
      <c r="AR257" s="46"/>
      <c r="AS257" s="46"/>
      <c r="AT257" s="46"/>
      <c r="AU257" s="46"/>
      <c r="AV257" s="46"/>
      <c r="AW257" s="46"/>
      <c r="AX257" s="46"/>
      <c r="AY257" s="46"/>
      <c r="AZ257" s="46"/>
      <c r="BA257" s="46"/>
      <c r="BB257" s="46"/>
      <c r="BC257" s="46"/>
      <c r="BD257" s="46"/>
      <c r="BE257" s="46"/>
      <c r="BF257" s="46"/>
      <c r="BG257" s="46"/>
      <c r="BH257" s="46"/>
      <c r="BI257" s="46"/>
      <c r="BJ257" s="46"/>
      <c r="BK257" s="46"/>
      <c r="BL257" s="46"/>
      <c r="BM257" s="46"/>
      <c r="BN257" s="46"/>
      <c r="BO257" s="46"/>
      <c r="BP257" s="46"/>
      <c r="BQ257" s="46"/>
      <c r="BR257" s="46"/>
      <c r="BS257" s="46"/>
      <c r="BT257" s="46"/>
      <c r="BU257" s="46"/>
      <c r="BV257" s="46"/>
      <c r="BW257" s="46"/>
      <c r="BX257" s="46"/>
      <c r="BY257" s="46"/>
      <c r="BZ257" s="46"/>
      <c r="CA257" s="46"/>
      <c r="CB257" s="46"/>
      <c r="CC257" s="46"/>
    </row>
    <row r="258">
      <c r="A258" s="87" t="str">
        <f>IFERROR(__xludf.DUMMYFUNCTION("""COMPUTED_VALUE"""),"802")</f>
        <v>802</v>
      </c>
      <c r="B258" s="46" t="str">
        <f>IFERROR(__xludf.DUMMYFUNCTION("""COMPUTED_VALUE"""),"Finca ganadera - Iquira - Pacarni - Huila")</f>
        <v>Finca ganadera - Iquira - Pacarni - Huila</v>
      </c>
      <c r="C258" s="46" t="str">
        <f>IFERROR(__xludf.DUMMYFUNCTION("""COMPUTED_VALUE"""),"Finca")</f>
        <v>Finca</v>
      </c>
      <c r="D258" s="46"/>
      <c r="E258" s="46"/>
      <c r="F258" s="90">
        <f>IFERROR(__xludf.DUMMYFUNCTION("""COMPUTED_VALUE"""),1.8E8)</f>
        <v>180000000</v>
      </c>
      <c r="G258" s="46" t="str">
        <f>IFERROR(__xludf.DUMMYFUNCTION("""COMPUTED_VALUE"""),"$100'000.000 a $200'000.000")</f>
        <v>$100'000.000 a $200'000.000</v>
      </c>
      <c r="H258" s="46"/>
      <c r="I258" s="46"/>
      <c r="J258" s="46" t="str">
        <f>IFERROR(__xludf.DUMMYFUNCTION("""COMPUTED_VALUE"""),"Rural")</f>
        <v>Rural</v>
      </c>
      <c r="K258" s="87"/>
      <c r="L258" s="46">
        <f>IFERROR(__xludf.DUMMYFUNCTION("""COMPUTED_VALUE"""),3.0)</f>
        <v>3</v>
      </c>
      <c r="M258" s="46"/>
      <c r="N258" s="46">
        <f>IFERROR(__xludf.DUMMYFUNCTION("""COMPUTED_VALUE"""),1.0)</f>
        <v>1</v>
      </c>
      <c r="O258" s="46">
        <f>IFERROR(__xludf.DUMMYFUNCTION("""COMPUTED_VALUE"""),0.0)</f>
        <v>0</v>
      </c>
      <c r="P258" s="46">
        <f>IFERROR(__xludf.DUMMYFUNCTION("""COMPUTED_VALUE"""),1.0)</f>
        <v>1</v>
      </c>
      <c r="Q258" s="92">
        <f>IFERROR(__xludf.DUMMYFUNCTION("""COMPUTED_VALUE"""),200.0)</f>
        <v>200</v>
      </c>
      <c r="R258" s="92" t="str">
        <f>IFERROR(__xludf.DUMMYFUNCTION("""COMPUTED_VALUE"""),"150.000.00")</f>
        <v>150.000.00</v>
      </c>
      <c r="S258" s="87"/>
      <c r="T258" s="46" t="str">
        <f>IFERROR(__xludf.DUMMYFUNCTION("""COMPUTED_VALUE"""),"Iquira")</f>
        <v>Iquira</v>
      </c>
      <c r="U258" s="87"/>
      <c r="V258" s="46"/>
      <c r="W258" s="46"/>
      <c r="X258" s="46">
        <f>IFERROR(__xludf.DUMMYFUNCTION("""COMPUTED_VALUE"""),0.0)</f>
        <v>0</v>
      </c>
      <c r="Y258" s="46" t="str">
        <f>IFERROR(__xludf.DUMMYFUNCTION("""COMPUTED_VALUE"""),"No tiene")</f>
        <v>No tiene</v>
      </c>
      <c r="Z258" s="90" t="str">
        <f>IFERROR(__xludf.DUMMYFUNCTION("""COMPUTED_VALUE"""),"No aplica")</f>
        <v>No aplica</v>
      </c>
      <c r="AA258" s="33" t="str">
        <f>IFERROR(__xludf.DUMMYFUNCTION("""COMPUTED_VALUE"""),"No aplica")</f>
        <v>No aplica</v>
      </c>
      <c r="AB258" s="96" t="str">
        <f>IFERROR(__xludf.DUMMYFUNCTION("""COMPUTED_VALUE"""),"https://photos.app.goo.gl/6wdkGQ2CJH1VCgKR9")</f>
        <v>https://photos.app.goo.gl/6wdkGQ2CJH1VCgKR9</v>
      </c>
      <c r="AC258" s="46" t="str">
        <f>IFERROR(__xludf.DUMMYFUNCTION("""COMPUTED_VALUE"""),"AGUA: Propia. Nacederos. CARGA; 15 reses. ALTURA: 1.200 msnm.")</f>
        <v>AGUA: Propia. Nacederos. CARGA; 15 reses. ALTURA: 1.200 msnm.</v>
      </c>
      <c r="AD258" s="46" t="str">
        <f>IFERROR(__xludf.DUMMYFUNCTION("""COMPUTED_VALUE"""),"Abundante agua. Acceso por servidumbre.")</f>
        <v>Abundante agua. Acceso por servidumbre.</v>
      </c>
      <c r="AE258" s="46"/>
      <c r="AF258" s="46" t="str">
        <f>IFERROR(__xludf.DUMMYFUNCTION("""COMPUTED_VALUE"""),"básica")</f>
        <v>básica</v>
      </c>
      <c r="AG258" s="46"/>
      <c r="AH258" s="46" t="str">
        <f>IFERROR(__xludf.DUMMYFUNCTION("""COMPUTED_VALUE"""),"Verbal")</f>
        <v>Verbal</v>
      </c>
      <c r="AI258" s="92" t="str">
        <f>IFERROR(__xludf.DUMMYFUNCTION("""COMPUTED_VALUE"""),"https://lh3.googleusercontent.com/pw/AP1GczObxNGJLRuaL4pLm4SBMy2BrrfIj6K2zVVJLqEb8VPiL0U2pgV21CKb071z0gNonfqwNTpzRdMwJvpioGLFjbga_hIOS2aFnXrRks2p-a-ywESkhGsa=w1200|https://lh3.googleusercontent.com/pw/AP1GczMknw_d3MkOdxYoxfxLzV0ZA9FxcscXHxa6niPIoeKnF7Z5RL"&amp;"pUrPw5-KvFoVzdni-OUqRH1R1Jqp1eFi6UEx9LPimgF9zJFl4P4HILdmY03c4s2ovX=w1200|https://lh3.googleusercontent.com/pw/AP1GczPEaMnGbm3XDK9TioFKNTboOcnkAJNoVa5aQTLl_qKI1ZJBX6-87EVy5vNmez-_8NkcqXuxVzRo1Kv84yAuMSm3UIFH78iZf1Gn9FyRY6wSgn8xNLVg=w1200|https://lh3.google"&amp;"usercontent.com/pw/AP1GczNJN7n4CiX2RNsccfyFHMWzpaX_TQcO8qbMh1P8UF0hv6iOu9tH_TICEB0ImSZ7qaiZGAGKC195KWFmbKjkoXkH_YQhblwdn9qBek0T2mJBk9hg63Z9=w1200|https://lh3.googleusercontent.com/pw/AP1GczMP57iYO-vA8wq8DMMyebGAflTYgDsh7ujCMu1SGEJG2WpWKsiklzSBUKozOB_FnU5I"&amp;"k6K5A13sGMKIJwPnzuFdR9NjoPri9DQDtm09L79nVUOnYUdL=w1200|https://lh3.googleusercontent.com/pw/AP1GczPaKvt6-drhjQqzmfAhEcpcfbTRNX0xWPXrWNukc1cOUJSAqUwzSYkLWogVv-kYAhXdV05BTk5qgcdhiXzBtHb7NNqJ7LeElZ4sf2ifHsVK1MVu8QUu=w1200|https://lh3.googleusercontent.com/pw"&amp;"/AP1GczM7WnZ0fUnZO4Ew6u7kl3FymNJE5HDWQ4RcRCnRPRpZKNaYzADI1DNJScwBwYgsA90nZ3BffsMrXt4UhneVWUsyngAInu1oQTxDiLYgB24TCA08ZrHh=w1200|https://lh3.googleusercontent.com/pw/AP1GczNvNIh_op2w7e36H0hajIehDjKfjHRBQyS7mtLS50sT2VXzmFPxnrIGtc5aYYMhy4wlXxzM7sFgtXOOsdMLjY"&amp;"r428dqWJ30gq8jV2fzbDA5y-RnFDYI=w1200|https://lh3.googleusercontent.com/pw/AP1GczMQrUdFoEn3Pe5Nhk5cqZ50BlPPnej9a2TmdiHi3KfWuF4MCg93OX_GING-kTauqtG5_HX_fxuvAWEXvKtkTlUIUlBPWHpXP-qAo_tSCPkLVkQM5Xn4=w1200|https://lh3.googleusercontent.com/pw/AP1GczNx0X2oD1sXr"&amp;"nALRBH3QgqAyjRPJ3BOUt8V-5GpcWDK3MRqWcsl7WvH68pySlE7zt-Ak0omcJf-Md-4BSn_Z48Z1WZIWp69yDjIR_7K_VAkmvpRCO3A=w1200|https://lh3.googleusercontent.com/pw/AP1GczNDh9FLqT0VmeghRbcmJu3_js1B3sy3QRRcJc7m9IpcOYD0PF9g55MVrZLTwzEESrReEpptiUHqddwec8D9IXbyRQ2yKHhSqhja_cCB"&amp;"rJKQNFm8Rgjd=w1200|https://lh3.googleusercontent.com/pw/AP1GczPcnk986-zGKnEwXXD7m-PSLixrOlXWaU11MpRZD_dzlWljGAqVM87LYsYTzZagdmhWHFJAZg7LJMGWjK97vlgaliqbwTw9ONY1CW67SlQEnFfASG9j=w1200|https://lh3.googleusercontent.com/pw/AP1GczPHHrC-KvnUQBS7i6FbhXz5aZHDd9Y"&amp;"gOcdwYiLhhHlhzvuSnmAAuEGwkKwUtWK7myvWs0ZpOiVzm1p6Vx6CtCOEHNfWn5wJqdX-890pxHQRv7D5dDC-=w1200|https://lh3.googleusercontent.com/pw/AP1GczMN4yhGgXWZmt2Z3puvD9Yl4W-Q2u4Z-0wcQ4rlt7nd5e6s7J-PJ-g8LgEVw_n0WlpZLdUIEGtImTgZG2_F1C8dU5rnH_bLUrpbRQXzIvw6-P76VCK8=w1200")</f>
        <v>https://lh3.googleusercontent.com/pw/AP1GczObxNGJLRuaL4pLm4SBMy2BrrfIj6K2zVVJLqEb8VPiL0U2pgV21CKb071z0gNonfqwNTpzRdMwJvpioGLFjbga_hIOS2aFnXrRks2p-a-ywESkhGsa=w1200|https://lh3.googleusercontent.com/pw/AP1GczMknw_d3MkOdxYoxfxLzV0ZA9FxcscXHxa6niPIoeKnF7Z5RLpUrPw5-KvFoVzdni-OUqRH1R1Jqp1eFi6UEx9LPimgF9zJFl4P4HILdmY03c4s2ovX=w1200|https://lh3.googleusercontent.com/pw/AP1GczPEaMnGbm3XDK9TioFKNTboOcnkAJNoVa5aQTLl_qKI1ZJBX6-87EVy5vNmez-_8NkcqXuxVzRo1Kv84yAuMSm3UIFH78iZf1Gn9FyRY6wSgn8xNLVg=w1200|https://lh3.googleusercontent.com/pw/AP1GczNJN7n4CiX2RNsccfyFHMWzpaX_TQcO8qbMh1P8UF0hv6iOu9tH_TICEB0ImSZ7qaiZGAGKC195KWFmbKjkoXkH_YQhblwdn9qBek0T2mJBk9hg63Z9=w1200|https://lh3.googleusercontent.com/pw/AP1GczMP57iYO-vA8wq8DMMyebGAflTYgDsh7ujCMu1SGEJG2WpWKsiklzSBUKozOB_FnU5Ik6K5A13sGMKIJwPnzuFdR9NjoPri9DQDtm09L79nVUOnYUdL=w1200|https://lh3.googleusercontent.com/pw/AP1GczPaKvt6-drhjQqzmfAhEcpcfbTRNX0xWPXrWNukc1cOUJSAqUwzSYkLWogVv-kYAhXdV05BTk5qgcdhiXzBtHb7NNqJ7LeElZ4sf2ifHsVK1MVu8QUu=w1200|https://lh3.googleusercontent.com/pw/AP1GczM7WnZ0fUnZO4Ew6u7kl3FymNJE5HDWQ4RcRCnRPRpZKNaYzADI1DNJScwBwYgsA90nZ3BffsMrXt4UhneVWUsyngAInu1oQTxDiLYgB24TCA08ZrHh=w1200|https://lh3.googleusercontent.com/pw/AP1GczNvNIh_op2w7e36H0hajIehDjKfjHRBQyS7mtLS50sT2VXzmFPxnrIGtc5aYYMhy4wlXxzM7sFgtXOOsdMLjYr428dqWJ30gq8jV2fzbDA5y-RnFDYI=w1200|https://lh3.googleusercontent.com/pw/AP1GczMQrUdFoEn3Pe5Nhk5cqZ50BlPPnej9a2TmdiHi3KfWuF4MCg93OX_GING-kTauqtG5_HX_fxuvAWEXvKtkTlUIUlBPWHpXP-qAo_tSCPkLVkQM5Xn4=w1200|https://lh3.googleusercontent.com/pw/AP1GczNx0X2oD1sXrnALRBH3QgqAyjRPJ3BOUt8V-5GpcWDK3MRqWcsl7WvH68pySlE7zt-Ak0omcJf-Md-4BSn_Z48Z1WZIWp69yDjIR_7K_VAkmvpRCO3A=w1200|https://lh3.googleusercontent.com/pw/AP1GczNDh9FLqT0VmeghRbcmJu3_js1B3sy3QRRcJc7m9IpcOYD0PF9g55MVrZLTwzEESrReEpptiUHqddwec8D9IXbyRQ2yKHhSqhja_cCBrJKQNFm8Rgjd=w1200|https://lh3.googleusercontent.com/pw/AP1GczPcnk986-zGKnEwXXD7m-PSLixrOlXWaU11MpRZD_dzlWljGAqVM87LYsYTzZagdmhWHFJAZg7LJMGWjK97vlgaliqbwTw9ONY1CW67SlQEnFfASG9j=w1200|https://lh3.googleusercontent.com/pw/AP1GczPHHrC-KvnUQBS7i6FbhXz5aZHDd9YgOcdwYiLhhHlhzvuSnmAAuEGwkKwUtWK7myvWs0ZpOiVzm1p6Vx6CtCOEHNfWn5wJqdX-890pxHQRv7D5dDC-=w1200|https://lh3.googleusercontent.com/pw/AP1GczMN4yhGgXWZmt2Z3puvD9Yl4W-Q2u4Z-0wcQ4rlt7nd5e6s7J-PJ-g8LgEVw_n0WlpZLdUIEGtImTgZG2_F1C8dU5rnH_bLUrpbRQXzIvw6-P76VCK8=w1200</v>
      </c>
      <c r="AJ258" s="46"/>
      <c r="AK258" s="46"/>
      <c r="AL258" s="46"/>
      <c r="AM258" s="46"/>
      <c r="AN258" s="46"/>
      <c r="AO258" s="46"/>
      <c r="AP258" s="46"/>
      <c r="AQ258" s="46"/>
      <c r="AR258" s="46"/>
      <c r="AS258" s="46"/>
      <c r="AT258" s="46"/>
      <c r="AU258" s="46"/>
      <c r="AV258" s="46"/>
      <c r="AW258" s="46"/>
      <c r="AX258" s="46"/>
      <c r="AY258" s="46"/>
      <c r="AZ258" s="46"/>
      <c r="BA258" s="46"/>
      <c r="BB258" s="46"/>
      <c r="BC258" s="46"/>
      <c r="BD258" s="46"/>
      <c r="BE258" s="46"/>
      <c r="BF258" s="46"/>
      <c r="BG258" s="46"/>
      <c r="BH258" s="46"/>
      <c r="BI258" s="46"/>
      <c r="BJ258" s="46"/>
      <c r="BK258" s="46"/>
      <c r="BL258" s="46"/>
      <c r="BM258" s="46"/>
      <c r="BN258" s="46"/>
      <c r="BO258" s="46"/>
      <c r="BP258" s="46"/>
      <c r="BQ258" s="46"/>
      <c r="BR258" s="46"/>
      <c r="BS258" s="46"/>
      <c r="BT258" s="46"/>
      <c r="BU258" s="46"/>
      <c r="BV258" s="46"/>
      <c r="BW258" s="46"/>
      <c r="BX258" s="46"/>
      <c r="BY258" s="46"/>
      <c r="BZ258" s="46"/>
      <c r="CA258" s="46"/>
      <c r="CB258" s="46"/>
      <c r="CC258" s="46"/>
    </row>
    <row r="259">
      <c r="A259" s="87" t="str">
        <f>IFERROR(__xludf.DUMMYFUNCTION("""COMPUTED_VALUE"""),"511")</f>
        <v>511</v>
      </c>
      <c r="B259" s="46" t="str">
        <f>IFERROR(__xludf.DUMMYFUNCTION("""COMPUTED_VALUE"""),"Casa en barrio Fortalecillas")</f>
        <v>Casa en barrio Fortalecillas</v>
      </c>
      <c r="C259" s="46" t="str">
        <f>IFERROR(__xludf.DUMMYFUNCTION("""COMPUTED_VALUE"""),"Casa")</f>
        <v>Casa</v>
      </c>
      <c r="D259" s="46"/>
      <c r="E259" s="46"/>
      <c r="F259" s="90">
        <f>IFERROR(__xludf.DUMMYFUNCTION("""COMPUTED_VALUE"""),1.75E8)</f>
        <v>175000000</v>
      </c>
      <c r="G259" s="46" t="str">
        <f>IFERROR(__xludf.DUMMYFUNCTION("""COMPUTED_VALUE"""),"$100'000.000 a $200'000.000")</f>
        <v>$100'000.000 a $200'000.000</v>
      </c>
      <c r="H259" s="46"/>
      <c r="I259" s="46"/>
      <c r="J259" s="46" t="str">
        <f>IFERROR(__xludf.DUMMYFUNCTION("""COMPUTED_VALUE"""),"Norte")</f>
        <v>Norte</v>
      </c>
      <c r="K259" s="87"/>
      <c r="L259" s="46">
        <f>IFERROR(__xludf.DUMMYFUNCTION("""COMPUTED_VALUE"""),4.0)</f>
        <v>4</v>
      </c>
      <c r="M259" s="46"/>
      <c r="N259" s="46">
        <f>IFERROR(__xludf.DUMMYFUNCTION("""COMPUTED_VALUE"""),2.0)</f>
        <v>2</v>
      </c>
      <c r="O259" s="46">
        <f>IFERROR(__xludf.DUMMYFUNCTION("""COMPUTED_VALUE"""),2.0)</f>
        <v>2</v>
      </c>
      <c r="P259" s="46">
        <f>IFERROR(__xludf.DUMMYFUNCTION("""COMPUTED_VALUE"""),1.0)</f>
        <v>1</v>
      </c>
      <c r="Q259" s="92"/>
      <c r="R259" s="92"/>
      <c r="S259" s="87" t="str">
        <f>IFERROR(__xludf.DUMMYFUNCTION("""COMPUTED_VALUE""")," ")</f>
        <v> </v>
      </c>
      <c r="T259" s="46" t="str">
        <f>IFERROR(__xludf.DUMMYFUNCTION("""COMPUTED_VALUE"""),"Fortalecillas")</f>
        <v>Fortalecillas</v>
      </c>
      <c r="U259" s="87" t="str">
        <f>IFERROR(__xludf.DUMMYFUNCTION("""COMPUTED_VALUE"""),"2")</f>
        <v>2</v>
      </c>
      <c r="V259" s="46" t="str">
        <f>IFERROR(__xludf.DUMMYFUNCTION("""COMPUTED_VALUE"""),"Esquinera")</f>
        <v>Esquinera</v>
      </c>
      <c r="W259" s="46"/>
      <c r="X259" s="46">
        <f>IFERROR(__xludf.DUMMYFUNCTION("""COMPUTED_VALUE"""),2.0)</f>
        <v>2</v>
      </c>
      <c r="Y259" s="46" t="str">
        <f>IFERROR(__xludf.DUMMYFUNCTION("""COMPUTED_VALUE"""),"No tiene")</f>
        <v>No tiene</v>
      </c>
      <c r="Z259" s="90" t="str">
        <f>IFERROR(__xludf.DUMMYFUNCTION("""COMPUTED_VALUE"""),"No aplica")</f>
        <v>No aplica</v>
      </c>
      <c r="AA259" s="33" t="str">
        <f>IFERROR(__xludf.DUMMYFUNCTION("""COMPUTED_VALUE"""),"No aplica")</f>
        <v>No aplica</v>
      </c>
      <c r="AB259" s="96" t="str">
        <f>IFERROR(__xludf.DUMMYFUNCTION("""COMPUTED_VALUE"""),"https://photos.app.goo.gl/6Buyq38oXsPZVuni7")</f>
        <v>https://photos.app.goo.gl/6Buyq38oXsPZVuni7</v>
      </c>
      <c r="AC259" s="46" t="str">
        <f>IFERROR(__xludf.DUMMYFUNCTION("""COMPUTED_VALUE"""),"Fortalecillas")</f>
        <v>Fortalecillas</v>
      </c>
      <c r="AD259" s="46" t="str">
        <f>IFERROR(__xludf.DUMMYFUNCTION("""COMPUTED_VALUE"""),"Casa  amplia. Cuenta con un patio interno y patio  exterior amplio con Bbq, árboles frutales de mandarina, mangas, limones, arazá y guanábana. Juego para niños. Ubicada sobre vía vehicular. Escritura al día. No se permuta.")</f>
        <v>Casa  amplia. Cuenta con un patio interno y patio  exterior amplio con Bbq, árboles frutales de mandarina, mangas, limones, arazá y guanábana. Juego para niños. Ubicada sobre vía vehicular. Escritura al día. No se permuta.</v>
      </c>
      <c r="AE259" s="46"/>
      <c r="AF259" s="46" t="str">
        <f>IFERROR(__xludf.DUMMYFUNCTION("""COMPUTED_VALUE"""),"integral")</f>
        <v>integral</v>
      </c>
      <c r="AG259" s="46"/>
      <c r="AH259" s="46" t="str">
        <f>IFERROR(__xludf.DUMMYFUNCTION("""COMPUTED_VALUE"""),"Verbal")</f>
        <v>Verbal</v>
      </c>
      <c r="AI259" s="92" t="str">
        <f>IFERROR(__xludf.DUMMYFUNCTION("""COMPUTED_VALUE"""),"https://lh3.googleusercontent.com/pw/AP1GczOX2hV-uuNUrra1AChoacnbb_TlY7uvb52x90L-1TxgB_LPUKrxTFF2IE8doQozY33hoQyan4gJfdqGBLd4HFHUgB7Cr6eRYXpFEQWDv4gxOUVcHQQW=w1200|https://lh3.googleusercontent.com/pw/AP1GczM1VmLl4rmMN4sLBXPv5jsNlEXdTGJOqGNaanNHMk3MZ4UcjP"&amp;"MKjG6u9utjlSsEcVTATgQR98yr1t1I1Jjc7CiKq6DO2BU61-9LlzIYaA-69PVWp27P=w1200|https://lh3.googleusercontent.com/pw/AP1GczOJQDFpyseTPgDxy-KfKwW5Euh1gKJNeBx9oTvr2Tl-jlD5i_itjxd_fCqMtFRMImlQfeKN9kyoX0X6Pdd3YCxdaa9DdB9m18gEgWxtRWFmJOm8kyZf=w1200|https://lh3.google"&amp;"usercontent.com/pw/AP1GczMYZSjIM33zMFpAs1rvUB8uoeL0_5eUNp-p8DxZyTGhBSFl6aBjhLn3Qbo-r9K_ZVco1xiuX9yLPDkaYLyNFNYOpW6f4Evd4nin5b4OcV2iCXxZnRPa=w1200|https://lh3.googleusercontent.com/pw/AP1GczO6kI2LBffXs6zR2eP8gE79EWNnvRUJHWwkcSjZQjA-3wo9IjF5nsqLkzfLxbR-6ILi"&amp;"mdJr6zInul3Y57CWcDR1-K1IortyeGC7419_qOFo93-Pcbvp=w1200|https://lh3.googleusercontent.com/pw/AP1GczPTmgGViEDSNWlw9esJpnOtCHFoe4oXD_NCKGnw7RFEV25HmBac1Q4p_GWH8F4aOxzBV__AOeFEhC-IxCRY52uCYRLa-7VEyFV_hNVMx8c5odBi6SD8=w1200|https://lh3.googleusercontent.com/pw"&amp;"/AP1GczP7282KfgOfBaAL_Zmd9DBtltcXG0JctWPY6WwePlcRQlrgwuOgLD6WVl9Tn_Xxm-dfUaQI7qqUxVvu2klfOwNMBcbgfX6lqd5Nu8yMfB_XRGymANui=w1200|https://lh3.googleusercontent.com/pw/AP1GczMbGgz0jZZXMRAiRFQdz3smkaI9W9SXaeyUE4YKa0G_HvITWif0F6VgQrpShLTv4Yg4heJAUPVb5Aiu3JNwtg"&amp;"RHEQBBgTbRm0sPx0uOWdPw4gz30AtV=w1200|https://lh3.googleusercontent.com/pw/AP1GczNtF1bRMtwCMvPbEIqT0aOj0xyWSAuMSzAJmlcsJ7LJge3oOg0Zcb4M3ds1-fYcA8cBuVSEeVLOC9Yxl-lBNe6PSFdJDF3aCaDICg1oDiJZbl3fgOs4=w1200|https://lh3.googleusercontent.com/pw/AP1GczMolcuLYRFly"&amp;"3YSiV364hUrddMHU38ORuRL0-dzy9xFvsuOuTk6n7kYcs-jSEaFtXXMMX4NfPCfmuuHu_BkWhQQ9M9jGw7tuvfe2CyYRabmgZvr_fxV=w1200|https://lh3.googleusercontent.com/pw/AP1GczNugs1X6Ikb_QVCY9E9KcXAM1I1lpcorotoEZej8lHaq165O0TgTTN6qy2eC0iGN7XidV2ii4aHWs1tUGXKyDho2qAcZTV4PtVrku0V"&amp;"6qCRnlBlAD3n=w1200|https://lh3.googleusercontent.com/pw/AP1GczPuhTdMu4l79AdEp1jvi3BWAmdDqcihQsC0wEFLXfZx7OUmETx3YvH2Z96yx6zYpsPDvJOb0ejp2AVU1H5Hlh8imt-9Rcz7Bfqy1Wl0GwitD3gtDrEB=w1200")</f>
        <v>https://lh3.googleusercontent.com/pw/AP1GczOX2hV-uuNUrra1AChoacnbb_TlY7uvb52x90L-1TxgB_LPUKrxTFF2IE8doQozY33hoQyan4gJfdqGBLd4HFHUgB7Cr6eRYXpFEQWDv4gxOUVcHQQW=w1200|https://lh3.googleusercontent.com/pw/AP1GczM1VmLl4rmMN4sLBXPv5jsNlEXdTGJOqGNaanNHMk3MZ4UcjPMKjG6u9utjlSsEcVTATgQR98yr1t1I1Jjc7CiKq6DO2BU61-9LlzIYaA-69PVWp27P=w1200|https://lh3.googleusercontent.com/pw/AP1GczOJQDFpyseTPgDxy-KfKwW5Euh1gKJNeBx9oTvr2Tl-jlD5i_itjxd_fCqMtFRMImlQfeKN9kyoX0X6Pdd3YCxdaa9DdB9m18gEgWxtRWFmJOm8kyZf=w1200|https://lh3.googleusercontent.com/pw/AP1GczMYZSjIM33zMFpAs1rvUB8uoeL0_5eUNp-p8DxZyTGhBSFl6aBjhLn3Qbo-r9K_ZVco1xiuX9yLPDkaYLyNFNYOpW6f4Evd4nin5b4OcV2iCXxZnRPa=w1200|https://lh3.googleusercontent.com/pw/AP1GczO6kI2LBffXs6zR2eP8gE79EWNnvRUJHWwkcSjZQjA-3wo9IjF5nsqLkzfLxbR-6ILimdJr6zInul3Y57CWcDR1-K1IortyeGC7419_qOFo93-Pcbvp=w1200|https://lh3.googleusercontent.com/pw/AP1GczPTmgGViEDSNWlw9esJpnOtCHFoe4oXD_NCKGnw7RFEV25HmBac1Q4p_GWH8F4aOxzBV__AOeFEhC-IxCRY52uCYRLa-7VEyFV_hNVMx8c5odBi6SD8=w1200|https://lh3.googleusercontent.com/pw/AP1GczP7282KfgOfBaAL_Zmd9DBtltcXG0JctWPY6WwePlcRQlrgwuOgLD6WVl9Tn_Xxm-dfUaQI7qqUxVvu2klfOwNMBcbgfX6lqd5Nu8yMfB_XRGymANui=w1200|https://lh3.googleusercontent.com/pw/AP1GczMbGgz0jZZXMRAiRFQdz3smkaI9W9SXaeyUE4YKa0G_HvITWif0F6VgQrpShLTv4Yg4heJAUPVb5Aiu3JNwtgRHEQBBgTbRm0sPx0uOWdPw4gz30AtV=w1200|https://lh3.googleusercontent.com/pw/AP1GczNtF1bRMtwCMvPbEIqT0aOj0xyWSAuMSzAJmlcsJ7LJge3oOg0Zcb4M3ds1-fYcA8cBuVSEeVLOC9Yxl-lBNe6PSFdJDF3aCaDICg1oDiJZbl3fgOs4=w1200|https://lh3.googleusercontent.com/pw/AP1GczMolcuLYRFly3YSiV364hUrddMHU38ORuRL0-dzy9xFvsuOuTk6n7kYcs-jSEaFtXXMMX4NfPCfmuuHu_BkWhQQ9M9jGw7tuvfe2CyYRabmgZvr_fxV=w1200|https://lh3.googleusercontent.com/pw/AP1GczNugs1X6Ikb_QVCY9E9KcXAM1I1lpcorotoEZej8lHaq165O0TgTTN6qy2eC0iGN7XidV2ii4aHWs1tUGXKyDho2qAcZTV4PtVrku0V6qCRnlBlAD3n=w1200|https://lh3.googleusercontent.com/pw/AP1GczPuhTdMu4l79AdEp1jvi3BWAmdDqcihQsC0wEFLXfZx7OUmETx3YvH2Z96yx6zYpsPDvJOb0ejp2AVU1H5Hlh8imt-9Rcz7Bfqy1Wl0GwitD3gtDrEB=w1200</v>
      </c>
      <c r="AJ259" s="46"/>
      <c r="AK259" s="46"/>
      <c r="AL259" s="46"/>
      <c r="AM259" s="46"/>
      <c r="AN259" s="46"/>
      <c r="AO259" s="46"/>
      <c r="AP259" s="46"/>
      <c r="AQ259" s="46"/>
      <c r="AR259" s="46"/>
      <c r="AS259" s="46"/>
      <c r="AT259" s="46"/>
      <c r="AU259" s="46"/>
      <c r="AV259" s="46"/>
      <c r="AW259" s="46"/>
      <c r="AX259" s="46"/>
      <c r="AY259" s="46"/>
      <c r="AZ259" s="46"/>
      <c r="BA259" s="46"/>
      <c r="BB259" s="46"/>
      <c r="BC259" s="46"/>
      <c r="BD259" s="46"/>
      <c r="BE259" s="46"/>
      <c r="BF259" s="46"/>
      <c r="BG259" s="46"/>
      <c r="BH259" s="46"/>
      <c r="BI259" s="46"/>
      <c r="BJ259" s="46"/>
      <c r="BK259" s="46"/>
      <c r="BL259" s="46"/>
      <c r="BM259" s="46"/>
      <c r="BN259" s="46"/>
      <c r="BO259" s="46"/>
      <c r="BP259" s="46"/>
      <c r="BQ259" s="46"/>
      <c r="BR259" s="46"/>
      <c r="BS259" s="46"/>
      <c r="BT259" s="46"/>
      <c r="BU259" s="46"/>
      <c r="BV259" s="46"/>
      <c r="BW259" s="46"/>
      <c r="BX259" s="46"/>
      <c r="BY259" s="46"/>
      <c r="BZ259" s="46"/>
      <c r="CA259" s="46"/>
      <c r="CB259" s="46"/>
      <c r="CC259" s="46"/>
    </row>
    <row r="260">
      <c r="A260" s="46">
        <f>IFERROR(__xludf.DUMMYFUNCTION("""COMPUTED_VALUE"""),847.0)</f>
        <v>847</v>
      </c>
      <c r="B260" s="46" t="str">
        <f>IFERROR(__xludf.DUMMYFUNCTION("""COMPUTED_VALUE"""),"Casa con 2 apartamentos en barrio Alfonso López - Sur")</f>
        <v>Casa con 2 apartamentos en barrio Alfonso López - Sur</v>
      </c>
      <c r="C260" s="46" t="str">
        <f>IFERROR(__xludf.DUMMYFUNCTION("""COMPUTED_VALUE"""),"Casa rentable")</f>
        <v>Casa rentable</v>
      </c>
      <c r="D260" s="46" t="str">
        <f>IFERROR(__xludf.DUMMYFUNCTION("""COMPUTED_VALUE"""),"Alfonso López")</f>
        <v>Alfonso López</v>
      </c>
      <c r="E260" s="46"/>
      <c r="F260" s="90">
        <f>IFERROR(__xludf.DUMMYFUNCTION("""COMPUTED_VALUE"""),1.6E8)</f>
        <v>160000000</v>
      </c>
      <c r="G260" s="46" t="str">
        <f>IFERROR(__xludf.DUMMYFUNCTION("""COMPUTED_VALUE"""),"$100'000.000 a $200'000.000")</f>
        <v>$100'000.000 a $200'000.000</v>
      </c>
      <c r="H260" s="46"/>
      <c r="I260" s="46"/>
      <c r="J260" s="46" t="str">
        <f>IFERROR(__xludf.DUMMYFUNCTION("""COMPUTED_VALUE"""),"Sur")</f>
        <v>Sur</v>
      </c>
      <c r="K260" s="46">
        <f>IFERROR(__xludf.DUMMYFUNCTION("""COMPUTED_VALUE"""),8.0)</f>
        <v>8</v>
      </c>
      <c r="L260" s="46">
        <f>IFERROR(__xludf.DUMMYFUNCTION("""COMPUTED_VALUE"""),4.0)</f>
        <v>4</v>
      </c>
      <c r="M260" s="46"/>
      <c r="N260" s="46">
        <f>IFERROR(__xludf.DUMMYFUNCTION("""COMPUTED_VALUE"""),2.0)</f>
        <v>2</v>
      </c>
      <c r="O260" s="46">
        <f>IFERROR(__xludf.DUMMYFUNCTION("""COMPUTED_VALUE"""),2.0)</f>
        <v>2</v>
      </c>
      <c r="P260" s="46">
        <f>IFERROR(__xludf.DUMMYFUNCTION("""COMPUTED_VALUE"""),1.0)</f>
        <v>1</v>
      </c>
      <c r="Q260" s="92">
        <f>IFERROR(__xludf.DUMMYFUNCTION("""COMPUTED_VALUE"""),108.0)</f>
        <v>108</v>
      </c>
      <c r="R260" s="92">
        <f>IFERROR(__xludf.DUMMYFUNCTION("""COMPUTED_VALUE"""),108.0)</f>
        <v>108</v>
      </c>
      <c r="S260" s="87" t="str">
        <f>IFERROR(__xludf.DUMMYFUNCTION("""COMPUTED_VALUE"""),"Rentabilidad $1,050,000")</f>
        <v>Rentabilidad $1,050,000</v>
      </c>
      <c r="T260" s="46" t="str">
        <f>IFERROR(__xludf.DUMMYFUNCTION("""COMPUTED_VALUE"""),"Neiva")</f>
        <v>Neiva</v>
      </c>
      <c r="U260" s="46">
        <f>IFERROR(__xludf.DUMMYFUNCTION("""COMPUTED_VALUE"""),2.0)</f>
        <v>2</v>
      </c>
      <c r="V260" s="46" t="str">
        <f>IFERROR(__xludf.DUMMYFUNCTION("""COMPUTED_VALUE"""),"Medianera")</f>
        <v>Medianera</v>
      </c>
      <c r="W260" s="46"/>
      <c r="X260" s="46">
        <f>IFERROR(__xludf.DUMMYFUNCTION("""COMPUTED_VALUE"""),0.0)</f>
        <v>0</v>
      </c>
      <c r="Y260" s="46" t="str">
        <f>IFERROR(__xludf.DUMMYFUNCTION("""COMPUTED_VALUE"""),"No tiene")</f>
        <v>No tiene</v>
      </c>
      <c r="Z260" s="46" t="str">
        <f>IFERROR(__xludf.DUMMYFUNCTION("""COMPUTED_VALUE"""),"No aplica")</f>
        <v>No aplica</v>
      </c>
      <c r="AA260" s="33" t="str">
        <f>IFERROR(__xludf.DUMMYFUNCTION("""COMPUTED_VALUE"""),"13 años")</f>
        <v>13 años</v>
      </c>
      <c r="AB260" s="96" t="str">
        <f>IFERROR(__xludf.DUMMYFUNCTION("""COMPUTED_VALUE"""),"https://photos.app.goo.gl/BSCAZzjFCwecqKVA9")</f>
        <v>https://photos.app.goo.gl/BSCAZzjFCwecqKVA9</v>
      </c>
      <c r="AC260" s="46" t="str">
        <f>IFERROR(__xludf.DUMMYFUNCTION("""COMPUTED_VALUE"""),"Casa con 2 apartamentos, cada apartamento cuenta con los servicios públicos independientes. Piso en cerámica, Cada habitación con puerta, no closet. Cubierta en zinc (antejardín), interior en  teja tipo metaltec  con cercahas en perfil metálico. cocina bá"&amp;"sica enchapada y baño. Tanque elevado de 500 lts.")</f>
        <v>Casa con 2 apartamentos, cada apartamento cuenta con los servicios públicos independientes. Piso en cerámica, Cada habitación con puerta, no closet. Cubierta en zinc (antejardín), interior en  teja tipo metaltec  con cercahas en perfil metálico. cocina básica enchapada y baño. Tanque elevado de 500 lts.</v>
      </c>
      <c r="AD260" s="46" t="str">
        <f>IFERROR(__xludf.DUMMYFUNCTION("""COMPUTED_VALUE"""),"Cuenta con reja antejardin. Cada apartamento  con garaje para vehículo o mpto. Estrato 2.")</f>
        <v>Cuenta con reja antejardin. Cada apartamento  con garaje para vehículo o mpto. Estrato 2.</v>
      </c>
      <c r="AE260" s="46"/>
      <c r="AF260" s="46" t="str">
        <f>IFERROR(__xludf.DUMMYFUNCTION("""COMPUTED_VALUE"""),"básica")</f>
        <v>básica</v>
      </c>
      <c r="AG260" s="46"/>
      <c r="AH260" s="46" t="str">
        <f>IFERROR(__xludf.DUMMYFUNCTION("""COMPUTED_VALUE"""),"Verbal")</f>
        <v>Verbal</v>
      </c>
      <c r="AI260" s="46" t="str">
        <f>IFERROR(__xludf.DUMMYFUNCTION("""COMPUTED_VALUE"""),"https://lh3.googleusercontent.com/pw/AP1GczOqe50zM2IC3g__jFHGPItYlzmS68HHhvgb4p_aaWK0Q8fOY9ab7jvW-_7g2c0L7mCLvLKUKi1RAOv_ZhF9Vbay-w64GQLZtgk_zDiRXw5rmbGpq-Ff=w1200|https://lh3.googleusercontent.com/pw/AP1GczPHIKvZlMr6Ct8xGetB1uYiDEE8VokQB6AMDXT1Y4uwLZfPrp"&amp;"OON1Qvtz7yHnsDJf_vI9sVBZ1RcCdXhAXL9MbkQzjDFNqwsk3t2hdbWvtE8DKs1csu=w1200|https://lh3.googleusercontent.com/pw/AP1GczNxzfWRyzunoOAX3LnzCBfHUezCbE0sVzNGtUo5sPJ4Ev6hsOZyn7LOqKxvyXAL2WUssLJkZfuiTlUePq2YbKAZicqXrWkqUIwGBEo-LQar9kMV9ywU=w1200|https://lh3.google"&amp;"usercontent.com/pw/AP1GczNuKbcFdiex_kMp8tQZr_UqZNQnucVogORjF7BOZNoC96o1eJgVqHXsyjd-ocjtk2-7DAz-hZ2VFcogTUlp_cdzB6gZ8ALlxGKJp562hjstAV7tCyba=w1200|https://lh3.googleusercontent.com/pw/AP1GczPLaGTHUSXRSjlSXFlEAqrLlbs-NUbK5ASwALw9j95q7xgzct23e6mXOmjPSmFHTCBX"&amp;"jojUpm0fcVH6ISozGJxdOf5iJ8P2uLEV6T-ZbP2o3tkykMwY=w1200|https://lh3.googleusercontent.com/pw/AP1GczOeYuQllfVSr_6t5mgsX2Hp5agVHiUqSLp0CtjCjU-Qy1DNDFJzjRxF43JbVfNpGC2d6yrqku193yKMna7GXeBwoCe6dUlssW6pPqYyNHL8dFJJdNZ8=w1200|https://lh3.googleusercontent.com/pw"&amp;"/AP1GczPR_GGVSzykRUuR6vz9FbwHFAmygf0mG0aS51qMRSNPnCYicicC3IrGzMiNk4MQ96uJMezWuySuxvffEinvAqva5A8DpHWNNTTTq7faEVJ-d1vE-ija=w1200|https://lh3.googleusercontent.com/pw/AP1GczONQspDoa61lhjxibGPT119a0wHA_y0gRQteN23yWDzh0Bht2HC0fHa8ne6ScgYmSygJLbS6Qzr_oZXWoWutF"&amp;"xes2B1YPgVq0X77426UcldgI3rOkEE=w1200|https://lh3.googleusercontent.com/pw/AP1GczOWx5_N3dT9vR0Qy2bhZ5ignyHkI7sXffTBl8ph3xQk5eemotERyER0cYrdhR-T_n-MY4zSfWvTDusuznf-bpCXpyVMvnOthKrqdiOBmtyS4o403mCP=w1200|https://lh3.googleusercontent.com/pw/AP1GczOoiOarKhVpK"&amp;"CZ_RFWyEh2bpK6YOSlPJx6IzF-hswp_5H_hy8bOE__l9edJ8iBbU6VL1AcLLcMD8LUpiHdNbrPYyGsCaIRL2Jslx5gbCsuRZ9hAJi62=w1200|https://lh3.googleusercontent.com/pw/AP1GczPGB8NrsLrLelHAgbs6qqXumJ2qO57BotRhKSHvh3MK9B7muFCNvaqF8-sC_uprIsZsyQM12E-hCYjy5w-cGUIyUdSyVp73lvQRHbfZ"&amp;"-t-z9cEIh2Wv=w1200|https://lh3.googleusercontent.com/pw/AP1GczO1Z5IqNgbELeOkEUU4jQbna4YV8JEJDfwJjJScP1ZNxrGzGRBMLce-0LNdunymdzkL-K9-tWSdFRvAlOa4aqr8Cq-g7SXSo0zTqOD855ooHs7NiNdZ=w1200|https://lh3.googleusercontent.com/pw/AP1GczMB4CFccqnu07A0tZWDrfHFkZbbRpX"&amp;"iwDb_NMTu9eTNOSg0fPh45xo9qll2R0lnu72QzjX4THb-DKRP-bMiLyutKUMdWa1eAJ0OLDTm1wUmhEv07wzc=w1200|https://lh3.googleusercontent.com/pw/AP1GczPbUjYyBXGtzVMTK21u4_oKRx_JBOAub0nvVlXvdeKrj4QRGS-XblgfsO8K5YBnJB3y1vhRHL01GPUrGA0sWFgCCJzUdhlUpZRWq_UbH6ltuM2LBBHY=w1200"&amp;"|https://lh3.googleusercontent.com/pw/AP1GczMNiTzwl-iVMvJA3Z51gkDu4bB2Xef36Dm8HK0jBV2J6DL3pL4wYqkR5evIWNH5ageOCO50zD_Uaz_jR88y3J8cbyWvK5AQf00rH0haLRey-wJM-5WX=w1200|https://lh3.googleusercontent.com/pw/AP1GczM0MHvId6t8roLtvjteCE3fsDDn_TI7YuZRsyjih-tqTLKam"&amp;"rHp358msrtLm1zPhNPNXkmEtl6Hyi_FkU2XGWzab2dDiVFHN68nzl3g3ApDU3nE13K8=w1200|https://lh3.googleusercontent.com/pw/AP1GczNRB-dm6r26i4hCDRkldq6Yjzm7pRmCqyINDV81J1anhFXIS7sacFTZPaxAwPxWsoUtSEEgBd9amvN2qC9rqkNPekFGgoGdbL252uAB-cGm1HJlDjtO=w1200|https://lh3.googl"&amp;"eusercontent.com/pw/AP1GczM043doPjEKToANEIfWA-HsEEvTPMU4Yolek5keIo47tbRHkjhy9HHZrxGa0wJxrMJZ1w7JZM2TRo-p9TXMUBuRQOJyakcM_2LhmD0Zu7dJk4GVoWrB=w1200|https://lh3.googleusercontent.com/pw/AP1GczMwiiB2u7LlPSbOTTiGf2yrQt9raFhHrHX0p4brHgWtu3_Nqu5vnAchrthE0wPmKpm"&amp;"jDk07sPk15AciqNPmpQZlH9YASGJ7N3dZZrR2nZkyA0mdk1nU=w1200|https://lh3.googleusercontent.com/pw/AP1GczPo1a1uqKWcYx-Q18eWWl9QnWAa7OgVxtWKZUsGHxISx1cXtBB8SPQCB3VDDHSjWwBlj_mJmsf6uLvV2T_0vwHDp-tgoaQiPWFe5xbF471KrqwhrjU7=w1200|https://lh3.googleusercontent.com/p"&amp;"w/AP1GczPvdUOkL_pUsVu1RYfpADOMgsHl5OF-UuCTRoD4wgkDssOITviRlHIsmpROrwqdul4OV0gMckznGFZkEfZhgCIKdCHPPMaU_5AHi0yJI6-0sNxiybGb=w1200|https://lh3.googleusercontent.com/pw/AP1GczOE_Ml822TRoBmHY2Yp4OLWthZYmPnCXFXHdgMPPrNXDTu81BVc-CLH3HNjXn-AGP4lUB4_dehi2Yz0zwnvq"&amp;"xBjPjaBcVfw1y22SQQS82sdfPHotOFj=w1200|https://lh3.googleusercontent.com/pw/AP1GczNe04spoQV1S114e0HLxersXHUwclXlY_9NjAuNDhERpB4jqWhCdLVosVerRdyIme9-i9yCt-PjmhsMRzp45V9jxl_MnqtWf1DIcN3aw5w3tXpFqsxO=w1200")</f>
        <v>https://lh3.googleusercontent.com/pw/AP1GczOqe50zM2IC3g__jFHGPItYlzmS68HHhvgb4p_aaWK0Q8fOY9ab7jvW-_7g2c0L7mCLvLKUKi1RAOv_ZhF9Vbay-w64GQLZtgk_zDiRXw5rmbGpq-Ff=w1200|https://lh3.googleusercontent.com/pw/AP1GczPHIKvZlMr6Ct8xGetB1uYiDEE8VokQB6AMDXT1Y4uwLZfPrpOON1Qvtz7yHnsDJf_vI9sVBZ1RcCdXhAXL9MbkQzjDFNqwsk3t2hdbWvtE8DKs1csu=w1200|https://lh3.googleusercontent.com/pw/AP1GczNxzfWRyzunoOAX3LnzCBfHUezCbE0sVzNGtUo5sPJ4Ev6hsOZyn7LOqKxvyXAL2WUssLJkZfuiTlUePq2YbKAZicqXrWkqUIwGBEo-LQar9kMV9ywU=w1200|https://lh3.googleusercontent.com/pw/AP1GczNuKbcFdiex_kMp8tQZr_UqZNQnucVogORjF7BOZNoC96o1eJgVqHXsyjd-ocjtk2-7DAz-hZ2VFcogTUlp_cdzB6gZ8ALlxGKJp562hjstAV7tCyba=w1200|https://lh3.googleusercontent.com/pw/AP1GczPLaGTHUSXRSjlSXFlEAqrLlbs-NUbK5ASwALw9j95q7xgzct23e6mXOmjPSmFHTCBXjojUpm0fcVH6ISozGJxdOf5iJ8P2uLEV6T-ZbP2o3tkykMwY=w1200|https://lh3.googleusercontent.com/pw/AP1GczOeYuQllfVSr_6t5mgsX2Hp5agVHiUqSLp0CtjCjU-Qy1DNDFJzjRxF43JbVfNpGC2d6yrqku193yKMna7GXeBwoCe6dUlssW6pPqYyNHL8dFJJdNZ8=w1200|https://lh3.googleusercontent.com/pw/AP1GczPR_GGVSzykRUuR6vz9FbwHFAmygf0mG0aS51qMRSNPnCYicicC3IrGzMiNk4MQ96uJMezWuySuxvffEinvAqva5A8DpHWNNTTTq7faEVJ-d1vE-ija=w1200|https://lh3.googleusercontent.com/pw/AP1GczONQspDoa61lhjxibGPT119a0wHA_y0gRQteN23yWDzh0Bht2HC0fHa8ne6ScgYmSygJLbS6Qzr_oZXWoWutFxes2B1YPgVq0X77426UcldgI3rOkEE=w1200|https://lh3.googleusercontent.com/pw/AP1GczOWx5_N3dT9vR0Qy2bhZ5ignyHkI7sXffTBl8ph3xQk5eemotERyER0cYrdhR-T_n-MY4zSfWvTDusuznf-bpCXpyVMvnOthKrqdiOBmtyS4o403mCP=w1200|https://lh3.googleusercontent.com/pw/AP1GczOoiOarKhVpKCZ_RFWyEh2bpK6YOSlPJx6IzF-hswp_5H_hy8bOE__l9edJ8iBbU6VL1AcLLcMD8LUpiHdNbrPYyGsCaIRL2Jslx5gbCsuRZ9hAJi62=w1200|https://lh3.googleusercontent.com/pw/AP1GczPGB8NrsLrLelHAgbs6qqXumJ2qO57BotRhKSHvh3MK9B7muFCNvaqF8-sC_uprIsZsyQM12E-hCYjy5w-cGUIyUdSyVp73lvQRHbfZ-t-z9cEIh2Wv=w1200|https://lh3.googleusercontent.com/pw/AP1GczO1Z5IqNgbELeOkEUU4jQbna4YV8JEJDfwJjJScP1ZNxrGzGRBMLce-0LNdunymdzkL-K9-tWSdFRvAlOa4aqr8Cq-g7SXSo0zTqOD855ooHs7NiNdZ=w1200|https://lh3.googleusercontent.com/pw/AP1GczMB4CFccqnu07A0tZWDrfHFkZbbRpXiwDb_NMTu9eTNOSg0fPh45xo9qll2R0lnu72QzjX4THb-DKRP-bMiLyutKUMdWa1eAJ0OLDTm1wUmhEv07wzc=w1200|https://lh3.googleusercontent.com/pw/AP1GczPbUjYyBXGtzVMTK21u4_oKRx_JBOAub0nvVlXvdeKrj4QRGS-XblgfsO8K5YBnJB3y1vhRHL01GPUrGA0sWFgCCJzUdhlUpZRWq_UbH6ltuM2LBBHY=w1200|https://lh3.googleusercontent.com/pw/AP1GczMNiTzwl-iVMvJA3Z51gkDu4bB2Xef36Dm8HK0jBV2J6DL3pL4wYqkR5evIWNH5ageOCO50zD_Uaz_jR88y3J8cbyWvK5AQf00rH0haLRey-wJM-5WX=w1200|https://lh3.googleusercontent.com/pw/AP1GczM0MHvId6t8roLtvjteCE3fsDDn_TI7YuZRsyjih-tqTLKamrHp358msrtLm1zPhNPNXkmEtl6Hyi_FkU2XGWzab2dDiVFHN68nzl3g3ApDU3nE13K8=w1200|https://lh3.googleusercontent.com/pw/AP1GczNRB-dm6r26i4hCDRkldq6Yjzm7pRmCqyINDV81J1anhFXIS7sacFTZPaxAwPxWsoUtSEEgBd9amvN2qC9rqkNPekFGgoGdbL252uAB-cGm1HJlDjtO=w1200|https://lh3.googleusercontent.com/pw/AP1GczM043doPjEKToANEIfWA-HsEEvTPMU4Yolek5keIo47tbRHkjhy9HHZrxGa0wJxrMJZ1w7JZM2TRo-p9TXMUBuRQOJyakcM_2LhmD0Zu7dJk4GVoWrB=w1200|https://lh3.googleusercontent.com/pw/AP1GczMwiiB2u7LlPSbOTTiGf2yrQt9raFhHrHX0p4brHgWtu3_Nqu5vnAchrthE0wPmKpmjDk07sPk15AciqNPmpQZlH9YASGJ7N3dZZrR2nZkyA0mdk1nU=w1200|https://lh3.googleusercontent.com/pw/AP1GczPo1a1uqKWcYx-Q18eWWl9QnWAa7OgVxtWKZUsGHxISx1cXtBB8SPQCB3VDDHSjWwBlj_mJmsf6uLvV2T_0vwHDp-tgoaQiPWFe5xbF471KrqwhrjU7=w1200|https://lh3.googleusercontent.com/pw/AP1GczPvdUOkL_pUsVu1RYfpADOMgsHl5OF-UuCTRoD4wgkDssOITviRlHIsmpROrwqdul4OV0gMckznGFZkEfZhgCIKdCHPPMaU_5AHi0yJI6-0sNxiybGb=w1200|https://lh3.googleusercontent.com/pw/AP1GczOE_Ml822TRoBmHY2Yp4OLWthZYmPnCXFXHdgMPPrNXDTu81BVc-CLH3HNjXn-AGP4lUB4_dehi2Yz0zwnvqxBjPjaBcVfw1y22SQQS82sdfPHotOFj=w1200|https://lh3.googleusercontent.com/pw/AP1GczNe04spoQV1S114e0HLxersXHUwclXlY_9NjAuNDhERpB4jqWhCdLVosVerRdyIme9-i9yCt-PjmhsMRzp45V9jxl_MnqtWf1DIcN3aw5w3tXpFqsxO=w1200</v>
      </c>
      <c r="AJ260" s="46"/>
      <c r="AK260" s="46"/>
      <c r="AL260" s="46"/>
      <c r="AM260" s="46"/>
      <c r="AN260" s="46"/>
      <c r="AO260" s="46"/>
      <c r="AP260" s="46"/>
      <c r="AQ260" s="46"/>
      <c r="AR260" s="46"/>
      <c r="AS260" s="46"/>
      <c r="AT260" s="46"/>
      <c r="AU260" s="46"/>
      <c r="AV260" s="46"/>
      <c r="AW260" s="46"/>
      <c r="AX260" s="46"/>
      <c r="AY260" s="46"/>
      <c r="AZ260" s="46"/>
      <c r="BA260" s="46"/>
      <c r="BB260" s="46"/>
      <c r="BC260" s="46"/>
      <c r="BD260" s="46"/>
      <c r="BE260" s="46"/>
      <c r="BF260" s="46"/>
      <c r="BG260" s="46"/>
      <c r="BH260" s="46"/>
      <c r="BI260" s="46"/>
      <c r="BJ260" s="46"/>
      <c r="BK260" s="46"/>
      <c r="BL260" s="46"/>
      <c r="BM260" s="46"/>
      <c r="BN260" s="46"/>
      <c r="BO260" s="46"/>
      <c r="BP260" s="46"/>
      <c r="BQ260" s="46"/>
      <c r="BR260" s="46"/>
      <c r="BS260" s="46"/>
      <c r="BT260" s="46"/>
      <c r="BU260" s="46"/>
      <c r="BV260" s="46"/>
      <c r="BW260" s="46"/>
      <c r="BX260" s="46"/>
      <c r="BY260" s="46"/>
      <c r="BZ260" s="46"/>
      <c r="CA260" s="46"/>
      <c r="CB260" s="46"/>
      <c r="CC260" s="46"/>
    </row>
    <row r="261">
      <c r="A261" s="87" t="str">
        <f>IFERROR(__xludf.DUMMYFUNCTION("""COMPUTED_VALUE"""),"601")</f>
        <v>601</v>
      </c>
      <c r="B261" s="46" t="str">
        <f>IFERROR(__xludf.DUMMYFUNCTION("""COMPUTED_VALUE"""),"Lote campestre via Rivera (cerca al club campestre de Neiva)")</f>
        <v>Lote campestre via Rivera (cerca al club campestre de Neiva)</v>
      </c>
      <c r="C261" s="46" t="str">
        <f>IFERROR(__xludf.DUMMYFUNCTION("""COMPUTED_VALUE"""),"Lote en conjunto")</f>
        <v>Lote en conjunto</v>
      </c>
      <c r="D261" s="46"/>
      <c r="E261" s="46" t="str">
        <f>IFERROR(__xludf.DUMMYFUNCTION("""COMPUTED_VALUE"""),"Villa Gloria")</f>
        <v>Villa Gloria</v>
      </c>
      <c r="F261" s="90">
        <f>IFERROR(__xludf.DUMMYFUNCTION("""COMPUTED_VALUE"""),1.4E8)</f>
        <v>140000000</v>
      </c>
      <c r="G261" s="46" t="str">
        <f>IFERROR(__xludf.DUMMYFUNCTION("""COMPUTED_VALUE"""),"$100'000.000 a $200'000.000")</f>
        <v>$100'000.000 a $200'000.000</v>
      </c>
      <c r="H261" s="46"/>
      <c r="I261" s="46"/>
      <c r="J261" s="46" t="str">
        <f>IFERROR(__xludf.DUMMYFUNCTION("""COMPUTED_VALUE"""),"Sur")</f>
        <v>Sur</v>
      </c>
      <c r="K261" s="87"/>
      <c r="L261" s="46">
        <f>IFERROR(__xludf.DUMMYFUNCTION("""COMPUTED_VALUE"""),0.0)</f>
        <v>0</v>
      </c>
      <c r="M261" s="46"/>
      <c r="N261" s="46">
        <f>IFERROR(__xludf.DUMMYFUNCTION("""COMPUTED_VALUE"""),0.0)</f>
        <v>0</v>
      </c>
      <c r="O261" s="46">
        <f>IFERROR(__xludf.DUMMYFUNCTION("""COMPUTED_VALUE"""),0.0)</f>
        <v>0</v>
      </c>
      <c r="P261" s="46">
        <f>IFERROR(__xludf.DUMMYFUNCTION("""COMPUTED_VALUE"""),0.0)</f>
        <v>0</v>
      </c>
      <c r="Q261" s="92"/>
      <c r="R261" s="92">
        <f>IFERROR(__xludf.DUMMYFUNCTION("""COMPUTED_VALUE"""),2000.0)</f>
        <v>2000</v>
      </c>
      <c r="S261" s="87" t="str">
        <f>IFERROR(__xludf.DUMMYFUNCTION("""COMPUTED_VALUE""")," ")</f>
        <v> </v>
      </c>
      <c r="T261" s="46" t="str">
        <f>IFERROR(__xludf.DUMMYFUNCTION("""COMPUTED_VALUE"""),"Rivera")</f>
        <v>Rivera</v>
      </c>
      <c r="U261" s="87" t="str">
        <f>IFERROR(__xludf.DUMMYFUNCTION("""COMPUTED_VALUE"""),"2")</f>
        <v>2</v>
      </c>
      <c r="V261" s="46"/>
      <c r="W261" s="46"/>
      <c r="X261" s="46">
        <f>IFERROR(__xludf.DUMMYFUNCTION("""COMPUTED_VALUE"""),0.0)</f>
        <v>0</v>
      </c>
      <c r="Y261" s="46" t="str">
        <f>IFERROR(__xludf.DUMMYFUNCTION("""COMPUTED_VALUE"""),"No tiene")</f>
        <v>No tiene</v>
      </c>
      <c r="Z261" s="90" t="str">
        <f>IFERROR(__xludf.DUMMYFUNCTION("""COMPUTED_VALUE"""),"No aplica")</f>
        <v>No aplica</v>
      </c>
      <c r="AA261" s="33" t="str">
        <f>IFERROR(__xludf.DUMMYFUNCTION("""COMPUTED_VALUE"""),"No aplica")</f>
        <v>No aplica</v>
      </c>
      <c r="AB261" s="144" t="str">
        <f>IFERROR(__xludf.DUMMYFUNCTION("""COMPUTED_VALUE"""),"https://photos.app.goo.gl/JKVo1UiTY6XSxcpR6")</f>
        <v>https://photos.app.goo.gl/JKVo1UiTY6XSxcpR6</v>
      </c>
      <c r="AC261" s="46"/>
      <c r="AD261" s="46" t="str">
        <f>IFERROR(__xludf.DUMMYFUNCTION("""COMPUTED_VALUE"""),"Lotes ubicados  sobre la  vía al club Campestre. Son13 lotes en total, (12 lotes de 2.000 m2 y uno de 2.493 m2), precio: $140 mlls y $174 mlls.  Dimnsión del  lote 50.0 ml x 40.0 ml. Portón de ingreso principal, red principal de energía eléctrica, con pun"&amp;"to de agua no potable, biodigestor de aguas servidas, cada lote con cerramiento de limoncillo single. Financiación a 6, 12 y 18 meses sin interés de financiación y se sostiene el precio. Se entrega con escrituras al día e inmediata.")</f>
        <v>Lotes ubicados  sobre la  vía al club Campestre. Son13 lotes en total, (12 lotes de 2.000 m2 y uno de 2.493 m2), precio: $140 mlls y $174 mlls.  Dimnsión del  lote 50.0 ml x 40.0 ml. Portón de ingreso principal, red principal de energía eléctrica, con punto de agua no potable, biodigestor de aguas servidas, cada lote con cerramiento de limoncillo single. Financiación a 6, 12 y 18 meses sin interés de financiación y se sostiene el precio. Se entrega con escrituras al día e inmediata.</v>
      </c>
      <c r="AE261" s="46"/>
      <c r="AF261" s="46" t="str">
        <f>IFERROR(__xludf.DUMMYFUNCTION("""COMPUTED_VALUE"""),"0")</f>
        <v>0</v>
      </c>
      <c r="AG261" s="46"/>
      <c r="AH261" s="46" t="str">
        <f>IFERROR(__xludf.DUMMYFUNCTION("""COMPUTED_VALUE"""),"Verbal")</f>
        <v>Verbal</v>
      </c>
      <c r="AI261" s="92" t="str">
        <f>IFERROR(__xludf.DUMMYFUNCTION("""COMPUTED_VALUE"""),"https://lh3.googleusercontent.com/pw/AP1GczOSQTR239_Rg-j1MR_v0tg_7X_9ogkQuhDCc_rPrIFMaKsBQoCEWEMgDFucgtZ3p4y4H_UM84lqmeQzCRe8FPlZywODlBrkXdGzlkniip26f6b4dBRE=w1200|https://lh3.googleusercontent.com/pw/AP1GczMxGMGPnPDPUOX11nXVZb3Zo6GvDbvdvyTxmpvJKxwiPcJofg"&amp;"J9LYMv8UAAZdT57KmlethuYhHzRrZc0-Vkmxt0gHiZz7qDaPQ0iqxY3dwWIma_bChL=w1200|https://lh3.googleusercontent.com/pw/AP1GczMYiS2qWdxFFWipa-IRvg-pYbW8EqWyljq_LWMPm9NCmlEF1Fk0aZIgc9Yr3WNqbU0fWieCn4G8NINaifxDnZzZAUvNbja9pd7aMiYxachX0VLxCP7Z=w1200|https://lh3.google"&amp;"usercontent.com/pw/AP1GczP5oxZOquxr-PVievhxlUpDspzcaE1v_rHvwQj_gqfym6JstsEWfawLjt-1yDaP3ymrbwo1HQzZGv9_mPhk7xlvH9-UBqhRA8UaPq5J_yNEOhi_Q9md=w1200|https://lh3.googleusercontent.com/pw/AP1GczPw3hcAyT7q2W66bQ1SuJ8NLd-_ot4KfBInOixm_mNmd-z0ImSBn5_OilsJHY115_M6"&amp;"6D-plcSkKhFU7WcNLVuJDbUZkiCG0lea59KwYfEym89v8OYb=w1200")</f>
        <v>https://lh3.googleusercontent.com/pw/AP1GczOSQTR239_Rg-j1MR_v0tg_7X_9ogkQuhDCc_rPrIFMaKsBQoCEWEMgDFucgtZ3p4y4H_UM84lqmeQzCRe8FPlZywODlBrkXdGzlkniip26f6b4dBRE=w1200|https://lh3.googleusercontent.com/pw/AP1GczMxGMGPnPDPUOX11nXVZb3Zo6GvDbvdvyTxmpvJKxwiPcJofgJ9LYMv8UAAZdT57KmlethuYhHzRrZc0-Vkmxt0gHiZz7qDaPQ0iqxY3dwWIma_bChL=w1200|https://lh3.googleusercontent.com/pw/AP1GczMYiS2qWdxFFWipa-IRvg-pYbW8EqWyljq_LWMPm9NCmlEF1Fk0aZIgc9Yr3WNqbU0fWieCn4G8NINaifxDnZzZAUvNbja9pd7aMiYxachX0VLxCP7Z=w1200|https://lh3.googleusercontent.com/pw/AP1GczP5oxZOquxr-PVievhxlUpDspzcaE1v_rHvwQj_gqfym6JstsEWfawLjt-1yDaP3ymrbwo1HQzZGv9_mPhk7xlvH9-UBqhRA8UaPq5J_yNEOhi_Q9md=w1200|https://lh3.googleusercontent.com/pw/AP1GczPw3hcAyT7q2W66bQ1SuJ8NLd-_ot4KfBInOixm_mNmd-z0ImSBn5_OilsJHY115_M66D-plcSkKhFU7WcNLVuJDbUZkiCG0lea59KwYfEym89v8OYb=w1200</v>
      </c>
      <c r="AJ261" s="46"/>
      <c r="AK261" s="46"/>
      <c r="AL261" s="46"/>
      <c r="AM261" s="46"/>
      <c r="AN261" s="46"/>
      <c r="AO261" s="46"/>
      <c r="AP261" s="46"/>
      <c r="AQ261" s="46"/>
      <c r="AR261" s="46"/>
      <c r="AS261" s="46"/>
      <c r="AT261" s="46"/>
      <c r="AU261" s="46"/>
      <c r="AV261" s="46"/>
      <c r="AW261" s="46"/>
      <c r="AX261" s="46"/>
      <c r="AY261" s="46"/>
      <c r="AZ261" s="46"/>
      <c r="BA261" s="46"/>
      <c r="BB261" s="46"/>
      <c r="BC261" s="46"/>
      <c r="BD261" s="46"/>
      <c r="BE261" s="46"/>
      <c r="BF261" s="46"/>
      <c r="BG261" s="46"/>
      <c r="BH261" s="46"/>
      <c r="BI261" s="46"/>
      <c r="BJ261" s="46"/>
      <c r="BK261" s="46"/>
      <c r="BL261" s="46"/>
      <c r="BM261" s="46"/>
      <c r="BN261" s="46"/>
      <c r="BO261" s="46"/>
      <c r="BP261" s="46"/>
      <c r="BQ261" s="46"/>
      <c r="BR261" s="46"/>
      <c r="BS261" s="46"/>
      <c r="BT261" s="46"/>
      <c r="BU261" s="46"/>
      <c r="BV261" s="46"/>
      <c r="BW261" s="46"/>
      <c r="BX261" s="46"/>
      <c r="BY261" s="46"/>
      <c r="BZ261" s="46"/>
      <c r="CA261" s="46"/>
      <c r="CB261" s="46"/>
      <c r="CC261" s="46"/>
    </row>
    <row r="262">
      <c r="A262" s="46">
        <f>IFERROR(__xludf.DUMMYFUNCTION("""COMPUTED_VALUE"""),849.0)</f>
        <v>849</v>
      </c>
      <c r="B262" s="46" t="str">
        <f>IFERROR(__xludf.DUMMYFUNCTION("""COMPUTED_VALUE"""),"Lote en conjunto Condominio Residencial Miralagos - Vía Sta. Clara - Palermo")</f>
        <v>Lote en conjunto Condominio Residencial Miralagos - Vía Sta. Clara - Palermo</v>
      </c>
      <c r="C262" s="46" t="str">
        <f>IFERROR(__xludf.DUMMYFUNCTION("""COMPUTED_VALUE"""),"Lote en conjunto")</f>
        <v>Lote en conjunto</v>
      </c>
      <c r="D262" s="46"/>
      <c r="E262" s="46" t="str">
        <f>IFERROR(__xludf.DUMMYFUNCTION("""COMPUTED_VALUE"""),"Conjunto Residencial Miralagos")</f>
        <v>Conjunto Residencial Miralagos</v>
      </c>
      <c r="F262" s="90">
        <f>IFERROR(__xludf.DUMMYFUNCTION("""COMPUTED_VALUE"""),1.0E8)</f>
        <v>100000000</v>
      </c>
      <c r="G262" s="46" t="str">
        <f>IFERROR(__xludf.DUMMYFUNCTION("""COMPUTED_VALUE"""),"$100'000.000 a $200'000.000")</f>
        <v>$100'000.000 a $200'000.000</v>
      </c>
      <c r="H262" s="46"/>
      <c r="I262" s="46"/>
      <c r="J262" s="46" t="str">
        <f>IFERROR(__xludf.DUMMYFUNCTION("""COMPUTED_VALUE"""),"Occidente")</f>
        <v>Occidente</v>
      </c>
      <c r="K262" s="46"/>
      <c r="L262" s="46">
        <f>IFERROR(__xludf.DUMMYFUNCTION("""COMPUTED_VALUE"""),0.0)</f>
        <v>0</v>
      </c>
      <c r="M262" s="46"/>
      <c r="N262" s="46">
        <f>IFERROR(__xludf.DUMMYFUNCTION("""COMPUTED_VALUE"""),0.0)</f>
        <v>0</v>
      </c>
      <c r="O262" s="46">
        <f>IFERROR(__xludf.DUMMYFUNCTION("""COMPUTED_VALUE"""),0.0)</f>
        <v>0</v>
      </c>
      <c r="P262" s="46">
        <f>IFERROR(__xludf.DUMMYFUNCTION("""COMPUTED_VALUE"""),0.0)</f>
        <v>0</v>
      </c>
      <c r="Q262" s="92">
        <f>IFERROR(__xludf.DUMMYFUNCTION("""COMPUTED_VALUE"""),0.0)</f>
        <v>0</v>
      </c>
      <c r="R262" s="92">
        <f>IFERROR(__xludf.DUMMYFUNCTION("""COMPUTED_VALUE"""),504.0)</f>
        <v>504</v>
      </c>
      <c r="S262" s="46"/>
      <c r="T262" s="46" t="str">
        <f>IFERROR(__xludf.DUMMYFUNCTION("""COMPUTED_VALUE"""),"Palermo")</f>
        <v>Palermo</v>
      </c>
      <c r="U262" s="46"/>
      <c r="V262" s="46" t="str">
        <f>IFERROR(__xludf.DUMMYFUNCTION("""COMPUTED_VALUE"""),"Medianera")</f>
        <v>Medianera</v>
      </c>
      <c r="W262" s="46"/>
      <c r="X262" s="46">
        <f>IFERROR(__xludf.DUMMYFUNCTION("""COMPUTED_VALUE"""),0.0)</f>
        <v>0</v>
      </c>
      <c r="Y262" s="46" t="str">
        <f>IFERROR(__xludf.DUMMYFUNCTION("""COMPUTED_VALUE"""),"No tiene")</f>
        <v>No tiene</v>
      </c>
      <c r="Z262" s="90"/>
      <c r="AA262" s="33" t="str">
        <f>IFERROR(__xludf.DUMMYFUNCTION("""COMPUTED_VALUE"""),"No aplica")</f>
        <v>No aplica</v>
      </c>
      <c r="AB262" s="96" t="str">
        <f>IFERROR(__xludf.DUMMYFUNCTION("""COMPUTED_VALUE"""),"https://photos.app.goo.gl/Ggtmyu3H5psC3Sba9")</f>
        <v>https://photos.app.goo.gl/Ggtmyu3H5psC3Sba9</v>
      </c>
      <c r="AC262" s="46" t="str">
        <f>IFERROR(__xludf.DUMMYFUNCTION("""COMPUTED_VALUE"""),"Lote en conjunto con servicios. Dimensión 18.0 ml x 20.0 ml.  Cuenta con 4 lagos, bosque nativo, senderismo nativo, infraestructura deportiva y recreacional.")</f>
        <v>Lote en conjunto con servicios. Dimensión 18.0 ml x 20.0 ml.  Cuenta con 4 lagos, bosque nativo, senderismo nativo, infraestructura deportiva y recreacional.</v>
      </c>
      <c r="AD262" s="46" t="str">
        <f>IFERROR(__xludf.DUMMYFUNCTION("""COMPUTED_VALUE"""),"El conjunto  ubicado a 10 minutos de Neiva. Cuenta con 62 hectáreas, dividida en 578 lotes. ")</f>
        <v>El conjunto  ubicado a 10 minutos de Neiva. Cuenta con 62 hectáreas, dividida en 578 lotes. </v>
      </c>
      <c r="AE262" s="46"/>
      <c r="AF262" s="46">
        <f>IFERROR(__xludf.DUMMYFUNCTION("""COMPUTED_VALUE"""),0.0)</f>
        <v>0</v>
      </c>
      <c r="AG262" s="46"/>
      <c r="AH262" s="46" t="str">
        <f>IFERROR(__xludf.DUMMYFUNCTION("""COMPUTED_VALUE"""),"Verbal")</f>
        <v>Verbal</v>
      </c>
      <c r="AI262" s="46" t="str">
        <f>IFERROR(__xludf.DUMMYFUNCTION("""COMPUTED_VALUE"""),"https://lh3.googleusercontent.com/pw/AP1GczM2wZG9JeBpHOB6yD-B-mGBTDk7i_OaGn2MXdxfzHPePH1VTgBDXB2qYB6scFvGCiCUwEGLifo7IUKTDVeuxykuMnzfW9DfA7HoEepReoWdsvxphz_8=w1200|https://lh3.googleusercontent.com/pw/AP1GczNaKssPye6ZQxEqeRK7GZM9894UG94osuR1k4o2dM07zqDX4A"&amp;"l-kqzplhwTtEukyjwTa3UyAdTfNozscQzbxmOyr5bV1SczCe9AyssGAMM0Xc0VjePV=w1200|https://lh3.googleusercontent.com/pw/AP1GczMjrfE2FO1H40maEW2EoKUFv1vWhYaPzcjgYGGQgfkX6Z3TGzk6Pfu16YjtV8yPJR7bN1dXp5sL-9cZnxWW1biYakJ7cmaxIPVWWPi_ceRLHjWApX8X=w1200|https://lh3.google"&amp;"usercontent.com/pw/AP1GczPNivl7-dTjoSMVDkG2I7miuqHnsm4-B5654R7_sDT1ZoE_-AVEGl3yPAtb1jTmha5fOLiUZ_X7-ZosltlrCPK678d2pDYY7rgBM2_59LHHn3rMNCpI=w1200|https://lh3.googleusercontent.com/pw/AP1GczPFtrQzINnO0bLvbLu1mtDW9fk1nBbXo84d-t-77re3JrzkN07OH8Nb9p2CQEeZOY0W"&amp;"ezWhrxPvwACgIM6EeHoA1D249YHJNRECGzT3GTKHUem1Te2S=w1200|https://lh3.googleusercontent.com/pw/AP1GczMamvHNt3d1ivlQ0Lf_9BE9_kKK20XH1TitD6c5UgLJFe7kwJ7EodQRFNftLaz38eHudv1cprhKk5NChmobsehck18cxHiOmnIp3ZLoskIPsaJ9qFeY=w1200|https://lh3.googleusercontent.com/pw"&amp;"/AP1GczNo1uvjvqQbwE4jqE5yy_OuLuxBhTtiuZjf7KIvEPpjTOUjd90WKkoIwslnrn02VGPBbEwM9SMvUS-1Ou4mtPvqd2e1ROhncxFxR9e62SK2812P3yOe=w1200|https://lh3.googleusercontent.com/pw/AP1GczMbJ_WdrLhv5Z-6hTeQECdn_YjhpS7x3_95P4sygJ-AdMvpwKE8C_fX1j4_hAcU_Rq8tFiFGAFRaKEInjltkW"&amp;"Tv9M9dXk06eYmhfwswN1HsriB0KOw7=w1200")</f>
        <v>https://lh3.googleusercontent.com/pw/AP1GczM2wZG9JeBpHOB6yD-B-mGBTDk7i_OaGn2MXdxfzHPePH1VTgBDXB2qYB6scFvGCiCUwEGLifo7IUKTDVeuxykuMnzfW9DfA7HoEepReoWdsvxphz_8=w1200|https://lh3.googleusercontent.com/pw/AP1GczNaKssPye6ZQxEqeRK7GZM9894UG94osuR1k4o2dM07zqDX4Al-kqzplhwTtEukyjwTa3UyAdTfNozscQzbxmOyr5bV1SczCe9AyssGAMM0Xc0VjePV=w1200|https://lh3.googleusercontent.com/pw/AP1GczMjrfE2FO1H40maEW2EoKUFv1vWhYaPzcjgYGGQgfkX6Z3TGzk6Pfu16YjtV8yPJR7bN1dXp5sL-9cZnxWW1biYakJ7cmaxIPVWWPi_ceRLHjWApX8X=w1200|https://lh3.googleusercontent.com/pw/AP1GczPNivl7-dTjoSMVDkG2I7miuqHnsm4-B5654R7_sDT1ZoE_-AVEGl3yPAtb1jTmha5fOLiUZ_X7-ZosltlrCPK678d2pDYY7rgBM2_59LHHn3rMNCpI=w1200|https://lh3.googleusercontent.com/pw/AP1GczPFtrQzINnO0bLvbLu1mtDW9fk1nBbXo84d-t-77re3JrzkN07OH8Nb9p2CQEeZOY0WezWhrxPvwACgIM6EeHoA1D249YHJNRECGzT3GTKHUem1Te2S=w1200|https://lh3.googleusercontent.com/pw/AP1GczMamvHNt3d1ivlQ0Lf_9BE9_kKK20XH1TitD6c5UgLJFe7kwJ7EodQRFNftLaz38eHudv1cprhKk5NChmobsehck18cxHiOmnIp3ZLoskIPsaJ9qFeY=w1200|https://lh3.googleusercontent.com/pw/AP1GczNo1uvjvqQbwE4jqE5yy_OuLuxBhTtiuZjf7KIvEPpjTOUjd90WKkoIwslnrn02VGPBbEwM9SMvUS-1Ou4mtPvqd2e1ROhncxFxR9e62SK2812P3yOe=w1200|https://lh3.googleusercontent.com/pw/AP1GczMbJ_WdrLhv5Z-6hTeQECdn_YjhpS7x3_95P4sygJ-AdMvpwKE8C_fX1j4_hAcU_Rq8tFiFGAFRaKEInjltkWTv9M9dXk06eYmhfwswN1HsriB0KOw7=w1200</v>
      </c>
      <c r="AJ262" s="46"/>
      <c r="AK262" s="46"/>
      <c r="AL262" s="46"/>
      <c r="AM262" s="46"/>
      <c r="AN262" s="46"/>
      <c r="AO262" s="46"/>
      <c r="AP262" s="46"/>
      <c r="AQ262" s="46"/>
      <c r="AR262" s="46"/>
      <c r="AS262" s="46"/>
      <c r="AT262" s="46"/>
      <c r="AU262" s="46"/>
      <c r="AV262" s="46"/>
      <c r="AW262" s="46"/>
      <c r="AX262" s="46"/>
      <c r="AY262" s="46"/>
      <c r="AZ262" s="46"/>
      <c r="BA262" s="46"/>
      <c r="BB262" s="46"/>
      <c r="BC262" s="46"/>
      <c r="BD262" s="46"/>
      <c r="BE262" s="46"/>
      <c r="BF262" s="46"/>
      <c r="BG262" s="46"/>
      <c r="BH262" s="46"/>
      <c r="BI262" s="46"/>
      <c r="BJ262" s="46"/>
      <c r="BK262" s="46"/>
      <c r="BL262" s="46"/>
      <c r="BM262" s="46"/>
      <c r="BN262" s="46"/>
      <c r="BO262" s="46"/>
      <c r="BP262" s="46"/>
      <c r="BQ262" s="46"/>
      <c r="BR262" s="46"/>
      <c r="BS262" s="46"/>
      <c r="BT262" s="46"/>
      <c r="BU262" s="46"/>
      <c r="BV262" s="46"/>
      <c r="BW262" s="46"/>
      <c r="BX262" s="46"/>
      <c r="BY262" s="46"/>
      <c r="BZ262" s="46"/>
      <c r="CA262" s="46"/>
      <c r="CB262" s="46"/>
      <c r="CC262" s="46"/>
    </row>
    <row r="263">
      <c r="A263" s="87" t="str">
        <f>IFERROR(__xludf.DUMMYFUNCTION("""COMPUTED_VALUE"""),"837")</f>
        <v>837</v>
      </c>
      <c r="B263" s="46" t="str">
        <f>IFERROR(__xludf.DUMMYFUNCTION("""COMPUTED_VALUE"""),"Lote Industrial - Pitalito - Huila")</f>
        <v>Lote Industrial - Pitalito - Huila</v>
      </c>
      <c r="C263" s="46" t="str">
        <f>IFERROR(__xludf.DUMMYFUNCTION("""COMPUTED_VALUE"""),"Lote")</f>
        <v>Lote</v>
      </c>
      <c r="D263" s="46"/>
      <c r="E263" s="46"/>
      <c r="F263" s="90">
        <f>IFERROR(__xludf.DUMMYFUNCTION("""COMPUTED_VALUE"""),9.0E7)</f>
        <v>90000000</v>
      </c>
      <c r="G263" s="46" t="str">
        <f>IFERROR(__xludf.DUMMYFUNCTION("""COMPUTED_VALUE"""),"$0 a $100'000.000")</f>
        <v>$0 a $100'000.000</v>
      </c>
      <c r="H263" s="46"/>
      <c r="I263" s="46"/>
      <c r="J263" s="46" t="str">
        <f>IFERROR(__xludf.DUMMYFUNCTION("""COMPUTED_VALUE"""),"Sur")</f>
        <v>Sur</v>
      </c>
      <c r="K263" s="87"/>
      <c r="L263" s="46">
        <f>IFERROR(__xludf.DUMMYFUNCTION("""COMPUTED_VALUE"""),0.0)</f>
        <v>0</v>
      </c>
      <c r="M263" s="46"/>
      <c r="N263" s="46">
        <f>IFERROR(__xludf.DUMMYFUNCTION("""COMPUTED_VALUE"""),0.0)</f>
        <v>0</v>
      </c>
      <c r="O263" s="46">
        <f>IFERROR(__xludf.DUMMYFUNCTION("""COMPUTED_VALUE"""),0.0)</f>
        <v>0</v>
      </c>
      <c r="P263" s="46">
        <f>IFERROR(__xludf.DUMMYFUNCTION("""COMPUTED_VALUE"""),0.0)</f>
        <v>0</v>
      </c>
      <c r="Q263" s="92">
        <f>IFERROR(__xludf.DUMMYFUNCTION("""COMPUTED_VALUE"""),0.0)</f>
        <v>0</v>
      </c>
      <c r="R263" s="92">
        <f>IFERROR(__xludf.DUMMYFUNCTION("""COMPUTED_VALUE"""),157.65)</f>
        <v>157.65</v>
      </c>
      <c r="S263" s="87" t="str">
        <f>IFERROR(__xludf.DUMMYFUNCTION("""COMPUTED_VALUE""")," ")</f>
        <v> </v>
      </c>
      <c r="T263" s="46" t="str">
        <f>IFERROR(__xludf.DUMMYFUNCTION("""COMPUTED_VALUE"""),"Pitalito")</f>
        <v>Pitalito</v>
      </c>
      <c r="U263" s="87"/>
      <c r="V263" s="46" t="str">
        <f>IFERROR(__xludf.DUMMYFUNCTION("""COMPUTED_VALUE"""),"Medianera")</f>
        <v>Medianera</v>
      </c>
      <c r="W263" s="46"/>
      <c r="X263" s="46">
        <f>IFERROR(__xludf.DUMMYFUNCTION("""COMPUTED_VALUE"""),0.0)</f>
        <v>0</v>
      </c>
      <c r="Y263" s="46" t="str">
        <f>IFERROR(__xludf.DUMMYFUNCTION("""COMPUTED_VALUE"""),"No tiene")</f>
        <v>No tiene</v>
      </c>
      <c r="Z263" s="90"/>
      <c r="AA263" s="33" t="str">
        <f>IFERROR(__xludf.DUMMYFUNCTION("""COMPUTED_VALUE"""),"No aplica")</f>
        <v>No aplica</v>
      </c>
      <c r="AB263" s="96" t="str">
        <f>IFERROR(__xludf.DUMMYFUNCTION("""COMPUTED_VALUE"""),"https://photos.app.goo.gl/jojk7qmaE45pJ4Kc8")</f>
        <v>https://photos.app.goo.gl/jojk7qmaE45pJ4Kc8</v>
      </c>
      <c r="AC263" s="46" t="str">
        <f>IFERROR(__xludf.DUMMYFUNCTION("""COMPUTED_VALUE"""),"Lote medianero ubicado en la zona Industrial de Pitalito. Cuenta con servicios públicos. Escritura al día para la venta.")</f>
        <v>Lote medianero ubicado en la zona Industrial de Pitalito. Cuenta con servicios públicos. Escritura al día para la venta.</v>
      </c>
      <c r="AD263" s="46" t="str">
        <f>IFERROR(__xludf.DUMMYFUNCTION("""COMPUTED_VALUE"""),"Lote industrial localizado cerca al Aeropuerto El contador de Pitalito. ")</f>
        <v>Lote industrial localizado cerca al Aeropuerto El contador de Pitalito. </v>
      </c>
      <c r="AE263" s="46"/>
      <c r="AF263" s="46">
        <f>IFERROR(__xludf.DUMMYFUNCTION("""COMPUTED_VALUE"""),0.0)</f>
        <v>0</v>
      </c>
      <c r="AG263" s="46"/>
      <c r="AH263" s="46" t="str">
        <f>IFERROR(__xludf.DUMMYFUNCTION("""COMPUTED_VALUE"""),"Verbal")</f>
        <v>Verbal</v>
      </c>
      <c r="AI263" s="92" t="str">
        <f>IFERROR(__xludf.DUMMYFUNCTION("""COMPUTED_VALUE"""),"https://lh3.googleusercontent.com/pw/AP1GczPmQAJXmB_J0DXc-Rt4vLtylaN_nmuF8P77U4QFSVB4jbBItS0eZdCiYrpomVxWFN10jonCjc_DLCvQ9fIvAd-uOsi-2LxJThh6Sz1VRktQe6PdR36b=w1200|https://lh3.googleusercontent.com/pw/AP1GczPyDaKHx_mnmlGtEQ0w-8mzM4W7TuxcKOwdjsXeJjgH5xTzQ_"&amp;"wvWSqvyHPlbLtI2M9_2pIt5h9m483p0E13YyeR6_a1L92NOnbytb-BuBxnWHiET9MA=w1200|https://lh3.googleusercontent.com/pw/AP1GczOoVBcSPkTQaAq36T_3tDWH1IJsrZqSvSYS-v8c3Te0zeVxiSBgNYvFbd1mL5io8-pQG2ytIvcF1_60Nw2u2t3DIe8tknVS9oOOMbij5HRaGP8sO-V5=w1200|https://lh3.google"&amp;"usercontent.com/pw/AP1GczPPyuLoQwmIV6uUlcePi4-Dd8Y8lJq_NIdEE7WnWzlsPETdXFeU1sjm2vham5aCFBa6bXETdXo8Ag4Eq3ojgsqi5DFQgn_1MyN439iypwZ5Gf_veI_C=w1200")</f>
        <v>https://lh3.googleusercontent.com/pw/AP1GczPmQAJXmB_J0DXc-Rt4vLtylaN_nmuF8P77U4QFSVB4jbBItS0eZdCiYrpomVxWFN10jonCjc_DLCvQ9fIvAd-uOsi-2LxJThh6Sz1VRktQe6PdR36b=w1200|https://lh3.googleusercontent.com/pw/AP1GczPyDaKHx_mnmlGtEQ0w-8mzM4W7TuxcKOwdjsXeJjgH5xTzQ_wvWSqvyHPlbLtI2M9_2pIt5h9m483p0E13YyeR6_a1L92NOnbytb-BuBxnWHiET9MA=w1200|https://lh3.googleusercontent.com/pw/AP1GczOoVBcSPkTQaAq36T_3tDWH1IJsrZqSvSYS-v8c3Te0zeVxiSBgNYvFbd1mL5io8-pQG2ytIvcF1_60Nw2u2t3DIe8tknVS9oOOMbij5HRaGP8sO-V5=w1200|https://lh3.googleusercontent.com/pw/AP1GczPPyuLoQwmIV6uUlcePi4-Dd8Y8lJq_NIdEE7WnWzlsPETdXFeU1sjm2vham5aCFBa6bXETdXo8Ag4Eq3ojgsqi5DFQgn_1MyN439iypwZ5Gf_veI_C=w1200</v>
      </c>
      <c r="AJ263" s="46"/>
      <c r="AK263" s="46"/>
      <c r="AL263" s="46"/>
      <c r="AM263" s="46"/>
      <c r="AN263" s="46"/>
      <c r="AO263" s="46"/>
      <c r="AP263" s="46"/>
      <c r="AQ263" s="46"/>
      <c r="AR263" s="46"/>
      <c r="AS263" s="46"/>
      <c r="AT263" s="46"/>
      <c r="AU263" s="46"/>
      <c r="AV263" s="46"/>
      <c r="AW263" s="46"/>
      <c r="AX263" s="46"/>
      <c r="AY263" s="46"/>
      <c r="AZ263" s="46"/>
      <c r="BA263" s="46"/>
      <c r="BB263" s="46"/>
      <c r="BC263" s="46"/>
      <c r="BD263" s="46"/>
      <c r="BE263" s="46"/>
      <c r="BF263" s="46"/>
      <c r="BG263" s="46"/>
      <c r="BH263" s="46"/>
      <c r="BI263" s="46"/>
      <c r="BJ263" s="46"/>
      <c r="BK263" s="46"/>
      <c r="BL263" s="46"/>
      <c r="BM263" s="46"/>
      <c r="BN263" s="46"/>
      <c r="BO263" s="46"/>
      <c r="BP263" s="46"/>
      <c r="BQ263" s="46"/>
      <c r="BR263" s="46"/>
      <c r="BS263" s="46"/>
      <c r="BT263" s="46"/>
      <c r="BU263" s="46"/>
      <c r="BV263" s="46"/>
      <c r="BW263" s="46"/>
      <c r="BX263" s="46"/>
      <c r="BY263" s="46"/>
      <c r="BZ263" s="46"/>
      <c r="CA263" s="46"/>
      <c r="CB263" s="46"/>
      <c r="CC263" s="46"/>
    </row>
    <row r="264">
      <c r="A264" s="87" t="str">
        <f>IFERROR(__xludf.DUMMYFUNCTION("""COMPUTED_VALUE"""),"585")</f>
        <v>585</v>
      </c>
      <c r="B264" s="46" t="str">
        <f>IFERROR(__xludf.DUMMYFUNCTION("""COMPUTED_VALUE"""),"Apartamento en Bosques de San Luis - Sur")</f>
        <v>Apartamento en Bosques de San Luis - Sur</v>
      </c>
      <c r="C264" s="46" t="str">
        <f>IFERROR(__xludf.DUMMYFUNCTION("""COMPUTED_VALUE"""),"Apartamento en conjunto")</f>
        <v>Apartamento en conjunto</v>
      </c>
      <c r="D264" s="46"/>
      <c r="E264" s="46"/>
      <c r="F264" s="90">
        <f>IFERROR(__xludf.DUMMYFUNCTION("""COMPUTED_VALUE"""),7.5E7)</f>
        <v>75000000</v>
      </c>
      <c r="G264" s="46" t="str">
        <f>IFERROR(__xludf.DUMMYFUNCTION("""COMPUTED_VALUE"""),"$0 a $100'000.000")</f>
        <v>$0 a $100'000.000</v>
      </c>
      <c r="H264" s="46"/>
      <c r="I264" s="46"/>
      <c r="J264" s="46" t="str">
        <f>IFERROR(__xludf.DUMMYFUNCTION("""COMPUTED_VALUE"""),"Sur")</f>
        <v>Sur</v>
      </c>
      <c r="K264" s="87"/>
      <c r="L264" s="46">
        <f>IFERROR(__xludf.DUMMYFUNCTION("""COMPUTED_VALUE"""),3.0)</f>
        <v>3</v>
      </c>
      <c r="M264" s="46"/>
      <c r="N264" s="46">
        <f>IFERROR(__xludf.DUMMYFUNCTION("""COMPUTED_VALUE"""),1.0)</f>
        <v>1</v>
      </c>
      <c r="O264" s="46">
        <f>IFERROR(__xludf.DUMMYFUNCTION("""COMPUTED_VALUE"""),0.0)</f>
        <v>0</v>
      </c>
      <c r="P264" s="46">
        <f>IFERROR(__xludf.DUMMYFUNCTION("""COMPUTED_VALUE"""),1.0)</f>
        <v>1</v>
      </c>
      <c r="Q264" s="92">
        <f>IFERROR(__xludf.DUMMYFUNCTION("""COMPUTED_VALUE"""),56.17)</f>
        <v>56.17</v>
      </c>
      <c r="R264" s="92">
        <f>IFERROR(__xludf.DUMMYFUNCTION("""COMPUTED_VALUE"""),50.81)</f>
        <v>50.81</v>
      </c>
      <c r="S264" s="87" t="str">
        <f>IFERROR(__xludf.DUMMYFUNCTION("""COMPUTED_VALUE""")," ")</f>
        <v> </v>
      </c>
      <c r="T264" s="46" t="str">
        <f>IFERROR(__xludf.DUMMYFUNCTION("""COMPUTED_VALUE"""),"Neiva")</f>
        <v>Neiva</v>
      </c>
      <c r="U264" s="87" t="str">
        <f>IFERROR(__xludf.DUMMYFUNCTION("""COMPUTED_VALUE"""),"1")</f>
        <v>1</v>
      </c>
      <c r="V264" s="46" t="str">
        <f>IFERROR(__xludf.DUMMYFUNCTION("""COMPUTED_VALUE"""),"1ro.")</f>
        <v>1ro.</v>
      </c>
      <c r="W264" s="46"/>
      <c r="X264" s="46">
        <f>IFERROR(__xludf.DUMMYFUNCTION("""COMPUTED_VALUE"""),0.0)</f>
        <v>0</v>
      </c>
      <c r="Y264" s="46" t="str">
        <f>IFERROR(__xludf.DUMMYFUNCTION("""COMPUTED_VALUE"""),"No tiene")</f>
        <v>No tiene</v>
      </c>
      <c r="Z264" s="90">
        <f>IFERROR(__xludf.DUMMYFUNCTION("""COMPUTED_VALUE"""),30000.0)</f>
        <v>30000</v>
      </c>
      <c r="AA264" s="33" t="str">
        <f>IFERROR(__xludf.DUMMYFUNCTION("""COMPUTED_VALUE"""),"No aplica")</f>
        <v>No aplica</v>
      </c>
      <c r="AB264" s="96" t="str">
        <f>IFERROR(__xludf.DUMMYFUNCTION("""COMPUTED_VALUE"""),"https://photos.app.goo.gl/UhXT7z2hCdqHdySs9")</f>
        <v>https://photos.app.goo.gl/UhXT7z2hCdqHdySs9</v>
      </c>
      <c r="AC264" s="46" t="str">
        <f>IFERROR(__xludf.DUMMYFUNCTION("""COMPUTED_VALUE"""),"Excelente oportunidad de inversión en Neiva! Se vende acogedor apartamento ubicado en Bosques de San Luis 4, una zona con gran proyección y excelente acceso a transporte público.  Este inmueble es ideal para quienes buscan su primer hogar o una propiedad "&amp;"rentable. Cuenta con un área construida de 56.17 m² y un área privada de 50.81 m², ofreciendo una distribución funcional cuenta con 3 habitaciones, un baño, que aprovecha al máximo cada rincón para brindarte comodidad y confort.")</f>
        <v>Excelente oportunidad de inversión en Neiva! Se vende acogedor apartamento ubicado en Bosques de San Luis 4, una zona con gran proyección y excelente acceso a transporte público.  Este inmueble es ideal para quienes buscan su primer hogar o una propiedad rentable. Cuenta con un área construida de 56.17 m² y un área privada de 50.81 m², ofreciendo una distribución funcional cuenta con 3 habitaciones, un baño, que aprovecha al máximo cada rincón para brindarte comodidad y confort.</v>
      </c>
      <c r="AD264" s="46" t="str">
        <f>IFERROR(__xludf.DUMMYFUNCTION("""COMPUTED_VALUE"""),"El apartamento destaca por sus espacios ilumindados y bien ventilados, pensados para el bienestar de toda la familia. Su diseño optimizado permite disfrutar de un ambiente fresco y acogedor, listo para que lo adecúes a tu estilo de vida. No dejes pasar es"&amp;"ta oportunidad de adquirir vivienda propia en el Huila a un precio altamente competitivo. ¡Contáctanos hoy mismo para agendar tu visita y conocer tu próximo hogar!")</f>
        <v>El apartamento destaca por sus espacios ilumindados y bien ventilados, pensados para el bienestar de toda la familia. Su diseño optimizado permite disfrutar de un ambiente fresco y acogedor, listo para que lo adecúes a tu estilo de vida. No dejes pasar esta oportunidad de adquirir vivienda propia en el Huila a un precio altamente competitivo. ¡Contáctanos hoy mismo para agendar tu visita y conocer tu próximo hogar!</v>
      </c>
      <c r="AE264" s="46"/>
      <c r="AF264" s="46" t="str">
        <f>IFERROR(__xludf.DUMMYFUNCTION("""COMPUTED_VALUE"""),"básica")</f>
        <v>básica</v>
      </c>
      <c r="AG264" s="46"/>
      <c r="AH264" s="46" t="str">
        <f>IFERROR(__xludf.DUMMYFUNCTION("""COMPUTED_VALUE"""),"Verbal")</f>
        <v>Verbal</v>
      </c>
      <c r="AI264" s="92" t="str">
        <f>IFERROR(__xludf.DUMMYFUNCTION("""COMPUTED_VALUE"""),"https://lh3.googleusercontent.com/pw/AP1GczNOlUW2K0sDoNMj4C_uhO4HjqtXq4zu6mT2FrR9rcTtMjI_pK94hRWXsHe6Mr_PS5IGWwGYzrr5xu3iySgffItoOsj2UD50Z2DWJReQvEiw3EcJ3zZP=w1200|https://lh3.googleusercontent.com/pw/AP1GczNEA33VcQ9ihMkiXM1WLGb3W8xceB2RocoroRqx2t3pcCfyrn"&amp;"hNnHduR62Zgzsj0tzNhPqJTVJ1NI20Q-hkZTDJgKuVwf1_uA1E1o6FlzzobWi3g3qs=w1200|https://lh3.googleusercontent.com/pw/AP1GczO8dVQjTqAqN-TBQXFS5TLkJUmXfiIJUDR0TqY6eNoBSx1NcdkcVYFJ3IYHa-syL2NvcevLKo8gJi30ggT7GDcV6qVngpeBgnKqDiLXfF6Z5huu8vP2=w1200|https://lh3.google"&amp;"usercontent.com/pw/AP1GczOKEcwUj95W95mFDbvLXtWfvE1uPT_pXRIE1FXYmcKHFds-UARmnn3kETGqBEsBZeVBJ5t_cYTOXN8c3nyUv_kPmW4CsGmSuOLLJIM6VmzpENv9SY16=w1200|https://lh3.googleusercontent.com/pw/AP1GczNucaxRH19dJWYtcIkvwIs9PhGYAR_oXOk9m4z5obmEjReJzoUB0g9X8nIwg52fyhOQ"&amp;"QpptyBg2QXzguleCpQE6dB_oxo5uvHAmKHMsu_9HCjE_Fd7y=w1200|https://lh3.googleusercontent.com/pw/AP1GczNlk1YRabg0dQDB2oIKjw2In5Re8fMHrFYHm49_Qj5tMT9Ym_fipcCDriHCWNQVjBEURZ7ucozNB8yHFQjSfmwoR0TcxjkKdUFu5wFsigAgxBYQ84s4=w1200|https://lh3.googleusercontent.com/pw"&amp;"/AP1GczMM_wuJBfgmij5ejOC3zrdkHiHa8LYxTg-IfD2S63oTEiSpJAZrtOzagYZXK5v5yQQ_i11QXvb8eN3DpJSLsOMWY5pa4qtefyshKVfqnoKBQ-t8d12S=w1200|https://lh3.googleusercontent.com/pw/AP1GczMtbuqI-yXwTP5Nrct9NNSlffhBrudvmkS1eq8IdXv-4Ngyw_11ptjg13DIWG3rexLESq6Si1_Rzdv9iHbwaY"&amp;"-BYobzbiPi-rUQ1Z_uJpcHWP82neU0=w1200|https://lh3.googleusercontent.com/pw/AP1GczPYfnRsFRRQC_eNXs5DIY_BCjFiqjNfmeT6TzONP86IrFAbiHUs7SkGD5kMOgEyxv2TjnaC8y__qSPn1QNs04vlraIrcIMa-yvFsHvUHLP-5xwjUZ6u=w1200")</f>
        <v>https://lh3.googleusercontent.com/pw/AP1GczNOlUW2K0sDoNMj4C_uhO4HjqtXq4zu6mT2FrR9rcTtMjI_pK94hRWXsHe6Mr_PS5IGWwGYzrr5xu3iySgffItoOsj2UD50Z2DWJReQvEiw3EcJ3zZP=w1200|https://lh3.googleusercontent.com/pw/AP1GczNEA33VcQ9ihMkiXM1WLGb3W8xceB2RocoroRqx2t3pcCfyrnhNnHduR62Zgzsj0tzNhPqJTVJ1NI20Q-hkZTDJgKuVwf1_uA1E1o6FlzzobWi3g3qs=w1200|https://lh3.googleusercontent.com/pw/AP1GczO8dVQjTqAqN-TBQXFS5TLkJUmXfiIJUDR0TqY6eNoBSx1NcdkcVYFJ3IYHa-syL2NvcevLKo8gJi30ggT7GDcV6qVngpeBgnKqDiLXfF6Z5huu8vP2=w1200|https://lh3.googleusercontent.com/pw/AP1GczOKEcwUj95W95mFDbvLXtWfvE1uPT_pXRIE1FXYmcKHFds-UARmnn3kETGqBEsBZeVBJ5t_cYTOXN8c3nyUv_kPmW4CsGmSuOLLJIM6VmzpENv9SY16=w1200|https://lh3.googleusercontent.com/pw/AP1GczNucaxRH19dJWYtcIkvwIs9PhGYAR_oXOk9m4z5obmEjReJzoUB0g9X8nIwg52fyhOQQpptyBg2QXzguleCpQE6dB_oxo5uvHAmKHMsu_9HCjE_Fd7y=w1200|https://lh3.googleusercontent.com/pw/AP1GczNlk1YRabg0dQDB2oIKjw2In5Re8fMHrFYHm49_Qj5tMT9Ym_fipcCDriHCWNQVjBEURZ7ucozNB8yHFQjSfmwoR0TcxjkKdUFu5wFsigAgxBYQ84s4=w1200|https://lh3.googleusercontent.com/pw/AP1GczMM_wuJBfgmij5ejOC3zrdkHiHa8LYxTg-IfD2S63oTEiSpJAZrtOzagYZXK5v5yQQ_i11QXvb8eN3DpJSLsOMWY5pa4qtefyshKVfqnoKBQ-t8d12S=w1200|https://lh3.googleusercontent.com/pw/AP1GczMtbuqI-yXwTP5Nrct9NNSlffhBrudvmkS1eq8IdXv-4Ngyw_11ptjg13DIWG3rexLESq6Si1_Rzdv9iHbwaY-BYobzbiPi-rUQ1Z_uJpcHWP82neU0=w1200|https://lh3.googleusercontent.com/pw/AP1GczPYfnRsFRRQC_eNXs5DIY_BCjFiqjNfmeT6TzONP86IrFAbiHUs7SkGD5kMOgEyxv2TjnaC8y__qSPn1QNs04vlraIrcIMa-yvFsHvUHLP-5xwjUZ6u=w1200</v>
      </c>
      <c r="AJ264" s="46"/>
      <c r="AK264" s="46"/>
      <c r="AL264" s="46"/>
      <c r="AM264" s="46"/>
      <c r="AN264" s="46"/>
      <c r="AO264" s="46"/>
      <c r="AP264" s="46"/>
      <c r="AQ264" s="46"/>
      <c r="AR264" s="46"/>
      <c r="AS264" s="46"/>
      <c r="AT264" s="46"/>
      <c r="AU264" s="46"/>
      <c r="AV264" s="46"/>
      <c r="AW264" s="46"/>
      <c r="AX264" s="46"/>
      <c r="AY264" s="46"/>
      <c r="AZ264" s="46"/>
      <c r="BA264" s="46"/>
      <c r="BB264" s="46"/>
      <c r="BC264" s="46"/>
      <c r="BD264" s="46"/>
      <c r="BE264" s="46"/>
      <c r="BF264" s="46"/>
      <c r="BG264" s="46"/>
      <c r="BH264" s="46"/>
      <c r="BI264" s="46"/>
      <c r="BJ264" s="46"/>
      <c r="BK264" s="46"/>
      <c r="BL264" s="46"/>
      <c r="BM264" s="46"/>
      <c r="BN264" s="46"/>
      <c r="BO264" s="46"/>
      <c r="BP264" s="46"/>
      <c r="BQ264" s="46"/>
      <c r="BR264" s="46"/>
      <c r="BS264" s="46"/>
      <c r="BT264" s="46"/>
      <c r="BU264" s="46"/>
      <c r="BV264" s="46"/>
      <c r="BW264" s="46"/>
      <c r="BX264" s="46"/>
      <c r="BY264" s="46"/>
      <c r="BZ264" s="46"/>
      <c r="CA264" s="46"/>
      <c r="CB264" s="46"/>
      <c r="CC264" s="46"/>
    </row>
    <row r="265">
      <c r="A265" s="87" t="str">
        <f>IFERROR(__xludf.DUMMYFUNCTION("""COMPUTED_VALUE"""),"783")</f>
        <v>783</v>
      </c>
      <c r="B265" s="46" t="str">
        <f>IFERROR(__xludf.DUMMYFUNCTION("""COMPUTED_VALUE"""),"Lotes rurales Vía el Caguán  - Vda. Normandía - Huila")</f>
        <v>Lotes rurales Vía el Caguán  - Vda. Normandía - Huila</v>
      </c>
      <c r="C265" s="46" t="str">
        <f>IFERROR(__xludf.DUMMYFUNCTION("""COMPUTED_VALUE"""),"Lote")</f>
        <v>Lote</v>
      </c>
      <c r="D265" s="46"/>
      <c r="E265" s="46"/>
      <c r="F265" s="90">
        <f>IFERROR(__xludf.DUMMYFUNCTION("""COMPUTED_VALUE"""),6.0E7)</f>
        <v>60000000</v>
      </c>
      <c r="G265" s="46" t="str">
        <f>IFERROR(__xludf.DUMMYFUNCTION("""COMPUTED_VALUE"""),"$0 a $100'000.000")</f>
        <v>$0 a $100'000.000</v>
      </c>
      <c r="H265" s="46"/>
      <c r="I265" s="46"/>
      <c r="J265" s="46" t="str">
        <f>IFERROR(__xludf.DUMMYFUNCTION("""COMPUTED_VALUE"""),"Rural")</f>
        <v>Rural</v>
      </c>
      <c r="K265" s="87"/>
      <c r="L265" s="46">
        <f>IFERROR(__xludf.DUMMYFUNCTION("""COMPUTED_VALUE"""),0.0)</f>
        <v>0</v>
      </c>
      <c r="M265" s="46"/>
      <c r="N265" s="46">
        <f>IFERROR(__xludf.DUMMYFUNCTION("""COMPUTED_VALUE"""),0.0)</f>
        <v>0</v>
      </c>
      <c r="O265" s="46">
        <f>IFERROR(__xludf.DUMMYFUNCTION("""COMPUTED_VALUE"""),0.0)</f>
        <v>0</v>
      </c>
      <c r="P265" s="46">
        <f>IFERROR(__xludf.DUMMYFUNCTION("""COMPUTED_VALUE"""),0.0)</f>
        <v>0</v>
      </c>
      <c r="Q265" s="92">
        <f>IFERROR(__xludf.DUMMYFUNCTION("""COMPUTED_VALUE"""),0.0)</f>
        <v>0</v>
      </c>
      <c r="R265" s="92">
        <f>IFERROR(__xludf.DUMMYFUNCTION("""COMPUTED_VALUE"""),192.0)</f>
        <v>192</v>
      </c>
      <c r="S265" s="87" t="str">
        <f>IFERROR(__xludf.DUMMYFUNCTION("""COMPUTED_VALUE""")," ")</f>
        <v> </v>
      </c>
      <c r="T265" s="46" t="str">
        <f>IFERROR(__xludf.DUMMYFUNCTION("""COMPUTED_VALUE"""),"Caguán")</f>
        <v>Caguán</v>
      </c>
      <c r="U265" s="87"/>
      <c r="V265" s="46"/>
      <c r="W265" s="46"/>
      <c r="X265" s="46">
        <f>IFERROR(__xludf.DUMMYFUNCTION("""COMPUTED_VALUE"""),0.0)</f>
        <v>0</v>
      </c>
      <c r="Y265" s="46" t="str">
        <f>IFERROR(__xludf.DUMMYFUNCTION("""COMPUTED_VALUE"""),"No tiene")</f>
        <v>No tiene</v>
      </c>
      <c r="Z265" s="90" t="str">
        <f>IFERROR(__xludf.DUMMYFUNCTION("""COMPUTED_VALUE"""),"No aplica")</f>
        <v>No aplica</v>
      </c>
      <c r="AA265" s="33" t="str">
        <f>IFERROR(__xludf.DUMMYFUNCTION("""COMPUTED_VALUE"""),"No aplica")</f>
        <v>No aplica</v>
      </c>
      <c r="AB265" s="96" t="str">
        <f>IFERROR(__xludf.DUMMYFUNCTION("""COMPUTED_VALUE"""),"https://photos.app.goo.gl/3uguP1XrxbDbXXfz7")</f>
        <v>https://photos.app.goo.gl/3uguP1XrxbDbXXfz7</v>
      </c>
      <c r="AC265" s="46" t="str">
        <f>IFERROR(__xludf.DUMMYFUNCTION("""COMPUTED_VALUE"""),"L1 - Lote ubicado sobre la zona del mirador.  Area: 1.826.12 m2 -  $140 mlls - - - L 9 Lote ubicado en la zona intermedia. Area: 941.80 m2 -  $80 mll - - - L10  Lote ubicado sobre la vía principal placa huella. Area: 192.0 m2  - $ 55.mlls - - -  L 14 Lote"&amp;" ubicado en la zona intermedia. Area: 478.0 m2 - $85 mlls.")</f>
        <v>L1 - Lote ubicado sobre la zona del mirador.  Area: 1.826.12 m2 -  $140 mlls - - - L 9 Lote ubicado en la zona intermedia. Area: 941.80 m2 -  $80 mll - - - L10  Lote ubicado sobre la vía principal placa huella. Area: 192.0 m2  - $ 55.mlls - - -  L 14 Lote ubicado en la zona intermedia. Area: 478.0 m2 - $85 mlls.</v>
      </c>
      <c r="AD265" s="46" t="str">
        <f>IFERROR(__xludf.DUMMYFUNCTION("""COMPUTED_VALUE"""),"En total son 18 lotes. Vía en placa huella.")</f>
        <v>En total son 18 lotes. Vía en placa huella.</v>
      </c>
      <c r="AE265" s="46"/>
      <c r="AF265" s="46"/>
      <c r="AG265" s="46"/>
      <c r="AH265" s="46" t="str">
        <f>IFERROR(__xludf.DUMMYFUNCTION("""COMPUTED_VALUE"""),"Verbal")</f>
        <v>Verbal</v>
      </c>
      <c r="AI265" s="92" t="str">
        <f>IFERROR(__xludf.DUMMYFUNCTION("""COMPUTED_VALUE"""),"https://lh3.googleusercontent.com/pw/AP1GczPnWD3g652IgJtV5mTxbL0R4WymlQ8kFHLXDq_HnPiGvtxbSrvBK-bLH_DKPrPrRFqVRrRAaW0utIGNxb_EVRFrKMSFpX2yNp_6VneDrlmLm8MUGYmC=w1200|https://lh3.googleusercontent.com/pw/AP1GczMkErvotbm6jVRVM4vtM4f_RQwuBr2JR_0GCF28QDOpK0nKpG"&amp;"J1Eel1XV9r93sqloiFdwBRVSHQ2VdJ7SeKd3l2qCfF7NwYC3LP9Kt9MyKYOkMG8Sla=w1200|https://lh3.googleusercontent.com/pw/AP1GczPFirZ2IjTo-ZpLCOTCz1IPZBz0AbiJJHKkwnhoZacfLeJFe6Ocy9yjjG8gs4kjy3xCAOp73UlKcPJI0_2qWooiHk1eA6pQxTC3-n3H3pADUeLevZFF=w1200|https://lh3.google"&amp;"usercontent.com/pw/AP1GczNtpLPF9yH76RMsJ_LalY1fQszVDsIF1FYAy97_voeJASE57K5w4vLN7wyPJz9rKpQbxa-du_JbpWwT3D2ic7ZPx2QVl-MAjZ4ZoJAA4lj2LDAdBp1x=w1200|https://lh3.googleusercontent.com/pw/AP1GczMH2Hf2F2kXlcbj_MwBP8KyWlhruhQNezr7tuUZYXTFoW_WeOqVyCdcx_kG9p7nDJ6q"&amp;"4afmEonXztmU9s6TFZAQYR9cB8zsr8aIMQhM_uLiAn4lQqge=w1200|https://lh3.googleusercontent.com/pw/AP1GczNXkfdNxCeP9YdqQtc9hgJPkIGLTLV8fVP_lE6-l8NKrQlbO0KTZHTT_P4MsSJyfti1g8Wphnpz-yks_mc6ZojcwGfHuWfSF4bQ5WLolZyUJVU3fk0J=w1200|https://lh3.googleusercontent.com/pw"&amp;"/AP1GczMYNPksSl43t3py1SiG0Y8PAXC74BQjbVMsjdwxgYG2xQyYj4G-ILqtjWcc6qF9rTIddKYq_69iF8572ZCoK7xmh52eS9lixDKQOzfrRSxILsvunSuS=w1200|https://lh3.googleusercontent.com/pw/AP1GczPH23ZOHfWqxkjVmOr5-36QU4snc7BGJSauiBfAGO3ZPA-lYLpqWo67xdkio8vBDGW3PRQ2KYT64BB2MFjUjS"&amp;"5Vw-Z82KIWkjAPoE_MzBVroG5JFNAM=w1200|https://lh3.googleusercontent.com/pw/AP1GczMy4ItC_m07fg41l92jBNL5Mx3e6lCjG7JipZjepkQzGbxDWaTc_Yo4fqMu0KgrKD521CsCOEGfBglQyqU63zAanLQSgpFibH3DnrqHNCC1OFMKQc7t=w1200|https://lh3.googleusercontent.com/pw/AP1GczOo-I0BszyZ9"&amp;"xZIRha7DhzJnLVpNECyAgxe29HNo0vbdSOurYxdGCiaczc7NsRYqVYXlIiXWcJyfLqrjxIl3wh4K0fsyHC8vq3neYc7OzXC9aaor2EB=w1200|https://lh3.googleusercontent.com/pw/AP1GczPGMJjaszvj7QrCC5Djtu8d44UBXHrrIe5H0NphM8BFGy-llG-fns4s0lZImnckTbtttHJZBLJXSmh3dyHZvFbGGty0y9VBSsqwXupu"&amp;"UvFnO_knCdG9=w1200|https://lh3.googleusercontent.com/pw/AP1GczPh8sOfWnz863C4qetmqFrhG18jv7GiQAMHZ8OpZx5iSvpY2i5RfkZq6rjSLrLlGqj0WmwWep1w9xoyaFi_uuh-RyJJ-7zZy0XqlVNL67HguWrc79ef=w1200|https://lh3.googleusercontent.com/pw/AP1GczNNkDjrK1A92o23gTYPCxjv4E9EkNe"&amp;"UwszT0rNaPcVxpNwQc7XduIEox2WWKEFaeszB-PwlALup9J8Ilw5YSUlS9rNaTGyDj36tb0dlUK3i_ifbeDPm=w1200|https://lh3.googleusercontent.com/pw/AP1GczPgJxh3j0T_K1lrkx7pGDYt1OfJfvpLngtSwYuMSRR-XUdXnx3ZYsOwIe7IYJ-5X0mCztHcPn-1FAFyOQTEab3HbC7fjeCppKe4xO7vtnTc9Ochx7as=w1200"&amp;"|https://lh3.googleusercontent.com/pw/AP1GczOg9Zfjp9I3mpPO4kWU5EyCrLtlfR2foLT_GoxLv8djxhtohmJ3vs3J1gQwANqSENGV26a8LUkyuKndCNUBOu0u7sTq0o5O-9RE-lUUziwNFazgpjiA=w1200|https://lh3.googleusercontent.com/pw/AP1GczPwsLoebxIAl5iRbm-p6F3iq09DRiDQnPcmP23a2sZaeFhdb"&amp;"F94ycstqxfWI_qp1AKxgxoJCzBvpZ72jnMsFARO-rad6UjhGfaf6rSsOHLMdE-NIGm6=w1200|https://lh3.googleusercontent.com/pw/AP1GczO_PBu3qlEzHhrY5BiehvA7Ak9Fx7ZLipjlDDAz8qpz5oHUqRax-k5Qe8BcVg6DI8uDxs5CsXaUNw1paXdHiZ0U-_dDDYvALVb0tkEC7eh8AWS7H1n1=w1200|https://lh3.googl"&amp;"eusercontent.com/pw/AP1GczPPywgjh_VTTy-SSUTWGsP0o7rbtA5uUw374BCvEh1jq0GPeYCGpHCKD8qc6rPLo8dXygEJvDEMtycxBq9Pp85QrTlaJtK5bBL9f8CrZmyNOifvkpSf=w1200|https://lh3.googleusercontent.com/pw/AP1GczN_xn0MB_OI0bypERAQWsw9Yt53v6cTEORpg1eFe8qZ8qV-5BSShwCORF0q_hU288R"&amp;"ArJbYecLKMzjZNpJBZ6uWS75bbCkn77BWtrgcaQMix3wqmwZU=w1200|https://lh3.googleusercontent.com/pw/AP1GczNeOUwYyHYz84HcP4ly422yb-j1vi9tlKdhgTuDBYj1qhdRIz-dj06A-hExesXoxYvIiCEPe8eDEUqqp_7vMuxdjfu5BQ3xO7uKweXllzjonfd4bkAI=w1200|https://lh3.googleusercontent.com/p"&amp;"w/AP1GczMWnT9odTjhVBip7Z7rMkrtCOFw6W2irM9FssoaM3nFzS35twxvnBvbWp73gjs0nRW41U5P-CRum13c0sWAf0NQfDlkDuBd4e86msIbZ0QpFp5pJqsg=w1200|https://lh3.googleusercontent.com/pw/AP1GczNFUULxYc6Zx4yG8DQTtlIoo7ybhqTMH46Qz3anWxTdoB_miCRdNx8JxkJpzVNQ-SUOFLR9KwMBI00VmZb0K"&amp;"oWi8QHO66Qf2RNwPYI73Y1RqW9kFK6K=w1200|https://lh3.googleusercontent.com/pw/AP1GczNeqXiuT7iutFEE993eOXilgQOXZ7JGDPPFuDlFv1tB4gCoVNuYM44OApXikEQOFHFqukkAfppPjctL3faaG1nus8XelYLws_udKFBxH9N2hxUpYYwQ=w1200|https://lh3.googleusercontent.com/pw/AP1GczNSrQJaX7Db"&amp;"eec_Bpnp6mooUxDdzNdi52j2LWcltSPsDQDK5XLxHBB5UV9JMlMPeHPIuU10rI0xcFwcWnJ8YxA5BGELTwLcaq2J9-tvcsuNnUxBJ4em=w1200|https://lh3.googleusercontent.com/pw/AP1GczM1u7Ye_5KTkGluXHy-NcrW7zNyvOibKCW9oFexT3xz0woUjaCGDMeD8gmUOi-Qpe7vGEYYml1mmpHqo-KvrijErxFMY0Nvt_ZDQ56"&amp;"ECS6ORDVdokG0=w1200|https://lh3.googleusercontent.com/pw/AP1GczMrrgo8dkL4q5nK0t5Zpqyf0BWGELpmY5FUt4VPz9FvMFZTFRAMgObgnMzRKVV-ogBJ8mlvmOtfKQ172320HUtdIGw6hZ4gL-lqDNYHTM4WSFSGHwHW=w1200|https://lh3.googleusercontent.com/pw/AP1GczM6RKBTUuvYwfqrDDXLlGnyNuanXP"&amp;"5qrpipkyHdvT0AMr0Fbze93dVrA7b2IITJVVckW3mTKrgPNa97lXGwVbv1JOytDi3gPYibKvlwRPZc1-XMkPgP=w1200|https://lh3.googleusercontent.com/pw/AP1GczMJ-Jv8U9JEVH8lOLQ0rcH7O5BBCF4R1mTPmJa0XyT3pIDNSTD7I903j4_pCRBSrPqdAexgZ1ik4enN6vV6SdWLLPpk5qRH8MgJ_HtMg881ImP8Pzmo=w120"&amp;"0|https://lh3.googleusercontent.com/pw/AP1GczNppuAuMWRDYPbW_qxyStYN2vtkuC9d1qsOuqtEskJFAeqZNyKWT-hkaIjKA9rtuScsWhxEdOfTQgopB242r3r8L9xnDtp08Aqwu-jkVKiRPGqpwFvU=w1200|https://lh3.googleusercontent.com/pw/AP1GczPZcxnDtM4ISHLyO0dSxQfvzR2-YbHm9ZUpAGEoA90Bk2fh"&amp;"gxitiJjfw_K9QP65vsgbX0oSqfYazO4Rdmb6BHQa5o7iT2aoRE6dNyyjT09rGXqV3sTW=w1200|https://lh3.googleusercontent.com/pw/AP1GczMWD7yRc5mzmbTP8X_xGnvZjn9pePItWjlWfF415om-64NVqZ7I8ENk5mlNsur3uCq6cjkvegyXqibH7tBi5Ksg6V_19DQC82yMaE7_052Sv4rvawJI=w1200|https://lh3.goog"&amp;"leusercontent.com/pw/AP1GczNY32_NUI8qzL06Gbmlm68ExJBVlBEOdRqo0FwILhdeY9Ca4rB1JB4Xvoe_BGg8dbCoufvFc_g-kcqiipA9DMTv3wGBFSRZbmLtmLBaKRDMJ9s2_Wo7=w1200|https://lh3.googleusercontent.com/pw/AP1GczOd_XlCe906x_TxRjo7-nr5yr6srFtBIGerAjOmRJofvLvgacwkeq2KChFpG3_eM_"&amp;"KJ14HB5WwZzUyoPFGxaWO4vvkWNQQp_B5htoHu-mbm-32VpHKv=w1200|https://lh3.googleusercontent.com/pw/AP1GczO_G0TiyR_HUjalkHT4O1boDe6PdosE-U52zLqeYOFc70a5NFzzN9fuQY7cqj1j68Nam8ixY--CEZVvg_HnFXZiNZTBpA_2THRTr_-pPBzSJp-PwjkL=w1200|https://lh3.googleusercontent.com/"&amp;"pw/AP1GczOdvnXNIWipVW1u8vczNQ17EF_RVoJYPuyZYH4iP3jabegqz1slTNd7kDmYuKmhk3w8kFPnR1FNsipR5oYt2oH68UYlVVDqRiHchftePI36goTNB_Hi=w1200|https://lh3.googleusercontent.com/pw/AP1GczNDFvX9WJcX-SXWdlHiE4eJt3d2Ed2VU-KV_chm97HTCuasklEOayqgTEjLA8HMVb_HwvqMrcq7iPXKAjvH"&amp;"o19nZVkCeNISVcBTpJoBZvjkMIFQyCjK=w1200|https://lh3.googleusercontent.com/pw/AP1GczMedpU8pUDz5dX7Z2gDspcIP3zKuWoe9unZPMeomsZajkEnOV4UkmVyfW_ANBfG716JRv5SFyiRe4FRNSSMKMxHjzimdfHiJ_nrP3CdXBM2xtDeNhvR=w1200|https://lh3.googleusercontent.com/pw/AP1GczOlquvlkr3"&amp;"9zu1fU0LVwnu8bL8mmLbSpjIO3gdfnd0Vg81HAa0Ppr7vxF8nKpJTZQw2TyHdMMXTdu5cZ9DS14g4Q4VERmetCQ7NxAWRE7lp7Z1MNtQh=w1200|https://lh3.googleusercontent.com/pw/AP1GczOURnQXoteaqqCeOVRYap7M4DfDOZg5w1kAtOTe7wWftX_wtUGknOuukmS2oIlbw1ItiCYFFyAiSRCqMPts0rKUkPgENeT-QqqSBe"&amp;"_KYCe90MJo3pJS=w1200|https://lh3.googleusercontent.com/pw/AP1GczOqtR0EcE3M-Lc2Lph8v4KMKGcyHxdJ814oDVvbS2qQxCg6hziyePJc3HHD2zsamcL4_GAo-bQhzIavHQ9GEFjgNhJ3koOnyoqaLI9lDWC8TVOWCaV4=w1200")</f>
        <v>https://lh3.googleusercontent.com/pw/AP1GczPnWD3g652IgJtV5mTxbL0R4WymlQ8kFHLXDq_HnPiGvtxbSrvBK-bLH_DKPrPrRFqVRrRAaW0utIGNxb_EVRFrKMSFpX2yNp_6VneDrlmLm8MUGYmC=w1200|https://lh3.googleusercontent.com/pw/AP1GczMkErvotbm6jVRVM4vtM4f_RQwuBr2JR_0GCF28QDOpK0nKpGJ1Eel1XV9r93sqloiFdwBRVSHQ2VdJ7SeKd3l2qCfF7NwYC3LP9Kt9MyKYOkMG8Sla=w1200|https://lh3.googleusercontent.com/pw/AP1GczPFirZ2IjTo-ZpLCOTCz1IPZBz0AbiJJHKkwnhoZacfLeJFe6Ocy9yjjG8gs4kjy3xCAOp73UlKcPJI0_2qWooiHk1eA6pQxTC3-n3H3pADUeLevZFF=w1200|https://lh3.googleusercontent.com/pw/AP1GczNtpLPF9yH76RMsJ_LalY1fQszVDsIF1FYAy97_voeJASE57K5w4vLN7wyPJz9rKpQbxa-du_JbpWwT3D2ic7ZPx2QVl-MAjZ4ZoJAA4lj2LDAdBp1x=w1200|https://lh3.googleusercontent.com/pw/AP1GczMH2Hf2F2kXlcbj_MwBP8KyWlhruhQNezr7tuUZYXTFoW_WeOqVyCdcx_kG9p7nDJ6q4afmEonXztmU9s6TFZAQYR9cB8zsr8aIMQhM_uLiAn4lQqge=w1200|https://lh3.googleusercontent.com/pw/AP1GczNXkfdNxCeP9YdqQtc9hgJPkIGLTLV8fVP_lE6-l8NKrQlbO0KTZHTT_P4MsSJyfti1g8Wphnpz-yks_mc6ZojcwGfHuWfSF4bQ5WLolZyUJVU3fk0J=w1200|https://lh3.googleusercontent.com/pw/AP1GczMYNPksSl43t3py1SiG0Y8PAXC74BQjbVMsjdwxgYG2xQyYj4G-ILqtjWcc6qF9rTIddKYq_69iF8572ZCoK7xmh52eS9lixDKQOzfrRSxILsvunSuS=w1200|https://lh3.googleusercontent.com/pw/AP1GczPH23ZOHfWqxkjVmOr5-36QU4snc7BGJSauiBfAGO3ZPA-lYLpqWo67xdkio8vBDGW3PRQ2KYT64BB2MFjUjS5Vw-Z82KIWkjAPoE_MzBVroG5JFNAM=w1200|https://lh3.googleusercontent.com/pw/AP1GczMy4ItC_m07fg41l92jBNL5Mx3e6lCjG7JipZjepkQzGbxDWaTc_Yo4fqMu0KgrKD521CsCOEGfBglQyqU63zAanLQSgpFibH3DnrqHNCC1OFMKQc7t=w1200|https://lh3.googleusercontent.com/pw/AP1GczOo-I0BszyZ9xZIRha7DhzJnLVpNECyAgxe29HNo0vbdSOurYxdGCiaczc7NsRYqVYXlIiXWcJyfLqrjxIl3wh4K0fsyHC8vq3neYc7OzXC9aaor2EB=w1200|https://lh3.googleusercontent.com/pw/AP1GczPGMJjaszvj7QrCC5Djtu8d44UBXHrrIe5H0NphM8BFGy-llG-fns4s0lZImnckTbtttHJZBLJXSmh3dyHZvFbGGty0y9VBSsqwXupuUvFnO_knCdG9=w1200|https://lh3.googleusercontent.com/pw/AP1GczPh8sOfWnz863C4qetmqFrhG18jv7GiQAMHZ8OpZx5iSvpY2i5RfkZq6rjSLrLlGqj0WmwWep1w9xoyaFi_uuh-RyJJ-7zZy0XqlVNL67HguWrc79ef=w1200|https://lh3.googleusercontent.com/pw/AP1GczNNkDjrK1A92o23gTYPCxjv4E9EkNeUwszT0rNaPcVxpNwQc7XduIEox2WWKEFaeszB-PwlALup9J8Ilw5YSUlS9rNaTGyDj36tb0dlUK3i_ifbeDPm=w1200|https://lh3.googleusercontent.com/pw/AP1GczPgJxh3j0T_K1lrkx7pGDYt1OfJfvpLngtSwYuMSRR-XUdXnx3ZYsOwIe7IYJ-5X0mCztHcPn-1FAFyOQTEab3HbC7fjeCppKe4xO7vtnTc9Ochx7as=w1200|https://lh3.googleusercontent.com/pw/AP1GczOg9Zfjp9I3mpPO4kWU5EyCrLtlfR2foLT_GoxLv8djxhtohmJ3vs3J1gQwANqSENGV26a8LUkyuKndCNUBOu0u7sTq0o5O-9RE-lUUziwNFazgpjiA=w1200|https://lh3.googleusercontent.com/pw/AP1GczPwsLoebxIAl5iRbm-p6F3iq09DRiDQnPcmP23a2sZaeFhdbF94ycstqxfWI_qp1AKxgxoJCzBvpZ72jnMsFARO-rad6UjhGfaf6rSsOHLMdE-NIGm6=w1200|https://lh3.googleusercontent.com/pw/AP1GczO_PBu3qlEzHhrY5BiehvA7Ak9Fx7ZLipjlDDAz8qpz5oHUqRax-k5Qe8BcVg6DI8uDxs5CsXaUNw1paXdHiZ0U-_dDDYvALVb0tkEC7eh8AWS7H1n1=w1200|https://lh3.googleusercontent.com/pw/AP1GczPPywgjh_VTTy-SSUTWGsP0o7rbtA5uUw374BCvEh1jq0GPeYCGpHCKD8qc6rPLo8dXygEJvDEMtycxBq9Pp85QrTlaJtK5bBL9f8CrZmyNOifvkpSf=w1200|https://lh3.googleusercontent.com/pw/AP1GczN_xn0MB_OI0bypERAQWsw9Yt53v6cTEORpg1eFe8qZ8qV-5BSShwCORF0q_hU288RArJbYecLKMzjZNpJBZ6uWS75bbCkn77BWtrgcaQMix3wqmwZU=w1200|https://lh3.googleusercontent.com/pw/AP1GczNeOUwYyHYz84HcP4ly422yb-j1vi9tlKdhgTuDBYj1qhdRIz-dj06A-hExesXoxYvIiCEPe8eDEUqqp_7vMuxdjfu5BQ3xO7uKweXllzjonfd4bkAI=w1200|https://lh3.googleusercontent.com/pw/AP1GczMWnT9odTjhVBip7Z7rMkrtCOFw6W2irM9FssoaM3nFzS35twxvnBvbWp73gjs0nRW41U5P-CRum13c0sWAf0NQfDlkDuBd4e86msIbZ0QpFp5pJqsg=w1200|https://lh3.googleusercontent.com/pw/AP1GczNFUULxYc6Zx4yG8DQTtlIoo7ybhqTMH46Qz3anWxTdoB_miCRdNx8JxkJpzVNQ-SUOFLR9KwMBI00VmZb0KoWi8QHO66Qf2RNwPYI73Y1RqW9kFK6K=w1200|https://lh3.googleusercontent.com/pw/AP1GczNeqXiuT7iutFEE993eOXilgQOXZ7JGDPPFuDlFv1tB4gCoVNuYM44OApXikEQOFHFqukkAfppPjctL3faaG1nus8XelYLws_udKFBxH9N2hxUpYYwQ=w1200|https://lh3.googleusercontent.com/pw/AP1GczNSrQJaX7Dbeec_Bpnp6mooUxDdzNdi52j2LWcltSPsDQDK5XLxHBB5UV9JMlMPeHPIuU10rI0xcFwcWnJ8YxA5BGELTwLcaq2J9-tvcsuNnUxBJ4em=w1200|https://lh3.googleusercontent.com/pw/AP1GczM1u7Ye_5KTkGluXHy-NcrW7zNyvOibKCW9oFexT3xz0woUjaCGDMeD8gmUOi-Qpe7vGEYYml1mmpHqo-KvrijErxFMY0Nvt_ZDQ56ECS6ORDVdokG0=w1200|https://lh3.googleusercontent.com/pw/AP1GczMrrgo8dkL4q5nK0t5Zpqyf0BWGELpmY5FUt4VPz9FvMFZTFRAMgObgnMzRKVV-ogBJ8mlvmOtfKQ172320HUtdIGw6hZ4gL-lqDNYHTM4WSFSGHwHW=w1200|https://lh3.googleusercontent.com/pw/AP1GczM6RKBTUuvYwfqrDDXLlGnyNuanXP5qrpipkyHdvT0AMr0Fbze93dVrA7b2IITJVVckW3mTKrgPNa97lXGwVbv1JOytDi3gPYibKvlwRPZc1-XMkPgP=w1200|https://lh3.googleusercontent.com/pw/AP1GczMJ-Jv8U9JEVH8lOLQ0rcH7O5BBCF4R1mTPmJa0XyT3pIDNSTD7I903j4_pCRBSrPqdAexgZ1ik4enN6vV6SdWLLPpk5qRH8MgJ_HtMg881ImP8Pzmo=w1200|https://lh3.googleusercontent.com/pw/AP1GczNppuAuMWRDYPbW_qxyStYN2vtkuC9d1qsOuqtEskJFAeqZNyKWT-hkaIjKA9rtuScsWhxEdOfTQgopB242r3r8L9xnDtp08Aqwu-jkVKiRPGqpwFvU=w1200|https://lh3.googleusercontent.com/pw/AP1GczPZcxnDtM4ISHLyO0dSxQfvzR2-YbHm9ZUpAGEoA90Bk2fhgxitiJjfw_K9QP65vsgbX0oSqfYazO4Rdmb6BHQa5o7iT2aoRE6dNyyjT09rGXqV3sTW=w1200|https://lh3.googleusercontent.com/pw/AP1GczMWD7yRc5mzmbTP8X_xGnvZjn9pePItWjlWfF415om-64NVqZ7I8ENk5mlNsur3uCq6cjkvegyXqibH7tBi5Ksg6V_19DQC82yMaE7_052Sv4rvawJI=w1200|https://lh3.googleusercontent.com/pw/AP1GczNY32_NUI8qzL06Gbmlm68ExJBVlBEOdRqo0FwILhdeY9Ca4rB1JB4Xvoe_BGg8dbCoufvFc_g-kcqiipA9DMTv3wGBFSRZbmLtmLBaKRDMJ9s2_Wo7=w1200|https://lh3.googleusercontent.com/pw/AP1GczOd_XlCe906x_TxRjo7-nr5yr6srFtBIGerAjOmRJofvLvgacwkeq2KChFpG3_eM_KJ14HB5WwZzUyoPFGxaWO4vvkWNQQp_B5htoHu-mbm-32VpHKv=w1200|https://lh3.googleusercontent.com/pw/AP1GczO_G0TiyR_HUjalkHT4O1boDe6PdosE-U52zLqeYOFc70a5NFzzN9fuQY7cqj1j68Nam8ixY--CEZVvg_HnFXZiNZTBpA_2THRTr_-pPBzSJp-PwjkL=w1200|https://lh3.googleusercontent.com/pw/AP1GczOdvnXNIWipVW1u8vczNQ17EF_RVoJYPuyZYH4iP3jabegqz1slTNd7kDmYuKmhk3w8kFPnR1FNsipR5oYt2oH68UYlVVDqRiHchftePI36goTNB_Hi=w1200|https://lh3.googleusercontent.com/pw/AP1GczNDFvX9WJcX-SXWdlHiE4eJt3d2Ed2VU-KV_chm97HTCuasklEOayqgTEjLA8HMVb_HwvqMrcq7iPXKAjvHo19nZVkCeNISVcBTpJoBZvjkMIFQyCjK=w1200|https://lh3.googleusercontent.com/pw/AP1GczMedpU8pUDz5dX7Z2gDspcIP3zKuWoe9unZPMeomsZajkEnOV4UkmVyfW_ANBfG716JRv5SFyiRe4FRNSSMKMxHjzimdfHiJ_nrP3CdXBM2xtDeNhvR=w1200|https://lh3.googleusercontent.com/pw/AP1GczOlquvlkr39zu1fU0LVwnu8bL8mmLbSpjIO3gdfnd0Vg81HAa0Ppr7vxF8nKpJTZQw2TyHdMMXTdu5cZ9DS14g4Q4VERmetCQ7NxAWRE7lp7Z1MNtQh=w1200|https://lh3.googleusercontent.com/pw/AP1GczOURnQXoteaqqCeOVRYap7M4DfDOZg5w1kAtOTe7wWftX_wtUGknOuukmS2oIlbw1ItiCYFFyAiSRCqMPts0rKUkPgENeT-QqqSBe_KYCe90MJo3pJS=w1200|https://lh3.googleusercontent.com/pw/AP1GczOqtR0EcE3M-Lc2Lph8v4KMKGcyHxdJ814oDVvbS2qQxCg6hziyePJc3HHD2zsamcL4_GAo-bQhzIavHQ9GEFjgNhJ3koOnyoqaLI9lDWC8TVOWCaV4=w1200</v>
      </c>
      <c r="AJ265" s="46"/>
      <c r="AK265" s="46"/>
      <c r="AL265" s="46"/>
      <c r="AM265" s="46"/>
      <c r="AN265" s="46"/>
      <c r="AO265" s="46"/>
      <c r="AP265" s="46"/>
      <c r="AQ265" s="46"/>
      <c r="AR265" s="46"/>
      <c r="AS265" s="46"/>
      <c r="AT265" s="46"/>
      <c r="AU265" s="46"/>
      <c r="AV265" s="46"/>
      <c r="AW265" s="46"/>
      <c r="AX265" s="46"/>
      <c r="AY265" s="46"/>
      <c r="AZ265" s="46"/>
      <c r="BA265" s="46"/>
      <c r="BB265" s="46"/>
      <c r="BC265" s="46"/>
      <c r="BD265" s="46"/>
      <c r="BE265" s="46"/>
      <c r="BF265" s="46"/>
      <c r="BG265" s="46"/>
      <c r="BH265" s="46"/>
      <c r="BI265" s="46"/>
      <c r="BJ265" s="46"/>
      <c r="BK265" s="46"/>
      <c r="BL265" s="46"/>
      <c r="BM265" s="46"/>
      <c r="BN265" s="46"/>
      <c r="BO265" s="46"/>
      <c r="BP265" s="46"/>
      <c r="BQ265" s="46"/>
      <c r="BR265" s="46"/>
      <c r="BS265" s="46"/>
      <c r="BT265" s="46"/>
      <c r="BU265" s="46"/>
      <c r="BV265" s="46"/>
      <c r="BW265" s="46"/>
      <c r="BX265" s="46"/>
      <c r="BY265" s="46"/>
      <c r="BZ265" s="46"/>
      <c r="CA265" s="46"/>
      <c r="CB265" s="46"/>
      <c r="CC265" s="46"/>
    </row>
    <row r="266">
      <c r="A266" s="87" t="str">
        <f>IFERROR(__xludf.DUMMYFUNCTION("""COMPUTED_VALUE"""),"167")</f>
        <v>167</v>
      </c>
      <c r="B266" s="46" t="str">
        <f>IFERROR(__xludf.DUMMYFUNCTION("""COMPUTED_VALUE"""),"Lote Esquinero en barrio Villa Angelica  - Los Pinos - Norte")</f>
        <v>Lote Esquinero en barrio Villa Angelica  - Los Pinos - Norte</v>
      </c>
      <c r="C266" s="46" t="str">
        <f>IFERROR(__xludf.DUMMYFUNCTION("""COMPUTED_VALUE"""),"Lote")</f>
        <v>Lote</v>
      </c>
      <c r="D266" s="46" t="str">
        <f>IFERROR(__xludf.DUMMYFUNCTION("""COMPUTED_VALUE"""),"Villa Angelica")</f>
        <v>Villa Angelica</v>
      </c>
      <c r="E266" s="46"/>
      <c r="F266" s="90">
        <f>IFERROR(__xludf.DUMMYFUNCTION("""COMPUTED_VALUE"""),4.5E7)</f>
        <v>45000000</v>
      </c>
      <c r="G266" s="46" t="str">
        <f>IFERROR(__xludf.DUMMYFUNCTION("""COMPUTED_VALUE"""),"$0 a $100'000.000")</f>
        <v>$0 a $100'000.000</v>
      </c>
      <c r="H266" s="46"/>
      <c r="I266" s="46"/>
      <c r="J266" s="46" t="str">
        <f>IFERROR(__xludf.DUMMYFUNCTION("""COMPUTED_VALUE"""),"Norte")</f>
        <v>Norte</v>
      </c>
      <c r="K266" s="87"/>
      <c r="L266" s="46">
        <f>IFERROR(__xludf.DUMMYFUNCTION("""COMPUTED_VALUE"""),0.0)</f>
        <v>0</v>
      </c>
      <c r="M266" s="46"/>
      <c r="N266" s="46">
        <f>IFERROR(__xludf.DUMMYFUNCTION("""COMPUTED_VALUE"""),0.0)</f>
        <v>0</v>
      </c>
      <c r="O266" s="46">
        <f>IFERROR(__xludf.DUMMYFUNCTION("""COMPUTED_VALUE"""),0.0)</f>
        <v>0</v>
      </c>
      <c r="P266" s="46">
        <f>IFERROR(__xludf.DUMMYFUNCTION("""COMPUTED_VALUE"""),0.0)</f>
        <v>0</v>
      </c>
      <c r="Q266" s="92">
        <f>IFERROR(__xludf.DUMMYFUNCTION("""COMPUTED_VALUE"""),0.0)</f>
        <v>0</v>
      </c>
      <c r="R266" s="92">
        <f>IFERROR(__xludf.DUMMYFUNCTION("""COMPUTED_VALUE"""),168.0)</f>
        <v>168</v>
      </c>
      <c r="S266" s="87" t="str">
        <f>IFERROR(__xludf.DUMMYFUNCTION("""COMPUTED_VALUE""")," ")</f>
        <v> </v>
      </c>
      <c r="T266" s="46" t="str">
        <f>IFERROR(__xludf.DUMMYFUNCTION("""COMPUTED_VALUE"""),"Neiva")</f>
        <v>Neiva</v>
      </c>
      <c r="U266" s="87"/>
      <c r="V266" s="46" t="str">
        <f>IFERROR(__xludf.DUMMYFUNCTION("""COMPUTED_VALUE"""),"Esquinera")</f>
        <v>Esquinera</v>
      </c>
      <c r="W266" s="46"/>
      <c r="X266" s="46"/>
      <c r="Y266" s="46" t="str">
        <f>IFERROR(__xludf.DUMMYFUNCTION("""COMPUTED_VALUE"""),"No tiene")</f>
        <v>No tiene</v>
      </c>
      <c r="Z266" s="90" t="str">
        <f>IFERROR(__xludf.DUMMYFUNCTION("""COMPUTED_VALUE"""),"No aplica")</f>
        <v>No aplica</v>
      </c>
      <c r="AA266" s="33" t="str">
        <f>IFERROR(__xludf.DUMMYFUNCTION("""COMPUTED_VALUE"""),"No aplica")</f>
        <v>No aplica</v>
      </c>
      <c r="AB266" s="96" t="str">
        <f>IFERROR(__xludf.DUMMYFUNCTION("""COMPUTED_VALUE"""),"https://photos.app.goo.gl/sHg7YC8a1VFwhZUV7")</f>
        <v>https://photos.app.goo.gl/sHg7YC8a1VFwhZUV7</v>
      </c>
      <c r="AC266" s="46"/>
      <c r="AD266" s="46" t="str">
        <f>IFERROR(__xludf.DUMMYFUNCTION("""COMPUTED_VALUE"""),"Lote esquinero, ubicado vía los pinos, conjunto San Pablo, barrio Villa Nubia. Dimensión del lote 7.0 ml x 24.0 ml. Ubicado sobre Vía amplia destapada. El sector de Villa Angélica se encuentra en proceso de legalización de las escrituras. Se vende con car"&amp;"ta venta. No se permuta.")</f>
        <v>Lote esquinero, ubicado vía los pinos, conjunto San Pablo, barrio Villa Nubia. Dimensión del lote 7.0 ml x 24.0 ml. Ubicado sobre Vía amplia destapada. El sector de Villa Angélica se encuentra en proceso de legalización de las escrituras. Se vende con carta venta. No se permuta.</v>
      </c>
      <c r="AE266" s="46"/>
      <c r="AF266" s="46">
        <f>IFERROR(__xludf.DUMMYFUNCTION("""COMPUTED_VALUE"""),0.0)</f>
        <v>0</v>
      </c>
      <c r="AG266" s="46"/>
      <c r="AH266" s="46" t="str">
        <f>IFERROR(__xludf.DUMMYFUNCTION("""COMPUTED_VALUE"""),"Verbal")</f>
        <v>Verbal</v>
      </c>
      <c r="AI266" s="92" t="str">
        <f>IFERROR(__xludf.DUMMYFUNCTION("""COMPUTED_VALUE"""),"https://lh3.googleusercontent.com/pw/AP1GczP1KVFh7M5IKi5aZzu2bNjkgBI6qVCQX1fzTn0GM9kyyvma5KwXjGMxEUZffBGzCp7GRWTzUP4B6za13CDQIrykcXVu8ndvBvBFILSs3N9TXjkR5LRV=w1200|https://lh3.googleusercontent.com/pw/AP1GczNZjQPkMSP-2lGbyVEJruDwVA6Pbald6X9DdBzVCyx_OnSSCX"&amp;"iIhW4f_g9KdgV3lI59e8o5ThxGB_We1bSWZvvb-kemZOFxXAhcG8ZLK-VPF8-ppma7=w1200|https://lh3.googleusercontent.com/pw/AP1GczOiW2f_PE-_Ld-fuKPe7dAn4dC58-4X03ZOK7SYqHsgiQRO9mNSPzLeN34a4AvFZ-hJ9fwzjgfV94xPOakts5EQ73F7j2BA7Ef589-7w0LIF8KeCJh1=w1200|https://lh3.google"&amp;"usercontent.com/pw/AP1GczPngWK0cBFcgWn4Tq-ImUEXkj2AaWu_yrLW8uYo_HmO9MOk9esXSrBbdf7guILh9KiakCUgxJIXp0K9xUzfO9eLDo84d1IqoP6CB-nMKyf7AEzR-RQQ=w1200|https://lh3.googleusercontent.com/pw/AP1GczMhIfDBZ3nVwaNldhJ5o7TrAgAje7UDx_hsJdwilbGFL2AVzvvEirZhWIQcKWFvJfqW"&amp;"jCsRVhhsLh4Qb9TZAtygeJbfcM66PS-OZc_Or_P6YREJ2hBT=w1200")</f>
        <v>https://lh3.googleusercontent.com/pw/AP1GczP1KVFh7M5IKi5aZzu2bNjkgBI6qVCQX1fzTn0GM9kyyvma5KwXjGMxEUZffBGzCp7GRWTzUP4B6za13CDQIrykcXVu8ndvBvBFILSs3N9TXjkR5LRV=w1200|https://lh3.googleusercontent.com/pw/AP1GczNZjQPkMSP-2lGbyVEJruDwVA6Pbald6X9DdBzVCyx_OnSSCXiIhW4f_g9KdgV3lI59e8o5ThxGB_We1bSWZvvb-kemZOFxXAhcG8ZLK-VPF8-ppma7=w1200|https://lh3.googleusercontent.com/pw/AP1GczOiW2f_PE-_Ld-fuKPe7dAn4dC58-4X03ZOK7SYqHsgiQRO9mNSPzLeN34a4AvFZ-hJ9fwzjgfV94xPOakts5EQ73F7j2BA7Ef589-7w0LIF8KeCJh1=w1200|https://lh3.googleusercontent.com/pw/AP1GczPngWK0cBFcgWn4Tq-ImUEXkj2AaWu_yrLW8uYo_HmO9MOk9esXSrBbdf7guILh9KiakCUgxJIXp0K9xUzfO9eLDo84d1IqoP6CB-nMKyf7AEzR-RQQ=w1200|https://lh3.googleusercontent.com/pw/AP1GczMhIfDBZ3nVwaNldhJ5o7TrAgAje7UDx_hsJdwilbGFL2AVzvvEirZhWIQcKWFvJfqWjCsRVhhsLh4Qb9TZAtygeJbfcM66PS-OZc_Or_P6YREJ2hBT=w1200</v>
      </c>
      <c r="AJ266" s="46"/>
      <c r="AK266" s="46"/>
      <c r="AL266" s="46"/>
      <c r="AM266" s="46"/>
      <c r="AN266" s="46"/>
      <c r="AO266" s="46"/>
      <c r="AP266" s="46"/>
      <c r="AQ266" s="46"/>
      <c r="AR266" s="46"/>
      <c r="AS266" s="46"/>
      <c r="AT266" s="46"/>
      <c r="AU266" s="46"/>
      <c r="AV266" s="46"/>
      <c r="AW266" s="46"/>
      <c r="AX266" s="46"/>
      <c r="AY266" s="46"/>
      <c r="AZ266" s="46"/>
      <c r="BA266" s="46"/>
      <c r="BB266" s="46"/>
      <c r="BC266" s="46"/>
      <c r="BD266" s="46"/>
      <c r="BE266" s="46"/>
      <c r="BF266" s="46"/>
      <c r="BG266" s="46"/>
      <c r="BH266" s="46"/>
      <c r="BI266" s="46"/>
      <c r="BJ266" s="46"/>
      <c r="BK266" s="46"/>
      <c r="BL266" s="46"/>
      <c r="BM266" s="46"/>
      <c r="BN266" s="46"/>
      <c r="BO266" s="46"/>
      <c r="BP266" s="46"/>
      <c r="BQ266" s="46"/>
      <c r="BR266" s="46"/>
      <c r="BS266" s="46"/>
      <c r="BT266" s="46"/>
      <c r="BU266" s="46"/>
      <c r="BV266" s="46"/>
      <c r="BW266" s="46"/>
      <c r="BX266" s="46"/>
      <c r="BY266" s="46"/>
      <c r="BZ266" s="46"/>
      <c r="CA266" s="46"/>
      <c r="CB266" s="46"/>
      <c r="CC266" s="46"/>
    </row>
    <row r="267">
      <c r="A267" s="87" t="str">
        <f>IFERROR(__xludf.DUMMYFUNCTION("""COMPUTED_VALUE"""),"026")</f>
        <v>026</v>
      </c>
      <c r="B267" s="46" t="str">
        <f>IFERROR(__xludf.DUMMYFUNCTION("""COMPUTED_VALUE"""),"Casa con  2 aparta estudios y 2 apartamentos en barrio El Libertador")</f>
        <v>Casa con  2 aparta estudios y 2 apartamentos en barrio El Libertador</v>
      </c>
      <c r="C267" s="46" t="str">
        <f>IFERROR(__xludf.DUMMYFUNCTION("""COMPUTED_VALUE"""),"Casa rentable")</f>
        <v>Casa rentable</v>
      </c>
      <c r="D267" s="46" t="str">
        <f>IFERROR(__xludf.DUMMYFUNCTION("""COMPUTED_VALUE"""),"El Libertador")</f>
        <v>El Libertador</v>
      </c>
      <c r="E267" s="90" t="str">
        <f>IFERROR(__xludf.DUMMYFUNCTION("""COMPUTED_VALUE""")," ")</f>
        <v> </v>
      </c>
      <c r="F267" s="90">
        <f>IFERROR(__xludf.DUMMYFUNCTION("""COMPUTED_VALUE"""),2.8E8)</f>
        <v>280000000</v>
      </c>
      <c r="G267" s="46" t="str">
        <f>IFERROR(__xludf.DUMMYFUNCTION("""COMPUTED_VALUE"""),"$200'000.000 a $300'000.000")</f>
        <v>$200'000.000 a $300'000.000</v>
      </c>
      <c r="H267" s="46"/>
      <c r="I267" s="46"/>
      <c r="J267" s="46" t="str">
        <f>IFERROR(__xludf.DUMMYFUNCTION("""COMPUTED_VALUE"""),"Oriente")</f>
        <v>Oriente</v>
      </c>
      <c r="K267" s="87"/>
      <c r="L267" s="46">
        <f>IFERROR(__xludf.DUMMYFUNCTION("""COMPUTED_VALUE"""),7.0)</f>
        <v>7</v>
      </c>
      <c r="M267" s="46"/>
      <c r="N267" s="46">
        <f>IFERROR(__xludf.DUMMYFUNCTION("""COMPUTED_VALUE"""),5.0)</f>
        <v>5</v>
      </c>
      <c r="O267" s="46">
        <f>IFERROR(__xludf.DUMMYFUNCTION("""COMPUTED_VALUE"""),1.0)</f>
        <v>1</v>
      </c>
      <c r="P267" s="46">
        <f>IFERROR(__xludf.DUMMYFUNCTION("""COMPUTED_VALUE"""),1.0)</f>
        <v>1</v>
      </c>
      <c r="Q267" s="92">
        <f>IFERROR(__xludf.DUMMYFUNCTION("""COMPUTED_VALUE"""),240.0)</f>
        <v>240</v>
      </c>
      <c r="R267" s="92">
        <f>IFERROR(__xludf.DUMMYFUNCTION("""COMPUTED_VALUE"""),252.0)</f>
        <v>252</v>
      </c>
      <c r="S267" s="87" t="str">
        <f>IFERROR(__xludf.DUMMYFUNCTION("""COMPUTED_VALUE"""),"Rentabilidad $2,200,000")</f>
        <v>Rentabilidad $2,200,000</v>
      </c>
      <c r="T267" s="46" t="str">
        <f>IFERROR(__xludf.DUMMYFUNCTION("""COMPUTED_VALUE"""),"Neiva")</f>
        <v>Neiva</v>
      </c>
      <c r="U267" s="87" t="str">
        <f>IFERROR(__xludf.DUMMYFUNCTION("""COMPUTED_VALUE"""),"2")</f>
        <v>2</v>
      </c>
      <c r="V267" s="46" t="str">
        <f>IFERROR(__xludf.DUMMYFUNCTION("""COMPUTED_VALUE"""),"Medianera")</f>
        <v>Medianera</v>
      </c>
      <c r="W267" s="46"/>
      <c r="X267" s="46">
        <f>IFERROR(__xludf.DUMMYFUNCTION("""COMPUTED_VALUE"""),4.0)</f>
        <v>4</v>
      </c>
      <c r="Y267" s="46" t="str">
        <f>IFERROR(__xludf.DUMMYFUNCTION("""COMPUTED_VALUE"""),"No tiene")</f>
        <v>No tiene</v>
      </c>
      <c r="Z267" s="90" t="str">
        <f>IFERROR(__xludf.DUMMYFUNCTION("""COMPUTED_VALUE"""),"No aplica")</f>
        <v>No aplica</v>
      </c>
      <c r="AA267" s="33" t="str">
        <f>IFERROR(__xludf.DUMMYFUNCTION("""COMPUTED_VALUE"""),"11 años")</f>
        <v>11 años</v>
      </c>
      <c r="AB267" s="144" t="str">
        <f>IFERROR(__xludf.DUMMYFUNCTION("""COMPUTED_VALUE"""),"https://photos.app.goo.gl/DPb7Jd6ah79vTUXo8")</f>
        <v>https://photos.app.goo.gl/DPb7Jd6ah79vTUXo8</v>
      </c>
      <c r="AC267" s="46" t="str">
        <f>IFERROR(__xludf.DUMMYFUNCTION("""COMPUTED_VALUE"""),"Cuenta con buenos acabados.")</f>
        <v>Cuenta con buenos acabados.</v>
      </c>
      <c r="AD267" s="46" t="str">
        <f>IFERROR(__xludf.DUMMYFUNCTION("""COMPUTED_VALUE"""),"Dimensión del lote: 10.50 ml x 28.0 ml. Ubicada sobre vía principal, pasa transporte público, cerca al estadio y coliseo.")</f>
        <v>Dimensión del lote: 10.50 ml x 28.0 ml. Ubicada sobre vía principal, pasa transporte público, cerca al estadio y coliseo.</v>
      </c>
      <c r="AE267" s="46"/>
      <c r="AF267" s="46" t="str">
        <f>IFERROR(__xludf.DUMMYFUNCTION("""COMPUTED_VALUE"""),"semi-integral")</f>
        <v>semi-integral</v>
      </c>
      <c r="AG267" s="46"/>
      <c r="AH267" s="46"/>
      <c r="AI267" s="92" t="str">
        <f>IFERROR(__xludf.DUMMYFUNCTION("""COMPUTED_VALUE"""),"https://lh3.googleusercontent.com/pw/AP1GczO7Q7eCIYDrAUaHeMdqsIlwZybyyZII6Shr-UHxvKmnXe0Utod3bNmWuC-LI9LTfiEaNeMsD08eli8j6a6a35wLwYkQeLLYS4WXz6xOPF0EBcu5jCka=w1200|https://lh3.googleusercontent.com/pw/AP1GczO9TLDOwhnPfJaDn9RhJrhq7coFZN6TDmWoxv21CbzMdFgxLl"&amp;"JuPy1FrXGMfhbwzacKSN2bV8bf9gxgNmg7hn7I0KjK0JZNOMRy7mvUnLFYhN7Lfgkp=w1200|https://lh3.googleusercontent.com/pw/AP1GczOs-8BTrZKpaKVQEOVrb8PFFvj4ROdCrmGsXdtiJmuoyApec9r9P2F76fw0r3OXkS4_dqvsnxOkYFh49QOV6WVmM7COyNNwjj4gpqs3_m69mEeWoirW=w1200|https://lh3.google"&amp;"usercontent.com/pw/AP1GczMx62z4H26jI91JXV4Ma8CZYNsB-cbOCOYRctiqNpYUAfJ8kBn5ExW-wdX9P_-qOQ33Z5A0aVl-Z__29iJKs1GG0GcsdNvW5QqvCUSDyG8-ZHTdvbJ0=w1200|https://lh3.googleusercontent.com/pw/AP1GczMbefsh-sc2dbXo8_hQC9INVugP9we58irUAiVtx_kxvuttxVRS2G-EqKgemiJgTa43"&amp;"an1ee4-cB-d-VRgZWn13GzlWvIvEYLgQqZOMLZm7yqI1Bwfc=w1200|https://lh3.googleusercontent.com/pw/AP1GczNQN79atw45sOPpaiMmmIoc-YUvkUXSLVKkuQ-OFBI3tCoOmiBenqf5MkK6Vi6ZIMNvM-oPM8ffyJkhxVAGOdd1NUDmIjBVlPAB0bCRWDQ1dG1Hwmnd=w1200")</f>
        <v>https://lh3.googleusercontent.com/pw/AP1GczO7Q7eCIYDrAUaHeMdqsIlwZybyyZII6Shr-UHxvKmnXe0Utod3bNmWuC-LI9LTfiEaNeMsD08eli8j6a6a35wLwYkQeLLYS4WXz6xOPF0EBcu5jCka=w1200|https://lh3.googleusercontent.com/pw/AP1GczO9TLDOwhnPfJaDn9RhJrhq7coFZN6TDmWoxv21CbzMdFgxLlJuPy1FrXGMfhbwzacKSN2bV8bf9gxgNmg7hn7I0KjK0JZNOMRy7mvUnLFYhN7Lfgkp=w1200|https://lh3.googleusercontent.com/pw/AP1GczOs-8BTrZKpaKVQEOVrb8PFFvj4ROdCrmGsXdtiJmuoyApec9r9P2F76fw0r3OXkS4_dqvsnxOkYFh49QOV6WVmM7COyNNwjj4gpqs3_m69mEeWoirW=w1200|https://lh3.googleusercontent.com/pw/AP1GczMx62z4H26jI91JXV4Ma8CZYNsB-cbOCOYRctiqNpYUAfJ8kBn5ExW-wdX9P_-qOQ33Z5A0aVl-Z__29iJKs1GG0GcsdNvW5QqvCUSDyG8-ZHTdvbJ0=w1200|https://lh3.googleusercontent.com/pw/AP1GczMbefsh-sc2dbXo8_hQC9INVugP9we58irUAiVtx_kxvuttxVRS2G-EqKgemiJgTa43an1ee4-cB-d-VRgZWn13GzlWvIvEYLgQqZOMLZm7yqI1Bwfc=w1200|https://lh3.googleusercontent.com/pw/AP1GczNQN79atw45sOPpaiMmmIoc-YUvkUXSLVKkuQ-OFBI3tCoOmiBenqf5MkK6Vi6ZIMNvM-oPM8ffyJkhxVAGOdd1NUDmIjBVlPAB0bCRWDQ1dG1Hwmnd=w1200</v>
      </c>
      <c r="AJ267" s="46"/>
      <c r="AK267" s="46"/>
      <c r="AL267" s="46"/>
      <c r="AM267" s="46"/>
      <c r="AN267" s="46"/>
      <c r="AO267" s="46"/>
      <c r="AP267" s="46"/>
      <c r="AQ267" s="46"/>
      <c r="AR267" s="46"/>
      <c r="AS267" s="46"/>
      <c r="AT267" s="46"/>
      <c r="AU267" s="46"/>
      <c r="AV267" s="46"/>
      <c r="AW267" s="46"/>
      <c r="AX267" s="46"/>
      <c r="AY267" s="46"/>
      <c r="AZ267" s="46"/>
      <c r="BA267" s="46"/>
      <c r="BB267" s="46"/>
      <c r="BC267" s="46"/>
      <c r="BD267" s="46"/>
      <c r="BE267" s="46"/>
      <c r="BF267" s="46"/>
      <c r="BG267" s="46"/>
      <c r="BH267" s="46"/>
      <c r="BI267" s="46"/>
      <c r="BJ267" s="46"/>
      <c r="BK267" s="46"/>
      <c r="BL267" s="46"/>
      <c r="BM267" s="46"/>
      <c r="BN267" s="46"/>
      <c r="BO267" s="46"/>
      <c r="BP267" s="46"/>
      <c r="BQ267" s="46"/>
      <c r="BR267" s="46"/>
      <c r="BS267" s="46"/>
      <c r="BT267" s="46"/>
      <c r="BU267" s="46"/>
      <c r="BV267" s="46"/>
      <c r="BW267" s="46"/>
      <c r="BX267" s="46"/>
      <c r="BY267" s="46"/>
      <c r="BZ267" s="46"/>
      <c r="CA267" s="46"/>
      <c r="CB267" s="46"/>
      <c r="CC267" s="46"/>
    </row>
    <row r="268">
      <c r="A268" s="87" t="str">
        <f>IFERROR(__xludf.DUMMYFUNCTION("""COMPUTED_VALUE"""),"339")</f>
        <v>339</v>
      </c>
      <c r="B268" s="46" t="str">
        <f>IFERROR(__xludf.DUMMYFUNCTION("""COMPUTED_VALUE"""),"Casa en barrio Frontera Norte - Vía Bogotá")</f>
        <v>Casa en barrio Frontera Norte - Vía Bogotá</v>
      </c>
      <c r="C268" s="46" t="str">
        <f>IFERROR(__xludf.DUMMYFUNCTION("""COMPUTED_VALUE"""),"Casa")</f>
        <v>Casa</v>
      </c>
      <c r="D268" s="46" t="str">
        <f>IFERROR(__xludf.DUMMYFUNCTION("""COMPUTED_VALUE"""),"Frontera Norte")</f>
        <v>Frontera Norte</v>
      </c>
      <c r="E268" s="90" t="str">
        <f>IFERROR(__xludf.DUMMYFUNCTION("""COMPUTED_VALUE""")," ")</f>
        <v> </v>
      </c>
      <c r="F268" s="90">
        <f>IFERROR(__xludf.DUMMYFUNCTION("""COMPUTED_VALUE"""),1.75E8)</f>
        <v>175000000</v>
      </c>
      <c r="G268" s="46" t="str">
        <f>IFERROR(__xludf.DUMMYFUNCTION("""COMPUTED_VALUE"""),"$100'000.000 a $200'000.000")</f>
        <v>$100'000.000 a $200'000.000</v>
      </c>
      <c r="H268" s="46"/>
      <c r="I268" s="46"/>
      <c r="J268" s="46" t="str">
        <f>IFERROR(__xludf.DUMMYFUNCTION("""COMPUTED_VALUE"""),"Occidente")</f>
        <v>Occidente</v>
      </c>
      <c r="K268" s="87"/>
      <c r="L268" s="46">
        <f>IFERROR(__xludf.DUMMYFUNCTION("""COMPUTED_VALUE"""),5.0)</f>
        <v>5</v>
      </c>
      <c r="M268" s="46"/>
      <c r="N268" s="46">
        <f>IFERROR(__xludf.DUMMYFUNCTION("""COMPUTED_VALUE"""),2.0)</f>
        <v>2</v>
      </c>
      <c r="O268" s="46">
        <f>IFERROR(__xludf.DUMMYFUNCTION("""COMPUTED_VALUE"""),0.0)</f>
        <v>0</v>
      </c>
      <c r="P268" s="46">
        <f>IFERROR(__xludf.DUMMYFUNCTION("""COMPUTED_VALUE"""),2.0)</f>
        <v>2</v>
      </c>
      <c r="Q268" s="92">
        <f>IFERROR(__xludf.DUMMYFUNCTION("""COMPUTED_VALUE"""),72.0)</f>
        <v>72</v>
      </c>
      <c r="R268" s="92">
        <f>IFERROR(__xludf.DUMMYFUNCTION("""COMPUTED_VALUE"""),72.0)</f>
        <v>72</v>
      </c>
      <c r="S268" s="87" t="str">
        <f>IFERROR(__xludf.DUMMYFUNCTION("""COMPUTED_VALUE""")," ")</f>
        <v> </v>
      </c>
      <c r="T268" s="46" t="str">
        <f>IFERROR(__xludf.DUMMYFUNCTION("""COMPUTED_VALUE"""),"Palermo")</f>
        <v>Palermo</v>
      </c>
      <c r="U268" s="87" t="str">
        <f>IFERROR(__xludf.DUMMYFUNCTION("""COMPUTED_VALUE"""),"3")</f>
        <v>3</v>
      </c>
      <c r="V268" s="46" t="str">
        <f>IFERROR(__xludf.DUMMYFUNCTION("""COMPUTED_VALUE"""),"Medianera")</f>
        <v>Medianera</v>
      </c>
      <c r="W268" s="46"/>
      <c r="X268" s="46">
        <f>IFERROR(__xludf.DUMMYFUNCTION("""COMPUTED_VALUE"""),0.0)</f>
        <v>0</v>
      </c>
      <c r="Y268" s="46" t="str">
        <f>IFERROR(__xludf.DUMMYFUNCTION("""COMPUTED_VALUE"""),"No tiene")</f>
        <v>No tiene</v>
      </c>
      <c r="Z268" s="90" t="str">
        <f>IFERROR(__xludf.DUMMYFUNCTION("""COMPUTED_VALUE"""),"No aplica")</f>
        <v>No aplica</v>
      </c>
      <c r="AA268" s="33" t="str">
        <f>IFERROR(__xludf.DUMMYFUNCTION("""COMPUTED_VALUE"""),"No aplica")</f>
        <v>No aplica</v>
      </c>
      <c r="AB268" s="144" t="str">
        <f>IFERROR(__xludf.DUMMYFUNCTION("""COMPUTED_VALUE"""),"https://photos.app.goo.gl/VSMqzVyknjzXkfL28")</f>
        <v>https://photos.app.goo.gl/VSMqzVyknjzXkfL28</v>
      </c>
      <c r="AC268" s="46" t="str">
        <f>IFERROR(__xludf.DUMMYFUNCTION("""COMPUTED_VALUE"""),"Se Vende casa de dos pisos con un área de 90m2 consta de: Primer piso: sala comedor, cocina, baño auxiliar, patio de ropas, zona de lavandería,2 habitaciones, deposito. Segundo piso: sala de estar, 3 habitaciones, baño auxiliar.")</f>
        <v>Se Vende casa de dos pisos con un área de 90m2 consta de: Primer piso: sala comedor, cocina, baño auxiliar, patio de ropas, zona de lavandería,2 habitaciones, deposito. Segundo piso: sala de estar, 3 habitaciones, baño auxiliar.</v>
      </c>
      <c r="AD268" s="46" t="str">
        <f>IFERROR(__xludf.DUMMYFUNCTION("""COMPUTED_VALUE"""),"Casa  bien ubicada, sobre vía vehicular amplia, cerca a Hacienda Santa Barbara. Dimensión del lote 6.0 ml x 12.0 ml. Las 5 habitaciones con marcos y sin puertas. Escritura al día. No se permuta.")</f>
        <v>Casa  bien ubicada, sobre vía vehicular amplia, cerca a Hacienda Santa Barbara. Dimensión del lote 6.0 ml x 12.0 ml. Las 5 habitaciones con marcos y sin puertas. Escritura al día. No se permuta.</v>
      </c>
      <c r="AE268" s="46"/>
      <c r="AF268" s="46" t="str">
        <f>IFERROR(__xludf.DUMMYFUNCTION("""COMPUTED_VALUE"""),"básica")</f>
        <v>básica</v>
      </c>
      <c r="AG268" s="46"/>
      <c r="AH268" s="46" t="str">
        <f>IFERROR(__xludf.DUMMYFUNCTION("""COMPUTED_VALUE"""),"Verbal")</f>
        <v>Verbal</v>
      </c>
      <c r="AI268" s="92" t="str">
        <f>IFERROR(__xludf.DUMMYFUNCTION("""COMPUTED_VALUE"""),"https://lh3.googleusercontent.com/pw/AP1GczMYJmzUH0xQPFnpwuJ3Vw3DGWALIK1nT4-tgwN83UpOsy5OWVg33T3GJgzLJHgNs2o8oiKb-yRppqCHE1N20DmkjXhr9NKcwIEvDlzhMJsOMfcBUC8N=w1200|https://lh3.googleusercontent.com/pw/AP1GczPbLF75LeiL612RJcw5w_8Hjd-adOj7VRl8pj7upecFPF9msu"&amp;"nE_Vg0H5nLOj-bn9UyuPL_HK1hUMfZIgPfD-F1iRsLN5FrZW-oaW7n9APLHr4hKofW=w1200|https://lh3.googleusercontent.com/pw/AP1GczNHkh-HpG-Aojc1qe-qoABYFB_kZGt7mdJsTQ0D92pQIEwxLgn3EhaFankHDfevnRKbYIjuwEiwpPf9XyTj0AQX3f276LsKx85SyST6mhG0IFctkv34=w1200|https://lh3.google"&amp;"usercontent.com/pw/AP1GczN7-BAz7j8wrooP5ItL8gkntnc3KSoaevmW3q2QYlzMgBlvb9-AQbDXbS3-cPldLyXVgLqTWolt_Mf3aj8wtzEQxnsSveDTBaPKg-iPvIe3zb4jCgpT=w1200|https://lh3.googleusercontent.com/pw/AP1GczOUozxtI3u3ZtIDvaHDDs1NZ_oRD_ngfg-oGShw15nJIAG16gYGaQKiI17H5DOMEhm3"&amp;"meLtxStkYVZWdZ-TxL-RXeEc7cMR5zRGyFSY-CX_P6njkcxt=w1200|https://lh3.googleusercontent.com/pw/AP1GczOUMnSH7U11zMbyANeeggwFW_7ncSla7kOmCM3B6TFh6A_xFpa9-O0ig7peJAuNjyNAho0UJdbbipwTUlmuBU8RswSeVxMYG44QKr-lSLyMd36cR0AB=w1200|https://lh3.googleusercontent.com/pw"&amp;"/AP1GczPZRxVaJ04daCb6RvKjbEGgcdhTeCNI8WQZ8u2ruHWcLYt7kfNaNi3j5wgfBfg6rcti7W9edVcaR5XJqlc_teqqUDRJV6e2lFBuebKsBQPBKNQ8MA7I=w1200|https://lh3.googleusercontent.com/pw/AP1GczPBQWNOlbNTnwFRNnwBSF5UUnww46sI9QBXl8a4LOjmweElDIrCUs4K6AAEKsfZHT_blKw6XiJe3qXh_zrOD4"&amp;"9CAb9SEWQndWp9Bsmi8wUG05EgnWHy=w1200|https://lh3.googleusercontent.com/pw/AP1GczOF8YF8J2RHnFiKNXPjPj9MFLjyCZTw8YIj1t3M9_UPNOhEtaOuCpCimF1V-JEgCq6XEXHULHQSJey5M_1JIq5fOUTl69SF0U2_0Q6T4iwsldgRLIL4=w1200|https://lh3.googleusercontent.com/pw/AP1GczPOoVs_c8xOy"&amp;"r8VUZ82IT7_tLlWe5CCuQmqt3x3gKd9c5i6RzXGXC9jo-PBy8-D7jrJr5qdd7AEI3Vv_AY99a0WzDqotljfGgjVFBHXGFBN-EkFxHTj=w1200|https://lh3.googleusercontent.com/pw/AP1GczMhdH1H5KjOmEsfPaPW8BaNn1GPc2QQ7flmFk7i3jdRFvWnhHHQKDf91LiteMcod-86S5tgAlSQp5ONeegxuAElHWdh9RNseEl_rEwZ"&amp;"wK9CqK88DUWY=w1200|https://lh3.googleusercontent.com/pw/AP1GczPIsHx-_nc0ODiGc7kqizFNxVIcbK5tynSAByOE53GaT6VqdQTu5GlL9u67nwq7-LP5-g63zIKzOUHj3LWMXaJXD3oG69b2Bg-sCQeN25enkStHRYJS=w1200|https://lh3.googleusercontent.com/pw/AP1GczMpojzJTXXFi7LxrLOuYBU1bF4wj9r"&amp;"xtg0VQOIxR8Ymqr66TG-C6Kf9Ip_KMmtChOmbB-beNjoYzOhRNbs-xXvtu2nBt9FxkL5sVAvqdgHOHZfm_mMA=w1200|https://lh3.googleusercontent.com/pw/AP1GczNP5aBube8Mb6mxKCCEo68g9PIc73S38aR3cNcsFXTWJhLxUCz3hSAY22py-lWzbcF5wS-EpTzjy2yOzcpaDtwSv6JnvB_vcQhoHTLa99TIWw4MFEiw=w1200"&amp;"|https://lh3.googleusercontent.com/pw/AP1GczMmoqRd_7O2rdEIZmWkDyDbLfYQ4on1UD3EhjrH8f0jPUKu_6F9AU2ZkWgmKvdwKmB2bRjY680WeGeIm5kS088zaMKPAdFj0m2zSCIYqimLpZlX1efV=w1200|https://lh3.googleusercontent.com/pw/AP1GczPhNCYuDVcfhiZUcHfx04aDN3G8lqXyg_WRhN9qUjQLQiSxx"&amp;"xAe5w2K2DhxKyfqUphkKV1u6FCykT5v4K1VWGSRDDYAYzRIEFgIJs3MlqQbKSemvRhu=w1200|https://lh3.googleusercontent.com/pw/AP1GczMGuZ8Wvg8Nbi9yK0U72H888rjxdDqrTQGBVCR6WrA2e9gPghh1QQmk02P1q7wovLR1Irv69HpgF0owQmEskAvNdGlAiHyCqy3CP642ast_NXtH26TL=w1200|https://lh3.googl"&amp;"eusercontent.com/pw/AP1GczNnLxUYvvo_5h_Wc_fkPLbELOo7qs1w6t_W4DcXlhm7k73gKyW6t6PZl43ncHPCh_Z86kCZjCSZ2XyYX-S78byTBgWPvrCExdBPJcdPML2l-xfYLrzp=w1200|https://lh3.googleusercontent.com/pw/AP1GczMLYGVOGuh4M5G2ourwLw4_nCOM0SbL99GTAVO18lsTy6kJWN2zoK3MlCFiPBW0Ln2"&amp;"5_2dMuOIKjjfPqlS7Qw1_P6k69HtpP3sW9SaRG_VfeCyM9wVI=w1200")</f>
        <v>https://lh3.googleusercontent.com/pw/AP1GczMYJmzUH0xQPFnpwuJ3Vw3DGWALIK1nT4-tgwN83UpOsy5OWVg33T3GJgzLJHgNs2o8oiKb-yRppqCHE1N20DmkjXhr9NKcwIEvDlzhMJsOMfcBUC8N=w1200|https://lh3.googleusercontent.com/pw/AP1GczPbLF75LeiL612RJcw5w_8Hjd-adOj7VRl8pj7upecFPF9msunE_Vg0H5nLOj-bn9UyuPL_HK1hUMfZIgPfD-F1iRsLN5FrZW-oaW7n9APLHr4hKofW=w1200|https://lh3.googleusercontent.com/pw/AP1GczNHkh-HpG-Aojc1qe-qoABYFB_kZGt7mdJsTQ0D92pQIEwxLgn3EhaFankHDfevnRKbYIjuwEiwpPf9XyTj0AQX3f276LsKx85SyST6mhG0IFctkv34=w1200|https://lh3.googleusercontent.com/pw/AP1GczN7-BAz7j8wrooP5ItL8gkntnc3KSoaevmW3q2QYlzMgBlvb9-AQbDXbS3-cPldLyXVgLqTWolt_Mf3aj8wtzEQxnsSveDTBaPKg-iPvIe3zb4jCgpT=w1200|https://lh3.googleusercontent.com/pw/AP1GczOUozxtI3u3ZtIDvaHDDs1NZ_oRD_ngfg-oGShw15nJIAG16gYGaQKiI17H5DOMEhm3meLtxStkYVZWdZ-TxL-RXeEc7cMR5zRGyFSY-CX_P6njkcxt=w1200|https://lh3.googleusercontent.com/pw/AP1GczOUMnSH7U11zMbyANeeggwFW_7ncSla7kOmCM3B6TFh6A_xFpa9-O0ig7peJAuNjyNAho0UJdbbipwTUlmuBU8RswSeVxMYG44QKr-lSLyMd36cR0AB=w1200|https://lh3.googleusercontent.com/pw/AP1GczPZRxVaJ04daCb6RvKjbEGgcdhTeCNI8WQZ8u2ruHWcLYt7kfNaNi3j5wgfBfg6rcti7W9edVcaR5XJqlc_teqqUDRJV6e2lFBuebKsBQPBKNQ8MA7I=w1200|https://lh3.googleusercontent.com/pw/AP1GczPBQWNOlbNTnwFRNnwBSF5UUnww46sI9QBXl8a4LOjmweElDIrCUs4K6AAEKsfZHT_blKw6XiJe3qXh_zrOD49CAb9SEWQndWp9Bsmi8wUG05EgnWHy=w1200|https://lh3.googleusercontent.com/pw/AP1GczOF8YF8J2RHnFiKNXPjPj9MFLjyCZTw8YIj1t3M9_UPNOhEtaOuCpCimF1V-JEgCq6XEXHULHQSJey5M_1JIq5fOUTl69SF0U2_0Q6T4iwsldgRLIL4=w1200|https://lh3.googleusercontent.com/pw/AP1GczPOoVs_c8xOyr8VUZ82IT7_tLlWe5CCuQmqt3x3gKd9c5i6RzXGXC9jo-PBy8-D7jrJr5qdd7AEI3Vv_AY99a0WzDqotljfGgjVFBHXGFBN-EkFxHTj=w1200|https://lh3.googleusercontent.com/pw/AP1GczMhdH1H5KjOmEsfPaPW8BaNn1GPc2QQ7flmFk7i3jdRFvWnhHHQKDf91LiteMcod-86S5tgAlSQp5ONeegxuAElHWdh9RNseEl_rEwZwK9CqK88DUWY=w1200|https://lh3.googleusercontent.com/pw/AP1GczPIsHx-_nc0ODiGc7kqizFNxVIcbK5tynSAByOE53GaT6VqdQTu5GlL9u67nwq7-LP5-g63zIKzOUHj3LWMXaJXD3oG69b2Bg-sCQeN25enkStHRYJS=w1200|https://lh3.googleusercontent.com/pw/AP1GczMpojzJTXXFi7LxrLOuYBU1bF4wj9rxtg0VQOIxR8Ymqr66TG-C6Kf9Ip_KMmtChOmbB-beNjoYzOhRNbs-xXvtu2nBt9FxkL5sVAvqdgHOHZfm_mMA=w1200|https://lh3.googleusercontent.com/pw/AP1GczNP5aBube8Mb6mxKCCEo68g9PIc73S38aR3cNcsFXTWJhLxUCz3hSAY22py-lWzbcF5wS-EpTzjy2yOzcpaDtwSv6JnvB_vcQhoHTLa99TIWw4MFEiw=w1200|https://lh3.googleusercontent.com/pw/AP1GczMmoqRd_7O2rdEIZmWkDyDbLfYQ4on1UD3EhjrH8f0jPUKu_6F9AU2ZkWgmKvdwKmB2bRjY680WeGeIm5kS088zaMKPAdFj0m2zSCIYqimLpZlX1efV=w1200|https://lh3.googleusercontent.com/pw/AP1GczPhNCYuDVcfhiZUcHfx04aDN3G8lqXyg_WRhN9qUjQLQiSxxxAe5w2K2DhxKyfqUphkKV1u6FCykT5v4K1VWGSRDDYAYzRIEFgIJs3MlqQbKSemvRhu=w1200|https://lh3.googleusercontent.com/pw/AP1GczMGuZ8Wvg8Nbi9yK0U72H888rjxdDqrTQGBVCR6WrA2e9gPghh1QQmk02P1q7wovLR1Irv69HpgF0owQmEskAvNdGlAiHyCqy3CP642ast_NXtH26TL=w1200|https://lh3.googleusercontent.com/pw/AP1GczNnLxUYvvo_5h_Wc_fkPLbELOo7qs1w6t_W4DcXlhm7k73gKyW6t6PZl43ncHPCh_Z86kCZjCSZ2XyYX-S78byTBgWPvrCExdBPJcdPML2l-xfYLrzp=w1200|https://lh3.googleusercontent.com/pw/AP1GczMLYGVOGuh4M5G2ourwLw4_nCOM0SbL99GTAVO18lsTy6kJWN2zoK3MlCFiPBW0Ln25_2dMuOIKjjfPqlS7Qw1_P6k69HtpP3sW9SaRG_VfeCyM9wVI=w1200</v>
      </c>
      <c r="AJ268" s="46"/>
      <c r="AK268" s="46"/>
      <c r="AL268" s="46"/>
      <c r="AM268" s="46"/>
      <c r="AN268" s="46"/>
      <c r="AO268" s="46"/>
      <c r="AP268" s="46"/>
      <c r="AQ268" s="46"/>
      <c r="AR268" s="46"/>
      <c r="AS268" s="46"/>
      <c r="AT268" s="46"/>
      <c r="AU268" s="46"/>
      <c r="AV268" s="46"/>
      <c r="AW268" s="46"/>
      <c r="AX268" s="46"/>
      <c r="AY268" s="46"/>
      <c r="AZ268" s="46"/>
      <c r="BA268" s="46"/>
      <c r="BB268" s="46"/>
      <c r="BC268" s="46"/>
      <c r="BD268" s="46"/>
      <c r="BE268" s="46"/>
      <c r="BF268" s="46"/>
      <c r="BG268" s="46"/>
      <c r="BH268" s="46"/>
      <c r="BI268" s="46"/>
      <c r="BJ268" s="46"/>
      <c r="BK268" s="46"/>
      <c r="BL268" s="46"/>
      <c r="BM268" s="46"/>
      <c r="BN268" s="46"/>
      <c r="BO268" s="46"/>
      <c r="BP268" s="46"/>
      <c r="BQ268" s="46"/>
      <c r="BR268" s="46"/>
      <c r="BS268" s="46"/>
      <c r="BT268" s="46"/>
      <c r="BU268" s="46"/>
      <c r="BV268" s="46"/>
      <c r="BW268" s="46"/>
      <c r="BX268" s="46"/>
      <c r="BY268" s="46"/>
      <c r="BZ268" s="46"/>
      <c r="CA268" s="46"/>
      <c r="CB268" s="46"/>
      <c r="CC268" s="46"/>
    </row>
    <row r="269">
      <c r="A269" s="87" t="str">
        <f>IFERROR(__xludf.DUMMYFUNCTION("""COMPUTED_VALUE"""),"074")</f>
        <v>074</v>
      </c>
      <c r="B269" s="46" t="str">
        <f>IFERROR(__xludf.DUMMYFUNCTION("""COMPUTED_VALUE"""),"Casa con oficinas, dos bodegas y parqueadero en barrio Las Granjas")</f>
        <v>Casa con oficinas, dos bodegas y parqueadero en barrio Las Granjas</v>
      </c>
      <c r="C269" s="46" t="str">
        <f>IFERROR(__xludf.DUMMYFUNCTION("""COMPUTED_VALUE"""),"Casa rentable")</f>
        <v>Casa rentable</v>
      </c>
      <c r="D269" s="46" t="str">
        <f>IFERROR(__xludf.DUMMYFUNCTION("""COMPUTED_VALUE"""),"Las Granjas")</f>
        <v>Las Granjas</v>
      </c>
      <c r="E269" s="90" t="str">
        <f>IFERROR(__xludf.DUMMYFUNCTION("""COMPUTED_VALUE""")," ")</f>
        <v> </v>
      </c>
      <c r="F269" s="90">
        <f>IFERROR(__xludf.DUMMYFUNCTION("""COMPUTED_VALUE"""),3.2E9)</f>
        <v>3200000000</v>
      </c>
      <c r="G269" s="46" t="str">
        <f>IFERROR(__xludf.DUMMYFUNCTION("""COMPUTED_VALUE"""),"Más de $1.000'000.000")</f>
        <v>Más de $1.000'000.000</v>
      </c>
      <c r="H269" s="46"/>
      <c r="I269" s="46"/>
      <c r="J269" s="46" t="str">
        <f>IFERROR(__xludf.DUMMYFUNCTION("""COMPUTED_VALUE"""),"Norte")</f>
        <v>Norte</v>
      </c>
      <c r="K269" s="87" t="str">
        <f>IFERROR(__xludf.DUMMYFUNCTION("""COMPUTED_VALUE"""),"2")</f>
        <v>2</v>
      </c>
      <c r="L269" s="46">
        <f>IFERROR(__xludf.DUMMYFUNCTION("""COMPUTED_VALUE"""),2.0)</f>
        <v>2</v>
      </c>
      <c r="M269" s="46"/>
      <c r="N269" s="46">
        <f>IFERROR(__xludf.DUMMYFUNCTION("""COMPUTED_VALUE"""),2.0)</f>
        <v>2</v>
      </c>
      <c r="O269" s="46">
        <f>IFERROR(__xludf.DUMMYFUNCTION("""COMPUTED_VALUE"""),100.0)</f>
        <v>100</v>
      </c>
      <c r="P269" s="46">
        <f>IFERROR(__xludf.DUMMYFUNCTION("""COMPUTED_VALUE"""),1.0)</f>
        <v>1</v>
      </c>
      <c r="Q269" s="92">
        <f>IFERROR(__xludf.DUMMYFUNCTION("""COMPUTED_VALUE"""),2800.0)</f>
        <v>2800</v>
      </c>
      <c r="R269" s="92">
        <f>IFERROR(__xludf.DUMMYFUNCTION("""COMPUTED_VALUE"""),3120.0)</f>
        <v>3120</v>
      </c>
      <c r="S269" s="87" t="str">
        <f>IFERROR(__xludf.DUMMYFUNCTION("""COMPUTED_VALUE"""),"Rentabilidad $14,000,000")</f>
        <v>Rentabilidad $14,000,000</v>
      </c>
      <c r="T269" s="46" t="str">
        <f>IFERROR(__xludf.DUMMYFUNCTION("""COMPUTED_VALUE"""),"Neiva")</f>
        <v>Neiva</v>
      </c>
      <c r="U269" s="87" t="str">
        <f>IFERROR(__xludf.DUMMYFUNCTION("""COMPUTED_VALUE"""),"2")</f>
        <v>2</v>
      </c>
      <c r="V269" s="46" t="str">
        <f>IFERROR(__xludf.DUMMYFUNCTION("""COMPUTED_VALUE"""),"Medianera")</f>
        <v>Medianera</v>
      </c>
      <c r="W269" s="46"/>
      <c r="X269" s="46">
        <f>IFERROR(__xludf.DUMMYFUNCTION("""COMPUTED_VALUE"""),1.0)</f>
        <v>1</v>
      </c>
      <c r="Y269" s="179" t="str">
        <f>IFERROR(__xludf.DUMMYFUNCTION("""COMPUTED_VALUE"""),"No tiene")</f>
        <v>No tiene</v>
      </c>
      <c r="Z269" s="90" t="str">
        <f>IFERROR(__xludf.DUMMYFUNCTION("""COMPUTED_VALUE"""),"No aplica")</f>
        <v>No aplica</v>
      </c>
      <c r="AA269" s="33" t="str">
        <f>IFERROR(__xludf.DUMMYFUNCTION("""COMPUTED_VALUE"""),"19 años")</f>
        <v>19 años</v>
      </c>
      <c r="AB269" s="144" t="str">
        <f>IFERROR(__xludf.DUMMYFUNCTION("""COMPUTED_VALUE"""),"https://photos.app.goo.gl/jE14SB8eEprsjVei7")</f>
        <v>https://photos.app.goo.gl/jE14SB8eEprsjVei7</v>
      </c>
      <c r="AC269" s="46" t="str">
        <f>IFERROR(__xludf.DUMMYFUNCTION("""COMPUTED_VALUE"""),"Casa con acabados mixtos, piso en baldosa, teja en asbesto cemento, cerchas metálicas, cielo raso en machehembre, carpintería en madera y metálica, patio en cemento liso, cerramiento en bloque y ladrillos.")</f>
        <v>Casa con acabados mixtos, piso en baldosa, teja en asbesto cemento, cerchas metálicas, cielo raso en machehembre, carpintería en madera y metálica, patio en cemento liso, cerramiento en bloque y ladrillos.</v>
      </c>
      <c r="AD269" s="46" t="str">
        <f>IFERROR(__xludf.DUMMYFUNCTION("""COMPUTED_VALUE""")," Dimensión del lote 30.0 ml x 104.0 ml. Con parqueadero para 100 vehículos. Cerca de los centros comerciales San Pedro y San juna plaza. Escritura al día. No se permuta.")</f>
        <v> Dimensión del lote 30.0 ml x 104.0 ml. Con parqueadero para 100 vehículos. Cerca de los centros comerciales San Pedro y San juna plaza. Escritura al día. No se permuta.</v>
      </c>
      <c r="AE269" s="46"/>
      <c r="AF269" s="46" t="str">
        <f>IFERROR(__xludf.DUMMYFUNCTION("""COMPUTED_VALUE"""),"básica")</f>
        <v>básica</v>
      </c>
      <c r="AG269" s="46"/>
      <c r="AH269" s="46" t="str">
        <f>IFERROR(__xludf.DUMMYFUNCTION("""COMPUTED_VALUE"""),"Verbal")</f>
        <v>Verbal</v>
      </c>
      <c r="AI269" s="92" t="str">
        <f>IFERROR(__xludf.DUMMYFUNCTION("""COMPUTED_VALUE"""),"https://lh3.googleusercontent.com/pw/AP1GczNcEfgdd2jsLZyh3uuT3Kd72Y0tbjRvs5Ed8zigrExok6bJYSRtYB8T4Aamk0D4BiLgIi5SgMgxznrOiQA66s4wh7eNQVqfSTbQqw8g1tI_iW52ovI6=w1200|https://lh3.googleusercontent.com/pw/AP1GczPjFzHbL9uzMi7haRAU8dAjuMn7A_Si8n5LEZSSrcLXYrPm3x"&amp;"Q6g_cG-6BOxbww3cgxy3uSXzXzgvIVQLclYgN4I0a5JTb421aE37SFp6-n2SQqjj8P=w1200|https://lh3.googleusercontent.com/pw/AP1GczPjMDZKQw8rw42_8FGSvB3ooQ1YLRcJAcZOTIzmjKfvvjvUMak0AyWiTeU69ZgdbEjfl4FsSsh82rqNqewsakWJRgbxxQpp7t1f4DDzE1yVmDGlgD0G=w1200|https://lh3.google"&amp;"usercontent.com/pw/AP1GczN6N0V170AqOPvBOrLKjMAs3O1neS64fzEhsYtwv9Jptd10iLO6hkXdWQ2yRukicDbxmcK4EPwO7ZgjpmEnKzdM27yGFW3AwzPFs1Y_-sSh5IMjWlI_=w1200|https://lh3.googleusercontent.com/pw/AP1GczNJgsrX-OjUAP_6GRd_N_0NtI515srQE0puNDNYXnimCQNb8AY53BGGPeEVJjrncWko"&amp;"0EKdxGVXPWEKm-yIIdGCbWWHBF3v4zIhbXpaL24elqM-HODQ=w1200|https://lh3.googleusercontent.com/pw/AP1GczNwpkYz8yz3UeFKpL_aErwg4xShyOOY5RmyfFoeJX__IosWTo_vt9RPZZ-f-jYBBTXXx5FyXREMWNYItCX3mJ9So4AN1R_EJjpoEAAz_tWcfmTvq2CL=w1200|https://lh3.googleusercontent.com/pw"&amp;"/AP1GczN0yEqfykAAol8j65Hqn5MdA9-sMQwI_pxd2xpnamwYOOFIJKKUmnN0UVMijVJFV2JrXQ5P1qF5IXnVPRxSUXnQxCRqqtWuwYM9t4lw_OPzMPpYtxRe=w1200|https://lh3.googleusercontent.com/pw/AP1GczMrZut-VR9V88D_iR6tl1oQpk1QHOk6Dr6G_3lRcdjtiGFr51GPf15s-jLKAml5wElYQWvphRrD0w8fyzvd5y"&amp;"lBCgeN4T_GfzdpoRLXOltiBl_Y723V=w1200|https://lh3.googleusercontent.com/pw/AP1GczN0VHwsX9CiHO9AJQ7gSSvJZ2CR4NQyfr1Nh_zHW4vaK4YjtVJtnYJoSXFFqfz7_QA80erUwt8JDpnUN9Z_6LLdD_L3qMTqUWUMH3Py2TOYvR4yo2hz=w1200|https://lh3.googleusercontent.com/pw/AP1GczN4qg4Wp-ck5"&amp;"QHXXp5xYZytMCaBRr4PscbPc4CzXpI4CdhdRly0UIFY61sA5A9V_NOaU6pK1ZxJSYhkWG7VXUUX_rWMmuXumOe44_8BanuTf662TX55=w1200|https://lh3.googleusercontent.com/pw/AP1GczP3nj1QZT97lK31ckeWsYE-4ZCSIxAWuYPqotz2SQfRUYeJlmml27-dhgNvyPBVja9090as1ds3bfeeHxv2u47jsYjHP1Ge72xnW3Hf"&amp;"4Eh-B0sbyIyO=w1200|https://lh3.googleusercontent.com/pw/AP1GczO54omjWPQIDDo9lMEE6pMOzvac2FOH5hhTJiudSlxIVBZBDG32dhbMFbJ85SqeQDXCGLZlF0Qapsg70bsnQYzTAN0SKK4-gu8RoP8QCtu-RV1zMTCo=w1200|https://lh3.googleusercontent.com/pw/AP1GczP2YN5ngyT-2HscYhbeM6GJFZS7-uL"&amp;"ed8AQ2gZBTzJjfcYPaJhrF1Ry6lVpAZARom2unkC8zoXJi6smo9LzDGH0tU2-ql3tzG2eBmRp2c0tJ_XWcw3o=w1200")</f>
        <v>https://lh3.googleusercontent.com/pw/AP1GczNcEfgdd2jsLZyh3uuT3Kd72Y0tbjRvs5Ed8zigrExok6bJYSRtYB8T4Aamk0D4BiLgIi5SgMgxznrOiQA66s4wh7eNQVqfSTbQqw8g1tI_iW52ovI6=w1200|https://lh3.googleusercontent.com/pw/AP1GczPjFzHbL9uzMi7haRAU8dAjuMn7A_Si8n5LEZSSrcLXYrPm3xQ6g_cG-6BOxbww3cgxy3uSXzXzgvIVQLclYgN4I0a5JTb421aE37SFp6-n2SQqjj8P=w1200|https://lh3.googleusercontent.com/pw/AP1GczPjMDZKQw8rw42_8FGSvB3ooQ1YLRcJAcZOTIzmjKfvvjvUMak0AyWiTeU69ZgdbEjfl4FsSsh82rqNqewsakWJRgbxxQpp7t1f4DDzE1yVmDGlgD0G=w1200|https://lh3.googleusercontent.com/pw/AP1GczN6N0V170AqOPvBOrLKjMAs3O1neS64fzEhsYtwv9Jptd10iLO6hkXdWQ2yRukicDbxmcK4EPwO7ZgjpmEnKzdM27yGFW3AwzPFs1Y_-sSh5IMjWlI_=w1200|https://lh3.googleusercontent.com/pw/AP1GczNJgsrX-OjUAP_6GRd_N_0NtI515srQE0puNDNYXnimCQNb8AY53BGGPeEVJjrncWko0EKdxGVXPWEKm-yIIdGCbWWHBF3v4zIhbXpaL24elqM-HODQ=w1200|https://lh3.googleusercontent.com/pw/AP1GczNwpkYz8yz3UeFKpL_aErwg4xShyOOY5RmyfFoeJX__IosWTo_vt9RPZZ-f-jYBBTXXx5FyXREMWNYItCX3mJ9So4AN1R_EJjpoEAAz_tWcfmTvq2CL=w1200|https://lh3.googleusercontent.com/pw/AP1GczN0yEqfykAAol8j65Hqn5MdA9-sMQwI_pxd2xpnamwYOOFIJKKUmnN0UVMijVJFV2JrXQ5P1qF5IXnVPRxSUXnQxCRqqtWuwYM9t4lw_OPzMPpYtxRe=w1200|https://lh3.googleusercontent.com/pw/AP1GczMrZut-VR9V88D_iR6tl1oQpk1QHOk6Dr6G_3lRcdjtiGFr51GPf15s-jLKAml5wElYQWvphRrD0w8fyzvd5ylBCgeN4T_GfzdpoRLXOltiBl_Y723V=w1200|https://lh3.googleusercontent.com/pw/AP1GczN0VHwsX9CiHO9AJQ7gSSvJZ2CR4NQyfr1Nh_zHW4vaK4YjtVJtnYJoSXFFqfz7_QA80erUwt8JDpnUN9Z_6LLdD_L3qMTqUWUMH3Py2TOYvR4yo2hz=w1200|https://lh3.googleusercontent.com/pw/AP1GczN4qg4Wp-ck5QHXXp5xYZytMCaBRr4PscbPc4CzXpI4CdhdRly0UIFY61sA5A9V_NOaU6pK1ZxJSYhkWG7VXUUX_rWMmuXumOe44_8BanuTf662TX55=w1200|https://lh3.googleusercontent.com/pw/AP1GczP3nj1QZT97lK31ckeWsYE-4ZCSIxAWuYPqotz2SQfRUYeJlmml27-dhgNvyPBVja9090as1ds3bfeeHxv2u47jsYjHP1Ge72xnW3Hf4Eh-B0sbyIyO=w1200|https://lh3.googleusercontent.com/pw/AP1GczO54omjWPQIDDo9lMEE6pMOzvac2FOH5hhTJiudSlxIVBZBDG32dhbMFbJ85SqeQDXCGLZlF0Qapsg70bsnQYzTAN0SKK4-gu8RoP8QCtu-RV1zMTCo=w1200|https://lh3.googleusercontent.com/pw/AP1GczP2YN5ngyT-2HscYhbeM6GJFZS7-uLed8AQ2gZBTzJjfcYPaJhrF1Ry6lVpAZARom2unkC8zoXJi6smo9LzDGH0tU2-ql3tzG2eBmRp2c0tJ_XWcw3o=w1200</v>
      </c>
      <c r="AJ269" s="46"/>
      <c r="AK269" s="46"/>
      <c r="AL269" s="46"/>
      <c r="AM269" s="46"/>
      <c r="AN269" s="46"/>
      <c r="AO269" s="46"/>
      <c r="AP269" s="46"/>
      <c r="AQ269" s="46"/>
      <c r="AR269" s="46"/>
      <c r="AS269" s="46"/>
      <c r="AT269" s="46"/>
      <c r="AU269" s="46"/>
      <c r="AV269" s="46"/>
      <c r="AW269" s="46"/>
      <c r="AX269" s="46"/>
      <c r="AY269" s="46"/>
      <c r="AZ269" s="46"/>
      <c r="BA269" s="46"/>
      <c r="BB269" s="46"/>
      <c r="BC269" s="46"/>
      <c r="BD269" s="46"/>
      <c r="BE269" s="46"/>
      <c r="BF269" s="46"/>
      <c r="BG269" s="46"/>
      <c r="BH269" s="46"/>
      <c r="BI269" s="46"/>
      <c r="BJ269" s="46"/>
      <c r="BK269" s="46"/>
      <c r="BL269" s="46"/>
      <c r="BM269" s="46"/>
      <c r="BN269" s="46"/>
      <c r="BO269" s="46"/>
      <c r="BP269" s="46"/>
      <c r="BQ269" s="46"/>
      <c r="BR269" s="46"/>
      <c r="BS269" s="46"/>
      <c r="BT269" s="46"/>
      <c r="BU269" s="46"/>
      <c r="BV269" s="46"/>
      <c r="BW269" s="46"/>
      <c r="BX269" s="46"/>
      <c r="BY269" s="46"/>
      <c r="BZ269" s="46"/>
      <c r="CA269" s="46"/>
      <c r="CB269" s="46"/>
      <c r="CC269" s="46"/>
    </row>
    <row r="270">
      <c r="A270" s="87" t="str">
        <f>IFERROR(__xludf.DUMMYFUNCTION("""COMPUTED_VALUE"""),"648")</f>
        <v>648</v>
      </c>
      <c r="B270" s="46" t="str">
        <f>IFERROR(__xludf.DUMMYFUNCTION("""COMPUTED_VALUE"""),"Casa campestre en Rivera - La Cabañita")</f>
        <v>Casa campestre en Rivera - La Cabañita</v>
      </c>
      <c r="C270" s="46" t="str">
        <f>IFERROR(__xludf.DUMMYFUNCTION("""COMPUTED_VALUE"""),"Casa campestre")</f>
        <v>Casa campestre</v>
      </c>
      <c r="D270" s="46"/>
      <c r="E270" s="90"/>
      <c r="F270" s="90">
        <f>IFERROR(__xludf.DUMMYFUNCTION("""COMPUTED_VALUE"""),6.0E8)</f>
        <v>600000000</v>
      </c>
      <c r="G270" s="46" t="str">
        <f>IFERROR(__xludf.DUMMYFUNCTION("""COMPUTED_VALUE"""),"$500'000.000 a $1.000'000.000")</f>
        <v>$500'000.000 a $1.000'000.000</v>
      </c>
      <c r="H270" s="46"/>
      <c r="I270" s="46"/>
      <c r="J270" s="46" t="str">
        <f>IFERROR(__xludf.DUMMYFUNCTION("""COMPUTED_VALUE"""),"Sur")</f>
        <v>Sur</v>
      </c>
      <c r="K270" s="87"/>
      <c r="L270" s="46">
        <f>IFERROR(__xludf.DUMMYFUNCTION("""COMPUTED_VALUE"""),5.0)</f>
        <v>5</v>
      </c>
      <c r="M270" s="46"/>
      <c r="N270" s="46">
        <f>IFERROR(__xludf.DUMMYFUNCTION("""COMPUTED_VALUE"""),3.0)</f>
        <v>3</v>
      </c>
      <c r="O270" s="46">
        <f>IFERROR(__xludf.DUMMYFUNCTION("""COMPUTED_VALUE"""),3.0)</f>
        <v>3</v>
      </c>
      <c r="P270" s="46">
        <f>IFERROR(__xludf.DUMMYFUNCTION("""COMPUTED_VALUE"""),2.0)</f>
        <v>2</v>
      </c>
      <c r="Q270" s="92">
        <f>IFERROR(__xludf.DUMMYFUNCTION("""COMPUTED_VALUE"""),500.0)</f>
        <v>500</v>
      </c>
      <c r="R270" s="92">
        <f>IFERROR(__xludf.DUMMYFUNCTION("""COMPUTED_VALUE"""),1750.0)</f>
        <v>1750</v>
      </c>
      <c r="S270" s="87" t="str">
        <f>IFERROR(__xludf.DUMMYFUNCTION("""COMPUTED_VALUE""")," ")</f>
        <v> </v>
      </c>
      <c r="T270" s="46" t="str">
        <f>IFERROR(__xludf.DUMMYFUNCTION("""COMPUTED_VALUE"""),"Rivera")</f>
        <v>Rivera</v>
      </c>
      <c r="U270" s="87"/>
      <c r="V270" s="46"/>
      <c r="W270" s="46"/>
      <c r="X270" s="46">
        <f>IFERROR(__xludf.DUMMYFUNCTION("""COMPUTED_VALUE"""),2.0)</f>
        <v>2</v>
      </c>
      <c r="Y270" s="46" t="str">
        <f>IFERROR(__xludf.DUMMYFUNCTION("""COMPUTED_VALUE"""),"Privada")</f>
        <v>Privada</v>
      </c>
      <c r="Z270" s="90" t="str">
        <f>IFERROR(__xludf.DUMMYFUNCTION("""COMPUTED_VALUE"""),"No aplica")</f>
        <v>No aplica</v>
      </c>
      <c r="AA270" s="33" t="str">
        <f>IFERROR(__xludf.DUMMYFUNCTION("""COMPUTED_VALUE"""),"No aplica")</f>
        <v>No aplica</v>
      </c>
      <c r="AB270" s="96" t="str">
        <f>IFERROR(__xludf.DUMMYFUNCTION("""COMPUTED_VALUE"""),"https://photos.app.goo.gl/nYKwoD2jq68q8MnT7")</f>
        <v>https://photos.app.goo.gl/nYKwoD2jq68q8MnT7</v>
      </c>
      <c r="AC270" s="46" t="str">
        <f>IFERROR(__xludf.DUMMYFUNCTION("""COMPUTED_VALUE"""),"Casa campestre amplia, cuenta con  cocina integral amplia, cinco habitaciones amplias, con servicios de luz, agua de aljibe, piscina privada con comedor auxiliar y hornilla con horno.")</f>
        <v>Casa campestre amplia, cuenta con  cocina integral amplia, cinco habitaciones amplias, con servicios de luz, agua de aljibe, piscina privada con comedor auxiliar y hornilla con horno.</v>
      </c>
      <c r="AD270" s="46" t="str">
        <f>IFERROR(__xludf.DUMMYFUNCTION("""COMPUTED_VALUE"""),"Casa campestre ubicada  en la Cabañita a dos kilómetros de la central.")</f>
        <v>Casa campestre ubicada  en la Cabañita a dos kilómetros de la central.</v>
      </c>
      <c r="AE270" s="46"/>
      <c r="AF270" s="46" t="str">
        <f>IFERROR(__xludf.DUMMYFUNCTION("""COMPUTED_VALUE"""),"integral")</f>
        <v>integral</v>
      </c>
      <c r="AG270" s="46"/>
      <c r="AH270" s="46" t="str">
        <f>IFERROR(__xludf.DUMMYFUNCTION("""COMPUTED_VALUE"""),"Aliado")</f>
        <v>Aliado</v>
      </c>
      <c r="AI270" s="92" t="str">
        <f>IFERROR(__xludf.DUMMYFUNCTION("""COMPUTED_VALUE"""),"https://lh3.googleusercontent.com/pw/AP1GczNmkAYXDL2_4zSQspoS8S5goqc9rqW3asRvBpY6DG8-OswqMSxMsrgP-cJKhUe3RJQ8ScCOWECiVWm4m6WCbQnZIuz_6m-mNukNy8MLcrfpOcBg-LZS=w1200|https://lh3.googleusercontent.com/pw/AP1GczPt4b3El1WCep__KV72jYMuZPfvjrA_DmKpoyakS9dn-ZytWS"&amp;"6TpnoWFEgyppB2YtVXl4O4MpZsHvw5aWh_2FW_mmFdWSZs5tsnCdPWwX6-hdQTgXgM=w1200|https://lh3.googleusercontent.com/pw/AP1GczPm4hToC0XfRQCUg19D8EbQi-_kqdynBmbBb3x8JBzflFJwA8iCKXSTwlJe4XcxFZWamwwUJunqJzFMyXJ5m2k2GkAv9q00HH_gM8AmLA0X-aWjfLoY=w1200|https://lh3.google"&amp;"usercontent.com/pw/AP1GczMAXmqa1iizptX5IIn_FFXRUpjXqKSAo-iVxlWco59HvP_YFXGP93RnE9PXl-6lUpT3lEIl6o1dnAt4bWh8ULe8Z8VOVe1qwbmDkR5B-Y_n5UqEA1vI=w1200|https://lh3.googleusercontent.com/pw/AP1GczNwyYIu-qrOmeml-yeAsxIjg3aSagDbHGel-7IT4EVdYktGKZxyLYSSrIzCUCiFHGdB"&amp;"Az-9HNClHH7OgAJI75_r2yEC3YXIHVFUuSQSjhcO19Px4SkC=w1200|https://lh3.googleusercontent.com/pw/AP1GczMI5e4hrqg_8ZMq_09dQJpvmrgWIR6eRpcGDTBlZ-7kaN7h1U9JhY0MDCsp68sypfESWrPTIWcwanyfa2zwIPlsbSvJqwcoYBO6hDQVzv0CsyDVEins=w1200|https://lh3.googleusercontent.com/pw"&amp;"/AP1GczOqGoSIHqlLo28WnHyv-qH7m6ZT8aOJ8niuZklm7qbKgBJKomeXHzsHWfkVNlcchW3vAL2fSBgzqx0LHPzrdt6C6FWLm9w3kmOGbW4bWFUNqewEw5Re=w1200|https://lh3.googleusercontent.com/pw/AP1GczNRuS1iOtTcY4LOUKN36nSUjePgCsVN4niD3ZGRSm5xDIWhBJArVFnqMnSybt5UDQz4HqPEM5u0UcWccHjQNO"&amp;"m9v027jgGud8dwdL3FnIzLUi_Triyq=w1200")</f>
        <v>https://lh3.googleusercontent.com/pw/AP1GczNmkAYXDL2_4zSQspoS8S5goqc9rqW3asRvBpY6DG8-OswqMSxMsrgP-cJKhUe3RJQ8ScCOWECiVWm4m6WCbQnZIuz_6m-mNukNy8MLcrfpOcBg-LZS=w1200|https://lh3.googleusercontent.com/pw/AP1GczPt4b3El1WCep__KV72jYMuZPfvjrA_DmKpoyakS9dn-ZytWS6TpnoWFEgyppB2YtVXl4O4MpZsHvw5aWh_2FW_mmFdWSZs5tsnCdPWwX6-hdQTgXgM=w1200|https://lh3.googleusercontent.com/pw/AP1GczPm4hToC0XfRQCUg19D8EbQi-_kqdynBmbBb3x8JBzflFJwA8iCKXSTwlJe4XcxFZWamwwUJunqJzFMyXJ5m2k2GkAv9q00HH_gM8AmLA0X-aWjfLoY=w1200|https://lh3.googleusercontent.com/pw/AP1GczMAXmqa1iizptX5IIn_FFXRUpjXqKSAo-iVxlWco59HvP_YFXGP93RnE9PXl-6lUpT3lEIl6o1dnAt4bWh8ULe8Z8VOVe1qwbmDkR5B-Y_n5UqEA1vI=w1200|https://lh3.googleusercontent.com/pw/AP1GczNwyYIu-qrOmeml-yeAsxIjg3aSagDbHGel-7IT4EVdYktGKZxyLYSSrIzCUCiFHGdBAz-9HNClHH7OgAJI75_r2yEC3YXIHVFUuSQSjhcO19Px4SkC=w1200|https://lh3.googleusercontent.com/pw/AP1GczMI5e4hrqg_8ZMq_09dQJpvmrgWIR6eRpcGDTBlZ-7kaN7h1U9JhY0MDCsp68sypfESWrPTIWcwanyfa2zwIPlsbSvJqwcoYBO6hDQVzv0CsyDVEins=w1200|https://lh3.googleusercontent.com/pw/AP1GczOqGoSIHqlLo28WnHyv-qH7m6ZT8aOJ8niuZklm7qbKgBJKomeXHzsHWfkVNlcchW3vAL2fSBgzqx0LHPzrdt6C6FWLm9w3kmOGbW4bWFUNqewEw5Re=w1200|https://lh3.googleusercontent.com/pw/AP1GczNRuS1iOtTcY4LOUKN36nSUjePgCsVN4niD3ZGRSm5xDIWhBJArVFnqMnSybt5UDQz4HqPEM5u0UcWccHjQNOm9v027jgGud8dwdL3FnIzLUi_Triyq=w1200</v>
      </c>
      <c r="AJ270" s="46"/>
      <c r="AK270" s="46"/>
      <c r="AL270" s="46"/>
      <c r="AM270" s="46"/>
      <c r="AN270" s="46"/>
      <c r="AO270" s="46"/>
      <c r="AP270" s="46"/>
      <c r="AQ270" s="46"/>
      <c r="AR270" s="46"/>
      <c r="AS270" s="46"/>
      <c r="AT270" s="46"/>
      <c r="AU270" s="46"/>
      <c r="AV270" s="46"/>
      <c r="AW270" s="46"/>
      <c r="AX270" s="46"/>
      <c r="AY270" s="46"/>
      <c r="AZ270" s="46"/>
      <c r="BA270" s="46"/>
      <c r="BB270" s="46"/>
      <c r="BC270" s="46"/>
      <c r="BD270" s="46"/>
      <c r="BE270" s="46"/>
      <c r="BF270" s="46"/>
      <c r="BG270" s="46"/>
      <c r="BH270" s="46"/>
      <c r="BI270" s="46"/>
      <c r="BJ270" s="46"/>
      <c r="BK270" s="46"/>
      <c r="BL270" s="46"/>
      <c r="BM270" s="46"/>
      <c r="BN270" s="46"/>
      <c r="BO270" s="46"/>
      <c r="BP270" s="46"/>
      <c r="BQ270" s="46"/>
      <c r="BR270" s="46"/>
      <c r="BS270" s="46"/>
      <c r="BT270" s="46"/>
      <c r="BU270" s="46"/>
      <c r="BV270" s="46"/>
      <c r="BW270" s="46"/>
      <c r="BX270" s="46"/>
      <c r="BY270" s="46"/>
      <c r="BZ270" s="46"/>
      <c r="CA270" s="46"/>
      <c r="CB270" s="46"/>
      <c r="CC270" s="46"/>
    </row>
    <row r="271">
      <c r="A271" s="87" t="str">
        <f>IFERROR(__xludf.DUMMYFUNCTION("""COMPUTED_VALUE"""),"432")</f>
        <v>432</v>
      </c>
      <c r="B271" s="46" t="str">
        <f>IFERROR(__xludf.DUMMYFUNCTION("""COMPUTED_VALUE"""),"Casa en barrio La Toma")</f>
        <v>Casa en barrio La Toma</v>
      </c>
      <c r="C271" s="46" t="str">
        <f>IFERROR(__xludf.DUMMYFUNCTION("""COMPUTED_VALUE"""),"Casa")</f>
        <v>Casa</v>
      </c>
      <c r="D271" s="46" t="str">
        <f>IFERROR(__xludf.DUMMYFUNCTION("""COMPUTED_VALUE"""),"La Toma")</f>
        <v>La Toma</v>
      </c>
      <c r="E271" s="46" t="str">
        <f>IFERROR(__xludf.DUMMYFUNCTION("""COMPUTED_VALUE""")," ")</f>
        <v> </v>
      </c>
      <c r="F271" s="90">
        <f>IFERROR(__xludf.DUMMYFUNCTION("""COMPUTED_VALUE"""),1.4E9)</f>
        <v>1400000000</v>
      </c>
      <c r="G271" s="46" t="str">
        <f>IFERROR(__xludf.DUMMYFUNCTION("""COMPUTED_VALUE"""),"Más de $1.000'000.000")</f>
        <v>Más de $1.000'000.000</v>
      </c>
      <c r="H271" s="46"/>
      <c r="I271" s="46"/>
      <c r="J271" s="46" t="str">
        <f>IFERROR(__xludf.DUMMYFUNCTION("""COMPUTED_VALUE"""),"Centro")</f>
        <v>Centro</v>
      </c>
      <c r="K271" s="87" t="str">
        <f>IFERROR(__xludf.DUMMYFUNCTION("""COMPUTED_VALUE"""),"3")</f>
        <v>3</v>
      </c>
      <c r="L271" s="46">
        <f>IFERROR(__xludf.DUMMYFUNCTION("""COMPUTED_VALUE"""),5.0)</f>
        <v>5</v>
      </c>
      <c r="M271" s="46"/>
      <c r="N271" s="46">
        <f>IFERROR(__xludf.DUMMYFUNCTION("""COMPUTED_VALUE"""),3.0)</f>
        <v>3</v>
      </c>
      <c r="O271" s="46">
        <f>IFERROR(__xludf.DUMMYFUNCTION("""COMPUTED_VALUE"""),3.0)</f>
        <v>3</v>
      </c>
      <c r="P271" s="46">
        <f>IFERROR(__xludf.DUMMYFUNCTION("""COMPUTED_VALUE"""),1.0)</f>
        <v>1</v>
      </c>
      <c r="Q271" s="92"/>
      <c r="R271" s="92">
        <f>IFERROR(__xludf.DUMMYFUNCTION("""COMPUTED_VALUE"""),770.0)</f>
        <v>770</v>
      </c>
      <c r="S271" s="87" t="str">
        <f>IFERROR(__xludf.DUMMYFUNCTION("""COMPUTED_VALUE""")," ")</f>
        <v> </v>
      </c>
      <c r="T271" s="46" t="str">
        <f>IFERROR(__xludf.DUMMYFUNCTION("""COMPUTED_VALUE"""),"Neiva")</f>
        <v>Neiva</v>
      </c>
      <c r="U271" s="87" t="str">
        <f>IFERROR(__xludf.DUMMYFUNCTION("""COMPUTED_VALUE"""),"4")</f>
        <v>4</v>
      </c>
      <c r="V271" s="46" t="str">
        <f>IFERROR(__xludf.DUMMYFUNCTION("""COMPUTED_VALUE"""),"Medianera")</f>
        <v>Medianera</v>
      </c>
      <c r="W271" s="46"/>
      <c r="X271" s="46">
        <f>IFERROR(__xludf.DUMMYFUNCTION("""COMPUTED_VALUE"""),5.0)</f>
        <v>5</v>
      </c>
      <c r="Y271" s="46" t="str">
        <f>IFERROR(__xludf.DUMMYFUNCTION("""COMPUTED_VALUE"""),"No tiene")</f>
        <v>No tiene</v>
      </c>
      <c r="Z271" s="90" t="str">
        <f>IFERROR(__xludf.DUMMYFUNCTION("""COMPUTED_VALUE"""),"No aplica")</f>
        <v>No aplica</v>
      </c>
      <c r="AA271" s="33" t="str">
        <f>IFERROR(__xludf.DUMMYFUNCTION("""COMPUTED_VALUE"""),"No aplica")</f>
        <v>No aplica</v>
      </c>
      <c r="AB271" s="96" t="str">
        <f>IFERROR(__xludf.DUMMYFUNCTION("""COMPUTED_VALUE"""),"https://photos.app.goo.gl/cuSLc1nQTB3F4mb46")</f>
        <v>https://photos.app.goo.gl/cuSLc1nQTB3F4mb46</v>
      </c>
      <c r="AC271" s="46"/>
      <c r="AD271" s="46" t="str">
        <f>IFERROR(__xludf.DUMMYFUNCTION("""COMPUTED_VALUE"""),"Casa  central, con patio amplio. Cuenta con variedad de árboles, jardines, Con espacios de circulación abierta. Escritura al día.")</f>
        <v>Casa  central, con patio amplio. Cuenta con variedad de árboles, jardines, Con espacios de circulación abierta. Escritura al día.</v>
      </c>
      <c r="AE271" s="46"/>
      <c r="AF271" s="46" t="str">
        <f>IFERROR(__xludf.DUMMYFUNCTION("""COMPUTED_VALUE"""),"semi-integral")</f>
        <v>semi-integral</v>
      </c>
      <c r="AG271" s="46"/>
      <c r="AH271" s="46" t="str">
        <f>IFERROR(__xludf.DUMMYFUNCTION("""COMPUTED_VALUE"""),"Aliado")</f>
        <v>Aliado</v>
      </c>
      <c r="AI271" s="92" t="str">
        <f>IFERROR(__xludf.DUMMYFUNCTION("""COMPUTED_VALUE"""),"https://lh3.googleusercontent.com/pw/AP1GczO9S21CZp4Pe-Ttn24ZGghNHgP1lIRw3cMi7DQrGZxQ1d4BLbT-VGgtyQ7z56ZCiYYeuZWR_28iMHFnsPTOXsRVV9a7RsNVnWqEuRYKJPgRLGig3It5=w1200|https://lh3.googleusercontent.com/pw/AP1GczOUNsRwjafO-XldFyAn6_QbI5AkTrR9UH3EZ0KhTtUuwI-bFB"&amp;"T_xTz-re5hwto-0fBiGiONq8tR40WmGgfDagukRMIljfSY_txxddbVprRBntGoATww=w1200|https://lh3.googleusercontent.com/pw/AP1GczMoHHu5896wQHO5B-jim6MnzpaBWGmA8fpLT1ckBE6NJSC5XY8wbbVTLM1ethyi-35CFzShJcd9yRq17IMCnbAhll0AbFNb0FMd0uQ81FHPEQcIDGN9=w1200|https://lh3.google"&amp;"usercontent.com/pw/AP1GczPZA1K3iiLES7juDtY_2gzi_7GpY8HTQnt7pLpug9X6m1LjvE8yRImtcslW83ka-1Hidh6if8de8oRAJpNzHFjmZvCXUTI7-XhcH53eSuiKiHEvGVWE=w1200|https://lh3.googleusercontent.com/pw/AP1GczPz2fY3VmH1Yq4x9z3dnvQV4-MbA2yyMvoDDqkmzChzm0a8aX07px9UenGDJQF3qRa0"&amp;"zI8op3A7nd5A_Had-M7fYRmxHnThQ8TLDfr_U2CjxeOmw-79=w1200|https://lh3.googleusercontent.com/pw/AP1GczP21log8bLIhMzjB4y4XPofQWKMDYtBvniHevP8Mjqxhg-quejFKNQUrj22JOBR7ndE9NSq58V8XOZrDPS5AOJhwiSjbwbRhdoJColE-bXMZ4h6aASf=w1200|https://lh3.googleusercontent.com/pw"&amp;"/AP1GczPDcHxRoGGw5bNAnq3teAiZetIgemSrC13Hs38XfiSq_5QiOjxCaGwwuNSMADzyUnIA9UaVzBZ6cfHz7jYkdP7dhwUnzCSEuLAJnOGSuxNd7gk_EVRe=w1200|https://lh3.googleusercontent.com/pw/AP1GczOnvmefD98_svTvn07HHz1MskHjikvwqALBwgV6iVXj4940mU1MWEm0EKHBbtsyISSZJHlrxQ6A9kvfcJTFOV"&amp;"cmtkY_-LCBC8gsEUs9i8PnupOnvC9_=w1200|https://lh3.googleusercontent.com/pw/AP1GczN_xWyMv6hIRBliEP2hxSrM37GGeDar-ogN_WW_WhuVW2SYJFvtdTC82BXl7T5mhowGaihufXc-XgENoP9KBh1AxABgybuKr3_5vVhWugNGI83s0y3s=w1200|https://lh3.googleusercontent.com/pw/AP1GczNheDvI_2vHQ"&amp;"-vZn-fG1jYv-ihiy6VyIVP5La8uHu-uKg-LlvF589gIM58QEN-_KqX6CWyaoHVMYLOI6OCvY_P4Qwtq9dRCiB7L1zdGwucunAzOSEpQ=w1200|https://lh3.googleusercontent.com/pw/AP1GczNHEB2GE1AoL6w3Ibpk0KeKNMvvLt35Uw_bDZUaCFFh03tMx6nTo_s1U7i1ceuoG8F3xGldJhtX8jZnWWkzIeBIK1EinZ4WKsYS3pjn"&amp;"vzRdFWojupwW=w1200|https://lh3.googleusercontent.com/pw/AP1GczPEoKsZ5j3fToMW_VnpKhSzF7Hq_kzVrFdA5EYUGX86IWAdgbbdBaHzneIbO_EHMSDeIE-055OIu0O8JOVn9cdVMIvL-rvgcH41yal5eimw3cZwc3A7=w1200|https://lh3.googleusercontent.com/pw/AP1GczOyPFEslOkE2WzHikXPKr0nT_iV-3v"&amp;"B6eNk9HyHqarfZB-MlPoghSvtISX9BLXGspqe09Y1lQ9jV5i78_3wbRrQbvVHpq1PyhmFkdw82oCoxnY9Fs5R=w1200|https://lh3.googleusercontent.com/pw/AP1GczMq4h-_DirTeEva5e7qw56QMJDk06UUEVNeRyiZLQPMGSub3B6iIUN7CaBw4pPDSYbxoxF3NH-6jFH9RWv8Q9xsHa5en-wobXQG3pjIS5o8lCBusxhx=w1200"&amp;"|https://lh3.googleusercontent.com/pw/AP1GczNI1Dmo031znIMe8uEisP2CuChrHIYR0rdLzyZTv573KADFb4RYysqdOMRVQgYv081ph96IKb-im6eO9CjkmzZlqUmeYUJka8nBt5V3SjnRxtnm4ClK=w1200|https://lh3.googleusercontent.com/pw/AP1GczNAGG82o9p0FZ0ilWJsasaDpKy25aO5qUOt6yLjyPipgRLTy"&amp;"UC6A-vndE-NBX-xiRPbPAzs-0vDJVkDcim76yELtwRqB2mJusJXRIMEDYySoK8yZDno=w1200|https://lh3.googleusercontent.com/pw/AP1GczPCuaD_cDBxlljXK141BgdEsd4E6XTMMVO1qwK8f12rgcmNXtH6qjof3fBzrP0B2MuGPcBXoZlpdtMlCd3pUAmzARyp4SOQLUkMsH1k_N-mb1u_KmQl=w1200|https://lh3.googl"&amp;"eusercontent.com/pw/AP1GczM4VUvL3b3JnET5R373vaG10gOQy8vMhggs6DaqB7v82x3dFxuyQJ9MGe759dHg55_u-DYIiqNHGB4vZIzxUhVumnL8fWcTYPlPvq-Dz-piyE7_8g5E=w1200|https://lh3.googleusercontent.com/pw/AP1GczPz5EzdgDH0l4dO3nPFtEbNfXM2k7OrEMEJdY1o8JG6TMIestjLLMQqY-2odASv20p"&amp;"GlTUuYqAeWoMnL_W04auef48giF_AqmYeb_fLYz5qMGDw5Hc0=w1200|https://lh3.googleusercontent.com/pw/AP1GczPCskzSSdCExbHET63FLPGP6R0mi_ehEYahhxohP9HrrSXB3ZZ-j31VAiWdt4M_sSHnl3DiaQRfKAwDUm3e585jfjdiVU_Ze1rdejsWRSxpQzRK11Zd=w1200|https://lh3.googleusercontent.com/p"&amp;"w/AP1GczM41kZHP02QnViiiep4S99d6YtzC49OyYuikMxfixyfm7YVhgdS921pCooUly6q6560Rvn3915xxz88NmcJ9yMf7EhtAooQ5LIyGtouoTVWpufcYIWc=w1200|https://lh3.googleusercontent.com/pw/AP1GczM_TTEL5Wqk2chnjyQXgASw7MkMZuQdMzddKwInLH1CwIuGzZ_yIPNY1QDqXgfIaIvzC7lNSKWgslOoh09Sf"&amp;"ccKr0HCPc9JcW6Q7DsFT7Ev7IvH21cN=w1200|https://lh3.googleusercontent.com/pw/AP1GczMzGa3nF4A94Nn3gE_sCBeG2nKyfOVs16UiLjMnzWdUCL6famNTiiDKkhcro4OmOeBO-Y7lhKoPefJ-oPbh2G6_btpWl2u_Rf7-uaSz3xbhKVzPGkoF=w1200")</f>
        <v>https://lh3.googleusercontent.com/pw/AP1GczO9S21CZp4Pe-Ttn24ZGghNHgP1lIRw3cMi7DQrGZxQ1d4BLbT-VGgtyQ7z56ZCiYYeuZWR_28iMHFnsPTOXsRVV9a7RsNVnWqEuRYKJPgRLGig3It5=w1200|https://lh3.googleusercontent.com/pw/AP1GczOUNsRwjafO-XldFyAn6_QbI5AkTrR9UH3EZ0KhTtUuwI-bFBT_xTz-re5hwto-0fBiGiONq8tR40WmGgfDagukRMIljfSY_txxddbVprRBntGoATww=w1200|https://lh3.googleusercontent.com/pw/AP1GczMoHHu5896wQHO5B-jim6MnzpaBWGmA8fpLT1ckBE6NJSC5XY8wbbVTLM1ethyi-35CFzShJcd9yRq17IMCnbAhll0AbFNb0FMd0uQ81FHPEQcIDGN9=w1200|https://lh3.googleusercontent.com/pw/AP1GczPZA1K3iiLES7juDtY_2gzi_7GpY8HTQnt7pLpug9X6m1LjvE8yRImtcslW83ka-1Hidh6if8de8oRAJpNzHFjmZvCXUTI7-XhcH53eSuiKiHEvGVWE=w1200|https://lh3.googleusercontent.com/pw/AP1GczPz2fY3VmH1Yq4x9z3dnvQV4-MbA2yyMvoDDqkmzChzm0a8aX07px9UenGDJQF3qRa0zI8op3A7nd5A_Had-M7fYRmxHnThQ8TLDfr_U2CjxeOmw-79=w1200|https://lh3.googleusercontent.com/pw/AP1GczP21log8bLIhMzjB4y4XPofQWKMDYtBvniHevP8Mjqxhg-quejFKNQUrj22JOBR7ndE9NSq58V8XOZrDPS5AOJhwiSjbwbRhdoJColE-bXMZ4h6aASf=w1200|https://lh3.googleusercontent.com/pw/AP1GczPDcHxRoGGw5bNAnq3teAiZetIgemSrC13Hs38XfiSq_5QiOjxCaGwwuNSMADzyUnIA9UaVzBZ6cfHz7jYkdP7dhwUnzCSEuLAJnOGSuxNd7gk_EVRe=w1200|https://lh3.googleusercontent.com/pw/AP1GczOnvmefD98_svTvn07HHz1MskHjikvwqALBwgV6iVXj4940mU1MWEm0EKHBbtsyISSZJHlrxQ6A9kvfcJTFOVcmtkY_-LCBC8gsEUs9i8PnupOnvC9_=w1200|https://lh3.googleusercontent.com/pw/AP1GczN_xWyMv6hIRBliEP2hxSrM37GGeDar-ogN_WW_WhuVW2SYJFvtdTC82BXl7T5mhowGaihufXc-XgENoP9KBh1AxABgybuKr3_5vVhWugNGI83s0y3s=w1200|https://lh3.googleusercontent.com/pw/AP1GczNheDvI_2vHQ-vZn-fG1jYv-ihiy6VyIVP5La8uHu-uKg-LlvF589gIM58QEN-_KqX6CWyaoHVMYLOI6OCvY_P4Qwtq9dRCiB7L1zdGwucunAzOSEpQ=w1200|https://lh3.googleusercontent.com/pw/AP1GczNHEB2GE1AoL6w3Ibpk0KeKNMvvLt35Uw_bDZUaCFFh03tMx6nTo_s1U7i1ceuoG8F3xGldJhtX8jZnWWkzIeBIK1EinZ4WKsYS3pjnvzRdFWojupwW=w1200|https://lh3.googleusercontent.com/pw/AP1GczPEoKsZ5j3fToMW_VnpKhSzF7Hq_kzVrFdA5EYUGX86IWAdgbbdBaHzneIbO_EHMSDeIE-055OIu0O8JOVn9cdVMIvL-rvgcH41yal5eimw3cZwc3A7=w1200|https://lh3.googleusercontent.com/pw/AP1GczOyPFEslOkE2WzHikXPKr0nT_iV-3vB6eNk9HyHqarfZB-MlPoghSvtISX9BLXGspqe09Y1lQ9jV5i78_3wbRrQbvVHpq1PyhmFkdw82oCoxnY9Fs5R=w1200|https://lh3.googleusercontent.com/pw/AP1GczMq4h-_DirTeEva5e7qw56QMJDk06UUEVNeRyiZLQPMGSub3B6iIUN7CaBw4pPDSYbxoxF3NH-6jFH9RWv8Q9xsHa5en-wobXQG3pjIS5o8lCBusxhx=w1200|https://lh3.googleusercontent.com/pw/AP1GczNI1Dmo031znIMe8uEisP2CuChrHIYR0rdLzyZTv573KADFb4RYysqdOMRVQgYv081ph96IKb-im6eO9CjkmzZlqUmeYUJka8nBt5V3SjnRxtnm4ClK=w1200|https://lh3.googleusercontent.com/pw/AP1GczNAGG82o9p0FZ0ilWJsasaDpKy25aO5qUOt6yLjyPipgRLTyUC6A-vndE-NBX-xiRPbPAzs-0vDJVkDcim76yELtwRqB2mJusJXRIMEDYySoK8yZDno=w1200|https://lh3.googleusercontent.com/pw/AP1GczPCuaD_cDBxlljXK141BgdEsd4E6XTMMVO1qwK8f12rgcmNXtH6qjof3fBzrP0B2MuGPcBXoZlpdtMlCd3pUAmzARyp4SOQLUkMsH1k_N-mb1u_KmQl=w1200|https://lh3.googleusercontent.com/pw/AP1GczM4VUvL3b3JnET5R373vaG10gOQy8vMhggs6DaqB7v82x3dFxuyQJ9MGe759dHg55_u-DYIiqNHGB4vZIzxUhVumnL8fWcTYPlPvq-Dz-piyE7_8g5E=w1200|https://lh3.googleusercontent.com/pw/AP1GczPz5EzdgDH0l4dO3nPFtEbNfXM2k7OrEMEJdY1o8JG6TMIestjLLMQqY-2odASv20pGlTUuYqAeWoMnL_W04auef48giF_AqmYeb_fLYz5qMGDw5Hc0=w1200|https://lh3.googleusercontent.com/pw/AP1GczPCskzSSdCExbHET63FLPGP6R0mi_ehEYahhxohP9HrrSXB3ZZ-j31VAiWdt4M_sSHnl3DiaQRfKAwDUm3e585jfjdiVU_Ze1rdejsWRSxpQzRK11Zd=w1200|https://lh3.googleusercontent.com/pw/AP1GczM41kZHP02QnViiiep4S99d6YtzC49OyYuikMxfixyfm7YVhgdS921pCooUly6q6560Rvn3915xxz88NmcJ9yMf7EhtAooQ5LIyGtouoTVWpufcYIWc=w1200|https://lh3.googleusercontent.com/pw/AP1GczM_TTEL5Wqk2chnjyQXgASw7MkMZuQdMzddKwInLH1CwIuGzZ_yIPNY1QDqXgfIaIvzC7lNSKWgslOoh09SfccKr0HCPc9JcW6Q7DsFT7Ev7IvH21cN=w1200|https://lh3.googleusercontent.com/pw/AP1GczMzGa3nF4A94Nn3gE_sCBeG2nKyfOVs16UiLjMnzWdUCL6famNTiiDKkhcro4OmOeBO-Y7lhKoPefJ-oPbh2G6_btpWl2u_Rf7-uaSz3xbhKVzPGkoF=w1200</v>
      </c>
      <c r="AJ271" s="46"/>
      <c r="AK271" s="46"/>
      <c r="AL271" s="46"/>
      <c r="AM271" s="46"/>
      <c r="AN271" s="46"/>
      <c r="AO271" s="46"/>
      <c r="AP271" s="46"/>
      <c r="AQ271" s="46"/>
      <c r="AR271" s="46"/>
      <c r="AS271" s="46"/>
      <c r="AT271" s="46"/>
      <c r="AU271" s="46"/>
      <c r="AV271" s="46"/>
      <c r="AW271" s="46"/>
      <c r="AX271" s="46"/>
      <c r="AY271" s="46"/>
      <c r="AZ271" s="46"/>
      <c r="BA271" s="46"/>
      <c r="BB271" s="46"/>
      <c r="BC271" s="46"/>
      <c r="BD271" s="46"/>
      <c r="BE271" s="46"/>
      <c r="BF271" s="46"/>
      <c r="BG271" s="46"/>
      <c r="BH271" s="46"/>
      <c r="BI271" s="46"/>
      <c r="BJ271" s="46"/>
      <c r="BK271" s="46"/>
      <c r="BL271" s="46"/>
      <c r="BM271" s="46"/>
      <c r="BN271" s="46"/>
      <c r="BO271" s="46"/>
      <c r="BP271" s="46"/>
      <c r="BQ271" s="46"/>
      <c r="BR271" s="46"/>
      <c r="BS271" s="46"/>
      <c r="BT271" s="46"/>
      <c r="BU271" s="46"/>
      <c r="BV271" s="46"/>
      <c r="BW271" s="46"/>
      <c r="BX271" s="46"/>
      <c r="BY271" s="46"/>
      <c r="BZ271" s="46"/>
      <c r="CA271" s="46"/>
      <c r="CB271" s="46"/>
      <c r="CC271" s="46"/>
    </row>
    <row r="272">
      <c r="A272" s="87" t="str">
        <f>IFERROR(__xludf.DUMMYFUNCTION("""COMPUTED_VALUE"""),"346")</f>
        <v>346</v>
      </c>
      <c r="B272" s="46" t="str">
        <f>IFERROR(__xludf.DUMMYFUNCTION("""COMPUTED_VALUE"""),"Casa campestre en Rivera")</f>
        <v>Casa campestre en Rivera</v>
      </c>
      <c r="C272" s="46" t="str">
        <f>IFERROR(__xludf.DUMMYFUNCTION("""COMPUTED_VALUE"""),"Casa campestre")</f>
        <v>Casa campestre</v>
      </c>
      <c r="D272" s="46"/>
      <c r="E272" s="46"/>
      <c r="F272" s="90">
        <f>IFERROR(__xludf.DUMMYFUNCTION("""COMPUTED_VALUE"""),6.0E8)</f>
        <v>600000000</v>
      </c>
      <c r="G272" s="46" t="str">
        <f>IFERROR(__xludf.DUMMYFUNCTION("""COMPUTED_VALUE"""),"$500'000.000 a $1.000'000.000")</f>
        <v>$500'000.000 a $1.000'000.000</v>
      </c>
      <c r="H272" s="46"/>
      <c r="I272" s="46"/>
      <c r="J272" s="46" t="str">
        <f>IFERROR(__xludf.DUMMYFUNCTION("""COMPUTED_VALUE"""),"Sur")</f>
        <v>Sur</v>
      </c>
      <c r="K272" s="87"/>
      <c r="L272" s="46">
        <f>IFERROR(__xludf.DUMMYFUNCTION("""COMPUTED_VALUE"""),3.0)</f>
        <v>3</v>
      </c>
      <c r="M272" s="46"/>
      <c r="N272" s="46">
        <f>IFERROR(__xludf.DUMMYFUNCTION("""COMPUTED_VALUE"""),2.0)</f>
        <v>2</v>
      </c>
      <c r="O272" s="46">
        <f>IFERROR(__xludf.DUMMYFUNCTION("""COMPUTED_VALUE"""),1.0)</f>
        <v>1</v>
      </c>
      <c r="P272" s="46">
        <f>IFERROR(__xludf.DUMMYFUNCTION("""COMPUTED_VALUE"""),1.0)</f>
        <v>1</v>
      </c>
      <c r="Q272" s="92">
        <f>IFERROR(__xludf.DUMMYFUNCTION("""COMPUTED_VALUE"""),150.0)</f>
        <v>150</v>
      </c>
      <c r="R272" s="92">
        <f>IFERROR(__xludf.DUMMYFUNCTION("""COMPUTED_VALUE"""),1000.0)</f>
        <v>1000</v>
      </c>
      <c r="S272" s="87" t="str">
        <f>IFERROR(__xludf.DUMMYFUNCTION("""COMPUTED_VALUE""")," ")</f>
        <v> </v>
      </c>
      <c r="T272" s="46"/>
      <c r="U272" s="87"/>
      <c r="V272" s="46"/>
      <c r="W272" s="46"/>
      <c r="X272" s="46">
        <f>IFERROR(__xludf.DUMMYFUNCTION("""COMPUTED_VALUE"""),3.0)</f>
        <v>3</v>
      </c>
      <c r="Y272" s="46" t="str">
        <f>IFERROR(__xludf.DUMMYFUNCTION("""COMPUTED_VALUE"""),"No tiene")</f>
        <v>No tiene</v>
      </c>
      <c r="Z272" s="90" t="str">
        <f>IFERROR(__xludf.DUMMYFUNCTION("""COMPUTED_VALUE"""),"No aplica")</f>
        <v>No aplica</v>
      </c>
      <c r="AA272" s="33" t="str">
        <f>IFERROR(__xludf.DUMMYFUNCTION("""COMPUTED_VALUE"""),"No aplica")</f>
        <v>No aplica</v>
      </c>
      <c r="AB272" s="144" t="str">
        <f>IFERROR(__xludf.DUMMYFUNCTION("""COMPUTED_VALUE"""),"https://photos.app.goo.gl/4v5L3ZbosDRYFGsj8")</f>
        <v>https://photos.app.goo.gl/4v5L3ZbosDRYFGsj8</v>
      </c>
      <c r="AC272" s="46"/>
      <c r="AD272" s="46" t="str">
        <f>IFERROR(__xludf.DUMMYFUNCTION("""COMPUTED_VALUE"""),"Casa remodelada, buenos acabados, ubicada sobre vía principal. Escritura al día.")</f>
        <v>Casa remodelada, buenos acabados, ubicada sobre vía principal. Escritura al día.</v>
      </c>
      <c r="AE272" s="46"/>
      <c r="AF272" s="46" t="str">
        <f>IFERROR(__xludf.DUMMYFUNCTION("""COMPUTED_VALUE"""),"semi-integral")</f>
        <v>semi-integral</v>
      </c>
      <c r="AG272" s="46"/>
      <c r="AH272" s="46" t="str">
        <f>IFERROR(__xludf.DUMMYFUNCTION("""COMPUTED_VALUE"""),"Aliado")</f>
        <v>Aliado</v>
      </c>
      <c r="AI272" s="92" t="str">
        <f>IFERROR(__xludf.DUMMYFUNCTION("""COMPUTED_VALUE"""),"https://lh3.googleusercontent.com/pw/AP1GczMq9sA9HlFtkmq0qL79ON8tc5oISB14IUW1TfDtomGg6nnXpQyM7pRwpW2WItbjOhgJ6lW1GJidxLkAH7WZ_dGdFShB87l5ejILWkC2JipPn41SsC4d=w1200|https://lh3.googleusercontent.com/pw/AP1GczNRC-6PCe-D44AW8OnGEDlfn3pCwAX-E_CN5sJAQr5QPaKS3q"&amp;"90yeHqDeyuoUTCuy5pq9p0RlHWHY8YRaTjZGq0bDaG3M5THsb9SNKWwm42rUtK0Acz=w1200|https://lh3.googleusercontent.com/pw/AP1GczNNNrDvWo7ZOrE0BnFJyqARBGFA_N1FvQKZR4NseuNpbZfFOLd5aM3viaP4H43UE8xqe2fSeht21n0P-eyqCDr8qgykbyFcGcKLtfI-iynAuaZFdwXC=w1200|https://lh3.google"&amp;"usercontent.com/pw/AP1GczMTWlu5KIZwb4FgYEb--1cvPwzWxyRQUnpQtxpuKBk2V3E6KLGDUmQtmZadpQQ6nhf_BEgg3OZu5FF-Gsi3k5GzYGuEiEz3UPzV9eane9J2R3Mj97Mz=w1200|https://lh3.googleusercontent.com/pw/AP1GczMy19Y_W7nMlJGiRk_ye56QhoujDt5u7jjHiErqNgm-kPw_oHh7XxtnRmpD8BlQACse"&amp;"W4xcvjE8gxMsDC7j6U_pY49ByD8rljrT35G8SL96c3W-A-7K=w1200|https://lh3.googleusercontent.com/pw/AP1GczNEDRyRZLIiXp1NoLw86nO-4nooJeeop8PsBqwxE6Q0fTXtB-qjj5aSHqw_3HZc73-w-1H4sMLJQODOIV9j40ZgMrYL0aeDU5R-x6bNf_9rYZeLV8dV=w1200|https://lh3.googleusercontent.com/pw"&amp;"/AP1GczMsYeMAsKitP045CgBBiBHSH0eQaSL_y7fMX8n6f0735ysr1Ra95lv_3QHedm1v5LReOZ35mji7jkkqcvyiFLohrMWPX4mi-jk2bjKrgZPFBGUMwTbk=w1200|https://lh3.googleusercontent.com/pw/AP1GczMhsMzMHAy0ckFNBQHmbbhhhctiCEPQ03UQjTF331WU5eVeBzoUA8T4Px34k0NPqCHb-Jn-4E4Z6eYaTEqpd0"&amp;"7dH7CDeCg-jpNMoB0Jv8rlwJDYD5Kc=w1200|https://lh3.googleusercontent.com/pw/AP1GczMZeVQDotin3TUqVZe-eoxsfIoDSYUr8uFM2XSlFb-sdR-2r7VXSTTAGaYzU6gym9CMj5fMNPEsm_yfgPb5aVuJQZ0tYvuhYNAH9T92e2raBHW50SsZ=w1200|https://lh3.googleusercontent.com/pw/AP1GczMx4zp-jjYo5"&amp;"UONoUhQ87YpOgwUK6ogAS6abvC20GGrnX52P6ZIvOkApOStDsDIK8xo_pcDNoauFRCfDwAfVWyJm7ndH9DAT7T04dgPKLYxto-8zXjQ=w1200|https://lh3.googleusercontent.com/pw/AP1GczNxvVtuG8NzIM6vKExNKbYY2-bNGrkDXV2hN9sm8BL7AK2zTTZpdt4ITt_XFxsGw0pwSD7PptdefHusf_PvnW8aUTZUprwYC6hsqV00"&amp;"UlaLEYrPeXLi=w1200|https://lh3.googleusercontent.com/pw/AP1GczOTHQIpO692gSoIhvz9IDjj_yZi9r8CloAE-bcq3wXE_uj9D7TKcxgiy0frz4cRz9fLPSTRzgrP76HmPOnOZnV1OMLB7H9tBFK06tT1ZXwJT4FsefdU=w1200|https://lh3.googleusercontent.com/pw/AP1GczPZG78618MDLWuqrhPOZgPkW2fIdrO"&amp;"f_gs0kWmE5rii0-2PK0LG64PcBP2_SNEHAq54N1REpURbxjoiQwACoqdL6aQwlSR3DEZzfpS9ta7-5lSvHABs=w1200|https://lh3.googleusercontent.com/pw/AP1GczPc5Zyu7zsDdmpcb7kMgxW-CVBjZTiG2vPNDGpWrDWz-yrMSH5tPkco-XzqefbHyIzqVr5VIDdpFGtpmNS0ydo-MpvkS7YzIJHmTUmICOOH3rX96iiq=w1200"&amp;"|https://lh3.googleusercontent.com/pw/AP1GczMc1TLXROmZxe3DaJ18SzXbv3zBRMYrqN8kucKHl_J7fsc8r4IlmggdTpSMFCK73JDeXIUjZpVlcrN7uebN3opR_rQe6i_S2UEt1Pa2GW_U-g3OYAS0=w1200")</f>
        <v>https://lh3.googleusercontent.com/pw/AP1GczMq9sA9HlFtkmq0qL79ON8tc5oISB14IUW1TfDtomGg6nnXpQyM7pRwpW2WItbjOhgJ6lW1GJidxLkAH7WZ_dGdFShB87l5ejILWkC2JipPn41SsC4d=w1200|https://lh3.googleusercontent.com/pw/AP1GczNRC-6PCe-D44AW8OnGEDlfn3pCwAX-E_CN5sJAQr5QPaKS3q90yeHqDeyuoUTCuy5pq9p0RlHWHY8YRaTjZGq0bDaG3M5THsb9SNKWwm42rUtK0Acz=w1200|https://lh3.googleusercontent.com/pw/AP1GczNNNrDvWo7ZOrE0BnFJyqARBGFA_N1FvQKZR4NseuNpbZfFOLd5aM3viaP4H43UE8xqe2fSeht21n0P-eyqCDr8qgykbyFcGcKLtfI-iynAuaZFdwXC=w1200|https://lh3.googleusercontent.com/pw/AP1GczMTWlu5KIZwb4FgYEb--1cvPwzWxyRQUnpQtxpuKBk2V3E6KLGDUmQtmZadpQQ6nhf_BEgg3OZu5FF-Gsi3k5GzYGuEiEz3UPzV9eane9J2R3Mj97Mz=w1200|https://lh3.googleusercontent.com/pw/AP1GczMy19Y_W7nMlJGiRk_ye56QhoujDt5u7jjHiErqNgm-kPw_oHh7XxtnRmpD8BlQACseW4xcvjE8gxMsDC7j6U_pY49ByD8rljrT35G8SL96c3W-A-7K=w1200|https://lh3.googleusercontent.com/pw/AP1GczNEDRyRZLIiXp1NoLw86nO-4nooJeeop8PsBqwxE6Q0fTXtB-qjj5aSHqw_3HZc73-w-1H4sMLJQODOIV9j40ZgMrYL0aeDU5R-x6bNf_9rYZeLV8dV=w1200|https://lh3.googleusercontent.com/pw/AP1GczMsYeMAsKitP045CgBBiBHSH0eQaSL_y7fMX8n6f0735ysr1Ra95lv_3QHedm1v5LReOZ35mji7jkkqcvyiFLohrMWPX4mi-jk2bjKrgZPFBGUMwTbk=w1200|https://lh3.googleusercontent.com/pw/AP1GczMhsMzMHAy0ckFNBQHmbbhhhctiCEPQ03UQjTF331WU5eVeBzoUA8T4Px34k0NPqCHb-Jn-4E4Z6eYaTEqpd07dH7CDeCg-jpNMoB0Jv8rlwJDYD5Kc=w1200|https://lh3.googleusercontent.com/pw/AP1GczMZeVQDotin3TUqVZe-eoxsfIoDSYUr8uFM2XSlFb-sdR-2r7VXSTTAGaYzU6gym9CMj5fMNPEsm_yfgPb5aVuJQZ0tYvuhYNAH9T92e2raBHW50SsZ=w1200|https://lh3.googleusercontent.com/pw/AP1GczMx4zp-jjYo5UONoUhQ87YpOgwUK6ogAS6abvC20GGrnX52P6ZIvOkApOStDsDIK8xo_pcDNoauFRCfDwAfVWyJm7ndH9DAT7T04dgPKLYxto-8zXjQ=w1200|https://lh3.googleusercontent.com/pw/AP1GczNxvVtuG8NzIM6vKExNKbYY2-bNGrkDXV2hN9sm8BL7AK2zTTZpdt4ITt_XFxsGw0pwSD7PptdefHusf_PvnW8aUTZUprwYC6hsqV00UlaLEYrPeXLi=w1200|https://lh3.googleusercontent.com/pw/AP1GczOTHQIpO692gSoIhvz9IDjj_yZi9r8CloAE-bcq3wXE_uj9D7TKcxgiy0frz4cRz9fLPSTRzgrP76HmPOnOZnV1OMLB7H9tBFK06tT1ZXwJT4FsefdU=w1200|https://lh3.googleusercontent.com/pw/AP1GczPZG78618MDLWuqrhPOZgPkW2fIdrOf_gs0kWmE5rii0-2PK0LG64PcBP2_SNEHAq54N1REpURbxjoiQwACoqdL6aQwlSR3DEZzfpS9ta7-5lSvHABs=w1200|https://lh3.googleusercontent.com/pw/AP1GczPc5Zyu7zsDdmpcb7kMgxW-CVBjZTiG2vPNDGpWrDWz-yrMSH5tPkco-XzqefbHyIzqVr5VIDdpFGtpmNS0ydo-MpvkS7YzIJHmTUmICOOH3rX96iiq=w1200|https://lh3.googleusercontent.com/pw/AP1GczMc1TLXROmZxe3DaJ18SzXbv3zBRMYrqN8kucKHl_J7fsc8r4IlmggdTpSMFCK73JDeXIUjZpVlcrN7uebN3opR_rQe6i_S2UEt1Pa2GW_U-g3OYAS0=w1200</v>
      </c>
      <c r="AJ272" s="46"/>
      <c r="AK272" s="46"/>
      <c r="AL272" s="46"/>
      <c r="AM272" s="46"/>
      <c r="AN272" s="46"/>
      <c r="AO272" s="46"/>
      <c r="AP272" s="46"/>
      <c r="AQ272" s="46"/>
      <c r="AR272" s="46"/>
      <c r="AS272" s="46"/>
      <c r="AT272" s="46"/>
      <c r="AU272" s="46"/>
      <c r="AV272" s="46"/>
      <c r="AW272" s="46"/>
      <c r="AX272" s="46"/>
      <c r="AY272" s="46"/>
      <c r="AZ272" s="46"/>
      <c r="BA272" s="46"/>
      <c r="BB272" s="46"/>
      <c r="BC272" s="46"/>
      <c r="BD272" s="46"/>
      <c r="BE272" s="46"/>
      <c r="BF272" s="46"/>
      <c r="BG272" s="46"/>
      <c r="BH272" s="46"/>
      <c r="BI272" s="46"/>
      <c r="BJ272" s="46"/>
      <c r="BK272" s="46"/>
      <c r="BL272" s="46"/>
      <c r="BM272" s="46"/>
      <c r="BN272" s="46"/>
      <c r="BO272" s="46"/>
      <c r="BP272" s="46"/>
      <c r="BQ272" s="46"/>
      <c r="BR272" s="46"/>
      <c r="BS272" s="46"/>
      <c r="BT272" s="46"/>
      <c r="BU272" s="46"/>
      <c r="BV272" s="46"/>
      <c r="BW272" s="46"/>
      <c r="BX272" s="46"/>
      <c r="BY272" s="46"/>
      <c r="BZ272" s="46"/>
      <c r="CA272" s="46"/>
      <c r="CB272" s="46"/>
      <c r="CC272" s="46"/>
    </row>
    <row r="273">
      <c r="A273" s="87" t="str">
        <f>IFERROR(__xludf.DUMMYFUNCTION("""COMPUTED_VALUE"""),"350")</f>
        <v>350</v>
      </c>
      <c r="B273" s="46" t="str">
        <f>IFERROR(__xludf.DUMMYFUNCTION("""COMPUTED_VALUE"""),"Lote en barrio  El Jardín - Oriente")</f>
        <v>Lote en barrio  El Jardín - Oriente</v>
      </c>
      <c r="C273" s="46" t="str">
        <f>IFERROR(__xludf.DUMMYFUNCTION("""COMPUTED_VALUE"""),"Lote")</f>
        <v>Lote</v>
      </c>
      <c r="D273" s="90" t="str">
        <f>IFERROR(__xludf.DUMMYFUNCTION("""COMPUTED_VALUE"""),"El Jardín")</f>
        <v>El Jardín</v>
      </c>
      <c r="E273" s="46"/>
      <c r="F273" s="90">
        <f>IFERROR(__xludf.DUMMYFUNCTION("""COMPUTED_VALUE"""),7.0E8)</f>
        <v>700000000</v>
      </c>
      <c r="G273" s="46" t="str">
        <f>IFERROR(__xludf.DUMMYFUNCTION("""COMPUTED_VALUE"""),"$500'000.000 a $1.000'000.000")</f>
        <v>$500'000.000 a $1.000'000.000</v>
      </c>
      <c r="H273" s="46"/>
      <c r="I273" s="46"/>
      <c r="J273" s="46" t="str">
        <f>IFERROR(__xludf.DUMMYFUNCTION("""COMPUTED_VALUE"""),"Oriente")</f>
        <v>Oriente</v>
      </c>
      <c r="K273" s="87"/>
      <c r="L273" s="46">
        <f>IFERROR(__xludf.DUMMYFUNCTION("""COMPUTED_VALUE"""),0.0)</f>
        <v>0</v>
      </c>
      <c r="M273" s="46"/>
      <c r="N273" s="46">
        <f>IFERROR(__xludf.DUMMYFUNCTION("""COMPUTED_VALUE"""),0.0)</f>
        <v>0</v>
      </c>
      <c r="O273" s="46">
        <f>IFERROR(__xludf.DUMMYFUNCTION("""COMPUTED_VALUE"""),0.0)</f>
        <v>0</v>
      </c>
      <c r="P273" s="46">
        <f>IFERROR(__xludf.DUMMYFUNCTION("""COMPUTED_VALUE"""),0.0)</f>
        <v>0</v>
      </c>
      <c r="Q273" s="92"/>
      <c r="R273" s="92">
        <f>IFERROR(__xludf.DUMMYFUNCTION("""COMPUTED_VALUE"""),1000.0)</f>
        <v>1000</v>
      </c>
      <c r="S273" s="87" t="str">
        <f>IFERROR(__xludf.DUMMYFUNCTION("""COMPUTED_VALUE""")," ")</f>
        <v> </v>
      </c>
      <c r="T273" s="46" t="str">
        <f>IFERROR(__xludf.DUMMYFUNCTION("""COMPUTED_VALUE"""),"Neiva")</f>
        <v>Neiva</v>
      </c>
      <c r="U273" s="87"/>
      <c r="V273" s="46" t="str">
        <f>IFERROR(__xludf.DUMMYFUNCTION("""COMPUTED_VALUE"""),"Esquinera")</f>
        <v>Esquinera</v>
      </c>
      <c r="W273" s="46"/>
      <c r="X273" s="46">
        <f>IFERROR(__xludf.DUMMYFUNCTION("""COMPUTED_VALUE"""),0.0)</f>
        <v>0</v>
      </c>
      <c r="Y273" s="46" t="str">
        <f>IFERROR(__xludf.DUMMYFUNCTION("""COMPUTED_VALUE"""),"No tiene")</f>
        <v>No tiene</v>
      </c>
      <c r="Z273" s="90" t="str">
        <f>IFERROR(__xludf.DUMMYFUNCTION("""COMPUTED_VALUE"""),"No aplica")</f>
        <v>No aplica</v>
      </c>
      <c r="AA273" s="33" t="str">
        <f>IFERROR(__xludf.DUMMYFUNCTION("""COMPUTED_VALUE"""),"No aplica")</f>
        <v>No aplica</v>
      </c>
      <c r="AB273" s="144" t="str">
        <f>IFERROR(__xludf.DUMMYFUNCTION("""COMPUTED_VALUE"""),"https://photos.app.goo.gl/6NKeH8TTKk22kN8o9")</f>
        <v>https://photos.app.goo.gl/6NKeH8TTKk22kN8o9</v>
      </c>
      <c r="AC273" s="46" t="str">
        <f>IFERROR(__xludf.DUMMYFUNCTION("""COMPUTED_VALUE"""),"(Parqueadero) Medianero")</f>
        <v>(Parqueadero) Medianero</v>
      </c>
      <c r="AD273" s="46" t="str">
        <f>IFERROR(__xludf.DUMMYFUNCTION("""COMPUTED_VALUE"""),"Lote urbano esquinero, bien ubicado para parqueadero o construcción en altura. Escritura al día.")</f>
        <v>Lote urbano esquinero, bien ubicado para parqueadero o construcción en altura. Escritura al día.</v>
      </c>
      <c r="AE273" s="46"/>
      <c r="AF273" s="46" t="str">
        <f>IFERROR(__xludf.DUMMYFUNCTION("""COMPUTED_VALUE"""),"0")</f>
        <v>0</v>
      </c>
      <c r="AG273" s="46"/>
      <c r="AH273" s="46" t="str">
        <f>IFERROR(__xludf.DUMMYFUNCTION("""COMPUTED_VALUE"""),"Aliado")</f>
        <v>Aliado</v>
      </c>
      <c r="AI273" s="92" t="str">
        <f>IFERROR(__xludf.DUMMYFUNCTION("""COMPUTED_VALUE"""),"https://lh3.googleusercontent.com/pw/AP1GczNW3ChC4ZyHOFmw-oJNpCX3d_1ZhNF1xY6Sy7E4KY6krX65XIEvRj6mQH7zYuIG9MUDbF1iYC9BHN5aZvHKA-vXprfIlljFoKXxpM55c8nJFCCNNOOg=w1200|https://lh3.googleusercontent.com/pw/AP1GczNLUf8w0GlkEqjNaPiLZGMieaHz29iRNVN1E0S0RmjNmruFnA"&amp;"9oe_ak6KqK8F_rNqa6ugGcLFKgAeCOXTBIVZzIdFfBxrxnYG6xzmD3HuN70IdoM5Oj=w1200|https://lh3.googleusercontent.com/pw/AP1GczN0MaDnL2x-V-Th8oQ25131SGl7hFGsK859TZFUdjTyFLhM2s-eGiMAlfF46GhcdDR18VQQLpatvvSCot6q2rEqSt6QT8MgQgjlggf-srqYXXIWguLw=w1200|https://lh3.google"&amp;"usercontent.com/pw/AP1GczOkK4bShRRKvO_7LTzDfdeD5W6uj3yVIIHfoCvLXF-YHuxbAs6ZegyXLAuGjwi_eBsyr6lnvSduIAFXYqrLDPi_3fpZonGocu2LUEjF6CmoBFZ7O7fZ=w1200|https://lh3.googleusercontent.com/pw/AP1GczPLc3m7C9MMWiXwzRY8-u4uSjMaF83nlvJi6vddNbN97TAyDOf8drGMAHZH1nYjd9ea"&amp;"n4N5Wt3VoM_WwwOvpM6AWgsU0mOeIpUaCZJumX0aVVpA85-R=w1200|https://lh3.googleusercontent.com/pw/AP1GczPQOjv_-LEZY9epE0moE-h623MxwVsA6G-SnByf5_OVt9j9epJNstd39_UuyDurRemIkfyP-1UkBeEfDRcOnZYoKVGY2ahVU0how_6pUSFNvxOJxQpQ=w1200|https://lh3.googleusercontent.com/pw"&amp;"/AP1GczOn9Y7g1YB4LzzTMiSOzUn8Jq2Our-GjTb8IkDZkhf7MKYfXWJ1CnRXqWbnV1a-WOUL77EhXKDk-oQyIrByPN1AQkzu_tlr1CAovv9Iiay_HI0lcRGi=w1200|https://lh3.googleusercontent.com/pw/AP1GczOXCGR38-5nrqPIirVt-qyjKxaoegDgzh0k8oAh4BN4hjiMwFCRw1oi3gOfyjUDoH7dcLp3HtJuRrEHFLhXw1"&amp;"czw-NEYB-Gw9z8z9hCMQ88-UZvedav=w1200|https://lh3.googleusercontent.com/pw/AP1GczO5AmHuQyfAkW-S6-c6uMdUmU9vctDsG6keH_9OED4HvAujbZD2fZx0wzs8qjPbxVoI5yodURjOzLDXGewn4wS9H71i4E_UhzoLH0Fjq7qNY4Uoy4Um=w1200|https://lh3.googleusercontent.com/pw/AP1GczN7nHuI0G-Vs"&amp;"Q7EtKooIr0ZleEoB802nT6vdX5yy9jdenhh75eRjUptCkU0dtacd2w3oO1agk_-pFUx-8TEAj3OTZoUdJn93c2RuN82QJM3XjNUu736=w1200|https://lh3.googleusercontent.com/pw/AP1GczOjLFF96JNR1TfeOFH0KR6qRYKqpcNYNkKL9Jd9Lgqub8cTjY5Dsdy0fBblagdrrsQz5xw8UOTiGGFYXwVBFPtDU70z4eoK3YEMLd6k"&amp;"cnlu_MdQvy83=w1200")</f>
        <v>https://lh3.googleusercontent.com/pw/AP1GczNW3ChC4ZyHOFmw-oJNpCX3d_1ZhNF1xY6Sy7E4KY6krX65XIEvRj6mQH7zYuIG9MUDbF1iYC9BHN5aZvHKA-vXprfIlljFoKXxpM55c8nJFCCNNOOg=w1200|https://lh3.googleusercontent.com/pw/AP1GczNLUf8w0GlkEqjNaPiLZGMieaHz29iRNVN1E0S0RmjNmruFnA9oe_ak6KqK8F_rNqa6ugGcLFKgAeCOXTBIVZzIdFfBxrxnYG6xzmD3HuN70IdoM5Oj=w1200|https://lh3.googleusercontent.com/pw/AP1GczN0MaDnL2x-V-Th8oQ25131SGl7hFGsK859TZFUdjTyFLhM2s-eGiMAlfF46GhcdDR18VQQLpatvvSCot6q2rEqSt6QT8MgQgjlggf-srqYXXIWguLw=w1200|https://lh3.googleusercontent.com/pw/AP1GczOkK4bShRRKvO_7LTzDfdeD5W6uj3yVIIHfoCvLXF-YHuxbAs6ZegyXLAuGjwi_eBsyr6lnvSduIAFXYqrLDPi_3fpZonGocu2LUEjF6CmoBFZ7O7fZ=w1200|https://lh3.googleusercontent.com/pw/AP1GczPLc3m7C9MMWiXwzRY8-u4uSjMaF83nlvJi6vddNbN97TAyDOf8drGMAHZH1nYjd9ean4N5Wt3VoM_WwwOvpM6AWgsU0mOeIpUaCZJumX0aVVpA85-R=w1200|https://lh3.googleusercontent.com/pw/AP1GczPQOjv_-LEZY9epE0moE-h623MxwVsA6G-SnByf5_OVt9j9epJNstd39_UuyDurRemIkfyP-1UkBeEfDRcOnZYoKVGY2ahVU0how_6pUSFNvxOJxQpQ=w1200|https://lh3.googleusercontent.com/pw/AP1GczOn9Y7g1YB4LzzTMiSOzUn8Jq2Our-GjTb8IkDZkhf7MKYfXWJ1CnRXqWbnV1a-WOUL77EhXKDk-oQyIrByPN1AQkzu_tlr1CAovv9Iiay_HI0lcRGi=w1200|https://lh3.googleusercontent.com/pw/AP1GczOXCGR38-5nrqPIirVt-qyjKxaoegDgzh0k8oAh4BN4hjiMwFCRw1oi3gOfyjUDoH7dcLp3HtJuRrEHFLhXw1czw-NEYB-Gw9z8z9hCMQ88-UZvedav=w1200|https://lh3.googleusercontent.com/pw/AP1GczO5AmHuQyfAkW-S6-c6uMdUmU9vctDsG6keH_9OED4HvAujbZD2fZx0wzs8qjPbxVoI5yodURjOzLDXGewn4wS9H71i4E_UhzoLH0Fjq7qNY4Uoy4Um=w1200|https://lh3.googleusercontent.com/pw/AP1GczN7nHuI0G-VsQ7EtKooIr0ZleEoB802nT6vdX5yy9jdenhh75eRjUptCkU0dtacd2w3oO1agk_-pFUx-8TEAj3OTZoUdJn93c2RuN82QJM3XjNUu736=w1200|https://lh3.googleusercontent.com/pw/AP1GczOjLFF96JNR1TfeOFH0KR6qRYKqpcNYNkKL9Jd9Lgqub8cTjY5Dsdy0fBblagdrrsQz5xw8UOTiGGFYXwVBFPtDU70z4eoK3YEMLd6kcnlu_MdQvy83=w1200</v>
      </c>
      <c r="AJ273" s="46"/>
      <c r="AK273" s="46"/>
      <c r="AL273" s="46"/>
      <c r="AM273" s="46"/>
      <c r="AN273" s="46"/>
      <c r="AO273" s="46"/>
      <c r="AP273" s="46"/>
      <c r="AQ273" s="46"/>
      <c r="AR273" s="46"/>
      <c r="AS273" s="46"/>
      <c r="AT273" s="46"/>
      <c r="AU273" s="46"/>
      <c r="AV273" s="46"/>
      <c r="AW273" s="46"/>
      <c r="AX273" s="46"/>
      <c r="AY273" s="46"/>
      <c r="AZ273" s="46"/>
      <c r="BA273" s="46"/>
      <c r="BB273" s="46"/>
      <c r="BC273" s="46"/>
      <c r="BD273" s="46"/>
      <c r="BE273" s="46"/>
      <c r="BF273" s="46"/>
      <c r="BG273" s="46"/>
      <c r="BH273" s="46"/>
      <c r="BI273" s="46"/>
      <c r="BJ273" s="46"/>
      <c r="BK273" s="46"/>
      <c r="BL273" s="46"/>
      <c r="BM273" s="46"/>
      <c r="BN273" s="46"/>
      <c r="BO273" s="46"/>
      <c r="BP273" s="46"/>
      <c r="BQ273" s="46"/>
      <c r="BR273" s="46"/>
      <c r="BS273" s="46"/>
      <c r="BT273" s="46"/>
      <c r="BU273" s="46"/>
      <c r="BV273" s="46"/>
      <c r="BW273" s="46"/>
      <c r="BX273" s="46"/>
      <c r="BY273" s="46"/>
      <c r="BZ273" s="46"/>
      <c r="CA273" s="46"/>
      <c r="CB273" s="46"/>
      <c r="CC273" s="46"/>
    </row>
    <row r="274">
      <c r="A274" s="87" t="str">
        <f>IFERROR(__xludf.DUMMYFUNCTION("""COMPUTED_VALUE"""),"911")</f>
        <v>911</v>
      </c>
      <c r="B274" s="46" t="str">
        <f>IFERROR(__xludf.DUMMYFUNCTION("""COMPUTED_VALUE"""),"Lote - Oriente")</f>
        <v>Lote - Oriente</v>
      </c>
      <c r="C274" s="46" t="str">
        <f>IFERROR(__xludf.DUMMYFUNCTION("""COMPUTED_VALUE"""),"Lote")</f>
        <v>Lote</v>
      </c>
      <c r="D274" s="46"/>
      <c r="E274" s="46"/>
      <c r="F274" s="90">
        <f>IFERROR(__xludf.DUMMYFUNCTION("""COMPUTED_VALUE"""),8.0E8)</f>
        <v>800000000</v>
      </c>
      <c r="G274" s="46" t="str">
        <f>IFERROR(__xludf.DUMMYFUNCTION("""COMPUTED_VALUE"""),"$500'000.000 a $1.000'000.000")</f>
        <v>$500'000.000 a $1.000'000.000</v>
      </c>
      <c r="H274" s="46"/>
      <c r="I274" s="46"/>
      <c r="J274" s="46" t="str">
        <f>IFERROR(__xludf.DUMMYFUNCTION("""COMPUTED_VALUE"""),"Oriente")</f>
        <v>Oriente</v>
      </c>
      <c r="K274" s="87"/>
      <c r="L274" s="46">
        <f>IFERROR(__xludf.DUMMYFUNCTION("""COMPUTED_VALUE"""),0.0)</f>
        <v>0</v>
      </c>
      <c r="M274" s="46"/>
      <c r="N274" s="46">
        <f>IFERROR(__xludf.DUMMYFUNCTION("""COMPUTED_VALUE"""),0.0)</f>
        <v>0</v>
      </c>
      <c r="O274" s="46">
        <f>IFERROR(__xludf.DUMMYFUNCTION("""COMPUTED_VALUE"""),0.0)</f>
        <v>0</v>
      </c>
      <c r="P274" s="46">
        <f>IFERROR(__xludf.DUMMYFUNCTION("""COMPUTED_VALUE"""),0.0)</f>
        <v>0</v>
      </c>
      <c r="Q274" s="92">
        <f>IFERROR(__xludf.DUMMYFUNCTION("""COMPUTED_VALUE"""),0.0)</f>
        <v>0</v>
      </c>
      <c r="R274" s="92">
        <f>IFERROR(__xludf.DUMMYFUNCTION("""COMPUTED_VALUE"""),1944.0)</f>
        <v>1944</v>
      </c>
      <c r="S274" s="87" t="str">
        <f>IFERROR(__xludf.DUMMYFUNCTION("""COMPUTED_VALUE""")," ")</f>
        <v> </v>
      </c>
      <c r="T274" s="46" t="str">
        <f>IFERROR(__xludf.DUMMYFUNCTION("""COMPUTED_VALUE"""),"Neiva")</f>
        <v>Neiva</v>
      </c>
      <c r="U274" s="87"/>
      <c r="V274" s="46"/>
      <c r="W274" s="46"/>
      <c r="X274" s="46">
        <f>IFERROR(__xludf.DUMMYFUNCTION("""COMPUTED_VALUE"""),0.0)</f>
        <v>0</v>
      </c>
      <c r="Y274" s="46" t="str">
        <f>IFERROR(__xludf.DUMMYFUNCTION("""COMPUTED_VALUE"""),"No tiene")</f>
        <v>No tiene</v>
      </c>
      <c r="Z274" s="90" t="str">
        <f>IFERROR(__xludf.DUMMYFUNCTION("""COMPUTED_VALUE"""),"No aplica")</f>
        <v>No aplica</v>
      </c>
      <c r="AA274" s="33" t="str">
        <f>IFERROR(__xludf.DUMMYFUNCTION("""COMPUTED_VALUE"""),"No aplica")</f>
        <v>No aplica</v>
      </c>
      <c r="AB274" s="96" t="str">
        <f>IFERROR(__xludf.DUMMYFUNCTION("""COMPUTED_VALUE"""),"https://photos.app.goo.gl/rdksmWSBeyDJnLpU8")</f>
        <v>https://photos.app.goo.gl/rdksmWSBeyDJnLpU8</v>
      </c>
      <c r="AC274" s="46" t="str">
        <f>IFERROR(__xludf.DUMMYFUNCTION("""COMPUTED_VALUE"""),"Lote de terreno en venta y no de una vivienda edificada, por lo cual no cuenta con una distribución interna de habitaciones, baños, pisos o muebles. Este inmueble corresponde a un lote completamente plano listo para construir, el cual cuenta con una gener"&amp;"osa extensión de área de 1.944 metros cuadrados en el municipio de Neiva. Al ser un terreno limpio y sin edificaciones previas, ofrece un lienzo en blanco con las dimensiones óptimas para la estructuración y desarrollo libre de proyectos de tipo residenci"&amp;"al, campestre o cualquier modelo de inversión que planee ejecutar desde cero.")</f>
        <v>Lote de terreno en venta y no de una vivienda edificada, por lo cual no cuenta con una distribución interna de habitaciones, baños, pisos o muebles. Este inmueble corresponde a un lote completamente plano listo para construir, el cual cuenta con una generosa extensión de área de 1.944 metros cuadrados en el municipio de Neiva. Al ser un terreno limpio y sin edificaciones previas, ofrece un lienzo en blanco con las dimensiones óptimas para la estructuración y desarrollo libre de proyectos de tipo residencial, campestre o cualquier modelo de inversión que planee ejecutar desde cero.</v>
      </c>
      <c r="AD274" s="46" t="str">
        <f>IFERROR(__xludf.DUMMYFUNCTION("""COMPUTED_VALUE"""),"Este terreno representa una magnífica oportunidad de inversión al encontrarse estratégicamente ubicado sobre una vía principal en el oriente de Neiva, una de las zonas más exclusivas, seguras y de mayor desarrollo y proyección de crecimiento urbanístico e"&amp;"n la ciudad. Su topografía totalmente plana facilita cualquier tipo de obra inmediata y se sitúa a tan solo 100 metros del Condominio Hacienda Mayor, garantizando un entorno de alta valorización. Es el espacio ideal con fácil acceso y un potencial comerci"&amp;"al inigualable para quienes buscan asegurar su capital en un sector tranquilo, cotizado y con un futuro urbanístico garantizado.")</f>
        <v>Este terreno representa una magnífica oportunidad de inversión al encontrarse estratégicamente ubicado sobre una vía principal en el oriente de Neiva, una de las zonas más exclusivas, seguras y de mayor desarrollo y proyección de crecimiento urbanístico en la ciudad. Su topografía totalmente plana facilita cualquier tipo de obra inmediata y se sitúa a tan solo 100 metros del Condominio Hacienda Mayor, garantizando un entorno de alta valorización. Es el espacio ideal con fácil acceso y un potencial comercial inigualable para quienes buscan asegurar su capital en un sector tranquilo, cotizado y con un futuro urbanístico garantizado.</v>
      </c>
      <c r="AE274" s="46"/>
      <c r="AF274" s="46">
        <f>IFERROR(__xludf.DUMMYFUNCTION("""COMPUTED_VALUE"""),0.0)</f>
        <v>0</v>
      </c>
      <c r="AG274" s="46"/>
      <c r="AH274" s="46" t="str">
        <f>IFERROR(__xludf.DUMMYFUNCTION("""COMPUTED_VALUE"""),"Aliado")</f>
        <v>Aliado</v>
      </c>
      <c r="AI274" s="92" t="str">
        <f>IFERROR(__xludf.DUMMYFUNCTION("""COMPUTED_VALUE"""),"https://lh3.googleusercontent.com/pw/AP1GczPsesxBsK0CcC0yczACtv6TRhkS8mTnDm1IdZEEHmPaQwWL-RgCAuaMbky0kmTVvIYRRf1ScQ_2xOAAkNMspB8UdCXZbCxGMYinfpB0LlvajaGqQtVD=w1200|https://lh3.googleusercontent.com/pw/AP1GczMtosqg6IwjjT1-YhR_aGBUrd94M9YgGoL219QlizQUXb1We_"&amp;"7pYwx1QzrN6zaNE2aG0J6_eMzmw_8ieYbmIejSvGQ9LoYdzy7Y6FTPWumZXBiZUbAA=w1200")</f>
        <v>https://lh3.googleusercontent.com/pw/AP1GczPsesxBsK0CcC0yczACtv6TRhkS8mTnDm1IdZEEHmPaQwWL-RgCAuaMbky0kmTVvIYRRf1ScQ_2xOAAkNMspB8UdCXZbCxGMYinfpB0LlvajaGqQtVD=w1200|https://lh3.googleusercontent.com/pw/AP1GczMtosqg6IwjjT1-YhR_aGBUrd94M9YgGoL219QlizQUXb1We_7pYwx1QzrN6zaNE2aG0J6_eMzmw_8ieYbmIejSvGQ9LoYdzy7Y6FTPWumZXBiZUbAA=w1200</v>
      </c>
      <c r="AJ274" s="46"/>
      <c r="AK274" s="46"/>
      <c r="AL274" s="46"/>
      <c r="AM274" s="46"/>
      <c r="AN274" s="46"/>
      <c r="AO274" s="46"/>
      <c r="AP274" s="46"/>
      <c r="AQ274" s="46"/>
      <c r="AR274" s="46"/>
      <c r="AS274" s="46"/>
      <c r="AT274" s="46"/>
      <c r="AU274" s="46"/>
      <c r="AV274" s="46"/>
      <c r="AW274" s="46"/>
      <c r="AX274" s="46"/>
      <c r="AY274" s="46"/>
      <c r="AZ274" s="46"/>
      <c r="BA274" s="46"/>
      <c r="BB274" s="46"/>
      <c r="BC274" s="46"/>
      <c r="BD274" s="46"/>
      <c r="BE274" s="46"/>
      <c r="BF274" s="46"/>
      <c r="BG274" s="46"/>
      <c r="BH274" s="46"/>
      <c r="BI274" s="46"/>
      <c r="BJ274" s="46"/>
      <c r="BK274" s="46"/>
      <c r="BL274" s="46"/>
      <c r="BM274" s="46"/>
      <c r="BN274" s="46"/>
      <c r="BO274" s="46"/>
      <c r="BP274" s="46"/>
      <c r="BQ274" s="46"/>
      <c r="BR274" s="46"/>
      <c r="BS274" s="46"/>
      <c r="BT274" s="46"/>
      <c r="BU274" s="46"/>
      <c r="BV274" s="46"/>
      <c r="BW274" s="46"/>
      <c r="BX274" s="46"/>
      <c r="BY274" s="46"/>
      <c r="BZ274" s="46"/>
      <c r="CA274" s="46"/>
      <c r="CB274" s="46"/>
      <c r="CC274" s="46"/>
    </row>
    <row r="275">
      <c r="A275" s="87" t="str">
        <f>IFERROR(__xludf.DUMMYFUNCTION("""COMPUTED_VALUE"""),"307")</f>
        <v>307</v>
      </c>
      <c r="B275" s="46" t="str">
        <f>IFERROR(__xludf.DUMMYFUNCTION("""COMPUTED_VALUE"""),"Casa en conjunto Condominio Santorini II - Oriente")</f>
        <v>Casa en conjunto Condominio Santorini II - Oriente</v>
      </c>
      <c r="C275" s="46" t="str">
        <f>IFERROR(__xludf.DUMMYFUNCTION("""COMPUTED_VALUE"""),"Casa en conjunto")</f>
        <v>Casa en conjunto</v>
      </c>
      <c r="D275" s="46"/>
      <c r="E275" s="46" t="str">
        <f>IFERROR(__xludf.DUMMYFUNCTION("""COMPUTED_VALUE"""),"Condominio Santorini II")</f>
        <v>Condominio Santorini II</v>
      </c>
      <c r="F275" s="90">
        <f>IFERROR(__xludf.DUMMYFUNCTION("""COMPUTED_VALUE"""),7.8E8)</f>
        <v>780000000</v>
      </c>
      <c r="G275" s="46" t="str">
        <f>IFERROR(__xludf.DUMMYFUNCTION("""COMPUTED_VALUE"""),"$500'000.000 a $1.000'000.000")</f>
        <v>$500'000.000 a $1.000'000.000</v>
      </c>
      <c r="H275" s="46"/>
      <c r="I275" s="46"/>
      <c r="J275" s="46" t="str">
        <f>IFERROR(__xludf.DUMMYFUNCTION("""COMPUTED_VALUE"""),"Oriente")</f>
        <v>Oriente</v>
      </c>
      <c r="K275" s="87"/>
      <c r="L275" s="46">
        <f>IFERROR(__xludf.DUMMYFUNCTION("""COMPUTED_VALUE"""),3.0)</f>
        <v>3</v>
      </c>
      <c r="M275" s="46"/>
      <c r="N275" s="46">
        <f>IFERROR(__xludf.DUMMYFUNCTION("""COMPUTED_VALUE"""),3.0)</f>
        <v>3</v>
      </c>
      <c r="O275" s="46">
        <f>IFERROR(__xludf.DUMMYFUNCTION("""COMPUTED_VALUE"""),2.0)</f>
        <v>2</v>
      </c>
      <c r="P275" s="46">
        <f>IFERROR(__xludf.DUMMYFUNCTION("""COMPUTED_VALUE"""),2.0)</f>
        <v>2</v>
      </c>
      <c r="Q275" s="92">
        <f>IFERROR(__xludf.DUMMYFUNCTION("""COMPUTED_VALUE"""),155.0)</f>
        <v>155</v>
      </c>
      <c r="R275" s="92">
        <f>IFERROR(__xludf.DUMMYFUNCTION("""COMPUTED_VALUE"""),0.0)</f>
        <v>0</v>
      </c>
      <c r="S275" s="87" t="str">
        <f>IFERROR(__xludf.DUMMYFUNCTION("""COMPUTED_VALUE""")," ")</f>
        <v> </v>
      </c>
      <c r="T275" s="46" t="str">
        <f>IFERROR(__xludf.DUMMYFUNCTION("""COMPUTED_VALUE"""),"Neiva")</f>
        <v>Neiva</v>
      </c>
      <c r="U275" s="87" t="str">
        <f>IFERROR(__xludf.DUMMYFUNCTION("""COMPUTED_VALUE"""),"5")</f>
        <v>5</v>
      </c>
      <c r="V275" s="46" t="str">
        <f>IFERROR(__xludf.DUMMYFUNCTION("""COMPUTED_VALUE"""),"Esquinera")</f>
        <v>Esquinera</v>
      </c>
      <c r="W275" s="46"/>
      <c r="X275" s="46">
        <f>IFERROR(__xludf.DUMMYFUNCTION("""COMPUTED_VALUE"""),3.0)</f>
        <v>3</v>
      </c>
      <c r="Y275" s="46" t="str">
        <f>IFERROR(__xludf.DUMMYFUNCTION("""COMPUTED_VALUE"""),"Social")</f>
        <v>Social</v>
      </c>
      <c r="Z275" s="90">
        <f>IFERROR(__xludf.DUMMYFUNCTION("""COMPUTED_VALUE"""),520000.0)</f>
        <v>520000</v>
      </c>
      <c r="AA275" s="33" t="str">
        <f>IFERROR(__xludf.DUMMYFUNCTION("""COMPUTED_VALUE"""),"No aplica")</f>
        <v>No aplica</v>
      </c>
      <c r="AB275" s="96" t="str">
        <f>IFERROR(__xludf.DUMMYFUNCTION("""COMPUTED_VALUE"""),"https://photos.app.goo.gl/uuVkryXVQGR9ZpfD6")</f>
        <v>https://photos.app.goo.gl/uuVkryXVQGR9ZpfD6</v>
      </c>
      <c r="AC275" s="46" t="str">
        <f>IFERROR(__xludf.DUMMYFUNCTION("""COMPUTED_VALUE"""),"Esta imponente casa esquinera de dos pisos y estrato 5 cuenta con un área de terreno de 152 $Mt^2$ y un área edificada aproximada de 154 $Mt^2$. La planta baja destaca por sus pisos cerámicos de gran formato en tono gris claro, muros impecables en blanco "&amp;"con paredes decorativas texturizadas y una moderna cocina integral de concepto abierto. Este espacio culinario está equipado con refinados muebles modulares superiores e inferiores en tono gris oscuro veteado, mesones y una espectacular barra tipo isla en"&amp;" cuarzo blanco calacatta, estufa empotrada, campana extractora y una elegante lámpara colgante de diseño geométrico. El primer nivel distribuye una sala y comedor independientes, un estudio o sala de TV, un baño social, un área de lavadero con instalación"&amp;" para lavadora, un garaje espacioso con capacidad para 2 vehículos y una amplia zona verde. En el segundo piso se disponen 3 cómodas alcobas y 3 baños en total en la propiedad; incluye dos habitaciones auxiliares con clósets en madera que comparten un bañ"&amp;"o social completo, y una majestuosa habitación principal dotada con aire acondicionado, vestier, baño privado y acceso directo mediante ventanal corredizo a un amplio balcón exterior con vista panorámica.")</f>
        <v>Esta imponente casa esquinera de dos pisos y estrato 5 cuenta con un área de terreno de 152 $Mt^2$ y un área edificada aproximada de 154 $Mt^2$. La planta baja destaca por sus pisos cerámicos de gran formato en tono gris claro, muros impecables en blanco con paredes decorativas texturizadas y una moderna cocina integral de concepto abierto. Este espacio culinario está equipado con refinados muebles modulares superiores e inferiores en tono gris oscuro veteado, mesones y una espectacular barra tipo isla en cuarzo blanco calacatta, estufa empotrada, campana extractora y una elegante lámpara colgante de diseño geométrico. El primer nivel distribuye una sala y comedor independientes, un estudio o sala de TV, un baño social, un área de lavadero con instalación para lavadora, un garaje espacioso con capacidad para 2 vehículos y una amplia zona verde. En el segundo piso se disponen 3 cómodas alcobas y 3 baños en total en la propiedad; incluye dos habitaciones auxiliares con clósets en madera que comparten un baño social completo, y una majestuosa habitación principal dotada con aire acondicionado, vestier, baño privado y acceso directo mediante ventanal corredizo a un amplio balcón exterior con vista panorámica.</v>
      </c>
      <c r="AD275" s="46" t="str">
        <f>IFERROR(__xludf.DUMMYFUNCTION("""COMPUTED_VALUE"""),"Ubicada estratégicamente en la zona de mayor prestigio y desarrollo del Oriente de Neiva, esta magnífica propiedad esquinera en el exclusivo condominio Santorini II representa la combinación perfecta de lujo, seguridad y confort para su familia. Su diseño"&amp;" esquinero no solo le otorga una fachada imponente y mayor privacidad, sino que garantiza una iluminación y ventilación natural privilegiadas en cada uno de sus rincones. El condominio ofrece un entorno residencial sumamente tranquilo y seguro, ideal para"&amp;" quienes buscan un estilo de vida apacible sin alejarse de las comodidades urbanas de la ciudad. Con acabados de altísima calidad listos para disfrutar —como sus espectaculares mesones de cuarzo y el sistema de climatización instalado—, esta casa es una o"&amp;"portunidad excepcional de inversión inmediata que asegura una alta valorización y el bienestar absoluto desde el primer día.")</f>
        <v>Ubicada estratégicamente en la zona de mayor prestigio y desarrollo del Oriente de Neiva, esta magnífica propiedad esquinera en el exclusivo condominio Santorini II representa la combinación perfecta de lujo, seguridad y confort para su familia. Su diseño esquinero no solo le otorga una fachada imponente y mayor privacidad, sino que garantiza una iluminación y ventilación natural privilegiadas en cada uno de sus rincones. El condominio ofrece un entorno residencial sumamente tranquilo y seguro, ideal para quienes buscan un estilo de vida apacible sin alejarse de las comodidades urbanas de la ciudad. Con acabados de altísima calidad listos para disfrutar —como sus espectaculares mesones de cuarzo y el sistema de climatización instalado—, esta casa es una oportunidad excepcional de inversión inmediata que asegura una alta valorización y el bienestar absoluto desde el primer día.</v>
      </c>
      <c r="AE275" s="46"/>
      <c r="AF275" s="46" t="str">
        <f>IFERROR(__xludf.DUMMYFUNCTION("""COMPUTED_VALUE"""),"integral")</f>
        <v>integral</v>
      </c>
      <c r="AG275" s="46"/>
      <c r="AH275" s="46" t="str">
        <f>IFERROR(__xludf.DUMMYFUNCTION("""COMPUTED_VALUE"""),"Aliado")</f>
        <v>Aliado</v>
      </c>
      <c r="AI275" s="92" t="str">
        <f>IFERROR(__xludf.DUMMYFUNCTION("""COMPUTED_VALUE"""),"https://lh3.googleusercontent.com/pw/AP1GczM7DxcpHbO_qf4RArdZYffWCL0QCvd5PZD8Vel5iIc3fnOg-ZcXRIn95VKsx5IbL4Gv5PZR1HvOxJdjyHO7X6JWPYDOr96JiOz9hKv7tDwnCpiMs6Dh=w1200|https://lh3.googleusercontent.com/pw/AP1GczMNoJOK_3k0j1J_iAiK5jqUTRsLr8arCc98NCgAmGBgYiX_70"&amp;"tmdGSgdbUu6p-fXSEOnlRPFPYX3CDPQYLm6xzpcpOsw_kZ231F3BypAxcjvqExyUvI=w1200|https://lh3.googleusercontent.com/pw/AP1GczPIvfvwuuaE5TXV5Sd8fvmtq5yXlmUeA6OjKbbeAko9UF6ypapltTzdCLgqtkXn32pWnr9jniQ4lpOqGJyYOaESqALBnvfijYkzPdsNUpW70F3LPpmc=w1200|https://lh3.google"&amp;"usercontent.com/pw/AP1GczMaK-0dOSWYRr_BXyhAoWGe4t1JKsG6Khdqem94_YuT-MPWsNQjO4gTj4S2b4VFRg6XqO8gVgUcAGysGamHhSPpG49wpoiOLKxgGmT8I3ApqurmMY68=w1200|https://lh3.googleusercontent.com/pw/AP1GczOsHYE7i7DrOyvLF7NODmw35ukjHZlnxWwKJahj6gGjeE3BxIuZIfJTyK6PfZz93X77"&amp;"RlgaDCIEmuZTBEQiYpVQ8GPRzeUmudKH9KDFP0A6r6vIJoc8=w1200|https://lh3.googleusercontent.com/pw/AP1GczPbA0XR68HHtxuxy8dThN0ozeTbnfUxvI9EpF6CqoIsXAN2VtqZIz3h-Yv6D6RdtIrfHwps-CP1j66K0cl0Z6PEV1imSCzXWg6ZQPTcsF9Y7_OdCja_=w1200|https://lh3.googleusercontent.com/pw"&amp;"/AP1GczNLgAGyQVC5l5MQVCZOVCUyh0gLpcKOS83q1fCrd3KBV1f6TsM416i4IK8f2wtJCnQibw70jmrXnVhdDW6Vrfjk9JR2x5DtBID2_WdmBBa_4d9vpIwu=w1200|https://lh3.googleusercontent.com/pw/AP1GczO4FiXdUqr3imW1flz3VYxsqMKb1oF6nDBBkj86KrOXRZfIYWZScBpdkgju-BJtNVWovh7UE8Yaq73FEqqZ0l"&amp;"aTmPV56vu4zdWJMafE_ehb2sB-V0ZD=w1200|https://lh3.googleusercontent.com/pw/AP1GczPmykQLzlwYdUZhl-9JD4gW62rFJRdcX8cNEPn1RNJJYgLQdpDKVi5QcL2ygOMuBXpr3zLSfH3k-g4uV6x2n8_mAtTNcaKLtjJgqz4X8MUcPb6kFiUm=w1200|https://lh3.googleusercontent.com/pw/AP1GczNj5frgiFVI0"&amp;"G9JShwiUBMUrAlfiQaMXIn8IzgXffNbXKz1n1HKO4MLKAJQTUArHrOemtpxeWERjJO6hVp0lDyjLeV717pBePfL9Fw_2maydqJQHNyY=w1200")</f>
        <v>https://lh3.googleusercontent.com/pw/AP1GczM7DxcpHbO_qf4RArdZYffWCL0QCvd5PZD8Vel5iIc3fnOg-ZcXRIn95VKsx5IbL4Gv5PZR1HvOxJdjyHO7X6JWPYDOr96JiOz9hKv7tDwnCpiMs6Dh=w1200|https://lh3.googleusercontent.com/pw/AP1GczMNoJOK_3k0j1J_iAiK5jqUTRsLr8arCc98NCgAmGBgYiX_70tmdGSgdbUu6p-fXSEOnlRPFPYX3CDPQYLm6xzpcpOsw_kZ231F3BypAxcjvqExyUvI=w1200|https://lh3.googleusercontent.com/pw/AP1GczPIvfvwuuaE5TXV5Sd8fvmtq5yXlmUeA6OjKbbeAko9UF6ypapltTzdCLgqtkXn32pWnr9jniQ4lpOqGJyYOaESqALBnvfijYkzPdsNUpW70F3LPpmc=w1200|https://lh3.googleusercontent.com/pw/AP1GczMaK-0dOSWYRr_BXyhAoWGe4t1JKsG6Khdqem94_YuT-MPWsNQjO4gTj4S2b4VFRg6XqO8gVgUcAGysGamHhSPpG49wpoiOLKxgGmT8I3ApqurmMY68=w1200|https://lh3.googleusercontent.com/pw/AP1GczOsHYE7i7DrOyvLF7NODmw35ukjHZlnxWwKJahj6gGjeE3BxIuZIfJTyK6PfZz93X77RlgaDCIEmuZTBEQiYpVQ8GPRzeUmudKH9KDFP0A6r6vIJoc8=w1200|https://lh3.googleusercontent.com/pw/AP1GczPbA0XR68HHtxuxy8dThN0ozeTbnfUxvI9EpF6CqoIsXAN2VtqZIz3h-Yv6D6RdtIrfHwps-CP1j66K0cl0Z6PEV1imSCzXWg6ZQPTcsF9Y7_OdCja_=w1200|https://lh3.googleusercontent.com/pw/AP1GczNLgAGyQVC5l5MQVCZOVCUyh0gLpcKOS83q1fCrd3KBV1f6TsM416i4IK8f2wtJCnQibw70jmrXnVhdDW6Vrfjk9JR2x5DtBID2_WdmBBa_4d9vpIwu=w1200|https://lh3.googleusercontent.com/pw/AP1GczO4FiXdUqr3imW1flz3VYxsqMKb1oF6nDBBkj86KrOXRZfIYWZScBpdkgju-BJtNVWovh7UE8Yaq73FEqqZ0laTmPV56vu4zdWJMafE_ehb2sB-V0ZD=w1200|https://lh3.googleusercontent.com/pw/AP1GczPmykQLzlwYdUZhl-9JD4gW62rFJRdcX8cNEPn1RNJJYgLQdpDKVi5QcL2ygOMuBXpr3zLSfH3k-g4uV6x2n8_mAtTNcaKLtjJgqz4X8MUcPb6kFiUm=w1200|https://lh3.googleusercontent.com/pw/AP1GczNj5frgiFVI0G9JShwiUBMUrAlfiQaMXIn8IzgXffNbXKz1n1HKO4MLKAJQTUArHrOemtpxeWERjJO6hVp0lDyjLeV717pBePfL9Fw_2maydqJQHNyY=w1200</v>
      </c>
      <c r="AJ275" s="46"/>
      <c r="AK275" s="46"/>
      <c r="AL275" s="46"/>
      <c r="AM275" s="46"/>
      <c r="AN275" s="46"/>
      <c r="AO275" s="46"/>
      <c r="AP275" s="46"/>
      <c r="AQ275" s="46"/>
      <c r="AR275" s="46"/>
      <c r="AS275" s="46"/>
      <c r="AT275" s="46"/>
      <c r="AU275" s="46"/>
      <c r="AV275" s="46"/>
      <c r="AW275" s="46"/>
      <c r="AX275" s="46"/>
      <c r="AY275" s="46"/>
      <c r="AZ275" s="46"/>
      <c r="BA275" s="46"/>
      <c r="BB275" s="46"/>
      <c r="BC275" s="46"/>
      <c r="BD275" s="46"/>
      <c r="BE275" s="46"/>
      <c r="BF275" s="46"/>
      <c r="BG275" s="46"/>
      <c r="BH275" s="46"/>
      <c r="BI275" s="46"/>
      <c r="BJ275" s="46"/>
      <c r="BK275" s="46"/>
      <c r="BL275" s="46"/>
      <c r="BM275" s="46"/>
      <c r="BN275" s="46"/>
      <c r="BO275" s="46"/>
      <c r="BP275" s="46"/>
      <c r="BQ275" s="46"/>
      <c r="BR275" s="46"/>
      <c r="BS275" s="46"/>
      <c r="BT275" s="46"/>
      <c r="BU275" s="46"/>
      <c r="BV275" s="46"/>
      <c r="BW275" s="46"/>
      <c r="BX275" s="46"/>
      <c r="BY275" s="46"/>
      <c r="BZ275" s="46"/>
      <c r="CA275" s="46"/>
      <c r="CB275" s="46"/>
      <c r="CC275" s="46"/>
    </row>
    <row r="276">
      <c r="A276" s="87" t="str">
        <f>IFERROR(__xludf.DUMMYFUNCTION("""COMPUTED_VALUE"""),"553")</f>
        <v>553</v>
      </c>
      <c r="B276" s="46" t="str">
        <f>IFERROR(__xludf.DUMMYFUNCTION("""COMPUTED_VALUE"""),"Casa en barrio Villa Carolina - Norte")</f>
        <v>Casa en barrio Villa Carolina - Norte</v>
      </c>
      <c r="C276" s="46" t="str">
        <f>IFERROR(__xludf.DUMMYFUNCTION("""COMPUTED_VALUE"""),"Casa")</f>
        <v>Casa</v>
      </c>
      <c r="D276" s="46" t="str">
        <f>IFERROR(__xludf.DUMMYFUNCTION("""COMPUTED_VALUE"""),"Villa Carolina")</f>
        <v>Villa Carolina</v>
      </c>
      <c r="E276" s="46"/>
      <c r="F276" s="90">
        <f>IFERROR(__xludf.DUMMYFUNCTION("""COMPUTED_VALUE"""),5.9E8)</f>
        <v>590000000</v>
      </c>
      <c r="G276" s="46" t="str">
        <f>IFERROR(__xludf.DUMMYFUNCTION("""COMPUTED_VALUE"""),"$500'000.000 a $1.000'000.000")</f>
        <v>$500'000.000 a $1.000'000.000</v>
      </c>
      <c r="H276" s="46"/>
      <c r="I276" s="46"/>
      <c r="J276" s="46" t="str">
        <f>IFERROR(__xludf.DUMMYFUNCTION("""COMPUTED_VALUE"""),"Norte")</f>
        <v>Norte</v>
      </c>
      <c r="K276" s="87" t="str">
        <f>IFERROR(__xludf.DUMMYFUNCTION("""COMPUTED_VALUE"""),"2")</f>
        <v>2</v>
      </c>
      <c r="L276" s="46">
        <f>IFERROR(__xludf.DUMMYFUNCTION("""COMPUTED_VALUE"""),4.0)</f>
        <v>4</v>
      </c>
      <c r="M276" s="46"/>
      <c r="N276" s="46">
        <f>IFERROR(__xludf.DUMMYFUNCTION("""COMPUTED_VALUE"""),3.0)</f>
        <v>3</v>
      </c>
      <c r="O276" s="46">
        <f>IFERROR(__xludf.DUMMYFUNCTION("""COMPUTED_VALUE"""),4.0)</f>
        <v>4</v>
      </c>
      <c r="P276" s="46">
        <f>IFERROR(__xludf.DUMMYFUNCTION("""COMPUTED_VALUE"""),2.0)</f>
        <v>2</v>
      </c>
      <c r="Q276" s="92">
        <f>IFERROR(__xludf.DUMMYFUNCTION("""COMPUTED_VALUE"""),250.0)</f>
        <v>250</v>
      </c>
      <c r="R276" s="92">
        <f>IFERROR(__xludf.DUMMYFUNCTION("""COMPUTED_VALUE"""),183.0)</f>
        <v>183</v>
      </c>
      <c r="S276" s="87" t="str">
        <f>IFERROR(__xludf.DUMMYFUNCTION("""COMPUTED_VALUE""")," ")</f>
        <v> </v>
      </c>
      <c r="T276" s="46" t="str">
        <f>IFERROR(__xludf.DUMMYFUNCTION("""COMPUTED_VALUE"""),"Neiva")</f>
        <v>Neiva</v>
      </c>
      <c r="U276" s="87" t="str">
        <f>IFERROR(__xludf.DUMMYFUNCTION("""COMPUTED_VALUE"""),"3")</f>
        <v>3</v>
      </c>
      <c r="V276" s="46" t="str">
        <f>IFERROR(__xludf.DUMMYFUNCTION("""COMPUTED_VALUE"""),"Esquinera")</f>
        <v>Esquinera</v>
      </c>
      <c r="W276" s="46"/>
      <c r="X276" s="46">
        <f>IFERROR(__xludf.DUMMYFUNCTION("""COMPUTED_VALUE"""),4.0)</f>
        <v>4</v>
      </c>
      <c r="Y276" s="46" t="str">
        <f>IFERROR(__xludf.DUMMYFUNCTION("""COMPUTED_VALUE"""),"No tiene")</f>
        <v>No tiene</v>
      </c>
      <c r="Z276" s="90" t="str">
        <f>IFERROR(__xludf.DUMMYFUNCTION("""COMPUTED_VALUE"""),"No aplica")</f>
        <v>No aplica</v>
      </c>
      <c r="AA276" s="33" t="str">
        <f>IFERROR(__xludf.DUMMYFUNCTION("""COMPUTED_VALUE"""),"No aplica")</f>
        <v>No aplica</v>
      </c>
      <c r="AB276" s="96" t="str">
        <f>IFERROR(__xludf.DUMMYFUNCTION("""COMPUTED_VALUE"""),"https://photos.app.goo.gl/Bpm255r6zAZ9q5G59")</f>
        <v>https://photos.app.goo.gl/Bpm255r6zAZ9q5G59</v>
      </c>
      <c r="AC276" s="46" t="str">
        <f>IFERROR(__xludf.DUMMYFUNCTION("""COMPUTED_VALUE"""),"Esta amplia casa esquinera ubicada en estrato 3 cuenta con un área de 183 m², excelentemente distribuidos en espacios modernos que resaltan por sus acabados contemporáneos en pisos de porcelanato pulido y muros con detalles decorativos en texturas tipo pi"&amp;"edra y madera. En su interior, la zona social se compone de dos salas amplias iluminadas mediante un sofisticado sistema de luces LED empotradas en paneles de cielo raso de panel yeso (drywall) con iluminación indirecta, junto a un comedor independiente d"&amp;"e concepto elegante. Dispone de una cocina integral equipada con gabinetes superiores e inferiores en melamina de tono maderado, encimeras oscuras de alta resistencia y barra americana, complementándose con una zona de lavandería independiente en patio de"&amp;" ropas enchapado. El sector privado aloja 4 alcobas provistas de clóset integrados en madera y aire acondicionado, destacando la habitación principal que incorpora baño privado con divisiones en vidrio templado y modernos revestimientos cerámicos, además "&amp;"de un baño auxiliar y un baño social totalmente dotados. Asimismo, la propiedad cuenta con dos espectaculares balcones con barandas de seguridad metálicas y cortinas automatizadas, una zona BBQ con mesón en granito y lavaplatos ideal para eventos, y un am"&amp;"plio garaje cubierto con portón enrollable y capacidad para hasta 4 vehículos.")</f>
        <v>Esta amplia casa esquinera ubicada en estrato 3 cuenta con un área de 183 m², excelentemente distribuidos en espacios modernos que resaltan por sus acabados contemporáneos en pisos de porcelanato pulido y muros con detalles decorativos en texturas tipo piedra y madera. En su interior, la zona social se compone de dos salas amplias iluminadas mediante un sofisticado sistema de luces LED empotradas en paneles de cielo raso de panel yeso (drywall) con iluminación indirecta, junto a un comedor independiente de concepto elegante. Dispone de una cocina integral equipada con gabinetes superiores e inferiores en melamina de tono maderado, encimeras oscuras de alta resistencia y barra americana, complementándose con una zona de lavandería independiente en patio de ropas enchapado. El sector privado aloja 4 alcobas provistas de clóset integrados en madera y aire acondicionado, destacando la habitación principal que incorpora baño privado con divisiones en vidrio templado y modernos revestimientos cerámicos, además de un baño auxiliar y un baño social totalmente dotados. Asimismo, la propiedad cuenta con dos espectaculares balcones con barandas de seguridad metálicas y cortinas automatizadas, una zona BBQ con mesón en granito y lavaplatos ideal para eventos, y un amplio garaje cubierto con portón enrollable y capacidad para hasta 4 vehículos.</v>
      </c>
      <c r="AD276" s="46" t="str">
        <f>IFERROR(__xludf.DUMMYFUNCTION("""COMPUTED_VALUE"""),"Situada en el cotizado Barrio Villa Carolina, en la zona norte de Neiva, esta propiedad representa una oportunidad de inversión excepcional en uno de los sectores residenciales más apetecidos y con excelente proyección de la ciudad. Su imponente diseño es"&amp;"quinero no solo garantiza una iluminación y ventilación natural privilegiadas, sino que la amplitud de sus áreas la convierte en la opción perfecta para familias grandes que buscan confort, tecnología y estilo en su día a día. Como una ventaja comercial i"&amp;"nigualable y gran flexibilidad financiera para facilitar el negocio.")</f>
        <v>Situada en el cotizado Barrio Villa Carolina, en la zona norte de Neiva, esta propiedad representa una oportunidad de inversión excepcional en uno de los sectores residenciales más apetecidos y con excelente proyección de la ciudad. Su imponente diseño esquinero no solo garantiza una iluminación y ventilación natural privilegiadas, sino que la amplitud de sus áreas la convierte en la opción perfecta para familias grandes que buscan confort, tecnología y estilo en su día a día. Como una ventaja comercial inigualable y gran flexibilidad financiera para facilitar el negocio.</v>
      </c>
      <c r="AE276" s="46"/>
      <c r="AF276" s="46" t="str">
        <f>IFERROR(__xludf.DUMMYFUNCTION("""COMPUTED_VALUE"""),"integral")</f>
        <v>integral</v>
      </c>
      <c r="AG276" s="46"/>
      <c r="AH276" s="46" t="str">
        <f>IFERROR(__xludf.DUMMYFUNCTION("""COMPUTED_VALUE"""),"Aliado")</f>
        <v>Aliado</v>
      </c>
      <c r="AI276" s="92" t="str">
        <f>IFERROR(__xludf.DUMMYFUNCTION("""COMPUTED_VALUE"""),"https://lh3.googleusercontent.com/pw/AP1GczN7U6NqBWtAB7OYE3y-P_nr7fKBzsDjCrzXq-03wpeLF1LBGj0bor812hP0ScN7UsGDXzK0TJBAm7ktVb-zv8o9GVJ3Gsoj5UoVP7fB2xYBAczT9jAb=w1200|https://lh3.googleusercontent.com/pw/AP1GczODxqb0B2yoVn5qGuzmkWpsqewf-45b2NTAFktwN8_P0AXACG"&amp;"LDLbCzb9gxEBPCSamxzCtDP69HCNveCLQC3YxVK66_RnxtZyn9sGOnIypSiYQIcwuO=w1200|https://lh3.googleusercontent.com/pw/AP1GczM3hD6mGWZ6Vm3NP_K4xOkC3p-6t2PJHqUGMSaRmOmrzIN8CgIkOYvkkLTBiJfp1Epexhh-uWwZH6wZHZiZlT_kRMIea-eHmuH1fNHVgqamJL65GPdM=w1200|https://lh3.google"&amp;"usercontent.com/pw/AP1GczPytWNodsk2K3EI3dvhz_dKPG392LACZssUF66KUbje_0_0Cr1C7V1M7GGJ9apIPuQ8Llu4rxcNTkecF4eAFNYG-UzXm-9IefpW036U-fncm6lIFSnK=w1200|https://lh3.googleusercontent.com/pw/AP1GczP1ycKIUY8QX67p1GI2EHqZZzUQCeuw2uoS1tRp4DxhNx6lpt5bs20N9qNYqDHmZj1p"&amp;"1ikZ_6zNYiM7Xx1x36NHQHCguGMSjm-vaXQogCK6vTLJ4uXm=w1200|https://lh3.googleusercontent.com/pw/AP1GczNvfQlBFIRdZ2WUlrBnnd_c5hy5ucws6w8ejAFoP6ZiUj7ovRjgnR7qcLmYpEirabMl6G812EuMGLxmgmnpzSVRbGD65Z6QOr27UcWgH4jtWrdfS2f8=w1200|https://lh3.googleusercontent.com/pw"&amp;"/AP1GczNTP38XARk7foeAUtqfNmBw0_Zn2FAGgfcpklBueLVOOJaPYiEBOxk-SNNhz9uGM_Nni3BSRaUuk6j2-e-juk3OvDJTdKnYEbSbrIuBLjReA0U298J5=w1200")</f>
        <v>https://lh3.googleusercontent.com/pw/AP1GczN7U6NqBWtAB7OYE3y-P_nr7fKBzsDjCrzXq-03wpeLF1LBGj0bor812hP0ScN7UsGDXzK0TJBAm7ktVb-zv8o9GVJ3Gsoj5UoVP7fB2xYBAczT9jAb=w1200|https://lh3.googleusercontent.com/pw/AP1GczODxqb0B2yoVn5qGuzmkWpsqewf-45b2NTAFktwN8_P0AXACGLDLbCzb9gxEBPCSamxzCtDP69HCNveCLQC3YxVK66_RnxtZyn9sGOnIypSiYQIcwuO=w1200|https://lh3.googleusercontent.com/pw/AP1GczM3hD6mGWZ6Vm3NP_K4xOkC3p-6t2PJHqUGMSaRmOmrzIN8CgIkOYvkkLTBiJfp1Epexhh-uWwZH6wZHZiZlT_kRMIea-eHmuH1fNHVgqamJL65GPdM=w1200|https://lh3.googleusercontent.com/pw/AP1GczPytWNodsk2K3EI3dvhz_dKPG392LACZssUF66KUbje_0_0Cr1C7V1M7GGJ9apIPuQ8Llu4rxcNTkecF4eAFNYG-UzXm-9IefpW036U-fncm6lIFSnK=w1200|https://lh3.googleusercontent.com/pw/AP1GczP1ycKIUY8QX67p1GI2EHqZZzUQCeuw2uoS1tRp4DxhNx6lpt5bs20N9qNYqDHmZj1p1ikZ_6zNYiM7Xx1x36NHQHCguGMSjm-vaXQogCK6vTLJ4uXm=w1200|https://lh3.googleusercontent.com/pw/AP1GczNvfQlBFIRdZ2WUlrBnnd_c5hy5ucws6w8ejAFoP6ZiUj7ovRjgnR7qcLmYpEirabMl6G812EuMGLxmgmnpzSVRbGD65Z6QOr27UcWgH4jtWrdfS2f8=w1200|https://lh3.googleusercontent.com/pw/AP1GczNTP38XARk7foeAUtqfNmBw0_Zn2FAGgfcpklBueLVOOJaPYiEBOxk-SNNhz9uGM_Nni3BSRaUuk6j2-e-juk3OvDJTdKnYEbSbrIuBLjReA0U298J5=w1200</v>
      </c>
      <c r="AJ276" s="46"/>
      <c r="AK276" s="46"/>
      <c r="AL276" s="46"/>
      <c r="AM276" s="46"/>
      <c r="AN276" s="46"/>
      <c r="AO276" s="46"/>
      <c r="AP276" s="46"/>
      <c r="AQ276" s="46"/>
      <c r="AR276" s="46"/>
      <c r="AS276" s="46"/>
      <c r="AT276" s="46"/>
      <c r="AU276" s="46"/>
      <c r="AV276" s="46"/>
      <c r="AW276" s="46"/>
      <c r="AX276" s="46"/>
      <c r="AY276" s="46"/>
      <c r="AZ276" s="46"/>
      <c r="BA276" s="46"/>
      <c r="BB276" s="46"/>
      <c r="BC276" s="46"/>
      <c r="BD276" s="46"/>
      <c r="BE276" s="46"/>
      <c r="BF276" s="46"/>
      <c r="BG276" s="46"/>
      <c r="BH276" s="46"/>
      <c r="BI276" s="46"/>
      <c r="BJ276" s="46"/>
      <c r="BK276" s="46"/>
      <c r="BL276" s="46"/>
      <c r="BM276" s="46"/>
      <c r="BN276" s="46"/>
      <c r="BO276" s="46"/>
      <c r="BP276" s="46"/>
      <c r="BQ276" s="46"/>
      <c r="BR276" s="46"/>
      <c r="BS276" s="46"/>
      <c r="BT276" s="46"/>
      <c r="BU276" s="46"/>
      <c r="BV276" s="46"/>
      <c r="BW276" s="46"/>
      <c r="BX276" s="46"/>
      <c r="BY276" s="46"/>
      <c r="BZ276" s="46"/>
      <c r="CA276" s="46"/>
      <c r="CB276" s="46"/>
      <c r="CC276" s="46"/>
    </row>
    <row r="277">
      <c r="A277" s="87" t="str">
        <f>IFERROR(__xludf.DUMMYFUNCTION("""COMPUTED_VALUE"""),"446")</f>
        <v>446</v>
      </c>
      <c r="B277" s="46" t="str">
        <f>IFERROR(__xludf.DUMMYFUNCTION("""COMPUTED_VALUE"""),"Casa en barrio Buganviles - Oriente")</f>
        <v>Casa en barrio Buganviles - Oriente</v>
      </c>
      <c r="C277" s="46" t="str">
        <f>IFERROR(__xludf.DUMMYFUNCTION("""COMPUTED_VALUE"""),"Casa")</f>
        <v>Casa</v>
      </c>
      <c r="D277" s="46" t="str">
        <f>IFERROR(__xludf.DUMMYFUNCTION("""COMPUTED_VALUE"""),"Buganviles")</f>
        <v>Buganviles</v>
      </c>
      <c r="E277" s="46"/>
      <c r="F277" s="90">
        <f>IFERROR(__xludf.DUMMYFUNCTION("""COMPUTED_VALUE"""),3.9E8)</f>
        <v>390000000</v>
      </c>
      <c r="G277" s="46" t="str">
        <f>IFERROR(__xludf.DUMMYFUNCTION("""COMPUTED_VALUE"""),"$300'000.000 a $400'000.000")</f>
        <v>$300'000.000 a $400'000.000</v>
      </c>
      <c r="H277" s="46"/>
      <c r="I277" s="46"/>
      <c r="J277" s="46" t="str">
        <f>IFERROR(__xludf.DUMMYFUNCTION("""COMPUTED_VALUE"""),"Oriente")</f>
        <v>Oriente</v>
      </c>
      <c r="K277" s="87" t="str">
        <f>IFERROR(__xludf.DUMMYFUNCTION("""COMPUTED_VALUE"""),"7")</f>
        <v>7</v>
      </c>
      <c r="L277" s="46">
        <f>IFERROR(__xludf.DUMMYFUNCTION("""COMPUTED_VALUE"""),4.0)</f>
        <v>4</v>
      </c>
      <c r="M277" s="46"/>
      <c r="N277" s="46">
        <f>IFERROR(__xludf.DUMMYFUNCTION("""COMPUTED_VALUE"""),3.0)</f>
        <v>3</v>
      </c>
      <c r="O277" s="46">
        <f>IFERROR(__xludf.DUMMYFUNCTION("""COMPUTED_VALUE"""),4.0)</f>
        <v>4</v>
      </c>
      <c r="P277" s="46">
        <f>IFERROR(__xludf.DUMMYFUNCTION("""COMPUTED_VALUE"""),1.0)</f>
        <v>1</v>
      </c>
      <c r="Q277" s="92">
        <f>IFERROR(__xludf.DUMMYFUNCTION("""COMPUTED_VALUE"""),138.0)</f>
        <v>138</v>
      </c>
      <c r="R277" s="92">
        <f>IFERROR(__xludf.DUMMYFUNCTION("""COMPUTED_VALUE"""),249.0)</f>
        <v>249</v>
      </c>
      <c r="S277" s="87" t="str">
        <f>IFERROR(__xludf.DUMMYFUNCTION("""COMPUTED_VALUE""")," ")</f>
        <v> </v>
      </c>
      <c r="T277" s="46" t="str">
        <f>IFERROR(__xludf.DUMMYFUNCTION("""COMPUTED_VALUE"""),"Neiva")</f>
        <v>Neiva</v>
      </c>
      <c r="U277" s="87" t="str">
        <f>IFERROR(__xludf.DUMMYFUNCTION("""COMPUTED_VALUE"""),"2")</f>
        <v>2</v>
      </c>
      <c r="V277" s="46" t="str">
        <f>IFERROR(__xludf.DUMMYFUNCTION("""COMPUTED_VALUE"""),"Esquinera")</f>
        <v>Esquinera</v>
      </c>
      <c r="W277" s="46"/>
      <c r="X277" s="46">
        <f>IFERROR(__xludf.DUMMYFUNCTION("""COMPUTED_VALUE"""),3.0)</f>
        <v>3</v>
      </c>
      <c r="Y277" s="46" t="str">
        <f>IFERROR(__xludf.DUMMYFUNCTION("""COMPUTED_VALUE"""),"No tiene")</f>
        <v>No tiene</v>
      </c>
      <c r="Z277" s="90" t="str">
        <f>IFERROR(__xludf.DUMMYFUNCTION("""COMPUTED_VALUE"""),"No aplica")</f>
        <v>No aplica</v>
      </c>
      <c r="AA277" s="33" t="str">
        <f>IFERROR(__xludf.DUMMYFUNCTION("""COMPUTED_VALUE"""),"No aplica")</f>
        <v>No aplica</v>
      </c>
      <c r="AB277" s="96" t="str">
        <f>IFERROR(__xludf.DUMMYFUNCTION("""COMPUTED_VALUE"""),"https://photos.app.goo.gl/FBGAkmsQqeZeuGpy7")</f>
        <v>https://photos.app.goo.gl/FBGAkmsQqeZeuGpy7</v>
      </c>
      <c r="AC277" s="46" t="str">
        <f>IFERROR(__xludf.DUMMYFUNCTION("""COMPUTED_VALUE"""),"Esta hermosa casa esquinera de un solo nivel, ubicada en el estrato 2 de la zona Oriente de Neiva, cuenta con un área total de 249 m² y 138 m² construidos. Su distribución interior ofrece una sala amplia y muy iluminada con ventilador de techo decorativo,"&amp;" comedor espacioso, un estudio ideal para oficina en casa y una cocina integral amplia con muebles modulares en color blanco, mesón oscuro y barra. La zona privada consta de 3 habitaciones (2 de ellas con baño privado) con clósets empotrados en madera cla"&amp;"ra, un cuarto de servicio y un total de 3 baños completos. Sus acabados interiores destacan por pisos en retal de mármol pulido y muros que incluyen una pared con revestimiento texturizado tipo piedra en el área social, complementados en el exterior por u"&amp;"n amplio antejardín con zona BBQ y capacidad de parqueo para 4 vehículos.")</f>
        <v>Esta hermosa casa esquinera de un solo nivel, ubicada en el estrato 2 de la zona Oriente de Neiva, cuenta con un área total de 249 m² y 138 m² construidos. Su distribución interior ofrece una sala amplia y muy iluminada con ventilador de techo decorativo, comedor espacioso, un estudio ideal para oficina en casa y una cocina integral amplia con muebles modulares en color blanco, mesón oscuro y barra. La zona privada consta de 3 habitaciones (2 de ellas con baño privado) con clósets empotrados en madera clara, un cuarto de servicio y un total de 3 baños completos. Sus acabados interiores destacan por pisos en retal de mármol pulido y muros que incluyen una pared con revestimiento texturizado tipo piedra en el área social, complementados en el exterior por un amplio antejardín con zona BBQ y capacidad de parqueo para 4 vehículos.</v>
      </c>
      <c r="AD277" s="46" t="str">
        <f>IFERROR(__xludf.DUMMYFUNCTION("""COMPUTED_VALUE"""),"Situada en el barrio Buganviles, esta vivienda representa una oportunidad excepcional de compra inmediata gracias a su ubicación estratégica en una zona de alta valorización y fácil acceso a colegios y vías principales. Al ser una propiedad esquinera de u"&amp;"n solo piso, garantiza a sus habitantes una ventaja competitiva única en cuanto a mayor ventilación natural, excelente iluminación en todos sus espacios y máxima comodidad para familias. La gran versatilidad de sus áreas exteriores y su capacidad de parqu"&amp;"eo múltiple —un beneficio muy escaso en las construcciones actuales— aseguran una inversión sólida y un estilo de vida inigualable desde el primer momento.")</f>
        <v>Situada en el barrio Buganviles, esta vivienda representa una oportunidad excepcional de compra inmediata gracias a su ubicación estratégica en una zona de alta valorización y fácil acceso a colegios y vías principales. Al ser una propiedad esquinera de un solo piso, garantiza a sus habitantes una ventaja competitiva única en cuanto a mayor ventilación natural, excelente iluminación en todos sus espacios y máxima comodidad para familias. La gran versatilidad de sus áreas exteriores y su capacidad de parqueo múltiple —un beneficio muy escaso en las construcciones actuales— aseguran una inversión sólida y un estilo de vida inigualable desde el primer momento.</v>
      </c>
      <c r="AE277" s="46"/>
      <c r="AF277" s="46" t="str">
        <f>IFERROR(__xludf.DUMMYFUNCTION("""COMPUTED_VALUE"""),"integral")</f>
        <v>integral</v>
      </c>
      <c r="AG277" s="46"/>
      <c r="AH277" s="46" t="str">
        <f>IFERROR(__xludf.DUMMYFUNCTION("""COMPUTED_VALUE"""),"Aliado")</f>
        <v>Aliado</v>
      </c>
      <c r="AI277" s="92" t="str">
        <f>IFERROR(__xludf.DUMMYFUNCTION("""COMPUTED_VALUE"""),"https://lh3.googleusercontent.com/pw/AP1GczNbGru5BvWtz4xZ2bgD1yeNXugUOepuEtm3pit76R53X8scp-_JBrpeujoV7v0j1aooJqpP2wiJm4RJJef4dwCMBtYL8w4eYQAh3Y8245mV7XJnBcBE=w1200|https://lh3.googleusercontent.com/pw/AP1GczPo5uZctZzY9uLGUEaB58_qHzG-hqmyVCysIrisFM9djrnPmM"&amp;"F9lYK6LTlngIu2TUzdF2rAMAM9V8sQUJNLv_hZ9w6PRO6DG8xasF5RG8O7VYL39ECg=w1200|https://lh3.googleusercontent.com/pw/AP1GczNGu5u4mDTn_-4KVOfH9F_i-69P3WD1A1UxwFbWWuoz1TP0G4Ylh41UTEQYE8i1Ja7KrkIneLfgf_E4oMa3ZOXMhLBQq3S-xCuGoFAtMiO49iKihf--=w1200|https://lh3.google"&amp;"usercontent.com/pw/AP1GczNc9eBNub_0C--0EPe4CmkGunaiXr-sZ50zAOFBlUTaLOl1uEvEpwzLagRDv99EkBO2jg7qogUZeL2VIqY_wZcYQvifjJvl3XCxHbLdfjSmEtPz-dYL=w1200|https://lh3.googleusercontent.com/pw/AP1GczNhkkRJDUpxB-WWSqW2Y5qDpoQZRqyRFfbeMwzv93F2N4ht8pQStArd5ZZF7UZtSegT"&amp;"AHygVy7UpbkGVwjwjOWoEsUW7mXI8NPtWcFRp4W9icuXCH-c=w1200|https://lh3.googleusercontent.com/pw/AP1GczMwGAUqrVo5-PN6U4nooNtOqc7MkNu0gdfoCJ_lCcKCQQXzcLDu0vL5NDsS9zZQ3xAHOK2wCWKGYksidwMHjABHcSStmvlhKe6R6bbBVonrpbYA3btO=w1200|https://lh3.googleusercontent.com/pw"&amp;"/AP1GczOaNS6PjpoVWz55CAUTa0yvQPWaZ1_regJsq9yB0c-_6WjGxhdm1fufs2bvc4YfhM1hxRUaoZIEfx5YQwKhTREaNnSZ73wpYZVTee0Bhi-opq-mm2jE=w1200")</f>
        <v>https://lh3.googleusercontent.com/pw/AP1GczNbGru5BvWtz4xZ2bgD1yeNXugUOepuEtm3pit76R53X8scp-_JBrpeujoV7v0j1aooJqpP2wiJm4RJJef4dwCMBtYL8w4eYQAh3Y8245mV7XJnBcBE=w1200|https://lh3.googleusercontent.com/pw/AP1GczPo5uZctZzY9uLGUEaB58_qHzG-hqmyVCysIrisFM9djrnPmMF9lYK6LTlngIu2TUzdF2rAMAM9V8sQUJNLv_hZ9w6PRO6DG8xasF5RG8O7VYL39ECg=w1200|https://lh3.googleusercontent.com/pw/AP1GczNGu5u4mDTn_-4KVOfH9F_i-69P3WD1A1UxwFbWWuoz1TP0G4Ylh41UTEQYE8i1Ja7KrkIneLfgf_E4oMa3ZOXMhLBQq3S-xCuGoFAtMiO49iKihf--=w1200|https://lh3.googleusercontent.com/pw/AP1GczNc9eBNub_0C--0EPe4CmkGunaiXr-sZ50zAOFBlUTaLOl1uEvEpwzLagRDv99EkBO2jg7qogUZeL2VIqY_wZcYQvifjJvl3XCxHbLdfjSmEtPz-dYL=w1200|https://lh3.googleusercontent.com/pw/AP1GczNhkkRJDUpxB-WWSqW2Y5qDpoQZRqyRFfbeMwzv93F2N4ht8pQStArd5ZZF7UZtSegTAHygVy7UpbkGVwjwjOWoEsUW7mXI8NPtWcFRp4W9icuXCH-c=w1200|https://lh3.googleusercontent.com/pw/AP1GczMwGAUqrVo5-PN6U4nooNtOqc7MkNu0gdfoCJ_lCcKCQQXzcLDu0vL5NDsS9zZQ3xAHOK2wCWKGYksidwMHjABHcSStmvlhKe6R6bbBVonrpbYA3btO=w1200|https://lh3.googleusercontent.com/pw/AP1GczOaNS6PjpoVWz55CAUTa0yvQPWaZ1_regJsq9yB0c-_6WjGxhdm1fufs2bvc4YfhM1hxRUaoZIEfx5YQwKhTREaNnSZ73wpYZVTee0Bhi-opq-mm2jE=w1200</v>
      </c>
      <c r="AJ277" s="46"/>
      <c r="AK277" s="46"/>
      <c r="AL277" s="46"/>
      <c r="AM277" s="46"/>
      <c r="AN277" s="46"/>
      <c r="AO277" s="46"/>
      <c r="AP277" s="46"/>
      <c r="AQ277" s="46"/>
      <c r="AR277" s="46"/>
      <c r="AS277" s="46"/>
      <c r="AT277" s="46"/>
      <c r="AU277" s="46"/>
      <c r="AV277" s="46"/>
      <c r="AW277" s="46"/>
      <c r="AX277" s="46"/>
      <c r="AY277" s="46"/>
      <c r="AZ277" s="46"/>
      <c r="BA277" s="46"/>
      <c r="BB277" s="46"/>
      <c r="BC277" s="46"/>
      <c r="BD277" s="46"/>
      <c r="BE277" s="46"/>
      <c r="BF277" s="46"/>
      <c r="BG277" s="46"/>
      <c r="BH277" s="46"/>
      <c r="BI277" s="46"/>
      <c r="BJ277" s="46"/>
      <c r="BK277" s="46"/>
      <c r="BL277" s="46"/>
      <c r="BM277" s="46"/>
      <c r="BN277" s="46"/>
      <c r="BO277" s="46"/>
      <c r="BP277" s="46"/>
      <c r="BQ277" s="46"/>
      <c r="BR277" s="46"/>
      <c r="BS277" s="46"/>
      <c r="BT277" s="46"/>
      <c r="BU277" s="46"/>
      <c r="BV277" s="46"/>
      <c r="BW277" s="46"/>
      <c r="BX277" s="46"/>
      <c r="BY277" s="46"/>
      <c r="BZ277" s="46"/>
      <c r="CA277" s="46"/>
      <c r="CB277" s="46"/>
      <c r="CC277" s="46"/>
    </row>
    <row r="278">
      <c r="A278" s="87" t="str">
        <f>IFERROR(__xludf.DUMMYFUNCTION("""COMPUTED_VALUE"""),"558")</f>
        <v>558</v>
      </c>
      <c r="B278" s="46" t="str">
        <f>IFERROR(__xludf.DUMMYFUNCTION("""COMPUTED_VALUE"""),"Casa enconjunto Los Rosales - Norte")</f>
        <v>Casa enconjunto Los Rosales - Norte</v>
      </c>
      <c r="C278" s="46" t="str">
        <f>IFERROR(__xludf.DUMMYFUNCTION("""COMPUTED_VALUE"""),"Casa en conjunto")</f>
        <v>Casa en conjunto</v>
      </c>
      <c r="D278" s="46"/>
      <c r="E278" s="46" t="str">
        <f>IFERROR(__xludf.DUMMYFUNCTION("""COMPUTED_VALUE"""),"Conjunto Los Rosales")</f>
        <v>Conjunto Los Rosales</v>
      </c>
      <c r="F278" s="90">
        <f>IFERROR(__xludf.DUMMYFUNCTION("""COMPUTED_VALUE"""),3.8E8)</f>
        <v>380000000</v>
      </c>
      <c r="G278" s="46" t="str">
        <f>IFERROR(__xludf.DUMMYFUNCTION("""COMPUTED_VALUE"""),"$300'000.000 a $400'000.000")</f>
        <v>$300'000.000 a $400'000.000</v>
      </c>
      <c r="H278" s="46"/>
      <c r="I278" s="46"/>
      <c r="J278" s="46" t="str">
        <f>IFERROR(__xludf.DUMMYFUNCTION("""COMPUTED_VALUE"""),"Norte")</f>
        <v>Norte</v>
      </c>
      <c r="K278" s="87"/>
      <c r="L278" s="46">
        <f>IFERROR(__xludf.DUMMYFUNCTION("""COMPUTED_VALUE"""),3.0)</f>
        <v>3</v>
      </c>
      <c r="M278" s="46"/>
      <c r="N278" s="46">
        <f>IFERROR(__xludf.DUMMYFUNCTION("""COMPUTED_VALUE"""),3.0)</f>
        <v>3</v>
      </c>
      <c r="O278" s="46">
        <f>IFERROR(__xludf.DUMMYFUNCTION("""COMPUTED_VALUE"""),1.0)</f>
        <v>1</v>
      </c>
      <c r="P278" s="46">
        <f>IFERROR(__xludf.DUMMYFUNCTION("""COMPUTED_VALUE"""),2.0)</f>
        <v>2</v>
      </c>
      <c r="Q278" s="92">
        <f>IFERROR(__xludf.DUMMYFUNCTION("""COMPUTED_VALUE"""),160.0)</f>
        <v>160</v>
      </c>
      <c r="R278" s="92">
        <f>IFERROR(__xludf.DUMMYFUNCTION("""COMPUTED_VALUE"""),96.0)</f>
        <v>96</v>
      </c>
      <c r="S278" s="87" t="str">
        <f>IFERROR(__xludf.DUMMYFUNCTION("""COMPUTED_VALUE""")," ")</f>
        <v> </v>
      </c>
      <c r="T278" s="46" t="str">
        <f>IFERROR(__xludf.DUMMYFUNCTION("""COMPUTED_VALUE"""),"Neiva")</f>
        <v>Neiva</v>
      </c>
      <c r="U278" s="87" t="str">
        <f>IFERROR(__xludf.DUMMYFUNCTION("""COMPUTED_VALUE"""),"4")</f>
        <v>4</v>
      </c>
      <c r="V278" s="46" t="str">
        <f>IFERROR(__xludf.DUMMYFUNCTION("""COMPUTED_VALUE"""),"Medianera")</f>
        <v>Medianera</v>
      </c>
      <c r="W278" s="46"/>
      <c r="X278" s="46">
        <f>IFERROR(__xludf.DUMMYFUNCTION("""COMPUTED_VALUE"""),3.0)</f>
        <v>3</v>
      </c>
      <c r="Y278" s="46" t="str">
        <f>IFERROR(__xludf.DUMMYFUNCTION("""COMPUTED_VALUE"""),"Social")</f>
        <v>Social</v>
      </c>
      <c r="Z278" s="90">
        <f>IFERROR(__xludf.DUMMYFUNCTION("""COMPUTED_VALUE"""),360000.0)</f>
        <v>360000</v>
      </c>
      <c r="AA278" s="33" t="str">
        <f>IFERROR(__xludf.DUMMYFUNCTION("""COMPUTED_VALUE"""),"No aplica")</f>
        <v>No aplica</v>
      </c>
      <c r="AB278" s="96" t="str">
        <f>IFERROR(__xludf.DUMMYFUNCTION("""COMPUTED_VALUE"""),"https://photos.app.goo.gl/vywkuSPfHfFrhckUA")</f>
        <v>https://photos.app.goo.gl/vywkuSPfHfFrhckUA</v>
      </c>
      <c r="AC278" s="46" t="str">
        <f>IFERROR(__xludf.DUMMYFUNCTION("""COMPUTED_VALUE"""),"Esta hermosa casa de dos plantas de estrato 4, ubicada en el exclusivo Condominio Los Rosales en la zona Norte, cuenta con un área de 96 m² muy bien distribuidos. Al ingresar al primer piso se encuentra una espaciosa sala-comedor con pisos de porcelanato "&amp;"claro de alto brillo y muros blancos impecables con luces empotradas, conectada mediante amplios ventanales corredizos a un patio interno techado con un llamativo muro texturizado en ladrillo a la vista. Este nivel se complementa con un baño social, una m"&amp;"oderna cocina integral abierta tipo americana con barra en madera y mesón de granito oscuro, zona de ropas independiente y un balcón con vista a zonas verdes. En la segunda planta, el área privada ofrece un hall de alcobas con muebles organizadores empotr"&amp;"ados en tonos madera clara, un estudio ideal para teletrabajo, un balcón y 3 amplias habitaciones con clóset, destacando la principal con su propio baño privado, además de un baño auxiliar completo que asiste a las alcobas secundarias (para un total de 3 "&amp;"baños en toda la propiedad); asimismo, dispone de un cómodo parqueadero privado.")</f>
        <v>Esta hermosa casa de dos plantas de estrato 4, ubicada en el exclusivo Condominio Los Rosales en la zona Norte, cuenta con un área de 96 m² muy bien distribuidos. Al ingresar al primer piso se encuentra una espaciosa sala-comedor con pisos de porcelanato claro de alto brillo y muros blancos impecables con luces empotradas, conectada mediante amplios ventanales corredizos a un patio interno techado con un llamativo muro texturizado en ladrillo a la vista. Este nivel se complementa con un baño social, una moderna cocina integral abierta tipo americana con barra en madera y mesón de granito oscuro, zona de ropas independiente y un balcón con vista a zonas verdes. En la segunda planta, el área privada ofrece un hall de alcobas con muebles organizadores empotrados en tonos madera clara, un estudio ideal para teletrabajo, un balcón y 3 amplias habitaciones con clóset, destacando la principal con su propio baño privado, además de un baño auxiliar completo que asiste a las alcobas secundarias (para un total de 3 baños en toda la propiedad); asimismo, dispone de un cómodo parqueadero privado.</v>
      </c>
      <c r="AD278" s="46" t="str">
        <f>IFERROR(__xludf.DUMMYFUNCTION("""COMPUTED_VALUE"""),"La propiedad representa una oportunidad excepcional para familias que buscan máxima seguridad y una altísima valorización en uno de los sectores residenciales más cotizados del norte de la ciudad, con cercanía estratégica a supermercados, colegios y resta"&amp;"urantes. Vivir en este condominio garantiza un estilo de vida tipo club, ya que ofrece un catálogo inigualable de amenidades privadas que incluyen piscina para adultos y niños, jacuzzi, zona BBQ, salón social, gimnasio dotado, canchas deportivas, parque i"&amp;"nfantil y amplias zonas verdes para el esparcimiento. Todo esto, sumado al parqueadero para visitantes, un supermercado interno para mayor comodidad y estricta vigilancia privada 24/7, convierte a este inmueble en la opción perfecta para quienes desean mu"&amp;"darse de inmediato a un entorno tranquilo, cómodo y totalmente seguro.")</f>
        <v>La propiedad representa una oportunidad excepcional para familias que buscan máxima seguridad y una altísima valorización en uno de los sectores residenciales más cotizados del norte de la ciudad, con cercanía estratégica a supermercados, colegios y restaurantes. Vivir en este condominio garantiza un estilo de vida tipo club, ya que ofrece un catálogo inigualable de amenidades privadas que incluyen piscina para adultos y niños, jacuzzi, zona BBQ, salón social, gimnasio dotado, canchas deportivas, parque infantil y amplias zonas verdes para el esparcimiento. Todo esto, sumado al parqueadero para visitantes, un supermercado interno para mayor comodidad y estricta vigilancia privada 24/7, convierte a este inmueble en la opción perfecta para quienes desean mudarse de inmediato a un entorno tranquilo, cómodo y totalmente seguro.</v>
      </c>
      <c r="AE278" s="46"/>
      <c r="AF278" s="46" t="str">
        <f>IFERROR(__xludf.DUMMYFUNCTION("""COMPUTED_VALUE"""),"integral")</f>
        <v>integral</v>
      </c>
      <c r="AG278" s="46"/>
      <c r="AH278" s="46" t="str">
        <f>IFERROR(__xludf.DUMMYFUNCTION("""COMPUTED_VALUE"""),"Aliado")</f>
        <v>Aliado</v>
      </c>
      <c r="AI278" s="92" t="str">
        <f>IFERROR(__xludf.DUMMYFUNCTION("""COMPUTED_VALUE"""),"https://lh3.googleusercontent.com/pw/AP1GczMg3lK5hhxSO1C4ugVsJYYYjEjLGLj-9Cic-qwmPjQa3VQNtL9DYW_Y_4QaWirAneu2wdy73kSwStSufMaoctAm_W75SVoV1IGKZPlTrfL-mDFVj3DT=w1200|https://lh3.googleusercontent.com/pw/AP1GczN9m9bkAT_VzjA3cGN3ifZXQdbXTfbZzSv2yx34wTEsuXWg-D"&amp;"TpruQbhPsji51u_ED_6c-lxmq_T-qNhUbVErSuIvV8PBsJLDLYX2R2zK_Hh6GaWteN=w1200|https://lh3.googleusercontent.com/pw/AP1GczOcKE0E8Df47HVrBf4wSszOJ7f6CcPsJB4TaB2zqHuHxXaego4uXNg_MeuUQFHAYJPry8IMsiyUQBCEeP7Hd9Aq7g6BDn_K4Z9Ybl45o-lOlmkweJn6=w1200|https://lh3.google"&amp;"usercontent.com/pw/AP1GczOr3doYM77xBADj5HM9TSMWYF-kNjk415FHUgDWng-Yc6fi2fKi34Xx4HBWk4g2Pn2q2Zf17LoDFJ1OU3HWYnmfdNf__FHGFnlbWKvlRhkJomBDGTdP=w1200|https://lh3.googleusercontent.com/pw/AP1GczOuJgNqtfDSXh3OpScfclKav_tPqKrAN6aNHggHEvyts8oSwDnWMz_4pM8TkdhIguii"&amp;"XJSatmjVxCMq52Zlt8pc3ISaX4sFRy73sAazMTQUPeZnw7f3=w1200|https://lh3.googleusercontent.com/pw/AP1GczOP37sdEomOOBpROmKEvzVGeS75edBg1XybIGFr5HxePTGG8ceOtXXznBXEmSQhfsHNIHSb9FrNQNs76UyxRi3slB4FrkJZ0vlV3uOIBwBCgwGuM52_=w1200|https://lh3.googleusercontent.com/pw"&amp;"/AP1GczMygFk2WaPvneWgnl6RNOxSQgDWP-2RGDF5RF4-hHPVFYjwVGQQ1FFoXLSWZ2qQem01FzSYom3RUnEMXCzqNxIiRDR6JgARYUvWb_gRLzxPua18xeL7=w1200|https://lh3.googleusercontent.com/pw/AP1GczPXnHpZhsGURuun2wCHF1BfpJt_xk8zMlMjxshQJwRlgFzDJP5beamzP2rOxDljUsZ_4sixzE2DAQR8j91frJ"&amp;"5EsFjr5bSBY0z47cS70ZUvR4gL-jKd=w1200|https://lh3.googleusercontent.com/pw/AP1GczMFfYPkVKLSR6hux2xebWHqSPGsUJ9Sj1zn7F28jauLI1cTE-opSGzxkFUadgwqKfKSyoZdVtNY39Bk42unPHPeDCIeqdEtuq29O1CvZ1SUIarsTClp=w1200")</f>
        <v>https://lh3.googleusercontent.com/pw/AP1GczMg3lK5hhxSO1C4ugVsJYYYjEjLGLj-9Cic-qwmPjQa3VQNtL9DYW_Y_4QaWirAneu2wdy73kSwStSufMaoctAm_W75SVoV1IGKZPlTrfL-mDFVj3DT=w1200|https://lh3.googleusercontent.com/pw/AP1GczN9m9bkAT_VzjA3cGN3ifZXQdbXTfbZzSv2yx34wTEsuXWg-DTpruQbhPsji51u_ED_6c-lxmq_T-qNhUbVErSuIvV8PBsJLDLYX2R2zK_Hh6GaWteN=w1200|https://lh3.googleusercontent.com/pw/AP1GczOcKE0E8Df47HVrBf4wSszOJ7f6CcPsJB4TaB2zqHuHxXaego4uXNg_MeuUQFHAYJPry8IMsiyUQBCEeP7Hd9Aq7g6BDn_K4Z9Ybl45o-lOlmkweJn6=w1200|https://lh3.googleusercontent.com/pw/AP1GczOr3doYM77xBADj5HM9TSMWYF-kNjk415FHUgDWng-Yc6fi2fKi34Xx4HBWk4g2Pn2q2Zf17LoDFJ1OU3HWYnmfdNf__FHGFnlbWKvlRhkJomBDGTdP=w1200|https://lh3.googleusercontent.com/pw/AP1GczOuJgNqtfDSXh3OpScfclKav_tPqKrAN6aNHggHEvyts8oSwDnWMz_4pM8TkdhIguiiXJSatmjVxCMq52Zlt8pc3ISaX4sFRy73sAazMTQUPeZnw7f3=w1200|https://lh3.googleusercontent.com/pw/AP1GczOP37sdEomOOBpROmKEvzVGeS75edBg1XybIGFr5HxePTGG8ceOtXXznBXEmSQhfsHNIHSb9FrNQNs76UyxRi3slB4FrkJZ0vlV3uOIBwBCgwGuM52_=w1200|https://lh3.googleusercontent.com/pw/AP1GczMygFk2WaPvneWgnl6RNOxSQgDWP-2RGDF5RF4-hHPVFYjwVGQQ1FFoXLSWZ2qQem01FzSYom3RUnEMXCzqNxIiRDR6JgARYUvWb_gRLzxPua18xeL7=w1200|https://lh3.googleusercontent.com/pw/AP1GczPXnHpZhsGURuun2wCHF1BfpJt_xk8zMlMjxshQJwRlgFzDJP5beamzP2rOxDljUsZ_4sixzE2DAQR8j91frJ5EsFjr5bSBY0z47cS70ZUvR4gL-jKd=w1200|https://lh3.googleusercontent.com/pw/AP1GczMFfYPkVKLSR6hux2xebWHqSPGsUJ9Sj1zn7F28jauLI1cTE-opSGzxkFUadgwqKfKSyoZdVtNY39Bk42unPHPeDCIeqdEtuq29O1CvZ1SUIarsTClp=w1200</v>
      </c>
      <c r="AJ278" s="46"/>
      <c r="AK278" s="46"/>
      <c r="AL278" s="46"/>
      <c r="AM278" s="46"/>
      <c r="AN278" s="46"/>
      <c r="AO278" s="46"/>
      <c r="AP278" s="46"/>
      <c r="AQ278" s="46"/>
      <c r="AR278" s="46"/>
      <c r="AS278" s="46"/>
      <c r="AT278" s="46"/>
      <c r="AU278" s="46"/>
      <c r="AV278" s="46"/>
      <c r="AW278" s="46"/>
      <c r="AX278" s="46"/>
      <c r="AY278" s="46"/>
      <c r="AZ278" s="46"/>
      <c r="BA278" s="46"/>
      <c r="BB278" s="46"/>
      <c r="BC278" s="46"/>
      <c r="BD278" s="46"/>
      <c r="BE278" s="46"/>
      <c r="BF278" s="46"/>
      <c r="BG278" s="46"/>
      <c r="BH278" s="46"/>
      <c r="BI278" s="46"/>
      <c r="BJ278" s="46"/>
      <c r="BK278" s="46"/>
      <c r="BL278" s="46"/>
      <c r="BM278" s="46"/>
      <c r="BN278" s="46"/>
      <c r="BO278" s="46"/>
      <c r="BP278" s="46"/>
      <c r="BQ278" s="46"/>
      <c r="BR278" s="46"/>
      <c r="BS278" s="46"/>
      <c r="BT278" s="46"/>
      <c r="BU278" s="46"/>
      <c r="BV278" s="46"/>
      <c r="BW278" s="46"/>
      <c r="BX278" s="46"/>
      <c r="BY278" s="46"/>
      <c r="BZ278" s="46"/>
      <c r="CA278" s="46"/>
      <c r="CB278" s="46"/>
      <c r="CC278" s="46"/>
    </row>
    <row r="279">
      <c r="A279" s="87" t="str">
        <f>IFERROR(__xludf.DUMMYFUNCTION("""COMPUTED_VALUE"""),"1347")</f>
        <v>1347</v>
      </c>
      <c r="B279" s="46" t="str">
        <f>IFERROR(__xludf.DUMMYFUNCTION("""COMPUTED_VALUE"""),"Casa en barrio Villa Café - Oriente")</f>
        <v>Casa en barrio Villa Café - Oriente</v>
      </c>
      <c r="C279" s="46" t="str">
        <f>IFERROR(__xludf.DUMMYFUNCTION("""COMPUTED_VALUE"""),"Casa")</f>
        <v>Casa</v>
      </c>
      <c r="D279" s="46" t="str">
        <f>IFERROR(__xludf.DUMMYFUNCTION("""COMPUTED_VALUE"""),"Villa Café")</f>
        <v>Villa Café</v>
      </c>
      <c r="E279" s="46"/>
      <c r="F279" s="90">
        <f>IFERROR(__xludf.DUMMYFUNCTION("""COMPUTED_VALUE"""),3.8E8)</f>
        <v>380000000</v>
      </c>
      <c r="G279" s="46" t="str">
        <f>IFERROR(__xludf.DUMMYFUNCTION("""COMPUTED_VALUE"""),"$300'000.000 a $400'000.000")</f>
        <v>$300'000.000 a $400'000.000</v>
      </c>
      <c r="H279" s="46"/>
      <c r="I279" s="46"/>
      <c r="J279" s="46" t="str">
        <f>IFERROR(__xludf.DUMMYFUNCTION("""COMPUTED_VALUE"""),"Oriente")</f>
        <v>Oriente</v>
      </c>
      <c r="K279" s="87" t="str">
        <f>IFERROR(__xludf.DUMMYFUNCTION("""COMPUTED_VALUE"""),"7")</f>
        <v>7</v>
      </c>
      <c r="L279" s="46">
        <f>IFERROR(__xludf.DUMMYFUNCTION("""COMPUTED_VALUE"""),4.0)</f>
        <v>4</v>
      </c>
      <c r="M279" s="46"/>
      <c r="N279" s="46">
        <f>IFERROR(__xludf.DUMMYFUNCTION("""COMPUTED_VALUE"""),4.0)</f>
        <v>4</v>
      </c>
      <c r="O279" s="46">
        <f>IFERROR(__xludf.DUMMYFUNCTION("""COMPUTED_VALUE"""),1.0)</f>
        <v>1</v>
      </c>
      <c r="P279" s="46">
        <f>IFERROR(__xludf.DUMMYFUNCTION("""COMPUTED_VALUE"""),2.0)</f>
        <v>2</v>
      </c>
      <c r="Q279" s="92">
        <f>IFERROR(__xludf.DUMMYFUNCTION("""COMPUTED_VALUE"""),140.0)</f>
        <v>140</v>
      </c>
      <c r="R279" s="92">
        <f>IFERROR(__xludf.DUMMYFUNCTION("""COMPUTED_VALUE"""),80.0)</f>
        <v>80</v>
      </c>
      <c r="S279" s="87" t="str">
        <f>IFERROR(__xludf.DUMMYFUNCTION("""COMPUTED_VALUE""")," ")</f>
        <v> </v>
      </c>
      <c r="T279" s="46" t="str">
        <f>IFERROR(__xludf.DUMMYFUNCTION("""COMPUTED_VALUE"""),"Neiva")</f>
        <v>Neiva</v>
      </c>
      <c r="U279" s="87" t="str">
        <f>IFERROR(__xludf.DUMMYFUNCTION("""COMPUTED_VALUE"""),"3")</f>
        <v>3</v>
      </c>
      <c r="V279" s="46" t="str">
        <f>IFERROR(__xludf.DUMMYFUNCTION("""COMPUTED_VALUE"""),"Medianera")</f>
        <v>Medianera</v>
      </c>
      <c r="W279" s="46"/>
      <c r="X279" s="46">
        <f>IFERROR(__xludf.DUMMYFUNCTION("""COMPUTED_VALUE"""),4.0)</f>
        <v>4</v>
      </c>
      <c r="Y279" s="46" t="str">
        <f>IFERROR(__xludf.DUMMYFUNCTION("""COMPUTED_VALUE"""),"No tiene")</f>
        <v>No tiene</v>
      </c>
      <c r="Z279" s="90" t="str">
        <f>IFERROR(__xludf.DUMMYFUNCTION("""COMPUTED_VALUE"""),"No aplica")</f>
        <v>No aplica</v>
      </c>
      <c r="AA279" s="33" t="str">
        <f>IFERROR(__xludf.DUMMYFUNCTION("""COMPUTED_VALUE"""),"No aplica")</f>
        <v>No aplica</v>
      </c>
      <c r="AB279" s="96" t="str">
        <f>IFERROR(__xludf.DUMMYFUNCTION("""COMPUTED_VALUE"""),"https://photos.app.goo.gl/ATghK3tZF9Leiw73A")</f>
        <v>https://photos.app.goo.gl/ATghK3tZF9Leiw73A</v>
      </c>
      <c r="AC279" s="46" t="str">
        <f>IFERROR(__xludf.DUMMYFUNCTION("""COMPUTED_VALUE"""),"En el primer piso dispone de sala, comedor, cocina integral abierta, baño social, una habitación con aire acondicionado y baño privado con punto eléctrico para agua caliente, además de una amplia zona de lavandería con instalación para lavadora y mueble d"&amp;"e almacenamiento. En el segundo piso ofrece tres habitaciones con clóset, destacándose la principal con aire acondicionado y baño privado, baño auxiliar, estudio, sala de TV y un amplio balcón. Una excelente opción para quienes buscan comodidad, modernida"&amp;"d y ubicación")</f>
        <v>En el primer piso dispone de sala, comedor, cocina integral abierta, baño social, una habitación con aire acondicionado y baño privado con punto eléctrico para agua caliente, además de una amplia zona de lavandería con instalación para lavadora y mueble de almacenamiento. En el segundo piso ofrece tres habitaciones con clóset, destacándose la principal con aire acondicionado y baño privado, baño auxiliar, estudio, sala de TV y un amplio balcón. Una excelente opción para quienes buscan comodidad, modernidad y ubicación</v>
      </c>
      <c r="AD279" s="46" t="str">
        <f>IFERROR(__xludf.DUMMYFUNCTION("""COMPUTED_VALUE"""),"Espectacular casa de dos niveles en venta, ubicada en el oriente de la ciudad, barrio Villa Café, totalmente remodelada y lista para estrenar, con un área construida de 140 m². Cuenta con redes nuevas de gas, eléctricas y de alcantarillado, pisos en porce"&amp;"lanato color beige y parqueadero enrejado y techado con capacidad para un vehículo y dos motos.")</f>
        <v>Espectacular casa de dos niveles en venta, ubicada en el oriente de la ciudad, barrio Villa Café, totalmente remodelada y lista para estrenar, con un área construida de 140 m². Cuenta con redes nuevas de gas, eléctricas y de alcantarillado, pisos en porcelanato color beige y parqueadero enrejado y techado con capacidad para un vehículo y dos motos.</v>
      </c>
      <c r="AE279" s="46"/>
      <c r="AF279" s="46" t="str">
        <f>IFERROR(__xludf.DUMMYFUNCTION("""COMPUTED_VALUE"""),"integral")</f>
        <v>integral</v>
      </c>
      <c r="AG279" s="46"/>
      <c r="AH279" s="46" t="str">
        <f>IFERROR(__xludf.DUMMYFUNCTION("""COMPUTED_VALUE"""),"Aliado")</f>
        <v>Aliado</v>
      </c>
      <c r="AI279" s="92" t="str">
        <f>IFERROR(__xludf.DUMMYFUNCTION("""COMPUTED_VALUE"""),"https://lh3.googleusercontent.com/pw/AP1GczNggZqTJXrN2o69GJXgMXKaCtZDXOc7KM9AQsyqiA5a3jNgOzNHSZU2v_8yrC_XPWQnjHsOxj4NCpI6t0K8JVrJNB32g8IfQcfsQzj9c82Puxt9Pzkp=w1200|https://lh3.googleusercontent.com/pw/AP1GczOi_anniTokZqjJbZlzdsFJC7tqMLmymRmNb7aonPQ4h5yn1f"&amp;"F9NAmzzsvBNM1e3BDNcC5tRamBDAUdz0juSySKjwtZCAmWvfl3-ikw-9RN-M0BHy4I=w1200|https://lh3.googleusercontent.com/pw/AP1GczPnJK44aIiBYK-fy1napWnedXBO-DgVkvl-KQ6NmcJkffa3eb7VlMJetf2heN3LlAq2FoN7D74poCV80xVlA-410-jZITL6W8QDJbT5vqOo5fme-P8X=w1200|https://lh3.google"&amp;"usercontent.com/pw/AP1GczNObsoGVhrhy0z7-a6MLqzS_xeHqDkIIwxQS-m6AuyAJIPF_WG9c1HGHJgA-mpt70nE4n3qQxM_4WJF53yckCFg0HOK4zuU-oXrod1VPXaq-igf5qIo=w1200|https://lh3.googleusercontent.com/pw/AP1GczNJvTGT8aVF0VkKu7lK7x0hToUOBvHArCtdrt-vH0Ex50A0rAhAPt1TN_8ySy01LSvg"&amp;"RN35Lvb9Za3uEmruDnjDZe9DYtDGegWoagOtZtPFCdCA_5vz=w1200|https://lh3.googleusercontent.com/pw/AP1GczOT--SxoMYuv_o7Ivq_yodTGCzj92J3aCrIR5e-ncEUip-TglEbZVHP-RsW4LXtNQnSV38PqXZA-cOyGcKbNk_qlBG7llrRj2avHurKAYsf-de4Kpum=w1200|https://lh3.googleusercontent.com/pw"&amp;"/AP1GczM2flEe8lNJdAW2s-Jk6ITZi8L9Jvi-gFUSskRtPrS1LjC_zlGaQyuTDZkU9yDoiTvH9S4ojLFIzE6zTLyRGek1JvcyuF9oegzSTnuNXhe7zRqt0t7h=w1200|https://lh3.googleusercontent.com/pw/AP1GczMb8TCn5tFQktanl5kpxAlcBs4xFRkv2X75RM4mxBcySKrnsrnQOHvgnD0UbcF3TZxc_6mkh_Sy7cfARgXozl"&amp;"24stSt4wblmP9xh55Mbasr5FvOW4Ra=w1200|https://lh3.googleusercontent.com/pw/AP1GczPg-UwKgXEk26hkfFdKtWURNnbDvv9-hUaaSsVM3cMYdF4xMZJLhmblksIXXdf8PxDPZpJ5CDZRD29FOFD137DXG8g9a99tNtGkkKEAOYvOnvLebHna=w1200|https://lh3.googleusercontent.com/pw/AP1GczOE_wbKGYNay"&amp;"g_tnpoWl7z80-C2WlD51Hd6llWnvXQ91JjNa9kUx13Lw1UT_FxpHSMG5EWgielbGgZUZfL4IOjUTJVQ8cXAQX06BcoGzCd_Nc4sPXax=w1200|https://lh3.googleusercontent.com/pw/AP1GczNk_V-G6S1nEnwCqndZipIvkg9zzUG9ARa-zn6I9FcZ19QDfEMOAe0ct3lTrdcMevxDDxLH4gwsgOaNich8WLs3dXs2NcVM-imkO84o"&amp;"EPwHXGJMTFhH=w1200|https://lh3.googleusercontent.com/pw/AP1GczPAdhfJA24zdU9Rer35v9aabssr9cWszebjtgssVMN5KsD43RCAPs2vJvGEfGDWqOxyE4HT7HQIF0yALVu7B0qM5KxCcsIjHwB8tr9k57Jv-KK83PTp=w1200|https://lh3.googleusercontent.com/pw/AP1GczPdh1Ov8zuos1JAvZuBqxVgZDJJch9"&amp;"4iBAuOPTwpcPxgvNp-OUQbVMaXtCBXf4OSj3tYf8dwgGOojohHeexXULupzOrVjp0ZQ1FMHXek4LZfaw8zRiJ=w1200|https://lh3.googleusercontent.com/pw/AP1GczPJZwplm9G05xpjqyKl1LdPj3pkMeKfr7KQ_aqgL0CvWw7YIfgOMQVQ9SIMtO8srQx9ffM7cB3WaapZ1AKXnkVJqnHe7EipaWcl9kLYrSrSIkUNpZk5=w1200"&amp;"|https://lh3.googleusercontent.com/pw/AP1GczP6Qso7RUPxxTBHuU2H3U6fUhwFfHHRfBR1i9EC2b2eBDs1fZ0fq_NAqaeUGc_U_IohzBZLfbv6Fwsm4-P1Az1fRt3KXnd14XiilIMzqbflm25oOCja=w1200|https://lh3.googleusercontent.com/pw/AP1GczNYMYNbF64qwjadkVPijJ6FVScwFlkyjJUi2geWtmMDwgdbl"&amp;"puUm-le_ydMqfQG95qKkIERYTuEd3bK_qaZvgP1q6gFvu_hp-teuxhhb0Ld3KIexk7a=w1200|https://lh3.googleusercontent.com/pw/AP1GczN7e3U9VjioFu2pJxBFqrSJJzrz19gPmaMfypDrL5SBw-KSSg_NmIIFKMQHt0UZKTyuq6pnb-ntHqFGhx2kVW7jlwygaNrWFf5NtjuSGXhCyPaG0RDJ=w1200|https://lh3.googl"&amp;"eusercontent.com/pw/AP1GczPzDGBQGuevA_FhFbUV6s69UKA31FG32zBOQNYtCkUJ-QIxzqjy7VEt7yFBynWnVWm86d1LiMrDV7dhGxD57vLGdgl9BjTcKErArqp6e5dT14XsusUh=w1200|https://lh3.googleusercontent.com/pw/AP1GczOWjvmi1ynv8JBRg8UudkbrbeZdrCnBlhmYGJb9uV8XJtY3CEae-6RHEsojLcXAURY"&amp;"YBq6dU8zFXGyG9NMbNjq-U2-eFA8WzFUXSRlVXOJA3sv2Okki=w1200|https://lh3.googleusercontent.com/pw/AP1GczMx5a6WakFqVTAQ4SQjoTSGcQjY_XXXNYr9S-Ww04udIm81OA3JZkO840ISTRVCe4GZlslxByE2Lk13ETdKBIST_5Xz3_mYV1SFYTUvQqQqxgR6t8nI=w1200")</f>
        <v>https://lh3.googleusercontent.com/pw/AP1GczNggZqTJXrN2o69GJXgMXKaCtZDXOc7KM9AQsyqiA5a3jNgOzNHSZU2v_8yrC_XPWQnjHsOxj4NCpI6t0K8JVrJNB32g8IfQcfsQzj9c82Puxt9Pzkp=w1200|https://lh3.googleusercontent.com/pw/AP1GczOi_anniTokZqjJbZlzdsFJC7tqMLmymRmNb7aonPQ4h5yn1fF9NAmzzsvBNM1e3BDNcC5tRamBDAUdz0juSySKjwtZCAmWvfl3-ikw-9RN-M0BHy4I=w1200|https://lh3.googleusercontent.com/pw/AP1GczPnJK44aIiBYK-fy1napWnedXBO-DgVkvl-KQ6NmcJkffa3eb7VlMJetf2heN3LlAq2FoN7D74poCV80xVlA-410-jZITL6W8QDJbT5vqOo5fme-P8X=w1200|https://lh3.googleusercontent.com/pw/AP1GczNObsoGVhrhy0z7-a6MLqzS_xeHqDkIIwxQS-m6AuyAJIPF_WG9c1HGHJgA-mpt70nE4n3qQxM_4WJF53yckCFg0HOK4zuU-oXrod1VPXaq-igf5qIo=w1200|https://lh3.googleusercontent.com/pw/AP1GczNJvTGT8aVF0VkKu7lK7x0hToUOBvHArCtdrt-vH0Ex50A0rAhAPt1TN_8ySy01LSvgRN35Lvb9Za3uEmruDnjDZe9DYtDGegWoagOtZtPFCdCA_5vz=w1200|https://lh3.googleusercontent.com/pw/AP1GczOT--SxoMYuv_o7Ivq_yodTGCzj92J3aCrIR5e-ncEUip-TglEbZVHP-RsW4LXtNQnSV38PqXZA-cOyGcKbNk_qlBG7llrRj2avHurKAYsf-de4Kpum=w1200|https://lh3.googleusercontent.com/pw/AP1GczM2flEe8lNJdAW2s-Jk6ITZi8L9Jvi-gFUSskRtPrS1LjC_zlGaQyuTDZkU9yDoiTvH9S4ojLFIzE6zTLyRGek1JvcyuF9oegzSTnuNXhe7zRqt0t7h=w1200|https://lh3.googleusercontent.com/pw/AP1GczMb8TCn5tFQktanl5kpxAlcBs4xFRkv2X75RM4mxBcySKrnsrnQOHvgnD0UbcF3TZxc_6mkh_Sy7cfARgXozl24stSt4wblmP9xh55Mbasr5FvOW4Ra=w1200|https://lh3.googleusercontent.com/pw/AP1GczPg-UwKgXEk26hkfFdKtWURNnbDvv9-hUaaSsVM3cMYdF4xMZJLhmblksIXXdf8PxDPZpJ5CDZRD29FOFD137DXG8g9a99tNtGkkKEAOYvOnvLebHna=w1200|https://lh3.googleusercontent.com/pw/AP1GczOE_wbKGYNayg_tnpoWl7z80-C2WlD51Hd6llWnvXQ91JjNa9kUx13Lw1UT_FxpHSMG5EWgielbGgZUZfL4IOjUTJVQ8cXAQX06BcoGzCd_Nc4sPXax=w1200|https://lh3.googleusercontent.com/pw/AP1GczNk_V-G6S1nEnwCqndZipIvkg9zzUG9ARa-zn6I9FcZ19QDfEMOAe0ct3lTrdcMevxDDxLH4gwsgOaNich8WLs3dXs2NcVM-imkO84oEPwHXGJMTFhH=w1200|https://lh3.googleusercontent.com/pw/AP1GczPAdhfJA24zdU9Rer35v9aabssr9cWszebjtgssVMN5KsD43RCAPs2vJvGEfGDWqOxyE4HT7HQIF0yALVu7B0qM5KxCcsIjHwB8tr9k57Jv-KK83PTp=w1200|https://lh3.googleusercontent.com/pw/AP1GczPdh1Ov8zuos1JAvZuBqxVgZDJJch94iBAuOPTwpcPxgvNp-OUQbVMaXtCBXf4OSj3tYf8dwgGOojohHeexXULupzOrVjp0ZQ1FMHXek4LZfaw8zRiJ=w1200|https://lh3.googleusercontent.com/pw/AP1GczPJZwplm9G05xpjqyKl1LdPj3pkMeKfr7KQ_aqgL0CvWw7YIfgOMQVQ9SIMtO8srQx9ffM7cB3WaapZ1AKXnkVJqnHe7EipaWcl9kLYrSrSIkUNpZk5=w1200|https://lh3.googleusercontent.com/pw/AP1GczP6Qso7RUPxxTBHuU2H3U6fUhwFfHHRfBR1i9EC2b2eBDs1fZ0fq_NAqaeUGc_U_IohzBZLfbv6Fwsm4-P1Az1fRt3KXnd14XiilIMzqbflm25oOCja=w1200|https://lh3.googleusercontent.com/pw/AP1GczNYMYNbF64qwjadkVPijJ6FVScwFlkyjJUi2geWtmMDwgdblpuUm-le_ydMqfQG95qKkIERYTuEd3bK_qaZvgP1q6gFvu_hp-teuxhhb0Ld3KIexk7a=w1200|https://lh3.googleusercontent.com/pw/AP1GczN7e3U9VjioFu2pJxBFqrSJJzrz19gPmaMfypDrL5SBw-KSSg_NmIIFKMQHt0UZKTyuq6pnb-ntHqFGhx2kVW7jlwygaNrWFf5NtjuSGXhCyPaG0RDJ=w1200|https://lh3.googleusercontent.com/pw/AP1GczPzDGBQGuevA_FhFbUV6s69UKA31FG32zBOQNYtCkUJ-QIxzqjy7VEt7yFBynWnVWm86d1LiMrDV7dhGxD57vLGdgl9BjTcKErArqp6e5dT14XsusUh=w1200|https://lh3.googleusercontent.com/pw/AP1GczOWjvmi1ynv8JBRg8UudkbrbeZdrCnBlhmYGJb9uV8XJtY3CEae-6RHEsojLcXAURYYBq6dU8zFXGyG9NMbNjq-U2-eFA8WzFUXSRlVXOJA3sv2Okki=w1200|https://lh3.googleusercontent.com/pw/AP1GczMx5a6WakFqVTAQ4SQjoTSGcQjY_XXXNYr9S-Ww04udIm81OA3JZkO840ISTRVCe4GZlslxByE2Lk13ETdKBIST_5Xz3_mYV1SFYTUvQqQqxgR6t8nI=w1200</v>
      </c>
      <c r="AJ279" s="46"/>
      <c r="AK279" s="46"/>
      <c r="AL279" s="46"/>
      <c r="AM279" s="46"/>
      <c r="AN279" s="46"/>
      <c r="AO279" s="46"/>
      <c r="AP279" s="46"/>
      <c r="AQ279" s="46"/>
      <c r="AR279" s="46"/>
      <c r="AS279" s="46"/>
      <c r="AT279" s="46"/>
      <c r="AU279" s="46"/>
      <c r="AV279" s="46"/>
      <c r="AW279" s="46"/>
      <c r="AX279" s="46"/>
      <c r="AY279" s="46"/>
      <c r="AZ279" s="46"/>
      <c r="BA279" s="46"/>
      <c r="BB279" s="46"/>
      <c r="BC279" s="46"/>
      <c r="BD279" s="46"/>
      <c r="BE279" s="46"/>
      <c r="BF279" s="46"/>
      <c r="BG279" s="46"/>
      <c r="BH279" s="46"/>
      <c r="BI279" s="46"/>
      <c r="BJ279" s="46"/>
      <c r="BK279" s="46"/>
      <c r="BL279" s="46"/>
      <c r="BM279" s="46"/>
      <c r="BN279" s="46"/>
      <c r="BO279" s="46"/>
      <c r="BP279" s="46"/>
      <c r="BQ279" s="46"/>
      <c r="BR279" s="46"/>
      <c r="BS279" s="46"/>
      <c r="BT279" s="46"/>
      <c r="BU279" s="46"/>
      <c r="BV279" s="46"/>
      <c r="BW279" s="46"/>
      <c r="BX279" s="46"/>
      <c r="BY279" s="46"/>
      <c r="BZ279" s="46"/>
      <c r="CA279" s="46"/>
      <c r="CB279" s="46"/>
      <c r="CC279" s="46"/>
    </row>
    <row r="280">
      <c r="A280" s="87" t="str">
        <f>IFERROR(__xludf.DUMMYFUNCTION("""COMPUTED_VALUE"""),"526")</f>
        <v>526</v>
      </c>
      <c r="B280" s="46" t="str">
        <f>IFERROR(__xludf.DUMMYFUNCTION("""COMPUTED_VALUE"""),"Casa en barrio Villa Café - Oriente")</f>
        <v>Casa en barrio Villa Café - Oriente</v>
      </c>
      <c r="C280" s="46" t="str">
        <f>IFERROR(__xludf.DUMMYFUNCTION("""COMPUTED_VALUE"""),"Casa")</f>
        <v>Casa</v>
      </c>
      <c r="D280" s="46" t="str">
        <f>IFERROR(__xludf.DUMMYFUNCTION("""COMPUTED_VALUE"""),"Villa Café")</f>
        <v>Villa Café</v>
      </c>
      <c r="E280" s="46"/>
      <c r="F280" s="90">
        <f>IFERROR(__xludf.DUMMYFUNCTION("""COMPUTED_VALUE"""),3.7E8)</f>
        <v>370000000</v>
      </c>
      <c r="G280" s="46" t="str">
        <f>IFERROR(__xludf.DUMMYFUNCTION("""COMPUTED_VALUE"""),"$300'000.000 a $400'000.000")</f>
        <v>$300'000.000 a $400'000.000</v>
      </c>
      <c r="H280" s="46"/>
      <c r="I280" s="46"/>
      <c r="J280" s="46" t="str">
        <f>IFERROR(__xludf.DUMMYFUNCTION("""COMPUTED_VALUE"""),"Oriente")</f>
        <v>Oriente</v>
      </c>
      <c r="K280" s="87" t="str">
        <f>IFERROR(__xludf.DUMMYFUNCTION("""COMPUTED_VALUE"""),"7")</f>
        <v>7</v>
      </c>
      <c r="L280" s="46">
        <f>IFERROR(__xludf.DUMMYFUNCTION("""COMPUTED_VALUE"""),3.0)</f>
        <v>3</v>
      </c>
      <c r="M280" s="46"/>
      <c r="N280" s="46">
        <f>IFERROR(__xludf.DUMMYFUNCTION("""COMPUTED_VALUE"""),2.0)</f>
        <v>2</v>
      </c>
      <c r="O280" s="46">
        <f>IFERROR(__xludf.DUMMYFUNCTION("""COMPUTED_VALUE"""),1.0)</f>
        <v>1</v>
      </c>
      <c r="P280" s="46">
        <f>IFERROR(__xludf.DUMMYFUNCTION("""COMPUTED_VALUE"""),2.0)</f>
        <v>2</v>
      </c>
      <c r="Q280" s="92">
        <f>IFERROR(__xludf.DUMMYFUNCTION("""COMPUTED_VALUE"""),140.0)</f>
        <v>140</v>
      </c>
      <c r="R280" s="92">
        <f>IFERROR(__xludf.DUMMYFUNCTION("""COMPUTED_VALUE"""),80.0)</f>
        <v>80</v>
      </c>
      <c r="S280" s="87" t="str">
        <f>IFERROR(__xludf.DUMMYFUNCTION("""COMPUTED_VALUE""")," ")</f>
        <v> </v>
      </c>
      <c r="T280" s="46" t="str">
        <f>IFERROR(__xludf.DUMMYFUNCTION("""COMPUTED_VALUE"""),"Neiva")</f>
        <v>Neiva</v>
      </c>
      <c r="U280" s="87" t="str">
        <f>IFERROR(__xludf.DUMMYFUNCTION("""COMPUTED_VALUE"""),"3")</f>
        <v>3</v>
      </c>
      <c r="V280" s="46" t="str">
        <f>IFERROR(__xludf.DUMMYFUNCTION("""COMPUTED_VALUE"""),"Medianera")</f>
        <v>Medianera</v>
      </c>
      <c r="W280" s="46"/>
      <c r="X280" s="46">
        <f>IFERROR(__xludf.DUMMYFUNCTION("""COMPUTED_VALUE"""),3.0)</f>
        <v>3</v>
      </c>
      <c r="Y280" s="46" t="str">
        <f>IFERROR(__xludf.DUMMYFUNCTION("""COMPUTED_VALUE"""),"No tiene")</f>
        <v>No tiene</v>
      </c>
      <c r="Z280" s="90" t="str">
        <f>IFERROR(__xludf.DUMMYFUNCTION("""COMPUTED_VALUE"""),"No aplica")</f>
        <v>No aplica</v>
      </c>
      <c r="AA280" s="33" t="str">
        <f>IFERROR(__xludf.DUMMYFUNCTION("""COMPUTED_VALUE"""),"No aplica")</f>
        <v>No aplica</v>
      </c>
      <c r="AB280" s="96" t="str">
        <f>IFERROR(__xludf.DUMMYFUNCTION("""COMPUTED_VALUE"""),"https://photos.app.goo.gl/1R5eGbBHeGTXTr1u9")</f>
        <v>https://photos.app.goo.gl/1R5eGbBHeGTXTr1u9</v>
      </c>
      <c r="AC280" s="46" t="str">
        <f>IFERROR(__xludf.DUMMYFUNCTION("""COMPUTED_VALUE"""),"Esta imponente casa de tres niveles en estrato 4, ubicada en el exclusivo sector de Villa Café, destaca por su diseño de vanguardia con pisos en porcelanato pulido de gran formato y muros con acabados impecables en estuco texturizado. Con una generosa áre"&amp;"a construida de 160 m² estructurada para el máximo confort, la propiedad cuenta con un total de 4 amplias habitaciones equipadas con armarios empotrados de madera fina y 4 baños de diseño contemporáneo con grifería de lujo y divisiones en vidrio templado."&amp;" El primer nivel dispone de un garaje privado cubierto con portón eléctrico, sala y comedor en ambientes independientes muy bien iluminados, un baño social y una espectacular cocina integral abierta tipo americana con mesón de granito, estufa y campana em"&amp;"potradas, y amplios muebles de almacenamiento flotantes, la cual conecta a un patio interior con zona de ropas independiente.")</f>
        <v>Esta imponente casa de tres niveles en estrato 4, ubicada en el exclusivo sector de Villa Café, destaca por su diseño de vanguardia con pisos en porcelanato pulido de gran formato y muros con acabados impecables en estuco texturizado. Con una generosa área construida de 160 m² estructurada para el máximo confort, la propiedad cuenta con un total de 4 amplias habitaciones equipadas con armarios empotrados de madera fina y 4 baños de diseño contemporáneo con grifería de lujo y divisiones en vidrio templado. El primer nivel dispone de un garaje privado cubierto con portón eléctrico, sala y comedor en ambientes independientes muy bien iluminados, un baño social y una espectacular cocina integral abierta tipo americana con mesón de granito, estufa y campana empotradas, y amplios muebles de almacenamiento flotantes, la cual conecta a un patio interior con zona de ropas independiente.</v>
      </c>
      <c r="AD280" s="46" t="str">
        <f>IFERROR(__xludf.DUMMYFUNCTION("""COMPUTED_VALUE"""),"Situada en el prestigioso barrio Villa Café, una de las zonas de mayor valorización, seguridad y frescura de la ciudad, esta residencia ofrece un estatus inigualable y un entorno puramente residencial. Su ubicación estratégica garantiza una conectividad ó"&amp;"ptima, encontrándose a solo pasos de los principales centros comerciales, universidades de primer nivel, restaurantes exclusivos y vías de acceso rápido. Al contar con amplios espacios distribuidos en tres niveles, una óptima iluminación natural en cada r"&amp;"incón y acabados de gama alta listos para disfrutar, esta casa representa la oportunidad perfecta de inversión inmediata para familias exigentes que buscan mudarse ya y asegurar una calidad de vida superior.")</f>
        <v>Situada en el prestigioso barrio Villa Café, una de las zonas de mayor valorización, seguridad y frescura de la ciudad, esta residencia ofrece un estatus inigualable y un entorno puramente residencial. Su ubicación estratégica garantiza una conectividad óptima, encontrándose a solo pasos de los principales centros comerciales, universidades de primer nivel, restaurantes exclusivos y vías de acceso rápido. Al contar con amplios espacios distribuidos en tres niveles, una óptima iluminación natural en cada rincón y acabados de gama alta listos para disfrutar, esta casa representa la oportunidad perfecta de inversión inmediata para familias exigentes que buscan mudarse ya y asegurar una calidad de vida superior.</v>
      </c>
      <c r="AE280" s="46"/>
      <c r="AF280" s="46" t="str">
        <f>IFERROR(__xludf.DUMMYFUNCTION("""COMPUTED_VALUE"""),"integral")</f>
        <v>integral</v>
      </c>
      <c r="AG280" s="46"/>
      <c r="AH280" s="46" t="str">
        <f>IFERROR(__xludf.DUMMYFUNCTION("""COMPUTED_VALUE"""),"Aliado")</f>
        <v>Aliado</v>
      </c>
      <c r="AI280" s="92" t="str">
        <f>IFERROR(__xludf.DUMMYFUNCTION("""COMPUTED_VALUE"""),"https://lh3.googleusercontent.com/pw/AP1GczMICXFKZ_iwNeExhxo2brQcAoBXDHKSHGAUba0TY1be6h8Tqqec5OK5InveGkN0TDexKweRB-1T1KCb6qvwixrvA3z7WlwBU_v11RovNA55DA0cZ_qn=w1200|https://lh3.googleusercontent.com/pw/AP1GczPpHrVigr1_YQ9QDw0VY_f68wPCOrDSPVJknJJTlZyvNrnTyZ"&amp;"tsL0ZklU5uvNn3KykqN2DhoH-VMAMgaU8qAFsgU4TtnXAfjib3iyQXQFePdkE8CaL9=w1200|https://lh3.googleusercontent.com/pw/AP1GczNGyeXJmIu1ThYnHDrhW-LGYKYfJsdE-krhLki_3JKcrT03g2a1COjOkFoMXj7xX3o4_uCz0MKMy84H8eb7eoiQuh7BkTNysCy8XKlEhyhiT9MMgJNa=w1200|https://lh3.google"&amp;"usercontent.com/pw/AP1GczMzxkPRvuHBgieNSf36VxYBWMV9rClvDC2tiD7LC8vLO40ku62HGGO9Ugjm1LwOd31T9suEBhOBydGv4Qc0PACGhuoeB11hzqH3Wf01dAwxHTdV_iLF=w1200|https://lh3.googleusercontent.com/pw/AP1GczNewHEnVZ_zrq7GS8xE1E51F9OtdmjedM0pnJA-C9_I_TkLZm2C44WR7M7wdnobBzsJ"&amp;"KnY6EQpV3vquWLonKV7H2mXPc5jmmwDwRjtZTPcK7MjAoKv8=w1200|https://lh3.googleusercontent.com/pw/AP1GczOSFqM1BokdfMwfyetytdAZVNpKUSYreUSjHm0fhTdrFcT0WMLB8xnPgBmTB_8NE7rfjsmJhiDBe7P3Go2Kuesx7IdJ2NVtONWRfYFek87yyK74OFFH=w1200|https://lh3.googleusercontent.com/pw"&amp;"/AP1GczNKV3plvTgb48N3_TUwFx5rEF2Cy4pFuXbOOFTYR90zLlGupQjXRSV_bcTFeGxRJl00L37WbAWF62Lfn5MUnGQD8_eGbtL7zS95m5LIrYchjsKwLfEi=w1200|https://lh3.googleusercontent.com/pw/AP1GczNBYeRYIVPu43MOSjQf_GdiJ179sM_lC5zJTASgjpOWOH4jioObx8PYJuZisd4Faa38cHOKsjAk3gPdZweWBX"&amp;"o9XNacu1Dyob_w5jYwlSAW7R_H_jsv=w1200|https://lh3.googleusercontent.com/pw/AP1GczMiiwtfSbuumQmVTvg7vDcU3ZqlTQP2J7KCF-Tuj2ElHacGrzOhk-U7onSgjIVmhDRq8TB6s4VM1I8wkJHz145xceTeLyOAthyEAsR_yY18ONNmIXQx=w1200")</f>
        <v>https://lh3.googleusercontent.com/pw/AP1GczMICXFKZ_iwNeExhxo2brQcAoBXDHKSHGAUba0TY1be6h8Tqqec5OK5InveGkN0TDexKweRB-1T1KCb6qvwixrvA3z7WlwBU_v11RovNA55DA0cZ_qn=w1200|https://lh3.googleusercontent.com/pw/AP1GczPpHrVigr1_YQ9QDw0VY_f68wPCOrDSPVJknJJTlZyvNrnTyZtsL0ZklU5uvNn3KykqN2DhoH-VMAMgaU8qAFsgU4TtnXAfjib3iyQXQFePdkE8CaL9=w1200|https://lh3.googleusercontent.com/pw/AP1GczNGyeXJmIu1ThYnHDrhW-LGYKYfJsdE-krhLki_3JKcrT03g2a1COjOkFoMXj7xX3o4_uCz0MKMy84H8eb7eoiQuh7BkTNysCy8XKlEhyhiT9MMgJNa=w1200|https://lh3.googleusercontent.com/pw/AP1GczMzxkPRvuHBgieNSf36VxYBWMV9rClvDC2tiD7LC8vLO40ku62HGGO9Ugjm1LwOd31T9suEBhOBydGv4Qc0PACGhuoeB11hzqH3Wf01dAwxHTdV_iLF=w1200|https://lh3.googleusercontent.com/pw/AP1GczNewHEnVZ_zrq7GS8xE1E51F9OtdmjedM0pnJA-C9_I_TkLZm2C44WR7M7wdnobBzsJKnY6EQpV3vquWLonKV7H2mXPc5jmmwDwRjtZTPcK7MjAoKv8=w1200|https://lh3.googleusercontent.com/pw/AP1GczOSFqM1BokdfMwfyetytdAZVNpKUSYreUSjHm0fhTdrFcT0WMLB8xnPgBmTB_8NE7rfjsmJhiDBe7P3Go2Kuesx7IdJ2NVtONWRfYFek87yyK74OFFH=w1200|https://lh3.googleusercontent.com/pw/AP1GczNKV3plvTgb48N3_TUwFx5rEF2Cy4pFuXbOOFTYR90zLlGupQjXRSV_bcTFeGxRJl00L37WbAWF62Lfn5MUnGQD8_eGbtL7zS95m5LIrYchjsKwLfEi=w1200|https://lh3.googleusercontent.com/pw/AP1GczNBYeRYIVPu43MOSjQf_GdiJ179sM_lC5zJTASgjpOWOH4jioObx8PYJuZisd4Faa38cHOKsjAk3gPdZweWBXo9XNacu1Dyob_w5jYwlSAW7R_H_jsv=w1200|https://lh3.googleusercontent.com/pw/AP1GczMiiwtfSbuumQmVTvg7vDcU3ZqlTQP2J7KCF-Tuj2ElHacGrzOhk-U7onSgjIVmhDRq8TB6s4VM1I8wkJHz145xceTeLyOAthyEAsR_yY18ONNmIXQx=w1200</v>
      </c>
      <c r="AJ280" s="46"/>
      <c r="AK280" s="46"/>
      <c r="AL280" s="46"/>
      <c r="AM280" s="46"/>
      <c r="AN280" s="46"/>
      <c r="AO280" s="46"/>
      <c r="AP280" s="46"/>
      <c r="AQ280" s="46"/>
      <c r="AR280" s="46"/>
      <c r="AS280" s="46"/>
      <c r="AT280" s="46"/>
      <c r="AU280" s="46"/>
      <c r="AV280" s="46"/>
      <c r="AW280" s="46"/>
      <c r="AX280" s="46"/>
      <c r="AY280" s="46"/>
      <c r="AZ280" s="46"/>
      <c r="BA280" s="46"/>
      <c r="BB280" s="46"/>
      <c r="BC280" s="46"/>
      <c r="BD280" s="46"/>
      <c r="BE280" s="46"/>
      <c r="BF280" s="46"/>
      <c r="BG280" s="46"/>
      <c r="BH280" s="46"/>
      <c r="BI280" s="46"/>
      <c r="BJ280" s="46"/>
      <c r="BK280" s="46"/>
      <c r="BL280" s="46"/>
      <c r="BM280" s="46"/>
      <c r="BN280" s="46"/>
      <c r="BO280" s="46"/>
      <c r="BP280" s="46"/>
      <c r="BQ280" s="46"/>
      <c r="BR280" s="46"/>
      <c r="BS280" s="46"/>
      <c r="BT280" s="46"/>
      <c r="BU280" s="46"/>
      <c r="BV280" s="46"/>
      <c r="BW280" s="46"/>
      <c r="BX280" s="46"/>
      <c r="BY280" s="46"/>
      <c r="BZ280" s="46"/>
      <c r="CA280" s="46"/>
      <c r="CB280" s="46"/>
      <c r="CC280" s="46"/>
    </row>
    <row r="281">
      <c r="A281" s="87" t="str">
        <f>IFERROR(__xludf.DUMMYFUNCTION("""COMPUTED_VALUE"""),"493")</f>
        <v>493</v>
      </c>
      <c r="B281" s="46" t="str">
        <f>IFERROR(__xludf.DUMMYFUNCTION("""COMPUTED_VALUE"""),"Casa en conjunto Campo Real - Oriente")</f>
        <v>Casa en conjunto Campo Real - Oriente</v>
      </c>
      <c r="C281" s="46" t="str">
        <f>IFERROR(__xludf.DUMMYFUNCTION("""COMPUTED_VALUE"""),"Casa en conjunto")</f>
        <v>Casa en conjunto</v>
      </c>
      <c r="D281" s="46"/>
      <c r="E281" s="46" t="str">
        <f>IFERROR(__xludf.DUMMYFUNCTION("""COMPUTED_VALUE"""),"Conjunto Campo Real ")</f>
        <v>Conjunto Campo Real </v>
      </c>
      <c r="F281" s="90">
        <f>IFERROR(__xludf.DUMMYFUNCTION("""COMPUTED_VALUE"""),3.5E8)</f>
        <v>350000000</v>
      </c>
      <c r="G281" s="46" t="str">
        <f>IFERROR(__xludf.DUMMYFUNCTION("""COMPUTED_VALUE"""),"$300'000.000 a $400'000.000")</f>
        <v>$300'000.000 a $400'000.000</v>
      </c>
      <c r="H281" s="46"/>
      <c r="I281" s="46"/>
      <c r="J281" s="46" t="str">
        <f>IFERROR(__xludf.DUMMYFUNCTION("""COMPUTED_VALUE"""),"Oriente")</f>
        <v>Oriente</v>
      </c>
      <c r="K281" s="87"/>
      <c r="L281" s="46">
        <f>IFERROR(__xludf.DUMMYFUNCTION("""COMPUTED_VALUE"""),3.0)</f>
        <v>3</v>
      </c>
      <c r="M281" s="46"/>
      <c r="N281" s="46">
        <f>IFERROR(__xludf.DUMMYFUNCTION("""COMPUTED_VALUE"""),3.0)</f>
        <v>3</v>
      </c>
      <c r="O281" s="46">
        <f>IFERROR(__xludf.DUMMYFUNCTION("""COMPUTED_VALUE"""),1.0)</f>
        <v>1</v>
      </c>
      <c r="P281" s="46">
        <f>IFERROR(__xludf.DUMMYFUNCTION("""COMPUTED_VALUE"""),2.0)</f>
        <v>2</v>
      </c>
      <c r="Q281" s="92">
        <f>IFERROR(__xludf.DUMMYFUNCTION("""COMPUTED_VALUE"""),120.0)</f>
        <v>120</v>
      </c>
      <c r="R281" s="92">
        <f>IFERROR(__xludf.DUMMYFUNCTION("""COMPUTED_VALUE"""),75.0)</f>
        <v>75</v>
      </c>
      <c r="S281" s="87" t="str">
        <f>IFERROR(__xludf.DUMMYFUNCTION("""COMPUTED_VALUE""")," ")</f>
        <v> </v>
      </c>
      <c r="T281" s="46" t="str">
        <f>IFERROR(__xludf.DUMMYFUNCTION("""COMPUTED_VALUE"""),"Neiva")</f>
        <v>Neiva</v>
      </c>
      <c r="U281" s="87" t="str">
        <f>IFERROR(__xludf.DUMMYFUNCTION("""COMPUTED_VALUE"""),"4")</f>
        <v>4</v>
      </c>
      <c r="V281" s="46" t="str">
        <f>IFERROR(__xludf.DUMMYFUNCTION("""COMPUTED_VALUE"""),"Medianera")</f>
        <v>Medianera</v>
      </c>
      <c r="W281" s="46"/>
      <c r="X281" s="46">
        <f>IFERROR(__xludf.DUMMYFUNCTION("""COMPUTED_VALUE"""),3.0)</f>
        <v>3</v>
      </c>
      <c r="Y281" s="46" t="str">
        <f>IFERROR(__xludf.DUMMYFUNCTION("""COMPUTED_VALUE"""),"Social")</f>
        <v>Social</v>
      </c>
      <c r="Z281" s="90">
        <f>IFERROR(__xludf.DUMMYFUNCTION("""COMPUTED_VALUE"""),420000.0)</f>
        <v>420000</v>
      </c>
      <c r="AA281" s="33" t="str">
        <f>IFERROR(__xludf.DUMMYFUNCTION("""COMPUTED_VALUE"""),"No aplica")</f>
        <v>No aplica</v>
      </c>
      <c r="AB281" s="96" t="str">
        <f>IFERROR(__xludf.DUMMYFUNCTION("""COMPUTED_VALUE"""),"https://photos.app.goo.gl/RtLpwQCXRfv4edYK6")</f>
        <v>https://photos.app.goo.gl/RtLpwQCXRfv4edYK6</v>
      </c>
      <c r="AC281" s="46" t="str">
        <f>IFERROR(__xludf.DUMMYFUNCTION("""COMPUTED_VALUE"""),"La zona privada se despliega en el segundo piso, el cual alberga un hall de alcobas, un baño auxiliar y 3 cómodas habitaciones con clóset, incluyendo la principal con baño privado. Un gran atractivo de este nivel es su altillo, un espacio versátil perfect"&amp;"o para adecuarse como estudio u oficina. Al formar parte de un conjunto cerrado de solo 30 casas, los residentes disfrutan de total privacidad, vigilancia 24 horas y excelentes zonas sociales que incluyen piscina, kiosco para eventos y zona de juegos, tod"&amp;"o a pocos minutos de colegios, centros comerciales y clínicas.")</f>
        <v>La zona privada se despliega en el segundo piso, el cual alberga un hall de alcobas, un baño auxiliar y 3 cómodas habitaciones con clóset, incluyendo la principal con baño privado. Un gran atractivo de este nivel es su altillo, un espacio versátil perfecto para adecuarse como estudio u oficina. Al formar parte de un conjunto cerrado de solo 30 casas, los residentes disfrutan de total privacidad, vigilancia 24 horas y excelentes zonas sociales que incluyen piscina, kiosco para eventos y zona de juegos, todo a pocos minutos de colegios, centros comerciales y clínicas.</v>
      </c>
      <c r="AD281" s="46" t="str">
        <f>IFERROR(__xludf.DUMMYFUNCTION("""COMPUTED_VALUE"""),"Esta hermosa casa de dos niveles y $75\text{ Mt}^2$, ubicada en el estrato 4 de la zona Oriente de Neiva, ofrece un diseño acogedor y funcional dentro del exclusivo Conjunto Campo Real. El primer nivel destaca por un recibidor con pisos de mármol claro pu"&amp;"lido, una sala de TV con una moderna pared decorativa en relieve 3D, un comedor independiente y una cocina integral equipada con gabinetes blancos. Adicionalmente, este piso cuenta con un baño auxiliar, cuarto de san alejo, patio de ropas, un amplio patio"&amp;" exterior ideal para el descanso y un parqueadero techado para un vehículo.")</f>
        <v>Esta hermosa casa de dos niveles y $75\text{ Mt}^2$, ubicada en el estrato 4 de la zona Oriente de Neiva, ofrece un diseño acogedor y funcional dentro del exclusivo Conjunto Campo Real. El primer nivel destaca por un recibidor con pisos de mármol claro pulido, una sala de TV con una moderna pared decorativa en relieve 3D, un comedor independiente y una cocina integral equipada con gabinetes blancos. Adicionalmente, este piso cuenta con un baño auxiliar, cuarto de san alejo, patio de ropas, un amplio patio exterior ideal para el descanso y un parqueadero techado para un vehículo.</v>
      </c>
      <c r="AE281" s="46"/>
      <c r="AF281" s="46" t="str">
        <f>IFERROR(__xludf.DUMMYFUNCTION("""COMPUTED_VALUE"""),"integral")</f>
        <v>integral</v>
      </c>
      <c r="AG281" s="46"/>
      <c r="AH281" s="46" t="str">
        <f>IFERROR(__xludf.DUMMYFUNCTION("""COMPUTED_VALUE"""),"Aliado")</f>
        <v>Aliado</v>
      </c>
      <c r="AI281" s="92" t="str">
        <f>IFERROR(__xludf.DUMMYFUNCTION("""COMPUTED_VALUE"""),"https://lh3.googleusercontent.com/pw/AP1GczMZ-HZ9MSCGUlFBDAf_Z_qtjFW8gakbRQ3NrTZOUr0iZ_R0dRVkJdQs_dJBoH30BMrplSzjdKaz770-_QAeCbGnwEVaWAG9oe7TOZTqTqoFSkJRdS5e=w1200|https://lh3.googleusercontent.com/pw/AP1GczOlNs5aEwaTt1gOkI3KHp4ImfAzPhb0LHHI0DNrx_d5A8qxbc"&amp;"qHLJmTsPj4scRB30x584b3bYsJL3hzLup5V3s9BtRv3qyOxwA623_suDrJKJfjpo36=w1200|https://lh3.googleusercontent.com/pw/AP1GczNCJpKUvPjeZPzE6fUYuwINM799ud0IV3Mou-JJjk--O5etEVWy3x97E5p1FmAUncL1LcFXcvatwOOtqW-5U56iesif3hsAekY1Gq8srwoHe3eQ4e1O=w1200|https://lh3.google"&amp;"usercontent.com/pw/AP1GczMNfAZHkauJMo-8_6Y6P5s3irNbKxJJf47d9qMjSxGnphl2pdg1UYEvRLKwFd0qofHMmGj5Q4QeL9AYYeyXjyqktUgqj1ttyXuDLVfE9fhtrvkzMeV1=w1200|https://lh3.googleusercontent.com/pw/AP1GczMu_38iO_xgnzqjry7Mfb7L4IBacoCFJ-ULs1mFuhEoS0Zd8KUnMqgtMfzVfpflVtnF"&amp;"pUTY7EcL8qmsQNyWWRdP9pAtoUeJ6jC1OnHi9e06MY6l30Wn=w1200|https://lh3.googleusercontent.com/pw/AP1GczPF-qHRPdCVs-_O1RTDdWuxPt-Wdv39PDYAwPmGgF4odEpIDLAPFAVOhykqVXFe9R28JQsEwklYWWafU_BfmUW1PvgUzZ_uvrYvgufnzVPpYewzvRgE=w1200|https://lh3.googleusercontent.com/pw"&amp;"/AP1GczM5B_4ddvn1Fk8412BYaXtubWXxmViPm1qb6fhwfmWrwdKj3zflN56MROlnYOrw4rAW1r-NeTtzIIlC8AjpuoEZhoZyxx_ZBjjOJ7UtQZ_N74ZcmeiT=w1200|https://lh3.googleusercontent.com/pw/AP1GczP2BihJShUDc9IaOYjLc_F5F0ZRf6FJYttX2XE3NOUtMtsxBZRn5T4gD_QHChB3UjCFHnpzTCJQ0LyqBTD306"&amp;"WR-TGc2ndYgvyU6Y4MV3MlYH1xyDZP=w1200|https://lh3.googleusercontent.com/pw/AP1GczNa2LRS67cILy6GJuXBip8nLYT_8tg9Mp6m9cdB4jAdX0F5Q-PDZd2ipXfcbpD-82pTmclpitHMQU6xJsuTGWnAN9oq-QxSQhOSzOfy2PribxKNkDuW=w1200|https://lh3.googleusercontent.com/pw/AP1GczP9D8ap6i9YQ"&amp;"LTBmxFuF8U_CHaGcUkEkk7bC8YiJ5DUI-qkJBQ1snpnbBA5ILasyPby8qZ_OLNinyDMAKcZVYZVCgmGW-6UPa70qpiAsNfrahqkgoYi=w1200")</f>
        <v>https://lh3.googleusercontent.com/pw/AP1GczMZ-HZ9MSCGUlFBDAf_Z_qtjFW8gakbRQ3NrTZOUr0iZ_R0dRVkJdQs_dJBoH30BMrplSzjdKaz770-_QAeCbGnwEVaWAG9oe7TOZTqTqoFSkJRdS5e=w1200|https://lh3.googleusercontent.com/pw/AP1GczOlNs5aEwaTt1gOkI3KHp4ImfAzPhb0LHHI0DNrx_d5A8qxbcqHLJmTsPj4scRB30x584b3bYsJL3hzLup5V3s9BtRv3qyOxwA623_suDrJKJfjpo36=w1200|https://lh3.googleusercontent.com/pw/AP1GczNCJpKUvPjeZPzE6fUYuwINM799ud0IV3Mou-JJjk--O5etEVWy3x97E5p1FmAUncL1LcFXcvatwOOtqW-5U56iesif3hsAekY1Gq8srwoHe3eQ4e1O=w1200|https://lh3.googleusercontent.com/pw/AP1GczMNfAZHkauJMo-8_6Y6P5s3irNbKxJJf47d9qMjSxGnphl2pdg1UYEvRLKwFd0qofHMmGj5Q4QeL9AYYeyXjyqktUgqj1ttyXuDLVfE9fhtrvkzMeV1=w1200|https://lh3.googleusercontent.com/pw/AP1GczMu_38iO_xgnzqjry7Mfb7L4IBacoCFJ-ULs1mFuhEoS0Zd8KUnMqgtMfzVfpflVtnFpUTY7EcL8qmsQNyWWRdP9pAtoUeJ6jC1OnHi9e06MY6l30Wn=w1200|https://lh3.googleusercontent.com/pw/AP1GczPF-qHRPdCVs-_O1RTDdWuxPt-Wdv39PDYAwPmGgF4odEpIDLAPFAVOhykqVXFe9R28JQsEwklYWWafU_BfmUW1PvgUzZ_uvrYvgufnzVPpYewzvRgE=w1200|https://lh3.googleusercontent.com/pw/AP1GczM5B_4ddvn1Fk8412BYaXtubWXxmViPm1qb6fhwfmWrwdKj3zflN56MROlnYOrw4rAW1r-NeTtzIIlC8AjpuoEZhoZyxx_ZBjjOJ7UtQZ_N74ZcmeiT=w1200|https://lh3.googleusercontent.com/pw/AP1GczP2BihJShUDc9IaOYjLc_F5F0ZRf6FJYttX2XE3NOUtMtsxBZRn5T4gD_QHChB3UjCFHnpzTCJQ0LyqBTD306WR-TGc2ndYgvyU6Y4MV3MlYH1xyDZP=w1200|https://lh3.googleusercontent.com/pw/AP1GczNa2LRS67cILy6GJuXBip8nLYT_8tg9Mp6m9cdB4jAdX0F5Q-PDZd2ipXfcbpD-82pTmclpitHMQU6xJsuTGWnAN9oq-QxSQhOSzOfy2PribxKNkDuW=w1200|https://lh3.googleusercontent.com/pw/AP1GczP9D8ap6i9YQLTBmxFuF8U_CHaGcUkEkk7bC8YiJ5DUI-qkJBQ1snpnbBA5ILasyPby8qZ_OLNinyDMAKcZVYZVCgmGW-6UPa70qpiAsNfrahqkgoYi=w1200</v>
      </c>
      <c r="AJ281" s="46"/>
      <c r="AK281" s="46"/>
      <c r="AL281" s="46"/>
      <c r="AM281" s="46"/>
      <c r="AN281" s="46"/>
      <c r="AO281" s="46"/>
      <c r="AP281" s="46"/>
      <c r="AQ281" s="46"/>
      <c r="AR281" s="46"/>
      <c r="AS281" s="46"/>
      <c r="AT281" s="46"/>
      <c r="AU281" s="46"/>
      <c r="AV281" s="46"/>
      <c r="AW281" s="46"/>
      <c r="AX281" s="46"/>
      <c r="AY281" s="46"/>
      <c r="AZ281" s="46"/>
      <c r="BA281" s="46"/>
      <c r="BB281" s="46"/>
      <c r="BC281" s="46"/>
      <c r="BD281" s="46"/>
      <c r="BE281" s="46"/>
      <c r="BF281" s="46"/>
      <c r="BG281" s="46"/>
      <c r="BH281" s="46"/>
      <c r="BI281" s="46"/>
      <c r="BJ281" s="46"/>
      <c r="BK281" s="46"/>
      <c r="BL281" s="46"/>
      <c r="BM281" s="46"/>
      <c r="BN281" s="46"/>
      <c r="BO281" s="46"/>
      <c r="BP281" s="46"/>
      <c r="BQ281" s="46"/>
      <c r="BR281" s="46"/>
      <c r="BS281" s="46"/>
      <c r="BT281" s="46"/>
      <c r="BU281" s="46"/>
      <c r="BV281" s="46"/>
      <c r="BW281" s="46"/>
      <c r="BX281" s="46"/>
      <c r="BY281" s="46"/>
      <c r="BZ281" s="46"/>
      <c r="CA281" s="46"/>
      <c r="CB281" s="46"/>
      <c r="CC281" s="46"/>
    </row>
    <row r="282">
      <c r="A282" s="87" t="str">
        <f>IFERROR(__xludf.DUMMYFUNCTION("""COMPUTED_VALUE"""),"1276")</f>
        <v>1276</v>
      </c>
      <c r="B282" s="46" t="str">
        <f>IFERROR(__xludf.DUMMYFUNCTION("""COMPUTED_VALUE"""),"Casa en conjunto Residencial Los Rosales - Norte")</f>
        <v>Casa en conjunto Residencial Los Rosales - Norte</v>
      </c>
      <c r="C282" s="46" t="str">
        <f>IFERROR(__xludf.DUMMYFUNCTION("""COMPUTED_VALUE"""),"Casa en conjunto")</f>
        <v>Casa en conjunto</v>
      </c>
      <c r="D282" s="46"/>
      <c r="E282" s="46" t="str">
        <f>IFERROR(__xludf.DUMMYFUNCTION("""COMPUTED_VALUE"""),"Los Rosales")</f>
        <v>Los Rosales</v>
      </c>
      <c r="F282" s="90">
        <f>IFERROR(__xludf.DUMMYFUNCTION("""COMPUTED_VALUE"""),3.5E8)</f>
        <v>350000000</v>
      </c>
      <c r="G282" s="46" t="str">
        <f>IFERROR(__xludf.DUMMYFUNCTION("""COMPUTED_VALUE"""),"$300'000.000 a $400'000.000")</f>
        <v>$300'000.000 a $400'000.000</v>
      </c>
      <c r="H282" s="46"/>
      <c r="I282" s="46"/>
      <c r="J282" s="46" t="str">
        <f>IFERROR(__xludf.DUMMYFUNCTION("""COMPUTED_VALUE"""),"Norte")</f>
        <v>Norte</v>
      </c>
      <c r="K282" s="87"/>
      <c r="L282" s="46">
        <f>IFERROR(__xludf.DUMMYFUNCTION("""COMPUTED_VALUE"""),3.0)</f>
        <v>3</v>
      </c>
      <c r="M282" s="46"/>
      <c r="N282" s="46">
        <f>IFERROR(__xludf.DUMMYFUNCTION("""COMPUTED_VALUE"""),3.0)</f>
        <v>3</v>
      </c>
      <c r="O282" s="46">
        <f>IFERROR(__xludf.DUMMYFUNCTION("""COMPUTED_VALUE"""),1.0)</f>
        <v>1</v>
      </c>
      <c r="P282" s="46">
        <f>IFERROR(__xludf.DUMMYFUNCTION("""COMPUTED_VALUE"""),2.0)</f>
        <v>2</v>
      </c>
      <c r="Q282" s="92">
        <f>IFERROR(__xludf.DUMMYFUNCTION("""COMPUTED_VALUE"""),96.0)</f>
        <v>96</v>
      </c>
      <c r="R282" s="92">
        <f>IFERROR(__xludf.DUMMYFUNCTION("""COMPUTED_VALUE"""),170.0)</f>
        <v>170</v>
      </c>
      <c r="S282" s="87" t="str">
        <f>IFERROR(__xludf.DUMMYFUNCTION("""COMPUTED_VALUE""")," ")</f>
        <v> </v>
      </c>
      <c r="T282" s="46" t="str">
        <f>IFERROR(__xludf.DUMMYFUNCTION("""COMPUTED_VALUE"""),"Neiva")</f>
        <v>Neiva</v>
      </c>
      <c r="U282" s="87" t="str">
        <f>IFERROR(__xludf.DUMMYFUNCTION("""COMPUTED_VALUE"""),"4")</f>
        <v>4</v>
      </c>
      <c r="V282" s="46" t="str">
        <f>IFERROR(__xludf.DUMMYFUNCTION("""COMPUTED_VALUE"""),"Medianera")</f>
        <v>Medianera</v>
      </c>
      <c r="W282" s="46"/>
      <c r="X282" s="46">
        <f>IFERROR(__xludf.DUMMYFUNCTION("""COMPUTED_VALUE"""),3.0)</f>
        <v>3</v>
      </c>
      <c r="Y282" s="46" t="str">
        <f>IFERROR(__xludf.DUMMYFUNCTION("""COMPUTED_VALUE"""),"Social")</f>
        <v>Social</v>
      </c>
      <c r="Z282" s="90">
        <f>IFERROR(__xludf.DUMMYFUNCTION("""COMPUTED_VALUE"""),360000.0)</f>
        <v>360000</v>
      </c>
      <c r="AA282" s="33" t="str">
        <f>IFERROR(__xludf.DUMMYFUNCTION("""COMPUTED_VALUE"""),"No aplica")</f>
        <v>No aplica</v>
      </c>
      <c r="AB282" s="144" t="str">
        <f>IFERROR(__xludf.DUMMYFUNCTION("""COMPUTED_VALUE"""),"https://photos.app.goo.gl/5CsgGSzRbqNyijVZ7")</f>
        <v>https://photos.app.goo.gl/5CsgGSzRbqNyijVZ7</v>
      </c>
      <c r="AC282" s="46" t="str">
        <f>IFERROR(__xludf.DUMMYFUNCTION("""COMPUTED_VALUE"""),"Casa de dos plantas en conjunto residencial ubicado en la zona norte de la ciudad, que consta de sala comedor, baño social, balcón con zona verde, patio interno techado, cocina integral, patio de ropas con zona de lavandería, habitación principal con baño"&amp;" privado y closet, segundo piso hall de alcobas, baño auxiliar, dos habitaciones con closet, parqueadero privado. Admón. $360.000 (2025). Estrato 4, canchas, piscina adulto y niños, jacuzzi, bbq, salón social, gym, parque infantil, parqueadero visitantes,"&amp;" supermercado, amplias zonas verdes y vigilancia las 24 horas.")</f>
        <v>Casa de dos plantas en conjunto residencial ubicado en la zona norte de la ciudad, que consta de sala comedor, baño social, balcón con zona verde, patio interno techado, cocina integral, patio de ropas con zona de lavandería, habitación principal con baño privado y closet, segundo piso hall de alcobas, baño auxiliar, dos habitaciones con closet, parqueadero privado. Admón. $360.000 (2025). Estrato 4, canchas, piscina adulto y niños, jacuzzi, bbq, salón social, gym, parque infantil, parqueadero visitantes, supermercado, amplias zonas verdes y vigilancia las 24 horas.</v>
      </c>
      <c r="AD282" s="46" t="str">
        <f>IFERROR(__xludf.DUMMYFUNCTION("""COMPUTED_VALUE"""),"Cuenta con buena ubicación y Acabados.")</f>
        <v>Cuenta con buena ubicación y Acabados.</v>
      </c>
      <c r="AE282" s="46"/>
      <c r="AF282" s="46" t="str">
        <f>IFERROR(__xludf.DUMMYFUNCTION("""COMPUTED_VALUE"""),"integral")</f>
        <v>integral</v>
      </c>
      <c r="AG282" s="46"/>
      <c r="AH282" s="46" t="str">
        <f>IFERROR(__xludf.DUMMYFUNCTION("""COMPUTED_VALUE"""),"Aliado")</f>
        <v>Aliado</v>
      </c>
      <c r="AI282" s="92" t="str">
        <f>IFERROR(__xludf.DUMMYFUNCTION("""COMPUTED_VALUE"""),"https://lh3.googleusercontent.com/pw/AP1GczMgyUkT7EDJK6i2GvFMy2AW6KraqyQ2gy0rZf0vG39incPqEDbMV13nnhGTmVo4zpBkVVVMaWSQTDt9dp0_Jc_rO13B2Wx-WidTHx0WjWrezb8UHxqc=w1200|https://lh3.googleusercontent.com/pw/AP1GczNwgDokCl9tXtECssQqsKYd6Crer2HfIelwdvPW4GuW6MA8cc"&amp;"xbvYPP6LDm9e1Bzxn_msZuH3xzD-5Y38HxqBSAifL6VSI7_MN1In-foxjetSqfZn0D=w1200|https://lh3.googleusercontent.com/pw/AP1GczNE_X_yqfr7mNDz2-ZhZJdZAsydmFQIONiWstaxGqZFWTApUj-cWM5R_pFdN6VMnuOzLrtez_gPa-jbVNNTLD0LM4WyG0rMVXgXXN-e338gEeRFJ5JP=w1200|https://lh3.google"&amp;"usercontent.com/pw/AP1GczP5j0XcouY5lu5Fsf-X26-C3HVLgK_C31ypo5nEcWIOyiwaGgNnwYPqQonOMTAw60UVvS0VWTeN2shQPdYDuWGjeV1oREv9Wtsw4i71jLCZhlWPge7Z=w1200|https://lh3.googleusercontent.com/pw/AP1GczMcYXw40CwZZvBwti_Ng1rfxFfE2L-uPv9hSuGdhZvsKJlJSzWtgWz66XZNUci7cnAM"&amp;"8lKdWLdfJyLdQgFFVvH94E35QX2WgrgHb8jfc-pdYMnibijR=w1200|https://lh3.googleusercontent.com/pw/AP1GczOv08VkG5ry7YGGrn1-RaWgZ6qbN8j9UTdnBA8IX0WIh4cs7wsLAiYuUHr-QXGrfUQe-5qVO79QrQiOjQY9psP7ofQtjhvWskRpVI7V7Dxsooa-k5L4=w1200|https://lh3.googleusercontent.com/pw"&amp;"/AP1GczNa6R9u9Pm6uMDjUEQVFeIK7bNLnvEAjW1rHfrdEWAhI1VU3LjuzX3d0W8QVE1XXIntz4bs2e07FFRRXs_LFYB1bToTJlc4bkCWSGZNW5G4uBPeUFed=w1200|https://lh3.googleusercontent.com/pw/AP1GczO31Cs_rSkOoEO97mkjkdJvZF_OuvFNejATcc84ArJEfKOpoTFfIaX8NDIOPShdba_ASAIE_WfPLrigQhDcVS"&amp;"0bT43tJr0ZVC30TMxL86m-MoeGQ5MQ=w1200|https://lh3.googleusercontent.com/pw/AP1GczOwQq-sIp9x05Twbtxj1BT8uL4lhDSW2emFjQfGfRHgHcmp0yTjZjiakquz-ncSS8aSHeACfLHLoE6llU4tO9nFlh7dTWS5wq5oaL1YreqUjI43Vzrc=w1200|https://lh3.googleusercontent.com/pw/AP1GczO-1fqfTDjBp"&amp;"ujj5xbBWddyGY_7SpKQX9UZ0LC2UTUNeSdWl4nZ_6JI4L4jv8RNDAsHqpYcJwWxBxsTCnb94dAFklLopXWoB5vhJDKtGAZhDuvvkMEg=w1200|https://lh3.googleusercontent.com/pw/AP1GczPwnfSC3d9MyW_EtRZsHn3E94TieU62kfplia7xQ2haDexlg89Qt4k2-ImS1Zm2zgHY-t5vcAqj-KrCgK3YNBg8CGhA-rSaq8WeoFnq"&amp;"p3ZBp9qrfaQI=w1200|https://lh3.googleusercontent.com/pw/AP1GczNWt5Mmdk1N1keWfye-jSxbi3givKJUuWxtJV_mhqamvs34xjL02yDoPExGv7e2XJ46TEonLLDfpw00rqXvBnSvKWY1OZHdDQIhUsLHduHjzNK6cSt6=w1200|https://lh3.googleusercontent.com/pw/AP1GczN37uO3zXwsN6M1K4obWOGeBlwEdvR"&amp;"ALUnuv24dsJZnxCJVCwXxnJKuL8fmbY1LwVbdqeNUR8TpWdHVlWqMUwtGLPkZLf0zwyPvnoMtPTrqcd-cN_W8=w1200|https://lh3.googleusercontent.com/pw/AP1GczMIlLhA84Jx9fES1WyKlnIeJrpcse6X7vPQEayNUhLcmM1Ni5x52dQfhxha7mO6QGMHNfBaOyLg4dKFD8FKfBZQKfYyO0VxSWaKi-B7U5w4GRtpz7bi=w1200"&amp;"|https://lh3.googleusercontent.com/pw/AP1GczMYCLgBDN-r7Qx3eFFu7mV4ch2Jwh8advGw7hLdolt9AXyBK2C9yIA7E8ZmDjCA49WWVtOd6uCQNeI6G5YnXGtpPPKvhsPGhwqKM2XIBLTS95b5dkuD=w1200|https://lh3.googleusercontent.com/pw/AP1GczNiC43VChnWP5Vq8IkekXD-NJVRjKWHvRBzmE5s7UEV-bJnJ"&amp;"hmhvSSC9EFeHSR0CB5Ms8Sdx6YTX_JGPtvRY2H5vGnXz0oeyf1JyYNXpOm7sxyRZBqe=w1200|https://lh3.googleusercontent.com/pw/AP1GczMjSlN_3XKfHRIyvgAActMwy9Y7i1LsDGWd9BMcx7OoGTD8PisVik9c_KY0zSku8tcMB28Ka_q6iBNMvUkx0enLoBKSdYGMJRhGxLQh43lmrzipBo-P=w1200|https://lh3.googl"&amp;"eusercontent.com/pw/AP1GczOr1pSyOPd5OEVLY83jA5CEO43pV_eXWFeBVmiJo9tbnw5Q-RcKDuasQYTepuCJjkLPgW8f4gkOagIc34gGoV7z_rola3gE8SGbFdHz8qwsJEjRgB_6=w1200")</f>
        <v>https://lh3.googleusercontent.com/pw/AP1GczMgyUkT7EDJK6i2GvFMy2AW6KraqyQ2gy0rZf0vG39incPqEDbMV13nnhGTmVo4zpBkVVVMaWSQTDt9dp0_Jc_rO13B2Wx-WidTHx0WjWrezb8UHxqc=w1200|https://lh3.googleusercontent.com/pw/AP1GczNwgDokCl9tXtECssQqsKYd6Crer2HfIelwdvPW4GuW6MA8ccxbvYPP6LDm9e1Bzxn_msZuH3xzD-5Y38HxqBSAifL6VSI7_MN1In-foxjetSqfZn0D=w1200|https://lh3.googleusercontent.com/pw/AP1GczNE_X_yqfr7mNDz2-ZhZJdZAsydmFQIONiWstaxGqZFWTApUj-cWM5R_pFdN6VMnuOzLrtez_gPa-jbVNNTLD0LM4WyG0rMVXgXXN-e338gEeRFJ5JP=w1200|https://lh3.googleusercontent.com/pw/AP1GczP5j0XcouY5lu5Fsf-X26-C3HVLgK_C31ypo5nEcWIOyiwaGgNnwYPqQonOMTAw60UVvS0VWTeN2shQPdYDuWGjeV1oREv9Wtsw4i71jLCZhlWPge7Z=w1200|https://lh3.googleusercontent.com/pw/AP1GczMcYXw40CwZZvBwti_Ng1rfxFfE2L-uPv9hSuGdhZvsKJlJSzWtgWz66XZNUci7cnAM8lKdWLdfJyLdQgFFVvH94E35QX2WgrgHb8jfc-pdYMnibijR=w1200|https://lh3.googleusercontent.com/pw/AP1GczOv08VkG5ry7YGGrn1-RaWgZ6qbN8j9UTdnBA8IX0WIh4cs7wsLAiYuUHr-QXGrfUQe-5qVO79QrQiOjQY9psP7ofQtjhvWskRpVI7V7Dxsooa-k5L4=w1200|https://lh3.googleusercontent.com/pw/AP1GczNa6R9u9Pm6uMDjUEQVFeIK7bNLnvEAjW1rHfrdEWAhI1VU3LjuzX3d0W8QVE1XXIntz4bs2e07FFRRXs_LFYB1bToTJlc4bkCWSGZNW5G4uBPeUFed=w1200|https://lh3.googleusercontent.com/pw/AP1GczO31Cs_rSkOoEO97mkjkdJvZF_OuvFNejATcc84ArJEfKOpoTFfIaX8NDIOPShdba_ASAIE_WfPLrigQhDcVS0bT43tJr0ZVC30TMxL86m-MoeGQ5MQ=w1200|https://lh3.googleusercontent.com/pw/AP1GczOwQq-sIp9x05Twbtxj1BT8uL4lhDSW2emFjQfGfRHgHcmp0yTjZjiakquz-ncSS8aSHeACfLHLoE6llU4tO9nFlh7dTWS5wq5oaL1YreqUjI43Vzrc=w1200|https://lh3.googleusercontent.com/pw/AP1GczO-1fqfTDjBpujj5xbBWddyGY_7SpKQX9UZ0LC2UTUNeSdWl4nZ_6JI4L4jv8RNDAsHqpYcJwWxBxsTCnb94dAFklLopXWoB5vhJDKtGAZhDuvvkMEg=w1200|https://lh3.googleusercontent.com/pw/AP1GczPwnfSC3d9MyW_EtRZsHn3E94TieU62kfplia7xQ2haDexlg89Qt4k2-ImS1Zm2zgHY-t5vcAqj-KrCgK3YNBg8CGhA-rSaq8WeoFnqp3ZBp9qrfaQI=w1200|https://lh3.googleusercontent.com/pw/AP1GczNWt5Mmdk1N1keWfye-jSxbi3givKJUuWxtJV_mhqamvs34xjL02yDoPExGv7e2XJ46TEonLLDfpw00rqXvBnSvKWY1OZHdDQIhUsLHduHjzNK6cSt6=w1200|https://lh3.googleusercontent.com/pw/AP1GczN37uO3zXwsN6M1K4obWOGeBlwEdvRALUnuv24dsJZnxCJVCwXxnJKuL8fmbY1LwVbdqeNUR8TpWdHVlWqMUwtGLPkZLf0zwyPvnoMtPTrqcd-cN_W8=w1200|https://lh3.googleusercontent.com/pw/AP1GczMIlLhA84Jx9fES1WyKlnIeJrpcse6X7vPQEayNUhLcmM1Ni5x52dQfhxha7mO6QGMHNfBaOyLg4dKFD8FKfBZQKfYyO0VxSWaKi-B7U5w4GRtpz7bi=w1200|https://lh3.googleusercontent.com/pw/AP1GczMYCLgBDN-r7Qx3eFFu7mV4ch2Jwh8advGw7hLdolt9AXyBK2C9yIA7E8ZmDjCA49WWVtOd6uCQNeI6G5YnXGtpPPKvhsPGhwqKM2XIBLTS95b5dkuD=w1200|https://lh3.googleusercontent.com/pw/AP1GczNiC43VChnWP5Vq8IkekXD-NJVRjKWHvRBzmE5s7UEV-bJnJhmhvSSC9EFeHSR0CB5Ms8Sdx6YTX_JGPtvRY2H5vGnXz0oeyf1JyYNXpOm7sxyRZBqe=w1200|https://lh3.googleusercontent.com/pw/AP1GczMjSlN_3XKfHRIyvgAActMwy9Y7i1LsDGWd9BMcx7OoGTD8PisVik9c_KY0zSku8tcMB28Ka_q6iBNMvUkx0enLoBKSdYGMJRhGxLQh43lmrzipBo-P=w1200|https://lh3.googleusercontent.com/pw/AP1GczOr1pSyOPd5OEVLY83jA5CEO43pV_eXWFeBVmiJo9tbnw5Q-RcKDuasQYTepuCJjkLPgW8f4gkOagIc34gGoV7z_rola3gE8SGbFdHz8qwsJEjRgB_6=w1200</v>
      </c>
      <c r="AJ282" s="46"/>
      <c r="AK282" s="46"/>
      <c r="AL282" s="46"/>
      <c r="AM282" s="46"/>
      <c r="AN282" s="46"/>
      <c r="AO282" s="46"/>
      <c r="AP282" s="46"/>
      <c r="AQ282" s="46"/>
      <c r="AR282" s="46"/>
      <c r="AS282" s="46"/>
      <c r="AT282" s="46"/>
      <c r="AU282" s="46"/>
      <c r="AV282" s="46"/>
      <c r="AW282" s="46"/>
      <c r="AX282" s="46"/>
      <c r="AY282" s="46"/>
      <c r="AZ282" s="46"/>
      <c r="BA282" s="46"/>
      <c r="BB282" s="46"/>
      <c r="BC282" s="46"/>
      <c r="BD282" s="46"/>
      <c r="BE282" s="46"/>
      <c r="BF282" s="46"/>
      <c r="BG282" s="46"/>
      <c r="BH282" s="46"/>
      <c r="BI282" s="46"/>
      <c r="BJ282" s="46"/>
      <c r="BK282" s="46"/>
      <c r="BL282" s="46"/>
      <c r="BM282" s="46"/>
      <c r="BN282" s="46"/>
      <c r="BO282" s="46"/>
      <c r="BP282" s="46"/>
      <c r="BQ282" s="46"/>
      <c r="BR282" s="46"/>
      <c r="BS282" s="46"/>
      <c r="BT282" s="46"/>
      <c r="BU282" s="46"/>
      <c r="BV282" s="46"/>
      <c r="BW282" s="46"/>
      <c r="BX282" s="46"/>
      <c r="BY282" s="46"/>
      <c r="BZ282" s="46"/>
      <c r="CA282" s="46"/>
      <c r="CB282" s="46"/>
      <c r="CC282" s="46"/>
    </row>
    <row r="283">
      <c r="A283" s="87" t="str">
        <f>IFERROR(__xludf.DUMMYFUNCTION("""COMPUTED_VALUE"""),"875")</f>
        <v>875</v>
      </c>
      <c r="B283" s="46" t="str">
        <f>IFERROR(__xludf.DUMMYFUNCTION("""COMPUTED_VALUE"""),"Casa en barrio Santa Sofía - Norte")</f>
        <v>Casa en barrio Santa Sofía - Norte</v>
      </c>
      <c r="C283" s="46" t="str">
        <f>IFERROR(__xludf.DUMMYFUNCTION("""COMPUTED_VALUE"""),"Casa")</f>
        <v>Casa</v>
      </c>
      <c r="D283" s="46" t="str">
        <f>IFERROR(__xludf.DUMMYFUNCTION("""COMPUTED_VALUE"""),"Santa Sofía")</f>
        <v>Santa Sofía</v>
      </c>
      <c r="E283" s="46"/>
      <c r="F283" s="90">
        <f>IFERROR(__xludf.DUMMYFUNCTION("""COMPUTED_VALUE"""),3.3E8)</f>
        <v>330000000</v>
      </c>
      <c r="G283" s="46" t="str">
        <f>IFERROR(__xludf.DUMMYFUNCTION("""COMPUTED_VALUE"""),"$300'000.000 a $400'000.000")</f>
        <v>$300'000.000 a $400'000.000</v>
      </c>
      <c r="H283" s="46"/>
      <c r="I283" s="46"/>
      <c r="J283" s="46" t="str">
        <f>IFERROR(__xludf.DUMMYFUNCTION("""COMPUTED_VALUE"""),"Norte")</f>
        <v>Norte</v>
      </c>
      <c r="K283" s="87"/>
      <c r="L283" s="46">
        <f>IFERROR(__xludf.DUMMYFUNCTION("""COMPUTED_VALUE"""),4.0)</f>
        <v>4</v>
      </c>
      <c r="M283" s="46"/>
      <c r="N283" s="46">
        <f>IFERROR(__xludf.DUMMYFUNCTION("""COMPUTED_VALUE"""),2.0)</f>
        <v>2</v>
      </c>
      <c r="O283" s="46">
        <f>IFERROR(__xludf.DUMMYFUNCTION("""COMPUTED_VALUE"""),2.0)</f>
        <v>2</v>
      </c>
      <c r="P283" s="46">
        <f>IFERROR(__xludf.DUMMYFUNCTION("""COMPUTED_VALUE"""),1.0)</f>
        <v>1</v>
      </c>
      <c r="Q283" s="92">
        <f>IFERROR(__xludf.DUMMYFUNCTION("""COMPUTED_VALUE"""),120.0)</f>
        <v>120</v>
      </c>
      <c r="R283" s="92">
        <f>IFERROR(__xludf.DUMMYFUNCTION("""COMPUTED_VALUE"""),120.0)</f>
        <v>120</v>
      </c>
      <c r="S283" s="87" t="str">
        <f>IFERROR(__xludf.DUMMYFUNCTION("""COMPUTED_VALUE""")," ")</f>
        <v> </v>
      </c>
      <c r="T283" s="46" t="str">
        <f>IFERROR(__xludf.DUMMYFUNCTION("""COMPUTED_VALUE"""),"Neiva")</f>
        <v>Neiva</v>
      </c>
      <c r="U283" s="87" t="str">
        <f>IFERROR(__xludf.DUMMYFUNCTION("""COMPUTED_VALUE"""),"3")</f>
        <v>3</v>
      </c>
      <c r="V283" s="46" t="str">
        <f>IFERROR(__xludf.DUMMYFUNCTION("""COMPUTED_VALUE"""),"Medianera")</f>
        <v>Medianera</v>
      </c>
      <c r="W283" s="46"/>
      <c r="X283" s="46">
        <f>IFERROR(__xludf.DUMMYFUNCTION("""COMPUTED_VALUE"""),3.0)</f>
        <v>3</v>
      </c>
      <c r="Y283" s="46" t="str">
        <f>IFERROR(__xludf.DUMMYFUNCTION("""COMPUTED_VALUE"""),"No tiene")</f>
        <v>No tiene</v>
      </c>
      <c r="Z283" s="90" t="str">
        <f>IFERROR(__xludf.DUMMYFUNCTION("""COMPUTED_VALUE"""),"No aplica")</f>
        <v>No aplica</v>
      </c>
      <c r="AA283" s="33" t="str">
        <f>IFERROR(__xludf.DUMMYFUNCTION("""COMPUTED_VALUE"""),"No aplica")</f>
        <v>No aplica</v>
      </c>
      <c r="AB283" s="96" t="str">
        <f>IFERROR(__xludf.DUMMYFUNCTION("""COMPUTED_VALUE"""),"https://photos.app.goo.gl/2yy7eYWraLttWx2g6")</f>
        <v>https://photos.app.goo.gl/2yy7eYWraLttWx2g6</v>
      </c>
      <c r="AC283" s="46" t="str">
        <f>IFERROR(__xludf.DUMMYFUNCTION("""COMPUTED_VALUE"""),"Esta espectacular casa en estrato 4, ubicada en el exclusivo barrio Santa Sofía, destaca por sus excelentes acabados, luminosidad natural y un diseño impecable con pisos en porcelanato y muros con texturas pulidas en yeso. Dispone de un área de $120\text{"&amp;" m}^2$ excelentemente distribuida que alberga 3 amplias habitaciones con clósets empotrados en madera de piso a techo, 2 baños modernos con divisiones en vidrio templado y grifería de alta gama, y un cómodo garaje privado. La zona social se compone de una"&amp;" sala-comedor conectada de forma fluida a un patio interior o terraza, junto a una cocina integral totalmente equipada con mesón de granito, estufa empotrada, amplios muebles superiores e inferiores, y un área de ropas independiente con ventilación natura"&amp;"l.")</f>
        <v>Esta espectacular casa en estrato 4, ubicada en el exclusivo barrio Santa Sofía, destaca por sus excelentes acabados, luminosidad natural y un diseño impecable con pisos en porcelanato y muros con texturas pulidas en yeso. Dispone de un área de $120\text{ m}^2$ excelentemente distribuida que alberga 3 amplias habitaciones con clósets empotrados en madera de piso a techo, 2 baños modernos con divisiones en vidrio templado y grifería de alta gama, y un cómodo garaje privado. La zona social se compone de una sala-comedor conectada de forma fluida a un patio interior o terraza, junto a una cocina integral totalmente equipada con mesón de granito, estufa empotrada, amplios muebles superiores e inferiores, y un área de ropas independiente con ventilación natural.</v>
      </c>
      <c r="AD283" s="46" t="str">
        <f>IFERROR(__xludf.DUMMYFUNCTION("""COMPUTED_VALUE"""),"Situada en el barrio Santa Sofía, una de las zonas de mayor valorización, seguridad y frescura de la ciudad, este inmueble ofrece el equilibrio perfecto entre confort y un estilo de vida selecto. Su estratégica cercanía a importantes centros comerciales, "&amp;"universidades, restaurantes y vías principales garantiza una conectividad inigualable para toda la familia en un entorno tranquilo y residencial. La excelente distribución de la casa y la comodidad de su garaje privado la convierten en una oportunidad úni"&amp;"ca de inversión inmediata para quienes buscan un hogar listo para disfrutar desde el primer momento.")</f>
        <v>Situada en el barrio Santa Sofía, una de las zonas de mayor valorización, seguridad y frescura de la ciudad, este inmueble ofrece el equilibrio perfecto entre confort y un estilo de vida selecto. Su estratégica cercanía a importantes centros comerciales, universidades, restaurantes y vías principales garantiza una conectividad inigualable para toda la familia en un entorno tranquilo y residencial. La excelente distribución de la casa y la comodidad de su garaje privado la convierten en una oportunidad única de inversión inmediata para quienes buscan un hogar listo para disfrutar desde el primer momento.</v>
      </c>
      <c r="AE283" s="46"/>
      <c r="AF283" s="46" t="str">
        <f>IFERROR(__xludf.DUMMYFUNCTION("""COMPUTED_VALUE"""),"integral")</f>
        <v>integral</v>
      </c>
      <c r="AG283" s="46"/>
      <c r="AH283" s="46" t="str">
        <f>IFERROR(__xludf.DUMMYFUNCTION("""COMPUTED_VALUE"""),"Aliado")</f>
        <v>Aliado</v>
      </c>
      <c r="AI283" s="92" t="str">
        <f>IFERROR(__xludf.DUMMYFUNCTION("""COMPUTED_VALUE"""),"https://lh3.googleusercontent.com/pw/AP1GczMDgVWvYGDNs01QZormv7CQK3O6ZOJHSjY9k8-jH_OYSTqCsHIAJ13TAoBk6vy3zzxo01Od-G4r6IRgh7L_hY46D8VjT438XV-RV3465Qrixz0k1-HU=w1200|https://lh3.googleusercontent.com/pw/AP1GczO4wmUIOsGuIHp2GxAYs0VNTHvRExZlJLVv4vFYYSDXr0qZ4c"&amp;"i1daH24BqhzPOM3-5fEfU_65nVBkiuXYUiNrC2ii00MK1f2C3xI-khOmZYO44nicVH=w1200|https://lh3.googleusercontent.com/pw/AP1GczNmle8cl1mDgy8teBiChOBqc7oUuvpqB-UUXVUP1na-JkLI37koQnHTL_93rT5QYLXCvazA8PU9ErtbX4ldKQKgCyhsEf6MSvztf1VzrMGMGlOf19Pf=w1200|https://lh3.google"&amp;"usercontent.com/pw/AP1GczP8ibDaj0X-exC5vtsU2L5NivSfRNjmg4oxz8ohh4T9btaVliNGRlQQvoRfi8nVNlgET1UXVutB9_ZiAdRQ_djSA5cBmwD2usE1p3uDahy86zQ8fZu2=w1200|https://lh3.googleusercontent.com/pw/AP1GczNvH0Alh3d5FsteYJvco1NAIiHAYzAqzCEtlS8w5zyUpS9mJMwmidAxcqwHmDtN0n8D"&amp;"O9L6LxBI2ddc0nyenDVcIE_BgZgY0TlDfQHHR_SjgiDNH5vu=w1200|https://lh3.googleusercontent.com/pw/AP1GczP8AqP0ac7Oe2ebmmoa65MB70DtNQd6wAlduuX2UYrx-dENGfjKeOkEJxTIafIaaVx_VHHP93srUfWb3S1hOeGngeSwsmpYTdXfH_0G2YxwDl4aA7zM=w1200|https://lh3.googleusercontent.com/pw"&amp;"/AP1GczOHGc6z8siJYjEie06ffT8h6UWs4q8bPtOhNGIPZZih0-3M4xeRfLqAW11KiGJpP0sISjNJ6XA4-I-lGtJWKPx8l-gyVoGfS63gxoWIcZJymi-pFmAW=w1200|https://lh3.googleusercontent.com/pw/AP1GczNkvReWplfdzR6-hH0L6v_S8dp6wscwuOXVF4ANvlo8PMg9Rh4fJE0yhv8ZSYVT1RX4i_FDcemvfNiMN_tb3W"&amp;"whlGFxuFxcIOTtITk1x2XLvy3Ptm6E=w1200|https://lh3.googleusercontent.com/pw/AP1GczNW-X_PEi13tG2tjsHzAtyCgK5hgVPRmihnlSeO7HfDVsy0wLXOYla4BMrIyi258riJ8j7_MUQ7oidtGzZUz1p1PyOO4OXNxOdKj3j-tNUhlMmISfqq=w1200|https://lh3.googleusercontent.com/pw/AP1GczMXITXCK-eUu"&amp;"2W9sqkRLBNaFMnHsukOWRVrGWYSKDEuL9N1tytArbzFl-Mx4wFFQLaIkF70VGzWFHdZDbUzc2dvTL1YoBN0wh7jnRFsIgMCq75vvyiZ=w1200|https://lh3.googleusercontent.com/pw/AP1GczOigH3cR88w7FuxSZzVZ6eZz-UDzOHCHYwf19ZV6nNF8LjRKzeE9uJ6iMJBn1GaK36PhOZyFkZpszBMccLDGVai4Ejj9SeRUgPL2gn0"&amp;"kXtN8YB0pzb5=w1200")</f>
        <v>https://lh3.googleusercontent.com/pw/AP1GczMDgVWvYGDNs01QZormv7CQK3O6ZOJHSjY9k8-jH_OYSTqCsHIAJ13TAoBk6vy3zzxo01Od-G4r6IRgh7L_hY46D8VjT438XV-RV3465Qrixz0k1-HU=w1200|https://lh3.googleusercontent.com/pw/AP1GczO4wmUIOsGuIHp2GxAYs0VNTHvRExZlJLVv4vFYYSDXr0qZ4ci1daH24BqhzPOM3-5fEfU_65nVBkiuXYUiNrC2ii00MK1f2C3xI-khOmZYO44nicVH=w1200|https://lh3.googleusercontent.com/pw/AP1GczNmle8cl1mDgy8teBiChOBqc7oUuvpqB-UUXVUP1na-JkLI37koQnHTL_93rT5QYLXCvazA8PU9ErtbX4ldKQKgCyhsEf6MSvztf1VzrMGMGlOf19Pf=w1200|https://lh3.googleusercontent.com/pw/AP1GczP8ibDaj0X-exC5vtsU2L5NivSfRNjmg4oxz8ohh4T9btaVliNGRlQQvoRfi8nVNlgET1UXVutB9_ZiAdRQ_djSA5cBmwD2usE1p3uDahy86zQ8fZu2=w1200|https://lh3.googleusercontent.com/pw/AP1GczNvH0Alh3d5FsteYJvco1NAIiHAYzAqzCEtlS8w5zyUpS9mJMwmidAxcqwHmDtN0n8DO9L6LxBI2ddc0nyenDVcIE_BgZgY0TlDfQHHR_SjgiDNH5vu=w1200|https://lh3.googleusercontent.com/pw/AP1GczP8AqP0ac7Oe2ebmmoa65MB70DtNQd6wAlduuX2UYrx-dENGfjKeOkEJxTIafIaaVx_VHHP93srUfWb3S1hOeGngeSwsmpYTdXfH_0G2YxwDl4aA7zM=w1200|https://lh3.googleusercontent.com/pw/AP1GczOHGc6z8siJYjEie06ffT8h6UWs4q8bPtOhNGIPZZih0-3M4xeRfLqAW11KiGJpP0sISjNJ6XA4-I-lGtJWKPx8l-gyVoGfS63gxoWIcZJymi-pFmAW=w1200|https://lh3.googleusercontent.com/pw/AP1GczNkvReWplfdzR6-hH0L6v_S8dp6wscwuOXVF4ANvlo8PMg9Rh4fJE0yhv8ZSYVT1RX4i_FDcemvfNiMN_tb3WwhlGFxuFxcIOTtITk1x2XLvy3Ptm6E=w1200|https://lh3.googleusercontent.com/pw/AP1GczNW-X_PEi13tG2tjsHzAtyCgK5hgVPRmihnlSeO7HfDVsy0wLXOYla4BMrIyi258riJ8j7_MUQ7oidtGzZUz1p1PyOO4OXNxOdKj3j-tNUhlMmISfqq=w1200|https://lh3.googleusercontent.com/pw/AP1GczMXITXCK-eUu2W9sqkRLBNaFMnHsukOWRVrGWYSKDEuL9N1tytArbzFl-Mx4wFFQLaIkF70VGzWFHdZDbUzc2dvTL1YoBN0wh7jnRFsIgMCq75vvyiZ=w1200|https://lh3.googleusercontent.com/pw/AP1GczOigH3cR88w7FuxSZzVZ6eZz-UDzOHCHYwf19ZV6nNF8LjRKzeE9uJ6iMJBn1GaK36PhOZyFkZpszBMccLDGVai4Ejj9SeRUgPL2gn0kXtN8YB0pzb5=w1200</v>
      </c>
      <c r="AJ283" s="46"/>
      <c r="AK283" s="46"/>
      <c r="AL283" s="46"/>
      <c r="AM283" s="46"/>
      <c r="AN283" s="46"/>
      <c r="AO283" s="46"/>
      <c r="AP283" s="46"/>
      <c r="AQ283" s="46"/>
      <c r="AR283" s="46"/>
      <c r="AS283" s="46"/>
      <c r="AT283" s="46"/>
      <c r="AU283" s="46"/>
      <c r="AV283" s="46"/>
      <c r="AW283" s="46"/>
      <c r="AX283" s="46"/>
      <c r="AY283" s="46"/>
      <c r="AZ283" s="46"/>
      <c r="BA283" s="46"/>
      <c r="BB283" s="46"/>
      <c r="BC283" s="46"/>
      <c r="BD283" s="46"/>
      <c r="BE283" s="46"/>
      <c r="BF283" s="46"/>
      <c r="BG283" s="46"/>
      <c r="BH283" s="46"/>
      <c r="BI283" s="46"/>
      <c r="BJ283" s="46"/>
      <c r="BK283" s="46"/>
      <c r="BL283" s="46"/>
      <c r="BM283" s="46"/>
      <c r="BN283" s="46"/>
      <c r="BO283" s="46"/>
      <c r="BP283" s="46"/>
      <c r="BQ283" s="46"/>
      <c r="BR283" s="46"/>
      <c r="BS283" s="46"/>
      <c r="BT283" s="46"/>
      <c r="BU283" s="46"/>
      <c r="BV283" s="46"/>
      <c r="BW283" s="46"/>
      <c r="BX283" s="46"/>
      <c r="BY283" s="46"/>
      <c r="BZ283" s="46"/>
      <c r="CA283" s="46"/>
      <c r="CB283" s="46"/>
      <c r="CC283" s="46"/>
    </row>
    <row r="284">
      <c r="A284" s="87" t="str">
        <f>IFERROR(__xludf.DUMMYFUNCTION("""COMPUTED_VALUE"""),"1325")</f>
        <v>1325</v>
      </c>
      <c r="B284" s="46" t="str">
        <f>IFERROR(__xludf.DUMMYFUNCTION("""COMPUTED_VALUE"""),"Casa en barrio Primavera de Buganviles - Oriente")</f>
        <v>Casa en barrio Primavera de Buganviles - Oriente</v>
      </c>
      <c r="C284" s="46" t="str">
        <f>IFERROR(__xludf.DUMMYFUNCTION("""COMPUTED_VALUE"""),"Casa")</f>
        <v>Casa</v>
      </c>
      <c r="D284" s="46" t="str">
        <f>IFERROR(__xludf.DUMMYFUNCTION("""COMPUTED_VALUE"""),"Buganviles")</f>
        <v>Buganviles</v>
      </c>
      <c r="E284" s="46"/>
      <c r="F284" s="90">
        <f>IFERROR(__xludf.DUMMYFUNCTION("""COMPUTED_VALUE"""),3.3E8)</f>
        <v>330000000</v>
      </c>
      <c r="G284" s="46" t="str">
        <f>IFERROR(__xludf.DUMMYFUNCTION("""COMPUTED_VALUE"""),"$300'000.000 a $400'000.000")</f>
        <v>$300'000.000 a $400'000.000</v>
      </c>
      <c r="H284" s="46"/>
      <c r="I284" s="46"/>
      <c r="J284" s="46" t="str">
        <f>IFERROR(__xludf.DUMMYFUNCTION("""COMPUTED_VALUE"""),"Oriente")</f>
        <v>Oriente</v>
      </c>
      <c r="K284" s="87" t="str">
        <f>IFERROR(__xludf.DUMMYFUNCTION("""COMPUTED_VALUE"""),"7")</f>
        <v>7</v>
      </c>
      <c r="L284" s="46">
        <f>IFERROR(__xludf.DUMMYFUNCTION("""COMPUTED_VALUE"""),3.0)</f>
        <v>3</v>
      </c>
      <c r="M284" s="46"/>
      <c r="N284" s="46">
        <f>IFERROR(__xludf.DUMMYFUNCTION("""COMPUTED_VALUE"""),3.0)</f>
        <v>3</v>
      </c>
      <c r="O284" s="46">
        <f>IFERROR(__xludf.DUMMYFUNCTION("""COMPUTED_VALUE"""),1.0)</f>
        <v>1</v>
      </c>
      <c r="P284" s="46">
        <f>IFERROR(__xludf.DUMMYFUNCTION("""COMPUTED_VALUE"""),2.0)</f>
        <v>2</v>
      </c>
      <c r="Q284" s="92">
        <f>IFERROR(__xludf.DUMMYFUNCTION("""COMPUTED_VALUE"""),170.0)</f>
        <v>170</v>
      </c>
      <c r="R284" s="92">
        <f>IFERROR(__xludf.DUMMYFUNCTION("""COMPUTED_VALUE"""),105.0)</f>
        <v>105</v>
      </c>
      <c r="S284" s="87" t="str">
        <f>IFERROR(__xludf.DUMMYFUNCTION("""COMPUTED_VALUE""")," ")</f>
        <v> </v>
      </c>
      <c r="T284" s="46" t="str">
        <f>IFERROR(__xludf.DUMMYFUNCTION("""COMPUTED_VALUE"""),"Neiva")</f>
        <v>Neiva</v>
      </c>
      <c r="U284" s="87" t="str">
        <f>IFERROR(__xludf.DUMMYFUNCTION("""COMPUTED_VALUE"""),"3")</f>
        <v>3</v>
      </c>
      <c r="V284" s="46" t="str">
        <f>IFERROR(__xludf.DUMMYFUNCTION("""COMPUTED_VALUE"""),"Medianera")</f>
        <v>Medianera</v>
      </c>
      <c r="W284" s="46"/>
      <c r="X284" s="46">
        <f>IFERROR(__xludf.DUMMYFUNCTION("""COMPUTED_VALUE"""),3.0)</f>
        <v>3</v>
      </c>
      <c r="Y284" s="46" t="str">
        <f>IFERROR(__xludf.DUMMYFUNCTION("""COMPUTED_VALUE"""),"No tiene")</f>
        <v>No tiene</v>
      </c>
      <c r="Z284" s="90"/>
      <c r="AA284" s="33" t="str">
        <f>IFERROR(__xludf.DUMMYFUNCTION("""COMPUTED_VALUE"""),"No aplica")</f>
        <v>No aplica</v>
      </c>
      <c r="AB284" s="96" t="str">
        <f>IFERROR(__xludf.DUMMYFUNCTION("""COMPUTED_VALUE"""),"https://photos.app.goo.gl/sNxAXUx4t3MKcYK96")</f>
        <v>https://photos.app.goo.gl/sNxAXUx4t3MKcYK96</v>
      </c>
      <c r="AC284" s="46" t="str">
        <f>IFERROR(__xludf.DUMMYFUNCTION("""COMPUTED_VALUE"""),"Cuenta con sala y comedor independientes, baño social, cocina integral, parqueadero y tres habitaciones, incluida la principal con baño privado, además de baño auxiliar.")</f>
        <v>Cuenta con sala y comedor independientes, baño social, cocina integral, parqueadero y tres habitaciones, incluida la principal con baño privado, además de baño auxiliar.</v>
      </c>
      <c r="AD284" s="46" t="str">
        <f>IFERROR(__xludf.DUMMYFUNCTION("""COMPUTED_VALUE"""),"Casa de dos pisos ubicada en la zona oriente de la ciudad, en el sector Primavera de Buganvíles. Inmueble en estrato 3, ideal para quienes buscan comodidad y excelente ubicación.")</f>
        <v>Casa de dos pisos ubicada en la zona oriente de la ciudad, en el sector Primavera de Buganvíles. Inmueble en estrato 3, ideal para quienes buscan comodidad y excelente ubicación.</v>
      </c>
      <c r="AE284" s="46"/>
      <c r="AF284" s="46" t="str">
        <f>IFERROR(__xludf.DUMMYFUNCTION("""COMPUTED_VALUE"""),"semi-integral")</f>
        <v>semi-integral</v>
      </c>
      <c r="AG284" s="46"/>
      <c r="AH284" s="46" t="str">
        <f>IFERROR(__xludf.DUMMYFUNCTION("""COMPUTED_VALUE"""),"Aliado")</f>
        <v>Aliado</v>
      </c>
      <c r="AI284" s="92" t="str">
        <f>IFERROR(__xludf.DUMMYFUNCTION("""COMPUTED_VALUE"""),"https://lh3.googleusercontent.com/pw/AP1GczOUj1FDc9cs1Ftj2fWfoWCsAfqnPsjr3IIRI6Oyn64OX_pW9ejCgRDFK9VSiekD3Bjx5X819-vkMx-mobvP3HmagvYKH5jkv3Ol-h7LvqTa5HBkzluf=w1200|https://lh3.googleusercontent.com/pw/AP1GczMx1t0fu-ioQm4hQh-S7CMXPX_u3HNwVPVqOcUvUsGGsYylcX"&amp;"eF3f23w8HCeEFAPswTRdlxuUgFEaMGYQ9V_LazOh3WSS_lPj33hkgObs8tl1bO5EwA=w1200|https://lh3.googleusercontent.com/pw/AP1GczPwUHlxTNwQtShsKnpKvdQXNtm2cTcc99x0gSc3cIfbn25X17odh9dxlJQa6Fimw46mtT6CttE6pM2TWO2sfnoijEt3ZEmf9PMGL4IgfAPjKc546HZk=w1200|https://lh3.google"&amp;"usercontent.com/pw/AP1GczMNw6XLC2YXz8dSq23YNoJrQ4DVHpXSreuIT-n4TepUHvlf5dBWT4ro9vtsHL337FtITiPNaOVaLhEgpcQK9dmAdtvdbKji_DJGatkE1deq9oTgFUpS=w1200|https://lh3.googleusercontent.com/pw/AP1GczMqRCCAdWLEram0SGYPcJrz9-x8-DakxebOI_6ufDlWEhgZ6PeVOH__XYQfpVWPGd5q"&amp;"UUKCfyHReSOshHFIycLXWm5y7UJaq-qSHX2y29Ctp1sNPFik=w1200|https://lh3.googleusercontent.com/pw/AP1GczPYCUzJzurGeiiNgMqCPsNJdhGl2XROMVIqa0ZpTxcDl0-a0gXNxczR65wFP0o8w8KBz6rdIEBmgzN5v-mGYDeA0vsoA0XS5EuTtjmks64kpNMizFXv=w1200|https://lh3.googleusercontent.com/pw"&amp;"/AP1GczNhVQm9KCg6e24Jjij8F_mGI6toWWDfvV4ULhkbwCEU1d2EL8-I_kv3aT7Gg1Yln13Zh6qUPMX0nz7t-DlvNUIHckArcGhDaXrdZt82Gal1-iqwPGGT=w1200|https://lh3.googleusercontent.com/pw/AP1GczNGo7ijLvyf8MIeIPa-kWgCPmTfaruS-jAuZbU-fDYnSiQk8A-X1hWnw7DEVtW7KtwmN9tMOG9DHA-BtfoyPU"&amp;"TBw5_e9FFSpxEiPR00et24qlDjzgJK=w1200|https://lh3.googleusercontent.com/pw/AP1GczNWWmylkRp_bUiqaLzlO7dFXcdZY4KFN-m905mk9fP51YhDUnjn6O6Mh92DVzFOjv738zE_5U7hRVzZxBfNw7wkQMgCSdsyB2vWNjw1K28sRCW454I6=w1200|https://lh3.googleusercontent.com/pw/AP1GczNuVaYq_G3Rf"&amp;"vv-sIINDA8-SBgeg0mfsB7K4-fwZsbZt9p7YrK9E4rfIiMHd9G7HXprKYFYopFGQTu4beK73J90iHpwzqNejYAd-T4slQ4zWwegfe3t=w1200|https://lh3.googleusercontent.com/pw/AP1GczNf1cQGPMzVwzZIx-dYKvVH_-bgHEAakWByflcxMFbxRmyg1nUtK4u9AS6GMy107LYkD0lyFvP2C4hKa4LXdsneJwdu9mLVqmBBwRHZ"&amp;"tX5NbY1x1TTj=w1200|https://lh3.googleusercontent.com/pw/AP1GczMkUGaYM8KnW3TFt33bBZflu7-wFxrIUPV6Ey8Wi5T0MVAslik5Yq2lMPsLtpRaSfXMlUpxo19CcNNLH9tVeeRAde3td6cQVtkMrowu6vzjIU3YDGNa=w1200|https://lh3.googleusercontent.com/pw/AP1GczPgBMd85JVqMuShY9Hvvcrum6gjWrC"&amp;"ZwxfVOJ32Gqh9gw5nnopg2ikEzfe-DM7-RKpGQnQPUS_uaVaI1Lg38sLNIup9JNOXCyO7wFn0QGV3ULkSE3-P=w1200|https://lh3.googleusercontent.com/pw/AP1GczMalogWRYlU49XQaRcMlgoXkaxwSUv1_ZBGqJ1JFg3KL6Kbke9rwzvD6zfWPFGpUcGmsDYLPY76tGMFsXJr9QCQmtN9AWH_UIGpLAQwjFicW7nkm3d8=w1200")</f>
        <v>https://lh3.googleusercontent.com/pw/AP1GczOUj1FDc9cs1Ftj2fWfoWCsAfqnPsjr3IIRI6Oyn64OX_pW9ejCgRDFK9VSiekD3Bjx5X819-vkMx-mobvP3HmagvYKH5jkv3Ol-h7LvqTa5HBkzluf=w1200|https://lh3.googleusercontent.com/pw/AP1GczMx1t0fu-ioQm4hQh-S7CMXPX_u3HNwVPVqOcUvUsGGsYylcXeF3f23w8HCeEFAPswTRdlxuUgFEaMGYQ9V_LazOh3WSS_lPj33hkgObs8tl1bO5EwA=w1200|https://lh3.googleusercontent.com/pw/AP1GczPwUHlxTNwQtShsKnpKvdQXNtm2cTcc99x0gSc3cIfbn25X17odh9dxlJQa6Fimw46mtT6CttE6pM2TWO2sfnoijEt3ZEmf9PMGL4IgfAPjKc546HZk=w1200|https://lh3.googleusercontent.com/pw/AP1GczMNw6XLC2YXz8dSq23YNoJrQ4DVHpXSreuIT-n4TepUHvlf5dBWT4ro9vtsHL337FtITiPNaOVaLhEgpcQK9dmAdtvdbKji_DJGatkE1deq9oTgFUpS=w1200|https://lh3.googleusercontent.com/pw/AP1GczMqRCCAdWLEram0SGYPcJrz9-x8-DakxebOI_6ufDlWEhgZ6PeVOH__XYQfpVWPGd5qUUKCfyHReSOshHFIycLXWm5y7UJaq-qSHX2y29Ctp1sNPFik=w1200|https://lh3.googleusercontent.com/pw/AP1GczPYCUzJzurGeiiNgMqCPsNJdhGl2XROMVIqa0ZpTxcDl0-a0gXNxczR65wFP0o8w8KBz6rdIEBmgzN5v-mGYDeA0vsoA0XS5EuTtjmks64kpNMizFXv=w1200|https://lh3.googleusercontent.com/pw/AP1GczNhVQm9KCg6e24Jjij8F_mGI6toWWDfvV4ULhkbwCEU1d2EL8-I_kv3aT7Gg1Yln13Zh6qUPMX0nz7t-DlvNUIHckArcGhDaXrdZt82Gal1-iqwPGGT=w1200|https://lh3.googleusercontent.com/pw/AP1GczNGo7ijLvyf8MIeIPa-kWgCPmTfaruS-jAuZbU-fDYnSiQk8A-X1hWnw7DEVtW7KtwmN9tMOG9DHA-BtfoyPUTBw5_e9FFSpxEiPR00et24qlDjzgJK=w1200|https://lh3.googleusercontent.com/pw/AP1GczNWWmylkRp_bUiqaLzlO7dFXcdZY4KFN-m905mk9fP51YhDUnjn6O6Mh92DVzFOjv738zE_5U7hRVzZxBfNw7wkQMgCSdsyB2vWNjw1K28sRCW454I6=w1200|https://lh3.googleusercontent.com/pw/AP1GczNuVaYq_G3Rfvv-sIINDA8-SBgeg0mfsB7K4-fwZsbZt9p7YrK9E4rfIiMHd9G7HXprKYFYopFGQTu4beK73J90iHpwzqNejYAd-T4slQ4zWwegfe3t=w1200|https://lh3.googleusercontent.com/pw/AP1GczNf1cQGPMzVwzZIx-dYKvVH_-bgHEAakWByflcxMFbxRmyg1nUtK4u9AS6GMy107LYkD0lyFvP2C4hKa4LXdsneJwdu9mLVqmBBwRHZtX5NbY1x1TTj=w1200|https://lh3.googleusercontent.com/pw/AP1GczMkUGaYM8KnW3TFt33bBZflu7-wFxrIUPV6Ey8Wi5T0MVAslik5Yq2lMPsLtpRaSfXMlUpxo19CcNNLH9tVeeRAde3td6cQVtkMrowu6vzjIU3YDGNa=w1200|https://lh3.googleusercontent.com/pw/AP1GczPgBMd85JVqMuShY9Hvvcrum6gjWrCZwxfVOJ32Gqh9gw5nnopg2ikEzfe-DM7-RKpGQnQPUS_uaVaI1Lg38sLNIup9JNOXCyO7wFn0QGV3ULkSE3-P=w1200|https://lh3.googleusercontent.com/pw/AP1GczMalogWRYlU49XQaRcMlgoXkaxwSUv1_ZBGqJ1JFg3KL6Kbke9rwzvD6zfWPFGpUcGmsDYLPY76tGMFsXJr9QCQmtN9AWH_UIGpLAQwjFicW7nkm3d8=w1200</v>
      </c>
      <c r="AJ284" s="46"/>
      <c r="AK284" s="46"/>
      <c r="AL284" s="46"/>
      <c r="AM284" s="46"/>
      <c r="AN284" s="46"/>
      <c r="AO284" s="46"/>
      <c r="AP284" s="46"/>
      <c r="AQ284" s="46"/>
      <c r="AR284" s="46"/>
      <c r="AS284" s="46"/>
      <c r="AT284" s="46"/>
      <c r="AU284" s="46"/>
      <c r="AV284" s="46"/>
      <c r="AW284" s="46"/>
      <c r="AX284" s="46"/>
      <c r="AY284" s="46"/>
      <c r="AZ284" s="46"/>
      <c r="BA284" s="46"/>
      <c r="BB284" s="46"/>
      <c r="BC284" s="46"/>
      <c r="BD284" s="46"/>
      <c r="BE284" s="46"/>
      <c r="BF284" s="46"/>
      <c r="BG284" s="46"/>
      <c r="BH284" s="46"/>
      <c r="BI284" s="46"/>
      <c r="BJ284" s="46"/>
      <c r="BK284" s="46"/>
      <c r="BL284" s="46"/>
      <c r="BM284" s="46"/>
      <c r="BN284" s="46"/>
      <c r="BO284" s="46"/>
      <c r="BP284" s="46"/>
      <c r="BQ284" s="46"/>
      <c r="BR284" s="46"/>
      <c r="BS284" s="46"/>
      <c r="BT284" s="46"/>
      <c r="BU284" s="46"/>
      <c r="BV284" s="46"/>
      <c r="BW284" s="46"/>
      <c r="BX284" s="46"/>
      <c r="BY284" s="46"/>
      <c r="BZ284" s="46"/>
      <c r="CA284" s="46"/>
      <c r="CB284" s="46"/>
      <c r="CC284" s="46"/>
    </row>
    <row r="285">
      <c r="A285" s="87" t="str">
        <f>IFERROR(__xludf.DUMMYFUNCTION("""COMPUTED_VALUE"""),"400")</f>
        <v>400</v>
      </c>
      <c r="B285" s="46" t="str">
        <f>IFERROR(__xludf.DUMMYFUNCTION("""COMPUTED_VALUE"""),"Lote campestre en conjunto Condominio Rincón Campestre - Rivera")</f>
        <v>Lote campestre en conjunto Condominio Rincón Campestre - Rivera</v>
      </c>
      <c r="C285" s="46" t="str">
        <f>IFERROR(__xludf.DUMMYFUNCTION("""COMPUTED_VALUE"""),"Lote campestre en conjunto")</f>
        <v>Lote campestre en conjunto</v>
      </c>
      <c r="D285" s="46"/>
      <c r="E285" s="46" t="str">
        <f>IFERROR(__xludf.DUMMYFUNCTION("""COMPUTED_VALUE"""),"Conjunto Condominio Rincón Campestre")</f>
        <v>Conjunto Condominio Rincón Campestre</v>
      </c>
      <c r="F285" s="90">
        <f>IFERROR(__xludf.DUMMYFUNCTION("""COMPUTED_VALUE"""),2.8E8)</f>
        <v>280000000</v>
      </c>
      <c r="G285" s="46" t="str">
        <f>IFERROR(__xludf.DUMMYFUNCTION("""COMPUTED_VALUE"""),"$200'000.000 a $300'000.000")</f>
        <v>$200'000.000 a $300'000.000</v>
      </c>
      <c r="H285" s="46"/>
      <c r="I285" s="46"/>
      <c r="J285" s="46" t="str">
        <f>IFERROR(__xludf.DUMMYFUNCTION("""COMPUTED_VALUE"""),"Sur")</f>
        <v>Sur</v>
      </c>
      <c r="K285" s="87"/>
      <c r="L285" s="46">
        <f>IFERROR(__xludf.DUMMYFUNCTION("""COMPUTED_VALUE"""),0.0)</f>
        <v>0</v>
      </c>
      <c r="M285" s="46"/>
      <c r="N285" s="46">
        <f>IFERROR(__xludf.DUMMYFUNCTION("""COMPUTED_VALUE"""),0.0)</f>
        <v>0</v>
      </c>
      <c r="O285" s="46">
        <f>IFERROR(__xludf.DUMMYFUNCTION("""COMPUTED_VALUE"""),0.0)</f>
        <v>0</v>
      </c>
      <c r="P285" s="46">
        <f>IFERROR(__xludf.DUMMYFUNCTION("""COMPUTED_VALUE"""),0.0)</f>
        <v>0</v>
      </c>
      <c r="Q285" s="92">
        <f>IFERROR(__xludf.DUMMYFUNCTION("""COMPUTED_VALUE"""),0.0)</f>
        <v>0</v>
      </c>
      <c r="R285" s="92">
        <f>IFERROR(__xludf.DUMMYFUNCTION("""COMPUTED_VALUE"""),950.0)</f>
        <v>950</v>
      </c>
      <c r="S285" s="87" t="str">
        <f>IFERROR(__xludf.DUMMYFUNCTION("""COMPUTED_VALUE""")," ")</f>
        <v> </v>
      </c>
      <c r="T285" s="46" t="str">
        <f>IFERROR(__xludf.DUMMYFUNCTION("""COMPUTED_VALUE"""),"Rivera")</f>
        <v>Rivera</v>
      </c>
      <c r="U285" s="87"/>
      <c r="V285" s="46" t="str">
        <f>IFERROR(__xludf.DUMMYFUNCTION("""COMPUTED_VALUE"""),"Medianera")</f>
        <v>Medianera</v>
      </c>
      <c r="W285" s="46"/>
      <c r="X285" s="46">
        <f>IFERROR(__xludf.DUMMYFUNCTION("""COMPUTED_VALUE"""),0.0)</f>
        <v>0</v>
      </c>
      <c r="Y285" s="46" t="str">
        <f>IFERROR(__xludf.DUMMYFUNCTION("""COMPUTED_VALUE"""),"No tiene")</f>
        <v>No tiene</v>
      </c>
      <c r="Z285" s="90"/>
      <c r="AA285" s="33" t="str">
        <f>IFERROR(__xludf.DUMMYFUNCTION("""COMPUTED_VALUE"""),"No aplica")</f>
        <v>No aplica</v>
      </c>
      <c r="AB285" s="96" t="str">
        <f>IFERROR(__xludf.DUMMYFUNCTION("""COMPUTED_VALUE"""),"https://photos.app.goo.gl/bJHfGtCcuMemsEoc6")</f>
        <v>https://photos.app.goo.gl/bJHfGtCcuMemsEoc6</v>
      </c>
      <c r="AC285" s="46" t="str">
        <f>IFERROR(__xludf.DUMMYFUNCTION("""COMPUTED_VALUE"""),"Excelente oportunidad de inversión inmobiliaria mediante la venta de un lote en el Condominio Rincón Campestre, una zona caracterizada por su alta valorización, crecimiento constante, fácil acceso y cercanía a vías principales. La propiedad cuenta con un "&amp;"área total de $950\text{ m}^2$, se encuentra completamente urbanizada y dispone de servicios públicos, lo que facilita el inicio inmediato de cualquier construcción. Además, se destaca que está ubicado dentro de un conjunto cerrado y que el pago de la adm"&amp;"inistración incluye el servicio de acueducto, lo cual resulta ideal para desarrollar un proyecto familiar o una vivienda campestre.")</f>
        <v>Excelente oportunidad de inversión inmobiliaria mediante la venta de un lote en el Condominio Rincón Campestre, una zona caracterizada por su alta valorización, crecimiento constante, fácil acceso y cercanía a vías principales. La propiedad cuenta con un área total de $950\text{ m}^2$, se encuentra completamente urbanizada y dispone de servicios públicos, lo que facilita el inicio inmediato de cualquier construcción. Además, se destaca que está ubicado dentro de un conjunto cerrado y que el pago de la administración incluye el servicio de acueducto, lo cual resulta ideal para desarrollar un proyecto familiar o una vivienda campestre.</v>
      </c>
      <c r="AD285" s="46" t="str">
        <f>IFERROR(__xludf.DUMMYFUNCTION("""COMPUTED_VALUE"""),"Este exclusivo condominio ofrece un ambiente seguro y rodeado de naturaleza con diversas zonas comunes diseñadas especialmente para el descanso y la recreación. Entre los atractivos principales del conjunto se mencionan amplias zonas verdes, una zona BBQ "&amp;"para reuniones, canchas de microfútbol para actividades deportivas y un salón social. En definitiva, el documento enfatiza que invertir en este terreno garantiza una alta valorización del sector, permitiendo disfrutar de un entorno natural y tranquilo con"&amp;" todas las comodidades necesarias.")</f>
        <v>Este exclusivo condominio ofrece un ambiente seguro y rodeado de naturaleza con diversas zonas comunes diseñadas especialmente para el descanso y la recreación. Entre los atractivos principales del conjunto se mencionan amplias zonas verdes, una zona BBQ para reuniones, canchas de microfútbol para actividades deportivas y un salón social. En definitiva, el documento enfatiza que invertir en este terreno garantiza una alta valorización del sector, permitiendo disfrutar de un entorno natural y tranquilo con todas las comodidades necesarias.</v>
      </c>
      <c r="AE285" s="46"/>
      <c r="AF285" s="46">
        <f>IFERROR(__xludf.DUMMYFUNCTION("""COMPUTED_VALUE"""),0.0)</f>
        <v>0</v>
      </c>
      <c r="AG285" s="46"/>
      <c r="AH285" s="46" t="str">
        <f>IFERROR(__xludf.DUMMYFUNCTION("""COMPUTED_VALUE"""),"Aliado")</f>
        <v>Aliado</v>
      </c>
      <c r="AI285" s="92" t="str">
        <f>IFERROR(__xludf.DUMMYFUNCTION("""COMPUTED_VALUE"""),"https://lh3.googleusercontent.com/pw/AP1GczPB5RGW3jteRY0FsUoECEzVLY8oKOnc8hfYPcvSg9KNflvreNKqYixsr8_UKPjsrzelUOXV4cP_6UPdpbst4zricBFMtu2U2xxpYh9heoCXqJcI-1zV=w1200|https://lh3.googleusercontent.com/pw/AP1GczOdoGn_AWupOquh_VHfoC8oW1NJF5AQR0PSstGDA6lN_Z6wX_"&amp;"yQA5Dch6i1M5yx_UiAmtY45i8M5APY1C8bpDrV0HoaIb4Q2WT3L_TdPLuXED3qsOAF=w1200|https://lh3.googleusercontent.com/pw/AP1GczPkMP6iuiviglqGhR80-wJWmCPwigXg2-5qgNHfDBMuw76ivYPcms2PmXfEd0Fi21cT-wveiiij9aFqccjcumCAht-Qq8j2LrOzVgWvDRvgr0O7FVLm=w1200|https://lh3.google"&amp;"usercontent.com/pw/AP1GczP2Sq3tjnEBR8kfC-PNDnqIGUfgFBxmLtAtJaU0-W5ipMX9qCWXkFCTxAfMjs2rlgzKBp_h4NxcCNN58z70vMtdOJLcZbKFw13lcBBIirahZz5yPJiQ=w1200|https://lh3.googleusercontent.com/pw/AP1GczNQmYUIPPCRK2wCM6INEtM9FP_pj5Fs7B-7dNCLrtrSGN8aT98ErZcgko6GJNDncwcy"&amp;"XTfj7sx4hhI3ppyUiVT_36l3tZwS4CkJiGekJgtwdgTfvutF=w1200|https://lh3.googleusercontent.com/pw/AP1GczOKs95a4E4Oy_4LdRKQOiLwEyU2gX8U3dbl24eZRZiiTb-ayRO130TfykL54cS3xE6FFc7kCP1NLE78Zs9KDgSrwAnMq6JqekQTlKX8sKubPGMZ4go3=w1200|https://lh3.googleusercontent.com/pw"&amp;"/AP1GczPoZAG86e-tKONveOJEFzJCNhWE6ENo9_NMrZF-SI0WVpg6EVEe_ScU7f9-3-CGDzSvNFEvyobc5m7OB7wLTUGO_iTHonFBoO_Uf7MtiUEaWWVOGcPH=w1200|https://lh3.googleusercontent.com/pw/AP1GczOKG2gxHE254EEHJ5dK_Gb1eUbL_5SllQbtlJCH2CDOsQ1Ke-UcgQgdDMW3y3M-TarT38TjQ_TEEAh5uqsFD-"&amp;"j4ydah8FmznoBER-NVe9qlC7IoQ-t4=w1200")</f>
        <v>https://lh3.googleusercontent.com/pw/AP1GczPB5RGW3jteRY0FsUoECEzVLY8oKOnc8hfYPcvSg9KNflvreNKqYixsr8_UKPjsrzelUOXV4cP_6UPdpbst4zricBFMtu2U2xxpYh9heoCXqJcI-1zV=w1200|https://lh3.googleusercontent.com/pw/AP1GczOdoGn_AWupOquh_VHfoC8oW1NJF5AQR0PSstGDA6lN_Z6wX_yQA5Dch6i1M5yx_UiAmtY45i8M5APY1C8bpDrV0HoaIb4Q2WT3L_TdPLuXED3qsOAF=w1200|https://lh3.googleusercontent.com/pw/AP1GczPkMP6iuiviglqGhR80-wJWmCPwigXg2-5qgNHfDBMuw76ivYPcms2PmXfEd0Fi21cT-wveiiij9aFqccjcumCAht-Qq8j2LrOzVgWvDRvgr0O7FVLm=w1200|https://lh3.googleusercontent.com/pw/AP1GczP2Sq3tjnEBR8kfC-PNDnqIGUfgFBxmLtAtJaU0-W5ipMX9qCWXkFCTxAfMjs2rlgzKBp_h4NxcCNN58z70vMtdOJLcZbKFw13lcBBIirahZz5yPJiQ=w1200|https://lh3.googleusercontent.com/pw/AP1GczNQmYUIPPCRK2wCM6INEtM9FP_pj5Fs7B-7dNCLrtrSGN8aT98ErZcgko6GJNDncwcyXTfj7sx4hhI3ppyUiVT_36l3tZwS4CkJiGekJgtwdgTfvutF=w1200|https://lh3.googleusercontent.com/pw/AP1GczOKs95a4E4Oy_4LdRKQOiLwEyU2gX8U3dbl24eZRZiiTb-ayRO130TfykL54cS3xE6FFc7kCP1NLE78Zs9KDgSrwAnMq6JqekQTlKX8sKubPGMZ4go3=w1200|https://lh3.googleusercontent.com/pw/AP1GczPoZAG86e-tKONveOJEFzJCNhWE6ENo9_NMrZF-SI0WVpg6EVEe_ScU7f9-3-CGDzSvNFEvyobc5m7OB7wLTUGO_iTHonFBoO_Uf7MtiUEaWWVOGcPH=w1200|https://lh3.googleusercontent.com/pw/AP1GczOKG2gxHE254EEHJ5dK_Gb1eUbL_5SllQbtlJCH2CDOsQ1Ke-UcgQgdDMW3y3M-TarT38TjQ_TEEAh5uqsFD-j4ydah8FmznoBER-NVe9qlC7IoQ-t4=w1200</v>
      </c>
      <c r="AJ285" s="46"/>
      <c r="AK285" s="46"/>
      <c r="AL285" s="46"/>
      <c r="AM285" s="46"/>
      <c r="AN285" s="46"/>
      <c r="AO285" s="46"/>
      <c r="AP285" s="46"/>
      <c r="AQ285" s="46"/>
      <c r="AR285" s="46"/>
      <c r="AS285" s="46"/>
      <c r="AT285" s="46"/>
      <c r="AU285" s="46"/>
      <c r="AV285" s="46"/>
      <c r="AW285" s="46"/>
      <c r="AX285" s="46"/>
      <c r="AY285" s="46"/>
      <c r="AZ285" s="46"/>
      <c r="BA285" s="46"/>
      <c r="BB285" s="46"/>
      <c r="BC285" s="46"/>
      <c r="BD285" s="46"/>
      <c r="BE285" s="46"/>
      <c r="BF285" s="46"/>
      <c r="BG285" s="46"/>
      <c r="BH285" s="46"/>
      <c r="BI285" s="46"/>
      <c r="BJ285" s="46"/>
      <c r="BK285" s="46"/>
      <c r="BL285" s="46"/>
      <c r="BM285" s="46"/>
      <c r="BN285" s="46"/>
      <c r="BO285" s="46"/>
      <c r="BP285" s="46"/>
      <c r="BQ285" s="46"/>
      <c r="BR285" s="46"/>
      <c r="BS285" s="46"/>
      <c r="BT285" s="46"/>
      <c r="BU285" s="46"/>
      <c r="BV285" s="46"/>
      <c r="BW285" s="46"/>
      <c r="BX285" s="46"/>
      <c r="BY285" s="46"/>
      <c r="BZ285" s="46"/>
      <c r="CA285" s="46"/>
      <c r="CB285" s="46"/>
      <c r="CC285" s="46"/>
    </row>
    <row r="286">
      <c r="A286" s="87" t="str">
        <f>IFERROR(__xludf.DUMMYFUNCTION("""COMPUTED_VALUE"""),"1373")</f>
        <v>1373</v>
      </c>
      <c r="B286" s="46" t="str">
        <f>IFERROR(__xludf.DUMMYFUNCTION("""COMPUTED_VALUE"""),"Casa con apartamento en barrio Prado Norte ")</f>
        <v>Casa con apartamento en barrio Prado Norte </v>
      </c>
      <c r="C286" s="46" t="str">
        <f>IFERROR(__xludf.DUMMYFUNCTION("""COMPUTED_VALUE"""),"Casa rentable")</f>
        <v>Casa rentable</v>
      </c>
      <c r="D286" s="46"/>
      <c r="E286" s="46"/>
      <c r="F286" s="90">
        <f>IFERROR(__xludf.DUMMYFUNCTION("""COMPUTED_VALUE"""),2.8E8)</f>
        <v>280000000</v>
      </c>
      <c r="G286" s="46" t="str">
        <f>IFERROR(__xludf.DUMMYFUNCTION("""COMPUTED_VALUE"""),"$200'000.000 a $300'000.000")</f>
        <v>$200'000.000 a $300'000.000</v>
      </c>
      <c r="H286" s="46"/>
      <c r="I286" s="46"/>
      <c r="J286" s="46" t="str">
        <f>IFERROR(__xludf.DUMMYFUNCTION("""COMPUTED_VALUE"""),"Norte")</f>
        <v>Norte</v>
      </c>
      <c r="K286" s="87"/>
      <c r="L286" s="46">
        <f>IFERROR(__xludf.DUMMYFUNCTION("""COMPUTED_VALUE"""),6.0)</f>
        <v>6</v>
      </c>
      <c r="M286" s="46"/>
      <c r="N286" s="46">
        <f>IFERROR(__xludf.DUMMYFUNCTION("""COMPUTED_VALUE"""),2.0)</f>
        <v>2</v>
      </c>
      <c r="O286" s="46">
        <f>IFERROR(__xludf.DUMMYFUNCTION("""COMPUTED_VALUE"""),1.0)</f>
        <v>1</v>
      </c>
      <c r="P286" s="46">
        <f>IFERROR(__xludf.DUMMYFUNCTION("""COMPUTED_VALUE"""),2.0)</f>
        <v>2</v>
      </c>
      <c r="Q286" s="92">
        <f>IFERROR(__xludf.DUMMYFUNCTION("""COMPUTED_VALUE"""),120.0)</f>
        <v>120</v>
      </c>
      <c r="R286" s="92">
        <f>IFERROR(__xludf.DUMMYFUNCTION("""COMPUTED_VALUE"""),0.0)</f>
        <v>0</v>
      </c>
      <c r="S286" s="87" t="str">
        <f>IFERROR(__xludf.DUMMYFUNCTION("""COMPUTED_VALUE"""),"Rentabilidad $1,200,000")</f>
        <v>Rentabilidad $1,200,000</v>
      </c>
      <c r="T286" s="46" t="str">
        <f>IFERROR(__xludf.DUMMYFUNCTION("""COMPUTED_VALUE"""),"Neiva")</f>
        <v>Neiva</v>
      </c>
      <c r="U286" s="87" t="str">
        <f>IFERROR(__xludf.DUMMYFUNCTION("""COMPUTED_VALUE"""),"2")</f>
        <v>2</v>
      </c>
      <c r="V286" s="46" t="str">
        <f>IFERROR(__xludf.DUMMYFUNCTION("""COMPUTED_VALUE"""),"Medianera")</f>
        <v>Medianera</v>
      </c>
      <c r="W286" s="46"/>
      <c r="X286" s="46">
        <f>IFERROR(__xludf.DUMMYFUNCTION("""COMPUTED_VALUE"""),3.0)</f>
        <v>3</v>
      </c>
      <c r="Y286" s="46" t="str">
        <f>IFERROR(__xludf.DUMMYFUNCTION("""COMPUTED_VALUE"""),"No tiene")</f>
        <v>No tiene</v>
      </c>
      <c r="Z286" s="90" t="str">
        <f>IFERROR(__xludf.DUMMYFUNCTION("""COMPUTED_VALUE"""),"No aplica")</f>
        <v>No aplica</v>
      </c>
      <c r="AA286" s="33" t="str">
        <f>IFERROR(__xludf.DUMMYFUNCTION("""COMPUTED_VALUE"""),"19 años")</f>
        <v>19 años</v>
      </c>
      <c r="AB286" s="96" t="str">
        <f>IFERROR(__xludf.DUMMYFUNCTION("""COMPUTED_VALUE"""),"https://photos.app.goo.gl/c8AvcMzASdTyyyHv7")</f>
        <v>https://photos.app.goo.gl/c8AvcMzASdTyyyHv7</v>
      </c>
      <c r="AC286" s="46" t="str">
        <f>IFERROR(__xludf.DUMMYFUNCTION("""COMPUTED_VALUE"""),"Esta excelente casa de estrato 2, ubicada en la zona Norte de Neiva, cuenta con un área total y construida de 120 m² distribuidos estratégicamente para albergar 2 apartamentos totalmente independientes. En el diseño interior de sus áreas sociales destacan"&amp;" los pisos de cerámica con texturas geométricas claras y techos con un elegante acabado en machimbre de madera pulida que aporta calidez, acompañados por muros blancos bien iluminados. Cada apartamento dispone de una cómoda sala-comedor, un patio de ropas"&amp;" independiente con lavadero, 3 habitaciones (para un total de 6 alcobas en la propiedad) y 1 baño con divisiones de aluminio y acrílico esmerilado (sumando 2 baños en todo el inmueble). Asimismo, las cocinas cuentan con un diseño sencillo pero funcional, "&amp;"equipadas con mesones de baldosa clara, salpicaderos enchapados y gabinetes superiores empotrados en tonos oscuros para el almacenamiento. Adicionalmente, la propiedad ofrece un práctico puesto de parqueadero.")</f>
        <v>Esta excelente casa de estrato 2, ubicada en la zona Norte de Neiva, cuenta con un área total y construida de 120 m² distribuidos estratégicamente para albergar 2 apartamentos totalmente independientes. En el diseño interior de sus áreas sociales destacan los pisos de cerámica con texturas geométricas claras y techos con un elegante acabado en machimbre de madera pulida que aporta calidez, acompañados por muros blancos bien iluminados. Cada apartamento dispone de una cómoda sala-comedor, un patio de ropas independiente con lavadero, 3 habitaciones (para un total de 6 alcobas en la propiedad) y 1 baño con divisiones de aluminio y acrílico esmerilado (sumando 2 baños en todo el inmueble). Asimismo, las cocinas cuentan con un diseño sencillo pero funcional, equipadas con mesones de baldosa clara, salpicaderos enchapados y gabinetes superiores empotrados en tonos oscuros para el almacenamiento. Adicionalmente, la propiedad ofrece un práctico puesto de parqueadero.</v>
      </c>
      <c r="AD286" s="46" t="str">
        <f>IFERROR(__xludf.DUMMYFUNCTION("""COMPUTED_VALUE"""),"Esta propiedad representa una oportunidad de inversión insuperable en un sector residencial con excelente demanda habitacional, buen acceso vehicular y múltiples servicios cercanos. Su mayor atractivo radica en la versatilidad de su distribución, la cual "&amp;"le garantiza una posibilidad de doble ingreso mensual inmediato o la alternativa ideal de vivir en un apartamento mientras arrienda el otro para que la propiedad se pague por sí sola. Es la opción perfecta para inversionistas que buscan un activo seguro, "&amp;"con alta rentabilidad desde el primer momento y en una de las zonas con mayor proyección y flujo de la ciudad.")</f>
        <v>Esta propiedad representa una oportunidad de inversión insuperable en un sector residencial con excelente demanda habitacional, buen acceso vehicular y múltiples servicios cercanos. Su mayor atractivo radica en la versatilidad de su distribución, la cual le garantiza una posibilidad de doble ingreso mensual inmediato o la alternativa ideal de vivir en un apartamento mientras arrienda el otro para que la propiedad se pague por sí sola. Es la opción perfecta para inversionistas que buscan un activo seguro, con alta rentabilidad desde el primer momento y en una de las zonas con mayor proyección y flujo de la ciudad.</v>
      </c>
      <c r="AE286" s="46"/>
      <c r="AF286" s="46" t="str">
        <f>IFERROR(__xludf.DUMMYFUNCTION("""COMPUTED_VALUE"""),"básica")</f>
        <v>básica</v>
      </c>
      <c r="AG286" s="46"/>
      <c r="AH286" s="46" t="str">
        <f>IFERROR(__xludf.DUMMYFUNCTION("""COMPUTED_VALUE"""),"Aliado")</f>
        <v>Aliado</v>
      </c>
      <c r="AI286" s="92" t="str">
        <f>IFERROR(__xludf.DUMMYFUNCTION("""COMPUTED_VALUE"""),"https://lh3.googleusercontent.com/pw/AP1GczOW1iUophPMVV7wC5Q0mrBSpfnLpWaQPlq04JBpqoBb4talYUmr7xD21kndnzdZUY6d39JhE11K7Ud4OxKUOb_le8TzKM8Sliy33MfLXHdokgnvdmok=w1200|https://lh3.googleusercontent.com/pw/AP1GczPcTXZqHnUrlnntPM6Q_3MxC_C6cTTnvmI1Ybj9aOShhKFGKj"&amp;"4OcAvjV_Gr6Ulbii5qU_Ls0zeuyVJLN9OxjEamUlHJCfGEyUXC-aX6eMzrIbK0nLLY=w1200|https://lh3.googleusercontent.com/pw/AP1GczPMd6jBr1bmtN3xSFtmGyhdmw9akY30-0k0go4mZsXE2tXBSl8vShm7eIlSjhecDJOCHEplZ3JgclxgY0gahFRa9gtCzrJUDrSL9jPewew9eoTxQ0nu=w1200|https://lh3.google"&amp;"usercontent.com/pw/AP1GczMUWy6DOHRDvsy1wFyGcfKvKdn-Pib86uc8HdzGM8D7qlkEGXBN_Qkv3dyU02xsi1dUUmZIVm1oWnIxEASGKDJNFIzGPJ37QJlahLnMaAHuv2aywK9W=w1200|https://lh3.googleusercontent.com/pw/AP1GczMRDuLqPkHNk94XKrHRtD1wqFhjAYvcCaT4GaNTVAdVgPfTrp7D5wwGmj23GkychkD5"&amp;"mVsdJcv0SWZM_ecQ4f5pJq7BkAzxz9p2LOtgmw9wSGaPoXuR=w1200|https://lh3.googleusercontent.com/pw/AP1GczNQKLzNjCkRW-f0v-KB3oY0fOu1uTPgh0h44oFpHcJfLfyHTQHmnul-dBMLfGvt2UAXZ2FpKlZZObPxQjlbKnWctdQo7a9l2wbGET3NMV4-ZYZRsngD=w1200|https://lh3.googleusercontent.com/pw"&amp;"/AP1GczOl7Hizrjk6peVtrOvB8In71C-XKiChgUZFDOlH6wZdhy81VG7g2aw7jzukht6rV3c5cM3SXZOGaJKO04rU6eugmgJwCIDa39IQnzQqsAy32hHajxsd=w1200|https://lh3.googleusercontent.com/pw/AP1GczOnfgLJZRimA8uqFsA3YolfjW4478fL1P4tZLz8fTe9fIttSHRclCN5fOZtB1HzgocEWgbIBfZ1V8QzgcgqJQ"&amp;"Bl-7HH0X3Uw98rrc_jrmjeZK0jYJA5=w1200|https://lh3.googleusercontent.com/pw/AP1GczN5_pfTOz9We9mhbGFAzm8KURSOUzmxnYE5atSdZ1b2oJBGgTPVV4pKdU-TkV1rh8fRuCKUPUnj8XvMiD329MEY7CIMuh69wQN5P_1zpCemhbhO39Ti=w1200|https://lh3.googleusercontent.com/pw/AP1GczO-Mv9SceEsh"&amp;"DoGEmAwIDeuFn8fY_UDOLlVyXklM9UsfAV93aOQtNk8tS0ClYil2hbYNdzC-mFvSouQj8Sh6Jg10qV3xupXV8m_IRIFJBF30bMA-pVV=w1200")</f>
        <v>https://lh3.googleusercontent.com/pw/AP1GczOW1iUophPMVV7wC5Q0mrBSpfnLpWaQPlq04JBpqoBb4talYUmr7xD21kndnzdZUY6d39JhE11K7Ud4OxKUOb_le8TzKM8Sliy33MfLXHdokgnvdmok=w1200|https://lh3.googleusercontent.com/pw/AP1GczPcTXZqHnUrlnntPM6Q_3MxC_C6cTTnvmI1Ybj9aOShhKFGKj4OcAvjV_Gr6Ulbii5qU_Ls0zeuyVJLN9OxjEamUlHJCfGEyUXC-aX6eMzrIbK0nLLY=w1200|https://lh3.googleusercontent.com/pw/AP1GczPMd6jBr1bmtN3xSFtmGyhdmw9akY30-0k0go4mZsXE2tXBSl8vShm7eIlSjhecDJOCHEplZ3JgclxgY0gahFRa9gtCzrJUDrSL9jPewew9eoTxQ0nu=w1200|https://lh3.googleusercontent.com/pw/AP1GczMUWy6DOHRDvsy1wFyGcfKvKdn-Pib86uc8HdzGM8D7qlkEGXBN_Qkv3dyU02xsi1dUUmZIVm1oWnIxEASGKDJNFIzGPJ37QJlahLnMaAHuv2aywK9W=w1200|https://lh3.googleusercontent.com/pw/AP1GczMRDuLqPkHNk94XKrHRtD1wqFhjAYvcCaT4GaNTVAdVgPfTrp7D5wwGmj23GkychkD5mVsdJcv0SWZM_ecQ4f5pJq7BkAzxz9p2LOtgmw9wSGaPoXuR=w1200|https://lh3.googleusercontent.com/pw/AP1GczNQKLzNjCkRW-f0v-KB3oY0fOu1uTPgh0h44oFpHcJfLfyHTQHmnul-dBMLfGvt2UAXZ2FpKlZZObPxQjlbKnWctdQo7a9l2wbGET3NMV4-ZYZRsngD=w1200|https://lh3.googleusercontent.com/pw/AP1GczOl7Hizrjk6peVtrOvB8In71C-XKiChgUZFDOlH6wZdhy81VG7g2aw7jzukht6rV3c5cM3SXZOGaJKO04rU6eugmgJwCIDa39IQnzQqsAy32hHajxsd=w1200|https://lh3.googleusercontent.com/pw/AP1GczOnfgLJZRimA8uqFsA3YolfjW4478fL1P4tZLz8fTe9fIttSHRclCN5fOZtB1HzgocEWgbIBfZ1V8QzgcgqJQBl-7HH0X3Uw98rrc_jrmjeZK0jYJA5=w1200|https://lh3.googleusercontent.com/pw/AP1GczN5_pfTOz9We9mhbGFAzm8KURSOUzmxnYE5atSdZ1b2oJBGgTPVV4pKdU-TkV1rh8fRuCKUPUnj8XvMiD329MEY7CIMuh69wQN5P_1zpCemhbhO39Ti=w1200|https://lh3.googleusercontent.com/pw/AP1GczO-Mv9SceEshDoGEmAwIDeuFn8fY_UDOLlVyXklM9UsfAV93aOQtNk8tS0ClYil2hbYNdzC-mFvSouQj8Sh6Jg10qV3xupXV8m_IRIFJBF30bMA-pVV=w1200</v>
      </c>
      <c r="AJ286" s="46"/>
      <c r="AK286" s="46"/>
      <c r="AL286" s="46"/>
      <c r="AM286" s="46"/>
      <c r="AN286" s="46"/>
      <c r="AO286" s="46"/>
      <c r="AP286" s="46"/>
      <c r="AQ286" s="46"/>
      <c r="AR286" s="46"/>
      <c r="AS286" s="46"/>
      <c r="AT286" s="46"/>
      <c r="AU286" s="46"/>
      <c r="AV286" s="46"/>
      <c r="AW286" s="46"/>
      <c r="AX286" s="46"/>
      <c r="AY286" s="46"/>
      <c r="AZ286" s="46"/>
      <c r="BA286" s="46"/>
      <c r="BB286" s="46"/>
      <c r="BC286" s="46"/>
      <c r="BD286" s="46"/>
      <c r="BE286" s="46"/>
      <c r="BF286" s="46"/>
      <c r="BG286" s="46"/>
      <c r="BH286" s="46"/>
      <c r="BI286" s="46"/>
      <c r="BJ286" s="46"/>
      <c r="BK286" s="46"/>
      <c r="BL286" s="46"/>
      <c r="BM286" s="46"/>
      <c r="BN286" s="46"/>
      <c r="BO286" s="46"/>
      <c r="BP286" s="46"/>
      <c r="BQ286" s="46"/>
      <c r="BR286" s="46"/>
      <c r="BS286" s="46"/>
      <c r="BT286" s="46"/>
      <c r="BU286" s="46"/>
      <c r="BV286" s="46"/>
      <c r="BW286" s="46"/>
      <c r="BX286" s="46"/>
      <c r="BY286" s="46"/>
      <c r="BZ286" s="46"/>
      <c r="CA286" s="46"/>
      <c r="CB286" s="46"/>
      <c r="CC286" s="46"/>
    </row>
    <row r="287">
      <c r="A287" s="87" t="str">
        <f>IFERROR(__xludf.DUMMYFUNCTION("""COMPUTED_VALUE"""),"1372")</f>
        <v>1372</v>
      </c>
      <c r="B287" s="46" t="str">
        <f>IFERROR(__xludf.DUMMYFUNCTION("""COMPUTED_VALUE"""),"Casa en barrio La Trinidad - Norte")</f>
        <v>Casa en barrio La Trinidad - Norte</v>
      </c>
      <c r="C287" s="46" t="str">
        <f>IFERROR(__xludf.DUMMYFUNCTION("""COMPUTED_VALUE"""),"Casa")</f>
        <v>Casa</v>
      </c>
      <c r="D287" s="46" t="str">
        <f>IFERROR(__xludf.DUMMYFUNCTION("""COMPUTED_VALUE"""),"La Trinidad")</f>
        <v>La Trinidad</v>
      </c>
      <c r="E287" s="46"/>
      <c r="F287" s="90">
        <f>IFERROR(__xludf.DUMMYFUNCTION("""COMPUTED_VALUE"""),2.8E8)</f>
        <v>280000000</v>
      </c>
      <c r="G287" s="46" t="str">
        <f>IFERROR(__xludf.DUMMYFUNCTION("""COMPUTED_VALUE"""),"$200'000.000 a $300'000.000")</f>
        <v>$200'000.000 a $300'000.000</v>
      </c>
      <c r="H287" s="46"/>
      <c r="I287" s="46"/>
      <c r="J287" s="46" t="str">
        <f>IFERROR(__xludf.DUMMYFUNCTION("""COMPUTED_VALUE"""),"Norte")</f>
        <v>Norte</v>
      </c>
      <c r="K287" s="87"/>
      <c r="L287" s="46">
        <f>IFERROR(__xludf.DUMMYFUNCTION("""COMPUTED_VALUE"""),4.0)</f>
        <v>4</v>
      </c>
      <c r="M287" s="46"/>
      <c r="N287" s="46">
        <f>IFERROR(__xludf.DUMMYFUNCTION("""COMPUTED_VALUE"""),3.0)</f>
        <v>3</v>
      </c>
      <c r="O287" s="46">
        <f>IFERROR(__xludf.DUMMYFUNCTION("""COMPUTED_VALUE"""),1.0)</f>
        <v>1</v>
      </c>
      <c r="P287" s="46">
        <f>IFERROR(__xludf.DUMMYFUNCTION("""COMPUTED_VALUE"""),2.0)</f>
        <v>2</v>
      </c>
      <c r="Q287" s="92">
        <f>IFERROR(__xludf.DUMMYFUNCTION("""COMPUTED_VALUE"""),125.0)</f>
        <v>125</v>
      </c>
      <c r="R287" s="92">
        <f>IFERROR(__xludf.DUMMYFUNCTION("""COMPUTED_VALUE"""),84.0)</f>
        <v>84</v>
      </c>
      <c r="S287" s="87" t="str">
        <f>IFERROR(__xludf.DUMMYFUNCTION("""COMPUTED_VALUE""")," ")</f>
        <v> </v>
      </c>
      <c r="T287" s="46" t="str">
        <f>IFERROR(__xludf.DUMMYFUNCTION("""COMPUTED_VALUE"""),"Neiva")</f>
        <v>Neiva</v>
      </c>
      <c r="U287" s="87" t="str">
        <f>IFERROR(__xludf.DUMMYFUNCTION("""COMPUTED_VALUE"""),"2")</f>
        <v>2</v>
      </c>
      <c r="V287" s="46" t="str">
        <f>IFERROR(__xludf.DUMMYFUNCTION("""COMPUTED_VALUE"""),"Medianera")</f>
        <v>Medianera</v>
      </c>
      <c r="W287" s="46"/>
      <c r="X287" s="46">
        <f>IFERROR(__xludf.DUMMYFUNCTION("""COMPUTED_VALUE"""),4.0)</f>
        <v>4</v>
      </c>
      <c r="Y287" s="46" t="str">
        <f>IFERROR(__xludf.DUMMYFUNCTION("""COMPUTED_VALUE"""),"No tiene")</f>
        <v>No tiene</v>
      </c>
      <c r="Z287" s="90"/>
      <c r="AA287" s="33" t="str">
        <f>IFERROR(__xludf.DUMMYFUNCTION("""COMPUTED_VALUE"""),"No aplica")</f>
        <v>No aplica</v>
      </c>
      <c r="AB287" s="96" t="str">
        <f>IFERROR(__xludf.DUMMYFUNCTION("""COMPUTED_VALUE"""),"https://photos.app.goo.gl/vDUBMsLCaDNw2T6YA")</f>
        <v>https://photos.app.goo.gl/vDUBMsLCaDNw2T6YA</v>
      </c>
      <c r="AC287" s="46" t="str">
        <f>IFERROR(__xludf.DUMMYFUNCTION("""COMPUTED_VALUE"""),"El primer piso dispone de sala amplia y acogedora, comedor independiente, estudio ideal para home office, cocina integral, baño social y patio trasero completamente techado con alberca y espacio para lavadora. En el segundo piso cuenta con 4 habitaciones "&amp;"con clóset y aire acondicionado, incluyendo la principal con baño privado, además de un baño auxiliar.")</f>
        <v>El primer piso dispone de sala amplia y acogedora, comedor independiente, estudio ideal para home office, cocina integral, baño social y patio trasero completamente techado con alberca y espacio para lavadora. En el segundo piso cuenta con 4 habitaciones con clóset y aire acondicionado, incluyendo la principal con baño privado, además de un baño auxiliar.</v>
      </c>
      <c r="AD287" s="46" t="str">
        <f>IFERROR(__xludf.DUMMYFUNCTION("""COMPUTED_VALUE"""),"Casa en venta en el barrio La Trinidad, ubicada en la zona norte, con un área construida de 125 m². En el exterior tiene zona enrejada y techada, pisos en cerámica y parqueadero para 1 vehículo. Estrato 2.")</f>
        <v>Casa en venta en el barrio La Trinidad, ubicada en la zona norte, con un área construida de 125 m². En el exterior tiene zona enrejada y techada, pisos en cerámica y parqueadero para 1 vehículo. Estrato 2.</v>
      </c>
      <c r="AE287" s="46"/>
      <c r="AF287" s="46" t="str">
        <f>IFERROR(__xludf.DUMMYFUNCTION("""COMPUTED_VALUE"""),"integral")</f>
        <v>integral</v>
      </c>
      <c r="AG287" s="46"/>
      <c r="AH287" s="46" t="str">
        <f>IFERROR(__xludf.DUMMYFUNCTION("""COMPUTED_VALUE"""),"Aliado")</f>
        <v>Aliado</v>
      </c>
      <c r="AI287" s="92" t="str">
        <f>IFERROR(__xludf.DUMMYFUNCTION("""COMPUTED_VALUE"""),"https://lh3.googleusercontent.com/pw/AP1GczMoLrEYmUs7x8bDIyhB2Ih7O9b5gLADjhHCvbJDCMUiNL_812RHv34QdEIbAoGelT8Y2ALNmaz_i1rv26T1KE-ndbUol2mGZr_5owzqfTom0abZWTjt=w1200|https://lh3.googleusercontent.com/pw/AP1GczOayl9O0kA3jZnZcYqOaEFhrsb1LDvynhJQDkPyz2EOS8XsRl"&amp;"cG0fN6t0v6zAKlhTjzSQSMcZux0P_RGep2faP_UCB0rDF2rc_w8ta2lM6vetJqdIhL=w1200|https://lh3.googleusercontent.com/pw/AP1GczM1LvhcuniKkOHx8gqBTRlj6g095-Wh4ow3Snl1UUFlS8-2W3v1oyYOfXopJdd3B_VOnUTAfT1e3rDFSiq62kaH0cTHsJOoYLF6oAGtLU_TKjqUt1Kk=w1200|https://lh3.google"&amp;"usercontent.com/pw/AP1GczNiD2i0G9_qJMVlF95BJTn8CIYZAvYKM2YcH3VcWu5Mb3g2rtzdU3vEbTcJEFBW94uTyd6ZWFfCR5a1JLc2h3f7qQZeZWmKty2jfWlbaqsAG7jvp1fq=w1200|https://lh3.googleusercontent.com/pw/AP1GczNoAXeUY2PdRTcAJztUS1fVIxMqTtbtDPcTu43SDFAFtW9ybZp6h17uDq-bUQAlEpPa"&amp;"a43osBPHPRAggZjubMXDPNivqxTlnGcm0eWkekBaCcxvRVUP=w1200|https://lh3.googleusercontent.com/pw/AP1GczOCJ4PDdTQ-21QjPfbRWvhm2BBlB8WCxdaF0fMimEle6jDwAkh5wxvJ_Sm6QmJJpVRMWe_ycjFBAq5_QnN0ZkV_3aoxObOiot8iOOMsZCLv3PBw-RE7=w1200|https://lh3.googleusercontent.com/pw"&amp;"/AP1GczP34cpn0Z972vJgVaZGAIu83i_nqMaBh1B1gOrsYDNPt043CPJG65EGEPIhxcx8oHH7K0k7ybyxQzEokePYxWeyoU9cwi2liQBXR1oQNFjTzvpFxv0F=w1200|https://lh3.googleusercontent.com/pw/AP1GczMe6Tlk7I0-pVM6r786aQugVBkVP06STe2-i_MAMZoVNrBF6LLOCB21Vp6q60-LfFqiRb9k54ghFV-mgQJrWs"&amp;"2SPTU_1-vUAVo7EPie2r2MtPGcCHTP=w1200|https://lh3.googleusercontent.com/pw/AP1GczNlO0z1lcYOl7ZtLsVyb0uCjv1L5dKLkR3fMVax6BASXzexf4VQowdz4x7ogLZ64qqY7tq2LH2l3f4MFV6cLimXKji9hzxId9dXUlQUveDI1N_vO4h2=w1200|https://lh3.googleusercontent.com/pw/AP1GczMwLvo77_koW"&amp;"FZFKc1qoWLD6_DAl3nbs31GM3FfOCTRHoXdB5g1VzhpvuaO4UUt72tnpR5XpryoaHlMoqhiz9Gag79ucftL3Zu1By2M-QX6HLDjTS2M=w1200|https://lh3.googleusercontent.com/pw/AP1GczMAAflOJ1RwCBnHlS-u0YWlgyhgWzi5iNmxD8PYnRCQYxdRuQwzKXZVKiZPBFojA-gcXzUlkTEOQwxaobielo82Ggq8cp4yXSdxs-7N"&amp;"Q7BnIUUB5rS1=w1200|https://lh3.googleusercontent.com/pw/AP1GczMe6wakyV-BVOh06kdqMmEO5n-UFw3H350BtFBJon3AlUnqgdqPeuBI0DAfmuxg_hu6dluePWzKI06ZJzVS58OtMR3_USp9yX07lv9CaHx5oDfCm0se=w1200|https://lh3.googleusercontent.com/pw/AP1GczPSWYR-irSoTY4JCxvPcOWOgLW5XlN"&amp;"acKH0kQ9N05HqF8NXSXSrRTExX4GyXovLfOEagD_iH8iYz75a9XgdUVVXxVNdEzyuBu9hj7vrJoGfOUrLrem9=w1200|https://lh3.googleusercontent.com/pw/AP1GczPM5Yd-EPuNIMiVz8R_2mgvyq2pqvbd1qKt4pcB7V1KIPmaNSkOCdmWa0yKmABnL4tRUK12dSWFbrPLeNxIRi1kaZWRubr93hKiXEP00JxGImtCVzou=w1200")</f>
        <v>https://lh3.googleusercontent.com/pw/AP1GczMoLrEYmUs7x8bDIyhB2Ih7O9b5gLADjhHCvbJDCMUiNL_812RHv34QdEIbAoGelT8Y2ALNmaz_i1rv26T1KE-ndbUol2mGZr_5owzqfTom0abZWTjt=w1200|https://lh3.googleusercontent.com/pw/AP1GczOayl9O0kA3jZnZcYqOaEFhrsb1LDvynhJQDkPyz2EOS8XsRlcG0fN6t0v6zAKlhTjzSQSMcZux0P_RGep2faP_UCB0rDF2rc_w8ta2lM6vetJqdIhL=w1200|https://lh3.googleusercontent.com/pw/AP1GczM1LvhcuniKkOHx8gqBTRlj6g095-Wh4ow3Snl1UUFlS8-2W3v1oyYOfXopJdd3B_VOnUTAfT1e3rDFSiq62kaH0cTHsJOoYLF6oAGtLU_TKjqUt1Kk=w1200|https://lh3.googleusercontent.com/pw/AP1GczNiD2i0G9_qJMVlF95BJTn8CIYZAvYKM2YcH3VcWu5Mb3g2rtzdU3vEbTcJEFBW94uTyd6ZWFfCR5a1JLc2h3f7qQZeZWmKty2jfWlbaqsAG7jvp1fq=w1200|https://lh3.googleusercontent.com/pw/AP1GczNoAXeUY2PdRTcAJztUS1fVIxMqTtbtDPcTu43SDFAFtW9ybZp6h17uDq-bUQAlEpPaa43osBPHPRAggZjubMXDPNivqxTlnGcm0eWkekBaCcxvRVUP=w1200|https://lh3.googleusercontent.com/pw/AP1GczOCJ4PDdTQ-21QjPfbRWvhm2BBlB8WCxdaF0fMimEle6jDwAkh5wxvJ_Sm6QmJJpVRMWe_ycjFBAq5_QnN0ZkV_3aoxObOiot8iOOMsZCLv3PBw-RE7=w1200|https://lh3.googleusercontent.com/pw/AP1GczP34cpn0Z972vJgVaZGAIu83i_nqMaBh1B1gOrsYDNPt043CPJG65EGEPIhxcx8oHH7K0k7ybyxQzEokePYxWeyoU9cwi2liQBXR1oQNFjTzvpFxv0F=w1200|https://lh3.googleusercontent.com/pw/AP1GczMe6Tlk7I0-pVM6r786aQugVBkVP06STe2-i_MAMZoVNrBF6LLOCB21Vp6q60-LfFqiRb9k54ghFV-mgQJrWs2SPTU_1-vUAVo7EPie2r2MtPGcCHTP=w1200|https://lh3.googleusercontent.com/pw/AP1GczNlO0z1lcYOl7ZtLsVyb0uCjv1L5dKLkR3fMVax6BASXzexf4VQowdz4x7ogLZ64qqY7tq2LH2l3f4MFV6cLimXKji9hzxId9dXUlQUveDI1N_vO4h2=w1200|https://lh3.googleusercontent.com/pw/AP1GczMwLvo77_koWFZFKc1qoWLD6_DAl3nbs31GM3FfOCTRHoXdB5g1VzhpvuaO4UUt72tnpR5XpryoaHlMoqhiz9Gag79ucftL3Zu1By2M-QX6HLDjTS2M=w1200|https://lh3.googleusercontent.com/pw/AP1GczMAAflOJ1RwCBnHlS-u0YWlgyhgWzi5iNmxD8PYnRCQYxdRuQwzKXZVKiZPBFojA-gcXzUlkTEOQwxaobielo82Ggq8cp4yXSdxs-7NQ7BnIUUB5rS1=w1200|https://lh3.googleusercontent.com/pw/AP1GczMe6wakyV-BVOh06kdqMmEO5n-UFw3H350BtFBJon3AlUnqgdqPeuBI0DAfmuxg_hu6dluePWzKI06ZJzVS58OtMR3_USp9yX07lv9CaHx5oDfCm0se=w1200|https://lh3.googleusercontent.com/pw/AP1GczPSWYR-irSoTY4JCxvPcOWOgLW5XlNacKH0kQ9N05HqF8NXSXSrRTExX4GyXovLfOEagD_iH8iYz75a9XgdUVVXxVNdEzyuBu9hj7vrJoGfOUrLrem9=w1200|https://lh3.googleusercontent.com/pw/AP1GczPM5Yd-EPuNIMiVz8R_2mgvyq2pqvbd1qKt4pcB7V1KIPmaNSkOCdmWa0yKmABnL4tRUK12dSWFbrPLeNxIRi1kaZWRubr93hKiXEP00JxGImtCVzou=w1200</v>
      </c>
      <c r="AJ287" s="46"/>
      <c r="AK287" s="46"/>
      <c r="AL287" s="46"/>
      <c r="AM287" s="46"/>
      <c r="AN287" s="46"/>
      <c r="AO287" s="46"/>
      <c r="AP287" s="46"/>
      <c r="AQ287" s="46"/>
      <c r="AR287" s="46"/>
      <c r="AS287" s="46"/>
      <c r="AT287" s="46"/>
      <c r="AU287" s="46"/>
      <c r="AV287" s="46"/>
      <c r="AW287" s="46"/>
      <c r="AX287" s="46"/>
      <c r="AY287" s="46"/>
      <c r="AZ287" s="46"/>
      <c r="BA287" s="46"/>
      <c r="BB287" s="46"/>
      <c r="BC287" s="46"/>
      <c r="BD287" s="46"/>
      <c r="BE287" s="46"/>
      <c r="BF287" s="46"/>
      <c r="BG287" s="46"/>
      <c r="BH287" s="46"/>
      <c r="BI287" s="46"/>
      <c r="BJ287" s="46"/>
      <c r="BK287" s="46"/>
      <c r="BL287" s="46"/>
      <c r="BM287" s="46"/>
      <c r="BN287" s="46"/>
      <c r="BO287" s="46"/>
      <c r="BP287" s="46"/>
      <c r="BQ287" s="46"/>
      <c r="BR287" s="46"/>
      <c r="BS287" s="46"/>
      <c r="BT287" s="46"/>
      <c r="BU287" s="46"/>
      <c r="BV287" s="46"/>
      <c r="BW287" s="46"/>
      <c r="BX287" s="46"/>
      <c r="BY287" s="46"/>
      <c r="BZ287" s="46"/>
      <c r="CA287" s="46"/>
      <c r="CB287" s="46"/>
      <c r="CC287" s="46"/>
    </row>
    <row r="288">
      <c r="A288" s="87" t="str">
        <f>IFERROR(__xludf.DUMMYFUNCTION("""COMPUTED_VALUE"""),"1371")</f>
        <v>1371</v>
      </c>
      <c r="B288" s="46" t="str">
        <f>IFERROR(__xludf.DUMMYFUNCTION("""COMPUTED_VALUE"""),"Casa en barrio Canaima - Sur")</f>
        <v>Casa en barrio Canaima - Sur</v>
      </c>
      <c r="C288" s="46" t="str">
        <f>IFERROR(__xludf.DUMMYFUNCTION("""COMPUTED_VALUE"""),"Casa")</f>
        <v>Casa</v>
      </c>
      <c r="D288" s="46" t="str">
        <f>IFERROR(__xludf.DUMMYFUNCTION("""COMPUTED_VALUE"""),"Canaima")</f>
        <v>Canaima</v>
      </c>
      <c r="E288" s="46"/>
      <c r="F288" s="90">
        <f>IFERROR(__xludf.DUMMYFUNCTION("""COMPUTED_VALUE"""),2.7E8)</f>
        <v>270000000</v>
      </c>
      <c r="G288" s="46" t="str">
        <f>IFERROR(__xludf.DUMMYFUNCTION("""COMPUTED_VALUE"""),"$200'000.000 a $300'000.000")</f>
        <v>$200'000.000 a $300'000.000</v>
      </c>
      <c r="H288" s="46"/>
      <c r="I288" s="46"/>
      <c r="J288" s="46" t="str">
        <f>IFERROR(__xludf.DUMMYFUNCTION("""COMPUTED_VALUE"""),"Sur")</f>
        <v>Sur</v>
      </c>
      <c r="K288" s="87" t="str">
        <f>IFERROR(__xludf.DUMMYFUNCTION("""COMPUTED_VALUE"""),"6")</f>
        <v>6</v>
      </c>
      <c r="L288" s="46">
        <f>IFERROR(__xludf.DUMMYFUNCTION("""COMPUTED_VALUE"""),4.0)</f>
        <v>4</v>
      </c>
      <c r="M288" s="46"/>
      <c r="N288" s="46">
        <f>IFERROR(__xludf.DUMMYFUNCTION("""COMPUTED_VALUE"""),3.0)</f>
        <v>3</v>
      </c>
      <c r="O288" s="46">
        <f>IFERROR(__xludf.DUMMYFUNCTION("""COMPUTED_VALUE"""),1.0)</f>
        <v>1</v>
      </c>
      <c r="P288" s="46">
        <f>IFERROR(__xludf.DUMMYFUNCTION("""COMPUTED_VALUE"""),2.0)</f>
        <v>2</v>
      </c>
      <c r="Q288" s="92">
        <f>IFERROR(__xludf.DUMMYFUNCTION("""COMPUTED_VALUE"""),125.0)</f>
        <v>125</v>
      </c>
      <c r="R288" s="92">
        <f>IFERROR(__xludf.DUMMYFUNCTION("""COMPUTED_VALUE"""),84.0)</f>
        <v>84</v>
      </c>
      <c r="S288" s="87" t="str">
        <f>IFERROR(__xludf.DUMMYFUNCTION("""COMPUTED_VALUE""")," ")</f>
        <v> </v>
      </c>
      <c r="T288" s="46" t="str">
        <f>IFERROR(__xludf.DUMMYFUNCTION("""COMPUTED_VALUE"""),"Neiva")</f>
        <v>Neiva</v>
      </c>
      <c r="U288" s="87" t="str">
        <f>IFERROR(__xludf.DUMMYFUNCTION("""COMPUTED_VALUE"""),"2")</f>
        <v>2</v>
      </c>
      <c r="V288" s="46" t="str">
        <f>IFERROR(__xludf.DUMMYFUNCTION("""COMPUTED_VALUE"""),"Medianera")</f>
        <v>Medianera</v>
      </c>
      <c r="W288" s="46"/>
      <c r="X288" s="46">
        <f>IFERROR(__xludf.DUMMYFUNCTION("""COMPUTED_VALUE"""),4.0)</f>
        <v>4</v>
      </c>
      <c r="Y288" s="46" t="str">
        <f>IFERROR(__xludf.DUMMYFUNCTION("""COMPUTED_VALUE"""),"No tiene")</f>
        <v>No tiene</v>
      </c>
      <c r="Z288" s="90"/>
      <c r="AA288" s="33" t="str">
        <f>IFERROR(__xludf.DUMMYFUNCTION("""COMPUTED_VALUE"""),"No aplica")</f>
        <v>No aplica</v>
      </c>
      <c r="AB288" s="96" t="str">
        <f>IFERROR(__xludf.DUMMYFUNCTION("""COMPUTED_VALUE"""),"https://photos.app.goo.gl/sC7Aj3zSm2WnPzKw8")</f>
        <v>https://photos.app.goo.gl/sC7Aj3zSm2WnPzKw8</v>
      </c>
      <c r="AC288" s="46" t="str">
        <f>IFERROR(__xludf.DUMMYFUNCTION("""COMPUTED_VALUE"""),"En el primer piso cuenta con garaje enrejado y techado, sala amplia y acogedora, comedor con excelente iluminación natural, cocina integral moderna, baño social y patio de ropas techado con alberca. En el segundo piso dispone de 4 habitaciones, todas con "&amp;"clóset y aire acondicionado, destacando la habitación principal con baño privado y balcón, además de un baño auxiliar. La propiedad tiene pisos en cerámica y ofrece espacios cómodos y funcionales, ideales para la vida familiar.")</f>
        <v>En el primer piso cuenta con garaje enrejado y techado, sala amplia y acogedora, comedor con excelente iluminación natural, cocina integral moderna, baño social y patio de ropas techado con alberca. En el segundo piso dispone de 4 habitaciones, todas con clóset y aire acondicionado, destacando la habitación principal con baño privado y balcón, además de un baño auxiliar. La propiedad tiene pisos en cerámica y ofrece espacios cómodos y funcionales, ideales para la vida familiar.</v>
      </c>
      <c r="AD288" s="46" t="str">
        <f>IFERROR(__xludf.DUMMYFUNCTION("""COMPUTED_VALUE"""),"Casa de dos pisos en venta en el barrio Canaima, zona sur de la ciudad, ubicada en estrato 2.")</f>
        <v>Casa de dos pisos en venta en el barrio Canaima, zona sur de la ciudad, ubicada en estrato 2.</v>
      </c>
      <c r="AE288" s="46"/>
      <c r="AF288" s="46" t="str">
        <f>IFERROR(__xludf.DUMMYFUNCTION("""COMPUTED_VALUE"""),"semi-integral")</f>
        <v>semi-integral</v>
      </c>
      <c r="AG288" s="46"/>
      <c r="AH288" s="46" t="str">
        <f>IFERROR(__xludf.DUMMYFUNCTION("""COMPUTED_VALUE"""),"Aliado")</f>
        <v>Aliado</v>
      </c>
      <c r="AI288" s="92" t="str">
        <f>IFERROR(__xludf.DUMMYFUNCTION("""COMPUTED_VALUE"""),"https://lh3.googleusercontent.com/pw/AP1GczPHpN6H1e-WDiRN8K1mPPR0ZXDQhyH3uyNggDHpealuIsGKBTklrtfSN8EphaPpFlXCIPVkPyGFArGzK9dUdAaKeWptdeOqgH3gg7hYkrVAjtHfB4pg=w1200|https://lh3.googleusercontent.com/pw/AP1GczMFC5rQnth6D5kurxzahQ2yyD0htXDNiTbkNKnYIOUXR0Opqg"&amp;"UYsNth-Js31i-aVQBfY6_ayE5vQA_xojD1LodMAnpWsob_LXum569oLo9NGJtbtv4H=w1200|https://lh3.googleusercontent.com/pw/AP1GczOQwui60-_Hg9l_HYhKSPly19UMCkkKT9JhZXNpw9ooigcw7gm3Bj3WbXg-_77gSRymQXupeosM_Bsoqw7DQkqUXLoZHDEXJdjJ3bhUZL0xH7gpLUaI=w1200|https://lh3.google"&amp;"usercontent.com/pw/AP1GczOknABBURUsh0MPehG03TE-u_r8TB4mwmelIZMvrEp0GGsnI1fWEtB4xjIjD0Q_QGDdDgjBH0704iqHvU-fiVNdfynlmwAjDLy2xg_1hmgpRv83utxc=w1200|https://lh3.googleusercontent.com/pw/AP1GczMdnwDHT3Yuowxlq1fYWAdfx7g9bp7a5kWqzCrH4z4qkuPJwbRzo9GISD_BdN1lXLxB"&amp;"su1laQOKObcel5fq3aRQMY-YJYUQP8IYozWrvHvJxiqH6zrN=w1200|https://lh3.googleusercontent.com/pw/AP1GczPZeIJDi2E1xw9DVMW-SE5b5n9MsaXHQ7ze7joXMGdVGBurxVqUkYDnxUom9YgRDOXQp1oxbVfo1tlW0obHxhmwyZbi_1DKGJ6GEVHYxJ62vWFWEoNz=w1200|https://lh3.googleusercontent.com/pw"&amp;"/AP1GczNI8AQOcpHykBkQLXjEt3h6sM4iNU4FOkpdHkrP1sXAih-sJFMndb4B3Nt8obyLgxnaxB2nJ9Lv48fofJxiAIc48hZhoFInuZGUTwLc60QoABXvAWLr=w1200|https://lh3.googleusercontent.com/pw/AP1GczMI7Zhv8FZTvrtWZeu4iN5navbPhOrWY9CF7Rdx-eXqV6m1sJJrb-V2sfvhNp7yuBYxivy_GtZj9EaeM7Zle2"&amp;"K9sfGaz7oDIomcxizE8a2DTjBsfWaF=w1200|https://lh3.googleusercontent.com/pw/AP1GczNFqvG91Ku1Ds8Vbn48lcXEA5sV8nKHaIwvGWVxkPF7PXEGBz3MMBxKCNzrKz9yNb2CzB0_megtMUCBIWwYyE42nb03HHehQv1H4A_gbk0UCx9rSbAl=w1200|https://lh3.googleusercontent.com/pw/AP1GczNqVNC4onXG9"&amp;"0q_zQ9LlVnriATjvtjQlowuvLFqaQ6YkkHltWN5EsZdiEO3u0IduAZjISb5rBYyLLoW5MykW5I6--qjcC8HsQ1fH7MCP1wsMHHMXo2S=w1200|https://lh3.googleusercontent.com/pw/AP1GczNuCqv8qTp43ilYlLMKThYCqAXY006QgQYAqhc2c2PHVmD-nIz8H4Jk1Kz9iEPbufdwNIRk5uCI-BxAdiSwWyjuFChUEa5LdIwJG6PB"&amp;"-4PIo_9lil7T=w1200|https://lh3.googleusercontent.com/pw/AP1GczOZ7dULhbB0YTzRBNwa3hPYyJigTXvx0B_EtcXxSCylfFEXkyR2YDEFOZ5tENolJsxw5E_kfJda4K9Fek5f4zNfJbND9hd62YLtfhWtec1vk9miYoOp=w1200|https://lh3.googleusercontent.com/pw/AP1GczNP05pbru97gKqbniR1br-1CHu8IYJ"&amp;"7kzgERtFOdM8H6oBs8Ss0_0N1RAJXGgnNluXhCtv3j1hA3sdYJ9CTZXKIGe7y0Vmv-A4ytCpWB0fYUhhFaQSd=w1200|https://lh3.googleusercontent.com/pw/AP1GczOXOwxvOjc2Sbcfv8pOH2nzFoviPp_1Jb1Wz8Kko8YFrBy_cTKsucG_mH2r1KI4P0LBw7jOcR14Odk0PH4nKsTP88wyT-x-nqhppjPCRhccStncAgLW=w1200")</f>
        <v>https://lh3.googleusercontent.com/pw/AP1GczPHpN6H1e-WDiRN8K1mPPR0ZXDQhyH3uyNggDHpealuIsGKBTklrtfSN8EphaPpFlXCIPVkPyGFArGzK9dUdAaKeWptdeOqgH3gg7hYkrVAjtHfB4pg=w1200|https://lh3.googleusercontent.com/pw/AP1GczMFC5rQnth6D5kurxzahQ2yyD0htXDNiTbkNKnYIOUXR0OpqgUYsNth-Js31i-aVQBfY6_ayE5vQA_xojD1LodMAnpWsob_LXum569oLo9NGJtbtv4H=w1200|https://lh3.googleusercontent.com/pw/AP1GczOQwui60-_Hg9l_HYhKSPly19UMCkkKT9JhZXNpw9ooigcw7gm3Bj3WbXg-_77gSRymQXupeosM_Bsoqw7DQkqUXLoZHDEXJdjJ3bhUZL0xH7gpLUaI=w1200|https://lh3.googleusercontent.com/pw/AP1GczOknABBURUsh0MPehG03TE-u_r8TB4mwmelIZMvrEp0GGsnI1fWEtB4xjIjD0Q_QGDdDgjBH0704iqHvU-fiVNdfynlmwAjDLy2xg_1hmgpRv83utxc=w1200|https://lh3.googleusercontent.com/pw/AP1GczMdnwDHT3Yuowxlq1fYWAdfx7g9bp7a5kWqzCrH4z4qkuPJwbRzo9GISD_BdN1lXLxBsu1laQOKObcel5fq3aRQMY-YJYUQP8IYozWrvHvJxiqH6zrN=w1200|https://lh3.googleusercontent.com/pw/AP1GczPZeIJDi2E1xw9DVMW-SE5b5n9MsaXHQ7ze7joXMGdVGBurxVqUkYDnxUom9YgRDOXQp1oxbVfo1tlW0obHxhmwyZbi_1DKGJ6GEVHYxJ62vWFWEoNz=w1200|https://lh3.googleusercontent.com/pw/AP1GczNI8AQOcpHykBkQLXjEt3h6sM4iNU4FOkpdHkrP1sXAih-sJFMndb4B3Nt8obyLgxnaxB2nJ9Lv48fofJxiAIc48hZhoFInuZGUTwLc60QoABXvAWLr=w1200|https://lh3.googleusercontent.com/pw/AP1GczMI7Zhv8FZTvrtWZeu4iN5navbPhOrWY9CF7Rdx-eXqV6m1sJJrb-V2sfvhNp7yuBYxivy_GtZj9EaeM7Zle2K9sfGaz7oDIomcxizE8a2DTjBsfWaF=w1200|https://lh3.googleusercontent.com/pw/AP1GczNFqvG91Ku1Ds8Vbn48lcXEA5sV8nKHaIwvGWVxkPF7PXEGBz3MMBxKCNzrKz9yNb2CzB0_megtMUCBIWwYyE42nb03HHehQv1H4A_gbk0UCx9rSbAl=w1200|https://lh3.googleusercontent.com/pw/AP1GczNqVNC4onXG90q_zQ9LlVnriATjvtjQlowuvLFqaQ6YkkHltWN5EsZdiEO3u0IduAZjISb5rBYyLLoW5MykW5I6--qjcC8HsQ1fH7MCP1wsMHHMXo2S=w1200|https://lh3.googleusercontent.com/pw/AP1GczNuCqv8qTp43ilYlLMKThYCqAXY006QgQYAqhc2c2PHVmD-nIz8H4Jk1Kz9iEPbufdwNIRk5uCI-BxAdiSwWyjuFChUEa5LdIwJG6PB-4PIo_9lil7T=w1200|https://lh3.googleusercontent.com/pw/AP1GczOZ7dULhbB0YTzRBNwa3hPYyJigTXvx0B_EtcXxSCylfFEXkyR2YDEFOZ5tENolJsxw5E_kfJda4K9Fek5f4zNfJbND9hd62YLtfhWtec1vk9miYoOp=w1200|https://lh3.googleusercontent.com/pw/AP1GczNP05pbru97gKqbniR1br-1CHu8IYJ7kzgERtFOdM8H6oBs8Ss0_0N1RAJXGgnNluXhCtv3j1hA3sdYJ9CTZXKIGe7y0Vmv-A4ytCpWB0fYUhhFaQSd=w1200|https://lh3.googleusercontent.com/pw/AP1GczOXOwxvOjc2Sbcfv8pOH2nzFoviPp_1Jb1Wz8Kko8YFrBy_cTKsucG_mH2r1KI4P0LBw7jOcR14Odk0PH4nKsTP88wyT-x-nqhppjPCRhccStncAgLW=w1200</v>
      </c>
      <c r="AJ288" s="46"/>
      <c r="AK288" s="46"/>
      <c r="AL288" s="46"/>
      <c r="AM288" s="46"/>
      <c r="AN288" s="46"/>
      <c r="AO288" s="46"/>
      <c r="AP288" s="46"/>
      <c r="AQ288" s="46"/>
      <c r="AR288" s="46"/>
      <c r="AS288" s="46"/>
      <c r="AT288" s="46"/>
      <c r="AU288" s="46"/>
      <c r="AV288" s="46"/>
      <c r="AW288" s="46"/>
      <c r="AX288" s="46"/>
      <c r="AY288" s="46"/>
      <c r="AZ288" s="46"/>
      <c r="BA288" s="46"/>
      <c r="BB288" s="46"/>
      <c r="BC288" s="46"/>
      <c r="BD288" s="46"/>
      <c r="BE288" s="46"/>
      <c r="BF288" s="46"/>
      <c r="BG288" s="46"/>
      <c r="BH288" s="46"/>
      <c r="BI288" s="46"/>
      <c r="BJ288" s="46"/>
      <c r="BK288" s="46"/>
      <c r="BL288" s="46"/>
      <c r="BM288" s="46"/>
      <c r="BN288" s="46"/>
      <c r="BO288" s="46"/>
      <c r="BP288" s="46"/>
      <c r="BQ288" s="46"/>
      <c r="BR288" s="46"/>
      <c r="BS288" s="46"/>
      <c r="BT288" s="46"/>
      <c r="BU288" s="46"/>
      <c r="BV288" s="46"/>
      <c r="BW288" s="46"/>
      <c r="BX288" s="46"/>
      <c r="BY288" s="46"/>
      <c r="BZ288" s="46"/>
      <c r="CA288" s="46"/>
      <c r="CB288" s="46"/>
      <c r="CC288" s="46"/>
    </row>
    <row r="289">
      <c r="A289" s="87" t="str">
        <f>IFERROR(__xludf.DUMMYFUNCTION("""COMPUTED_VALUE"""),"692")</f>
        <v>692</v>
      </c>
      <c r="B289" s="46" t="str">
        <f>IFERROR(__xludf.DUMMYFUNCTION("""COMPUTED_VALUE"""),"Casa en barrio Los Andaquies")</f>
        <v>Casa en barrio Los Andaquies</v>
      </c>
      <c r="C289" s="46" t="str">
        <f>IFERROR(__xludf.DUMMYFUNCTION("""COMPUTED_VALUE"""),"Casa")</f>
        <v>Casa</v>
      </c>
      <c r="D289" s="46" t="str">
        <f>IFERROR(__xludf.DUMMYFUNCTION("""COMPUTED_VALUE"""),"Los Andaquíes")</f>
        <v>Los Andaquíes</v>
      </c>
      <c r="E289" s="90" t="str">
        <f>IFERROR(__xludf.DUMMYFUNCTION("""COMPUTED_VALUE""")," ")</f>
        <v> </v>
      </c>
      <c r="F289" s="90">
        <f>IFERROR(__xludf.DUMMYFUNCTION("""COMPUTED_VALUE"""),2.5E8)</f>
        <v>250000000</v>
      </c>
      <c r="G289" s="46" t="str">
        <f>IFERROR(__xludf.DUMMYFUNCTION("""COMPUTED_VALUE"""),"$200'000.000 a $300'000.000")</f>
        <v>$200'000.000 a $300'000.000</v>
      </c>
      <c r="H289" s="46"/>
      <c r="I289" s="46"/>
      <c r="J289" s="46" t="str">
        <f>IFERROR(__xludf.DUMMYFUNCTION("""COMPUTED_VALUE"""),"Norte")</f>
        <v>Norte</v>
      </c>
      <c r="K289" s="87"/>
      <c r="L289" s="46">
        <f>IFERROR(__xludf.DUMMYFUNCTION("""COMPUTED_VALUE"""),3.0)</f>
        <v>3</v>
      </c>
      <c r="M289" s="46"/>
      <c r="N289" s="46">
        <f>IFERROR(__xludf.DUMMYFUNCTION("""COMPUTED_VALUE"""),2.0)</f>
        <v>2</v>
      </c>
      <c r="O289" s="46">
        <f>IFERROR(__xludf.DUMMYFUNCTION("""COMPUTED_VALUE"""),1.0)</f>
        <v>1</v>
      </c>
      <c r="P289" s="46">
        <f>IFERROR(__xludf.DUMMYFUNCTION("""COMPUTED_VALUE"""),2.0)</f>
        <v>2</v>
      </c>
      <c r="Q289" s="92"/>
      <c r="R289" s="92">
        <f>IFERROR(__xludf.DUMMYFUNCTION("""COMPUTED_VALUE"""),130.0)</f>
        <v>130</v>
      </c>
      <c r="S289" s="87" t="str">
        <f>IFERROR(__xludf.DUMMYFUNCTION("""COMPUTED_VALUE""")," ")</f>
        <v> </v>
      </c>
      <c r="T289" s="46" t="str">
        <f>IFERROR(__xludf.DUMMYFUNCTION("""COMPUTED_VALUE"""),"Neiva")</f>
        <v>Neiva</v>
      </c>
      <c r="U289" s="87" t="str">
        <f>IFERROR(__xludf.DUMMYFUNCTION("""COMPUTED_VALUE"""),"2")</f>
        <v>2</v>
      </c>
      <c r="V289" s="46" t="str">
        <f>IFERROR(__xludf.DUMMYFUNCTION("""COMPUTED_VALUE"""),"Medianera")</f>
        <v>Medianera</v>
      </c>
      <c r="W289" s="46"/>
      <c r="X289" s="46">
        <f>IFERROR(__xludf.DUMMYFUNCTION("""COMPUTED_VALUE"""),3.0)</f>
        <v>3</v>
      </c>
      <c r="Y289" s="46" t="str">
        <f>IFERROR(__xludf.DUMMYFUNCTION("""COMPUTED_VALUE"""),"No tiene")</f>
        <v>No tiene</v>
      </c>
      <c r="Z289" s="90" t="str">
        <f>IFERROR(__xludf.DUMMYFUNCTION("""COMPUTED_VALUE"""),"No aplica")</f>
        <v>No aplica</v>
      </c>
      <c r="AA289" s="33" t="str">
        <f>IFERROR(__xludf.DUMMYFUNCTION("""COMPUTED_VALUE"""),"No aplica")</f>
        <v>No aplica</v>
      </c>
      <c r="AB289" s="96" t="str">
        <f>IFERROR(__xludf.DUMMYFUNCTION("""COMPUTED_VALUE"""),"https://photos.app.goo.gl/WC1ZLi7nswvCExC67")</f>
        <v>https://photos.app.goo.gl/WC1ZLi7nswvCExC67</v>
      </c>
      <c r="AC289" s="46" t="str">
        <f>IFERROR(__xludf.DUMMYFUNCTION("""COMPUTED_VALUE"""),"Casa ubicada en Andaquies, estrato 2, área 130 mts2. El primer piso consta de sala comedor, baño auxiliar, cocina integral, zona de ropa, habitación. Segundo piso consta de baño auxiliar y dos habitaciones.")</f>
        <v>Casa ubicada en Andaquies, estrato 2, área 130 mts2. El primer piso consta de sala comedor, baño auxiliar, cocina integral, zona de ropa, habitación. Segundo piso consta de baño auxiliar y dos habitaciones.</v>
      </c>
      <c r="AD289" s="46" t="str">
        <f>IFERROR(__xludf.DUMMYFUNCTION("""COMPUTED_VALUE"""),"Casa bien ubicada, con buenos acabados.  Escritura al día.")</f>
        <v>Casa bien ubicada, con buenos acabados.  Escritura al día.</v>
      </c>
      <c r="AE289" s="46"/>
      <c r="AF289" s="46" t="str">
        <f>IFERROR(__xludf.DUMMYFUNCTION("""COMPUTED_VALUE"""),"integral")</f>
        <v>integral</v>
      </c>
      <c r="AG289" s="46"/>
      <c r="AH289" s="46" t="str">
        <f>IFERROR(__xludf.DUMMYFUNCTION("""COMPUTED_VALUE"""),"Aliado")</f>
        <v>Aliado</v>
      </c>
      <c r="AI289" s="92" t="str">
        <f>IFERROR(__xludf.DUMMYFUNCTION("""COMPUTED_VALUE"""),"https://lh3.googleusercontent.com/pw/AP1GczMxqoMmuJYGQc4ddcTcNjjVFAFgsLnHLMleAhgsmOmw6G9iGTgVEM-U8oe2JRsklq8GaaWDtsjwqa6ftYbVrP4DwHq2l3EbM6-RFbDI8KQFPwS8WInN=w1200|https://lh3.googleusercontent.com/pw/AP1GczODBx24OkBXb4OtiBZxa17fZmx1HqxwSUZFxTv8Nmt7AiZN2w"&amp;"Efs90kgrP-nhSUW0uFaPxBwmBr4LKkc0_-2uh1Tf2z_UPNMBgu1gzHYCI1mts85lXW=w1200|https://lh3.googleusercontent.com/pw/AP1GczMtrg7czOSP5fwnASLsjP0tNpW0ZEc5M1vYOSgwwE7yiEsvqoXCssWfajkorivDRxEwwjVqs1yGVJTCTXTq6_Y7aF-2iJ3oLAva4h5NnGsFnSMzGTJy=w1200|https://lh3.google"&amp;"usercontent.com/pw/AP1GczOi6zjDxaz6_0Pu8nqEwEAAVSwHMXM90eG6MmatYX9n3xhOYIxfk3LbhzhbFN2BIX0YBGQJgGPBq3drRj-q2uByycXLjsnpWd_qmwtmi828eD_xCf_K=w1200|https://lh3.googleusercontent.com/pw/AP1GczNfuBJmETFaNAJc0LIBYEOhgQF5sojAx7ukNLlX3zJ3Qo50v-OrYaBomb9Vf0l25S5e"&amp;"iSxWZuQp779qqrAm98K7nwF9oXGQ8GMoVU716MDfc19flLsd=w1200|https://lh3.googleusercontent.com/pw/AP1GczOsvp759W7xfstJDjl0Q8G1pHkQfJvjCufTFYcDQKNKZl7zkhgqNOqTNYXu4l3xBc6F9g4rBfg2Q-6ew70TyXQtLKMdcx7vJluUK0fvnCtlDCTMw4eQ=w1200|https://lh3.googleusercontent.com/pw"&amp;"/AP1GczMnFZ-q3cH3ZISytF9OefeBjTTd9ExUDzO0lrqBpgAcEOBCl5cdTMZgsZfRXJg0dnZ6DheCcB8yqNPHlyqWrzoW07q1bxqKHLvvk0FPhP0ErXH9kDkE=w1200|https://lh3.googleusercontent.com/pw/AP1GczOV0phghVPMrGlbTXiZBRjGIdiDjd8uLhwHqdkyfPYu3C7oPZ1rsWEkZ2hrkacjk02Jg1tsPmqpE0K135_m2D"&amp;"yEaP_Xvs1-xUW5LPWftkjr9_evO_6u=w1200|https://lh3.googleusercontent.com/pw/AP1GczMW6Gfd7ZRwApZ2SIGSUUBWKNB1UM1foosMHSjp5cJcq4SutgWsjtz4RLwo-AQXwNhlD-SnoQZMGkmyDqVvhAFfg4yG9ZmnQ3AtcB2jkrv0nJRVlJ6g=w1200|https://lh3.googleusercontent.com/pw/AP1GczOgFlnu-ahGE"&amp;"jg25z9LjxnqXhNGJaSbegn3q5VWt9XJkIXrKRpFuFdWbCjmX_fvKSOxldaEzxRLNA_pfBAmR8u3r6LGdcahWaVM92XeukXDA64QStQ4=w1200")</f>
        <v>https://lh3.googleusercontent.com/pw/AP1GczMxqoMmuJYGQc4ddcTcNjjVFAFgsLnHLMleAhgsmOmw6G9iGTgVEM-U8oe2JRsklq8GaaWDtsjwqa6ftYbVrP4DwHq2l3EbM6-RFbDI8KQFPwS8WInN=w1200|https://lh3.googleusercontent.com/pw/AP1GczODBx24OkBXb4OtiBZxa17fZmx1HqxwSUZFxTv8Nmt7AiZN2wEfs90kgrP-nhSUW0uFaPxBwmBr4LKkc0_-2uh1Tf2z_UPNMBgu1gzHYCI1mts85lXW=w1200|https://lh3.googleusercontent.com/pw/AP1GczMtrg7czOSP5fwnASLsjP0tNpW0ZEc5M1vYOSgwwE7yiEsvqoXCssWfajkorivDRxEwwjVqs1yGVJTCTXTq6_Y7aF-2iJ3oLAva4h5NnGsFnSMzGTJy=w1200|https://lh3.googleusercontent.com/pw/AP1GczOi6zjDxaz6_0Pu8nqEwEAAVSwHMXM90eG6MmatYX9n3xhOYIxfk3LbhzhbFN2BIX0YBGQJgGPBq3drRj-q2uByycXLjsnpWd_qmwtmi828eD_xCf_K=w1200|https://lh3.googleusercontent.com/pw/AP1GczNfuBJmETFaNAJc0LIBYEOhgQF5sojAx7ukNLlX3zJ3Qo50v-OrYaBomb9Vf0l25S5eiSxWZuQp779qqrAm98K7nwF9oXGQ8GMoVU716MDfc19flLsd=w1200|https://lh3.googleusercontent.com/pw/AP1GczOsvp759W7xfstJDjl0Q8G1pHkQfJvjCufTFYcDQKNKZl7zkhgqNOqTNYXu4l3xBc6F9g4rBfg2Q-6ew70TyXQtLKMdcx7vJluUK0fvnCtlDCTMw4eQ=w1200|https://lh3.googleusercontent.com/pw/AP1GczMnFZ-q3cH3ZISytF9OefeBjTTd9ExUDzO0lrqBpgAcEOBCl5cdTMZgsZfRXJg0dnZ6DheCcB8yqNPHlyqWrzoW07q1bxqKHLvvk0FPhP0ErXH9kDkE=w1200|https://lh3.googleusercontent.com/pw/AP1GczOV0phghVPMrGlbTXiZBRjGIdiDjd8uLhwHqdkyfPYu3C7oPZ1rsWEkZ2hrkacjk02Jg1tsPmqpE0K135_m2DyEaP_Xvs1-xUW5LPWftkjr9_evO_6u=w1200|https://lh3.googleusercontent.com/pw/AP1GczMW6Gfd7ZRwApZ2SIGSUUBWKNB1UM1foosMHSjp5cJcq4SutgWsjtz4RLwo-AQXwNhlD-SnoQZMGkmyDqVvhAFfg4yG9ZmnQ3AtcB2jkrv0nJRVlJ6g=w1200|https://lh3.googleusercontent.com/pw/AP1GczOgFlnu-ahGEjg25z9LjxnqXhNGJaSbegn3q5VWt9XJkIXrKRpFuFdWbCjmX_fvKSOxldaEzxRLNA_pfBAmR8u3r6LGdcahWaVM92XeukXDA64QStQ4=w1200</v>
      </c>
      <c r="AJ289" s="46"/>
      <c r="AK289" s="46"/>
      <c r="AL289" s="46"/>
      <c r="AM289" s="46"/>
      <c r="AN289" s="46"/>
      <c r="AO289" s="46"/>
      <c r="AP289" s="46"/>
      <c r="AQ289" s="46"/>
      <c r="AR289" s="46"/>
      <c r="AS289" s="46"/>
      <c r="AT289" s="46"/>
      <c r="AU289" s="46"/>
      <c r="AV289" s="46"/>
      <c r="AW289" s="46"/>
      <c r="AX289" s="46"/>
      <c r="AY289" s="46"/>
      <c r="AZ289" s="46"/>
      <c r="BA289" s="46"/>
      <c r="BB289" s="46"/>
      <c r="BC289" s="46"/>
      <c r="BD289" s="46"/>
      <c r="BE289" s="46"/>
      <c r="BF289" s="46"/>
      <c r="BG289" s="46"/>
      <c r="BH289" s="46"/>
      <c r="BI289" s="46"/>
      <c r="BJ289" s="46"/>
      <c r="BK289" s="46"/>
      <c r="BL289" s="46"/>
      <c r="BM289" s="46"/>
      <c r="BN289" s="46"/>
      <c r="BO289" s="46"/>
      <c r="BP289" s="46"/>
      <c r="BQ289" s="46"/>
      <c r="BR289" s="46"/>
      <c r="BS289" s="46"/>
      <c r="BT289" s="46"/>
      <c r="BU289" s="46"/>
      <c r="BV289" s="46"/>
      <c r="BW289" s="46"/>
      <c r="BX289" s="46"/>
      <c r="BY289" s="46"/>
      <c r="BZ289" s="46"/>
      <c r="CA289" s="46"/>
      <c r="CB289" s="46"/>
      <c r="CC289" s="46"/>
    </row>
    <row r="290">
      <c r="A290" s="87" t="str">
        <f>IFERROR(__xludf.DUMMYFUNCTION("""COMPUTED_VALUE"""),"545")</f>
        <v>545</v>
      </c>
      <c r="B290" s="46" t="str">
        <f>IFERROR(__xludf.DUMMYFUNCTION("""COMPUTED_VALUE"""),"Casa en barrio Santa Inés - Norte")</f>
        <v>Casa en barrio Santa Inés - Norte</v>
      </c>
      <c r="C290" s="46" t="str">
        <f>IFERROR(__xludf.DUMMYFUNCTION("""COMPUTED_VALUE"""),"Casa")</f>
        <v>Casa</v>
      </c>
      <c r="D290" s="46" t="str">
        <f>IFERROR(__xludf.DUMMYFUNCTION("""COMPUTED_VALUE"""),"Santa Inés")</f>
        <v>Santa Inés</v>
      </c>
      <c r="E290" s="46"/>
      <c r="F290" s="90">
        <f>IFERROR(__xludf.DUMMYFUNCTION("""COMPUTED_VALUE"""),2.1E8)</f>
        <v>210000000</v>
      </c>
      <c r="G290" s="46" t="str">
        <f>IFERROR(__xludf.DUMMYFUNCTION("""COMPUTED_VALUE"""),"$200'000.000 a $300'000.000")</f>
        <v>$200'000.000 a $300'000.000</v>
      </c>
      <c r="H290" s="46"/>
      <c r="I290" s="46"/>
      <c r="J290" s="46" t="str">
        <f>IFERROR(__xludf.DUMMYFUNCTION("""COMPUTED_VALUE"""),"Norte")</f>
        <v>Norte</v>
      </c>
      <c r="K290" s="87" t="str">
        <f>IFERROR(__xludf.DUMMYFUNCTION("""COMPUTED_VALUE"""),"1")</f>
        <v>1</v>
      </c>
      <c r="L290" s="46">
        <f>IFERROR(__xludf.DUMMYFUNCTION("""COMPUTED_VALUE"""),4.0)</f>
        <v>4</v>
      </c>
      <c r="M290" s="46"/>
      <c r="N290" s="46">
        <f>IFERROR(__xludf.DUMMYFUNCTION("""COMPUTED_VALUE"""),1.0)</f>
        <v>1</v>
      </c>
      <c r="O290" s="46">
        <f>IFERROR(__xludf.DUMMYFUNCTION("""COMPUTED_VALUE"""),0.0)</f>
        <v>0</v>
      </c>
      <c r="P290" s="46">
        <f>IFERROR(__xludf.DUMMYFUNCTION("""COMPUTED_VALUE"""),1.0)</f>
        <v>1</v>
      </c>
      <c r="Q290" s="92">
        <f>IFERROR(__xludf.DUMMYFUNCTION("""COMPUTED_VALUE"""),90.0)</f>
        <v>90</v>
      </c>
      <c r="R290" s="92">
        <f>IFERROR(__xludf.DUMMYFUNCTION("""COMPUTED_VALUE"""),90.0)</f>
        <v>90</v>
      </c>
      <c r="S290" s="87" t="str">
        <f>IFERROR(__xludf.DUMMYFUNCTION("""COMPUTED_VALUE""")," ")</f>
        <v> </v>
      </c>
      <c r="T290" s="46" t="str">
        <f>IFERROR(__xludf.DUMMYFUNCTION("""COMPUTED_VALUE"""),"Neiva")</f>
        <v>Neiva</v>
      </c>
      <c r="U290" s="87" t="str">
        <f>IFERROR(__xludf.DUMMYFUNCTION("""COMPUTED_VALUE"""),"2")</f>
        <v>2</v>
      </c>
      <c r="V290" s="46" t="str">
        <f>IFERROR(__xludf.DUMMYFUNCTION("""COMPUTED_VALUE"""),"Medianera")</f>
        <v>Medianera</v>
      </c>
      <c r="W290" s="46"/>
      <c r="X290" s="46">
        <f>IFERROR(__xludf.DUMMYFUNCTION("""COMPUTED_VALUE"""),4.0)</f>
        <v>4</v>
      </c>
      <c r="Y290" s="46" t="str">
        <f>IFERROR(__xludf.DUMMYFUNCTION("""COMPUTED_VALUE"""),"No tiene")</f>
        <v>No tiene</v>
      </c>
      <c r="Z290" s="90" t="str">
        <f>IFERROR(__xludf.DUMMYFUNCTION("""COMPUTED_VALUE"""),"No aplica")</f>
        <v>No aplica</v>
      </c>
      <c r="AA290" s="33" t="str">
        <f>IFERROR(__xludf.DUMMYFUNCTION("""COMPUTED_VALUE"""),"No aplica")</f>
        <v>No aplica</v>
      </c>
      <c r="AB290" s="96" t="str">
        <f>IFERROR(__xludf.DUMMYFUNCTION("""COMPUTED_VALUE"""),"https://photos.app.goo.gl/fHVT6qohfZtgJAnWA")</f>
        <v>https://photos.app.goo.gl/fHVT6qohfZtgJAnWA</v>
      </c>
      <c r="AC290" s="46" t="str">
        <f>IFERROR(__xludf.DUMMYFUNCTION("""COMPUTED_VALUE"""),"Esta excelente casa de un solo nivel, completamente remodelada y ubicada en el estrato 2 de la zona Norte de Neiva, cuenta con un área total de 90 m². Su distribución interior ofrece una sala-comedor que goza de buena iluminación natural y pisos con acaba"&amp;"dos claros, una cocina funcional equipada con muebles modulares en madera, mesón de acero inoxidable y una práctica barra americana, además de un área privada compuesta por 4 amplias habitaciones con pisos de cerámica brillante y 1 baño completo. En la pa"&amp;"rte posterior, la vivienda dispone de un amplio patio de ropas enchapado, con lavadero, tubería totalmente renovada y un enrejado de seguridad superior para mayor tranquilidad.")</f>
        <v>Esta excelente casa de un solo nivel, completamente remodelada y ubicada en el estrato 2 de la zona Norte de Neiva, cuenta con un área total de 90 m². Su distribución interior ofrece una sala-comedor que goza de buena iluminación natural y pisos con acabados claros, una cocina funcional equipada con muebles modulares en madera, mesón de acero inoxidable y una práctica barra americana, además de un área privada compuesta por 4 amplias habitaciones con pisos de cerámica brillante y 1 baño completo. En la parte posterior, la vivienda dispone de un amplio patio de ropas enchapado, con lavadero, tubería totalmente renovada y un enrejado de seguridad superior para mayor tranquilidad.</v>
      </c>
      <c r="AD290" s="46" t="str">
        <f>IFERROR(__xludf.DUMMYFUNCTION("""COMPUTED_VALUE"""),"Ubicada de forma estratégica en el tradicional barrio Santa Inés, esta propiedad representa una magnífica oportunidad de inversión o vivienda familiar gracias a su rápido acceso a transporte público, comercio local y servicios esenciales. Al estar distrib"&amp;"uida en un solo nivel, se convierte en la opción ideal para brindar máxima comodidad y funcionalidad a adultos mayores, niños o personas que prefieran evitar las escaleras en su día a día. Una casa lista para habitar de inmediato, que destaca por su excel"&amp;"ente estado y por encontrarse en un sector de alta demanda y constante valorización en el norte de la ciudad.")</f>
        <v>Ubicada de forma estratégica en el tradicional barrio Santa Inés, esta propiedad representa una magnífica oportunidad de inversión o vivienda familiar gracias a su rápido acceso a transporte público, comercio local y servicios esenciales. Al estar distribuida en un solo nivel, se convierte en la opción ideal para brindar máxima comodidad y funcionalidad a adultos mayores, niños o personas que prefieran evitar las escaleras en su día a día. Una casa lista para habitar de inmediato, que destaca por su excelente estado y por encontrarse en un sector de alta demanda y constante valorización en el norte de la ciudad.</v>
      </c>
      <c r="AE290" s="46"/>
      <c r="AF290" s="46" t="str">
        <f>IFERROR(__xludf.DUMMYFUNCTION("""COMPUTED_VALUE"""),"semi-integral")</f>
        <v>semi-integral</v>
      </c>
      <c r="AG290" s="46"/>
      <c r="AH290" s="46" t="str">
        <f>IFERROR(__xludf.DUMMYFUNCTION("""COMPUTED_VALUE"""),"Aliado")</f>
        <v>Aliado</v>
      </c>
      <c r="AI290" s="92" t="str">
        <f>IFERROR(__xludf.DUMMYFUNCTION("""COMPUTED_VALUE"""),"https://lh3.googleusercontent.com/pw/AP1GczO55Uu30IRqJlWs5I5iGRO3mOXdi9BqQaGjpovaoMJnCohTtj7TUVW7tWCOqCjyXJ0eSjr_c1pjK2sRC0dCWe84KyWS15-s2O-sRwbFBjQ5eYddyhHU=w1200|https://lh3.googleusercontent.com/pw/AP1GczNJiYHp4wtF5OsUlV7BrDQmpAkvx2ZKbzJ9bHy5A6-0ic9GDG"&amp;"qCkBTcpEnhAMyuP8nOodAzmj8ZvmVQrrqfYzghjClmzvp7tpd8IXHnrhrXRVAOFLTG=w1200|https://lh3.googleusercontent.com/pw/AP1GczOsLR6eJvY-eqZS4vowfUx1eKt5SpjDI0lS3KbGsBpgKQCgzri3PlQUALrW2z_GgipYG3-WyJxF5TOOWYRhvkkiok9xAWudxVrHY8ZvPOsWcXZ-Auch=w1200|https://lh3.google"&amp;"usercontent.com/pw/AP1GczNFDfGeLk3V_qOfxZ3quiVy4hTIOSXet0jhE11ikaYSSSukmwqDmHnqNpv4HC214a9719ijVV0KUoyjT6Z1UMC6JlhmVn8e3jkyUSOD3aayAf-Soy7j=w1200|https://lh3.googleusercontent.com/pw/AP1GczNCL5JCjwHnjui9t-EGDq0hcvUu-yeezktAd1IdqGZSvSlrGRmVxPPO2Isz3DhIO8SV"&amp;"uw7Ys88ckXU4XwgQNZCx3IlVtUwtKrimd4I00IonnuDsJAFJ=w1200|https://lh3.googleusercontent.com/pw/AP1GczPo6qqLlEjsUMzy08CNeV0mdZMU8bYn_xbL34jg8vzaY5mwOs7MC_QZCbg-kSq2MnuTmBzyJtJ5cEBAjr0pivDfRnwstWoLtdQch-F472IIBRoRwfAT=w1200")</f>
        <v>https://lh3.googleusercontent.com/pw/AP1GczO55Uu30IRqJlWs5I5iGRO3mOXdi9BqQaGjpovaoMJnCohTtj7TUVW7tWCOqCjyXJ0eSjr_c1pjK2sRC0dCWe84KyWS15-s2O-sRwbFBjQ5eYddyhHU=w1200|https://lh3.googleusercontent.com/pw/AP1GczNJiYHp4wtF5OsUlV7BrDQmpAkvx2ZKbzJ9bHy5A6-0ic9GDGqCkBTcpEnhAMyuP8nOodAzmj8ZvmVQrrqfYzghjClmzvp7tpd8IXHnrhrXRVAOFLTG=w1200|https://lh3.googleusercontent.com/pw/AP1GczOsLR6eJvY-eqZS4vowfUx1eKt5SpjDI0lS3KbGsBpgKQCgzri3PlQUALrW2z_GgipYG3-WyJxF5TOOWYRhvkkiok9xAWudxVrHY8ZvPOsWcXZ-Auch=w1200|https://lh3.googleusercontent.com/pw/AP1GczNFDfGeLk3V_qOfxZ3quiVy4hTIOSXet0jhE11ikaYSSSukmwqDmHnqNpv4HC214a9719ijVV0KUoyjT6Z1UMC6JlhmVn8e3jkyUSOD3aayAf-Soy7j=w1200|https://lh3.googleusercontent.com/pw/AP1GczNCL5JCjwHnjui9t-EGDq0hcvUu-yeezktAd1IdqGZSvSlrGRmVxPPO2Isz3DhIO8SVuw7Ys88ckXU4XwgQNZCx3IlVtUwtKrimd4I00IonnuDsJAFJ=w1200|https://lh3.googleusercontent.com/pw/AP1GczPo6qqLlEjsUMzy08CNeV0mdZMU8bYn_xbL34jg8vzaY5mwOs7MC_QZCbg-kSq2MnuTmBzyJtJ5cEBAjr0pivDfRnwstWoLtdQch-F472IIBRoRwfAT=w1200</v>
      </c>
      <c r="AJ290" s="46"/>
      <c r="AK290" s="46"/>
      <c r="AL290" s="46"/>
      <c r="AM290" s="46"/>
      <c r="AN290" s="46"/>
      <c r="AO290" s="46"/>
      <c r="AP290" s="46"/>
      <c r="AQ290" s="46"/>
      <c r="AR290" s="46"/>
      <c r="AS290" s="46"/>
      <c r="AT290" s="46"/>
      <c r="AU290" s="46"/>
      <c r="AV290" s="46"/>
      <c r="AW290" s="46"/>
      <c r="AX290" s="46"/>
      <c r="AY290" s="46"/>
      <c r="AZ290" s="46"/>
      <c r="BA290" s="46"/>
      <c r="BB290" s="46"/>
      <c r="BC290" s="46"/>
      <c r="BD290" s="46"/>
      <c r="BE290" s="46"/>
      <c r="BF290" s="46"/>
      <c r="BG290" s="46"/>
      <c r="BH290" s="46"/>
      <c r="BI290" s="46"/>
      <c r="BJ290" s="46"/>
      <c r="BK290" s="46"/>
      <c r="BL290" s="46"/>
      <c r="BM290" s="46"/>
      <c r="BN290" s="46"/>
      <c r="BO290" s="46"/>
      <c r="BP290" s="46"/>
      <c r="BQ290" s="46"/>
      <c r="BR290" s="46"/>
      <c r="BS290" s="46"/>
      <c r="BT290" s="46"/>
      <c r="BU290" s="46"/>
      <c r="BV290" s="46"/>
      <c r="BW290" s="46"/>
      <c r="BX290" s="46"/>
      <c r="BY290" s="46"/>
      <c r="BZ290" s="46"/>
      <c r="CA290" s="46"/>
      <c r="CB290" s="46"/>
      <c r="CC290" s="46"/>
    </row>
    <row r="291">
      <c r="A291" s="87" t="str">
        <f>IFERROR(__xludf.DUMMYFUNCTION("""COMPUTED_VALUE"""),"122")</f>
        <v>122</v>
      </c>
      <c r="B291" s="46" t="str">
        <f>IFERROR(__xludf.DUMMYFUNCTION("""COMPUTED_VALUE"""),"Lote campestre vda, Los Ocobos - Rivera")</f>
        <v>Lote campestre vda, Los Ocobos - Rivera</v>
      </c>
      <c r="C291" s="46" t="str">
        <f>IFERROR(__xludf.DUMMYFUNCTION("""COMPUTED_VALUE"""),"Lote")</f>
        <v>Lote</v>
      </c>
      <c r="D291" s="46"/>
      <c r="E291" s="46"/>
      <c r="F291" s="90">
        <f>IFERROR(__xludf.DUMMYFUNCTION("""COMPUTED_VALUE"""),1.6E8)</f>
        <v>160000000</v>
      </c>
      <c r="G291" s="46" t="str">
        <f>IFERROR(__xludf.DUMMYFUNCTION("""COMPUTED_VALUE"""),"$100'000.000 a $200'000.000")</f>
        <v>$100'000.000 a $200'000.000</v>
      </c>
      <c r="H291" s="46"/>
      <c r="I291" s="46"/>
      <c r="J291" s="46" t="str">
        <f>IFERROR(__xludf.DUMMYFUNCTION("""COMPUTED_VALUE"""),"Sur")</f>
        <v>Sur</v>
      </c>
      <c r="K291" s="87"/>
      <c r="L291" s="46">
        <f>IFERROR(__xludf.DUMMYFUNCTION("""COMPUTED_VALUE"""),0.0)</f>
        <v>0</v>
      </c>
      <c r="M291" s="46"/>
      <c r="N291" s="46">
        <f>IFERROR(__xludf.DUMMYFUNCTION("""COMPUTED_VALUE"""),0.0)</f>
        <v>0</v>
      </c>
      <c r="O291" s="46">
        <f>IFERROR(__xludf.DUMMYFUNCTION("""COMPUTED_VALUE"""),0.0)</f>
        <v>0</v>
      </c>
      <c r="P291" s="46">
        <f>IFERROR(__xludf.DUMMYFUNCTION("""COMPUTED_VALUE"""),0.0)</f>
        <v>0</v>
      </c>
      <c r="Q291" s="92">
        <f>IFERROR(__xludf.DUMMYFUNCTION("""COMPUTED_VALUE"""),0.0)</f>
        <v>0</v>
      </c>
      <c r="R291" s="92">
        <f>IFERROR(__xludf.DUMMYFUNCTION("""COMPUTED_VALUE"""),2209.0)</f>
        <v>2209</v>
      </c>
      <c r="S291" s="87" t="str">
        <f>IFERROR(__xludf.DUMMYFUNCTION("""COMPUTED_VALUE""")," ")</f>
        <v> </v>
      </c>
      <c r="T291" s="46" t="str">
        <f>IFERROR(__xludf.DUMMYFUNCTION("""COMPUTED_VALUE"""),"Rivera")</f>
        <v>Rivera</v>
      </c>
      <c r="U291" s="87"/>
      <c r="V291" s="46" t="str">
        <f>IFERROR(__xludf.DUMMYFUNCTION("""COMPUTED_VALUE"""),"Medianera")</f>
        <v>Medianera</v>
      </c>
      <c r="W291" s="46"/>
      <c r="X291" s="46">
        <f>IFERROR(__xludf.DUMMYFUNCTION("""COMPUTED_VALUE"""),0.0)</f>
        <v>0</v>
      </c>
      <c r="Y291" s="46" t="str">
        <f>IFERROR(__xludf.DUMMYFUNCTION("""COMPUTED_VALUE"""),"No tiene")</f>
        <v>No tiene</v>
      </c>
      <c r="Z291" s="90"/>
      <c r="AA291" s="33" t="str">
        <f>IFERROR(__xludf.DUMMYFUNCTION("""COMPUTED_VALUE"""),"No aplica")</f>
        <v>No aplica</v>
      </c>
      <c r="AB291" s="96" t="str">
        <f>IFERROR(__xludf.DUMMYFUNCTION("""COMPUTED_VALUE"""),"https://photos.app.goo.gl/KRxef1yBWHiLw1tp7")</f>
        <v>https://photos.app.goo.gl/KRxef1yBWHiLw1tp7</v>
      </c>
      <c r="AC291" s="46" t="str">
        <f>IFERROR(__xludf.DUMMYFUNCTION("""COMPUTED_VALUE"""),"Este espectacular lote campestre, ubicado en el sector Los Ocobos sobre la vía a Rivera, ofrece una extensión de $2.209\text{ m}^2$ diseñada para hacer realidad un proyecto de vida o de inversión. La propiedad se sitúa en una de las zonas con mayor proyec"&amp;"ción y valorización, destacándose como un amplio terreno ideal para construir una casa campestre a medida. Entre sus características técnicas y de infraestructura, se resalta que el lote ya cuenta con pozo séptico instalado, lo que facilita el desarrollo "&amp;"de futuras construcciones en el lugar.")</f>
        <v>Este espectacular lote campestre, ubicado en el sector Los Ocobos sobre la vía a Rivera, ofrece una extensión de $2.209\text{ m}^2$ diseñada para hacer realidad un proyecto de vida o de inversión. La propiedad se sitúa en una de las zonas con mayor proyección y valorización, destacándose como un amplio terreno ideal para construir una casa campestre a medida. Entre sus características técnicas y de infraestructura, se resalta que el lote ya cuenta con pozo séptico instalado, lo que facilita el desarrollo de futuras construcciones en el lugar.</v>
      </c>
      <c r="AD291" s="46" t="str">
        <f>IFERROR(__xludf.DUMMYFUNCTION("""COMPUTED_VALUE"""),"Por otra parte, su ubicación estratégica en una zona rural garantiza un fácil acceso sin perder la desconexión total del ruido de la urbe, permitiendo a sus residentes conectarse con lo que realmente importa. El entorno ofrece un ambiente sumamente tranqu"&amp;"ilo, natural y acompañado de un excelente clima, convirtiendo este espacio en la opción perfecta para quienes buscan un estilo de vida rodeado de naturaleza. Además de su atractivo ambiental, la propiedad mantiene una alta proyección de valorización, cons"&amp;"olidándose como una inversión inteligente a largo plazo.")</f>
        <v>Por otra parte, su ubicación estratégica en una zona rural garantiza un fácil acceso sin perder la desconexión total del ruido de la urbe, permitiendo a sus residentes conectarse con lo que realmente importa. El entorno ofrece un ambiente sumamente tranquilo, natural y acompañado de un excelente clima, convirtiendo este espacio en la opción perfecta para quienes buscan un estilo de vida rodeado de naturaleza. Además de su atractivo ambiental, la propiedad mantiene una alta proyección de valorización, consolidándose como una inversión inteligente a largo plazo.</v>
      </c>
      <c r="AE291" s="46"/>
      <c r="AF291" s="46">
        <f>IFERROR(__xludf.DUMMYFUNCTION("""COMPUTED_VALUE"""),0.0)</f>
        <v>0</v>
      </c>
      <c r="AG291" s="46"/>
      <c r="AH291" s="46" t="str">
        <f>IFERROR(__xludf.DUMMYFUNCTION("""COMPUTED_VALUE"""),"Aliado")</f>
        <v>Aliado</v>
      </c>
      <c r="AI291" s="92" t="str">
        <f>IFERROR(__xludf.DUMMYFUNCTION("""COMPUTED_VALUE"""),"https://lh3.googleusercontent.com/pw/AP1GczMpg57kRYJaAHkIKPqMmHKkv5laq-8QZUQszVQ-DntNnIE3EW-QqP-ss75lwasMWomxd2e2D4iMtimw4iopqps7xLEP0axpV8a1eP3EAyMh4fHO-i7v=w1200|https://lh3.googleusercontent.com/pw/AP1GczOZs891m5LSUHtP8h6eOS4G92yfB-gG7tBaTJyFY5vB6p8pks"&amp;"-icDSBPNVqXfMwBWrKFf0u47qZva5qXnrSPNGVUUyA-9kLZzHbF5Ly_zWRxNG_qWmd=w1200|https://lh3.googleusercontent.com/pw/AP1GczM3ABLTd3aHaD8oVDSw_6Re8I_I_9f2nCPct7uwUaK2qkuj4g3AC4WRSH6BhkKBZhERa6amTQ3vNHHJqL03a5pJa7esQT9FAUxolUI4inlYM2Y7wWTZ=w1200")</f>
        <v>https://lh3.googleusercontent.com/pw/AP1GczMpg57kRYJaAHkIKPqMmHKkv5laq-8QZUQszVQ-DntNnIE3EW-QqP-ss75lwasMWomxd2e2D4iMtimw4iopqps7xLEP0axpV8a1eP3EAyMh4fHO-i7v=w1200|https://lh3.googleusercontent.com/pw/AP1GczOZs891m5LSUHtP8h6eOS4G92yfB-gG7tBaTJyFY5vB6p8pks-icDSBPNVqXfMwBWrKFf0u47qZva5qXnrSPNGVUUyA-9kLZzHbF5Ly_zWRxNG_qWmd=w1200|https://lh3.googleusercontent.com/pw/AP1GczM3ABLTd3aHaD8oVDSw_6Re8I_I_9f2nCPct7uwUaK2qkuj4g3AC4WRSH6BhkKBZhERa6amTQ3vNHHJqL03a5pJa7esQT9FAUxolUI4inlYM2Y7wWTZ=w1200</v>
      </c>
      <c r="AJ291" s="46"/>
      <c r="AK291" s="46"/>
      <c r="AL291" s="46"/>
      <c r="AM291" s="46"/>
      <c r="AN291" s="46"/>
      <c r="AO291" s="46"/>
      <c r="AP291" s="46"/>
      <c r="AQ291" s="46"/>
      <c r="AR291" s="46"/>
      <c r="AS291" s="46"/>
      <c r="AT291" s="46"/>
      <c r="AU291" s="46"/>
      <c r="AV291" s="46"/>
      <c r="AW291" s="46"/>
      <c r="AX291" s="46"/>
      <c r="AY291" s="46"/>
      <c r="AZ291" s="46"/>
      <c r="BA291" s="46"/>
      <c r="BB291" s="46"/>
      <c r="BC291" s="46"/>
      <c r="BD291" s="46"/>
      <c r="BE291" s="46"/>
      <c r="BF291" s="46"/>
      <c r="BG291" s="46"/>
      <c r="BH291" s="46"/>
      <c r="BI291" s="46"/>
      <c r="BJ291" s="46"/>
      <c r="BK291" s="46"/>
      <c r="BL291" s="46"/>
      <c r="BM291" s="46"/>
      <c r="BN291" s="46"/>
      <c r="BO291" s="46"/>
      <c r="BP291" s="46"/>
      <c r="BQ291" s="46"/>
      <c r="BR291" s="46"/>
      <c r="BS291" s="46"/>
      <c r="BT291" s="46"/>
      <c r="BU291" s="46"/>
      <c r="BV291" s="46"/>
      <c r="BW291" s="46"/>
      <c r="BX291" s="46"/>
      <c r="BY291" s="46"/>
      <c r="BZ291" s="46"/>
      <c r="CA291" s="46"/>
      <c r="CB291" s="46"/>
      <c r="CC291" s="46"/>
    </row>
    <row r="292">
      <c r="A292" s="87" t="str">
        <f>IFERROR(__xludf.DUMMYFUNCTION("""COMPUTED_VALUE"""),"716")</f>
        <v>716</v>
      </c>
      <c r="B292" s="46" t="str">
        <f>IFERROR(__xludf.DUMMYFUNCTION("""COMPUTED_VALUE"""),"Casa en barrio Timanco.")</f>
        <v>Casa en barrio Timanco.</v>
      </c>
      <c r="C292" s="46" t="str">
        <f>IFERROR(__xludf.DUMMYFUNCTION("""COMPUTED_VALUE"""),"Casa")</f>
        <v>Casa</v>
      </c>
      <c r="D292" s="46" t="str">
        <f>IFERROR(__xludf.DUMMYFUNCTION("""COMPUTED_VALUE"""),"Timanco")</f>
        <v>Timanco</v>
      </c>
      <c r="E292" s="90" t="str">
        <f>IFERROR(__xludf.DUMMYFUNCTION("""COMPUTED_VALUE""")," ")</f>
        <v> </v>
      </c>
      <c r="F292" s="90">
        <f>IFERROR(__xludf.DUMMYFUNCTION("""COMPUTED_VALUE"""),1.5E8)</f>
        <v>150000000</v>
      </c>
      <c r="G292" s="46" t="str">
        <f>IFERROR(__xludf.DUMMYFUNCTION("""COMPUTED_VALUE"""),"$100'000.000 a $200'000.000")</f>
        <v>$100'000.000 a $200'000.000</v>
      </c>
      <c r="H292" s="46"/>
      <c r="I292" s="46"/>
      <c r="J292" s="46" t="str">
        <f>IFERROR(__xludf.DUMMYFUNCTION("""COMPUTED_VALUE"""),"Sur")</f>
        <v>Sur</v>
      </c>
      <c r="K292" s="87"/>
      <c r="L292" s="46">
        <f>IFERROR(__xludf.DUMMYFUNCTION("""COMPUTED_VALUE"""),4.0)</f>
        <v>4</v>
      </c>
      <c r="M292" s="46"/>
      <c r="N292" s="46">
        <f>IFERROR(__xludf.DUMMYFUNCTION("""COMPUTED_VALUE"""),2.0)</f>
        <v>2</v>
      </c>
      <c r="O292" s="46">
        <f>IFERROR(__xludf.DUMMYFUNCTION("""COMPUTED_VALUE"""),0.0)</f>
        <v>0</v>
      </c>
      <c r="P292" s="46">
        <f>IFERROR(__xludf.DUMMYFUNCTION("""COMPUTED_VALUE"""),2.0)</f>
        <v>2</v>
      </c>
      <c r="Q292" s="92">
        <f>IFERROR(__xludf.DUMMYFUNCTION("""COMPUTED_VALUE"""),125.0)</f>
        <v>125</v>
      </c>
      <c r="R292" s="92">
        <f>IFERROR(__xludf.DUMMYFUNCTION("""COMPUTED_VALUE"""),85.0)</f>
        <v>85</v>
      </c>
      <c r="S292" s="87" t="str">
        <f>IFERROR(__xludf.DUMMYFUNCTION("""COMPUTED_VALUE""")," ")</f>
        <v> </v>
      </c>
      <c r="T292" s="46" t="str">
        <f>IFERROR(__xludf.DUMMYFUNCTION("""COMPUTED_VALUE"""),"Neiva")</f>
        <v>Neiva</v>
      </c>
      <c r="U292" s="87" t="str">
        <f>IFERROR(__xludf.DUMMYFUNCTION("""COMPUTED_VALUE"""),"2")</f>
        <v>2</v>
      </c>
      <c r="V292" s="46" t="str">
        <f>IFERROR(__xludf.DUMMYFUNCTION("""COMPUTED_VALUE"""),"Medianera")</f>
        <v>Medianera</v>
      </c>
      <c r="W292" s="46"/>
      <c r="X292" s="46">
        <f>IFERROR(__xludf.DUMMYFUNCTION("""COMPUTED_VALUE"""),3.0)</f>
        <v>3</v>
      </c>
      <c r="Y292" s="46" t="str">
        <f>IFERROR(__xludf.DUMMYFUNCTION("""COMPUTED_VALUE"""),"No tiene")</f>
        <v>No tiene</v>
      </c>
      <c r="Z292" s="90" t="str">
        <f>IFERROR(__xludf.DUMMYFUNCTION("""COMPUTED_VALUE"""),"No aplica")</f>
        <v>No aplica</v>
      </c>
      <c r="AA292" s="33" t="str">
        <f>IFERROR(__xludf.DUMMYFUNCTION("""COMPUTED_VALUE"""),"No aplica")</f>
        <v>No aplica</v>
      </c>
      <c r="AB292" s="144" t="str">
        <f>IFERROR(__xludf.DUMMYFUNCTION("""COMPUTED_VALUE"""),"https://photos.app.goo.gl/pfSPbDiR7hZYh24X7")</f>
        <v>https://photos.app.goo.gl/pfSPbDiR7hZYh24X7</v>
      </c>
      <c r="AC292" s="46"/>
      <c r="AD292" s="46" t="str">
        <f>IFERROR(__xludf.DUMMYFUNCTION("""COMPUTED_VALUE"""),"Casa con buenos acabados. Habitaciones con puertas y closet. Escritura al día.")</f>
        <v>Casa con buenos acabados. Habitaciones con puertas y closet. Escritura al día.</v>
      </c>
      <c r="AE292" s="46"/>
      <c r="AF292" s="46" t="str">
        <f>IFERROR(__xludf.DUMMYFUNCTION("""COMPUTED_VALUE"""),"semi-integral")</f>
        <v>semi-integral</v>
      </c>
      <c r="AG292" s="46"/>
      <c r="AH292" s="46" t="str">
        <f>IFERROR(__xludf.DUMMYFUNCTION("""COMPUTED_VALUE"""),"Aliado")</f>
        <v>Aliado</v>
      </c>
      <c r="AI292" s="92" t="str">
        <f>IFERROR(__xludf.DUMMYFUNCTION("""COMPUTED_VALUE"""),"https://lh3.googleusercontent.com/pw/AP1GczPeo2CT7B-fpapmj3Xgl5sF2PRdqU1Z08_UFD5js7i-W67lAORRJMYCehpwVqlRXvse97Oi0VnZCaP_cZ_YKRCeHvNiw0nyRdCl987eB7qHDjHkA2Ek=w1200|https://lh3.googleusercontent.com/pw/AP1GczPmpOQkZbfT8wREFRjq8hQfJK0nVYacuWTz6dwD1k4mOeZqMA"&amp;"yM5r79fE7sk0dval31wJ-taIG8BYQojf6oQh5g0ADHVf5ti0t7r0FbXF_VUuuv7YH_=w1200|https://lh3.googleusercontent.com/pw/AP1GczOvQF1x6BOWOSUIDKvvuIYPjx0Lwc_9toA1vygcUWmVLakE-WgwHZe79XUDuqVH9kHETspTEoCkzsHANr6A3st9k6YjMr-Z0OBlQ4J23kPoaCcMAWW8=w1200|https://lh3.google"&amp;"usercontent.com/pw/AP1GczOnwdovVEfX82m1xZFXc-XdpnvGiqRUInIF0fiAJHHDn8-3vNrf2XQKSubQiNglTjqnXP3fhq2wi2LnFIVYeTa540DS0A31qguNPnJRDBuRNOmqg0_9=w1200|https://lh3.googleusercontent.com/pw/AP1GczM2-XhaTUCF9658T6qEfJ5XJZABfRagmmYrW7TviD_dfhjyLFJKnKvsKp14Tu6oikP0"&amp;"SULWgzuBJeSkNiupPFoEOZSSiEPwNwWK-kB6zFV8U6kXbFEW=w1200|https://lh3.googleusercontent.com/pw/AP1GczMOxkSp5hwXOd177BlQxlt9wIhp1UBSa9jVIT2RbK0UZEq7OdiSr6EL1WJyQtpiZ6y720PAubtQ86pLW2MCwEf2ChHAgtgINGXRCad_MxSXPv4pC5Ni=w1200|https://lh3.googleusercontent.com/pw"&amp;"/AP1GczOt99aCxabThqWnrlJH41Wz7wLCdOc_XNfNbPP5TkDwN9q4-TUvh-Mhv4WOYYFMNxaqHuFbm5luNsCdBk2NGgeiiawtFqClKBH2M7c0XR7iTocvW5Mw=w1200|https://lh3.googleusercontent.com/pw/AP1GczO2jq79J3-AdgK489g121IlBtKMTslqiJQQUxIysgLIlTXScrGbt0uxl0sACJd8ufrFH8zH2VfcMT9v7QxjGk"&amp;"OWt9L9ofdU6_YMi54E9ftyXX7jRits=w1200|https://lh3.googleusercontent.com/pw/AP1GczOBB2c7sGj-x2srXlrMQVSoyiTfOSOK-WvDy3PBQvI2H34OC0qhc4pecGQAzbnAkmlQdvRf7kDUTf_5dHpdY9DEps3qqX9xg07Tr9hhEUuHElbYEg06=w1200")</f>
        <v>https://lh3.googleusercontent.com/pw/AP1GczPeo2CT7B-fpapmj3Xgl5sF2PRdqU1Z08_UFD5js7i-W67lAORRJMYCehpwVqlRXvse97Oi0VnZCaP_cZ_YKRCeHvNiw0nyRdCl987eB7qHDjHkA2Ek=w1200|https://lh3.googleusercontent.com/pw/AP1GczPmpOQkZbfT8wREFRjq8hQfJK0nVYacuWTz6dwD1k4mOeZqMAyM5r79fE7sk0dval31wJ-taIG8BYQojf6oQh5g0ADHVf5ti0t7r0FbXF_VUuuv7YH_=w1200|https://lh3.googleusercontent.com/pw/AP1GczOvQF1x6BOWOSUIDKvvuIYPjx0Lwc_9toA1vygcUWmVLakE-WgwHZe79XUDuqVH9kHETspTEoCkzsHANr6A3st9k6YjMr-Z0OBlQ4J23kPoaCcMAWW8=w1200|https://lh3.googleusercontent.com/pw/AP1GczOnwdovVEfX82m1xZFXc-XdpnvGiqRUInIF0fiAJHHDn8-3vNrf2XQKSubQiNglTjqnXP3fhq2wi2LnFIVYeTa540DS0A31qguNPnJRDBuRNOmqg0_9=w1200|https://lh3.googleusercontent.com/pw/AP1GczM2-XhaTUCF9658T6qEfJ5XJZABfRagmmYrW7TviD_dfhjyLFJKnKvsKp14Tu6oikP0SULWgzuBJeSkNiupPFoEOZSSiEPwNwWK-kB6zFV8U6kXbFEW=w1200|https://lh3.googleusercontent.com/pw/AP1GczMOxkSp5hwXOd177BlQxlt9wIhp1UBSa9jVIT2RbK0UZEq7OdiSr6EL1WJyQtpiZ6y720PAubtQ86pLW2MCwEf2ChHAgtgINGXRCad_MxSXPv4pC5Ni=w1200|https://lh3.googleusercontent.com/pw/AP1GczOt99aCxabThqWnrlJH41Wz7wLCdOc_XNfNbPP5TkDwN9q4-TUvh-Mhv4WOYYFMNxaqHuFbm5luNsCdBk2NGgeiiawtFqClKBH2M7c0XR7iTocvW5Mw=w1200|https://lh3.googleusercontent.com/pw/AP1GczO2jq79J3-AdgK489g121IlBtKMTslqiJQQUxIysgLIlTXScrGbt0uxl0sACJd8ufrFH8zH2VfcMT9v7QxjGkOWt9L9ofdU6_YMi54E9ftyXX7jRits=w1200|https://lh3.googleusercontent.com/pw/AP1GczOBB2c7sGj-x2srXlrMQVSoyiTfOSOK-WvDy3PBQvI2H34OC0qhc4pecGQAzbnAkmlQdvRf7kDUTf_5dHpdY9DEps3qqX9xg07Tr9hhEUuHElbYEg06=w1200</v>
      </c>
      <c r="AJ292" s="46"/>
      <c r="AK292" s="46"/>
      <c r="AL292" s="46"/>
      <c r="AM292" s="46"/>
      <c r="AN292" s="46"/>
      <c r="AO292" s="46"/>
      <c r="AP292" s="46"/>
      <c r="AQ292" s="46"/>
      <c r="AR292" s="46"/>
      <c r="AS292" s="46"/>
      <c r="AT292" s="46"/>
      <c r="AU292" s="46"/>
      <c r="AV292" s="46"/>
      <c r="AW292" s="46"/>
      <c r="AX292" s="46"/>
      <c r="AY292" s="46"/>
      <c r="AZ292" s="46"/>
      <c r="BA292" s="46"/>
      <c r="BB292" s="46"/>
      <c r="BC292" s="46"/>
      <c r="BD292" s="46"/>
      <c r="BE292" s="46"/>
      <c r="BF292" s="46"/>
      <c r="BG292" s="46"/>
      <c r="BH292" s="46"/>
      <c r="BI292" s="46"/>
      <c r="BJ292" s="46"/>
      <c r="BK292" s="46"/>
      <c r="BL292" s="46"/>
      <c r="BM292" s="46"/>
      <c r="BN292" s="46"/>
      <c r="BO292" s="46"/>
      <c r="BP292" s="46"/>
      <c r="BQ292" s="46"/>
      <c r="BR292" s="46"/>
      <c r="BS292" s="46"/>
      <c r="BT292" s="46"/>
      <c r="BU292" s="46"/>
      <c r="BV292" s="46"/>
      <c r="BW292" s="46"/>
      <c r="BX292" s="46"/>
      <c r="BY292" s="46"/>
      <c r="BZ292" s="46"/>
      <c r="CA292" s="46"/>
      <c r="CB292" s="46"/>
      <c r="CC292" s="46"/>
    </row>
    <row r="293">
      <c r="A293" s="87" t="str">
        <f>IFERROR(__xludf.DUMMYFUNCTION("""COMPUTED_VALUE"""),"531")</f>
        <v>531</v>
      </c>
      <c r="B293" s="46" t="str">
        <f>IFERROR(__xludf.DUMMYFUNCTION("""COMPUTED_VALUE"""),"Lote campestre en conjunto Condominio Altos de la Sabana - Palermo - Z. Industrial")</f>
        <v>Lote campestre en conjunto Condominio Altos de la Sabana - Palermo - Z. Industrial</v>
      </c>
      <c r="C293" s="46" t="str">
        <f>IFERROR(__xludf.DUMMYFUNCTION("""COMPUTED_VALUE"""),"Lote campestre en conjunto")</f>
        <v>Lote campestre en conjunto</v>
      </c>
      <c r="D293" s="46"/>
      <c r="E293" s="46" t="str">
        <f>IFERROR(__xludf.DUMMYFUNCTION("""COMPUTED_VALUE""")," Conjunto Condominio Altos de la Sabana")</f>
        <v> Conjunto Condominio Altos de la Sabana</v>
      </c>
      <c r="F293" s="90">
        <f>IFERROR(__xludf.DUMMYFUNCTION("""COMPUTED_VALUE"""),1.4E8)</f>
        <v>140000000</v>
      </c>
      <c r="G293" s="46" t="str">
        <f>IFERROR(__xludf.DUMMYFUNCTION("""COMPUTED_VALUE"""),"$100'000.000 a $200'000.000")</f>
        <v>$100'000.000 a $200'000.000</v>
      </c>
      <c r="H293" s="46"/>
      <c r="I293" s="46"/>
      <c r="J293" s="46" t="str">
        <f>IFERROR(__xludf.DUMMYFUNCTION("""COMPUTED_VALUE"""),"Sur")</f>
        <v>Sur</v>
      </c>
      <c r="K293" s="87"/>
      <c r="L293" s="46">
        <f>IFERROR(__xludf.DUMMYFUNCTION("""COMPUTED_VALUE"""),0.0)</f>
        <v>0</v>
      </c>
      <c r="M293" s="46"/>
      <c r="N293" s="46">
        <f>IFERROR(__xludf.DUMMYFUNCTION("""COMPUTED_VALUE"""),0.0)</f>
        <v>0</v>
      </c>
      <c r="O293" s="46">
        <f>IFERROR(__xludf.DUMMYFUNCTION("""COMPUTED_VALUE"""),0.0)</f>
        <v>0</v>
      </c>
      <c r="P293" s="46">
        <f>IFERROR(__xludf.DUMMYFUNCTION("""COMPUTED_VALUE"""),0.0)</f>
        <v>0</v>
      </c>
      <c r="Q293" s="92">
        <f>IFERROR(__xludf.DUMMYFUNCTION("""COMPUTED_VALUE"""),0.0)</f>
        <v>0</v>
      </c>
      <c r="R293" s="92">
        <f>IFERROR(__xludf.DUMMYFUNCTION("""COMPUTED_VALUE"""),528.0)</f>
        <v>528</v>
      </c>
      <c r="S293" s="87" t="str">
        <f>IFERROR(__xludf.DUMMYFUNCTION("""COMPUTED_VALUE""")," ")</f>
        <v> </v>
      </c>
      <c r="T293" s="46" t="str">
        <f>IFERROR(__xludf.DUMMYFUNCTION("""COMPUTED_VALUE"""),"Palermo")</f>
        <v>Palermo</v>
      </c>
      <c r="U293" s="87"/>
      <c r="V293" s="46" t="str">
        <f>IFERROR(__xludf.DUMMYFUNCTION("""COMPUTED_VALUE"""),"Medianera")</f>
        <v>Medianera</v>
      </c>
      <c r="W293" s="46"/>
      <c r="X293" s="46">
        <f>IFERROR(__xludf.DUMMYFUNCTION("""COMPUTED_VALUE"""),0.0)</f>
        <v>0</v>
      </c>
      <c r="Y293" s="46" t="str">
        <f>IFERROR(__xludf.DUMMYFUNCTION("""COMPUTED_VALUE"""),"Social")</f>
        <v>Social</v>
      </c>
      <c r="Z293" s="90">
        <f>IFERROR(__xludf.DUMMYFUNCTION("""COMPUTED_VALUE"""),280000.0)</f>
        <v>280000</v>
      </c>
      <c r="AA293" s="33" t="str">
        <f>IFERROR(__xludf.DUMMYFUNCTION("""COMPUTED_VALUE"""),"No aplica")</f>
        <v>No aplica</v>
      </c>
      <c r="AB293" s="96" t="str">
        <f>IFERROR(__xludf.DUMMYFUNCTION("""COMPUTED_VALUE"""),"https://photos.app.goo.gl/VxHcARrAZNkoGNek7")</f>
        <v>https://photos.app.goo.gl/VxHcARrAZNkoGNek7</v>
      </c>
      <c r="AC293" s="46" t="str">
        <f>IFERROR(__xludf.DUMMYFUNCTION("""COMPUTED_VALUE"""),"Exclusivo lote con un área de $528\text{ Mt}^2$ en el ""Condominio campestre Altos de la Sabana"", ubicado sobre la vía Palermo. Se destaca como una oportunidad para invertir en uno de los sectores de mayor valorización en Neiva, ofreciendo excelentes vía"&amp;"s de acceso y una fácil conectividad a la ciudad. Asimismo, se señala que este terreno es ideal para construir la casa de tus sueños en un entorno tranquilo, seguro y rodeado de naturaleza, diseñado especialmente para quienes buscan calidad de vida y una "&amp;"inversión inteligente.")</f>
        <v>Exclusivo lote con un área de $528\text{ Mt}^2$ en el "Condominio campestre Altos de la Sabana", ubicado sobre la vía Palermo. Se destaca como una oportunidad para invertir en uno de los sectores de mayor valorización en Neiva, ofreciendo excelentes vías de acceso y una fácil conectividad a la ciudad. Asimismo, se señala que este terreno es ideal para construir la casa de tus sueños en un entorno tranquilo, seguro y rodeado de naturaleza, diseñado especialmente para quienes buscan calidad de vida y una inversión inteligente.</v>
      </c>
      <c r="AD293" s="46" t="str">
        <f>IFERROR(__xludf.DUMMYFUNCTION("""COMPUTED_VALUE"""),"Expone los beneficios y comodidades que incluye el conjunto residencial, especificando que ofrece completas zonas comunes para el disfrute de sus habitantes. Entre sus características principales se mencionan la vigilancia privada 24/7, amplias zonas verd"&amp;"es, piscina, cancha de microfútbol, zonas sociales para eventos y parqueaderos para visitantes. El anuncio concluye invitando a disfrutar de un ambiente campestre con todas las comodidades y una alta proyección de valorización.")</f>
        <v>Expone los beneficios y comodidades que incluye el conjunto residencial, especificando que ofrece completas zonas comunes para el disfrute de sus habitantes. Entre sus características principales se mencionan la vigilancia privada 24/7, amplias zonas verdes, piscina, cancha de microfútbol, zonas sociales para eventos y parqueaderos para visitantes. El anuncio concluye invitando a disfrutar de un ambiente campestre con todas las comodidades y una alta proyección de valorización.</v>
      </c>
      <c r="AE293" s="46"/>
      <c r="AF293" s="46">
        <f>IFERROR(__xludf.DUMMYFUNCTION("""COMPUTED_VALUE"""),0.0)</f>
        <v>0</v>
      </c>
      <c r="AG293" s="46"/>
      <c r="AH293" s="46" t="str">
        <f>IFERROR(__xludf.DUMMYFUNCTION("""COMPUTED_VALUE"""),"Aliado")</f>
        <v>Aliado</v>
      </c>
      <c r="AI293" s="92" t="str">
        <f>IFERROR(__xludf.DUMMYFUNCTION("""COMPUTED_VALUE"""),"https://lh3.googleusercontent.com/pw/AP1GczMAgoICQ-CWICadEgSQuu51SfeHrB0Brak7BV8gEIdhozct6tfI7g_g148bwGYi6YhASxJ5Lygdn4JA6aB4Ylt300zFXARaVfj83UdBcuo7Z6VrTgtM=w1200|https://lh3.googleusercontent.com/pw/AP1GczN9xs2L0M-8j3n--XsIxKfTR_oGMk-tcs3F_N8Lhh7eV3xpxZ"&amp;"qE_OdKJvyykf6WwnrnO8s_gUpwVz6VRhhPWw15J3904UIw6zkE2qyoIvCc3ZCmYNQy=w1200|https://lh3.googleusercontent.com/pw/AP1GczO5F4U--HNquFyPWJGoIDoP2TbHHpO9G7MRMG1kmlshtVX7QweEFLkwndSPMYkmsNPX4J3WzrByo4pIKZzFRM8G11LFxzNCeBWw2mP-YsDQGK94CoAq=w1200|https://lh3.google"&amp;"usercontent.com/pw/AP1GczPJhdioyo8xPbUcHuN9QdisSupAeK7c3Ni1iNTcybVvi3DtAJudJDmrwQtiw2P3N3mSsIxqkITeAv2QfiO8Hha-fRMlmHg9qxB-CKy3Fpg0FYq0Nb8C=w1200|https://lh3.googleusercontent.com/pw/AP1GczN10npyVg34Kh5HaBCooA4I-HwVfMyw5W2E4LJ3DymxPoSGB6M02N7vvHxETmVbRE83"&amp;"fd-JAPewYdCgppPRsAGjxcGr50pPeRjvJpvBu42b7lSxuqNC=w1200|https://lh3.googleusercontent.com/pw/AP1GczNQdzQlvmuoxxja95WrTj6LsYcfFm4j0f3bXQnLO0mluSoHbKFQPndSBsD9jzTZO1tLkEzCsMqmwxOnNkR5eMY7iXB72vtiCpGtrK4pj6ak9Q9_E_E1=w1200|https://lh3.googleusercontent.com/pw"&amp;"/AP1GczMLQS9crbJkDOCKBdTYLZ_dyEHpWX6MGD7muj0YmtNja_ROFAv3FGs37sTPHjDuTFODvia2dntIE_yOtV7GeDu11H8E-WNN-nvAcoxi1QvjDvZLhw-m=w1200|https://lh3.googleusercontent.com/pw/AP1GczNeMOc7Bq3v6LNUSwd4nSI7vOj6II3WtQyxnqoLA6UFAjDWflkmWHyR4TIVo08Ia_zep2MtzoL5Qu1rF4DZQ-"&amp;"3lCNvqzPWaRJHLtBnwD-cI2fAmfPYZ=w1200|https://lh3.googleusercontent.com/pw/AP1GczM-6V_3hl46oESHhh6Mq2KwW8qV-1wydHzpZGru5WgJpvLAXL6a-dE43DWn-6Ly3HXeqkDWejwRoKcRevsPnUe4WojFkwwG-84dw-GLPrhnYX_HUGEo=w1200")</f>
        <v>https://lh3.googleusercontent.com/pw/AP1GczMAgoICQ-CWICadEgSQuu51SfeHrB0Brak7BV8gEIdhozct6tfI7g_g148bwGYi6YhASxJ5Lygdn4JA6aB4Ylt300zFXARaVfj83UdBcuo7Z6VrTgtM=w1200|https://lh3.googleusercontent.com/pw/AP1GczN9xs2L0M-8j3n--XsIxKfTR_oGMk-tcs3F_N8Lhh7eV3xpxZqE_OdKJvyykf6WwnrnO8s_gUpwVz6VRhhPWw15J3904UIw6zkE2qyoIvCc3ZCmYNQy=w1200|https://lh3.googleusercontent.com/pw/AP1GczO5F4U--HNquFyPWJGoIDoP2TbHHpO9G7MRMG1kmlshtVX7QweEFLkwndSPMYkmsNPX4J3WzrByo4pIKZzFRM8G11LFxzNCeBWw2mP-YsDQGK94CoAq=w1200|https://lh3.googleusercontent.com/pw/AP1GczPJhdioyo8xPbUcHuN9QdisSupAeK7c3Ni1iNTcybVvi3DtAJudJDmrwQtiw2P3N3mSsIxqkITeAv2QfiO8Hha-fRMlmHg9qxB-CKy3Fpg0FYq0Nb8C=w1200|https://lh3.googleusercontent.com/pw/AP1GczN10npyVg34Kh5HaBCooA4I-HwVfMyw5W2E4LJ3DymxPoSGB6M02N7vvHxETmVbRE83fd-JAPewYdCgppPRsAGjxcGr50pPeRjvJpvBu42b7lSxuqNC=w1200|https://lh3.googleusercontent.com/pw/AP1GczNQdzQlvmuoxxja95WrTj6LsYcfFm4j0f3bXQnLO0mluSoHbKFQPndSBsD9jzTZO1tLkEzCsMqmwxOnNkR5eMY7iXB72vtiCpGtrK4pj6ak9Q9_E_E1=w1200|https://lh3.googleusercontent.com/pw/AP1GczMLQS9crbJkDOCKBdTYLZ_dyEHpWX6MGD7muj0YmtNja_ROFAv3FGs37sTPHjDuTFODvia2dntIE_yOtV7GeDu11H8E-WNN-nvAcoxi1QvjDvZLhw-m=w1200|https://lh3.googleusercontent.com/pw/AP1GczNeMOc7Bq3v6LNUSwd4nSI7vOj6II3WtQyxnqoLA6UFAjDWflkmWHyR4TIVo08Ia_zep2MtzoL5Qu1rF4DZQ-3lCNvqzPWaRJHLtBnwD-cI2fAmfPYZ=w1200|https://lh3.googleusercontent.com/pw/AP1GczM-6V_3hl46oESHhh6Mq2KwW8qV-1wydHzpZGru5WgJpvLAXL6a-dE43DWn-6Ly3HXeqkDWejwRoKcRevsPnUe4WojFkwwG-84dw-GLPrhnYX_HUGEo=w1200</v>
      </c>
      <c r="AJ293" s="46"/>
      <c r="AK293" s="46"/>
      <c r="AL293" s="46"/>
      <c r="AM293" s="46"/>
      <c r="AN293" s="46"/>
      <c r="AO293" s="46"/>
      <c r="AP293" s="46"/>
      <c r="AQ293" s="46"/>
      <c r="AR293" s="46"/>
      <c r="AS293" s="46"/>
      <c r="AT293" s="46"/>
      <c r="AU293" s="46"/>
      <c r="AV293" s="46"/>
      <c r="AW293" s="46"/>
      <c r="AX293" s="46"/>
      <c r="AY293" s="46"/>
      <c r="AZ293" s="46"/>
      <c r="BA293" s="46"/>
      <c r="BB293" s="46"/>
      <c r="BC293" s="46"/>
      <c r="BD293" s="46"/>
      <c r="BE293" s="46"/>
      <c r="BF293" s="46"/>
      <c r="BG293" s="46"/>
      <c r="BH293" s="46"/>
      <c r="BI293" s="46"/>
      <c r="BJ293" s="46"/>
      <c r="BK293" s="46"/>
      <c r="BL293" s="46"/>
      <c r="BM293" s="46"/>
      <c r="BN293" s="46"/>
      <c r="BO293" s="46"/>
      <c r="BP293" s="46"/>
      <c r="BQ293" s="46"/>
      <c r="BR293" s="46"/>
      <c r="BS293" s="46"/>
      <c r="BT293" s="46"/>
      <c r="BU293" s="46"/>
      <c r="BV293" s="46"/>
      <c r="BW293" s="46"/>
      <c r="BX293" s="46"/>
      <c r="BY293" s="46"/>
      <c r="BZ293" s="46"/>
      <c r="CA293" s="46"/>
      <c r="CB293" s="46"/>
      <c r="CC293" s="46"/>
    </row>
    <row r="294">
      <c r="A294" s="87" t="str">
        <f>IFERROR(__xludf.DUMMYFUNCTION("""COMPUTED_VALUE"""),"523")</f>
        <v>523</v>
      </c>
      <c r="B294" s="46" t="str">
        <f>IFERROR(__xludf.DUMMYFUNCTION("""COMPUTED_VALUE"""),"Lote campestre en conjunto Condominio Altos de la Sabana - Palermo - Z. Industrial")</f>
        <v>Lote campestre en conjunto Condominio Altos de la Sabana - Palermo - Z. Industrial</v>
      </c>
      <c r="C294" s="46" t="str">
        <f>IFERROR(__xludf.DUMMYFUNCTION("""COMPUTED_VALUE"""),"Lote campestre en conjunto")</f>
        <v>Lote campestre en conjunto</v>
      </c>
      <c r="D294" s="46"/>
      <c r="E294" s="46" t="str">
        <f>IFERROR(__xludf.DUMMYFUNCTION("""COMPUTED_VALUE"""),"Conjunto Condominio Altos de la Sabana")</f>
        <v>Conjunto Condominio Altos de la Sabana</v>
      </c>
      <c r="F294" s="90">
        <f>IFERROR(__xludf.DUMMYFUNCTION("""COMPUTED_VALUE"""),1.12E8)</f>
        <v>112000000</v>
      </c>
      <c r="G294" s="46" t="str">
        <f>IFERROR(__xludf.DUMMYFUNCTION("""COMPUTED_VALUE"""),"$100'000.000 a $200'000.000")</f>
        <v>$100'000.000 a $200'000.000</v>
      </c>
      <c r="H294" s="46"/>
      <c r="I294" s="46"/>
      <c r="J294" s="46" t="str">
        <f>IFERROR(__xludf.DUMMYFUNCTION("""COMPUTED_VALUE"""),"Sur")</f>
        <v>Sur</v>
      </c>
      <c r="K294" s="87"/>
      <c r="L294" s="46">
        <f>IFERROR(__xludf.DUMMYFUNCTION("""COMPUTED_VALUE"""),0.0)</f>
        <v>0</v>
      </c>
      <c r="M294" s="46"/>
      <c r="N294" s="46">
        <f>IFERROR(__xludf.DUMMYFUNCTION("""COMPUTED_VALUE"""),0.0)</f>
        <v>0</v>
      </c>
      <c r="O294" s="46">
        <f>IFERROR(__xludf.DUMMYFUNCTION("""COMPUTED_VALUE"""),0.0)</f>
        <v>0</v>
      </c>
      <c r="P294" s="46">
        <f>IFERROR(__xludf.DUMMYFUNCTION("""COMPUTED_VALUE"""),0.0)</f>
        <v>0</v>
      </c>
      <c r="Q294" s="92">
        <f>IFERROR(__xludf.DUMMYFUNCTION("""COMPUTED_VALUE"""),501.0)</f>
        <v>501</v>
      </c>
      <c r="R294" s="92">
        <f>IFERROR(__xludf.DUMMYFUNCTION("""COMPUTED_VALUE"""),501.0)</f>
        <v>501</v>
      </c>
      <c r="S294" s="87" t="str">
        <f>IFERROR(__xludf.DUMMYFUNCTION("""COMPUTED_VALUE""")," ")</f>
        <v> </v>
      </c>
      <c r="T294" s="46" t="str">
        <f>IFERROR(__xludf.DUMMYFUNCTION("""COMPUTED_VALUE"""),"Palermo")</f>
        <v>Palermo</v>
      </c>
      <c r="U294" s="87"/>
      <c r="V294" s="46" t="str">
        <f>IFERROR(__xludf.DUMMYFUNCTION("""COMPUTED_VALUE"""),"Medianera")</f>
        <v>Medianera</v>
      </c>
      <c r="W294" s="46"/>
      <c r="X294" s="46">
        <f>IFERROR(__xludf.DUMMYFUNCTION("""COMPUTED_VALUE"""),0.0)</f>
        <v>0</v>
      </c>
      <c r="Y294" s="46" t="str">
        <f>IFERROR(__xludf.DUMMYFUNCTION("""COMPUTED_VALUE"""),"Social")</f>
        <v>Social</v>
      </c>
      <c r="Z294" s="90">
        <f>IFERROR(__xludf.DUMMYFUNCTION("""COMPUTED_VALUE"""),280000.0)</f>
        <v>280000</v>
      </c>
      <c r="AA294" s="33" t="str">
        <f>IFERROR(__xludf.DUMMYFUNCTION("""COMPUTED_VALUE"""),"No aplica")</f>
        <v>No aplica</v>
      </c>
      <c r="AB294" s="96" t="str">
        <f>IFERROR(__xludf.DUMMYFUNCTION("""COMPUTED_VALUE"""),"https://photos.app.goo.gl/YdEsGnUP9zj8BPiT8")</f>
        <v>https://photos.app.goo.gl/YdEsGnUP9zj8BPiT8</v>
      </c>
      <c r="AC294" s="46" t="str">
        <f>IFERROR(__xludf.DUMMYFUNCTION("""COMPUTED_VALUE"""),"Cuenta con: Piscinas con mirador, canchas deportivas, senderos ecológicos Parque infantil, gimnasio al aire libre, salón comunal y capilla Servicios públicos completos. Vías pavimentadas y vigilancia 24h")</f>
        <v>Cuenta con: Piscinas con mirador, canchas deportivas, senderos ecológicos Parque infantil, gimnasio al aire libre, salón comunal y capilla Servicios públicos completos. Vías pavimentadas y vigilancia 24h</v>
      </c>
      <c r="AD294" s="46" t="str">
        <f>IFERROR(__xludf.DUMMYFUNCTION("""COMPUTED_VALUE"""),"Buena ubicación y precio.")</f>
        <v>Buena ubicación y precio.</v>
      </c>
      <c r="AE294" s="46"/>
      <c r="AF294" s="46">
        <f>IFERROR(__xludf.DUMMYFUNCTION("""COMPUTED_VALUE"""),0.0)</f>
        <v>0</v>
      </c>
      <c r="AG294" s="46"/>
      <c r="AH294" s="46" t="str">
        <f>IFERROR(__xludf.DUMMYFUNCTION("""COMPUTED_VALUE"""),"Aliado")</f>
        <v>Aliado</v>
      </c>
      <c r="AI294" s="92" t="str">
        <f>IFERROR(__xludf.DUMMYFUNCTION("""COMPUTED_VALUE"""),"https://lh3.googleusercontent.com/pw/AP1GczNEmoWfl-ReCWINTZjKeG0RgNdDJa_T8G5D3ukS1-y_oYNZshe0oB9f9AByyb8ycZx6OrpAzQuQGGNUnEFLUqeKE2thc1HW0Gzq6C7KkhT8-710Zt3z=w1200|https://lh3.googleusercontent.com/pw/AP1GczO4zw2Wu5pAMRAI3VhDFH0s3sGpgi5BnYDsVSo-kJ1e5Th2aa"&amp;"BPUeWncWLF2Bq1ZcgTq4IOVpnagPkkduE8y1cePUOKNdAcAEZFwRvlacdtaSB11cyN=w1200|https://lh3.googleusercontent.com/pw/AP1GczPo6Gy86uUrHK6xOqmyb69oekC0-M3vFxIFNJVETj-_00lKc5bKOxXpI1WBn6c_om14OK6ud1bXiRQMAKw4wmrWAzjQ0liE-kq22q4uPdx5mPLNS7eN=w1200|https://lh3.google"&amp;"usercontent.com/pw/AP1GczNCGwyxzIMGtdWfTKI2g0zszzVU_b39XEQYZtCSbdVFOwaqx0bo6IBhYdaFTqWrj9ypKZzz4-NTrtPiPU2Ikk6p6wPsYAHF7_0ZfJYm19DZ3vAGZaIu=w1200|https://lh3.googleusercontent.com/pw/AP1GczOYvngwjzxrNpSs4nPBrnqo89cl04vZf4-O7dUFkrrlse9SnUD5h8rq7w0uvJyj5wPL"&amp;"_vTKoeXBcEWv4vJOEReA1bJyp_noBTXEj3001AKI5KWnOBlN=w1200")</f>
        <v>https://lh3.googleusercontent.com/pw/AP1GczNEmoWfl-ReCWINTZjKeG0RgNdDJa_T8G5D3ukS1-y_oYNZshe0oB9f9AByyb8ycZx6OrpAzQuQGGNUnEFLUqeKE2thc1HW0Gzq6C7KkhT8-710Zt3z=w1200|https://lh3.googleusercontent.com/pw/AP1GczO4zw2Wu5pAMRAI3VhDFH0s3sGpgi5BnYDsVSo-kJ1e5Th2aaBPUeWncWLF2Bq1ZcgTq4IOVpnagPkkduE8y1cePUOKNdAcAEZFwRvlacdtaSB11cyN=w1200|https://lh3.googleusercontent.com/pw/AP1GczPo6Gy86uUrHK6xOqmyb69oekC0-M3vFxIFNJVETj-_00lKc5bKOxXpI1WBn6c_om14OK6ud1bXiRQMAKw4wmrWAzjQ0liE-kq22q4uPdx5mPLNS7eN=w1200|https://lh3.googleusercontent.com/pw/AP1GczNCGwyxzIMGtdWfTKI2g0zszzVU_b39XEQYZtCSbdVFOwaqx0bo6IBhYdaFTqWrj9ypKZzz4-NTrtPiPU2Ikk6p6wPsYAHF7_0ZfJYm19DZ3vAGZaIu=w1200|https://lh3.googleusercontent.com/pw/AP1GczOYvngwjzxrNpSs4nPBrnqo89cl04vZf4-O7dUFkrrlse9SnUD5h8rq7w0uvJyj5wPL_vTKoeXBcEWv4vJOEReA1bJyp_noBTXEj3001AKI5KWnOBlN=w1200</v>
      </c>
      <c r="AJ294" s="46"/>
      <c r="AK294" s="46"/>
      <c r="AL294" s="46"/>
      <c r="AM294" s="46"/>
      <c r="AN294" s="46"/>
      <c r="AO294" s="46"/>
      <c r="AP294" s="46"/>
      <c r="AQ294" s="46"/>
      <c r="AR294" s="46"/>
      <c r="AS294" s="46"/>
      <c r="AT294" s="46"/>
      <c r="AU294" s="46"/>
      <c r="AV294" s="46"/>
      <c r="AW294" s="46"/>
      <c r="AX294" s="46"/>
      <c r="AY294" s="46"/>
      <c r="AZ294" s="46"/>
      <c r="BA294" s="46"/>
      <c r="BB294" s="46"/>
      <c r="BC294" s="46"/>
      <c r="BD294" s="46"/>
      <c r="BE294" s="46"/>
      <c r="BF294" s="46"/>
      <c r="BG294" s="46"/>
      <c r="BH294" s="46"/>
      <c r="BI294" s="46"/>
      <c r="BJ294" s="46"/>
      <c r="BK294" s="46"/>
      <c r="BL294" s="46"/>
      <c r="BM294" s="46"/>
      <c r="BN294" s="46"/>
      <c r="BO294" s="46"/>
      <c r="BP294" s="46"/>
      <c r="BQ294" s="46"/>
      <c r="BR294" s="46"/>
      <c r="BS294" s="46"/>
      <c r="BT294" s="46"/>
      <c r="BU294" s="46"/>
      <c r="BV294" s="46"/>
      <c r="BW294" s="46"/>
      <c r="BX294" s="46"/>
      <c r="BY294" s="46"/>
      <c r="BZ294" s="46"/>
      <c r="CA294" s="46"/>
      <c r="CB294" s="46"/>
      <c r="CC294" s="46"/>
    </row>
    <row r="295">
      <c r="A295" s="87" t="str">
        <f>IFERROR(__xludf.DUMMYFUNCTION("""COMPUTED_VALUE"""),"085")</f>
        <v>085</v>
      </c>
      <c r="B295" s="46" t="str">
        <f>IFERROR(__xludf.DUMMYFUNCTION("""COMPUTED_VALUE"""),"Lote - Neiva")</f>
        <v>Lote - Neiva</v>
      </c>
      <c r="C295" s="46" t="str">
        <f>IFERROR(__xludf.DUMMYFUNCTION("""COMPUTED_VALUE"""),"Lote")</f>
        <v>Lote</v>
      </c>
      <c r="D295" s="46"/>
      <c r="E295" s="46"/>
      <c r="F295" s="90">
        <f>IFERROR(__xludf.DUMMYFUNCTION("""COMPUTED_VALUE"""),1.0E8)</f>
        <v>100000000</v>
      </c>
      <c r="G295" s="46" t="str">
        <f>IFERROR(__xludf.DUMMYFUNCTION("""COMPUTED_VALUE"""),"$100'000.000 a $200'000.000")</f>
        <v>$100'000.000 a $200'000.000</v>
      </c>
      <c r="H295" s="46"/>
      <c r="I295" s="46"/>
      <c r="J295" s="46"/>
      <c r="K295" s="87"/>
      <c r="L295" s="46">
        <f>IFERROR(__xludf.DUMMYFUNCTION("""COMPUTED_VALUE"""),0.0)</f>
        <v>0</v>
      </c>
      <c r="M295" s="46"/>
      <c r="N295" s="46">
        <f>IFERROR(__xludf.DUMMYFUNCTION("""COMPUTED_VALUE"""),0.0)</f>
        <v>0</v>
      </c>
      <c r="O295" s="46">
        <f>IFERROR(__xludf.DUMMYFUNCTION("""COMPUTED_VALUE"""),0.0)</f>
        <v>0</v>
      </c>
      <c r="P295" s="46">
        <f>IFERROR(__xludf.DUMMYFUNCTION("""COMPUTED_VALUE"""),0.0)</f>
        <v>0</v>
      </c>
      <c r="Q295" s="92">
        <f>IFERROR(__xludf.DUMMYFUNCTION("""COMPUTED_VALUE"""),0.0)</f>
        <v>0</v>
      </c>
      <c r="R295" s="92">
        <f>IFERROR(__xludf.DUMMYFUNCTION("""COMPUTED_VALUE"""),2000.0)</f>
        <v>2000</v>
      </c>
      <c r="S295" s="87" t="str">
        <f>IFERROR(__xludf.DUMMYFUNCTION("""COMPUTED_VALUE""")," ")</f>
        <v> </v>
      </c>
      <c r="T295" s="46" t="str">
        <f>IFERROR(__xludf.DUMMYFUNCTION("""COMPUTED_VALUE"""),"Neiva")</f>
        <v>Neiva</v>
      </c>
      <c r="U295" s="87"/>
      <c r="V295" s="46"/>
      <c r="W295" s="46"/>
      <c r="X295" s="46">
        <f>IFERROR(__xludf.DUMMYFUNCTION("""COMPUTED_VALUE"""),0.0)</f>
        <v>0</v>
      </c>
      <c r="Y295" s="46" t="str">
        <f>IFERROR(__xludf.DUMMYFUNCTION("""COMPUTED_VALUE"""),"No tiene")</f>
        <v>No tiene</v>
      </c>
      <c r="Z295" s="90"/>
      <c r="AA295" s="33" t="str">
        <f>IFERROR(__xludf.DUMMYFUNCTION("""COMPUTED_VALUE"""),"No aplica")</f>
        <v>No aplica</v>
      </c>
      <c r="AB295" s="96" t="str">
        <f>IFERROR(__xludf.DUMMYFUNCTION("""COMPUTED_VALUE"""),"https://photos.app.goo.gl/QasMcfxGXBEbyKfq5")</f>
        <v>https://photos.app.goo.gl/QasMcfxGXBEbyKfq5</v>
      </c>
      <c r="AC295" s="46" t="str">
        <f>IFERROR(__xludf.DUMMYFUNCTION("""COMPUTED_VALUE"""),"Este exclusivo lote en venta cuenta con una generosa área de 2.000 m², un espacio ideal y totalmente aprovechable para el desarrollo de un proyecto arquitectónico personalizado o una magnífica casa campestre. Al tratarse de un terreno dispuesto para const"&amp;"ruir desde cero, ofrece un lienzo en blanco para distribuir a su gusto el número de habitaciones, baños, garajes y elegir los acabados exactos de pisos, muros y muebles fijos que se adapten a sus necesidades y estilo de vida. La propiedad se localiza en u"&amp;"n sector residencial privilegiado y de estratificación ideal, integrando la amplitud del campo con las comodidades modernas en una topografía óptima para la infraestructura habitacional de primer nivel.")</f>
        <v>Este exclusivo lote en venta cuenta con una generosa área de 2.000 m², un espacio ideal y totalmente aprovechable para el desarrollo de un proyecto arquitectónico personalizado o una magnífica casa campestre. Al tratarse de un terreno dispuesto para construir desde cero, ofrece un lienzo en blanco para distribuir a su gusto el número de habitaciones, baños, garajes y elegir los acabados exactos de pisos, muros y muebles fijos que se adapten a sus necesidades y estilo de vida. La propiedad se localiza en un sector residencial privilegiado y de estratificación ideal, integrando la amplitud del campo con las comodidades modernas en una topografía óptima para la infraestructura habitacional de primer nivel.</v>
      </c>
      <c r="AD295" s="46" t="str">
        <f>IFERROR(__xludf.DUMMYFUNCTION("""COMPUTED_VALUE"""),"La verdadera magia de este inmueble radica en su ubicación estratégica frente al parque recreacional del proyecto Villa España, lo que garantiza un entorno lleno de frescura, tranquilidad y una altísima valorización. El lote destaca por sus característica"&amp;"s naturales únicas, al contar con una espectacular vista y colindancia directa con un hermoso lago natural (nacedero), además del paso de una fuente hídrica que aporta una armonía inigualable al paisaje cotidiano. Es la oportunidad perfecta para invertir "&amp;"y vivir plenamente conectado con la naturaleza, disfrutando de un ambiente fresco y un entorno rodeado de paz, con el gran atractivo de estar a muy poca distancia de la ciudad.")</f>
        <v>La verdadera magia de este inmueble radica en su ubicación estratégica frente al parque recreacional del proyecto Villa España, lo que garantiza un entorno lleno de frescura, tranquilidad y una altísima valorización. El lote destaca por sus características naturales únicas, al contar con una espectacular vista y colindancia directa con un hermoso lago natural (nacedero), además del paso de una fuente hídrica que aporta una armonía inigualable al paisaje cotidiano. Es la oportunidad perfecta para invertir y vivir plenamente conectado con la naturaleza, disfrutando de un ambiente fresco y un entorno rodeado de paz, con el gran atractivo de estar a muy poca distancia de la ciudad.</v>
      </c>
      <c r="AE295" s="46"/>
      <c r="AF295" s="46">
        <f>IFERROR(__xludf.DUMMYFUNCTION("""COMPUTED_VALUE"""),0.0)</f>
        <v>0</v>
      </c>
      <c r="AG295" s="46"/>
      <c r="AH295" s="46" t="str">
        <f>IFERROR(__xludf.DUMMYFUNCTION("""COMPUTED_VALUE"""),"Aliado")</f>
        <v>Aliado</v>
      </c>
      <c r="AI295" s="92" t="str">
        <f>IFERROR(__xludf.DUMMYFUNCTION("""COMPUTED_VALUE"""),"https://lh3.googleusercontent.com/pw/AP1GczO_AnL2OLxZsofyqVJAndEQ_JNbZ4WGYETbZUnSrm-sqqergSQXCBQmt8PAssErVEdiYbe0dxNV4iKPzXdp_2QfudyaQI4X_MD2vwDe_WMABp5YX8jo=w1200|https://lh3.googleusercontent.com/pw/AP1GczOIF0ee8BuLp0jFbcjrx5pNM-dcGw93DotVQCkaoYMMC4iBOa"&amp;"uPGg-VFhRQLhS1cyoD4Cou7xCWVHHLjwJm6DlP9GxpT3XdW9g1Mm4GnX8hpB30gjAM=w1200|https://lh3.googleusercontent.com/pw/AP1GczNNfhu5qTrDh93OP11p6iuEUoz-uFpQ124XwCBQHcK7bNNkLmCtZBTqW9iaZKppHkd9z8i05NsnChP-hkTlDiVz-CmHYaHzbtNNeC16dl7J3_84EJH1=w1200|https://lh3.google"&amp;"usercontent.com/pw/AP1GczP98sHDuKUy8XUcvoJpkuPxGOQEdBrbsTiF2Ei66EQ84omxlg9N5H2p_0g8fQrRP0A3EKFFK5mD_api5QzFQWfbUSm6mXJxW-F60OnWT1ZaUkAQGcQV=w1200|https://lh3.googleusercontent.com/pw/AP1GczPo5Wb5a2fVONMjFYcNzmB3Q6Sjy6JsIKPiSvbVCWOgexb0QZTSSbaqdLkfArI2EPzk"&amp;"hShQm6gMnGAcSl_x309_cL1GWL3iNGZKZuorALQsN84-polc=w1200|https://lh3.googleusercontent.com/pw/AP1GczNQCkA6K-rXtcbnVceC3F7CoJYj7otTGKESCIK67iyHw9qo27KF9-Z2oYbftj5i3r8UInza-Fsa3QNIIuWZZi3WCvKIkCqPKKeGbBLuhtEp4DWSpGqp=w1200|https://lh3.googleusercontent.com/pw"&amp;"/AP1GczML_JOgKEOLy7e5XXiX3wVWdw20lJ6nL7TqziuspPyuvIjehGQykOV7we7irRfwlryGYge_GTXH6RNPs6H0BM_wnv07oWXSnK8zEQG9vhnkdcEEVHMT=w1200|https://lh3.googleusercontent.com/pw/AP1GczPxI_yz2Z6YgLFWKH6BoyTXoPxAXmKcnUKG8U-RjSv4Uh_-0dwqh8HWeMJ0VfCTVJuoC5LOmAQciMwltJ4tcx"&amp;"oA-U2INovJ1vQe4TEPN4gWI4sNn923=w1200|https://lh3.googleusercontent.com/pw/AP1GczMuS_04U9a0LJhTWEyL48vb4pVjTieZ20NrpI7GOgMCIiNNO7AlJ5JKovjaqoeMVxCviCGllaSyEAackXHDq0lhy_3_-Ge_aSMRf9iQOWJaNu1YbiT0=w1200|https://lh3.googleusercontent.com/pw/AP1GczM8LaebfO8Bp"&amp;"XtGI3yy8Kw6ny3Mg74EEULVfcl1tlZpggasRlPZAIs5Dp5BBEm7QnAi19DKChbP9Vsy7Mbe7J7GhusnQuBpIoA5tALmktFPBZxR1Jys=w1200")</f>
        <v>https://lh3.googleusercontent.com/pw/AP1GczO_AnL2OLxZsofyqVJAndEQ_JNbZ4WGYETbZUnSrm-sqqergSQXCBQmt8PAssErVEdiYbe0dxNV4iKPzXdp_2QfudyaQI4X_MD2vwDe_WMABp5YX8jo=w1200|https://lh3.googleusercontent.com/pw/AP1GczOIF0ee8BuLp0jFbcjrx5pNM-dcGw93DotVQCkaoYMMC4iBOauPGg-VFhRQLhS1cyoD4Cou7xCWVHHLjwJm6DlP9GxpT3XdW9g1Mm4GnX8hpB30gjAM=w1200|https://lh3.googleusercontent.com/pw/AP1GczNNfhu5qTrDh93OP11p6iuEUoz-uFpQ124XwCBQHcK7bNNkLmCtZBTqW9iaZKppHkd9z8i05NsnChP-hkTlDiVz-CmHYaHzbtNNeC16dl7J3_84EJH1=w1200|https://lh3.googleusercontent.com/pw/AP1GczP98sHDuKUy8XUcvoJpkuPxGOQEdBrbsTiF2Ei66EQ84omxlg9N5H2p_0g8fQrRP0A3EKFFK5mD_api5QzFQWfbUSm6mXJxW-F60OnWT1ZaUkAQGcQV=w1200|https://lh3.googleusercontent.com/pw/AP1GczPo5Wb5a2fVONMjFYcNzmB3Q6Sjy6JsIKPiSvbVCWOgexb0QZTSSbaqdLkfArI2EPzkhShQm6gMnGAcSl_x309_cL1GWL3iNGZKZuorALQsN84-polc=w1200|https://lh3.googleusercontent.com/pw/AP1GczNQCkA6K-rXtcbnVceC3F7CoJYj7otTGKESCIK67iyHw9qo27KF9-Z2oYbftj5i3r8UInza-Fsa3QNIIuWZZi3WCvKIkCqPKKeGbBLuhtEp4DWSpGqp=w1200|https://lh3.googleusercontent.com/pw/AP1GczML_JOgKEOLy7e5XXiX3wVWdw20lJ6nL7TqziuspPyuvIjehGQykOV7we7irRfwlryGYge_GTXH6RNPs6H0BM_wnv07oWXSnK8zEQG9vhnkdcEEVHMT=w1200|https://lh3.googleusercontent.com/pw/AP1GczPxI_yz2Z6YgLFWKH6BoyTXoPxAXmKcnUKG8U-RjSv4Uh_-0dwqh8HWeMJ0VfCTVJuoC5LOmAQciMwltJ4tcxoA-U2INovJ1vQe4TEPN4gWI4sNn923=w1200|https://lh3.googleusercontent.com/pw/AP1GczMuS_04U9a0LJhTWEyL48vb4pVjTieZ20NrpI7GOgMCIiNNO7AlJ5JKovjaqoeMVxCviCGllaSyEAackXHDq0lhy_3_-Ge_aSMRf9iQOWJaNu1YbiT0=w1200|https://lh3.googleusercontent.com/pw/AP1GczM8LaebfO8BpXtGI3yy8Kw6ny3Mg74EEULVfcl1tlZpggasRlPZAIs5Dp5BBEm7QnAi19DKChbP9Vsy7Mbe7J7GhusnQuBpIoA5tALmktFPBZxR1Jys=w1200</v>
      </c>
      <c r="AJ295" s="46"/>
      <c r="AK295" s="46"/>
      <c r="AL295" s="46"/>
      <c r="AM295" s="46"/>
      <c r="AN295" s="46"/>
      <c r="AO295" s="46"/>
      <c r="AP295" s="46"/>
      <c r="AQ295" s="46"/>
      <c r="AR295" s="46"/>
      <c r="AS295" s="46"/>
      <c r="AT295" s="46"/>
      <c r="AU295" s="46"/>
      <c r="AV295" s="46"/>
      <c r="AW295" s="46"/>
      <c r="AX295" s="46"/>
      <c r="AY295" s="46"/>
      <c r="AZ295" s="46"/>
      <c r="BA295" s="46"/>
      <c r="BB295" s="46"/>
      <c r="BC295" s="46"/>
      <c r="BD295" s="46"/>
      <c r="BE295" s="46"/>
      <c r="BF295" s="46"/>
      <c r="BG295" s="46"/>
      <c r="BH295" s="46"/>
      <c r="BI295" s="46"/>
      <c r="BJ295" s="46"/>
      <c r="BK295" s="46"/>
      <c r="BL295" s="46"/>
      <c r="BM295" s="46"/>
      <c r="BN295" s="46"/>
      <c r="BO295" s="46"/>
      <c r="BP295" s="46"/>
      <c r="BQ295" s="46"/>
      <c r="BR295" s="46"/>
      <c r="BS295" s="46"/>
      <c r="BT295" s="46"/>
      <c r="BU295" s="46"/>
      <c r="BV295" s="46"/>
      <c r="BW295" s="46"/>
      <c r="BX295" s="46"/>
      <c r="BY295" s="46"/>
      <c r="BZ295" s="46"/>
      <c r="CA295" s="46"/>
      <c r="CB295" s="46"/>
      <c r="CC295" s="46"/>
    </row>
    <row r="296">
      <c r="A296" s="87" t="str">
        <f>IFERROR(__xludf.DUMMYFUNCTION("""COMPUTED_VALUE"""),"249")</f>
        <v>249</v>
      </c>
      <c r="B296" s="46" t="str">
        <f>IFERROR(__xludf.DUMMYFUNCTION("""COMPUTED_VALUE"""),"Lote  campestre en conjunto condominio campestre Valle Grande - Sur - Palermo")</f>
        <v>Lote  campestre en conjunto condominio campestre Valle Grande - Sur - Palermo</v>
      </c>
      <c r="C296" s="46" t="str">
        <f>IFERROR(__xludf.DUMMYFUNCTION("""COMPUTED_VALUE"""),"Lote campestre en conjunto")</f>
        <v>Lote campestre en conjunto</v>
      </c>
      <c r="D296" s="46"/>
      <c r="E296" s="46" t="str">
        <f>IFERROR(__xludf.DUMMYFUNCTION("""COMPUTED_VALUE"""),"Condominio campestre Valle Grande")</f>
        <v>Condominio campestre Valle Grande</v>
      </c>
      <c r="F296" s="90">
        <f>IFERROR(__xludf.DUMMYFUNCTION("""COMPUTED_VALUE"""),9.5E7)</f>
        <v>95000000</v>
      </c>
      <c r="G296" s="46" t="str">
        <f>IFERROR(__xludf.DUMMYFUNCTION("""COMPUTED_VALUE"""),"$0 a $100'000.000")</f>
        <v>$0 a $100'000.000</v>
      </c>
      <c r="H296" s="46"/>
      <c r="I296" s="46"/>
      <c r="J296" s="46" t="str">
        <f>IFERROR(__xludf.DUMMYFUNCTION("""COMPUTED_VALUE"""),"Sur")</f>
        <v>Sur</v>
      </c>
      <c r="K296" s="87"/>
      <c r="L296" s="46">
        <f>IFERROR(__xludf.DUMMYFUNCTION("""COMPUTED_VALUE"""),0.0)</f>
        <v>0</v>
      </c>
      <c r="M296" s="46"/>
      <c r="N296" s="46">
        <f>IFERROR(__xludf.DUMMYFUNCTION("""COMPUTED_VALUE"""),0.0)</f>
        <v>0</v>
      </c>
      <c r="O296" s="46">
        <f>IFERROR(__xludf.DUMMYFUNCTION("""COMPUTED_VALUE"""),0.0)</f>
        <v>0</v>
      </c>
      <c r="P296" s="46">
        <f>IFERROR(__xludf.DUMMYFUNCTION("""COMPUTED_VALUE"""),0.0)</f>
        <v>0</v>
      </c>
      <c r="Q296" s="92">
        <f>IFERROR(__xludf.DUMMYFUNCTION("""COMPUTED_VALUE"""),0.0)</f>
        <v>0</v>
      </c>
      <c r="R296" s="92">
        <f>IFERROR(__xludf.DUMMYFUNCTION("""COMPUTED_VALUE"""),482.0)</f>
        <v>482</v>
      </c>
      <c r="S296" s="87" t="str">
        <f>IFERROR(__xludf.DUMMYFUNCTION("""COMPUTED_VALUE""")," ")</f>
        <v> </v>
      </c>
      <c r="T296" s="46" t="str">
        <f>IFERROR(__xludf.DUMMYFUNCTION("""COMPUTED_VALUE"""),"Palermo")</f>
        <v>Palermo</v>
      </c>
      <c r="U296" s="87"/>
      <c r="V296" s="46" t="str">
        <f>IFERROR(__xludf.DUMMYFUNCTION("""COMPUTED_VALUE"""),"Esquinera")</f>
        <v>Esquinera</v>
      </c>
      <c r="W296" s="46"/>
      <c r="X296" s="46">
        <f>IFERROR(__xludf.DUMMYFUNCTION("""COMPUTED_VALUE"""),0.0)</f>
        <v>0</v>
      </c>
      <c r="Y296" s="46" t="str">
        <f>IFERROR(__xludf.DUMMYFUNCTION("""COMPUTED_VALUE"""),"Social")</f>
        <v>Social</v>
      </c>
      <c r="Z296" s="90"/>
      <c r="AA296" s="33" t="str">
        <f>IFERROR(__xludf.DUMMYFUNCTION("""COMPUTED_VALUE"""),"No aplica")</f>
        <v>No aplica</v>
      </c>
      <c r="AB296" s="96" t="str">
        <f>IFERROR(__xludf.DUMMYFUNCTION("""COMPUTED_VALUE"""),"https://photos.app.goo.gl/yYtTWHVVYB8y8saTA")</f>
        <v>https://photos.app.goo.gl/yYtTWHVVYB8y8saTA</v>
      </c>
      <c r="AC296" s="46" t="str">
        <f>IFERROR(__xludf.DUMMYFUNCTION("""COMPUTED_VALUE"""),"Este lote esquinero en venta se encuentra estratégicamente ubicado en el exclusivo Condominio Campestre Valle Grande, situado en la vereda El Juncal del municipio de Palermo, Huila, a una distancia de tan solo 15 minutos de la ciudad de Neiva. La propieda"&amp;"d destaca por su topografía y su ventajosa condición de esquina, lo que proporciona una flexibilidad superior para el diseño arquitectónico personalizado, una distribución interna óptima y mayores niveles de privacidad en comparación con los lotes interme"&amp;"dios. El terreno se entrega con toda la documentación legal al día, impuestos completamente pagos y disponibilidad para la conexión de servicios públicos domiciliarios esenciales dentro de una copropiedad que ofrece una imponente portería de lujo con vigi"&amp;"lancia privada y control de acceso garantizado las 24 horas del día, los 7 días de la semana, complementado con parqueaderos para visitantes.")</f>
        <v>Este lote esquinero en venta se encuentra estratégicamente ubicado en el exclusivo Condominio Campestre Valle Grande, situado en la vereda El Juncal del municipio de Palermo, Huila, a una distancia de tan solo 15 minutos de la ciudad de Neiva. La propiedad destaca por su topografía y su ventajosa condición de esquina, lo que proporciona una flexibilidad superior para el diseño arquitectónico personalizado, una distribución interna óptima y mayores niveles de privacidad en comparación con los lotes intermedios. El terreno se entrega con toda la documentación legal al día, impuestos completamente pagos y disponibilidad para la conexión de servicios públicos domiciliarios esenciales dentro de una copropiedad que ofrece una imponente portería de lujo con vigilancia privada y control de acceso garantizado las 24 horas del día, los 7 días de la semana, complementado con parqueaderos para visitantes.</v>
      </c>
      <c r="AD296" s="46" t="str">
        <f>IFERROR(__xludf.DUMMYFUNCTION("""COMPUTED_VALUE"""),"El principal argumento de valor de este inmueble radica en la oportunidad de inversión y el estilo de vida premium que ofrece su entorno, combinando la tranquilidad absoluta del campo con la cercanía inmediata a la infraestructura urbana. El condominio se"&amp;" destaca en el mercado por contar con un robusto complejo de amenidades dividido en dos grandes zonas sociales que garantizan entretenimiento, salud y bienestar: incluye canchas de tenis y múltiples, piscinas independientes para adultos y niños, un gimnas"&amp;"io totalmente dotado y un gimnasio biosaludable al aire libre, salón social, senderos peatonales y verdes, parque infantil, una capilla privada, una fuente de agua decorativa de dos niveles y 4 zonas BBQ independientes. Es el escenario perfecto para const"&amp;"ruir de inmediato una residencia campestre a medida, asegurando un alto índice de valorización en una de las zonas de mayor desarrollo residencial y exclusividad de la región.")</f>
        <v>El principal argumento de valor de este inmueble radica en la oportunidad de inversión y el estilo de vida premium que ofrece su entorno, combinando la tranquilidad absoluta del campo con la cercanía inmediata a la infraestructura urbana. El condominio se destaca en el mercado por contar con un robusto complejo de amenidades dividido en dos grandes zonas sociales que garantizan entretenimiento, salud y bienestar: incluye canchas de tenis y múltiples, piscinas independientes para adultos y niños, un gimnasio totalmente dotado y un gimnasio biosaludable al aire libre, salón social, senderos peatonales y verdes, parque infantil, una capilla privada, una fuente de agua decorativa de dos niveles y 4 zonas BBQ independientes. Es el escenario perfecto para construir de inmediato una residencia campestre a medida, asegurando un alto índice de valorización en una de las zonas de mayor desarrollo residencial y exclusividad de la región.</v>
      </c>
      <c r="AE296" s="46"/>
      <c r="AF296" s="46">
        <f>IFERROR(__xludf.DUMMYFUNCTION("""COMPUTED_VALUE"""),0.0)</f>
        <v>0</v>
      </c>
      <c r="AG296" s="46"/>
      <c r="AH296" s="46" t="str">
        <f>IFERROR(__xludf.DUMMYFUNCTION("""COMPUTED_VALUE"""),"Aliado")</f>
        <v>Aliado</v>
      </c>
      <c r="AI296" s="92" t="str">
        <f>IFERROR(__xludf.DUMMYFUNCTION("""COMPUTED_VALUE"""),"https://lh3.googleusercontent.com/pw/AP1GczN0NLssHahfKpLHOQ2YgmlDCUzYkneYKWnBc--lSL9O02LQ4KxQ1vNlnx9dDiRpYgugeb-mNVYq0YgzS6_H_8EY0sKs-S7uW-R8it9N_wiASCN_wYGd=w1200|https://lh3.googleusercontent.com/pw/AP1GczP3ZGScpmgkQufx0PKTRZj3vKNpgF-gadqAK83LVblQ-pH_YI"&amp;"flqTJLfVzAMjh_PWJ58bYYCHo8mOeJY9pno09rrtbXpMssxxtv_5HuxEyzxKBlyyPF=w1200|https://lh3.googleusercontent.com/pw/AP1GczNYj-hCuW_wUxFGIXBg__PxeZELIWmHNdnKm7FhtfCBt55DYyH-BETwVxmEIfI7d90nCeszNqXOH4TJBBymO-TwWgFULMrVUiuzpd8jGfirh_Bbv_hI=w1200|https://lh3.google"&amp;"usercontent.com/pw/AP1GczN05jaxyRy06vg5OjqqYxYe-kekOU6_2IXauS8BOVVUb62BXrX6QXlX_7xth4M6fZsHB4-5-h6ToB6pibQpcbSP5HZ5ZU4FDzfeIBWjBjp6DaZgpxBm=w1200|https://lh3.googleusercontent.com/pw/AP1GczO5C_KvWnaenJlQ6A_gySsL0PfQHPAYUMwiXKciN2Xo6G-w91sKqHP9sEXdlJtJsUD-"&amp;"MLxX_IJmujVpvN90Hbv5zz1CDrct44FX6MlKANSgaGo2ByGq=w1200|https://lh3.googleusercontent.com/pw/AP1GczN0EnRtQqj1J4SdDw44TdPMZ825i0F_h1CPwFJCxRzgd1IPtOkhJAn5HFw4YaH92n8f9TweBbPlAp3jWy0ENaIrICHJyPR0eht2L6LsC6YMGYFzJKUa=w1200")</f>
        <v>https://lh3.googleusercontent.com/pw/AP1GczN0NLssHahfKpLHOQ2YgmlDCUzYkneYKWnBc--lSL9O02LQ4KxQ1vNlnx9dDiRpYgugeb-mNVYq0YgzS6_H_8EY0sKs-S7uW-R8it9N_wiASCN_wYGd=w1200|https://lh3.googleusercontent.com/pw/AP1GczP3ZGScpmgkQufx0PKTRZj3vKNpgF-gadqAK83LVblQ-pH_YIflqTJLfVzAMjh_PWJ58bYYCHo8mOeJY9pno09rrtbXpMssxxtv_5HuxEyzxKBlyyPF=w1200|https://lh3.googleusercontent.com/pw/AP1GczNYj-hCuW_wUxFGIXBg__PxeZELIWmHNdnKm7FhtfCBt55DYyH-BETwVxmEIfI7d90nCeszNqXOH4TJBBymO-TwWgFULMrVUiuzpd8jGfirh_Bbv_hI=w1200|https://lh3.googleusercontent.com/pw/AP1GczN05jaxyRy06vg5OjqqYxYe-kekOU6_2IXauS8BOVVUb62BXrX6QXlX_7xth4M6fZsHB4-5-h6ToB6pibQpcbSP5HZ5ZU4FDzfeIBWjBjp6DaZgpxBm=w1200|https://lh3.googleusercontent.com/pw/AP1GczO5C_KvWnaenJlQ6A_gySsL0PfQHPAYUMwiXKciN2Xo6G-w91sKqHP9sEXdlJtJsUD-MLxX_IJmujVpvN90Hbv5zz1CDrct44FX6MlKANSgaGo2ByGq=w1200|https://lh3.googleusercontent.com/pw/AP1GczN0EnRtQqj1J4SdDw44TdPMZ825i0F_h1CPwFJCxRzgd1IPtOkhJAn5HFw4YaH92n8f9TweBbPlAp3jWy0ENaIrICHJyPR0eht2L6LsC6YMGYFzJKUa=w1200</v>
      </c>
      <c r="AJ296" s="46"/>
      <c r="AK296" s="46"/>
      <c r="AL296" s="46"/>
      <c r="AM296" s="46"/>
      <c r="AN296" s="46"/>
      <c r="AO296" s="46"/>
      <c r="AP296" s="46"/>
      <c r="AQ296" s="46"/>
      <c r="AR296" s="46"/>
      <c r="AS296" s="46"/>
      <c r="AT296" s="46"/>
      <c r="AU296" s="46"/>
      <c r="AV296" s="46"/>
      <c r="AW296" s="46"/>
      <c r="AX296" s="46"/>
      <c r="AY296" s="46"/>
      <c r="AZ296" s="46"/>
      <c r="BA296" s="46"/>
      <c r="BB296" s="46"/>
      <c r="BC296" s="46"/>
      <c r="BD296" s="46"/>
      <c r="BE296" s="46"/>
      <c r="BF296" s="46"/>
      <c r="BG296" s="46"/>
      <c r="BH296" s="46"/>
      <c r="BI296" s="46"/>
      <c r="BJ296" s="46"/>
      <c r="BK296" s="46"/>
      <c r="BL296" s="46"/>
      <c r="BM296" s="46"/>
      <c r="BN296" s="46"/>
      <c r="BO296" s="46"/>
      <c r="BP296" s="46"/>
      <c r="BQ296" s="46"/>
      <c r="BR296" s="46"/>
      <c r="BS296" s="46"/>
      <c r="BT296" s="46"/>
      <c r="BU296" s="46"/>
      <c r="BV296" s="46"/>
      <c r="BW296" s="46"/>
      <c r="BX296" s="46"/>
      <c r="BY296" s="46"/>
      <c r="BZ296" s="46"/>
      <c r="CA296" s="46"/>
      <c r="CB296" s="46"/>
      <c r="CC296" s="46"/>
    </row>
    <row r="297">
      <c r="A297" s="87" t="str">
        <f>IFERROR(__xludf.DUMMYFUNCTION("""COMPUTED_VALUE"""),"1375")</f>
        <v>1375</v>
      </c>
      <c r="B297" s="46" t="str">
        <f>IFERROR(__xludf.DUMMYFUNCTION("""COMPUTED_VALUE"""),"Casa en barrio Prado Alto - Oriente")</f>
        <v>Casa en barrio Prado Alto - Oriente</v>
      </c>
      <c r="C297" s="46" t="str">
        <f>IFERROR(__xludf.DUMMYFUNCTION("""COMPUTED_VALUE"""),"Casa")</f>
        <v>Casa</v>
      </c>
      <c r="D297" s="46" t="str">
        <f>IFERROR(__xludf.DUMMYFUNCTION("""COMPUTED_VALUE"""),"Prado Alto")</f>
        <v>Prado Alto</v>
      </c>
      <c r="E297" s="46"/>
      <c r="F297" s="90">
        <f>IFERROR(__xludf.DUMMYFUNCTION("""COMPUTED_VALUE"""),4.2E8)</f>
        <v>420000000</v>
      </c>
      <c r="G297" s="46" t="str">
        <f>IFERROR(__xludf.DUMMYFUNCTION("""COMPUTED_VALUE"""),"$400'000.000 a $500'000.000")</f>
        <v>$400'000.000 a $500'000.000</v>
      </c>
      <c r="H297" s="46"/>
      <c r="I297" s="46"/>
      <c r="J297" s="46" t="str">
        <f>IFERROR(__xludf.DUMMYFUNCTION("""COMPUTED_VALUE"""),"Norte")</f>
        <v>Norte</v>
      </c>
      <c r="K297" s="87" t="str">
        <f>IFERROR(__xludf.DUMMYFUNCTION("""COMPUTED_VALUE"""),"7")</f>
        <v>7</v>
      </c>
      <c r="L297" s="46">
        <f>IFERROR(__xludf.DUMMYFUNCTION("""COMPUTED_VALUE"""),4.0)</f>
        <v>4</v>
      </c>
      <c r="M297" s="46"/>
      <c r="N297" s="46">
        <f>IFERROR(__xludf.DUMMYFUNCTION("""COMPUTED_VALUE"""),3.0)</f>
        <v>3</v>
      </c>
      <c r="O297" s="46">
        <f>IFERROR(__xludf.DUMMYFUNCTION("""COMPUTED_VALUE"""),1.0)</f>
        <v>1</v>
      </c>
      <c r="P297" s="46">
        <f>IFERROR(__xludf.DUMMYFUNCTION("""COMPUTED_VALUE"""),1.0)</f>
        <v>1</v>
      </c>
      <c r="Q297" s="92">
        <f>IFERROR(__xludf.DUMMYFUNCTION("""COMPUTED_VALUE"""),120.0)</f>
        <v>120</v>
      </c>
      <c r="R297" s="92">
        <f>IFERROR(__xludf.DUMMYFUNCTION("""COMPUTED_VALUE"""),140.0)</f>
        <v>140</v>
      </c>
      <c r="S297" s="87" t="str">
        <f>IFERROR(__xludf.DUMMYFUNCTION("""COMPUTED_VALUE""")," ")</f>
        <v> </v>
      </c>
      <c r="T297" s="46" t="str">
        <f>IFERROR(__xludf.DUMMYFUNCTION("""COMPUTED_VALUE"""),"Neiva")</f>
        <v>Neiva</v>
      </c>
      <c r="U297" s="87" t="str">
        <f>IFERROR(__xludf.DUMMYFUNCTION("""COMPUTED_VALUE"""),"4")</f>
        <v>4</v>
      </c>
      <c r="V297" s="46" t="str">
        <f>IFERROR(__xludf.DUMMYFUNCTION("""COMPUTED_VALUE"""),"Medianera")</f>
        <v>Medianera</v>
      </c>
      <c r="W297" s="46"/>
      <c r="X297" s="46">
        <f>IFERROR(__xludf.DUMMYFUNCTION("""COMPUTED_VALUE"""),4.0)</f>
        <v>4</v>
      </c>
      <c r="Y297" s="46" t="str">
        <f>IFERROR(__xludf.DUMMYFUNCTION("""COMPUTED_VALUE"""),"No tiene")</f>
        <v>No tiene</v>
      </c>
      <c r="Z297" s="90" t="str">
        <f>IFERROR(__xludf.DUMMYFUNCTION("""COMPUTED_VALUE"""),"No aplica")</f>
        <v>No aplica</v>
      </c>
      <c r="AA297" s="33" t="str">
        <f>IFERROR(__xludf.DUMMYFUNCTION("""COMPUTED_VALUE"""),"No aplica")</f>
        <v>No aplica</v>
      </c>
      <c r="AB297" s="96" t="str">
        <f>IFERROR(__xludf.DUMMYFUNCTION("""COMPUTED_VALUE"""),"https://photos.app.goo.gl/8LdXEDn39kshfydx8")</f>
        <v>https://photos.app.goo.gl/8LdXEDn39kshfydx8</v>
      </c>
      <c r="AC297" s="46" t="str">
        <f>IFERROR(__xludf.DUMMYFUNCTION("""COMPUTED_VALUE"""),"Cuenta con amplia sala-comedor, cocina funcional, patio y garaje. Dispone de 4 habitaciones espaciosas y 3 baños.")</f>
        <v>Cuenta con amplia sala-comedor, cocina funcional, patio y garaje. Dispone de 4 habitaciones espaciosas y 3 baños.</v>
      </c>
      <c r="AD297" s="46" t="str">
        <f>IFERROR(__xludf.DUMMYFUNCTION("""COMPUTED_VALUE"""),"Casa de una sola planta en Prado Alto, ubicada en zona oriente, con un área construida de 120 m². Cuenta con parqueadero para 1 vehículo y estrato 3.")</f>
        <v>Casa de una sola planta en Prado Alto, ubicada en zona oriente, con un área construida de 120 m². Cuenta con parqueadero para 1 vehículo y estrato 3.</v>
      </c>
      <c r="AE297" s="46"/>
      <c r="AF297" s="46" t="str">
        <f>IFERROR(__xludf.DUMMYFUNCTION("""COMPUTED_VALUE"""),"semi-integral")</f>
        <v>semi-integral</v>
      </c>
      <c r="AG297" s="46"/>
      <c r="AH297" s="46" t="str">
        <f>IFERROR(__xludf.DUMMYFUNCTION("""COMPUTED_VALUE"""),"Aliado")</f>
        <v>Aliado</v>
      </c>
      <c r="AI297" s="92" t="str">
        <f>IFERROR(__xludf.DUMMYFUNCTION("""COMPUTED_VALUE"""),"https://lh3.googleusercontent.com/pw/AP1GczPlSeJ7hVebAuippNKuxaYnRX45jnjsGR_6xLT3mMn1Wks8VXSgYrSjP--AR4PnYKIQn7KKXxFlw6HYLseKKvmxOx5KHBiePRlT0GmJtNZjjX0Pa8n0=w1200|https://lh3.googleusercontent.com/pw/AP1GczNA07b94J_Ltu6rMsht8vyDhlUeEM2W3XpTQKsYANprRxO00I"&amp;"8bn2KYB-gTeNfQswKkcKEUnV4yIwnXVgkZXCFnlotdPN6l6rSOvuTPfz0rKLmB5Vlz=w1200|https://lh3.googleusercontent.com/pw/AP1GczPBGSp7cW44lJ-4sT-hHCdxfDXWJirBCzXaqdc1VIbe1vTlFVIeXEIfP_s2dU9OwXY6N-NvNqps74VDqugNAuyK0jHLazr1qpACv1wGiCnQQt8jSCHs=w1200|https://lh3.google"&amp;"usercontent.com/pw/AP1GczM8tTFYQKQ0g4yM4trodJsJf27Q6SesvKJciZNAs_Ir1DnMNFNSdgR6ksAFIzTZ31ph6BhweanFFLgyqpLFgwyeblcXgVkEbE8N4JR4n77Kwvfn_oDb=w1200|https://lh3.googleusercontent.com/pw/AP1GczNvI1yfeT0gBSBZr9xPHF_1wQngmjmHg4SQyB1OTRDpgV8aQ4LLDaVFqt_1brAv0dBD"&amp;"GizDXKOEjMASSdwv07qRA63Pqo2fJDyMEEO0DkCsSzowAxY3=w1200|https://lh3.googleusercontent.com/pw/AP1GczNGvFvJ4bQ1UUZ201AbluJMNvVGyZOHxZjUSNGQMFrl13RZjJBB0Q70cE8OW2XHgDEpslEdsx3dX7t4NBcNkSYOiJ3gWEmJUpe3R2Fj2Ttee9fUOlGk=w1200|https://lh3.googleusercontent.com/pw"&amp;"/AP1GczOQju0-iEk4EmpunSDHhJ6JS4-Shy6eVw3u2_C_OL5y2ll59AKuorLt9MWYW6rMusEN2nkKk0JTmcD9PRvAdK3TOTfcbGafqCv3k83vGZU9mNh-XnUa=w1200|https://lh3.googleusercontent.com/pw/AP1GczM7WVZxGY2oSx6DnD6H5ug3P_GuKtwgvJ0yWzXN8qFEqcCBISSpfeKreEy6gCE0GsyNQsZ8HnsDeACjmAYdz4"&amp;"Rpujd_ChwjN1C7e8TZb3sLPY271NkN=w1200|https://lh3.googleusercontent.com/pw/AP1GczOFZzJWvbmZ6W_74JSmGLJLZGTKtVF5e_0rFSoyldlM6V0W_NgYw0lausMbFe8fABqrvV8JgGBVH_5UHC1AOkRwEpuqAR4x7XliVACAWETkgMdjWhBJ=w1200|https://lh3.googleusercontent.com/pw/AP1GczO7FDUYQEyXd"&amp;"AlDS3A1HtZQX9lHWve_rf3rexmo3FpyoSXX6anAiDfBkGLPZ7IhrmMs634XOqSUh85vLaZts5alq00c1nF_wUiURpSgYvVyjY3T23Bm=w1200|https://lh3.googleusercontent.com/pw/AP1GczMUSKRzjO6Z_6XPP3w7iTx4TDMga1OC4-Z38zz_iDfFvNM33Y_Q7-EXtJ2MpaUAe7VeYGBMWlK_FFFrUXDa6xCONj82mUxBaGqJB3ie"&amp;"HK_onKjPIZiE=w1200|https://lh3.googleusercontent.com/pw/AP1GczO8WNHgCPvosJW_mO6YpymMlwlkqaOir-dP7M8Oy_qMBYAx-LYH31kEOzXTOhd9x4xBwTpbSILGqtt9pWPpHErqIpBsqUCXrjr5zyORUUG5ToEdlonC=w1200|https://lh3.googleusercontent.com/pw/AP1GczMMlmmxwMD64ClZZl_ipCcixJ9Eg1A"&amp;"lN3loD9mNAMpS7E6vAUmAi3M2iL8ee0oZr3AuSHs4rTYIsF8DKxK8wf3GBVFxx4pDm1xpvqE1o5CsPeafqsf4=w1200|https://lh3.googleusercontent.com/pw/AP1GczM4X2qGNryS7hiQ_sZRtuqmJ3jtWDAghxWmSoaCFroN1a9woe-ceybmd--TyVmLAMSUFw7t85BFhB63_lEl9hRaR9OR6DnNNCW29EiRlZaqqXf7NunO=w1200"&amp;"|https://lh3.googleusercontent.com/pw/AP1GczNx7O8a0bTJxKaaHwNJfQs0nW_OCOkmYFs4ZTgMTceBaJK5zC1hh6WOn0gg5DS9oiwSp7GILz8MyTET4mMLS8y6YYerTYzOwg6He33uUQW9R5Wyx-qo=w1200|https://lh3.googleusercontent.com/pw/AP1GczPHgiGsgahu7ugPaIPCdIiXfyqN_2tBz2MBHnxinXK8e30eF"&amp;"fiUotqCFLTUhtBI5H3VAD3aF6Ae5IK8G507eSKUGg0QMSeDya9Qoi4mhtqAf1zeIpGu=w1200|https://lh3.googleusercontent.com/pw/AP1GczPCf4N4KcwIZrnq-7jG6a0GhbEoAW8dcsZZBNIRqzZKDNSQISFwHVH0NZugpAoQVbpb30Yc5Fxeo0lyEjrlP_XKCVGBIfBH_c63Xfn91ekMuJJVKYy6=w1200|https://lh3.googl"&amp;"eusercontent.com/pw/AP1GczOHN5OCkIdp3heuP-EiHvVb9X_vH0xXxGBeJSh6vCJ-GvlponQstQJBBejfb1nkfhCEZPrKEl-C10vVXVJ8_-xODD-G7jEZdb392Q66pQ0mSmSzs4gI=w1200|https://lh3.googleusercontent.com/pw/AP1GczOygYlsNvWRmen_yC3fXwe5hps4PSeQKIN-jktfsn7UqCr1EF1CTXjL_8hJoYnj829"&amp;"yswyCxQZYXpYxtUj6Wzayvu2mJUItpAfwH2ZztJzA3RTIgQtO=w1200|https://lh3.googleusercontent.com/pw/AP1GczMJoN5_ZM4J_sV-dgHkQcVMZdbReHf6fRGvv0zdNxi0oA4Uy0xpuuNz8YudA6LKcNbkUBm0AUvhLjhYoUUDIH8vZCwPFvJJodhNzuPIlg2uc2EQ3d9T=w1200|https://lh3.googleusercontent.com/p"&amp;"w/AP1GczPLuPXL0AoJ5C7QIEK6o-KxbFUWlI05OJWpdUYZq3Jqc1J00fhxkjmG1FbZ02b2U3fB4x-wr-jkk-xCdUDoeLcqx1df_kBwxtWYKK4qaAxoHuXSqewk=w1200")</f>
        <v>https://lh3.googleusercontent.com/pw/AP1GczPlSeJ7hVebAuippNKuxaYnRX45jnjsGR_6xLT3mMn1Wks8VXSgYrSjP--AR4PnYKIQn7KKXxFlw6HYLseKKvmxOx5KHBiePRlT0GmJtNZjjX0Pa8n0=w1200|https://lh3.googleusercontent.com/pw/AP1GczNA07b94J_Ltu6rMsht8vyDhlUeEM2W3XpTQKsYANprRxO00I8bn2KYB-gTeNfQswKkcKEUnV4yIwnXVgkZXCFnlotdPN6l6rSOvuTPfz0rKLmB5Vlz=w1200|https://lh3.googleusercontent.com/pw/AP1GczPBGSp7cW44lJ-4sT-hHCdxfDXWJirBCzXaqdc1VIbe1vTlFVIeXEIfP_s2dU9OwXY6N-NvNqps74VDqugNAuyK0jHLazr1qpACv1wGiCnQQt8jSCHs=w1200|https://lh3.googleusercontent.com/pw/AP1GczM8tTFYQKQ0g4yM4trodJsJf27Q6SesvKJciZNAs_Ir1DnMNFNSdgR6ksAFIzTZ31ph6BhweanFFLgyqpLFgwyeblcXgVkEbE8N4JR4n77Kwvfn_oDb=w1200|https://lh3.googleusercontent.com/pw/AP1GczNvI1yfeT0gBSBZr9xPHF_1wQngmjmHg4SQyB1OTRDpgV8aQ4LLDaVFqt_1brAv0dBDGizDXKOEjMASSdwv07qRA63Pqo2fJDyMEEO0DkCsSzowAxY3=w1200|https://lh3.googleusercontent.com/pw/AP1GczNGvFvJ4bQ1UUZ201AbluJMNvVGyZOHxZjUSNGQMFrl13RZjJBB0Q70cE8OW2XHgDEpslEdsx3dX7t4NBcNkSYOiJ3gWEmJUpe3R2Fj2Ttee9fUOlGk=w1200|https://lh3.googleusercontent.com/pw/AP1GczOQju0-iEk4EmpunSDHhJ6JS4-Shy6eVw3u2_C_OL5y2ll59AKuorLt9MWYW6rMusEN2nkKk0JTmcD9PRvAdK3TOTfcbGafqCv3k83vGZU9mNh-XnUa=w1200|https://lh3.googleusercontent.com/pw/AP1GczM7WVZxGY2oSx6DnD6H5ug3P_GuKtwgvJ0yWzXN8qFEqcCBISSpfeKreEy6gCE0GsyNQsZ8HnsDeACjmAYdz4Rpujd_ChwjN1C7e8TZb3sLPY271NkN=w1200|https://lh3.googleusercontent.com/pw/AP1GczOFZzJWvbmZ6W_74JSmGLJLZGTKtVF5e_0rFSoyldlM6V0W_NgYw0lausMbFe8fABqrvV8JgGBVH_5UHC1AOkRwEpuqAR4x7XliVACAWETkgMdjWhBJ=w1200|https://lh3.googleusercontent.com/pw/AP1GczO7FDUYQEyXdAlDS3A1HtZQX9lHWve_rf3rexmo3FpyoSXX6anAiDfBkGLPZ7IhrmMs634XOqSUh85vLaZts5alq00c1nF_wUiURpSgYvVyjY3T23Bm=w1200|https://lh3.googleusercontent.com/pw/AP1GczMUSKRzjO6Z_6XPP3w7iTx4TDMga1OC4-Z38zz_iDfFvNM33Y_Q7-EXtJ2MpaUAe7VeYGBMWlK_FFFrUXDa6xCONj82mUxBaGqJB3ieHK_onKjPIZiE=w1200|https://lh3.googleusercontent.com/pw/AP1GczO8WNHgCPvosJW_mO6YpymMlwlkqaOir-dP7M8Oy_qMBYAx-LYH31kEOzXTOhd9x4xBwTpbSILGqtt9pWPpHErqIpBsqUCXrjr5zyORUUG5ToEdlonC=w1200|https://lh3.googleusercontent.com/pw/AP1GczMMlmmxwMD64ClZZl_ipCcixJ9Eg1AlN3loD9mNAMpS7E6vAUmAi3M2iL8ee0oZr3AuSHs4rTYIsF8DKxK8wf3GBVFxx4pDm1xpvqE1o5CsPeafqsf4=w1200|https://lh3.googleusercontent.com/pw/AP1GczM4X2qGNryS7hiQ_sZRtuqmJ3jtWDAghxWmSoaCFroN1a9woe-ceybmd--TyVmLAMSUFw7t85BFhB63_lEl9hRaR9OR6DnNNCW29EiRlZaqqXf7NunO=w1200|https://lh3.googleusercontent.com/pw/AP1GczNx7O8a0bTJxKaaHwNJfQs0nW_OCOkmYFs4ZTgMTceBaJK5zC1hh6WOn0gg5DS9oiwSp7GILz8MyTET4mMLS8y6YYerTYzOwg6He33uUQW9R5Wyx-qo=w1200|https://lh3.googleusercontent.com/pw/AP1GczPHgiGsgahu7ugPaIPCdIiXfyqN_2tBz2MBHnxinXK8e30eFfiUotqCFLTUhtBI5H3VAD3aF6Ae5IK8G507eSKUGg0QMSeDya9Qoi4mhtqAf1zeIpGu=w1200|https://lh3.googleusercontent.com/pw/AP1GczPCf4N4KcwIZrnq-7jG6a0GhbEoAW8dcsZZBNIRqzZKDNSQISFwHVH0NZugpAoQVbpb30Yc5Fxeo0lyEjrlP_XKCVGBIfBH_c63Xfn91ekMuJJVKYy6=w1200|https://lh3.googleusercontent.com/pw/AP1GczOHN5OCkIdp3heuP-EiHvVb9X_vH0xXxGBeJSh6vCJ-GvlponQstQJBBejfb1nkfhCEZPrKEl-C10vVXVJ8_-xODD-G7jEZdb392Q66pQ0mSmSzs4gI=w1200|https://lh3.googleusercontent.com/pw/AP1GczOygYlsNvWRmen_yC3fXwe5hps4PSeQKIN-jktfsn7UqCr1EF1CTXjL_8hJoYnj829yswyCxQZYXpYxtUj6Wzayvu2mJUItpAfwH2ZztJzA3RTIgQtO=w1200|https://lh3.googleusercontent.com/pw/AP1GczMJoN5_ZM4J_sV-dgHkQcVMZdbReHf6fRGvv0zdNxi0oA4Uy0xpuuNz8YudA6LKcNbkUBm0AUvhLjhYoUUDIH8vZCwPFvJJodhNzuPIlg2uc2EQ3d9T=w1200|https://lh3.googleusercontent.com/pw/AP1GczPLuPXL0AoJ5C7QIEK6o-KxbFUWlI05OJWpdUYZq3Jqc1J00fhxkjmG1FbZ02b2U3fB4x-wr-jkk-xCdUDoeLcqx1df_kBwxtWYKK4qaAxoHuXSqewk=w1200</v>
      </c>
      <c r="AJ297" s="46"/>
      <c r="AK297" s="46"/>
      <c r="AL297" s="46"/>
      <c r="AM297" s="46"/>
      <c r="AN297" s="46"/>
      <c r="AO297" s="46"/>
      <c r="AP297" s="46"/>
      <c r="AQ297" s="46"/>
      <c r="AR297" s="46"/>
      <c r="AS297" s="46"/>
      <c r="AT297" s="46"/>
      <c r="AU297" s="46"/>
      <c r="AV297" s="46"/>
      <c r="AW297" s="46"/>
      <c r="AX297" s="46"/>
      <c r="AY297" s="46"/>
      <c r="AZ297" s="46"/>
      <c r="BA297" s="46"/>
      <c r="BB297" s="46"/>
      <c r="BC297" s="46"/>
      <c r="BD297" s="46"/>
      <c r="BE297" s="46"/>
      <c r="BF297" s="46"/>
      <c r="BG297" s="46"/>
      <c r="BH297" s="46"/>
      <c r="BI297" s="46"/>
      <c r="BJ297" s="46"/>
      <c r="BK297" s="46"/>
      <c r="BL297" s="46"/>
      <c r="BM297" s="46"/>
      <c r="BN297" s="46"/>
      <c r="BO297" s="46"/>
      <c r="BP297" s="46"/>
      <c r="BQ297" s="46"/>
      <c r="BR297" s="46"/>
      <c r="BS297" s="46"/>
      <c r="BT297" s="46"/>
      <c r="BU297" s="46"/>
      <c r="BV297" s="46"/>
      <c r="BW297" s="46"/>
      <c r="BX297" s="46"/>
      <c r="BY297" s="46"/>
      <c r="BZ297" s="46"/>
      <c r="CA297" s="46"/>
      <c r="CB297" s="46"/>
      <c r="CC297" s="46"/>
    </row>
    <row r="298">
      <c r="A298" s="87" t="str">
        <f>IFERROR(__xludf.DUMMYFUNCTION("""COMPUTED_VALUE"""),"1251")</f>
        <v>1251</v>
      </c>
      <c r="B298" s="46" t="str">
        <f>IFERROR(__xludf.DUMMYFUNCTION("""COMPUTED_VALUE"""),"Casa campestre en Neiva")</f>
        <v>Casa campestre en Neiva</v>
      </c>
      <c r="C298" s="46" t="str">
        <f>IFERROR(__xludf.DUMMYFUNCTION("""COMPUTED_VALUE"""),"Casa campestre")</f>
        <v>Casa campestre</v>
      </c>
      <c r="D298" s="46"/>
      <c r="E298" s="90"/>
      <c r="F298" s="90">
        <f>IFERROR(__xludf.DUMMYFUNCTION("""COMPUTED_VALUE"""),1.2E9)</f>
        <v>1200000000</v>
      </c>
      <c r="G298" s="46" t="str">
        <f>IFERROR(__xludf.DUMMYFUNCTION("""COMPUTED_VALUE"""),"Más de $1.000'000.000")</f>
        <v>Más de $1.000'000.000</v>
      </c>
      <c r="H298" s="46"/>
      <c r="I298" s="46"/>
      <c r="J298" s="46" t="str">
        <f>IFERROR(__xludf.DUMMYFUNCTION("""COMPUTED_VALUE"""),"Oriente")</f>
        <v>Oriente</v>
      </c>
      <c r="K298" s="87"/>
      <c r="L298" s="46">
        <f>IFERROR(__xludf.DUMMYFUNCTION("""COMPUTED_VALUE"""),6.0)</f>
        <v>6</v>
      </c>
      <c r="M298" s="46"/>
      <c r="N298" s="46">
        <f>IFERROR(__xludf.DUMMYFUNCTION("""COMPUTED_VALUE"""),7.0)</f>
        <v>7</v>
      </c>
      <c r="O298" s="46">
        <f>IFERROR(__xludf.DUMMYFUNCTION("""COMPUTED_VALUE"""),7.0)</f>
        <v>7</v>
      </c>
      <c r="P298" s="46">
        <f>IFERROR(__xludf.DUMMYFUNCTION("""COMPUTED_VALUE"""),1.0)</f>
        <v>1</v>
      </c>
      <c r="Q298" s="92">
        <f>IFERROR(__xludf.DUMMYFUNCTION("""COMPUTED_VALUE"""),850.0)</f>
        <v>850</v>
      </c>
      <c r="R298" s="92">
        <f>IFERROR(__xludf.DUMMYFUNCTION("""COMPUTED_VALUE"""),2000.0)</f>
        <v>2000</v>
      </c>
      <c r="S298" s="87" t="str">
        <f>IFERROR(__xludf.DUMMYFUNCTION("""COMPUTED_VALUE""")," ")</f>
        <v> </v>
      </c>
      <c r="T298" s="46" t="str">
        <f>IFERROR(__xludf.DUMMYFUNCTION("""COMPUTED_VALUE"""),"Neiva")</f>
        <v>Neiva</v>
      </c>
      <c r="U298" s="87" t="str">
        <f>IFERROR(__xludf.DUMMYFUNCTION("""COMPUTED_VALUE"""),"0")</f>
        <v>0</v>
      </c>
      <c r="V298" s="46"/>
      <c r="W298" s="46"/>
      <c r="X298" s="46">
        <f>IFERROR(__xludf.DUMMYFUNCTION("""COMPUTED_VALUE"""),6.0)</f>
        <v>6</v>
      </c>
      <c r="Y298" s="46" t="str">
        <f>IFERROR(__xludf.DUMMYFUNCTION("""COMPUTED_VALUE"""),"Privada")</f>
        <v>Privada</v>
      </c>
      <c r="Z298" s="90">
        <f>IFERROR(__xludf.DUMMYFUNCTION("""COMPUTED_VALUE"""),70000.0)</f>
        <v>70000</v>
      </c>
      <c r="AA298" s="33" t="str">
        <f>IFERROR(__xludf.DUMMYFUNCTION("""COMPUTED_VALUE"""),"No aplica")</f>
        <v>No aplica</v>
      </c>
      <c r="AB298" s="96" t="str">
        <f>IFERROR(__xludf.DUMMYFUNCTION("""COMPUTED_VALUE"""),"https://photos.app.goo.gl/x4GZiibDV9W4M8pc7")</f>
        <v>https://photos.app.goo.gl/x4GZiibDV9W4M8pc7</v>
      </c>
      <c r="AC298" s="46" t="str">
        <f>IFERROR(__xludf.DUMMYFUNCTION("""COMPUTED_VALUE"""),"Hermosa y acogedora casa campestre, ubicada a solo 20 minutos de la ciudad de Neiva. Consta de seis hermosas cabañas, cada una con su baño privado, casa principal con sala, comedor, baño, cocina amplia, corredores con salas de star, gimnasio, y zonas de j"&amp;"uegos, amplias zonas verdes, hornos en barro, bbq, piscina.")</f>
        <v>Hermosa y acogedora casa campestre, ubicada a solo 20 minutos de la ciudad de Neiva. Consta de seis hermosas cabañas, cada una con su baño privado, casa principal con sala, comedor, baño, cocina amplia, corredores con salas de star, gimnasio, y zonas de juegos, amplias zonas verdes, hornos en barro, bbq, piscina.</v>
      </c>
      <c r="AD298" s="46" t="str">
        <f>IFERROR(__xludf.DUMMYFUNCTION("""COMPUTED_VALUE"""),"Buena ubicación y materiales constructivos.")</f>
        <v>Buena ubicación y materiales constructivos.</v>
      </c>
      <c r="AE298" s="46"/>
      <c r="AF298" s="46" t="str">
        <f>IFERROR(__xludf.DUMMYFUNCTION("""COMPUTED_VALUE"""),"integral")</f>
        <v>integral</v>
      </c>
      <c r="AG298" s="46"/>
      <c r="AH298" s="46" t="str">
        <f>IFERROR(__xludf.DUMMYFUNCTION("""COMPUTED_VALUE"""),"Aliado")</f>
        <v>Aliado</v>
      </c>
      <c r="AI298" s="92" t="str">
        <f>IFERROR(__xludf.DUMMYFUNCTION("""COMPUTED_VALUE"""),"https://lh3.googleusercontent.com/pw/AP1GczOjsArIc3rblaqPnFUVRwcaz8R8_FwDp-tGGqVLS0vZnGAqSydF35fhx7vKqhBw63pWSn2TuVezUSCaNKoyQI_kpe4seatlLlhG1M7RWg0oE6EvIJDU=w1200|https://lh3.googleusercontent.com/pw/AP1GczMpOBtCGdBr3z3Wfg0b3UbFDDd-SeIlYGLdQRYKb4f7TbJz1x"&amp;"tt6SkFWOe-5x_NV0EXb8ES8_toe4jv94YXF_8p2-AOkOzA9Zux1AO17GIScXyG3VoA=w1200|https://lh3.googleusercontent.com/pw/AP1GczM0XBLF9sPQhzPws0VQHZquTYlVPQiFp-ykpreO1YY4HLc3qHkGZVz1hIVa-zuljwesqHLc-3Wp1ytj5Nd-buplbex5x221zmnO0es5lnlyS9rx4tC7=w1200|https://lh3.google"&amp;"usercontent.com/pw/AP1GczP1QDhQ4gm2cU4VqOM6pysexGFfTKtjuMCqDDr48L-FkywH60OmA9K9BaJJj2e7YXKMKounp-Z86z6-v897MrlxF6LjhJwRch68oI4q4w-_emr1kluC=w1200|https://lh3.googleusercontent.com/pw/AP1GczNQdXy-Bn_XeXBWPArCAldgFXURvIJyEMEJH6GF5R5dntkntnctE97T27Lp4-y8d9VW"&amp;"4OWbKneiPwF7MiVZ4GSN6iZpgEQGMmmLdIRqJXDtQ2RZj8-s=w1200|https://lh3.googleusercontent.com/pw/AP1GczMy3qg3DwTYbceH6dNTFKIvAUJ3Bz2bB2oNQh1ppveVmLCZCPR8wyOclQMnVTw4N4hezYag8TDLKSPhI-Q1bxogniFMMJ9jMGV-H-RYqMWJIzUIpAPA=w1200|https://lh3.googleusercontent.com/pw"&amp;"/AP1GczM1elTDhDTyRLtFONuRvZXPTUTUQjtf7hE_YBr-kmvX3Lhz7dwVc7EkKiwwPkORVNrvEO0M_Gf4wVUyZLotZhJt2ra9WGPgWNu0XeL0wppimfJWQdBo=w1200|https://lh3.googleusercontent.com/pw/AP1GczO4Iu2E-Wj29AzAU6ld20F0n1lMiF1ZtDoF6-qcsX925K9XtpwQz8lIHlXem4lQG5-726a1i3CaIgIgq4yUJX"&amp;"RNUafl2BCMnkx9_MKRtSC0SbpGCwwV=w1200|https://lh3.googleusercontent.com/pw/AP1GczOZ6qP6t-RKG29uL4mws6hR4WdCGLrAy2VfuU7RBimPjRJ1ohx_bksxA8INsQ8QNWSEXTmDwfaI3XwNmejarFJf5Pz4D3z_j9r9iCgilZir3E86OwBb=w1200|https://lh3.googleusercontent.com/pw/AP1GczOi4Bgi2jTAA"&amp;"0YQ0kHhnF-8cINEY1dnhv8gAxOEgoHVTF3nT7oYhKcbPkNmCD1lG0rYbAY_oWAXb-3OFYe53BvEeJf-EEqdp2pzcOGVNNC7_BN_p3Je=w1200|https://lh3.googleusercontent.com/pw/AP1GczMrt88uaS27KeboMnpxE2zQ4hYgAl5xG23e8nTFvXFABrdIvjq8IbZKhg1fJhVkNnv9v0tCzHi37x9K_mITGvwEvjUXasMmdhgurcRu"&amp;"3I9KpNpvNmBR=w1200|https://lh3.googleusercontent.com/pw/AP1GczNLkt_xA1-FEIvPUdoCDftk2RRtzobwirf95amwLUhehvzfGnBURYlxbQYS4JYPA3pl86t-nxFrInhj6kyyQGL3vuCi1WTSVcj48Y6sSmj6i8ZLF9Fi=w1200|https://lh3.googleusercontent.com/pw/AP1GczPmhka-NtMbdf1AatSqADWgrL_AX9H"&amp;"dW1OT5ImG5v6Yue5--ivckyIbo99LgOJOdxW1UUbTGWLUa-lckhj-yF8C_CbRhIBVkR5b52fbOUp1JWkDPG5N=w1200|https://lh3.googleusercontent.com/pw/AP1GczPVDtsnwFyzzskM5OJUkLkbz6Z3nMT5-dOUquxPH_fZ-l26GB1MQDbkB2_SpggPkxlrLw2Rh3bN-5f8p77bZmhbnz7Hd3aVZw32mCT9jD_7KNDDsiST=w1200"&amp;"|https://lh3.googleusercontent.com/pw/AP1GczMNOf3EXfnQnLMiytZyvvJPjMhPp81QynW5-CQBlIY2Zq6NfbkJdncQ2bWXYl0aX17HCT_oqKPxihb7KR7UY2sCw9DnI1ncwoufhOAXG_fi0EpTQXTB=w1200|https://lh3.googleusercontent.com/pw/AP1GczOuBqlZCAH2MhWPeWxSZr5T-MVZiuAz3QoLGPPql_vPj8gUb"&amp;"XFjm8wq2KDTz0DY4mRFt4HilBpCSw30F4n28vkur6jHRtHPdijoHLVvpTfMQ4wI1Rwi=w1200|https://lh3.googleusercontent.com/pw/AP1GczPKyZl5rwC8-PQxCQ_he70LA6oJiqU1tu__aAyYeI2g2SLRSm0R7BtGcyL0zOo6zvhCTDGS0atHkc-snYNDw5a7R6hwmN7aR2gOHAS-HEdg1HNASP7B=w1200|https://lh3.googl"&amp;"eusercontent.com/pw/AP1GczPFQ955fQsfvqmKeFfvbZqNz--R0twRXuvX2bzlcjsvE3TC_qR1l1ZBPf4rbQisRRQ6t-aES6EIdsk3xwoGs5Fw45C655YotVdIc6E4cM-GIMI1iYrF=w1200|https://lh3.googleusercontent.com/pw/AP1GczNHrRNHC3PylzGexIgVOqg2vZ-XvD5u_XgjJ30vNEvgekIOAhHNKVZr563zxVF77Bj"&amp;"uORpPA_YakcAcRE7p3v_Y-0D_FnpnTpm8rSNrwIvlVn_QBLYX=w1200|https://lh3.googleusercontent.com/pw/AP1GczO36kgDaNzho6WCJmS0iMTJNA58SAZX19OSmufS37PhExfXoKLUJSpJPI7eOuJbdOop-CSM9u2pAQ8yhdsMeAd5pb5mGHwu7EuQ3BQP_9vyo8mySyV8=w1200|https://lh3.googleusercontent.com/p"&amp;"w/AP1GczNk6JMaZvGQdJvscySevf-sEl6cqivi1mHW9vI2N17Tu75QVVNcKHVUhePpDgqZlyglf5Tek5eYCJdjbmWdwj2Ek8ilct55XdGaWId_GA7bo4DN0Oxs=w1200|https://lh3.googleusercontent.com/pw/AP1GczPVYcXXprbUPk4uzdwFJs1ETm1ua16v0XWGiRexh3E3urW3OWm6J2a4r-ME7Wzy9lVvGuUQDRs0q_Q9s2242"&amp;"zRl8TmFklPjE8Fgy3IPp9LSFLZgFYA9=w1200|https://lh3.googleusercontent.com/pw/AP1GczO1c6FnMMmsIpxWK4NYtSan2X7SwtUQSHOMM0VKxu13llOEWYVb6Vuzsj6ytJQdotoLjRXovaX3RO8aMPNyjVsVRWkl5LquTH4cLqkLtn5BJagJsvol=w1200|https://lh3.googleusercontent.com/pw/AP1GczPUJWZFxqaB"&amp;"5K8R2GQ8_jan6vjQxcXXl-NCWiDQ8MDsq4EwmgEg1RJJ6ArV9PSoBZdokI-KnKwwZE3bUDz_wOdyCMH6w2xLumtCnAdNt8sv3uWMZmOw=w1200|https://lh3.googleusercontent.com/pw/AP1GczP6NKi2r1Bhv3LL91tFUx6GqLX7-82ZG43GgRnY6F5wsoHA5J8Lwkxi1JEOf0wGhAzn2wdm9gQd8jech3CfpAUFqznR4YQbP971kbv"&amp;"jkOEcLyUhbLtG=w1200|https://lh3.googleusercontent.com/pw/AP1GczNtA-DpkzhkGeH0ZzQNHbzrIGtng1-YUqeIGv5j0BqGZSmTaTTp0oQdBFb8Nnx0lvCXuVu8Wie484BxVv0oFdA7Z_rYA4DFAubjVshI-zBIbIdl6oEF=w1200|https://lh3.googleusercontent.com/pw/AP1GczPH-AeEHpdnvzHndk5dA33kmWakOU"&amp;"lfA5em9AI6xev2VCKDO5HvfzIMLrgK1vF5rCvc59pC3XrZRowP_weUVvCM1VKGy3vgErUNvb39K-LMhUnphRP3=w1200|https://lh3.googleusercontent.com/pw/AP1GczNiOemRic9CFjCseuvD-7vk_q07WLJgOgCBQuQxtRmbdbL08Y-wFEk89kSF0KCk88OcW-ituG3LwXkLNT5JShg8qZ6Frv8f6SgX1QuIT4Uc9Lyi3wvg=w120"&amp;"0|https://lh3.googleusercontent.com/pw/AP1GczOsS27O9KVDbdDFWC1AJ7tf00IUwzcZBNLLA4Y440hzz_eDQ5ZRh-BgFqkiLuItWC6iUKYiC9YOQNn2JmgugAQrmDZv96RZzB84BQDVxnM-Th0TCMmI=w1200|https://lh3.googleusercontent.com/pw/AP1GczOfr8t-GXAB1tZI1ZM3mFu7BrZ6HqKRRi6Zg1aQV1Saw4h5"&amp;"MmX_4LxrDJZ1UpaLZLdf9frWqvUarCjUlaIwjDba90hFbwPHVONYIPbNK_8d_xKB-VC9=w1200|https://lh3.googleusercontent.com/pw/AP1GczPs3b2u_DA77aLyVvBB33Zlm23Elv3vV8V3FQ43mVJa9YE9XOy5sLcQwX2DYuhBznOfwM6u_Fwh2Do0BFJQHC46iL3EcbsJ7HKCnerkYG_VnCmihid7=w1200|https://lh3.goog"&amp;"leusercontent.com/pw/AP1GczMfHKHK4RAQk5jsth_l7ktyoC27KqmNhasOhIH9h-J9OY8jY_-gRmrWP6EPdD9_rJ3Br4625hVqSjII4-erQkwRcwVRi7NSUDebhFY5vY-_hG5jSmeG=w1200")</f>
        <v>https://lh3.googleusercontent.com/pw/AP1GczOjsArIc3rblaqPnFUVRwcaz8R8_FwDp-tGGqVLS0vZnGAqSydF35fhx7vKqhBw63pWSn2TuVezUSCaNKoyQI_kpe4seatlLlhG1M7RWg0oE6EvIJDU=w1200|https://lh3.googleusercontent.com/pw/AP1GczMpOBtCGdBr3z3Wfg0b3UbFDDd-SeIlYGLdQRYKb4f7TbJz1xtt6SkFWOe-5x_NV0EXb8ES8_toe4jv94YXF_8p2-AOkOzA9Zux1AO17GIScXyG3VoA=w1200|https://lh3.googleusercontent.com/pw/AP1GczM0XBLF9sPQhzPws0VQHZquTYlVPQiFp-ykpreO1YY4HLc3qHkGZVz1hIVa-zuljwesqHLc-3Wp1ytj5Nd-buplbex5x221zmnO0es5lnlyS9rx4tC7=w1200|https://lh3.googleusercontent.com/pw/AP1GczP1QDhQ4gm2cU4VqOM6pysexGFfTKtjuMCqDDr48L-FkywH60OmA9K9BaJJj2e7YXKMKounp-Z86z6-v897MrlxF6LjhJwRch68oI4q4w-_emr1kluC=w1200|https://lh3.googleusercontent.com/pw/AP1GczNQdXy-Bn_XeXBWPArCAldgFXURvIJyEMEJH6GF5R5dntkntnctE97T27Lp4-y8d9VW4OWbKneiPwF7MiVZ4GSN6iZpgEQGMmmLdIRqJXDtQ2RZj8-s=w1200|https://lh3.googleusercontent.com/pw/AP1GczMy3qg3DwTYbceH6dNTFKIvAUJ3Bz2bB2oNQh1ppveVmLCZCPR8wyOclQMnVTw4N4hezYag8TDLKSPhI-Q1bxogniFMMJ9jMGV-H-RYqMWJIzUIpAPA=w1200|https://lh3.googleusercontent.com/pw/AP1GczM1elTDhDTyRLtFONuRvZXPTUTUQjtf7hE_YBr-kmvX3Lhz7dwVc7EkKiwwPkORVNrvEO0M_Gf4wVUyZLotZhJt2ra9WGPgWNu0XeL0wppimfJWQdBo=w1200|https://lh3.googleusercontent.com/pw/AP1GczO4Iu2E-Wj29AzAU6ld20F0n1lMiF1ZtDoF6-qcsX925K9XtpwQz8lIHlXem4lQG5-726a1i3CaIgIgq4yUJXRNUafl2BCMnkx9_MKRtSC0SbpGCwwV=w1200|https://lh3.googleusercontent.com/pw/AP1GczOZ6qP6t-RKG29uL4mws6hR4WdCGLrAy2VfuU7RBimPjRJ1ohx_bksxA8INsQ8QNWSEXTmDwfaI3XwNmejarFJf5Pz4D3z_j9r9iCgilZir3E86OwBb=w1200|https://lh3.googleusercontent.com/pw/AP1GczOi4Bgi2jTAA0YQ0kHhnF-8cINEY1dnhv8gAxOEgoHVTF3nT7oYhKcbPkNmCD1lG0rYbAY_oWAXb-3OFYe53BvEeJf-EEqdp2pzcOGVNNC7_BN_p3Je=w1200|https://lh3.googleusercontent.com/pw/AP1GczMrt88uaS27KeboMnpxE2zQ4hYgAl5xG23e8nTFvXFABrdIvjq8IbZKhg1fJhVkNnv9v0tCzHi37x9K_mITGvwEvjUXasMmdhgurcRu3I9KpNpvNmBR=w1200|https://lh3.googleusercontent.com/pw/AP1GczNLkt_xA1-FEIvPUdoCDftk2RRtzobwirf95amwLUhehvzfGnBURYlxbQYS4JYPA3pl86t-nxFrInhj6kyyQGL3vuCi1WTSVcj48Y6sSmj6i8ZLF9Fi=w1200|https://lh3.googleusercontent.com/pw/AP1GczPmhka-NtMbdf1AatSqADWgrL_AX9HdW1OT5ImG5v6Yue5--ivckyIbo99LgOJOdxW1UUbTGWLUa-lckhj-yF8C_CbRhIBVkR5b52fbOUp1JWkDPG5N=w1200|https://lh3.googleusercontent.com/pw/AP1GczPVDtsnwFyzzskM5OJUkLkbz6Z3nMT5-dOUquxPH_fZ-l26GB1MQDbkB2_SpggPkxlrLw2Rh3bN-5f8p77bZmhbnz7Hd3aVZw32mCT9jD_7KNDDsiST=w1200|https://lh3.googleusercontent.com/pw/AP1GczMNOf3EXfnQnLMiytZyvvJPjMhPp81QynW5-CQBlIY2Zq6NfbkJdncQ2bWXYl0aX17HCT_oqKPxihb7KR7UY2sCw9DnI1ncwoufhOAXG_fi0EpTQXTB=w1200|https://lh3.googleusercontent.com/pw/AP1GczOuBqlZCAH2MhWPeWxSZr5T-MVZiuAz3QoLGPPql_vPj8gUbXFjm8wq2KDTz0DY4mRFt4HilBpCSw30F4n28vkur6jHRtHPdijoHLVvpTfMQ4wI1Rwi=w1200|https://lh3.googleusercontent.com/pw/AP1GczPKyZl5rwC8-PQxCQ_he70LA6oJiqU1tu__aAyYeI2g2SLRSm0R7BtGcyL0zOo6zvhCTDGS0atHkc-snYNDw5a7R6hwmN7aR2gOHAS-HEdg1HNASP7B=w1200|https://lh3.googleusercontent.com/pw/AP1GczPFQ955fQsfvqmKeFfvbZqNz--R0twRXuvX2bzlcjsvE3TC_qR1l1ZBPf4rbQisRRQ6t-aES6EIdsk3xwoGs5Fw45C655YotVdIc6E4cM-GIMI1iYrF=w1200|https://lh3.googleusercontent.com/pw/AP1GczNHrRNHC3PylzGexIgVOqg2vZ-XvD5u_XgjJ30vNEvgekIOAhHNKVZr563zxVF77BjuORpPA_YakcAcRE7p3v_Y-0D_FnpnTpm8rSNrwIvlVn_QBLYX=w1200|https://lh3.googleusercontent.com/pw/AP1GczO36kgDaNzho6WCJmS0iMTJNA58SAZX19OSmufS37PhExfXoKLUJSpJPI7eOuJbdOop-CSM9u2pAQ8yhdsMeAd5pb5mGHwu7EuQ3BQP_9vyo8mySyV8=w1200|https://lh3.googleusercontent.com/pw/AP1GczNk6JMaZvGQdJvscySevf-sEl6cqivi1mHW9vI2N17Tu75QVVNcKHVUhePpDgqZlyglf5Tek5eYCJdjbmWdwj2Ek8ilct55XdGaWId_GA7bo4DN0Oxs=w1200|https://lh3.googleusercontent.com/pw/AP1GczPVYcXXprbUPk4uzdwFJs1ETm1ua16v0XWGiRexh3E3urW3OWm6J2a4r-ME7Wzy9lVvGuUQDRs0q_Q9s2242zRl8TmFklPjE8Fgy3IPp9LSFLZgFYA9=w1200|https://lh3.googleusercontent.com/pw/AP1GczO1c6FnMMmsIpxWK4NYtSan2X7SwtUQSHOMM0VKxu13llOEWYVb6Vuzsj6ytJQdotoLjRXovaX3RO8aMPNyjVsVRWkl5LquTH4cLqkLtn5BJagJsvol=w1200|https://lh3.googleusercontent.com/pw/AP1GczPUJWZFxqaB5K8R2GQ8_jan6vjQxcXXl-NCWiDQ8MDsq4EwmgEg1RJJ6ArV9PSoBZdokI-KnKwwZE3bUDz_wOdyCMH6w2xLumtCnAdNt8sv3uWMZmOw=w1200|https://lh3.googleusercontent.com/pw/AP1GczP6NKi2r1Bhv3LL91tFUx6GqLX7-82ZG43GgRnY6F5wsoHA5J8Lwkxi1JEOf0wGhAzn2wdm9gQd8jech3CfpAUFqznR4YQbP971kbvjkOEcLyUhbLtG=w1200|https://lh3.googleusercontent.com/pw/AP1GczNtA-DpkzhkGeH0ZzQNHbzrIGtng1-YUqeIGv5j0BqGZSmTaTTp0oQdBFb8Nnx0lvCXuVu8Wie484BxVv0oFdA7Z_rYA4DFAubjVshI-zBIbIdl6oEF=w1200|https://lh3.googleusercontent.com/pw/AP1GczPH-AeEHpdnvzHndk5dA33kmWakOUlfA5em9AI6xev2VCKDO5HvfzIMLrgK1vF5rCvc59pC3XrZRowP_weUVvCM1VKGy3vgErUNvb39K-LMhUnphRP3=w1200|https://lh3.googleusercontent.com/pw/AP1GczNiOemRic9CFjCseuvD-7vk_q07WLJgOgCBQuQxtRmbdbL08Y-wFEk89kSF0KCk88OcW-ituG3LwXkLNT5JShg8qZ6Frv8f6SgX1QuIT4Uc9Lyi3wvg=w1200|https://lh3.googleusercontent.com/pw/AP1GczOsS27O9KVDbdDFWC1AJ7tf00IUwzcZBNLLA4Y440hzz_eDQ5ZRh-BgFqkiLuItWC6iUKYiC9YOQNn2JmgugAQrmDZv96RZzB84BQDVxnM-Th0TCMmI=w1200|https://lh3.googleusercontent.com/pw/AP1GczOfr8t-GXAB1tZI1ZM3mFu7BrZ6HqKRRi6Zg1aQV1Saw4h5MmX_4LxrDJZ1UpaLZLdf9frWqvUarCjUlaIwjDba90hFbwPHVONYIPbNK_8d_xKB-VC9=w1200|https://lh3.googleusercontent.com/pw/AP1GczPs3b2u_DA77aLyVvBB33Zlm23Elv3vV8V3FQ43mVJa9YE9XOy5sLcQwX2DYuhBznOfwM6u_Fwh2Do0BFJQHC46iL3EcbsJ7HKCnerkYG_VnCmihid7=w1200|https://lh3.googleusercontent.com/pw/AP1GczMfHKHK4RAQk5jsth_l7ktyoC27KqmNhasOhIH9h-J9OY8jY_-gRmrWP6EPdD9_rJ3Br4625hVqSjII4-erQkwRcwVRi7NSUDebhFY5vY-_hG5jSmeG=w1200</v>
      </c>
      <c r="AJ298" s="46"/>
      <c r="AK298" s="46"/>
      <c r="AL298" s="46"/>
      <c r="AM298" s="46"/>
      <c r="AN298" s="46"/>
      <c r="AO298" s="46"/>
      <c r="AP298" s="46"/>
      <c r="AQ298" s="46"/>
      <c r="AR298" s="46"/>
      <c r="AS298" s="46"/>
      <c r="AT298" s="46"/>
      <c r="AU298" s="46"/>
      <c r="AV298" s="46"/>
      <c r="AW298" s="46"/>
      <c r="AX298" s="46"/>
      <c r="AY298" s="46"/>
      <c r="AZ298" s="46"/>
      <c r="BA298" s="46"/>
      <c r="BB298" s="46"/>
      <c r="BC298" s="46"/>
      <c r="BD298" s="46"/>
      <c r="BE298" s="46"/>
      <c r="BF298" s="46"/>
      <c r="BG298" s="46"/>
      <c r="BH298" s="46"/>
      <c r="BI298" s="46"/>
      <c r="BJ298" s="46"/>
      <c r="BK298" s="46"/>
      <c r="BL298" s="46"/>
      <c r="BM298" s="46"/>
      <c r="BN298" s="46"/>
      <c r="BO298" s="46"/>
      <c r="BP298" s="46"/>
      <c r="BQ298" s="46"/>
      <c r="BR298" s="46"/>
      <c r="BS298" s="46"/>
      <c r="BT298" s="46"/>
      <c r="BU298" s="46"/>
      <c r="BV298" s="46"/>
      <c r="BW298" s="46"/>
      <c r="BX298" s="46"/>
      <c r="BY298" s="46"/>
      <c r="BZ298" s="46"/>
      <c r="CA298" s="46"/>
      <c r="CB298" s="46"/>
      <c r="CC298" s="46"/>
    </row>
    <row r="299">
      <c r="A299" s="87" t="str">
        <f>IFERROR(__xludf.DUMMYFUNCTION("""COMPUTED_VALUE"""),"1196")</f>
        <v>1196</v>
      </c>
      <c r="B299" s="46" t="str">
        <f>IFERROR(__xludf.DUMMYFUNCTION("""COMPUTED_VALUE"""),"Casa campestre en Rivera")</f>
        <v>Casa campestre en Rivera</v>
      </c>
      <c r="C299" s="46" t="str">
        <f>IFERROR(__xludf.DUMMYFUNCTION("""COMPUTED_VALUE"""),"Casa campestre")</f>
        <v>Casa campestre</v>
      </c>
      <c r="D299" s="90"/>
      <c r="E299" s="46"/>
      <c r="F299" s="90">
        <f>IFERROR(__xludf.DUMMYFUNCTION("""COMPUTED_VALUE"""),5.2E8)</f>
        <v>520000000</v>
      </c>
      <c r="G299" s="46" t="str">
        <f>IFERROR(__xludf.DUMMYFUNCTION("""COMPUTED_VALUE"""),"$500'000.000 a $1.000'000.000")</f>
        <v>$500'000.000 a $1.000'000.000</v>
      </c>
      <c r="H299" s="46"/>
      <c r="I299" s="46"/>
      <c r="J299" s="46" t="str">
        <f>IFERROR(__xludf.DUMMYFUNCTION("""COMPUTED_VALUE"""),"Sur")</f>
        <v>Sur</v>
      </c>
      <c r="K299" s="87"/>
      <c r="L299" s="46">
        <f>IFERROR(__xludf.DUMMYFUNCTION("""COMPUTED_VALUE"""),5.0)</f>
        <v>5</v>
      </c>
      <c r="M299" s="46"/>
      <c r="N299" s="46">
        <f>IFERROR(__xludf.DUMMYFUNCTION("""COMPUTED_VALUE"""),5.0)</f>
        <v>5</v>
      </c>
      <c r="O299" s="46">
        <f>IFERROR(__xludf.DUMMYFUNCTION("""COMPUTED_VALUE"""),7.0)</f>
        <v>7</v>
      </c>
      <c r="P299" s="46">
        <f>IFERROR(__xludf.DUMMYFUNCTION("""COMPUTED_VALUE"""),2.0)</f>
        <v>2</v>
      </c>
      <c r="Q299" s="92">
        <f>IFERROR(__xludf.DUMMYFUNCTION("""COMPUTED_VALUE"""),456.0)</f>
        <v>456</v>
      </c>
      <c r="R299" s="92">
        <f>IFERROR(__xludf.DUMMYFUNCTION("""COMPUTED_VALUE"""),1700.0)</f>
        <v>1700</v>
      </c>
      <c r="S299" s="87" t="str">
        <f>IFERROR(__xludf.DUMMYFUNCTION("""COMPUTED_VALUE""")," ")</f>
        <v> </v>
      </c>
      <c r="T299" s="46" t="str">
        <f>IFERROR(__xludf.DUMMYFUNCTION("""COMPUTED_VALUE"""),"Rivera")</f>
        <v>Rivera</v>
      </c>
      <c r="U299" s="87" t="str">
        <f>IFERROR(__xludf.DUMMYFUNCTION("""COMPUTED_VALUE"""),"0")</f>
        <v>0</v>
      </c>
      <c r="V299" s="46"/>
      <c r="W299" s="46"/>
      <c r="X299" s="46">
        <f>IFERROR(__xludf.DUMMYFUNCTION("""COMPUTED_VALUE"""),3.0)</f>
        <v>3</v>
      </c>
      <c r="Y299" s="46" t="str">
        <f>IFERROR(__xludf.DUMMYFUNCTION("""COMPUTED_VALUE"""),"Privada")</f>
        <v>Privada</v>
      </c>
      <c r="Z299" s="90" t="str">
        <f>IFERROR(__xludf.DUMMYFUNCTION("""COMPUTED_VALUE"""),"No aplica")</f>
        <v>No aplica</v>
      </c>
      <c r="AA299" s="33" t="str">
        <f>IFERROR(__xludf.DUMMYFUNCTION("""COMPUTED_VALUE"""),"No aplica")</f>
        <v>No aplica</v>
      </c>
      <c r="AB299" s="144" t="str">
        <f>IFERROR(__xludf.DUMMYFUNCTION("""COMPUTED_VALUE"""),"https://photos.app.goo.gl/zXnhAxi4jYWx1k6u7")</f>
        <v>https://photos.app.goo.gl/zXnhAxi4jYWx1k6u7</v>
      </c>
      <c r="AC299" s="46" t="str">
        <f>IFERROR(__xludf.DUMMYFUNCTION("""COMPUTED_VALUE"""),"Esta espectacular casa campestre en Rivera se distribuye sobre un lote de 1.700 m² con 450 m² construidos, destacando por sus acabados de lujo rústico con estructuras en guadua, cielos en esterilla y elegantes pisos en mármol y gres. El área interior ofre"&amp;"ce una amplia sala comedor, una cocina integral de gran tamaño, 4 alcobas principales y 5 baños con divisiones en vidrio templado, garantizando confort y frescura en cada rincón.")</f>
        <v>Esta espectacular casa campestre en Rivera se distribuye sobre un lote de 1.700 m² con 450 m² construidos, destacando por sus acabados de lujo rústico con estructuras en guadua, cielos en esterilla y elegantes pisos en mármol y gres. El área interior ofrece una amplia sala comedor, una cocina integral de gran tamaño, 4 alcobas principales y 5 baños con divisiones en vidrio templado, garantizando confort y frescura en cada rincón.</v>
      </c>
      <c r="AD299" s="46" t="str">
        <f>IFERROR(__xludf.DUMMYFUNCTION("""COMPUTED_VALUE"""),"Diseñada para el máximo entretenimiento, esta propiedad cuenta con una piscina privada, quiosco social, zona de BBQ con comedores en madera maciza, una cabaña independiente y garaje para 7 vehículos. Equipada con agua de aljibe propio y pozo séptico, se u"&amp;"bica en la zona de mayor crecimiento y valorización de Rivera, convirtiéndose en la oportunidad perfecta de ICDE para quienes exigen exclusividad, naturaleza y un negocio altamente rentable.")</f>
        <v>Diseñada para el máximo entretenimiento, esta propiedad cuenta con una piscina privada, quiosco social, zona de BBQ con comedores en madera maciza, una cabaña independiente y garaje para 7 vehículos. Equipada con agua de aljibe propio y pozo séptico, se ubica en la zona de mayor crecimiento y valorización de Rivera, convirtiéndose en la oportunidad perfecta de ICDE para quienes exigen exclusividad, naturaleza y un negocio altamente rentable.</v>
      </c>
      <c r="AE299" s="46"/>
      <c r="AF299" s="46" t="str">
        <f>IFERROR(__xludf.DUMMYFUNCTION("""COMPUTED_VALUE"""),"integral")</f>
        <v>integral</v>
      </c>
      <c r="AG299" s="46"/>
      <c r="AH299" s="46" t="str">
        <f>IFERROR(__xludf.DUMMYFUNCTION("""COMPUTED_VALUE"""),"Aliado")</f>
        <v>Aliado</v>
      </c>
      <c r="AI299" s="92" t="str">
        <f>IFERROR(__xludf.DUMMYFUNCTION("""COMPUTED_VALUE"""),"https://lh3.googleusercontent.com/pw/AP1GczOunhM1J66Sn7aHfWAqpy9OQi2Jx9F0ySrE-pRrSM9G6m2MS4gj5WAm2MGU2EhSVAifZEKfeTVxfkHlxMDA_KqSDVFOZ21GWWm5x8mzLHu9SrnaQQCA=w1200|https://lh3.googleusercontent.com/pw/AP1GczMJFw0ldzizkXjdan163hgFhSxIG6DaU8JEF4y_U_95ITlh_9"&amp;"fFWGuPP5QFh00VjvsW2V0sXnAFjtkmrdL_9uFIy_KzTeVenX43uKGFQi8HMGEDhvHf=w1200|https://lh3.googleusercontent.com/pw/AP1GczNqce4KZQhwZynPwGL79ze8Ki8WSt7QcJukErYez2oYyAsEU4ZzIDf6jIqwjVFnV4EHOyLa7aJpCAd20J5heDkb-teqVfM65WsB9F9lI0YMSguxE7y0=w1200|https://lh3.google"&amp;"usercontent.com/pw/AP1GczMvIrnTZfUNB99Es7Fx8ErVcjpRJA-cPsmiQl8QYi1uI5vwTaYGki-Td5W87M9ipOKNhoNy8wI1PanNwgp0rTlwNacUmhpX1aXibQn1UIVQeTN_bTA4=w1200|https://lh3.googleusercontent.com/pw/AP1GczMKw5SoghoN29bNcU377fTAKujjtbLllMrmJAMQVeLzh6CZNQNfKHdfINW__kjCXPE2"&amp;"lTWIQiOW1tVwGlF29yzwc53gElOt_lykfCbHXcFvlv9axC8K=w1200|https://lh3.googleusercontent.com/pw/AP1GczMymZ6hP9ktxfK-it6h_FONeHQ-zn3RvdN3CwZ3CqkIP8J2_TM07iUOwEjwa-P0EslwjxOBGXS4hKx0RbBEEoM66SOw779KBGG2waDwqHUFMf1dUA55=w1200|https://lh3.googleusercontent.com/pw"&amp;"/AP1GczMdG-iAC1tw39qtAwd34Dq5lKRub3KzDQl1OjxIEgXw71DmRMQzhdg2GB75j1U9SDlZj9LYsU7ov7kNJkYW4Yf8Qmxs_A8izBj2ZHphUjnrEZ9-ooRB=w1200|https://lh3.googleusercontent.com/pw/AP1GczMivE1McuDYSY74WTDdDOLe0tKv9mfudef5k-Q0veOn3K5BDMNTAp907Zu-lA5-VDHFZoTBp_8_Tq2Pb8ITo6"&amp;"ONAdl0fuD43XxKLe7kne3qFRh1Q7HO=w1200|https://lh3.googleusercontent.com/pw/AP1GczOyoH4Ar1csGV-V7vnWOfveEOnxuAf04Fh8fCEq1GC8VyQz28Bn0PTRuSVM4j2aMdEkwDpTVTNA2gC_AKPCa6J3s5u6mlLJF0S9-5YxegpmzrfnOOBL=w1200|https://lh3.googleusercontent.com/pw/AP1GczMkfVHcrr0cH"&amp;"jlmgoe6iGmCdCGVHBlm7UXMHRAXJpVody5lCNulEEyXacXBANHYY-Sp1syH60QCknKfkAgvlaM9f_F20TajwVc0gW6dFdWantrmc5KB=w1200|https://lh3.googleusercontent.com/pw/AP1GczPVTcPr9AHOKHdmz_ujkWQuMMl1MBuX_IqMOV-YHDYaUS-Un3hmGEl2Yze9JOxe1LFqN3Q52DxCYdOuxsauhF-B-GvhEVhXXXThMaTq"&amp;"7AHaBPCrkWyc=w1200|https://lh3.googleusercontent.com/pw/AP1GczOU_8Aa9Dl3tLUW6V4w4-L5MrIkgqsg9ngZQkzNELuky3mNmS1UamNujBlyVFoKphyKTVyQfJ3fkqOuVYIFsbtAmvM9o_FLwtgnIBFJbt4v7gWxQpTB=w1200|https://lh3.googleusercontent.com/pw/AP1GczNLQHj8v5hK6TFw0kFg-yrPN_zl3zU"&amp;"ACQqtfKIEmG4OnkhUVPl5f87stDOypKW1EYQz6UoIw8axj6NIljJ6JszN07mhfAiVuSfnW4HfgOX_7o3ZxllV=w1200|https://lh3.googleusercontent.com/pw/AP1GczNhjZYkl_vlOb3LRKvpstmdkNjcVmOD2d4Hxpj68H2wyqGPb5BSHqKn2rJnGyq-bsUijKq7YuQ67A5W1yMcUUVxz1U68iRT0v6q4CPb0hb6Cts6KYGp=w1200"&amp;"|https://lh3.googleusercontent.com/pw/AP1GczPPRatl8j5NghxZT94rmYk867FDZ5tRJ6p2gHyYTzWwi8OzIubFtZcTh3pueMtsPUHmPrwIoDWzg8GhtabkByLrVYZuy2tqz0QV19ca1FwoOVPOWfEa=w1200|https://lh3.googleusercontent.com/pw/AP1GczPGw9hn2v5OzN1SZeu6My93iF2eUk-Mpa7I_HXHXD02RTAla"&amp;"dFdEkm3yFkpEE7SJW-8774cXKNxxgSZinGarOMwt4T8OJyPI55jSKWKs205aUToSmKC=w1200|https://lh3.googleusercontent.com/pw/AP1GczOvg_PK0eB_bq-LKiO7iePFZ2dOBk-lQIR-X8fR-yi7Q2j4b5gqHcpyv4palMYZ1hBRCw2TQIH4LTpUOMrx20DiTLVsXSLva3R_VNr0k-elMyJ4B-IA=w1200|https://lh3.googl"&amp;"eusercontent.com/pw/AP1GczPbtF6rx4AdV85iifh2ySIUIoEg8UP-PHQDVS2BrMtmtQTdeB2XYjcIEjlYYRSVk_Tb2CdcLpU_4A3PvAu93PZBmyW4GyyUzlyRzPy_QdCotkBBr4Si=w1200")</f>
        <v>https://lh3.googleusercontent.com/pw/AP1GczOunhM1J66Sn7aHfWAqpy9OQi2Jx9F0ySrE-pRrSM9G6m2MS4gj5WAm2MGU2EhSVAifZEKfeTVxfkHlxMDA_KqSDVFOZ21GWWm5x8mzLHu9SrnaQQCA=w1200|https://lh3.googleusercontent.com/pw/AP1GczMJFw0ldzizkXjdan163hgFhSxIG6DaU8JEF4y_U_95ITlh_9fFWGuPP5QFh00VjvsW2V0sXnAFjtkmrdL_9uFIy_KzTeVenX43uKGFQi8HMGEDhvHf=w1200|https://lh3.googleusercontent.com/pw/AP1GczNqce4KZQhwZynPwGL79ze8Ki8WSt7QcJukErYez2oYyAsEU4ZzIDf6jIqwjVFnV4EHOyLa7aJpCAd20J5heDkb-teqVfM65WsB9F9lI0YMSguxE7y0=w1200|https://lh3.googleusercontent.com/pw/AP1GczMvIrnTZfUNB99Es7Fx8ErVcjpRJA-cPsmiQl8QYi1uI5vwTaYGki-Td5W87M9ipOKNhoNy8wI1PanNwgp0rTlwNacUmhpX1aXibQn1UIVQeTN_bTA4=w1200|https://lh3.googleusercontent.com/pw/AP1GczMKw5SoghoN29bNcU377fTAKujjtbLllMrmJAMQVeLzh6CZNQNfKHdfINW__kjCXPE2lTWIQiOW1tVwGlF29yzwc53gElOt_lykfCbHXcFvlv9axC8K=w1200|https://lh3.googleusercontent.com/pw/AP1GczMymZ6hP9ktxfK-it6h_FONeHQ-zn3RvdN3CwZ3CqkIP8J2_TM07iUOwEjwa-P0EslwjxOBGXS4hKx0RbBEEoM66SOw779KBGG2waDwqHUFMf1dUA55=w1200|https://lh3.googleusercontent.com/pw/AP1GczMdG-iAC1tw39qtAwd34Dq5lKRub3KzDQl1OjxIEgXw71DmRMQzhdg2GB75j1U9SDlZj9LYsU7ov7kNJkYW4Yf8Qmxs_A8izBj2ZHphUjnrEZ9-ooRB=w1200|https://lh3.googleusercontent.com/pw/AP1GczMivE1McuDYSY74WTDdDOLe0tKv9mfudef5k-Q0veOn3K5BDMNTAp907Zu-lA5-VDHFZoTBp_8_Tq2Pb8ITo6ONAdl0fuD43XxKLe7kne3qFRh1Q7HO=w1200|https://lh3.googleusercontent.com/pw/AP1GczOyoH4Ar1csGV-V7vnWOfveEOnxuAf04Fh8fCEq1GC8VyQz28Bn0PTRuSVM4j2aMdEkwDpTVTNA2gC_AKPCa6J3s5u6mlLJF0S9-5YxegpmzrfnOOBL=w1200|https://lh3.googleusercontent.com/pw/AP1GczMkfVHcrr0cHjlmgoe6iGmCdCGVHBlm7UXMHRAXJpVody5lCNulEEyXacXBANHYY-Sp1syH60QCknKfkAgvlaM9f_F20TajwVc0gW6dFdWantrmc5KB=w1200|https://lh3.googleusercontent.com/pw/AP1GczPVTcPr9AHOKHdmz_ujkWQuMMl1MBuX_IqMOV-YHDYaUS-Un3hmGEl2Yze9JOxe1LFqN3Q52DxCYdOuxsauhF-B-GvhEVhXXXThMaTq7AHaBPCrkWyc=w1200|https://lh3.googleusercontent.com/pw/AP1GczOU_8Aa9Dl3tLUW6V4w4-L5MrIkgqsg9ngZQkzNELuky3mNmS1UamNujBlyVFoKphyKTVyQfJ3fkqOuVYIFsbtAmvM9o_FLwtgnIBFJbt4v7gWxQpTB=w1200|https://lh3.googleusercontent.com/pw/AP1GczNLQHj8v5hK6TFw0kFg-yrPN_zl3zUACQqtfKIEmG4OnkhUVPl5f87stDOypKW1EYQz6UoIw8axj6NIljJ6JszN07mhfAiVuSfnW4HfgOX_7o3ZxllV=w1200|https://lh3.googleusercontent.com/pw/AP1GczNhjZYkl_vlOb3LRKvpstmdkNjcVmOD2d4Hxpj68H2wyqGPb5BSHqKn2rJnGyq-bsUijKq7YuQ67A5W1yMcUUVxz1U68iRT0v6q4CPb0hb6Cts6KYGp=w1200|https://lh3.googleusercontent.com/pw/AP1GczPPRatl8j5NghxZT94rmYk867FDZ5tRJ6p2gHyYTzWwi8OzIubFtZcTh3pueMtsPUHmPrwIoDWzg8GhtabkByLrVYZuy2tqz0QV19ca1FwoOVPOWfEa=w1200|https://lh3.googleusercontent.com/pw/AP1GczPGw9hn2v5OzN1SZeu6My93iF2eUk-Mpa7I_HXHXD02RTAladFdEkm3yFkpEE7SJW-8774cXKNxxgSZinGarOMwt4T8OJyPI55jSKWKs205aUToSmKC=w1200|https://lh3.googleusercontent.com/pw/AP1GczOvg_PK0eB_bq-LKiO7iePFZ2dOBk-lQIR-X8fR-yi7Q2j4b5gqHcpyv4palMYZ1hBRCw2TQIH4LTpUOMrx20DiTLVsXSLva3R_VNr0k-elMyJ4B-IA=w1200|https://lh3.googleusercontent.com/pw/AP1GczPbtF6rx4AdV85iifh2ySIUIoEg8UP-PHQDVS2BrMtmtQTdeB2XYjcIEjlYYRSVk_Tb2CdcLpU_4A3PvAu93PZBmyW4GyyUzlyRzPy_QdCotkBBr4Si=w1200</v>
      </c>
      <c r="AJ299" s="46"/>
      <c r="AK299" s="46"/>
      <c r="AL299" s="46"/>
      <c r="AM299" s="46"/>
      <c r="AN299" s="46"/>
      <c r="AO299" s="46"/>
      <c r="AP299" s="46"/>
      <c r="AQ299" s="46"/>
      <c r="AR299" s="46"/>
      <c r="AS299" s="46"/>
      <c r="AT299" s="46"/>
      <c r="AU299" s="46"/>
      <c r="AV299" s="46"/>
      <c r="AW299" s="46"/>
      <c r="AX299" s="46"/>
      <c r="AY299" s="46"/>
      <c r="AZ299" s="46"/>
      <c r="BA299" s="46"/>
      <c r="BB299" s="46"/>
      <c r="BC299" s="46"/>
      <c r="BD299" s="46"/>
      <c r="BE299" s="46"/>
      <c r="BF299" s="46"/>
      <c r="BG299" s="46"/>
      <c r="BH299" s="46"/>
      <c r="BI299" s="46"/>
      <c r="BJ299" s="46"/>
      <c r="BK299" s="46"/>
      <c r="BL299" s="46"/>
      <c r="BM299" s="46"/>
      <c r="BN299" s="46"/>
      <c r="BO299" s="46"/>
      <c r="BP299" s="46"/>
      <c r="BQ299" s="46"/>
      <c r="BR299" s="46"/>
      <c r="BS299" s="46"/>
      <c r="BT299" s="46"/>
      <c r="BU299" s="46"/>
      <c r="BV299" s="46"/>
      <c r="BW299" s="46"/>
      <c r="BX299" s="46"/>
      <c r="BY299" s="46"/>
      <c r="BZ299" s="46"/>
      <c r="CA299" s="46"/>
      <c r="CB299" s="46"/>
      <c r="CC299" s="46"/>
    </row>
    <row r="300">
      <c r="A300" s="87" t="str">
        <f>IFERROR(__xludf.DUMMYFUNCTION("""COMPUTED_VALUE"""),"1253")</f>
        <v>1253</v>
      </c>
      <c r="B300" s="46" t="str">
        <f>IFERROR(__xludf.DUMMYFUNCTION("""COMPUTED_VALUE"""),"Casa campestre Indep. Vda. El Triunfo")</f>
        <v>Casa campestre Indep. Vda. El Triunfo</v>
      </c>
      <c r="C300" s="46" t="str">
        <f>IFERROR(__xludf.DUMMYFUNCTION("""COMPUTED_VALUE"""),"Casa campestre")</f>
        <v>Casa campestre</v>
      </c>
      <c r="D300" s="46"/>
      <c r="E300" s="90"/>
      <c r="F300" s="90">
        <f>IFERROR(__xludf.DUMMYFUNCTION("""COMPUTED_VALUE"""),4.3E8)</f>
        <v>430000000</v>
      </c>
      <c r="G300" s="46" t="str">
        <f>IFERROR(__xludf.DUMMYFUNCTION("""COMPUTED_VALUE"""),"$400'000.000 a $500'000.000")</f>
        <v>$400'000.000 a $500'000.000</v>
      </c>
      <c r="H300" s="46"/>
      <c r="I300" s="46"/>
      <c r="J300" s="46" t="str">
        <f>IFERROR(__xludf.DUMMYFUNCTION("""COMPUTED_VALUE"""),"Sur")</f>
        <v>Sur</v>
      </c>
      <c r="K300" s="87"/>
      <c r="L300" s="46">
        <f>IFERROR(__xludf.DUMMYFUNCTION("""COMPUTED_VALUE"""),3.0)</f>
        <v>3</v>
      </c>
      <c r="M300" s="46"/>
      <c r="N300" s="46">
        <f>IFERROR(__xludf.DUMMYFUNCTION("""COMPUTED_VALUE"""),2.0)</f>
        <v>2</v>
      </c>
      <c r="O300" s="46">
        <f>IFERROR(__xludf.DUMMYFUNCTION("""COMPUTED_VALUE"""),2.0)</f>
        <v>2</v>
      </c>
      <c r="P300" s="46">
        <f>IFERROR(__xludf.DUMMYFUNCTION("""COMPUTED_VALUE"""),1.0)</f>
        <v>1</v>
      </c>
      <c r="Q300" s="92">
        <f>IFERROR(__xludf.DUMMYFUNCTION("""COMPUTED_VALUE"""),370.0)</f>
        <v>370</v>
      </c>
      <c r="R300" s="92">
        <f>IFERROR(__xludf.DUMMYFUNCTION("""COMPUTED_VALUE"""),1480.0)</f>
        <v>1480</v>
      </c>
      <c r="S300" s="87" t="str">
        <f>IFERROR(__xludf.DUMMYFUNCTION("""COMPUTED_VALUE""")," ")</f>
        <v> </v>
      </c>
      <c r="T300" s="46" t="str">
        <f>IFERROR(__xludf.DUMMYFUNCTION("""COMPUTED_VALUE"""),"Triunfo")</f>
        <v>Triunfo</v>
      </c>
      <c r="U300" s="87" t="str">
        <f>IFERROR(__xludf.DUMMYFUNCTION("""COMPUTED_VALUE"""),"0")</f>
        <v>0</v>
      </c>
      <c r="V300" s="46">
        <f>IFERROR(__xludf.DUMMYFUNCTION("""COMPUTED_VALUE"""),0.0)</f>
        <v>0</v>
      </c>
      <c r="W300" s="46"/>
      <c r="X300" s="46">
        <f>IFERROR(__xludf.DUMMYFUNCTION("""COMPUTED_VALUE"""),3.0)</f>
        <v>3</v>
      </c>
      <c r="Y300" s="46" t="str">
        <f>IFERROR(__xludf.DUMMYFUNCTION("""COMPUTED_VALUE"""),"Privada")</f>
        <v>Privada</v>
      </c>
      <c r="Z300" s="90" t="str">
        <f>IFERROR(__xludf.DUMMYFUNCTION("""COMPUTED_VALUE"""),"No aplica")</f>
        <v>No aplica</v>
      </c>
      <c r="AA300" s="33" t="str">
        <f>IFERROR(__xludf.DUMMYFUNCTION("""COMPUTED_VALUE"""),"No aplica")</f>
        <v>No aplica</v>
      </c>
      <c r="AB300" s="144" t="str">
        <f>IFERROR(__xludf.DUMMYFUNCTION("""COMPUTED_VALUE"""),"https://photos.app.goo.gl/7QAgGYjqRE4rnLW77")</f>
        <v>https://photos.app.goo.gl/7QAgGYjqRE4rnLW77</v>
      </c>
      <c r="AC300" s="46" t="str">
        <f>IFERROR(__xludf.DUMMYFUNCTION("""COMPUTED_VALUE"""),"Casa campestre que consta de sala comedor, baño auxiliar, cocina, 3 habitaciones, la principal con baño privado, con parqueadero, piscinas para adultos y niños, baño zona social, amplias zonas verdes, bbq y salón de juegos, el lote tiene un área total de "&amp;"1.480 m2 y construidos 370 m2 ubicada en la vereda el triunfo, terminada en obra blanca.")</f>
        <v>Casa campestre que consta de sala comedor, baño auxiliar, cocina, 3 habitaciones, la principal con baño privado, con parqueadero, piscinas para adultos y niños, baño zona social, amplias zonas verdes, bbq y salón de juegos, el lote tiene un área total de 1.480 m2 y construidos 370 m2 ubicada en la vereda el triunfo, terminada en obra blanca.</v>
      </c>
      <c r="AD300" s="46" t="str">
        <f>IFERROR(__xludf.DUMMYFUNCTION("""COMPUTED_VALUE"""),"Buena ubicación.")</f>
        <v>Buena ubicación.</v>
      </c>
      <c r="AE300" s="46"/>
      <c r="AF300" s="46" t="str">
        <f>IFERROR(__xludf.DUMMYFUNCTION("""COMPUTED_VALUE"""),"básica")</f>
        <v>básica</v>
      </c>
      <c r="AG300" s="46"/>
      <c r="AH300" s="46" t="str">
        <f>IFERROR(__xludf.DUMMYFUNCTION("""COMPUTED_VALUE"""),"Aliado")</f>
        <v>Aliado</v>
      </c>
      <c r="AI300" s="92" t="str">
        <f>IFERROR(__xludf.DUMMYFUNCTION("""COMPUTED_VALUE"""),"https://lh3.googleusercontent.com/pw/AP1GczOt3Dx5ZitLk14BU8k7Qwd3gRkwmSbuo-2SwRmMQX8ZWzUUfkSQavfcoW-Wykcfp2mRtp5u5mDUwn4gWmS7LH0XtId8Pyh-oTAzLDIveMwE2q3W7vnI=w1200|https://lh3.googleusercontent.com/pw/AP1GczNJ2nSgLHIhx_03RlomMB2mfrDFyg5Q0noeitOx5gTSZsdTlN"&amp;"CtFL48lqLruZ4RepQ_wvN0Oaz7G1U_GR_O9_Zh60Uhx2_A35IqGTiq-HXUiQN-_Zpa=w1200|https://lh3.googleusercontent.com/pw/AP1GczOueXBin-bv4igy1YLJvgyVsKLNPojneK4T38BxJNZxc-g4jMEoCW63X1FmimEbCS_9xPShRSvnheaqz1HeN2NfYjBSE0e5vt-v5O2z_09mn_hYl8pk=w1200|https://lh3.google"&amp;"usercontent.com/pw/AP1GczOTeml9WOnAQwRLL-kgRjy6wftJRgtZ3ljNHnTWunDd9Pi09dZtwWBJq_G8wQ9klFiei9Sx5IkdhiXSR_2x8wJLH6OwlFU_SlErxESB36owDSjjCj1t=w1200|https://lh3.googleusercontent.com/pw/AP1GczNDpxTLbSPalv_wqaAUzP1JuLJ_4hiv1XHqr04Uudel9vLW6vB-dowcbP_wsTBV0NOy"&amp;"uoVHpj6Ae09kuoFlI-Y4oiqnxCUqwiqT9z8U1xV0WGxdZDji=w1200|https://lh3.googleusercontent.com/pw/AP1GczNRq_N4pPCeVocJZwdyily64iLviq1IRsx50pnGxdRkbKLSFdVEnR46pkpyq9hAwiQi4BsqO7vuWcmX078MLqJlDHKR3_2CDGoevJm1iAmoF_aSFrlf=w1200|https://lh3.googleusercontent.com/pw"&amp;"/AP1GczO5CSwKqeGwc242UvJlitlhFDi9Zb3XTt63zxB8rchjgFAMoxSBQ79dtxphRd0HexVmYSy4oCBoAsb_N374hk4FNq9PZJOSiGQwG7ZaO8mWIUBgiBlq=w1200|https://lh3.googleusercontent.com/pw/AP1GczM-4YdT3kwwjVGT6DhY0XT1Pi4Yf1o30N6dhXMlTVO_xL53gTyrvGbSmAfbWvPE7dZn-Xp6jUTDnt-n1RhIKe"&amp;"OISlTeKpx2GHqz-daaMlUDSXYItd78=w1200|https://lh3.googleusercontent.com/pw/AP1GczOnB5VSUIrOSCynrzMWIBb_elNQoPDoMkoXY5ZEvh03hrw4VoWecOiFUT5RTw4b3bg1LahwkiApXiHFCIVpmE1lzt_1FxjDQMSw5bOKLjQFh4a_9sWG=w1200|https://lh3.googleusercontent.com/pw/AP1GczPP_nxQYCTXq"&amp;"OQh2j-XPldwUsXx2SQtiZG6rHIdbRXB4uFeHGvtQaVACRsqplUoRCt_f1U7dKZF_R05d4RZ4JCfOsjxgqPpXPrlGzSK7ltUo0DfA0BT=w1200|https://lh3.googleusercontent.com/pw/AP1GczPyBNPNUdkL5AwZajB2B6ZYmldHAkQR7ckruqaCqVQyQyUAvc5q-xfn3R78FjbcfwGpUJR54EQwtigidkvkCj_3KWdC2WyRvI7j3LXi"&amp;"iKZxJALnyIBj=w1200|https://lh3.googleusercontent.com/pw/AP1GczO4VNPrw3jEqKwv1gSun5E-C_0k3Sv0H6-3IrLswqzo6jMeeI-fJeZmoRsRqKa7Su_E05QZV3CM-7xSlZdlH_fTggEjyiIMnolxRFSmxJKjBLR80FVe=w1200|https://lh3.googleusercontent.com/pw/AP1GczMWVOoz4YuInnHOvdawZ3mtEWggM-3"&amp;"1l0G-ZxQJ3qjZ3BtX9LKwU36PZeAiRxK__76TjTwuIGDp_lx_iICCTK5V-9qm7oQKq7PTqyUBNCyG5gjIgxpu=w1200|https://lh3.googleusercontent.com/pw/AP1GczO3d4EvIqwC9VYtpZgz1u947Ka91oxGbmqYSvSMj3mhWKXtGah8jUE2jo1KnkCI_l4lmE_ywCqZ5HIqj6mcQBjP8JAB0_9LYNqE57xOeqT8EG2uBpF7=w1200"&amp;"|https://lh3.googleusercontent.com/pw/AP1GczOteZoS_p8aAYsQScMSIKJBKeEkK7_nouzewylWy_m2iFqfF8zae8zRKPojfZgL7zWvSLY4OsI0wBgS2Iiceqk89IyvMwtNN5bSTjhRF3gFoWnognYF=w1200|https://lh3.googleusercontent.com/pw/AP1GczM72h87_sxPoaE5QorxF5ROg0A0lFrJDrL0KsZppD-dfz5_a"&amp;"tj_UG6aGLH8ld4f5kcymcrGznHPSMnIO6sRHnMOVFjTeTUslrz7sLnIvdxIwq4uzUAt=w1200|https://lh3.googleusercontent.com/pw/AP1GczPDuOqJx_kdLLI0HqhKlGtmww2jfeQ_OQELAtaUKXP8RdfvkUbqoJZVMXcS7IC4iAkKesi1vX_pdJAtkoHhws0ApXIPZrDS8e2FtbiSLJAS2Mgfwc9j=w1200|https://lh3.googl"&amp;"eusercontent.com/pw/AP1GczNBnj0Z4-y-89Ez8a784FI6a418MmgF6aX-SbLDrthHgjetsVPtWNrZDO5fUR4uMY0bXlJ_7Xr-jSuUF6kRIVNRj5X2BoGF4HZ-d0jlwicFMSicn3RE=w1200|https://lh3.googleusercontent.com/pw/AP1GczMWm_WO7_fnC-oyYBCxGpaHXsTpVyFzWIuRwWqTB-5L4QllOQuklHv6kJQ8K__CAPA"&amp;"-EbXk5cxaP0WQ8jhaBP4TgaRit2CWEcV2CZVO_cA0SUIDfTuL=w1200|https://lh3.googleusercontent.com/pw/AP1GczMDf1BT0ry68mQuO9ZHXVw_xVLSpBD86dWA2cUANSQLoM5y13jAfANDG2Ua9kVnEuu8-X5c8560S2KhbVODxmhMud841IlDFMAZ-KxHsHjsRYswa-2o=w1200|https://lh3.googleusercontent.com/p"&amp;"w/AP1GczMjpNl_zAA2ZHyYk-YivK00dV2f4jXvq53SXkNQoqKvIhzFuCcE2BXdLZru9P_-tn_Yn0SvOsScy3iuGHVMOd4v7Niu2OK2g5Izi_hU8MJquQrwy09-=w1200")</f>
        <v>https://lh3.googleusercontent.com/pw/AP1GczOt3Dx5ZitLk14BU8k7Qwd3gRkwmSbuo-2SwRmMQX8ZWzUUfkSQavfcoW-Wykcfp2mRtp5u5mDUwn4gWmS7LH0XtId8Pyh-oTAzLDIveMwE2q3W7vnI=w1200|https://lh3.googleusercontent.com/pw/AP1GczNJ2nSgLHIhx_03RlomMB2mfrDFyg5Q0noeitOx5gTSZsdTlNCtFL48lqLruZ4RepQ_wvN0Oaz7G1U_GR_O9_Zh60Uhx2_A35IqGTiq-HXUiQN-_Zpa=w1200|https://lh3.googleusercontent.com/pw/AP1GczOueXBin-bv4igy1YLJvgyVsKLNPojneK4T38BxJNZxc-g4jMEoCW63X1FmimEbCS_9xPShRSvnheaqz1HeN2NfYjBSE0e5vt-v5O2z_09mn_hYl8pk=w1200|https://lh3.googleusercontent.com/pw/AP1GczOTeml9WOnAQwRLL-kgRjy6wftJRgtZ3ljNHnTWunDd9Pi09dZtwWBJq_G8wQ9klFiei9Sx5IkdhiXSR_2x8wJLH6OwlFU_SlErxESB36owDSjjCj1t=w1200|https://lh3.googleusercontent.com/pw/AP1GczNDpxTLbSPalv_wqaAUzP1JuLJ_4hiv1XHqr04Uudel9vLW6vB-dowcbP_wsTBV0NOyuoVHpj6Ae09kuoFlI-Y4oiqnxCUqwiqT9z8U1xV0WGxdZDji=w1200|https://lh3.googleusercontent.com/pw/AP1GczNRq_N4pPCeVocJZwdyily64iLviq1IRsx50pnGxdRkbKLSFdVEnR46pkpyq9hAwiQi4BsqO7vuWcmX078MLqJlDHKR3_2CDGoevJm1iAmoF_aSFrlf=w1200|https://lh3.googleusercontent.com/pw/AP1GczO5CSwKqeGwc242UvJlitlhFDi9Zb3XTt63zxB8rchjgFAMoxSBQ79dtxphRd0HexVmYSy4oCBoAsb_N374hk4FNq9PZJOSiGQwG7ZaO8mWIUBgiBlq=w1200|https://lh3.googleusercontent.com/pw/AP1GczM-4YdT3kwwjVGT6DhY0XT1Pi4Yf1o30N6dhXMlTVO_xL53gTyrvGbSmAfbWvPE7dZn-Xp6jUTDnt-n1RhIKeOISlTeKpx2GHqz-daaMlUDSXYItd78=w1200|https://lh3.googleusercontent.com/pw/AP1GczOnB5VSUIrOSCynrzMWIBb_elNQoPDoMkoXY5ZEvh03hrw4VoWecOiFUT5RTw4b3bg1LahwkiApXiHFCIVpmE1lzt_1FxjDQMSw5bOKLjQFh4a_9sWG=w1200|https://lh3.googleusercontent.com/pw/AP1GczPP_nxQYCTXqOQh2j-XPldwUsXx2SQtiZG6rHIdbRXB4uFeHGvtQaVACRsqplUoRCt_f1U7dKZF_R05d4RZ4JCfOsjxgqPpXPrlGzSK7ltUo0DfA0BT=w1200|https://lh3.googleusercontent.com/pw/AP1GczPyBNPNUdkL5AwZajB2B6ZYmldHAkQR7ckruqaCqVQyQyUAvc5q-xfn3R78FjbcfwGpUJR54EQwtigidkvkCj_3KWdC2WyRvI7j3LXiiKZxJALnyIBj=w1200|https://lh3.googleusercontent.com/pw/AP1GczO4VNPrw3jEqKwv1gSun5E-C_0k3Sv0H6-3IrLswqzo6jMeeI-fJeZmoRsRqKa7Su_E05QZV3CM-7xSlZdlH_fTggEjyiIMnolxRFSmxJKjBLR80FVe=w1200|https://lh3.googleusercontent.com/pw/AP1GczMWVOoz4YuInnHOvdawZ3mtEWggM-31l0G-ZxQJ3qjZ3BtX9LKwU36PZeAiRxK__76TjTwuIGDp_lx_iICCTK5V-9qm7oQKq7PTqyUBNCyG5gjIgxpu=w1200|https://lh3.googleusercontent.com/pw/AP1GczO3d4EvIqwC9VYtpZgz1u947Ka91oxGbmqYSvSMj3mhWKXtGah8jUE2jo1KnkCI_l4lmE_ywCqZ5HIqj6mcQBjP8JAB0_9LYNqE57xOeqT8EG2uBpF7=w1200|https://lh3.googleusercontent.com/pw/AP1GczOteZoS_p8aAYsQScMSIKJBKeEkK7_nouzewylWy_m2iFqfF8zae8zRKPojfZgL7zWvSLY4OsI0wBgS2Iiceqk89IyvMwtNN5bSTjhRF3gFoWnognYF=w1200|https://lh3.googleusercontent.com/pw/AP1GczM72h87_sxPoaE5QorxF5ROg0A0lFrJDrL0KsZppD-dfz5_atj_UG6aGLH8ld4f5kcymcrGznHPSMnIO6sRHnMOVFjTeTUslrz7sLnIvdxIwq4uzUAt=w1200|https://lh3.googleusercontent.com/pw/AP1GczPDuOqJx_kdLLI0HqhKlGtmww2jfeQ_OQELAtaUKXP8RdfvkUbqoJZVMXcS7IC4iAkKesi1vX_pdJAtkoHhws0ApXIPZrDS8e2FtbiSLJAS2Mgfwc9j=w1200|https://lh3.googleusercontent.com/pw/AP1GczNBnj0Z4-y-89Ez8a784FI6a418MmgF6aX-SbLDrthHgjetsVPtWNrZDO5fUR4uMY0bXlJ_7Xr-jSuUF6kRIVNRj5X2BoGF4HZ-d0jlwicFMSicn3RE=w1200|https://lh3.googleusercontent.com/pw/AP1GczMWm_WO7_fnC-oyYBCxGpaHXsTpVyFzWIuRwWqTB-5L4QllOQuklHv6kJQ8K__CAPA-EbXk5cxaP0WQ8jhaBP4TgaRit2CWEcV2CZVO_cA0SUIDfTuL=w1200|https://lh3.googleusercontent.com/pw/AP1GczMDf1BT0ry68mQuO9ZHXVw_xVLSpBD86dWA2cUANSQLoM5y13jAfANDG2Ua9kVnEuu8-X5c8560S2KhbVODxmhMud841IlDFMAZ-KxHsHjsRYswa-2o=w1200|https://lh3.googleusercontent.com/pw/AP1GczMjpNl_zAA2ZHyYk-YivK00dV2f4jXvq53SXkNQoqKvIhzFuCcE2BXdLZru9P_-tn_Yn0SvOsScy3iuGHVMOd4v7Niu2OK2g5Izi_hU8MJquQrwy09-=w1200</v>
      </c>
      <c r="AJ300" s="46"/>
      <c r="AK300" s="46"/>
      <c r="AL300" s="46"/>
      <c r="AM300" s="46"/>
      <c r="AN300" s="46"/>
      <c r="AO300" s="46"/>
      <c r="AP300" s="46"/>
      <c r="AQ300" s="46"/>
      <c r="AR300" s="46"/>
      <c r="AS300" s="46"/>
      <c r="AT300" s="46"/>
      <c r="AU300" s="46"/>
      <c r="AV300" s="46"/>
      <c r="AW300" s="46"/>
      <c r="AX300" s="46"/>
      <c r="AY300" s="46"/>
      <c r="AZ300" s="46"/>
      <c r="BA300" s="46"/>
      <c r="BB300" s="46"/>
      <c r="BC300" s="46"/>
      <c r="BD300" s="46"/>
      <c r="BE300" s="46"/>
      <c r="BF300" s="46"/>
      <c r="BG300" s="46"/>
      <c r="BH300" s="46"/>
      <c r="BI300" s="46"/>
      <c r="BJ300" s="46"/>
      <c r="BK300" s="46"/>
      <c r="BL300" s="46"/>
      <c r="BM300" s="46"/>
      <c r="BN300" s="46"/>
      <c r="BO300" s="46"/>
      <c r="BP300" s="46"/>
      <c r="BQ300" s="46"/>
      <c r="BR300" s="46"/>
      <c r="BS300" s="46"/>
      <c r="BT300" s="46"/>
      <c r="BU300" s="46"/>
      <c r="BV300" s="46"/>
      <c r="BW300" s="46"/>
      <c r="BX300" s="46"/>
      <c r="BY300" s="46"/>
      <c r="BZ300" s="46"/>
      <c r="CA300" s="46"/>
      <c r="CB300" s="46"/>
      <c r="CC300" s="46"/>
    </row>
    <row r="301">
      <c r="A301" s="87" t="str">
        <f>IFERROR(__xludf.DUMMYFUNCTION("""COMPUTED_VALUE"""),"1311")</f>
        <v>1311</v>
      </c>
      <c r="B301" s="46" t="str">
        <f>IFERROR(__xludf.DUMMYFUNCTION("""COMPUTED_VALUE"""),"Casa en conjunto Yahaira - Norte")</f>
        <v>Casa en conjunto Yahaira - Norte</v>
      </c>
      <c r="C301" s="46" t="str">
        <f>IFERROR(__xludf.DUMMYFUNCTION("""COMPUTED_VALUE"""),"Casa en conjunto")</f>
        <v>Casa en conjunto</v>
      </c>
      <c r="D301" s="46" t="str">
        <f>IFERROR(__xludf.DUMMYFUNCTION("""COMPUTED_VALUE"""),"Los Pinos")</f>
        <v>Los Pinos</v>
      </c>
      <c r="E301" s="46"/>
      <c r="F301" s="90">
        <f>IFERROR(__xludf.DUMMYFUNCTION("""COMPUTED_VALUE"""),3.8E8)</f>
        <v>380000000</v>
      </c>
      <c r="G301" s="46" t="str">
        <f>IFERROR(__xludf.DUMMYFUNCTION("""COMPUTED_VALUE"""),"$300'000.000 a $400'000.000")</f>
        <v>$300'000.000 a $400'000.000</v>
      </c>
      <c r="H301" s="46"/>
      <c r="I301" s="46"/>
      <c r="J301" s="46" t="str">
        <f>IFERROR(__xludf.DUMMYFUNCTION("""COMPUTED_VALUE"""),"Norte")</f>
        <v>Norte</v>
      </c>
      <c r="K301" s="87" t="str">
        <f>IFERROR(__xludf.DUMMYFUNCTION("""COMPUTED_VALUE"""),"2")</f>
        <v>2</v>
      </c>
      <c r="L301" s="46">
        <f>IFERROR(__xludf.DUMMYFUNCTION("""COMPUTED_VALUE"""),4.0)</f>
        <v>4</v>
      </c>
      <c r="M301" s="46">
        <f>IFERROR(__xludf.DUMMYFUNCTION("""COMPUTED_VALUE"""),1.0)</f>
        <v>1</v>
      </c>
      <c r="N301" s="46">
        <f>IFERROR(__xludf.DUMMYFUNCTION("""COMPUTED_VALUE"""),3.0)</f>
        <v>3</v>
      </c>
      <c r="O301" s="46">
        <f>IFERROR(__xludf.DUMMYFUNCTION("""COMPUTED_VALUE"""),1.0)</f>
        <v>1</v>
      </c>
      <c r="P301" s="46">
        <f>IFERROR(__xludf.DUMMYFUNCTION("""COMPUTED_VALUE"""),2.0)</f>
        <v>2</v>
      </c>
      <c r="Q301" s="92">
        <f>IFERROR(__xludf.DUMMYFUNCTION("""COMPUTED_VALUE"""),126.0)</f>
        <v>126</v>
      </c>
      <c r="R301" s="92">
        <f>IFERROR(__xludf.DUMMYFUNCTION("""COMPUTED_VALUE"""),80.0)</f>
        <v>80</v>
      </c>
      <c r="S301" s="87" t="str">
        <f>IFERROR(__xludf.DUMMYFUNCTION("""COMPUTED_VALUE""")," ")</f>
        <v> </v>
      </c>
      <c r="T301" s="46" t="str">
        <f>IFERROR(__xludf.DUMMYFUNCTION("""COMPUTED_VALUE"""),"Neiva")</f>
        <v>Neiva</v>
      </c>
      <c r="U301" s="87" t="str">
        <f>IFERROR(__xludf.DUMMYFUNCTION("""COMPUTED_VALUE"""),"2")</f>
        <v>2</v>
      </c>
      <c r="V301" s="46" t="str">
        <f>IFERROR(__xludf.DUMMYFUNCTION("""COMPUTED_VALUE"""),"Medianera")</f>
        <v>Medianera</v>
      </c>
      <c r="W301" s="46"/>
      <c r="X301" s="46">
        <f>IFERROR(__xludf.DUMMYFUNCTION("""COMPUTED_VALUE"""),4.0)</f>
        <v>4</v>
      </c>
      <c r="Y301" s="46" t="str">
        <f>IFERROR(__xludf.DUMMYFUNCTION("""COMPUTED_VALUE"""),"No tiene")</f>
        <v>No tiene</v>
      </c>
      <c r="Z301" s="90">
        <f>IFERROR(__xludf.DUMMYFUNCTION("""COMPUTED_VALUE"""),353000.0)</f>
        <v>353000</v>
      </c>
      <c r="AA301" s="33" t="str">
        <f>IFERROR(__xludf.DUMMYFUNCTION("""COMPUTED_VALUE"""),"No aplica")</f>
        <v>No aplica</v>
      </c>
      <c r="AB301" s="144" t="str">
        <f>IFERROR(__xludf.DUMMYFUNCTION("""COMPUTED_VALUE"""),"https://photos.app.goo.gl/LFBQojRRi5gPRiA16")</f>
        <v>https://photos.app.goo.gl/LFBQojRRi5gPRiA16</v>
      </c>
      <c r="AC301" s="46" t="str">
        <f>IFERROR(__xludf.DUMMYFUNCTION("""COMPUTED_VALUE"""),"Distribución: Primer piso que consta parqueadero sencillo, sala, comedor, cocina integral, una habitación, baño social, patio de ropas y zona de lavandería, segundo piso: consta de hall de alcobas, balcón, dos habitaciones auxiliares con closet una de ell"&amp;"as con aire acondicionado, habitación principal amplia con aire acondicionado, closet y baño privado amplio.")</f>
        <v>Distribución: Primer piso que consta parqueadero sencillo, sala, comedor, cocina integral, una habitación, baño social, patio de ropas y zona de lavandería, segundo piso: consta de hall de alcobas, balcón, dos habitaciones auxiliares con closet una de ellas con aire acondicionado, habitación principal amplia con aire acondicionado, closet y baño privado amplio.</v>
      </c>
      <c r="AD301" s="46" t="str">
        <f>IFERROR(__xludf.DUMMYFUNCTION("""COMPUTED_VALUE"""),"El conjunto cuenta con 42 casas.  Casas de dos plantas en el norte de la ciudad, a una cuadra de los centros comerciales san juan plaza, san pedro plaza y Homecenter. Estrato 2, el conjunto cuenta con servicio de vigilancia las 24 horas del día, tiene zon"&amp;"as verdes y parque infantill.")</f>
        <v>El conjunto cuenta con 42 casas.  Casas de dos plantas en el norte de la ciudad, a una cuadra de los centros comerciales san juan plaza, san pedro plaza y Homecenter. Estrato 2, el conjunto cuenta con servicio de vigilancia las 24 horas del día, tiene zonas verdes y parque infantill.</v>
      </c>
      <c r="AE301" s="46"/>
      <c r="AF301" s="46" t="str">
        <f>IFERROR(__xludf.DUMMYFUNCTION("""COMPUTED_VALUE"""),"integral")</f>
        <v>integral</v>
      </c>
      <c r="AG301" s="46"/>
      <c r="AH301" s="46" t="str">
        <f>IFERROR(__xludf.DUMMYFUNCTION("""COMPUTED_VALUE"""),"Aliado")</f>
        <v>Aliado</v>
      </c>
      <c r="AI301" s="92" t="str">
        <f>IFERROR(__xludf.DUMMYFUNCTION("""COMPUTED_VALUE"""),"https://lh3.googleusercontent.com/pw/AP1GczOs4t-SKIj3sV92ycryDx9PU0vIunigKKOXDEWxLVbfus_8sZg1g2yTvglt4Z3urm6ynG7opNrDcaJV7gPbdcBybPvMrrcXh2X84BAY7xPg3Ss-fUCE=w1200|https://lh3.googleusercontent.com/pw/AP1GczPrGvpGCpzyIsSQIU6sJEH76qc75P0-6Mo4CTihDOjHXhBN6m"&amp;"zb3LDdxQjkRc-vLOEmz_kHgsSexpaRioCLrViPHV7QHcl-FkjWU6EsP5ab84TCbbtR=w1200|https://lh3.googleusercontent.com/pw/AP1GczNsQLx6oWmkH1xia24N3sldJKVaGFUmHWczLpmn07hxx7beUYiCL3DhhuIif4Gbni_7Vtx6xgqJuNVk2eAD8LEwXXHIpqI3gmkcNbA7GkkluBoLhf50=w1200|https://lh3.google"&amp;"usercontent.com/pw/AP1GczORAotVTiXfF9Wd7ZTOQnKcWiExo-Vq0bB_iyY84eDalpVIuf1CbvsF2dJhOfM5wZMLZs8UR1uYNsH-JnLRWjFJ1kaD7KSbV3indrbXpAxTNwvHL2fw=w1200|https://lh3.googleusercontent.com/pw/AP1GczNTU8q7N30A5EAz835Ede0juz-PhOc9uek6EUUaxO4wdQ2m2W_69TmZqROJaNRednI9"&amp;"bBX2FuLHvj4aVxKzuvMFh1meyysCRXGkSiZdFfyJocojUbNB=w1200|https://lh3.googleusercontent.com/pw/AP1GczN-Rz9wq7FGYwbZM6jXqg-lUirEI5T1AdTdRjP8DDAfvqM3ILw0viXYKUvDAD4tQ2rPW_ZXjbJEac_3Wqaia8NxxeD84eMSnU7LqelzeY65meRHVuE_=w1200|https://lh3.googleusercontent.com/pw"&amp;"/AP1GczM8YbDyMFnxDdxSXYhFQ6shEvju6Kzk72pEJpObKb7Ag6XpKQDBmjLOLAx7HuewwOeYwGd5lEkiraQ4UMYUv0SbGdpielcauCACNzqIRp456N2u1Cki=w1200|https://lh3.googleusercontent.com/pw/AP1GczOHMrhFJdPoh3p8_pzplQkF5aI-qWyax2c0JZMTz8VMkx54p0SCte-bKjKqfCkOmHR7R_uh-WSZucyqa4CRYq"&amp;"udJe7QuRwZQeo_hE_1089fUbXg0bcy=w1200|https://lh3.googleusercontent.com/pw/AP1GczMgYYBKFWHZ6crFTkNpp3Q5vffB_OzB_V6EfYIRUIH_W_ZvEYtITtq1G_HLU2j799qgFySk9Aaj-U2VnoeNHhQWuZS0AXezSOXTKkAjv4ZqsP-h7tgq=w1200|https://lh3.googleusercontent.com/pw/AP1GczMgC6Zd-egSt"&amp;"TzfK2h8RHCOL4n0rX3ATynPDrBT5K3h_e_BJApTx5y56BWRl7kSvUM9JkMi1MhT_1q0X4DyEo5OeB9ihD7UkFqUw6RBUZ8qoWJUKdrI=w1200|https://lh3.googleusercontent.com/pw/AP1GczOWmWZtF53bHc171AJGcOGmC1DlUVW1fL1NS5fSb8ZSKZxFEz0EfsIKE_g1gPRgbx5ehGvRgNltWjw6lhUQv7tdW3CwmI6ahrm70H-H"&amp;"OXITCcqi78Aq=w1200|https://lh3.googleusercontent.com/pw/AP1GczOq-kcqYM5EZg1fZDfs5GNXUbaHRcpWKKgRyG26w8hLUQKTs7oAl01sFf_5uRnaVrfSF-uZKF_lyXID1UqNIV0oyadn96lnp7g1qceBD4POeyC2hXXk=w1200|https://lh3.googleusercontent.com/pw/AP1GczOQJnsaYlq4VuewYvHnFhb0-XNmRSt"&amp;"ZvpPOcaB46whxfHf2T2zmpKQ4l2iVAHV3N8UikjWJiEB9AUIfxRcuB7kpVe0Ugv6zgMxAyKbofmUqQNhW_kI4=w1200|https://lh3.googleusercontent.com/pw/AP1GczPIrTWrpI1tblsdG9hemKR7WvHiExPd-TQ2JDF9JBzA3HUZNnHBBXwN41GZ6QydDUCkizuODwfoDAlk5HvxVBpLnjb9t5Pj0UQEbSLp1VZddn1Tj1vA=w1200"&amp;"|https://lh3.googleusercontent.com/pw/AP1GczNUyPUBb3yjWpgbhF2U5cJOnTMAYLfeQZL0bxO83atczruxcDHP-L0nUecwdnL5izZnNUyosyWk-4ZHTrFK-Bssi2VEuTH_TjRaTk-fdgj2mU1Ek5HX=w1200|https://lh3.googleusercontent.com/pw/AP1GczMEOVlzasYZ0l8uyhQJxt9C78KqSI6ajKbkO78asWqIQGerv"&amp;"oqx0uWrZwpzl2tqiEADwDN-dd4WMu7yRnXhEUW17XwIHT917zQ-p-Q-f-KOqy4-I45M=w1200|https://lh3.googleusercontent.com/pw/AP1GczMaA5HIo4PRlVvzhzyqFvoq9imK8pe6jvsktSw8XM9yhRszIlEPcuH_h0Octcc5UzTVkFXVAO2Iih_dFqfj255rOt8e9Ly_sogibzjxH283g9mxPvaY=w1200|https://lh3.googl"&amp;"eusercontent.com/pw/AP1GczMPFVKT9WmVHnym3PQS2s1UQ5SO8D7Her8fGeq3Eux7YO2AIq2lu1NMISZfLNnoV93Kka0V9obMsIaaD4O18T_lWEl-vkEugcQFP8YmBzt6O_0TQnfo=w1200|https://lh3.googleusercontent.com/pw/AP1GczP12kc3MR5H95EcwQj7JPXtMKzX8RliwYpWoaC8abDUZhUi39AZDOV-03u4adXVLAr"&amp;"9buEUufvoZ66f5WcxDFxshnsN59-xqI0Dg-93bGf5nbdnw6A-=w1200|https://lh3.googleusercontent.com/pw/AP1GczO6hKGKtnaboyXseLc4UW0WsGiWOKI-Oh00klP3FakM880RVgFB_aukHhnTYfUKh2f7ES8gu9W0qW91xbxu6bnLGdZrdWGvOeIwLISw9LMY1tZl4Yr7=w1200|https://lh3.googleusercontent.com/p"&amp;"w/AP1GczP0t2T9jJD4n05G1yOf5CEIco25EjUf8kU7tqFQ2GpUwCACc9BcQ-j0jcPAtggsCidodmPPkcZGeRDcmnicPTliGPJ8PTBGwJjCYN_xoXQ-9WyDA1j-=w1200|https://lh3.googleusercontent.com/pw/AP1GczMv-i3NwRTymfwEuwTK_Er1oh4PYK8nlq-5r6-LY_i0p4XEl9obSPvP6SkPImfpZBVMkU1sfgCy7PWLZ-b-l"&amp;"jkOVovSbnyW8s7C-wXwA461KcvkaBfE=w1200|https://lh3.googleusercontent.com/pw/AP1GczOn8ysyrZDFVAFIOTTNzYrSraycxZWsxVJmHWgj55kZxiFNoTbq0NdcN_orOmy3HrDPK3ZhQtjdepSl3eAJMgGKbmqW_qavTf9J2ShW5D4VvHtwH_uY=w1200")</f>
        <v>https://lh3.googleusercontent.com/pw/AP1GczOs4t-SKIj3sV92ycryDx9PU0vIunigKKOXDEWxLVbfus_8sZg1g2yTvglt4Z3urm6ynG7opNrDcaJV7gPbdcBybPvMrrcXh2X84BAY7xPg3Ss-fUCE=w1200|https://lh3.googleusercontent.com/pw/AP1GczPrGvpGCpzyIsSQIU6sJEH76qc75P0-6Mo4CTihDOjHXhBN6mzb3LDdxQjkRc-vLOEmz_kHgsSexpaRioCLrViPHV7QHcl-FkjWU6EsP5ab84TCbbtR=w1200|https://lh3.googleusercontent.com/pw/AP1GczNsQLx6oWmkH1xia24N3sldJKVaGFUmHWczLpmn07hxx7beUYiCL3DhhuIif4Gbni_7Vtx6xgqJuNVk2eAD8LEwXXHIpqI3gmkcNbA7GkkluBoLhf50=w1200|https://lh3.googleusercontent.com/pw/AP1GczORAotVTiXfF9Wd7ZTOQnKcWiExo-Vq0bB_iyY84eDalpVIuf1CbvsF2dJhOfM5wZMLZs8UR1uYNsH-JnLRWjFJ1kaD7KSbV3indrbXpAxTNwvHL2fw=w1200|https://lh3.googleusercontent.com/pw/AP1GczNTU8q7N30A5EAz835Ede0juz-PhOc9uek6EUUaxO4wdQ2m2W_69TmZqROJaNRednI9bBX2FuLHvj4aVxKzuvMFh1meyysCRXGkSiZdFfyJocojUbNB=w1200|https://lh3.googleusercontent.com/pw/AP1GczN-Rz9wq7FGYwbZM6jXqg-lUirEI5T1AdTdRjP8DDAfvqM3ILw0viXYKUvDAD4tQ2rPW_ZXjbJEac_3Wqaia8NxxeD84eMSnU7LqelzeY65meRHVuE_=w1200|https://lh3.googleusercontent.com/pw/AP1GczM8YbDyMFnxDdxSXYhFQ6shEvju6Kzk72pEJpObKb7Ag6XpKQDBmjLOLAx7HuewwOeYwGd5lEkiraQ4UMYUv0SbGdpielcauCACNzqIRp456N2u1Cki=w1200|https://lh3.googleusercontent.com/pw/AP1GczOHMrhFJdPoh3p8_pzplQkF5aI-qWyax2c0JZMTz8VMkx54p0SCte-bKjKqfCkOmHR7R_uh-WSZucyqa4CRYqudJe7QuRwZQeo_hE_1089fUbXg0bcy=w1200|https://lh3.googleusercontent.com/pw/AP1GczMgYYBKFWHZ6crFTkNpp3Q5vffB_OzB_V6EfYIRUIH_W_ZvEYtITtq1G_HLU2j799qgFySk9Aaj-U2VnoeNHhQWuZS0AXezSOXTKkAjv4ZqsP-h7tgq=w1200|https://lh3.googleusercontent.com/pw/AP1GczMgC6Zd-egStTzfK2h8RHCOL4n0rX3ATynPDrBT5K3h_e_BJApTx5y56BWRl7kSvUM9JkMi1MhT_1q0X4DyEo5OeB9ihD7UkFqUw6RBUZ8qoWJUKdrI=w1200|https://lh3.googleusercontent.com/pw/AP1GczOWmWZtF53bHc171AJGcOGmC1DlUVW1fL1NS5fSb8ZSKZxFEz0EfsIKE_g1gPRgbx5ehGvRgNltWjw6lhUQv7tdW3CwmI6ahrm70H-HOXITCcqi78Aq=w1200|https://lh3.googleusercontent.com/pw/AP1GczOq-kcqYM5EZg1fZDfs5GNXUbaHRcpWKKgRyG26w8hLUQKTs7oAl01sFf_5uRnaVrfSF-uZKF_lyXID1UqNIV0oyadn96lnp7g1qceBD4POeyC2hXXk=w1200|https://lh3.googleusercontent.com/pw/AP1GczOQJnsaYlq4VuewYvHnFhb0-XNmRStZvpPOcaB46whxfHf2T2zmpKQ4l2iVAHV3N8UikjWJiEB9AUIfxRcuB7kpVe0Ugv6zgMxAyKbofmUqQNhW_kI4=w1200|https://lh3.googleusercontent.com/pw/AP1GczPIrTWrpI1tblsdG9hemKR7WvHiExPd-TQ2JDF9JBzA3HUZNnHBBXwN41GZ6QydDUCkizuODwfoDAlk5HvxVBpLnjb9t5Pj0UQEbSLp1VZddn1Tj1vA=w1200|https://lh3.googleusercontent.com/pw/AP1GczNUyPUBb3yjWpgbhF2U5cJOnTMAYLfeQZL0bxO83atczruxcDHP-L0nUecwdnL5izZnNUyosyWk-4ZHTrFK-Bssi2VEuTH_TjRaTk-fdgj2mU1Ek5HX=w1200|https://lh3.googleusercontent.com/pw/AP1GczMEOVlzasYZ0l8uyhQJxt9C78KqSI6ajKbkO78asWqIQGervoqx0uWrZwpzl2tqiEADwDN-dd4WMu7yRnXhEUW17XwIHT917zQ-p-Q-f-KOqy4-I45M=w1200|https://lh3.googleusercontent.com/pw/AP1GczMaA5HIo4PRlVvzhzyqFvoq9imK8pe6jvsktSw8XM9yhRszIlEPcuH_h0Octcc5UzTVkFXVAO2Iih_dFqfj255rOt8e9Ly_sogibzjxH283g9mxPvaY=w1200|https://lh3.googleusercontent.com/pw/AP1GczMPFVKT9WmVHnym3PQS2s1UQ5SO8D7Her8fGeq3Eux7YO2AIq2lu1NMISZfLNnoV93Kka0V9obMsIaaD4O18T_lWEl-vkEugcQFP8YmBzt6O_0TQnfo=w1200|https://lh3.googleusercontent.com/pw/AP1GczP12kc3MR5H95EcwQj7JPXtMKzX8RliwYpWoaC8abDUZhUi39AZDOV-03u4adXVLAr9buEUufvoZ66f5WcxDFxshnsN59-xqI0Dg-93bGf5nbdnw6A-=w1200|https://lh3.googleusercontent.com/pw/AP1GczO6hKGKtnaboyXseLc4UW0WsGiWOKI-Oh00klP3FakM880RVgFB_aukHhnTYfUKh2f7ES8gu9W0qW91xbxu6bnLGdZrdWGvOeIwLISw9LMY1tZl4Yr7=w1200|https://lh3.googleusercontent.com/pw/AP1GczP0t2T9jJD4n05G1yOf5CEIco25EjUf8kU7tqFQ2GpUwCACc9BcQ-j0jcPAtggsCidodmPPkcZGeRDcmnicPTliGPJ8PTBGwJjCYN_xoXQ-9WyDA1j-=w1200|https://lh3.googleusercontent.com/pw/AP1GczMv-i3NwRTymfwEuwTK_Er1oh4PYK8nlq-5r6-LY_i0p4XEl9obSPvP6SkPImfpZBVMkU1sfgCy7PWLZ-b-ljkOVovSbnyW8s7C-wXwA461KcvkaBfE=w1200|https://lh3.googleusercontent.com/pw/AP1GczOn8ysyrZDFVAFIOTTNzYrSraycxZWsxVJmHWgj55kZxiFNoTbq0NdcN_orOmy3HrDPK3ZhQtjdepSl3eAJMgGKbmqW_qavTf9J2ShW5D4VvHtwH_uY=w1200</v>
      </c>
      <c r="AJ301" s="46"/>
      <c r="AK301" s="46"/>
      <c r="AL301" s="46"/>
      <c r="AM301" s="46"/>
      <c r="AN301" s="46"/>
      <c r="AO301" s="46"/>
      <c r="AP301" s="46"/>
      <c r="AQ301" s="46"/>
      <c r="AR301" s="46"/>
      <c r="AS301" s="46"/>
      <c r="AT301" s="46"/>
      <c r="AU301" s="46"/>
      <c r="AV301" s="46"/>
      <c r="AW301" s="46"/>
      <c r="AX301" s="46"/>
      <c r="AY301" s="46"/>
      <c r="AZ301" s="46"/>
      <c r="BA301" s="46"/>
      <c r="BB301" s="46"/>
      <c r="BC301" s="46"/>
      <c r="BD301" s="46"/>
      <c r="BE301" s="46"/>
      <c r="BF301" s="46"/>
      <c r="BG301" s="46"/>
      <c r="BH301" s="46"/>
      <c r="BI301" s="46"/>
      <c r="BJ301" s="46"/>
      <c r="BK301" s="46"/>
      <c r="BL301" s="46"/>
      <c r="BM301" s="46"/>
      <c r="BN301" s="46"/>
      <c r="BO301" s="46"/>
      <c r="BP301" s="46"/>
      <c r="BQ301" s="46"/>
      <c r="BR301" s="46"/>
      <c r="BS301" s="46"/>
      <c r="BT301" s="46"/>
      <c r="BU301" s="46"/>
      <c r="BV301" s="46"/>
      <c r="BW301" s="46"/>
      <c r="BX301" s="46"/>
      <c r="BY301" s="46"/>
      <c r="BZ301" s="46"/>
      <c r="CA301" s="46"/>
      <c r="CB301" s="46"/>
      <c r="CC301" s="46"/>
    </row>
    <row r="302">
      <c r="A302" s="87" t="str">
        <f>IFERROR(__xludf.DUMMYFUNCTION("""COMPUTED_VALUE"""),"632")</f>
        <v>632</v>
      </c>
      <c r="B302" s="46" t="str">
        <f>IFERROR(__xludf.DUMMYFUNCTION("""COMPUTED_VALUE"""),"Casa en barrio Los Cámbulos II")</f>
        <v>Casa en barrio Los Cámbulos II</v>
      </c>
      <c r="C302" s="46" t="str">
        <f>IFERROR(__xludf.DUMMYFUNCTION("""COMPUTED_VALUE"""),"Casa")</f>
        <v>Casa</v>
      </c>
      <c r="D302" s="46" t="str">
        <f>IFERROR(__xludf.DUMMYFUNCTION("""COMPUTED_VALUE"""),"Los Cámbulos II")</f>
        <v>Los Cámbulos II</v>
      </c>
      <c r="E302" s="90" t="str">
        <f>IFERROR(__xludf.DUMMYFUNCTION("""COMPUTED_VALUE""")," ")</f>
        <v> </v>
      </c>
      <c r="F302" s="90">
        <f>IFERROR(__xludf.DUMMYFUNCTION("""COMPUTED_VALUE"""),3.0E8)</f>
        <v>300000000</v>
      </c>
      <c r="G302" s="46" t="str">
        <f>IFERROR(__xludf.DUMMYFUNCTION("""COMPUTED_VALUE"""),"$300'000.000 a $400'000.000")</f>
        <v>$300'000.000 a $400'000.000</v>
      </c>
      <c r="H302" s="46"/>
      <c r="I302" s="46"/>
      <c r="J302" s="46" t="str">
        <f>IFERROR(__xludf.DUMMYFUNCTION("""COMPUTED_VALUE"""),"Norte")</f>
        <v>Norte</v>
      </c>
      <c r="K302" s="87" t="str">
        <f>IFERROR(__xludf.DUMMYFUNCTION("""COMPUTED_VALUE"""),"2")</f>
        <v>2</v>
      </c>
      <c r="L302" s="46">
        <f>IFERROR(__xludf.DUMMYFUNCTION("""COMPUTED_VALUE"""),4.0)</f>
        <v>4</v>
      </c>
      <c r="M302" s="46"/>
      <c r="N302" s="46">
        <f>IFERROR(__xludf.DUMMYFUNCTION("""COMPUTED_VALUE"""),2.0)</f>
        <v>2</v>
      </c>
      <c r="O302" s="46">
        <f>IFERROR(__xludf.DUMMYFUNCTION("""COMPUTED_VALUE"""),1.0)</f>
        <v>1</v>
      </c>
      <c r="P302" s="46">
        <f>IFERROR(__xludf.DUMMYFUNCTION("""COMPUTED_VALUE"""),2.0)</f>
        <v>2</v>
      </c>
      <c r="Q302" s="92">
        <f>IFERROR(__xludf.DUMMYFUNCTION("""COMPUTED_VALUE"""),154.0)</f>
        <v>154</v>
      </c>
      <c r="R302" s="92">
        <f>IFERROR(__xludf.DUMMYFUNCTION("""COMPUTED_VALUE"""),84.0)</f>
        <v>84</v>
      </c>
      <c r="S302" s="87" t="str">
        <f>IFERROR(__xludf.DUMMYFUNCTION("""COMPUTED_VALUE""")," ")</f>
        <v> </v>
      </c>
      <c r="T302" s="46" t="str">
        <f>IFERROR(__xludf.DUMMYFUNCTION("""COMPUTED_VALUE"""),"Neiva")</f>
        <v>Neiva</v>
      </c>
      <c r="U302" s="87" t="str">
        <f>IFERROR(__xludf.DUMMYFUNCTION("""COMPUTED_VALUE"""),"3")</f>
        <v>3</v>
      </c>
      <c r="V302" s="46" t="str">
        <f>IFERROR(__xludf.DUMMYFUNCTION("""COMPUTED_VALUE"""),"Medianera")</f>
        <v>Medianera</v>
      </c>
      <c r="W302" s="46"/>
      <c r="X302" s="46">
        <f>IFERROR(__xludf.DUMMYFUNCTION("""COMPUTED_VALUE"""),4.0)</f>
        <v>4</v>
      </c>
      <c r="Y302" s="46" t="str">
        <f>IFERROR(__xludf.DUMMYFUNCTION("""COMPUTED_VALUE"""),"No tiene")</f>
        <v>No tiene</v>
      </c>
      <c r="Z302" s="90" t="str">
        <f>IFERROR(__xludf.DUMMYFUNCTION("""COMPUTED_VALUE"""),"No aplica")</f>
        <v>No aplica</v>
      </c>
      <c r="AA302" s="33" t="str">
        <f>IFERROR(__xludf.DUMMYFUNCTION("""COMPUTED_VALUE"""),"No aplica")</f>
        <v>No aplica</v>
      </c>
      <c r="AB302" s="96" t="str">
        <f>IFERROR(__xludf.DUMMYFUNCTION("""COMPUTED_VALUE"""),"https://photos.app.goo.gl/pxVobcSFy1uBe4M57")</f>
        <v>https://photos.app.goo.gl/pxVobcSFy1uBe4M57</v>
      </c>
      <c r="AC302" s="46"/>
      <c r="AD302" s="46" t="str">
        <f>IFERROR(__xludf.DUMMYFUNCTION("""COMPUTED_VALUE"""),"Casa bien ubicada, con acabados en mármol madera y Driwall. Escritura al día.")</f>
        <v>Casa bien ubicada, con acabados en mármol madera y Driwall. Escritura al día.</v>
      </c>
      <c r="AE302" s="46"/>
      <c r="AF302" s="46" t="str">
        <f>IFERROR(__xludf.DUMMYFUNCTION("""COMPUTED_VALUE"""),"semi-integral")</f>
        <v>semi-integral</v>
      </c>
      <c r="AG302" s="46"/>
      <c r="AH302" s="46" t="str">
        <f>IFERROR(__xludf.DUMMYFUNCTION("""COMPUTED_VALUE"""),"Aliado")</f>
        <v>Aliado</v>
      </c>
      <c r="AI302" s="92" t="str">
        <f>IFERROR(__xludf.DUMMYFUNCTION("""COMPUTED_VALUE"""),"https://lh3.googleusercontent.com/pw/AP1GczMFAoeK0WCwOw-MJE8VzkaXFTFVVBxIYHBqD4qRA_KQ29nfo__UV3AprYn3W9NCLV1GzwWwJlM05Dit3IVGABoCQrCPLtdRdLg1Wb1jVeCQESMqfcvc=w1200|https://lh3.googleusercontent.com/pw/AP1GczPaWUaPgyczcoLbGaJw1HRgNsvadydZ_JdnP3nejCi7wmLWDe"&amp;"Hk3uzt68kdjHjOqyH4iy1d1MAxN3ufkhdZExSYJSD5dQCYrn7QOy0bTJS4moZ5dFUG=w1200|https://lh3.googleusercontent.com/pw/AP1GczPGwodAcddJOlPsSvMxk-UVHDRGAVE1u6DgeHglppTk-nTKVjyLK8HUFl_FAWiCiSs6gJn1akZ5Huh4IBQNWmKbo9taXlNcS1h8rH-KqjN8pTPAR1Ct=w1200|https://lh3.google"&amp;"usercontent.com/pw/AP1GczOdzsY7UvIvi-6BvUAka2bJw0Sr8m0NaLphXHp7ADP1ajL6q1-7VZwl1jh27r5FYvBH-5kKVB0J-mA3EhGmVjkiGKMJ25WkxnbG4ZbNABAANYBLn_9B=w1200|https://lh3.googleusercontent.com/pw/AP1GczOTGgJ5wBEJ3vIpkKyRtFgt1nj-sVKwDYDPMqUgZtLerqj6zIh8crsbKSlwTb4aBNrw"&amp;"2U3GH5B_IUfmnArmAadeBdZre5rgGOuru750OqK3s8P3sBS2=w1200|https://lh3.googleusercontent.com/pw/AP1GczMj2d_0IRwgNZKuOuiIB6--0JyMj-1Bq96GFqt8ZdM4X2giMLDSQnr9HTI9oNpLivi_bhdNfqEY7GQ46_WJspGimTAv6t_6fufDxddup7TWUigxA4gE=w1200|https://lh3.googleusercontent.com/pw"&amp;"/AP1GczOcrgIlvC2vd-DBbJarkfZprJw6GV7Ihedyof7IFPqtCpAZlUacKLDZf9VPXQQeipRjnsefwWIRR4vwXrQJBYkG2Q8qCX0LuT_PctJzaaGqlFEzHBGH=w1200|https://lh3.googleusercontent.com/pw/AP1GczNEnE8jMzkVv4WKL3t41p53oeDyf7qVjwB7plKWJqbs0nGMJCXHuLg1faKmhK4-xcHz_vfj_hqiojeXtpPZ3I"&amp;"v7YjI0xrV4h466cTEtU7izqb9Wg5wr=w1200|https://lh3.googleusercontent.com/pw/AP1GczM0TvtU4B8ee4GAN48KPUk9cLvu07mFXgmRADL3Am1es3zcuwmaIydvMpWa5w28hCb_HRjCud6Oq2QSnrFYjda31K_d8IpoL5oiDwc_orgFEoclZ_zP=w1200|https://lh3.googleusercontent.com/pw/AP1GczONDKoPnXKr9"&amp;"1ybr12semuE_to4Og7ylRlbNAXGCATK4mqXilPZPWJ2HF3QxX69415qdrbpxZwsnV9Lm-HCn8Emghar0TqOYa8WRRjn1yuKWHicDtrU=w1200|https://lh3.googleusercontent.com/pw/AP1GczOvEezED6R8X5wyzJ7LdBwZWwGcsUujaB0Jm6NRUbnbH1D-4YJM1XD4xJYH1PFChPO7tr7Ak2QsEvo16tUO24LYLg76OnE0FxE1dPDi"&amp;"COs_DzgbSqvr=w1200|https://lh3.googleusercontent.com/pw/AP1GczMBJOGj5ep-Cc2b_zMwD1zvYBu9lsoJJXXo3rHzW5ymGwPZ8-TFfp9WdL-pCizAkf8iYlKefzGILPYaFCQpUt-rvAq0B-y1zGmpvyImxBYQDXVlzw02=w1200|https://lh3.googleusercontent.com/pw/AP1GczNYDXffdbQzd_XfZgp-JLKASnro6AL"&amp;"4T3hgY5SyDfZneVftAwhWmFDdXIKRw4cmKqw-cz3z9HzbELvg8dttbyt9H8kmqZbhzvBttNa9_YbdJLh3EQhB=w1200|https://lh3.googleusercontent.com/pw/AP1GczNYhr2EmY7HpjTmG_vUL4yte_bwuuusfUJHJSmLJPaZIU-PZmJhVfB0G32qhxjPEcKdaj_a5IzjDt4EXOh4z6adRbsJcSAk9f13VdeCrlqHkiX0Bi5R=w1200"&amp;"|https://lh3.googleusercontent.com/pw/AP1GczMFAiC8mjdSbEZqnYah8ew4YRvQa08w35qdSDmhqufOPU69ST_NC91_XcwbZG940peRXMfZZqpfmX4YTZDYQXxVySt-BjzgGkNeDmmv0acCmkeoFrDH=w1200|https://lh3.googleusercontent.com/pw/AP1GczMp0_cENDjdKTjdTo20JWeBrAXy-gENmZH2q-u2pzSn9xLl9"&amp;"3Lt_UO7_9Y89hnEqrQgRljBKHKvv3IM4vYdbGPz7oqsA1rmgh6LGwryFwfNmUQAwkT7=w1200|https://lh3.googleusercontent.com/pw/AP1GczPMym17sffE1kdaS4-m-a8dMj_lbVG2pDZax5NaZn7083ToA5LUX1KJ_TnAdqCAuQAQ04xEoIwdP6tmutKDGSxOSNsWCFjPeNPyN4tXRgwZnyRNcByX=w1200|https://lh3.googl"&amp;"eusercontent.com/pw/AP1GczPJDj0pZ37YKwcmpwRqaLonzTOKWKFXjOsJEKzcPZFhGvr-BY_93r0NMZ8tcclqGJSiMiWa74XoDfDw6M_B5NXSrk2ka7cDNEcNmJwV0-92fsIjVwyn=w1200|https://lh3.googleusercontent.com/pw/AP1GczO7LUnoO0nbjXs0VN4HVHQtR3Y6tuivc08C-iYB92-M5eXoKkD9tcgOE8Im339DgbO"&amp;"7SykjLGoCZURck4kB3BKs3T4XengAauz0qjAmWy-NM-tBlJUG=w1200")</f>
        <v>https://lh3.googleusercontent.com/pw/AP1GczMFAoeK0WCwOw-MJE8VzkaXFTFVVBxIYHBqD4qRA_KQ29nfo__UV3AprYn3W9NCLV1GzwWwJlM05Dit3IVGABoCQrCPLtdRdLg1Wb1jVeCQESMqfcvc=w1200|https://lh3.googleusercontent.com/pw/AP1GczPaWUaPgyczcoLbGaJw1HRgNsvadydZ_JdnP3nejCi7wmLWDeHk3uzt68kdjHjOqyH4iy1d1MAxN3ufkhdZExSYJSD5dQCYrn7QOy0bTJS4moZ5dFUG=w1200|https://lh3.googleusercontent.com/pw/AP1GczPGwodAcddJOlPsSvMxk-UVHDRGAVE1u6DgeHglppTk-nTKVjyLK8HUFl_FAWiCiSs6gJn1akZ5Huh4IBQNWmKbo9taXlNcS1h8rH-KqjN8pTPAR1Ct=w1200|https://lh3.googleusercontent.com/pw/AP1GczOdzsY7UvIvi-6BvUAka2bJw0Sr8m0NaLphXHp7ADP1ajL6q1-7VZwl1jh27r5FYvBH-5kKVB0J-mA3EhGmVjkiGKMJ25WkxnbG4ZbNABAANYBLn_9B=w1200|https://lh3.googleusercontent.com/pw/AP1GczOTGgJ5wBEJ3vIpkKyRtFgt1nj-sVKwDYDPMqUgZtLerqj6zIh8crsbKSlwTb4aBNrw2U3GH5B_IUfmnArmAadeBdZre5rgGOuru750OqK3s8P3sBS2=w1200|https://lh3.googleusercontent.com/pw/AP1GczMj2d_0IRwgNZKuOuiIB6--0JyMj-1Bq96GFqt8ZdM4X2giMLDSQnr9HTI9oNpLivi_bhdNfqEY7GQ46_WJspGimTAv6t_6fufDxddup7TWUigxA4gE=w1200|https://lh3.googleusercontent.com/pw/AP1GczOcrgIlvC2vd-DBbJarkfZprJw6GV7Ihedyof7IFPqtCpAZlUacKLDZf9VPXQQeipRjnsefwWIRR4vwXrQJBYkG2Q8qCX0LuT_PctJzaaGqlFEzHBGH=w1200|https://lh3.googleusercontent.com/pw/AP1GczNEnE8jMzkVv4WKL3t41p53oeDyf7qVjwB7plKWJqbs0nGMJCXHuLg1faKmhK4-xcHz_vfj_hqiojeXtpPZ3Iv7YjI0xrV4h466cTEtU7izqb9Wg5wr=w1200|https://lh3.googleusercontent.com/pw/AP1GczM0TvtU4B8ee4GAN48KPUk9cLvu07mFXgmRADL3Am1es3zcuwmaIydvMpWa5w28hCb_HRjCud6Oq2QSnrFYjda31K_d8IpoL5oiDwc_orgFEoclZ_zP=w1200|https://lh3.googleusercontent.com/pw/AP1GczONDKoPnXKr91ybr12semuE_to4Og7ylRlbNAXGCATK4mqXilPZPWJ2HF3QxX69415qdrbpxZwsnV9Lm-HCn8Emghar0TqOYa8WRRjn1yuKWHicDtrU=w1200|https://lh3.googleusercontent.com/pw/AP1GczOvEezED6R8X5wyzJ7LdBwZWwGcsUujaB0Jm6NRUbnbH1D-4YJM1XD4xJYH1PFChPO7tr7Ak2QsEvo16tUO24LYLg76OnE0FxE1dPDiCOs_DzgbSqvr=w1200|https://lh3.googleusercontent.com/pw/AP1GczMBJOGj5ep-Cc2b_zMwD1zvYBu9lsoJJXXo3rHzW5ymGwPZ8-TFfp9WdL-pCizAkf8iYlKefzGILPYaFCQpUt-rvAq0B-y1zGmpvyImxBYQDXVlzw02=w1200|https://lh3.googleusercontent.com/pw/AP1GczNYDXffdbQzd_XfZgp-JLKASnro6AL4T3hgY5SyDfZneVftAwhWmFDdXIKRw4cmKqw-cz3z9HzbELvg8dttbyt9H8kmqZbhzvBttNa9_YbdJLh3EQhB=w1200|https://lh3.googleusercontent.com/pw/AP1GczNYhr2EmY7HpjTmG_vUL4yte_bwuuusfUJHJSmLJPaZIU-PZmJhVfB0G32qhxjPEcKdaj_a5IzjDt4EXOh4z6adRbsJcSAk9f13VdeCrlqHkiX0Bi5R=w1200|https://lh3.googleusercontent.com/pw/AP1GczMFAiC8mjdSbEZqnYah8ew4YRvQa08w35qdSDmhqufOPU69ST_NC91_XcwbZG940peRXMfZZqpfmX4YTZDYQXxVySt-BjzgGkNeDmmv0acCmkeoFrDH=w1200|https://lh3.googleusercontent.com/pw/AP1GczMp0_cENDjdKTjdTo20JWeBrAXy-gENmZH2q-u2pzSn9xLl93Lt_UO7_9Y89hnEqrQgRljBKHKvv3IM4vYdbGPz7oqsA1rmgh6LGwryFwfNmUQAwkT7=w1200|https://lh3.googleusercontent.com/pw/AP1GczPMym17sffE1kdaS4-m-a8dMj_lbVG2pDZax5NaZn7083ToA5LUX1KJ_TnAdqCAuQAQ04xEoIwdP6tmutKDGSxOSNsWCFjPeNPyN4tXRgwZnyRNcByX=w1200|https://lh3.googleusercontent.com/pw/AP1GczPJDj0pZ37YKwcmpwRqaLonzTOKWKFXjOsJEKzcPZFhGvr-BY_93r0NMZ8tcclqGJSiMiWa74XoDfDw6M_B5NXSrk2ka7cDNEcNmJwV0-92fsIjVwyn=w1200|https://lh3.googleusercontent.com/pw/AP1GczO7LUnoO0nbjXs0VN4HVHQtR3Y6tuivc08C-iYB92-M5eXoKkD9tcgOE8Im339DgbO7SykjLGoCZURck4kB3BKs3T4XengAauz0qjAmWy-NM-tBlJUG=w1200</v>
      </c>
      <c r="AJ302" s="46"/>
      <c r="AK302" s="46"/>
      <c r="AL302" s="46"/>
      <c r="AM302" s="46"/>
      <c r="AN302" s="46"/>
      <c r="AO302" s="46"/>
      <c r="AP302" s="46"/>
      <c r="AQ302" s="46"/>
      <c r="AR302" s="46"/>
      <c r="AS302" s="46"/>
      <c r="AT302" s="46"/>
      <c r="AU302" s="46"/>
      <c r="AV302" s="46"/>
      <c r="AW302" s="46"/>
      <c r="AX302" s="46"/>
      <c r="AY302" s="46"/>
      <c r="AZ302" s="46"/>
      <c r="BA302" s="46"/>
      <c r="BB302" s="46"/>
      <c r="BC302" s="46"/>
      <c r="BD302" s="46"/>
      <c r="BE302" s="46"/>
      <c r="BF302" s="46"/>
      <c r="BG302" s="46"/>
      <c r="BH302" s="46"/>
      <c r="BI302" s="46"/>
      <c r="BJ302" s="46"/>
      <c r="BK302" s="46"/>
      <c r="BL302" s="46"/>
      <c r="BM302" s="46"/>
      <c r="BN302" s="46"/>
      <c r="BO302" s="46"/>
      <c r="BP302" s="46"/>
      <c r="BQ302" s="46"/>
      <c r="BR302" s="46"/>
      <c r="BS302" s="46"/>
      <c r="BT302" s="46"/>
      <c r="BU302" s="46"/>
      <c r="BV302" s="46"/>
      <c r="BW302" s="46"/>
      <c r="BX302" s="46"/>
      <c r="BY302" s="46"/>
      <c r="BZ302" s="46"/>
      <c r="CA302" s="46"/>
      <c r="CB302" s="46"/>
      <c r="CC302" s="46"/>
    </row>
    <row r="303">
      <c r="A303" s="87" t="str">
        <f>IFERROR(__xludf.DUMMYFUNCTION("""COMPUTED_VALUE"""),"1323")</f>
        <v>1323</v>
      </c>
      <c r="B303" s="46" t="str">
        <f>IFERROR(__xludf.DUMMYFUNCTION("""COMPUTED_VALUE"""),"Casa en barrio Frontera Norte - Vía Palermo")</f>
        <v>Casa en barrio Frontera Norte - Vía Palermo</v>
      </c>
      <c r="C303" s="46" t="str">
        <f>IFERROR(__xludf.DUMMYFUNCTION("""COMPUTED_VALUE"""),"Casa")</f>
        <v>Casa</v>
      </c>
      <c r="D303" s="46" t="str">
        <f>IFERROR(__xludf.DUMMYFUNCTION("""COMPUTED_VALUE"""),"Frontera Norte")</f>
        <v>Frontera Norte</v>
      </c>
      <c r="E303" s="46"/>
      <c r="F303" s="90">
        <f>IFERROR(__xludf.DUMMYFUNCTION("""COMPUTED_VALUE"""),2.8E8)</f>
        <v>280000000</v>
      </c>
      <c r="G303" s="46" t="str">
        <f>IFERROR(__xludf.DUMMYFUNCTION("""COMPUTED_VALUE"""),"$200'000.000 a $300'000.000")</f>
        <v>$200'000.000 a $300'000.000</v>
      </c>
      <c r="H303" s="46"/>
      <c r="I303" s="46"/>
      <c r="J303" s="46" t="str">
        <f>IFERROR(__xludf.DUMMYFUNCTION("""COMPUTED_VALUE"""),"Occidente")</f>
        <v>Occidente</v>
      </c>
      <c r="K303" s="87"/>
      <c r="L303" s="46">
        <f>IFERROR(__xludf.DUMMYFUNCTION("""COMPUTED_VALUE"""),4.0)</f>
        <v>4</v>
      </c>
      <c r="M303" s="46"/>
      <c r="N303" s="46">
        <f>IFERROR(__xludf.DUMMYFUNCTION("""COMPUTED_VALUE"""),3.0)</f>
        <v>3</v>
      </c>
      <c r="O303" s="46">
        <f>IFERROR(__xludf.DUMMYFUNCTION("""COMPUTED_VALUE"""),1.0)</f>
        <v>1</v>
      </c>
      <c r="P303" s="46">
        <f>IFERROR(__xludf.DUMMYFUNCTION("""COMPUTED_VALUE"""),2.0)</f>
        <v>2</v>
      </c>
      <c r="Q303" s="92">
        <f>IFERROR(__xludf.DUMMYFUNCTION("""COMPUTED_VALUE"""),170.0)</f>
        <v>170</v>
      </c>
      <c r="R303" s="92">
        <f>IFERROR(__xludf.DUMMYFUNCTION("""COMPUTED_VALUE"""),90.0)</f>
        <v>90</v>
      </c>
      <c r="S303" s="87" t="str">
        <f>IFERROR(__xludf.DUMMYFUNCTION("""COMPUTED_VALUE""")," ")</f>
        <v> </v>
      </c>
      <c r="T303" s="46" t="str">
        <f>IFERROR(__xludf.DUMMYFUNCTION("""COMPUTED_VALUE"""),"Palermo")</f>
        <v>Palermo</v>
      </c>
      <c r="U303" s="87" t="str">
        <f>IFERROR(__xludf.DUMMYFUNCTION("""COMPUTED_VALUE"""),"3")</f>
        <v>3</v>
      </c>
      <c r="V303" s="46" t="str">
        <f>IFERROR(__xludf.DUMMYFUNCTION("""COMPUTED_VALUE"""),"Medianera")</f>
        <v>Medianera</v>
      </c>
      <c r="W303" s="46"/>
      <c r="X303" s="46">
        <f>IFERROR(__xludf.DUMMYFUNCTION("""COMPUTED_VALUE"""),3.0)</f>
        <v>3</v>
      </c>
      <c r="Y303" s="46" t="str">
        <f>IFERROR(__xludf.DUMMYFUNCTION("""COMPUTED_VALUE"""),"No tiene")</f>
        <v>No tiene</v>
      </c>
      <c r="Z303" s="90"/>
      <c r="AA303" s="33" t="str">
        <f>IFERROR(__xludf.DUMMYFUNCTION("""COMPUTED_VALUE"""),"No aplica")</f>
        <v>No aplica</v>
      </c>
      <c r="AB303" s="96" t="str">
        <f>IFERROR(__xludf.DUMMYFUNCTION("""COMPUTED_VALUE"""),"https://photos.app.goo.gl/Mu3iRgvhvVT3xnk17")</f>
        <v>https://photos.app.goo.gl/Mu3iRgvhvVT3xnk17</v>
      </c>
      <c r="AC303" s="46" t="str">
        <f>IFERROR(__xludf.DUMMYFUNCTION("""COMPUTED_VALUE"""),"La propiedad cuenta en el primer nivel con garaje privado, amplia sala–comedor, cocina integral, baño social, una habitación y patio de ropas. En el segundo piso dispone de sala de estar, baño social y cuatro habitaciones, incluyendo habitación principal "&amp;"con baño privado.")</f>
        <v>La propiedad cuenta en el primer nivel con garaje privado, amplia sala–comedor, cocina integral, baño social, una habitación y patio de ropas. En el segundo piso dispone de sala de estar, baño social y cuatro habitaciones, incluyendo habitación principal con baño privado.</v>
      </c>
      <c r="AD303" s="46" t="str">
        <f>IFERROR(__xludf.DUMMYFUNCTION("""COMPUTED_VALUE"""),"Hermosa casa de dos plantas en venta, ubicada en el sector Frontera Norte, jurisdicción de Palermo, sobre la vía a Bogotá. Vivienda de estrato 3, ideal para familias que buscan comodidad, amplitud y excelente ubicación.")</f>
        <v>Hermosa casa de dos plantas en venta, ubicada en el sector Frontera Norte, jurisdicción de Palermo, sobre la vía a Bogotá. Vivienda de estrato 3, ideal para familias que buscan comodidad, amplitud y excelente ubicación.</v>
      </c>
      <c r="AE303" s="46"/>
      <c r="AF303" s="46" t="str">
        <f>IFERROR(__xludf.DUMMYFUNCTION("""COMPUTED_VALUE"""),"integral")</f>
        <v>integral</v>
      </c>
      <c r="AG303" s="46"/>
      <c r="AH303" s="46" t="str">
        <f>IFERROR(__xludf.DUMMYFUNCTION("""COMPUTED_VALUE"""),"Aliado")</f>
        <v>Aliado</v>
      </c>
      <c r="AI303" s="92" t="str">
        <f>IFERROR(__xludf.DUMMYFUNCTION("""COMPUTED_VALUE"""),"https://lh3.googleusercontent.com/pw/AP1GczMkBuSPhE__cFrIH0fuwQeooMR6TlIm_ZMe6UkvSW8_3qJk9P2gtOqtqGXLvdb1qKaRqvZgxswgiQRWKQaXKqE8MLxosudB1UZrh6l2Lqa0CvAjWCyr=w1200|https://lh3.googleusercontent.com/pw/AP1GczMcmMhUuwiGi0oWxTgYbwvLXYHFimCr7scSuO_Ta9K7I_iGnX"&amp;"NA9UCZF1IhepFwxHpvCEzrYS8iYSsAY3aDWY1eHImKND9x0t06dvdzUMPUuo9fRXE_=w1200|https://lh3.googleusercontent.com/pw/AP1GczPRyuRlZLMdAPXHD5Zkkduv9-nrCoXuwTADFI3Sq6PE8zPvpGhwUQiyRozpTPJorgI0TCjT00ajiMBCEhnR8S_bkr8YEOhG6n0a74VGo3vhhG5iKsqO=w1200|https://lh3.google"&amp;"usercontent.com/pw/AP1GczO2PBRmNL0GLwFRmRM1yARQWPiKgXUlDSnGLbRVSSRug8Ke2bpa6bzvFxTKUunedShkl1vVk07wunz9ZCWmIQnBXIVYSNDgRAIfnOJLlGEEBFRtmx5j=w1200|https://lh3.googleusercontent.com/pw/AP1GczNjb8TCHB5p237rTjQ53--VgLbwaeoXZAYQMgOgW8FPKjjjI5QIFs4tMGPRXYZPbQg4"&amp;"LV_wN6HoB7gFh8bTwQ49B67n9LT5crThdg97hBlqhTY40uQs=w1200|https://lh3.googleusercontent.com/pw/AP1GczN51LEHu3QZ8mlZpbsbsLuN49oJNj_7bhoiWmDj71vN7GqE1iDee6CbiMCFhbCyz6QA5uc9DK-YcMjB9zsAbqVkKRHePxiwZrnyYYDU9SyPOMVePa9v=w1200|https://lh3.googleusercontent.com/pw"&amp;"/AP1GczOcVBOlN7uEeN2LJcbu2rtuhgoFJsNbEfyhMJicE64IId8Gize4i0fW2ASJ7PuMbqpqvIFQ7Pq6s2_oVvyoicbU2BcbE6kBLSVfm7zE6dmBjUUY6sjP=w1200|https://lh3.googleusercontent.com/pw/AP1GczO75S_7pSS466NY45Poq_-ZEiQx1EfDb4gIeeefpApD59670VXlV2rwjwyidwCnhFAHvrXQ9frHSHMiujyuAm"&amp;"YjNbqx-VweOsGvMXzUimVIuJDfS1Bt=w1200|https://lh3.googleusercontent.com/pw/AP1GczNxIv6R_aXzx2tbLX2wcTWnD9s2p2uzbzLhOqkNLFEFh22fEiXjU7KQOHJ-DJso6cImQWT5x4a40bi3qmqP3Ph3HF2NN_zHysdzYu5e1covF3XBKCKv=w1200|https://lh3.googleusercontent.com/pw/AP1GczMqO5DsS7ggT"&amp;"vyhc5gOwsgvJIyazNmiTmZwKuvWJ2iB4JGRY6lgiduGQDYg8NJSbuxIqQRb_qeXD0o6IuoGggPWyXWZDQA1WuncIu0FQHXKwcoRqzQU=w1200|https://lh3.googleusercontent.com/pw/AP1GczPI9VnjuUh5CzCQWrskkmMruUh8xjj54X_EDXdFt2lD6gOdUo1YNxC-JTuF-Sx3oJbj4PDdZGxNjMmMgCbJntvBCDVsd8FmL6D30Xng"&amp;"zgi6YWKXwau_=w1200|https://lh3.googleusercontent.com/pw/AP1GczN4oQIxrUadMfp7qfkoGHcLchsf2pUZr2isd3FFT4Dzj202jFpJBoZKxW0MdoE0SG3YwzrY8LFIamnpkv9jR4AOO63w5wZdK9OMs_8xXs-PSJ-sLNt8=w1200|https://lh3.googleusercontent.com/pw/AP1GczM-R8roj2CO3F1lA51QEx6edr2D4jm"&amp;"XeLEGReCLOxOGXqeYypuaCcb7gAwa4ykVpMnBgZUOwiMuF-TX2MrpAW-UhvbIqP9R5F-kM8rDSIjugvJg5Xdr=w1200|https://lh3.googleusercontent.com/pw/AP1GczOl6vC00hqKh-DGQe8t7yqRrRRCkzJ_mTi6RhC8uh7FdM5LOrwiPEIzqBk9GdwncIN7Rle7DFuaIPyF-q1U0T6-VW-_qnMp_NgY_KYK6wA-AJI9BheW=w1200"&amp;"|https://lh3.googleusercontent.com/pw/AP1GczOzCLyRQx7OXJnPzHp3bU8yCT1EVpmIXWzrhvrTH1_mXViiOLpPbhpZVYQnFRNvewDwypNYptyY5oQYhKatH6keWRkj23UKRUOR_BKBT_aNryaIRcSd=w1200|https://lh3.googleusercontent.com/pw/AP1GczNjY27tB0yCHGfNV_SXv39U6Elyhv2rvFhleBoD6GdrapgVf"&amp;"4wGtOCNj2AtOgLslKFjXkshoPgGCyQSH8UTkwOI65D91JGcvFQ8YqwgfAAdp2iDqnce=w1200|https://lh3.googleusercontent.com/pw/AP1GczO1xvs5D6mGwMD2H-ni4gtw9-SP23u_89v2THarVitCoqq2spBlRvq9VFXVoEwurE4mOrg_2Eh92wPNXT2pFVZ_n5EuBtOR_fAWVhP_upJ99R5VSAkl=w1200|https://lh3.googl"&amp;"eusercontent.com/pw/AP1GczNJDB85dXkMzwOL61YO5nuqpTERax2YAVK4R-f9pv75hxVy5P6EvgTQvlEKqyR8-rvBLCOL1_Q7EMWhFfNZKGCqFcYc_obzRmLiNA4u3bcAf2VwZOnU=w1200|https://lh3.googleusercontent.com/pw/AP1GczOxHGwDJlmWzLJYjkDV7qceB2w43NYSr2-jl5qWloFOhqS7gi6fvG_0CWm0SacpB3t"&amp;"dTh_UdyZyxn24PqbCazc_gnd97zPaxcV-SfbHz5MzYreJFkDx=w1200|https://lh3.googleusercontent.com/pw/AP1GczO5Pu92ooVMbsXm5gzbsm1-O5WbASeMK2fBeHxrXpb6FnyJ-deC1BuYGHyrIySvLGgpy1YMjeaBeQWeqwOcpNOCccBEy1YiGL9kiJQoNlMHgen9n8tL=w1200|https://lh3.googleusercontent.com/p"&amp;"w/AP1GczPcRKzZzZ22tjZgiX2xOUUIwUnLtREbPzdbuR56CDc-fJ4MF_ygxe_I7Caae4js9au06XjarEsUWoFO66rJvXGclwHhiz7hBDgEul2mer41D9TKgAOs=w1200|https://lh3.googleusercontent.com/pw/AP1GczOtuzR1Wyv1bFYj1rnSzLLXKTTaC58MfHDoM1NVjrzNUC-wIFQGy431jWjm0RkOMeHWst27WKohir_CbXQAY"&amp;"NluhW8MYPCd5XDOxUM79XYbkwFQ7tXq=w1200")</f>
        <v>https://lh3.googleusercontent.com/pw/AP1GczMkBuSPhE__cFrIH0fuwQeooMR6TlIm_ZMe6UkvSW8_3qJk9P2gtOqtqGXLvdb1qKaRqvZgxswgiQRWKQaXKqE8MLxosudB1UZrh6l2Lqa0CvAjWCyr=w1200|https://lh3.googleusercontent.com/pw/AP1GczMcmMhUuwiGi0oWxTgYbwvLXYHFimCr7scSuO_Ta9K7I_iGnXNA9UCZF1IhepFwxHpvCEzrYS8iYSsAY3aDWY1eHImKND9x0t06dvdzUMPUuo9fRXE_=w1200|https://lh3.googleusercontent.com/pw/AP1GczPRyuRlZLMdAPXHD5Zkkduv9-nrCoXuwTADFI3Sq6PE8zPvpGhwUQiyRozpTPJorgI0TCjT00ajiMBCEhnR8S_bkr8YEOhG6n0a74VGo3vhhG5iKsqO=w1200|https://lh3.googleusercontent.com/pw/AP1GczO2PBRmNL0GLwFRmRM1yARQWPiKgXUlDSnGLbRVSSRug8Ke2bpa6bzvFxTKUunedShkl1vVk07wunz9ZCWmIQnBXIVYSNDgRAIfnOJLlGEEBFRtmx5j=w1200|https://lh3.googleusercontent.com/pw/AP1GczNjb8TCHB5p237rTjQ53--VgLbwaeoXZAYQMgOgW8FPKjjjI5QIFs4tMGPRXYZPbQg4LV_wN6HoB7gFh8bTwQ49B67n9LT5crThdg97hBlqhTY40uQs=w1200|https://lh3.googleusercontent.com/pw/AP1GczN51LEHu3QZ8mlZpbsbsLuN49oJNj_7bhoiWmDj71vN7GqE1iDee6CbiMCFhbCyz6QA5uc9DK-YcMjB9zsAbqVkKRHePxiwZrnyYYDU9SyPOMVePa9v=w1200|https://lh3.googleusercontent.com/pw/AP1GczOcVBOlN7uEeN2LJcbu2rtuhgoFJsNbEfyhMJicE64IId8Gize4i0fW2ASJ7PuMbqpqvIFQ7Pq6s2_oVvyoicbU2BcbE6kBLSVfm7zE6dmBjUUY6sjP=w1200|https://lh3.googleusercontent.com/pw/AP1GczO75S_7pSS466NY45Poq_-ZEiQx1EfDb4gIeeefpApD59670VXlV2rwjwyidwCnhFAHvrXQ9frHSHMiujyuAmYjNbqx-VweOsGvMXzUimVIuJDfS1Bt=w1200|https://lh3.googleusercontent.com/pw/AP1GczNxIv6R_aXzx2tbLX2wcTWnD9s2p2uzbzLhOqkNLFEFh22fEiXjU7KQOHJ-DJso6cImQWT5x4a40bi3qmqP3Ph3HF2NN_zHysdzYu5e1covF3XBKCKv=w1200|https://lh3.googleusercontent.com/pw/AP1GczMqO5DsS7ggTvyhc5gOwsgvJIyazNmiTmZwKuvWJ2iB4JGRY6lgiduGQDYg8NJSbuxIqQRb_qeXD0o6IuoGggPWyXWZDQA1WuncIu0FQHXKwcoRqzQU=w1200|https://lh3.googleusercontent.com/pw/AP1GczPI9VnjuUh5CzCQWrskkmMruUh8xjj54X_EDXdFt2lD6gOdUo1YNxC-JTuF-Sx3oJbj4PDdZGxNjMmMgCbJntvBCDVsd8FmL6D30Xngzgi6YWKXwau_=w1200|https://lh3.googleusercontent.com/pw/AP1GczN4oQIxrUadMfp7qfkoGHcLchsf2pUZr2isd3FFT4Dzj202jFpJBoZKxW0MdoE0SG3YwzrY8LFIamnpkv9jR4AOO63w5wZdK9OMs_8xXs-PSJ-sLNt8=w1200|https://lh3.googleusercontent.com/pw/AP1GczM-R8roj2CO3F1lA51QEx6edr2D4jmXeLEGReCLOxOGXqeYypuaCcb7gAwa4ykVpMnBgZUOwiMuF-TX2MrpAW-UhvbIqP9R5F-kM8rDSIjugvJg5Xdr=w1200|https://lh3.googleusercontent.com/pw/AP1GczOl6vC00hqKh-DGQe8t7yqRrRRCkzJ_mTi6RhC8uh7FdM5LOrwiPEIzqBk9GdwncIN7Rle7DFuaIPyF-q1U0T6-VW-_qnMp_NgY_KYK6wA-AJI9BheW=w1200|https://lh3.googleusercontent.com/pw/AP1GczOzCLyRQx7OXJnPzHp3bU8yCT1EVpmIXWzrhvrTH1_mXViiOLpPbhpZVYQnFRNvewDwypNYptyY5oQYhKatH6keWRkj23UKRUOR_BKBT_aNryaIRcSd=w1200|https://lh3.googleusercontent.com/pw/AP1GczNjY27tB0yCHGfNV_SXv39U6Elyhv2rvFhleBoD6GdrapgVf4wGtOCNj2AtOgLslKFjXkshoPgGCyQSH8UTkwOI65D91JGcvFQ8YqwgfAAdp2iDqnce=w1200|https://lh3.googleusercontent.com/pw/AP1GczO1xvs5D6mGwMD2H-ni4gtw9-SP23u_89v2THarVitCoqq2spBlRvq9VFXVoEwurE4mOrg_2Eh92wPNXT2pFVZ_n5EuBtOR_fAWVhP_upJ99R5VSAkl=w1200|https://lh3.googleusercontent.com/pw/AP1GczNJDB85dXkMzwOL61YO5nuqpTERax2YAVK4R-f9pv75hxVy5P6EvgTQvlEKqyR8-rvBLCOL1_Q7EMWhFfNZKGCqFcYc_obzRmLiNA4u3bcAf2VwZOnU=w1200|https://lh3.googleusercontent.com/pw/AP1GczOxHGwDJlmWzLJYjkDV7qceB2w43NYSr2-jl5qWloFOhqS7gi6fvG_0CWm0SacpB3tdTh_UdyZyxn24PqbCazc_gnd97zPaxcV-SfbHz5MzYreJFkDx=w1200|https://lh3.googleusercontent.com/pw/AP1GczO5Pu92ooVMbsXm5gzbsm1-O5WbASeMK2fBeHxrXpb6FnyJ-deC1BuYGHyrIySvLGgpy1YMjeaBeQWeqwOcpNOCccBEy1YiGL9kiJQoNlMHgen9n8tL=w1200|https://lh3.googleusercontent.com/pw/AP1GczPcRKzZzZ22tjZgiX2xOUUIwUnLtREbPzdbuR56CDc-fJ4MF_ygxe_I7Caae4js9au06XjarEsUWoFO66rJvXGclwHhiz7hBDgEul2mer41D9TKgAOs=w1200|https://lh3.googleusercontent.com/pw/AP1GczOtuzR1Wyv1bFYj1rnSzLLXKTTaC58MfHDoM1NVjrzNUC-wIFQGy431jWjm0RkOMeHWst27WKohir_CbXQAYNluhW8MYPCd5XDOxUM79XYbkwFQ7tXq=w1200</v>
      </c>
      <c r="AJ303" s="46"/>
      <c r="AK303" s="46"/>
      <c r="AL303" s="46"/>
      <c r="AM303" s="46"/>
      <c r="AN303" s="46"/>
      <c r="AO303" s="46"/>
      <c r="AP303" s="46"/>
      <c r="AQ303" s="46"/>
      <c r="AR303" s="46"/>
      <c r="AS303" s="46"/>
      <c r="AT303" s="46"/>
      <c r="AU303" s="46"/>
      <c r="AV303" s="46"/>
      <c r="AW303" s="46"/>
      <c r="AX303" s="46"/>
      <c r="AY303" s="46"/>
      <c r="AZ303" s="46"/>
      <c r="BA303" s="46"/>
      <c r="BB303" s="46"/>
      <c r="BC303" s="46"/>
      <c r="BD303" s="46"/>
      <c r="BE303" s="46"/>
      <c r="BF303" s="46"/>
      <c r="BG303" s="46"/>
      <c r="BH303" s="46"/>
      <c r="BI303" s="46"/>
      <c r="BJ303" s="46"/>
      <c r="BK303" s="46"/>
      <c r="BL303" s="46"/>
      <c r="BM303" s="46"/>
      <c r="BN303" s="46"/>
      <c r="BO303" s="46"/>
      <c r="BP303" s="46"/>
      <c r="BQ303" s="46"/>
      <c r="BR303" s="46"/>
      <c r="BS303" s="46"/>
      <c r="BT303" s="46"/>
      <c r="BU303" s="46"/>
      <c r="BV303" s="46"/>
      <c r="BW303" s="46"/>
      <c r="BX303" s="46"/>
      <c r="BY303" s="46"/>
      <c r="BZ303" s="46"/>
      <c r="CA303" s="46"/>
      <c r="CB303" s="46"/>
      <c r="CC303" s="46"/>
    </row>
    <row r="304">
      <c r="A304" s="87" t="str">
        <f>IFERROR(__xludf.DUMMYFUNCTION("""COMPUTED_VALUE"""),"1084")</f>
        <v>1084</v>
      </c>
      <c r="B304" s="46" t="str">
        <f>IFERROR(__xludf.DUMMYFUNCTION("""COMPUTED_VALUE"""),"Casa de 2 pisos independientes en barrio El Saman")</f>
        <v>Casa de 2 pisos independientes en barrio El Saman</v>
      </c>
      <c r="C304" s="46" t="str">
        <f>IFERROR(__xludf.DUMMYFUNCTION("""COMPUTED_VALUE"""),"Casa rentable")</f>
        <v>Casa rentable</v>
      </c>
      <c r="D304" s="46" t="str">
        <f>IFERROR(__xludf.DUMMYFUNCTION("""COMPUTED_VALUE"""),"El Saman")</f>
        <v>El Saman</v>
      </c>
      <c r="E304" s="90" t="str">
        <f>IFERROR(__xludf.DUMMYFUNCTION("""COMPUTED_VALUE""")," ")</f>
        <v> </v>
      </c>
      <c r="F304" s="90">
        <f>IFERROR(__xludf.DUMMYFUNCTION("""COMPUTED_VALUE"""),2.8E8)</f>
        <v>280000000</v>
      </c>
      <c r="G304" s="46" t="str">
        <f>IFERROR(__xludf.DUMMYFUNCTION("""COMPUTED_VALUE"""),"$200'000.000 a $300'000.000")</f>
        <v>$200'000.000 a $300'000.000</v>
      </c>
      <c r="H304" s="46"/>
      <c r="I304" s="46"/>
      <c r="J304" s="46" t="str">
        <f>IFERROR(__xludf.DUMMYFUNCTION("""COMPUTED_VALUE"""),"Norte")</f>
        <v>Norte</v>
      </c>
      <c r="K304" s="87"/>
      <c r="L304" s="46">
        <f>IFERROR(__xludf.DUMMYFUNCTION("""COMPUTED_VALUE"""),5.0)</f>
        <v>5</v>
      </c>
      <c r="M304" s="46"/>
      <c r="N304" s="46">
        <f>IFERROR(__xludf.DUMMYFUNCTION("""COMPUTED_VALUE"""),2.0)</f>
        <v>2</v>
      </c>
      <c r="O304" s="46">
        <f>IFERROR(__xludf.DUMMYFUNCTION("""COMPUTED_VALUE"""),1.0)</f>
        <v>1</v>
      </c>
      <c r="P304" s="46">
        <f>IFERROR(__xludf.DUMMYFUNCTION("""COMPUTED_VALUE"""),2.0)</f>
        <v>2</v>
      </c>
      <c r="Q304" s="92"/>
      <c r="R304" s="92">
        <f>IFERROR(__xludf.DUMMYFUNCTION("""COMPUTED_VALUE"""),110.0)</f>
        <v>110</v>
      </c>
      <c r="S304" s="87" t="str">
        <f>IFERROR(__xludf.DUMMYFUNCTION("""COMPUTED_VALUE"""),"Rentabilidad $1,300,000")</f>
        <v>Rentabilidad $1,300,000</v>
      </c>
      <c r="T304" s="46" t="str">
        <f>IFERROR(__xludf.DUMMYFUNCTION("""COMPUTED_VALUE"""),"Neiva")</f>
        <v>Neiva</v>
      </c>
      <c r="U304" s="87" t="str">
        <f>IFERROR(__xludf.DUMMYFUNCTION("""COMPUTED_VALUE"""),"2")</f>
        <v>2</v>
      </c>
      <c r="V304" s="46" t="str">
        <f>IFERROR(__xludf.DUMMYFUNCTION("""COMPUTED_VALUE"""),"Medianera")</f>
        <v>Medianera</v>
      </c>
      <c r="W304" s="46"/>
      <c r="X304" s="46">
        <f>IFERROR(__xludf.DUMMYFUNCTION("""COMPUTED_VALUE"""),2.0)</f>
        <v>2</v>
      </c>
      <c r="Y304" s="46" t="str">
        <f>IFERROR(__xludf.DUMMYFUNCTION("""COMPUTED_VALUE"""),"No tiene")</f>
        <v>No tiene</v>
      </c>
      <c r="Z304" s="90" t="str">
        <f>IFERROR(__xludf.DUMMYFUNCTION("""COMPUTED_VALUE"""),"No aplica")</f>
        <v>No aplica</v>
      </c>
      <c r="AA304" s="33" t="str">
        <f>IFERROR(__xludf.DUMMYFUNCTION("""COMPUTED_VALUE"""),"18 años")</f>
        <v>18 años</v>
      </c>
      <c r="AB304" s="96" t="str">
        <f>IFERROR(__xludf.DUMMYFUNCTION("""COMPUTED_VALUE"""),"https://photos.app.goo.gl/UbcxE6AvCGuuiQRY6")</f>
        <v>https://photos.app.goo.gl/UbcxE6AvCGuuiQRY6</v>
      </c>
      <c r="AC304" s="46"/>
      <c r="AD304" s="46" t="str">
        <f>IFERROR(__xludf.DUMMYFUNCTION("""COMPUTED_VALUE"""),"Casa con buenos acabados, piso en cerámica. Escritura al día.")</f>
        <v>Casa con buenos acabados, piso en cerámica. Escritura al día.</v>
      </c>
      <c r="AE304" s="46"/>
      <c r="AF304" s="46" t="str">
        <f>IFERROR(__xludf.DUMMYFUNCTION("""COMPUTED_VALUE"""),"integral")</f>
        <v>integral</v>
      </c>
      <c r="AG304" s="46"/>
      <c r="AH304" s="46" t="str">
        <f>IFERROR(__xludf.DUMMYFUNCTION("""COMPUTED_VALUE"""),"Aliado")</f>
        <v>Aliado</v>
      </c>
      <c r="AI304" s="92" t="str">
        <f>IFERROR(__xludf.DUMMYFUNCTION("""COMPUTED_VALUE"""),"https://lh3.googleusercontent.com/pw/AP1GczNw8Tho_7dqvz_fd-ZARBq0ZiPuC41nPlj3nJEUef0HuQkCD9x_nCVpPUvGVOY_3hDgYgk3-FI6YmI3FUehuJ40f5Fbj_RnbQ97pnr2WvBj6aewFM2Z=w1200|https://lh3.googleusercontent.com/pw/AP1GczP489XaUZHabziSBohH-qc2RFJD_lX4-k-QXsp44eEDnl1en2"&amp;"RXGlWffje6md3tS-gq_ugCwY4_ibIu8_sHSH2c8He8NFUWjumqEi4DXdVDnFj9LQdr=w1200|https://lh3.googleusercontent.com/pw/AP1GczMEsHa5nqFmx_U_MoYwqTY7Tsb8Kd5_JOS3wLj-6O4Fl9Ap8xXC0ONBqU3gzpMjHV8WhRNEA6PlnY2xmSgATRQxwiahRRZS9Ls6M2XEKVsg5vgZCnSD=w1200|https://lh3.google"&amp;"usercontent.com/pw/AP1GczMLUGvutrDsRXtp68oiE2GxDL6nc3bRHCgiGq-tTD7QqgWPnmm2lXmhGBugtmxF7GWd5XMeOqkRW9IdrBNdwfRdoUXIRyloKoKBXwgYpdwdYsOi_6O_=w1200|https://lh3.googleusercontent.com/pw/AP1GczO7KCH1x2N5veu_a3TB3kCE0zaNcbMbk6jeQQYJz-HRuvR5r6me8j1HmmV0pTRSQ_nX"&amp;"itUhm4G_K5VY6zUocAV5rbuKYzPegwcWIgpUm-QqzUVFQbHa=w1200|https://lh3.googleusercontent.com/pw/AP1GczMS75Jkp45cods-Gzn-IsHqoKECKraZi4VhXDPhzy2PaOYyThanMX34MTs6rqbeVT2VyEPDDngglltl1juJBbS1DsB_kz-rnxhl5XNLw_j6G-0CAeXH=w1200|https://lh3.googleusercontent.com/pw"&amp;"/AP1GczNUsUemC0PLxs6YJJWRqFacR3LbKXCjJFxnSwZaXLejG96jHGli81B-tatGwFVCAXn7D_7h49iyxroD0pzYcQHP0Q44GRPSvJyKLejCKQpUfnLqByem=w1200|https://lh3.googleusercontent.com/pw/AP1GczMqY_NhwVUWSeyyRwQ3NIho85lnp7PcL1YEQzCzIa5u4TRKHxHyYAoG2CrRrqwpTn_1bPdEwI7BcIqH_sWuhD"&amp;"QpIqEqLVW8bq0TDs6TBZGoK_9JLfHZ=w1200|https://lh3.googleusercontent.com/pw/AP1GczNiMkCAXTMdb1Nc95O03N0fk174wBq-hNsw6Hv5QMk2ry_OGAJKJAvaGzh88Hi41Hh0aSCx1NmC-PX0O6zbZ0MPxx5A2yYWl0v5GlsrSdyCDdH2G6eg=w1200|https://lh3.googleusercontent.com/pw/AP1GczOUidzSIpokr"&amp;"BBdCBhyFTuy1-aCscLLIyuR8uCE4uEMVvqnd1WI6ov69mNU9j84FFMY2sEbTC6dq6pwQPQEdgCdE42KFEYZOeyBZrzcy2mJa_pN61Of=w1200|https://lh3.googleusercontent.com/pw/AP1GczMuWXe77DsOdcNbujdwTvCKv64P-YMdmlFlPTZ2ZJlMbEA48ggPndltgXh7JkEIcjNF2P-M-nPOmQKPq8zLjcF_bCRZxGXxOmdET_vA"&amp;"RsecgsPonwj5=w1200|https://lh3.googleusercontent.com/pw/AP1GczPeVG6uFGGy3evuNsW7DqF1zbcVyTaDQpe1Xtw4kwN38OIDjEq-jpxuP7BSe29goGLmhes-YmqoOr5WcYFfRc2ULDB8BIxgynQGKXOm2mP-ogqI6J0z=w1200|https://lh3.googleusercontent.com/pw/AP1GczMnHs4v9gjSBlPuKSfWyEBq_-1Vqaa"&amp;"OVVhLoyyjNrbdJIQgjEuvQKBVXv7S1JAjOdbigY3E1CyxLZoBKSxBHMGLaGJZTzei7pNJfU5ezdHjYYLFn7hv=w1200|https://lh3.googleusercontent.com/pw/AP1GczOZbXLiM6_FM9RMimH9NxfjZsL7Go5f_Iv9WA-6OjaoJXcBP7hbaD2s2VuqZt22ijv2VteXg_5Y-8RzR2ApCURCFR137qbktp-kbRY1CMtQqHp5RXm1=w1200"&amp;"|https://lh3.googleusercontent.com/pw/AP1GczOv120btcgyYH7hU7A02qqGSrsLdjFL1PpPrgDrGoaOc6UH3hPuCOGvuqPgY_jmx3obbFxwptFG71RKo0KVUMu3rrk9pi74J7hhuoeOYBloBimSHqwU=w1200")</f>
        <v>https://lh3.googleusercontent.com/pw/AP1GczNw8Tho_7dqvz_fd-ZARBq0ZiPuC41nPlj3nJEUef0HuQkCD9x_nCVpPUvGVOY_3hDgYgk3-FI6YmI3FUehuJ40f5Fbj_RnbQ97pnr2WvBj6aewFM2Z=w1200|https://lh3.googleusercontent.com/pw/AP1GczP489XaUZHabziSBohH-qc2RFJD_lX4-k-QXsp44eEDnl1en2RXGlWffje6md3tS-gq_ugCwY4_ibIu8_sHSH2c8He8NFUWjumqEi4DXdVDnFj9LQdr=w1200|https://lh3.googleusercontent.com/pw/AP1GczMEsHa5nqFmx_U_MoYwqTY7Tsb8Kd5_JOS3wLj-6O4Fl9Ap8xXC0ONBqU3gzpMjHV8WhRNEA6PlnY2xmSgATRQxwiahRRZS9Ls6M2XEKVsg5vgZCnSD=w1200|https://lh3.googleusercontent.com/pw/AP1GczMLUGvutrDsRXtp68oiE2GxDL6nc3bRHCgiGq-tTD7QqgWPnmm2lXmhGBugtmxF7GWd5XMeOqkRW9IdrBNdwfRdoUXIRyloKoKBXwgYpdwdYsOi_6O_=w1200|https://lh3.googleusercontent.com/pw/AP1GczO7KCH1x2N5veu_a3TB3kCE0zaNcbMbk6jeQQYJz-HRuvR5r6me8j1HmmV0pTRSQ_nXitUhm4G_K5VY6zUocAV5rbuKYzPegwcWIgpUm-QqzUVFQbHa=w1200|https://lh3.googleusercontent.com/pw/AP1GczMS75Jkp45cods-Gzn-IsHqoKECKraZi4VhXDPhzy2PaOYyThanMX34MTs6rqbeVT2VyEPDDngglltl1juJBbS1DsB_kz-rnxhl5XNLw_j6G-0CAeXH=w1200|https://lh3.googleusercontent.com/pw/AP1GczNUsUemC0PLxs6YJJWRqFacR3LbKXCjJFxnSwZaXLejG96jHGli81B-tatGwFVCAXn7D_7h49iyxroD0pzYcQHP0Q44GRPSvJyKLejCKQpUfnLqByem=w1200|https://lh3.googleusercontent.com/pw/AP1GczMqY_NhwVUWSeyyRwQ3NIho85lnp7PcL1YEQzCzIa5u4TRKHxHyYAoG2CrRrqwpTn_1bPdEwI7BcIqH_sWuhDQpIqEqLVW8bq0TDs6TBZGoK_9JLfHZ=w1200|https://lh3.googleusercontent.com/pw/AP1GczNiMkCAXTMdb1Nc95O03N0fk174wBq-hNsw6Hv5QMk2ry_OGAJKJAvaGzh88Hi41Hh0aSCx1NmC-PX0O6zbZ0MPxx5A2yYWl0v5GlsrSdyCDdH2G6eg=w1200|https://lh3.googleusercontent.com/pw/AP1GczOUidzSIpokrBBdCBhyFTuy1-aCscLLIyuR8uCE4uEMVvqnd1WI6ov69mNU9j84FFMY2sEbTC6dq6pwQPQEdgCdE42KFEYZOeyBZrzcy2mJa_pN61Of=w1200|https://lh3.googleusercontent.com/pw/AP1GczMuWXe77DsOdcNbujdwTvCKv64P-YMdmlFlPTZ2ZJlMbEA48ggPndltgXh7JkEIcjNF2P-M-nPOmQKPq8zLjcF_bCRZxGXxOmdET_vARsecgsPonwj5=w1200|https://lh3.googleusercontent.com/pw/AP1GczPeVG6uFGGy3evuNsW7DqF1zbcVyTaDQpe1Xtw4kwN38OIDjEq-jpxuP7BSe29goGLmhes-YmqoOr5WcYFfRc2ULDB8BIxgynQGKXOm2mP-ogqI6J0z=w1200|https://lh3.googleusercontent.com/pw/AP1GczMnHs4v9gjSBlPuKSfWyEBq_-1VqaaOVVhLoyyjNrbdJIQgjEuvQKBVXv7S1JAjOdbigY3E1CyxLZoBKSxBHMGLaGJZTzei7pNJfU5ezdHjYYLFn7hv=w1200|https://lh3.googleusercontent.com/pw/AP1GczOZbXLiM6_FM9RMimH9NxfjZsL7Go5f_Iv9WA-6OjaoJXcBP7hbaD2s2VuqZt22ijv2VteXg_5Y-8RzR2ApCURCFR137qbktp-kbRY1CMtQqHp5RXm1=w1200|https://lh3.googleusercontent.com/pw/AP1GczOv120btcgyYH7hU7A02qqGSrsLdjFL1PpPrgDrGoaOc6UH3hPuCOGvuqPgY_jmx3obbFxwptFG71RKo0KVUMu3rrk9pi74J7hhuoeOYBloBimSHqwU=w1200</v>
      </c>
      <c r="AJ304" s="46"/>
      <c r="AK304" s="46"/>
      <c r="AL304" s="46"/>
      <c r="AM304" s="46"/>
      <c r="AN304" s="46"/>
      <c r="AO304" s="46"/>
      <c r="AP304" s="46"/>
      <c r="AQ304" s="46"/>
      <c r="AR304" s="46"/>
      <c r="AS304" s="46"/>
      <c r="AT304" s="46"/>
      <c r="AU304" s="46"/>
      <c r="AV304" s="46"/>
      <c r="AW304" s="46"/>
      <c r="AX304" s="46"/>
      <c r="AY304" s="46"/>
      <c r="AZ304" s="46"/>
      <c r="BA304" s="46"/>
      <c r="BB304" s="46"/>
      <c r="BC304" s="46"/>
      <c r="BD304" s="46"/>
      <c r="BE304" s="46"/>
      <c r="BF304" s="46"/>
      <c r="BG304" s="46"/>
      <c r="BH304" s="46"/>
      <c r="BI304" s="46"/>
      <c r="BJ304" s="46"/>
      <c r="BK304" s="46"/>
      <c r="BL304" s="46"/>
      <c r="BM304" s="46"/>
      <c r="BN304" s="46"/>
      <c r="BO304" s="46"/>
      <c r="BP304" s="46"/>
      <c r="BQ304" s="46"/>
      <c r="BR304" s="46"/>
      <c r="BS304" s="46"/>
      <c r="BT304" s="46"/>
      <c r="BU304" s="46"/>
      <c r="BV304" s="46"/>
      <c r="BW304" s="46"/>
      <c r="BX304" s="46"/>
      <c r="BY304" s="46"/>
      <c r="BZ304" s="46"/>
      <c r="CA304" s="46"/>
      <c r="CB304" s="46"/>
      <c r="CC304" s="46"/>
    </row>
    <row r="305">
      <c r="A305" s="87" t="str">
        <f>IFERROR(__xludf.DUMMYFUNCTION("""COMPUTED_VALUE"""),"1055")</f>
        <v>1055</v>
      </c>
      <c r="B305" s="46" t="str">
        <f>IFERROR(__xludf.DUMMYFUNCTION("""COMPUTED_VALUE"""),"Casa en barrio Los Cámbulos II")</f>
        <v>Casa en barrio Los Cámbulos II</v>
      </c>
      <c r="C305" s="46" t="str">
        <f>IFERROR(__xludf.DUMMYFUNCTION("""COMPUTED_VALUE"""),"Casa")</f>
        <v>Casa</v>
      </c>
      <c r="D305" s="46" t="str">
        <f>IFERROR(__xludf.DUMMYFUNCTION("""COMPUTED_VALUE"""),"Los Cámbulos II")</f>
        <v>Los Cámbulos II</v>
      </c>
      <c r="E305" s="90" t="str">
        <f>IFERROR(__xludf.DUMMYFUNCTION("""COMPUTED_VALUE""")," ")</f>
        <v> </v>
      </c>
      <c r="F305" s="90">
        <f>IFERROR(__xludf.DUMMYFUNCTION("""COMPUTED_VALUE"""),2.8E8)</f>
        <v>280000000</v>
      </c>
      <c r="G305" s="46" t="str">
        <f>IFERROR(__xludf.DUMMYFUNCTION("""COMPUTED_VALUE"""),"$200'000.000 a $300'000.000")</f>
        <v>$200'000.000 a $300'000.000</v>
      </c>
      <c r="H305" s="46"/>
      <c r="I305" s="46"/>
      <c r="J305" s="46" t="str">
        <f>IFERROR(__xludf.DUMMYFUNCTION("""COMPUTED_VALUE"""),"Norte")</f>
        <v>Norte</v>
      </c>
      <c r="K305" s="87" t="str">
        <f>IFERROR(__xludf.DUMMYFUNCTION("""COMPUTED_VALUE"""),"2")</f>
        <v>2</v>
      </c>
      <c r="L305" s="46">
        <f>IFERROR(__xludf.DUMMYFUNCTION("""COMPUTED_VALUE"""),4.0)</f>
        <v>4</v>
      </c>
      <c r="M305" s="46"/>
      <c r="N305" s="46">
        <f>IFERROR(__xludf.DUMMYFUNCTION("""COMPUTED_VALUE"""),3.0)</f>
        <v>3</v>
      </c>
      <c r="O305" s="46">
        <f>IFERROR(__xludf.DUMMYFUNCTION("""COMPUTED_VALUE"""),1.0)</f>
        <v>1</v>
      </c>
      <c r="P305" s="46">
        <f>IFERROR(__xludf.DUMMYFUNCTION("""COMPUTED_VALUE"""),2.0)</f>
        <v>2</v>
      </c>
      <c r="Q305" s="92">
        <f>IFERROR(__xludf.DUMMYFUNCTION("""COMPUTED_VALUE"""),134.0)</f>
        <v>134</v>
      </c>
      <c r="R305" s="92">
        <f>IFERROR(__xludf.DUMMYFUNCTION("""COMPUTED_VALUE"""),84.0)</f>
        <v>84</v>
      </c>
      <c r="S305" s="87" t="str">
        <f>IFERROR(__xludf.DUMMYFUNCTION("""COMPUTED_VALUE""")," ")</f>
        <v> </v>
      </c>
      <c r="T305" s="46" t="str">
        <f>IFERROR(__xludf.DUMMYFUNCTION("""COMPUTED_VALUE"""),"Neiva")</f>
        <v>Neiva</v>
      </c>
      <c r="U305" s="87" t="str">
        <f>IFERROR(__xludf.DUMMYFUNCTION("""COMPUTED_VALUE"""),"3")</f>
        <v>3</v>
      </c>
      <c r="V305" s="46" t="str">
        <f>IFERROR(__xludf.DUMMYFUNCTION("""COMPUTED_VALUE"""),"Medianera")</f>
        <v>Medianera</v>
      </c>
      <c r="W305" s="46"/>
      <c r="X305" s="46">
        <f>IFERROR(__xludf.DUMMYFUNCTION("""COMPUTED_VALUE"""),4.0)</f>
        <v>4</v>
      </c>
      <c r="Y305" s="46" t="str">
        <f>IFERROR(__xludf.DUMMYFUNCTION("""COMPUTED_VALUE"""),"No tiene")</f>
        <v>No tiene</v>
      </c>
      <c r="Z305" s="90" t="str">
        <f>IFERROR(__xludf.DUMMYFUNCTION("""COMPUTED_VALUE"""),"No aplica")</f>
        <v>No aplica</v>
      </c>
      <c r="AA305" s="33" t="str">
        <f>IFERROR(__xludf.DUMMYFUNCTION("""COMPUTED_VALUE"""),"No aplica")</f>
        <v>No aplica</v>
      </c>
      <c r="AB305" s="96" t="str">
        <f>IFERROR(__xludf.DUMMYFUNCTION("""COMPUTED_VALUE"""),"https://photos.app.goo.gl/UmFuRays1ga56oJn6")</f>
        <v>https://photos.app.goo.gl/UmFuRays1ga56oJn6</v>
      </c>
      <c r="AC305" s="46"/>
      <c r="AD305" s="46" t="str">
        <f>IFERROR(__xludf.DUMMYFUNCTION("""COMPUTED_VALUE"""),"Casa bien ubicada sobre vía vehicular. Buenos acabados. Escritura al día.")</f>
        <v>Casa bien ubicada sobre vía vehicular. Buenos acabados. Escritura al día.</v>
      </c>
      <c r="AE305" s="46"/>
      <c r="AF305" s="46" t="str">
        <f>IFERROR(__xludf.DUMMYFUNCTION("""COMPUTED_VALUE"""),"integral")</f>
        <v>integral</v>
      </c>
      <c r="AG305" s="46"/>
      <c r="AH305" s="46" t="str">
        <f>IFERROR(__xludf.DUMMYFUNCTION("""COMPUTED_VALUE"""),"Aliado")</f>
        <v>Aliado</v>
      </c>
      <c r="AI305" s="92" t="str">
        <f>IFERROR(__xludf.DUMMYFUNCTION("""COMPUTED_VALUE"""),"https://lh3.googleusercontent.com/pw/AP1GczOpThYuTmihxlvceOcIqt9VZKT-66flm-BEu4YS2-sz6naRpSnXB70W229l0tbhY3ASYiuR3xmTfscQWdo8XHmlauhCmOjxaeHLW7PmWFr2Qe6p6CI1=w1200|https://lh3.googleusercontent.com/pw/AP1GczN3n_ULvdzIGJx5PsI2VNv0kixFJutur2otAv4Zg5yJDbZwki"&amp;"__xlnbpeN0gGeOLUiLnTQfr1IKwT4xQ2LaNgxwf2rnK0cc-vt7J9V8YMj4XwTYOpXB=w1200|https://lh3.googleusercontent.com/pw/AP1GczO0ESNvU1463K8Mzs5iWV1XNOB4NM7RhK5wvEJnCyFg0ADRX3jsUt9wQPqLiHP7B962nWCTka4lJK6h4--vcKffwfNaafyKhoZeLDQoYGp2YFr9I29q=w1200|https://lh3.google"&amp;"usercontent.com/pw/AP1GczNQlkuhpng3eO_QSVbdDKPMYHF_zmexNOwDCGCD4rcqHDD25DNgVxxaHMenzQa4dueCQ2BPsE7BUKFUja6_fEQbPsZz8M8qyFBrytCEwWfnzGpxeUJN=w1200|https://lh3.googleusercontent.com/pw/AP1GczMNN3hfWcrt2gTUkSUbUDtxJR3JQu1w3o65-D9dmTnSF42-R1E4dxRsPbfvUM2tzkky"&amp;"ey6MI4tyQtdh8qZ92cQsFRNPF33dqaNTKmwWfYTKSeuFNKdV=w1200|https://lh3.googleusercontent.com/pw/AP1GczNB5fuCsV1pskbvaCKTsiWtD056_izbEKIvdQbpgQ6mO0z5kXaD-4bfPKfM4rrLGJn8YOOQ0I6SJF6wQT4sI-7nqkqSTCqchfaqGicpvBuKy8BsxHro=w1200|https://lh3.googleusercontent.com/pw"&amp;"/AP1GczMljzA5A-3Qo8phD-cfZIyj_NssEIvrJlCQWY8sdRMkY2NH_NWTodQdw-16oK1mAWtlwJPo13lH5CCDq2v44Y3Be7FUSvfCScwtZU4kEHJvQex2eET3=w1200|https://lh3.googleusercontent.com/pw/AP1GczNbEHQWAQ0MIzjxdClwCVfbNDYVG3HK4okEJdMqG4eznHzxsNBotlWTErU_EQo0P3lWeGnQm_xfLXYjBka5nT"&amp;"ppyp5L06MVmYfsugxuNNipp-vNtHj2=w1200|https://lh3.googleusercontent.com/pw/AP1GczObHdh4ka2KJG_ZFIt_MnN7vP6Wt_1x4qQUeI7lGDzr5-Pa4qdEQpC2X598Wdtu7CwxTpK3aOh3k33-1DVjODEjnLr7DnmCWLggfsQNZrDR97SK2_5y=w1200|https://lh3.googleusercontent.com/pw/AP1GczPETd6edp55T"&amp;"T_AE4ponSixRliUG4sbFS0cWaC8lhI2s26wW8wsO5B2e9Q2gKE0m4UYehpXcme_KhxWiJOQ7_y2h20zaRhJCeEjLyK7u574tkxWbU3Z=w1200|https://lh3.googleusercontent.com/pw/AP1GczNMSqJ4jMNNPa4h0re1T0yU2vctcQA4033hO-WuzGRSWFAI8eaLgz46Fi983Kd24Hil-00pSPMJjq5vVXIwtcvyctia-vmRY5tTFKf3"&amp;"w65fKOImbCiF=w1200|https://lh3.googleusercontent.com/pw/AP1GczMte32awzk6XFAYFIoi8sge0LuuzzsQFmmXOuVUbb7GXDTqLlkuPQ-8Xx9sXEAv7TSzlMGDs_E44wViG5avBPN3WFHIQIHFZynNHhz-LG9h0A3MHQJO=w1200|https://lh3.googleusercontent.com/pw/AP1GczNfXicYM7wOYqB5wpU55iwVjsrk0xE"&amp;"24qQvFnfAcPchF3Yug3R_XNd9LHbA8eTtkyazL22Fx-hlZNjXrGuqLJU9pPhy4I987sgQM607c3CdKqFyTMAV=w1200|https://lh3.googleusercontent.com/pw/AP1GczOiOmnDJtoYmIXTz7_AhX9C4LhJDllZgDc_vR7ypiV1dKAubnSCyJU77s4BORPA2eyRhd8y4EQe8GnxnKy8EA-7WUw3KfZX_StkPRVRCSr8u6Dz6TtH=w1200")</f>
        <v>https://lh3.googleusercontent.com/pw/AP1GczOpThYuTmihxlvceOcIqt9VZKT-66flm-BEu4YS2-sz6naRpSnXB70W229l0tbhY3ASYiuR3xmTfscQWdo8XHmlauhCmOjxaeHLW7PmWFr2Qe6p6CI1=w1200|https://lh3.googleusercontent.com/pw/AP1GczN3n_ULvdzIGJx5PsI2VNv0kixFJutur2otAv4Zg5yJDbZwki__xlnbpeN0gGeOLUiLnTQfr1IKwT4xQ2LaNgxwf2rnK0cc-vt7J9V8YMj4XwTYOpXB=w1200|https://lh3.googleusercontent.com/pw/AP1GczO0ESNvU1463K8Mzs5iWV1XNOB4NM7RhK5wvEJnCyFg0ADRX3jsUt9wQPqLiHP7B962nWCTka4lJK6h4--vcKffwfNaafyKhoZeLDQoYGp2YFr9I29q=w1200|https://lh3.googleusercontent.com/pw/AP1GczNQlkuhpng3eO_QSVbdDKPMYHF_zmexNOwDCGCD4rcqHDD25DNgVxxaHMenzQa4dueCQ2BPsE7BUKFUja6_fEQbPsZz8M8qyFBrytCEwWfnzGpxeUJN=w1200|https://lh3.googleusercontent.com/pw/AP1GczMNN3hfWcrt2gTUkSUbUDtxJR3JQu1w3o65-D9dmTnSF42-R1E4dxRsPbfvUM2tzkkyey6MI4tyQtdh8qZ92cQsFRNPF33dqaNTKmwWfYTKSeuFNKdV=w1200|https://lh3.googleusercontent.com/pw/AP1GczNB5fuCsV1pskbvaCKTsiWtD056_izbEKIvdQbpgQ6mO0z5kXaD-4bfPKfM4rrLGJn8YOOQ0I6SJF6wQT4sI-7nqkqSTCqchfaqGicpvBuKy8BsxHro=w1200|https://lh3.googleusercontent.com/pw/AP1GczMljzA5A-3Qo8phD-cfZIyj_NssEIvrJlCQWY8sdRMkY2NH_NWTodQdw-16oK1mAWtlwJPo13lH5CCDq2v44Y3Be7FUSvfCScwtZU4kEHJvQex2eET3=w1200|https://lh3.googleusercontent.com/pw/AP1GczNbEHQWAQ0MIzjxdClwCVfbNDYVG3HK4okEJdMqG4eznHzxsNBotlWTErU_EQo0P3lWeGnQm_xfLXYjBka5nTppyp5L06MVmYfsugxuNNipp-vNtHj2=w1200|https://lh3.googleusercontent.com/pw/AP1GczObHdh4ka2KJG_ZFIt_MnN7vP6Wt_1x4qQUeI7lGDzr5-Pa4qdEQpC2X598Wdtu7CwxTpK3aOh3k33-1DVjODEjnLr7DnmCWLggfsQNZrDR97SK2_5y=w1200|https://lh3.googleusercontent.com/pw/AP1GczPETd6edp55TT_AE4ponSixRliUG4sbFS0cWaC8lhI2s26wW8wsO5B2e9Q2gKE0m4UYehpXcme_KhxWiJOQ7_y2h20zaRhJCeEjLyK7u574tkxWbU3Z=w1200|https://lh3.googleusercontent.com/pw/AP1GczNMSqJ4jMNNPa4h0re1T0yU2vctcQA4033hO-WuzGRSWFAI8eaLgz46Fi983Kd24Hil-00pSPMJjq5vVXIwtcvyctia-vmRY5tTFKf3w65fKOImbCiF=w1200|https://lh3.googleusercontent.com/pw/AP1GczMte32awzk6XFAYFIoi8sge0LuuzzsQFmmXOuVUbb7GXDTqLlkuPQ-8Xx9sXEAv7TSzlMGDs_E44wViG5avBPN3WFHIQIHFZynNHhz-LG9h0A3MHQJO=w1200|https://lh3.googleusercontent.com/pw/AP1GczNfXicYM7wOYqB5wpU55iwVjsrk0xE24qQvFnfAcPchF3Yug3R_XNd9LHbA8eTtkyazL22Fx-hlZNjXrGuqLJU9pPhy4I987sgQM607c3CdKqFyTMAV=w1200|https://lh3.googleusercontent.com/pw/AP1GczOiOmnDJtoYmIXTz7_AhX9C4LhJDllZgDc_vR7ypiV1dKAubnSCyJU77s4BORPA2eyRhd8y4EQe8GnxnKy8EA-7WUw3KfZX_StkPRVRCSr8u6Dz6TtH=w1200</v>
      </c>
      <c r="AJ305" s="46"/>
      <c r="AK305" s="46"/>
      <c r="AL305" s="46"/>
      <c r="AM305" s="46"/>
      <c r="AN305" s="46"/>
      <c r="AO305" s="46"/>
      <c r="AP305" s="46"/>
      <c r="AQ305" s="46"/>
      <c r="AR305" s="46"/>
      <c r="AS305" s="46"/>
      <c r="AT305" s="46"/>
      <c r="AU305" s="46"/>
      <c r="AV305" s="46"/>
      <c r="AW305" s="46"/>
      <c r="AX305" s="46"/>
      <c r="AY305" s="46"/>
      <c r="AZ305" s="46"/>
      <c r="BA305" s="46"/>
      <c r="BB305" s="46"/>
      <c r="BC305" s="46"/>
      <c r="BD305" s="46"/>
      <c r="BE305" s="46"/>
      <c r="BF305" s="46"/>
      <c r="BG305" s="46"/>
      <c r="BH305" s="46"/>
      <c r="BI305" s="46"/>
      <c r="BJ305" s="46"/>
      <c r="BK305" s="46"/>
      <c r="BL305" s="46"/>
      <c r="BM305" s="46"/>
      <c r="BN305" s="46"/>
      <c r="BO305" s="46"/>
      <c r="BP305" s="46"/>
      <c r="BQ305" s="46"/>
      <c r="BR305" s="46"/>
      <c r="BS305" s="46"/>
      <c r="BT305" s="46"/>
      <c r="BU305" s="46"/>
      <c r="BV305" s="46"/>
      <c r="BW305" s="46"/>
      <c r="BX305" s="46"/>
      <c r="BY305" s="46"/>
      <c r="BZ305" s="46"/>
      <c r="CA305" s="46"/>
      <c r="CB305" s="46"/>
      <c r="CC305" s="46"/>
    </row>
    <row r="306">
      <c r="A306" s="87" t="str">
        <f>IFERROR(__xludf.DUMMYFUNCTION("""COMPUTED_VALUE"""),"947")</f>
        <v>947</v>
      </c>
      <c r="B306" s="46" t="str">
        <f>IFERROR(__xludf.DUMMYFUNCTION("""COMPUTED_VALUE"""),"Lote urbano en barrio La Gaitana - Oriente")</f>
        <v>Lote urbano en barrio La Gaitana - Oriente</v>
      </c>
      <c r="C306" s="46" t="str">
        <f>IFERROR(__xludf.DUMMYFUNCTION("""COMPUTED_VALUE"""),"Lote")</f>
        <v>Lote</v>
      </c>
      <c r="D306" s="46" t="str">
        <f>IFERROR(__xludf.DUMMYFUNCTION("""COMPUTED_VALUE"""),"La Gaitana")</f>
        <v>La Gaitana</v>
      </c>
      <c r="E306" s="46"/>
      <c r="F306" s="90">
        <f>IFERROR(__xludf.DUMMYFUNCTION("""COMPUTED_VALUE"""),2.0E8)</f>
        <v>200000000</v>
      </c>
      <c r="G306" s="46" t="str">
        <f>IFERROR(__xludf.DUMMYFUNCTION("""COMPUTED_VALUE"""),"$200'000.000 a $300'000.000")</f>
        <v>$200'000.000 a $300'000.000</v>
      </c>
      <c r="H306" s="46"/>
      <c r="I306" s="46"/>
      <c r="J306" s="46" t="str">
        <f>IFERROR(__xludf.DUMMYFUNCTION("""COMPUTED_VALUE"""),"Oriente")</f>
        <v>Oriente</v>
      </c>
      <c r="K306" s="87" t="str">
        <f>IFERROR(__xludf.DUMMYFUNCTION("""COMPUTED_VALUE"""),"7")</f>
        <v>7</v>
      </c>
      <c r="L306" s="46">
        <f>IFERROR(__xludf.DUMMYFUNCTION("""COMPUTED_VALUE"""),0.0)</f>
        <v>0</v>
      </c>
      <c r="M306" s="46"/>
      <c r="N306" s="46">
        <f>IFERROR(__xludf.DUMMYFUNCTION("""COMPUTED_VALUE"""),0.0)</f>
        <v>0</v>
      </c>
      <c r="O306" s="46">
        <f>IFERROR(__xludf.DUMMYFUNCTION("""COMPUTED_VALUE"""),0.0)</f>
        <v>0</v>
      </c>
      <c r="P306" s="46">
        <f>IFERROR(__xludf.DUMMYFUNCTION("""COMPUTED_VALUE"""),0.0)</f>
        <v>0</v>
      </c>
      <c r="Q306" s="92">
        <f>IFERROR(__xludf.DUMMYFUNCTION("""COMPUTED_VALUE"""),0.0)</f>
        <v>0</v>
      </c>
      <c r="R306" s="92">
        <f>IFERROR(__xludf.DUMMYFUNCTION("""COMPUTED_VALUE"""),144.0)</f>
        <v>144</v>
      </c>
      <c r="S306" s="87" t="str">
        <f>IFERROR(__xludf.DUMMYFUNCTION("""COMPUTED_VALUE""")," ")</f>
        <v> </v>
      </c>
      <c r="T306" s="46" t="str">
        <f>IFERROR(__xludf.DUMMYFUNCTION("""COMPUTED_VALUE"""),"Neiva")</f>
        <v>Neiva</v>
      </c>
      <c r="U306" s="87" t="str">
        <f>IFERROR(__xludf.DUMMYFUNCTION("""COMPUTED_VALUE"""),"4")</f>
        <v>4</v>
      </c>
      <c r="V306" s="46" t="str">
        <f>IFERROR(__xludf.DUMMYFUNCTION("""COMPUTED_VALUE"""),"Medianera")</f>
        <v>Medianera</v>
      </c>
      <c r="W306" s="46"/>
      <c r="X306" s="46">
        <f>IFERROR(__xludf.DUMMYFUNCTION("""COMPUTED_VALUE"""),0.0)</f>
        <v>0</v>
      </c>
      <c r="Y306" s="46" t="str">
        <f>IFERROR(__xludf.DUMMYFUNCTION("""COMPUTED_VALUE"""),"No tiene")</f>
        <v>No tiene</v>
      </c>
      <c r="Z306" s="90"/>
      <c r="AA306" s="33" t="str">
        <f>IFERROR(__xludf.DUMMYFUNCTION("""COMPUTED_VALUE"""),"No aplica")</f>
        <v>No aplica</v>
      </c>
      <c r="AB306" s="96" t="str">
        <f>IFERROR(__xludf.DUMMYFUNCTION("""COMPUTED_VALUE"""),"https://photos.app.goo.gl/WdAWd8AiTcs3vUBW8")</f>
        <v>https://photos.app.goo.gl/WdAWd8AiTcs3vUBW8</v>
      </c>
      <c r="AC306" s="46" t="str">
        <f>IFERROR(__xludf.DUMMYFUNCTION("""COMPUTED_VALUE"""),"Hermoso lote urbano, ubicado en la zona oriente de Neiva con mayor valorización en la ciudad.")</f>
        <v>Hermoso lote urbano, ubicado en la zona oriente de Neiva con mayor valorización en la ciudad.</v>
      </c>
      <c r="AD306" s="46" t="str">
        <f>IFERROR(__xludf.DUMMYFUNCTION("""COMPUTED_VALUE"""),"Medianero con doble frente.")</f>
        <v>Medianero con doble frente.</v>
      </c>
      <c r="AE306" s="46"/>
      <c r="AF306" s="46">
        <f>IFERROR(__xludf.DUMMYFUNCTION("""COMPUTED_VALUE"""),0.0)</f>
        <v>0</v>
      </c>
      <c r="AG306" s="46"/>
      <c r="AH306" s="46" t="str">
        <f>IFERROR(__xludf.DUMMYFUNCTION("""COMPUTED_VALUE"""),"Aliado")</f>
        <v>Aliado</v>
      </c>
      <c r="AI306" s="92" t="str">
        <f>IFERROR(__xludf.DUMMYFUNCTION("""COMPUTED_VALUE"""),"https://lh3.googleusercontent.com/pw/AP1GczPEj-2j8684CPnoWAtzh3j1mFP0XJ7JPg0jsBtXhsOp5s69WvTOrRoAd5OVOZILnNK7YTGs7LhJmcyHGpSN8zcg7nr10WO15VY8GpQCmtX3qygB21sT=w1200|https://lh3.googleusercontent.com/pw/AP1GczPUpBWwHubtD3AQwKoKl3TkKubLR0h_uwDDocl7MvSEEdAJzK"&amp;"qMCrUDuaB_9tGh4BE9ZR5SCieDLmjdMBRDq6dt43ENNi4j1zqtgBoqb4ej_o4m0ajB=w1200|https://lh3.googleusercontent.com/pw/AP1GczPjmzeuv1DV4HpYnEb4gtWTyOdfqfLj2W5qplGhnB_CoBGsgwDX_jT4gxKBXFh7AiT9jKmlGtb-ugsP_yKCOXxCPTjPaZN2fVvTvCn4VSUOIuKa-OVY=w1200|https://lh3.google"&amp;"usercontent.com/pw/AP1GczPVUBbvzqxRon7ajheTcJEgQzApSws6WTtFJnDDnBZfOHgjclWiGDz0eAytHJl6j9zmVOs3lwpTAgowkCAA-wI_iSCmMhCj2xtZNi0gDRfi9GimPLb4=w1200")</f>
        <v>https://lh3.googleusercontent.com/pw/AP1GczPEj-2j8684CPnoWAtzh3j1mFP0XJ7JPg0jsBtXhsOp5s69WvTOrRoAd5OVOZILnNK7YTGs7LhJmcyHGpSN8zcg7nr10WO15VY8GpQCmtX3qygB21sT=w1200|https://lh3.googleusercontent.com/pw/AP1GczPUpBWwHubtD3AQwKoKl3TkKubLR0h_uwDDocl7MvSEEdAJzKqMCrUDuaB_9tGh4BE9ZR5SCieDLmjdMBRDq6dt43ENNi4j1zqtgBoqb4ej_o4m0ajB=w1200|https://lh3.googleusercontent.com/pw/AP1GczPjmzeuv1DV4HpYnEb4gtWTyOdfqfLj2W5qplGhnB_CoBGsgwDX_jT4gxKBXFh7AiT9jKmlGtb-ugsP_yKCOXxCPTjPaZN2fVvTvCn4VSUOIuKa-OVY=w1200|https://lh3.googleusercontent.com/pw/AP1GczPVUBbvzqxRon7ajheTcJEgQzApSws6WTtFJnDDnBZfOHgjclWiGDz0eAytHJl6j9zmVOs3lwpTAgowkCAA-wI_iSCmMhCj2xtZNi0gDRfi9GimPLb4=w1200</v>
      </c>
      <c r="AJ306" s="46"/>
      <c r="AK306" s="46"/>
      <c r="AL306" s="46"/>
      <c r="AM306" s="46"/>
      <c r="AN306" s="46"/>
      <c r="AO306" s="46"/>
      <c r="AP306" s="46"/>
      <c r="AQ306" s="46"/>
      <c r="AR306" s="46"/>
      <c r="AS306" s="46"/>
      <c r="AT306" s="46"/>
      <c r="AU306" s="46"/>
      <c r="AV306" s="46"/>
      <c r="AW306" s="46"/>
      <c r="AX306" s="46"/>
      <c r="AY306" s="46"/>
      <c r="AZ306" s="46"/>
      <c r="BA306" s="46"/>
      <c r="BB306" s="46"/>
      <c r="BC306" s="46"/>
      <c r="BD306" s="46"/>
      <c r="BE306" s="46"/>
      <c r="BF306" s="46"/>
      <c r="BG306" s="46"/>
      <c r="BH306" s="46"/>
      <c r="BI306" s="46"/>
      <c r="BJ306" s="46"/>
      <c r="BK306" s="46"/>
      <c r="BL306" s="46"/>
      <c r="BM306" s="46"/>
      <c r="BN306" s="46"/>
      <c r="BO306" s="46"/>
      <c r="BP306" s="46"/>
      <c r="BQ306" s="46"/>
      <c r="BR306" s="46"/>
      <c r="BS306" s="46"/>
      <c r="BT306" s="46"/>
      <c r="BU306" s="46"/>
      <c r="BV306" s="46"/>
      <c r="BW306" s="46"/>
      <c r="BX306" s="46"/>
      <c r="BY306" s="46"/>
      <c r="BZ306" s="46"/>
      <c r="CA306" s="46"/>
      <c r="CB306" s="46"/>
      <c r="CC306" s="46"/>
    </row>
    <row r="307">
      <c r="A307" s="87" t="str">
        <f>IFERROR(__xludf.DUMMYFUNCTION("""COMPUTED_VALUE"""),"1326")</f>
        <v>1326</v>
      </c>
      <c r="B307" s="46" t="str">
        <f>IFERROR(__xludf.DUMMYFUNCTION("""COMPUTED_VALUE"""),"Lote urbano en barrio Primavera de Buganviles - Oriente")</f>
        <v>Lote urbano en barrio Primavera de Buganviles - Oriente</v>
      </c>
      <c r="C307" s="46" t="str">
        <f>IFERROR(__xludf.DUMMYFUNCTION("""COMPUTED_VALUE"""),"Lote")</f>
        <v>Lote</v>
      </c>
      <c r="D307" s="46" t="str">
        <f>IFERROR(__xludf.DUMMYFUNCTION("""COMPUTED_VALUE"""),"Buganviles")</f>
        <v>Buganviles</v>
      </c>
      <c r="E307" s="46"/>
      <c r="F307" s="90">
        <f>IFERROR(__xludf.DUMMYFUNCTION("""COMPUTED_VALUE"""),1.5E8)</f>
        <v>150000000</v>
      </c>
      <c r="G307" s="46" t="str">
        <f>IFERROR(__xludf.DUMMYFUNCTION("""COMPUTED_VALUE"""),"$100'000.000 a $200'000.000")</f>
        <v>$100'000.000 a $200'000.000</v>
      </c>
      <c r="H307" s="46"/>
      <c r="I307" s="46"/>
      <c r="J307" s="46" t="str">
        <f>IFERROR(__xludf.DUMMYFUNCTION("""COMPUTED_VALUE"""),"Oriente")</f>
        <v>Oriente</v>
      </c>
      <c r="K307" s="87" t="str">
        <f>IFERROR(__xludf.DUMMYFUNCTION("""COMPUTED_VALUE"""),"7")</f>
        <v>7</v>
      </c>
      <c r="L307" s="46">
        <f>IFERROR(__xludf.DUMMYFUNCTION("""COMPUTED_VALUE"""),0.0)</f>
        <v>0</v>
      </c>
      <c r="M307" s="46"/>
      <c r="N307" s="46">
        <f>IFERROR(__xludf.DUMMYFUNCTION("""COMPUTED_VALUE"""),0.0)</f>
        <v>0</v>
      </c>
      <c r="O307" s="46">
        <f>IFERROR(__xludf.DUMMYFUNCTION("""COMPUTED_VALUE"""),0.0)</f>
        <v>0</v>
      </c>
      <c r="P307" s="46">
        <f>IFERROR(__xludf.DUMMYFUNCTION("""COMPUTED_VALUE"""),0.0)</f>
        <v>0</v>
      </c>
      <c r="Q307" s="92">
        <f>IFERROR(__xludf.DUMMYFUNCTION("""COMPUTED_VALUE"""),0.0)</f>
        <v>0</v>
      </c>
      <c r="R307" s="92">
        <f>IFERROR(__xludf.DUMMYFUNCTION("""COMPUTED_VALUE"""),112.0)</f>
        <v>112</v>
      </c>
      <c r="S307" s="87" t="str">
        <f>IFERROR(__xludf.DUMMYFUNCTION("""COMPUTED_VALUE""")," ")</f>
        <v> </v>
      </c>
      <c r="T307" s="46" t="str">
        <f>IFERROR(__xludf.DUMMYFUNCTION("""COMPUTED_VALUE"""),"Neiva")</f>
        <v>Neiva</v>
      </c>
      <c r="U307" s="87" t="str">
        <f>IFERROR(__xludf.DUMMYFUNCTION("""COMPUTED_VALUE"""),"3")</f>
        <v>3</v>
      </c>
      <c r="V307" s="46" t="str">
        <f>IFERROR(__xludf.DUMMYFUNCTION("""COMPUTED_VALUE"""),"Medianera")</f>
        <v>Medianera</v>
      </c>
      <c r="W307" s="46"/>
      <c r="X307" s="46">
        <f>IFERROR(__xludf.DUMMYFUNCTION("""COMPUTED_VALUE"""),0.0)</f>
        <v>0</v>
      </c>
      <c r="Y307" s="46" t="str">
        <f>IFERROR(__xludf.DUMMYFUNCTION("""COMPUTED_VALUE"""),"No tiene")</f>
        <v>No tiene</v>
      </c>
      <c r="Z307" s="90"/>
      <c r="AA307" s="33" t="str">
        <f>IFERROR(__xludf.DUMMYFUNCTION("""COMPUTED_VALUE"""),"No aplica")</f>
        <v>No aplica</v>
      </c>
      <c r="AB307" s="96" t="str">
        <f>IFERROR(__xludf.DUMMYFUNCTION("""COMPUTED_VALUE"""),"https://photos.app.goo.gl/sn3Y2bei6UCPRzBKA")</f>
        <v>https://photos.app.goo.gl/sn3Y2bei6UCPRzBKA</v>
      </c>
      <c r="AC307" s="46" t="str">
        <f>IFERROR(__xludf.DUMMYFUNCTION("""COMPUTED_VALUE"""),"Lote bicado en la zona oriente de la ciudad, Primavera de Buganvíles, con un área de 112 mt2.")</f>
        <v>Lote bicado en la zona oriente de la ciudad, Primavera de Buganvíles, con un área de 112 mt2.</v>
      </c>
      <c r="AD307" s="46" t="str">
        <f>IFERROR(__xludf.DUMMYFUNCTION("""COMPUTED_VALUE"""),"Lote plano, con servicios.")</f>
        <v>Lote plano, con servicios.</v>
      </c>
      <c r="AE307" s="46"/>
      <c r="AF307" s="46">
        <f>IFERROR(__xludf.DUMMYFUNCTION("""COMPUTED_VALUE"""),0.0)</f>
        <v>0</v>
      </c>
      <c r="AG307" s="46"/>
      <c r="AH307" s="46" t="str">
        <f>IFERROR(__xludf.DUMMYFUNCTION("""COMPUTED_VALUE"""),"Aliado")</f>
        <v>Aliado</v>
      </c>
      <c r="AI307" s="92" t="str">
        <f>IFERROR(__xludf.DUMMYFUNCTION("""COMPUTED_VALUE"""),"https://lh3.googleusercontent.com/pw/AP1GczNeHA9sJNBWq9GmVjozE-OmuCipfnsHRuyFa-dmNVOopiehv-NZsVf9xcZaCl0MCoaRlkS4wD7H9nFVWJMah89HQ68fL9RwH2OF11_XJFeNl4c4iSAt=w1200|https://lh3.googleusercontent.com/pw/AP1GczOJbDeyd703CTCtxdoa9e5wyplr_4gpbgojTg5008d81IM3Ei"&amp;"iKl6LTtyp6emajwus8YxSNPfCPgT_sbKu7FPYXTRtkUCBY2LEH8pf_nx72h63yx3jZ=w1200|https://lh3.googleusercontent.com/pw/AP1GczNGntGuyw9cB_ZsOVepPHxJ2qSCHu9XtfpSygJVqBuy8xQSUQOwr1dM83jzBUCgQ21mFljxgzC9tka-hXffzZIm6hcS0oH_uj4gXrnZ8ASiOh-u8X8T=w1200")</f>
        <v>https://lh3.googleusercontent.com/pw/AP1GczNeHA9sJNBWq9GmVjozE-OmuCipfnsHRuyFa-dmNVOopiehv-NZsVf9xcZaCl0MCoaRlkS4wD7H9nFVWJMah89HQ68fL9RwH2OF11_XJFeNl4c4iSAt=w1200|https://lh3.googleusercontent.com/pw/AP1GczOJbDeyd703CTCtxdoa9e5wyplr_4gpbgojTg5008d81IM3EiiKl6LTtyp6emajwus8YxSNPfCPgT_sbKu7FPYXTRtkUCBY2LEH8pf_nx72h63yx3jZ=w1200|https://lh3.googleusercontent.com/pw/AP1GczNGntGuyw9cB_ZsOVepPHxJ2qSCHu9XtfpSygJVqBuy8xQSUQOwr1dM83jzBUCgQ21mFljxgzC9tka-hXffzZIm6hcS0oH_uj4gXrnZ8ASiOh-u8X8T=w1200</v>
      </c>
      <c r="AJ307" s="46"/>
      <c r="AK307" s="46"/>
      <c r="AL307" s="46"/>
      <c r="AM307" s="46"/>
      <c r="AN307" s="46"/>
      <c r="AO307" s="46"/>
      <c r="AP307" s="46"/>
      <c r="AQ307" s="46"/>
      <c r="AR307" s="46"/>
      <c r="AS307" s="46"/>
      <c r="AT307" s="46"/>
      <c r="AU307" s="46"/>
      <c r="AV307" s="46"/>
      <c r="AW307" s="46"/>
      <c r="AX307" s="46"/>
      <c r="AY307" s="46"/>
      <c r="AZ307" s="46"/>
      <c r="BA307" s="46"/>
      <c r="BB307" s="46"/>
      <c r="BC307" s="46"/>
      <c r="BD307" s="46"/>
      <c r="BE307" s="46"/>
      <c r="BF307" s="46"/>
      <c r="BG307" s="46"/>
      <c r="BH307" s="46"/>
      <c r="BI307" s="46"/>
      <c r="BJ307" s="46"/>
      <c r="BK307" s="46"/>
      <c r="BL307" s="46"/>
      <c r="BM307" s="46"/>
      <c r="BN307" s="46"/>
      <c r="BO307" s="46"/>
      <c r="BP307" s="46"/>
      <c r="BQ307" s="46"/>
      <c r="BR307" s="46"/>
      <c r="BS307" s="46"/>
      <c r="BT307" s="46"/>
      <c r="BU307" s="46"/>
      <c r="BV307" s="46"/>
      <c r="BW307" s="46"/>
      <c r="BX307" s="46"/>
      <c r="BY307" s="46"/>
      <c r="BZ307" s="46"/>
      <c r="CA307" s="46"/>
      <c r="CB307" s="46"/>
      <c r="CC307" s="46"/>
    </row>
    <row r="308">
      <c r="A308" s="87" t="str">
        <f>IFERROR(__xludf.DUMMYFUNCTION("""COMPUTED_VALUE"""),"953")</f>
        <v>953</v>
      </c>
      <c r="B308" s="46" t="str">
        <f>IFERROR(__xludf.DUMMYFUNCTION("""COMPUTED_VALUE"""),"Lote urbano en barrio La Arboleda II - Oriente")</f>
        <v>Lote urbano en barrio La Arboleda II - Oriente</v>
      </c>
      <c r="C308" s="46" t="str">
        <f>IFERROR(__xludf.DUMMYFUNCTION("""COMPUTED_VALUE"""),"Lote")</f>
        <v>Lote</v>
      </c>
      <c r="D308" s="46" t="str">
        <f>IFERROR(__xludf.DUMMYFUNCTION("""COMPUTED_VALUE"""),"La Arboleda II")</f>
        <v>La Arboleda II</v>
      </c>
      <c r="E308" s="46"/>
      <c r="F308" s="90">
        <f>IFERROR(__xludf.DUMMYFUNCTION("""COMPUTED_VALUE"""),1.4E8)</f>
        <v>140000000</v>
      </c>
      <c r="G308" s="46" t="str">
        <f>IFERROR(__xludf.DUMMYFUNCTION("""COMPUTED_VALUE"""),"$100'000.000 a $200'000.000")</f>
        <v>$100'000.000 a $200'000.000</v>
      </c>
      <c r="H308" s="46"/>
      <c r="I308" s="46"/>
      <c r="J308" s="46" t="str">
        <f>IFERROR(__xludf.DUMMYFUNCTION("""COMPUTED_VALUE"""),"Oriente")</f>
        <v>Oriente</v>
      </c>
      <c r="K308" s="87"/>
      <c r="L308" s="46">
        <f>IFERROR(__xludf.DUMMYFUNCTION("""COMPUTED_VALUE"""),0.0)</f>
        <v>0</v>
      </c>
      <c r="M308" s="46"/>
      <c r="N308" s="46">
        <f>IFERROR(__xludf.DUMMYFUNCTION("""COMPUTED_VALUE"""),0.0)</f>
        <v>0</v>
      </c>
      <c r="O308" s="46">
        <f>IFERROR(__xludf.DUMMYFUNCTION("""COMPUTED_VALUE"""),0.0)</f>
        <v>0</v>
      </c>
      <c r="P308" s="46">
        <f>IFERROR(__xludf.DUMMYFUNCTION("""COMPUTED_VALUE"""),0.0)</f>
        <v>0</v>
      </c>
      <c r="Q308" s="92">
        <f>IFERROR(__xludf.DUMMYFUNCTION("""COMPUTED_VALUE"""),0.0)</f>
        <v>0</v>
      </c>
      <c r="R308" s="92">
        <f>IFERROR(__xludf.DUMMYFUNCTION("""COMPUTED_VALUE"""),72.0)</f>
        <v>72</v>
      </c>
      <c r="S308" s="87" t="str">
        <f>IFERROR(__xludf.DUMMYFUNCTION("""COMPUTED_VALUE""")," ")</f>
        <v> </v>
      </c>
      <c r="T308" s="46" t="str">
        <f>IFERROR(__xludf.DUMMYFUNCTION("""COMPUTED_VALUE"""),"Neiva")</f>
        <v>Neiva</v>
      </c>
      <c r="U308" s="87" t="str">
        <f>IFERROR(__xludf.DUMMYFUNCTION("""COMPUTED_VALUE"""),"3")</f>
        <v>3</v>
      </c>
      <c r="V308" s="46" t="str">
        <f>IFERROR(__xludf.DUMMYFUNCTION("""COMPUTED_VALUE"""),"Medianera")</f>
        <v>Medianera</v>
      </c>
      <c r="W308" s="46"/>
      <c r="X308" s="46">
        <f>IFERROR(__xludf.DUMMYFUNCTION("""COMPUTED_VALUE"""),0.0)</f>
        <v>0</v>
      </c>
      <c r="Y308" s="46" t="str">
        <f>IFERROR(__xludf.DUMMYFUNCTION("""COMPUTED_VALUE"""),"No tiene")</f>
        <v>No tiene</v>
      </c>
      <c r="Z308" s="90" t="str">
        <f>IFERROR(__xludf.DUMMYFUNCTION("""COMPUTED_VALUE"""),"No aplica")</f>
        <v>No aplica</v>
      </c>
      <c r="AA308" s="33" t="str">
        <f>IFERROR(__xludf.DUMMYFUNCTION("""COMPUTED_VALUE"""),"No aplica")</f>
        <v>No aplica</v>
      </c>
      <c r="AB308" s="96" t="str">
        <f>IFERROR(__xludf.DUMMYFUNCTION("""COMPUTED_VALUE"""),"https://photos.app.goo.gl/osbC6Z91wDPytfqm8")</f>
        <v>https://photos.app.goo.gl/osbC6Z91wDPytfqm8</v>
      </c>
      <c r="AC308" s="46" t="str">
        <f>IFERROR(__xludf.DUMMYFUNCTION("""COMPUTED_VALUE"""),"Excelente lote para vivienda urbana, en la zona oriente de la ciudad, con alta valorización.")</f>
        <v>Excelente lote para vivienda urbana, en la zona oriente de la ciudad, con alta valorización.</v>
      </c>
      <c r="AD308" s="46" t="str">
        <f>IFERROR(__xludf.DUMMYFUNCTION("""COMPUTED_VALUE"""),"Estratégicamente bien ubicado cerca a Universidad Antonio Nariño, Colegio Colombo Inglés, Centro Comercial Santa Lucia Plaza y zona comercial.")</f>
        <v>Estratégicamente bien ubicado cerca a Universidad Antonio Nariño, Colegio Colombo Inglés, Centro Comercial Santa Lucia Plaza y zona comercial.</v>
      </c>
      <c r="AE308" s="46"/>
      <c r="AF308" s="46">
        <f>IFERROR(__xludf.DUMMYFUNCTION("""COMPUTED_VALUE"""),0.0)</f>
        <v>0</v>
      </c>
      <c r="AG308" s="46"/>
      <c r="AH308" s="46" t="str">
        <f>IFERROR(__xludf.DUMMYFUNCTION("""COMPUTED_VALUE"""),"Aliado")</f>
        <v>Aliado</v>
      </c>
      <c r="AI308" s="92" t="str">
        <f>IFERROR(__xludf.DUMMYFUNCTION("""COMPUTED_VALUE"""),"https://lh3.googleusercontent.com/pw/AP1GczPAakgSUxrYjzNCd1gyriaKzZFrZKm4DGMhNVIjK4jpJfBWVxRk5PhvJBWb3QNxBWZgSywmu1kfjOyRQ6X_7-dztSQ4GYfyjmarD-e4UPkswprTH0iy=w1200|https://lh3.googleusercontent.com/pw/AP1GczOukd17YHc60ssZWRLHbQGuiBBa84v3JZlMIQWfgBMsOngAB8"&amp;"ELuc337J6JnFTyMKOQtkC3uIDk4Fhsc9o9CrGjpjflsyK7HQDruYuTg09qk6sfvY_J=w1200|https://lh3.googleusercontent.com/pw/AP1GczNdQmj8lTZPicgObAyGqfP9m4EHl11JMreazOaqnk1bAaZswKTXoQnrGAz43SnHcByP9UFP0MRIn9GAy2PcIMhiFoJt-GQFJYw9Vr9LzuyiwL3zAX1T=w1200")</f>
        <v>https://lh3.googleusercontent.com/pw/AP1GczPAakgSUxrYjzNCd1gyriaKzZFrZKm4DGMhNVIjK4jpJfBWVxRk5PhvJBWb3QNxBWZgSywmu1kfjOyRQ6X_7-dztSQ4GYfyjmarD-e4UPkswprTH0iy=w1200|https://lh3.googleusercontent.com/pw/AP1GczOukd17YHc60ssZWRLHbQGuiBBa84v3JZlMIQWfgBMsOngAB8ELuc337J6JnFTyMKOQtkC3uIDk4Fhsc9o9CrGjpjflsyK7HQDruYuTg09qk6sfvY_J=w1200|https://lh3.googleusercontent.com/pw/AP1GczNdQmj8lTZPicgObAyGqfP9m4EHl11JMreazOaqnk1bAaZswKTXoQnrGAz43SnHcByP9UFP0MRIn9GAy2PcIMhiFoJt-GQFJYw9Vr9LzuyiwL3zAX1T=w1200</v>
      </c>
      <c r="AJ308" s="46"/>
      <c r="AK308" s="46"/>
      <c r="AL308" s="46"/>
      <c r="AM308" s="46"/>
      <c r="AN308" s="46"/>
      <c r="AO308" s="46"/>
      <c r="AP308" s="46"/>
      <c r="AQ308" s="46"/>
      <c r="AR308" s="46"/>
      <c r="AS308" s="46"/>
      <c r="AT308" s="46"/>
      <c r="AU308" s="46"/>
      <c r="AV308" s="46"/>
      <c r="AW308" s="46"/>
      <c r="AX308" s="46"/>
      <c r="AY308" s="46"/>
      <c r="AZ308" s="46"/>
      <c r="BA308" s="46"/>
      <c r="BB308" s="46"/>
      <c r="BC308" s="46"/>
      <c r="BD308" s="46"/>
      <c r="BE308" s="46"/>
      <c r="BF308" s="46"/>
      <c r="BG308" s="46"/>
      <c r="BH308" s="46"/>
      <c r="BI308" s="46"/>
      <c r="BJ308" s="46"/>
      <c r="BK308" s="46"/>
      <c r="BL308" s="46"/>
      <c r="BM308" s="46"/>
      <c r="BN308" s="46"/>
      <c r="BO308" s="46"/>
      <c r="BP308" s="46"/>
      <c r="BQ308" s="46"/>
      <c r="BR308" s="46"/>
      <c r="BS308" s="46"/>
      <c r="BT308" s="46"/>
      <c r="BU308" s="46"/>
      <c r="BV308" s="46"/>
      <c r="BW308" s="46"/>
      <c r="BX308" s="46"/>
      <c r="BY308" s="46"/>
      <c r="BZ308" s="46"/>
      <c r="CA308" s="46"/>
      <c r="CB308" s="46"/>
      <c r="CC308" s="46"/>
    </row>
    <row r="309">
      <c r="A309" s="87" t="str">
        <f>IFERROR(__xludf.DUMMYFUNCTION("""COMPUTED_VALUE"""),"1108")</f>
        <v>1108</v>
      </c>
      <c r="B309" s="46" t="str">
        <f>IFERROR(__xludf.DUMMYFUNCTION("""COMPUTED_VALUE"""),"Casa en barrio Villa Carolina III Etapa")</f>
        <v>Casa en barrio Villa Carolina III Etapa</v>
      </c>
      <c r="C309" s="46" t="str">
        <f>IFERROR(__xludf.DUMMYFUNCTION("""COMPUTED_VALUE"""),"Casa")</f>
        <v>Casa</v>
      </c>
      <c r="D309" s="46" t="str">
        <f>IFERROR(__xludf.DUMMYFUNCTION("""COMPUTED_VALUE"""),"Villa Carolina")</f>
        <v>Villa Carolina</v>
      </c>
      <c r="E309" s="46"/>
      <c r="F309" s="90">
        <f>IFERROR(__xludf.DUMMYFUNCTION("""COMPUTED_VALUE"""),3.4E8)</f>
        <v>340000000</v>
      </c>
      <c r="G309" s="46" t="str">
        <f>IFERROR(__xludf.DUMMYFUNCTION("""COMPUTED_VALUE"""),"$300'000.000 a $400'000.000")</f>
        <v>$300'000.000 a $400'000.000</v>
      </c>
      <c r="H309" s="46"/>
      <c r="I309" s="46"/>
      <c r="J309" s="46" t="str">
        <f>IFERROR(__xludf.DUMMYFUNCTION("""COMPUTED_VALUE"""),"Norte")</f>
        <v>Norte</v>
      </c>
      <c r="K309" s="87"/>
      <c r="L309" s="33">
        <f>IFERROR(__xludf.DUMMYFUNCTION("""COMPUTED_VALUE"""),3.0)</f>
        <v>3</v>
      </c>
      <c r="M309" s="33"/>
      <c r="N309" s="33">
        <f>IFERROR(__xludf.DUMMYFUNCTION("""COMPUTED_VALUE"""),4.0)</f>
        <v>4</v>
      </c>
      <c r="O309" s="33">
        <f>IFERROR(__xludf.DUMMYFUNCTION("""COMPUTED_VALUE"""),1.0)</f>
        <v>1</v>
      </c>
      <c r="P309" s="33">
        <f>IFERROR(__xludf.DUMMYFUNCTION("""COMPUTED_VALUE"""),2.0)</f>
        <v>2</v>
      </c>
      <c r="Q309" s="92">
        <f>IFERROR(__xludf.DUMMYFUNCTION("""COMPUTED_VALUE"""),140.0)</f>
        <v>140</v>
      </c>
      <c r="R309" s="92">
        <f>IFERROR(__xludf.DUMMYFUNCTION("""COMPUTED_VALUE"""),105.0)</f>
        <v>105</v>
      </c>
      <c r="S309" s="87" t="str">
        <f>IFERROR(__xludf.DUMMYFUNCTION("""COMPUTED_VALUE""")," ")</f>
        <v> </v>
      </c>
      <c r="T309" s="46" t="str">
        <f>IFERROR(__xludf.DUMMYFUNCTION("""COMPUTED_VALUE"""),"Neiva")</f>
        <v>Neiva</v>
      </c>
      <c r="U309" s="87" t="str">
        <f>IFERROR(__xludf.DUMMYFUNCTION("""COMPUTED_VALUE"""),"3")</f>
        <v>3</v>
      </c>
      <c r="V309" s="33" t="str">
        <f>IFERROR(__xludf.DUMMYFUNCTION("""COMPUTED_VALUE"""),"Esquinera")</f>
        <v>Esquinera</v>
      </c>
      <c r="W309" s="33"/>
      <c r="X309" s="33">
        <f>IFERROR(__xludf.DUMMYFUNCTION("""COMPUTED_VALUE"""),3.0)</f>
        <v>3</v>
      </c>
      <c r="Y309" s="46" t="str">
        <f>IFERROR(__xludf.DUMMYFUNCTION("""COMPUTED_VALUE"""),"No tiene")</f>
        <v>No tiene</v>
      </c>
      <c r="Z309" s="90" t="str">
        <f>IFERROR(__xludf.DUMMYFUNCTION("""COMPUTED_VALUE"""),"No aplica")</f>
        <v>No aplica</v>
      </c>
      <c r="AA309" s="33" t="str">
        <f>IFERROR(__xludf.DUMMYFUNCTION("""COMPUTED_VALUE"""),"No aplica")</f>
        <v>No aplica</v>
      </c>
      <c r="AB309" s="144" t="str">
        <f>IFERROR(__xludf.DUMMYFUNCTION("""COMPUTED_VALUE"""),"https://photos.app.goo.gl/SpZULHC9pfFEULiSA")</f>
        <v>https://photos.app.goo.gl/SpZULHC9pfFEULiSA</v>
      </c>
      <c r="AC309" s="46" t="str">
        <f>IFERROR(__xludf.DUMMYFUNCTION("""COMPUTED_VALUE"""),"Casa con buenos acabados, piso en mármol, cieloraso en Driwall y machehembre, hierro forjado en pasamanos de la escalera, carpintería marcos, puerta, closet, muros empotrados y cocina en madera. Divisiones en acrílico.")</f>
        <v>Casa con buenos acabados, piso en mármol, cieloraso en Driwall y machehembre, hierro forjado en pasamanos de la escalera, carpintería marcos, puerta, closet, muros empotrados y cocina en madera. Divisiones en acrílico.</v>
      </c>
      <c r="AD309" s="46" t="str">
        <f>IFERROR(__xludf.DUMMYFUNCTION("""COMPUTED_VALUE"""),"Casa bien ubicada, sobre vía vehicular amplia y pavimentada, antejardín con tablón rojo y granito pulido. Cuenta con reja antejardín. Fachada con viga canal. Molduras en yeso. Escritura al día.")</f>
        <v>Casa bien ubicada, sobre vía vehicular amplia y pavimentada, antejardín con tablón rojo y granito pulido. Cuenta con reja antejardín. Fachada con viga canal. Molduras en yeso. Escritura al día.</v>
      </c>
      <c r="AE309" s="46"/>
      <c r="AF309" s="46" t="str">
        <f>IFERROR(__xludf.DUMMYFUNCTION("""COMPUTED_VALUE"""),"integral")</f>
        <v>integral</v>
      </c>
      <c r="AG309" s="46"/>
      <c r="AH309" s="46" t="str">
        <f>IFERROR(__xludf.DUMMYFUNCTION("""COMPUTED_VALUE"""),"Aliado")</f>
        <v>Aliado</v>
      </c>
      <c r="AI309" s="92" t="str">
        <f>IFERROR(__xludf.DUMMYFUNCTION("""COMPUTED_VALUE"""),"https://lh3.googleusercontent.com/pw/AP1GczP-X0WnzQ8GfksyRX-HR0KegkiHi79Zv_wb5a1TXzB_LFo-Rbvja69SLd3mP5SP5YKqmvVsd6AJ_gN_hyAEeyzQWJL8bM7FPbJCcZ8ZounMYB2SCU3j=w1200|https://lh3.googleusercontent.com/pw/AP1GczOxGjgG3L4SQW2MoEBiN92QOZEM3nh5wsTQhIwrglAEqEMHP_"&amp;"KH7v1xUvDs3lQ-ljA8_WRa9rvOWIbJ6SKx2ymMqIZDwQgPG4oiORQP-ntn2AqGQ7we=w1200|https://lh3.googleusercontent.com/pw/AP1GczNRNQeKyROt44y6AX2C6YHO3D8-HCDoAJUBa_qGsR90-kcZ4dYmzmimlSE6taFRh6Da-oCTjcKs3q94x5d0uQE8uy3Sz1Av_Qce2DzU0I9DE2EWIToW=w1200|https://lh3.google"&amp;"usercontent.com/pw/AP1GczN0hOKhZ1dAgNJC3oM93Krc7e8B2iGDab3L4QSrW9gOnR2PmpxldBseUudaHVyjUGD97v94WRrFvSVZHaCHWCnyzvzPdZKpDGEL3NCfMPf6OmtyZVan=w1200|https://lh3.googleusercontent.com/pw/AP1GczPITjLGY5OIGSgr8nxailEpwtjA35Eq_KPTy7yVAwGTJ4zxMHmXwYEYcOK-fuFFvNO9"&amp;"GvvCSgPU-KTMBwkrQY0Z5pPHJJZjVEEqRMw0ZA7yCvMGnnb0=w1200|https://lh3.googleusercontent.com/pw/AP1GczPdEUEBqBkaRiMTtsIts2RZ1G4LSxnoUezwM61s-JS6DrMkyB7UGVs9IDFe9CeMk5v0ivyfpgM0m0nLH17Ga_j3flRllTm-UzfV5zE97U4w2ESOXD8v=w1200|https://lh3.googleusercontent.com/pw"&amp;"/AP1GczNdz0QIYPCs4CxJzszEpWEh1B74R2V20-O8HkXUebTY9iw_TCThLDqBtNVYSappZrsQSU8-J3zmBGDzm-oXIo0SqvPzERQtlaRs8_AsRlDIL_z1PMMo=w1200|https://lh3.googleusercontent.com/pw/AP1GczPNtzEbfLLleZiBUmbDvWtY-up_CEHd2GJja-ZQggguu3EGtpdWoTLBhb2re-FWD1Ltyk4fXlxGVcPyCLJaqb"&amp;"6Gtw_EgEwVl-Jyt0ypzdpxWqGjyX6o=w1200|https://lh3.googleusercontent.com/pw/AP1GczOBpf2jSvIAm_67OgdEbTNtKt5aZ8t_ctIZEOt3RJn7NSg7cj22laD3LYw_qfqgDwL0Y8pqYFyhss8RFqM-ddRXK_isM4sqw79MdaTLh7cAzlE6Zskz=w1200|https://lh3.googleusercontent.com/pw/AP1GczNVWxXUCv2Ff"&amp;"t67_xv8EsQaB9tCmIeqwrstOdmzpb1O1nDrglNzvk0bIFnuLgoMXt_TpsDXupZdCW4kFPvYPg07nhPBHH78iRg6XrXq57VtYmIlZcsl=w1200|https://lh3.googleusercontent.com/pw/AP1GczPL99qC-err95PtiM-eJro_2T5JxUxFKzM4jXHXMBmCNl-gEaoJL7knsGJFr2-kCpW_vsnbykQEw0bHMTSyGW-UgolBI9jHn1phYLU1"&amp;"cebeMeifrO2C=w1200|https://lh3.googleusercontent.com/pw/AP1GczN96WT-FTAvH2oTjDYmRS3vXwKQaRMjnTp5hDspG80Nzn2r2S69zTmLN5X5UCsxiKH40xg_ndY7wXsYsVnmEv8DIcNCfy-aOGmGRjVn7HkxGOcbl1Mc=w1200|https://lh3.googleusercontent.com/pw/AP1GczMUG8u7ZAYTqNGvli1P1lUd9wUTwRf"&amp;"UB4rnvJL0e2vscm01QSYozUyaLmg6gdsi94OWik4YGHuGDj9N8b1mQxrZBUn5JrKVNzOjQuPTuNxtqsJLFlLK=w1200")</f>
        <v>https://lh3.googleusercontent.com/pw/AP1GczP-X0WnzQ8GfksyRX-HR0KegkiHi79Zv_wb5a1TXzB_LFo-Rbvja69SLd3mP5SP5YKqmvVsd6AJ_gN_hyAEeyzQWJL8bM7FPbJCcZ8ZounMYB2SCU3j=w1200|https://lh3.googleusercontent.com/pw/AP1GczOxGjgG3L4SQW2MoEBiN92QOZEM3nh5wsTQhIwrglAEqEMHP_KH7v1xUvDs3lQ-ljA8_WRa9rvOWIbJ6SKx2ymMqIZDwQgPG4oiORQP-ntn2AqGQ7we=w1200|https://lh3.googleusercontent.com/pw/AP1GczNRNQeKyROt44y6AX2C6YHO3D8-HCDoAJUBa_qGsR90-kcZ4dYmzmimlSE6taFRh6Da-oCTjcKs3q94x5d0uQE8uy3Sz1Av_Qce2DzU0I9DE2EWIToW=w1200|https://lh3.googleusercontent.com/pw/AP1GczN0hOKhZ1dAgNJC3oM93Krc7e8B2iGDab3L4QSrW9gOnR2PmpxldBseUudaHVyjUGD97v94WRrFvSVZHaCHWCnyzvzPdZKpDGEL3NCfMPf6OmtyZVan=w1200|https://lh3.googleusercontent.com/pw/AP1GczPITjLGY5OIGSgr8nxailEpwtjA35Eq_KPTy7yVAwGTJ4zxMHmXwYEYcOK-fuFFvNO9GvvCSgPU-KTMBwkrQY0Z5pPHJJZjVEEqRMw0ZA7yCvMGnnb0=w1200|https://lh3.googleusercontent.com/pw/AP1GczPdEUEBqBkaRiMTtsIts2RZ1G4LSxnoUezwM61s-JS6DrMkyB7UGVs9IDFe9CeMk5v0ivyfpgM0m0nLH17Ga_j3flRllTm-UzfV5zE97U4w2ESOXD8v=w1200|https://lh3.googleusercontent.com/pw/AP1GczNdz0QIYPCs4CxJzszEpWEh1B74R2V20-O8HkXUebTY9iw_TCThLDqBtNVYSappZrsQSU8-J3zmBGDzm-oXIo0SqvPzERQtlaRs8_AsRlDIL_z1PMMo=w1200|https://lh3.googleusercontent.com/pw/AP1GczPNtzEbfLLleZiBUmbDvWtY-up_CEHd2GJja-ZQggguu3EGtpdWoTLBhb2re-FWD1Ltyk4fXlxGVcPyCLJaqb6Gtw_EgEwVl-Jyt0ypzdpxWqGjyX6o=w1200|https://lh3.googleusercontent.com/pw/AP1GczOBpf2jSvIAm_67OgdEbTNtKt5aZ8t_ctIZEOt3RJn7NSg7cj22laD3LYw_qfqgDwL0Y8pqYFyhss8RFqM-ddRXK_isM4sqw79MdaTLh7cAzlE6Zskz=w1200|https://lh3.googleusercontent.com/pw/AP1GczNVWxXUCv2Fft67_xv8EsQaB9tCmIeqwrstOdmzpb1O1nDrglNzvk0bIFnuLgoMXt_TpsDXupZdCW4kFPvYPg07nhPBHH78iRg6XrXq57VtYmIlZcsl=w1200|https://lh3.googleusercontent.com/pw/AP1GczPL99qC-err95PtiM-eJro_2T5JxUxFKzM4jXHXMBmCNl-gEaoJL7knsGJFr2-kCpW_vsnbykQEw0bHMTSyGW-UgolBI9jHn1phYLU1cebeMeifrO2C=w1200|https://lh3.googleusercontent.com/pw/AP1GczN96WT-FTAvH2oTjDYmRS3vXwKQaRMjnTp5hDspG80Nzn2r2S69zTmLN5X5UCsxiKH40xg_ndY7wXsYsVnmEv8DIcNCfy-aOGmGRjVn7HkxGOcbl1Mc=w1200|https://lh3.googleusercontent.com/pw/AP1GczMUG8u7ZAYTqNGvli1P1lUd9wUTwRfUB4rnvJL0e2vscm01QSYozUyaLmg6gdsi94OWik4YGHuGDj9N8b1mQxrZBUn5JrKVNzOjQuPTuNxtqsJLFlLK=w1200</v>
      </c>
      <c r="AJ309" s="46"/>
      <c r="AK309" s="46"/>
      <c r="AL309" s="46"/>
      <c r="AM309" s="46"/>
      <c r="AN309" s="46"/>
      <c r="AO309" s="46"/>
      <c r="AP309" s="46"/>
      <c r="AQ309" s="46"/>
      <c r="AR309" s="46"/>
      <c r="AS309" s="46"/>
      <c r="AT309" s="46"/>
      <c r="AU309" s="46"/>
      <c r="AV309" s="46"/>
      <c r="AW309" s="46"/>
      <c r="AX309" s="46"/>
      <c r="AY309" s="46"/>
      <c r="AZ309" s="46"/>
      <c r="BA309" s="46"/>
      <c r="BB309" s="46"/>
      <c r="BC309" s="46"/>
      <c r="BD309" s="46"/>
      <c r="BE309" s="46"/>
      <c r="BF309" s="46"/>
      <c r="BG309" s="46"/>
      <c r="BH309" s="46"/>
      <c r="BI309" s="46"/>
      <c r="BJ309" s="46"/>
      <c r="BK309" s="46"/>
      <c r="BL309" s="46"/>
      <c r="BM309" s="46"/>
      <c r="BN309" s="46"/>
      <c r="BO309" s="46"/>
      <c r="BP309" s="46"/>
      <c r="BQ309" s="46"/>
      <c r="BR309" s="46"/>
      <c r="BS309" s="46"/>
      <c r="BT309" s="46"/>
      <c r="BU309" s="46"/>
      <c r="BV309" s="46"/>
      <c r="BW309" s="46"/>
      <c r="BX309" s="46"/>
      <c r="BY309" s="46"/>
      <c r="BZ309" s="46"/>
      <c r="CA309" s="46"/>
      <c r="CB309" s="46"/>
      <c r="CC309" s="46"/>
    </row>
    <row r="310">
      <c r="A310" s="87" t="str">
        <f>IFERROR(__xludf.DUMMYFUNCTION("""COMPUTED_VALUE"""),"1376")</f>
        <v>1376</v>
      </c>
      <c r="B310" s="46" t="str">
        <f>IFERROR(__xludf.DUMMYFUNCTION("""COMPUTED_VALUE"""),"Lote urbano mayor extensión - Norte - Vía Alamos norte")</f>
        <v>Lote urbano mayor extensión - Norte - Vía Alamos norte</v>
      </c>
      <c r="C310" s="46" t="str">
        <f>IFERROR(__xludf.DUMMYFUNCTION("""COMPUTED_VALUE"""),"Lote")</f>
        <v>Lote</v>
      </c>
      <c r="D310" s="46" t="str">
        <f>IFERROR(__xludf.DUMMYFUNCTION("""COMPUTED_VALUE"""),"Alamos norte")</f>
        <v>Alamos norte</v>
      </c>
      <c r="E310" s="46"/>
      <c r="F310" s="90">
        <f>IFERROR(__xludf.DUMMYFUNCTION("""COMPUTED_VALUE"""),1.168E10)</f>
        <v>11680000000</v>
      </c>
      <c r="G310" s="46" t="str">
        <f>IFERROR(__xludf.DUMMYFUNCTION("""COMPUTED_VALUE"""),"Más de $1.000'000.000")</f>
        <v>Más de $1.000'000.000</v>
      </c>
      <c r="H310" s="46"/>
      <c r="I310" s="46"/>
      <c r="J310" s="46" t="str">
        <f>IFERROR(__xludf.DUMMYFUNCTION("""COMPUTED_VALUE"""),"Norte")</f>
        <v>Norte</v>
      </c>
      <c r="K310" s="87" t="str">
        <f>IFERROR(__xludf.DUMMYFUNCTION("""COMPUTED_VALUE"""),"2")</f>
        <v>2</v>
      </c>
      <c r="L310" s="46">
        <f>IFERROR(__xludf.DUMMYFUNCTION("""COMPUTED_VALUE"""),0.0)</f>
        <v>0</v>
      </c>
      <c r="M310" s="46"/>
      <c r="N310" s="46">
        <f>IFERROR(__xludf.DUMMYFUNCTION("""COMPUTED_VALUE"""),0.0)</f>
        <v>0</v>
      </c>
      <c r="O310" s="46">
        <f>IFERROR(__xludf.DUMMYFUNCTION("""COMPUTED_VALUE"""),0.0)</f>
        <v>0</v>
      </c>
      <c r="P310" s="46">
        <f>IFERROR(__xludf.DUMMYFUNCTION("""COMPUTED_VALUE"""),0.0)</f>
        <v>0</v>
      </c>
      <c r="Q310" s="92">
        <f>IFERROR(__xludf.DUMMYFUNCTION("""COMPUTED_VALUE"""),0.0)</f>
        <v>0</v>
      </c>
      <c r="R310" s="92">
        <f>IFERROR(__xludf.DUMMYFUNCTION("""COMPUTED_VALUE"""),14600.0)</f>
        <v>14600</v>
      </c>
      <c r="S310" s="87" t="str">
        <f>IFERROR(__xludf.DUMMYFUNCTION("""COMPUTED_VALUE""")," ")</f>
        <v> </v>
      </c>
      <c r="T310" s="46" t="str">
        <f>IFERROR(__xludf.DUMMYFUNCTION("""COMPUTED_VALUE"""),"Neiva")</f>
        <v>Neiva</v>
      </c>
      <c r="U310" s="87" t="str">
        <f>IFERROR(__xludf.DUMMYFUNCTION("""COMPUTED_VALUE"""),"Comercial")</f>
        <v>Comercial</v>
      </c>
      <c r="V310" s="46" t="str">
        <f>IFERROR(__xludf.DUMMYFUNCTION("""COMPUTED_VALUE"""),"Esquinera")</f>
        <v>Esquinera</v>
      </c>
      <c r="W310" s="46"/>
      <c r="X310" s="46">
        <f>IFERROR(__xludf.DUMMYFUNCTION("""COMPUTED_VALUE"""),0.0)</f>
        <v>0</v>
      </c>
      <c r="Y310" s="46" t="str">
        <f>IFERROR(__xludf.DUMMYFUNCTION("""COMPUTED_VALUE"""),"No tiene")</f>
        <v>No tiene</v>
      </c>
      <c r="Z310" s="90" t="str">
        <f>IFERROR(__xludf.DUMMYFUNCTION("""COMPUTED_VALUE"""),"No aplica")</f>
        <v>No aplica</v>
      </c>
      <c r="AA310" s="33" t="str">
        <f>IFERROR(__xludf.DUMMYFUNCTION("""COMPUTED_VALUE"""),"No aplica")</f>
        <v>No aplica</v>
      </c>
      <c r="AB310" s="96" t="str">
        <f>IFERROR(__xludf.DUMMYFUNCTION("""COMPUTED_VALUE"""),"https://photos.app.goo.gl/LYfAd5DWSnyKvNYY9")</f>
        <v>https://photos.app.goo.gl/LYfAd5DWSnyKvNYY9</v>
      </c>
      <c r="AC310" s="46" t="str">
        <f>IFERROR(__xludf.DUMMYFUNCTION("""COMPUTED_VALUE"""),"Lote de mayor extensión urbanizable, ubicado en sector norte, vía al barrio Alamos norte. Zona de alto desarrollo y valorización.")</f>
        <v>Lote de mayor extensión urbanizable, ubicado en sector norte, vía al barrio Alamos norte. Zona de alto desarrollo y valorización.</v>
      </c>
      <c r="AD310" s="46" t="str">
        <f>IFERROR(__xludf.DUMMYFUNCTION("""COMPUTED_VALUE"""),"Ubicado sobre la calle 41 con carrera 14. Altura permitida 14 pisos. Libre de Cesiones.")</f>
        <v>Ubicado sobre la calle 41 con carrera 14. Altura permitida 14 pisos. Libre de Cesiones.</v>
      </c>
      <c r="AE310" s="46"/>
      <c r="AF310" s="46">
        <f>IFERROR(__xludf.DUMMYFUNCTION("""COMPUTED_VALUE"""),0.0)</f>
        <v>0</v>
      </c>
      <c r="AG310" s="46"/>
      <c r="AH310" s="46" t="str">
        <f>IFERROR(__xludf.DUMMYFUNCTION("""COMPUTED_VALUE"""),"Aliado")</f>
        <v>Aliado</v>
      </c>
      <c r="AI310" s="92" t="str">
        <f>IFERROR(__xludf.DUMMYFUNCTION("""COMPUTED_VALUE"""),"https://lh3.googleusercontent.com/pw/AP1GczM95GT3IN4jHWtvk8cZszCOsMMskpkDmKn6zTNwkcDsvuRXG4XPDYgyYAibiDfClRwBo7PaKfjnD_wKM_YctL5uZhf29tSPx4hGqdkBPa3m27Yj7qbv=w1200|https://lh3.googleusercontent.com/pw/AP1GczNAfrC5dkJ4-fv6N4nL_yZz-H7gL-oj9fZsd7fVzqNKnAGuXo"&amp;"pW50uRV1S0VJP6J61gL7c9N_hC0B_bU4Yqa4BUJwIY3777EV7LcHd2NOKF5cWKsOZY=w1200|https://lh3.googleusercontent.com/pw/AP1GczOg3qfkr745HwB5aN3ZW3Mb2deum8lhJG_z3noBYqB2zTCB8obrVUyu_HMInGK9EUuaJX56hgHz8rPVwbGW7C9P2xFG0vlatQNmCWzVDYqTHr9KLvZN=w1200")</f>
        <v>https://lh3.googleusercontent.com/pw/AP1GczM95GT3IN4jHWtvk8cZszCOsMMskpkDmKn6zTNwkcDsvuRXG4XPDYgyYAibiDfClRwBo7PaKfjnD_wKM_YctL5uZhf29tSPx4hGqdkBPa3m27Yj7qbv=w1200|https://lh3.googleusercontent.com/pw/AP1GczNAfrC5dkJ4-fv6N4nL_yZz-H7gL-oj9fZsd7fVzqNKnAGuXopW50uRV1S0VJP6J61gL7c9N_hC0B_bU4Yqa4BUJwIY3777EV7LcHd2NOKF5cWKsOZY=w1200|https://lh3.googleusercontent.com/pw/AP1GczOg3qfkr745HwB5aN3ZW3Mb2deum8lhJG_z3noBYqB2zTCB8obrVUyu_HMInGK9EUuaJX56hgHz8rPVwbGW7C9P2xFG0vlatQNmCWzVDYqTHr9KLvZN=w1200</v>
      </c>
      <c r="AJ310" s="46"/>
      <c r="AK310" s="46"/>
      <c r="AL310" s="46"/>
      <c r="AM310" s="46"/>
      <c r="AN310" s="46"/>
      <c r="AO310" s="46"/>
      <c r="AP310" s="46"/>
      <c r="AQ310" s="46"/>
      <c r="AR310" s="46"/>
      <c r="AS310" s="46"/>
      <c r="AT310" s="46"/>
      <c r="AU310" s="46"/>
      <c r="AV310" s="46"/>
      <c r="AW310" s="46"/>
      <c r="AX310" s="46"/>
      <c r="AY310" s="46"/>
      <c r="AZ310" s="46"/>
      <c r="BA310" s="46"/>
      <c r="BB310" s="46"/>
      <c r="BC310" s="46"/>
      <c r="BD310" s="46"/>
      <c r="BE310" s="46"/>
      <c r="BF310" s="46"/>
      <c r="BG310" s="46"/>
      <c r="BH310" s="46"/>
      <c r="BI310" s="46"/>
      <c r="BJ310" s="46"/>
      <c r="BK310" s="46"/>
      <c r="BL310" s="46"/>
      <c r="BM310" s="46"/>
      <c r="BN310" s="46"/>
      <c r="BO310" s="46"/>
      <c r="BP310" s="46"/>
      <c r="BQ310" s="46"/>
      <c r="BR310" s="46"/>
      <c r="BS310" s="46"/>
      <c r="BT310" s="46"/>
      <c r="BU310" s="46"/>
      <c r="BV310" s="46"/>
      <c r="BW310" s="46"/>
      <c r="BX310" s="46"/>
      <c r="BY310" s="46"/>
      <c r="BZ310" s="46"/>
      <c r="CA310" s="46"/>
      <c r="CB310" s="46"/>
      <c r="CC310" s="46"/>
    </row>
    <row r="311">
      <c r="A311" s="87" t="str">
        <f>IFERROR(__xludf.DUMMYFUNCTION("""COMPUTED_VALUE"""),"1384")</f>
        <v>1384</v>
      </c>
      <c r="B311" s="46" t="str">
        <f>IFERROR(__xludf.DUMMYFUNCTION("""COMPUTED_VALUE"""),"Lote urbano mayor extensión - Oriente - Ipanema")</f>
        <v>Lote urbano mayor extensión - Oriente - Ipanema</v>
      </c>
      <c r="C311" s="46" t="str">
        <f>IFERROR(__xludf.DUMMYFUNCTION("""COMPUTED_VALUE"""),"Lote")</f>
        <v>Lote</v>
      </c>
      <c r="D311" s="46" t="str">
        <f>IFERROR(__xludf.DUMMYFUNCTION("""COMPUTED_VALUE"""),"Ipanema")</f>
        <v>Ipanema</v>
      </c>
      <c r="E311" s="46"/>
      <c r="F311" s="90">
        <f>IFERROR(__xludf.DUMMYFUNCTION("""COMPUTED_VALUE"""),6.196E9)</f>
        <v>6196000000</v>
      </c>
      <c r="G311" s="46" t="str">
        <f>IFERROR(__xludf.DUMMYFUNCTION("""COMPUTED_VALUE"""),"Más de $1.000'000.000")</f>
        <v>Más de $1.000'000.000</v>
      </c>
      <c r="H311" s="46"/>
      <c r="I311" s="46"/>
      <c r="J311" s="46" t="str">
        <f>IFERROR(__xludf.DUMMYFUNCTION("""COMPUTED_VALUE"""),"Oriente")</f>
        <v>Oriente</v>
      </c>
      <c r="K311" s="87" t="str">
        <f>IFERROR(__xludf.DUMMYFUNCTION("""COMPUTED_VALUE"""),"7")</f>
        <v>7</v>
      </c>
      <c r="L311" s="46">
        <f>IFERROR(__xludf.DUMMYFUNCTION("""COMPUTED_VALUE"""),0.0)</f>
        <v>0</v>
      </c>
      <c r="M311" s="46"/>
      <c r="N311" s="46">
        <f>IFERROR(__xludf.DUMMYFUNCTION("""COMPUTED_VALUE"""),0.0)</f>
        <v>0</v>
      </c>
      <c r="O311" s="46">
        <f>IFERROR(__xludf.DUMMYFUNCTION("""COMPUTED_VALUE"""),0.0)</f>
        <v>0</v>
      </c>
      <c r="P311" s="46">
        <f>IFERROR(__xludf.DUMMYFUNCTION("""COMPUTED_VALUE"""),0.0)</f>
        <v>0</v>
      </c>
      <c r="Q311" s="92">
        <f>IFERROR(__xludf.DUMMYFUNCTION("""COMPUTED_VALUE"""),0.0)</f>
        <v>0</v>
      </c>
      <c r="R311" s="92">
        <f>IFERROR(__xludf.DUMMYFUNCTION("""COMPUTED_VALUE"""),28163.0)</f>
        <v>28163</v>
      </c>
      <c r="S311" s="87" t="str">
        <f>IFERROR(__xludf.DUMMYFUNCTION("""COMPUTED_VALUE""")," ")</f>
        <v> </v>
      </c>
      <c r="T311" s="46" t="str">
        <f>IFERROR(__xludf.DUMMYFUNCTION("""COMPUTED_VALUE"""),"Neiva")</f>
        <v>Neiva</v>
      </c>
      <c r="U311" s="87" t="str">
        <f>IFERROR(__xludf.DUMMYFUNCTION("""COMPUTED_VALUE"""),"4")</f>
        <v>4</v>
      </c>
      <c r="V311" s="46" t="str">
        <f>IFERROR(__xludf.DUMMYFUNCTION("""COMPUTED_VALUE"""),"Medianera")</f>
        <v>Medianera</v>
      </c>
      <c r="W311" s="46"/>
      <c r="X311" s="46">
        <f>IFERROR(__xludf.DUMMYFUNCTION("""COMPUTED_VALUE"""),0.0)</f>
        <v>0</v>
      </c>
      <c r="Y311" s="46" t="str">
        <f>IFERROR(__xludf.DUMMYFUNCTION("""COMPUTED_VALUE"""),"No tiene")</f>
        <v>No tiene</v>
      </c>
      <c r="Z311" s="90" t="str">
        <f>IFERROR(__xludf.DUMMYFUNCTION("""COMPUTED_VALUE"""),"No aplica")</f>
        <v>No aplica</v>
      </c>
      <c r="AA311" s="33" t="str">
        <f>IFERROR(__xludf.DUMMYFUNCTION("""COMPUTED_VALUE"""),"No aplica")</f>
        <v>No aplica</v>
      </c>
      <c r="AB311" s="96" t="str">
        <f>IFERROR(__xludf.DUMMYFUNCTION("""COMPUTED_VALUE"""),"https://photos.app.goo.gl/8dy5mWuModDURvc86")</f>
        <v>https://photos.app.goo.gl/8dy5mWuModDURvc86</v>
      </c>
      <c r="AC311" s="46" t="str">
        <f>IFERROR(__xludf.DUMMYFUNCTION("""COMPUTED_VALUE"""),"Lotes de desarrollo urbanístico y/o institucional. Precio m2 $220.000. Corredor suburbano donde se desarrollan condominios residenciales campestres, al inmueble se accede por la Calle 8 que es un eje vial principal del municipio de Neiva. allí se conviert"&amp;"e en la vía departamental que conduce al centro poblado de San Antonio y a San Vicente del Caguán.")</f>
        <v>Lotes de desarrollo urbanístico y/o institucional. Precio m2 $220.000. Corredor suburbano donde se desarrollan condominios residenciales campestres, al inmueble se accede por la Calle 8 que es un eje vial principal del municipio de Neiva. allí se convierte en la vía departamental que conduce al centro poblado de San Antonio y a San Vicente del Caguán.</v>
      </c>
      <c r="AD311" s="46" t="str">
        <f>IFERROR(__xludf.DUMMYFUNCTION("""COMPUTED_VALUE"""),"El sector cuenta con los servicios públicos domiciliarios de acueducto, gas y energía eléctrica. Ubicado frente al condominio Hacienda Mayor. Vía en doble sentido y pavimentada.")</f>
        <v>El sector cuenta con los servicios públicos domiciliarios de acueducto, gas y energía eléctrica. Ubicado frente al condominio Hacienda Mayor. Vía en doble sentido y pavimentada.</v>
      </c>
      <c r="AE311" s="46"/>
      <c r="AF311" s="46">
        <f>IFERROR(__xludf.DUMMYFUNCTION("""COMPUTED_VALUE"""),0.0)</f>
        <v>0</v>
      </c>
      <c r="AG311" s="46"/>
      <c r="AH311" s="46" t="str">
        <f>IFERROR(__xludf.DUMMYFUNCTION("""COMPUTED_VALUE"""),"Aliado")</f>
        <v>Aliado</v>
      </c>
      <c r="AI311" s="92" t="str">
        <f>IFERROR(__xludf.DUMMYFUNCTION("""COMPUTED_VALUE"""),"https://lh3.googleusercontent.com/pw/AP1GczOSF2pGOu5IqQMsqC-sH0e1TlErDeWdrTLMk0u5dhwPm4RWaJx8Ua0ceLdrsrr03YWrVAds-59TmO4xuUXX3Y5xFlah0aUv6pGOxSkcfQHZO-ETBIYq=w1200|https://lh3.googleusercontent.com/pw/AP1GczPqsI0TukPh-YwLgYpjak5-aEAS9lg2xo9edLx24RihWFZpkA"&amp;"CXIbkpV6Ik6Od3urFD0UsY03U0Q1bZjrs4uC51CUOWjv7VxwWx6HWSUEIJf3u6qHQM=w1200|https://lh3.googleusercontent.com/pw/AP1GczPVqmYy5XSrRyQlleXuqb7W0AFRr3c1xmq82lYKX7zBNgNnhDkKVU7MxMpEzS-pGpZzk_iW-mSKjBn_8mB-6m374jUnNdfqbfx9N0q5MsIwilEvI0gd=w1200|https://lh3.google"&amp;"usercontent.com/pw/AP1GczMDfc73-WPnGqXkGA1DER8KRzIOpF1nfet_kBVx-VbpX1ymU9Xn_LXNSkNSPvKRuGpkyDvPK49KW1tPXKlDKmGSWswIXeFQeLVV2CtSJkHVD8hwKf_2=w1200|https://lh3.googleusercontent.com/pw/AP1GczOFMoZrEVntaLF4yeGqeK-SJoBk5qpzhll8A7jG1uSDzWSV-tmI7201PKuj8u3Alnpx"&amp;"xZupuByIkK_bdHlqrOxUV2N73mnDB501FTv5BIXFAo8avXSI=w1200")</f>
        <v>https://lh3.googleusercontent.com/pw/AP1GczOSF2pGOu5IqQMsqC-sH0e1TlErDeWdrTLMk0u5dhwPm4RWaJx8Ua0ceLdrsrr03YWrVAds-59TmO4xuUXX3Y5xFlah0aUv6pGOxSkcfQHZO-ETBIYq=w1200|https://lh3.googleusercontent.com/pw/AP1GczPqsI0TukPh-YwLgYpjak5-aEAS9lg2xo9edLx24RihWFZpkACXIbkpV6Ik6Od3urFD0UsY03U0Q1bZjrs4uC51CUOWjv7VxwWx6HWSUEIJf3u6qHQM=w1200|https://lh3.googleusercontent.com/pw/AP1GczPVqmYy5XSrRyQlleXuqb7W0AFRr3c1xmq82lYKX7zBNgNnhDkKVU7MxMpEzS-pGpZzk_iW-mSKjBn_8mB-6m374jUnNdfqbfx9N0q5MsIwilEvI0gd=w1200|https://lh3.googleusercontent.com/pw/AP1GczMDfc73-WPnGqXkGA1DER8KRzIOpF1nfet_kBVx-VbpX1ymU9Xn_LXNSkNSPvKRuGpkyDvPK49KW1tPXKlDKmGSWswIXeFQeLVV2CtSJkHVD8hwKf_2=w1200|https://lh3.googleusercontent.com/pw/AP1GczOFMoZrEVntaLF4yeGqeK-SJoBk5qpzhll8A7jG1uSDzWSV-tmI7201PKuj8u3AlnpxxZupuByIkK_bdHlqrOxUV2N73mnDB501FTv5BIXFAo8avXSI=w1200</v>
      </c>
      <c r="AJ311" s="46"/>
      <c r="AK311" s="46"/>
      <c r="AL311" s="46"/>
      <c r="AM311" s="46"/>
      <c r="AN311" s="46"/>
      <c r="AO311" s="46"/>
      <c r="AP311" s="46"/>
      <c r="AQ311" s="46"/>
      <c r="AR311" s="46"/>
      <c r="AS311" s="46"/>
      <c r="AT311" s="46"/>
      <c r="AU311" s="46"/>
      <c r="AV311" s="46"/>
      <c r="AW311" s="46"/>
      <c r="AX311" s="46"/>
      <c r="AY311" s="46"/>
      <c r="AZ311" s="46"/>
      <c r="BA311" s="46"/>
      <c r="BB311" s="46"/>
      <c r="BC311" s="46"/>
      <c r="BD311" s="46"/>
      <c r="BE311" s="46"/>
      <c r="BF311" s="46"/>
      <c r="BG311" s="46"/>
      <c r="BH311" s="46"/>
      <c r="BI311" s="46"/>
      <c r="BJ311" s="46"/>
      <c r="BK311" s="46"/>
      <c r="BL311" s="46"/>
      <c r="BM311" s="46"/>
      <c r="BN311" s="46"/>
      <c r="BO311" s="46"/>
      <c r="BP311" s="46"/>
      <c r="BQ311" s="46"/>
      <c r="BR311" s="46"/>
      <c r="BS311" s="46"/>
      <c r="BT311" s="46"/>
      <c r="BU311" s="46"/>
      <c r="BV311" s="46"/>
      <c r="BW311" s="46"/>
      <c r="BX311" s="46"/>
      <c r="BY311" s="46"/>
      <c r="BZ311" s="46"/>
      <c r="CA311" s="46"/>
      <c r="CB311" s="46"/>
      <c r="CC311" s="46"/>
    </row>
    <row r="312">
      <c r="A312" s="87" t="str">
        <f>IFERROR(__xludf.DUMMYFUNCTION("""COMPUTED_VALUE"""),"746")</f>
        <v>746</v>
      </c>
      <c r="B312" s="46" t="str">
        <f>IFERROR(__xludf.DUMMYFUNCTION("""COMPUTED_VALUE"""),"Finca piscicola en Rivera - Huila")</f>
        <v>Finca piscicola en Rivera - Huila</v>
      </c>
      <c r="C312" s="46" t="str">
        <f>IFERROR(__xludf.DUMMYFUNCTION("""COMPUTED_VALUE"""),"Finca")</f>
        <v>Finca</v>
      </c>
      <c r="D312" s="46"/>
      <c r="E312" s="46"/>
      <c r="F312" s="90">
        <f>IFERROR(__xludf.DUMMYFUNCTION("""COMPUTED_VALUE"""),3.7E9)</f>
        <v>3700000000</v>
      </c>
      <c r="G312" s="46" t="str">
        <f>IFERROR(__xludf.DUMMYFUNCTION("""COMPUTED_VALUE"""),"Más de $1.000'000.000")</f>
        <v>Más de $1.000'000.000</v>
      </c>
      <c r="H312" s="46"/>
      <c r="I312" s="46"/>
      <c r="J312" s="46" t="str">
        <f>IFERROR(__xludf.DUMMYFUNCTION("""COMPUTED_VALUE"""),"Rural")</f>
        <v>Rural</v>
      </c>
      <c r="K312" s="87"/>
      <c r="L312" s="46">
        <f>IFERROR(__xludf.DUMMYFUNCTION("""COMPUTED_VALUE"""),3.0)</f>
        <v>3</v>
      </c>
      <c r="M312" s="46"/>
      <c r="N312" s="46">
        <f>IFERROR(__xludf.DUMMYFUNCTION("""COMPUTED_VALUE"""),2.0)</f>
        <v>2</v>
      </c>
      <c r="O312" s="46">
        <f>IFERROR(__xludf.DUMMYFUNCTION("""COMPUTED_VALUE"""),2.0)</f>
        <v>2</v>
      </c>
      <c r="P312" s="46">
        <f>IFERROR(__xludf.DUMMYFUNCTION("""COMPUTED_VALUE"""),1.0)</f>
        <v>1</v>
      </c>
      <c r="Q312" s="92">
        <f>IFERROR(__xludf.DUMMYFUNCTION("""COMPUTED_VALUE"""),250.0)</f>
        <v>250</v>
      </c>
      <c r="R312" s="92" t="str">
        <f>IFERROR(__xludf.DUMMYFUNCTION("""COMPUTED_VALUE"""),"370.000.00")</f>
        <v>370.000.00</v>
      </c>
      <c r="S312" s="87"/>
      <c r="T312" s="46" t="str">
        <f>IFERROR(__xludf.DUMMYFUNCTION("""COMPUTED_VALUE"""),"Rivera")</f>
        <v>Rivera</v>
      </c>
      <c r="U312" s="87"/>
      <c r="V312" s="46"/>
      <c r="W312" s="46"/>
      <c r="X312" s="46">
        <f>IFERROR(__xludf.DUMMYFUNCTION("""COMPUTED_VALUE"""),0.0)</f>
        <v>0</v>
      </c>
      <c r="Y312" s="46" t="str">
        <f>IFERROR(__xludf.DUMMYFUNCTION("""COMPUTED_VALUE"""),"No tiene")</f>
        <v>No tiene</v>
      </c>
      <c r="Z312" s="90" t="str">
        <f>IFERROR(__xludf.DUMMYFUNCTION("""COMPUTED_VALUE"""),"No aplica")</f>
        <v>No aplica</v>
      </c>
      <c r="AA312" s="33" t="str">
        <f>IFERROR(__xludf.DUMMYFUNCTION("""COMPUTED_VALUE"""),"No aplica")</f>
        <v>No aplica</v>
      </c>
      <c r="AB312" s="96" t="str">
        <f>IFERROR(__xludf.DUMMYFUNCTION("""COMPUTED_VALUE"""),"https://photos.app.goo.gl/Mfw1xoU1p7hW17sk9")</f>
        <v>https://photos.app.goo.gl/Mfw1xoU1p7hW17sk9</v>
      </c>
      <c r="AC312" s="46" t="str">
        <f>IFERROR(__xludf.DUMMYFUNCTION("""COMPUTED_VALUE"""),"Finca de 37 ha 1/2, Sector a 25 minutos de Neiva, Rivera a la finca 10 min aprox. la carretera es con placa huella, Cuenta con dos quebradas que pasan por la finca y dos nacederos de 1 pulgada cada uno aproximadamente, Sistema de energización Propio y Nue"&amp;"vo con transformador interno solo para la finca de 75 K, Proyecto principal que se adelanta es la piscicultura, Proyecto segundario: ganadería, Sector establecido de acuerdo al POT área para establecimientos turístico, Cuenta con dos reservorios de espejo"&amp;" de agua de aproximadamente 5000 M2, Cuenta con derechos de agua de las quebradas q pasan por la finca.")</f>
        <v>Finca de 37 ha 1/2, Sector a 25 minutos de Neiva, Rivera a la finca 10 min aprox. la carretera es con placa huella, Cuenta con dos quebradas que pasan por la finca y dos nacederos de 1 pulgada cada uno aproximadamente, Sistema de energización Propio y Nuevo con transformador interno solo para la finca de 75 K, Proyecto principal que se adelanta es la piscicultura, Proyecto segundario: ganadería, Sector establecido de acuerdo al POT área para establecimientos turístico, Cuenta con dos reservorios de espejo de agua de aproximadamente 5000 M2, Cuenta con derechos de agua de las quebradas q pasan por la finca.</v>
      </c>
      <c r="AD312" s="46" t="str">
        <f>IFERROR(__xludf.DUMMYFUNCTION("""COMPUTED_VALUE"""),"Áreas ya establecidas para la construcción de cabañas y piscinas de agua natural. Cuenta con galpones de gallinas para 2000 aves, Posee tres lagos principales de engorde de cachama y mojarra así, Lago N. 1. 1.050 M2 = 8.000 animales. Lago N. 2. 1.100 M2 ="&amp;" 10.000 animales, Lago N. 3. 5.000 M2 = 50.000 animales, Tiempo de cosecha cada 5 meses y medio, Cuenta con 5 (ha) aproximadamente de cacao, Cuenta con 2 (ha) aproximadamente de cultivo de chulupa (En etapa de iniciación) 4 meses, Cuenta con tres entradas"&amp;" principales. a). Que comunica a Campoalegre. Sur, b). Que comunica a Rivera. Norte. c). Que comunica a via segundaria vda el peñon. Oriente.")</f>
        <v>Áreas ya establecidas para la construcción de cabañas y piscinas de agua natural. Cuenta con galpones de gallinas para 2000 aves, Posee tres lagos principales de engorde de cachama y mojarra así, Lago N. 1. 1.050 M2 = 8.000 animales. Lago N. 2. 1.100 M2 = 10.000 animales, Lago N. 3. 5.000 M2 = 50.000 animales, Tiempo de cosecha cada 5 meses y medio, Cuenta con 5 (ha) aproximadamente de cacao, Cuenta con 2 (ha) aproximadamente de cultivo de chulupa (En etapa de iniciación) 4 meses, Cuenta con tres entradas principales. a). Que comunica a Campoalegre. Sur, b). Que comunica a Rivera. Norte. c). Que comunica a via segundaria vda el peñon. Oriente.</v>
      </c>
      <c r="AE312" s="46"/>
      <c r="AF312" s="46" t="str">
        <f>IFERROR(__xludf.DUMMYFUNCTION("""COMPUTED_VALUE"""),"básica")</f>
        <v>básica</v>
      </c>
      <c r="AG312" s="46"/>
      <c r="AH312" s="46" t="str">
        <f>IFERROR(__xludf.DUMMYFUNCTION("""COMPUTED_VALUE"""),"Aliado")</f>
        <v>Aliado</v>
      </c>
      <c r="AI312" s="92" t="str">
        <f>IFERROR(__xludf.DUMMYFUNCTION("""COMPUTED_VALUE"""),"https://lh3.googleusercontent.com/pw/AP1GczPK-yiAj4nmERXlJr54wLjlQ5ba6OG1--26UycE6o9tlh9vqOHJMFuTl2Z10G69kTJrEKLqx4_a3zmMyDsuCgU0JpVBq5627SO-K0escNfv8-1dXAXG=w1200|https://lh3.googleusercontent.com/pw/AP1GczONF0KedeXGno7A4nkMQjYbQJ4Q2YtDJL8kTtHu-GLGFGOblS"&amp;"_UjzZr0qW2R_4NZkrheDIcpnSvbDgBnR_CHnDA80CW-0hpeQKehpCUeCkqYX9LMe_X=w1200|https://lh3.googleusercontent.com/pw/AP1GczNJqQzIIBhEpNuHgbWVkgScr4wZqPikdl6eE71OAprE7up4iSs89-UybM5b8zm7z0b_WtSwJ8qUui-h6-ZvgYu6XykPytEheoPNhbZK3T0hWe_xXKAz=w1200|https://lh3.google"&amp;"usercontent.com/pw/AP1GczN1dVbvKZGZzXqh8SZd2IMGCUZKpA6mizyGj8wf4cOp1Nhi-L0HDahRRQ5VHwKdyMgmIHsoU4Tif6uUvTkZPaKlJSxcnh5mAF7ceEb6ZfIAt8_0keE_=w1200|https://lh3.googleusercontent.com/pw/AP1GczPzQIYcDgp-1UcdECjWKCwTOkoah8s4lwZy2GsFVHomag8gYaxDxsxzsUC6heVMsy1m"&amp;"jGO343qHeCHTOKNOjSvlDovFsAFgeX_9AVlVsx74ITXM6xDh=w1200|https://lh3.googleusercontent.com/pw/AP1GczOkKqvAO7VSurmyMAJm9AlhqnxhuB7okmrtwPF5LutVyOiZ8CDsLu7XsQuwQn-HH_LIIK4kUw7uP8dNfrVXx-LR3hhXIUheqdg3eOTOVNoyGmtrC4Q2=w1200|https://lh3.googleusercontent.com/pw"&amp;"/AP1GczOBJUaynVGO8fZUgJ16wACHr4UuTlDJLRe2J-0LNqt46GZ7wfsz0ZU_U7RpOJLqE-FkK3qcZPMjFKVPBuP9CxLejiA8dK5w4Vs_JJ1jWT4BndLzTzw8=w1200|https://lh3.googleusercontent.com/pw/AP1GczM2dUz9dj_G6mPIWgLITborAGzNs6nzLUtVQvURX2803Vrm1lLY5SdcnLR2Sjv2-sEiVmChgB7IycEhTx0NW2"&amp;"wAs8kHF446D8SsI0yehmGOmSEl5pGs=w1200|https://lh3.googleusercontent.com/pw/AP1GczOaSnbzm6vY9rFC-7bGg8YpTgpLBd1JjCoGTHyYVf7IZuj34vI159Zz0B1j5RZumvr5wKvshqMaM4O1YhJtbORrOLPE3UxjG-m4MX8cROgukTA6Deru=w1200|https://lh3.googleusercontent.com/pw/AP1GczPa55zdbU1we"&amp;"-id4lLUYTbwWlpiucDUAaKzZo5ZBDS_LeLEPz6AWsW8PBbetXRac3PwaAbgG8Q8KkVDYQiLd__AaNmRTszLfZ1AjBRPwfm5yzTVzgan=w1200|https://lh3.googleusercontent.com/pw/AP1GczO22rcvVsboNmaYO4L-AvQD0k4BFV9fFeLVg2hkEaxvxl8r3IovEr0dz0hMOPn5YQYuEdGyRzrTNsSt1P_v28IqODjMn-nuXEp5Esp7"&amp;"_ZC7kGWZapor=w1200|https://lh3.googleusercontent.com/pw/AP1GczPgmPe5seYKwJaLmthXLogSPKpmRfy-F4pHGcXPMo9bmOxGq2Ct943-0yP0kFRlo4wafdOvAEFZapKe3wmGwINYlspTmd_kEGscPSYhgedSsFJbCuhy=w1200")</f>
        <v>https://lh3.googleusercontent.com/pw/AP1GczPK-yiAj4nmERXlJr54wLjlQ5ba6OG1--26UycE6o9tlh9vqOHJMFuTl2Z10G69kTJrEKLqx4_a3zmMyDsuCgU0JpVBq5627SO-K0escNfv8-1dXAXG=w1200|https://lh3.googleusercontent.com/pw/AP1GczONF0KedeXGno7A4nkMQjYbQJ4Q2YtDJL8kTtHu-GLGFGOblS_UjzZr0qW2R_4NZkrheDIcpnSvbDgBnR_CHnDA80CW-0hpeQKehpCUeCkqYX9LMe_X=w1200|https://lh3.googleusercontent.com/pw/AP1GczNJqQzIIBhEpNuHgbWVkgScr4wZqPikdl6eE71OAprE7up4iSs89-UybM5b8zm7z0b_WtSwJ8qUui-h6-ZvgYu6XykPytEheoPNhbZK3T0hWe_xXKAz=w1200|https://lh3.googleusercontent.com/pw/AP1GczN1dVbvKZGZzXqh8SZd2IMGCUZKpA6mizyGj8wf4cOp1Nhi-L0HDahRRQ5VHwKdyMgmIHsoU4Tif6uUvTkZPaKlJSxcnh5mAF7ceEb6ZfIAt8_0keE_=w1200|https://lh3.googleusercontent.com/pw/AP1GczPzQIYcDgp-1UcdECjWKCwTOkoah8s4lwZy2GsFVHomag8gYaxDxsxzsUC6heVMsy1mjGO343qHeCHTOKNOjSvlDovFsAFgeX_9AVlVsx74ITXM6xDh=w1200|https://lh3.googleusercontent.com/pw/AP1GczOkKqvAO7VSurmyMAJm9AlhqnxhuB7okmrtwPF5LutVyOiZ8CDsLu7XsQuwQn-HH_LIIK4kUw7uP8dNfrVXx-LR3hhXIUheqdg3eOTOVNoyGmtrC4Q2=w1200|https://lh3.googleusercontent.com/pw/AP1GczOBJUaynVGO8fZUgJ16wACHr4UuTlDJLRe2J-0LNqt46GZ7wfsz0ZU_U7RpOJLqE-FkK3qcZPMjFKVPBuP9CxLejiA8dK5w4Vs_JJ1jWT4BndLzTzw8=w1200|https://lh3.googleusercontent.com/pw/AP1GczM2dUz9dj_G6mPIWgLITborAGzNs6nzLUtVQvURX2803Vrm1lLY5SdcnLR2Sjv2-sEiVmChgB7IycEhTx0NW2wAs8kHF446D8SsI0yehmGOmSEl5pGs=w1200|https://lh3.googleusercontent.com/pw/AP1GczOaSnbzm6vY9rFC-7bGg8YpTgpLBd1JjCoGTHyYVf7IZuj34vI159Zz0B1j5RZumvr5wKvshqMaM4O1YhJtbORrOLPE3UxjG-m4MX8cROgukTA6Deru=w1200|https://lh3.googleusercontent.com/pw/AP1GczPa55zdbU1we-id4lLUYTbwWlpiucDUAaKzZo5ZBDS_LeLEPz6AWsW8PBbetXRac3PwaAbgG8Q8KkVDYQiLd__AaNmRTszLfZ1AjBRPwfm5yzTVzgan=w1200|https://lh3.googleusercontent.com/pw/AP1GczO22rcvVsboNmaYO4L-AvQD0k4BFV9fFeLVg2hkEaxvxl8r3IovEr0dz0hMOPn5YQYuEdGyRzrTNsSt1P_v28IqODjMn-nuXEp5Esp7_ZC7kGWZapor=w1200|https://lh3.googleusercontent.com/pw/AP1GczPgmPe5seYKwJaLmthXLogSPKpmRfy-F4pHGcXPMo9bmOxGq2Ct943-0yP0kFRlo4wafdOvAEFZapKe3wmGwINYlspTmd_kEGscPSYhgedSsFJbCuhy=w1200</v>
      </c>
      <c r="AJ312" s="46"/>
      <c r="AK312" s="46"/>
      <c r="AL312" s="46"/>
      <c r="AM312" s="46"/>
      <c r="AN312" s="46"/>
      <c r="AO312" s="46"/>
      <c r="AP312" s="46"/>
      <c r="AQ312" s="46"/>
      <c r="AR312" s="46"/>
      <c r="AS312" s="46"/>
      <c r="AT312" s="46"/>
      <c r="AU312" s="46"/>
      <c r="AV312" s="46"/>
      <c r="AW312" s="46"/>
      <c r="AX312" s="46"/>
      <c r="AY312" s="46"/>
      <c r="AZ312" s="46"/>
      <c r="BA312" s="46"/>
      <c r="BB312" s="46"/>
      <c r="BC312" s="46"/>
      <c r="BD312" s="46"/>
      <c r="BE312" s="46"/>
      <c r="BF312" s="46"/>
      <c r="BG312" s="46"/>
      <c r="BH312" s="46"/>
      <c r="BI312" s="46"/>
      <c r="BJ312" s="46"/>
      <c r="BK312" s="46"/>
      <c r="BL312" s="46"/>
      <c r="BM312" s="46"/>
      <c r="BN312" s="46"/>
      <c r="BO312" s="46"/>
      <c r="BP312" s="46"/>
      <c r="BQ312" s="46"/>
      <c r="BR312" s="46"/>
      <c r="BS312" s="46"/>
      <c r="BT312" s="46"/>
      <c r="BU312" s="46"/>
      <c r="BV312" s="46"/>
      <c r="BW312" s="46"/>
      <c r="BX312" s="46"/>
      <c r="BY312" s="46"/>
      <c r="BZ312" s="46"/>
      <c r="CA312" s="46"/>
      <c r="CB312" s="46"/>
      <c r="CC312" s="46"/>
    </row>
    <row r="313">
      <c r="A313" s="87" t="str">
        <f>IFERROR(__xludf.DUMMYFUNCTION("""COMPUTED_VALUE"""),"833")</f>
        <v>833</v>
      </c>
      <c r="B313" s="46" t="str">
        <f>IFERROR(__xludf.DUMMYFUNCTION("""COMPUTED_VALUE"""),"Edificio rentable tipo hotel en barrio Los Martires - Centro")</f>
        <v>Edificio rentable tipo hotel en barrio Los Martires - Centro</v>
      </c>
      <c r="C313" s="46" t="str">
        <f>IFERROR(__xludf.DUMMYFUNCTION("""COMPUTED_VALUE"""),"Edificio rentable")</f>
        <v>Edificio rentable</v>
      </c>
      <c r="D313" s="46" t="str">
        <f>IFERROR(__xludf.DUMMYFUNCTION("""COMPUTED_VALUE"""),"Los Martires")</f>
        <v>Los Martires</v>
      </c>
      <c r="E313" s="90"/>
      <c r="F313" s="90">
        <f>IFERROR(__xludf.DUMMYFUNCTION("""COMPUTED_VALUE"""),3.5E9)</f>
        <v>3500000000</v>
      </c>
      <c r="G313" s="46" t="str">
        <f>IFERROR(__xludf.DUMMYFUNCTION("""COMPUTED_VALUE"""),"Más de $1.000'000.000")</f>
        <v>Más de $1.000'000.000</v>
      </c>
      <c r="H313" s="46"/>
      <c r="I313" s="46"/>
      <c r="J313" s="46" t="str">
        <f>IFERROR(__xludf.DUMMYFUNCTION("""COMPUTED_VALUE"""),"Centro")</f>
        <v>Centro</v>
      </c>
      <c r="K313" s="87" t="str">
        <f>IFERROR(__xludf.DUMMYFUNCTION("""COMPUTED_VALUE"""),"4")</f>
        <v>4</v>
      </c>
      <c r="L313" s="46">
        <f>IFERROR(__xludf.DUMMYFUNCTION("""COMPUTED_VALUE"""),22.0)</f>
        <v>22</v>
      </c>
      <c r="M313" s="46"/>
      <c r="N313" s="46">
        <f>IFERROR(__xludf.DUMMYFUNCTION("""COMPUTED_VALUE"""),24.0)</f>
        <v>24</v>
      </c>
      <c r="O313" s="46">
        <f>IFERROR(__xludf.DUMMYFUNCTION("""COMPUTED_VALUE"""),0.0)</f>
        <v>0</v>
      </c>
      <c r="P313" s="46">
        <f>IFERROR(__xludf.DUMMYFUNCTION("""COMPUTED_VALUE"""),2.0)</f>
        <v>2</v>
      </c>
      <c r="Q313" s="92">
        <f>IFERROR(__xludf.DUMMYFUNCTION("""COMPUTED_VALUE"""),301.0)</f>
        <v>301</v>
      </c>
      <c r="R313" s="92">
        <f>IFERROR(__xludf.DUMMYFUNCTION("""COMPUTED_VALUE"""),150.0)</f>
        <v>150</v>
      </c>
      <c r="S313" s="87" t="str">
        <f>IFERROR(__xludf.DUMMYFUNCTION("""COMPUTED_VALUE""")," ")</f>
        <v> </v>
      </c>
      <c r="T313" s="46" t="str">
        <f>IFERROR(__xludf.DUMMYFUNCTION("""COMPUTED_VALUE"""),"Neiva")</f>
        <v>Neiva</v>
      </c>
      <c r="U313" s="87" t="str">
        <f>IFERROR(__xludf.DUMMYFUNCTION("""COMPUTED_VALUE"""),"3")</f>
        <v>3</v>
      </c>
      <c r="V313" s="46" t="str">
        <f>IFERROR(__xludf.DUMMYFUNCTION("""COMPUTED_VALUE"""),"Medianera")</f>
        <v>Medianera</v>
      </c>
      <c r="W313" s="46"/>
      <c r="X313" s="46">
        <f>IFERROR(__xludf.DUMMYFUNCTION("""COMPUTED_VALUE"""),22.0)</f>
        <v>22</v>
      </c>
      <c r="Y313" s="46" t="str">
        <f>IFERROR(__xludf.DUMMYFUNCTION("""COMPUTED_VALUE"""),"No tiene")</f>
        <v>No tiene</v>
      </c>
      <c r="Z313" s="90" t="str">
        <f>IFERROR(__xludf.DUMMYFUNCTION("""COMPUTED_VALUE"""),"No aplica")</f>
        <v>No aplica</v>
      </c>
      <c r="AA313" s="33" t="str">
        <f>IFERROR(__xludf.DUMMYFUNCTION("""COMPUTED_VALUE"""),"No aplica")</f>
        <v>No aplica</v>
      </c>
      <c r="AB313" s="96" t="str">
        <f>IFERROR(__xludf.DUMMYFUNCTION("""COMPUTED_VALUE"""),"https://photos.app.goo.gl/EhE6jUHgc2zhCMUk7")</f>
        <v>https://photos.app.goo.gl/EhE6jUHgc2zhCMUk7</v>
      </c>
      <c r="AC313" s="46" t="str">
        <f>IFERROR(__xludf.DUMMYFUNCTION("""COMPUTED_VALUE"""),"Excelente oportunidad de inversión en el corazón de la ciudad. Casa especialmente adaptada para operación hotelera, lista para generar rentabilidad inmediata. La propiedad cuenta con 22 habitaciones, cada una con baño privado, además de 2 baños auxiliares"&amp;", 3 amplias salas, 2 cocinas funcionales y patio de ropas. Dispone de servicios públicos instalados y una distribución pensada estratégicamente para la atención cómoda y eficiente de huéspedes, lo que la convierte en una opción ideal para proyectos hotele"&amp;"ros, hostales o rentas turísticas.")</f>
        <v>Excelente oportunidad de inversión en el corazón de la ciudad. Casa especialmente adaptada para operación hotelera, lista para generar rentabilidad inmediata. La propiedad cuenta con 22 habitaciones, cada una con baño privado, además de 2 baños auxiliares, 3 amplias salas, 2 cocinas funcionales y patio de ropas. Dispone de servicios públicos instalados y una distribución pensada estratégicamente para la atención cómoda y eficiente de huéspedes, lo que la convierte en una opción ideal para proyectos hoteleros, hostales o rentas turísticas.</v>
      </c>
      <c r="AD313" s="46" t="str">
        <f>IFERROR(__xludf.DUMMYFUNCTION("""COMPUTED_VALUE"""),"Ubicada en una zona de alta demanda, con excelente accesibilidad y cercanía a comercio, entidades, transporte y vías principales. Una inversión sólida con alto potencial comercial y proyección de crecimiento en una de las áreas más dinámicas de la ciudad.")</f>
        <v>Ubicada en una zona de alta demanda, con excelente accesibilidad y cercanía a comercio, entidades, transporte y vías principales. Una inversión sólida con alto potencial comercial y proyección de crecimiento en una de las áreas más dinámicas de la ciudad.</v>
      </c>
      <c r="AE313" s="46"/>
      <c r="AF313" s="46" t="str">
        <f>IFERROR(__xludf.DUMMYFUNCTION("""COMPUTED_VALUE"""),"semi-integral")</f>
        <v>semi-integral</v>
      </c>
      <c r="AG313" s="46"/>
      <c r="AH313" s="46" t="str">
        <f>IFERROR(__xludf.DUMMYFUNCTION("""COMPUTED_VALUE"""),"Aliado")</f>
        <v>Aliado</v>
      </c>
      <c r="AI313" s="92" t="str">
        <f>IFERROR(__xludf.DUMMYFUNCTION("""COMPUTED_VALUE"""),"https://lh3.googleusercontent.com/pw/AP1GczOk2tRIeXLnhLsrS9lFaslpGvI8AGSLIJKwPL4NFIlQV337CtpX1dAElrd6b-Uav1tx39lBUF6sylXYCVxm6Hwuqa1X3BsxEGzVCkDWFU1JtuslxzHa=w1200|https://lh3.googleusercontent.com/pw/AP1GczNuur7FsEhOx1YNPLgWF35uchmkW7qHUL08KdBXMjkqh_lzCq"&amp;"snS2IcKCBO9bai9bl5YtGkJt9FxWssXPuH_FWvvYfWCH8kvMvvV9k6r1AsSLH3UNpx=w1200|https://lh3.googleusercontent.com/pw/AP1GczN3qJxViMVs7WZAIfVwpzPMC0yF3KH2NNflmhYUst3LwvdXjXLYHe0oNI_ixPpyAEabWtETuWdT3UgtLJMAIDfZ8M-Id1H2r3zM7jhiW3ybgaBiec5_=w1200|https://lh3.google"&amp;"usercontent.com/pw/AP1GczNJpNO5looMBMOyJVE_lvW6GqV_4h8frpjGD1e_lON8hRIkjaXIO5FDiHvzBx2OgYfJQojW1FG7tv_P4LhNrfAyXrEv8wD8jRTT_0grHOunZOiJ3p0f=w1200|https://lh3.googleusercontent.com/pw/AP1GczOj2BcieGkvDPh9kDoJCk0WV15QOg1vKGxyhMxTGMwfYX8z5cNw7RoCT2FfHiUxsI52"&amp;"PQrVCGNeQy5Gw1rH9rtw224j_5oAjPnGK3L9UIT778EL82u3=w1200|https://lh3.googleusercontent.com/pw/AP1GczM8vDc3bz_27vbSt03dK9XubCf4ttg5-3k_mvN2KT5vscm_m97QO2JR5G7G7jfVwf_oIxXZ-XTuXpkFtHr67h2vazBBtMrDw1Nx5tQg3U-lErDxDbyr=w1200|https://lh3.googleusercontent.com/pw"&amp;"/AP1GczMoRNDxhDpHPahx6sEXhAsntwmiZPANctH-qUb8BHodWTox2GenKUhfIbo4t8js4GN0HnOjLtdFuW3_bJ66wXcqK-ZRnYbOeI4VdEGkrgNCKh0PID19=w1200|https://lh3.googleusercontent.com/pw/AP1GczPCNY0wSLm78sGL8byhwEu3pejSPfdDCycGWCjlt3j5bIe5brvMft479CmOt0L494iOnZU8Aw1zTq5gQxVzOE"&amp;"k3RDYeVTVJL1N-RHqTl-GySKDBC7al=w1200|https://lh3.googleusercontent.com/pw/AP1GczNTmHewWOYc6pqehhRbXBTBBFocWYzlZLbjXZP-BjxAqi8Vq_JYAuq2jWd8yQeaHjETXPw7_bK7SW3H_zfXURjLubsNb2n5W6TYwjX8Brbyclq85mMz=w1200|https://lh3.googleusercontent.com/pw/AP1GczPKHvB7H37zC"&amp;"2sZgBMUi6Z5Ms0DcynuWqD0Jt1nNxqrGZrba8OHf_fvgEgsrEHwgKwqisBbeVPuRqIL77qqHQ5SHdObW7aNCqtVwT7xxrQ3iqao2MhO=w1200|https://lh3.googleusercontent.com/pw/AP1GczP06ksSTfJMdjdt-YphD4ppJD4YYuKdYNqaM8bEYk824WA9wSiiqs0xr6wJYO9LzmnHWUjDPycBAc__YdYDHFTnCMUmOgDbN8HZUf8n"&amp;"LdwXDQMTCAto=w1200|https://lh3.googleusercontent.com/pw/AP1GczNngJWdwhvIook4AIa2IxkBE84wWGzcaCKyF-olOV3yGSojsa3fpDghNJXzYFX5OHizQsTnFB_z7nda4itvfMFxaiK5UcGBQQ-uAMvjT5GbyvvN0p4x=w1200|https://lh3.googleusercontent.com/pw/AP1GczODRMcRQr-_RAyRE3gmT26C_Kd41Wg"&amp;"SfzqlajLznUGbi8Xyh0qSOWtVaaVIYp38SSk3j2pWUVIikT1vGshOBqE8PWyLz9KV2tWTybDskyNHJ6CR8QuB=w1200|https://lh3.googleusercontent.com/pw/AP1GczONBso9aKmoVsZmKuJxQgswD6clnCzaa6ejeyOIukqT7L2DJtzyzd7B8E1jV6GUXntlE13d7qJI9SJXfMq9dm2Tqtm3xnYy0Q5zh14K32prSP59XZ3x=w1200"&amp;"|https://lh3.googleusercontent.com/pw/AP1GczOxlwMvet_utS0EzAdw1PXGrJcjtI88W3STumVsy_kGd5HcaEbK73C-N3Biv48TYm5Htc9MIigiORZmbCS8Wr3PlPqGX0f-5k7zG82idh72-QGFQNaK=w1200|https://lh3.googleusercontent.com/pw/AP1GczNwsZJEYUXnbcyOkUT00hbBRfa4lJKow6Yr5y8U8js6j6TNN"&amp;"_R4yZv4I27QWTej7UGDKe-eQ0z1yczewg-4lRy7hhSBYI1t6le0OjqdqCsQoW0WOERm=w1200|https://lh3.googleusercontent.com/pw/AP1GczMEFJ_Dtt05LiRzEkZFFFIY44rqjB7vhe_ZoiF1fb8mB9eyN6e6Qdd6W_GgGphwbzAIGR4uNohQrOYblLVbBBmoBQ5ZJh5-f7GkmmdoyIgmiVQ79K7K=w1200|https://lh3.googl"&amp;"eusercontent.com/pw/AP1GczNKNB4f8KJ8vANFYlY0VfGXKL51xpwYdILliPw4SYMYd5QYnQkhDKgUSIpUa7BNCPLy0cIM230zVSTwsTynuWxl9hrqtQk1Bo6bP-gLBsDeaOAW3OAm=w1200|https://lh3.googleusercontent.com/pw/AP1GczN1VTNMu9DwD1ZCP6tLJzX8-eXr9pMkHYSn8cPEAoDqIL8lz3PhNpZvZ4-KbtT3P8t"&amp;"v2NPMFW-FTgiEklA3ppwCelT_pqoWSLb04s9KpIz8J6eW5PuP=w1200|https://lh3.googleusercontent.com/pw/AP1GczM3x7LZT71zqDjveqkIQEEE31gSuaDpnyznuB6qW5J5yRaAeFUHlyO2WfzM_V424wm-hA8Dmf8_N4tJFmDAux1rRz2TNfHNksyzmX4oAEW9l0A-S-dj=w1200|https://lh3.googleusercontent.com/p"&amp;"w/AP1GczPqL9aAISBwwGGhYUSok0_MgTFG9u5OPgSevBeoYEMwnPfCWRfy1cjBNsWoIb7mvbNmbwqgmf8dHkxnii_tYI_WpMyVlhk2MMdOBSom-_aK0FDjexpg=w1200|https://lh3.googleusercontent.com/pw/AP1GczO_twwPEzehQT-acita_jejfxJdoJJ_oapArKwLzK7tw4y7T8zhx56PxDeHm9rtBXkcnL0OUFM_pe8oNGIF1"&amp;"uA2lUUpgnODf6qbUoL4Nbkehde7nKhO=w1200|https://lh3.googleusercontent.com/pw/AP1GczOabIdNMJ7jAEKglPeHxzrciGoT_MXv_V8Hhhf1oNir24YSJC34DAi9_nCKHpl2L7SpZqr2Ws0SgK2iSbI7wTYMJTYgijE0AYyWzw4Rtnl_XQ5mK5ps=w1200|https://lh3.googleusercontent.com/pw/AP1GczOtwfCOUYoJ"&amp;"u7BtQRcAZTikypPda6v6DV8I5OUSoEFf-N4Fc9tjaVJ4CYLAHYXlcB7WDrLX414KB0uwn65lC8IHZHovspFA5b0g6oj1d6pTSiyAlMai=w1200|https://lh3.googleusercontent.com/pw/AP1GczOGRMGk45MI3gib1PEQ4bOE0M19jzHvM6j5oGWNEJcIbqS2jPbIBo7A2BevLeKJ_aiB6NCcsYC_idCDAYyYDpZ-FmaSVC9szg7KZxy"&amp;"cyc2Xf1MTO3of=w1200|https://lh3.googleusercontent.com/pw/AP1GczPa4mJDHo7JjqXF1osn-u90j5ZNU8aydo-qTfK404ux9hna5ozGcYZohW3upFPwlc7oLjPLRd0BWz4oMhvQ2uIxo9T0wZS9YtMwe_5bp9It7hrGARjq=w1200|https://lh3.googleusercontent.com/pw/AP1GczP3kcIBH0CPwfppV1oX_PBWzCv0_a"&amp;"Ct5238ZJX7NZn0PiggpBt3sSL5rRw31YOmgRY02u6s48G3yecBiZXnTCLrMhsrLusX2U_CK1u30eLj4kqLfvlU=w1200|https://lh3.googleusercontent.com/pw/AP1GczO1VCjbqAttfktU3DjSddSLVYFu_R8Kb5xwtWaqC_pRKx6XkRKM8PYMSEwn2pOTjxQ8y5XhjaUvHaxLDiMvwMw_0MsyEk8XvoEpe1z6inOuqzaCXL3s=w120"&amp;"0|https://lh3.googleusercontent.com/pw/AP1GczOdiKqXnYYpxX-8oNLiiFtC3XPKDAwzy-hvcl38ORB9mxAZWDq0rf6IhRzqYOzoHmdlU4hDFCdyOvtIyN4a_PoTz68jZFZOW6iqhjZvCTvdF-RlVUG3=w1200|https://lh3.googleusercontent.com/pw/AP1GczM74MEDJydHa5GmNqWEksRvD6UrUrh4w2tulemDeWMFpzZC"&amp;"5bavH-Wpo_x8tLkgaHvoCBmP7SCCr5qVxmqC3BnD_8pFcGJ0GGcZZ5g4-WdGSaclCZCI=w1200|https://lh3.googleusercontent.com/pw/AP1GczPF32d94Ap6Z-qgWvFTQDYT-b97LZ8y2a7E1AYF33rtQQLOSOZFvdE-X9nJ0HbvfKCXolFV6RbMbdwO4_hTqf9w94qYwNhrnONAf8r85aIUvTDpiepS=w1200|https://lh3.goog"&amp;"leusercontent.com/pw/AP1GczN-UqMflBTzUzycYzwTgS3O0S566DsYpa8TvCiwdt_y0o7Lns6CFLlm_rQByRUlnTz4nUKsxJMI0KAYrTPuONg07qgGIJepp6AEXyG5S1fdQe8GC3hK=w1200|https://lh3.googleusercontent.com/pw/AP1GczP7nCoLC0Ta_4AJC9IQfCK9ge6W2GTZPi3aajbhX89YATgMbsv5ys9Hhw18DudhM3"&amp;"QPIikxdWrDa1DdgSdCJuoTl068J4wSOlH3V6Zj0vLMa75WuKS5=w1200|https://lh3.googleusercontent.com/pw/AP1GczMPiy5ektmbpcewlljfyEqPtPG2T0aSLwwzT9CUhAay-TevFiSDkaXK1LvH71MdNdHUCZ2tHs87QlDJ0Y0eSpDK26rjztLhB-ytpbQo57mzj8nzYv5R=w1200|https://lh3.googleusercontent.com/"&amp;"pw/AP1GczOu-lYuUHzuX9IhrdsA4RaGknRaAu7QMMrrkFj5S8vqNZv8Km1SnvGKWg0843Z5EQkj_nU59yTbFCoRm4gQ6v-hT93TF6mbjb0ofcU8iDdoskN6MSxm=w1200|https://lh3.googleusercontent.com/pw/AP1GczMT85o0eDYn-cVElllb672ncs6jTUF4N8GrbOtDxEPuqb11IHRcWUk8gb_rI3ubz6IH7spQ_V9YKO0d19mw"&amp;"7ZAlAZKaU9s88fEsfrsYGSvv4tlIriuQ=w1200|https://lh3.googleusercontent.com/pw/AP1GczM9IRezIheTG7gKJAzJ4NiZ8wrJJWJ3orlWG2xvfYWmFr9g8PKmB4sbGBaYrtXMvgQO25H2FPHIyuyn0jNFXqAEX-NReoh0R4DQJIZ31coF7MXqJx0Q=w1200")</f>
        <v>https://lh3.googleusercontent.com/pw/AP1GczOk2tRIeXLnhLsrS9lFaslpGvI8AGSLIJKwPL4NFIlQV337CtpX1dAElrd6b-Uav1tx39lBUF6sylXYCVxm6Hwuqa1X3BsxEGzVCkDWFU1JtuslxzHa=w1200|https://lh3.googleusercontent.com/pw/AP1GczNuur7FsEhOx1YNPLgWF35uchmkW7qHUL08KdBXMjkqh_lzCqsnS2IcKCBO9bai9bl5YtGkJt9FxWssXPuH_FWvvYfWCH8kvMvvV9k6r1AsSLH3UNpx=w1200|https://lh3.googleusercontent.com/pw/AP1GczN3qJxViMVs7WZAIfVwpzPMC0yF3KH2NNflmhYUst3LwvdXjXLYHe0oNI_ixPpyAEabWtETuWdT3UgtLJMAIDfZ8M-Id1H2r3zM7jhiW3ybgaBiec5_=w1200|https://lh3.googleusercontent.com/pw/AP1GczNJpNO5looMBMOyJVE_lvW6GqV_4h8frpjGD1e_lON8hRIkjaXIO5FDiHvzBx2OgYfJQojW1FG7tv_P4LhNrfAyXrEv8wD8jRTT_0grHOunZOiJ3p0f=w1200|https://lh3.googleusercontent.com/pw/AP1GczOj2BcieGkvDPh9kDoJCk0WV15QOg1vKGxyhMxTGMwfYX8z5cNw7RoCT2FfHiUxsI52PQrVCGNeQy5Gw1rH9rtw224j_5oAjPnGK3L9UIT778EL82u3=w1200|https://lh3.googleusercontent.com/pw/AP1GczM8vDc3bz_27vbSt03dK9XubCf4ttg5-3k_mvN2KT5vscm_m97QO2JR5G7G7jfVwf_oIxXZ-XTuXpkFtHr67h2vazBBtMrDw1Nx5tQg3U-lErDxDbyr=w1200|https://lh3.googleusercontent.com/pw/AP1GczMoRNDxhDpHPahx6sEXhAsntwmiZPANctH-qUb8BHodWTox2GenKUhfIbo4t8js4GN0HnOjLtdFuW3_bJ66wXcqK-ZRnYbOeI4VdEGkrgNCKh0PID19=w1200|https://lh3.googleusercontent.com/pw/AP1GczPCNY0wSLm78sGL8byhwEu3pejSPfdDCycGWCjlt3j5bIe5brvMft479CmOt0L494iOnZU8Aw1zTq5gQxVzOEk3RDYeVTVJL1N-RHqTl-GySKDBC7al=w1200|https://lh3.googleusercontent.com/pw/AP1GczNTmHewWOYc6pqehhRbXBTBBFocWYzlZLbjXZP-BjxAqi8Vq_JYAuq2jWd8yQeaHjETXPw7_bK7SW3H_zfXURjLubsNb2n5W6TYwjX8Brbyclq85mMz=w1200|https://lh3.googleusercontent.com/pw/AP1GczPKHvB7H37zC2sZgBMUi6Z5Ms0DcynuWqD0Jt1nNxqrGZrba8OHf_fvgEgsrEHwgKwqisBbeVPuRqIL77qqHQ5SHdObW7aNCqtVwT7xxrQ3iqao2MhO=w1200|https://lh3.googleusercontent.com/pw/AP1GczP06ksSTfJMdjdt-YphD4ppJD4YYuKdYNqaM8bEYk824WA9wSiiqs0xr6wJYO9LzmnHWUjDPycBAc__YdYDHFTnCMUmOgDbN8HZUf8nLdwXDQMTCAto=w1200|https://lh3.googleusercontent.com/pw/AP1GczNngJWdwhvIook4AIa2IxkBE84wWGzcaCKyF-olOV3yGSojsa3fpDghNJXzYFX5OHizQsTnFB_z7nda4itvfMFxaiK5UcGBQQ-uAMvjT5GbyvvN0p4x=w1200|https://lh3.googleusercontent.com/pw/AP1GczODRMcRQr-_RAyRE3gmT26C_Kd41WgSfzqlajLznUGbi8Xyh0qSOWtVaaVIYp38SSk3j2pWUVIikT1vGshOBqE8PWyLz9KV2tWTybDskyNHJ6CR8QuB=w1200|https://lh3.googleusercontent.com/pw/AP1GczONBso9aKmoVsZmKuJxQgswD6clnCzaa6ejeyOIukqT7L2DJtzyzd7B8E1jV6GUXntlE13d7qJI9SJXfMq9dm2Tqtm3xnYy0Q5zh14K32prSP59XZ3x=w1200|https://lh3.googleusercontent.com/pw/AP1GczOxlwMvet_utS0EzAdw1PXGrJcjtI88W3STumVsy_kGd5HcaEbK73C-N3Biv48TYm5Htc9MIigiORZmbCS8Wr3PlPqGX0f-5k7zG82idh72-QGFQNaK=w1200|https://lh3.googleusercontent.com/pw/AP1GczNwsZJEYUXnbcyOkUT00hbBRfa4lJKow6Yr5y8U8js6j6TNN_R4yZv4I27QWTej7UGDKe-eQ0z1yczewg-4lRy7hhSBYI1t6le0OjqdqCsQoW0WOERm=w1200|https://lh3.googleusercontent.com/pw/AP1GczMEFJ_Dtt05LiRzEkZFFFIY44rqjB7vhe_ZoiF1fb8mB9eyN6e6Qdd6W_GgGphwbzAIGR4uNohQrOYblLVbBBmoBQ5ZJh5-f7GkmmdoyIgmiVQ79K7K=w1200|https://lh3.googleusercontent.com/pw/AP1GczNKNB4f8KJ8vANFYlY0VfGXKL51xpwYdILliPw4SYMYd5QYnQkhDKgUSIpUa7BNCPLy0cIM230zVSTwsTynuWxl9hrqtQk1Bo6bP-gLBsDeaOAW3OAm=w1200|https://lh3.googleusercontent.com/pw/AP1GczN1VTNMu9DwD1ZCP6tLJzX8-eXr9pMkHYSn8cPEAoDqIL8lz3PhNpZvZ4-KbtT3P8tv2NPMFW-FTgiEklA3ppwCelT_pqoWSLb04s9KpIz8J6eW5PuP=w1200|https://lh3.googleusercontent.com/pw/AP1GczM3x7LZT71zqDjveqkIQEEE31gSuaDpnyznuB6qW5J5yRaAeFUHlyO2WfzM_V424wm-hA8Dmf8_N4tJFmDAux1rRz2TNfHNksyzmX4oAEW9l0A-S-dj=w1200|https://lh3.googleusercontent.com/pw/AP1GczPqL9aAISBwwGGhYUSok0_MgTFG9u5OPgSevBeoYEMwnPfCWRfy1cjBNsWoIb7mvbNmbwqgmf8dHkxnii_tYI_WpMyVlhk2MMdOBSom-_aK0FDjexpg=w1200|https://lh3.googleusercontent.com/pw/AP1GczO_twwPEzehQT-acita_jejfxJdoJJ_oapArKwLzK7tw4y7T8zhx56PxDeHm9rtBXkcnL0OUFM_pe8oNGIF1uA2lUUpgnODf6qbUoL4Nbkehde7nKhO=w1200|https://lh3.googleusercontent.com/pw/AP1GczOabIdNMJ7jAEKglPeHxzrciGoT_MXv_V8Hhhf1oNir24YSJC34DAi9_nCKHpl2L7SpZqr2Ws0SgK2iSbI7wTYMJTYgijE0AYyWzw4Rtnl_XQ5mK5ps=w1200|https://lh3.googleusercontent.com/pw/AP1GczOtwfCOUYoJu7BtQRcAZTikypPda6v6DV8I5OUSoEFf-N4Fc9tjaVJ4CYLAHYXlcB7WDrLX414KB0uwn65lC8IHZHovspFA5b0g6oj1d6pTSiyAlMai=w1200|https://lh3.googleusercontent.com/pw/AP1GczOGRMGk45MI3gib1PEQ4bOE0M19jzHvM6j5oGWNEJcIbqS2jPbIBo7A2BevLeKJ_aiB6NCcsYC_idCDAYyYDpZ-FmaSVC9szg7KZxycyc2Xf1MTO3of=w1200|https://lh3.googleusercontent.com/pw/AP1GczPa4mJDHo7JjqXF1osn-u90j5ZNU8aydo-qTfK404ux9hna5ozGcYZohW3upFPwlc7oLjPLRd0BWz4oMhvQ2uIxo9T0wZS9YtMwe_5bp9It7hrGARjq=w1200|https://lh3.googleusercontent.com/pw/AP1GczP3kcIBH0CPwfppV1oX_PBWzCv0_aCt5238ZJX7NZn0PiggpBt3sSL5rRw31YOmgRY02u6s48G3yecBiZXnTCLrMhsrLusX2U_CK1u30eLj4kqLfvlU=w1200|https://lh3.googleusercontent.com/pw/AP1GczO1VCjbqAttfktU3DjSddSLVYFu_R8Kb5xwtWaqC_pRKx6XkRKM8PYMSEwn2pOTjxQ8y5XhjaUvHaxLDiMvwMw_0MsyEk8XvoEpe1z6inOuqzaCXL3s=w1200|https://lh3.googleusercontent.com/pw/AP1GczOdiKqXnYYpxX-8oNLiiFtC3XPKDAwzy-hvcl38ORB9mxAZWDq0rf6IhRzqYOzoHmdlU4hDFCdyOvtIyN4a_PoTz68jZFZOW6iqhjZvCTvdF-RlVUG3=w1200|https://lh3.googleusercontent.com/pw/AP1GczM74MEDJydHa5GmNqWEksRvD6UrUrh4w2tulemDeWMFpzZC5bavH-Wpo_x8tLkgaHvoCBmP7SCCr5qVxmqC3BnD_8pFcGJ0GGcZZ5g4-WdGSaclCZCI=w1200|https://lh3.googleusercontent.com/pw/AP1GczPF32d94Ap6Z-qgWvFTQDYT-b97LZ8y2a7E1AYF33rtQQLOSOZFvdE-X9nJ0HbvfKCXolFV6RbMbdwO4_hTqf9w94qYwNhrnONAf8r85aIUvTDpiepS=w1200|https://lh3.googleusercontent.com/pw/AP1GczN-UqMflBTzUzycYzwTgS3O0S566DsYpa8TvCiwdt_y0o7Lns6CFLlm_rQByRUlnTz4nUKsxJMI0KAYrTPuONg07qgGIJepp6AEXyG5S1fdQe8GC3hK=w1200|https://lh3.googleusercontent.com/pw/AP1GczP7nCoLC0Ta_4AJC9IQfCK9ge6W2GTZPi3aajbhX89YATgMbsv5ys9Hhw18DudhM3QPIikxdWrDa1DdgSdCJuoTl068J4wSOlH3V6Zj0vLMa75WuKS5=w1200|https://lh3.googleusercontent.com/pw/AP1GczMPiy5ektmbpcewlljfyEqPtPG2T0aSLwwzT9CUhAay-TevFiSDkaXK1LvH71MdNdHUCZ2tHs87QlDJ0Y0eSpDK26rjztLhB-ytpbQo57mzj8nzYv5R=w1200|https://lh3.googleusercontent.com/pw/AP1GczOu-lYuUHzuX9IhrdsA4RaGknRaAu7QMMrrkFj5S8vqNZv8Km1SnvGKWg0843Z5EQkj_nU59yTbFCoRm4gQ6v-hT93TF6mbjb0ofcU8iDdoskN6MSxm=w1200|https://lh3.googleusercontent.com/pw/AP1GczMT85o0eDYn-cVElllb672ncs6jTUF4N8GrbOtDxEPuqb11IHRcWUk8gb_rI3ubz6IH7spQ_V9YKO0d19mw7ZAlAZKaU9s88fEsfrsYGSvv4tlIriuQ=w1200|https://lh3.googleusercontent.com/pw/AP1GczM9IRezIheTG7gKJAzJ4NiZ8wrJJWJ3orlWG2xvfYWmFr9g8PKmB4sbGBaYrtXMvgQO25H2FPHIyuyn0jNFXqAEX-NReoh0R4DQJIZ31coF7MXqJx0Q=w1200</v>
      </c>
      <c r="AJ313" s="46"/>
      <c r="AK313" s="46"/>
      <c r="AL313" s="46"/>
      <c r="AM313" s="46"/>
      <c r="AN313" s="46"/>
      <c r="AO313" s="46"/>
      <c r="AP313" s="46"/>
      <c r="AQ313" s="46"/>
      <c r="AR313" s="46"/>
      <c r="AS313" s="46"/>
      <c r="AT313" s="46"/>
      <c r="AU313" s="46"/>
      <c r="AV313" s="46"/>
      <c r="AW313" s="46"/>
      <c r="AX313" s="46"/>
      <c r="AY313" s="46"/>
      <c r="AZ313" s="46"/>
      <c r="BA313" s="46"/>
      <c r="BB313" s="46"/>
      <c r="BC313" s="46"/>
      <c r="BD313" s="46"/>
      <c r="BE313" s="46"/>
      <c r="BF313" s="46"/>
      <c r="BG313" s="46"/>
      <c r="BH313" s="46"/>
      <c r="BI313" s="46"/>
      <c r="BJ313" s="46"/>
      <c r="BK313" s="46"/>
      <c r="BL313" s="46"/>
      <c r="BM313" s="46"/>
      <c r="BN313" s="46"/>
      <c r="BO313" s="46"/>
      <c r="BP313" s="46"/>
      <c r="BQ313" s="46"/>
      <c r="BR313" s="46"/>
      <c r="BS313" s="46"/>
      <c r="BT313" s="46"/>
      <c r="BU313" s="46"/>
      <c r="BV313" s="46"/>
      <c r="BW313" s="46"/>
      <c r="BX313" s="46"/>
      <c r="BY313" s="46"/>
      <c r="BZ313" s="46"/>
      <c r="CA313" s="46"/>
      <c r="CB313" s="46"/>
      <c r="CC313" s="46"/>
    </row>
    <row r="314">
      <c r="A314" s="87" t="str">
        <f>IFERROR(__xludf.DUMMYFUNCTION("""COMPUTED_VALUE"""),"1366")</f>
        <v>1366</v>
      </c>
      <c r="B314" s="46" t="str">
        <f>IFERROR(__xludf.DUMMYFUNCTION("""COMPUTED_VALUE"""),"Lote - Oriente - Ipanema")</f>
        <v>Lote - Oriente - Ipanema</v>
      </c>
      <c r="C314" s="46" t="str">
        <f>IFERROR(__xludf.DUMMYFUNCTION("""COMPUTED_VALUE"""),"Lote")</f>
        <v>Lote</v>
      </c>
      <c r="D314" s="46" t="str">
        <f>IFERROR(__xludf.DUMMYFUNCTION("""COMPUTED_VALUE"""),"Ipanema")</f>
        <v>Ipanema</v>
      </c>
      <c r="E314" s="46"/>
      <c r="F314" s="90">
        <f>IFERROR(__xludf.DUMMYFUNCTION("""COMPUTED_VALUE"""),2.73E9)</f>
        <v>2730000000</v>
      </c>
      <c r="G314" s="46" t="str">
        <f>IFERROR(__xludf.DUMMYFUNCTION("""COMPUTED_VALUE"""),"Más de $1.000'000.000")</f>
        <v>Más de $1.000'000.000</v>
      </c>
      <c r="H314" s="46"/>
      <c r="I314" s="46"/>
      <c r="J314" s="46" t="str">
        <f>IFERROR(__xludf.DUMMYFUNCTION("""COMPUTED_VALUE"""),"Oriente")</f>
        <v>Oriente</v>
      </c>
      <c r="K314" s="87" t="str">
        <f>IFERROR(__xludf.DUMMYFUNCTION("""COMPUTED_VALUE"""),"7")</f>
        <v>7</v>
      </c>
      <c r="L314" s="46">
        <f>IFERROR(__xludf.DUMMYFUNCTION("""COMPUTED_VALUE"""),0.0)</f>
        <v>0</v>
      </c>
      <c r="M314" s="46"/>
      <c r="N314" s="46">
        <f>IFERROR(__xludf.DUMMYFUNCTION("""COMPUTED_VALUE"""),0.0)</f>
        <v>0</v>
      </c>
      <c r="O314" s="46">
        <f>IFERROR(__xludf.DUMMYFUNCTION("""COMPUTED_VALUE"""),0.0)</f>
        <v>0</v>
      </c>
      <c r="P314" s="46">
        <f>IFERROR(__xludf.DUMMYFUNCTION("""COMPUTED_VALUE"""),0.0)</f>
        <v>0</v>
      </c>
      <c r="Q314" s="92">
        <f>IFERROR(__xludf.DUMMYFUNCTION("""COMPUTED_VALUE"""),0.0)</f>
        <v>0</v>
      </c>
      <c r="R314" s="92">
        <f>IFERROR(__xludf.DUMMYFUNCTION("""COMPUTED_VALUE"""),7000.0)</f>
        <v>7000</v>
      </c>
      <c r="S314" s="87" t="str">
        <f>IFERROR(__xludf.DUMMYFUNCTION("""COMPUTED_VALUE""")," ")</f>
        <v> </v>
      </c>
      <c r="T314" s="46" t="str">
        <f>IFERROR(__xludf.DUMMYFUNCTION("""COMPUTED_VALUE"""),"Neiva")</f>
        <v>Neiva</v>
      </c>
      <c r="U314" s="87" t="str">
        <f>IFERROR(__xludf.DUMMYFUNCTION("""COMPUTED_VALUE"""),"4")</f>
        <v>4</v>
      </c>
      <c r="V314" s="46" t="str">
        <f>IFERROR(__xludf.DUMMYFUNCTION("""COMPUTED_VALUE"""),"Medianero")</f>
        <v>Medianero</v>
      </c>
      <c r="W314" s="46"/>
      <c r="X314" s="46">
        <f>IFERROR(__xludf.DUMMYFUNCTION("""COMPUTED_VALUE"""),0.0)</f>
        <v>0</v>
      </c>
      <c r="Y314" s="46" t="str">
        <f>IFERROR(__xludf.DUMMYFUNCTION("""COMPUTED_VALUE"""),"No tiene")</f>
        <v>No tiene</v>
      </c>
      <c r="Z314" s="90"/>
      <c r="AA314" s="33" t="str">
        <f>IFERROR(__xludf.DUMMYFUNCTION("""COMPUTED_VALUE"""),"No aplica")</f>
        <v>No aplica</v>
      </c>
      <c r="AB314" s="96" t="str">
        <f>IFERROR(__xludf.DUMMYFUNCTION("""COMPUTED_VALUE"""),"https://photos.app.goo.gl/1prXaXf8KNjgUonWA")</f>
        <v>https://photos.app.goo.gl/1prXaXf8KNjgUonWA</v>
      </c>
      <c r="AC314" s="46" t="str">
        <f>IFERROR(__xludf.DUMMYFUNCTION("""COMPUTED_VALUE"""),"Garantiza excelente proyección y desarrollo urbanístico; se encuentra además junto al nuevo proyecto VIS de la Constructora León Aguilera, próximo a iniciar, incrementando aún más su potencial de valorización. Con un precio de $390.000 por m², este terren"&amp;"o es ideal para desarrollar proyectos residenciales, comerciales o como una sólida inversión a futuro.")</f>
        <v>Garantiza excelente proyección y desarrollo urbanístico; se encuentra además junto al nuevo proyecto VIS de la Constructora León Aguilera, próximo a iniciar, incrementando aún más su potencial de valorización. Con un precio de $390.000 por m², este terreno es ideal para desarrollar proyectos residenciales, comerciales o como una sólida inversión a futuro.</v>
      </c>
      <c r="AD314" s="46" t="str">
        <f>IFERROR(__xludf.DUMMYFUNCTION("""COMPUTED_VALUE"""),"Lote en venta de 7.000 m² ubicado en una zona de alta valorización, cerca de reconocidos conjuntos residenciales y del Centro Comercial Santa Lucía Plaza.")</f>
        <v>Lote en venta de 7.000 m² ubicado en una zona de alta valorización, cerca de reconocidos conjuntos residenciales y del Centro Comercial Santa Lucía Plaza.</v>
      </c>
      <c r="AE314" s="46"/>
      <c r="AF314" s="46">
        <f>IFERROR(__xludf.DUMMYFUNCTION("""COMPUTED_VALUE"""),0.0)</f>
        <v>0</v>
      </c>
      <c r="AG314" s="46"/>
      <c r="AH314" s="46" t="str">
        <f>IFERROR(__xludf.DUMMYFUNCTION("""COMPUTED_VALUE"""),"Aliado")</f>
        <v>Aliado</v>
      </c>
      <c r="AI314" s="92" t="str">
        <f>IFERROR(__xludf.DUMMYFUNCTION("""COMPUTED_VALUE"""),"https://lh3.googleusercontent.com/pw/AP1GczPayQPnGIpyXhDkLX45-0i-05Bp4cYnd3l1NknY3uDyhXFk7Ow4yzVDnUUkO51TAVdByKgvHPCpT-ylfz9Q2Trhs0IxuI0fT0U86BhGmFTSsoI-pQEj=w1200|https://lh3.googleusercontent.com/pw/AP1GczMIG9ACTJXOV5gOUvIoAzNrJHXqEIGNIMdYuMI3eTpCqAUD_k"&amp;"-XrlOczWXfr6zjFr9ZAed2KxTNfv-pkzmAQTc1ZSxe8EYaEq_tIiVQWM78LNkBVlZX=w1200|https://lh3.googleusercontent.com/pw/AP1GczPd0cmzyDF3FezieK9h9N2Uw-wiKLsaEeulzq0Ltp3_IblJrP4QcdZCDqWvmX8IuivZH0NKScFIJFWAE9n_P1XqP59t2ueGtifdJYEgum7bnJGtPAwZ=w1200|https://lh3.google"&amp;"usercontent.com/pw/AP1GczNolk8Q2m5UmBeLTRT94SZxgT25lJ6Hp3pOIQs2s8o1QXSneWSgxdcv9wdAccY9SjrOVxFOwdWBbIc7zmJMUD_OEq5qg1v-DaShrTvfJutCwrrG-3eT=w1200|https://lh3.googleusercontent.com/pw/AP1GczNbOA35rASdmmlU37Mvnhee5Ssxzjd0Xz-WNfuv3C-1-YQUppIkIb0dfPdFy8Hqfilw"&amp;"OIeQ7lxfSW039119ayVbLftRbAEdqzE0mL6XCwQiOuklt0-6=w1200|https://lh3.googleusercontent.com/pw/AP1GczN-QOluA18BmqhSJFqGRufUwHO0khqUGAwpA8BORmbYHx29RTyJ8U9HVi98TwLujhoII341L_9hwQfonrxJJH7r6igor6NVEOHbgZeIUeQ-DG9UVyff=w1200|https://lh3.googleusercontent.com/pw"&amp;"/AP1GczM62WXz4ywqdur5bV-ySOefTpwEHR0z_TA5LXcP3wXd7nfY-66hhPJ4GYdEwrSI9BCsEvCx9by12kzjobEH8mcEc_-QSjX5hd8SiEAYyxVcL9FzD4Zf=w1200|https://lh3.googleusercontent.com/pw/AP1GczOgQLx57VpAMVpd0Lf3EdLPAvt_WX0vCMPPkQ-a5eRo2fW2iAB4izf4tEMZ0RZCuou551pXhBub5wYKOviJ2r"&amp;"2psR47Yxu5Pja7zS0W9RfI8dIlx-qq=w1200|https://lh3.googleusercontent.com/pw/AP1GczOjeVVfeAIZTGOFMsSgl2bLNF89pbl5z1fxRP4O_iemT1eQW6QRuOlQjmyfeKyTsTUx5Ru-BqUC7aihORXrikvi8xA0cDxuyKLmh1WyZmSOzp6635Ic=w1200")</f>
        <v>https://lh3.googleusercontent.com/pw/AP1GczPayQPnGIpyXhDkLX45-0i-05Bp4cYnd3l1NknY3uDyhXFk7Ow4yzVDnUUkO51TAVdByKgvHPCpT-ylfz9Q2Trhs0IxuI0fT0U86BhGmFTSsoI-pQEj=w1200|https://lh3.googleusercontent.com/pw/AP1GczMIG9ACTJXOV5gOUvIoAzNrJHXqEIGNIMdYuMI3eTpCqAUD_k-XrlOczWXfr6zjFr9ZAed2KxTNfv-pkzmAQTc1ZSxe8EYaEq_tIiVQWM78LNkBVlZX=w1200|https://lh3.googleusercontent.com/pw/AP1GczPd0cmzyDF3FezieK9h9N2Uw-wiKLsaEeulzq0Ltp3_IblJrP4QcdZCDqWvmX8IuivZH0NKScFIJFWAE9n_P1XqP59t2ueGtifdJYEgum7bnJGtPAwZ=w1200|https://lh3.googleusercontent.com/pw/AP1GczNolk8Q2m5UmBeLTRT94SZxgT25lJ6Hp3pOIQs2s8o1QXSneWSgxdcv9wdAccY9SjrOVxFOwdWBbIc7zmJMUD_OEq5qg1v-DaShrTvfJutCwrrG-3eT=w1200|https://lh3.googleusercontent.com/pw/AP1GczNbOA35rASdmmlU37Mvnhee5Ssxzjd0Xz-WNfuv3C-1-YQUppIkIb0dfPdFy8HqfilwOIeQ7lxfSW039119ayVbLftRbAEdqzE0mL6XCwQiOuklt0-6=w1200|https://lh3.googleusercontent.com/pw/AP1GczN-QOluA18BmqhSJFqGRufUwHO0khqUGAwpA8BORmbYHx29RTyJ8U9HVi98TwLujhoII341L_9hwQfonrxJJH7r6igor6NVEOHbgZeIUeQ-DG9UVyff=w1200|https://lh3.googleusercontent.com/pw/AP1GczM62WXz4ywqdur5bV-ySOefTpwEHR0z_TA5LXcP3wXd7nfY-66hhPJ4GYdEwrSI9BCsEvCx9by12kzjobEH8mcEc_-QSjX5hd8SiEAYyxVcL9FzD4Zf=w1200|https://lh3.googleusercontent.com/pw/AP1GczOgQLx57VpAMVpd0Lf3EdLPAvt_WX0vCMPPkQ-a5eRo2fW2iAB4izf4tEMZ0RZCuou551pXhBub5wYKOviJ2r2psR47Yxu5Pja7zS0W9RfI8dIlx-qq=w1200|https://lh3.googleusercontent.com/pw/AP1GczOjeVVfeAIZTGOFMsSgl2bLNF89pbl5z1fxRP4O_iemT1eQW6QRuOlQjmyfeKyTsTUx5Ru-BqUC7aihORXrikvi8xA0cDxuyKLmh1WyZmSOzp6635Ic=w1200</v>
      </c>
      <c r="AJ314" s="46"/>
      <c r="AK314" s="46"/>
      <c r="AL314" s="46"/>
      <c r="AM314" s="46"/>
      <c r="AN314" s="46"/>
      <c r="AO314" s="46"/>
      <c r="AP314" s="46"/>
      <c r="AQ314" s="46"/>
      <c r="AR314" s="46"/>
      <c r="AS314" s="46"/>
      <c r="AT314" s="46"/>
      <c r="AU314" s="46"/>
      <c r="AV314" s="46"/>
      <c r="AW314" s="46"/>
      <c r="AX314" s="46"/>
      <c r="AY314" s="46"/>
      <c r="AZ314" s="46"/>
      <c r="BA314" s="46"/>
      <c r="BB314" s="46"/>
      <c r="BC314" s="46"/>
      <c r="BD314" s="46"/>
      <c r="BE314" s="46"/>
      <c r="BF314" s="46"/>
      <c r="BG314" s="46"/>
      <c r="BH314" s="46"/>
      <c r="BI314" s="46"/>
      <c r="BJ314" s="46"/>
      <c r="BK314" s="46"/>
      <c r="BL314" s="46"/>
      <c r="BM314" s="46"/>
      <c r="BN314" s="46"/>
      <c r="BO314" s="46"/>
      <c r="BP314" s="46"/>
      <c r="BQ314" s="46"/>
      <c r="BR314" s="46"/>
      <c r="BS314" s="46"/>
      <c r="BT314" s="46"/>
      <c r="BU314" s="46"/>
      <c r="BV314" s="46"/>
      <c r="BW314" s="46"/>
      <c r="BX314" s="46"/>
      <c r="BY314" s="46"/>
      <c r="BZ314" s="46"/>
      <c r="CA314" s="46"/>
      <c r="CB314" s="46"/>
      <c r="CC314" s="46"/>
    </row>
    <row r="315">
      <c r="A315" s="87" t="str">
        <f>IFERROR(__xludf.DUMMYFUNCTION("""COMPUTED_VALUE"""),"1329")</f>
        <v>1329</v>
      </c>
      <c r="B315" s="46" t="str">
        <f>IFERROR(__xludf.DUMMYFUNCTION("""COMPUTED_VALUE"""),"Casa campestre en conjunto Condominio Altos de la Pradera - Oriente ")</f>
        <v>Casa campestre en conjunto Condominio Altos de la Pradera - Oriente </v>
      </c>
      <c r="C315" s="46" t="str">
        <f>IFERROR(__xludf.DUMMYFUNCTION("""COMPUTED_VALUE"""),"Casa campestre en conjunto")</f>
        <v>Casa campestre en conjunto</v>
      </c>
      <c r="D315" s="46" t="str">
        <f>IFERROR(__xludf.DUMMYFUNCTION("""COMPUTED_VALUE"""),"Ipanema")</f>
        <v>Ipanema</v>
      </c>
      <c r="E315" s="46"/>
      <c r="F315" s="90">
        <f>IFERROR(__xludf.DUMMYFUNCTION("""COMPUTED_VALUE"""),2.7E9)</f>
        <v>2700000000</v>
      </c>
      <c r="G315" s="46" t="str">
        <f>IFERROR(__xludf.DUMMYFUNCTION("""COMPUTED_VALUE"""),"Más de $1.000'000.000")</f>
        <v>Más de $1.000'000.000</v>
      </c>
      <c r="H315" s="46"/>
      <c r="I315" s="46"/>
      <c r="J315" s="46" t="str">
        <f>IFERROR(__xludf.DUMMYFUNCTION("""COMPUTED_VALUE"""),"Oriente")</f>
        <v>Oriente</v>
      </c>
      <c r="K315" s="87" t="str">
        <f>IFERROR(__xludf.DUMMYFUNCTION("""COMPUTED_VALUE"""),"7")</f>
        <v>7</v>
      </c>
      <c r="L315" s="46">
        <f>IFERROR(__xludf.DUMMYFUNCTION("""COMPUTED_VALUE"""),6.0)</f>
        <v>6</v>
      </c>
      <c r="M315" s="46"/>
      <c r="N315" s="46">
        <f>IFERROR(__xludf.DUMMYFUNCTION("""COMPUTED_VALUE"""),7.0)</f>
        <v>7</v>
      </c>
      <c r="O315" s="46">
        <f>IFERROR(__xludf.DUMMYFUNCTION("""COMPUTED_VALUE"""),3.0)</f>
        <v>3</v>
      </c>
      <c r="P315" s="46">
        <f>IFERROR(__xludf.DUMMYFUNCTION("""COMPUTED_VALUE"""),1.0)</f>
        <v>1</v>
      </c>
      <c r="Q315" s="92">
        <f>IFERROR(__xludf.DUMMYFUNCTION("""COMPUTED_VALUE"""),500.0)</f>
        <v>500</v>
      </c>
      <c r="R315" s="92">
        <f>IFERROR(__xludf.DUMMYFUNCTION("""COMPUTED_VALUE"""),2028.0)</f>
        <v>2028</v>
      </c>
      <c r="S315" s="87" t="str">
        <f>IFERROR(__xludf.DUMMYFUNCTION("""COMPUTED_VALUE""")," ")</f>
        <v> </v>
      </c>
      <c r="T315" s="46" t="str">
        <f>IFERROR(__xludf.DUMMYFUNCTION("""COMPUTED_VALUE"""),"Neiva")</f>
        <v>Neiva</v>
      </c>
      <c r="U315" s="87" t="str">
        <f>IFERROR(__xludf.DUMMYFUNCTION("""COMPUTED_VALUE"""),"4")</f>
        <v>4</v>
      </c>
      <c r="V315" s="46" t="str">
        <f>IFERROR(__xludf.DUMMYFUNCTION("""COMPUTED_VALUE"""),"Medianera")</f>
        <v>Medianera</v>
      </c>
      <c r="W315" s="46"/>
      <c r="X315" s="46">
        <f>IFERROR(__xludf.DUMMYFUNCTION("""COMPUTED_VALUE"""),6.0)</f>
        <v>6</v>
      </c>
      <c r="Y315" s="46" t="str">
        <f>IFERROR(__xludf.DUMMYFUNCTION("""COMPUTED_VALUE"""),"Privada")</f>
        <v>Privada</v>
      </c>
      <c r="Z315" s="90"/>
      <c r="AA315" s="33" t="str">
        <f>IFERROR(__xludf.DUMMYFUNCTION("""COMPUTED_VALUE"""),"No aplica")</f>
        <v>No aplica</v>
      </c>
      <c r="AB315" s="96" t="str">
        <f>IFERROR(__xludf.DUMMYFUNCTION("""COMPUTED_VALUE"""),"https://photos.app.goo.gl/bpqZrxB7PWs7kjrJ8")</f>
        <v>https://photos.app.goo.gl/bpqZrxB7PWs7kjrJ8</v>
      </c>
      <c r="AC315" s="46" t="str">
        <f>IFERROR(__xludf.DUMMYFUNCTION("""COMPUTED_VALUE"""),"En su interior dispone de sala independiente, comedor, baño social, moderna cocina abierta con isla totalmente equipada, sala de TV con barra, dos estudios, jardín interior, amplio patio de ropas con zona de lavado y habitación de servicio con baño. La zo"&amp;"na privada ofrece una espaciosa habitación principal con sala, vestier y baño privado, además de cinco habitaciones adicionales (dos con baño privado), todas con aire acondicionado, y baño completo para invitados. En el exterior se destaca una espectacula"&amp;"r zona social con piscina y jacuzzi, zona BBQ, baño social exterior, solárium y tres amplias terrazas ideales para compartir, dotadas con blackouts exteriores para protección solar.")</f>
        <v>En su interior dispone de sala independiente, comedor, baño social, moderna cocina abierta con isla totalmente equipada, sala de TV con barra, dos estudios, jardín interior, amplio patio de ropas con zona de lavado y habitación de servicio con baño. La zona privada ofrece una espaciosa habitación principal con sala, vestier y baño privado, además de cinco habitaciones adicionales (dos con baño privado), todas con aire acondicionado, y baño completo para invitados. En el exterior se destaca una espectacular zona social con piscina y jacuzzi, zona BBQ, baño social exterior, solárium y tres amplias terrazas ideales para compartir, dotadas con blackouts exteriores para protección solar.</v>
      </c>
      <c r="AD315" s="46" t="str">
        <f>IFERROR(__xludf.DUMMYFUNCTION("""COMPUTED_VALUE"""),"Espectacular propiedad campestre con un terreno total de 2.028 m² (dos lotes) y 500 m² construidos, diseñada para disfrutar del confort, la amplitud y la privacidad en un solo lugar. La vivienda cuenta con jardines perimetrales, garaje exterior con capaci"&amp;"dad hasta para tres vehículos y dos entradas independientes; su acceso principal ofrece porche y elegante hall de recibo. Como valor agregado, la propiedad cuenta con paneles solares para ahorro energético e iluminación exterior, convirtiéndola en una exc"&amp;"elente opción para vivir con comodidad, exclusividad y sostenibilidad.")</f>
        <v>Espectacular propiedad campestre con un terreno total de 2.028 m² (dos lotes) y 500 m² construidos, diseñada para disfrutar del confort, la amplitud y la privacidad en un solo lugar. La vivienda cuenta con jardines perimetrales, garaje exterior con capacidad hasta para tres vehículos y dos entradas independientes; su acceso principal ofrece porche y elegante hall de recibo. Como valor agregado, la propiedad cuenta con paneles solares para ahorro energético e iluminación exterior, convirtiéndola en una excelente opción para vivir con comodidad, exclusividad y sostenibilidad.</v>
      </c>
      <c r="AE315" s="46"/>
      <c r="AF315" s="46" t="str">
        <f>IFERROR(__xludf.DUMMYFUNCTION("""COMPUTED_VALUE"""),"integral")</f>
        <v>integral</v>
      </c>
      <c r="AG315" s="46"/>
      <c r="AH315" s="46" t="str">
        <f>IFERROR(__xludf.DUMMYFUNCTION("""COMPUTED_VALUE"""),"Aliado")</f>
        <v>Aliado</v>
      </c>
      <c r="AI315" s="92" t="str">
        <f>IFERROR(__xludf.DUMMYFUNCTION("""COMPUTED_VALUE"""),"https://lh3.googleusercontent.com/pw/AP1GczOGoZiiHny_W3LqC7QnOS5-M-03B942z0rvdhWa2JHS2gj99ea1H95upsl1UKBhs03xdCNH1AF9Vg6LymkgmD3KAe2P5_QYBuV5AGUPiTU49q1K0Fv7=w1200|https://lh3.googleusercontent.com/pw/AP1GczNv3uUjTxtWglGIrBAs5giMyAQN0i-2aLbOLk7Uvw8SatovrH"&amp;"S8OHa2NlwEfVM6i9VFhLL9yNRXVoC6RShSIOT_o-3N7jdwSQoBInTotdqmb4VIpQvt=w1200|https://lh3.googleusercontent.com/pw/AP1GczPZ3KMwjAK3eSDEKYkIizBM2gb8jyfHuEcFadY8jKCfXKCiaN9vipYhIUbxy_d1U4psVx_zvCYJqNDiZV1sJQxKscf2mrB2hdMA2SrtTzoLW0Z8qaE3=w1200|https://lh3.google"&amp;"usercontent.com/pw/AP1GczN7xNMol1Fn9tEl8aoYA9FP1LrUVhgdazRL1xtBEyKSc-Mrk8C0tnqoYRnjednK24wsJkoyP52TeQilWSYoUhsR1aAQ7wiLeGeFNh3mJACgBs7TwfRs=w1200|https://lh3.googleusercontent.com/pw/AP1GczNAr2D0I6WE31D7BialSAi1PNb44I9Wz78rWrdLSE1j8CzZVrRm31aXP3DcKsfq9RBd"&amp;"Y8yEXyZNbUUV6Hlfxx3gBfi-a2rWopOTqAwgP7fUP32Fjlg3=w1200|https://lh3.googleusercontent.com/pw/AP1GczMKP4-EEM7CbedszpgsU611G4Y0YrO1jOIMEBrLKnKgqIR9nClHeJC5evEQgMRvlEEtTQ3NiIJzocf2fsHQ94JINjwlsrtyKmth8WwZWK2sIl8YezCO=w1200|https://lh3.googleusercontent.com/pw"&amp;"/AP1GczNAcnvguZV_3HcJ0y3WBo2HQ8g6aGrr9nSq9OdRSXBR_Lo5mPUh-btozPLn8C5Si1xSFpNKbs4fcnQpr5fbZa8JDUAy6nY1oD1XZ5xgCyrwU2QxBybb=w1200|https://lh3.googleusercontent.com/pw/AP1GczMBmNMt8yUk-ocFwE73OKz090Wrvlhd7VK2KLlQCZ1OVMA-oUr2U4S-s8-EhTORxWWJ_qcfhZkrU8HOR-ljc3"&amp;"ypx2-E7S2GPyEv6ZGlDHewUOhMurdv=w1200|https://lh3.googleusercontent.com/pw/AP1GczM0QLI6g_adN6eMWABqWu9WEBrpbKht-A4BZhH0GphxWT1kGG9QRcAr2gOZi1w38pNKYGrBmcqh_6NNy63BZIKZBU0xGM16XLQUe1Uz69aFlk36XHsc=w1200|https://lh3.googleusercontent.com/pw/AP1GczPuIphPNVs4y"&amp;"mLsbMgQHvQQnOc4_f0db38pRWojb7-QiWdtc51PMxYGmZgG8pKEOxf9C7UIOBeaqGjzmpd7W02yik2SagMyWv2lclCgAS3URdS82ZZ5=w1200|https://lh3.googleusercontent.com/pw/AP1GczNyeygdBEPZa7pjj2PwQfsuD2qj8VwJY7SCHZfO7L6dNpYxaJg1W0SbP__P182Ioio9iqqUt-GMYYyXDeb6BWNc3TqkpzUN-UoV3UY1"&amp;"UlUyIyH8qACE=w1200|https://lh3.googleusercontent.com/pw/AP1GczMJjN8zvi8SPHajvel5JIJTQs148nLBluJmk6h8hMV0DuwsNmBknHpkoyWpZHlOA8NL9ObkRXvMbdPL811MX6PwhSTQ4nR2wKdlzb_lJLSoW-1vOEbu=w1200|https://lh3.googleusercontent.com/pw/AP1GczPUDX-KsyQumOWJ-cm8x3awYXfpmG-"&amp;"ETK9Y2jydqLfv3VnUvOodLw-OcBin1wu7S9R6mlrW1FhrqcBVrrNFC1ZQS8_ii5te9ffE1ugaKzRGHZcW1gD0=w1200|https://lh3.googleusercontent.com/pw/AP1GczNpKg_P1X191MpGbP11UGJXBFwIf58W5dBgi6kc-UfQ-n-FpuKDUCeMgCFoKV7zSTKku6HGvg-Tz-ZVuWrRjmOr3CCzq-sDCPJTaUErgjIV_ylkt2m6=w1200"&amp;"|https://lh3.googleusercontent.com/pw/AP1GczPpU_blcPr9ArTJgXdSnS2THMi3IYRlaLIPTLCMXCbOqZhnTX5ntBtKgirfQG-6j240a0S8jdocFlSGmY9iQ7GZ4N25-hcXLgAo1ogagQk7ihx_AwSE=w1200|https://lh3.googleusercontent.com/pw/AP1GczOcq5z-HAuQJMZpiPGqRoxPl0UAzxFxFv5k4Q9YH2j3AW2cU"&amp;"WUN_xHyndOx_oXMaMVJ-pebXdiM3-7FOe5SPAnj6pneYna1yUQjBPJ5H7PnKTRTnp-9=w1200|https://lh3.googleusercontent.com/pw/AP1GczM_fszWp9rS-w1yuxuPKckXBsirhKz0fXSrkhZF8iv2XiO9Mw243AyzBLd8FxjwNKyooH-pntUNZW0CRV1Y-VLI8gJpBzH6uAZzJagnKhTXq2oFlUnS=w1200|https://lh3.googl"&amp;"eusercontent.com/pw/AP1GczOke7gjaB0FeE3-jVvfpwGMYcM8tlvoSae7f_kluOfLRnmvpNEvbues6IQk9ckmXGDRCFw6luf92LGa05xtqTa5XOz59wm4DpdYLV7xzJ4UfFOtaOJP=w1200|https://lh3.googleusercontent.com/pw/AP1GczO2PWH9YwATwpRs9M0ic7XeJRL65YjcBIPirtr6-2bmhRB-Pq00weA72eZS5XDHEZ0"&amp;"5q4pxBUiEhUgalJtozysn-ae9XqUY2KiwLHZFp3iPhyoKmZM7=w1200|https://lh3.googleusercontent.com/pw/AP1GczMpujj8ErwW9Qg-ZL1_CkX7bT4BCQb_x885W-p-7VQ_Zo9JSaq0V40C4wJchCgq65-WE2hXMYq-Fj0bw5FE8j7Mt6ohnmreBFlBniOFoA8Zpf6zZRkJ=w1200|https://lh3.googleusercontent.com/p"&amp;"w/AP1GczM7vXoZnsTd9G3YR1bhbX3d_m0ZvlWMDUb279nwEZ0DNGgbmqD8YwXZVxPNV95TlWfZZgzNCYNqWfdRJ2aBE27dQoqARB_9zzF5MOg5v1HQPsralWdM=w1200|https://lh3.googleusercontent.com/pw/AP1GczM64VOQQxoZvV4dF9C1lhpDE4xLG4wVSf1U4e9OmVDNXIENfHD46O_UqFZDKocV6xU9Gs19rJE8qoJcql4pd"&amp;"EW4a7rYIuhgY7XODUj3cDMr8PZx6ltD=w1200|https://lh3.googleusercontent.com/pw/AP1GczPisoN06gyN0vVkuGSJJHCE6K6UMug8mOEpTDhcKqNopiUzzMuqDyqxyZV0zq6lxT2Hy_hYrJudPK_-xKFrf13FLrAxf-9qasqQjvMpSI5FqvwYiEJU=w1200")</f>
        <v>https://lh3.googleusercontent.com/pw/AP1GczOGoZiiHny_W3LqC7QnOS5-M-03B942z0rvdhWa2JHS2gj99ea1H95upsl1UKBhs03xdCNH1AF9Vg6LymkgmD3KAe2P5_QYBuV5AGUPiTU49q1K0Fv7=w1200|https://lh3.googleusercontent.com/pw/AP1GczNv3uUjTxtWglGIrBAs5giMyAQN0i-2aLbOLk7Uvw8SatovrHS8OHa2NlwEfVM6i9VFhLL9yNRXVoC6RShSIOT_o-3N7jdwSQoBInTotdqmb4VIpQvt=w1200|https://lh3.googleusercontent.com/pw/AP1GczPZ3KMwjAK3eSDEKYkIizBM2gb8jyfHuEcFadY8jKCfXKCiaN9vipYhIUbxy_d1U4psVx_zvCYJqNDiZV1sJQxKscf2mrB2hdMA2SrtTzoLW0Z8qaE3=w1200|https://lh3.googleusercontent.com/pw/AP1GczN7xNMol1Fn9tEl8aoYA9FP1LrUVhgdazRL1xtBEyKSc-Mrk8C0tnqoYRnjednK24wsJkoyP52TeQilWSYoUhsR1aAQ7wiLeGeFNh3mJACgBs7TwfRs=w1200|https://lh3.googleusercontent.com/pw/AP1GczNAr2D0I6WE31D7BialSAi1PNb44I9Wz78rWrdLSE1j8CzZVrRm31aXP3DcKsfq9RBdY8yEXyZNbUUV6Hlfxx3gBfi-a2rWopOTqAwgP7fUP32Fjlg3=w1200|https://lh3.googleusercontent.com/pw/AP1GczMKP4-EEM7CbedszpgsU611G4Y0YrO1jOIMEBrLKnKgqIR9nClHeJC5evEQgMRvlEEtTQ3NiIJzocf2fsHQ94JINjwlsrtyKmth8WwZWK2sIl8YezCO=w1200|https://lh3.googleusercontent.com/pw/AP1GczNAcnvguZV_3HcJ0y3WBo2HQ8g6aGrr9nSq9OdRSXBR_Lo5mPUh-btozPLn8C5Si1xSFpNKbs4fcnQpr5fbZa8JDUAy6nY1oD1XZ5xgCyrwU2QxBybb=w1200|https://lh3.googleusercontent.com/pw/AP1GczMBmNMt8yUk-ocFwE73OKz090Wrvlhd7VK2KLlQCZ1OVMA-oUr2U4S-s8-EhTORxWWJ_qcfhZkrU8HOR-ljc3ypx2-E7S2GPyEv6ZGlDHewUOhMurdv=w1200|https://lh3.googleusercontent.com/pw/AP1GczM0QLI6g_adN6eMWABqWu9WEBrpbKht-A4BZhH0GphxWT1kGG9QRcAr2gOZi1w38pNKYGrBmcqh_6NNy63BZIKZBU0xGM16XLQUe1Uz69aFlk36XHsc=w1200|https://lh3.googleusercontent.com/pw/AP1GczPuIphPNVs4ymLsbMgQHvQQnOc4_f0db38pRWojb7-QiWdtc51PMxYGmZgG8pKEOxf9C7UIOBeaqGjzmpd7W02yik2SagMyWv2lclCgAS3URdS82ZZ5=w1200|https://lh3.googleusercontent.com/pw/AP1GczNyeygdBEPZa7pjj2PwQfsuD2qj8VwJY7SCHZfO7L6dNpYxaJg1W0SbP__P182Ioio9iqqUt-GMYYyXDeb6BWNc3TqkpzUN-UoV3UY1UlUyIyH8qACE=w1200|https://lh3.googleusercontent.com/pw/AP1GczMJjN8zvi8SPHajvel5JIJTQs148nLBluJmk6h8hMV0DuwsNmBknHpkoyWpZHlOA8NL9ObkRXvMbdPL811MX6PwhSTQ4nR2wKdlzb_lJLSoW-1vOEbu=w1200|https://lh3.googleusercontent.com/pw/AP1GczPUDX-KsyQumOWJ-cm8x3awYXfpmG-ETK9Y2jydqLfv3VnUvOodLw-OcBin1wu7S9R6mlrW1FhrqcBVrrNFC1ZQS8_ii5te9ffE1ugaKzRGHZcW1gD0=w1200|https://lh3.googleusercontent.com/pw/AP1GczNpKg_P1X191MpGbP11UGJXBFwIf58W5dBgi6kc-UfQ-n-FpuKDUCeMgCFoKV7zSTKku6HGvg-Tz-ZVuWrRjmOr3CCzq-sDCPJTaUErgjIV_ylkt2m6=w1200|https://lh3.googleusercontent.com/pw/AP1GczPpU_blcPr9ArTJgXdSnS2THMi3IYRlaLIPTLCMXCbOqZhnTX5ntBtKgirfQG-6j240a0S8jdocFlSGmY9iQ7GZ4N25-hcXLgAo1ogagQk7ihx_AwSE=w1200|https://lh3.googleusercontent.com/pw/AP1GczOcq5z-HAuQJMZpiPGqRoxPl0UAzxFxFv5k4Q9YH2j3AW2cUWUN_xHyndOx_oXMaMVJ-pebXdiM3-7FOe5SPAnj6pneYna1yUQjBPJ5H7PnKTRTnp-9=w1200|https://lh3.googleusercontent.com/pw/AP1GczM_fszWp9rS-w1yuxuPKckXBsirhKz0fXSrkhZF8iv2XiO9Mw243AyzBLd8FxjwNKyooH-pntUNZW0CRV1Y-VLI8gJpBzH6uAZzJagnKhTXq2oFlUnS=w1200|https://lh3.googleusercontent.com/pw/AP1GczOke7gjaB0FeE3-jVvfpwGMYcM8tlvoSae7f_kluOfLRnmvpNEvbues6IQk9ckmXGDRCFw6luf92LGa05xtqTa5XOz59wm4DpdYLV7xzJ4UfFOtaOJP=w1200|https://lh3.googleusercontent.com/pw/AP1GczO2PWH9YwATwpRs9M0ic7XeJRL65YjcBIPirtr6-2bmhRB-Pq00weA72eZS5XDHEZ05q4pxBUiEhUgalJtozysn-ae9XqUY2KiwLHZFp3iPhyoKmZM7=w1200|https://lh3.googleusercontent.com/pw/AP1GczMpujj8ErwW9Qg-ZL1_CkX7bT4BCQb_x885W-p-7VQ_Zo9JSaq0V40C4wJchCgq65-WE2hXMYq-Fj0bw5FE8j7Mt6ohnmreBFlBniOFoA8Zpf6zZRkJ=w1200|https://lh3.googleusercontent.com/pw/AP1GczM7vXoZnsTd9G3YR1bhbX3d_m0ZvlWMDUb279nwEZ0DNGgbmqD8YwXZVxPNV95TlWfZZgzNCYNqWfdRJ2aBE27dQoqARB_9zzF5MOg5v1HQPsralWdM=w1200|https://lh3.googleusercontent.com/pw/AP1GczM64VOQQxoZvV4dF9C1lhpDE4xLG4wVSf1U4e9OmVDNXIENfHD46O_UqFZDKocV6xU9Gs19rJE8qoJcql4pdEW4a7rYIuhgY7XODUj3cDMr8PZx6ltD=w1200|https://lh3.googleusercontent.com/pw/AP1GczPisoN06gyN0vVkuGSJJHCE6K6UMug8mOEpTDhcKqNopiUzzMuqDyqxyZV0zq6lxT2Hy_hYrJudPK_-xKFrf13FLrAxf-9qasqQjvMpSI5FqvwYiEJU=w1200</v>
      </c>
      <c r="AJ315" s="46"/>
      <c r="AK315" s="46"/>
      <c r="AL315" s="46"/>
      <c r="AM315" s="46"/>
      <c r="AN315" s="46"/>
      <c r="AO315" s="46"/>
      <c r="AP315" s="46"/>
      <c r="AQ315" s="46"/>
      <c r="AR315" s="46"/>
      <c r="AS315" s="46"/>
      <c r="AT315" s="46"/>
      <c r="AU315" s="46"/>
      <c r="AV315" s="46"/>
      <c r="AW315" s="46"/>
      <c r="AX315" s="46"/>
      <c r="AY315" s="46"/>
      <c r="AZ315" s="46"/>
      <c r="BA315" s="46"/>
      <c r="BB315" s="46"/>
      <c r="BC315" s="46"/>
      <c r="BD315" s="46"/>
      <c r="BE315" s="46"/>
      <c r="BF315" s="46"/>
      <c r="BG315" s="46"/>
      <c r="BH315" s="46"/>
      <c r="BI315" s="46"/>
      <c r="BJ315" s="46"/>
      <c r="BK315" s="46"/>
      <c r="BL315" s="46"/>
      <c r="BM315" s="46"/>
      <c r="BN315" s="46"/>
      <c r="BO315" s="46"/>
      <c r="BP315" s="46"/>
      <c r="BQ315" s="46"/>
      <c r="BR315" s="46"/>
      <c r="BS315" s="46"/>
      <c r="BT315" s="46"/>
      <c r="BU315" s="46"/>
      <c r="BV315" s="46"/>
      <c r="BW315" s="46"/>
      <c r="BX315" s="46"/>
      <c r="BY315" s="46"/>
      <c r="BZ315" s="46"/>
      <c r="CA315" s="46"/>
      <c r="CB315" s="46"/>
      <c r="CC315" s="46"/>
    </row>
    <row r="316">
      <c r="A316" s="87" t="str">
        <f>IFERROR(__xludf.DUMMYFUNCTION("""COMPUTED_VALUE"""),"1295")</f>
        <v>1295</v>
      </c>
      <c r="B316" s="46" t="str">
        <f>IFERROR(__xludf.DUMMYFUNCTION("""COMPUTED_VALUE"""),"Casa en conjunto Residencial Siena - Ipanema")</f>
        <v>Casa en conjunto Residencial Siena - Ipanema</v>
      </c>
      <c r="C316" s="46" t="str">
        <f>IFERROR(__xludf.DUMMYFUNCTION("""COMPUTED_VALUE"""),"Casa en conjunto")</f>
        <v>Casa en conjunto</v>
      </c>
      <c r="D316" s="46" t="str">
        <f>IFERROR(__xludf.DUMMYFUNCTION("""COMPUTED_VALUE"""),"Ipanema")</f>
        <v>Ipanema</v>
      </c>
      <c r="E316" s="90" t="str">
        <f>IFERROR(__xludf.DUMMYFUNCTION("""COMPUTED_VALUE"""),"Conjunto Residencial Siena")</f>
        <v>Conjunto Residencial Siena</v>
      </c>
      <c r="F316" s="90">
        <f>IFERROR(__xludf.DUMMYFUNCTION("""COMPUTED_VALUE"""),2.4E9)</f>
        <v>2400000000</v>
      </c>
      <c r="G316" s="46" t="str">
        <f>IFERROR(__xludf.DUMMYFUNCTION("""COMPUTED_VALUE"""),"Más de $1.000'000.000")</f>
        <v>Más de $1.000'000.000</v>
      </c>
      <c r="H316" s="46"/>
      <c r="I316" s="46"/>
      <c r="J316" s="46" t="str">
        <f>IFERROR(__xludf.DUMMYFUNCTION("""COMPUTED_VALUE"""),"Oriente")</f>
        <v>Oriente</v>
      </c>
      <c r="K316" s="87"/>
      <c r="L316" s="46">
        <f>IFERROR(__xludf.DUMMYFUNCTION("""COMPUTED_VALUE"""),4.0)</f>
        <v>4</v>
      </c>
      <c r="M316" s="46"/>
      <c r="N316" s="46">
        <f>IFERROR(__xludf.DUMMYFUNCTION("""COMPUTED_VALUE"""),4.0)</f>
        <v>4</v>
      </c>
      <c r="O316" s="46">
        <f>IFERROR(__xludf.DUMMYFUNCTION("""COMPUTED_VALUE"""),2.0)</f>
        <v>2</v>
      </c>
      <c r="P316" s="46">
        <f>IFERROR(__xludf.DUMMYFUNCTION("""COMPUTED_VALUE"""),1.0)</f>
        <v>1</v>
      </c>
      <c r="Q316" s="92">
        <f>IFERROR(__xludf.DUMMYFUNCTION("""COMPUTED_VALUE"""),440.0)</f>
        <v>440</v>
      </c>
      <c r="R316" s="92">
        <f>IFERROR(__xludf.DUMMYFUNCTION("""COMPUTED_VALUE"""),660.0)</f>
        <v>660</v>
      </c>
      <c r="S316" s="87" t="str">
        <f>IFERROR(__xludf.DUMMYFUNCTION("""COMPUTED_VALUE""")," ")</f>
        <v> </v>
      </c>
      <c r="T316" s="46" t="str">
        <f>IFERROR(__xludf.DUMMYFUNCTION("""COMPUTED_VALUE"""),"Neiva")</f>
        <v>Neiva</v>
      </c>
      <c r="U316" s="87" t="str">
        <f>IFERROR(__xludf.DUMMYFUNCTION("""COMPUTED_VALUE"""),"4")</f>
        <v>4</v>
      </c>
      <c r="V316" s="46" t="str">
        <f>IFERROR(__xludf.DUMMYFUNCTION("""COMPUTED_VALUE"""),"Medianera")</f>
        <v>Medianera</v>
      </c>
      <c r="W316" s="46"/>
      <c r="X316" s="46">
        <f>IFERROR(__xludf.DUMMYFUNCTION("""COMPUTED_VALUE"""),4.0)</f>
        <v>4</v>
      </c>
      <c r="Y316" s="46" t="str">
        <f>IFERROR(__xludf.DUMMYFUNCTION("""COMPUTED_VALUE"""),"Privada")</f>
        <v>Privada</v>
      </c>
      <c r="Z316" s="90">
        <f>IFERROR(__xludf.DUMMYFUNCTION("""COMPUTED_VALUE"""),900000.0)</f>
        <v>900000</v>
      </c>
      <c r="AA316" s="33" t="str">
        <f>IFERROR(__xludf.DUMMYFUNCTION("""COMPUTED_VALUE"""),"No aplica")</f>
        <v>No aplica</v>
      </c>
      <c r="AB316" s="144" t="str">
        <f>IFERROR(__xludf.DUMMYFUNCTION("""COMPUTED_VALUE"""),"https://photos.app.goo.gl/HwZVRRfpX7Hy37dh8")</f>
        <v>https://photos.app.goo.gl/HwZVRRfpX7Hy37dh8</v>
      </c>
      <c r="AC316" s="46" t="str">
        <f>IFERROR(__xludf.DUMMYFUNCTION("""COMPUTED_VALUE"""),"Área lote 660 mts Construcción 440 mts Primer piso cuatro alcobas, tres alcobas con baño, baño social, BBQ, piscina, zonas verdes, cocina integral, área de lavadero alberca, salón de juegos, jacuzzi, paneles solares. Admón. $900.000.oo (2025).")</f>
        <v>Área lote 660 mts Construcción 440 mts Primer piso cuatro alcobas, tres alcobas con baño, baño social, BBQ, piscina, zonas verdes, cocina integral, área de lavadero alberca, salón de juegos, jacuzzi, paneles solares. Admón. $900.000.oo (2025).</v>
      </c>
      <c r="AD316" s="46" t="str">
        <f>IFERROR(__xludf.DUMMYFUNCTION("""COMPUTED_VALUE"""),"Casa bien ubicada con buenos acabados. Piscina  + jacuzzi privada")</f>
        <v>Casa bien ubicada con buenos acabados. Piscina  + jacuzzi privada</v>
      </c>
      <c r="AE316" s="46"/>
      <c r="AF316" s="46" t="str">
        <f>IFERROR(__xludf.DUMMYFUNCTION("""COMPUTED_VALUE"""),"integral")</f>
        <v>integral</v>
      </c>
      <c r="AG316" s="46"/>
      <c r="AH316" s="46" t="str">
        <f>IFERROR(__xludf.DUMMYFUNCTION("""COMPUTED_VALUE"""),"Aliado")</f>
        <v>Aliado</v>
      </c>
      <c r="AI316" s="92" t="str">
        <f>IFERROR(__xludf.DUMMYFUNCTION("""COMPUTED_VALUE"""),"https://lh3.googleusercontent.com/pw/AP1GczP6fDTQp3UhsVqlgvGv4DTu4rjgGyUtDyaMo2QRP1QVcAN6_mgxhCxNEupjXLQYJQJunZQTE_q2MQEc9ka153EDLeMDlpk5Y5e--L-vWZadDgPxBOD1=w1200|https://lh3.googleusercontent.com/pw/AP1GczNYGtNihx8YPJM1Sxb-2OAYXN2O2eE895EZWHVW_T3RwdxpJG"&amp;"Rowb6vt3P4OUBnF3558HTYmqp-lTboO7LJlM0ixjvogcMXWzDgy_rMYUaXArcteLmH=w1200|https://lh3.googleusercontent.com/pw/AP1GczOlzhC0zneMh9OgflcuEcfjJPSBhMX0JGlrBXtMXHsWKukKhSJ16vuoS3ftAHH9VllIguCmhTNGXWAIdJlEwhZSj26tCY_IZnh0tnziJnfSU9vvyBat=w1200|https://lh3.google"&amp;"usercontent.com/pw/AP1GczNbCWLuZkCJJdKLoFPkdpyaOSuovIimh3mOxh2w2h_O8llLY3Uvwj2c528Fu4lJ_BYXesIoOI-IFVbXls51llZuuR3c_fI1Cf3jjGLxE2BlGsHcTvSj=w1200|https://lh3.googleusercontent.com/pw/AP1GczOawze8JBTIqIMnf0jSMBjNi0NgafZtbhzxDvVGs2gRtLvrWVYbWC9YTo33IY6_hXkr"&amp;"7z4nI2E7BB1pmVCrFdFFhRGgq105JfB3COcfUXNirPE2hXGw=w1200|https://lh3.googleusercontent.com/pw/AP1GczNfYUjzju1VOzCQ2nO3aWVenDcDgsVKlaXlylf3IUEDSwjDnlMu-Ir9IAInBLBDLYBd4Aj0Y7TjCAse_0Xc3XeSOKT_2cjafMIujMXkRyd7NwsJaN13=w1200|https://lh3.googleusercontent.com/pw"&amp;"/AP1GczMcHhSimSwxAT-8Mp3ldwyJBeDq0I3AMZZP0MD-NiFxfpd5-ZqhZIMFX6-U5P-6-sDXCQ6gq-2yI0ZiYZG2BjfRHTrmnmxJB1vOJT1Pe12e1mw2qME-=w1200|https://lh3.googleusercontent.com/pw/AP1GczP1ewLF9cWxCOfgK8LIgBOH_VTYCZ5iHIk7ZzbZmMd3zUrZ-M8p9e4JGhS6Kq_p8GNnuorc66LLfLgQt16HRo"&amp;"fxTJBEP8P5Ultmt-qF-ypk3K4rqPz0=w1200|https://lh3.googleusercontent.com/pw/AP1GczMuX2w9PbbXsCqJipg3GI1p_a4jjFIblrKihI4Fqg6FGF8dvKJPJfh7XUGoWQPUL1fI7Uu0w_TpXzy3xbwsN2vm-3c_q_8miC5E5r28L4Hj3e49Pgl3=w1200|https://lh3.googleusercontent.com/pw/AP1GczP1pPgPp5qzk"&amp;"m-KkKiuHSACQi8HZjlGGa9y7_EoOL3OiEOu7_hxOFQ8WlGN2O_w4B0I8YRL7w2aUhljwC_xFjh0DWFYw8LsCQHllxxqHUQK-oPRX0eA=w1200|https://lh3.googleusercontent.com/pw/AP1GczMkNzONyYlMtzWfmh3m6Sdxqud4qe04pIyu2K_Nficn4X-YUPwmq4OGIkwsXBPZe1rLXsNVVUNiX7zXfz8PZhhH05UW0ujR5S0--LiA"&amp;"zSk0hqtRE0Zw=w1200|https://lh3.googleusercontent.com/pw/AP1GczNGTZJUtbwr5Cw1uaFUM46ee2TO7ufyS_KkIltF-uhlyei4VR6QmkbXCFnXtKgqshMx8AEljXIGqQD6EmSGBwkKogNLokxjfC5ZU8RYQeAetWvD7-aT=w1200|https://lh3.googleusercontent.com/pw/AP1GczPJ49mV_YBsvDtGf56eGP3zzno8Hid"&amp;"HNvMuOy8EY4GH34B0xqvtqnQNQv5nn3K49yNeFAMxBBw9scLkZRXpnqwCH-UaCRm1cVasHpAPmNL1kBDba3pW=w1200|https://lh3.googleusercontent.com/pw/AP1GczMwJeMxp9DJTeS25LI3aGlSp1Ak_YMRZJvGSAjLf1oILLjApfAf-u4Zv95YQ0DyhCAc9i0nmhAiORCjWBFpFZLAF39dV9K90LYlcBnA0rIb2iqWGxKF=w1200"&amp;"|https://lh3.googleusercontent.com/pw/AP1GczM_K-BHrmmLz8WE_NxEPd8X6Stx8A7RrNA6JiZpPVrRK7qCBKILJBIsq3Tx-85dlOIzZ451ZmkwA_X_GvWTo488AqgP4ez_TGpnew7tmXKOTLD3vGw3=w1200|https://lh3.googleusercontent.com/pw/AP1GczNRj7-7NLahhG523OmiT-iyKMc4M5d5I0PwOUQNfngfkTSYJ"&amp;"IOqopxjEgHJJ8-UJ7ZQV4CxeBWUjpcYZSA520OSk6tMl0k5SS9n-wJgHiYY3QgO37qc=w1200|https://lh3.googleusercontent.com/pw/AP1GczMAOvSUwKUGsjcocORCuueT-3RflcLVIuiKYE3uqZn1dolyj_hWcvCUn7iDGRvnfJ-icBlR0mMV5lNoPG6wBpsuNNtEqAlDy9CKUyzNokg2kGTfQLb5=w1200|https://lh3.googl"&amp;"eusercontent.com/pw/AP1GczOaT0gaGPoFzAOcjksaCw0DrM7-GYt5Kw682DumgLnbUKE4VUy_8KbLWmDbdN4_YY-zU6NEgStMyHo-utj82j0SFSSHF4l8kQEbbOB5OXZG4uF2uBvj=w1200|https://lh3.googleusercontent.com/pw/AP1GczNVfMAW0OxjXfFyok4RhLX7r1F3VUf78W66NeHN4ZOKWUC4fcDaNuLVwAROlnxtcGc"&amp;"RQRWE2QuL2V5s2CAxF8iMK0i-hU8_1f9Egu5fNe9mSUbWhVyH=w1200|https://lh3.googleusercontent.com/pw/AP1GczP1Tqp-mhRScaBzQF7jmUsHZX0aSPvRsO9I30lvm1qwO-HH7pMblBId7iY6HMi0by85FjgN8TUbvUZz0896it3uOn6Al3weGJ32W3z9wqU1Og6XlmSS=w1200|https://lh3.googleusercontent.com/p"&amp;"w/AP1GczPPZr8XO701ML3nBLWVkbxgNEQsV_VXvs2z3Okze_Irx8nObw-7STWEA8VCcDdy4XvrYJPO2reIB6bwkqo2YvHkMBaKqdD8LH497OfO03djfu-PvsT8=w1200|https://lh3.googleusercontent.com/pw/AP1GczMUATGl25EF4r4SNpb08_6OVHYYWigeK0x6uhyw3bUNJzvoly9N1yz7pF69hvDVVYmA_8jkqZzJkTerAFQ0U"&amp;"UJPsxX6vxZH-7A8L3WYZ10gGe0gZxe7=w1200|https://lh3.googleusercontent.com/pw/AP1GczMfaohkqGkbo0O2dFC6dcPNsjNcCmG1uSrZ5NXTGdUP8IuryI3MiiVqwjaLTdpaNWMG69nrE6xl-lU00738YGr6LsWxAvSk33I5KDAPkPajCayMbapJ=w1200|https://lh3.googleusercontent.com/pw/AP1GczMW5p8g4iKY"&amp;"EP9wclCBUxJlluuh8vSBegDb8iDPE_cyOF9MJnQXnpD4KH46jQc9N4_XnzFVUbhr0bpxGMu2q-dwpXcUodQU7o5Kz6rma9JlpZVvfDTp=w1200|https://lh3.googleusercontent.com/pw/AP1GczOb7jJzJeIZzl-XysgDy6LSHOBEWL62q5q5NJjZND5ne0hI_QYyAQYCmIIbszd_pRxIKTb6abwJJLFDmqZ3VCfNgzcJQoUw-8TTCBL"&amp;"lUPi-5VspCJMJ=w1200|https://lh3.googleusercontent.com/pw/AP1GczM3roPUhjy1Q36f4qGsY8JQd0Bo1KrqAm5nOo3zq82Xq6l2AgzBko8oUs8KXNY9yu169K2lBolI2VoSyO_3jRFjG-C3EvG-G-kSdTdzOGrxBO0qJQ_H=w1200|https://lh3.googleusercontent.com/pw/AP1GczO2OPygCv9qh0axNuDIganKHZfthc"&amp;"BsHSHLe3AQUa0igDxlz0QxSXHxQah9DFn38Lq0emy21QdUVvXflYCM9Y9BK6CA0siQrYjbsj3SFQ39tLx6AcHH=w1200|https://lh3.googleusercontent.com/pw/AP1GczNCEYd8RcC5L3pe2-5g9JMUjXH2tc2NcGJ47yQIeNt8DbjqnwTMKLXaldQ3hi8Sw94Ehp_GOMd7_RY0XYMkO76ZUxKmJlM9xXuxznsu8BxmWwfaVapt=w120"&amp;"0|https://lh3.googleusercontent.com/pw/AP1GczM4PljThzWF-mvzuwlgAJhd-N0QNpYEX1UkczMUJQuS4WVXf0sJvg_C4tzTnubo6bZ8CKztHT5NYGkReSAKvaUS5veXm4Je8K2Z_L2YO4niZ8nBcHCq=w1200|https://lh3.googleusercontent.com/pw/AP1GczMAze6YMx_q9nJ81Cz3BNOo0ek0bB-71-mHN2L2EyvhX_BS"&amp;"pEMjzuc0_fJ8dgKCUxPiyGWdk5cU5YlbEh_UTKtWQa4zqBnOCXrVZ0iNCy2NRdRP5HTT=w1200|https://lh3.googleusercontent.com/pw/AP1GczMuQxj3ctsqcgkOxw2XDRrnF5q53ODikD1HpqdDVt7rlfpZ1bMil0ylbDVwtOC9EE5U8LpwFOcLvN9t6JsYeREtJXMju3Gp71FHOJmIFlBxahVgvjMT=w1200|https://lh3.goog"&amp;"leusercontent.com/pw/AP1GczPPD2k9dskKLx67OUzsoYY1Zng65k-b3XF0bkabyWmgzBYWn_3OEHHzFfxXYL65ZFpMfsmzU0oUC6jtddQ-p4-BubpjS-cUOWcKAuqW2ICWsrMK7Pzv=w1200|https://lh3.googleusercontent.com/pw/AP1GczPTpZWkBFCmYyZW5IaQsq34k01kSpZIov2x0xNxsgkRwGzAdbcz8YzP1vBDeTxB0l"&amp;"poFfcRvGALlY0fNsc5swKzc34QA6l--7GVvY9aANT7OwbJ5b3P=w1200|https://lh3.googleusercontent.com/pw/AP1GczMcdAlXfTZArBOhmaGje630C2ECgKFBh4c3ddgIAmk_FOsz9nODjqz5M0SFFv9L73tMxFgICBEw-fG_ml73md_ggOIVxNFaHG5GkNBqljAk2Y27FXjc=w1200")</f>
        <v>https://lh3.googleusercontent.com/pw/AP1GczP6fDTQp3UhsVqlgvGv4DTu4rjgGyUtDyaMo2QRP1QVcAN6_mgxhCxNEupjXLQYJQJunZQTE_q2MQEc9ka153EDLeMDlpk5Y5e--L-vWZadDgPxBOD1=w1200|https://lh3.googleusercontent.com/pw/AP1GczNYGtNihx8YPJM1Sxb-2OAYXN2O2eE895EZWHVW_T3RwdxpJGRowb6vt3P4OUBnF3558HTYmqp-lTboO7LJlM0ixjvogcMXWzDgy_rMYUaXArcteLmH=w1200|https://lh3.googleusercontent.com/pw/AP1GczOlzhC0zneMh9OgflcuEcfjJPSBhMX0JGlrBXtMXHsWKukKhSJ16vuoS3ftAHH9VllIguCmhTNGXWAIdJlEwhZSj26tCY_IZnh0tnziJnfSU9vvyBat=w1200|https://lh3.googleusercontent.com/pw/AP1GczNbCWLuZkCJJdKLoFPkdpyaOSuovIimh3mOxh2w2h_O8llLY3Uvwj2c528Fu4lJ_BYXesIoOI-IFVbXls51llZuuR3c_fI1Cf3jjGLxE2BlGsHcTvSj=w1200|https://lh3.googleusercontent.com/pw/AP1GczOawze8JBTIqIMnf0jSMBjNi0NgafZtbhzxDvVGs2gRtLvrWVYbWC9YTo33IY6_hXkr7z4nI2E7BB1pmVCrFdFFhRGgq105JfB3COcfUXNirPE2hXGw=w1200|https://lh3.googleusercontent.com/pw/AP1GczNfYUjzju1VOzCQ2nO3aWVenDcDgsVKlaXlylf3IUEDSwjDnlMu-Ir9IAInBLBDLYBd4Aj0Y7TjCAse_0Xc3XeSOKT_2cjafMIujMXkRyd7NwsJaN13=w1200|https://lh3.googleusercontent.com/pw/AP1GczMcHhSimSwxAT-8Mp3ldwyJBeDq0I3AMZZP0MD-NiFxfpd5-ZqhZIMFX6-U5P-6-sDXCQ6gq-2yI0ZiYZG2BjfRHTrmnmxJB1vOJT1Pe12e1mw2qME-=w1200|https://lh3.googleusercontent.com/pw/AP1GczP1ewLF9cWxCOfgK8LIgBOH_VTYCZ5iHIk7ZzbZmMd3zUrZ-M8p9e4JGhS6Kq_p8GNnuorc66LLfLgQt16HRofxTJBEP8P5Ultmt-qF-ypk3K4rqPz0=w1200|https://lh3.googleusercontent.com/pw/AP1GczMuX2w9PbbXsCqJipg3GI1p_a4jjFIblrKihI4Fqg6FGF8dvKJPJfh7XUGoWQPUL1fI7Uu0w_TpXzy3xbwsN2vm-3c_q_8miC5E5r28L4Hj3e49Pgl3=w1200|https://lh3.googleusercontent.com/pw/AP1GczP1pPgPp5qzkm-KkKiuHSACQi8HZjlGGa9y7_EoOL3OiEOu7_hxOFQ8WlGN2O_w4B0I8YRL7w2aUhljwC_xFjh0DWFYw8LsCQHllxxqHUQK-oPRX0eA=w1200|https://lh3.googleusercontent.com/pw/AP1GczMkNzONyYlMtzWfmh3m6Sdxqud4qe04pIyu2K_Nficn4X-YUPwmq4OGIkwsXBPZe1rLXsNVVUNiX7zXfz8PZhhH05UW0ujR5S0--LiAzSk0hqtRE0Zw=w1200|https://lh3.googleusercontent.com/pw/AP1GczNGTZJUtbwr5Cw1uaFUM46ee2TO7ufyS_KkIltF-uhlyei4VR6QmkbXCFnXtKgqshMx8AEljXIGqQD6EmSGBwkKogNLokxjfC5ZU8RYQeAetWvD7-aT=w1200|https://lh3.googleusercontent.com/pw/AP1GczPJ49mV_YBsvDtGf56eGP3zzno8HidHNvMuOy8EY4GH34B0xqvtqnQNQv5nn3K49yNeFAMxBBw9scLkZRXpnqwCH-UaCRm1cVasHpAPmNL1kBDba3pW=w1200|https://lh3.googleusercontent.com/pw/AP1GczMwJeMxp9DJTeS25LI3aGlSp1Ak_YMRZJvGSAjLf1oILLjApfAf-u4Zv95YQ0DyhCAc9i0nmhAiORCjWBFpFZLAF39dV9K90LYlcBnA0rIb2iqWGxKF=w1200|https://lh3.googleusercontent.com/pw/AP1GczM_K-BHrmmLz8WE_NxEPd8X6Stx8A7RrNA6JiZpPVrRK7qCBKILJBIsq3Tx-85dlOIzZ451ZmkwA_X_GvWTo488AqgP4ez_TGpnew7tmXKOTLD3vGw3=w1200|https://lh3.googleusercontent.com/pw/AP1GczNRj7-7NLahhG523OmiT-iyKMc4M5d5I0PwOUQNfngfkTSYJIOqopxjEgHJJ8-UJ7ZQV4CxeBWUjpcYZSA520OSk6tMl0k5SS9n-wJgHiYY3QgO37qc=w1200|https://lh3.googleusercontent.com/pw/AP1GczMAOvSUwKUGsjcocORCuueT-3RflcLVIuiKYE3uqZn1dolyj_hWcvCUn7iDGRvnfJ-icBlR0mMV5lNoPG6wBpsuNNtEqAlDy9CKUyzNokg2kGTfQLb5=w1200|https://lh3.googleusercontent.com/pw/AP1GczOaT0gaGPoFzAOcjksaCw0DrM7-GYt5Kw682DumgLnbUKE4VUy_8KbLWmDbdN4_YY-zU6NEgStMyHo-utj82j0SFSSHF4l8kQEbbOB5OXZG4uF2uBvj=w1200|https://lh3.googleusercontent.com/pw/AP1GczNVfMAW0OxjXfFyok4RhLX7r1F3VUf78W66NeHN4ZOKWUC4fcDaNuLVwAROlnxtcGcRQRWE2QuL2V5s2CAxF8iMK0i-hU8_1f9Egu5fNe9mSUbWhVyH=w1200|https://lh3.googleusercontent.com/pw/AP1GczP1Tqp-mhRScaBzQF7jmUsHZX0aSPvRsO9I30lvm1qwO-HH7pMblBId7iY6HMi0by85FjgN8TUbvUZz0896it3uOn6Al3weGJ32W3z9wqU1Og6XlmSS=w1200|https://lh3.googleusercontent.com/pw/AP1GczPPZr8XO701ML3nBLWVkbxgNEQsV_VXvs2z3Okze_Irx8nObw-7STWEA8VCcDdy4XvrYJPO2reIB6bwkqo2YvHkMBaKqdD8LH497OfO03djfu-PvsT8=w1200|https://lh3.googleusercontent.com/pw/AP1GczMUATGl25EF4r4SNpb08_6OVHYYWigeK0x6uhyw3bUNJzvoly9N1yz7pF69hvDVVYmA_8jkqZzJkTerAFQ0UUJPsxX6vxZH-7A8L3WYZ10gGe0gZxe7=w1200|https://lh3.googleusercontent.com/pw/AP1GczMfaohkqGkbo0O2dFC6dcPNsjNcCmG1uSrZ5NXTGdUP8IuryI3MiiVqwjaLTdpaNWMG69nrE6xl-lU00738YGr6LsWxAvSk33I5KDAPkPajCayMbapJ=w1200|https://lh3.googleusercontent.com/pw/AP1GczMW5p8g4iKYEP9wclCBUxJlluuh8vSBegDb8iDPE_cyOF9MJnQXnpD4KH46jQc9N4_XnzFVUbhr0bpxGMu2q-dwpXcUodQU7o5Kz6rma9JlpZVvfDTp=w1200|https://lh3.googleusercontent.com/pw/AP1GczOb7jJzJeIZzl-XysgDy6LSHOBEWL62q5q5NJjZND5ne0hI_QYyAQYCmIIbszd_pRxIKTb6abwJJLFDmqZ3VCfNgzcJQoUw-8TTCBLlUPi-5VspCJMJ=w1200|https://lh3.googleusercontent.com/pw/AP1GczM3roPUhjy1Q36f4qGsY8JQd0Bo1KrqAm5nOo3zq82Xq6l2AgzBko8oUs8KXNY9yu169K2lBolI2VoSyO_3jRFjG-C3EvG-G-kSdTdzOGrxBO0qJQ_H=w1200|https://lh3.googleusercontent.com/pw/AP1GczO2OPygCv9qh0axNuDIganKHZfthcBsHSHLe3AQUa0igDxlz0QxSXHxQah9DFn38Lq0emy21QdUVvXflYCM9Y9BK6CA0siQrYjbsj3SFQ39tLx6AcHH=w1200|https://lh3.googleusercontent.com/pw/AP1GczNCEYd8RcC5L3pe2-5g9JMUjXH2tc2NcGJ47yQIeNt8DbjqnwTMKLXaldQ3hi8Sw94Ehp_GOMd7_RY0XYMkO76ZUxKmJlM9xXuxznsu8BxmWwfaVapt=w1200|https://lh3.googleusercontent.com/pw/AP1GczM4PljThzWF-mvzuwlgAJhd-N0QNpYEX1UkczMUJQuS4WVXf0sJvg_C4tzTnubo6bZ8CKztHT5NYGkReSAKvaUS5veXm4Je8K2Z_L2YO4niZ8nBcHCq=w1200|https://lh3.googleusercontent.com/pw/AP1GczMAze6YMx_q9nJ81Cz3BNOo0ek0bB-71-mHN2L2EyvhX_BSpEMjzuc0_fJ8dgKCUxPiyGWdk5cU5YlbEh_UTKtWQa4zqBnOCXrVZ0iNCy2NRdRP5HTT=w1200|https://lh3.googleusercontent.com/pw/AP1GczMuQxj3ctsqcgkOxw2XDRrnF5q53ODikD1HpqdDVt7rlfpZ1bMil0ylbDVwtOC9EE5U8LpwFOcLvN9t6JsYeREtJXMju3Gp71FHOJmIFlBxahVgvjMT=w1200|https://lh3.googleusercontent.com/pw/AP1GczPPD2k9dskKLx67OUzsoYY1Zng65k-b3XF0bkabyWmgzBYWn_3OEHHzFfxXYL65ZFpMfsmzU0oUC6jtddQ-p4-BubpjS-cUOWcKAuqW2ICWsrMK7Pzv=w1200|https://lh3.googleusercontent.com/pw/AP1GczPTpZWkBFCmYyZW5IaQsq34k01kSpZIov2x0xNxsgkRwGzAdbcz8YzP1vBDeTxB0lpoFfcRvGALlY0fNsc5swKzc34QA6l--7GVvY9aANT7OwbJ5b3P=w1200|https://lh3.googleusercontent.com/pw/AP1GczMcdAlXfTZArBOhmaGje630C2ECgKFBh4c3ddgIAmk_FOsz9nODjqz5M0SFFv9L73tMxFgICBEw-fG_ml73md_ggOIVxNFaHG5GkNBqljAk2Y27FXjc=w1200</v>
      </c>
      <c r="AJ316" s="46"/>
      <c r="AK316" s="46"/>
      <c r="AL316" s="46"/>
      <c r="AM316" s="46"/>
      <c r="AN316" s="46"/>
      <c r="AO316" s="46"/>
      <c r="AP316" s="46"/>
      <c r="AQ316" s="46"/>
      <c r="AR316" s="46"/>
      <c r="AS316" s="46"/>
      <c r="AT316" s="46"/>
      <c r="AU316" s="46"/>
      <c r="AV316" s="46"/>
      <c r="AW316" s="46"/>
      <c r="AX316" s="46"/>
      <c r="AY316" s="46"/>
      <c r="AZ316" s="46"/>
      <c r="BA316" s="46"/>
      <c r="BB316" s="46"/>
      <c r="BC316" s="46"/>
      <c r="BD316" s="46"/>
      <c r="BE316" s="46"/>
      <c r="BF316" s="46"/>
      <c r="BG316" s="46"/>
      <c r="BH316" s="46"/>
      <c r="BI316" s="46"/>
      <c r="BJ316" s="46"/>
      <c r="BK316" s="46"/>
      <c r="BL316" s="46"/>
      <c r="BM316" s="46"/>
      <c r="BN316" s="46"/>
      <c r="BO316" s="46"/>
      <c r="BP316" s="46"/>
      <c r="BQ316" s="46"/>
      <c r="BR316" s="46"/>
      <c r="BS316" s="46"/>
      <c r="BT316" s="46"/>
      <c r="BU316" s="46"/>
      <c r="BV316" s="46"/>
      <c r="BW316" s="46"/>
      <c r="BX316" s="46"/>
      <c r="BY316" s="46"/>
      <c r="BZ316" s="46"/>
      <c r="CA316" s="46"/>
      <c r="CB316" s="46"/>
      <c r="CC316" s="46"/>
    </row>
    <row r="317">
      <c r="A317" s="87" t="str">
        <f>IFERROR(__xludf.DUMMYFUNCTION("""COMPUTED_VALUE"""),"808")</f>
        <v>808</v>
      </c>
      <c r="B317" s="46" t="str">
        <f>IFERROR(__xludf.DUMMYFUNCTION("""COMPUTED_VALUE"""),"Oficina amoblada - Centro de negocios - Centro - Cra. 5ta")</f>
        <v>Oficina amoblada - Centro de negocios - Centro - Cra. 5ta</v>
      </c>
      <c r="C317" s="46" t="str">
        <f>IFERROR(__xludf.DUMMYFUNCTION("""COMPUTED_VALUE"""),"Oficina")</f>
        <v>Oficina</v>
      </c>
      <c r="D317" s="46" t="str">
        <f>IFERROR(__xludf.DUMMYFUNCTION("""COMPUTED_VALUE"""),"Centro")</f>
        <v>Centro</v>
      </c>
      <c r="E317" s="46"/>
      <c r="F317" s="90">
        <f>IFERROR(__xludf.DUMMYFUNCTION("""COMPUTED_VALUE"""),2.23035E9)</f>
        <v>2230350000</v>
      </c>
      <c r="G317" s="46" t="str">
        <f>IFERROR(__xludf.DUMMYFUNCTION("""COMPUTED_VALUE"""),"Más de $1.000'000.000")</f>
        <v>Más de $1.000'000.000</v>
      </c>
      <c r="H317" s="46"/>
      <c r="I317" s="46"/>
      <c r="J317" s="46" t="str">
        <f>IFERROR(__xludf.DUMMYFUNCTION("""COMPUTED_VALUE"""),"Centro")</f>
        <v>Centro</v>
      </c>
      <c r="K317" s="87" t="str">
        <f>IFERROR(__xludf.DUMMYFUNCTION("""COMPUTED_VALUE"""),"4")</f>
        <v>4</v>
      </c>
      <c r="L317" s="46">
        <f>IFERROR(__xludf.DUMMYFUNCTION("""COMPUTED_VALUE"""),0.0)</f>
        <v>0</v>
      </c>
      <c r="M317" s="46"/>
      <c r="N317" s="46">
        <f>IFERROR(__xludf.DUMMYFUNCTION("""COMPUTED_VALUE"""),2.0)</f>
        <v>2</v>
      </c>
      <c r="O317" s="46">
        <f>IFERROR(__xludf.DUMMYFUNCTION("""COMPUTED_VALUE"""),2.0)</f>
        <v>2</v>
      </c>
      <c r="P317" s="46">
        <f>IFERROR(__xludf.DUMMYFUNCTION("""COMPUTED_VALUE"""),1.0)</f>
        <v>1</v>
      </c>
      <c r="Q317" s="92">
        <f>IFERROR(__xludf.DUMMYFUNCTION("""COMPUTED_VALUE"""),318.1)</f>
        <v>318.1</v>
      </c>
      <c r="R317" s="92">
        <f>IFERROR(__xludf.DUMMYFUNCTION("""COMPUTED_VALUE"""),318.1)</f>
        <v>318.1</v>
      </c>
      <c r="S317" s="87" t="str">
        <f>IFERROR(__xludf.DUMMYFUNCTION("""COMPUTED_VALUE"""),"Rentabilidad $9,712,075")</f>
        <v>Rentabilidad $9,712,075</v>
      </c>
      <c r="T317" s="46" t="str">
        <f>IFERROR(__xludf.DUMMYFUNCTION("""COMPUTED_VALUE"""),"Neiva")</f>
        <v>Neiva</v>
      </c>
      <c r="U317" s="87" t="str">
        <f>IFERROR(__xludf.DUMMYFUNCTION("""COMPUTED_VALUE"""),"4")</f>
        <v>4</v>
      </c>
      <c r="V317" s="46" t="str">
        <f>IFERROR(__xludf.DUMMYFUNCTION("""COMPUTED_VALUE"""),"1ro.")</f>
        <v>1ro.</v>
      </c>
      <c r="W317" s="46"/>
      <c r="X317" s="46">
        <f>IFERROR(__xludf.DUMMYFUNCTION("""COMPUTED_VALUE"""),0.0)</f>
        <v>0</v>
      </c>
      <c r="Y317" s="46" t="str">
        <f>IFERROR(__xludf.DUMMYFUNCTION("""COMPUTED_VALUE"""),"No tiene")</f>
        <v>No tiene</v>
      </c>
      <c r="Z317" s="90"/>
      <c r="AA317" s="33" t="str">
        <f>IFERROR(__xludf.DUMMYFUNCTION("""COMPUTED_VALUE"""),"19 años")</f>
        <v>19 años</v>
      </c>
      <c r="AB317" s="96" t="str">
        <f>IFERROR(__xludf.DUMMYFUNCTION("""COMPUTED_VALUE"""),"https://photos.app.goo.gl/DYePtSJW9WC7tCoB9")</f>
        <v>https://photos.app.goo.gl/DYePtSJW9WC7tCoB9</v>
      </c>
      <c r="AC317" s="46" t="str">
        <f>IFERROR(__xludf.DUMMYFUNCTION("""COMPUTED_VALUE"""),"Locales en propiedad horizontal ubicados en el primer piso, distribuido en oficinas, totalmente amobladas, con baño para caballero y dama, dos parqueaderos en sótano cubiertos, con acceso en ascensor.")</f>
        <v>Locales en propiedad horizontal ubicados en el primer piso, distribuido en oficinas, totalmente amobladas, con baño para caballero y dama, dos parqueaderos en sótano cubiertos, con acceso en ascensor.</v>
      </c>
      <c r="AD317" s="46" t="str">
        <f>IFERROR(__xludf.DUMMYFUNCTION("""COMPUTED_VALUE"""),"La propiedad horizontal cuenta con planta eléctrica, transformador propio y planta de bombeo. Actualmente el local está generando una renta de $ 9.712.075 + IVA. Edificio inteligente con 7 pisos.")</f>
        <v>La propiedad horizontal cuenta con planta eléctrica, transformador propio y planta de bombeo. Actualmente el local está generando una renta de $ 9.712.075 + IVA. Edificio inteligente con 7 pisos.</v>
      </c>
      <c r="AE317" s="46"/>
      <c r="AF317" s="46">
        <f>IFERROR(__xludf.DUMMYFUNCTION("""COMPUTED_VALUE"""),0.0)</f>
        <v>0</v>
      </c>
      <c r="AG317" s="46"/>
      <c r="AH317" s="46" t="str">
        <f>IFERROR(__xludf.DUMMYFUNCTION("""COMPUTED_VALUE"""),"Aliado")</f>
        <v>Aliado</v>
      </c>
      <c r="AI317" s="92" t="str">
        <f>IFERROR(__xludf.DUMMYFUNCTION("""COMPUTED_VALUE"""),"https://lh3.googleusercontent.com/pw/AP1GczO5OLTP3vhNQYTtQI7LpIWd6Qic5TIUtNdx8T9JlcOzWEsG7iJVsL_XZJBtvc-xtBcuWxCKGDtIKKbnqz4VyXmgGQ9V47cF8Qbh2JNavyenzvzjMH4p=w1200|https://lh3.googleusercontent.com/pw/AP1GczNbCfhHWqqYsp4_vKVVMoaob7-Q-CHUmheeqlNSGtRPU-NDFi"&amp;"nsxEt9YlH5hRUOTAPy1SntD6V1mYlRmQKkjXcMjsIoLtHuh9oBnHwKgbYpCyUb8CsB=w1200|https://lh3.googleusercontent.com/pw/AP1GczOXZXRwgCuBwCl6SeCzO-_aXIeHnMaBiDpHAlr0xHrkBAGpmiabEQy6SBLv1BJYAmjvybLoeiJoxFDnI76SPog5Cz394tRoxr98KXizkmV363Rt_Ws6=w1200|https://lh3.google"&amp;"usercontent.com/pw/AP1GczMGUPwpPpLXGj7GxMfp6IVCExnFdI9Z1C7plMU49ndoSP-wH0G68m8UGvDk54HdnbZMdQmkV9vwR5eoZm5I6OIl5WGZ-R7VbvtyuCHHsrhkSy2ePq-w=w1200|https://lh3.googleusercontent.com/pw/AP1GczMHJrmsncdmf9Ok2_wqayZpza7pxJPHbWgFRYu_5ChqvqkkN_YckuugmCcmv6gbjecp"&amp;"d-gFRvhMG2RVEOBGK9CgZMK6AF252hNG9JvpuJbuo9oVncR1=w1200|https://lh3.googleusercontent.com/pw/AP1GczOuTV72cHVYViDUBp4QCnWR6JDtgznxAS5sc1Bta4ZfjEAQYdWpSueYZIj_ZCWxHrrq0nwLPKrg_Inho16rr1CCmIZOt-P2Sq4jdu1--Qhn4ucZi5I0=w1200|https://lh3.googleusercontent.com/pw"&amp;"/AP1GczM1uQf_6CqEZD7e5N1qxGXz5ompijmfZEHYkEQOuHtvBZt5nOuootFJ4CjmKTlVd-g1pR-rIex1j8ooWYxnKIbSDP2qkr0n88Bjz200xn6o_jH5HMLz=w1200|https://lh3.googleusercontent.com/pw/AP1GczMJu75BC7kY5McmeEIKuK508aVY4AAPz9UT7mwKcwUX8po84_SFZidP90qBLBiBB7VH_CKUIajmR9Aa0e21eb"&amp;"1mwb0bN241Ae_Ljg61uIecChh2n7eW=w1200|https://lh3.googleusercontent.com/pw/AP1GczPqbCEYegD7TfSatTwxhenwr8RFADrf28godVF_VxQvkqJMcooiKrvlBYH0JvP8bFF5qh9D65jYFn71BaNbKArRx6fbBSl7TqWcvk8E-4R_2VQsdvN6=w1200|https://lh3.googleusercontent.com/pw/AP1GczOEHOUMw8VZr"&amp;"5TC-fAmqcxrfg6P4OhKJ4jLXAsduTl48IMHTzXgZx9NKs0y6CPa6WsBG-c9M7US-XC8XWhO932JDSojtnf3UC1KCY2Zi4qkS-rhwaUu=w1200|https://lh3.googleusercontent.com/pw/AP1GczNgT2tC46p-ELghm-55-IORmcw9E_zfKrex0r18up05sOduuNzuJmnZWoURoJJQRtL9F39psqMLhJ56JpNOL0LM92ZCHN6lv8Ejqag2"&amp;"rMpjnvP35Ims=w1200|https://lh3.googleusercontent.com/pw/AP1GczOdWv2pN5w5USiJg9vCofAu-laC0odZg3QuwXOtGIX488KO-iXMdJDzd5yOBxAirA-i7oEu2RkrcyhjKGXReTkoL1AI-xHlgmeJLfuSGiNU0z3wEdYR=w1200|https://lh3.googleusercontent.com/pw/AP1GczOwjY-5z2J74hrRWlwwFd56V1i5cAE"&amp;"fS8s0QbKRB37WTZyK6V11ngwPvv09-ii2ScNfrRVmP86PbixPZdrySOLwngsnUZDmHJatIb0IWjz5l_xXoBny=w1200|https://lh3.googleusercontent.com/pw/AP1GczOoFyRGgf-Y2xgqTSFuho1xzN2zxET7BzNIKDhmQmoK00PPnHFxUbtHtzbIthOMuMZLwtIR6kbr8vtQcU5rrUuwtHr4EzuJqkNdVGwalPbU6tKj0UNo=w1200"&amp;"|https://lh3.googleusercontent.com/pw/AP1GczPevpjp17yQvjK-uBg63_EJmBX6oTN7pbS2aNq-dzw91zX2BgTi1Qxc7pJy_6XByIdyIV6WKe_mqogvEtiZAULUsTDJsyxytB-HJtWQdYUTypDcQ4IH=w1200")</f>
        <v>https://lh3.googleusercontent.com/pw/AP1GczO5OLTP3vhNQYTtQI7LpIWd6Qic5TIUtNdx8T9JlcOzWEsG7iJVsL_XZJBtvc-xtBcuWxCKGDtIKKbnqz4VyXmgGQ9V47cF8Qbh2JNavyenzvzjMH4p=w1200|https://lh3.googleusercontent.com/pw/AP1GczNbCfhHWqqYsp4_vKVVMoaob7-Q-CHUmheeqlNSGtRPU-NDFinsxEt9YlH5hRUOTAPy1SntD6V1mYlRmQKkjXcMjsIoLtHuh9oBnHwKgbYpCyUb8CsB=w1200|https://lh3.googleusercontent.com/pw/AP1GczOXZXRwgCuBwCl6SeCzO-_aXIeHnMaBiDpHAlr0xHrkBAGpmiabEQy6SBLv1BJYAmjvybLoeiJoxFDnI76SPog5Cz394tRoxr98KXizkmV363Rt_Ws6=w1200|https://lh3.googleusercontent.com/pw/AP1GczMGUPwpPpLXGj7GxMfp6IVCExnFdI9Z1C7plMU49ndoSP-wH0G68m8UGvDk54HdnbZMdQmkV9vwR5eoZm5I6OIl5WGZ-R7VbvtyuCHHsrhkSy2ePq-w=w1200|https://lh3.googleusercontent.com/pw/AP1GczMHJrmsncdmf9Ok2_wqayZpza7pxJPHbWgFRYu_5ChqvqkkN_YckuugmCcmv6gbjecpd-gFRvhMG2RVEOBGK9CgZMK6AF252hNG9JvpuJbuo9oVncR1=w1200|https://lh3.googleusercontent.com/pw/AP1GczOuTV72cHVYViDUBp4QCnWR6JDtgznxAS5sc1Bta4ZfjEAQYdWpSueYZIj_ZCWxHrrq0nwLPKrg_Inho16rr1CCmIZOt-P2Sq4jdu1--Qhn4ucZi5I0=w1200|https://lh3.googleusercontent.com/pw/AP1GczM1uQf_6CqEZD7e5N1qxGXz5ompijmfZEHYkEQOuHtvBZt5nOuootFJ4CjmKTlVd-g1pR-rIex1j8ooWYxnKIbSDP2qkr0n88Bjz200xn6o_jH5HMLz=w1200|https://lh3.googleusercontent.com/pw/AP1GczMJu75BC7kY5McmeEIKuK508aVY4AAPz9UT7mwKcwUX8po84_SFZidP90qBLBiBB7VH_CKUIajmR9Aa0e21eb1mwb0bN241Ae_Ljg61uIecChh2n7eW=w1200|https://lh3.googleusercontent.com/pw/AP1GczPqbCEYegD7TfSatTwxhenwr8RFADrf28godVF_VxQvkqJMcooiKrvlBYH0JvP8bFF5qh9D65jYFn71BaNbKArRx6fbBSl7TqWcvk8E-4R_2VQsdvN6=w1200|https://lh3.googleusercontent.com/pw/AP1GczOEHOUMw8VZr5TC-fAmqcxrfg6P4OhKJ4jLXAsduTl48IMHTzXgZx9NKs0y6CPa6WsBG-c9M7US-XC8XWhO932JDSojtnf3UC1KCY2Zi4qkS-rhwaUu=w1200|https://lh3.googleusercontent.com/pw/AP1GczNgT2tC46p-ELghm-55-IORmcw9E_zfKrex0r18up05sOduuNzuJmnZWoURoJJQRtL9F39psqMLhJ56JpNOL0LM92ZCHN6lv8Ejqag2rMpjnvP35Ims=w1200|https://lh3.googleusercontent.com/pw/AP1GczOdWv2pN5w5USiJg9vCofAu-laC0odZg3QuwXOtGIX488KO-iXMdJDzd5yOBxAirA-i7oEu2RkrcyhjKGXReTkoL1AI-xHlgmeJLfuSGiNU0z3wEdYR=w1200|https://lh3.googleusercontent.com/pw/AP1GczOwjY-5z2J74hrRWlwwFd56V1i5cAEfS8s0QbKRB37WTZyK6V11ngwPvv09-ii2ScNfrRVmP86PbixPZdrySOLwngsnUZDmHJatIb0IWjz5l_xXoBny=w1200|https://lh3.googleusercontent.com/pw/AP1GczOoFyRGgf-Y2xgqTSFuho1xzN2zxET7BzNIKDhmQmoK00PPnHFxUbtHtzbIthOMuMZLwtIR6kbr8vtQcU5rrUuwtHr4EzuJqkNdVGwalPbU6tKj0UNo=w1200|https://lh3.googleusercontent.com/pw/AP1GczPevpjp17yQvjK-uBg63_EJmBX6oTN7pbS2aNq-dzw91zX2BgTi1Qxc7pJy_6XByIdyIV6WKe_mqogvEtiZAULUsTDJsyxytB-HJtWQdYUTypDcQ4IH=w1200</v>
      </c>
      <c r="AJ317" s="46"/>
      <c r="AK317" s="46"/>
      <c r="AL317" s="46"/>
      <c r="AM317" s="46"/>
      <c r="AN317" s="46"/>
      <c r="AO317" s="46"/>
      <c r="AP317" s="46"/>
      <c r="AQ317" s="46"/>
      <c r="AR317" s="46"/>
      <c r="AS317" s="46"/>
      <c r="AT317" s="46"/>
      <c r="AU317" s="46"/>
      <c r="AV317" s="46"/>
      <c r="AW317" s="46"/>
      <c r="AX317" s="46"/>
      <c r="AY317" s="46"/>
      <c r="AZ317" s="46"/>
      <c r="BA317" s="46"/>
      <c r="BB317" s="46"/>
      <c r="BC317" s="46"/>
      <c r="BD317" s="46"/>
      <c r="BE317" s="46"/>
      <c r="BF317" s="46"/>
      <c r="BG317" s="46"/>
      <c r="BH317" s="46"/>
      <c r="BI317" s="46"/>
      <c r="BJ317" s="46"/>
      <c r="BK317" s="46"/>
      <c r="BL317" s="46"/>
      <c r="BM317" s="46"/>
      <c r="BN317" s="46"/>
      <c r="BO317" s="46"/>
      <c r="BP317" s="46"/>
      <c r="BQ317" s="46"/>
      <c r="BR317" s="46"/>
      <c r="BS317" s="46"/>
      <c r="BT317" s="46"/>
      <c r="BU317" s="46"/>
      <c r="BV317" s="46"/>
      <c r="BW317" s="46"/>
      <c r="BX317" s="46"/>
      <c r="BY317" s="46"/>
      <c r="BZ317" s="46"/>
      <c r="CA317" s="46"/>
      <c r="CB317" s="46"/>
      <c r="CC317" s="46"/>
    </row>
    <row r="318">
      <c r="A318" s="87" t="str">
        <f>IFERROR(__xludf.DUMMYFUNCTION("""COMPUTED_VALUE"""),"1284")</f>
        <v>1284</v>
      </c>
      <c r="B318" s="46" t="str">
        <f>IFERROR(__xludf.DUMMYFUNCTION("""COMPUTED_VALUE"""),"Casa en conjunto Volterra - Ipanema")</f>
        <v>Casa en conjunto Volterra - Ipanema</v>
      </c>
      <c r="C318" s="46" t="str">
        <f>IFERROR(__xludf.DUMMYFUNCTION("""COMPUTED_VALUE"""),"Casa en conjunto")</f>
        <v>Casa en conjunto</v>
      </c>
      <c r="D318" s="46" t="str">
        <f>IFERROR(__xludf.DUMMYFUNCTION("""COMPUTED_VALUE"""),"Ipanema")</f>
        <v>Ipanema</v>
      </c>
      <c r="E318" s="90" t="str">
        <f>IFERROR(__xludf.DUMMYFUNCTION("""COMPUTED_VALUE"""),"Conjjunto Volterra")</f>
        <v>Conjjunto Volterra</v>
      </c>
      <c r="F318" s="90">
        <f>IFERROR(__xludf.DUMMYFUNCTION("""COMPUTED_VALUE"""),2.1E9)</f>
        <v>2100000000</v>
      </c>
      <c r="G318" s="46" t="str">
        <f>IFERROR(__xludf.DUMMYFUNCTION("""COMPUTED_VALUE"""),"Más de $1.000'000.000")</f>
        <v>Más de $1.000'000.000</v>
      </c>
      <c r="H318" s="46"/>
      <c r="I318" s="46"/>
      <c r="J318" s="46" t="str">
        <f>IFERROR(__xludf.DUMMYFUNCTION("""COMPUTED_VALUE"""),"Oriente")</f>
        <v>Oriente</v>
      </c>
      <c r="K318" s="87"/>
      <c r="L318" s="46">
        <f>IFERROR(__xludf.DUMMYFUNCTION("""COMPUTED_VALUE"""),4.0)</f>
        <v>4</v>
      </c>
      <c r="M318" s="46"/>
      <c r="N318" s="46">
        <f>IFERROR(__xludf.DUMMYFUNCTION("""COMPUTED_VALUE"""),4.0)</f>
        <v>4</v>
      </c>
      <c r="O318" s="46">
        <f>IFERROR(__xludf.DUMMYFUNCTION("""COMPUTED_VALUE"""),2.0)</f>
        <v>2</v>
      </c>
      <c r="P318" s="46">
        <f>IFERROR(__xludf.DUMMYFUNCTION("""COMPUTED_VALUE"""),1.0)</f>
        <v>1</v>
      </c>
      <c r="Q318" s="92">
        <f>IFERROR(__xludf.DUMMYFUNCTION("""COMPUTED_VALUE"""),400.0)</f>
        <v>400</v>
      </c>
      <c r="R318" s="92">
        <f>IFERROR(__xludf.DUMMYFUNCTION("""COMPUTED_VALUE"""),600.0)</f>
        <v>600</v>
      </c>
      <c r="S318" s="87" t="str">
        <f>IFERROR(__xludf.DUMMYFUNCTION("""COMPUTED_VALUE""")," ")</f>
        <v> </v>
      </c>
      <c r="T318" s="46" t="str">
        <f>IFERROR(__xludf.DUMMYFUNCTION("""COMPUTED_VALUE"""),"Neiva")</f>
        <v>Neiva</v>
      </c>
      <c r="U318" s="87" t="str">
        <f>IFERROR(__xludf.DUMMYFUNCTION("""COMPUTED_VALUE"""),"4")</f>
        <v>4</v>
      </c>
      <c r="V318" s="46" t="str">
        <f>IFERROR(__xludf.DUMMYFUNCTION("""COMPUTED_VALUE"""),"Medianera")</f>
        <v>Medianera</v>
      </c>
      <c r="W318" s="46"/>
      <c r="X318" s="46">
        <f>IFERROR(__xludf.DUMMYFUNCTION("""COMPUTED_VALUE"""),4.0)</f>
        <v>4</v>
      </c>
      <c r="Y318" s="46" t="str">
        <f>IFERROR(__xludf.DUMMYFUNCTION("""COMPUTED_VALUE"""),"Privada")</f>
        <v>Privada</v>
      </c>
      <c r="Z318" s="90">
        <f>IFERROR(__xludf.DUMMYFUNCTION("""COMPUTED_VALUE"""),1200000.0)</f>
        <v>1200000</v>
      </c>
      <c r="AA318" s="33" t="str">
        <f>IFERROR(__xludf.DUMMYFUNCTION("""COMPUTED_VALUE"""),"No aplica")</f>
        <v>No aplica</v>
      </c>
      <c r="AB318" s="144" t="str">
        <f>IFERROR(__xludf.DUMMYFUNCTION("""COMPUTED_VALUE"""),"https://photos.app.goo.gl/CQs95GKg41VjFQCt7")</f>
        <v>https://photos.app.goo.gl/CQs95GKg41VjFQCt7</v>
      </c>
      <c r="AC318" s="46" t="str">
        <f>IFERROR(__xludf.DUMMYFUNCTION("""COMPUTED_VALUE"""),"Casa de una planta en conjunto Volterra al oriente de Neiva, 4 alcobas con baños, Vestier privado y aire acondicionado, ventilador y cortinas eléctricas, sala comedor, cocina, sala de tv, estudio, terraza social, piscina y jacuzzi, patio de ropas, gimnasi"&amp;"o, cancha de tenis, cancha de futbol, cancha de squash, parque infantil, sedes sociales, vigilancia las 24 horas. Valor Administración $1.200.000 (2025). Pisos en porcelanato, cerámica antideslizante, fachaleta, cielo raso en Driwall, carpintería metálica"&amp;".")</f>
        <v>Casa de una planta en conjunto Volterra al oriente de Neiva, 4 alcobas con baños, Vestier privado y aire acondicionado, ventilador y cortinas eléctricas, sala comedor, cocina, sala de tv, estudio, terraza social, piscina y jacuzzi, patio de ropas, gimnasio, cancha de tenis, cancha de futbol, cancha de squash, parque infantil, sedes sociales, vigilancia las 24 horas. Valor Administración $1.200.000 (2025). Pisos en porcelanato, cerámica antideslizante, fachaleta, cielo raso en Driwall, carpintería metálica.</v>
      </c>
      <c r="AD318" s="46" t="str">
        <f>IFERROR(__xludf.DUMMYFUNCTION("""COMPUTED_VALUE"""),"Casa bien ubicada con buenos acabados. Piscina  + jacuzzi privada")</f>
        <v>Casa bien ubicada con buenos acabados. Piscina  + jacuzzi privada</v>
      </c>
      <c r="AE318" s="46"/>
      <c r="AF318" s="46" t="str">
        <f>IFERROR(__xludf.DUMMYFUNCTION("""COMPUTED_VALUE"""),"integral")</f>
        <v>integral</v>
      </c>
      <c r="AG318" s="46"/>
      <c r="AH318" s="46" t="str">
        <f>IFERROR(__xludf.DUMMYFUNCTION("""COMPUTED_VALUE"""),"Aliado")</f>
        <v>Aliado</v>
      </c>
      <c r="AI318" s="92" t="str">
        <f>IFERROR(__xludf.DUMMYFUNCTION("""COMPUTED_VALUE"""),"https://lh3.googleusercontent.com/pw/AP1GczMFd5ZoJC_cJVodIK3TK-nv8Lp2LVoZ24jpLvglkJK0pBnS_zggC7zZ1N_V4RGSdFT3Cr6hG5m5Nq3j_hJ274kG6tHdr-Vd4g6CaO1F3_yJ5c_c9lsq=w1200|https://lh3.googleusercontent.com/pw/AP1GczN0OJVsvlOVBAQyfwP7FgYkhJjYnmbpQVeRFg-widg90m_SpL"&amp;"kJZqq2nNZVw1leGUVhZdOI9kK77h97q_Ki4C4OWDqMYY7TkR2JLPuT4ljcaOzKPAGO=w1200|https://lh3.googleusercontent.com/pw/AP1GczOeh2Ac8mN9Uplvby5REJRzt7OqMljrHvUlyspVUKfMzcPYsvVIQLSxLwTT6LlsaMSqO3PnLaU1gy-uON3h5cLrh_Jgcx490DCD5QbMUlf3P43F31YQ=w1200|https://lh3.google"&amp;"usercontent.com/pw/AP1GczMHx_u07w0C9tj7w_OosWl0LEEurcoHDpdZVsuFxRM0zvVne_eiOq_etM0uGfm0ftv38cl5YeJ4jHyyAdFT8Uzs1sZMH0q9tZ8ZXncCO-loHi-Vi5Ey=w1200|https://lh3.googleusercontent.com/pw/AP1GczMyiIiNRZBnqT6LoJEiFv0OAH4IuljGZ_eDE5yPdqDUHvsEJBl5SZypnwOxdNd1tMp3"&amp;"-RpkIKwnxI8oXLrs81LkKFPnKamOsih6ta1CzeyUnD6jPkJS=w1200|https://lh3.googleusercontent.com/pw/AP1GczOoJ-vvxlT-V8MkEoabHfcyVkAAkRO9grpkyp2zrtrPiOHs3GQJJNiBqsSJu4AhJh2G2wQLkZhzD6K7gmwKWW-sVmERtxijktGSqYcDoy1cvBsF-djU=w1200|https://lh3.googleusercontent.com/pw"&amp;"/AP1GczM1WBRibHQLpmvamG3IuAUKCdx6_boJQKtEUQj45bJ2mKzuSJfFfIrLHbJ0Y6iSIJzckIWtm17Q-q-L9pbR-X7wSiFn8Wkk6_av3UXdli6V5shS7IIo=w1200|https://lh3.googleusercontent.com/pw/AP1GczP6sBv02IMrR1_KstFXswfWKpHwpuovmg5OtdV0clNwaKEkvt7k9rga1_YqOQ-w0a9wyxV1GAcEVwWMA5IeZI"&amp;"pVqHXsWr8Y1ha8iYD0InhmMFMTZaXq=w1200|https://lh3.googleusercontent.com/pw/AP1GczOxgGvfq-4yYJyqycp-Sfg7GqPmW3t8eLMyrdlDSaHw8LutQNc4Z_-inVNZ_gg7s9VeojWWS_gpY9QB8bF2mBl1EZWxevDihpbcyjvJzz77gO1OC9Dc=w1200|https://lh3.googleusercontent.com/pw/AP1GczMyJsd61IVQ3"&amp;"TgxjI3jDpIcjlYxtj1MH1e_-dGcUpOkZpCvE2xaZEbABlypuAo6WqNF4zrGi8vB3dw54A6lBOIR0hnwsxyGITzxbvSGV18NEWPyD3qj=w1200|https://lh3.googleusercontent.com/pw/AP1GczOVM5DXlqHdldKZ_q1vR5lDwwAeappdXsQNbTZb65iSwjxv-gWLvWEjjGbBRjFdQXB438D9P6yyTukeq9D1dEuUfltkFwObu3WWIvu1"&amp;"ChfXaA-qNh8i=w1200|https://lh3.googleusercontent.com/pw/AP1GczPQi5d89tFHL1QVR17ygx5C0gbjQa1zbfipG-zssu2o9pDCOCEqJ6BMydkIOVix7QZE0QbLjV14EenE7rv1lGOTpiLuMd-rHjuM3v_BgaGXk1Oujpgs=w1200|https://lh3.googleusercontent.com/pw/AP1GczPwJS3O36u2dXnQh325aFKuqwlxw0b"&amp;"5msSUXk7pBT-E4jfUq9wzmAQqQf0uC1g3UdzqGS5eoYma2UMU5g6nU2YBlMekw-QuN1_tpIjolufB5PH_HNWN=w1200|https://lh3.googleusercontent.com/pw/AP1GczOF5F_KIsSR9LOLgY6EfRIgXWbsZUJsCpriU07goAYCOtHbpho75_GIGZO6RnFBaif-JNsyz-M3HFy38frCVqmRMBAqGgtWmbJ4E93qf3H-S2WpjFj9=w1200"&amp;"|https://lh3.googleusercontent.com/pw/AP1GczPHuRKYMA0bHMvtLIZHLDnqXq_5RxCLyPqtzZC4qZGul40jjGq3Xb2wJZoQfv6YkCr7KwB3Nf5XeJZAxFRyfQLZ-Rm4FRUBlR55Hq1PVscEI4pnDPCH=w1200|https://lh3.googleusercontent.com/pw/AP1GczPckWu9OrxnYBLnlGcaPtsbU7PoD5lcZ6cBW3TcTSNf9dil1"&amp;"xehMLHljDxiVDQKBB7VUiUjGqugmznTE_W7KMavCYRgAt-1QT2FdW5Dhi6PXbONj-GM=w1200|https://lh3.googleusercontent.com/pw/AP1GczOMzZg0vw1gCWeVaEqU623vr_pogJZjKABprVV02XeiB3eqc2zSnxVpI9XmicG3EY4Bo5i9K_S3hjQsaCBC7QDGj9XrjCmFQLlmgqP_L7rglrhwJw1U=w1200|https://lh3.googl"&amp;"eusercontent.com/pw/AP1GczMVYeP11ruhyuTyuwhVd2tWVuWQfDtSVnkeKdDfBLddfcx5Pl_uokH5vM2375hJN6wupwy4q_HdRoOBvSVrmcyLnbEgDWJZtGuVMPFYIWw1jKMRhELm=w1200|https://lh3.googleusercontent.com/pw/AP1GczPYSxf8kc5ecjzqKsNsL8CR1yePrYzqrnzlPn9LamLHPiMn87_lGdyoXzGZ28MKSgu"&amp;"_XbaB7f6FcLYmLqYGYpxqZ33ekvH45s1A16cJ3264L8Ra63xk=w1200|https://lh3.googleusercontent.com/pw/AP1GczOXil3WxL7FcX1--1XbVl5H-a2Z_ZaqkH48IjzxGsnlGtFaDm22ro82igwnEoEGtLHkfFc48-FyEmeSo7KCKOsVpBMxjJtVZQqm1-k605MG9GPZaY3G=w1200|https://lh3.googleusercontent.com/p"&amp;"w/AP1GczPggDT_tj7qoAca3h4Fpe-SVDuIUnr8elrgWThO9TPkOpgmiivyJSySFRt-3qjF1Te3sNsdxQNqSIBY2vyS-j6vjt_NSTQkusnHsR6A2c1kwh2Vz73x=w1200|https://lh3.googleusercontent.com/pw/AP1GczM8kHv8UQC5yrLg9KPLVxu3UKlX1lp4jXIciHx62QjSG6FL905385F1Cd-2Z6_-zTwvZutg2tfSengUiXdou"&amp;"MqTvS-pIZidVmq4Ao0D4KfuDTVKlpmI=w1200|https://lh3.googleusercontent.com/pw/AP1GczN3U1a7kBGHI4V2klb0DOjbMVNonCVtxwAvp8ExWn8nB5NqQ0k5w2IS6_zAA8bvmaXWZsx4DIRW6SnE8RyVGHuhwvxPmPIMB24LIFOzjpnrZR6HPD_V=w1200|https://lh3.googleusercontent.com/pw/AP1GczO7lmDnLqdH"&amp;"OWHwXDlcR-vkIWvwAApWkX3yCEvMq1kG23vTu6ugyEfQyYnVvznp-yRSe0apwPnmXD--278eNCFCX20oFk232GOxhv4NjFFZ30G82tMs=w1200|https://lh3.googleusercontent.com/pw/AP1GczOeh1HxjNya0_zMiTlUNNv1Ka8zIFJc34FiCxIAImWNeoZziBNzZsYB49NQJRIb-9LyvpWAT63frs-zPAg-xKv1NvbMbU6cmUgmVGh"&amp;"1OQQFh4fmOxx4=w1200|https://lh3.googleusercontent.com/pw/AP1GczMYmrzkFDHbiNaOGYMudBH_BzER_r6hVdTp2kZQDHhFiNB_sjp6b25iKdSIsTFbopQmKV7vI6_dC3XS6O4YPyHCb0IGK6y12JvVkRXtEfDvBWkT7eo8=w1200|https://lh3.googleusercontent.com/pw/AP1GczPqlwcYtryRIh6NMSRSZIwNOxTCUH"&amp;"sLWhQsI2t7AuDhfOZK9Kv1r1QyctDMnGq80UxkJl_GdWm7QdkGc9u1ZDTFmQLD1qE-JfB07fAzZ-YYoooEvVvt=w1200|https://lh3.googleusercontent.com/pw/AP1GczNptX7S1QZABEIV2DuOrpbZgKbd6xDdcCoJ0Oh3CvfUimwIcj1arU_a5j2hu0RHuU9dJRY69wuF7nCZBlF6cOJwLKcGYi36O9QOph5fP9dr7HtqccJp=w120"&amp;"0|https://lh3.googleusercontent.com/pw/AP1GczPj4BuD6NkcQiYwmCVrmLLL20qp83306okCzwamshUuc7ksESLJjSMO054t0Cc1jX1LqiyB4fEJPEeaJz5RKgipg-RNj8SH2G7BWhB1HZTXjCWKqre7=w1200|https://lh3.googleusercontent.com/pw/AP1GczO8-3M5VxuRGQaWUbxlICJdm89xFSa0aGUFZ4Zfr-gx5n_j"&amp;"OuYrE5ugoqKO6J_pdG9RWG35-cfbmIt5wNwX9HjxFXpoVMo6UUeQAQFHHO83ATgkc_4h=w1200|https://lh3.googleusercontent.com/pw/AP1GczMtTktEw_LzNY8UbcDCq1ahv34XPZ2VzZ15XeniEyj1A0mhdYeP08woru50_1pRPbPxdAkjyIx09RipLSLBOFLxNQE7e_NNW6OUwisHRqXxXEYC352N=w1200|https://lh3.goog"&amp;"leusercontent.com/pw/AP1GczPK-FJIobUBwcrPq6rLiOBPBnT09VWXikjvf1_A1tHEuqzX5rqEfkXQ8sqZUAUaUpZVFVzXFJV_D7-ibGkGu1sJvDW9TF1ULalCOsM1qFA4GPe-l_4F=w1200|https://lh3.googleusercontent.com/pw/AP1GczNW179P6NZLPpPgVgoiuom9rmbQT7IDLSWq1AdQo28EjIVauAGIf52j4g_Nsu1OJ1"&amp;"ulv-TGN7vaDwWCDA2Sih9wMjLHqTc0wKWTC8BXUCp3OVFKjvCp=w1200|https://lh3.googleusercontent.com/pw/AP1GczNU6Xbm_9i_gKZwIMh0ZN3PUFqrVuY5ovbhLHOBf_Psvl6Dv3zNs2RQFXaLQd1lBTrkDOOQlEOfpQXgUvA8XWcgr4oKg6CIuPx7snNlUNJcdF9tWgAr=w1200|https://lh3.googleusercontent.com/"&amp;"pw/AP1GczPNOf8ezTGPO1uJDRAac_oRYHsINgosKjrETEgUlWzEC6rnH4w6niEMPXmQyHXsQ5sZ1_3ZDdb1y2MH8Yvm0GUknqjx10K70c-_4590uikPoJdMTpAM=w1200|https://lh3.googleusercontent.com/pw/AP1GczPF37X1hfH1iAVCeTMeCB1xjv6qKdBTMuw5dKDgEdTXgTAl5sLwnv18oJJYolm779O04ZA9G5cAH4lkp-vr"&amp;"inXnt019A7xr-0D5PHZudQ0qfltEW_UT=w1200|https://lh3.googleusercontent.com/pw/AP1GczNpu70W9revAXhI3hBQe-1JBhv8J59RjNVauEJAeOmwKmW0iE485NB0bx-7hYhPgISQuF96LSM1g75hzXAGZm6DpGvMjqKMU86NvyQDjqgYjFDYpH_m=w1200")</f>
        <v>https://lh3.googleusercontent.com/pw/AP1GczMFd5ZoJC_cJVodIK3TK-nv8Lp2LVoZ24jpLvglkJK0pBnS_zggC7zZ1N_V4RGSdFT3Cr6hG5m5Nq3j_hJ274kG6tHdr-Vd4g6CaO1F3_yJ5c_c9lsq=w1200|https://lh3.googleusercontent.com/pw/AP1GczN0OJVsvlOVBAQyfwP7FgYkhJjYnmbpQVeRFg-widg90m_SpLkJZqq2nNZVw1leGUVhZdOI9kK77h97q_Ki4C4OWDqMYY7TkR2JLPuT4ljcaOzKPAGO=w1200|https://lh3.googleusercontent.com/pw/AP1GczOeh2Ac8mN9Uplvby5REJRzt7OqMljrHvUlyspVUKfMzcPYsvVIQLSxLwTT6LlsaMSqO3PnLaU1gy-uON3h5cLrh_Jgcx490DCD5QbMUlf3P43F31YQ=w1200|https://lh3.googleusercontent.com/pw/AP1GczMHx_u07w0C9tj7w_OosWl0LEEurcoHDpdZVsuFxRM0zvVne_eiOq_etM0uGfm0ftv38cl5YeJ4jHyyAdFT8Uzs1sZMH0q9tZ8ZXncCO-loHi-Vi5Ey=w1200|https://lh3.googleusercontent.com/pw/AP1GczMyiIiNRZBnqT6LoJEiFv0OAH4IuljGZ_eDE5yPdqDUHvsEJBl5SZypnwOxdNd1tMp3-RpkIKwnxI8oXLrs81LkKFPnKamOsih6ta1CzeyUnD6jPkJS=w1200|https://lh3.googleusercontent.com/pw/AP1GczOoJ-vvxlT-V8MkEoabHfcyVkAAkRO9grpkyp2zrtrPiOHs3GQJJNiBqsSJu4AhJh2G2wQLkZhzD6K7gmwKWW-sVmERtxijktGSqYcDoy1cvBsF-djU=w1200|https://lh3.googleusercontent.com/pw/AP1GczM1WBRibHQLpmvamG3IuAUKCdx6_boJQKtEUQj45bJ2mKzuSJfFfIrLHbJ0Y6iSIJzckIWtm17Q-q-L9pbR-X7wSiFn8Wkk6_av3UXdli6V5shS7IIo=w1200|https://lh3.googleusercontent.com/pw/AP1GczP6sBv02IMrR1_KstFXswfWKpHwpuovmg5OtdV0clNwaKEkvt7k9rga1_YqOQ-w0a9wyxV1GAcEVwWMA5IeZIpVqHXsWr8Y1ha8iYD0InhmMFMTZaXq=w1200|https://lh3.googleusercontent.com/pw/AP1GczOxgGvfq-4yYJyqycp-Sfg7GqPmW3t8eLMyrdlDSaHw8LutQNc4Z_-inVNZ_gg7s9VeojWWS_gpY9QB8bF2mBl1EZWxevDihpbcyjvJzz77gO1OC9Dc=w1200|https://lh3.googleusercontent.com/pw/AP1GczMyJsd61IVQ3TgxjI3jDpIcjlYxtj1MH1e_-dGcUpOkZpCvE2xaZEbABlypuAo6WqNF4zrGi8vB3dw54A6lBOIR0hnwsxyGITzxbvSGV18NEWPyD3qj=w1200|https://lh3.googleusercontent.com/pw/AP1GczOVM5DXlqHdldKZ_q1vR5lDwwAeappdXsQNbTZb65iSwjxv-gWLvWEjjGbBRjFdQXB438D9P6yyTukeq9D1dEuUfltkFwObu3WWIvu1ChfXaA-qNh8i=w1200|https://lh3.googleusercontent.com/pw/AP1GczPQi5d89tFHL1QVR17ygx5C0gbjQa1zbfipG-zssu2o9pDCOCEqJ6BMydkIOVix7QZE0QbLjV14EenE7rv1lGOTpiLuMd-rHjuM3v_BgaGXk1Oujpgs=w1200|https://lh3.googleusercontent.com/pw/AP1GczPwJS3O36u2dXnQh325aFKuqwlxw0b5msSUXk7pBT-E4jfUq9wzmAQqQf0uC1g3UdzqGS5eoYma2UMU5g6nU2YBlMekw-QuN1_tpIjolufB5PH_HNWN=w1200|https://lh3.googleusercontent.com/pw/AP1GczOF5F_KIsSR9LOLgY6EfRIgXWbsZUJsCpriU07goAYCOtHbpho75_GIGZO6RnFBaif-JNsyz-M3HFy38frCVqmRMBAqGgtWmbJ4E93qf3H-S2WpjFj9=w1200|https://lh3.googleusercontent.com/pw/AP1GczPHuRKYMA0bHMvtLIZHLDnqXq_5RxCLyPqtzZC4qZGul40jjGq3Xb2wJZoQfv6YkCr7KwB3Nf5XeJZAxFRyfQLZ-Rm4FRUBlR55Hq1PVscEI4pnDPCH=w1200|https://lh3.googleusercontent.com/pw/AP1GczPckWu9OrxnYBLnlGcaPtsbU7PoD5lcZ6cBW3TcTSNf9dil1xehMLHljDxiVDQKBB7VUiUjGqugmznTE_W7KMavCYRgAt-1QT2FdW5Dhi6PXbONj-GM=w1200|https://lh3.googleusercontent.com/pw/AP1GczOMzZg0vw1gCWeVaEqU623vr_pogJZjKABprVV02XeiB3eqc2zSnxVpI9XmicG3EY4Bo5i9K_S3hjQsaCBC7QDGj9XrjCmFQLlmgqP_L7rglrhwJw1U=w1200|https://lh3.googleusercontent.com/pw/AP1GczMVYeP11ruhyuTyuwhVd2tWVuWQfDtSVnkeKdDfBLddfcx5Pl_uokH5vM2375hJN6wupwy4q_HdRoOBvSVrmcyLnbEgDWJZtGuVMPFYIWw1jKMRhELm=w1200|https://lh3.googleusercontent.com/pw/AP1GczPYSxf8kc5ecjzqKsNsL8CR1yePrYzqrnzlPn9LamLHPiMn87_lGdyoXzGZ28MKSgu_XbaB7f6FcLYmLqYGYpxqZ33ekvH45s1A16cJ3264L8Ra63xk=w1200|https://lh3.googleusercontent.com/pw/AP1GczOXil3WxL7FcX1--1XbVl5H-a2Z_ZaqkH48IjzxGsnlGtFaDm22ro82igwnEoEGtLHkfFc48-FyEmeSo7KCKOsVpBMxjJtVZQqm1-k605MG9GPZaY3G=w1200|https://lh3.googleusercontent.com/pw/AP1GczPggDT_tj7qoAca3h4Fpe-SVDuIUnr8elrgWThO9TPkOpgmiivyJSySFRt-3qjF1Te3sNsdxQNqSIBY2vyS-j6vjt_NSTQkusnHsR6A2c1kwh2Vz73x=w1200|https://lh3.googleusercontent.com/pw/AP1GczM8kHv8UQC5yrLg9KPLVxu3UKlX1lp4jXIciHx62QjSG6FL905385F1Cd-2Z6_-zTwvZutg2tfSengUiXdouMqTvS-pIZidVmq4Ao0D4KfuDTVKlpmI=w1200|https://lh3.googleusercontent.com/pw/AP1GczN3U1a7kBGHI4V2klb0DOjbMVNonCVtxwAvp8ExWn8nB5NqQ0k5w2IS6_zAA8bvmaXWZsx4DIRW6SnE8RyVGHuhwvxPmPIMB24LIFOzjpnrZR6HPD_V=w1200|https://lh3.googleusercontent.com/pw/AP1GczO7lmDnLqdHOWHwXDlcR-vkIWvwAApWkX3yCEvMq1kG23vTu6ugyEfQyYnVvznp-yRSe0apwPnmXD--278eNCFCX20oFk232GOxhv4NjFFZ30G82tMs=w1200|https://lh3.googleusercontent.com/pw/AP1GczOeh1HxjNya0_zMiTlUNNv1Ka8zIFJc34FiCxIAImWNeoZziBNzZsYB49NQJRIb-9LyvpWAT63frs-zPAg-xKv1NvbMbU6cmUgmVGh1OQQFh4fmOxx4=w1200|https://lh3.googleusercontent.com/pw/AP1GczMYmrzkFDHbiNaOGYMudBH_BzER_r6hVdTp2kZQDHhFiNB_sjp6b25iKdSIsTFbopQmKV7vI6_dC3XS6O4YPyHCb0IGK6y12JvVkRXtEfDvBWkT7eo8=w1200|https://lh3.googleusercontent.com/pw/AP1GczPqlwcYtryRIh6NMSRSZIwNOxTCUHsLWhQsI2t7AuDhfOZK9Kv1r1QyctDMnGq80UxkJl_GdWm7QdkGc9u1ZDTFmQLD1qE-JfB07fAzZ-YYoooEvVvt=w1200|https://lh3.googleusercontent.com/pw/AP1GczNptX7S1QZABEIV2DuOrpbZgKbd6xDdcCoJ0Oh3CvfUimwIcj1arU_a5j2hu0RHuU9dJRY69wuF7nCZBlF6cOJwLKcGYi36O9QOph5fP9dr7HtqccJp=w1200|https://lh3.googleusercontent.com/pw/AP1GczPj4BuD6NkcQiYwmCVrmLLL20qp83306okCzwamshUuc7ksESLJjSMO054t0Cc1jX1LqiyB4fEJPEeaJz5RKgipg-RNj8SH2G7BWhB1HZTXjCWKqre7=w1200|https://lh3.googleusercontent.com/pw/AP1GczO8-3M5VxuRGQaWUbxlICJdm89xFSa0aGUFZ4Zfr-gx5n_jOuYrE5ugoqKO6J_pdG9RWG35-cfbmIt5wNwX9HjxFXpoVMo6UUeQAQFHHO83ATgkc_4h=w1200|https://lh3.googleusercontent.com/pw/AP1GczMtTktEw_LzNY8UbcDCq1ahv34XPZ2VzZ15XeniEyj1A0mhdYeP08woru50_1pRPbPxdAkjyIx09RipLSLBOFLxNQE7e_NNW6OUwisHRqXxXEYC352N=w1200|https://lh3.googleusercontent.com/pw/AP1GczPK-FJIobUBwcrPq6rLiOBPBnT09VWXikjvf1_A1tHEuqzX5rqEfkXQ8sqZUAUaUpZVFVzXFJV_D7-ibGkGu1sJvDW9TF1ULalCOsM1qFA4GPe-l_4F=w1200|https://lh3.googleusercontent.com/pw/AP1GczNW179P6NZLPpPgVgoiuom9rmbQT7IDLSWq1AdQo28EjIVauAGIf52j4g_Nsu1OJ1ulv-TGN7vaDwWCDA2Sih9wMjLHqTc0wKWTC8BXUCp3OVFKjvCp=w1200|https://lh3.googleusercontent.com/pw/AP1GczNU6Xbm_9i_gKZwIMh0ZN3PUFqrVuY5ovbhLHOBf_Psvl6Dv3zNs2RQFXaLQd1lBTrkDOOQlEOfpQXgUvA8XWcgr4oKg6CIuPx7snNlUNJcdF9tWgAr=w1200|https://lh3.googleusercontent.com/pw/AP1GczPNOf8ezTGPO1uJDRAac_oRYHsINgosKjrETEgUlWzEC6rnH4w6niEMPXmQyHXsQ5sZ1_3ZDdb1y2MH8Yvm0GUknqjx10K70c-_4590uikPoJdMTpAM=w1200|https://lh3.googleusercontent.com/pw/AP1GczPF37X1hfH1iAVCeTMeCB1xjv6qKdBTMuw5dKDgEdTXgTAl5sLwnv18oJJYolm779O04ZA9G5cAH4lkp-vrinXnt019A7xr-0D5PHZudQ0qfltEW_UT=w1200|https://lh3.googleusercontent.com/pw/AP1GczNpu70W9revAXhI3hBQe-1JBhv8J59RjNVauEJAeOmwKmW0iE485NB0bx-7hYhPgISQuF96LSM1g75hzXAGZm6DpGvMjqKMU86NvyQDjqgYjFDYpH_m=w1200</v>
      </c>
      <c r="AJ318" s="46"/>
      <c r="AK318" s="46"/>
      <c r="AL318" s="46"/>
      <c r="AM318" s="46"/>
      <c r="AN318" s="46"/>
      <c r="AO318" s="46"/>
      <c r="AP318" s="46"/>
      <c r="AQ318" s="46"/>
      <c r="AR318" s="46"/>
      <c r="AS318" s="46"/>
      <c r="AT318" s="46"/>
      <c r="AU318" s="46"/>
      <c r="AV318" s="46"/>
      <c r="AW318" s="46"/>
      <c r="AX318" s="46"/>
      <c r="AY318" s="46"/>
      <c r="AZ318" s="46"/>
      <c r="BA318" s="46"/>
      <c r="BB318" s="46"/>
      <c r="BC318" s="46"/>
      <c r="BD318" s="46"/>
      <c r="BE318" s="46"/>
      <c r="BF318" s="46"/>
      <c r="BG318" s="46"/>
      <c r="BH318" s="46"/>
      <c r="BI318" s="46"/>
      <c r="BJ318" s="46"/>
      <c r="BK318" s="46"/>
      <c r="BL318" s="46"/>
      <c r="BM318" s="46"/>
      <c r="BN318" s="46"/>
      <c r="BO318" s="46"/>
      <c r="BP318" s="46"/>
      <c r="BQ318" s="46"/>
      <c r="BR318" s="46"/>
      <c r="BS318" s="46"/>
      <c r="BT318" s="46"/>
      <c r="BU318" s="46"/>
      <c r="BV318" s="46"/>
      <c r="BW318" s="46"/>
      <c r="BX318" s="46"/>
      <c r="BY318" s="46"/>
      <c r="BZ318" s="46"/>
      <c r="CA318" s="46"/>
      <c r="CB318" s="46"/>
      <c r="CC318" s="46"/>
    </row>
    <row r="319">
      <c r="A319" s="87" t="str">
        <f>IFERROR(__xludf.DUMMYFUNCTION("""COMPUTED_VALUE"""),"809")</f>
        <v>809</v>
      </c>
      <c r="B319" s="46" t="str">
        <f>IFERROR(__xludf.DUMMYFUNCTION("""COMPUTED_VALUE"""),"Oficina amoblada - Centro de negocios - Centro - Cra. 5ta")</f>
        <v>Oficina amoblada - Centro de negocios - Centro - Cra. 5ta</v>
      </c>
      <c r="C319" s="46" t="str">
        <f>IFERROR(__xludf.DUMMYFUNCTION("""COMPUTED_VALUE"""),"Oficina")</f>
        <v>Oficina</v>
      </c>
      <c r="D319" s="46" t="str">
        <f>IFERROR(__xludf.DUMMYFUNCTION("""COMPUTED_VALUE"""),"Centro")</f>
        <v>Centro</v>
      </c>
      <c r="E319" s="46"/>
      <c r="F319" s="90">
        <f>IFERROR(__xludf.DUMMYFUNCTION("""COMPUTED_VALUE"""),1.87878E9)</f>
        <v>1878780000</v>
      </c>
      <c r="G319" s="46" t="str">
        <f>IFERROR(__xludf.DUMMYFUNCTION("""COMPUTED_VALUE"""),"Más de $1.000'000.000")</f>
        <v>Más de $1.000'000.000</v>
      </c>
      <c r="H319" s="46"/>
      <c r="I319" s="46"/>
      <c r="J319" s="46" t="str">
        <f>IFERROR(__xludf.DUMMYFUNCTION("""COMPUTED_VALUE"""),"Centro")</f>
        <v>Centro</v>
      </c>
      <c r="K319" s="87" t="str">
        <f>IFERROR(__xludf.DUMMYFUNCTION("""COMPUTED_VALUE"""),"4")</f>
        <v>4</v>
      </c>
      <c r="L319" s="46">
        <f>IFERROR(__xludf.DUMMYFUNCTION("""COMPUTED_VALUE"""),0.0)</f>
        <v>0</v>
      </c>
      <c r="M319" s="46"/>
      <c r="N319" s="46">
        <f>IFERROR(__xludf.DUMMYFUNCTION("""COMPUTED_VALUE"""),2.0)</f>
        <v>2</v>
      </c>
      <c r="O319" s="46">
        <f>IFERROR(__xludf.DUMMYFUNCTION("""COMPUTED_VALUE"""),2.0)</f>
        <v>2</v>
      </c>
      <c r="P319" s="46">
        <f>IFERROR(__xludf.DUMMYFUNCTION("""COMPUTED_VALUE"""),2.0)</f>
        <v>2</v>
      </c>
      <c r="Q319" s="92">
        <f>IFERROR(__xludf.DUMMYFUNCTION("""COMPUTED_VALUE"""),313.1)</f>
        <v>313.1</v>
      </c>
      <c r="R319" s="92">
        <f>IFERROR(__xludf.DUMMYFUNCTION("""COMPUTED_VALUE"""),313.1)</f>
        <v>313.1</v>
      </c>
      <c r="S319" s="87" t="str">
        <f>IFERROR(__xludf.DUMMYFUNCTION("""COMPUTED_VALUE"""),"Rentabilidad $12,549,439")</f>
        <v>Rentabilidad $12,549,439</v>
      </c>
      <c r="T319" s="46" t="str">
        <f>IFERROR(__xludf.DUMMYFUNCTION("""COMPUTED_VALUE"""),"Neiva")</f>
        <v>Neiva</v>
      </c>
      <c r="U319" s="87" t="str">
        <f>IFERROR(__xludf.DUMMYFUNCTION("""COMPUTED_VALUE"""),"4")</f>
        <v>4</v>
      </c>
      <c r="V319" s="46" t="str">
        <f>IFERROR(__xludf.DUMMYFUNCTION("""COMPUTED_VALUE"""),"2do.")</f>
        <v>2do.</v>
      </c>
      <c r="W319" s="46"/>
      <c r="X319" s="46">
        <f>IFERROR(__xludf.DUMMYFUNCTION("""COMPUTED_VALUE"""),0.0)</f>
        <v>0</v>
      </c>
      <c r="Y319" s="46" t="str">
        <f>IFERROR(__xludf.DUMMYFUNCTION("""COMPUTED_VALUE"""),"No tiene")</f>
        <v>No tiene</v>
      </c>
      <c r="Z319" s="90"/>
      <c r="AA319" s="33" t="str">
        <f>IFERROR(__xludf.DUMMYFUNCTION("""COMPUTED_VALUE"""),"12 años")</f>
        <v>12 años</v>
      </c>
      <c r="AB319" s="96" t="str">
        <f>IFERROR(__xludf.DUMMYFUNCTION("""COMPUTED_VALUE"""),"https://photos.app.goo.gl/p18pjb9SvzcQDgcA6")</f>
        <v>https://photos.app.goo.gl/p18pjb9SvzcQDgcA6</v>
      </c>
      <c r="AC319" s="46" t="str">
        <f>IFERROR(__xludf.DUMMYFUNCTION("""COMPUTED_VALUE"""),"Locales en propiedad horizontal ubicados en el segundo piso, distribuido en oficinas, totalmente amobladas, con baño para caballero y dama, dos parqueaderos en sótano cubiertos, con acceso en ascensor.")</f>
        <v>Locales en propiedad horizontal ubicados en el segundo piso, distribuido en oficinas, totalmente amobladas, con baño para caballero y dama, dos parqueaderos en sótano cubiertos, con acceso en ascensor.</v>
      </c>
      <c r="AD319" s="46" t="str">
        <f>IFERROR(__xludf.DUMMYFUNCTION("""COMPUTED_VALUE"""),"La propiedad horizontal cuenta con planta eléctrica, transformador propio y planta de bombeo. Actualmente el local está generando una renta de $12.549.439 + IVA. Edificio inteligente con 7 pisos.")</f>
        <v>La propiedad horizontal cuenta con planta eléctrica, transformador propio y planta de bombeo. Actualmente el local está generando una renta de $12.549.439 + IVA. Edificio inteligente con 7 pisos.</v>
      </c>
      <c r="AE319" s="46"/>
      <c r="AF319" s="46">
        <f>IFERROR(__xludf.DUMMYFUNCTION("""COMPUTED_VALUE"""),0.0)</f>
        <v>0</v>
      </c>
      <c r="AG319" s="46"/>
      <c r="AH319" s="46" t="str">
        <f>IFERROR(__xludf.DUMMYFUNCTION("""COMPUTED_VALUE"""),"Aliado")</f>
        <v>Aliado</v>
      </c>
      <c r="AI319" s="92" t="str">
        <f>IFERROR(__xludf.DUMMYFUNCTION("""COMPUTED_VALUE"""),"https://lh3.googleusercontent.com/pw/AP1GczN1Z72NWNtDiy06oiuhNo8fj9cSBjUkreb6EQUlNjUvh_plGO8MrULdxp8_LRuDUUwoXAfOLQ5nJl119XvryDD-KT6BVvrbDAoR_eLOmuSIEP5XN0rI=w1200|https://lh3.googleusercontent.com/pw/AP1GczMcGNawl62duvoPcKI7knGvrUEieV7sff6Fl3AEmk6TXojg6m"&amp;"25GWwsLi9U20TRVgTXF8yzZ0trcCBsJ-IK8_MqthrUop42frwRF_CdcyDqUUv9gEjW=w1200|https://lh3.googleusercontent.com/pw/AP1GczOcvFY0nUF_PtOCVPCj87SaPGOLwBQx7e3dXE2tCclrSJPW32epC0DquHIWkuiLrciXtPhKG5Vc-ay67rOYIKmaZzNrkxCEfYPwUDxfyOC8_eNlm1fC=w1200|https://lh3.google"&amp;"usercontent.com/pw/AP1GczNeEJdCtqfFZPFMlmy9p06Yj_X50HMEZjj7LNOfqCPyHU8QNTuka_WtCOWmJBjJP-02-k9oMFjnBItOsykyVLW4PVMLc7ekCY-W2Lyw2Qk1uLb937hn=w1200|https://lh3.googleusercontent.com/pw/AP1GczPf1IlSLcP-zpms-YUIrA_1mgd3QtPa8qOw2FpJKXY2817BaoarTlOMkcQsPkkIsGzB"&amp;"kcGFzgvhHuLJtdYtvIpPMsbGxGNFelxv9kPLJ6BzxbjDDguj=w1200|https://lh3.googleusercontent.com/pw/AP1GczNunBpzxkO-w9--EKw8ABgLRowrWLFnd2P2zMAn5HEa4QPvIyDijQyy8ygKaU8DcmRs5cfoOALz8oRTNl9jJYljkAtwYDt5lh0UJNsvWW18IIoadSCn=w1200")</f>
        <v>https://lh3.googleusercontent.com/pw/AP1GczN1Z72NWNtDiy06oiuhNo8fj9cSBjUkreb6EQUlNjUvh_plGO8MrULdxp8_LRuDUUwoXAfOLQ5nJl119XvryDD-KT6BVvrbDAoR_eLOmuSIEP5XN0rI=w1200|https://lh3.googleusercontent.com/pw/AP1GczMcGNawl62duvoPcKI7knGvrUEieV7sff6Fl3AEmk6TXojg6m25GWwsLi9U20TRVgTXF8yzZ0trcCBsJ-IK8_MqthrUop42frwRF_CdcyDqUUv9gEjW=w1200|https://lh3.googleusercontent.com/pw/AP1GczOcvFY0nUF_PtOCVPCj87SaPGOLwBQx7e3dXE2tCclrSJPW32epC0DquHIWkuiLrciXtPhKG5Vc-ay67rOYIKmaZzNrkxCEfYPwUDxfyOC8_eNlm1fC=w1200|https://lh3.googleusercontent.com/pw/AP1GczNeEJdCtqfFZPFMlmy9p06Yj_X50HMEZjj7LNOfqCPyHU8QNTuka_WtCOWmJBjJP-02-k9oMFjnBItOsykyVLW4PVMLc7ekCY-W2Lyw2Qk1uLb937hn=w1200|https://lh3.googleusercontent.com/pw/AP1GczPf1IlSLcP-zpms-YUIrA_1mgd3QtPa8qOw2FpJKXY2817BaoarTlOMkcQsPkkIsGzBkcGFzgvhHuLJtdYtvIpPMsbGxGNFelxv9kPLJ6BzxbjDDguj=w1200|https://lh3.googleusercontent.com/pw/AP1GczNunBpzxkO-w9--EKw8ABgLRowrWLFnd2P2zMAn5HEa4QPvIyDijQyy8ygKaU8DcmRs5cfoOALz8oRTNl9jJYljkAtwYDt5lh0UJNsvWW18IIoadSCn=w1200</v>
      </c>
      <c r="AJ319" s="46"/>
      <c r="AK319" s="46"/>
      <c r="AL319" s="46"/>
      <c r="AM319" s="46"/>
      <c r="AN319" s="46"/>
      <c r="AO319" s="46"/>
      <c r="AP319" s="46"/>
      <c r="AQ319" s="46"/>
      <c r="AR319" s="46"/>
      <c r="AS319" s="46"/>
      <c r="AT319" s="46"/>
      <c r="AU319" s="46"/>
      <c r="AV319" s="46"/>
      <c r="AW319" s="46"/>
      <c r="AX319" s="46"/>
      <c r="AY319" s="46"/>
      <c r="AZ319" s="46"/>
      <c r="BA319" s="46"/>
      <c r="BB319" s="46"/>
      <c r="BC319" s="46"/>
      <c r="BD319" s="46"/>
      <c r="BE319" s="46"/>
      <c r="BF319" s="46"/>
      <c r="BG319" s="46"/>
      <c r="BH319" s="46"/>
      <c r="BI319" s="46"/>
      <c r="BJ319" s="46"/>
      <c r="BK319" s="46"/>
      <c r="BL319" s="46"/>
      <c r="BM319" s="46"/>
      <c r="BN319" s="46"/>
      <c r="BO319" s="46"/>
      <c r="BP319" s="46"/>
      <c r="BQ319" s="46"/>
      <c r="BR319" s="46"/>
      <c r="BS319" s="46"/>
      <c r="BT319" s="46"/>
      <c r="BU319" s="46"/>
      <c r="BV319" s="46"/>
      <c r="BW319" s="46"/>
      <c r="BX319" s="46"/>
      <c r="BY319" s="46"/>
      <c r="BZ319" s="46"/>
      <c r="CA319" s="46"/>
      <c r="CB319" s="46"/>
      <c r="CC319" s="46"/>
    </row>
    <row r="320">
      <c r="A320" s="87" t="str">
        <f>IFERROR(__xludf.DUMMYFUNCTION("""COMPUTED_VALUE"""),"1265")</f>
        <v>1265</v>
      </c>
      <c r="B320" s="46" t="str">
        <f>IFERROR(__xludf.DUMMYFUNCTION("""COMPUTED_VALUE"""),"Casa campestre en conjunto Condominio Villas del Campo")</f>
        <v>Casa campestre en conjunto Condominio Villas del Campo</v>
      </c>
      <c r="C320" s="46" t="str">
        <f>IFERROR(__xludf.DUMMYFUNCTION("""COMPUTED_VALUE"""),"Casa campestre en conjunto")</f>
        <v>Casa campestre en conjunto</v>
      </c>
      <c r="D320" s="46"/>
      <c r="E320" s="46" t="str">
        <f>IFERROR(__xludf.DUMMYFUNCTION("""COMPUTED_VALUE"""),"Villas del Campo")</f>
        <v>Villas del Campo</v>
      </c>
      <c r="F320" s="90">
        <f>IFERROR(__xludf.DUMMYFUNCTION("""COMPUTED_VALUE"""),1.85E9)</f>
        <v>1850000000</v>
      </c>
      <c r="G320" s="46" t="str">
        <f>IFERROR(__xludf.DUMMYFUNCTION("""COMPUTED_VALUE"""),"Más de $1.000'000.000")</f>
        <v>Más de $1.000'000.000</v>
      </c>
      <c r="H320" s="46"/>
      <c r="I320" s="46"/>
      <c r="J320" s="46" t="str">
        <f>IFERROR(__xludf.DUMMYFUNCTION("""COMPUTED_VALUE"""),"Oriente")</f>
        <v>Oriente</v>
      </c>
      <c r="K320" s="87"/>
      <c r="L320" s="46">
        <f>IFERROR(__xludf.DUMMYFUNCTION("""COMPUTED_VALUE"""),4.0)</f>
        <v>4</v>
      </c>
      <c r="M320" s="46"/>
      <c r="N320" s="46">
        <f>IFERROR(__xludf.DUMMYFUNCTION("""COMPUTED_VALUE"""),6.0)</f>
        <v>6</v>
      </c>
      <c r="O320" s="46">
        <f>IFERROR(__xludf.DUMMYFUNCTION("""COMPUTED_VALUE"""),4.0)</f>
        <v>4</v>
      </c>
      <c r="P320" s="46">
        <f>IFERROR(__xludf.DUMMYFUNCTION("""COMPUTED_VALUE"""),1.0)</f>
        <v>1</v>
      </c>
      <c r="Q320" s="92">
        <f>IFERROR(__xludf.DUMMYFUNCTION("""COMPUTED_VALUE"""),240.0)</f>
        <v>240</v>
      </c>
      <c r="R320" s="92">
        <f>IFERROR(__xludf.DUMMYFUNCTION("""COMPUTED_VALUE"""),700.0)</f>
        <v>700</v>
      </c>
      <c r="S320" s="87" t="str">
        <f>IFERROR(__xludf.DUMMYFUNCTION("""COMPUTED_VALUE""")," ")</f>
        <v> </v>
      </c>
      <c r="T320" s="46" t="str">
        <f>IFERROR(__xludf.DUMMYFUNCTION("""COMPUTED_VALUE"""),"Neiva")</f>
        <v>Neiva</v>
      </c>
      <c r="U320" s="87" t="str">
        <f>IFERROR(__xludf.DUMMYFUNCTION("""COMPUTED_VALUE"""),"5")</f>
        <v>5</v>
      </c>
      <c r="V320" s="46" t="str">
        <f>IFERROR(__xludf.DUMMYFUNCTION("""COMPUTED_VALUE"""),"Medianera")</f>
        <v>Medianera</v>
      </c>
      <c r="W320" s="46"/>
      <c r="X320" s="46">
        <f>IFERROR(__xludf.DUMMYFUNCTION("""COMPUTED_VALUE"""),4.0)</f>
        <v>4</v>
      </c>
      <c r="Y320" s="46" t="str">
        <f>IFERROR(__xludf.DUMMYFUNCTION("""COMPUTED_VALUE"""),"Privada")</f>
        <v>Privada</v>
      </c>
      <c r="Z320" s="90">
        <f>IFERROR(__xludf.DUMMYFUNCTION("""COMPUTED_VALUE"""),480000.0)</f>
        <v>480000</v>
      </c>
      <c r="AA320" s="33" t="str">
        <f>IFERROR(__xludf.DUMMYFUNCTION("""COMPUTED_VALUE"""),"No aplica")</f>
        <v>No aplica</v>
      </c>
      <c r="AB320" s="96" t="str">
        <f>IFERROR(__xludf.DUMMYFUNCTION("""COMPUTED_VALUE"""),"https://photos.app.goo.gl/o66era5EkT5Epe8e7")</f>
        <v>https://photos.app.goo.gl/o66era5EkT5Epe8e7</v>
      </c>
      <c r="AC320" s="46" t="str">
        <f>IFERROR(__xludf.DUMMYFUNCTION("""COMPUTED_VALUE"""),"Casa campestre en condominio ubicada al oriente de la ciudad con. Jardín, 4 parqueaderos, Baño Social, Sala de TV, Cocina integral con lavavajillas. Sala comedor con acceso a terraza, Zona de lavandería. Estudio lineal con muebles y baño, 4 Habitaciones t"&amp;"odas con closet, baño privado, aire acondicionado, ventilador de techo y Black out, Zona BBQ, piscina y jacuzzi.")</f>
        <v>Casa campestre en condominio ubicada al oriente de la ciudad con. Jardín, 4 parqueaderos, Baño Social, Sala de TV, Cocina integral con lavavajillas. Sala comedor con acceso a terraza, Zona de lavandería. Estudio lineal con muebles y baño, 4 Habitaciones todas con closet, baño privado, aire acondicionado, ventilador de techo y Black out, Zona BBQ, piscina y jacuzzi.</v>
      </c>
      <c r="AD320" s="46" t="str">
        <f>IFERROR(__xludf.DUMMYFUNCTION("""COMPUTED_VALUE"""),"Buena ubicación.")</f>
        <v>Buena ubicación.</v>
      </c>
      <c r="AE320" s="46"/>
      <c r="AF320" s="46" t="str">
        <f>IFERROR(__xludf.DUMMYFUNCTION("""COMPUTED_VALUE"""),"integral")</f>
        <v>integral</v>
      </c>
      <c r="AG320" s="46"/>
      <c r="AH320" s="46" t="str">
        <f>IFERROR(__xludf.DUMMYFUNCTION("""COMPUTED_VALUE"""),"Aliado")</f>
        <v>Aliado</v>
      </c>
      <c r="AI320" s="92" t="str">
        <f>IFERROR(__xludf.DUMMYFUNCTION("""COMPUTED_VALUE"""),"https://lh3.googleusercontent.com/pw/AP1GczNs3RNc5SavxrAFebYtd7oxEG_fvSfmQH_-zKdG-AeS4m1z-EvmbdV-0NaKALwLYQ4IdpCvIoYfLefYyjFgq7py290ILfIgV-bvrxQPAoS3aAA7_jI6=w1200|https://lh3.googleusercontent.com/pw/AP1GczPaMVhduuowIRnQZSMVwhxFSEXg9zF5_3Vile19ISkH1mSKMD"&amp;"x_-o3buqF10NugHhfrcGTjunYMESuCzyUODy1afgDqC9ipGJ3vu7I-hhJ_8Ej3gLh2=w1200|https://lh3.googleusercontent.com/pw/AP1GczPHEX2IToteV9h00JyOR14VQjGct2DhGNsCvQXrU5ftiD2xkAYKvkxx8smu28RPs_BQSMF0rCuDfEJmJOu85yibqliZUO7WIISCLx0ljThsVuHyNvuN=w1200|https://lh3.google"&amp;"usercontent.com/pw/AP1GczNNpst3YJjhbSeiQPzQMu5uwJwOf9ou-iKbS_5bbnpbALT6aBJqWLx5jrMGgvd2GSh25zIdb40JF5T9rUnMwJLAa11Y2mccjBqTEjqaUzZQtHja8cc2=w1200|https://lh3.googleusercontent.com/pw/AP1GczPoKowMdHjFgbL9NAXCVcGYObJX8MMqW3vm8OWBVsei-dBMCBZddp6bs7sKmRjevJjz"&amp;"CF7949ZeHCLXDR-Logw58-FHXdOELiybBVGo_S5GEGZwBlhe=w1200|https://lh3.googleusercontent.com/pw/AP1GczNzHHB8ctRHZqf8jZOHtTDYQifoaUB3Irh3Z3fqwuX6VPQKlzYgsB2BB63UywpuGWw4XVv5NcXDrHJPWVTog11DTcvmEYRfjmdAhaurxOBxtWv8Errl=w1200|https://lh3.googleusercontent.com/pw"&amp;"/AP1GczNVk2dwjP-wth5d6W7TRzM58vIgBixzyPlbTznT3cjD8YDpvEbkwMn37R16APENQ-jTcbZLqFlDE5ky-RiWu_7aPv0-HBc6yeCBbmpEpuIFUX15ow4J=w1200|https://lh3.googleusercontent.com/pw/AP1GczP2h0ThysynX2gMUSL8FIdXyQ2XEJ7KFzuhLBj0Y3myVLxgGNErPbKUmg6clR9ogp7wxTtYs6aDwwqZWQ5X4f"&amp;"qQab6OtOinge-Gc1xvk-8WJjpHMJj1=w1200|https://lh3.googleusercontent.com/pw/AP1GczOpAt8Dw6Wf5T62o_-aKSxNPz6iQ_ZK6Nv7HHOEp2-gpXb14AVsDd_3HuVzYy5MA5ZnCcuP8zPndc2WO72hFixBowYGxOIIKHJdeIA7RVcbTmgKp_d0=w1200|https://lh3.googleusercontent.com/pw/AP1GczNh7hmXuG5ZZ"&amp;"9YaIJZyZoLGH7fSF_nZTZfiXGNSHsj0RpmldGHeNELVCrINnMNchGdDeAj6HSwEr-5vIcx5_X06MJNV6xYzfrUnKMGbPakTj6Qew944=w1200|https://lh3.googleusercontent.com/pw/AP1GczNPqiYWEcLZ3-X3Mbvj1Be_L9vQUexlY5yoVg-GGbnZuOqPDFF1g7xNmb5Zj6ZF5rpOhKxvSMu9CKHzNs1CTha03bGHi-Ae2l8mtWaR"&amp;"bmAOxPLYvE8w=w1200")</f>
        <v>https://lh3.googleusercontent.com/pw/AP1GczNs3RNc5SavxrAFebYtd7oxEG_fvSfmQH_-zKdG-AeS4m1z-EvmbdV-0NaKALwLYQ4IdpCvIoYfLefYyjFgq7py290ILfIgV-bvrxQPAoS3aAA7_jI6=w1200|https://lh3.googleusercontent.com/pw/AP1GczPaMVhduuowIRnQZSMVwhxFSEXg9zF5_3Vile19ISkH1mSKMDx_-o3buqF10NugHhfrcGTjunYMESuCzyUODy1afgDqC9ipGJ3vu7I-hhJ_8Ej3gLh2=w1200|https://lh3.googleusercontent.com/pw/AP1GczPHEX2IToteV9h00JyOR14VQjGct2DhGNsCvQXrU5ftiD2xkAYKvkxx8smu28RPs_BQSMF0rCuDfEJmJOu85yibqliZUO7WIISCLx0ljThsVuHyNvuN=w1200|https://lh3.googleusercontent.com/pw/AP1GczNNpst3YJjhbSeiQPzQMu5uwJwOf9ou-iKbS_5bbnpbALT6aBJqWLx5jrMGgvd2GSh25zIdb40JF5T9rUnMwJLAa11Y2mccjBqTEjqaUzZQtHja8cc2=w1200|https://lh3.googleusercontent.com/pw/AP1GczPoKowMdHjFgbL9NAXCVcGYObJX8MMqW3vm8OWBVsei-dBMCBZddp6bs7sKmRjevJjzCF7949ZeHCLXDR-Logw58-FHXdOELiybBVGo_S5GEGZwBlhe=w1200|https://lh3.googleusercontent.com/pw/AP1GczNzHHB8ctRHZqf8jZOHtTDYQifoaUB3Irh3Z3fqwuX6VPQKlzYgsB2BB63UywpuGWw4XVv5NcXDrHJPWVTog11DTcvmEYRfjmdAhaurxOBxtWv8Errl=w1200|https://lh3.googleusercontent.com/pw/AP1GczNVk2dwjP-wth5d6W7TRzM58vIgBixzyPlbTznT3cjD8YDpvEbkwMn37R16APENQ-jTcbZLqFlDE5ky-RiWu_7aPv0-HBc6yeCBbmpEpuIFUX15ow4J=w1200|https://lh3.googleusercontent.com/pw/AP1GczP2h0ThysynX2gMUSL8FIdXyQ2XEJ7KFzuhLBj0Y3myVLxgGNErPbKUmg6clR9ogp7wxTtYs6aDwwqZWQ5X4fqQab6OtOinge-Gc1xvk-8WJjpHMJj1=w1200|https://lh3.googleusercontent.com/pw/AP1GczOpAt8Dw6Wf5T62o_-aKSxNPz6iQ_ZK6Nv7HHOEp2-gpXb14AVsDd_3HuVzYy5MA5ZnCcuP8zPndc2WO72hFixBowYGxOIIKHJdeIA7RVcbTmgKp_d0=w1200|https://lh3.googleusercontent.com/pw/AP1GczNh7hmXuG5ZZ9YaIJZyZoLGH7fSF_nZTZfiXGNSHsj0RpmldGHeNELVCrINnMNchGdDeAj6HSwEr-5vIcx5_X06MJNV6xYzfrUnKMGbPakTj6Qew944=w1200|https://lh3.googleusercontent.com/pw/AP1GczNPqiYWEcLZ3-X3Mbvj1Be_L9vQUexlY5yoVg-GGbnZuOqPDFF1g7xNmb5Zj6ZF5rpOhKxvSMu9CKHzNs1CTha03bGHi-Ae2l8mtWaRbmAOxPLYvE8w=w1200</v>
      </c>
      <c r="AJ320" s="46"/>
      <c r="AK320" s="46"/>
      <c r="AL320" s="46"/>
      <c r="AM320" s="46"/>
      <c r="AN320" s="46"/>
      <c r="AO320" s="46"/>
      <c r="AP320" s="46"/>
      <c r="AQ320" s="46"/>
      <c r="AR320" s="46"/>
      <c r="AS320" s="46"/>
      <c r="AT320" s="46"/>
      <c r="AU320" s="46"/>
      <c r="AV320" s="46"/>
      <c r="AW320" s="46"/>
      <c r="AX320" s="46"/>
      <c r="AY320" s="46"/>
      <c r="AZ320" s="46"/>
      <c r="BA320" s="46"/>
      <c r="BB320" s="46"/>
      <c r="BC320" s="46"/>
      <c r="BD320" s="46"/>
      <c r="BE320" s="46"/>
      <c r="BF320" s="46"/>
      <c r="BG320" s="46"/>
      <c r="BH320" s="46"/>
      <c r="BI320" s="46"/>
      <c r="BJ320" s="46"/>
      <c r="BK320" s="46"/>
      <c r="BL320" s="46"/>
      <c r="BM320" s="46"/>
      <c r="BN320" s="46"/>
      <c r="BO320" s="46"/>
      <c r="BP320" s="46"/>
      <c r="BQ320" s="46"/>
      <c r="BR320" s="46"/>
      <c r="BS320" s="46"/>
      <c r="BT320" s="46"/>
      <c r="BU320" s="46"/>
      <c r="BV320" s="46"/>
      <c r="BW320" s="46"/>
      <c r="BX320" s="46"/>
      <c r="BY320" s="46"/>
      <c r="BZ320" s="46"/>
      <c r="CA320" s="46"/>
      <c r="CB320" s="46"/>
      <c r="CC320" s="46"/>
    </row>
    <row r="321">
      <c r="A321" s="87" t="str">
        <f>IFERROR(__xludf.DUMMYFUNCTION("""COMPUTED_VALUE"""),"1104")</f>
        <v>1104</v>
      </c>
      <c r="B321" s="46" t="str">
        <f>IFERROR(__xludf.DUMMYFUNCTION("""COMPUTED_VALUE"""),"Finca campestre vía Palermo - Zona Industrial")</f>
        <v>Finca campestre vía Palermo - Zona Industrial</v>
      </c>
      <c r="C321" s="46" t="str">
        <f>IFERROR(__xludf.DUMMYFUNCTION("""COMPUTED_VALUE"""),"Finca")</f>
        <v>Finca</v>
      </c>
      <c r="D321" s="46"/>
      <c r="E321" s="46"/>
      <c r="F321" s="90">
        <f>IFERROR(__xludf.DUMMYFUNCTION("""COMPUTED_VALUE"""),1.8E9)</f>
        <v>1800000000</v>
      </c>
      <c r="G321" s="46" t="str">
        <f>IFERROR(__xludf.DUMMYFUNCTION("""COMPUTED_VALUE"""),"Más de $1.000'000.000")</f>
        <v>Más de $1.000'000.000</v>
      </c>
      <c r="H321" s="46"/>
      <c r="I321" s="46"/>
      <c r="J321" s="46" t="str">
        <f>IFERROR(__xludf.DUMMYFUNCTION("""COMPUTED_VALUE"""),"Rural")</f>
        <v>Rural</v>
      </c>
      <c r="K321" s="87"/>
      <c r="L321" s="46">
        <f>IFERROR(__xludf.DUMMYFUNCTION("""COMPUTED_VALUE"""),7.0)</f>
        <v>7</v>
      </c>
      <c r="M321" s="46"/>
      <c r="N321" s="46">
        <f>IFERROR(__xludf.DUMMYFUNCTION("""COMPUTED_VALUE"""),6.0)</f>
        <v>6</v>
      </c>
      <c r="O321" s="46">
        <f>IFERROR(__xludf.DUMMYFUNCTION("""COMPUTED_VALUE"""),2.0)</f>
        <v>2</v>
      </c>
      <c r="P321" s="46">
        <f>IFERROR(__xludf.DUMMYFUNCTION("""COMPUTED_VALUE"""),2.0)</f>
        <v>2</v>
      </c>
      <c r="Q321" s="92">
        <f>IFERROR(__xludf.DUMMYFUNCTION("""COMPUTED_VALUE"""),350.0)</f>
        <v>350</v>
      </c>
      <c r="R321" s="92">
        <f>IFERROR(__xludf.DUMMYFUNCTION("""COMPUTED_VALUE"""),10000.0)</f>
        <v>10000</v>
      </c>
      <c r="S321" s="87"/>
      <c r="T321" s="46" t="str">
        <f>IFERROR(__xludf.DUMMYFUNCTION("""COMPUTED_VALUE"""),"Palermo")</f>
        <v>Palermo</v>
      </c>
      <c r="U321" s="87"/>
      <c r="V321" s="46"/>
      <c r="W321" s="46"/>
      <c r="X321" s="46">
        <f>IFERROR(__xludf.DUMMYFUNCTION("""COMPUTED_VALUE"""),4.0)</f>
        <v>4</v>
      </c>
      <c r="Y321" s="46" t="str">
        <f>IFERROR(__xludf.DUMMYFUNCTION("""COMPUTED_VALUE"""),"Privada")</f>
        <v>Privada</v>
      </c>
      <c r="Z321" s="90" t="str">
        <f>IFERROR(__xludf.DUMMYFUNCTION("""COMPUTED_VALUE"""),"No aplica")</f>
        <v>No aplica</v>
      </c>
      <c r="AA321" s="33" t="str">
        <f>IFERROR(__xludf.DUMMYFUNCTION("""COMPUTED_VALUE"""),"71 años")</f>
        <v>71 años</v>
      </c>
      <c r="AB321" s="96" t="str">
        <f>IFERROR(__xludf.DUMMYFUNCTION("""COMPUTED_VALUE"""),"https://photos.app.goo.gl/a46dNFdp214C8gqD9")</f>
        <v>https://photos.app.goo.gl/a46dNFdp214C8gqD9</v>
      </c>
      <c r="AC321" s="46" t="str">
        <f>IFERROR(__xludf.DUMMYFUNCTION("""COMPUTED_VALUE"""),"Descubre tu proxima hogar en esta encantadora Finca campestre, con un ambiente acogedor y familiar, perfecta para disfrutar  momentos de descanso y recreación en compañia de seres queridos, ubicada a 20 minutos de la ciudad de Neiva por la via Palermo Zon"&amp;"a Industrial, la casa cuenta con tres habitaciones con closet, la principal con baño privado, sala, comedor, cocina, baño social y amplios corredores alrededor de la casa con vista hacia las montañas y zonas verdes.")</f>
        <v>Descubre tu proxima hogar en esta encantadora Finca campestre, con un ambiente acogedor y familiar, perfecta para disfrutar  momentos de descanso y recreación en compañia de seres queridos, ubicada a 20 minutos de la ciudad de Neiva por la via Palermo Zona Industrial, la casa cuenta con tres habitaciones con closet, la principal con baño privado, sala, comedor, cocina, baño social y amplios corredores alrededor de la casa con vista hacia las montañas y zonas verdes.</v>
      </c>
      <c r="AD321" s="46" t="str">
        <f>IFERROR(__xludf.DUMMYFUNCTION("""COMPUTED_VALUE"""),"La finca tiene siete (7) pesebreras, deposito, tres (3) Galpones, un corral, dos (2) lagos de estanque, dos (2) potreros, amplio salón social, zona bbq, piscina con una vista hacia las montañas, horno en barro y baño social. Ademas de tener una casa para "&amp;"el mayordomo con 4 habitaciones, dos con baño privado, cocina y baño social. Con los servicio de agua, energía y servicio de gas por cilindro. AGUA. Ademas de contar con un tanque de reserva de agua, dos (2) aljibe y pozo séptico.")</f>
        <v>La finca tiene siete (7) pesebreras, deposito, tres (3) Galpones, un corral, dos (2) lagos de estanque, dos (2) potreros, amplio salón social, zona bbq, piscina con una vista hacia las montañas, horno en barro y baño social. Ademas de tener una casa para el mayordomo con 4 habitaciones, dos con baño privado, cocina y baño social. Con los servicio de agua, energía y servicio de gas por cilindro. AGUA. Ademas de contar con un tanque de reserva de agua, dos (2) aljibe y pozo séptico.</v>
      </c>
      <c r="AE321" s="46"/>
      <c r="AF321" s="46" t="str">
        <f>IFERROR(__xludf.DUMMYFUNCTION("""COMPUTED_VALUE"""),"integral")</f>
        <v>integral</v>
      </c>
      <c r="AG321" s="46"/>
      <c r="AH321" s="46" t="str">
        <f>IFERROR(__xludf.DUMMYFUNCTION("""COMPUTED_VALUE"""),"Aliado")</f>
        <v>Aliado</v>
      </c>
      <c r="AI321" s="92" t="str">
        <f>IFERROR(__xludf.DUMMYFUNCTION("""COMPUTED_VALUE"""),"https://lh3.googleusercontent.com/pw/AP1GczO9bVXDrMuJdgA66isVcV1hTDrhrNDceKOnDUZtOh67tvbVqiUF4zqsij4GmqJOim44CVD6pdDjLxGyzylYDde9_h6NaytIxV6IsEH4MwnUFiSkWnUR=w1200|https://lh3.googleusercontent.com/pw/AP1GczPGFxOXLzmcY7Nr-tnziqk6YrEF6v-a2_OzaxWiLPE-mUKriq"&amp;"A6c76LMZjd03TyTdDzGeDpu2PiaUBJ6zg0iFQ9iOgfX7OznAONr-T_DAB_1qN2h_Dm=w1200|https://lh3.googleusercontent.com/pw/AP1GczNRlcpsZ7X0au1zSD0VnFzBkb7Ufbb17dyrh5OI4rR2PG_9jeHWtO17BEFWmh4qqDORUHghaj6IT5r3hvE_2oW55lHptmvKtIThMdzlqQwRCUHFyoWP=w1200|https://lh3.google"&amp;"usercontent.com/pw/AP1GczOZUEAOOlh-kf9J6xtTRQ4zlu5_f2QNKGgLcXmQ8197JUWLBTpTeAAFa8Yb4XUkKM-wcIm1-ckacgU4KGiDdgmaE8OLpgTlHYTbzrqi11_Iit-eDQRw=w1200|https://lh3.googleusercontent.com/pw/AP1GczMO0g6zufk2-f7FD1-XKFf6HULUCcoJXhgwPoBsCqWvsqDRrPEhEFq6qT_qH8-lIKhY"&amp;"tzREhcd7yY6asfi_2yAdWbvpgkA1RH-i2H4opa9tE8rIEAN4=w1200|https://lh3.googleusercontent.com/pw/AP1GczPtBOorm2l6Oo_A_dEApeWqA5PIPYH-npeR90NyEBtUrLta13tvot8HNLHrBTrfRpo7c665wiYEaqixu8Q3cnvxQnkUkamvoUstljuUycJXOyBJQ7hR=w1200|https://lh3.googleusercontent.com/pw"&amp;"/AP1GczOdYRHDe5BBOVwx8vMdhkl8Wcpzp6I-OHrbuKABCbnJEifvODpzEA8LIRDm0UC1QhzaF3p7DZIR9dDShv8yaew4Jqr7Ag0CrFJovilRtgu4xUfrwTdz=w1200|https://lh3.googleusercontent.com/pw/AP1GczNnQ3l_SClF-f_h5veIRfVHdriN_9sdyuga3mw_QL_AmcgrbqiXio4Z1pV6KB-w4nEY7Vif4XJfqsxIYjt8W_"&amp;"bzC1lyv74ztTO394aDZ0jfGNwb7ZIt=w1200|https://lh3.googleusercontent.com/pw/AP1GczOTBx9kWUCt4YGicXMmtNBWZC-Zwbr0Uw6ZRJA-rHnIIxOE5VtUjT1QrZnvGHpdrU3MNdc6p-qBXLmbIptiXvqSVYhR98wCqV83lhLybWJO7BF7NbLW=w1200|https://lh3.googleusercontent.com/pw/AP1GczPq1knRGazoe"&amp;"MW-UdD-oIztdFKFf3vQLu6Slr2GsTJqtQiWD-DoCJtStiYM5DBjcRdGdovWj55JF0EZsBIatny7VRQhTfgQCuv-Alcv0zgTxs17slMG=w1200|https://lh3.googleusercontent.com/pw/AP1GczNtsBYeiP8BFEuKSNqtKFnDluuhqxWSzpJkhmRpIAPsUplIk9RQPOMArqROtDvu_Tx_MKcGYh2xwhtwpyYkUm66T7lS9n8Jh5lMJjKv"&amp;"K6-V8wP98yeS=w1200|https://lh3.googleusercontent.com/pw/AP1GczMnTOaJ2_ktduoBGnSPfB3uT3sQ-YkIszzlh28goo9kt9U2PCAp3a9BO1GR7HiRGA5c0KZQzXlxV7KhLGIap2VUfOO7wMm4WjVH-s9R5kTrdfoFKuu2=w1200|https://lh3.googleusercontent.com/pw/AP1GczPPJnYPJo2sCjucM2jnPi22D1b6fxV"&amp;"CESOqf6u6BTFh03NkKddiRxgpYzjjwKFZsF65FwJV6n7nRe4bMA8Go5KEOJFDI00GY21tpDmzKtI-8HYhjIr2=w1200|https://lh3.googleusercontent.com/pw/AP1GczMW0unBKihdw0N3DVuyKuSXN-gofdWh45h-CJ0ARJ8N4v3V-pmlZVXUgEoCJBGwSZLe9yj4xby5gRQLBAf3pNYKge7MT0LJNrDQM5HQ9lRtTKuRzcWr=w1200"&amp;"|https://lh3.googleusercontent.com/pw/AP1GczO21xZNGrKzZ7XPz1PkeB6ygxYeJAAtXFCAk8hVClLhw6G0SxoQAu0SUtxF8w9hToBXb76lrndnDU5oWWZoLjhoSJKeKIlaqFhsJpdrSpHjBM_Lvedf=w1200|https://lh3.googleusercontent.com/pw/AP1GczP8HL_1Kiuzfc_ILSNBt7GpESYGCmEdkRULe_N6QHeVOvelW"&amp;"UfaaY-vLvP1mSyhGb8uaepDaScxZW0Vwf7Dkm1_oAjPyfZHEj_3Ash9xs1TDTyXhCcK=w1200|https://lh3.googleusercontent.com/pw/AP1GczM-z_Du73ec5xKKShSJ_STofrjvp6ynA60aWjlBWLF3EKiL7Ak5fgC6BaQFuxeT8dEEdjFyUbVgyMWGIdXJL49i8pyz5di9fSfMjP92aHIGDCjyjfEk=w1200|https://lh3.googl"&amp;"eusercontent.com/pw/AP1GczN1gdBrRq-s9iKMCgjP6-xmGtYOmmV3y7WdDguw3f9AbIxQJa77upROhkqOqrUzZJhVLf0gh-p_hhWtpI7tIpJmDqYoHi_wbXaFVBIZbqCnLUVkAPQL=w1200|https://lh3.googleusercontent.com/pw/AP1GczMAaNVNZqBvvhZ4R-qNJylVn7xC8HLGP1LjKHSDbGIZh3DMnkM4WC-ZwdZvPuUGEcM"&amp;"yPOWB8sTSTwTLsxABjW9tbmTghp3u1tPl5RER0XsMm3hlU0cp=w1200|https://lh3.googleusercontent.com/pw/AP1GczPluyJF0cP0CLYRR8Nz0lujjbQZ5XsP4KhwE2MVLcVIntK0Z0nSpk9B9nWf57E61Oywl98DQWau2ZYxiL-Y_zCdmPWMzPcF8zxdOgKtFjwwgmMSf1Um=w1200|https://lh3.googleusercontent.com/p"&amp;"w/AP1GczPW-Fzj1LWKt7NhTgw0s0g_7cRfOSa4niTIuPdyT1Y04AZeayV4rsePq7KUQoSewrZoZMYKr9ynyijqBuFobjI6vyCLRJcXSiGi5UYcM012Xi192Rxr=w1200|https://lh3.googleusercontent.com/pw/AP1GczPwSnAIpsDptse7PkPmB8lX0aieqKbpW_rS7KVWkHveyr8MOwA9fsYXn7UgW82ugAph93NFIdwmAhJ_r6A4Y"&amp;"ANDA55tphgRWRxAEr8N5Kt8OWyj19OB=w1200|https://lh3.googleusercontent.com/pw/AP1GczMvoAZPHKvybu_e_BgHfzpqFH3T_3yPB5iNF-vjnauekCujdNLu4jINIWmR6p0pNzHdh_9ad4DGD2hnmqbdS2VB_lw-Xj-jij0zMnwl9-6QeZo0CWLJ=w1200|https://lh3.googleusercontent.com/pw/AP1GczOr4KWX9Vvn"&amp;"psTmdcBBD4qeg7DRkToLMySXOoq5f8DBvQ8maWOElRX5IEIXWry4dHqFthmlfIXTrjxOGJma3VXKnxo1CoZ6SzVgDPNOMtQYku_ZZWR3=w1200|https://lh3.googleusercontent.com/pw/AP1GczORrEUgW9enn6pA2tt1JtHx_ZN6aHfof1MgJ4w_tCeAURhNJaA0HLvX0fIxbEUMVW71OATjAnmsw78bypS5TULKX2IowcB5CCYcTwN"&amp;"r8GgUJiD4vkZz=w1200|https://lh3.googleusercontent.com/pw/AP1GczNpss-9pOqgx2npUqA1rr7Eo9GRaQjz-Y53a_BTNit5D5sY8a49aYlZz8OWvj2rzgbwmEHNl3_lRJ58JI6E5QK5EgjuIH13yE5338ZXVZpSbtn4Ca6O=w1200|https://lh3.googleusercontent.com/pw/AP1GczNimcXSFTC3nI7m9wVgc8XwwZSHnw"&amp;"zwbGXaaqT34yb-uYiIsdJPegsiLYdFKD8PqN5OMQ_Lp-NFDMfdNVhpdy6FmU25mtH-9aDtj9HUihZg3z7nyCC7=w1200|https://lh3.googleusercontent.com/pw/AP1GczPw5k35l8zwmiDNLlCCpaUqVGLuTk_11G_kPaeQWHReuOt80UwDlSrrgMlkB3VH0wmuaqysVMiHM1mUpZl9TxW85FekqGoAWptD1cgn-lUO_PwQl0U3=w120"&amp;"0|https://lh3.googleusercontent.com/pw/AP1GczMrfVp4K7CYWly6BCD6bbn47dGKhYYM4scCXC80tkgsQhxvMlOp7fkaOvZmrt8-ZuXje1T9hRRpb7rd6bhP7OFaXPvlbDdyNLZkOcwB9yLMmLR4VcOH=w1200|https://lh3.googleusercontent.com/pw/AP1GczMbkUVK9OBKrJee5trdIJ4mEbeR2itlgt-x902Ce1n6Q8X5"&amp;"ly9Ejvm7_zU4AynpcQ-cLLVXA2tlHh2WcqINARIT_WgilV9QPj1NgdcAu-F8wuJ8egTJ=w1200")</f>
        <v>https://lh3.googleusercontent.com/pw/AP1GczO9bVXDrMuJdgA66isVcV1hTDrhrNDceKOnDUZtOh67tvbVqiUF4zqsij4GmqJOim44CVD6pdDjLxGyzylYDde9_h6NaytIxV6IsEH4MwnUFiSkWnUR=w1200|https://lh3.googleusercontent.com/pw/AP1GczPGFxOXLzmcY7Nr-tnziqk6YrEF6v-a2_OzaxWiLPE-mUKriqA6c76LMZjd03TyTdDzGeDpu2PiaUBJ6zg0iFQ9iOgfX7OznAONr-T_DAB_1qN2h_Dm=w1200|https://lh3.googleusercontent.com/pw/AP1GczNRlcpsZ7X0au1zSD0VnFzBkb7Ufbb17dyrh5OI4rR2PG_9jeHWtO17BEFWmh4qqDORUHghaj6IT5r3hvE_2oW55lHptmvKtIThMdzlqQwRCUHFyoWP=w1200|https://lh3.googleusercontent.com/pw/AP1GczOZUEAOOlh-kf9J6xtTRQ4zlu5_f2QNKGgLcXmQ8197JUWLBTpTeAAFa8Yb4XUkKM-wcIm1-ckacgU4KGiDdgmaE8OLpgTlHYTbzrqi11_Iit-eDQRw=w1200|https://lh3.googleusercontent.com/pw/AP1GczMO0g6zufk2-f7FD1-XKFf6HULUCcoJXhgwPoBsCqWvsqDRrPEhEFq6qT_qH8-lIKhYtzREhcd7yY6asfi_2yAdWbvpgkA1RH-i2H4opa9tE8rIEAN4=w1200|https://lh3.googleusercontent.com/pw/AP1GczPtBOorm2l6Oo_A_dEApeWqA5PIPYH-npeR90NyEBtUrLta13tvot8HNLHrBTrfRpo7c665wiYEaqixu8Q3cnvxQnkUkamvoUstljuUycJXOyBJQ7hR=w1200|https://lh3.googleusercontent.com/pw/AP1GczOdYRHDe5BBOVwx8vMdhkl8Wcpzp6I-OHrbuKABCbnJEifvODpzEA8LIRDm0UC1QhzaF3p7DZIR9dDShv8yaew4Jqr7Ag0CrFJovilRtgu4xUfrwTdz=w1200|https://lh3.googleusercontent.com/pw/AP1GczNnQ3l_SClF-f_h5veIRfVHdriN_9sdyuga3mw_QL_AmcgrbqiXio4Z1pV6KB-w4nEY7Vif4XJfqsxIYjt8W_bzC1lyv74ztTO394aDZ0jfGNwb7ZIt=w1200|https://lh3.googleusercontent.com/pw/AP1GczOTBx9kWUCt4YGicXMmtNBWZC-Zwbr0Uw6ZRJA-rHnIIxOE5VtUjT1QrZnvGHpdrU3MNdc6p-qBXLmbIptiXvqSVYhR98wCqV83lhLybWJO7BF7NbLW=w1200|https://lh3.googleusercontent.com/pw/AP1GczPq1knRGazoeMW-UdD-oIztdFKFf3vQLu6Slr2GsTJqtQiWD-DoCJtStiYM5DBjcRdGdovWj55JF0EZsBIatny7VRQhTfgQCuv-Alcv0zgTxs17slMG=w1200|https://lh3.googleusercontent.com/pw/AP1GczNtsBYeiP8BFEuKSNqtKFnDluuhqxWSzpJkhmRpIAPsUplIk9RQPOMArqROtDvu_Tx_MKcGYh2xwhtwpyYkUm66T7lS9n8Jh5lMJjKvK6-V8wP98yeS=w1200|https://lh3.googleusercontent.com/pw/AP1GczMnTOaJ2_ktduoBGnSPfB3uT3sQ-YkIszzlh28goo9kt9U2PCAp3a9BO1GR7HiRGA5c0KZQzXlxV7KhLGIap2VUfOO7wMm4WjVH-s9R5kTrdfoFKuu2=w1200|https://lh3.googleusercontent.com/pw/AP1GczPPJnYPJo2sCjucM2jnPi22D1b6fxVCESOqf6u6BTFh03NkKddiRxgpYzjjwKFZsF65FwJV6n7nRe4bMA8Go5KEOJFDI00GY21tpDmzKtI-8HYhjIr2=w1200|https://lh3.googleusercontent.com/pw/AP1GczMW0unBKihdw0N3DVuyKuSXN-gofdWh45h-CJ0ARJ8N4v3V-pmlZVXUgEoCJBGwSZLe9yj4xby5gRQLBAf3pNYKge7MT0LJNrDQM5HQ9lRtTKuRzcWr=w1200|https://lh3.googleusercontent.com/pw/AP1GczO21xZNGrKzZ7XPz1PkeB6ygxYeJAAtXFCAk8hVClLhw6G0SxoQAu0SUtxF8w9hToBXb76lrndnDU5oWWZoLjhoSJKeKIlaqFhsJpdrSpHjBM_Lvedf=w1200|https://lh3.googleusercontent.com/pw/AP1GczP8HL_1Kiuzfc_ILSNBt7GpESYGCmEdkRULe_N6QHeVOvelWUfaaY-vLvP1mSyhGb8uaepDaScxZW0Vwf7Dkm1_oAjPyfZHEj_3Ash9xs1TDTyXhCcK=w1200|https://lh3.googleusercontent.com/pw/AP1GczM-z_Du73ec5xKKShSJ_STofrjvp6ynA60aWjlBWLF3EKiL7Ak5fgC6BaQFuxeT8dEEdjFyUbVgyMWGIdXJL49i8pyz5di9fSfMjP92aHIGDCjyjfEk=w1200|https://lh3.googleusercontent.com/pw/AP1GczN1gdBrRq-s9iKMCgjP6-xmGtYOmmV3y7WdDguw3f9AbIxQJa77upROhkqOqrUzZJhVLf0gh-p_hhWtpI7tIpJmDqYoHi_wbXaFVBIZbqCnLUVkAPQL=w1200|https://lh3.googleusercontent.com/pw/AP1GczMAaNVNZqBvvhZ4R-qNJylVn7xC8HLGP1LjKHSDbGIZh3DMnkM4WC-ZwdZvPuUGEcMyPOWB8sTSTwTLsxABjW9tbmTghp3u1tPl5RER0XsMm3hlU0cp=w1200|https://lh3.googleusercontent.com/pw/AP1GczPluyJF0cP0CLYRR8Nz0lujjbQZ5XsP4KhwE2MVLcVIntK0Z0nSpk9B9nWf57E61Oywl98DQWau2ZYxiL-Y_zCdmPWMzPcF8zxdOgKtFjwwgmMSf1Um=w1200|https://lh3.googleusercontent.com/pw/AP1GczPW-Fzj1LWKt7NhTgw0s0g_7cRfOSa4niTIuPdyT1Y04AZeayV4rsePq7KUQoSewrZoZMYKr9ynyijqBuFobjI6vyCLRJcXSiGi5UYcM012Xi192Rxr=w1200|https://lh3.googleusercontent.com/pw/AP1GczPwSnAIpsDptse7PkPmB8lX0aieqKbpW_rS7KVWkHveyr8MOwA9fsYXn7UgW82ugAph93NFIdwmAhJ_r6A4YANDA55tphgRWRxAEr8N5Kt8OWyj19OB=w1200|https://lh3.googleusercontent.com/pw/AP1GczMvoAZPHKvybu_e_BgHfzpqFH3T_3yPB5iNF-vjnauekCujdNLu4jINIWmR6p0pNzHdh_9ad4DGD2hnmqbdS2VB_lw-Xj-jij0zMnwl9-6QeZo0CWLJ=w1200|https://lh3.googleusercontent.com/pw/AP1GczOr4KWX9VvnpsTmdcBBD4qeg7DRkToLMySXOoq5f8DBvQ8maWOElRX5IEIXWry4dHqFthmlfIXTrjxOGJma3VXKnxo1CoZ6SzVgDPNOMtQYku_ZZWR3=w1200|https://lh3.googleusercontent.com/pw/AP1GczORrEUgW9enn6pA2tt1JtHx_ZN6aHfof1MgJ4w_tCeAURhNJaA0HLvX0fIxbEUMVW71OATjAnmsw78bypS5TULKX2IowcB5CCYcTwNr8GgUJiD4vkZz=w1200|https://lh3.googleusercontent.com/pw/AP1GczNpss-9pOqgx2npUqA1rr7Eo9GRaQjz-Y53a_BTNit5D5sY8a49aYlZz8OWvj2rzgbwmEHNl3_lRJ58JI6E5QK5EgjuIH13yE5338ZXVZpSbtn4Ca6O=w1200|https://lh3.googleusercontent.com/pw/AP1GczNimcXSFTC3nI7m9wVgc8XwwZSHnwzwbGXaaqT34yb-uYiIsdJPegsiLYdFKD8PqN5OMQ_Lp-NFDMfdNVhpdy6FmU25mtH-9aDtj9HUihZg3z7nyCC7=w1200|https://lh3.googleusercontent.com/pw/AP1GczPw5k35l8zwmiDNLlCCpaUqVGLuTk_11G_kPaeQWHReuOt80UwDlSrrgMlkB3VH0wmuaqysVMiHM1mUpZl9TxW85FekqGoAWptD1cgn-lUO_PwQl0U3=w1200|https://lh3.googleusercontent.com/pw/AP1GczMrfVp4K7CYWly6BCD6bbn47dGKhYYM4scCXC80tkgsQhxvMlOp7fkaOvZmrt8-ZuXje1T9hRRpb7rd6bhP7OFaXPvlbDdyNLZkOcwB9yLMmLR4VcOH=w1200|https://lh3.googleusercontent.com/pw/AP1GczMbkUVK9OBKrJee5trdIJ4mEbeR2itlgt-x902Ce1n6Q8X5ly9Ejvm7_zU4AynpcQ-cLLVXA2tlHh2WcqINARIT_WgilV9QPj1NgdcAu-F8wuJ8egTJ=w1200</v>
      </c>
      <c r="AJ321" s="46"/>
      <c r="AK321" s="46"/>
      <c r="AL321" s="46"/>
      <c r="AM321" s="46"/>
      <c r="AN321" s="46"/>
      <c r="AO321" s="46"/>
      <c r="AP321" s="46"/>
      <c r="AQ321" s="46"/>
      <c r="AR321" s="46"/>
      <c r="AS321" s="46"/>
      <c r="AT321" s="46"/>
      <c r="AU321" s="46"/>
      <c r="AV321" s="46"/>
      <c r="AW321" s="46"/>
      <c r="AX321" s="46"/>
      <c r="AY321" s="46"/>
      <c r="AZ321" s="46"/>
      <c r="BA321" s="46"/>
      <c r="BB321" s="46"/>
      <c r="BC321" s="46"/>
      <c r="BD321" s="46"/>
      <c r="BE321" s="46"/>
      <c r="BF321" s="46"/>
      <c r="BG321" s="46"/>
      <c r="BH321" s="46"/>
      <c r="BI321" s="46"/>
      <c r="BJ321" s="46"/>
      <c r="BK321" s="46"/>
      <c r="BL321" s="46"/>
      <c r="BM321" s="46"/>
      <c r="BN321" s="46"/>
      <c r="BO321" s="46"/>
      <c r="BP321" s="46"/>
      <c r="BQ321" s="46"/>
      <c r="BR321" s="46"/>
      <c r="BS321" s="46"/>
      <c r="BT321" s="46"/>
      <c r="BU321" s="46"/>
      <c r="BV321" s="46"/>
      <c r="BW321" s="46"/>
      <c r="BX321" s="46"/>
      <c r="BY321" s="46"/>
      <c r="BZ321" s="46"/>
      <c r="CA321" s="46"/>
      <c r="CB321" s="46"/>
      <c r="CC321" s="46"/>
    </row>
    <row r="322">
      <c r="A322" s="87" t="str">
        <f>IFERROR(__xludf.DUMMYFUNCTION("""COMPUTED_VALUE"""),"810")</f>
        <v>810</v>
      </c>
      <c r="B322" s="46" t="str">
        <f>IFERROR(__xludf.DUMMYFUNCTION("""COMPUTED_VALUE"""),"Oficina amoblada - Centro de negocios - Centro - Cra. 5ta")</f>
        <v>Oficina amoblada - Centro de negocios - Centro - Cra. 5ta</v>
      </c>
      <c r="C322" s="46" t="str">
        <f>IFERROR(__xludf.DUMMYFUNCTION("""COMPUTED_VALUE"""),"Oficina")</f>
        <v>Oficina</v>
      </c>
      <c r="D322" s="46" t="str">
        <f>IFERROR(__xludf.DUMMYFUNCTION("""COMPUTED_VALUE"""),"Centro")</f>
        <v>Centro</v>
      </c>
      <c r="E322" s="46"/>
      <c r="F322" s="90">
        <f>IFERROR(__xludf.DUMMYFUNCTION("""COMPUTED_VALUE"""),1.79978E9)</f>
        <v>1799780000</v>
      </c>
      <c r="G322" s="46" t="str">
        <f>IFERROR(__xludf.DUMMYFUNCTION("""COMPUTED_VALUE"""),"Más de $1.000'000.000")</f>
        <v>Más de $1.000'000.000</v>
      </c>
      <c r="H322" s="46"/>
      <c r="I322" s="46"/>
      <c r="J322" s="46" t="str">
        <f>IFERROR(__xludf.DUMMYFUNCTION("""COMPUTED_VALUE"""),"Centro")</f>
        <v>Centro</v>
      </c>
      <c r="K322" s="87" t="str">
        <f>IFERROR(__xludf.DUMMYFUNCTION("""COMPUTED_VALUE"""),"4")</f>
        <v>4</v>
      </c>
      <c r="L322" s="46">
        <f>IFERROR(__xludf.DUMMYFUNCTION("""COMPUTED_VALUE"""),0.0)</f>
        <v>0</v>
      </c>
      <c r="M322" s="46"/>
      <c r="N322" s="46">
        <f>IFERROR(__xludf.DUMMYFUNCTION("""COMPUTED_VALUE"""),2.0)</f>
        <v>2</v>
      </c>
      <c r="O322" s="46">
        <f>IFERROR(__xludf.DUMMYFUNCTION("""COMPUTED_VALUE"""),2.0)</f>
        <v>2</v>
      </c>
      <c r="P322" s="46">
        <f>IFERROR(__xludf.DUMMYFUNCTION("""COMPUTED_VALUE"""),3.0)</f>
        <v>3</v>
      </c>
      <c r="Q322" s="92">
        <f>IFERROR(__xludf.DUMMYFUNCTION("""COMPUTED_VALUE"""),223.3)</f>
        <v>223.3</v>
      </c>
      <c r="R322" s="92">
        <f>IFERROR(__xludf.DUMMYFUNCTION("""COMPUTED_VALUE"""),223.3)</f>
        <v>223.3</v>
      </c>
      <c r="S322" s="87" t="str">
        <f>IFERROR(__xludf.DUMMYFUNCTION("""COMPUTED_VALUE"""),"Rentabilidad $3,628,000")</f>
        <v>Rentabilidad $3,628,000</v>
      </c>
      <c r="T322" s="46" t="str">
        <f>IFERROR(__xludf.DUMMYFUNCTION("""COMPUTED_VALUE"""),"Neiva")</f>
        <v>Neiva</v>
      </c>
      <c r="U322" s="87" t="str">
        <f>IFERROR(__xludf.DUMMYFUNCTION("""COMPUTED_VALUE"""),"4")</f>
        <v>4</v>
      </c>
      <c r="V322" s="46" t="str">
        <f>IFERROR(__xludf.DUMMYFUNCTION("""COMPUTED_VALUE"""),"3er.")</f>
        <v>3er.</v>
      </c>
      <c r="W322" s="46"/>
      <c r="X322" s="46">
        <f>IFERROR(__xludf.DUMMYFUNCTION("""COMPUTED_VALUE"""),0.0)</f>
        <v>0</v>
      </c>
      <c r="Y322" s="46" t="str">
        <f>IFERROR(__xludf.DUMMYFUNCTION("""COMPUTED_VALUE"""),"No tiene")</f>
        <v>No tiene</v>
      </c>
      <c r="Z322" s="90"/>
      <c r="AA322" s="33" t="str">
        <f>IFERROR(__xludf.DUMMYFUNCTION("""COMPUTED_VALUE"""),"41 años")</f>
        <v>41 años</v>
      </c>
      <c r="AB322" s="96" t="str">
        <f>IFERROR(__xludf.DUMMYFUNCTION("""COMPUTED_VALUE"""),"https://photos.app.goo.gl/p18pjb9SvzcQDgcA6")</f>
        <v>https://photos.app.goo.gl/p18pjb9SvzcQDgcA6</v>
      </c>
      <c r="AC322" s="46" t="str">
        <f>IFERROR(__xludf.DUMMYFUNCTION("""COMPUTED_VALUE"""),"Locales en propiedad horizontal ubicados en el tercer piso, distribuido en oficinas, totalmente amobladas, con baño para caballero y dama, dos parqueaderos en sótano cubiertos, con acceso en ascensor.")</f>
        <v>Locales en propiedad horizontal ubicados en el tercer piso, distribuido en oficinas, totalmente amobladas, con baño para caballero y dama, dos parqueaderos en sótano cubiertos, con acceso en ascensor.</v>
      </c>
      <c r="AD322" s="46" t="str">
        <f>IFERROR(__xludf.DUMMYFUNCTION("""COMPUTED_VALUE"""),"La propiedad horizontal cuenta con planta eléctrica, transformador propio y planta de bombeo. Actualmente el local está generando una renta de $ 3.628.000 + IVA. Edificio inteligente con 7 pisos.")</f>
        <v>La propiedad horizontal cuenta con planta eléctrica, transformador propio y planta de bombeo. Actualmente el local está generando una renta de $ 3.628.000 + IVA. Edificio inteligente con 7 pisos.</v>
      </c>
      <c r="AE322" s="46"/>
      <c r="AF322" s="46">
        <f>IFERROR(__xludf.DUMMYFUNCTION("""COMPUTED_VALUE"""),0.0)</f>
        <v>0</v>
      </c>
      <c r="AG322" s="46"/>
      <c r="AH322" s="46" t="str">
        <f>IFERROR(__xludf.DUMMYFUNCTION("""COMPUTED_VALUE"""),"Aliado")</f>
        <v>Aliado</v>
      </c>
      <c r="AI322" s="92" t="str">
        <f>IFERROR(__xludf.DUMMYFUNCTION("""COMPUTED_VALUE"""),"https://lh3.googleusercontent.com/pw/AP1GczO29wpJqadjhlArz52eaHDsnlewRBVKRJipq39mdJjHN01daE6fFlKM3ybCJm_P2eKUD8Wx_p6xAHDbTb2i3reNTcxFmrgs28Ipe3A27vMVjRQ4GJP6=w1200|https://lh3.googleusercontent.com/pw/AP1GczOxPQDQoZ4WoKEykJiHlw_DNV9U4uOKsa9TQcVZqa9JmZHgIM"&amp;"piKk9SZnsBRhJ7XZdh0w6gqgSuBZO39Ge_TUAKl9UybfUepL6tLUCyvEDzqtqKQt1J=w1200|https://lh3.googleusercontent.com/pw/AP1GczOgNxkdsiXPpxKY3BI7w7YceQqXhsXykbfEOc45jmfSludCfNOukwLPZs3s-y-1E1bQfcMWH5AVi9ZtPpVrDANpUpUCasuwsfwnrvdzvn7NEhl4whfn=w1200|https://lh3.google"&amp;"usercontent.com/pw/AP1GczN3XM95mEDNaABHO5vJITlvE9OCcee8Ny42RSuIWOYZRVxf5RH46fO-3ZE2ZbWI4Qs0uowgsc5eCfYMirOGzCAswWsBy_-kqO6gB0eS8bY8mXdIvyjK=w1200|https://lh3.googleusercontent.com/pw/AP1GczONqOhe48qxVVaX8qfDWBwVQYilIKGl1pGU_b-EDsMqWIEOAlbgZl_Y4-loeTC7uuKH"&amp;"35_h0J6vwhhDucdgWGxXDEYSk7K623tEjt3UnzHL6AhSncz9=w1200|https://lh3.googleusercontent.com/pw/AP1GczOxAsIMqz81cqKwod0axMNo9fGGjdtxGb_H75j1AEjjVH6uPKdNeLh64KVdO5sarUAzW8u4kW7p7_xg5YORWyMphfQP4A3W_VmAvYIaS8WMFz_OxliY=w1200")</f>
        <v>https://lh3.googleusercontent.com/pw/AP1GczO29wpJqadjhlArz52eaHDsnlewRBVKRJipq39mdJjHN01daE6fFlKM3ybCJm_P2eKUD8Wx_p6xAHDbTb2i3reNTcxFmrgs28Ipe3A27vMVjRQ4GJP6=w1200|https://lh3.googleusercontent.com/pw/AP1GczOxPQDQoZ4WoKEykJiHlw_DNV9U4uOKsa9TQcVZqa9JmZHgIMpiKk9SZnsBRhJ7XZdh0w6gqgSuBZO39Ge_TUAKl9UybfUepL6tLUCyvEDzqtqKQt1J=w1200|https://lh3.googleusercontent.com/pw/AP1GczOgNxkdsiXPpxKY3BI7w7YceQqXhsXykbfEOc45jmfSludCfNOukwLPZs3s-y-1E1bQfcMWH5AVi9ZtPpVrDANpUpUCasuwsfwnrvdzvn7NEhl4whfn=w1200|https://lh3.googleusercontent.com/pw/AP1GczN3XM95mEDNaABHO5vJITlvE9OCcee8Ny42RSuIWOYZRVxf5RH46fO-3ZE2ZbWI4Qs0uowgsc5eCfYMirOGzCAswWsBy_-kqO6gB0eS8bY8mXdIvyjK=w1200|https://lh3.googleusercontent.com/pw/AP1GczONqOhe48qxVVaX8qfDWBwVQYilIKGl1pGU_b-EDsMqWIEOAlbgZl_Y4-loeTC7uuKH35_h0J6vwhhDucdgWGxXDEYSk7K623tEjt3UnzHL6AhSncz9=w1200|https://lh3.googleusercontent.com/pw/AP1GczOxAsIMqz81cqKwod0axMNo9fGGjdtxGb_H75j1AEjjVH6uPKdNeLh64KVdO5sarUAzW8u4kW7p7_xg5YORWyMphfQP4A3W_VmAvYIaS8WMFz_OxliY=w1200</v>
      </c>
      <c r="AJ322" s="46"/>
      <c r="AK322" s="46"/>
      <c r="AL322" s="46"/>
      <c r="AM322" s="46"/>
      <c r="AN322" s="46"/>
      <c r="AO322" s="46"/>
      <c r="AP322" s="46"/>
      <c r="AQ322" s="46"/>
      <c r="AR322" s="46"/>
      <c r="AS322" s="46"/>
      <c r="AT322" s="46"/>
      <c r="AU322" s="46"/>
      <c r="AV322" s="46"/>
      <c r="AW322" s="46"/>
      <c r="AX322" s="46"/>
      <c r="AY322" s="46"/>
      <c r="AZ322" s="46"/>
      <c r="BA322" s="46"/>
      <c r="BB322" s="46"/>
      <c r="BC322" s="46"/>
      <c r="BD322" s="46"/>
      <c r="BE322" s="46"/>
      <c r="BF322" s="46"/>
      <c r="BG322" s="46"/>
      <c r="BH322" s="46"/>
      <c r="BI322" s="46"/>
      <c r="BJ322" s="46"/>
      <c r="BK322" s="46"/>
      <c r="BL322" s="46"/>
      <c r="BM322" s="46"/>
      <c r="BN322" s="46"/>
      <c r="BO322" s="46"/>
      <c r="BP322" s="46"/>
      <c r="BQ322" s="46"/>
      <c r="BR322" s="46"/>
      <c r="BS322" s="46"/>
      <c r="BT322" s="46"/>
      <c r="BU322" s="46"/>
      <c r="BV322" s="46"/>
      <c r="BW322" s="46"/>
      <c r="BX322" s="46"/>
      <c r="BY322" s="46"/>
      <c r="BZ322" s="46"/>
      <c r="CA322" s="46"/>
      <c r="CB322" s="46"/>
      <c r="CC322" s="46"/>
    </row>
    <row r="323">
      <c r="A323" s="87" t="str">
        <f>IFERROR(__xludf.DUMMYFUNCTION("""COMPUTED_VALUE"""),"1370")</f>
        <v>1370</v>
      </c>
      <c r="B323" s="46" t="str">
        <f>IFERROR(__xludf.DUMMYFUNCTION("""COMPUTED_VALUE"""),"Casa en Conjunto Altos de la Pradera - Oriente")</f>
        <v>Casa en Conjunto Altos de la Pradera - Oriente</v>
      </c>
      <c r="C323" s="46" t="str">
        <f>IFERROR(__xludf.DUMMYFUNCTION("""COMPUTED_VALUE"""),"Casa en conjunto")</f>
        <v>Casa en conjunto</v>
      </c>
      <c r="D323" s="90" t="str">
        <f>IFERROR(__xludf.DUMMYFUNCTION("""COMPUTED_VALUE"""),"Ipanema")</f>
        <v>Ipanema</v>
      </c>
      <c r="E323" s="46" t="str">
        <f>IFERROR(__xludf.DUMMYFUNCTION("""COMPUTED_VALUE"""),"Altos de La Pradera")</f>
        <v>Altos de La Pradera</v>
      </c>
      <c r="F323" s="90">
        <f>IFERROR(__xludf.DUMMYFUNCTION("""COMPUTED_VALUE"""),1.7E9)</f>
        <v>1700000000</v>
      </c>
      <c r="G323" s="46" t="str">
        <f>IFERROR(__xludf.DUMMYFUNCTION("""COMPUTED_VALUE"""),"Más de $1.000'000.000")</f>
        <v>Más de $1.000'000.000</v>
      </c>
      <c r="H323" s="46"/>
      <c r="I323" s="46"/>
      <c r="J323" s="46" t="str">
        <f>IFERROR(__xludf.DUMMYFUNCTION("""COMPUTED_VALUE"""),"Oriente")</f>
        <v>Oriente</v>
      </c>
      <c r="K323" s="87"/>
      <c r="L323" s="46">
        <f>IFERROR(__xludf.DUMMYFUNCTION("""COMPUTED_VALUE"""),4.0)</f>
        <v>4</v>
      </c>
      <c r="M323" s="46"/>
      <c r="N323" s="46">
        <f>IFERROR(__xludf.DUMMYFUNCTION("""COMPUTED_VALUE"""),4.0)</f>
        <v>4</v>
      </c>
      <c r="O323" s="46">
        <f>IFERROR(__xludf.DUMMYFUNCTION("""COMPUTED_VALUE"""),2.0)</f>
        <v>2</v>
      </c>
      <c r="P323" s="46">
        <f>IFERROR(__xludf.DUMMYFUNCTION("""COMPUTED_VALUE"""),2.0)</f>
        <v>2</v>
      </c>
      <c r="Q323" s="92">
        <f>IFERROR(__xludf.DUMMYFUNCTION("""COMPUTED_VALUE"""),423.0)</f>
        <v>423</v>
      </c>
      <c r="R323" s="92">
        <f>IFERROR(__xludf.DUMMYFUNCTION("""COMPUTED_VALUE"""),1167.0)</f>
        <v>1167</v>
      </c>
      <c r="S323" s="87" t="str">
        <f>IFERROR(__xludf.DUMMYFUNCTION("""COMPUTED_VALUE""")," ")</f>
        <v> </v>
      </c>
      <c r="T323" s="46" t="str">
        <f>IFERROR(__xludf.DUMMYFUNCTION("""COMPUTED_VALUE"""),"Neiva")</f>
        <v>Neiva</v>
      </c>
      <c r="U323" s="87" t="str">
        <f>IFERROR(__xludf.DUMMYFUNCTION("""COMPUTED_VALUE"""),"4")</f>
        <v>4</v>
      </c>
      <c r="V323" s="46"/>
      <c r="W323" s="46"/>
      <c r="X323" s="46">
        <f>IFERROR(__xludf.DUMMYFUNCTION("""COMPUTED_VALUE"""),4.0)</f>
        <v>4</v>
      </c>
      <c r="Y323" s="46" t="str">
        <f>IFERROR(__xludf.DUMMYFUNCTION("""COMPUTED_VALUE"""),"Privada")</f>
        <v>Privada</v>
      </c>
      <c r="Z323" s="90">
        <f>IFERROR(__xludf.DUMMYFUNCTION("""COMPUTED_VALUE"""),336000.0)</f>
        <v>336000</v>
      </c>
      <c r="AA323" s="33" t="str">
        <f>IFERROR(__xludf.DUMMYFUNCTION("""COMPUTED_VALUE"""),"No aplica")</f>
        <v>No aplica</v>
      </c>
      <c r="AB323" s="96" t="str">
        <f>IFERROR(__xludf.DUMMYFUNCTION("""COMPUTED_VALUE"""),"https://photos.app.goo.gl/FJgEfD1w36cGS8V97")</f>
        <v>https://photos.app.goo.gl/FJgEfD1w36cGS8V97</v>
      </c>
      <c r="AC323" s="46" t="str">
        <f>IFERROR(__xludf.DUMMYFUNCTION("""COMPUTED_VALUE"""),"La casa cuenta con 3 habitaciones, dos de ellas con baño privado, además de un espectacular segundo nivel con estudio, baño y terraza. Dispone de sala y comedor amplios, estudio independiente y moderna cocina integral abierta. En su zona exterior se desta"&amp;"ca una increíble área social con piscina de 56 m², kiosco y baño, complementada con sauna y turco para una experiencia de relajación total.")</f>
        <v>La casa cuenta con 3 habitaciones, dos de ellas con baño privado, además de un espectacular segundo nivel con estudio, baño y terraza. Dispone de sala y comedor amplios, estudio independiente y moderna cocina integral abierta. En su zona exterior se destaca una increíble área social con piscina de 56 m², kiosco y baño, complementada con sauna y turco para una experiencia de relajación total.</v>
      </c>
      <c r="AD323" s="46" t="str">
        <f>IFERROR(__xludf.DUMMYFUNCTION("""COMPUTED_VALUE"""),"Exclusiva y amplia propiedad, ideal para quienes buscan confort, privacidad y espacios de lujo. También incluye zona de lavandería y 4 parqueaderos. Una propiedad perfecta para vivir con comodidad y disfrutar de un ambiente exclusivo.")</f>
        <v>Exclusiva y amplia propiedad, ideal para quienes buscan confort, privacidad y espacios de lujo. También incluye zona de lavandería y 4 parqueaderos. Una propiedad perfecta para vivir con comodidad y disfrutar de un ambiente exclusivo.</v>
      </c>
      <c r="AE323" s="46"/>
      <c r="AF323" s="46" t="str">
        <f>IFERROR(__xludf.DUMMYFUNCTION("""COMPUTED_VALUE"""),"integral")</f>
        <v>integral</v>
      </c>
      <c r="AG323" s="46"/>
      <c r="AH323" s="46" t="str">
        <f>IFERROR(__xludf.DUMMYFUNCTION("""COMPUTED_VALUE"""),"Aliado")</f>
        <v>Aliado</v>
      </c>
      <c r="AI323" s="92" t="str">
        <f>IFERROR(__xludf.DUMMYFUNCTION("""COMPUTED_VALUE"""),"https://lh3.googleusercontent.com/pw/AP1GczP5gKq06KKTYpDjdGUv1DfipNpCXJ9siFizxXaCnS8PYLd74VNdU6C4g-Wd2jX4c6vdPlHCvo5ob35cTNTQ1HVtkTTkxIk5TTSfR9VXzwd1M5YvMmsR=w1200|https://lh3.googleusercontent.com/pw/AP1GczPwdIhH0X9lBnAN2C9_PmJbWk_7v7bbXFn9eoyWUuWYje1XE9"&amp;"nK9pm3Tl2W4JRu1HeuPBAXO2bRUXr6A2iYu0OshtiBGdipLK9LZlprkweXfmk_wuL8=w1200|https://lh3.googleusercontent.com/pw/AP1GczOK3oRspV_zueES2qnDbOxkpn44BtNYYWoMskO18RMXZq7N-54oeK7FPsmRt8U-KMQJUyjwnnPN-T_YF8TDjqQnrWKRGL7iWPaHy7fsV_ig0_NVnYzH=w1200|https://lh3.google"&amp;"usercontent.com/pw/AP1GczP4J6owjVfINMwNO5A9LgjkLlkWC5cyzSmVMrgEeiLGtIBhSsifh6noB9loKqrw5YliSj4Q-rhZ9JbHPPjtJSwSfEyLFbj7PXaewZ8SGYRdW5Ki7uTg=w1200|https://lh3.googleusercontent.com/pw/AP1GczPbIVcCSIXCLWEv6fqxdgrgMxPUuuHnfMfi1MoSBIh-9fCwpskO2P8nT9Yl0SV6_3E_"&amp;"OkqGhjNAETd_71cd6cn9aSSUPVf_9meUHGYMesSuYkWpWnpo=w1200|https://lh3.googleusercontent.com/pw/AP1GczNNVsoeit0AaEf4JDVBIR6bflpnxfMymRSIIQRmTGSga9fsVDxuQ8pDRJSDQa-MMAM0y_oW6PsSGhQt8hohcrihhFnE_-PYpVtxAfAs6ts6EFPoG3Ce=w1200|https://lh3.googleusercontent.com/pw"&amp;"/AP1GczPMOTgPxOrfdW8c-reL1NayFzmGxsp_93BP2xV-9aMA5-ecy9Z5aSgHBXoPfVSo7uavs_g4vyW6mWpyO_dJ1xpC49E7mWVihAXN3IvJexFgQhUwKTeW=w1200|https://lh3.googleusercontent.com/pw/AP1GczN0DPftfxY3sxXigGXCpUjzpGs9KEgw1dnMlkxDy3bNMWgmhSFvPtfm7p0-HORB_cBdRpooWxp8HpTbGw7uZG"&amp;"OnvMr_BJq7c_ZrBvY9dlw4Il7tqWNb=w1200|https://lh3.googleusercontent.com/pw/AP1GczOvAP7kNjcDjw2DcD-whhshJOh_foBvHM5xAE5JJwKk8l5s5MRONnQJ0lgpubzDGiraetJQjsepRFEeQTve_7pL-JIYzIC9isbRapyvI1M_s8KuwL7Q=w1200|https://lh3.googleusercontent.com/pw/AP1GczMtoOinJpBcl"&amp;"iuoN73VBp_JJsZFipFnRODqzbyhvmrO0d-Q5sHoxgxmJWlRSWJQfnB_FCflnm5u3f4qOo4OL80QKdMtHmPlW-yW2s7HXmK5D1f1iZzw=w1200|https://lh3.googleusercontent.com/pw/AP1GczPM78dVSPGMj6CqELW5CZNKiogK36eF4Yff4C49NipfuDA78OtyOwCaF2OJjaUVKMFtCEZdvl2lUyf4jwy82KKeyI4dyQXaQp6DO5PH"&amp;"Ps_MXuAoSngl=w1200|https://lh3.googleusercontent.com/pw/AP1GczPuOYG_MNUkJtTJq8tw3vefOVU3APVOpcQhGo-gC2m9WrIq1qfoYwl9dhMoDuNio3ZGrGBP5z-A-STiyEd9vtZ-IFy96v6XEfujgw3msXdBB6b1ztc6=w1200|https://lh3.googleusercontent.com/pw/AP1GczMaBTvzpkgKHMQH4o8FSFgAyTJtynt"&amp;"XlwjYie0hWRa7jx5hznfBG2xVbP83x8YgLvetPpdI-Jtq22d6C2pdoy_KrdtZdraFramLcybtAttLldQMT9FZ=w1200|https://lh3.googleusercontent.com/pw/AP1GczOYvBhme_IyK6V-ybQ2FdjeAMRao8rboba-hNvggoiy-PR_DjILSvW2_EGeIFmQEOJLHx2BnIPffXLoVm-Zg5Vav7dWqRUVdwOPJPqLTP9RnKORFAV_=w1200"&amp;"|https://lh3.googleusercontent.com/pw/AP1GczNCEUUlazVnfbQioHkxeHp15JryNDEpmimjE7mYCCPt47gwgIfg_CQx8h21URp3aPQ0jd5117Pv39vGrVcBEZzifSmUWCP_wNareBx-UZMY_oQysXQC=w1200|https://lh3.googleusercontent.com/pw/AP1GczPByNcLpMioajd4e8M7NsjgHJ2jGfIWFH3JAMtwnriNjNJjK"&amp;"jcrgj7YzNy0ReMY8fex5D5vaei528Trn0ZXcRYE_oGKvB8HRAcwfcxQOmV1nVJIeteB=w1200|https://lh3.googleusercontent.com/pw/AP1GczOh-W0wlKRY_3uznT4CQHbP48eAR58GPIUTJdIp-Z7U0njRSOOFmaLvRH9x25cwRHz62st7NWQMg3XGrQuEVHytcrVjfnl2jrHFPzsATshPxswPxLtT=w1200|https://lh3.googl"&amp;"eusercontent.com/pw/AP1GczPnwrnEzGxwfepQZLi-V-a8XQCj1Tk9OlAZ76gavjnakjJPaXJDpltdY-gm3p7o6foSMi-APEg29OiIp-x_uC3uCNrym3lmdDQoMS970FeuEG2nnDaK=w1200|https://lh3.googleusercontent.com/pw/AP1GczPQobmuvODpxFIMbOTdHXP-alI1fAvgPJDkHns4uq848GJTywniGmBccgt7-0AiR9_"&amp;"uU_qe4lSacIAqrUqj1FHM6EQGhirtOurwIKEX6GJOo496y87P=w1200|https://lh3.googleusercontent.com/pw/AP1GczONKImcW48EZpqDb8T3-21JU0_M-l4cSITHHSBK3oWZedX9nS30qFeWAFpK-pwBr0adlItYvzsynQ1HbM29Aa4LYgOcP3iOaXeI3APor-vT9HY072ZI=w1200|https://lh3.googleusercontent.com/p"&amp;"w/AP1GczMGLHOtiazkfBrW1yMQDHuQHn8Llke3lSwwMZgvGRAtlcnoICgcdBFquPJ-6qcGSu7grIJ98gnOegGGmGW_dXzpct2dTzQ0pDmbKX0qIExmzzMmLih7=w1200|https://lh3.googleusercontent.com/pw/AP1GczNGE91YvqE30UkGvylscn4lVHMXAk_rDKie8pSfF2h-d_sQNLuFmwCmHfq20cOWfLwTqDoFuEVVG8f7B7VFF"&amp;"JYnoIh0EOn3gJ-G228K0nyI4EFjwDqL=w1200|https://lh3.googleusercontent.com/pw/AP1GczPSLqjRc_JG4uhlwEczdxegU_zfV6lcnvu4LuUzoWTo9pluHARYWDeh8KpZD7mUSwJJ8Uq_0iPkakC_EwiI-RBCP4mBujpqe9RpHT7xtT5z0Kl5gAZy=w1200|https://lh3.googleusercontent.com/pw/AP1GczNY8kuXpeGB"&amp;"Y5XDJJK-1kT--S9VpwzQSZ-vi51M78hLhmbeI1iijgfsRAHLwQxbQTy--R2-XDz8c4ao8XHK_sKmanRxku0YaoG251eTASoWtW6Qpm9U=w1200|https://lh3.googleusercontent.com/pw/AP1GczN9736pRwGGWq2jrZClRYpq225SdfTjAncjOqhaE2DaDvfFXygIhgdPOQnQgSXpX2E1aBHfZclS7cryVk4VMacss6hqkms_f34Y5Pt"&amp;"_t7smkGsoPNL4=w1200|https://lh3.googleusercontent.com/pw/AP1GczN00pPW1qkPiYQw-6fBZ83H1xjjQg6hVZiIXKUUmTmJ9qo4wuHZzCUwJe0RFifR8LUmACPJqAXDhxowqaay2ORHqrQqLCiXjliQ_Uiy9_LfReiaR7QO=w1200|https://lh3.googleusercontent.com/pw/AP1GczOsGpdYDlXIMdpnKnaupHvJi0uQeY"&amp;"bQS7uuk0EhqQI4fKUeFygDPHQ5cMD1j6lkMZFIkNG7kwRkzDf_piGkYEnVXTkXLuiET2Hzz7nXI172uQilK-ak=w1200|https://lh3.googleusercontent.com/pw/AP1GczN41f_DGcyPMQ4cT1wn0YAFD4E_MlsU3V58C2WgVE0Kf3UQd_5LT1Rdk3fvbwTFmmcvnXbHoB3uqvc7MaveX9CEiwBTlJbgMAv92Pj7BRT9zjkHik6M=w120"&amp;"0|https://lh3.googleusercontent.com/pw/AP1GczM-U61UbXN2JxdFUzWWrG84I6p66QA0WVxt5o55Tvu-i_K9M2Xuop73iz1JTvVg8cuoS6ldmjwJrQcIPf5smLYjw3t7_ldVsmkJkuJ6J4JOcVn3z28C=w1200")</f>
        <v>https://lh3.googleusercontent.com/pw/AP1GczP5gKq06KKTYpDjdGUv1DfipNpCXJ9siFizxXaCnS8PYLd74VNdU6C4g-Wd2jX4c6vdPlHCvo5ob35cTNTQ1HVtkTTkxIk5TTSfR9VXzwd1M5YvMmsR=w1200|https://lh3.googleusercontent.com/pw/AP1GczPwdIhH0X9lBnAN2C9_PmJbWk_7v7bbXFn9eoyWUuWYje1XE9nK9pm3Tl2W4JRu1HeuPBAXO2bRUXr6A2iYu0OshtiBGdipLK9LZlprkweXfmk_wuL8=w1200|https://lh3.googleusercontent.com/pw/AP1GczOK3oRspV_zueES2qnDbOxkpn44BtNYYWoMskO18RMXZq7N-54oeK7FPsmRt8U-KMQJUyjwnnPN-T_YF8TDjqQnrWKRGL7iWPaHy7fsV_ig0_NVnYzH=w1200|https://lh3.googleusercontent.com/pw/AP1GczP4J6owjVfINMwNO5A9LgjkLlkWC5cyzSmVMrgEeiLGtIBhSsifh6noB9loKqrw5YliSj4Q-rhZ9JbHPPjtJSwSfEyLFbj7PXaewZ8SGYRdW5Ki7uTg=w1200|https://lh3.googleusercontent.com/pw/AP1GczPbIVcCSIXCLWEv6fqxdgrgMxPUuuHnfMfi1MoSBIh-9fCwpskO2P8nT9Yl0SV6_3E_OkqGhjNAETd_71cd6cn9aSSUPVf_9meUHGYMesSuYkWpWnpo=w1200|https://lh3.googleusercontent.com/pw/AP1GczNNVsoeit0AaEf4JDVBIR6bflpnxfMymRSIIQRmTGSga9fsVDxuQ8pDRJSDQa-MMAM0y_oW6PsSGhQt8hohcrihhFnE_-PYpVtxAfAs6ts6EFPoG3Ce=w1200|https://lh3.googleusercontent.com/pw/AP1GczPMOTgPxOrfdW8c-reL1NayFzmGxsp_93BP2xV-9aMA5-ecy9Z5aSgHBXoPfVSo7uavs_g4vyW6mWpyO_dJ1xpC49E7mWVihAXN3IvJexFgQhUwKTeW=w1200|https://lh3.googleusercontent.com/pw/AP1GczN0DPftfxY3sxXigGXCpUjzpGs9KEgw1dnMlkxDy3bNMWgmhSFvPtfm7p0-HORB_cBdRpooWxp8HpTbGw7uZGOnvMr_BJq7c_ZrBvY9dlw4Il7tqWNb=w1200|https://lh3.googleusercontent.com/pw/AP1GczOvAP7kNjcDjw2DcD-whhshJOh_foBvHM5xAE5JJwKk8l5s5MRONnQJ0lgpubzDGiraetJQjsepRFEeQTve_7pL-JIYzIC9isbRapyvI1M_s8KuwL7Q=w1200|https://lh3.googleusercontent.com/pw/AP1GczMtoOinJpBcliuoN73VBp_JJsZFipFnRODqzbyhvmrO0d-Q5sHoxgxmJWlRSWJQfnB_FCflnm5u3f4qOo4OL80QKdMtHmPlW-yW2s7HXmK5D1f1iZzw=w1200|https://lh3.googleusercontent.com/pw/AP1GczPM78dVSPGMj6CqELW5CZNKiogK36eF4Yff4C49NipfuDA78OtyOwCaF2OJjaUVKMFtCEZdvl2lUyf4jwy82KKeyI4dyQXaQp6DO5PHPs_MXuAoSngl=w1200|https://lh3.googleusercontent.com/pw/AP1GczPuOYG_MNUkJtTJq8tw3vefOVU3APVOpcQhGo-gC2m9WrIq1qfoYwl9dhMoDuNio3ZGrGBP5z-A-STiyEd9vtZ-IFy96v6XEfujgw3msXdBB6b1ztc6=w1200|https://lh3.googleusercontent.com/pw/AP1GczMaBTvzpkgKHMQH4o8FSFgAyTJtyntXlwjYie0hWRa7jx5hznfBG2xVbP83x8YgLvetPpdI-Jtq22d6C2pdoy_KrdtZdraFramLcybtAttLldQMT9FZ=w1200|https://lh3.googleusercontent.com/pw/AP1GczOYvBhme_IyK6V-ybQ2FdjeAMRao8rboba-hNvggoiy-PR_DjILSvW2_EGeIFmQEOJLHx2BnIPffXLoVm-Zg5Vav7dWqRUVdwOPJPqLTP9RnKORFAV_=w1200|https://lh3.googleusercontent.com/pw/AP1GczNCEUUlazVnfbQioHkxeHp15JryNDEpmimjE7mYCCPt47gwgIfg_CQx8h21URp3aPQ0jd5117Pv39vGrVcBEZzifSmUWCP_wNareBx-UZMY_oQysXQC=w1200|https://lh3.googleusercontent.com/pw/AP1GczPByNcLpMioajd4e8M7NsjgHJ2jGfIWFH3JAMtwnriNjNJjKjcrgj7YzNy0ReMY8fex5D5vaei528Trn0ZXcRYE_oGKvB8HRAcwfcxQOmV1nVJIeteB=w1200|https://lh3.googleusercontent.com/pw/AP1GczOh-W0wlKRY_3uznT4CQHbP48eAR58GPIUTJdIp-Z7U0njRSOOFmaLvRH9x25cwRHz62st7NWQMg3XGrQuEVHytcrVjfnl2jrHFPzsATshPxswPxLtT=w1200|https://lh3.googleusercontent.com/pw/AP1GczPnwrnEzGxwfepQZLi-V-a8XQCj1Tk9OlAZ76gavjnakjJPaXJDpltdY-gm3p7o6foSMi-APEg29OiIp-x_uC3uCNrym3lmdDQoMS970FeuEG2nnDaK=w1200|https://lh3.googleusercontent.com/pw/AP1GczPQobmuvODpxFIMbOTdHXP-alI1fAvgPJDkHns4uq848GJTywniGmBccgt7-0AiR9_uU_qe4lSacIAqrUqj1FHM6EQGhirtOurwIKEX6GJOo496y87P=w1200|https://lh3.googleusercontent.com/pw/AP1GczONKImcW48EZpqDb8T3-21JU0_M-l4cSITHHSBK3oWZedX9nS30qFeWAFpK-pwBr0adlItYvzsynQ1HbM29Aa4LYgOcP3iOaXeI3APor-vT9HY072ZI=w1200|https://lh3.googleusercontent.com/pw/AP1GczMGLHOtiazkfBrW1yMQDHuQHn8Llke3lSwwMZgvGRAtlcnoICgcdBFquPJ-6qcGSu7grIJ98gnOegGGmGW_dXzpct2dTzQ0pDmbKX0qIExmzzMmLih7=w1200|https://lh3.googleusercontent.com/pw/AP1GczNGE91YvqE30UkGvylscn4lVHMXAk_rDKie8pSfF2h-d_sQNLuFmwCmHfq20cOWfLwTqDoFuEVVG8f7B7VFFJYnoIh0EOn3gJ-G228K0nyI4EFjwDqL=w1200|https://lh3.googleusercontent.com/pw/AP1GczPSLqjRc_JG4uhlwEczdxegU_zfV6lcnvu4LuUzoWTo9pluHARYWDeh8KpZD7mUSwJJ8Uq_0iPkakC_EwiI-RBCP4mBujpqe9RpHT7xtT5z0Kl5gAZy=w1200|https://lh3.googleusercontent.com/pw/AP1GczNY8kuXpeGBY5XDJJK-1kT--S9VpwzQSZ-vi51M78hLhmbeI1iijgfsRAHLwQxbQTy--R2-XDz8c4ao8XHK_sKmanRxku0YaoG251eTASoWtW6Qpm9U=w1200|https://lh3.googleusercontent.com/pw/AP1GczN9736pRwGGWq2jrZClRYpq225SdfTjAncjOqhaE2DaDvfFXygIhgdPOQnQgSXpX2E1aBHfZclS7cryVk4VMacss6hqkms_f34Y5Pt_t7smkGsoPNL4=w1200|https://lh3.googleusercontent.com/pw/AP1GczN00pPW1qkPiYQw-6fBZ83H1xjjQg6hVZiIXKUUmTmJ9qo4wuHZzCUwJe0RFifR8LUmACPJqAXDhxowqaay2ORHqrQqLCiXjliQ_Uiy9_LfReiaR7QO=w1200|https://lh3.googleusercontent.com/pw/AP1GczOsGpdYDlXIMdpnKnaupHvJi0uQeYbQS7uuk0EhqQI4fKUeFygDPHQ5cMD1j6lkMZFIkNG7kwRkzDf_piGkYEnVXTkXLuiET2Hzz7nXI172uQilK-ak=w1200|https://lh3.googleusercontent.com/pw/AP1GczN41f_DGcyPMQ4cT1wn0YAFD4E_MlsU3V58C2WgVE0Kf3UQd_5LT1Rdk3fvbwTFmmcvnXbHoB3uqvc7MaveX9CEiwBTlJbgMAv92Pj7BRT9zjkHik6M=w1200|https://lh3.googleusercontent.com/pw/AP1GczM-U61UbXN2JxdFUzWWrG84I6p66QA0WVxt5o55Tvu-i_K9M2Xuop73iz1JTvVg8cuoS6ldmjwJrQcIPf5smLYjw3t7_ldVsmkJkuJ6J4JOcVn3z28C=w1200</v>
      </c>
      <c r="AJ323" s="46"/>
      <c r="AK323" s="46"/>
      <c r="AL323" s="46"/>
      <c r="AM323" s="46"/>
      <c r="AN323" s="46"/>
      <c r="AO323" s="46"/>
      <c r="AP323" s="46"/>
      <c r="AQ323" s="46"/>
      <c r="AR323" s="46"/>
      <c r="AS323" s="46"/>
      <c r="AT323" s="46"/>
      <c r="AU323" s="46"/>
      <c r="AV323" s="46"/>
      <c r="AW323" s="46"/>
      <c r="AX323" s="46"/>
      <c r="AY323" s="46"/>
      <c r="AZ323" s="46"/>
      <c r="BA323" s="46"/>
      <c r="BB323" s="46"/>
      <c r="BC323" s="46"/>
      <c r="BD323" s="46"/>
      <c r="BE323" s="46"/>
      <c r="BF323" s="46"/>
      <c r="BG323" s="46"/>
      <c r="BH323" s="46"/>
      <c r="BI323" s="46"/>
      <c r="BJ323" s="46"/>
      <c r="BK323" s="46"/>
      <c r="BL323" s="46"/>
      <c r="BM323" s="46"/>
      <c r="BN323" s="46"/>
      <c r="BO323" s="46"/>
      <c r="BP323" s="46"/>
      <c r="BQ323" s="46"/>
      <c r="BR323" s="46"/>
      <c r="BS323" s="46"/>
      <c r="BT323" s="46"/>
      <c r="BU323" s="46"/>
      <c r="BV323" s="46"/>
      <c r="BW323" s="46"/>
      <c r="BX323" s="46"/>
      <c r="BY323" s="46"/>
      <c r="BZ323" s="46"/>
      <c r="CA323" s="46"/>
      <c r="CB323" s="46"/>
      <c r="CC323" s="46"/>
    </row>
    <row r="324">
      <c r="A324" s="87" t="str">
        <f>IFERROR(__xludf.DUMMYFUNCTION("""COMPUTED_VALUE"""),"1034")</f>
        <v>1034</v>
      </c>
      <c r="B324" s="46" t="str">
        <f>IFERROR(__xludf.DUMMYFUNCTION("""COMPUTED_VALUE"""),"Edificio rentable  con 3 Apartamentos y 2 Locales en barrio Urdaneta")</f>
        <v>Edificio rentable  con 3 Apartamentos y 2 Locales en barrio Urdaneta</v>
      </c>
      <c r="C324" s="46" t="str">
        <f>IFERROR(__xludf.DUMMYFUNCTION("""COMPUTED_VALUE"""),"Edificio rentable")</f>
        <v>Edificio rentable</v>
      </c>
      <c r="D324" s="90" t="str">
        <f>IFERROR(__xludf.DUMMYFUNCTION("""COMPUTED_VALUE"""),"Urdaneta")</f>
        <v>Urdaneta</v>
      </c>
      <c r="E324" s="46"/>
      <c r="F324" s="90">
        <f>IFERROR(__xludf.DUMMYFUNCTION("""COMPUTED_VALUE"""),1.5E9)</f>
        <v>1500000000</v>
      </c>
      <c r="G324" s="46" t="str">
        <f>IFERROR(__xludf.DUMMYFUNCTION("""COMPUTED_VALUE"""),"Más de $1.000'000.000")</f>
        <v>Más de $1.000'000.000</v>
      </c>
      <c r="H324" s="46"/>
      <c r="I324" s="46"/>
      <c r="J324" s="46" t="str">
        <f>IFERROR(__xludf.DUMMYFUNCTION("""COMPUTED_VALUE"""),"Centro")</f>
        <v>Centro</v>
      </c>
      <c r="K324" s="87"/>
      <c r="L324" s="46">
        <f>IFERROR(__xludf.DUMMYFUNCTION("""COMPUTED_VALUE"""),12.0)</f>
        <v>12</v>
      </c>
      <c r="M324" s="46"/>
      <c r="N324" s="46">
        <f>IFERROR(__xludf.DUMMYFUNCTION("""COMPUTED_VALUE"""),8.0)</f>
        <v>8</v>
      </c>
      <c r="O324" s="46">
        <f>IFERROR(__xludf.DUMMYFUNCTION("""COMPUTED_VALUE"""),3.0)</f>
        <v>3</v>
      </c>
      <c r="P324" s="46">
        <f>IFERROR(__xludf.DUMMYFUNCTION("""COMPUTED_VALUE"""),4.0)</f>
        <v>4</v>
      </c>
      <c r="Q324" s="92">
        <f>IFERROR(__xludf.DUMMYFUNCTION("""COMPUTED_VALUE"""),490.0)</f>
        <v>490</v>
      </c>
      <c r="R324" s="92">
        <f>IFERROR(__xludf.DUMMYFUNCTION("""COMPUTED_VALUE"""),140.0)</f>
        <v>140</v>
      </c>
      <c r="S324" s="87" t="str">
        <f>IFERROR(__xludf.DUMMYFUNCTION("""COMPUTED_VALUE"""),"Rentabilidad $5,500,000")</f>
        <v>Rentabilidad $5,500,000</v>
      </c>
      <c r="T324" s="46" t="str">
        <f>IFERROR(__xludf.DUMMYFUNCTION("""COMPUTED_VALUE"""),"Neiva")</f>
        <v>Neiva</v>
      </c>
      <c r="U324" s="87" t="str">
        <f>IFERROR(__xludf.DUMMYFUNCTION("""COMPUTED_VALUE"""),"3")</f>
        <v>3</v>
      </c>
      <c r="V324" s="46" t="str">
        <f>IFERROR(__xludf.DUMMYFUNCTION("""COMPUTED_VALUE"""),"Medianera")</f>
        <v>Medianera</v>
      </c>
      <c r="W324" s="46"/>
      <c r="X324" s="46">
        <f>IFERROR(__xludf.DUMMYFUNCTION("""COMPUTED_VALUE"""),12.0)</f>
        <v>12</v>
      </c>
      <c r="Y324" s="46" t="str">
        <f>IFERROR(__xludf.DUMMYFUNCTION("""COMPUTED_VALUE"""),"No tiene")</f>
        <v>No tiene</v>
      </c>
      <c r="Z324" s="90" t="str">
        <f>IFERROR(__xludf.DUMMYFUNCTION("""COMPUTED_VALUE"""),"No aplica")</f>
        <v>No aplica</v>
      </c>
      <c r="AA324" s="33" t="str">
        <f>IFERROR(__xludf.DUMMYFUNCTION("""COMPUTED_VALUE"""),"23 años")</f>
        <v>23 años</v>
      </c>
      <c r="AB324" s="144" t="str">
        <f>IFERROR(__xludf.DUMMYFUNCTION("""COMPUTED_VALUE"""),"https://photos.app.goo.gl/hx8eC7J6bJFm1Wbq9")</f>
        <v>https://photos.app.goo.gl/hx8eC7J6bJFm1Wbq9</v>
      </c>
      <c r="AC324" s="46" t="str">
        <f>IFERROR(__xludf.DUMMYFUNCTION("""COMPUTED_VALUE"""),"Consta de 4 pisos. El primero cuenta con dos locales uno de ellos con mezzanine al fondo para oficina, el segundo con bodega al fondo y se puede utilizar como local o parqueadero. Segundo piso cuenta con un área de 200mts, todo en plancha, 4 habitaciones,"&amp;" 2 baños, 2 patios, cocina y sala-comedor. Tercer piso cuenta con un área de 140 mts, 4 habitaciones, espacio para ropa, 2 baños, cocina, sala-comedor. Cuarto piso cuenta con un área de 140 mts, 4 habitaciones, espacio para ropa, 2 baños, cocina, sala-com"&amp;"edor.")</f>
        <v>Consta de 4 pisos. El primero cuenta con dos locales uno de ellos con mezzanine al fondo para oficina, el segundo con bodega al fondo y se puede utilizar como local o parqueadero. Segundo piso cuenta con un área de 200mts, todo en plancha, 4 habitaciones, 2 baños, 2 patios, cocina y sala-comedor. Tercer piso cuenta con un área de 140 mts, 4 habitaciones, espacio para ropa, 2 baños, cocina, sala-comedor. Cuarto piso cuenta con un área de 140 mts, 4 habitaciones, espacio para ropa, 2 baños, cocina, sala-comedor.</v>
      </c>
      <c r="AD324" s="46"/>
      <c r="AE324" s="46"/>
      <c r="AF324" s="46" t="str">
        <f>IFERROR(__xludf.DUMMYFUNCTION("""COMPUTED_VALUE"""),"semi-integral")</f>
        <v>semi-integral</v>
      </c>
      <c r="AG324" s="46"/>
      <c r="AH324" s="46" t="str">
        <f>IFERROR(__xludf.DUMMYFUNCTION("""COMPUTED_VALUE"""),"Aliado")</f>
        <v>Aliado</v>
      </c>
      <c r="AI324" s="92" t="str">
        <f>IFERROR(__xludf.DUMMYFUNCTION("""COMPUTED_VALUE"""),"https://lh3.googleusercontent.com/pw/AP1GczMdVby3DJiCVf6fwcoZV2J2ekn37xnkIs1qt2STElPVFIfoujldY5sbaAoVC4ex3JE_pnh5THXZ33TQ9zUtQNB-USJY1cQejod7l6STGe0y50QyxF_-=w1200|https://lh3.googleusercontent.com/pw/AP1GczPka0e4lq4chOiRqj6hYQ1fQhBOuIXb40lCj59hDGCuDUrhQk"&amp;"6siXHTpPZhv3-PbGqSu0nqFZoI6QKxDMo1cS2sC8ALV0dU22WLuk49-NpvYDtl4x4o=w1200|https://lh3.googleusercontent.com/pw/AP1GczMnt2haTw0iuHg2DurubywWkYMI78QL9_Ydfp9PIK4-8zX6N_DdAjajucqpOIHKZcfl9tQVDuuWH_OIzLjOnMfXk0qIZ-xGxFedQddo-nRO7w1DOpHU=w1200|https://lh3.google"&amp;"usercontent.com/pw/AP1GczMQigyLdwjHvjgf12ZEObUMrx30a1oSyG1qAGp1B-yJXV82rZYdN3SKyK978mM-meEPNlMpHDB3I3AvGOf2WrXMveUcTsHSEugtQ_KiyNtBfQx1nF-7=w1200|https://lh3.googleusercontent.com/pw/AP1GczM2E3c8hNyxHtIf18pTLl0COeo-3BGQ06g-DkwunBuTXLm0TRPZyFZ0zSHQZ9Z5Vq0t"&amp;"XDcme0reCGo1Tz5sFL2_uoO9YDklnMAgeeY4xa8SX7tXQpgs=w1200|https://lh3.googleusercontent.com/pw/AP1GczP984urJpLRGg1XulbUPTLn5emy2WJsBvpbBN-Fr0uerf8EKsSf1olgro29Fk70F2s721e8rS3QC3Um1k-mmyTHPVNMZdxXKHx6Xbj_9I6SqH8P0wp3=w1200|https://lh3.googleusercontent.com/pw"&amp;"/AP1GczMFHacEsKlVf4m2e9N6NJYlxfS3zRb-7BQSUBNmYkmVK0JMg-67OgKgC3r9TFQgBlHE0q1MQQMVTaBoJU_7pcB7tJccfruavLNtxIvnyCWqEG1BIMPO=w1200|https://lh3.googleusercontent.com/pw/AP1GczNOVdIp4ntb5y_InH4U5U13l6dw4NH4RlJVPzkIimdXEKa_p9FUEIsyVTYI74OcT5ot6jqgXW5AARSeE3dtK8"&amp;"hp5hE7dRwZRUqD4nyg5pBFmn9ELH0j=w1200|https://lh3.googleusercontent.com/pw/AP1GczNQskC7gr0RYWAbqbRhfic1woWpwYd623T8JlxV27bB9agYBVF0cDyF5imiSJ9Bdmy2zJVDAdPnkuW-lzMPOmjOZx5AjtmyMqZ-58Azd07IPN65ttOd=w1200|https://lh3.googleusercontent.com/pw/AP1GczMHymdiNRBIJ"&amp;"VpWSkHa7SklNpKBsEUCeeHHuqPLbfn7BTdpX905glafa3CkkMN4ow0-mEyIv_tpKtPYn6be_SV-HJh-MZ9rq6og9VwqvKjTdxBG4VZa=w1200|https://lh3.googleusercontent.com/pw/AP1GczOP83grJCKwGRFGyLpfbn_wA3G-v0dHh4xnddqye_KV_94sxoX3Ov6RPeXVOzjZFwskQwn7yoHlNYhViZGWA7PAFFvJJ2OMEaygXFKb"&amp;"FNXSbJG08Tdt=w1200|https://lh3.googleusercontent.com/pw/AP1GczNRpNQA1Aj5qjpRZYo4DzeIyg2mAvg0uH4uLW3hifiPtdNIg_TKTfh_ZeHGrtar0QNTRiNd7fLfNy4V7I943IoYOuyClUGap25fmGF3Ux3mBkmCHio-=w1200|https://lh3.googleusercontent.com/pw/AP1GczMm-gsDla9TlIsv9bJO-lOJqbFWSP3"&amp;"H9hK2GGspIlOBcjuYjn-vKBhlAkDyisf8gVwN-Eni0qI-PqqbmLpD0YHddTSwpaCTxhIfrvaJIAsATAgf1vmn=w1200|https://lh3.googleusercontent.com/pw/AP1GczNBwaVnMev4RGfiHP_yzBn75dAZURJOQ8nlQ9zXAL3P8P_uWSX3wdP9uSMmy21XLrsMm4Jm0MIIMLXwwJJn6pzt7SdFPtY5BlTCAgDk4LsY6EhCYmDl=w1200"&amp;"|https://lh3.googleusercontent.com/pw/AP1GczMjC77leI__4kCA4jUBk8xNqx5K5W2bRS5Ugbqm0ff1D-riiiLomeb5Y1unZroT5gyfQoovLe3OZILO8Toqlul-xJNMWOtQ9gGNWLrdnyi2YkK0yF4C=w1200|https://lh3.googleusercontent.com/pw/AP1GczPzrEpze1nPwAzAYWC4tXsXGn9CCHbOggnI8KgFpquhdtfQz"&amp;"R0O0FyEBRey3jOhHMNQUohi_O8unTGLMTeJAK6fucwRGpjfiMeSy_vhse3hrIjsgo54=w1200|https://lh3.googleusercontent.com/pw/AP1GczMsLegE2Wc6DDbMQfOTheIn6n9KwIM0rO923rKRMIgqVNoq3kLu329pxqZyyly9XiKIDa6qAa2Qksf4SSQWxRNewvmsWZkk-O2XXUnMeSeZXedc4guB=w1200|https://lh3.googl"&amp;"eusercontent.com/pw/AP1GczMu2oOwQp9WiZ8i70h8vXEcfwpHvnIsgg0pSqRpgWHyXfIspg6_opX1ouhkkLjQWtovV7aaJZNgYnDD9Yrg5WmwHyZNdRdlRuDIF6ivp8xtInyDpDsE=w1200|https://lh3.googleusercontent.com/pw/AP1GczOfQwb9-08KQd9Evsn2276PEtF4O1NOJhTX50lCx1cdLIQRJ9iH_iZA0CIx9Eg2XqX"&amp;"Jm1ewqjkD48vdTK-N0NyIcMdaSc26WgNPRXIoDT6Wf9Kh4BOP=w1200|https://lh3.googleusercontent.com/pw/AP1GczNPhw21Wnjv_n7kcJk1DZK8PFhR1mMWv5hT1gpz1aN1YBw5VIpouLrkYTP51-V8KZfq10zM7JalSzm_R8-jGVTiXsMhle3ttzx_48jA1V9Qy4FQQ3oK=w1200|https://lh3.googleusercontent.com/p"&amp;"w/AP1GczM0AxfFFny1ExGdIQap0Yu7g0lZFXewaeOqnOnqIsPZbIj6ez9ID4GS0SelDaEz_TtedPk267Cx7Ci5afDMqFS9PCwhpb8wtsr9fjP8vSzwjgA7J7UW=w1200|https://lh3.googleusercontent.com/pw/AP1GczM87b8JI3Q58poOgG0WwJshiuS5YrIGQSjo2ypCFDz8-aifeuUoiUsruoWt8pc2084zUYrrDq8aY42mII2Od"&amp;"7og73T-nhrl0cOd7rNmSKVbAkxT-815=w1200|https://lh3.googleusercontent.com/pw/AP1GczMX4TwCThOmAvqFPJbdjtBPkjxmS_qNRR-0sAHQ1jgE8SMlxz6wjiNHoQU3ATFhWA4lFHsnHmsUsXalki_PUbo-19p7j6E1kxwpVOb9hmsyG5F4yaFa=w1200|https://lh3.googleusercontent.com/pw/AP1GczOceC1up__r"&amp;"Hapidu6-DBO71Kjj1-9BRBsW21LE7Kiz7Bi9SL_pH4WMHNNWzjf1IIkDJpwsxJIAUgZZQ3eRwaMx_xHvU_wm_rSeQt7iGXC6N1axm3pC=w1200|https://lh3.googleusercontent.com/pw/AP1GczPjbCaASz_QwcHJmQ39SsLXY9uxjyjrFmcnhhFVkhARFqi-JSl1vfk0H2Xr5r2coi5oIyOaMRqU_6tV9i9hZ_JTHF4qLjobB5yGUj1"&amp;"k7sooIH00i2De=w1200|https://lh3.googleusercontent.com/pw/AP1GczNr_wQsrkbTMWCNqk8d7YvryL9_hKxUMciJdNSzGTJIGeQlt072t9isUvwYwe10xzmuRrz9zGrTxV78R7hu7_0zqrTk4BQxaRN8QqjO-n1aw8EZvaUR=w1200|https://lh3.googleusercontent.com/pw/AP1GczNxbyliLfKtjH5y0gJb7LtALpzwIG"&amp;"1wKt4WZUK56mfNHDAQzWiBMvJNi3GCQ1AmDY5snD8RCiZB6Oy1gsozX1lE-5wNnXNACCp_MByn5hYy6c4i4CwP=w1200|https://lh3.googleusercontent.com/pw/AP1GczNODVJFyynPI5gZ7AFpt84lYi4rzvtfb-zFJNPAADfh1JSgKf-F4dxWj0PBOlLD3nUsarchBacU0QbqI-D6uC94R4UPiEmELNt4LKFpAsCNJdS6SCLy=w120"&amp;"0|https://lh3.googleusercontent.com/pw/AP1GczNFfpiaLHq3Tsa0mcPvgg-2tEOon69sr4yPvU19glFxT8dTXz0zrsGOLbWYNzRUQNwkWmL-UXAZpvURV2mNdkQReK3pTfpsvg6u_TfkmUW79QJZ4LfN=w1200|https://lh3.googleusercontent.com/pw/AP1GczNQMpfVPjk-AuNO6BBeIkA6bcIllpfqz_5vxcYla1Ch6WQP"&amp;"ocJyYYxCkaA_OgS0A2WBbSBSGhwzpolh12fC0m75busAWxqas7s8UMC6kxpsJc3YVdhU=w1200|https://lh3.googleusercontent.com/pw/AP1GczOk3cJf8XVrLgzN8p0RW4ZoBjKpbrkt0-nAuKDFf7GTUamOPnZVLNOVXGxreOUAKtxX-N0WGgTILeCjQ_Mbajsx2Zh5IkMerlhm3vqSSRNS7AgNuUhE=w1200|https://lh3.goog"&amp;"leusercontent.com/pw/AP1GczMpg7MJQEYFQkv7RxRiImPsH9JygShd2vM2iBE7knr55bNP0gl4rxPcJ-EYPc-f3tlfv93O8aXw5d8Tanhj_z7SOdODOnQrZxOjt14llo0AIASMEcUM=w1200|https://lh3.googleusercontent.com/pw/AP1GczMp2EAgSXaFhhGPrlLtCflvxHF_hIlH7irronTgRfOJgCHoZ-Uh4qvbIHnIWBTC7M"&amp;"fIJ4PPPG02AXo0bqpcIwxJsKNxGSLr7I5T9iDOlxgt8XQaFk8E=w1200")</f>
        <v>https://lh3.googleusercontent.com/pw/AP1GczMdVby3DJiCVf6fwcoZV2J2ekn37xnkIs1qt2STElPVFIfoujldY5sbaAoVC4ex3JE_pnh5THXZ33TQ9zUtQNB-USJY1cQejod7l6STGe0y50QyxF_-=w1200|https://lh3.googleusercontent.com/pw/AP1GczPka0e4lq4chOiRqj6hYQ1fQhBOuIXb40lCj59hDGCuDUrhQk6siXHTpPZhv3-PbGqSu0nqFZoI6QKxDMo1cS2sC8ALV0dU22WLuk49-NpvYDtl4x4o=w1200|https://lh3.googleusercontent.com/pw/AP1GczMnt2haTw0iuHg2DurubywWkYMI78QL9_Ydfp9PIK4-8zX6N_DdAjajucqpOIHKZcfl9tQVDuuWH_OIzLjOnMfXk0qIZ-xGxFedQddo-nRO7w1DOpHU=w1200|https://lh3.googleusercontent.com/pw/AP1GczMQigyLdwjHvjgf12ZEObUMrx30a1oSyG1qAGp1B-yJXV82rZYdN3SKyK978mM-meEPNlMpHDB3I3AvGOf2WrXMveUcTsHSEugtQ_KiyNtBfQx1nF-7=w1200|https://lh3.googleusercontent.com/pw/AP1GczM2E3c8hNyxHtIf18pTLl0COeo-3BGQ06g-DkwunBuTXLm0TRPZyFZ0zSHQZ9Z5Vq0tXDcme0reCGo1Tz5sFL2_uoO9YDklnMAgeeY4xa8SX7tXQpgs=w1200|https://lh3.googleusercontent.com/pw/AP1GczP984urJpLRGg1XulbUPTLn5emy2WJsBvpbBN-Fr0uerf8EKsSf1olgro29Fk70F2s721e8rS3QC3Um1k-mmyTHPVNMZdxXKHx6Xbj_9I6SqH8P0wp3=w1200|https://lh3.googleusercontent.com/pw/AP1GczMFHacEsKlVf4m2e9N6NJYlxfS3zRb-7BQSUBNmYkmVK0JMg-67OgKgC3r9TFQgBlHE0q1MQQMVTaBoJU_7pcB7tJccfruavLNtxIvnyCWqEG1BIMPO=w1200|https://lh3.googleusercontent.com/pw/AP1GczNOVdIp4ntb5y_InH4U5U13l6dw4NH4RlJVPzkIimdXEKa_p9FUEIsyVTYI74OcT5ot6jqgXW5AARSeE3dtK8hp5hE7dRwZRUqD4nyg5pBFmn9ELH0j=w1200|https://lh3.googleusercontent.com/pw/AP1GczNQskC7gr0RYWAbqbRhfic1woWpwYd623T8JlxV27bB9agYBVF0cDyF5imiSJ9Bdmy2zJVDAdPnkuW-lzMPOmjOZx5AjtmyMqZ-58Azd07IPN65ttOd=w1200|https://lh3.googleusercontent.com/pw/AP1GczMHymdiNRBIJVpWSkHa7SklNpKBsEUCeeHHuqPLbfn7BTdpX905glafa3CkkMN4ow0-mEyIv_tpKtPYn6be_SV-HJh-MZ9rq6og9VwqvKjTdxBG4VZa=w1200|https://lh3.googleusercontent.com/pw/AP1GczOP83grJCKwGRFGyLpfbn_wA3G-v0dHh4xnddqye_KV_94sxoX3Ov6RPeXVOzjZFwskQwn7yoHlNYhViZGWA7PAFFvJJ2OMEaygXFKbFNXSbJG08Tdt=w1200|https://lh3.googleusercontent.com/pw/AP1GczNRpNQA1Aj5qjpRZYo4DzeIyg2mAvg0uH4uLW3hifiPtdNIg_TKTfh_ZeHGrtar0QNTRiNd7fLfNy4V7I943IoYOuyClUGap25fmGF3Ux3mBkmCHio-=w1200|https://lh3.googleusercontent.com/pw/AP1GczMm-gsDla9TlIsv9bJO-lOJqbFWSP3H9hK2GGspIlOBcjuYjn-vKBhlAkDyisf8gVwN-Eni0qI-PqqbmLpD0YHddTSwpaCTxhIfrvaJIAsATAgf1vmn=w1200|https://lh3.googleusercontent.com/pw/AP1GczNBwaVnMev4RGfiHP_yzBn75dAZURJOQ8nlQ9zXAL3P8P_uWSX3wdP9uSMmy21XLrsMm4Jm0MIIMLXwwJJn6pzt7SdFPtY5BlTCAgDk4LsY6EhCYmDl=w1200|https://lh3.googleusercontent.com/pw/AP1GczMjC77leI__4kCA4jUBk8xNqx5K5W2bRS5Ugbqm0ff1D-riiiLomeb5Y1unZroT5gyfQoovLe3OZILO8Toqlul-xJNMWOtQ9gGNWLrdnyi2YkK0yF4C=w1200|https://lh3.googleusercontent.com/pw/AP1GczPzrEpze1nPwAzAYWC4tXsXGn9CCHbOggnI8KgFpquhdtfQzR0O0FyEBRey3jOhHMNQUohi_O8unTGLMTeJAK6fucwRGpjfiMeSy_vhse3hrIjsgo54=w1200|https://lh3.googleusercontent.com/pw/AP1GczMsLegE2Wc6DDbMQfOTheIn6n9KwIM0rO923rKRMIgqVNoq3kLu329pxqZyyly9XiKIDa6qAa2Qksf4SSQWxRNewvmsWZkk-O2XXUnMeSeZXedc4guB=w1200|https://lh3.googleusercontent.com/pw/AP1GczMu2oOwQp9WiZ8i70h8vXEcfwpHvnIsgg0pSqRpgWHyXfIspg6_opX1ouhkkLjQWtovV7aaJZNgYnDD9Yrg5WmwHyZNdRdlRuDIF6ivp8xtInyDpDsE=w1200|https://lh3.googleusercontent.com/pw/AP1GczOfQwb9-08KQd9Evsn2276PEtF4O1NOJhTX50lCx1cdLIQRJ9iH_iZA0CIx9Eg2XqXJm1ewqjkD48vdTK-N0NyIcMdaSc26WgNPRXIoDT6Wf9Kh4BOP=w1200|https://lh3.googleusercontent.com/pw/AP1GczNPhw21Wnjv_n7kcJk1DZK8PFhR1mMWv5hT1gpz1aN1YBw5VIpouLrkYTP51-V8KZfq10zM7JalSzm_R8-jGVTiXsMhle3ttzx_48jA1V9Qy4FQQ3oK=w1200|https://lh3.googleusercontent.com/pw/AP1GczM0AxfFFny1ExGdIQap0Yu7g0lZFXewaeOqnOnqIsPZbIj6ez9ID4GS0SelDaEz_TtedPk267Cx7Ci5afDMqFS9PCwhpb8wtsr9fjP8vSzwjgA7J7UW=w1200|https://lh3.googleusercontent.com/pw/AP1GczM87b8JI3Q58poOgG0WwJshiuS5YrIGQSjo2ypCFDz8-aifeuUoiUsruoWt8pc2084zUYrrDq8aY42mII2Od7og73T-nhrl0cOd7rNmSKVbAkxT-815=w1200|https://lh3.googleusercontent.com/pw/AP1GczMX4TwCThOmAvqFPJbdjtBPkjxmS_qNRR-0sAHQ1jgE8SMlxz6wjiNHoQU3ATFhWA4lFHsnHmsUsXalki_PUbo-19p7j6E1kxwpVOb9hmsyG5F4yaFa=w1200|https://lh3.googleusercontent.com/pw/AP1GczOceC1up__rHapidu6-DBO71Kjj1-9BRBsW21LE7Kiz7Bi9SL_pH4WMHNNWzjf1IIkDJpwsxJIAUgZZQ3eRwaMx_xHvU_wm_rSeQt7iGXC6N1axm3pC=w1200|https://lh3.googleusercontent.com/pw/AP1GczPjbCaASz_QwcHJmQ39SsLXY9uxjyjrFmcnhhFVkhARFqi-JSl1vfk0H2Xr5r2coi5oIyOaMRqU_6tV9i9hZ_JTHF4qLjobB5yGUj1k7sooIH00i2De=w1200|https://lh3.googleusercontent.com/pw/AP1GczNr_wQsrkbTMWCNqk8d7YvryL9_hKxUMciJdNSzGTJIGeQlt072t9isUvwYwe10xzmuRrz9zGrTxV78R7hu7_0zqrTk4BQxaRN8QqjO-n1aw8EZvaUR=w1200|https://lh3.googleusercontent.com/pw/AP1GczNxbyliLfKtjH5y0gJb7LtALpzwIG1wKt4WZUK56mfNHDAQzWiBMvJNi3GCQ1AmDY5snD8RCiZB6Oy1gsozX1lE-5wNnXNACCp_MByn5hYy6c4i4CwP=w1200|https://lh3.googleusercontent.com/pw/AP1GczNODVJFyynPI5gZ7AFpt84lYi4rzvtfb-zFJNPAADfh1JSgKf-F4dxWj0PBOlLD3nUsarchBacU0QbqI-D6uC94R4UPiEmELNt4LKFpAsCNJdS6SCLy=w1200|https://lh3.googleusercontent.com/pw/AP1GczNFfpiaLHq3Tsa0mcPvgg-2tEOon69sr4yPvU19glFxT8dTXz0zrsGOLbWYNzRUQNwkWmL-UXAZpvURV2mNdkQReK3pTfpsvg6u_TfkmUW79QJZ4LfN=w1200|https://lh3.googleusercontent.com/pw/AP1GczNQMpfVPjk-AuNO6BBeIkA6bcIllpfqz_5vxcYla1Ch6WQPocJyYYxCkaA_OgS0A2WBbSBSGhwzpolh12fC0m75busAWxqas7s8UMC6kxpsJc3YVdhU=w1200|https://lh3.googleusercontent.com/pw/AP1GczOk3cJf8XVrLgzN8p0RW4ZoBjKpbrkt0-nAuKDFf7GTUamOPnZVLNOVXGxreOUAKtxX-N0WGgTILeCjQ_Mbajsx2Zh5IkMerlhm3vqSSRNS7AgNuUhE=w1200|https://lh3.googleusercontent.com/pw/AP1GczMpg7MJQEYFQkv7RxRiImPsH9JygShd2vM2iBE7knr55bNP0gl4rxPcJ-EYPc-f3tlfv93O8aXw5d8Tanhj_z7SOdODOnQrZxOjt14llo0AIASMEcUM=w1200|https://lh3.googleusercontent.com/pw/AP1GczMp2EAgSXaFhhGPrlLtCflvxHF_hIlH7irronTgRfOJgCHoZ-Uh4qvbIHnIWBTC7MfIJ4PPPG02AXo0bqpcIwxJsKNxGSLr7I5T9iDOlxgt8XQaFk8E=w1200</v>
      </c>
      <c r="AJ324" s="46"/>
      <c r="AK324" s="46"/>
      <c r="AL324" s="46"/>
      <c r="AM324" s="46"/>
      <c r="AN324" s="46"/>
      <c r="AO324" s="46"/>
      <c r="AP324" s="46"/>
      <c r="AQ324" s="46"/>
      <c r="AR324" s="46"/>
      <c r="AS324" s="46"/>
      <c r="AT324" s="46"/>
      <c r="AU324" s="46"/>
      <c r="AV324" s="46"/>
      <c r="AW324" s="46"/>
      <c r="AX324" s="46"/>
      <c r="AY324" s="46"/>
      <c r="AZ324" s="46"/>
      <c r="BA324" s="46"/>
      <c r="BB324" s="46"/>
      <c r="BC324" s="46"/>
      <c r="BD324" s="46"/>
      <c r="BE324" s="46"/>
      <c r="BF324" s="46"/>
      <c r="BG324" s="46"/>
      <c r="BH324" s="46"/>
      <c r="BI324" s="46"/>
      <c r="BJ324" s="46"/>
      <c r="BK324" s="46"/>
      <c r="BL324" s="46"/>
      <c r="BM324" s="46"/>
      <c r="BN324" s="46"/>
      <c r="BO324" s="46"/>
      <c r="BP324" s="46"/>
      <c r="BQ324" s="46"/>
      <c r="BR324" s="46"/>
      <c r="BS324" s="46"/>
      <c r="BT324" s="46"/>
      <c r="BU324" s="46"/>
      <c r="BV324" s="46"/>
      <c r="BW324" s="46"/>
      <c r="BX324" s="46"/>
      <c r="BY324" s="46"/>
      <c r="BZ324" s="46"/>
      <c r="CA324" s="46"/>
      <c r="CB324" s="46"/>
      <c r="CC324" s="46"/>
    </row>
    <row r="325">
      <c r="A325" s="87" t="str">
        <f>IFERROR(__xludf.DUMMYFUNCTION("""COMPUTED_VALUE"""),"535")</f>
        <v>535</v>
      </c>
      <c r="B325" s="46" t="str">
        <f>IFERROR(__xludf.DUMMYFUNCTION("""COMPUTED_VALUE"""),"Casa en barrio Centro")</f>
        <v>Casa en barrio Centro</v>
      </c>
      <c r="C325" s="46" t="str">
        <f>IFERROR(__xludf.DUMMYFUNCTION("""COMPUTED_VALUE"""),"Casa")</f>
        <v>Casa</v>
      </c>
      <c r="D325" s="46" t="str">
        <f>IFERROR(__xludf.DUMMYFUNCTION("""COMPUTED_VALUE"""),"Centro")</f>
        <v>Centro</v>
      </c>
      <c r="E325" s="90"/>
      <c r="F325" s="90">
        <f>IFERROR(__xludf.DUMMYFUNCTION("""COMPUTED_VALUE"""),1.1E9)</f>
        <v>1100000000</v>
      </c>
      <c r="G325" s="46" t="str">
        <f>IFERROR(__xludf.DUMMYFUNCTION("""COMPUTED_VALUE"""),"Más de $1.000'000.000")</f>
        <v>Más de $1.000'000.000</v>
      </c>
      <c r="H325" s="46"/>
      <c r="I325" s="46"/>
      <c r="J325" s="46" t="str">
        <f>IFERROR(__xludf.DUMMYFUNCTION("""COMPUTED_VALUE"""),"Centro")</f>
        <v>Centro</v>
      </c>
      <c r="K325" s="87"/>
      <c r="L325" s="46">
        <f>IFERROR(__xludf.DUMMYFUNCTION("""COMPUTED_VALUE"""),4.0)</f>
        <v>4</v>
      </c>
      <c r="M325" s="46"/>
      <c r="N325" s="46">
        <f>IFERROR(__xludf.DUMMYFUNCTION("""COMPUTED_VALUE"""),3.0)</f>
        <v>3</v>
      </c>
      <c r="O325" s="46">
        <f>IFERROR(__xludf.DUMMYFUNCTION("""COMPUTED_VALUE"""),2.0)</f>
        <v>2</v>
      </c>
      <c r="P325" s="46">
        <f>IFERROR(__xludf.DUMMYFUNCTION("""COMPUTED_VALUE"""),1.0)</f>
        <v>1</v>
      </c>
      <c r="Q325" s="92">
        <f>IFERROR(__xludf.DUMMYFUNCTION("""COMPUTED_VALUE"""),408.25)</f>
        <v>408.25</v>
      </c>
      <c r="R325" s="92">
        <f>IFERROR(__xludf.DUMMYFUNCTION("""COMPUTED_VALUE"""),349.05)</f>
        <v>349.05</v>
      </c>
      <c r="S325" s="87" t="str">
        <f>IFERROR(__xludf.DUMMYFUNCTION("""COMPUTED_VALUE"""),"Rentabilidad $6,000,000")</f>
        <v>Rentabilidad $6,000,000</v>
      </c>
      <c r="T325" s="46" t="str">
        <f>IFERROR(__xludf.DUMMYFUNCTION("""COMPUTED_VALUE"""),"Neiva")</f>
        <v>Neiva</v>
      </c>
      <c r="U325" s="87" t="str">
        <f>IFERROR(__xludf.DUMMYFUNCTION("""COMPUTED_VALUE"""),"4")</f>
        <v>4</v>
      </c>
      <c r="V325" s="46" t="str">
        <f>IFERROR(__xludf.DUMMYFUNCTION("""COMPUTED_VALUE"""),"Medianera")</f>
        <v>Medianera</v>
      </c>
      <c r="W325" s="46"/>
      <c r="X325" s="46">
        <f>IFERROR(__xludf.DUMMYFUNCTION("""COMPUTED_VALUE"""),4.0)</f>
        <v>4</v>
      </c>
      <c r="Y325" s="46" t="str">
        <f>IFERROR(__xludf.DUMMYFUNCTION("""COMPUTED_VALUE"""),"No tiene")</f>
        <v>No tiene</v>
      </c>
      <c r="Z325" s="90" t="str">
        <f>IFERROR(__xludf.DUMMYFUNCTION("""COMPUTED_VALUE"""),"No aplica")</f>
        <v>No aplica</v>
      </c>
      <c r="AA325" s="33" t="str">
        <f>IFERROR(__xludf.DUMMYFUNCTION("""COMPUTED_VALUE"""),"15 años")</f>
        <v>15 años</v>
      </c>
      <c r="AB325" s="96" t="str">
        <f>IFERROR(__xludf.DUMMYFUNCTION("""COMPUTED_VALUE"""),"https://photos.app.goo.gl/3cb68uzbydtyUFWu7")</f>
        <v>https://photos.app.goo.gl/3cb68uzbydtyUFWu7</v>
      </c>
      <c r="AC325" s="46" t="str">
        <f>IFERROR(__xludf.DUMMYFUNCTION("""COMPUTED_VALUE"""),"Casa tipo colonial amplia, ventila e iluminada, distribuida en niveles, con varios jardines y patio. Acabados en conservación, piso en mármol, con perfiles tipo colonial, divisiones en acrílico.")</f>
        <v>Casa tipo colonial amplia, ventila e iluminada, distribuida en niveles, con varios jardines y patio. Acabados en conservación, piso en mármol, con perfiles tipo colonial, divisiones en acrílico.</v>
      </c>
      <c r="AD325" s="46" t="str">
        <f>IFERROR(__xludf.DUMMYFUNCTION("""COMPUTED_VALUE"""),"Casa bien ubicada sobre vía vehicular pavimentada, cerca  de la carrera 7 y calle 7, colegio La presentación, sector comercial, notaria tercera, iglesia colonial, parque Santander y gobernación.  Escritura al día.")</f>
        <v>Casa bien ubicada sobre vía vehicular pavimentada, cerca  de la carrera 7 y calle 7, colegio La presentación, sector comercial, notaria tercera, iglesia colonial, parque Santander y gobernación.  Escritura al día.</v>
      </c>
      <c r="AE325" s="46"/>
      <c r="AF325" s="46" t="str">
        <f>IFERROR(__xludf.DUMMYFUNCTION("""COMPUTED_VALUE"""),"semi-integral")</f>
        <v>semi-integral</v>
      </c>
      <c r="AG325" s="46"/>
      <c r="AH325" s="46" t="str">
        <f>IFERROR(__xludf.DUMMYFUNCTION("""COMPUTED_VALUE"""),"Aliado")</f>
        <v>Aliado</v>
      </c>
      <c r="AI325" s="92" t="str">
        <f>IFERROR(__xludf.DUMMYFUNCTION("""COMPUTED_VALUE"""),"https://lh3.googleusercontent.com/pw/AP1GczMzcF-YIxfCbfOWT3pekNi32RZ0stwvdLlov9uxvTYy2GhhO_GOqy9uAgB8ni_rcpd5_rD9C_fx73g076NpuX_rw4dH2CeOklC6JIDS6AlORe4YXphY=w1200|https://lh3.googleusercontent.com/pw/AP1GczMQEuvYH4maHbg3bBQLLtmkG66ia_GvFSobh14Jqids3dX4_J"&amp;"Q0nh9rHojkB7IlAm4tXDbU5rfFUSA_NTc2fGmZlk2uexOmDJ0kaxJepfwcj6mLeVxy=w1200|https://lh3.googleusercontent.com/pw/AP1GczMEmMkK1IFsOAmWsI1LBfHx-4sS-CXcH_WkDZosrSJwFttHqTy1sPcGATQOfGOE4xAQhNnECsziQ4OlpGQ-abomuAq7x2p19zx62DXQJVfgeuaamucG=w1200|https://lh3.google"&amp;"usercontent.com/pw/AP1GczOjWoad8oE_mlJIM6k4ruYb8Ub1Pc-7Q9d5WImKiXaZEnisNbXBU1BCf2FPIxo0MGrUPCdv2qRbZKFCNdleZxha4m1NHew6GOtG7lDTJFZdukewXc8E=w1200|https://lh3.googleusercontent.com/pw/AP1GczMOhEdvatLofcZd0mzcAjHeRyVHKBACITRlFtg9bCpBV16vLGllJZEgmZ-SydJlYIjG"&amp;"Y9kFwvDveJsCQjOAhveptQDd3HjYNYkFeEdjjyzK5TIigkxi=w1200|https://lh3.googleusercontent.com/pw/AP1GczO3AH2ByXr7EWLed3ZAkWIiB-CfGF-ASBG8Vpb2RRp0AkOfKq1MnC5AMb3eJua8A_5lODt3hebxEblXCaHiRDUGQQjpQGUiw9SvE1TFBvHSJJGBPmOg=w1200|https://lh3.googleusercontent.com/pw"&amp;"/AP1GczOwZf_9JJi1sVP5XLbiqkw-DsUEzK2c2EI0EfmHJf25pz_GJwbAI4QEi0fPUGnjYr81UuSMJ0iOQVZObouw0iDihFpLnEei31S9hnZvRfqe7sgSKqFw=w1200|https://lh3.googleusercontent.com/pw/AP1GczMVwVeTncGKI4gJIJssaG9ToZeujpyqJ0IlYhbBC8FbW4plv7_PV9SWQmPyAhzuWmDQ6V1G_ZR8X8dkKRQjmx"&amp;"g-1ttomeoI_1_hL0ADPh9TmYiI5KKa=w1200|https://lh3.googleusercontent.com/pw/AP1GczNuu7IxsNrw7BClgSW0wH47CJYShEhvQcMfl69-UgcBkWwL_PX8WvRM8_3XdAGTrDAauHCDCCYZGwcnyK3sqqeZ2zVNRsC0ja3LL8JFKbvHuf8JSpao=w1200|https://lh3.googleusercontent.com/pw/AP1GczOyxrDEngC94"&amp;"Z_yYP0hf0fvE68bFhrLq0iU5e_Se2y9RbCAaw2D-ferosCCK_G3jj54575LSzo8MQnAYGrv7I-7ts1vkYjKfqgXbxfIvonhAs7iTmRH=w1200|https://lh3.googleusercontent.com/pw/AP1GczOEZTgHeH8NR3PnSsjZK-K2hJHhM3mDnFEAFSZD_Gxj9pCg-ikoX_9FPJt3_fuHY_0MlkFcKtQaeOp4WoU83mpgE-bqRO1WvqYh5rmM"&amp;"7EFSZNYXihUz=w1200|https://lh3.googleusercontent.com/pw/AP1GczM4KHHQKDpSVZ4D4xC41hzd6squykwtvPHskSXiCDNGX_V78yPFG-PUXi405MyHCnGGYNDTyTHBqtQPMr6OfWzZ47PGonL9PTAVI490natgJYn-OZFt=w1200|https://lh3.googleusercontent.com/pw/AP1GczNxO95TMVXV3ZAz72DaN_EmOHaj6c8"&amp;"iiCBX8-pp5Dg77W2pR0B2li30_2yaFIgeuSWQm646jpPK1C6JWwcfZO-BAqXglLh3C-RvdDx5d83PPydJ9-Sr=w1200|https://lh3.googleusercontent.com/pw/AP1GczPK08j7twr6Z64z9XXveW8NxNsfZXXjPXoFRpgKOfkIPt4eENPCoBmHxCLYyexfpNsTxBIoLRjq3DyGQu_VM02sJ73ZUb5E5Kg918kQC0WePhTs6NMS=w1200"&amp;"|https://lh3.googleusercontent.com/pw/AP1GczO_ZnnB5On2x51C72C_n_8IilnTnmIkIiId611ktQgbyV_zMXLbrpY9rM_iOslsnuQBNn819kF-qOmxqMYO5jUHMdHsmo_XxwC4fn2VGab4Y9U3dFzf=w1200|https://lh3.googleusercontent.com/pw/AP1GczPHEIhz7kpBn_mMXunXfk26jkmRKQ4TNrURlXl50v-k-q_Si"&amp;"zm_zCGRmYjWtAjVP1tgaBG1mpVWpJTf1D0U_5itzaxL1-oh8ggOpbPM36MeSMAllRso=w1200|https://lh3.googleusercontent.com/pw/AP1GczOorZuHCtrjp0xX2bwHcujNVOQZHygrLUWbyM_dZpjwlNpB4e2mCQWbBz61nYowGclTHMyn9Fz51_FrTpDttU9GWY7idHCHz8En0sBSjNtwBGrvy7nF=w1200|https://lh3.googl"&amp;"eusercontent.com/pw/AP1GczOOTKhRnt_swNW4cbIezTtGrpA-cwIZ_Z2h1lBTpd1AFBwaQKUlkaWis8zk2QBOheWOP_RP2OcqtXJGlB82vSA4K5Fs9L25fOwvthK-FRkfLdSLN6Rd=w1200")</f>
        <v>https://lh3.googleusercontent.com/pw/AP1GczMzcF-YIxfCbfOWT3pekNi32RZ0stwvdLlov9uxvTYy2GhhO_GOqy9uAgB8ni_rcpd5_rD9C_fx73g076NpuX_rw4dH2CeOklC6JIDS6AlORe4YXphY=w1200|https://lh3.googleusercontent.com/pw/AP1GczMQEuvYH4maHbg3bBQLLtmkG66ia_GvFSobh14Jqids3dX4_JQ0nh9rHojkB7IlAm4tXDbU5rfFUSA_NTc2fGmZlk2uexOmDJ0kaxJepfwcj6mLeVxy=w1200|https://lh3.googleusercontent.com/pw/AP1GczMEmMkK1IFsOAmWsI1LBfHx-4sS-CXcH_WkDZosrSJwFttHqTy1sPcGATQOfGOE4xAQhNnECsziQ4OlpGQ-abomuAq7x2p19zx62DXQJVfgeuaamucG=w1200|https://lh3.googleusercontent.com/pw/AP1GczOjWoad8oE_mlJIM6k4ruYb8Ub1Pc-7Q9d5WImKiXaZEnisNbXBU1BCf2FPIxo0MGrUPCdv2qRbZKFCNdleZxha4m1NHew6GOtG7lDTJFZdukewXc8E=w1200|https://lh3.googleusercontent.com/pw/AP1GczMOhEdvatLofcZd0mzcAjHeRyVHKBACITRlFtg9bCpBV16vLGllJZEgmZ-SydJlYIjGY9kFwvDveJsCQjOAhveptQDd3HjYNYkFeEdjjyzK5TIigkxi=w1200|https://lh3.googleusercontent.com/pw/AP1GczO3AH2ByXr7EWLed3ZAkWIiB-CfGF-ASBG8Vpb2RRp0AkOfKq1MnC5AMb3eJua8A_5lODt3hebxEblXCaHiRDUGQQjpQGUiw9SvE1TFBvHSJJGBPmOg=w1200|https://lh3.googleusercontent.com/pw/AP1GczOwZf_9JJi1sVP5XLbiqkw-DsUEzK2c2EI0EfmHJf25pz_GJwbAI4QEi0fPUGnjYr81UuSMJ0iOQVZObouw0iDihFpLnEei31S9hnZvRfqe7sgSKqFw=w1200|https://lh3.googleusercontent.com/pw/AP1GczMVwVeTncGKI4gJIJssaG9ToZeujpyqJ0IlYhbBC8FbW4plv7_PV9SWQmPyAhzuWmDQ6V1G_ZR8X8dkKRQjmxg-1ttomeoI_1_hL0ADPh9TmYiI5KKa=w1200|https://lh3.googleusercontent.com/pw/AP1GczNuu7IxsNrw7BClgSW0wH47CJYShEhvQcMfl69-UgcBkWwL_PX8WvRM8_3XdAGTrDAauHCDCCYZGwcnyK3sqqeZ2zVNRsC0ja3LL8JFKbvHuf8JSpao=w1200|https://lh3.googleusercontent.com/pw/AP1GczOyxrDEngC94Z_yYP0hf0fvE68bFhrLq0iU5e_Se2y9RbCAaw2D-ferosCCK_G3jj54575LSzo8MQnAYGrv7I-7ts1vkYjKfqgXbxfIvonhAs7iTmRH=w1200|https://lh3.googleusercontent.com/pw/AP1GczOEZTgHeH8NR3PnSsjZK-K2hJHhM3mDnFEAFSZD_Gxj9pCg-ikoX_9FPJt3_fuHY_0MlkFcKtQaeOp4WoU83mpgE-bqRO1WvqYh5rmM7EFSZNYXihUz=w1200|https://lh3.googleusercontent.com/pw/AP1GczM4KHHQKDpSVZ4D4xC41hzd6squykwtvPHskSXiCDNGX_V78yPFG-PUXi405MyHCnGGYNDTyTHBqtQPMr6OfWzZ47PGonL9PTAVI490natgJYn-OZFt=w1200|https://lh3.googleusercontent.com/pw/AP1GczNxO95TMVXV3ZAz72DaN_EmOHaj6c8iiCBX8-pp5Dg77W2pR0B2li30_2yaFIgeuSWQm646jpPK1C6JWwcfZO-BAqXglLh3C-RvdDx5d83PPydJ9-Sr=w1200|https://lh3.googleusercontent.com/pw/AP1GczPK08j7twr6Z64z9XXveW8NxNsfZXXjPXoFRpgKOfkIPt4eENPCoBmHxCLYyexfpNsTxBIoLRjq3DyGQu_VM02sJ73ZUb5E5Kg918kQC0WePhTs6NMS=w1200|https://lh3.googleusercontent.com/pw/AP1GczO_ZnnB5On2x51C72C_n_8IilnTnmIkIiId611ktQgbyV_zMXLbrpY9rM_iOslsnuQBNn819kF-qOmxqMYO5jUHMdHsmo_XxwC4fn2VGab4Y9U3dFzf=w1200|https://lh3.googleusercontent.com/pw/AP1GczPHEIhz7kpBn_mMXunXfk26jkmRKQ4TNrURlXl50v-k-q_Sizm_zCGRmYjWtAjVP1tgaBG1mpVWpJTf1D0U_5itzaxL1-oh8ggOpbPM36MeSMAllRso=w1200|https://lh3.googleusercontent.com/pw/AP1GczOorZuHCtrjp0xX2bwHcujNVOQZHygrLUWbyM_dZpjwlNpB4e2mCQWbBz61nYowGclTHMyn9Fz51_FrTpDttU9GWY7idHCHz8En0sBSjNtwBGrvy7nF=w1200|https://lh3.googleusercontent.com/pw/AP1GczOOTKhRnt_swNW4cbIezTtGrpA-cwIZ_Z2h1lBTpd1AFBwaQKUlkaWis8zk2QBOheWOP_RP2OcqtXJGlB82vSA4K5Fs9L25fOwvthK-FRkfLdSLN6Rd=w1200</v>
      </c>
      <c r="AJ325" s="46"/>
      <c r="AK325" s="46"/>
      <c r="AL325" s="46"/>
      <c r="AM325" s="46"/>
      <c r="AN325" s="46"/>
      <c r="AO325" s="46"/>
      <c r="AP325" s="46"/>
      <c r="AQ325" s="46"/>
      <c r="AR325" s="46"/>
      <c r="AS325" s="46"/>
      <c r="AT325" s="46"/>
      <c r="AU325" s="46"/>
      <c r="AV325" s="46"/>
      <c r="AW325" s="46"/>
      <c r="AX325" s="46"/>
      <c r="AY325" s="46"/>
      <c r="AZ325" s="46"/>
      <c r="BA325" s="46"/>
      <c r="BB325" s="46"/>
      <c r="BC325" s="46"/>
      <c r="BD325" s="46"/>
      <c r="BE325" s="46"/>
      <c r="BF325" s="46"/>
      <c r="BG325" s="46"/>
      <c r="BH325" s="46"/>
      <c r="BI325" s="46"/>
      <c r="BJ325" s="46"/>
      <c r="BK325" s="46"/>
      <c r="BL325" s="46"/>
      <c r="BM325" s="46"/>
      <c r="BN325" s="46"/>
      <c r="BO325" s="46"/>
      <c r="BP325" s="46"/>
      <c r="BQ325" s="46"/>
      <c r="BR325" s="46"/>
      <c r="BS325" s="46"/>
      <c r="BT325" s="46"/>
      <c r="BU325" s="46"/>
      <c r="BV325" s="46"/>
      <c r="BW325" s="46"/>
      <c r="BX325" s="46"/>
      <c r="BY325" s="46"/>
      <c r="BZ325" s="46"/>
      <c r="CA325" s="46"/>
      <c r="CB325" s="46"/>
      <c r="CC325" s="46"/>
    </row>
    <row r="326">
      <c r="A326" s="87" t="str">
        <f>IFERROR(__xludf.DUMMYFUNCTION("""COMPUTED_VALUE"""),"1356")</f>
        <v>1356</v>
      </c>
      <c r="B326" s="46" t="str">
        <f>IFERROR(__xludf.DUMMYFUNCTION("""COMPUTED_VALUE"""),"Lote urbano - Sur")</f>
        <v>Lote urbano - Sur</v>
      </c>
      <c r="C326" s="46" t="str">
        <f>IFERROR(__xludf.DUMMYFUNCTION("""COMPUTED_VALUE"""),"Lote")</f>
        <v>Lote</v>
      </c>
      <c r="D326" s="46"/>
      <c r="E326" s="46"/>
      <c r="F326" s="90">
        <f>IFERROR(__xludf.DUMMYFUNCTION("""COMPUTED_VALUE"""),1.00088E9)</f>
        <v>1000880000</v>
      </c>
      <c r="G326" s="46" t="str">
        <f>IFERROR(__xludf.DUMMYFUNCTION("""COMPUTED_VALUE"""),"Más de $1.000'000.000")</f>
        <v>Más de $1.000'000.000</v>
      </c>
      <c r="H326" s="46"/>
      <c r="I326" s="46"/>
      <c r="J326" s="46" t="str">
        <f>IFERROR(__xludf.DUMMYFUNCTION("""COMPUTED_VALUE"""),"Sur")</f>
        <v>Sur</v>
      </c>
      <c r="K326" s="87"/>
      <c r="L326" s="46">
        <f>IFERROR(__xludf.DUMMYFUNCTION("""COMPUTED_VALUE"""),0.0)</f>
        <v>0</v>
      </c>
      <c r="M326" s="46"/>
      <c r="N326" s="46">
        <f>IFERROR(__xludf.DUMMYFUNCTION("""COMPUTED_VALUE"""),0.0)</f>
        <v>0</v>
      </c>
      <c r="O326" s="46">
        <f>IFERROR(__xludf.DUMMYFUNCTION("""COMPUTED_VALUE"""),0.0)</f>
        <v>0</v>
      </c>
      <c r="P326" s="46">
        <f>IFERROR(__xludf.DUMMYFUNCTION("""COMPUTED_VALUE"""),0.0)</f>
        <v>0</v>
      </c>
      <c r="Q326" s="92">
        <f>IFERROR(__xludf.DUMMYFUNCTION("""COMPUTED_VALUE"""),0.0)</f>
        <v>0</v>
      </c>
      <c r="R326" s="92">
        <f>IFERROR(__xludf.DUMMYFUNCTION("""COMPUTED_VALUE"""),1000.0)</f>
        <v>1000</v>
      </c>
      <c r="S326" s="87" t="str">
        <f>IFERROR(__xludf.DUMMYFUNCTION("""COMPUTED_VALUE""")," ")</f>
        <v> </v>
      </c>
      <c r="T326" s="46" t="str">
        <f>IFERROR(__xludf.DUMMYFUNCTION("""COMPUTED_VALUE"""),"Neiva")</f>
        <v>Neiva</v>
      </c>
      <c r="U326" s="87"/>
      <c r="V326" s="46" t="str">
        <f>IFERROR(__xludf.DUMMYFUNCTION("""COMPUTED_VALUE"""),"Medianero")</f>
        <v>Medianero</v>
      </c>
      <c r="W326" s="46"/>
      <c r="X326" s="46">
        <f>IFERROR(__xludf.DUMMYFUNCTION("""COMPUTED_VALUE"""),0.0)</f>
        <v>0</v>
      </c>
      <c r="Y326" s="46" t="str">
        <f>IFERROR(__xludf.DUMMYFUNCTION("""COMPUTED_VALUE"""),"No tiene")</f>
        <v>No tiene</v>
      </c>
      <c r="Z326" s="90"/>
      <c r="AA326" s="33" t="str">
        <f>IFERROR(__xludf.DUMMYFUNCTION("""COMPUTED_VALUE"""),"No aplica")</f>
        <v>No aplica</v>
      </c>
      <c r="AB326" s="96" t="str">
        <f>IFERROR(__xludf.DUMMYFUNCTION("""COMPUTED_VALUE"""),"https://photos.app.goo.gl/kaaW9UEMg2BTzxtGA")</f>
        <v>https://photos.app.goo.gl/kaaW9UEMg2BTzxtGA</v>
      </c>
      <c r="AC326" s="46" t="str">
        <f>IFERROR(__xludf.DUMMYFUNCTION("""COMPUTED_VALUE"""),"Lote urbano de 1.000,88 m² ubicado en un sector estratégico y de alta proyección en Neiva, ideal para desarrollar el proyecto que siempre has tenido en mente. Su excelente ubicación te permite disfrutar de fácil acceso, conectividad y cercanía a zonas de "&amp;"crecimiento urbano, convirtiéndolo en una oportunidad atractiva tanto para construcción residencial como para inversión")</f>
        <v>Lote urbano de 1.000,88 m² ubicado en un sector estratégico y de alta proyección en Neiva, ideal para desarrollar el proyecto que siempre has tenido en mente. Su excelente ubicación te permite disfrutar de fácil acceso, conectividad y cercanía a zonas de crecimiento urbano, convirtiéndolo en una oportunidad atractiva tanto para construcción residencial como para inversión</v>
      </c>
      <c r="AD326" s="46" t="str">
        <f>IFERROR(__xludf.DUMMYFUNCTION("""COMPUTED_VALUE"""),"Cuenta con matrícula inmobiliaria independiente y una tradición jurídica clara, lo que brinda total seguridad en la negociación. Un terreno con gran potencial de valorización, perfecto para construir, invertir y crecer. Frente a Estación de Servicio La Pr"&amp;"imavera K5.")</f>
        <v>Cuenta con matrícula inmobiliaria independiente y una tradición jurídica clara, lo que brinda total seguridad en la negociación. Un terreno con gran potencial de valorización, perfecto para construir, invertir y crecer. Frente a Estación de Servicio La Primavera K5.</v>
      </c>
      <c r="AE326" s="46"/>
      <c r="AF326" s="46">
        <f>IFERROR(__xludf.DUMMYFUNCTION("""COMPUTED_VALUE"""),0.0)</f>
        <v>0</v>
      </c>
      <c r="AG326" s="46"/>
      <c r="AH326" s="46" t="str">
        <f>IFERROR(__xludf.DUMMYFUNCTION("""COMPUTED_VALUE"""),"Aliado")</f>
        <v>Aliado</v>
      </c>
      <c r="AI326" s="92" t="str">
        <f>IFERROR(__xludf.DUMMYFUNCTION("""COMPUTED_VALUE"""),"https://lh3.googleusercontent.com/pw/AP1GczONaEYLyAJ5m3d4eUv9hoB9GjqU4KA7N79e6ffDl3GOVg0oAKpmO8vQjttALmsJ8QyKJWCW5rcwm7d0670CvBKgb3ZseR311W7RlDuke26z1jSDYkb4=w1200|https://lh3.googleusercontent.com/pw/AP1GczNJk-cGtrTJwou4sSToIRR4VPChz2Sy58RxIN6Kc1VWUAgwJd"&amp;"e13AuiZvwviX284wfljU-iWdmqA5ZtxPvT1-9Hwdhnlw5iHWtAx5IAPntjo8kBBqP_=w1200|https://lh3.googleusercontent.com/pw/AP1GczP6Z4WmeZ4jk8t13l76TUGAbuPqDl3uBDdkG7pAe3iOq7T9_QgFI16aJJ09aEd6eO4C9YgZsv3XOPjLOKXiXsBGRzGw50kA8BZNu6LCHVotJ-4nw9EZ=w1200|https://lh3.google"&amp;"usercontent.com/pw/AP1GczMt52cx-m1psj0glb6APFrUmTOLoQEkrbA2JUoswnd4w8OynDuxzvvlyIsDc9AVu2DBGj20cm54i1INDXO-y2zeOv-rGEMTY7Or9A6JN-ojBs4XNyrG=w1200|https://lh3.googleusercontent.com/pw/AP1GczP_smvKcs_Ra2QWEqCU7_ZB23jF-LI-s5ucNiJHcorjLKY67zMmkeXBiz4xIgw2w_Fs"&amp;"E04sEelnswpaFBCJuv6IcletBgJyHe8wGM4ixtDASSttG0QV=w1200|https://lh3.googleusercontent.com/pw/AP1GczP8AXVpKfM782EBD2c_3pSmYKX2kulrmuMxLTd7y9-Ip3NYSWYIdVtOzH_AINTV3LTEoaZwk7182Q0AYabwmJOS1ALHMrlosU6e-QCEy3SIJl7-K_Yb=w1200|https://lh3.googleusercontent.com/pw"&amp;"/AP1GczPhgPX8qxlP0quIbg7cf-4PpBCB1bfOytqVOSaDk7V2nnIrUbWJP5pWJeK-C2fyzUUDvzxcPe2z0BjTO6naGXZLl8cuMEnV8unP-Mb5QF6mzcjSHC1D=w1200")</f>
        <v>https://lh3.googleusercontent.com/pw/AP1GczONaEYLyAJ5m3d4eUv9hoB9GjqU4KA7N79e6ffDl3GOVg0oAKpmO8vQjttALmsJ8QyKJWCW5rcwm7d0670CvBKgb3ZseR311W7RlDuke26z1jSDYkb4=w1200|https://lh3.googleusercontent.com/pw/AP1GczNJk-cGtrTJwou4sSToIRR4VPChz2Sy58RxIN6Kc1VWUAgwJde13AuiZvwviX284wfljU-iWdmqA5ZtxPvT1-9Hwdhnlw5iHWtAx5IAPntjo8kBBqP_=w1200|https://lh3.googleusercontent.com/pw/AP1GczP6Z4WmeZ4jk8t13l76TUGAbuPqDl3uBDdkG7pAe3iOq7T9_QgFI16aJJ09aEd6eO4C9YgZsv3XOPjLOKXiXsBGRzGw50kA8BZNu6LCHVotJ-4nw9EZ=w1200|https://lh3.googleusercontent.com/pw/AP1GczMt52cx-m1psj0glb6APFrUmTOLoQEkrbA2JUoswnd4w8OynDuxzvvlyIsDc9AVu2DBGj20cm54i1INDXO-y2zeOv-rGEMTY7Or9A6JN-ojBs4XNyrG=w1200|https://lh3.googleusercontent.com/pw/AP1GczP_smvKcs_Ra2QWEqCU7_ZB23jF-LI-s5ucNiJHcorjLKY67zMmkeXBiz4xIgw2w_FsE04sEelnswpaFBCJuv6IcletBgJyHe8wGM4ixtDASSttG0QV=w1200|https://lh3.googleusercontent.com/pw/AP1GczP8AXVpKfM782EBD2c_3pSmYKX2kulrmuMxLTd7y9-Ip3NYSWYIdVtOzH_AINTV3LTEoaZwk7182Q0AYabwmJOS1ALHMrlosU6e-QCEy3SIJl7-K_Yb=w1200|https://lh3.googleusercontent.com/pw/AP1GczPhgPX8qxlP0quIbg7cf-4PpBCB1bfOytqVOSaDk7V2nnIrUbWJP5pWJeK-C2fyzUUDvzxcPe2z0BjTO6naGXZLl8cuMEnV8unP-Mb5QF6mzcjSHC1D=w1200</v>
      </c>
      <c r="AJ326" s="46"/>
      <c r="AK326" s="46"/>
      <c r="AL326" s="46"/>
      <c r="AM326" s="46"/>
      <c r="AN326" s="46"/>
      <c r="AO326" s="46"/>
      <c r="AP326" s="46"/>
      <c r="AQ326" s="46"/>
      <c r="AR326" s="46"/>
      <c r="AS326" s="46"/>
      <c r="AT326" s="46"/>
      <c r="AU326" s="46"/>
      <c r="AV326" s="46"/>
      <c r="AW326" s="46"/>
      <c r="AX326" s="46"/>
      <c r="AY326" s="46"/>
      <c r="AZ326" s="46"/>
      <c r="BA326" s="46"/>
      <c r="BB326" s="46"/>
      <c r="BC326" s="46"/>
      <c r="BD326" s="46"/>
      <c r="BE326" s="46"/>
      <c r="BF326" s="46"/>
      <c r="BG326" s="46"/>
      <c r="BH326" s="46"/>
      <c r="BI326" s="46"/>
      <c r="BJ326" s="46"/>
      <c r="BK326" s="46"/>
      <c r="BL326" s="46"/>
      <c r="BM326" s="46"/>
      <c r="BN326" s="46"/>
      <c r="BO326" s="46"/>
      <c r="BP326" s="46"/>
      <c r="BQ326" s="46"/>
      <c r="BR326" s="46"/>
      <c r="BS326" s="46"/>
      <c r="BT326" s="46"/>
      <c r="BU326" s="46"/>
      <c r="BV326" s="46"/>
      <c r="BW326" s="46"/>
      <c r="BX326" s="46"/>
      <c r="BY326" s="46"/>
      <c r="BZ326" s="46"/>
      <c r="CA326" s="46"/>
      <c r="CB326" s="46"/>
      <c r="CC326" s="46"/>
    </row>
    <row r="327">
      <c r="A327" s="87" t="str">
        <f>IFERROR(__xludf.DUMMYFUNCTION("""COMPUTED_VALUE"""),"253")</f>
        <v>253</v>
      </c>
      <c r="B327" s="46" t="str">
        <f>IFERROR(__xludf.DUMMYFUNCTION("""COMPUTED_VALUE"""),"Casa campestre en conjunto Parrots - cruce a Rivera")</f>
        <v>Casa campestre en conjunto Parrots - cruce a Rivera</v>
      </c>
      <c r="C327" s="46" t="str">
        <f>IFERROR(__xludf.DUMMYFUNCTION("""COMPUTED_VALUE"""),"Casa campestre en conjunto")</f>
        <v>Casa campestre en conjunto</v>
      </c>
      <c r="D327" s="90" t="str">
        <f>IFERROR(__xludf.DUMMYFUNCTION("""COMPUTED_VALUE""")," ")</f>
        <v> </v>
      </c>
      <c r="E327" s="46" t="str">
        <f>IFERROR(__xludf.DUMMYFUNCTION("""COMPUTED_VALUE"""),"Parrots")</f>
        <v>Parrots</v>
      </c>
      <c r="F327" s="90">
        <f>IFERROR(__xludf.DUMMYFUNCTION("""COMPUTED_VALUE"""),1.0E9)</f>
        <v>1000000000</v>
      </c>
      <c r="G327" s="46" t="str">
        <f>IFERROR(__xludf.DUMMYFUNCTION("""COMPUTED_VALUE"""),"Más de $1.000'000.000")</f>
        <v>Más de $1.000'000.000</v>
      </c>
      <c r="H327" s="46"/>
      <c r="I327" s="46"/>
      <c r="J327" s="46" t="str">
        <f>IFERROR(__xludf.DUMMYFUNCTION("""COMPUTED_VALUE"""),"Sur")</f>
        <v>Sur</v>
      </c>
      <c r="K327" s="87"/>
      <c r="L327" s="46">
        <f>IFERROR(__xludf.DUMMYFUNCTION("""COMPUTED_VALUE"""),4.0)</f>
        <v>4</v>
      </c>
      <c r="M327" s="46"/>
      <c r="N327" s="46">
        <f>IFERROR(__xludf.DUMMYFUNCTION("""COMPUTED_VALUE"""),3.0)</f>
        <v>3</v>
      </c>
      <c r="O327" s="46">
        <f>IFERROR(__xludf.DUMMYFUNCTION("""COMPUTED_VALUE"""),1.0)</f>
        <v>1</v>
      </c>
      <c r="P327" s="46">
        <f>IFERROR(__xludf.DUMMYFUNCTION("""COMPUTED_VALUE"""),1.0)</f>
        <v>1</v>
      </c>
      <c r="Q327" s="92">
        <f>IFERROR(__xludf.DUMMYFUNCTION("""COMPUTED_VALUE"""),600.0)</f>
        <v>600</v>
      </c>
      <c r="R327" s="92">
        <f>IFERROR(__xludf.DUMMYFUNCTION("""COMPUTED_VALUE"""),2400.0)</f>
        <v>2400</v>
      </c>
      <c r="S327" s="87" t="str">
        <f>IFERROR(__xludf.DUMMYFUNCTION("""COMPUTED_VALUE""")," ")</f>
        <v> </v>
      </c>
      <c r="T327" s="46" t="str">
        <f>IFERROR(__xludf.DUMMYFUNCTION("""COMPUTED_VALUE"""),"Rivera")</f>
        <v>Rivera</v>
      </c>
      <c r="U327" s="87"/>
      <c r="V327" s="46"/>
      <c r="W327" s="46"/>
      <c r="X327" s="46">
        <f>IFERROR(__xludf.DUMMYFUNCTION("""COMPUTED_VALUE"""),4.0)</f>
        <v>4</v>
      </c>
      <c r="Y327" s="46" t="str">
        <f>IFERROR(__xludf.DUMMYFUNCTION("""COMPUTED_VALUE"""),"Social")</f>
        <v>Social</v>
      </c>
      <c r="Z327" s="90">
        <f>IFERROR(__xludf.DUMMYFUNCTION("""COMPUTED_VALUE"""),700000.0)</f>
        <v>700000</v>
      </c>
      <c r="AA327" s="33" t="str">
        <f>IFERROR(__xludf.DUMMYFUNCTION("""COMPUTED_VALUE"""),"No aplica")</f>
        <v>No aplica</v>
      </c>
      <c r="AB327" s="144" t="str">
        <f>IFERROR(__xludf.DUMMYFUNCTION("""COMPUTED_VALUE"""),"https://photos.app.goo.gl/yfn8LE3oXGJLy9RL6")</f>
        <v>https://photos.app.goo.gl/yfn8LE3oXGJLy9RL6</v>
      </c>
      <c r="AC327" s="46"/>
      <c r="AD327" s="46" t="str">
        <f>IFERROR(__xludf.DUMMYFUNCTION("""COMPUTED_VALUE"""),"Buenos acabados. Cuenta con piscina privada. Escritura al día.")</f>
        <v>Buenos acabados. Cuenta con piscina privada. Escritura al día.</v>
      </c>
      <c r="AE327" s="46"/>
      <c r="AF327" s="46" t="str">
        <f>IFERROR(__xludf.DUMMYFUNCTION("""COMPUTED_VALUE"""),"integral")</f>
        <v>integral</v>
      </c>
      <c r="AG327" s="46"/>
      <c r="AH327" s="46" t="str">
        <f>IFERROR(__xludf.DUMMYFUNCTION("""COMPUTED_VALUE"""),"Aliado")</f>
        <v>Aliado</v>
      </c>
      <c r="AI327" s="92" t="str">
        <f>IFERROR(__xludf.DUMMYFUNCTION("""COMPUTED_VALUE"""),"https://lh3.googleusercontent.com/pw/AP1GczN5CwAFaefd-dywRogGs5fjm2S3mG1RrtC7WjLTGiPIZ9uYnclox23M6FUSMqsCBlTAfzoe2y9CKF4FiBe0GdOSbkBPNiM2G-g00eOWOD54AfKOdWmo=w1200|https://lh3.googleusercontent.com/pw/AP1GczOKsU-0z-oDfZzKPxNcFa0tLDRxODjI2LXmu5DqkP-i6-1bW7"&amp;"KL6xOBQhEMElLuP8cufnJDkwRktacYOioN5fxXltMZBr_wFjEdZs9cMRU9ipqtr34X=w1200|https://lh3.googleusercontent.com/pw/AP1GczP8Xt8WpA9Eb-9MjfD4f04g4MzAFYdyRZwoYwMr_eMkkYkno4LcYBIe9b3FNWgOljbkkLek4FcLi-PNVTKFVdQppoAUrhIBBqNFI9MIjYIWHwYS_GQg=w1200|https://lh3.google"&amp;"usercontent.com/pw/AP1GczOkkVwKR-l7WmD7gi6IjeM5rNAZ35MYRzSclZlZlIlMU_FKq49HlQzTKTtgmHt-Vys83774XFDpd0CxOH9xXOw9s0jZYkCMbEhxcM0B3K5yRsj3D85V=w1200|https://lh3.googleusercontent.com/pw/AP1GczPMe1cFqB0s1IR60bz_wB_BCUuX4oJas4vzJpNswK80HJi1sDhc6UIkKQbtvnDTB64H"&amp;"6ONhSiDgxkxOwuImrVj5ciwow0Vyrs4ACrkZOuNGCojkmEyp=w1200|https://lh3.googleusercontent.com/pw/AP1GczMVdgrJmQKhGTXL1_iBYoe4Hnkpc51ISEBFmOdHEAvAMHqa6Wz81pf4JJjqDVXJoteMbSIUKMK_lhKiKD50IgLsE-bhlkRlAK6iwJ4u9dHXdkIHp4V3=w1200|https://lh3.googleusercontent.com/pw"&amp;"/AP1GczN9M01MupEr18WetVDfN3X9eEHC_muGIhL9EX4khkef1taBMGUk5NcKTE4ODkNHCrcIUgOseLlhQCM6U9aa9-ARJmMLT8Z0Wnnq_A5sxK_d-_xTUQuQ=w1200|https://lh3.googleusercontent.com/pw/AP1GczMqxD9H-33Uhxnw1RW9_0qLiS09B_mPbrF2KzgalgegXrzir4LnG5IDVHfNbPduI4b-3WxTVGf5yxa049vZgA"&amp;"YW--Uf3QZ9zLD92a5IdITNOU_16luv=w1200|https://lh3.googleusercontent.com/pw/AP1GczMt4v8wakoQpGAHfI-atVDLGcY6ZiEGauFlF7BcGxntOIebtCX14e5z9O0zrqhXRbcI5sXyheM2YeUirRlbbtFGyuiA43JaBGVsK7sh_WQ4_LyakBJ1=w1200|https://lh3.googleusercontent.com/pw/AP1GczNmSYb-_uY6H"&amp;"9G2nFdKnRyLeha_igC_L95FrOMRsoCVwxUFE5pEq-K8QUgGDYc7sCdtsnCmPK3wTUbXOf0vrJbdQIdtJ-HkpQqYbwGKQrXuPpCbi8Ak=w1200|https://lh3.googleusercontent.com/pw/AP1GczMY18bEdWKPEdwedbvb56eLPhnOoQPfQhwxjFrHDQJYytS4fgaaU1Po5NfAcy1HG4pm42YsP9N8EfMcq5DGHrZnWPR19_a0h0thN7uS"&amp;"XGFw-8cjW-HP=w1200|https://lh3.googleusercontent.com/pw/AP1GczPvfRlKzNm63N9AukW8LoAVdSmSE77oCS73_NAygAXzK0NMvcfcmNDHdTq3YCdsZaGiqBVrUVRTpQGpYF7m2eVCwsliy-vdIryvsUr6Q8h_E8oE75sN=w1200|https://lh3.googleusercontent.com/pw/AP1GczODHv97gPBVk8KZF80ffirvPEeJYgX"&amp;"rivRCuX43wQrqM6z8cZi78479SXvdceMD63qrXMKTSvNJENRiTuHDmFUROhTJC6OF8clpGtMIIvdXhx5RkO7T=w1200|https://lh3.googleusercontent.com/pw/AP1GczONmn30OiCbnR8glLivJHx88FVhsOvUwadbPenhMEdc2Im3kaF6eUl4Gv2o1Nn7nga8oTVKiXZ7WEK9Fu3wRDso2IpyzerJ5USP91ZHL3hAUA3m7ahP=w1200"&amp;"|https://lh3.googleusercontent.com/pw/AP1GczOI7telvlWcsrQdZiyxG9KpPrI_Onm7bqF-ePvsdYyVXF0rh6aXOvyPdVTdik9P5lFguFycQWkZ0h9EBrSDX7kwpf9JIcu8jQetrNkWCP8UAoOPD1-m=w1200|https://lh3.googleusercontent.com/pw/AP1GczNwztQcE56tkgIZwR-vLn0kNRaw9u3IQbbAQl-Hl7Tl7JDMP"&amp;"d6WmRIeayYp7IzHj9EVVBX6EZIMDqz-xacHRcue064okK9qwUlqWMvctV-bSdCmtwK3=w1200|https://lh3.googleusercontent.com/pw/AP1GczMvxjGPsDh8sbz5HMiCdbT48ef5qa4QWQzpnkIfcGlmp4HcdsOTQ0aN4IOtccTsWG6m701LLrMS2FrUnTVrTT5ZqKNDK3rc_J5HQWg286-3e_OX_Bk4=w1200|https://lh3.googl"&amp;"eusercontent.com/pw/AP1GczOUqF0Vfoymniff6ePZmwQBBCBJmxIc6gwhsCiMX9Uuh5T1a9drtKo3jGEZzp7W5Vv-Y4ajHtBoe0ADDwtjieWa5YP_aI62_hD2C51zWQPyuh3BwB1G=w1200|https://lh3.googleusercontent.com/pw/AP1GczPsSfQ0WwhsCdWch2RhP5NrpZcVsBcnCdAvcJ28-TTnGYg-fuIUXnPJ-dyWWdo0xOZ"&amp;"GDsoPCzr6ITqwqCvIVjI8AQaVJTbqKvjVusp_8Qln0XxvT-HB=w1200|https://lh3.googleusercontent.com/pw/AP1GczPcM48jgGjacs37TBH6ULKFQvklkLBVxd2ZfXAA2Q18aE522nh4at0MluMN_GPRGTVoaHa5KqPXRqKnMM3maM12XbH8twIaulnYh0x3eh6nXn_0owt6=w1200|https://lh3.googleusercontent.com/p"&amp;"w/AP1GczMK0x4Uyhn8DLb-EHHViWAVSgeIx91zc8I5rfxcUy29f81bsjGEtcza7S23Fga8aeIQ1MMNpdDgrlOFN-jWXmfbTC508n-zNd1yTprZyY4-PkXLQuJY=w1200|https://lh3.googleusercontent.com/pw/AP1GczNUZX0nNzaPSdjt-v7BhqpZpmw507cEwExy-W5Ui-WRpY51WrLfQO9VPwIfyxnqn3kbkv-HUMwRJPLTx2O-n"&amp;"If2dkr32NkLQH5FZdWvLVqf3EtA1TDZ=w1200|https://lh3.googleusercontent.com/pw/AP1GczNZhNxPjQNSoizkcJZx-lCz1BhDW2JMug_5MG9zMUf6B-CmJlOX0Jk8m9uN1wwhjsDd9WIH-uEt4q43-4G4Xz7Q3X9bZtZG3uO-ACio26TYRF6oKIUZ=w1200|https://lh3.googleusercontent.com/pw/AP1GczMY00VyZ2aV"&amp;"mL_g__crBoDqTZ8unithtdhwVV06csc3zumiiLp_9H3Y_0dGfYznxYvlVlz4-2MKcI5CI1DZ57iZDq325HhvvZSLYsP_pU5tS5DUsXEp=w1200|https://lh3.googleusercontent.com/pw/AP1GczOGSWa1BzfXnx4nRrnWLTqltfkruQ3p-18yhyPZLVKJCSKBH69c-JrUvJlOtrF7S8DffNBgmp0L4kOIigaOcCCTzkFypuwmk0JVByB"&amp;"uXq2mgz7hAne0=w1200|https://lh3.googleusercontent.com/pw/AP1GczNes3qsQYx0dMlKgk1Q8bk2uygRh3tK0C5M1X0CaNrNnTRNrokdVn2fGBhjDOdtXoOBLbWqZnago7CGb6ebWxsvgVBYrjUaSuRRR2_lCPn7RFFbq9Y2=w1200|https://lh3.googleusercontent.com/pw/AP1GczNlhIv5Cly04S3trzX2zhFjJfTko3"&amp;"5KCOW1gsR6CKKhugl2_GbnpptOTOfhdUG4uo3IW5thTQ3WTSfAdBcpNuXLf7FDd3Hv235fuZvJpp3lnlXXpDQZ=w1200|https://lh3.googleusercontent.com/pw/AP1GczMBhQzDm6bNkwU3Bf13hqFDRenc8TGzhE2N_1b6RHKNYSmmY_cbfD6G6mNsvPO8FYIs4EwxOCiPpoGQDRJo47u9N1WhisRZ2gFpcLoXIwXxq9iCyT9O=w120"&amp;"0|https://lh3.googleusercontent.com/pw/AP1GczPPc_fGs4bSIu6T11qQCfM_b4JDb47y8UvAN5JC2i809HDtbOYgJ8mxDjeXGRAftvzCVZNJPOMf4dkvPTGZFZiPjPE6uEPEmCNVCAOSGuZqLDs3ebLh=w1200|https://lh3.googleusercontent.com/pw/AP1GczOFeSf1Z7k0E3JaHrbDvfz6GRL5pcywkw4DWBdhM0JxQLgc"&amp;"QsG-2S6byZ3ooVPpN3MWc8asObhQgoIqlusWCkSx3v3U_eKUeqMliFce3QzS6nMl2nfb=w1200|https://lh3.googleusercontent.com/pw/AP1GczMtGiAShXl15hZkrwa2DhxqOubM-Jwi2PkfLaEmKgaFypS_nFFCrUMoKzEJKnT0ZLSOAFHTJWiFLy-jnJQkK1aj3_q6gVCNl4YGSGr1oetdCF9STT26=w1200|https://lh3.goog"&amp;"leusercontent.com/pw/AP1GczNgB-y1dPFx_QdP0q4bO63RHsQJg61VMdAQJ5EWhP_NrDrZtpMOZ4bI_It52tEIgS4D6CJbGXWa8t4OAez8xK7C3GYDxxblahkAH9by8B_Ch3WGIjXs=w1200|https://lh3.googleusercontent.com/pw/AP1GczOk0uc9kMecFZ72GnlA1xxffsQJJBXc6AHqel0tSWM-RwFoySy4UH2lwREofpnuo0"&amp;"O6Qn-11pWQ1ZOn3q71lcbwrhFHNmPDn92hfxpI6uA1kXThY7xM=w1200|https://lh3.googleusercontent.com/pw/AP1GczMy85ZDNit0t6uOUmyudMXHz_X8ri5jrGEICvXC9OD3Jd5R-3BTn9bHSw6SC-ZYKgPo5MCS7bNlcOpqsg7OaeV1qZBJfp4ARMlhV9abpmKmK4ieKCN2=w1200|https://lh3.googleusercontent.com/"&amp;"pw/AP1GczMbcdCxFp7CpprnVkb3nR5b3JyStvxt2swKgP7v_Vk7ySUe5YTuqjOMcQrQ_XQr4Pm3WEOqxLOuSJVMsuVEBna1miI99lqbVXBZLPw9luEW1kD5fUMo=w1200|https://lh3.googleusercontent.com/pw/AP1GczOcxPgq_8rkZjfuYqrJspaqcwdQpuWM4E39PjNqmY6Hli74srw7CWqXT0odiULO_BGViITzBxO31_Ln0HYD"&amp;"dH5vUKh6szeCe9-UzTUm2M3glrjB9zAe=w1200|https://lh3.googleusercontent.com/pw/AP1GczNjt4Uv7HYFL0e5Zvdc4WecNlhgt4LeAYE--FtezWXkYEg97aYmKFIztoHqGGOI0goAqfyOiM0deM4pKC-62FuXHMDSU7huK9m1Hn1mlocl3O9NWTeb=w1200|https://lh3.googleusercontent.com/pw/AP1GczN2nVH0t7w"&amp;"EnsUvnsD9PXEloll-EWfGoRhknbweAzFBPQV11yaPBz8TcFVHnYVoS06k4qkm6wWb30OqvZ1_MJK5ZsK49nUcDC3T7iQo3wS0LoL2UuQ9=w1200|https://lh3.googleusercontent.com/pw/AP1GczP2IUn2jkWBWy4XuDSDc8pKU9iAwuix9EFngQbbW0G38dzmMnRLnZRLUWF4x-ZFcF6UubJ8cnkLVSBdhOt8_JS47rQz3cFeeuCvTj"&amp;"XrNBjMGw8uE3XI=w1200|https://lh3.googleusercontent.com/pw/AP1GczMKvbuYlPGMJ5TQa_qZVGC7SveKnT7EBtSKLKFWIj1Bc2jzrXXzv0km4mq6o5GYYR8pVQxDIGl6SYZ8MTOib1xwhtOSL5WfOtWZI_DO27qfmaJWbBu5=w1200|https://lh3.googleusercontent.com/pw/AP1GczO8wBvvL9Ty9PAc5ZBc1XbR2LcYN"&amp;"n3xwDOfhb-fI1bZmq5T3nEmLIEdkxhnOHw_-B2uNL_T_Of8ijmSrwQpAY5lZKZA6lItG66-1nL82j2WyC3slFd9=w1200|https://lh3.googleusercontent.com/pw/AP1GczMcbi8uhL0zJROxsTrqiI9Z5sVDCPlwHh0s5f8ugnDeqb8PH2r8MyEfhDsHTluwFb1LVvf6VKoa4mLiTsnXI9eOxM8jFpSeJTjC85O0xefEh90eZ1Ok=w12"&amp;"00|https://lh3.googleusercontent.com/pw/AP1GczPtDeeevIdS5a0QmJAqlA8auPLIWO3m0dpA5RqCqNXDlRwTzVKVdSU2KVQ_2tZNI6-s7e-QmPnDgnIX07o1dHoMQBjW3w4tqOMU33fWYaKdtd0UslH8=w1200|https://lh3.googleusercontent.com/pw/AP1GczPEt1NUmxgnctPx9H1rRxOhPFCFhc9D2Ne3oowFvPTTPm0"&amp;"WWJ-hN0xJ5SJgFUK_aZR-NVspLRNMv70uQqYz1JF3C6pWKguJ4T8jcmk2r9iuQxLgnCic=w1200")</f>
        <v>https://lh3.googleusercontent.com/pw/AP1GczN5CwAFaefd-dywRogGs5fjm2S3mG1RrtC7WjLTGiPIZ9uYnclox23M6FUSMqsCBlTAfzoe2y9CKF4FiBe0GdOSbkBPNiM2G-g00eOWOD54AfKOdWmo=w1200|https://lh3.googleusercontent.com/pw/AP1GczOKsU-0z-oDfZzKPxNcFa0tLDRxODjI2LXmu5DqkP-i6-1bW7KL6xOBQhEMElLuP8cufnJDkwRktacYOioN5fxXltMZBr_wFjEdZs9cMRU9ipqtr34X=w1200|https://lh3.googleusercontent.com/pw/AP1GczP8Xt8WpA9Eb-9MjfD4f04g4MzAFYdyRZwoYwMr_eMkkYkno4LcYBIe9b3FNWgOljbkkLek4FcLi-PNVTKFVdQppoAUrhIBBqNFI9MIjYIWHwYS_GQg=w1200|https://lh3.googleusercontent.com/pw/AP1GczOkkVwKR-l7WmD7gi6IjeM5rNAZ35MYRzSclZlZlIlMU_FKq49HlQzTKTtgmHt-Vys83774XFDpd0CxOH9xXOw9s0jZYkCMbEhxcM0B3K5yRsj3D85V=w1200|https://lh3.googleusercontent.com/pw/AP1GczPMe1cFqB0s1IR60bz_wB_BCUuX4oJas4vzJpNswK80HJi1sDhc6UIkKQbtvnDTB64H6ONhSiDgxkxOwuImrVj5ciwow0Vyrs4ACrkZOuNGCojkmEyp=w1200|https://lh3.googleusercontent.com/pw/AP1GczMVdgrJmQKhGTXL1_iBYoe4Hnkpc51ISEBFmOdHEAvAMHqa6Wz81pf4JJjqDVXJoteMbSIUKMK_lhKiKD50IgLsE-bhlkRlAK6iwJ4u9dHXdkIHp4V3=w1200|https://lh3.googleusercontent.com/pw/AP1GczN9M01MupEr18WetVDfN3X9eEHC_muGIhL9EX4khkef1taBMGUk5NcKTE4ODkNHCrcIUgOseLlhQCM6U9aa9-ARJmMLT8Z0Wnnq_A5sxK_d-_xTUQuQ=w1200|https://lh3.googleusercontent.com/pw/AP1GczMqxD9H-33Uhxnw1RW9_0qLiS09B_mPbrF2KzgalgegXrzir4LnG5IDVHfNbPduI4b-3WxTVGf5yxa049vZgAYW--Uf3QZ9zLD92a5IdITNOU_16luv=w1200|https://lh3.googleusercontent.com/pw/AP1GczMt4v8wakoQpGAHfI-atVDLGcY6ZiEGauFlF7BcGxntOIebtCX14e5z9O0zrqhXRbcI5sXyheM2YeUirRlbbtFGyuiA43JaBGVsK7sh_WQ4_LyakBJ1=w1200|https://lh3.googleusercontent.com/pw/AP1GczNmSYb-_uY6H9G2nFdKnRyLeha_igC_L95FrOMRsoCVwxUFE5pEq-K8QUgGDYc7sCdtsnCmPK3wTUbXOf0vrJbdQIdtJ-HkpQqYbwGKQrXuPpCbi8Ak=w1200|https://lh3.googleusercontent.com/pw/AP1GczMY18bEdWKPEdwedbvb56eLPhnOoQPfQhwxjFrHDQJYytS4fgaaU1Po5NfAcy1HG4pm42YsP9N8EfMcq5DGHrZnWPR19_a0h0thN7uSXGFw-8cjW-HP=w1200|https://lh3.googleusercontent.com/pw/AP1GczPvfRlKzNm63N9AukW8LoAVdSmSE77oCS73_NAygAXzK0NMvcfcmNDHdTq3YCdsZaGiqBVrUVRTpQGpYF7m2eVCwsliy-vdIryvsUr6Q8h_E8oE75sN=w1200|https://lh3.googleusercontent.com/pw/AP1GczODHv97gPBVk8KZF80ffirvPEeJYgXrivRCuX43wQrqM6z8cZi78479SXvdceMD63qrXMKTSvNJENRiTuHDmFUROhTJC6OF8clpGtMIIvdXhx5RkO7T=w1200|https://lh3.googleusercontent.com/pw/AP1GczONmn30OiCbnR8glLivJHx88FVhsOvUwadbPenhMEdc2Im3kaF6eUl4Gv2o1Nn7nga8oTVKiXZ7WEK9Fu3wRDso2IpyzerJ5USP91ZHL3hAUA3m7ahP=w1200|https://lh3.googleusercontent.com/pw/AP1GczOI7telvlWcsrQdZiyxG9KpPrI_Onm7bqF-ePvsdYyVXF0rh6aXOvyPdVTdik9P5lFguFycQWkZ0h9EBrSDX7kwpf9JIcu8jQetrNkWCP8UAoOPD1-m=w1200|https://lh3.googleusercontent.com/pw/AP1GczNwztQcE56tkgIZwR-vLn0kNRaw9u3IQbbAQl-Hl7Tl7JDMPd6WmRIeayYp7IzHj9EVVBX6EZIMDqz-xacHRcue064okK9qwUlqWMvctV-bSdCmtwK3=w1200|https://lh3.googleusercontent.com/pw/AP1GczMvxjGPsDh8sbz5HMiCdbT48ef5qa4QWQzpnkIfcGlmp4HcdsOTQ0aN4IOtccTsWG6m701LLrMS2FrUnTVrTT5ZqKNDK3rc_J5HQWg286-3e_OX_Bk4=w1200|https://lh3.googleusercontent.com/pw/AP1GczOUqF0Vfoymniff6ePZmwQBBCBJmxIc6gwhsCiMX9Uuh5T1a9drtKo3jGEZzp7W5Vv-Y4ajHtBoe0ADDwtjieWa5YP_aI62_hD2C51zWQPyuh3BwB1G=w1200|https://lh3.googleusercontent.com/pw/AP1GczPsSfQ0WwhsCdWch2RhP5NrpZcVsBcnCdAvcJ28-TTnGYg-fuIUXnPJ-dyWWdo0xOZGDsoPCzr6ITqwqCvIVjI8AQaVJTbqKvjVusp_8Qln0XxvT-HB=w1200|https://lh3.googleusercontent.com/pw/AP1GczPcM48jgGjacs37TBH6ULKFQvklkLBVxd2ZfXAA2Q18aE522nh4at0MluMN_GPRGTVoaHa5KqPXRqKnMM3maM12XbH8twIaulnYh0x3eh6nXn_0owt6=w1200|https://lh3.googleusercontent.com/pw/AP1GczMK0x4Uyhn8DLb-EHHViWAVSgeIx91zc8I5rfxcUy29f81bsjGEtcza7S23Fga8aeIQ1MMNpdDgrlOFN-jWXmfbTC508n-zNd1yTprZyY4-PkXLQuJY=w1200|https://lh3.googleusercontent.com/pw/AP1GczNUZX0nNzaPSdjt-v7BhqpZpmw507cEwExy-W5Ui-WRpY51WrLfQO9VPwIfyxnqn3kbkv-HUMwRJPLTx2O-nIf2dkr32NkLQH5FZdWvLVqf3EtA1TDZ=w1200|https://lh3.googleusercontent.com/pw/AP1GczNZhNxPjQNSoizkcJZx-lCz1BhDW2JMug_5MG9zMUf6B-CmJlOX0Jk8m9uN1wwhjsDd9WIH-uEt4q43-4G4Xz7Q3X9bZtZG3uO-ACio26TYRF6oKIUZ=w1200|https://lh3.googleusercontent.com/pw/AP1GczMY00VyZ2aVmL_g__crBoDqTZ8unithtdhwVV06csc3zumiiLp_9H3Y_0dGfYznxYvlVlz4-2MKcI5CI1DZ57iZDq325HhvvZSLYsP_pU5tS5DUsXEp=w1200|https://lh3.googleusercontent.com/pw/AP1GczOGSWa1BzfXnx4nRrnWLTqltfkruQ3p-18yhyPZLVKJCSKBH69c-JrUvJlOtrF7S8DffNBgmp0L4kOIigaOcCCTzkFypuwmk0JVByBuXq2mgz7hAne0=w1200|https://lh3.googleusercontent.com/pw/AP1GczNes3qsQYx0dMlKgk1Q8bk2uygRh3tK0C5M1X0CaNrNnTRNrokdVn2fGBhjDOdtXoOBLbWqZnago7CGb6ebWxsvgVBYrjUaSuRRR2_lCPn7RFFbq9Y2=w1200|https://lh3.googleusercontent.com/pw/AP1GczNlhIv5Cly04S3trzX2zhFjJfTko35KCOW1gsR6CKKhugl2_GbnpptOTOfhdUG4uo3IW5thTQ3WTSfAdBcpNuXLf7FDd3Hv235fuZvJpp3lnlXXpDQZ=w1200|https://lh3.googleusercontent.com/pw/AP1GczMBhQzDm6bNkwU3Bf13hqFDRenc8TGzhE2N_1b6RHKNYSmmY_cbfD6G6mNsvPO8FYIs4EwxOCiPpoGQDRJo47u9N1WhisRZ2gFpcLoXIwXxq9iCyT9O=w1200|https://lh3.googleusercontent.com/pw/AP1GczPPc_fGs4bSIu6T11qQCfM_b4JDb47y8UvAN5JC2i809HDtbOYgJ8mxDjeXGRAftvzCVZNJPOMf4dkvPTGZFZiPjPE6uEPEmCNVCAOSGuZqLDs3ebLh=w1200|https://lh3.googleusercontent.com/pw/AP1GczOFeSf1Z7k0E3JaHrbDvfz6GRL5pcywkw4DWBdhM0JxQLgcQsG-2S6byZ3ooVPpN3MWc8asObhQgoIqlusWCkSx3v3U_eKUeqMliFce3QzS6nMl2nfb=w1200|https://lh3.googleusercontent.com/pw/AP1GczMtGiAShXl15hZkrwa2DhxqOubM-Jwi2PkfLaEmKgaFypS_nFFCrUMoKzEJKnT0ZLSOAFHTJWiFLy-jnJQkK1aj3_q6gVCNl4YGSGr1oetdCF9STT26=w1200|https://lh3.googleusercontent.com/pw/AP1GczNgB-y1dPFx_QdP0q4bO63RHsQJg61VMdAQJ5EWhP_NrDrZtpMOZ4bI_It52tEIgS4D6CJbGXWa8t4OAez8xK7C3GYDxxblahkAH9by8B_Ch3WGIjXs=w1200|https://lh3.googleusercontent.com/pw/AP1GczOk0uc9kMecFZ72GnlA1xxffsQJJBXc6AHqel0tSWM-RwFoySy4UH2lwREofpnuo0O6Qn-11pWQ1ZOn3q71lcbwrhFHNmPDn92hfxpI6uA1kXThY7xM=w1200|https://lh3.googleusercontent.com/pw/AP1GczMy85ZDNit0t6uOUmyudMXHz_X8ri5jrGEICvXC9OD3Jd5R-3BTn9bHSw6SC-ZYKgPo5MCS7bNlcOpqsg7OaeV1qZBJfp4ARMlhV9abpmKmK4ieKCN2=w1200|https://lh3.googleusercontent.com/pw/AP1GczMbcdCxFp7CpprnVkb3nR5b3JyStvxt2swKgP7v_Vk7ySUe5YTuqjOMcQrQ_XQr4Pm3WEOqxLOuSJVMsuVEBna1miI99lqbVXBZLPw9luEW1kD5fUMo=w1200|https://lh3.googleusercontent.com/pw/AP1GczOcxPgq_8rkZjfuYqrJspaqcwdQpuWM4E39PjNqmY6Hli74srw7CWqXT0odiULO_BGViITzBxO31_Ln0HYDdH5vUKh6szeCe9-UzTUm2M3glrjB9zAe=w1200|https://lh3.googleusercontent.com/pw/AP1GczNjt4Uv7HYFL0e5Zvdc4WecNlhgt4LeAYE--FtezWXkYEg97aYmKFIztoHqGGOI0goAqfyOiM0deM4pKC-62FuXHMDSU7huK9m1Hn1mlocl3O9NWTeb=w1200|https://lh3.googleusercontent.com/pw/AP1GczN2nVH0t7wEnsUvnsD9PXEloll-EWfGoRhknbweAzFBPQV11yaPBz8TcFVHnYVoS06k4qkm6wWb30OqvZ1_MJK5ZsK49nUcDC3T7iQo3wS0LoL2UuQ9=w1200|https://lh3.googleusercontent.com/pw/AP1GczP2IUn2jkWBWy4XuDSDc8pKU9iAwuix9EFngQbbW0G38dzmMnRLnZRLUWF4x-ZFcF6UubJ8cnkLVSBdhOt8_JS47rQz3cFeeuCvTjXrNBjMGw8uE3XI=w1200|https://lh3.googleusercontent.com/pw/AP1GczMKvbuYlPGMJ5TQa_qZVGC7SveKnT7EBtSKLKFWIj1Bc2jzrXXzv0km4mq6o5GYYR8pVQxDIGl6SYZ8MTOib1xwhtOSL5WfOtWZI_DO27qfmaJWbBu5=w1200|https://lh3.googleusercontent.com/pw/AP1GczO8wBvvL9Ty9PAc5ZBc1XbR2LcYNn3xwDOfhb-fI1bZmq5T3nEmLIEdkxhnOHw_-B2uNL_T_Of8ijmSrwQpAY5lZKZA6lItG66-1nL82j2WyC3slFd9=w1200|https://lh3.googleusercontent.com/pw/AP1GczMcbi8uhL0zJROxsTrqiI9Z5sVDCPlwHh0s5f8ugnDeqb8PH2r8MyEfhDsHTluwFb1LVvf6VKoa4mLiTsnXI9eOxM8jFpSeJTjC85O0xefEh90eZ1Ok=w1200|https://lh3.googleusercontent.com/pw/AP1GczPtDeeevIdS5a0QmJAqlA8auPLIWO3m0dpA5RqCqNXDlRwTzVKVdSU2KVQ_2tZNI6-s7e-QmPnDgnIX07o1dHoMQBjW3w4tqOMU33fWYaKdtd0UslH8=w1200|https://lh3.googleusercontent.com/pw/AP1GczPEt1NUmxgnctPx9H1rRxOhPFCFhc9D2Ne3oowFvPTTPm0WWJ-hN0xJ5SJgFUK_aZR-NVspLRNMv70uQqYz1JF3C6pWKguJ4T8jcmk2r9iuQxLgnCic=w1200</v>
      </c>
      <c r="AJ327" s="46"/>
      <c r="AK327" s="46"/>
      <c r="AL327" s="46"/>
      <c r="AM327" s="46"/>
      <c r="AN327" s="46"/>
      <c r="AO327" s="46"/>
      <c r="AP327" s="46"/>
      <c r="AQ327" s="46"/>
      <c r="AR327" s="46"/>
      <c r="AS327" s="46"/>
      <c r="AT327" s="46"/>
      <c r="AU327" s="46"/>
      <c r="AV327" s="46"/>
      <c r="AW327" s="46"/>
      <c r="AX327" s="46"/>
      <c r="AY327" s="46"/>
      <c r="AZ327" s="46"/>
      <c r="BA327" s="46"/>
      <c r="BB327" s="46"/>
      <c r="BC327" s="46"/>
      <c r="BD327" s="46"/>
      <c r="BE327" s="46"/>
      <c r="BF327" s="46"/>
      <c r="BG327" s="46"/>
      <c r="BH327" s="46"/>
      <c r="BI327" s="46"/>
      <c r="BJ327" s="46"/>
      <c r="BK327" s="46"/>
      <c r="BL327" s="46"/>
      <c r="BM327" s="46"/>
      <c r="BN327" s="46"/>
      <c r="BO327" s="46"/>
      <c r="BP327" s="46"/>
      <c r="BQ327" s="46"/>
      <c r="BR327" s="46"/>
      <c r="BS327" s="46"/>
      <c r="BT327" s="46"/>
      <c r="BU327" s="46"/>
      <c r="BV327" s="46"/>
      <c r="BW327" s="46"/>
      <c r="BX327" s="46"/>
      <c r="BY327" s="46"/>
      <c r="BZ327" s="46"/>
      <c r="CA327" s="46"/>
      <c r="CB327" s="46"/>
      <c r="CC327" s="46"/>
    </row>
    <row r="328">
      <c r="A328" s="87" t="str">
        <f>IFERROR(__xludf.DUMMYFUNCTION("""COMPUTED_VALUE"""),"198")</f>
        <v>198</v>
      </c>
      <c r="B328" s="46" t="str">
        <f>IFERROR(__xludf.DUMMYFUNCTION("""COMPUTED_VALUE"""),"Casa en barrio Sevilla")</f>
        <v>Casa en barrio Sevilla</v>
      </c>
      <c r="C328" s="46" t="str">
        <f>IFERROR(__xludf.DUMMYFUNCTION("""COMPUTED_VALUE"""),"Casa")</f>
        <v>Casa</v>
      </c>
      <c r="D328" s="46" t="str">
        <f>IFERROR(__xludf.DUMMYFUNCTION("""COMPUTED_VALUE"""),"Sevilla")</f>
        <v>Sevilla</v>
      </c>
      <c r="E328" s="90" t="str">
        <f>IFERROR(__xludf.DUMMYFUNCTION("""COMPUTED_VALUE""")," ")</f>
        <v> </v>
      </c>
      <c r="F328" s="90">
        <f>IFERROR(__xludf.DUMMYFUNCTION("""COMPUTED_VALUE"""),1.0E9)</f>
        <v>1000000000</v>
      </c>
      <c r="G328" s="46" t="str">
        <f>IFERROR(__xludf.DUMMYFUNCTION("""COMPUTED_VALUE"""),"Más de $1.000'000.000")</f>
        <v>Más de $1.000'000.000</v>
      </c>
      <c r="H328" s="46"/>
      <c r="I328" s="46"/>
      <c r="J328" s="46" t="str">
        <f>IFERROR(__xludf.DUMMYFUNCTION("""COMPUTED_VALUE"""),"Centro")</f>
        <v>Centro</v>
      </c>
      <c r="K328" s="87" t="str">
        <f>IFERROR(__xludf.DUMMYFUNCTION("""COMPUTED_VALUE"""),"3")</f>
        <v>3</v>
      </c>
      <c r="L328" s="46">
        <f>IFERROR(__xludf.DUMMYFUNCTION("""COMPUTED_VALUE"""),7.0)</f>
        <v>7</v>
      </c>
      <c r="M328" s="46"/>
      <c r="N328" s="46">
        <f>IFERROR(__xludf.DUMMYFUNCTION("""COMPUTED_VALUE"""),4.0)</f>
        <v>4</v>
      </c>
      <c r="O328" s="46">
        <f>IFERROR(__xludf.DUMMYFUNCTION("""COMPUTED_VALUE"""),1.0)</f>
        <v>1</v>
      </c>
      <c r="P328" s="46">
        <f>IFERROR(__xludf.DUMMYFUNCTION("""COMPUTED_VALUE"""),2.0)</f>
        <v>2</v>
      </c>
      <c r="Q328" s="92">
        <f>IFERROR(__xludf.DUMMYFUNCTION("""COMPUTED_VALUE"""),280.0)</f>
        <v>280</v>
      </c>
      <c r="R328" s="92">
        <f>IFERROR(__xludf.DUMMYFUNCTION("""COMPUTED_VALUE"""),389.0)</f>
        <v>389</v>
      </c>
      <c r="S328" s="87" t="str">
        <f>IFERROR(__xludf.DUMMYFUNCTION("""COMPUTED_VALUE""")," ")</f>
        <v> </v>
      </c>
      <c r="T328" s="46" t="str">
        <f>IFERROR(__xludf.DUMMYFUNCTION("""COMPUTED_VALUE"""),"Neiva")</f>
        <v>Neiva</v>
      </c>
      <c r="U328" s="87" t="str">
        <f>IFERROR(__xludf.DUMMYFUNCTION("""COMPUTED_VALUE"""),"4")</f>
        <v>4</v>
      </c>
      <c r="V328" s="46" t="str">
        <f>IFERROR(__xludf.DUMMYFUNCTION("""COMPUTED_VALUE"""),"Esquinera")</f>
        <v>Esquinera</v>
      </c>
      <c r="W328" s="46"/>
      <c r="X328" s="46">
        <f>IFERROR(__xludf.DUMMYFUNCTION("""COMPUTED_VALUE"""),5.0)</f>
        <v>5</v>
      </c>
      <c r="Y328" s="46" t="str">
        <f>IFERROR(__xludf.DUMMYFUNCTION("""COMPUTED_VALUE"""),"No tiene")</f>
        <v>No tiene</v>
      </c>
      <c r="Z328" s="90" t="str">
        <f>IFERROR(__xludf.DUMMYFUNCTION("""COMPUTED_VALUE"""),"No aplica")</f>
        <v>No aplica</v>
      </c>
      <c r="AA328" s="33" t="str">
        <f>IFERROR(__xludf.DUMMYFUNCTION("""COMPUTED_VALUE"""),"No aplica")</f>
        <v>No aplica</v>
      </c>
      <c r="AB328" s="96" t="str">
        <f>IFERROR(__xludf.DUMMYFUNCTION("""COMPUTED_VALUE"""),"https://photos.app.goo.gl/bhWunPMWWqUnr4QG6")</f>
        <v>https://photos.app.goo.gl/bhWunPMWWqUnr4QG6</v>
      </c>
      <c r="AC328" s="46"/>
      <c r="AD328" s="46" t="str">
        <f>IFERROR(__xludf.DUMMYFUNCTION("""COMPUTED_VALUE"""),"Casa amplia, con buenos acabados, piso en mármol, cielo raso machehembre, carpintería metálica y madera, muebles  y closet empotrados en madera, bodega, patio amplio. Escritura al día.")</f>
        <v>Casa amplia, con buenos acabados, piso en mármol, cielo raso machehembre, carpintería metálica y madera, muebles  y closet empotrados en madera, bodega, patio amplio. Escritura al día.</v>
      </c>
      <c r="AE328" s="46"/>
      <c r="AF328" s="46" t="str">
        <f>IFERROR(__xludf.DUMMYFUNCTION("""COMPUTED_VALUE"""),"semi-integral")</f>
        <v>semi-integral</v>
      </c>
      <c r="AG328" s="46"/>
      <c r="AH328" s="46" t="str">
        <f>IFERROR(__xludf.DUMMYFUNCTION("""COMPUTED_VALUE"""),"Aliado")</f>
        <v>Aliado</v>
      </c>
      <c r="AI328" s="92" t="str">
        <f>IFERROR(__xludf.DUMMYFUNCTION("""COMPUTED_VALUE"""),"https://lh3.googleusercontent.com/pw/AP1GczMnUEtqtd2mpxtoZRJGvaZb3iwggFnfUlGECJCiz1kk9v-mit1WKyz85JIu-Os2BJCjBW-tKCY74VXq5kOkrN_PQddi_uHlw3lSbD9Zuz1nVRYbguzM=w1200|https://lh3.googleusercontent.com/pw/AP1GczPAyiYZcEto8v-62VkjNUhCoP06PGoB6dpxLFoGecd_JZH5OW"&amp;"0hiCX6R0jrtfBSeKCYqut6X7BQiV99-tH3tkDvW9TnPnDYrbCSNN1eZb31hW-08EAn=w1200|https://lh3.googleusercontent.com/pw/AP1GczPGZSnDnKIfDmECDsE99kMB_O14h-6Yq3dgCUT--8FupC_96toHmgPmCQBFXI54ekfuDZkADCGBilTiZVEdfz81NDry-76IQ6VZiwoknt0rRtBH2WGx=w1200|https://lh3.google"&amp;"usercontent.com/pw/AP1GczPT3NuxHdu6KwLfr9zRAo1AnWz0OLQU3mJIc5rVptWj2OZz3BkTTMJPDhkBsPQkqcFIP0L93S1tIx3fSOMPAgMZ9ExpXqmQmcBdSP44vhhMqSUwFILJ=w1200|https://lh3.googleusercontent.com/pw/AP1GczPE_WAENJQRS2yZrgODSywDP4lDZNO78NEiEYIejDW57DXOLQPMu4kMpuW6ZtL9nMPx"&amp;"9dHG0GKZdfjcofPa_cB0cHilX6PtOH5qmuQpOkhqG60iiwoM=w1200|https://lh3.googleusercontent.com/pw/AP1GczPP05ltZmlOr-ZIUCFlhruWsl_LEQ01DaDi4nCPbqkW1yyv310xJGiqQOLH5BOcT1tPynyioEZMyhRRye5AVHzLg9KCxWnpqBqMhYugcLrtiW6ubsyn=w1200|https://lh3.googleusercontent.com/pw"&amp;"/AP1GczOInAoVZ56wlG2umlG0ZalJOfamxpCJU15gU4TGVk878DqPAvON8NgG8gHBnN3lQccmfU2PKftjE34cTSrC5BPqn-nNFWHKDDjHFr_RccoN20108fs8=w1200|https://lh3.googleusercontent.com/pw/AP1GczM5XPZlF90L7MDGOhIjpeXjvRPDW9WmU7qHcQ4QjGbkbZD4S8HLVRuFmJJaGRCXgl_9b3u5LEFZRfPXfGz6_s"&amp;"zbVVzT9ViBowHZBcxwTmrCKgo_Bwp3=w1200|https://lh3.googleusercontent.com/pw/AP1GczNT6FXZ1XU1oa2kongIqdFDgPKOdfgsweO8kda5Xh4pod5CoamhCQXNiMkOs5kUCtykX5igTb6_i_wO-Md7ZFB32ZCzVZaJGcl6_UKtv1QsVvckGrTp=w1200|https://lh3.googleusercontent.com/pw/AP1GczPFt3RODzWl8"&amp;"DswACrswraEYH2lDCEcpVnwrzt-QRhoZfKHtj2-wxAu5fxiuqEshycsXscCeVurZJ0Eic7oVs95a7XqdPsuYLv20p4oEbys0lCoT7f_=w1200|https://lh3.googleusercontent.com/pw/AP1GczPWhFmqtAMVWWTXU9NHM8GvSgEhJhPp1SPURMyi4_BtquDuDhxehY0CKXNFYziON-BWHPI7xqXgGSRoxg664Sl7kJBZgTtN8jFZcxVc"&amp;"yeQpg9TsoR_r=w1200|https://lh3.googleusercontent.com/pw/AP1GczMkkqn5KrYYFaxq3e2HFIfoPX7-9i32HqDtOw7R7RltKctY4tqugx0NZaw29fNp7rR_-q4n_tqMPXM3XEQ8wF5OLAchnXROc2eAPUwfvAQlFrL8Puvg=w1200|https://lh3.googleusercontent.com/pw/AP1GczMLtTmJenGTFNifVutbIDNTUYVq283"&amp;"4SHSjNow4z0gqsyyGcCRe2ZAfRD8ksy4KA54_sX-2n0Fge8HxyjcdilQEEmj-Ku6ZqsxAKvtenVtHmi_Y39Cp=w1200|https://lh3.googleusercontent.com/pw/AP1GczOs8JM4YoxBhE7V2vxum5LiD1L1xg8nRRfOPPwZ9wh4WCF996Sw7l0I-ewM7hPrOMpBywVtFEJgxGXut1WcJqvzFbzU-nZlKornmvq3-W5qdNwJGBqq=w1200"&amp;"|https://lh3.googleusercontent.com/pw/AP1GczMG4jECuzDWQX5E0P5f__QzKTq6KBvo8Vjl9HoTX-LhWuKPOiBY4TYZJtm0WxYjqg_xw7SYxdCwKtkRGcItlD6WiW8AavOHMRPltO0CzlilDTXn_8WT=w1200|https://lh3.googleusercontent.com/pw/AP1GczNIh3yKOH_P3xJt7w62PEuGgWZVUS2GEMgboiV-2hPbTIVaH"&amp;"THj3KpIWJ02VAvFnA1Nf1RfqGAZFLHNb9QWEbwXOn01HyoHeYQbAkROflIpkLahwg2_=w1200|https://lh3.googleusercontent.com/pw/AP1GczM0w8i5nXafvOolhQwqz4mGTmG-JJWXCkpBGEf5FfS_UCF5bvyunJJHQmCt-0Dvqz84HRVSllIni41aOe11h-35D91iXCRpu6K6QvcuS1Pxe-j0ntKU=w1200|https://lh3.googl"&amp;"eusercontent.com/pw/AP1GczOgBAGwDxdCOC-nRHQPmZxAh11l-GUyHhuRktHfQBp1JPpRJACJ1P5Ns9ePJ02EmBJEblURrvyoyVaLU2yMhDy9tvHWJwQaPb-UujekN9mSE4kiPnf6=w1200|https://lh3.googleusercontent.com/pw/AP1GczPRPqglcsPQKzOHsxnodU0SyFL3Ecm-smgq3avMEpzb7jctvD92vaZN1ut5UD4qKex"&amp;"t4_LFg31TjrnNXdrikwhWbWO3_708eiaOuin_OEjOhFlJMoF-=w1200|https://lh3.googleusercontent.com/pw/AP1GczOdrWLSG7KXTVEZHoDy8UjFKdJehAu_f3g_4HeoJ9mkJ-GRfOFuNYaIqmztosEDLRkrX4fftiOILg71IBQmnjAFr65kLRU19jrxq6WPbgu48zIYd2c1=w1200|https://lh3.googleusercontent.com/p"&amp;"w/AP1GczORtrOwPGknNtE9kY0siGBdgddbUO4f_oYkddhN4DqPdUGQqC6TIxXv1MeB2R660kv0Psmhe_I6O1o9tiCLg6SGeCpGSJ81bJZWpx0_ISF2jNyZ2COz=w1200|https://lh3.googleusercontent.com/pw/AP1GczP7bUYin1BPMkhQmEmqls07gtnRgsGIjjDl0XEdvikqdkK0kJs_-R2WvQ1rW71eByfr_QegNx8OYUxC0FsHw"&amp;"FEvLPDfJT7II3MmERJO4gfkLHvBlhwW=w1200|https://lh3.googleusercontent.com/pw/AP1GczMwSc3cXBjSyd2lHNO_cpFN-nmYKLYhSAkNe3BfRpskbE79s5CY0wYl22MEJFoy3Im_mcW28oItapabBLgIFOwJL0Ni-5_PJCyW0TJkFMHmTMJJaN61=w1200|https://lh3.googleusercontent.com/pw/AP1GczNoP2cEjFj-"&amp;"EbiFCNYGzFkSs7jmnBQZrpN7PhpkyiGfkJ5YnJxWXrcXC0IWorzcShsq8IBIotUEF-OqrM4A8w_6BTAD9BC4pkZrufxcDSIW-L_eIYKX=w1200|https://lh3.googleusercontent.com/pw/AP1GczMFNXi3Zi4jY38nPvIGAnKNRY7cnuTbh5vSTYfFNo-HiFMBN5eTUrvXHBj89M6RY55mxfRXgy8_eqH2FmWvyB6cg3QmKHw3P8dLnB7"&amp;"9u3HjNEuY587t=w1200|https://lh3.googleusercontent.com/pw/AP1GczMGZIoCATWa6ih2uAt0TvtErHKIXovEiwXonebxm_7xriSyDkx3mQoAHNagntdIym4Axl4rqIYtMAX_qTHtcneP_-D5oRfp8mDjZoCzbpQTWMNrokZ1=w1200|https://lh3.googleusercontent.com/pw/AP1GczOmwJIvt9nAlXcv3bvm2to3_z1NPv"&amp;"1uCY8LIMwD6_Hysmb9Dl57TjqTiJkEvewrEbKLOtfgjnLFu2fcM6AIK1kiCxvi8zzIWlM7UZjCg0hwoY-FvJBX=w1200|https://lh3.googleusercontent.com/pw/AP1GczOMbO2U-DyUdCY4Rf3hy7Oe2LYDm6rAyIknaqJ9rUuhN53ikwGYB0fSD3iDhTBb5kH7OvF4SLPTDOrv91qfDdlbLJFRLOUjPdGkcxUC451ejoxS236y=w120"&amp;"0|https://lh3.googleusercontent.com/pw/AP1GczNQj4ZqBVyLYoDhaD8jwKJJxmm9iXwhg09Tt5DfjkDZ22aKyx8UBF2ry_G6KPHhNqLPAbIuXjnD7-BOnZZsG57pcNbzCor9xBN_gFaKw9WX9S7VSsD4=w1200|https://lh3.googleusercontent.com/pw/AP1GczPHQeBtLW4iuCvGcFY8GuevFjBp6HzmzB-0FjEdHkj5WVNR"&amp;"QurFiaQPgZSMWR2COP7vfJ4F5nFQcTGVwLb_wHjWVHLHRIjiW2WhOAmx38z9aMIP0fsz=w1200|https://lh3.googleusercontent.com/pw/AP1GczNZS-xeQoPr2st6SS0fOW3acD-978ABsoHk6hFRk-hNjh-m3xcLCOBJ8Z0eduHqLlO7aVOdG4hMCehCrFM31VWBmkb_r8FRYz1wbWsN1wPyHCAuTXVo=w1200|https://lh3.goog"&amp;"leusercontent.com/pw/AP1GczMZrAjxprTyxgPMOFm7h3wHpGcHg9nFxfxkjFHK_HDFomk2OkGjr4_eCspRiX6Fn4JZHKhzoFndWxUqmTzNA0gcaJV0FtlezsbrpnSLAtgtRiCNUV2X=w1200|https://lh3.googleusercontent.com/pw/AP1GczM7pQpuUclaftgn3C9PIOKaLVo3y209jflIf9LGweOxrC83bBYMuMeOUWlf40ts7z"&amp;"wdH5PNfZn59oWOHzECK97zenDnaD0n2L6LYdnSnhxBYrEIEtXF=w1200|https://lh3.googleusercontent.com/pw/AP1GczO_8iPDFUiTsHdw40Ppm4sjU9ETjEp1u9TSs9EY3UN8MakS-0YW5WLFNa0ja3n4-vKBtgoPoGvUVIjMtWTvLzW9ZQhrBcLeVq3p1n2axpknFGVu4KoJ=w1200|https://lh3.googleusercontent.com/"&amp;"pw/AP1GczPxv4RanKmON3HiiPy_OJ4B8td5NFNLjZGjvifCRerpnw1WAgtDuCYDn8QXqls_M3aurHQoZHp32LtiDmD1MSrRi57PRk9JpeBfzT2Yt4G042yh4nUR=w1200|https://lh3.googleusercontent.com/pw/AP1GczPUmQOiYdrrQ8aC7z8eL28JvrNHrhR_jZUSqBdH23CSxa6jEiqnMmD5Yc4JsIeNEsg0HtC4cJYQDFnHIaOa"&amp;"p08DGXBkDf1pffSp-zqf8xKIe8SMqdMP=w1200|https://lh3.googleusercontent.com/pw/AP1GczMAqXrWiQrhcjSBJq6opJmEBYVO261MgvxbE15JR8gE7xHq2hcbXUnxbGy5TR3RA7Mg6wtbMZ2jRHDWQjIg0Dgo-8GPknOYOGbMGsBYLDhAAjmtM5JZ=w1200|https://lh3.googleusercontent.com/pw/AP1GczNre6Lig-9"&amp;"-npzebRjwe1EyiYcUpjKmHOGBoY_Cn99wniAvQoOe7UEsGPEE1igVTAsJLPrHL6ut_Q1z7k55BUYmCp-S1AIwkBa9mmmfl62_8EleU3fU=w1200|https://lh3.googleusercontent.com/pw/AP1GczOkz_8aBa2s9bAp9yCRuRKm8PXjS8tdS9Hvg1v-FxtkyzTXZUa1cOHBEbUSPwJDjrNSRl-bPsw0NYTh5XnZ0uDFs2h_IQcN7quG4i"&amp;"eSZIHXyMoE_cMa=w1200|https://lh3.googleusercontent.com/pw/AP1GczMXcWyIz942lX0W1YSb6D0lnjHmrtdwOWrEC0BJ2GlEvonFtxwkLVqZrrwEClxFFPWTJ6T6IgyARij5fJy4MRlKBenaSRpocgSeYOnzN_V5NSrChebM=w1200|https://lh3.googleusercontent.com/pw/AP1GczN5brib0PYdbPm47SGAsv67Mzq9q"&amp;"q9K5efylksS0oM6OEGPDri7Qj-F4cLWWSdxvf_zr1oZikVY8fAxMV6Vdx20L2bHn7F3H1NEk-sz78e7vJbMDxXO=w1200|https://lh3.googleusercontent.com/pw/AP1GczMFIQ2RbS0k-2U8PCecnqHOHTeO37Tx_zoxlwJLSWWcHNocJstdffnuUSczO69JTNExc3NlVqLqo8AhrEDdoT-bR5LpJuvaaLKS8g2nazBdNdXgUOv0=w12"&amp;"00|https://lh3.googleusercontent.com/pw/AP1GczOcFXlzvpNiqL0qye2kJhPJ4kc_jsPWDxVtLSuCs1d3Et_FRNbBatSxwUoDzUEmo5QJrbYFdBbbwu3ZQbygODSJfF6cvCMOBXHmxgwMnnFQewFX1VZ5=w1200|https://lh3.googleusercontent.com/pw/AP1GczOnit4YNGohxpwC66Ank34LVuqmSjhZ23m-hN63dyhrrWF"&amp;"cAODtq3vpH6juxD1LNBbyEz3ZJWNeWzJ7Ym8_5Pfb69dSDHzCx0gOiNQyMiO7VctIiXaE=w1200|https://lh3.googleusercontent.com/pw/AP1GczM3S-GbpC-aJgqaOtu8QXGtm5K5F1-eWb8svKrVcN1cQJ1GPtSHucDDCUoiBuPUI48qyjdnOknrrSw4cQfhp46udh1Biyd1BmQnRJYlOqy4Hojd4Pjk=w1200|https://lh3.goo"&amp;"gleusercontent.com/pw/AP1GczOYoRxTyc4i6-2EL0gHuRAHGz0uUwvMCZBAJQfV1MJrcHGo2Msp7VxxbjoZC2UaLPmGqEnrbrzyn3ZPNn7G9ktk4_hIe7sai6w97zeLHkbJbHhH_noc=w1200")</f>
        <v>https://lh3.googleusercontent.com/pw/AP1GczMnUEtqtd2mpxtoZRJGvaZb3iwggFnfUlGECJCiz1kk9v-mit1WKyz85JIu-Os2BJCjBW-tKCY74VXq5kOkrN_PQddi_uHlw3lSbD9Zuz1nVRYbguzM=w1200|https://lh3.googleusercontent.com/pw/AP1GczPAyiYZcEto8v-62VkjNUhCoP06PGoB6dpxLFoGecd_JZH5OW0hiCX6R0jrtfBSeKCYqut6X7BQiV99-tH3tkDvW9TnPnDYrbCSNN1eZb31hW-08EAn=w1200|https://lh3.googleusercontent.com/pw/AP1GczPGZSnDnKIfDmECDsE99kMB_O14h-6Yq3dgCUT--8FupC_96toHmgPmCQBFXI54ekfuDZkADCGBilTiZVEdfz81NDry-76IQ6VZiwoknt0rRtBH2WGx=w1200|https://lh3.googleusercontent.com/pw/AP1GczPT3NuxHdu6KwLfr9zRAo1AnWz0OLQU3mJIc5rVptWj2OZz3BkTTMJPDhkBsPQkqcFIP0L93S1tIx3fSOMPAgMZ9ExpXqmQmcBdSP44vhhMqSUwFILJ=w1200|https://lh3.googleusercontent.com/pw/AP1GczPE_WAENJQRS2yZrgODSywDP4lDZNO78NEiEYIejDW57DXOLQPMu4kMpuW6ZtL9nMPx9dHG0GKZdfjcofPa_cB0cHilX6PtOH5qmuQpOkhqG60iiwoM=w1200|https://lh3.googleusercontent.com/pw/AP1GczPP05ltZmlOr-ZIUCFlhruWsl_LEQ01DaDi4nCPbqkW1yyv310xJGiqQOLH5BOcT1tPynyioEZMyhRRye5AVHzLg9KCxWnpqBqMhYugcLrtiW6ubsyn=w1200|https://lh3.googleusercontent.com/pw/AP1GczOInAoVZ56wlG2umlG0ZalJOfamxpCJU15gU4TGVk878DqPAvON8NgG8gHBnN3lQccmfU2PKftjE34cTSrC5BPqn-nNFWHKDDjHFr_RccoN20108fs8=w1200|https://lh3.googleusercontent.com/pw/AP1GczM5XPZlF90L7MDGOhIjpeXjvRPDW9WmU7qHcQ4QjGbkbZD4S8HLVRuFmJJaGRCXgl_9b3u5LEFZRfPXfGz6_szbVVzT9ViBowHZBcxwTmrCKgo_Bwp3=w1200|https://lh3.googleusercontent.com/pw/AP1GczNT6FXZ1XU1oa2kongIqdFDgPKOdfgsweO8kda5Xh4pod5CoamhCQXNiMkOs5kUCtykX5igTb6_i_wO-Md7ZFB32ZCzVZaJGcl6_UKtv1QsVvckGrTp=w1200|https://lh3.googleusercontent.com/pw/AP1GczPFt3RODzWl8DswACrswraEYH2lDCEcpVnwrzt-QRhoZfKHtj2-wxAu5fxiuqEshycsXscCeVurZJ0Eic7oVs95a7XqdPsuYLv20p4oEbys0lCoT7f_=w1200|https://lh3.googleusercontent.com/pw/AP1GczPWhFmqtAMVWWTXU9NHM8GvSgEhJhPp1SPURMyi4_BtquDuDhxehY0CKXNFYziON-BWHPI7xqXgGSRoxg664Sl7kJBZgTtN8jFZcxVcyeQpg9TsoR_r=w1200|https://lh3.googleusercontent.com/pw/AP1GczMkkqn5KrYYFaxq3e2HFIfoPX7-9i32HqDtOw7R7RltKctY4tqugx0NZaw29fNp7rR_-q4n_tqMPXM3XEQ8wF5OLAchnXROc2eAPUwfvAQlFrL8Puvg=w1200|https://lh3.googleusercontent.com/pw/AP1GczMLtTmJenGTFNifVutbIDNTUYVq2834SHSjNow4z0gqsyyGcCRe2ZAfRD8ksy4KA54_sX-2n0Fge8HxyjcdilQEEmj-Ku6ZqsxAKvtenVtHmi_Y39Cp=w1200|https://lh3.googleusercontent.com/pw/AP1GczOs8JM4YoxBhE7V2vxum5LiD1L1xg8nRRfOPPwZ9wh4WCF996Sw7l0I-ewM7hPrOMpBywVtFEJgxGXut1WcJqvzFbzU-nZlKornmvq3-W5qdNwJGBqq=w1200|https://lh3.googleusercontent.com/pw/AP1GczMG4jECuzDWQX5E0P5f__QzKTq6KBvo8Vjl9HoTX-LhWuKPOiBY4TYZJtm0WxYjqg_xw7SYxdCwKtkRGcItlD6WiW8AavOHMRPltO0CzlilDTXn_8WT=w1200|https://lh3.googleusercontent.com/pw/AP1GczNIh3yKOH_P3xJt7w62PEuGgWZVUS2GEMgboiV-2hPbTIVaHTHj3KpIWJ02VAvFnA1Nf1RfqGAZFLHNb9QWEbwXOn01HyoHeYQbAkROflIpkLahwg2_=w1200|https://lh3.googleusercontent.com/pw/AP1GczM0w8i5nXafvOolhQwqz4mGTmG-JJWXCkpBGEf5FfS_UCF5bvyunJJHQmCt-0Dvqz84HRVSllIni41aOe11h-35D91iXCRpu6K6QvcuS1Pxe-j0ntKU=w1200|https://lh3.googleusercontent.com/pw/AP1GczOgBAGwDxdCOC-nRHQPmZxAh11l-GUyHhuRktHfQBp1JPpRJACJ1P5Ns9ePJ02EmBJEblURrvyoyVaLU2yMhDy9tvHWJwQaPb-UujekN9mSE4kiPnf6=w1200|https://lh3.googleusercontent.com/pw/AP1GczPRPqglcsPQKzOHsxnodU0SyFL3Ecm-smgq3avMEpzb7jctvD92vaZN1ut5UD4qKext4_LFg31TjrnNXdrikwhWbWO3_708eiaOuin_OEjOhFlJMoF-=w1200|https://lh3.googleusercontent.com/pw/AP1GczOdrWLSG7KXTVEZHoDy8UjFKdJehAu_f3g_4HeoJ9mkJ-GRfOFuNYaIqmztosEDLRkrX4fftiOILg71IBQmnjAFr65kLRU19jrxq6WPbgu48zIYd2c1=w1200|https://lh3.googleusercontent.com/pw/AP1GczORtrOwPGknNtE9kY0siGBdgddbUO4f_oYkddhN4DqPdUGQqC6TIxXv1MeB2R660kv0Psmhe_I6O1o9tiCLg6SGeCpGSJ81bJZWpx0_ISF2jNyZ2COz=w1200|https://lh3.googleusercontent.com/pw/AP1GczP7bUYin1BPMkhQmEmqls07gtnRgsGIjjDl0XEdvikqdkK0kJs_-R2WvQ1rW71eByfr_QegNx8OYUxC0FsHwFEvLPDfJT7II3MmERJO4gfkLHvBlhwW=w1200|https://lh3.googleusercontent.com/pw/AP1GczMwSc3cXBjSyd2lHNO_cpFN-nmYKLYhSAkNe3BfRpskbE79s5CY0wYl22MEJFoy3Im_mcW28oItapabBLgIFOwJL0Ni-5_PJCyW0TJkFMHmTMJJaN61=w1200|https://lh3.googleusercontent.com/pw/AP1GczNoP2cEjFj-EbiFCNYGzFkSs7jmnBQZrpN7PhpkyiGfkJ5YnJxWXrcXC0IWorzcShsq8IBIotUEF-OqrM4A8w_6BTAD9BC4pkZrufxcDSIW-L_eIYKX=w1200|https://lh3.googleusercontent.com/pw/AP1GczMFNXi3Zi4jY38nPvIGAnKNRY7cnuTbh5vSTYfFNo-HiFMBN5eTUrvXHBj89M6RY55mxfRXgy8_eqH2FmWvyB6cg3QmKHw3P8dLnB79u3HjNEuY587t=w1200|https://lh3.googleusercontent.com/pw/AP1GczMGZIoCATWa6ih2uAt0TvtErHKIXovEiwXonebxm_7xriSyDkx3mQoAHNagntdIym4Axl4rqIYtMAX_qTHtcneP_-D5oRfp8mDjZoCzbpQTWMNrokZ1=w1200|https://lh3.googleusercontent.com/pw/AP1GczOmwJIvt9nAlXcv3bvm2to3_z1NPv1uCY8LIMwD6_Hysmb9Dl57TjqTiJkEvewrEbKLOtfgjnLFu2fcM6AIK1kiCxvi8zzIWlM7UZjCg0hwoY-FvJBX=w1200|https://lh3.googleusercontent.com/pw/AP1GczOMbO2U-DyUdCY4Rf3hy7Oe2LYDm6rAyIknaqJ9rUuhN53ikwGYB0fSD3iDhTBb5kH7OvF4SLPTDOrv91qfDdlbLJFRLOUjPdGkcxUC451ejoxS236y=w1200|https://lh3.googleusercontent.com/pw/AP1GczNQj4ZqBVyLYoDhaD8jwKJJxmm9iXwhg09Tt5DfjkDZ22aKyx8UBF2ry_G6KPHhNqLPAbIuXjnD7-BOnZZsG57pcNbzCor9xBN_gFaKw9WX9S7VSsD4=w1200|https://lh3.googleusercontent.com/pw/AP1GczPHQeBtLW4iuCvGcFY8GuevFjBp6HzmzB-0FjEdHkj5WVNRQurFiaQPgZSMWR2COP7vfJ4F5nFQcTGVwLb_wHjWVHLHRIjiW2WhOAmx38z9aMIP0fsz=w1200|https://lh3.googleusercontent.com/pw/AP1GczNZS-xeQoPr2st6SS0fOW3acD-978ABsoHk6hFRk-hNjh-m3xcLCOBJ8Z0eduHqLlO7aVOdG4hMCehCrFM31VWBmkb_r8FRYz1wbWsN1wPyHCAuTXVo=w1200|https://lh3.googleusercontent.com/pw/AP1GczMZrAjxprTyxgPMOFm7h3wHpGcHg9nFxfxkjFHK_HDFomk2OkGjr4_eCspRiX6Fn4JZHKhzoFndWxUqmTzNA0gcaJV0FtlezsbrpnSLAtgtRiCNUV2X=w1200|https://lh3.googleusercontent.com/pw/AP1GczM7pQpuUclaftgn3C9PIOKaLVo3y209jflIf9LGweOxrC83bBYMuMeOUWlf40ts7zwdH5PNfZn59oWOHzECK97zenDnaD0n2L6LYdnSnhxBYrEIEtXF=w1200|https://lh3.googleusercontent.com/pw/AP1GczO_8iPDFUiTsHdw40Ppm4sjU9ETjEp1u9TSs9EY3UN8MakS-0YW5WLFNa0ja3n4-vKBtgoPoGvUVIjMtWTvLzW9ZQhrBcLeVq3p1n2axpknFGVu4KoJ=w1200|https://lh3.googleusercontent.com/pw/AP1GczPxv4RanKmON3HiiPy_OJ4B8td5NFNLjZGjvifCRerpnw1WAgtDuCYDn8QXqls_M3aurHQoZHp32LtiDmD1MSrRi57PRk9JpeBfzT2Yt4G042yh4nUR=w1200|https://lh3.googleusercontent.com/pw/AP1GczPUmQOiYdrrQ8aC7z8eL28JvrNHrhR_jZUSqBdH23CSxa6jEiqnMmD5Yc4JsIeNEsg0HtC4cJYQDFnHIaOap08DGXBkDf1pffSp-zqf8xKIe8SMqdMP=w1200|https://lh3.googleusercontent.com/pw/AP1GczMAqXrWiQrhcjSBJq6opJmEBYVO261MgvxbE15JR8gE7xHq2hcbXUnxbGy5TR3RA7Mg6wtbMZ2jRHDWQjIg0Dgo-8GPknOYOGbMGsBYLDhAAjmtM5JZ=w1200|https://lh3.googleusercontent.com/pw/AP1GczNre6Lig-9-npzebRjwe1EyiYcUpjKmHOGBoY_Cn99wniAvQoOe7UEsGPEE1igVTAsJLPrHL6ut_Q1z7k55BUYmCp-S1AIwkBa9mmmfl62_8EleU3fU=w1200|https://lh3.googleusercontent.com/pw/AP1GczOkz_8aBa2s9bAp9yCRuRKm8PXjS8tdS9Hvg1v-FxtkyzTXZUa1cOHBEbUSPwJDjrNSRl-bPsw0NYTh5XnZ0uDFs2h_IQcN7quG4ieSZIHXyMoE_cMa=w1200|https://lh3.googleusercontent.com/pw/AP1GczMXcWyIz942lX0W1YSb6D0lnjHmrtdwOWrEC0BJ2GlEvonFtxwkLVqZrrwEClxFFPWTJ6T6IgyARij5fJy4MRlKBenaSRpocgSeYOnzN_V5NSrChebM=w1200|https://lh3.googleusercontent.com/pw/AP1GczN5brib0PYdbPm47SGAsv67Mzq9qq9K5efylksS0oM6OEGPDri7Qj-F4cLWWSdxvf_zr1oZikVY8fAxMV6Vdx20L2bHn7F3H1NEk-sz78e7vJbMDxXO=w1200|https://lh3.googleusercontent.com/pw/AP1GczMFIQ2RbS0k-2U8PCecnqHOHTeO37Tx_zoxlwJLSWWcHNocJstdffnuUSczO69JTNExc3NlVqLqo8AhrEDdoT-bR5LpJuvaaLKS8g2nazBdNdXgUOv0=w1200|https://lh3.googleusercontent.com/pw/AP1GczOcFXlzvpNiqL0qye2kJhPJ4kc_jsPWDxVtLSuCs1d3Et_FRNbBatSxwUoDzUEmo5QJrbYFdBbbwu3ZQbygODSJfF6cvCMOBXHmxgwMnnFQewFX1VZ5=w1200|https://lh3.googleusercontent.com/pw/AP1GczOnit4YNGohxpwC66Ank34LVuqmSjhZ23m-hN63dyhrrWFcAODtq3vpH6juxD1LNBbyEz3ZJWNeWzJ7Ym8_5Pfb69dSDHzCx0gOiNQyMiO7VctIiXaE=w1200|https://lh3.googleusercontent.com/pw/AP1GczM3S-GbpC-aJgqaOtu8QXGtm5K5F1-eWb8svKrVcN1cQJ1GPtSHucDDCUoiBuPUI48qyjdnOknrrSw4cQfhp46udh1Biyd1BmQnRJYlOqy4Hojd4Pjk=w1200|https://lh3.googleusercontent.com/pw/AP1GczOYoRxTyc4i6-2EL0gHuRAHGz0uUwvMCZBAJQfV1MJrcHGo2Msp7VxxbjoZC2UaLPmGqEnrbrzyn3ZPNn7G9ktk4_hIe7sai6w97zeLHkbJbHhH_noc=w1200</v>
      </c>
      <c r="AJ328" s="46"/>
      <c r="AK328" s="46"/>
      <c r="AL328" s="46"/>
      <c r="AM328" s="46"/>
      <c r="AN328" s="46"/>
      <c r="AO328" s="46"/>
      <c r="AP328" s="46"/>
      <c r="AQ328" s="46"/>
      <c r="AR328" s="46"/>
      <c r="AS328" s="46"/>
      <c r="AT328" s="46"/>
      <c r="AU328" s="46"/>
      <c r="AV328" s="46"/>
      <c r="AW328" s="46"/>
      <c r="AX328" s="46"/>
      <c r="AY328" s="46"/>
      <c r="AZ328" s="46"/>
      <c r="BA328" s="46"/>
      <c r="BB328" s="46"/>
      <c r="BC328" s="46"/>
      <c r="BD328" s="46"/>
      <c r="BE328" s="46"/>
      <c r="BF328" s="46"/>
      <c r="BG328" s="46"/>
      <c r="BH328" s="46"/>
      <c r="BI328" s="46"/>
      <c r="BJ328" s="46"/>
      <c r="BK328" s="46"/>
      <c r="BL328" s="46"/>
      <c r="BM328" s="46"/>
      <c r="BN328" s="46"/>
      <c r="BO328" s="46"/>
      <c r="BP328" s="46"/>
      <c r="BQ328" s="46"/>
      <c r="BR328" s="46"/>
      <c r="BS328" s="46"/>
      <c r="BT328" s="46"/>
      <c r="BU328" s="46"/>
      <c r="BV328" s="46"/>
      <c r="BW328" s="46"/>
      <c r="BX328" s="46"/>
      <c r="BY328" s="46"/>
      <c r="BZ328" s="46"/>
      <c r="CA328" s="46"/>
      <c r="CB328" s="46"/>
      <c r="CC328" s="46"/>
    </row>
    <row r="329">
      <c r="A329" s="87" t="str">
        <f>IFERROR(__xludf.DUMMYFUNCTION("""COMPUTED_VALUE"""),"1351")</f>
        <v>1351</v>
      </c>
      <c r="B329" s="46" t="str">
        <f>IFERROR(__xludf.DUMMYFUNCTION("""COMPUTED_VALUE"""),"Casa campestre en Valle de la Rivera")</f>
        <v>Casa campestre en Valle de la Rivera</v>
      </c>
      <c r="C329" s="46" t="str">
        <f>IFERROR(__xludf.DUMMYFUNCTION("""COMPUTED_VALUE"""),"Casa campestre")</f>
        <v>Casa campestre</v>
      </c>
      <c r="D329" s="46"/>
      <c r="E329" s="46"/>
      <c r="F329" s="90">
        <f>IFERROR(__xludf.DUMMYFUNCTION("""COMPUTED_VALUE"""),9.3E8)</f>
        <v>930000000</v>
      </c>
      <c r="G329" s="46" t="str">
        <f>IFERROR(__xludf.DUMMYFUNCTION("""COMPUTED_VALUE"""),"$500'000.000 a $1.000'000.000")</f>
        <v>$500'000.000 a $1.000'000.000</v>
      </c>
      <c r="H329" s="46"/>
      <c r="I329" s="46"/>
      <c r="J329" s="46" t="str">
        <f>IFERROR(__xludf.DUMMYFUNCTION("""COMPUTED_VALUE"""),"Sur")</f>
        <v>Sur</v>
      </c>
      <c r="K329" s="87"/>
      <c r="L329" s="46">
        <f>IFERROR(__xludf.DUMMYFUNCTION("""COMPUTED_VALUE"""),7.0)</f>
        <v>7</v>
      </c>
      <c r="M329" s="46"/>
      <c r="N329" s="46">
        <f>IFERROR(__xludf.DUMMYFUNCTION("""COMPUTED_VALUE"""),9.0)</f>
        <v>9</v>
      </c>
      <c r="O329" s="46">
        <f>IFERROR(__xludf.DUMMYFUNCTION("""COMPUTED_VALUE"""),2.0)</f>
        <v>2</v>
      </c>
      <c r="P329" s="46">
        <f>IFERROR(__xludf.DUMMYFUNCTION("""COMPUTED_VALUE"""),1.0)</f>
        <v>1</v>
      </c>
      <c r="Q329" s="92">
        <f>IFERROR(__xludf.DUMMYFUNCTION("""COMPUTED_VALUE"""),554.0)</f>
        <v>554</v>
      </c>
      <c r="R329" s="92">
        <f>IFERROR(__xludf.DUMMYFUNCTION("""COMPUTED_VALUE"""),6040.0)</f>
        <v>6040</v>
      </c>
      <c r="S329" s="87" t="str">
        <f>IFERROR(__xludf.DUMMYFUNCTION("""COMPUTED_VALUE""")," ")</f>
        <v> </v>
      </c>
      <c r="T329" s="46" t="str">
        <f>IFERROR(__xludf.DUMMYFUNCTION("""COMPUTED_VALUE"""),"Rivera")</f>
        <v>Rivera</v>
      </c>
      <c r="U329" s="87"/>
      <c r="V329" s="46"/>
      <c r="W329" s="46"/>
      <c r="X329" s="46">
        <f>IFERROR(__xludf.DUMMYFUNCTION("""COMPUTED_VALUE"""),4.0)</f>
        <v>4</v>
      </c>
      <c r="Y329" s="46" t="str">
        <f>IFERROR(__xludf.DUMMYFUNCTION("""COMPUTED_VALUE"""),"Privada")</f>
        <v>Privada</v>
      </c>
      <c r="Z329" s="90"/>
      <c r="AA329" s="33" t="str">
        <f>IFERROR(__xludf.DUMMYFUNCTION("""COMPUTED_VALUE"""),"No aplica")</f>
        <v>No aplica</v>
      </c>
      <c r="AB329" s="96" t="str">
        <f>IFERROR(__xludf.DUMMYFUNCTION("""COMPUTED_VALUE"""),"https://photos.app.goo.gl/cA4CjjEshY1Qqo48A")</f>
        <v>https://photos.app.goo.gl/cA4CjjEshY1Qqo48A</v>
      </c>
      <c r="AC329" s="46" t="str">
        <f>IFERROR(__xludf.DUMMYFUNCTION("""COMPUTED_VALUE"""),"La casa dispone de 7 dormitorios, cada uno con baño privado, estudio, cuarto de almacenaje, baño social completo y baño de servicio, además de sala comedor, amplia cocina con cuarto de alacena y zona de lavandería.")</f>
        <v>La casa dispone de 7 dormitorios, cada uno con baño privado, estudio, cuarto de almacenaje, baño social completo y baño de servicio, además de sala comedor, amplia cocina con cuarto de alacena y zona de lavandería.</v>
      </c>
      <c r="AD329" s="46" t="str">
        <f>IFERROR(__xludf.DUMMYFUNCTION("""COMPUTED_VALUE"""),"Hermosa y acogedora casa campestre ubicada en la parcelación Valle de la Rivera (Rivera, Huila), a tan solo 10 minutos del parque principal. Esta moderna propiedad cuenta con un área construida de 554 m² sobre un amplio lote de 6.040 m², rodeada de natura"&amp;"leza y espacios ideales para el descanso y la recreación. En el exterior ofrece un cuarto independiente para herramientas, salón social, piscina, zona de fogata, cancha de vóley playa, quebrada y tierra cultivable. Cuenta con aljibe, acueducto propio de l"&amp;"a parcelación y pozo séptico. Una excelente oportunidad para vivir o invertir en un entorno campestre con todas las comodidades.")</f>
        <v>Hermosa y acogedora casa campestre ubicada en la parcelación Valle de la Rivera (Rivera, Huila), a tan solo 10 minutos del parque principal. Esta moderna propiedad cuenta con un área construida de 554 m² sobre un amplio lote de 6.040 m², rodeada de naturaleza y espacios ideales para el descanso y la recreación. En el exterior ofrece un cuarto independiente para herramientas, salón social, piscina, zona de fogata, cancha de vóley playa, quebrada y tierra cultivable. Cuenta con aljibe, acueducto propio de la parcelación y pozo séptico. Una excelente oportunidad para vivir o invertir en un entorno campestre con todas las comodidades.</v>
      </c>
      <c r="AE329" s="46"/>
      <c r="AF329" s="46" t="str">
        <f>IFERROR(__xludf.DUMMYFUNCTION("""COMPUTED_VALUE"""),"integral")</f>
        <v>integral</v>
      </c>
      <c r="AG329" s="46"/>
      <c r="AH329" s="46" t="str">
        <f>IFERROR(__xludf.DUMMYFUNCTION("""COMPUTED_VALUE"""),"Aliado")</f>
        <v>Aliado</v>
      </c>
      <c r="AI329" s="92" t="str">
        <f>IFERROR(__xludf.DUMMYFUNCTION("""COMPUTED_VALUE"""),"https://lh3.googleusercontent.com/pw/AP1GczOhybmHsW6004ZZ9kwd8FdrYthSzgqQaz8vOi5eMeP1ul7cJV9GMdMUWpcpf2Zyqr-Z0Iw_j4hgdyo-jJj9tPCVK1zfTIahBxeP3Pr1JLb4X6N2Yw8d=w1200|https://lh3.googleusercontent.com/pw/AP1GczNh7X3KJBtxZse2GqeOVJqBJqI1xjOi8iPoqcbkFwmwiuhQ8I"&amp;"3u-S-po3QWAbQJceGfrg3Kp4d75X_XbDG8Vwk0EPtoC2bC-6hDsICjAVaTU4qfHq_d=w1200|https://lh3.googleusercontent.com/pw/AP1GczMyoq4uAwPiGs4refrKvABbcJnEZHP8X_F1JVe1uZg0X27MPEYrPmre2EK0JwylKhSCC-XS391b_lcjW4ssQSVHAK0avwVqKrwl86FK6tpN-M9x0uu4=w1200|https://lh3.google"&amp;"usercontent.com/pw/AP1GczOkrnLkuB6-EZ43kFZbQTh_7WZLs0RqP3ZCXxXxcdciRrQvOP5xJJKwa1QFiePh_hBnxpjszna2mdQY_g1bDpf0x_ebmRnCSyJeJUjesToqCiuec-iW=w1200|https://lh3.googleusercontent.com/pw/AP1GczNIQb8z2JP5x4uWUNIJ5dztypE5FAfy9f68KUaSYL3t-DXwcDqGlgRTL4_9tW-9IIFU"&amp;"TArYAz6tNvuWt11t6Gv2QBp-Fqe6c1oAsVe6zpu9FEHrvXBH=w1200|https://lh3.googleusercontent.com/pw/AP1GczPWPAxeXldXmXZOqppDtEEjsLqsQiuaNJclxtOz2bCwMeU9Z8eJjY3SU8osc7vw1RGTs95Xi_9lJlsNf3_AZsezyjHJmcxse6C_THstZqWrUyTW0QTm=w1200|https://lh3.googleusercontent.com/pw"&amp;"/AP1GczOS5trKM8s0j3qGQbFLjU8HkN44QJe6wtScVo_dH27sQcOqgOSsZUwkQ8xUZs4CNXWG8TYo132ESCfV67PLS6sB8CKlLWpod-q0ELLh9ON_KYYf9MAW=w1200|https://lh3.googleusercontent.com/pw/AP1GczOfW9tVmPswVPzy3fwz4SSIQtHx-mAsuXqlCglPz0sGv7yI9sLOKqxqS4sB_LUKaU1z06Kee9ZP7WhyK2KsLl"&amp;"TPvVs2zYvsatz0z0LfBLX66YxtofGg=w1200|https://lh3.googleusercontent.com/pw/AP1GczPZw23XdorikZ1fC9lfmTxdzuCDZH8Rtyho6D515C_cSCLwkhEQAAmet3NDge023u2dtt21nhBcEFzsSGvYcw3y8l4t2Ytra-SHmRSFHpLj8lZI6u2D=w1200|https://lh3.googleusercontent.com/pw/AP1GczP4f5h2on9Mp"&amp;"sd2X7fniV9J-nPYBjGwLWsoPQcbQcpIF71JWF8clkzfhhhPEDzRHN1nB-WHqnmfsvzUx4LbL61aXNIdDL5IxXVwDpgz8y8JpQNFLgvU=w1200|https://lh3.googleusercontent.com/pw/AP1GczMvODzPV1P9MGlkk3ba5xQ2aIQ8T-ktHmq_gY-GsMX3_xbJqk252m4284KL_0EOI72cSrT-31iBngGTeKxjUACt-lv1jZLX5-Xv9mZ0"&amp;"ahftEoNoUM-6=w1200|https://lh3.googleusercontent.com/pw/AP1GczOsll60cPUsJCP_R4oQ7rKjjortcpLWf_pI8CIQ1HKhi8PoKmLSd4aKiHKK1kpcs4If9PIauq1Kpaov_bRysKwDBybidMGRobya0nvNivRFgqPH_VG4=w1200|https://lh3.googleusercontent.com/pw/AP1GczPm0JsGR8g1-cPcz2-63AUtMiFCJXE"&amp;"TIp2jHqZT4uRybWVwuqMECKNRKu3i85iVdTYEc4xEFWBnFy6BaO58Oe46p7SsEPpRIJZJDYU4lzCTYVyI3mFv=w1200|https://lh3.googleusercontent.com/pw/AP1GczMhwE7s8HxTTTHuNQHnVAtk5wDyZ9qpnUdFtQjIeQshgzObsqncj72ib35OaCqLsuntFn1RSRxs-LZLfHdcP9ILGSXvx8gkiKQSmpH2_1gj4I7k6GXH=w1200"&amp;"|https://lh3.googleusercontent.com/pw/AP1GczNvG-cnxC99AIgtlx0db_-g1GsSSTYlab9OVYIzUiar3v-H2WV_GwWhXlkhdsHkam16aGxdH1GtRooZS6W9G0U4FDQLJXpL8zSp_h9XXaFXjwYthfJC=w1200|https://lh3.googleusercontent.com/pw/AP1GczNSQkNmY8dIi1eRj9fQJKIpuwEadQs4bZ__Ot6ISDzCO9sFw"&amp;"fSIxsoiFNjkU5kbVntnlmAkigwef9dTj8WzOfrEwfR33Mfo6sMm7KRY3ImZTo9wl3Bl=w1200|https://lh3.googleusercontent.com/pw/AP1GczOF6EeluRCzlEbKFe_Y6ufWgkFqPbZEPJ8JL17t5ueHO33QKi5L5k9ougBetYJ7V_7H0waWIPvHWcDft6Y9u1cQgnupOv6HPco5PawRi89HZZOHtJ_A=w1200|https://lh3.googl"&amp;"eusercontent.com/pw/AP1GczM78rvMdiK55sGr7baG6aYzbDZOHrm7wq5HznPEcXqUY67s3pDR1f8nH13UEPFukeMeprLuIY2L16_lFy6GWtOh1eT60JIq4HCTHnAYav0uVuUbPyrI=w1200|https://lh3.googleusercontent.com/pw/AP1GczNJGRXnDS0ofKirV2fFsbN_VklYSjhdyd2ZVQLUFetvF_-I34oVgEBHkVJk5Bd_457"&amp;"PMHQK5sx4FKERYclmOl7aRQiKleomn3NO2HVDGTHjIi-utgd9=w1200|https://lh3.googleusercontent.com/pw/AP1GczO7OvXMurbwK6VH8_A_7snhNZtsBr5IeEC6pLuyE57c-ZOFebTUbUSXVoLot3zVku4kDnR3cwdAR-58QPqyVnXnctsIUaQ14Ud-fgb86h-_vD_nfs8P=w1200|https://lh3.googleusercontent.com/p"&amp;"w/AP1GczMvuQ0c8UcQGbKFLHe5Pp1SshUVRpPEwfqrYtBHfmrZoQAyV4FlrPWAku4LowkTqv_ksv4oWci_OMai-twEsuWDcTKHNEjMsMbYs8P-6iJdKnawlWCN=w1200|https://lh3.googleusercontent.com/pw/AP1GczPVDjBENHMFLqYGeHUMVPb-MJky8CLfc9shPjw2ID2abIzczW1R7PITErBHYRvA-qBbIW-1vi5K6PSTfmKo1"&amp;"zqIptWtra9yczB0HuZDCQJ8VMQW7feP=w1200")</f>
        <v>https://lh3.googleusercontent.com/pw/AP1GczOhybmHsW6004ZZ9kwd8FdrYthSzgqQaz8vOi5eMeP1ul7cJV9GMdMUWpcpf2Zyqr-Z0Iw_j4hgdyo-jJj9tPCVK1zfTIahBxeP3Pr1JLb4X6N2Yw8d=w1200|https://lh3.googleusercontent.com/pw/AP1GczNh7X3KJBtxZse2GqeOVJqBJqI1xjOi8iPoqcbkFwmwiuhQ8I3u-S-po3QWAbQJceGfrg3Kp4d75X_XbDG8Vwk0EPtoC2bC-6hDsICjAVaTU4qfHq_d=w1200|https://lh3.googleusercontent.com/pw/AP1GczMyoq4uAwPiGs4refrKvABbcJnEZHP8X_F1JVe1uZg0X27MPEYrPmre2EK0JwylKhSCC-XS391b_lcjW4ssQSVHAK0avwVqKrwl86FK6tpN-M9x0uu4=w1200|https://lh3.googleusercontent.com/pw/AP1GczOkrnLkuB6-EZ43kFZbQTh_7WZLs0RqP3ZCXxXxcdciRrQvOP5xJJKwa1QFiePh_hBnxpjszna2mdQY_g1bDpf0x_ebmRnCSyJeJUjesToqCiuec-iW=w1200|https://lh3.googleusercontent.com/pw/AP1GczNIQb8z2JP5x4uWUNIJ5dztypE5FAfy9f68KUaSYL3t-DXwcDqGlgRTL4_9tW-9IIFUTArYAz6tNvuWt11t6Gv2QBp-Fqe6c1oAsVe6zpu9FEHrvXBH=w1200|https://lh3.googleusercontent.com/pw/AP1GczPWPAxeXldXmXZOqppDtEEjsLqsQiuaNJclxtOz2bCwMeU9Z8eJjY3SU8osc7vw1RGTs95Xi_9lJlsNf3_AZsezyjHJmcxse6C_THstZqWrUyTW0QTm=w1200|https://lh3.googleusercontent.com/pw/AP1GczOS5trKM8s0j3qGQbFLjU8HkN44QJe6wtScVo_dH27sQcOqgOSsZUwkQ8xUZs4CNXWG8TYo132ESCfV67PLS6sB8CKlLWpod-q0ELLh9ON_KYYf9MAW=w1200|https://lh3.googleusercontent.com/pw/AP1GczOfW9tVmPswVPzy3fwz4SSIQtHx-mAsuXqlCglPz0sGv7yI9sLOKqxqS4sB_LUKaU1z06Kee9ZP7WhyK2KsLlTPvVs2zYvsatz0z0LfBLX66YxtofGg=w1200|https://lh3.googleusercontent.com/pw/AP1GczPZw23XdorikZ1fC9lfmTxdzuCDZH8Rtyho6D515C_cSCLwkhEQAAmet3NDge023u2dtt21nhBcEFzsSGvYcw3y8l4t2Ytra-SHmRSFHpLj8lZI6u2D=w1200|https://lh3.googleusercontent.com/pw/AP1GczP4f5h2on9Mpsd2X7fniV9J-nPYBjGwLWsoPQcbQcpIF71JWF8clkzfhhhPEDzRHN1nB-WHqnmfsvzUx4LbL61aXNIdDL5IxXVwDpgz8y8JpQNFLgvU=w1200|https://lh3.googleusercontent.com/pw/AP1GczMvODzPV1P9MGlkk3ba5xQ2aIQ8T-ktHmq_gY-GsMX3_xbJqk252m4284KL_0EOI72cSrT-31iBngGTeKxjUACt-lv1jZLX5-Xv9mZ0ahftEoNoUM-6=w1200|https://lh3.googleusercontent.com/pw/AP1GczOsll60cPUsJCP_R4oQ7rKjjortcpLWf_pI8CIQ1HKhi8PoKmLSd4aKiHKK1kpcs4If9PIauq1Kpaov_bRysKwDBybidMGRobya0nvNivRFgqPH_VG4=w1200|https://lh3.googleusercontent.com/pw/AP1GczPm0JsGR8g1-cPcz2-63AUtMiFCJXETIp2jHqZT4uRybWVwuqMECKNRKu3i85iVdTYEc4xEFWBnFy6BaO58Oe46p7SsEPpRIJZJDYU4lzCTYVyI3mFv=w1200|https://lh3.googleusercontent.com/pw/AP1GczMhwE7s8HxTTTHuNQHnVAtk5wDyZ9qpnUdFtQjIeQshgzObsqncj72ib35OaCqLsuntFn1RSRxs-LZLfHdcP9ILGSXvx8gkiKQSmpH2_1gj4I7k6GXH=w1200|https://lh3.googleusercontent.com/pw/AP1GczNvG-cnxC99AIgtlx0db_-g1GsSSTYlab9OVYIzUiar3v-H2WV_GwWhXlkhdsHkam16aGxdH1GtRooZS6W9G0U4FDQLJXpL8zSp_h9XXaFXjwYthfJC=w1200|https://lh3.googleusercontent.com/pw/AP1GczNSQkNmY8dIi1eRj9fQJKIpuwEadQs4bZ__Ot6ISDzCO9sFwfSIxsoiFNjkU5kbVntnlmAkigwef9dTj8WzOfrEwfR33Mfo6sMm7KRY3ImZTo9wl3Bl=w1200|https://lh3.googleusercontent.com/pw/AP1GczOF6EeluRCzlEbKFe_Y6ufWgkFqPbZEPJ8JL17t5ueHO33QKi5L5k9ougBetYJ7V_7H0waWIPvHWcDft6Y9u1cQgnupOv6HPco5PawRi89HZZOHtJ_A=w1200|https://lh3.googleusercontent.com/pw/AP1GczM78rvMdiK55sGr7baG6aYzbDZOHrm7wq5HznPEcXqUY67s3pDR1f8nH13UEPFukeMeprLuIY2L16_lFy6GWtOh1eT60JIq4HCTHnAYav0uVuUbPyrI=w1200|https://lh3.googleusercontent.com/pw/AP1GczNJGRXnDS0ofKirV2fFsbN_VklYSjhdyd2ZVQLUFetvF_-I34oVgEBHkVJk5Bd_457PMHQK5sx4FKERYclmOl7aRQiKleomn3NO2HVDGTHjIi-utgd9=w1200|https://lh3.googleusercontent.com/pw/AP1GczO7OvXMurbwK6VH8_A_7snhNZtsBr5IeEC6pLuyE57c-ZOFebTUbUSXVoLot3zVku4kDnR3cwdAR-58QPqyVnXnctsIUaQ14Ud-fgb86h-_vD_nfs8P=w1200|https://lh3.googleusercontent.com/pw/AP1GczMvuQ0c8UcQGbKFLHe5Pp1SshUVRpPEwfqrYtBHfmrZoQAyV4FlrPWAku4LowkTqv_ksv4oWci_OMai-twEsuWDcTKHNEjMsMbYs8P-6iJdKnawlWCN=w1200|https://lh3.googleusercontent.com/pw/AP1GczPVDjBENHMFLqYGeHUMVPb-MJky8CLfc9shPjw2ID2abIzczW1R7PITErBHYRvA-qBbIW-1vi5K6PSTfmKo1zqIptWtra9yczB0HuZDCQJ8VMQW7feP=w1200</v>
      </c>
      <c r="AJ329" s="46"/>
      <c r="AK329" s="46"/>
      <c r="AL329" s="46"/>
      <c r="AM329" s="46"/>
      <c r="AN329" s="46"/>
      <c r="AO329" s="46"/>
      <c r="AP329" s="46"/>
      <c r="AQ329" s="46"/>
      <c r="AR329" s="46"/>
      <c r="AS329" s="46"/>
      <c r="AT329" s="46"/>
      <c r="AU329" s="46"/>
      <c r="AV329" s="46"/>
      <c r="AW329" s="46"/>
      <c r="AX329" s="46"/>
      <c r="AY329" s="46"/>
      <c r="AZ329" s="46"/>
      <c r="BA329" s="46"/>
      <c r="BB329" s="46"/>
      <c r="BC329" s="46"/>
      <c r="BD329" s="46"/>
      <c r="BE329" s="46"/>
      <c r="BF329" s="46"/>
      <c r="BG329" s="46"/>
      <c r="BH329" s="46"/>
      <c r="BI329" s="46"/>
      <c r="BJ329" s="46"/>
      <c r="BK329" s="46"/>
      <c r="BL329" s="46"/>
      <c r="BM329" s="46"/>
      <c r="BN329" s="46"/>
      <c r="BO329" s="46"/>
      <c r="BP329" s="46"/>
      <c r="BQ329" s="46"/>
      <c r="BR329" s="46"/>
      <c r="BS329" s="46"/>
      <c r="BT329" s="46"/>
      <c r="BU329" s="46"/>
      <c r="BV329" s="46"/>
      <c r="BW329" s="46"/>
      <c r="BX329" s="46"/>
      <c r="BY329" s="46"/>
      <c r="BZ329" s="46"/>
      <c r="CA329" s="46"/>
      <c r="CB329" s="46"/>
      <c r="CC329" s="46"/>
    </row>
    <row r="330">
      <c r="A330" s="87" t="str">
        <f>IFERROR(__xludf.DUMMYFUNCTION("""COMPUTED_VALUE"""),"579")</f>
        <v>579</v>
      </c>
      <c r="B330" s="46" t="str">
        <f>IFERROR(__xludf.DUMMYFUNCTION("""COMPUTED_VALUE"""),"Finca campestre en La Ulloa - Huila")</f>
        <v>Finca campestre en La Ulloa - Huila</v>
      </c>
      <c r="C330" s="46" t="str">
        <f>IFERROR(__xludf.DUMMYFUNCTION("""COMPUTED_VALUE"""),"Finca")</f>
        <v>Finca</v>
      </c>
      <c r="D330" s="46"/>
      <c r="E330" s="46"/>
      <c r="F330" s="90">
        <f>IFERROR(__xludf.DUMMYFUNCTION("""COMPUTED_VALUE"""),9.0E8)</f>
        <v>900000000</v>
      </c>
      <c r="G330" s="46" t="str">
        <f>IFERROR(__xludf.DUMMYFUNCTION("""COMPUTED_VALUE"""),"$500'000.000 a $1.000'000.000")</f>
        <v>$500'000.000 a $1.000'000.000</v>
      </c>
      <c r="H330" s="46"/>
      <c r="I330" s="46"/>
      <c r="J330" s="46" t="str">
        <f>IFERROR(__xludf.DUMMYFUNCTION("""COMPUTED_VALUE"""),"Rural")</f>
        <v>Rural</v>
      </c>
      <c r="K330" s="87"/>
      <c r="L330" s="46">
        <f>IFERROR(__xludf.DUMMYFUNCTION("""COMPUTED_VALUE"""),4.0)</f>
        <v>4</v>
      </c>
      <c r="M330" s="46"/>
      <c r="N330" s="46">
        <f>IFERROR(__xludf.DUMMYFUNCTION("""COMPUTED_VALUE"""),3.0)</f>
        <v>3</v>
      </c>
      <c r="O330" s="46">
        <f>IFERROR(__xludf.DUMMYFUNCTION("""COMPUTED_VALUE"""),1.0)</f>
        <v>1</v>
      </c>
      <c r="P330" s="46">
        <f>IFERROR(__xludf.DUMMYFUNCTION("""COMPUTED_VALUE"""),1.0)</f>
        <v>1</v>
      </c>
      <c r="Q330" s="92">
        <f>IFERROR(__xludf.DUMMYFUNCTION("""COMPUTED_VALUE"""),180.0)</f>
        <v>180</v>
      </c>
      <c r="R330" s="92">
        <f>IFERROR(__xludf.DUMMYFUNCTION("""COMPUTED_VALUE"""),26000.0)</f>
        <v>26000</v>
      </c>
      <c r="S330" s="87" t="str">
        <f>IFERROR(__xludf.DUMMYFUNCTION("""COMPUTED_VALUE"""),"0")</f>
        <v>0</v>
      </c>
      <c r="T330" s="46" t="str">
        <f>IFERROR(__xludf.DUMMYFUNCTION("""COMPUTED_VALUE"""),"La Ulloa")</f>
        <v>La Ulloa</v>
      </c>
      <c r="U330" s="87"/>
      <c r="V330" s="46"/>
      <c r="W330" s="46"/>
      <c r="X330" s="46">
        <f>IFERROR(__xludf.DUMMYFUNCTION("""COMPUTED_VALUE"""),3.0)</f>
        <v>3</v>
      </c>
      <c r="Y330" s="46" t="str">
        <f>IFERROR(__xludf.DUMMYFUNCTION("""COMPUTED_VALUE"""),"Privada")</f>
        <v>Privada</v>
      </c>
      <c r="Z330" s="90" t="str">
        <f>IFERROR(__xludf.DUMMYFUNCTION("""COMPUTED_VALUE"""),"No aplica")</f>
        <v>No aplica</v>
      </c>
      <c r="AA330" s="33" t="str">
        <f>IFERROR(__xludf.DUMMYFUNCTION("""COMPUTED_VALUE"""),"No aplica")</f>
        <v>No aplica</v>
      </c>
      <c r="AB330" s="96" t="str">
        <f>IFERROR(__xludf.DUMMYFUNCTION("""COMPUTED_VALUE"""),"https://photos.app.goo.gl/nQaamarytbj5jMaz9")</f>
        <v>https://photos.app.goo.gl/nQaamarytbj5jMaz9</v>
      </c>
      <c r="AC330" s="46" t="str">
        <f>IFERROR(__xludf.DUMMYFUNCTION("""COMPUTED_VALUE"""),"La finca cuenta en el area social con kiosco, zona BBQ, zonas verdes, piscina, árboles frutales. Area privada: una casa de 180 metros cuadrados,  con 4 habitaciones amplias, sala comedor, cocina, 3 baños, corredores, ubicada a 15 minutos de neiva. ")</f>
        <v>La finca cuenta en el area social con kiosco, zona BBQ, zonas verdes, piscina, árboles frutales. Area privada: una casa de 180 metros cuadrados,  con 4 habitaciones amplias, sala comedor, cocina, 3 baños, corredores, ubicada a 15 minutos de neiva. </v>
      </c>
      <c r="AD330" s="46" t="str">
        <f>IFERROR(__xludf.DUMMYFUNCTION("""COMPUTED_VALUE"""),"la finca tiene un área de 26.000 mil metros, consta de agua de la vereda, acueducto de rivera, tiene riego de la verdad y tres aljibes.")</f>
        <v>la finca tiene un área de 26.000 mil metros, consta de agua de la vereda, acueducto de rivera, tiene riego de la verdad y tres aljibes.</v>
      </c>
      <c r="AE330" s="46"/>
      <c r="AF330" s="46" t="str">
        <f>IFERROR(__xludf.DUMMYFUNCTION("""COMPUTED_VALUE"""),"semi-integral")</f>
        <v>semi-integral</v>
      </c>
      <c r="AG330" s="46"/>
      <c r="AH330" s="46" t="str">
        <f>IFERROR(__xludf.DUMMYFUNCTION("""COMPUTED_VALUE"""),"Aliado")</f>
        <v>Aliado</v>
      </c>
      <c r="AI330" s="92" t="str">
        <f>IFERROR(__xludf.DUMMYFUNCTION("""COMPUTED_VALUE"""),"https://lh3.googleusercontent.com/pw/AP1GczPUpQG7JeW8BvgrTT_wviubJ8BQ0NIzTleiTsMOaHqpn4KOnEvZq_ZGWsB6-HPsBUVp87C8Gjf9-7H5IBCKXDG1SuPtbMJUlxeT5PIEGlGS1TGsWvJF=w1200|https://lh3.googleusercontent.com/pw/AP1GczP256iKFu_1PqgPYwAdeCilNhYCMph851Bnl7WefSL3pKY3TF"&amp;"x-BgnXm1uPqIv7j1qvyEGcinuKsk6RfO2fqYRy-WSSvPHngFXxNSJzb_HewH5XQv7E=w1200|https://lh3.googleusercontent.com/pw/AP1GczPYmjs69nwKrDmvY1U0q4te4qutWSG6opdUIvxiLtOAzF4mjqKJ9Qtf28FL_kumw3sx88-FTLHMuuaytk_CfOTcgsiJ3mPh0QZ_SV-bxCfpBTSFwNs-=w1200|https://lh3.google"&amp;"usercontent.com/pw/AP1GczN92seEjJojOpftolkMkyHisbYniDlyDj6W19bnh_PldbTFrReYvY9sKEfk-tJAj2GxwdV_B7g8UB39MY7cPtNHpU7lm9WH5WYS453-ewql6-Xb_mzO=w1200|https://lh3.googleusercontent.com/pw/AP1GczMGRVMR9mW5GAJvi4B9-0rTNPibuJe_eRo_YhMvytaVGf8oQ_QbPquBuIbqCSeRVJYM"&amp;"kL6Tju7Rc2EceXO4bdpzcb0s1PWxhC4JO1chW6KybLFPIE3N=w1200|https://lh3.googleusercontent.com/pw/AP1GczOXOh9eI3GVgceUHuARRanX_BA5_boYYnHLi53DQXJZCn3ewNUkvwSpUU56Lum8JK09G17Gs7eOHg0WpV6CQK9qFSHYzI7zrJL5_6KzSfwDzPAbZ-xG=w1200|https://lh3.googleusercontent.com/pw"&amp;"/AP1GczPOJatq3XpYvTOsK6pgaMGy8xfUR2d2yhLEErRBlNyGYm9cZyjZWsLn0onwRsxR0EE5AAYw5DAzJxBErMsv0uxdQqE27sgXhsWN_QCfnXYXlIgvYn84=w1200|https://lh3.googleusercontent.com/pw/AP1GczPhxq4LEJccn8BkIDp3j6KJZH9n9eZNsC6qEFstu8EANrrH7R9pOlJs9Au2vgjTkit5TAFtPuuD7y5Xv4bb1e"&amp;"gR_-n3lC6_H-K1CS9BbHZIHZqz48jq=w1200|https://lh3.googleusercontent.com/pw/AP1GczPBPPZfdxr05zNpJ7bdxw3g82-GTfdTgCCXJE4tv0DgDp3AjhhfBEMWFremnQVIKsIyptiXlcsMpv5i_S5O53lUyPbnYpUGW0VTFHGWoQMe75NQBCH6=w1200|https://lh3.googleusercontent.com/pw/AP1GczPPK-f3MGT2W"&amp;"1SUoHvDZ6jvv_7SDQgZy0AfzAIUYQhLFbKtyiyL4WHG7wSeI5oLMp8laCD6SQuotQxiF0Jea63A8YY33i87iU6Y_WJxel_KW1bBsIyn=w1200|https://lh3.googleusercontent.com/pw/AP1GczPI69qIudv-RdIfy2-oykOaAjCGxFAamWjIeUNP5wSX80wUS644adPM1IyyuwY6xLIqTmITh8LA6eQNPTwRMpXr0c8sgaIaUyPy7GeD"&amp;"F8V3wd9l-XVC=w1200|https://lh3.googleusercontent.com/pw/AP1GczMsuDt_GcOt2bcIWjrJ5LWGyMiwGEGVIbTVPi0uIe-jHLfnuL2QNMsg5Y3l3WLuISKM-pNGVdTW8ZuTmJkRlTqBBY-uYV8edf_jBkgwHkPESFWKpfz8=w1200|https://lh3.googleusercontent.com/pw/AP1GczOLOPEcsKxpSDTRfCnZeNnf3helP9O"&amp;"pO_vhvpmBnqFFpJ41Xp9m2UX-CENPvf5jpUtAd6ACIuNc7nScYVmN-QH70wZg_o8g1iPNfXL_N8peKUdyS0pv=w1200|https://lh3.googleusercontent.com/pw/AP1GczOU3-AdWk4PQoU3sKW3ANXNsdVSCCfAiKjenAeER1tBfUlHedXfqhVwC-nI1_SwZrbp0zN1BnChfER_dA69sqN5FT-Zu_BvYNnnMBmZZ9YV4vpFcRDI=w1200"&amp;"|https://lh3.googleusercontent.com/pw/AP1GczOhTVTzBM7eiyn2bXsbYb61156swggp0FIa0A8Q8kVw1I75TDXbw_H2ke4rH9mkATphOdW1rldY1Le6sVvrcORZmntEDh-qTE006yiLZvwer_sUas6F=w1200|https://lh3.googleusercontent.com/pw/AP1GczMy_JgZUF5qCJ8odHsIW4NVbm30yD9kHwJ4uTJSh_ZIboIYu"&amp;"lusf-KCTiLCOvXNFm7pas9x8RtaxbMIxO5U9r2vquXGbbtfuu8Zk4z-s21tXIMgIycz=w1200|https://lh3.googleusercontent.com/pw/AP1GczNlJstT2pFw-eD61CKrTNj8OnshmmNSnLPB98cB2hH-U2oWmBOwvyvOgy0JvkXcnftS9w8pIkwyijPqze8KJ0ihT_7m2Jf0z97vH8k-QKehQahR8AmE=w1200|https://lh3.googl"&amp;"eusercontent.com/pw/AP1GczO4rP9TAruVkP4esMDvTQNYtLLj04SiX-1zTb4Yk8pJL9Y6UHRhGpVo71Zxaw0mIafY1NReZoqltm4HN6ickPeLr_e4dVGb18aBs2vvDYgXxwAaMtGk=w1200|https://lh3.googleusercontent.com/pw/AP1GczN9sP3yF0_BEdS_NTd4c5HmFkN59JbxGvUHPvOw94txvsw8MmTiylRXSU7vK_B0bLP"&amp;"92laLMxvmGqRLhd7LMryv7CqeMF90Zs3ubLqHdJy_gkTHtH7u=w1200|https://lh3.googleusercontent.com/pw/AP1GczNwS3qHTMT1DK5A9VDRJH18XSJ54Hou9DRZgi1IJFbZC0PxOxj6U8yLzLBj60YChLP7u152ipxrvTu-BwTIAG8_hGTJbkH9zonWRG9Ra3A1LHbfV7wz=w1200|https://lh3.googleusercontent.com/p"&amp;"w/AP1GczNxasPKP0LrKZmkmPZ_nRVe9vMHIY0Cs0y2dgpV640mKY4z10Sdu1qYFSYe3Q8nJkKywKN80SmwFHg96mByr16o-WbJ-nqmoQEGZYdCbm86PGWDmo2O=w1200|https://lh3.googleusercontent.com/pw/AP1GczPMuVsgE4m4XH18yNCq7RM7ndkPsVFEGrSzicMEqcHMUPfnqca6FK1padSpC2yODfMJBdIdalcGsQFOwqDLV"&amp;"7tJ9yHgm24GXzi0Vzkfgbmp3XrP0SIf=w1200|https://lh3.googleusercontent.com/pw/AP1GczMLmZI-7VZ_WyyI38OzV4mYr8hmvgXZ7AF0bbtCmicYNo9xZhT4w-0zTTHDlhzZs8a3XfEQKtFCHLez5Us15Gjkh0L49SvKXOEq7_b6MPMQ2h0oRCSH=w1200")</f>
        <v>https://lh3.googleusercontent.com/pw/AP1GczPUpQG7JeW8BvgrTT_wviubJ8BQ0NIzTleiTsMOaHqpn4KOnEvZq_ZGWsB6-HPsBUVp87C8Gjf9-7H5IBCKXDG1SuPtbMJUlxeT5PIEGlGS1TGsWvJF=w1200|https://lh3.googleusercontent.com/pw/AP1GczP256iKFu_1PqgPYwAdeCilNhYCMph851Bnl7WefSL3pKY3TFx-BgnXm1uPqIv7j1qvyEGcinuKsk6RfO2fqYRy-WSSvPHngFXxNSJzb_HewH5XQv7E=w1200|https://lh3.googleusercontent.com/pw/AP1GczPYmjs69nwKrDmvY1U0q4te4qutWSG6opdUIvxiLtOAzF4mjqKJ9Qtf28FL_kumw3sx88-FTLHMuuaytk_CfOTcgsiJ3mPh0QZ_SV-bxCfpBTSFwNs-=w1200|https://lh3.googleusercontent.com/pw/AP1GczN92seEjJojOpftolkMkyHisbYniDlyDj6W19bnh_PldbTFrReYvY9sKEfk-tJAj2GxwdV_B7g8UB39MY7cPtNHpU7lm9WH5WYS453-ewql6-Xb_mzO=w1200|https://lh3.googleusercontent.com/pw/AP1GczMGRVMR9mW5GAJvi4B9-0rTNPibuJe_eRo_YhMvytaVGf8oQ_QbPquBuIbqCSeRVJYMkL6Tju7Rc2EceXO4bdpzcb0s1PWxhC4JO1chW6KybLFPIE3N=w1200|https://lh3.googleusercontent.com/pw/AP1GczOXOh9eI3GVgceUHuARRanX_BA5_boYYnHLi53DQXJZCn3ewNUkvwSpUU56Lum8JK09G17Gs7eOHg0WpV6CQK9qFSHYzI7zrJL5_6KzSfwDzPAbZ-xG=w1200|https://lh3.googleusercontent.com/pw/AP1GczPOJatq3XpYvTOsK6pgaMGy8xfUR2d2yhLEErRBlNyGYm9cZyjZWsLn0onwRsxR0EE5AAYw5DAzJxBErMsv0uxdQqE27sgXhsWN_QCfnXYXlIgvYn84=w1200|https://lh3.googleusercontent.com/pw/AP1GczPhxq4LEJccn8BkIDp3j6KJZH9n9eZNsC6qEFstu8EANrrH7R9pOlJs9Au2vgjTkit5TAFtPuuD7y5Xv4bb1egR_-n3lC6_H-K1CS9BbHZIHZqz48jq=w1200|https://lh3.googleusercontent.com/pw/AP1GczPBPPZfdxr05zNpJ7bdxw3g82-GTfdTgCCXJE4tv0DgDp3AjhhfBEMWFremnQVIKsIyptiXlcsMpv5i_S5O53lUyPbnYpUGW0VTFHGWoQMe75NQBCH6=w1200|https://lh3.googleusercontent.com/pw/AP1GczPPK-f3MGT2W1SUoHvDZ6jvv_7SDQgZy0AfzAIUYQhLFbKtyiyL4WHG7wSeI5oLMp8laCD6SQuotQxiF0Jea63A8YY33i87iU6Y_WJxel_KW1bBsIyn=w1200|https://lh3.googleusercontent.com/pw/AP1GczPI69qIudv-RdIfy2-oykOaAjCGxFAamWjIeUNP5wSX80wUS644adPM1IyyuwY6xLIqTmITh8LA6eQNPTwRMpXr0c8sgaIaUyPy7GeDF8V3wd9l-XVC=w1200|https://lh3.googleusercontent.com/pw/AP1GczMsuDt_GcOt2bcIWjrJ5LWGyMiwGEGVIbTVPi0uIe-jHLfnuL2QNMsg5Y3l3WLuISKM-pNGVdTW8ZuTmJkRlTqBBY-uYV8edf_jBkgwHkPESFWKpfz8=w1200|https://lh3.googleusercontent.com/pw/AP1GczOLOPEcsKxpSDTRfCnZeNnf3helP9OpO_vhvpmBnqFFpJ41Xp9m2UX-CENPvf5jpUtAd6ACIuNc7nScYVmN-QH70wZg_o8g1iPNfXL_N8peKUdyS0pv=w1200|https://lh3.googleusercontent.com/pw/AP1GczOU3-AdWk4PQoU3sKW3ANXNsdVSCCfAiKjenAeER1tBfUlHedXfqhVwC-nI1_SwZrbp0zN1BnChfER_dA69sqN5FT-Zu_BvYNnnMBmZZ9YV4vpFcRDI=w1200|https://lh3.googleusercontent.com/pw/AP1GczOhTVTzBM7eiyn2bXsbYb61156swggp0FIa0A8Q8kVw1I75TDXbw_H2ke4rH9mkATphOdW1rldY1Le6sVvrcORZmntEDh-qTE006yiLZvwer_sUas6F=w1200|https://lh3.googleusercontent.com/pw/AP1GczMy_JgZUF5qCJ8odHsIW4NVbm30yD9kHwJ4uTJSh_ZIboIYulusf-KCTiLCOvXNFm7pas9x8RtaxbMIxO5U9r2vquXGbbtfuu8Zk4z-s21tXIMgIycz=w1200|https://lh3.googleusercontent.com/pw/AP1GczNlJstT2pFw-eD61CKrTNj8OnshmmNSnLPB98cB2hH-U2oWmBOwvyvOgy0JvkXcnftS9w8pIkwyijPqze8KJ0ihT_7m2Jf0z97vH8k-QKehQahR8AmE=w1200|https://lh3.googleusercontent.com/pw/AP1GczO4rP9TAruVkP4esMDvTQNYtLLj04SiX-1zTb4Yk8pJL9Y6UHRhGpVo71Zxaw0mIafY1NReZoqltm4HN6ickPeLr_e4dVGb18aBs2vvDYgXxwAaMtGk=w1200|https://lh3.googleusercontent.com/pw/AP1GczN9sP3yF0_BEdS_NTd4c5HmFkN59JbxGvUHPvOw94txvsw8MmTiylRXSU7vK_B0bLP92laLMxvmGqRLhd7LMryv7CqeMF90Zs3ubLqHdJy_gkTHtH7u=w1200|https://lh3.googleusercontent.com/pw/AP1GczNwS3qHTMT1DK5A9VDRJH18XSJ54Hou9DRZgi1IJFbZC0PxOxj6U8yLzLBj60YChLP7u152ipxrvTu-BwTIAG8_hGTJbkH9zonWRG9Ra3A1LHbfV7wz=w1200|https://lh3.googleusercontent.com/pw/AP1GczNxasPKP0LrKZmkmPZ_nRVe9vMHIY0Cs0y2dgpV640mKY4z10Sdu1qYFSYe3Q8nJkKywKN80SmwFHg96mByr16o-WbJ-nqmoQEGZYdCbm86PGWDmo2O=w1200|https://lh3.googleusercontent.com/pw/AP1GczPMuVsgE4m4XH18yNCq7RM7ndkPsVFEGrSzicMEqcHMUPfnqca6FK1padSpC2yODfMJBdIdalcGsQFOwqDLV7tJ9yHgm24GXzi0Vzkfgbmp3XrP0SIf=w1200|https://lh3.googleusercontent.com/pw/AP1GczMLmZI-7VZ_WyyI38OzV4mYr8hmvgXZ7AF0bbtCmicYNo9xZhT4w-0zTTHDlhzZs8a3XfEQKtFCHLez5Us15Gjkh0L49SvKXOEq7_b6MPMQ2h0oRCSH=w1200</v>
      </c>
      <c r="AJ330" s="46"/>
      <c r="AK330" s="46"/>
      <c r="AL330" s="46"/>
      <c r="AM330" s="46"/>
      <c r="AN330" s="46"/>
      <c r="AO330" s="46"/>
      <c r="AP330" s="46"/>
      <c r="AQ330" s="46"/>
      <c r="AR330" s="46"/>
      <c r="AS330" s="46"/>
      <c r="AT330" s="46"/>
      <c r="AU330" s="46"/>
      <c r="AV330" s="46"/>
      <c r="AW330" s="46"/>
      <c r="AX330" s="46"/>
      <c r="AY330" s="46"/>
      <c r="AZ330" s="46"/>
      <c r="BA330" s="46"/>
      <c r="BB330" s="46"/>
      <c r="BC330" s="46"/>
      <c r="BD330" s="46"/>
      <c r="BE330" s="46"/>
      <c r="BF330" s="46"/>
      <c r="BG330" s="46"/>
      <c r="BH330" s="46"/>
      <c r="BI330" s="46"/>
      <c r="BJ330" s="46"/>
      <c r="BK330" s="46"/>
      <c r="BL330" s="46"/>
      <c r="BM330" s="46"/>
      <c r="BN330" s="46"/>
      <c r="BO330" s="46"/>
      <c r="BP330" s="46"/>
      <c r="BQ330" s="46"/>
      <c r="BR330" s="46"/>
      <c r="BS330" s="46"/>
      <c r="BT330" s="46"/>
      <c r="BU330" s="46"/>
      <c r="BV330" s="46"/>
      <c r="BW330" s="46"/>
      <c r="BX330" s="46"/>
      <c r="BY330" s="46"/>
      <c r="BZ330" s="46"/>
      <c r="CA330" s="46"/>
      <c r="CB330" s="46"/>
      <c r="CC330" s="46"/>
    </row>
    <row r="331">
      <c r="A331" s="87" t="str">
        <f>IFERROR(__xludf.DUMMYFUNCTION("""COMPUTED_VALUE"""),"1141")</f>
        <v>1141</v>
      </c>
      <c r="B331" s="46" t="str">
        <f>IFERROR(__xludf.DUMMYFUNCTION("""COMPUTED_VALUE"""),"Casa en barrio Centro - La Toma")</f>
        <v>Casa en barrio Centro - La Toma</v>
      </c>
      <c r="C331" s="46" t="str">
        <f>IFERROR(__xludf.DUMMYFUNCTION("""COMPUTED_VALUE"""),"Casa")</f>
        <v>Casa</v>
      </c>
      <c r="D331" s="46" t="str">
        <f>IFERROR(__xludf.DUMMYFUNCTION("""COMPUTED_VALUE"""),"Centro")</f>
        <v>Centro</v>
      </c>
      <c r="E331" s="90"/>
      <c r="F331" s="90">
        <f>IFERROR(__xludf.DUMMYFUNCTION("""COMPUTED_VALUE"""),9.0E8)</f>
        <v>900000000</v>
      </c>
      <c r="G331" s="46" t="str">
        <f>IFERROR(__xludf.DUMMYFUNCTION("""COMPUTED_VALUE"""),"$500'000.000 a $1.000'000.000")</f>
        <v>$500'000.000 a $1.000'000.000</v>
      </c>
      <c r="H331" s="46"/>
      <c r="I331" s="46"/>
      <c r="J331" s="46" t="str">
        <f>IFERROR(__xludf.DUMMYFUNCTION("""COMPUTED_VALUE"""),"Centro")</f>
        <v>Centro</v>
      </c>
      <c r="K331" s="87"/>
      <c r="L331" s="46">
        <f>IFERROR(__xludf.DUMMYFUNCTION("""COMPUTED_VALUE"""),4.0)</f>
        <v>4</v>
      </c>
      <c r="M331" s="46"/>
      <c r="N331" s="46">
        <f>IFERROR(__xludf.DUMMYFUNCTION("""COMPUTED_VALUE"""),4.0)</f>
        <v>4</v>
      </c>
      <c r="O331" s="46">
        <f>IFERROR(__xludf.DUMMYFUNCTION("""COMPUTED_VALUE"""),1.0)</f>
        <v>1</v>
      </c>
      <c r="P331" s="46">
        <f>IFERROR(__xludf.DUMMYFUNCTION("""COMPUTED_VALUE"""),2.0)</f>
        <v>2</v>
      </c>
      <c r="Q331" s="92">
        <f>IFERROR(__xludf.DUMMYFUNCTION("""COMPUTED_VALUE"""),0.0)</f>
        <v>0</v>
      </c>
      <c r="R331" s="92">
        <f>IFERROR(__xludf.DUMMYFUNCTION("""COMPUTED_VALUE"""),0.0)</f>
        <v>0</v>
      </c>
      <c r="S331" s="87" t="str">
        <f>IFERROR(__xludf.DUMMYFUNCTION("""COMPUTED_VALUE""")," ")</f>
        <v> </v>
      </c>
      <c r="T331" s="46" t="str">
        <f>IFERROR(__xludf.DUMMYFUNCTION("""COMPUTED_VALUE"""),"Neiva")</f>
        <v>Neiva</v>
      </c>
      <c r="U331" s="87" t="str">
        <f>IFERROR(__xludf.DUMMYFUNCTION("""COMPUTED_VALUE"""),"4")</f>
        <v>4</v>
      </c>
      <c r="V331" s="46" t="str">
        <f>IFERROR(__xludf.DUMMYFUNCTION("""COMPUTED_VALUE"""),"Medianera")</f>
        <v>Medianera</v>
      </c>
      <c r="W331" s="46"/>
      <c r="X331" s="46">
        <f>IFERROR(__xludf.DUMMYFUNCTION("""COMPUTED_VALUE"""),4.0)</f>
        <v>4</v>
      </c>
      <c r="Y331" s="46" t="str">
        <f>IFERROR(__xludf.DUMMYFUNCTION("""COMPUTED_VALUE"""),"No tiene")</f>
        <v>No tiene</v>
      </c>
      <c r="Z331" s="90" t="str">
        <f>IFERROR(__xludf.DUMMYFUNCTION("""COMPUTED_VALUE"""),"No aplica")</f>
        <v>No aplica</v>
      </c>
      <c r="AA331" s="33" t="str">
        <f>IFERROR(__xludf.DUMMYFUNCTION("""COMPUTED_VALUE"""),"No aplica")</f>
        <v>No aplica</v>
      </c>
      <c r="AB331" s="96" t="str">
        <f>IFERROR(__xludf.DUMMYFUNCTION("""COMPUTED_VALUE"""),"https://photos.app.goo.gl/NQyW7AuUhgiyAFjq6")</f>
        <v>https://photos.app.goo.gl/NQyW7AuUhgiyAFjq6</v>
      </c>
      <c r="AC331" s="46" t="str">
        <f>IFERROR(__xludf.DUMMYFUNCTION("""COMPUTED_VALUE"""),"Casa  en niveles con buenos acabados de conservación, pisos en  diversidad de cerámica. Carpintería marcos, puertas, muebles empotrados y  closet en madera.")</f>
        <v>Casa  en niveles con buenos acabados de conservación, pisos en  diversidad de cerámica. Carpintería marcos, puertas, muebles empotrados y  closet en madera.</v>
      </c>
      <c r="AD331" s="46" t="str">
        <f>IFERROR(__xludf.DUMMYFUNCTION("""COMPUTED_VALUE"""),"Casa bien ubicada, sobre la avenida La Toma, cerca de la alcaldía, Sena, Super tienda Olímpica, Carrera 5, colegios, zona institucional y la salud. Escritura al día.")</f>
        <v>Casa bien ubicada, sobre la avenida La Toma, cerca de la alcaldía, Sena, Super tienda Olímpica, Carrera 5, colegios, zona institucional y la salud. Escritura al día.</v>
      </c>
      <c r="AE331" s="46"/>
      <c r="AF331" s="46" t="str">
        <f>IFERROR(__xludf.DUMMYFUNCTION("""COMPUTED_VALUE"""),"integral")</f>
        <v>integral</v>
      </c>
      <c r="AG331" s="46"/>
      <c r="AH331" s="46" t="str">
        <f>IFERROR(__xludf.DUMMYFUNCTION("""COMPUTED_VALUE"""),"Aliado")</f>
        <v>Aliado</v>
      </c>
      <c r="AI331" s="92" t="str">
        <f>IFERROR(__xludf.DUMMYFUNCTION("""COMPUTED_VALUE"""),"https://lh3.googleusercontent.com/pw/AP1GczPkBKTq1GeGOcGqEQEp2TOyR6AS7x_JbyN6BKUzZzPkErHfJbKkUyAgKdMVmWiN9aiqNbFXhMY6LgQ2sjhXKV34jwfQE_2mADOKc10KVGw6avE0DhrG=w1200|https://lh3.googleusercontent.com/pw/AP1GczMt6KRmH2iGlodzsPctQ9TTu6Vg6HLDEL24YF-6GcnmK1BKjA"&amp;"Mj0AFxP9tsvJxsgOP-V4swmbY4kBBQAgIxWy_sK3PH0_Byn7Um8oFMSKk2QfF-sl7c=w1200|https://lh3.googleusercontent.com/pw/AP1GczPrVWlQDZsi9URMKHAMgGHL0nR2tbRb7D-pQaBqnqcw-M5hAPw-SVizMPqCxdYBN1vA-YlXzV0QdGOlkMI1oyLhsPZkBIdse4eGVv3RCPwxhQzBw6zT=w1200|https://lh3.google"&amp;"usercontent.com/pw/AP1GczOLrXfSaTcRLCgYSKJfx3WsnGzZpRWd_2Xz7fr55L47iyTMFPbqukYstdrpJ209ft2zy-b8hrXCfnfvD9zmlYhjT1sdV4xuJQ8x3n9jxiGPnpqGmDZV=w1200|https://lh3.googleusercontent.com/pw/AP1GczNP3K6qRh8Yq8qTCRhO0Tu8umpLK5QqBeLD_ftZkmYO4dLONYd_TGaD9sWDXSxe4pNb"&amp;"3yAww37erkiazlNEoPnakj8ZDDpQwWZraogC8mRDkiW5-cK8=w1200|https://lh3.googleusercontent.com/pw/AP1GczO86f_V3N4O2u7SPoKvhOuKQH8ryxGaLIv3DCB5ZAOmCaEQdO9hePpr2UvDSb2wv7j90Se-Aqo8YY3LXcCzwwxurfgQhCvDa-iSa9bvAB7wYDHSlcX9=w1200|https://lh3.googleusercontent.com/pw"&amp;"/AP1GczOnLhNREvg7mpHGb-GapXyGUAcGsSvd4WHcc8vufPPveA4fmL3SVz0yAPVGfUCEq78_TNs6ZI7XLhpUgYfJCbrzwPkOxQYnovnqRUA9zLBfg-WgA_nM=w1200|https://lh3.googleusercontent.com/pw/AP1GczMzFJyLyd4KnD0jubIHrh1v2K7O4Fo03VnsuMQ1jumUUFxHE1oZTJojwjQJisDYYzGCek5xH7rP8dMvJDZ3aB"&amp;"8fF01veCGMHE3YwvGe6808BdO6IUgR=w1200|https://lh3.googleusercontent.com/pw/AP1GczMEeVfGiZ8c5GOsKWYzJKg5GyXpX6SQY73eetE3FXKlWxsz-sxV8H1woQw7FJ_jTul5p8oSTeec73qfUMdDkzwiv2uFE09FsHecOdPZLJVhLcjnFjpI=w1200|https://lh3.googleusercontent.com/pw/AP1GczMknkxkdXuG4"&amp;"Z-k90kmNIzJslV0ICpsfNmdhiR8E6pUXIq55bWSsAaAtefQx6EOIe1A7zUYixJLFL5FN9sYpFet7B_u4p0h6EMOA1ACWzKWiZDw5cBy=w1200|https://lh3.googleusercontent.com/pw/AP1GczNn40RL---SOVsVKkorn0gnJdXYU2mHZXZ1vZYcyL3hSgMBUWbZMoCcckCxO9Qrbl3s8jBEoK0HfUJwty2BlPhYNk9WAqOrGvpFgBZ4"&amp;"H7OAnhk66elG=w1200|https://lh3.googleusercontent.com/pw/AP1GczNsTK9qGb7qN1aA2EF0mUJ9s20HDcuEpR0MUH10xpXnkVCdTsJkB2lKwZAa4dpeBYCx6d86DW31LYjTjE4z1i90VXLMmPi3FuNt9SAlvhyDJupDoJt8=w1200|https://lh3.googleusercontent.com/pw/AP1GczNzPDu3PNjAKTOpAfmjTSJaZExO3TN"&amp;"C9_joEXxSU_7IXoR410n81kIQbFvQg6-_xQQVX3njLujkFJeQWHHMo01ZN_1BvLJ4hbpG1Sr8YSOSZ9FSkoZt=w1200|https://lh3.googleusercontent.com/pw/AP1GczOQIpDOf2aZFXItrfZyEEpTmqNk1s6IX3bMxpls6Y17lIcsaTQ9nHmDH1cvxfeB0YR5AxTYo0HhhArDl9McmVTMlzortZPKaQQPKnfvkD6MhyQ-9Jsz=w1200"&amp;"|https://lh3.googleusercontent.com/pw/AP1GczOqx9p7u86GRZmX-txqxMYmUy5eeqxI07nFLpGIWV860Frbf3YJRXcH641_Lfp6973OZYrxXWgIqsVG2XXfPNo_ZgIq-jc_2cyoleHQN2qsXpYGjGIE=w1200|https://lh3.googleusercontent.com/pw/AP1GczP9a0jxgOMhPS4rLTMQCsTRjyCQ-A96jXagKYJ-eZgWCcSYL"&amp;"mL8R0qiS1uixJ10EfxQUP7gMZWFV0slXIpFLLQjqPKpKKa5wKqDx4wu3jRbqjRY9ruW=w1200|https://lh3.googleusercontent.com/pw/AP1GczPHdcfe2_-7dvAKSVzAyZH-i4yeMOdI2ig73n71NlLUb-LH4hryGYO6oRwoykxjdD09qtJfUeYdwO7Y7NM-40C1kUQVBldRGdEi8Z3G-1pHzAM3EFUE=w1200|https://lh3.googl"&amp;"eusercontent.com/pw/AP1GczPOuBS026BpqOLgDC0e76xSfxT9cgoFyisfRs541Bi7J7NE7QmGgg3cSjK49ObfEykoTKf84HV1Jzqybm_rSxfZbp3nZzsJNXJJU5PP8gZiFfaaRLwT=w1200|https://lh3.googleusercontent.com/pw/AP1GczNFwnG41mmhmYtNTlXz1SJ0GjF_kSHkbtIL4K37NieyyJjHWLG6pRhIoUjJiQPcidn"&amp;"wiayLg_n-Dxfy5kYCZmmpxvLiggSxF7ZQ-U-xfJjuKupsqext=w1200|https://lh3.googleusercontent.com/pw/AP1GczO9R065UFZ2E17qhNcaaIqpEFHWtMAzbGGHfZkgNv3arqrmgVmxrKLcwQ48QeUFQ5ySRgefb1VD8HLK1nSapu6ij0f8PH5oy2EyEaFwbCWzukwJe5F_=w1200|https://lh3.googleusercontent.com/p"&amp;"w/AP1GczPI1fc-WwkAfwFXDFosG8i5ENWk9hfPvJYglJgatPrv7U6tnIWnLayzCz-1awlF8uswl3vO1W_auRJLFWyhhj35VQe8Ctl_PJbwbJxmM1GZNEO1XsuS=w1200|https://lh3.googleusercontent.com/pw/AP1GczPyGYYvh8peBaV7NztHOQ1aY-B4kOCRQStX1xV29PVsMRkcXt2l_sovAt1Wfh_uvgQq_o7q7ni-2H6tqvQ_u"&amp;"ufvKtb64HbUMYXjpuHL1rx_mAe_MiOI=w1200|https://lh3.googleusercontent.com/pw/AP1GczOsN_FU15Z3upxaS8WoCKqCLMUB455zcJIwzhRWFS28GJp7pacJmGvRU6MMV2u92KO1EVzWq_mkGH0otrMY09OVGsnr0encPmpvirJPQR5gSVjdUA1r=w1200|https://lh3.googleusercontent.com/pw/AP1GczPYBPhAzxL1"&amp;"E74E4_ccinCHeJWh5Ghsb2XkB2Bv7BUa6W-FOutz7VDfA0a2YcPdcCME4cMvLCZePiNZ6hHmL7GmQRWiF9m-92beCNPADs6pBeem0mTH=w1200|https://lh3.googleusercontent.com/pw/AP1GczO--LvM11YRe57GuvrXaqyUKlu5eHyhFCLFCHt3Q5BFSV9IVfK_cf_Xp24SHFfm4c19gsoG_ItFpIwfQSnHA6ESOFl5mMYLHrToDIB"&amp;"db2jMGlrFKHQY=w1200|https://lh3.googleusercontent.com/pw/AP1GczOa8eYvJ5v53ZKlJanC864DHB_Wv6Z_bQqtbtzA7s94zSflXFS94BNmi18TwpBm63ihoO2qPbs2HuaooOQz2xGDuN8YnWjfv7H-IuBmE0EN427G6Ban=w1200|https://lh3.googleusercontent.com/pw/AP1GczP5h546aGyIpkBpD0P17677WNorXE"&amp;"K4Tzt3MZMsJ9U1hzldxKSljsyWn7XGCHPdKqzR4AD3lCkNvWtVpmuyJUDNjGYbtwzzKEb0BavvnG9F7Rlqb_DR=w1200")</f>
        <v>https://lh3.googleusercontent.com/pw/AP1GczPkBKTq1GeGOcGqEQEp2TOyR6AS7x_JbyN6BKUzZzPkErHfJbKkUyAgKdMVmWiN9aiqNbFXhMY6LgQ2sjhXKV34jwfQE_2mADOKc10KVGw6avE0DhrG=w1200|https://lh3.googleusercontent.com/pw/AP1GczMt6KRmH2iGlodzsPctQ9TTu6Vg6HLDEL24YF-6GcnmK1BKjAMj0AFxP9tsvJxsgOP-V4swmbY4kBBQAgIxWy_sK3PH0_Byn7Um8oFMSKk2QfF-sl7c=w1200|https://lh3.googleusercontent.com/pw/AP1GczPrVWlQDZsi9URMKHAMgGHL0nR2tbRb7D-pQaBqnqcw-M5hAPw-SVizMPqCxdYBN1vA-YlXzV0QdGOlkMI1oyLhsPZkBIdse4eGVv3RCPwxhQzBw6zT=w1200|https://lh3.googleusercontent.com/pw/AP1GczOLrXfSaTcRLCgYSKJfx3WsnGzZpRWd_2Xz7fr55L47iyTMFPbqukYstdrpJ209ft2zy-b8hrXCfnfvD9zmlYhjT1sdV4xuJQ8x3n9jxiGPnpqGmDZV=w1200|https://lh3.googleusercontent.com/pw/AP1GczNP3K6qRh8Yq8qTCRhO0Tu8umpLK5QqBeLD_ftZkmYO4dLONYd_TGaD9sWDXSxe4pNb3yAww37erkiazlNEoPnakj8ZDDpQwWZraogC8mRDkiW5-cK8=w1200|https://lh3.googleusercontent.com/pw/AP1GczO86f_V3N4O2u7SPoKvhOuKQH8ryxGaLIv3DCB5ZAOmCaEQdO9hePpr2UvDSb2wv7j90Se-Aqo8YY3LXcCzwwxurfgQhCvDa-iSa9bvAB7wYDHSlcX9=w1200|https://lh3.googleusercontent.com/pw/AP1GczOnLhNREvg7mpHGb-GapXyGUAcGsSvd4WHcc8vufPPveA4fmL3SVz0yAPVGfUCEq78_TNs6ZI7XLhpUgYfJCbrzwPkOxQYnovnqRUA9zLBfg-WgA_nM=w1200|https://lh3.googleusercontent.com/pw/AP1GczMzFJyLyd4KnD0jubIHrh1v2K7O4Fo03VnsuMQ1jumUUFxHE1oZTJojwjQJisDYYzGCek5xH7rP8dMvJDZ3aB8fF01veCGMHE3YwvGe6808BdO6IUgR=w1200|https://lh3.googleusercontent.com/pw/AP1GczMEeVfGiZ8c5GOsKWYzJKg5GyXpX6SQY73eetE3FXKlWxsz-sxV8H1woQw7FJ_jTul5p8oSTeec73qfUMdDkzwiv2uFE09FsHecOdPZLJVhLcjnFjpI=w1200|https://lh3.googleusercontent.com/pw/AP1GczMknkxkdXuG4Z-k90kmNIzJslV0ICpsfNmdhiR8E6pUXIq55bWSsAaAtefQx6EOIe1A7zUYixJLFL5FN9sYpFet7B_u4p0h6EMOA1ACWzKWiZDw5cBy=w1200|https://lh3.googleusercontent.com/pw/AP1GczNn40RL---SOVsVKkorn0gnJdXYU2mHZXZ1vZYcyL3hSgMBUWbZMoCcckCxO9Qrbl3s8jBEoK0HfUJwty2BlPhYNk9WAqOrGvpFgBZ4H7OAnhk66elG=w1200|https://lh3.googleusercontent.com/pw/AP1GczNsTK9qGb7qN1aA2EF0mUJ9s20HDcuEpR0MUH10xpXnkVCdTsJkB2lKwZAa4dpeBYCx6d86DW31LYjTjE4z1i90VXLMmPi3FuNt9SAlvhyDJupDoJt8=w1200|https://lh3.googleusercontent.com/pw/AP1GczNzPDu3PNjAKTOpAfmjTSJaZExO3TNC9_joEXxSU_7IXoR410n81kIQbFvQg6-_xQQVX3njLujkFJeQWHHMo01ZN_1BvLJ4hbpG1Sr8YSOSZ9FSkoZt=w1200|https://lh3.googleusercontent.com/pw/AP1GczOQIpDOf2aZFXItrfZyEEpTmqNk1s6IX3bMxpls6Y17lIcsaTQ9nHmDH1cvxfeB0YR5AxTYo0HhhArDl9McmVTMlzortZPKaQQPKnfvkD6MhyQ-9Jsz=w1200|https://lh3.googleusercontent.com/pw/AP1GczOqx9p7u86GRZmX-txqxMYmUy5eeqxI07nFLpGIWV860Frbf3YJRXcH641_Lfp6973OZYrxXWgIqsVG2XXfPNo_ZgIq-jc_2cyoleHQN2qsXpYGjGIE=w1200|https://lh3.googleusercontent.com/pw/AP1GczP9a0jxgOMhPS4rLTMQCsTRjyCQ-A96jXagKYJ-eZgWCcSYLmL8R0qiS1uixJ10EfxQUP7gMZWFV0slXIpFLLQjqPKpKKa5wKqDx4wu3jRbqjRY9ruW=w1200|https://lh3.googleusercontent.com/pw/AP1GczPHdcfe2_-7dvAKSVzAyZH-i4yeMOdI2ig73n71NlLUb-LH4hryGYO6oRwoykxjdD09qtJfUeYdwO7Y7NM-40C1kUQVBldRGdEi8Z3G-1pHzAM3EFUE=w1200|https://lh3.googleusercontent.com/pw/AP1GczPOuBS026BpqOLgDC0e76xSfxT9cgoFyisfRs541Bi7J7NE7QmGgg3cSjK49ObfEykoTKf84HV1Jzqybm_rSxfZbp3nZzsJNXJJU5PP8gZiFfaaRLwT=w1200|https://lh3.googleusercontent.com/pw/AP1GczNFwnG41mmhmYtNTlXz1SJ0GjF_kSHkbtIL4K37NieyyJjHWLG6pRhIoUjJiQPcidnwiayLg_n-Dxfy5kYCZmmpxvLiggSxF7ZQ-U-xfJjuKupsqext=w1200|https://lh3.googleusercontent.com/pw/AP1GczO9R065UFZ2E17qhNcaaIqpEFHWtMAzbGGHfZkgNv3arqrmgVmxrKLcwQ48QeUFQ5ySRgefb1VD8HLK1nSapu6ij0f8PH5oy2EyEaFwbCWzukwJe5F_=w1200|https://lh3.googleusercontent.com/pw/AP1GczPI1fc-WwkAfwFXDFosG8i5ENWk9hfPvJYglJgatPrv7U6tnIWnLayzCz-1awlF8uswl3vO1W_auRJLFWyhhj35VQe8Ctl_PJbwbJxmM1GZNEO1XsuS=w1200|https://lh3.googleusercontent.com/pw/AP1GczPyGYYvh8peBaV7NztHOQ1aY-B4kOCRQStX1xV29PVsMRkcXt2l_sovAt1Wfh_uvgQq_o7q7ni-2H6tqvQ_uufvKtb64HbUMYXjpuHL1rx_mAe_MiOI=w1200|https://lh3.googleusercontent.com/pw/AP1GczOsN_FU15Z3upxaS8WoCKqCLMUB455zcJIwzhRWFS28GJp7pacJmGvRU6MMV2u92KO1EVzWq_mkGH0otrMY09OVGsnr0encPmpvirJPQR5gSVjdUA1r=w1200|https://lh3.googleusercontent.com/pw/AP1GczPYBPhAzxL1E74E4_ccinCHeJWh5Ghsb2XkB2Bv7BUa6W-FOutz7VDfA0a2YcPdcCME4cMvLCZePiNZ6hHmL7GmQRWiF9m-92beCNPADs6pBeem0mTH=w1200|https://lh3.googleusercontent.com/pw/AP1GczO--LvM11YRe57GuvrXaqyUKlu5eHyhFCLFCHt3Q5BFSV9IVfK_cf_Xp24SHFfm4c19gsoG_ItFpIwfQSnHA6ESOFl5mMYLHrToDIBdb2jMGlrFKHQY=w1200|https://lh3.googleusercontent.com/pw/AP1GczOa8eYvJ5v53ZKlJanC864DHB_Wv6Z_bQqtbtzA7s94zSflXFS94BNmi18TwpBm63ihoO2qPbs2HuaooOQz2xGDuN8YnWjfv7H-IuBmE0EN427G6Ban=w1200|https://lh3.googleusercontent.com/pw/AP1GczP5h546aGyIpkBpD0P17677WNorXEK4Tzt3MZMsJ9U1hzldxKSljsyWn7XGCHPdKqzR4AD3lCkNvWtVpmuyJUDNjGYbtwzzKEb0BavvnG9F7Rlqb_DR=w1200</v>
      </c>
      <c r="AJ331" s="46"/>
      <c r="AK331" s="46"/>
      <c r="AL331" s="46"/>
      <c r="AM331" s="46"/>
      <c r="AN331" s="46"/>
      <c r="AO331" s="46"/>
      <c r="AP331" s="46"/>
      <c r="AQ331" s="46"/>
      <c r="AR331" s="46"/>
      <c r="AS331" s="46"/>
      <c r="AT331" s="46"/>
      <c r="AU331" s="46"/>
      <c r="AV331" s="46"/>
      <c r="AW331" s="46"/>
      <c r="AX331" s="46"/>
      <c r="AY331" s="46"/>
      <c r="AZ331" s="46"/>
      <c r="BA331" s="46"/>
      <c r="BB331" s="46"/>
      <c r="BC331" s="46"/>
      <c r="BD331" s="46"/>
      <c r="BE331" s="46"/>
      <c r="BF331" s="46"/>
      <c r="BG331" s="46"/>
      <c r="BH331" s="46"/>
      <c r="BI331" s="46"/>
      <c r="BJ331" s="46"/>
      <c r="BK331" s="46"/>
      <c r="BL331" s="46"/>
      <c r="BM331" s="46"/>
      <c r="BN331" s="46"/>
      <c r="BO331" s="46"/>
      <c r="BP331" s="46"/>
      <c r="BQ331" s="46"/>
      <c r="BR331" s="46"/>
      <c r="BS331" s="46"/>
      <c r="BT331" s="46"/>
      <c r="BU331" s="46"/>
      <c r="BV331" s="46"/>
      <c r="BW331" s="46"/>
      <c r="BX331" s="46"/>
      <c r="BY331" s="46"/>
      <c r="BZ331" s="46"/>
      <c r="CA331" s="46"/>
      <c r="CB331" s="46"/>
      <c r="CC331" s="46"/>
    </row>
    <row r="332">
      <c r="A332" s="87" t="str">
        <f>IFERROR(__xludf.DUMMYFUNCTION("""COMPUTED_VALUE"""),"447")</f>
        <v>447</v>
      </c>
      <c r="B332" s="46" t="str">
        <f>IFERROR(__xludf.DUMMYFUNCTION("""COMPUTED_VALUE"""),"Casa en Conjunto Condomino Lucca")</f>
        <v>Casa en Conjunto Condomino Lucca</v>
      </c>
      <c r="C332" s="46" t="str">
        <f>IFERROR(__xludf.DUMMYFUNCTION("""COMPUTED_VALUE"""),"Casa en conjunto")</f>
        <v>Casa en conjunto</v>
      </c>
      <c r="D332" s="90"/>
      <c r="E332" s="46" t="str">
        <f>IFERROR(__xludf.DUMMYFUNCTION("""COMPUTED_VALUE"""),"Lucca")</f>
        <v>Lucca</v>
      </c>
      <c r="F332" s="90">
        <f>IFERROR(__xludf.DUMMYFUNCTION("""COMPUTED_VALUE"""),8.5E8)</f>
        <v>850000000</v>
      </c>
      <c r="G332" s="46" t="str">
        <f>IFERROR(__xludf.DUMMYFUNCTION("""COMPUTED_VALUE"""),"$500'000.000 a $1.000'000.000")</f>
        <v>$500'000.000 a $1.000'000.000</v>
      </c>
      <c r="H332" s="46"/>
      <c r="I332" s="46"/>
      <c r="J332" s="46" t="str">
        <f>IFERROR(__xludf.DUMMYFUNCTION("""COMPUTED_VALUE"""),"Oriente")</f>
        <v>Oriente</v>
      </c>
      <c r="K332" s="87"/>
      <c r="L332" s="46">
        <f>IFERROR(__xludf.DUMMYFUNCTION("""COMPUTED_VALUE"""),3.0)</f>
        <v>3</v>
      </c>
      <c r="M332" s="46"/>
      <c r="N332" s="46">
        <f>IFERROR(__xludf.DUMMYFUNCTION("""COMPUTED_VALUE"""),4.0)</f>
        <v>4</v>
      </c>
      <c r="O332" s="46">
        <f>IFERROR(__xludf.DUMMYFUNCTION("""COMPUTED_VALUE"""),2.0)</f>
        <v>2</v>
      </c>
      <c r="P332" s="46">
        <f>IFERROR(__xludf.DUMMYFUNCTION("""COMPUTED_VALUE"""),1.0)</f>
        <v>1</v>
      </c>
      <c r="Q332" s="92">
        <f>IFERROR(__xludf.DUMMYFUNCTION("""COMPUTED_VALUE"""),215.0)</f>
        <v>215</v>
      </c>
      <c r="R332" s="92">
        <f>IFERROR(__xludf.DUMMYFUNCTION("""COMPUTED_VALUE"""),215.0)</f>
        <v>215</v>
      </c>
      <c r="S332" s="87" t="str">
        <f>IFERROR(__xludf.DUMMYFUNCTION("""COMPUTED_VALUE""")," ")</f>
        <v> </v>
      </c>
      <c r="T332" s="46" t="str">
        <f>IFERROR(__xludf.DUMMYFUNCTION("""COMPUTED_VALUE"""),"Neiva")</f>
        <v>Neiva</v>
      </c>
      <c r="U332" s="87" t="str">
        <f>IFERROR(__xludf.DUMMYFUNCTION("""COMPUTED_VALUE"""),"5")</f>
        <v>5</v>
      </c>
      <c r="V332" s="46">
        <f>IFERROR(__xludf.DUMMYFUNCTION("""COMPUTED_VALUE"""),0.0)</f>
        <v>0</v>
      </c>
      <c r="W332" s="46"/>
      <c r="X332" s="46">
        <f>IFERROR(__xludf.DUMMYFUNCTION("""COMPUTED_VALUE"""),3.0)</f>
        <v>3</v>
      </c>
      <c r="Y332" s="46" t="str">
        <f>IFERROR(__xludf.DUMMYFUNCTION("""COMPUTED_VALUE"""),"Privada")</f>
        <v>Privada</v>
      </c>
      <c r="Z332" s="90">
        <f>IFERROR(__xludf.DUMMYFUNCTION("""COMPUTED_VALUE"""),550000.0)</f>
        <v>550000</v>
      </c>
      <c r="AA332" s="33" t="str">
        <f>IFERROR(__xludf.DUMMYFUNCTION("""COMPUTED_VALUE"""),"No aplica")</f>
        <v>No aplica</v>
      </c>
      <c r="AB332" s="96" t="str">
        <f>IFERROR(__xludf.DUMMYFUNCTION("""COMPUTED_VALUE"""),"https://photos.app.goo.gl/bc2kFfEwFAphJbPQA")</f>
        <v>https://photos.app.goo.gl/bc2kFfEwFAphJbPQA</v>
      </c>
      <c r="AC332" s="46"/>
      <c r="AD332" s="46"/>
      <c r="AE332" s="46"/>
      <c r="AF332" s="46" t="str">
        <f>IFERROR(__xludf.DUMMYFUNCTION("""COMPUTED_VALUE"""),"integral")</f>
        <v>integral</v>
      </c>
      <c r="AG332" s="46"/>
      <c r="AH332" s="46" t="str">
        <f>IFERROR(__xludf.DUMMYFUNCTION("""COMPUTED_VALUE"""),"Aliado")</f>
        <v>Aliado</v>
      </c>
      <c r="AI332" s="92" t="str">
        <f>IFERROR(__xludf.DUMMYFUNCTION("""COMPUTED_VALUE"""),"https://lh3.googleusercontent.com/pw/AP1GczNGX9iuynbNg00bgJ-VIMHSwZXKN4NffxjfAmU265LSRsdw_7GD9hK8ewrV1iHU1aGUn8L9f60ap_f3dTRroxu_eB1AONqihkMCLnhn7ypdKWXuFoIR=w1200|https://lh3.googleusercontent.com/pw/AP1GczMV4E-V0oA-ViMXYsaTaMGCVZjScRh2Rai0oOY11DsnVUQ2LO"&amp;"qnsYnGMsh4JEFWrMj3jK0ogm4J2i1XlVwxjIS9Tq8IRUSa_OQ7Cct26Hpt_saSHWIP=w1200|https://lh3.googleusercontent.com/pw/AP1GczOoQEA62X0uENOSAF130-l1YKES8qKP_XA23nsl7-H9m9iRCLpeldqgaNUwBXNWkep6JFgsEoDmUKrzbAfCQQoiK305jnDexs14Q3mIhV1vIbLLpRNd=w1200|https://lh3.google"&amp;"usercontent.com/pw/AP1GczNQjeUkHH_iCvOQJZwCnJqoqlK9leduWO9Rp15xxZa3HXMPRopjEy3DUZTNVlCukrnAAj-oPWaY41UX-ZIwqAJ4oMrHopTa4F2HORUDyYIRJ_gRM6jg=w1200|https://lh3.googleusercontent.com/pw/AP1GczMOLihs_t8-saZr0VPZhLS_gi8cl8RbBm9aVfJoRb7mCalYVvPJxm8MUUnLme7SnMaJ"&amp;"Q62e1-3F0Pjs1sSFp81yz65UCx4SAZxEapKNuWAfPVgKWCPl=w1200|https://lh3.googleusercontent.com/pw/AP1GczN_jtg0-olczKeiZklDF8MCCs7qBNx7WgIBrVnGL6nWhDrunkMzra8PpXbSBVQUCISU0NdnCo4PJGrLivgsA8Dbe3M-1RHEYYGEDFfvMqHxjZdKEsbf=w1200|https://lh3.googleusercontent.com/pw"&amp;"/AP1GczOSmEFprgsVSdJRvduBcyqQ5WoNf1s9ZTKpvnVA5aJbiSmFodW-cdpEMK1IAHiqVmGAMOdUKb28Awdjg_qBvaOFE3z3Y-dfhFcZw4Q_0R7d6OX8orFG=w1200|https://lh3.googleusercontent.com/pw/AP1GczOhVbNzCqdGABKlLRPPRPUHAZSZ4x74eJPKqqBoScNonPnBrYl2ItFNn3aisBWyxPyke3LZ8C7s3oRG6A0fJA"&amp;"B9Cpn1kppZ-LzupoYW92TFQnmQpKBn=w1200|https://lh3.googleusercontent.com/pw/AP1GczO5OYGc0gX3QiilMkCj81V5ZIysS1cy1OkrE0NuODj_-uC-sPxrz3Uy-IFe6LT0QUWUfU2dG3x9BkN1AfbGLLzmSqcl1jghl8KL9f66GDFHT5XR_dTh=w1200|https://lh3.googleusercontent.com/pw/AP1GczN04Vz0NAjxW"&amp;"3L4d8xwSDov3xMnIEkWZ0RaGtYqXQCnqUJxFvmBoLcoZvABecnXuo6wgLpFvE4HtmFr8A6VsV0UmyaoZtBltY5JobmduUUlsVUszUTF=w1200|https://lh3.googleusercontent.com/pw/AP1GczMFHLeP8kOoErEuBZlrmVt8GLXCmDOOGRixbE6UpyXPBjhK4tdBPEh7JWlVNLhrnV2zTkNj1_hLZo_Xcs8ju2LIYaeSXC2bRKcyO5zM"&amp;"7tBnw39zn7-r=w1200|https://lh3.googleusercontent.com/pw/AP1GczOAKi1H1ImWBfPVanflXDwyjjXLkRisvAeLyGjtA-9eKJHxEQOjTH3dJJYFbZOGi-uKWAGZ56AgNIFHsVP3dPhU8WK1gmX5NtfisvD_EDMRsnDcrsaw=w1200|https://lh3.googleusercontent.com/pw/AP1GczN5hMeAd8Cv0aiMGMXsPPm8h4si-zy"&amp;"bbXQ0yw8s5enEOTqu8LRn55zsCzS2sCPgenZ7OU6BP_UOrpDOqlaFkXHUr4-GeMq8MoLnoxytrCGVuveY31Iz=w1200|https://lh3.googleusercontent.com/pw/AP1GczNwj3TmN4BhlZ4k9zTIuvux4qmKl9BvVvqdAGFjXdg9kQlsYKvYGH7qf7QBTdFkCKAOKD0Q3YWQL80RvVIvEmh7WojSED8ehdc_L7Je3OWlUAUuhBVR=w1200"&amp;"|https://lh3.googleusercontent.com/pw/AP1GczNN7NvhOmV-994Q5i8IwH3olqV2eqkHUPy94KmDTwmL-3KZ1Ro7eCkV5z17C8ST--oPHkR2N6U6z-FjsONF3DSQe6pKzX5zh9L5RIQtyI849UDTxSHL=w1200|https://lh3.googleusercontent.com/pw/AP1GczOh1mghvWxmth4ULavYghUUdtIDE9XcxcyR3g1BCyxp7OTBK"&amp;"MBNWhxHAqkFxL9tfOF_hbTccvwXPJ3Ax8jRbiWQ6QwfQjiC2pW_d_mu-mr7v0yaZnja=w1200")</f>
        <v>https://lh3.googleusercontent.com/pw/AP1GczNGX9iuynbNg00bgJ-VIMHSwZXKN4NffxjfAmU265LSRsdw_7GD9hK8ewrV1iHU1aGUn8L9f60ap_f3dTRroxu_eB1AONqihkMCLnhn7ypdKWXuFoIR=w1200|https://lh3.googleusercontent.com/pw/AP1GczMV4E-V0oA-ViMXYsaTaMGCVZjScRh2Rai0oOY11DsnVUQ2LOqnsYnGMsh4JEFWrMj3jK0ogm4J2i1XlVwxjIS9Tq8IRUSa_OQ7Cct26Hpt_saSHWIP=w1200|https://lh3.googleusercontent.com/pw/AP1GczOoQEA62X0uENOSAF130-l1YKES8qKP_XA23nsl7-H9m9iRCLpeldqgaNUwBXNWkep6JFgsEoDmUKrzbAfCQQoiK305jnDexs14Q3mIhV1vIbLLpRNd=w1200|https://lh3.googleusercontent.com/pw/AP1GczNQjeUkHH_iCvOQJZwCnJqoqlK9leduWO9Rp15xxZa3HXMPRopjEy3DUZTNVlCukrnAAj-oPWaY41UX-ZIwqAJ4oMrHopTa4F2HORUDyYIRJ_gRM6jg=w1200|https://lh3.googleusercontent.com/pw/AP1GczMOLihs_t8-saZr0VPZhLS_gi8cl8RbBm9aVfJoRb7mCalYVvPJxm8MUUnLme7SnMaJQ62e1-3F0Pjs1sSFp81yz65UCx4SAZxEapKNuWAfPVgKWCPl=w1200|https://lh3.googleusercontent.com/pw/AP1GczN_jtg0-olczKeiZklDF8MCCs7qBNx7WgIBrVnGL6nWhDrunkMzra8PpXbSBVQUCISU0NdnCo4PJGrLivgsA8Dbe3M-1RHEYYGEDFfvMqHxjZdKEsbf=w1200|https://lh3.googleusercontent.com/pw/AP1GczOSmEFprgsVSdJRvduBcyqQ5WoNf1s9ZTKpvnVA5aJbiSmFodW-cdpEMK1IAHiqVmGAMOdUKb28Awdjg_qBvaOFE3z3Y-dfhFcZw4Q_0R7d6OX8orFG=w1200|https://lh3.googleusercontent.com/pw/AP1GczOhVbNzCqdGABKlLRPPRPUHAZSZ4x74eJPKqqBoScNonPnBrYl2ItFNn3aisBWyxPyke3LZ8C7s3oRG6A0fJAB9Cpn1kppZ-LzupoYW92TFQnmQpKBn=w1200|https://lh3.googleusercontent.com/pw/AP1GczO5OYGc0gX3QiilMkCj81V5ZIysS1cy1OkrE0NuODj_-uC-sPxrz3Uy-IFe6LT0QUWUfU2dG3x9BkN1AfbGLLzmSqcl1jghl8KL9f66GDFHT5XR_dTh=w1200|https://lh3.googleusercontent.com/pw/AP1GczN04Vz0NAjxW3L4d8xwSDov3xMnIEkWZ0RaGtYqXQCnqUJxFvmBoLcoZvABecnXuo6wgLpFvE4HtmFr8A6VsV0UmyaoZtBltY5JobmduUUlsVUszUTF=w1200|https://lh3.googleusercontent.com/pw/AP1GczMFHLeP8kOoErEuBZlrmVt8GLXCmDOOGRixbE6UpyXPBjhK4tdBPEh7JWlVNLhrnV2zTkNj1_hLZo_Xcs8ju2LIYaeSXC2bRKcyO5zM7tBnw39zn7-r=w1200|https://lh3.googleusercontent.com/pw/AP1GczOAKi1H1ImWBfPVanflXDwyjjXLkRisvAeLyGjtA-9eKJHxEQOjTH3dJJYFbZOGi-uKWAGZ56AgNIFHsVP3dPhU8WK1gmX5NtfisvD_EDMRsnDcrsaw=w1200|https://lh3.googleusercontent.com/pw/AP1GczN5hMeAd8Cv0aiMGMXsPPm8h4si-zybbXQ0yw8s5enEOTqu8LRn55zsCzS2sCPgenZ7OU6BP_UOrpDOqlaFkXHUr4-GeMq8MoLnoxytrCGVuveY31Iz=w1200|https://lh3.googleusercontent.com/pw/AP1GczNwj3TmN4BhlZ4k9zTIuvux4qmKl9BvVvqdAGFjXdg9kQlsYKvYGH7qf7QBTdFkCKAOKD0Q3YWQL80RvVIvEmh7WojSED8ehdc_L7Je3OWlUAUuhBVR=w1200|https://lh3.googleusercontent.com/pw/AP1GczNN7NvhOmV-994Q5i8IwH3olqV2eqkHUPy94KmDTwmL-3KZ1Ro7eCkV5z17C8ST--oPHkR2N6U6z-FjsONF3DSQe6pKzX5zh9L5RIQtyI849UDTxSHL=w1200|https://lh3.googleusercontent.com/pw/AP1GczOh1mghvWxmth4ULavYghUUdtIDE9XcxcyR3g1BCyxp7OTBKMBNWhxHAqkFxL9tfOF_hbTccvwXPJ3Ax8jRbiWQ6QwfQjiC2pW_d_mu-mr7v0yaZnja=w1200</v>
      </c>
      <c r="AJ332" s="46"/>
      <c r="AK332" s="46"/>
      <c r="AL332" s="46"/>
      <c r="AM332" s="46"/>
      <c r="AN332" s="46"/>
      <c r="AO332" s="46"/>
      <c r="AP332" s="46"/>
      <c r="AQ332" s="46"/>
      <c r="AR332" s="46"/>
      <c r="AS332" s="46"/>
      <c r="AT332" s="46"/>
      <c r="AU332" s="46"/>
      <c r="AV332" s="46"/>
      <c r="AW332" s="46"/>
      <c r="AX332" s="46"/>
      <c r="AY332" s="46"/>
      <c r="AZ332" s="46"/>
      <c r="BA332" s="46"/>
      <c r="BB332" s="46"/>
      <c r="BC332" s="46"/>
      <c r="BD332" s="46"/>
      <c r="BE332" s="46"/>
      <c r="BF332" s="46"/>
      <c r="BG332" s="46"/>
      <c r="BH332" s="46"/>
      <c r="BI332" s="46"/>
      <c r="BJ332" s="46"/>
      <c r="BK332" s="46"/>
      <c r="BL332" s="46"/>
      <c r="BM332" s="46"/>
      <c r="BN332" s="46"/>
      <c r="BO332" s="46"/>
      <c r="BP332" s="46"/>
      <c r="BQ332" s="46"/>
      <c r="BR332" s="46"/>
      <c r="BS332" s="46"/>
      <c r="BT332" s="46"/>
      <c r="BU332" s="46"/>
      <c r="BV332" s="46"/>
      <c r="BW332" s="46"/>
      <c r="BX332" s="46"/>
      <c r="BY332" s="46"/>
      <c r="BZ332" s="46"/>
      <c r="CA332" s="46"/>
      <c r="CB332" s="46"/>
      <c r="CC332" s="46"/>
    </row>
    <row r="333">
      <c r="A333" s="87" t="str">
        <f>IFERROR(__xludf.DUMMYFUNCTION("""COMPUTED_VALUE"""),"425")</f>
        <v>425</v>
      </c>
      <c r="B333" s="46" t="str">
        <f>IFERROR(__xludf.DUMMYFUNCTION("""COMPUTED_VALUE"""),"Casa en barrio La Toma")</f>
        <v>Casa en barrio La Toma</v>
      </c>
      <c r="C333" s="46" t="str">
        <f>IFERROR(__xludf.DUMMYFUNCTION("""COMPUTED_VALUE"""),"Casa")</f>
        <v>Casa</v>
      </c>
      <c r="D333" s="46" t="str">
        <f>IFERROR(__xludf.DUMMYFUNCTION("""COMPUTED_VALUE"""),"La Toma")</f>
        <v>La Toma</v>
      </c>
      <c r="E333" s="46"/>
      <c r="F333" s="90">
        <f>IFERROR(__xludf.DUMMYFUNCTION("""COMPUTED_VALUE"""),8.5E8)</f>
        <v>850000000</v>
      </c>
      <c r="G333" s="46" t="str">
        <f>IFERROR(__xludf.DUMMYFUNCTION("""COMPUTED_VALUE"""),"$500'000.000 a $1.000'000.000")</f>
        <v>$500'000.000 a $1.000'000.000</v>
      </c>
      <c r="H333" s="46"/>
      <c r="I333" s="46"/>
      <c r="J333" s="46" t="str">
        <f>IFERROR(__xludf.DUMMYFUNCTION("""COMPUTED_VALUE"""),"Centro")</f>
        <v>Centro</v>
      </c>
      <c r="K333" s="87" t="str">
        <f>IFERROR(__xludf.DUMMYFUNCTION("""COMPUTED_VALUE"""),"3")</f>
        <v>3</v>
      </c>
      <c r="L333" s="46">
        <f>IFERROR(__xludf.DUMMYFUNCTION("""COMPUTED_VALUE"""),4.0)</f>
        <v>4</v>
      </c>
      <c r="M333" s="46"/>
      <c r="N333" s="46">
        <f>IFERROR(__xludf.DUMMYFUNCTION("""COMPUTED_VALUE"""),3.0)</f>
        <v>3</v>
      </c>
      <c r="O333" s="46">
        <f>IFERROR(__xludf.DUMMYFUNCTION("""COMPUTED_VALUE"""),1.0)</f>
        <v>1</v>
      </c>
      <c r="P333" s="46">
        <f>IFERROR(__xludf.DUMMYFUNCTION("""COMPUTED_VALUE"""),2.0)</f>
        <v>2</v>
      </c>
      <c r="Q333" s="92"/>
      <c r="R333" s="92">
        <f>IFERROR(__xludf.DUMMYFUNCTION("""COMPUTED_VALUE"""),496.0)</f>
        <v>496</v>
      </c>
      <c r="S333" s="87" t="str">
        <f>IFERROR(__xludf.DUMMYFUNCTION("""COMPUTED_VALUE""")," ")</f>
        <v> </v>
      </c>
      <c r="T333" s="46" t="str">
        <f>IFERROR(__xludf.DUMMYFUNCTION("""COMPUTED_VALUE"""),"Neiva")</f>
        <v>Neiva</v>
      </c>
      <c r="U333" s="87" t="str">
        <f>IFERROR(__xludf.DUMMYFUNCTION("""COMPUTED_VALUE"""),"4")</f>
        <v>4</v>
      </c>
      <c r="V333" s="46" t="str">
        <f>IFERROR(__xludf.DUMMYFUNCTION("""COMPUTED_VALUE"""),"Medianera")</f>
        <v>Medianera</v>
      </c>
      <c r="W333" s="46"/>
      <c r="X333" s="46">
        <f>IFERROR(__xludf.DUMMYFUNCTION("""COMPUTED_VALUE"""),4.0)</f>
        <v>4</v>
      </c>
      <c r="Y333" s="46" t="str">
        <f>IFERROR(__xludf.DUMMYFUNCTION("""COMPUTED_VALUE"""),"No tiene")</f>
        <v>No tiene</v>
      </c>
      <c r="Z333" s="90" t="str">
        <f>IFERROR(__xludf.DUMMYFUNCTION("""COMPUTED_VALUE"""),"No aplica")</f>
        <v>No aplica</v>
      </c>
      <c r="AA333" s="33" t="str">
        <f>IFERROR(__xludf.DUMMYFUNCTION("""COMPUTED_VALUE"""),"No aplica")</f>
        <v>No aplica</v>
      </c>
      <c r="AB333" s="96" t="str">
        <f>IFERROR(__xludf.DUMMYFUNCTION("""COMPUTED_VALUE"""),"https://photos.app.goo.gl/zpb2nqo4ztrDVUYp6")</f>
        <v>https://photos.app.goo.gl/zpb2nqo4ztrDVUYp6</v>
      </c>
      <c r="AC333" s="46" t="str">
        <f>IFERROR(__xludf.DUMMYFUNCTION("""COMPUTED_VALUE"""),"3 niveles")</f>
        <v>3 niveles</v>
      </c>
      <c r="AD333" s="46" t="str">
        <f>IFERROR(__xludf.DUMMYFUNCTION("""COMPUTED_VALUE"""),"Casa de 3 niveles, con dos accesos, ubicada sobre la avenida la Toma, bien ubicada, pisos en mármol, cielo raso en vigas tipo colonial, carpintería marcos, puertas, closet y muebles empotrados en madera, con patio. Escritura al día.")</f>
        <v>Casa de 3 niveles, con dos accesos, ubicada sobre la avenida la Toma, bien ubicada, pisos en mármol, cielo raso en vigas tipo colonial, carpintería marcos, puertas, closet y muebles empotrados en madera, con patio. Escritura al día.</v>
      </c>
      <c r="AE333" s="46"/>
      <c r="AF333" s="46" t="str">
        <f>IFERROR(__xludf.DUMMYFUNCTION("""COMPUTED_VALUE"""),"integral")</f>
        <v>integral</v>
      </c>
      <c r="AG333" s="46"/>
      <c r="AH333" s="46" t="str">
        <f>IFERROR(__xludf.DUMMYFUNCTION("""COMPUTED_VALUE"""),"Aliado")</f>
        <v>Aliado</v>
      </c>
      <c r="AI333" s="92" t="str">
        <f>IFERROR(__xludf.DUMMYFUNCTION("""COMPUTED_VALUE"""),"https://lh3.googleusercontent.com/pw/AP1GczOcKXapnc8Wc8Vhpyiv9FCEg-rliRjqct53_s1F6uhKnCepMBzct-5f1GeFvSlRHSR4u96xtqk-JvRLOWnJdIl2vHcJ7xLGTpS-fhGrk1G1eHxtcmye=w1200|https://lh3.googleusercontent.com/pw/AP1GczN3MMXjznTlyygobqhXWRci3ms2uPJXNY4zd3Uoks6WC512U6"&amp;"6V7HBzxjmU3zNzLDrQZuYWmL4gHIH-GBNIqlwfPxxGZ-peAr3RzNagCQvmg1CfZAGi=w1200|https://lh3.googleusercontent.com/pw/AP1GczPOtP-NPI7Csu4AmcEXNOcP-rjMA8GN1t_ofInkUx8M2eQF4vEy3i_tXoj_VkaEwYPJjJeccPlnxMPoxt43WXi3yN7HP02ur6QvJtCR8x0xaF73jhf7=w1200|https://lh3.google"&amp;"usercontent.com/pw/AP1GczMTPXO9AYJe8bA3gEOruDsq4eVWe4Mmq60dE65u7SafJ_v1s1AZTG7yVJzTUKnKUnIdMVKUQbi17m6b2O4Z7GBCWD0MVo0twJHlMO1SiQ_b2gjVU8zF=w1200|https://lh3.googleusercontent.com/pw/AP1GczPtmDloa2Q-5CVPcRE2x943apuxtiuVdnq97a6F3Tp4qSRYzGuBPncFpg7uAVgFAGc5"&amp;"-w67xVAv-qwIdDmgKrzsvRymXSghzNtJSkRaewnZ-7TuiiJd=w1200|https://lh3.googleusercontent.com/pw/AP1GczOC8Zt5NLU0Uls-uhnJh8sgny_gtnfef9UyL_xu-yNM2Cd2XPHme5y6GzJhtDpKPuRXRLuKPSumkHQSsnC4VXh6xk5peuNiMqFNMwpZYRXDp-kz89s2=w1200|https://lh3.googleusercontent.com/pw"&amp;"/AP1GczNrQq5-lB21vqtrDYMB3Ge7C7RxOOO2_be1TQjbFNBwlKl8XPRFqTvsAyJ1-1cRGQasM93B-KTCt_xj8lMHdlO9um50u0_d3GDd0sOiKvnslWdeQOUJ=w1200|https://lh3.googleusercontent.com/pw/AP1GczO0GmU7sxwGHNlvjxRnaEdf9JmmMKVC8r2pbaaDK-4yKQ7qdQ-bz8cm7TjlnfP31YBHxxndRw0xF0GcvszJtJ"&amp;"h38hsiun67AcB9SoSe00OkWYZ-cNOg=w1200|https://lh3.googleusercontent.com/pw/AP1GczMPggAYC5uybV6wqAgn2mctzHcFWvZBso_u91NzfS1nZLev6aRdbc0L0oDmkhrPZxjKPlBXMAV7W8Wq9fddI9BZoA-5v3I4CsFVS4aEBz20yXrUC3Wv=w1200|https://lh3.googleusercontent.com/pw/AP1GczMzPljqGbhS-"&amp;"y94ZD1oXSLJ8_z0tQq3Qq8O1vpv59vexuuoKqvxLbmg8mswTNTm_XJEqdFz1GQm0_xFiLKAas_HcY7LdcqQ3oz0aNtUFmmO-YxignHS=w1200|https://lh3.googleusercontent.com/pw/AP1GczMv6zrmMG-v36dXtNaTguUA67vPOrrF0awagJkBwb4sXthmTKuJFRXZtyqQIcp4HRHwGafRef6AE8-ALxij87qlBJfPixF7q6erivvJ"&amp;"RxIcSX2yCftG=w1200|https://lh3.googleusercontent.com/pw/AP1GczOR_8q67ZuuGz6uctyKB1hPwujOS19HjKo6tRbwXIWoFVub6A_QGlH1DzVHMl4fEMdbivUstx47L7DCNJY5IseMBmuih6UWG0JnmU8996-OeH5WR5x0=w1200|https://lh3.googleusercontent.com/pw/AP1GczMk3e3xMdNg9Bx-8Xy6qvt0acxYCgw"&amp;"--1PzNMVzaIYGWpcrfVPBFnFv_rBl38IBADxf9fZxdJOPMQ5ttFFrZR-qCyOVkKvAFTT3nhFlI789HDNkQykz=w1200|https://lh3.googleusercontent.com/pw/AP1GczMSuxlSTkr1hrTfD7syKPkfLJaUj0qb-N4k8vlwr14DhYHmGiIvgXkVwpglMTTiz2Rzq3heLdAX4ycSCmfW-bEx_HDmKHx_LBrIRTWAfggRZ8-dk1wd=w1200"&amp;"|https://lh3.googleusercontent.com/pw/AP1GczPxHaun2hnEIY-9EodsCeU8mJtGbtiJyyGp9FADzS0PMKAnDmH912__g6VAOXRa30obNftwpSB63ugAyaFYY00Us54Am4aHWfhrKvN26VD12qeLYiS1=w1200|https://lh3.googleusercontent.com/pw/AP1GczPihmFz8xdZ49XvKFOcXSqcFokdlxISn0MRHyLSxjlOdK6xm"&amp;"XYxc1300eyg0wlCwy2VrKCzFqOhgM76Fwte_C4dDzfpuRO7clLkii-F6qOAbsoT64pD=w1200|https://lh3.googleusercontent.com/pw/AP1GczMNW5B6-vYFbp30oYknjX67C-DWdxi9kcvpsZGmbmRcgcITdkkUXuLlosIHu3a0yPOj-AUCih8Ql2B84Nfip8XVtdTn-cd6A-_VZp3-Zoo-NESnfOCb=w1200|https://lh3.googl"&amp;"eusercontent.com/pw/AP1GczOMP-_CY6PpMnFWgdQrNX4t4sAxrGMJeY3qE4YPYicA0Rxvf1iZa4F8JSVhsX1NY-bdPFp0BBq90rv25BBo-eZQQAWi4OgivExNaO_6I3ZKOo6AF4oI=w1200|https://lh3.googleusercontent.com/pw/AP1GczOvPSKtVL_H5o-exT5EupNktyE-MS30vtbZ0y2RRAQ3mrFJSi4WVJpPC1hpjGO5yjZ"&amp;"FD4i-_XG3PQr4sA2tyyBThb3jSqkAT27iAwETeHGanOxqokB7=w1200|https://lh3.googleusercontent.com/pw/AP1GczMhkoxKgbzlpX_kewIdo6vhqQ50nrHL8X3WT3MtKtHkcfwD7IAy7d8CiSE8UqKuxmCV-MxFng2JjBRH-9XpcL1rDiAwvnv3jXavbe8_RmdPnMGSAvOm=w1200|https://lh3.googleusercontent.com/p"&amp;"w/AP1GczPTsNXoV2cPC0WF2hlqvBItmZDDkLs408eTtwtx2YhR29EC2mnSrhB5ONY4yHusWX_C-0FgFVWSvBdnL28gx0MH2gH8vPsgniU_lEATDMmmNublEhDd=w1200|https://lh3.googleusercontent.com/pw/AP1GczPgoI4_VocB4-nAMYRF4vmUhScZBRCS4yT4smi7uuiSadPMsjngZ7ZXzxS7LBUU_S1BZCUWJEyrRYtu6M9gj"&amp;"7yZZ6G7wXqcnCZPxlYR-GAulSci5TyX=w1200|https://lh3.googleusercontent.com/pw/AP1GczOsxAa0xsmGDHR9PHDlhlaEhCvfey-xCrCaK4OfMgxOZmKant8UorSoM_CFOxfecbBr_eQuhqjeL7Y_Phj9RY2KNbuSZcPhvjXGQiKHwrnClxsbCgUz=w1200|https://lh3.googleusercontent.com/pw/AP1GczMsN6qUYade"&amp;"ecmyW0dGwTHPfUk0CFRoYOQ5nLp8F2HN-BgtUfl2vEbuF8Kxr_426H6X7I_Fv5gOdj21dXsJR29devae6M4hH3oAMel3Awa-XZxRf4ql=w1200")</f>
        <v>https://lh3.googleusercontent.com/pw/AP1GczOcKXapnc8Wc8Vhpyiv9FCEg-rliRjqct53_s1F6uhKnCepMBzct-5f1GeFvSlRHSR4u96xtqk-JvRLOWnJdIl2vHcJ7xLGTpS-fhGrk1G1eHxtcmye=w1200|https://lh3.googleusercontent.com/pw/AP1GczN3MMXjznTlyygobqhXWRci3ms2uPJXNY4zd3Uoks6WC512U66V7HBzxjmU3zNzLDrQZuYWmL4gHIH-GBNIqlwfPxxGZ-peAr3RzNagCQvmg1CfZAGi=w1200|https://lh3.googleusercontent.com/pw/AP1GczPOtP-NPI7Csu4AmcEXNOcP-rjMA8GN1t_ofInkUx8M2eQF4vEy3i_tXoj_VkaEwYPJjJeccPlnxMPoxt43WXi3yN7HP02ur6QvJtCR8x0xaF73jhf7=w1200|https://lh3.googleusercontent.com/pw/AP1GczMTPXO9AYJe8bA3gEOruDsq4eVWe4Mmq60dE65u7SafJ_v1s1AZTG7yVJzTUKnKUnIdMVKUQbi17m6b2O4Z7GBCWD0MVo0twJHlMO1SiQ_b2gjVU8zF=w1200|https://lh3.googleusercontent.com/pw/AP1GczPtmDloa2Q-5CVPcRE2x943apuxtiuVdnq97a6F3Tp4qSRYzGuBPncFpg7uAVgFAGc5-w67xVAv-qwIdDmgKrzsvRymXSghzNtJSkRaewnZ-7TuiiJd=w1200|https://lh3.googleusercontent.com/pw/AP1GczOC8Zt5NLU0Uls-uhnJh8sgny_gtnfef9UyL_xu-yNM2Cd2XPHme5y6GzJhtDpKPuRXRLuKPSumkHQSsnC4VXh6xk5peuNiMqFNMwpZYRXDp-kz89s2=w1200|https://lh3.googleusercontent.com/pw/AP1GczNrQq5-lB21vqtrDYMB3Ge7C7RxOOO2_be1TQjbFNBwlKl8XPRFqTvsAyJ1-1cRGQasM93B-KTCt_xj8lMHdlO9um50u0_d3GDd0sOiKvnslWdeQOUJ=w1200|https://lh3.googleusercontent.com/pw/AP1GczO0GmU7sxwGHNlvjxRnaEdf9JmmMKVC8r2pbaaDK-4yKQ7qdQ-bz8cm7TjlnfP31YBHxxndRw0xF0GcvszJtJh38hsiun67AcB9SoSe00OkWYZ-cNOg=w1200|https://lh3.googleusercontent.com/pw/AP1GczMPggAYC5uybV6wqAgn2mctzHcFWvZBso_u91NzfS1nZLev6aRdbc0L0oDmkhrPZxjKPlBXMAV7W8Wq9fddI9BZoA-5v3I4CsFVS4aEBz20yXrUC3Wv=w1200|https://lh3.googleusercontent.com/pw/AP1GczMzPljqGbhS-y94ZD1oXSLJ8_z0tQq3Qq8O1vpv59vexuuoKqvxLbmg8mswTNTm_XJEqdFz1GQm0_xFiLKAas_HcY7LdcqQ3oz0aNtUFmmO-YxignHS=w1200|https://lh3.googleusercontent.com/pw/AP1GczMv6zrmMG-v36dXtNaTguUA67vPOrrF0awagJkBwb4sXthmTKuJFRXZtyqQIcp4HRHwGafRef6AE8-ALxij87qlBJfPixF7q6erivvJRxIcSX2yCftG=w1200|https://lh3.googleusercontent.com/pw/AP1GczOR_8q67ZuuGz6uctyKB1hPwujOS19HjKo6tRbwXIWoFVub6A_QGlH1DzVHMl4fEMdbivUstx47L7DCNJY5IseMBmuih6UWG0JnmU8996-OeH5WR5x0=w1200|https://lh3.googleusercontent.com/pw/AP1GczMk3e3xMdNg9Bx-8Xy6qvt0acxYCgw--1PzNMVzaIYGWpcrfVPBFnFv_rBl38IBADxf9fZxdJOPMQ5ttFFrZR-qCyOVkKvAFTT3nhFlI789HDNkQykz=w1200|https://lh3.googleusercontent.com/pw/AP1GczMSuxlSTkr1hrTfD7syKPkfLJaUj0qb-N4k8vlwr14DhYHmGiIvgXkVwpglMTTiz2Rzq3heLdAX4ycSCmfW-bEx_HDmKHx_LBrIRTWAfggRZ8-dk1wd=w1200|https://lh3.googleusercontent.com/pw/AP1GczPxHaun2hnEIY-9EodsCeU8mJtGbtiJyyGp9FADzS0PMKAnDmH912__g6VAOXRa30obNftwpSB63ugAyaFYY00Us54Am4aHWfhrKvN26VD12qeLYiS1=w1200|https://lh3.googleusercontent.com/pw/AP1GczPihmFz8xdZ49XvKFOcXSqcFokdlxISn0MRHyLSxjlOdK6xmXYxc1300eyg0wlCwy2VrKCzFqOhgM76Fwte_C4dDzfpuRO7clLkii-F6qOAbsoT64pD=w1200|https://lh3.googleusercontent.com/pw/AP1GczMNW5B6-vYFbp30oYknjX67C-DWdxi9kcvpsZGmbmRcgcITdkkUXuLlosIHu3a0yPOj-AUCih8Ql2B84Nfip8XVtdTn-cd6A-_VZp3-Zoo-NESnfOCb=w1200|https://lh3.googleusercontent.com/pw/AP1GczOMP-_CY6PpMnFWgdQrNX4t4sAxrGMJeY3qE4YPYicA0Rxvf1iZa4F8JSVhsX1NY-bdPFp0BBq90rv25BBo-eZQQAWi4OgivExNaO_6I3ZKOo6AF4oI=w1200|https://lh3.googleusercontent.com/pw/AP1GczOvPSKtVL_H5o-exT5EupNktyE-MS30vtbZ0y2RRAQ3mrFJSi4WVJpPC1hpjGO5yjZFD4i-_XG3PQr4sA2tyyBThb3jSqkAT27iAwETeHGanOxqokB7=w1200|https://lh3.googleusercontent.com/pw/AP1GczMhkoxKgbzlpX_kewIdo6vhqQ50nrHL8X3WT3MtKtHkcfwD7IAy7d8CiSE8UqKuxmCV-MxFng2JjBRH-9XpcL1rDiAwvnv3jXavbe8_RmdPnMGSAvOm=w1200|https://lh3.googleusercontent.com/pw/AP1GczPTsNXoV2cPC0WF2hlqvBItmZDDkLs408eTtwtx2YhR29EC2mnSrhB5ONY4yHusWX_C-0FgFVWSvBdnL28gx0MH2gH8vPsgniU_lEATDMmmNublEhDd=w1200|https://lh3.googleusercontent.com/pw/AP1GczPgoI4_VocB4-nAMYRF4vmUhScZBRCS4yT4smi7uuiSadPMsjngZ7ZXzxS7LBUU_S1BZCUWJEyrRYtu6M9gj7yZZ6G7wXqcnCZPxlYR-GAulSci5TyX=w1200|https://lh3.googleusercontent.com/pw/AP1GczOsxAa0xsmGDHR9PHDlhlaEhCvfey-xCrCaK4OfMgxOZmKant8UorSoM_CFOxfecbBr_eQuhqjeL7Y_Phj9RY2KNbuSZcPhvjXGQiKHwrnClxsbCgUz=w1200|https://lh3.googleusercontent.com/pw/AP1GczMsN6qUYadeecmyW0dGwTHPfUk0CFRoYOQ5nLp8F2HN-BgtUfl2vEbuF8Kxr_426H6X7I_Fv5gOdj21dXsJR29devae6M4hH3oAMel3Awa-XZxRf4ql=w1200</v>
      </c>
      <c r="AJ333" s="46"/>
      <c r="AK333" s="46"/>
      <c r="AL333" s="46"/>
      <c r="AM333" s="46"/>
      <c r="AN333" s="46"/>
      <c r="AO333" s="46"/>
      <c r="AP333" s="46"/>
      <c r="AQ333" s="46"/>
      <c r="AR333" s="46"/>
      <c r="AS333" s="46"/>
      <c r="AT333" s="46"/>
      <c r="AU333" s="46"/>
      <c r="AV333" s="46"/>
      <c r="AW333" s="46"/>
      <c r="AX333" s="46"/>
      <c r="AY333" s="46"/>
      <c r="AZ333" s="46"/>
      <c r="BA333" s="46"/>
      <c r="BB333" s="46"/>
      <c r="BC333" s="46"/>
      <c r="BD333" s="46"/>
      <c r="BE333" s="46"/>
      <c r="BF333" s="46"/>
      <c r="BG333" s="46"/>
      <c r="BH333" s="46"/>
      <c r="BI333" s="46"/>
      <c r="BJ333" s="46"/>
      <c r="BK333" s="46"/>
      <c r="BL333" s="46"/>
      <c r="BM333" s="46"/>
      <c r="BN333" s="46"/>
      <c r="BO333" s="46"/>
      <c r="BP333" s="46"/>
      <c r="BQ333" s="46"/>
      <c r="BR333" s="46"/>
      <c r="BS333" s="46"/>
      <c r="BT333" s="46"/>
      <c r="BU333" s="46"/>
      <c r="BV333" s="46"/>
      <c r="BW333" s="46"/>
      <c r="BX333" s="46"/>
      <c r="BY333" s="46"/>
      <c r="BZ333" s="46"/>
      <c r="CA333" s="46"/>
      <c r="CB333" s="46"/>
      <c r="CC333" s="46"/>
    </row>
    <row r="334">
      <c r="A334" s="87" t="str">
        <f>IFERROR(__xludf.DUMMYFUNCTION("""COMPUTED_VALUE"""),"1133")</f>
        <v>1133</v>
      </c>
      <c r="B334" s="46" t="str">
        <f>IFERROR(__xludf.DUMMYFUNCTION("""COMPUTED_VALUE"""),"Lote urbano en barrio El Jardín - Oriente")</f>
        <v>Lote urbano en barrio El Jardín - Oriente</v>
      </c>
      <c r="C334" s="46" t="str">
        <f>IFERROR(__xludf.DUMMYFUNCTION("""COMPUTED_VALUE"""),"Lote")</f>
        <v>Lote</v>
      </c>
      <c r="D334" s="46" t="str">
        <f>IFERROR(__xludf.DUMMYFUNCTION("""COMPUTED_VALUE"""),"El Jardín")</f>
        <v>El Jardín</v>
      </c>
      <c r="E334" s="46"/>
      <c r="F334" s="90">
        <f>IFERROR(__xludf.DUMMYFUNCTION("""COMPUTED_VALUE"""),8.5E8)</f>
        <v>850000000</v>
      </c>
      <c r="G334" s="46" t="str">
        <f>IFERROR(__xludf.DUMMYFUNCTION("""COMPUTED_VALUE"""),"$500'000.000 a $1.000'000.000")</f>
        <v>$500'000.000 a $1.000'000.000</v>
      </c>
      <c r="H334" s="46"/>
      <c r="I334" s="46"/>
      <c r="J334" s="46" t="str">
        <f>IFERROR(__xludf.DUMMYFUNCTION("""COMPUTED_VALUE"""),"Oriente")</f>
        <v>Oriente</v>
      </c>
      <c r="K334" s="87" t="str">
        <f>IFERROR(__xludf.DUMMYFUNCTION("""COMPUTED_VALUE"""),"5")</f>
        <v>5</v>
      </c>
      <c r="L334" s="46">
        <f>IFERROR(__xludf.DUMMYFUNCTION("""COMPUTED_VALUE"""),1.0)</f>
        <v>1</v>
      </c>
      <c r="M334" s="46"/>
      <c r="N334" s="46">
        <f>IFERROR(__xludf.DUMMYFUNCTION("""COMPUTED_VALUE"""),1.0)</f>
        <v>1</v>
      </c>
      <c r="O334" s="46">
        <f>IFERROR(__xludf.DUMMYFUNCTION("""COMPUTED_VALUE"""),0.0)</f>
        <v>0</v>
      </c>
      <c r="P334" s="46"/>
      <c r="Q334" s="92">
        <f>IFERROR(__xludf.DUMMYFUNCTION("""COMPUTED_VALUE"""),0.0)</f>
        <v>0</v>
      </c>
      <c r="R334" s="92">
        <f>IFERROR(__xludf.DUMMYFUNCTION("""COMPUTED_VALUE"""),1000.0)</f>
        <v>1000</v>
      </c>
      <c r="S334" s="87" t="str">
        <f>IFERROR(__xludf.DUMMYFUNCTION("""COMPUTED_VALUE""")," ")</f>
        <v> </v>
      </c>
      <c r="T334" s="46" t="str">
        <f>IFERROR(__xludf.DUMMYFUNCTION("""COMPUTED_VALUE"""),"Neiva")</f>
        <v>Neiva</v>
      </c>
      <c r="U334" s="87" t="str">
        <f>IFERROR(__xludf.DUMMYFUNCTION("""COMPUTED_VALUE"""),"2")</f>
        <v>2</v>
      </c>
      <c r="V334" s="46" t="str">
        <f>IFERROR(__xludf.DUMMYFUNCTION("""COMPUTED_VALUE"""),"Medianera")</f>
        <v>Medianera</v>
      </c>
      <c r="W334" s="46"/>
      <c r="X334" s="46">
        <f>IFERROR(__xludf.DUMMYFUNCTION("""COMPUTED_VALUE"""),0.0)</f>
        <v>0</v>
      </c>
      <c r="Y334" s="46" t="str">
        <f>IFERROR(__xludf.DUMMYFUNCTION("""COMPUTED_VALUE"""),"No tiene")</f>
        <v>No tiene</v>
      </c>
      <c r="Z334" s="90"/>
      <c r="AA334" s="33" t="str">
        <f>IFERROR(__xludf.DUMMYFUNCTION("""COMPUTED_VALUE"""),"No aplica")</f>
        <v>No aplica</v>
      </c>
      <c r="AB334" s="96" t="str">
        <f>IFERROR(__xludf.DUMMYFUNCTION("""COMPUTED_VALUE"""),"https://photos.app.goo.gl/poD7FwNEo6o4EAy87")</f>
        <v>https://photos.app.goo.gl/poD7FwNEo6o4EAy87</v>
      </c>
      <c r="AC334" s="46" t="str">
        <f>IFERROR(__xludf.DUMMYFUNCTION("""COMPUTED_VALUE"""),"Lote en el barrio Jardín ubicado en el Oriente de Neiva, con un área de 1.000 metros cuadrados.")</f>
        <v>Lote en el barrio Jardín ubicado en el Oriente de Neiva, con un área de 1.000 metros cuadrados.</v>
      </c>
      <c r="AD334" s="46" t="str">
        <f>IFERROR(__xludf.DUMMYFUNCTION("""COMPUTED_VALUE"""),"Una buena oportunidad de inversión en una zona de alta valorización.")</f>
        <v>Una buena oportunidad de inversión en una zona de alta valorización.</v>
      </c>
      <c r="AE334" s="46"/>
      <c r="AF334" s="46">
        <f>IFERROR(__xludf.DUMMYFUNCTION("""COMPUTED_VALUE"""),0.0)</f>
        <v>0</v>
      </c>
      <c r="AG334" s="46"/>
      <c r="AH334" s="46" t="str">
        <f>IFERROR(__xludf.DUMMYFUNCTION("""COMPUTED_VALUE"""),"Aliado")</f>
        <v>Aliado</v>
      </c>
      <c r="AI334" s="92" t="str">
        <f>IFERROR(__xludf.DUMMYFUNCTION("""COMPUTED_VALUE"""),"https://lh3.googleusercontent.com/pw/AP1GczNah0IJnlKCG1-IoiKRylGsCYZil-lwkTW6Q5FO_lVozO7hVz3A5qurkslT8h1apt-4kvRR0lBsb_FS1cK1zkS0LgDmvsvOtg023KlUIsPjF32DPL7x=w1200|https://lh3.googleusercontent.com/pw/AP1GczNS-2LI5LbQsd8mz92Mq0kMvRg3k5SQUYkTeuDoS3Ca4YvryA"&amp;"iqJLDLsZa5RZDKTnzkI4qw15-vioDkLDLlhUT-AknoF5T7tViTVMomGy073tn3LAp2=w1200|https://lh3.googleusercontent.com/pw/AP1GczODR574u9wscajLYnGeYoFSTaXuwJOvSdR9v-92FNQwTNy8tHy_2I3ngA7i5gzYKIBAwg6oWmzwW-x_1Kl20ugqRBFywNyQLmEXdwmEc8aWaNZhTc_F=w1200|https://lh3.google"&amp;"usercontent.com/pw/AP1GczOmJ8fkazjLXvVE7U1MlBb9BcsdUNBTJZ1ddlBmdgd8BlH7tr0Pc-KpKkXk2sULnwQGf6m-RCCFsPEUPHDHBwFjh4kjAkLIjzYogdt_BLzIKqEazvYo=w1200|https://lh3.googleusercontent.com/pw/AP1GczO29oTh4ZipzMPR1M_MNzfGFpQPpbMseuO0kT44Xcqas8gxZGTpGqpmhaHvpeLS5GdI"&amp;"Ow0fNG4Z4DLOPuzSjEzSfCy1LyHvfNEQg0RWt9zQlR5Mh4_v=w1200")</f>
        <v>https://lh3.googleusercontent.com/pw/AP1GczNah0IJnlKCG1-IoiKRylGsCYZil-lwkTW6Q5FO_lVozO7hVz3A5qurkslT8h1apt-4kvRR0lBsb_FS1cK1zkS0LgDmvsvOtg023KlUIsPjF32DPL7x=w1200|https://lh3.googleusercontent.com/pw/AP1GczNS-2LI5LbQsd8mz92Mq0kMvRg3k5SQUYkTeuDoS3Ca4YvryAiqJLDLsZa5RZDKTnzkI4qw15-vioDkLDLlhUT-AknoF5T7tViTVMomGy073tn3LAp2=w1200|https://lh3.googleusercontent.com/pw/AP1GczODR574u9wscajLYnGeYoFSTaXuwJOvSdR9v-92FNQwTNy8tHy_2I3ngA7i5gzYKIBAwg6oWmzwW-x_1Kl20ugqRBFywNyQLmEXdwmEc8aWaNZhTc_F=w1200|https://lh3.googleusercontent.com/pw/AP1GczOmJ8fkazjLXvVE7U1MlBb9BcsdUNBTJZ1ddlBmdgd8BlH7tr0Pc-KpKkXk2sULnwQGf6m-RCCFsPEUPHDHBwFjh4kjAkLIjzYogdt_BLzIKqEazvYo=w1200|https://lh3.googleusercontent.com/pw/AP1GczO29oTh4ZipzMPR1M_MNzfGFpQPpbMseuO0kT44Xcqas8gxZGTpGqpmhaHvpeLS5GdIOw0fNG4Z4DLOPuzSjEzSfCy1LyHvfNEQg0RWt9zQlR5Mh4_v=w1200</v>
      </c>
      <c r="AJ334" s="46"/>
      <c r="AK334" s="46"/>
      <c r="AL334" s="46"/>
      <c r="AM334" s="46"/>
      <c r="AN334" s="46"/>
      <c r="AO334" s="46"/>
      <c r="AP334" s="46"/>
      <c r="AQ334" s="46"/>
      <c r="AR334" s="46"/>
      <c r="AS334" s="46"/>
      <c r="AT334" s="46"/>
      <c r="AU334" s="46"/>
      <c r="AV334" s="46"/>
      <c r="AW334" s="46"/>
      <c r="AX334" s="46"/>
      <c r="AY334" s="46"/>
      <c r="AZ334" s="46"/>
      <c r="BA334" s="46"/>
      <c r="BB334" s="46"/>
      <c r="BC334" s="46"/>
      <c r="BD334" s="46"/>
      <c r="BE334" s="46"/>
      <c r="BF334" s="46"/>
      <c r="BG334" s="46"/>
      <c r="BH334" s="46"/>
      <c r="BI334" s="46"/>
      <c r="BJ334" s="46"/>
      <c r="BK334" s="46"/>
      <c r="BL334" s="46"/>
      <c r="BM334" s="46"/>
      <c r="BN334" s="46"/>
      <c r="BO334" s="46"/>
      <c r="BP334" s="46"/>
      <c r="BQ334" s="46"/>
      <c r="BR334" s="46"/>
      <c r="BS334" s="46"/>
      <c r="BT334" s="46"/>
      <c r="BU334" s="46"/>
      <c r="BV334" s="46"/>
      <c r="BW334" s="46"/>
      <c r="BX334" s="46"/>
      <c r="BY334" s="46"/>
      <c r="BZ334" s="46"/>
      <c r="CA334" s="46"/>
      <c r="CB334" s="46"/>
      <c r="CC334" s="46"/>
    </row>
    <row r="335">
      <c r="A335" s="87" t="str">
        <f>IFERROR(__xludf.DUMMYFUNCTION("""COMPUTED_VALUE"""),"1338")</f>
        <v>1338</v>
      </c>
      <c r="B335" s="46" t="str">
        <f>IFERROR(__xludf.DUMMYFUNCTION("""COMPUTED_VALUE"""),"Casa en conjunto Condominio Portal del Campo - Oriente")</f>
        <v>Casa en conjunto Condominio Portal del Campo - Oriente</v>
      </c>
      <c r="C335" s="46" t="str">
        <f>IFERROR(__xludf.DUMMYFUNCTION("""COMPUTED_VALUE"""),"Casa en conjunto")</f>
        <v>Casa en conjunto</v>
      </c>
      <c r="D335" s="46" t="str">
        <f>IFERROR(__xludf.DUMMYFUNCTION("""COMPUTED_VALUE"""),"Ipanema")</f>
        <v>Ipanema</v>
      </c>
      <c r="E335" s="46"/>
      <c r="F335" s="90">
        <f>IFERROR(__xludf.DUMMYFUNCTION("""COMPUTED_VALUE"""),8.35E8)</f>
        <v>835000000</v>
      </c>
      <c r="G335" s="46" t="str">
        <f>IFERROR(__xludf.DUMMYFUNCTION("""COMPUTED_VALUE"""),"$500'000.000 a $1.000'000.000")</f>
        <v>$500'000.000 a $1.000'000.000</v>
      </c>
      <c r="H335" s="46"/>
      <c r="I335" s="46"/>
      <c r="J335" s="46" t="str">
        <f>IFERROR(__xludf.DUMMYFUNCTION("""COMPUTED_VALUE"""),"Oriente")</f>
        <v>Oriente</v>
      </c>
      <c r="K335" s="87" t="str">
        <f>IFERROR(__xludf.DUMMYFUNCTION("""COMPUTED_VALUE"""),"7")</f>
        <v>7</v>
      </c>
      <c r="L335" s="46">
        <f>IFERROR(__xludf.DUMMYFUNCTION("""COMPUTED_VALUE"""),3.0)</f>
        <v>3</v>
      </c>
      <c r="M335" s="46"/>
      <c r="N335" s="46">
        <f>IFERROR(__xludf.DUMMYFUNCTION("""COMPUTED_VALUE"""),3.0)</f>
        <v>3</v>
      </c>
      <c r="O335" s="46">
        <f>IFERROR(__xludf.DUMMYFUNCTION("""COMPUTED_VALUE"""),2.0)</f>
        <v>2</v>
      </c>
      <c r="P335" s="46">
        <f>IFERROR(__xludf.DUMMYFUNCTION("""COMPUTED_VALUE"""),1.0)</f>
        <v>1</v>
      </c>
      <c r="Q335" s="92">
        <f>IFERROR(__xludf.DUMMYFUNCTION("""COMPUTED_VALUE"""),200.0)</f>
        <v>200</v>
      </c>
      <c r="R335" s="92">
        <f>IFERROR(__xludf.DUMMYFUNCTION("""COMPUTED_VALUE"""),220.0)</f>
        <v>220</v>
      </c>
      <c r="S335" s="87" t="str">
        <f>IFERROR(__xludf.DUMMYFUNCTION("""COMPUTED_VALUE""")," ")</f>
        <v> </v>
      </c>
      <c r="T335" s="46" t="str">
        <f>IFERROR(__xludf.DUMMYFUNCTION("""COMPUTED_VALUE"""),"Neiva")</f>
        <v>Neiva</v>
      </c>
      <c r="U335" s="87" t="str">
        <f>IFERROR(__xludf.DUMMYFUNCTION("""COMPUTED_VALUE"""),"4")</f>
        <v>4</v>
      </c>
      <c r="V335" s="46" t="str">
        <f>IFERROR(__xludf.DUMMYFUNCTION("""COMPUTED_VALUE"""),"Medianera")</f>
        <v>Medianera</v>
      </c>
      <c r="W335" s="46"/>
      <c r="X335" s="46">
        <f>IFERROR(__xludf.DUMMYFUNCTION("""COMPUTED_VALUE"""),3.0)</f>
        <v>3</v>
      </c>
      <c r="Y335" s="46" t="str">
        <f>IFERROR(__xludf.DUMMYFUNCTION("""COMPUTED_VALUE"""),"Social")</f>
        <v>Social</v>
      </c>
      <c r="Z335" s="90">
        <f>IFERROR(__xludf.DUMMYFUNCTION("""COMPUTED_VALUE"""),685000.0)</f>
        <v>685000</v>
      </c>
      <c r="AA335" s="33" t="str">
        <f>IFERROR(__xludf.DUMMYFUNCTION("""COMPUTED_VALUE"""),"No aplica")</f>
        <v>No aplica</v>
      </c>
      <c r="AB335" s="96" t="str">
        <f>IFERROR(__xludf.DUMMYFUNCTION("""COMPUTED_VALUE"""),"https://photos.app.goo.gl/Fy3PtKv7NhV62qa38")</f>
        <v>https://photos.app.goo.gl/Fy3PtKv7NhV62qa38</v>
      </c>
      <c r="AC335" s="46" t="str">
        <f>IFERROR(__xludf.DUMMYFUNCTION("""COMPUTED_VALUE"""),"Descripción: cuenta con tres (3) habitaciones y closet cada una de ellas, la habitación principal con baño privado, lavandería, sala, comedor, cocina integral y baño social. Amplios.")</f>
        <v>Descripción: cuenta con tres (3) habitaciones y closet cada una de ellas, la habitación principal con baño privado, lavandería, sala, comedor, cocina integral y baño social. Amplios.</v>
      </c>
      <c r="AD335" s="46" t="str">
        <f>IFERROR(__xludf.DUMMYFUNCTION("""COMPUTED_VALUE"""),"Hermosa casa de una planta ubicada en el Condominio Portal del Campo. El condominio tiene vigilancia privada las 24 horas, piscina, amplias zonas verdes, cancha de basquetbol, salón comunal.")</f>
        <v>Hermosa casa de una planta ubicada en el Condominio Portal del Campo. El condominio tiene vigilancia privada las 24 horas, piscina, amplias zonas verdes, cancha de basquetbol, salón comunal.</v>
      </c>
      <c r="AE335" s="46"/>
      <c r="AF335" s="46" t="str">
        <f>IFERROR(__xludf.DUMMYFUNCTION("""COMPUTED_VALUE"""),"integral")</f>
        <v>integral</v>
      </c>
      <c r="AG335" s="46"/>
      <c r="AH335" s="46" t="str">
        <f>IFERROR(__xludf.DUMMYFUNCTION("""COMPUTED_VALUE"""),"Aliado")</f>
        <v>Aliado</v>
      </c>
      <c r="AI335" s="92" t="str">
        <f>IFERROR(__xludf.DUMMYFUNCTION("""COMPUTED_VALUE"""),"https://lh3.googleusercontent.com/pw/AP1GczO0TxELF1xzsrEIsuPzrAkA5yGZdowjptTRJ1Og_YKRFe8DKC8xJrrGLvztSFRWCeUQuVvq4aTDTmDPypXdINMQt-DjjudPc0vw0CPOJJUxpP8iODN0=w1200|https://lh3.googleusercontent.com/pw/AP1GczO1fR5xas-NbyxhUOyk-LtnjFyi6SMENxnUkHvwS0unIFsIoN"&amp;"oRleEg1h50faxUc0k4uOS3sQ1hKV-uwtMyGlTGMNqo3ILBmuy6TZRwq2gyn9H48NLI=w1200|https://lh3.googleusercontent.com/pw/AP1GczOTafhgX41RPGycqL2bWEOxgiwQY-0ioogk8SMeO4X78M-XMjT2zVEV4qw8nHVD8aFHImc0RgXM6OsjyGYmBEW0lvbJGn6KaHEaQH20RDngDoLzCy95=w1200|https://lh3.google"&amp;"usercontent.com/pw/AP1GczOu92Zb32osyOE68Iao4ddg1Ziv9EhnF01WWSegrPf4DfAsK0M-F_CTXdEo_cHZQPboR8X4Xt6j5QOQFjF2ijsiWDqm7jrJBhfvFF-JQYc-Uz5sqq7j=w1200|https://lh3.googleusercontent.com/pw/AP1GczPNq89A86R_3Jsldlo-AeJvsdoRro3hEx9uVBoBcj5Yren6Mv438qXq70c-b6VhYG3V"&amp;"dkzqLsajsCDIPjvhjzZgquRmLoP9x4--m-rtq0Ll1606jAhJ=w1200|https://lh3.googleusercontent.com/pw/AP1GczNWpIETwM4pGfJaxD8g3vLcY9Fnpp3oXvebSoBKkp1sF6io_WpWGOYIPPTPbe1-BRPa1mg7yoDMRTGXkPFaRSbC__XRF83DSMX6VE5xJ_xGLAfHJyIr=w1200|https://lh3.googleusercontent.com/pw"&amp;"/AP1GczM7mfqN8LTJeyQ8usYemgO2V8lLz8l4PjFeZFHQlAcuXcC0lExjuDQ_trPpNyCEx95yRk0qWEbNc4_-zRruhdhtXbB6uXS6OiWi60-QymHKiiKyPmyf=w1200|https://lh3.googleusercontent.com/pw/AP1GczMkacjAZIu4SejJzOLCrjlQy0Kk-yBjnONSj4clEmddJGq9014v5pkOi1TS2OV5eIrSKvXpKNpVREU3A7EhQh"&amp;"wlfAaFKP5HbGOVaKdEUnd4LRxX1InV=w1200|https://lh3.googleusercontent.com/pw/AP1GczOZmaVfsGp7en71zKY1ANZlLeBbNk5RGCiFRfSCZxrMEFkH0WLEFa4Ovj-30GonrSJa9K59clLoA6Vieqg5Dy95e2zroYmMVOeJJwDtbSKqzNCXMkP9=w1200|https://lh3.googleusercontent.com/pw/AP1GczOxx2T7nNpIF"&amp;"bhsXE8tSyxQJw5kreZOEfMchAErIsaLQfJVKD7BHd9QyFsqT71oA7LynP-ZHcLDicU44n7Ha0CxZQ3aLprSi40Sc16zvxFmlq3E1QbF=w1200|https://lh3.googleusercontent.com/pw/AP1GczNBypkgQV5arPfho-EPQIorwHCEgYDn9Yvmpu0XyFmjXlJRF_C8wBThqZoTYvbLfIz4vWlq7xwDhrP8o1ub7wPvHH0g-mWgaJ2yRcji"&amp;"IruJZ0YuBB_b=w1200|https://lh3.googleusercontent.com/pw/AP1GczPyC721n_hCFp7HOgoq3iJf6uoHZ35lceRFm5gzRDGU-L4D-JBSGhijDOY_towaoD1eUepc4jc2TP8_q7ANhESPBQQ3cQIsN4DbuLTl5B52qGpbO-L2=w1200|https://lh3.googleusercontent.com/pw/AP1GczNe4FIhkr7dQxWxIMxEFQZ8THkWMi-"&amp;"3C5jOUElnZFxPaJj5TNYatxwvQLPHR2OvXXt_k9MVqQgqqqKa5inyd0vhS_X_C3AmXnZUii3-osz3GRulcKPu=w1200|https://lh3.googleusercontent.com/pw/AP1GczNXnyYBfeqe6yc4vFr9Lw3npUHMXzfamd9YH6Wc2nWjhn2ybp715gsEdHF5mSiuDiIWeZzmhhMVujaPiqld1z5SP5fXOH_InGldct2A5n8NBLdEYu9B=w1200"&amp;"|https://lh3.googleusercontent.com/pw/AP1GczOG8LDlf_OCQqHUVHYYSgx-_ZJjqdOjCAsFRoLYy7yihRefmqGFetDA3P6oYnb1tghVhjAXq9MKCO84D7DMmG-4JRHDfHN38Kcx_OVBu8vnXmsjtE5n=w1200|https://lh3.googleusercontent.com/pw/AP1GczMkzllNiK91kwUF4_Se8DRV6Mw2puPY55IZkjU9ygnjYdDkB"&amp;"EToy4NlLLBvPU6UHaDSBINcqX6AUKPrwG2f5-gpKUIa3TJdtWszIK4sjiUxUrn52tDd=w1200")</f>
        <v>https://lh3.googleusercontent.com/pw/AP1GczO0TxELF1xzsrEIsuPzrAkA5yGZdowjptTRJ1Og_YKRFe8DKC8xJrrGLvztSFRWCeUQuVvq4aTDTmDPypXdINMQt-DjjudPc0vw0CPOJJUxpP8iODN0=w1200|https://lh3.googleusercontent.com/pw/AP1GczO1fR5xas-NbyxhUOyk-LtnjFyi6SMENxnUkHvwS0unIFsIoNoRleEg1h50faxUc0k4uOS3sQ1hKV-uwtMyGlTGMNqo3ILBmuy6TZRwq2gyn9H48NLI=w1200|https://lh3.googleusercontent.com/pw/AP1GczOTafhgX41RPGycqL2bWEOxgiwQY-0ioogk8SMeO4X78M-XMjT2zVEV4qw8nHVD8aFHImc0RgXM6OsjyGYmBEW0lvbJGn6KaHEaQH20RDngDoLzCy95=w1200|https://lh3.googleusercontent.com/pw/AP1GczOu92Zb32osyOE68Iao4ddg1Ziv9EhnF01WWSegrPf4DfAsK0M-F_CTXdEo_cHZQPboR8X4Xt6j5QOQFjF2ijsiWDqm7jrJBhfvFF-JQYc-Uz5sqq7j=w1200|https://lh3.googleusercontent.com/pw/AP1GczPNq89A86R_3Jsldlo-AeJvsdoRro3hEx9uVBoBcj5Yren6Mv438qXq70c-b6VhYG3VdkzqLsajsCDIPjvhjzZgquRmLoP9x4--m-rtq0Ll1606jAhJ=w1200|https://lh3.googleusercontent.com/pw/AP1GczNWpIETwM4pGfJaxD8g3vLcY9Fnpp3oXvebSoBKkp1sF6io_WpWGOYIPPTPbe1-BRPa1mg7yoDMRTGXkPFaRSbC__XRF83DSMX6VE5xJ_xGLAfHJyIr=w1200|https://lh3.googleusercontent.com/pw/AP1GczM7mfqN8LTJeyQ8usYemgO2V8lLz8l4PjFeZFHQlAcuXcC0lExjuDQ_trPpNyCEx95yRk0qWEbNc4_-zRruhdhtXbB6uXS6OiWi60-QymHKiiKyPmyf=w1200|https://lh3.googleusercontent.com/pw/AP1GczMkacjAZIu4SejJzOLCrjlQy0Kk-yBjnONSj4clEmddJGq9014v5pkOi1TS2OV5eIrSKvXpKNpVREU3A7EhQhwlfAaFKP5HbGOVaKdEUnd4LRxX1InV=w1200|https://lh3.googleusercontent.com/pw/AP1GczOZmaVfsGp7en71zKY1ANZlLeBbNk5RGCiFRfSCZxrMEFkH0WLEFa4Ovj-30GonrSJa9K59clLoA6Vieqg5Dy95e2zroYmMVOeJJwDtbSKqzNCXMkP9=w1200|https://lh3.googleusercontent.com/pw/AP1GczOxx2T7nNpIFbhsXE8tSyxQJw5kreZOEfMchAErIsaLQfJVKD7BHd9QyFsqT71oA7LynP-ZHcLDicU44n7Ha0CxZQ3aLprSi40Sc16zvxFmlq3E1QbF=w1200|https://lh3.googleusercontent.com/pw/AP1GczNBypkgQV5arPfho-EPQIorwHCEgYDn9Yvmpu0XyFmjXlJRF_C8wBThqZoTYvbLfIz4vWlq7xwDhrP8o1ub7wPvHH0g-mWgaJ2yRcjiIruJZ0YuBB_b=w1200|https://lh3.googleusercontent.com/pw/AP1GczPyC721n_hCFp7HOgoq3iJf6uoHZ35lceRFm5gzRDGU-L4D-JBSGhijDOY_towaoD1eUepc4jc2TP8_q7ANhESPBQQ3cQIsN4DbuLTl5B52qGpbO-L2=w1200|https://lh3.googleusercontent.com/pw/AP1GczNe4FIhkr7dQxWxIMxEFQZ8THkWMi-3C5jOUElnZFxPaJj5TNYatxwvQLPHR2OvXXt_k9MVqQgqqqKa5inyd0vhS_X_C3AmXnZUii3-osz3GRulcKPu=w1200|https://lh3.googleusercontent.com/pw/AP1GczNXnyYBfeqe6yc4vFr9Lw3npUHMXzfamd9YH6Wc2nWjhn2ybp715gsEdHF5mSiuDiIWeZzmhhMVujaPiqld1z5SP5fXOH_InGldct2A5n8NBLdEYu9B=w1200|https://lh3.googleusercontent.com/pw/AP1GczOG8LDlf_OCQqHUVHYYSgx-_ZJjqdOjCAsFRoLYy7yihRefmqGFetDA3P6oYnb1tghVhjAXq9MKCO84D7DMmG-4JRHDfHN38Kcx_OVBu8vnXmsjtE5n=w1200|https://lh3.googleusercontent.com/pw/AP1GczMkzllNiK91kwUF4_Se8DRV6Mw2puPY55IZkjU9ygnjYdDkBEToy4NlLLBvPU6UHaDSBINcqX6AUKPrwG2f5-gpKUIa3TJdtWszIK4sjiUxUrn52tDd=w1200</v>
      </c>
      <c r="AJ335" s="46"/>
      <c r="AK335" s="46"/>
      <c r="AL335" s="46"/>
      <c r="AM335" s="46"/>
      <c r="AN335" s="46"/>
      <c r="AO335" s="46"/>
      <c r="AP335" s="46"/>
      <c r="AQ335" s="46"/>
      <c r="AR335" s="46"/>
      <c r="AS335" s="46"/>
      <c r="AT335" s="46"/>
      <c r="AU335" s="46"/>
      <c r="AV335" s="46"/>
      <c r="AW335" s="46"/>
      <c r="AX335" s="46"/>
      <c r="AY335" s="46"/>
      <c r="AZ335" s="46"/>
      <c r="BA335" s="46"/>
      <c r="BB335" s="46"/>
      <c r="BC335" s="46"/>
      <c r="BD335" s="46"/>
      <c r="BE335" s="46"/>
      <c r="BF335" s="46"/>
      <c r="BG335" s="46"/>
      <c r="BH335" s="46"/>
      <c r="BI335" s="46"/>
      <c r="BJ335" s="46"/>
      <c r="BK335" s="46"/>
      <c r="BL335" s="46"/>
      <c r="BM335" s="46"/>
      <c r="BN335" s="46"/>
      <c r="BO335" s="46"/>
      <c r="BP335" s="46"/>
      <c r="BQ335" s="46"/>
      <c r="BR335" s="46"/>
      <c r="BS335" s="46"/>
      <c r="BT335" s="46"/>
      <c r="BU335" s="46"/>
      <c r="BV335" s="46"/>
      <c r="BW335" s="46"/>
      <c r="BX335" s="46"/>
      <c r="BY335" s="46"/>
      <c r="BZ335" s="46"/>
      <c r="CA335" s="46"/>
      <c r="CB335" s="46"/>
      <c r="CC335" s="46"/>
    </row>
    <row r="336">
      <c r="A336" s="87" t="str">
        <f>IFERROR(__xludf.DUMMYFUNCTION("""COMPUTED_VALUE"""),"1327")</f>
        <v>1327</v>
      </c>
      <c r="B336" s="46" t="str">
        <f>IFERROR(__xludf.DUMMYFUNCTION("""COMPUTED_VALUE"""),"Lote en conjunto Condominio Reserva de San José - Oriente")</f>
        <v>Lote en conjunto Condominio Reserva de San José - Oriente</v>
      </c>
      <c r="C336" s="46" t="str">
        <f>IFERROR(__xludf.DUMMYFUNCTION("""COMPUTED_VALUE"""),"Lote en conjunto")</f>
        <v>Lote en conjunto</v>
      </c>
      <c r="D336" s="46"/>
      <c r="E336" s="46"/>
      <c r="F336" s="90">
        <f>IFERROR(__xludf.DUMMYFUNCTION("""COMPUTED_VALUE"""),8.31E8)</f>
        <v>831000000</v>
      </c>
      <c r="G336" s="46" t="str">
        <f>IFERROR(__xludf.DUMMYFUNCTION("""COMPUTED_VALUE"""),"$500'000.000 a $1.000'000.000")</f>
        <v>$500'000.000 a $1.000'000.000</v>
      </c>
      <c r="H336" s="46"/>
      <c r="I336" s="46"/>
      <c r="J336" s="46" t="str">
        <f>IFERROR(__xludf.DUMMYFUNCTION("""COMPUTED_VALUE"""),"Oriente")</f>
        <v>Oriente</v>
      </c>
      <c r="K336" s="87" t="str">
        <f>IFERROR(__xludf.DUMMYFUNCTION("""COMPUTED_VALUE"""),"7")</f>
        <v>7</v>
      </c>
      <c r="L336" s="46">
        <f>IFERROR(__xludf.DUMMYFUNCTION("""COMPUTED_VALUE"""),0.0)</f>
        <v>0</v>
      </c>
      <c r="M336" s="46"/>
      <c r="N336" s="46">
        <f>IFERROR(__xludf.DUMMYFUNCTION("""COMPUTED_VALUE"""),0.0)</f>
        <v>0</v>
      </c>
      <c r="O336" s="46">
        <f>IFERROR(__xludf.DUMMYFUNCTION("""COMPUTED_VALUE"""),0.0)</f>
        <v>0</v>
      </c>
      <c r="P336" s="46">
        <f>IFERROR(__xludf.DUMMYFUNCTION("""COMPUTED_VALUE"""),0.0)</f>
        <v>0</v>
      </c>
      <c r="Q336" s="92">
        <f>IFERROR(__xludf.DUMMYFUNCTION("""COMPUTED_VALUE"""),0.0)</f>
        <v>0</v>
      </c>
      <c r="R336" s="92">
        <f>IFERROR(__xludf.DUMMYFUNCTION("""COMPUTED_VALUE"""),755.0)</f>
        <v>755</v>
      </c>
      <c r="S336" s="87" t="str">
        <f>IFERROR(__xludf.DUMMYFUNCTION("""COMPUTED_VALUE""")," ")</f>
        <v> </v>
      </c>
      <c r="T336" s="46" t="str">
        <f>IFERROR(__xludf.DUMMYFUNCTION("""COMPUTED_VALUE"""),"Neiva")</f>
        <v>Neiva</v>
      </c>
      <c r="U336" s="87"/>
      <c r="V336" s="46" t="str">
        <f>IFERROR(__xludf.DUMMYFUNCTION("""COMPUTED_VALUE"""),"Medianera")</f>
        <v>Medianera</v>
      </c>
      <c r="W336" s="46"/>
      <c r="X336" s="46">
        <f>IFERROR(__xludf.DUMMYFUNCTION("""COMPUTED_VALUE"""),0.0)</f>
        <v>0</v>
      </c>
      <c r="Y336" s="46" t="str">
        <f>IFERROR(__xludf.DUMMYFUNCTION("""COMPUTED_VALUE"""),"Social")</f>
        <v>Social</v>
      </c>
      <c r="Z336" s="90"/>
      <c r="AA336" s="33" t="str">
        <f>IFERROR(__xludf.DUMMYFUNCTION("""COMPUTED_VALUE"""),"No aplica")</f>
        <v>No aplica</v>
      </c>
      <c r="AB336" s="96" t="str">
        <f>IFERROR(__xludf.DUMMYFUNCTION("""COMPUTED_VALUE"""),"https://photos.app.goo.gl/mc6LBnRPgok8F19D6")</f>
        <v>https://photos.app.goo.gl/mc6LBnRPgok8F19D6</v>
      </c>
      <c r="AC336" s="46" t="str">
        <f>IFERROR(__xludf.DUMMYFUNCTION("""COMPUTED_VALUE"""),"El conjunto cuenta con cómodas vías de acceso y agradables zonas sociales y zonas verdes, ideales para el disfrute y la tranquilidad de toda la familia. Su estratégica ubicación le permite estar cerca de centros comerciales, supermercados, zona bancaria y"&amp;" clínicas, ofreciendo comodidad y calidad de vida en un entorno seguro y exclusivo. Una excelente opción para construir la casa de sus sueños o realizar una inversión con gran proyección.")</f>
        <v>El conjunto cuenta con cómodas vías de acceso y agradables zonas sociales y zonas verdes, ideales para el disfrute y la tranquilidad de toda la familia. Su estratégica ubicación le permite estar cerca de centros comerciales, supermercados, zona bancaria y clínicas, ofreciendo comodidad y calidad de vida en un entorno seguro y exclusivo. Una excelente opción para construir la casa de sus sueños o realizar una inversión con gran proyección.</v>
      </c>
      <c r="AD336" s="46" t="str">
        <f>IFERROR(__xludf.DUMMYFUNCTION("""COMPUTED_VALUE"""),"Excelente oportunidad de inversión en el exclusivo Condominio Reserva de San José, ubicado en un sector residencial sub-urbano de alta valorización en la zona oriente de la ciudad.")</f>
        <v>Excelente oportunidad de inversión en el exclusivo Condominio Reserva de San José, ubicado en un sector residencial sub-urbano de alta valorización en la zona oriente de la ciudad.</v>
      </c>
      <c r="AE336" s="46"/>
      <c r="AF336" s="46">
        <f>IFERROR(__xludf.DUMMYFUNCTION("""COMPUTED_VALUE"""),0.0)</f>
        <v>0</v>
      </c>
      <c r="AG336" s="46"/>
      <c r="AH336" s="46" t="str">
        <f>IFERROR(__xludf.DUMMYFUNCTION("""COMPUTED_VALUE"""),"Aliado")</f>
        <v>Aliado</v>
      </c>
      <c r="AI336" s="92" t="str">
        <f>IFERROR(__xludf.DUMMYFUNCTION("""COMPUTED_VALUE"""),"https://lh3.googleusercontent.com/pw/AP1GczMSa2z_vxO5Vjh0hexpRCqxctwiFFw7VoMd21Hho-XTKCZSzjlDiLbfMghHpfftsFnuYwN03fvmakXtYKpSmvqum4XfodIp9mkGRqnJ1898iKelc4ly=w1200|https://lh3.googleusercontent.com/pw/AP1GczNwBGhSW7VsLy8yQWV_3YKvhwelnBCgezqxU5e6Qc5q1k7n3Z"&amp;"QNGjUsJ1SyqARpCzYSvd8D5ozWCtRBdt0_DqTVyZq9HnwUWsxbTblXI8__C1-WNDxD=w1200|https://lh3.googleusercontent.com/pw/AP1GczPmYEHZo3VqwezrcZqXlLHpOPhX4ZbmBPZ3LeYdx_sO0NrQSygY3q25e5A1rCy-VrlaSDiTgGCzmTQrjTQsqwwSb0pBo7Fi7dgMyoeftbKYTifv_95R=w1200|https://lh3.google"&amp;"usercontent.com/pw/AP1GczOjVX7eEjZ80FPMZWyyz7AsrQkqD26bsR5Irbkss5BUmhHUaO41EwNeLb9ijJw1NHDS_nTpVIdCQhD_v2FUeMExDbNcqNl_0d9Ap5flP8HhAO8Lgqcj=w1200|https://lh3.googleusercontent.com/pw/AP1GczPc9n4WrliODAJIslM0fN5Gbd3MgRfAQw-4sU8RgHngbgWbu1NEV_vD3uy-S94oHVPi"&amp;"eZebXthCPWA-Yw2G9TmMCeY-uKRS7Gs0Ep7fdhxKwigKqZ2N=w1200|https://lh3.googleusercontent.com/pw/AP1GczP2__M3S_IAVkzPfDIjIb1dmQzubfNGDa9KWdedpdNZZFXClnuFl5OBsSQ69xrkS0quqBUV94tvaGVNq3zVQlYpWSjQEycdvHsYrLis_vBmM-6TFofx=w1200|https://lh3.googleusercontent.com/pw"&amp;"/AP1GczOsSCCjkmyd_X0-1gGpSw_ug0uTg9B56FVGSE6Go6LcfJGm4G0KpgPKqC0XKz1JaHWoW0l6T62UWKbYeeRBOwxVhUTAnh7CZJ_WWK8LsmnKHYOnEkJ7=w1200|https://lh3.googleusercontent.com/pw/AP1GczO-du2eNBoveHnV2VJhROOmpnLtYkqFfSegZ6yhDTmZQNSIBngZtde_t5TldKt96Z_D9RzlZKL8Jb1t9ZwtJy"&amp;"FhHIO7xzEnESIkZDXtVbptA9IFooqT=w1200|https://lh3.googleusercontent.com/pw/AP1GczNDTTWUxGyQMhxpeP58Jfs7x0c_DL-XgSVURnaOufC99OGtU0EiV7Q5s-ycaFuYz9Ig4vjbdaj0_yFSGPFwSIftaJbL3C7b_cvJbD3tcChB1A2mJVjn=w1200|https://lh3.googleusercontent.com/pw/AP1GczNLLDA7Fo5cZ"&amp;"Z7PwS1axuSQsJPtdqOsNkcjkQifANw8WBL9NQFds_wNVXiwcbHbqBCBHzS0YQSyhrBJEcfxG20RAYYUbIRNoMmCpgQfMsnjCdoKDmU8=w1200|https://lh3.googleusercontent.com/pw/AP1GczOMMQVyVc1fbaLrdRua7YDRPcYZ4u9iG7LBuP04swLlNG2cRoLogxzhd0eEyZaRnAU_VLQakyf4QSMyZolR-tJR8Bg935VvmKY9mLN3"&amp;"q9kVcLWgZu31=w1200|https://lh3.googleusercontent.com/pw/AP1GczO4LLmuSSoULJfRKvaKg1xf3Vmf-9Lcv_WG5L2m1-JYqkZ8zoFb0oSkMl8eTAqpFHBh03kKFkcapJYCNp3SJYi18EToR993uLTUFPux_lA2ejwU03ua=w1200|https://lh3.googleusercontent.com/pw/AP1GczPF0k9YE_4AMLO5sa3eCGD-hjC8ZRg"&amp;"QG2JzZ3iEa71FOF19SsdFFWRDpTt_zWHsb5EW9NeNqLcbKdx-Wh2SpBOSFKwnM_ezTtJQ8te1C3oBlIHmOyhn=w1200|https://lh3.googleusercontent.com/pw/AP1GczOnhbGYWBB4Z8UP6TnM1Ghx2_eaMyrryWEKY_jfi19Gf-KCrjwXmvgdxYDp3q9SS5S9hGJQZA5tWWxmVijCe6tIlhJbyaQMS_3RrD4YuAib9M8eIrBZ=w1200"&amp;"|https://lh3.googleusercontent.com/pw/AP1GczPqEoGv0WCR0CTzJkEqMgC6xgNgVrena5s1ZaOWlOiuyjn6_U5CWUuLHIk79NNykq_omnb2IWacYu6-9i2-AHgbSxnWbNAPrdMTKwxTg3cVX9UBt3Dg=w1200|https://lh3.googleusercontent.com/pw/AP1GczNwDkXJLZtG5Vnu6gLNNDGLyn1tAuHZifV4IzcTmCrung5t5"&amp;"lKHDjO-xbfF-NNu40PAFZx-5b4s77-oMKLY44KBABz_ZJ1PyUNGspjOCdfQTtbdmuu8=w1200|https://lh3.googleusercontent.com/pw/AP1GczOKxtT4lEJqADf0MYkth71j8Or7rzq-BfWXCaq0Xa7wZbTBFakJTg_XFdEs8nYuyECO1v-oN02jXIcN5cF9NZ0NeXmuFabTOKr5ftqWWR0GD7B_0xqo=w1200|https://lh3.googl"&amp;"eusercontent.com/pw/AP1GczOJZe5hZREa6J7q8ttcUbyjHFd0YF__r1ukSiBocsB-yp4s7NCeClfXR4rIp1JC3k8lQ8rPeZLdcGQG4Ufb1bqoEDlrc39LOOfLwm3tFmjabVVoNURu=w1200|https://lh3.googleusercontent.com/pw/AP1GczNWCQaQFSTxzswo3kXFisnfKUEvsuFCkwCxdURJzQB316YUW4vGYtEzfh9mOXBJGSv"&amp;"preYnwcZbn6vdBgJcXWcrr0QKKZ2ghTqCI64V2FTciECJRhsL=w1200|https://lh3.googleusercontent.com/pw/AP1GczN5em9ejAUMLhucVXjVEkK5lQbc35TiDdGXYZ9vH3AA6Csx6XdkudJkBeOLxZ6RkdSmYFQ0oHC6XqVFB895VBbzFez_zPXlYv4JH_H2F5YcNUVt5DAR=w1200")</f>
        <v>https://lh3.googleusercontent.com/pw/AP1GczMSa2z_vxO5Vjh0hexpRCqxctwiFFw7VoMd21Hho-XTKCZSzjlDiLbfMghHpfftsFnuYwN03fvmakXtYKpSmvqum4XfodIp9mkGRqnJ1898iKelc4ly=w1200|https://lh3.googleusercontent.com/pw/AP1GczNwBGhSW7VsLy8yQWV_3YKvhwelnBCgezqxU5e6Qc5q1k7n3ZQNGjUsJ1SyqARpCzYSvd8D5ozWCtRBdt0_DqTVyZq9HnwUWsxbTblXI8__C1-WNDxD=w1200|https://lh3.googleusercontent.com/pw/AP1GczPmYEHZo3VqwezrcZqXlLHpOPhX4ZbmBPZ3LeYdx_sO0NrQSygY3q25e5A1rCy-VrlaSDiTgGCzmTQrjTQsqwwSb0pBo7Fi7dgMyoeftbKYTifv_95R=w1200|https://lh3.googleusercontent.com/pw/AP1GczOjVX7eEjZ80FPMZWyyz7AsrQkqD26bsR5Irbkss5BUmhHUaO41EwNeLb9ijJw1NHDS_nTpVIdCQhD_v2FUeMExDbNcqNl_0d9Ap5flP8HhAO8Lgqcj=w1200|https://lh3.googleusercontent.com/pw/AP1GczPc9n4WrliODAJIslM0fN5Gbd3MgRfAQw-4sU8RgHngbgWbu1NEV_vD3uy-S94oHVPieZebXthCPWA-Yw2G9TmMCeY-uKRS7Gs0Ep7fdhxKwigKqZ2N=w1200|https://lh3.googleusercontent.com/pw/AP1GczP2__M3S_IAVkzPfDIjIb1dmQzubfNGDa9KWdedpdNZZFXClnuFl5OBsSQ69xrkS0quqBUV94tvaGVNq3zVQlYpWSjQEycdvHsYrLis_vBmM-6TFofx=w1200|https://lh3.googleusercontent.com/pw/AP1GczOsSCCjkmyd_X0-1gGpSw_ug0uTg9B56FVGSE6Go6LcfJGm4G0KpgPKqC0XKz1JaHWoW0l6T62UWKbYeeRBOwxVhUTAnh7CZJ_WWK8LsmnKHYOnEkJ7=w1200|https://lh3.googleusercontent.com/pw/AP1GczO-du2eNBoveHnV2VJhROOmpnLtYkqFfSegZ6yhDTmZQNSIBngZtde_t5TldKt96Z_D9RzlZKL8Jb1t9ZwtJyFhHIO7xzEnESIkZDXtVbptA9IFooqT=w1200|https://lh3.googleusercontent.com/pw/AP1GczNDTTWUxGyQMhxpeP58Jfs7x0c_DL-XgSVURnaOufC99OGtU0EiV7Q5s-ycaFuYz9Ig4vjbdaj0_yFSGPFwSIftaJbL3C7b_cvJbD3tcChB1A2mJVjn=w1200|https://lh3.googleusercontent.com/pw/AP1GczNLLDA7Fo5cZZ7PwS1axuSQsJPtdqOsNkcjkQifANw8WBL9NQFds_wNVXiwcbHbqBCBHzS0YQSyhrBJEcfxG20RAYYUbIRNoMmCpgQfMsnjCdoKDmU8=w1200|https://lh3.googleusercontent.com/pw/AP1GczOMMQVyVc1fbaLrdRua7YDRPcYZ4u9iG7LBuP04swLlNG2cRoLogxzhd0eEyZaRnAU_VLQakyf4QSMyZolR-tJR8Bg935VvmKY9mLN3q9kVcLWgZu31=w1200|https://lh3.googleusercontent.com/pw/AP1GczO4LLmuSSoULJfRKvaKg1xf3Vmf-9Lcv_WG5L2m1-JYqkZ8zoFb0oSkMl8eTAqpFHBh03kKFkcapJYCNp3SJYi18EToR993uLTUFPux_lA2ejwU03ua=w1200|https://lh3.googleusercontent.com/pw/AP1GczPF0k9YE_4AMLO5sa3eCGD-hjC8ZRgQG2JzZ3iEa71FOF19SsdFFWRDpTt_zWHsb5EW9NeNqLcbKdx-Wh2SpBOSFKwnM_ezTtJQ8te1C3oBlIHmOyhn=w1200|https://lh3.googleusercontent.com/pw/AP1GczOnhbGYWBB4Z8UP6TnM1Ghx2_eaMyrryWEKY_jfi19Gf-KCrjwXmvgdxYDp3q9SS5S9hGJQZA5tWWxmVijCe6tIlhJbyaQMS_3RrD4YuAib9M8eIrBZ=w1200|https://lh3.googleusercontent.com/pw/AP1GczPqEoGv0WCR0CTzJkEqMgC6xgNgVrena5s1ZaOWlOiuyjn6_U5CWUuLHIk79NNykq_omnb2IWacYu6-9i2-AHgbSxnWbNAPrdMTKwxTg3cVX9UBt3Dg=w1200|https://lh3.googleusercontent.com/pw/AP1GczNwDkXJLZtG5Vnu6gLNNDGLyn1tAuHZifV4IzcTmCrung5t5lKHDjO-xbfF-NNu40PAFZx-5b4s77-oMKLY44KBABz_ZJ1PyUNGspjOCdfQTtbdmuu8=w1200|https://lh3.googleusercontent.com/pw/AP1GczOKxtT4lEJqADf0MYkth71j8Or7rzq-BfWXCaq0Xa7wZbTBFakJTg_XFdEs8nYuyECO1v-oN02jXIcN5cF9NZ0NeXmuFabTOKr5ftqWWR0GD7B_0xqo=w1200|https://lh3.googleusercontent.com/pw/AP1GczOJZe5hZREa6J7q8ttcUbyjHFd0YF__r1ukSiBocsB-yp4s7NCeClfXR4rIp1JC3k8lQ8rPeZLdcGQG4Ufb1bqoEDlrc39LOOfLwm3tFmjabVVoNURu=w1200|https://lh3.googleusercontent.com/pw/AP1GczNWCQaQFSTxzswo3kXFisnfKUEvsuFCkwCxdURJzQB316YUW4vGYtEzfh9mOXBJGSvpreYnwcZbn6vdBgJcXWcrr0QKKZ2ghTqCI64V2FTciECJRhsL=w1200|https://lh3.googleusercontent.com/pw/AP1GczN5em9ejAUMLhucVXjVEkK5lQbc35TiDdGXYZ9vH3AA6Csx6XdkudJkBeOLxZ6RkdSmYFQ0oHC6XqVFB895VBbzFez_zPXlYv4JH_H2F5YcNUVt5DAR=w1200</v>
      </c>
      <c r="AJ336" s="46"/>
      <c r="AK336" s="46"/>
      <c r="AL336" s="46"/>
      <c r="AM336" s="46"/>
      <c r="AN336" s="46"/>
      <c r="AO336" s="46"/>
      <c r="AP336" s="46"/>
      <c r="AQ336" s="46"/>
      <c r="AR336" s="46"/>
      <c r="AS336" s="46"/>
      <c r="AT336" s="46"/>
      <c r="AU336" s="46"/>
      <c r="AV336" s="46"/>
      <c r="AW336" s="46"/>
      <c r="AX336" s="46"/>
      <c r="AY336" s="46"/>
      <c r="AZ336" s="46"/>
      <c r="BA336" s="46"/>
      <c r="BB336" s="46"/>
      <c r="BC336" s="46"/>
      <c r="BD336" s="46"/>
      <c r="BE336" s="46"/>
      <c r="BF336" s="46"/>
      <c r="BG336" s="46"/>
      <c r="BH336" s="46"/>
      <c r="BI336" s="46"/>
      <c r="BJ336" s="46"/>
      <c r="BK336" s="46"/>
      <c r="BL336" s="46"/>
      <c r="BM336" s="46"/>
      <c r="BN336" s="46"/>
      <c r="BO336" s="46"/>
      <c r="BP336" s="46"/>
      <c r="BQ336" s="46"/>
      <c r="BR336" s="46"/>
      <c r="BS336" s="46"/>
      <c r="BT336" s="46"/>
      <c r="BU336" s="46"/>
      <c r="BV336" s="46"/>
      <c r="BW336" s="46"/>
      <c r="BX336" s="46"/>
      <c r="BY336" s="46"/>
      <c r="BZ336" s="46"/>
      <c r="CA336" s="46"/>
      <c r="CB336" s="46"/>
      <c r="CC336" s="46"/>
    </row>
    <row r="337">
      <c r="A337" s="87" t="str">
        <f>IFERROR(__xludf.DUMMYFUNCTION("""COMPUTED_VALUE"""),"824")</f>
        <v>824</v>
      </c>
      <c r="B337" s="46" t="str">
        <f>IFERROR(__xludf.DUMMYFUNCTION("""COMPUTED_VALUE"""),"Casa en barrio Villa Milena")</f>
        <v>Casa en barrio Villa Milena</v>
      </c>
      <c r="C337" s="46" t="str">
        <f>IFERROR(__xludf.DUMMYFUNCTION("""COMPUTED_VALUE"""),"Casa")</f>
        <v>Casa</v>
      </c>
      <c r="D337" s="46" t="str">
        <f>IFERROR(__xludf.DUMMYFUNCTION("""COMPUTED_VALUE"""),"Villa Milena")</f>
        <v>Villa Milena</v>
      </c>
      <c r="E337" s="90"/>
      <c r="F337" s="90">
        <f>IFERROR(__xludf.DUMMYFUNCTION("""COMPUTED_VALUE"""),8.0E8)</f>
        <v>800000000</v>
      </c>
      <c r="G337" s="46" t="str">
        <f>IFERROR(__xludf.DUMMYFUNCTION("""COMPUTED_VALUE"""),"$500'000.000 a $1.000'000.000")</f>
        <v>$500'000.000 a $1.000'000.000</v>
      </c>
      <c r="H337" s="46"/>
      <c r="I337" s="46"/>
      <c r="J337" s="46" t="str">
        <f>IFERROR(__xludf.DUMMYFUNCTION("""COMPUTED_VALUE"""),"Norte")</f>
        <v>Norte</v>
      </c>
      <c r="K337" s="87"/>
      <c r="L337" s="46">
        <f>IFERROR(__xludf.DUMMYFUNCTION("""COMPUTED_VALUE"""),5.0)</f>
        <v>5</v>
      </c>
      <c r="M337" s="46"/>
      <c r="N337" s="46">
        <f>IFERROR(__xludf.DUMMYFUNCTION("""COMPUTED_VALUE"""),3.0)</f>
        <v>3</v>
      </c>
      <c r="O337" s="46">
        <f>IFERROR(__xludf.DUMMYFUNCTION("""COMPUTED_VALUE"""),1.0)</f>
        <v>1</v>
      </c>
      <c r="P337" s="46">
        <f>IFERROR(__xludf.DUMMYFUNCTION("""COMPUTED_VALUE"""),3.0)</f>
        <v>3</v>
      </c>
      <c r="Q337" s="92">
        <f>IFERROR(__xludf.DUMMYFUNCTION("""COMPUTED_VALUE"""),320.0)</f>
        <v>320</v>
      </c>
      <c r="R337" s="92">
        <f>IFERROR(__xludf.DUMMYFUNCTION("""COMPUTED_VALUE"""),105.0)</f>
        <v>105</v>
      </c>
      <c r="S337" s="87" t="str">
        <f>IFERROR(__xludf.DUMMYFUNCTION("""COMPUTED_VALUE""")," ")</f>
        <v> </v>
      </c>
      <c r="T337" s="46" t="str">
        <f>IFERROR(__xludf.DUMMYFUNCTION("""COMPUTED_VALUE"""),"Neiva")</f>
        <v>Neiva</v>
      </c>
      <c r="U337" s="87" t="str">
        <f>IFERROR(__xludf.DUMMYFUNCTION("""COMPUTED_VALUE"""),"2")</f>
        <v>2</v>
      </c>
      <c r="V337" s="46" t="str">
        <f>IFERROR(__xludf.DUMMYFUNCTION("""COMPUTED_VALUE"""),"Esquinera")</f>
        <v>Esquinera</v>
      </c>
      <c r="W337" s="46"/>
      <c r="X337" s="46">
        <f>IFERROR(__xludf.DUMMYFUNCTION("""COMPUTED_VALUE"""),3.0)</f>
        <v>3</v>
      </c>
      <c r="Y337" s="46" t="str">
        <f>IFERROR(__xludf.DUMMYFUNCTION("""COMPUTED_VALUE"""),"No tiene")</f>
        <v>No tiene</v>
      </c>
      <c r="Z337" s="90" t="str">
        <f>IFERROR(__xludf.DUMMYFUNCTION("""COMPUTED_VALUE"""),"No aplica")</f>
        <v>No aplica</v>
      </c>
      <c r="AA337" s="33" t="str">
        <f>IFERROR(__xludf.DUMMYFUNCTION("""COMPUTED_VALUE"""),"No aplica")</f>
        <v>No aplica</v>
      </c>
      <c r="AB337" s="96" t="str">
        <f>IFERROR(__xludf.DUMMYFUNCTION("""COMPUTED_VALUE"""),"https://photos.app.goo.gl/Azh1WjR5Jm3iMkYo7")</f>
        <v>https://photos.app.goo.gl/Azh1WjR5Jm3iMkYo7</v>
      </c>
      <c r="AC337" s="46" t="str">
        <f>IFERROR(__xludf.DUMMYFUNCTION("""COMPUTED_VALUE"""),"Casa con buenos acabados, piso en mármol y tablón rojo con granito pulido, muro en piedra Palermo, cielo raso en machehembre, división en vidrio templado. Pasamano de escalera en hierro forjado.")</f>
        <v>Casa con buenos acabados, piso en mármol y tablón rojo con granito pulido, muro en piedra Palermo, cielo raso en machehembre, división en vidrio templado. Pasamano de escalera en hierro forjado.</v>
      </c>
      <c r="AD337" s="46" t="str">
        <f>IFERROR(__xludf.DUMMYFUNCTION("""COMPUTED_VALUE"""),"Casa ubicada cerca de los centros comerciales San Pedro y san Juan Plaza,  sobre vía vehicular amplia, sector comercial, antejardín con reja y cubierta. Fachada con Viga canal. Escritura al día.")</f>
        <v>Casa ubicada cerca de los centros comerciales San Pedro y san Juan Plaza,  sobre vía vehicular amplia, sector comercial, antejardín con reja y cubierta. Fachada con Viga canal. Escritura al día.</v>
      </c>
      <c r="AE337" s="46"/>
      <c r="AF337" s="46" t="str">
        <f>IFERROR(__xludf.DUMMYFUNCTION("""COMPUTED_VALUE"""),"integral")</f>
        <v>integral</v>
      </c>
      <c r="AG337" s="46"/>
      <c r="AH337" s="46" t="str">
        <f>IFERROR(__xludf.DUMMYFUNCTION("""COMPUTED_VALUE"""),"Aliado")</f>
        <v>Aliado</v>
      </c>
      <c r="AI337" s="92" t="str">
        <f>IFERROR(__xludf.DUMMYFUNCTION("""COMPUTED_VALUE"""),"https://lh3.googleusercontent.com/pw/AP1GczN3cP8X0BBeXm_GVMnVkeTh5JSTN4XzsfsHWsZadCiQe3tYdXp9lPTtMfKC0Zi51_t3MosKuGhoPgleu7YinTX3D0mR3f2yEFO_c224ZHDaKTYwMZ3X=w1200|https://lh3.googleusercontent.com/pw/AP1GczPLJHo-DmtYnDowoqvbPiGFhYWavKVYoLXx_Fh_66aUU_o8iD"&amp;"lT6OFR3DcV037n2DWMkI3xNlkguxV6j2F0mjABC6glUtSFzi1kftptvEKhYjqyUmr_=w1200|https://lh3.googleusercontent.com/pw/AP1GczPBcUEqZ70Dy7ZLwQkFFhfdOQPsfusxmUU54PzCQ9DxH12xrr47bvMDlqdeonlvMUShpl2a7fPmkskXKj2ZfvoT8Kv0ZEkw-Hh-PVnK7I4m1IGT0lr_=w1200|https://lh3.google"&amp;"usercontent.com/pw/AP1GczOAnt-9uaRwJwxeyEX7IRr1JyshcRVoKYq-AnctNPWNDfiqroiOb_dQWZDhyOA7UZ2uZ5x_zD4Dqy06Rb-fH_EYsOtnfUHSZ7D0KGjkwEjZqqGWkx38=w1200|https://lh3.googleusercontent.com/pw/AP1GczNClm9yhAT51YygGJ9UOSI8uMTbNClmv-XPgqYlz_hcU9u02cbFJEMlLBNWpAUC7H3i"&amp;"Id_Wt_LZIXorEh8lkMYGUqXLbsyHQsODficupsIkO6bywe0v=w1200|https://lh3.googleusercontent.com/pw/AP1GczPEnfZh5l9lTdbamt0o3LTxk8UPYTc801VVFvl-BchWKdYxM01c8hMigio2ed9ayFsiwbf-rVV2fdU2i-vAbzCiV5yeyIxq2d60JWfmIyjhDJUyu_XW=w1200|https://lh3.googleusercontent.com/pw"&amp;"/AP1GczO9wQeJs4K2-l6RA6ojct-hSRS5I1TsyB_yGacJSjVdxqOqzGNmTrQNj5MXdIxAIVeuiSeuSJki2xAxASnUVvgDjPE4pfnLhC885n-zngKp9qtrDK_O=w1200|https://lh3.googleusercontent.com/pw/AP1GczOSJETvbY9oJFUX1a03dmMsy6AmGvv-O4sooYaMnggebTuw4TGkc-7YseHqZB5ghAaUkEFicK3QPoVjYX3xeV"&amp;"TTIaBECOuro8JpX8HaDQrfbJ0jjtro=w1200|https://lh3.googleusercontent.com/pw/AP1GczNDha_z2xJ-HaJs99iaUJg1QxV1GuoJB2ejvCERDCiUygEQ9VJ6jhsqMUqOGfWQ2by4bqsg6e9Xfc7afuD9yov3JoZg7fg0UoicoL1bhbjy81AOmWxq=w1200|https://lh3.googleusercontent.com/pw/AP1GczOJEHjFCMluY"&amp;"95GgnJH2Ji23nYRtHREhfOMva2jWc-mCZISG-7XPOcVpRTPTin2sm_LHeiJ-OKWNJFRvaB-b_hC3Ul3m8ph1boVt45Ms3W-Ggt8YZ8i=w1200|https://lh3.googleusercontent.com/pw/AP1GczPwM4axNdQ74MT-W3Xp4DbVkiYmIx7FBwGM3lR_Ri4tZSiZLXpbK5qkruGZa4TAoJ7mhYc_igz3b8u1VWdkPbRFWhjdODr5WzU3FgKr"&amp;"aHkJwEokorKg=w1200|https://lh3.googleusercontent.com/pw/AP1GczOVKXlFjuRrIJHnYSi3apP5VbcjnPEhhIOHJ8Q0HuWzRwctellhT4_cotevjOQvcAdRZDy5_eVp68UHwoUKwmqFY3YdRRW63c6rLqVzvyxb9KVjSSGR=w1200|https://lh3.googleusercontent.com/pw/AP1GczO3GFCBIxXEgaKIGy5cb2bjGPw1MyD"&amp;"Fm4055mBCLTPBhcGSSZ9yDnvFbtMckf30PUtw1Un14HrMPbnJfOFW4CJHKbAJ3bzsEDuuJiBhW1PKARqK5VLB=w1200|https://lh3.googleusercontent.com/pw/AP1GczO6C1UcqjanYtUZDEgCyeRG6Ywz1tSQUH9Uew8WhBUDZBh24feyruW8b9dXINjjjgeSkqSSNx9FSsK1OdgHdG1F6UwK4gwuoy57InkidRcvGOgmnXIi=w1200"&amp;"|https://lh3.googleusercontent.com/pw/AP1GczNpxl3CA3LLH5g015BG-NHJ3WBODuSpbT3jykHVlZHVxIO7_5Zx5XBLacQbJLwa8zf8wD-0BNHm250YaPDAYq_uunQt94eyuR89eyIbQmSmEQAZbY9b=w1200")</f>
        <v>https://lh3.googleusercontent.com/pw/AP1GczN3cP8X0BBeXm_GVMnVkeTh5JSTN4XzsfsHWsZadCiQe3tYdXp9lPTtMfKC0Zi51_t3MosKuGhoPgleu7YinTX3D0mR3f2yEFO_c224ZHDaKTYwMZ3X=w1200|https://lh3.googleusercontent.com/pw/AP1GczPLJHo-DmtYnDowoqvbPiGFhYWavKVYoLXx_Fh_66aUU_o8iDlT6OFR3DcV037n2DWMkI3xNlkguxV6j2F0mjABC6glUtSFzi1kftptvEKhYjqyUmr_=w1200|https://lh3.googleusercontent.com/pw/AP1GczPBcUEqZ70Dy7ZLwQkFFhfdOQPsfusxmUU54PzCQ9DxH12xrr47bvMDlqdeonlvMUShpl2a7fPmkskXKj2ZfvoT8Kv0ZEkw-Hh-PVnK7I4m1IGT0lr_=w1200|https://lh3.googleusercontent.com/pw/AP1GczOAnt-9uaRwJwxeyEX7IRr1JyshcRVoKYq-AnctNPWNDfiqroiOb_dQWZDhyOA7UZ2uZ5x_zD4Dqy06Rb-fH_EYsOtnfUHSZ7D0KGjkwEjZqqGWkx38=w1200|https://lh3.googleusercontent.com/pw/AP1GczNClm9yhAT51YygGJ9UOSI8uMTbNClmv-XPgqYlz_hcU9u02cbFJEMlLBNWpAUC7H3iId_Wt_LZIXorEh8lkMYGUqXLbsyHQsODficupsIkO6bywe0v=w1200|https://lh3.googleusercontent.com/pw/AP1GczPEnfZh5l9lTdbamt0o3LTxk8UPYTc801VVFvl-BchWKdYxM01c8hMigio2ed9ayFsiwbf-rVV2fdU2i-vAbzCiV5yeyIxq2d60JWfmIyjhDJUyu_XW=w1200|https://lh3.googleusercontent.com/pw/AP1GczO9wQeJs4K2-l6RA6ojct-hSRS5I1TsyB_yGacJSjVdxqOqzGNmTrQNj5MXdIxAIVeuiSeuSJki2xAxASnUVvgDjPE4pfnLhC885n-zngKp9qtrDK_O=w1200|https://lh3.googleusercontent.com/pw/AP1GczOSJETvbY9oJFUX1a03dmMsy6AmGvv-O4sooYaMnggebTuw4TGkc-7YseHqZB5ghAaUkEFicK3QPoVjYX3xeVTTIaBECOuro8JpX8HaDQrfbJ0jjtro=w1200|https://lh3.googleusercontent.com/pw/AP1GczNDha_z2xJ-HaJs99iaUJg1QxV1GuoJB2ejvCERDCiUygEQ9VJ6jhsqMUqOGfWQ2by4bqsg6e9Xfc7afuD9yov3JoZg7fg0UoicoL1bhbjy81AOmWxq=w1200|https://lh3.googleusercontent.com/pw/AP1GczOJEHjFCMluY95GgnJH2Ji23nYRtHREhfOMva2jWc-mCZISG-7XPOcVpRTPTin2sm_LHeiJ-OKWNJFRvaB-b_hC3Ul3m8ph1boVt45Ms3W-Ggt8YZ8i=w1200|https://lh3.googleusercontent.com/pw/AP1GczPwM4axNdQ74MT-W3Xp4DbVkiYmIx7FBwGM3lR_Ri4tZSiZLXpbK5qkruGZa4TAoJ7mhYc_igz3b8u1VWdkPbRFWhjdODr5WzU3FgKraHkJwEokorKg=w1200|https://lh3.googleusercontent.com/pw/AP1GczOVKXlFjuRrIJHnYSi3apP5VbcjnPEhhIOHJ8Q0HuWzRwctellhT4_cotevjOQvcAdRZDy5_eVp68UHwoUKwmqFY3YdRRW63c6rLqVzvyxb9KVjSSGR=w1200|https://lh3.googleusercontent.com/pw/AP1GczO3GFCBIxXEgaKIGy5cb2bjGPw1MyDFm4055mBCLTPBhcGSSZ9yDnvFbtMckf30PUtw1Un14HrMPbnJfOFW4CJHKbAJ3bzsEDuuJiBhW1PKARqK5VLB=w1200|https://lh3.googleusercontent.com/pw/AP1GczO6C1UcqjanYtUZDEgCyeRG6Ywz1tSQUH9Uew8WhBUDZBh24feyruW8b9dXINjjjgeSkqSSNx9FSsK1OdgHdG1F6UwK4gwuoy57InkidRcvGOgmnXIi=w1200|https://lh3.googleusercontent.com/pw/AP1GczNpxl3CA3LLH5g015BG-NHJ3WBODuSpbT3jykHVlZHVxIO7_5Zx5XBLacQbJLwa8zf8wD-0BNHm250YaPDAYq_uunQt94eyuR89eyIbQmSmEQAZbY9b=w1200</v>
      </c>
      <c r="AJ337" s="46"/>
      <c r="AK337" s="46"/>
      <c r="AL337" s="46"/>
      <c r="AM337" s="46"/>
      <c r="AN337" s="46"/>
      <c r="AO337" s="46"/>
      <c r="AP337" s="46"/>
      <c r="AQ337" s="46"/>
      <c r="AR337" s="46"/>
      <c r="AS337" s="46"/>
      <c r="AT337" s="46"/>
      <c r="AU337" s="46"/>
      <c r="AV337" s="46"/>
      <c r="AW337" s="46"/>
      <c r="AX337" s="46"/>
      <c r="AY337" s="46"/>
      <c r="AZ337" s="46"/>
      <c r="BA337" s="46"/>
      <c r="BB337" s="46"/>
      <c r="BC337" s="46"/>
      <c r="BD337" s="46"/>
      <c r="BE337" s="46"/>
      <c r="BF337" s="46"/>
      <c r="BG337" s="46"/>
      <c r="BH337" s="46"/>
      <c r="BI337" s="46"/>
      <c r="BJ337" s="46"/>
      <c r="BK337" s="46"/>
      <c r="BL337" s="46"/>
      <c r="BM337" s="46"/>
      <c r="BN337" s="46"/>
      <c r="BO337" s="46"/>
      <c r="BP337" s="46"/>
      <c r="BQ337" s="46"/>
      <c r="BR337" s="46"/>
      <c r="BS337" s="46"/>
      <c r="BT337" s="46"/>
      <c r="BU337" s="46"/>
      <c r="BV337" s="46"/>
      <c r="BW337" s="46"/>
      <c r="BX337" s="46"/>
      <c r="BY337" s="46"/>
      <c r="BZ337" s="46"/>
      <c r="CA337" s="46"/>
      <c r="CB337" s="46"/>
      <c r="CC337" s="46"/>
    </row>
    <row r="338">
      <c r="A338" s="87" t="str">
        <f>IFERROR(__xludf.DUMMYFUNCTION("""COMPUTED_VALUE"""),"427")</f>
        <v>427</v>
      </c>
      <c r="B338" s="46" t="str">
        <f>IFERROR(__xludf.DUMMYFUNCTION("""COMPUTED_VALUE"""),"Casa en barrio Quirinal")</f>
        <v>Casa en barrio Quirinal</v>
      </c>
      <c r="C338" s="46" t="str">
        <f>IFERROR(__xludf.DUMMYFUNCTION("""COMPUTED_VALUE"""),"Casa")</f>
        <v>Casa</v>
      </c>
      <c r="D338" s="46" t="str">
        <f>IFERROR(__xludf.DUMMYFUNCTION("""COMPUTED_VALUE"""),"Quirinal")</f>
        <v>Quirinal</v>
      </c>
      <c r="E338" s="46"/>
      <c r="F338" s="90">
        <f>IFERROR(__xludf.DUMMYFUNCTION("""COMPUTED_VALUE"""),8.0E8)</f>
        <v>800000000</v>
      </c>
      <c r="G338" s="46" t="str">
        <f>IFERROR(__xludf.DUMMYFUNCTION("""COMPUTED_VALUE"""),"$500'000.000 a $1.000'000.000")</f>
        <v>$500'000.000 a $1.000'000.000</v>
      </c>
      <c r="H338" s="46"/>
      <c r="I338" s="46"/>
      <c r="J338" s="46" t="str">
        <f>IFERROR(__xludf.DUMMYFUNCTION("""COMPUTED_VALUE"""),"Centro")</f>
        <v>Centro</v>
      </c>
      <c r="K338" s="87" t="str">
        <f>IFERROR(__xludf.DUMMYFUNCTION("""COMPUTED_VALUE"""),"3")</f>
        <v>3</v>
      </c>
      <c r="L338" s="46">
        <f>IFERROR(__xludf.DUMMYFUNCTION("""COMPUTED_VALUE"""),4.0)</f>
        <v>4</v>
      </c>
      <c r="M338" s="46"/>
      <c r="N338" s="46">
        <f>IFERROR(__xludf.DUMMYFUNCTION("""COMPUTED_VALUE"""),3.0)</f>
        <v>3</v>
      </c>
      <c r="O338" s="46">
        <f>IFERROR(__xludf.DUMMYFUNCTION("""COMPUTED_VALUE"""),1.0)</f>
        <v>1</v>
      </c>
      <c r="P338" s="46">
        <f>IFERROR(__xludf.DUMMYFUNCTION("""COMPUTED_VALUE"""),1.0)</f>
        <v>1</v>
      </c>
      <c r="Q338" s="92">
        <f>IFERROR(__xludf.DUMMYFUNCTION("""COMPUTED_VALUE"""),163.0)</f>
        <v>163</v>
      </c>
      <c r="R338" s="92">
        <f>IFERROR(__xludf.DUMMYFUNCTION("""COMPUTED_VALUE"""),213.0)</f>
        <v>213</v>
      </c>
      <c r="S338" s="87" t="str">
        <f>IFERROR(__xludf.DUMMYFUNCTION("""COMPUTED_VALUE""")," ")</f>
        <v> </v>
      </c>
      <c r="T338" s="46" t="str">
        <f>IFERROR(__xludf.DUMMYFUNCTION("""COMPUTED_VALUE"""),"Neiva")</f>
        <v>Neiva</v>
      </c>
      <c r="U338" s="87" t="str">
        <f>IFERROR(__xludf.DUMMYFUNCTION("""COMPUTED_VALUE"""),"5")</f>
        <v>5</v>
      </c>
      <c r="V338" s="46" t="str">
        <f>IFERROR(__xludf.DUMMYFUNCTION("""COMPUTED_VALUE"""),"Medianera")</f>
        <v>Medianera</v>
      </c>
      <c r="W338" s="46"/>
      <c r="X338" s="46">
        <f>IFERROR(__xludf.DUMMYFUNCTION("""COMPUTED_VALUE"""),4.0)</f>
        <v>4</v>
      </c>
      <c r="Y338" s="46" t="str">
        <f>IFERROR(__xludf.DUMMYFUNCTION("""COMPUTED_VALUE"""),"No tiene")</f>
        <v>No tiene</v>
      </c>
      <c r="Z338" s="90" t="str">
        <f>IFERROR(__xludf.DUMMYFUNCTION("""COMPUTED_VALUE"""),"No aplica")</f>
        <v>No aplica</v>
      </c>
      <c r="AA338" s="33" t="str">
        <f>IFERROR(__xludf.DUMMYFUNCTION("""COMPUTED_VALUE"""),"No aplica")</f>
        <v>No aplica</v>
      </c>
      <c r="AB338" s="96" t="str">
        <f>IFERROR(__xludf.DUMMYFUNCTION("""COMPUTED_VALUE"""),"https://photos.app.goo.gl/L5BSgcdVkH3fhgNG6")</f>
        <v>https://photos.app.goo.gl/L5BSgcdVkH3fhgNG6</v>
      </c>
      <c r="AC338" s="46"/>
      <c r="AD338" s="46" t="str">
        <f>IFERROR(__xludf.DUMMYFUNCTION("""COMPUTED_VALUE"""),"Casa antigua  amplia, alta y ventilada. Excelente vía de acceso y de conservación. Con patio transversal amplio con cubierta en plantas de enredaderas para dar más frescura y bonita visual entre los espacios. Con buenos acabados, piso en cerámica, cielo r"&amp;"aso en Driwall. Casa apta para uso comercial - salud. Escritura al día.")</f>
        <v>Casa antigua  amplia, alta y ventilada. Excelente vía de acceso y de conservación. Con patio transversal amplio con cubierta en plantas de enredaderas para dar más frescura y bonita visual entre los espacios. Con buenos acabados, piso en cerámica, cielo raso en Driwall. Casa apta para uso comercial - salud. Escritura al día.</v>
      </c>
      <c r="AE338" s="46"/>
      <c r="AF338" s="46" t="str">
        <f>IFERROR(__xludf.DUMMYFUNCTION("""COMPUTED_VALUE"""),"integral")</f>
        <v>integral</v>
      </c>
      <c r="AG338" s="46"/>
      <c r="AH338" s="46" t="str">
        <f>IFERROR(__xludf.DUMMYFUNCTION("""COMPUTED_VALUE"""),"Aliado")</f>
        <v>Aliado</v>
      </c>
      <c r="AI338" s="92" t="str">
        <f>IFERROR(__xludf.DUMMYFUNCTION("""COMPUTED_VALUE"""),"https://lh3.googleusercontent.com/pw/AP1GczNKyUqpAkIhwoiffFkt5O4iuBYErwkANBVWr0Rs6Bd9YqpqqNVK5AsI8RndpFf-7oFNUDUtsfc17HLjnxrgk-dEALd1R-Xii_JSDOvdWz5oNhC5GJjX=w1200|https://lh3.googleusercontent.com/pw/AP1GczNA9f-QGdiM4uRrgl-GVityih-7Yy3kQtQK0wJII1qYxAOVrr"&amp;"YvFoYvmw-l0WXKHZcxCimkKbaqW6hR23IpSLE4FvpfuQhdujqsboI5WSGKc0dtwgWM=w1200|https://lh3.googleusercontent.com/pw/AP1GczPr0EWUy9PxMPD_h45emFCJzEUXYWclvPELw34DJcsaKxqyM6bvIEVqnHbo2nZJxzIoBYTst_7nuc9Be61K55Fmv2XFUXRRaKFuYUvn9Ybrxt2_WxML=w1200|https://lh3.google"&amp;"usercontent.com/pw/AP1GczOTOlqPl4Dr4eSsgvaO80Yaiweae9Qj_GgW03-J0LXHMhWCRim2QdX2t4cFY32pYif2Y12RAUJIw2M2LqiIMzvnGfJXepfo7tZ2t--CEO69fSO40XqP=w1200|https://lh3.googleusercontent.com/pw/AP1GczNCfyv7pv_U_EAY-eYRkhhYNQka-B8t759WU0bFbn2c1mj12Xfqw1N1ubbV1_4CzFtl"&amp;"p7DzCUUbkRjuCU5Tl1EVHY4fRUwLBlMEb0Nuoe52vxmoGyra=w1200|https://lh3.googleusercontent.com/pw/AP1GczMC4XbDaYB7riCUoyQExsBysi2uSiDKxTBIr8Q_vHgzTlYbRC5YtwZEzFwkxkLcHr3iINLDTf2fHAop_Sh0dnUDz5oeRv3BQ8gLjnxqKKtgxGYUc0eJ=w1200|https://lh3.googleusercontent.com/pw"&amp;"/AP1GczPLrfAzfUvegWPy5lfGq65WMaTG-viCekmH2gLuURDVswMuUf5QojqvG9a7eLddJynFh_hVhNmfxjt_m310FMEJBRYQAc-Nhpn40HYAXq5d8c196MdX=w1200|https://lh3.googleusercontent.com/pw/AP1GczMxkRvuwZmIVQp5dyujg8wWB4AuPC1p3DBUSV2KvdNVt9abHhIgkc0eIem9cPvuThvA_6ue0WlL18TwlJs-9N"&amp;"m4ihi2R1rTW5xxdKJTp-9Nwy1gotXJ=w1200|https://lh3.googleusercontent.com/pw/AP1GczOJhFsFQ0zQHjYv0_y1NBP1f1lzQPII3JiEvO0L2dNcx00dgXq2fyyNtKk72oFNVJW5hhUU9ms1qsMHUb9JQeRR9v7utYgEdjC8xQVa1iAwVNSIaLWc=w1200|https://lh3.googleusercontent.com/pw/AP1GczPHfD9I87919"&amp;"X65-ppU_91xfyQ56O-92FpE2zimvWhv-twGabQi1kmlj9GD9q0iJxE1Mw8v_iKUwJYef8T7HtECfJUHr2OL3ea2vrkx5IraGVUAA8Yo=w1200|https://lh3.googleusercontent.com/pw/AP1GczMAAqIqrjWNdkeccok-pbWZt8I5Bt7t8uUdrISjzG7LOm3XYU8G9YGm01vpoY57Z2L5-Yd9ypG6RwYYkzrSKm2ePzSm7HVie0fgTYYb"&amp;"VC1QPTSVnrXs=w1200|https://lh3.googleusercontent.com/pw/AP1GczO63Yvw9bLyvDA_hiricEPmYO7bPgGSC-iVB39eV_4z8e1dI-kkmulEVK8Og60ALqa-gX0tgI4eISL6g0OUa-vsnqoXmMmrrwi4Rgz4iLT125Lp5Z1W=w1200|https://lh3.googleusercontent.com/pw/AP1GczM40adHLM1OcxcJveh8Dz7rDik4EEf"&amp;"MjDXQIMl6tT3P4LKPmElYsbpaINCp9y8N2H2KHy6_wzIi__NTAYzsRDIHV4hCjZjZfda--WcNJsNymB_EoD3w=w1200|https://lh3.googleusercontent.com/pw/AP1GczNVCg4l9LS_PhfOF9xlLBRpIy2n6igdoviqWW8pcxFGNKiRTmQuU7eAMkR2LChYWTYdTcEBEGzWvsZvZ71J9qW7COWEVvINVv_LIIGlm32pDmWRcsdj=w1200"&amp;"|https://lh3.googleusercontent.com/pw/AP1GczMcE53V6KgD9GWjkNKyX5xItDbi66DaEaTxcAYXpmhXyHrnIuFphqKIxXP86m8XWEIgMBB-Qe1dkmmnxjHybM0aQqYR4cMxMw1uw-3RR_SnccDTvwrO=w1200|https://lh3.googleusercontent.com/pw/AP1GczNAY1YkBiulPtihBjeStWPgUgZ-KuOgMEU144lAMs8BkrGBT"&amp;"ouKzk78RCGsr6kFp4H6lih-CfiNBUwUTAW5R8NUMD7D0IlcIl1SZ85TTe9gPwq9lPPW=w1200|https://lh3.googleusercontent.com/pw/AP1GczMBjau5NMYjSts7lMXrFzN_7UMD0QJbUE6xgXJTfHqm0S9VOsVxrnggGtx7xCXRIeNM11OCyFT3Vqfz7e00y7t55WNC8V_s16Kuy01nT8i4xzlJYKXM=w1200|https://lh3.googl"&amp;"eusercontent.com/pw/AP1GczNBx3y9rWdAorI-4qLQwcNN3sZO-uRUZsNBfL1MTKsdnWXAG2xfkLUfk1bcZ6tJDW6sYvA_BLWyAzupNveU8DLPrWuyjZaNseTDKYNictqBNYCtEcKL=w1200")</f>
        <v>https://lh3.googleusercontent.com/pw/AP1GczNKyUqpAkIhwoiffFkt5O4iuBYErwkANBVWr0Rs6Bd9YqpqqNVK5AsI8RndpFf-7oFNUDUtsfc17HLjnxrgk-dEALd1R-Xii_JSDOvdWz5oNhC5GJjX=w1200|https://lh3.googleusercontent.com/pw/AP1GczNA9f-QGdiM4uRrgl-GVityih-7Yy3kQtQK0wJII1qYxAOVrrYvFoYvmw-l0WXKHZcxCimkKbaqW6hR23IpSLE4FvpfuQhdujqsboI5WSGKc0dtwgWM=w1200|https://lh3.googleusercontent.com/pw/AP1GczPr0EWUy9PxMPD_h45emFCJzEUXYWclvPELw34DJcsaKxqyM6bvIEVqnHbo2nZJxzIoBYTst_7nuc9Be61K55Fmv2XFUXRRaKFuYUvn9Ybrxt2_WxML=w1200|https://lh3.googleusercontent.com/pw/AP1GczOTOlqPl4Dr4eSsgvaO80Yaiweae9Qj_GgW03-J0LXHMhWCRim2QdX2t4cFY32pYif2Y12RAUJIw2M2LqiIMzvnGfJXepfo7tZ2t--CEO69fSO40XqP=w1200|https://lh3.googleusercontent.com/pw/AP1GczNCfyv7pv_U_EAY-eYRkhhYNQka-B8t759WU0bFbn2c1mj12Xfqw1N1ubbV1_4CzFtlp7DzCUUbkRjuCU5Tl1EVHY4fRUwLBlMEb0Nuoe52vxmoGyra=w1200|https://lh3.googleusercontent.com/pw/AP1GczMC4XbDaYB7riCUoyQExsBysi2uSiDKxTBIr8Q_vHgzTlYbRC5YtwZEzFwkxkLcHr3iINLDTf2fHAop_Sh0dnUDz5oeRv3BQ8gLjnxqKKtgxGYUc0eJ=w1200|https://lh3.googleusercontent.com/pw/AP1GczPLrfAzfUvegWPy5lfGq65WMaTG-viCekmH2gLuURDVswMuUf5QojqvG9a7eLddJynFh_hVhNmfxjt_m310FMEJBRYQAc-Nhpn40HYAXq5d8c196MdX=w1200|https://lh3.googleusercontent.com/pw/AP1GczMxkRvuwZmIVQp5dyujg8wWB4AuPC1p3DBUSV2KvdNVt9abHhIgkc0eIem9cPvuThvA_6ue0WlL18TwlJs-9Nm4ihi2R1rTW5xxdKJTp-9Nwy1gotXJ=w1200|https://lh3.googleusercontent.com/pw/AP1GczOJhFsFQ0zQHjYv0_y1NBP1f1lzQPII3JiEvO0L2dNcx00dgXq2fyyNtKk72oFNVJW5hhUU9ms1qsMHUb9JQeRR9v7utYgEdjC8xQVa1iAwVNSIaLWc=w1200|https://lh3.googleusercontent.com/pw/AP1GczPHfD9I87919X65-ppU_91xfyQ56O-92FpE2zimvWhv-twGabQi1kmlj9GD9q0iJxE1Mw8v_iKUwJYef8T7HtECfJUHr2OL3ea2vrkx5IraGVUAA8Yo=w1200|https://lh3.googleusercontent.com/pw/AP1GczMAAqIqrjWNdkeccok-pbWZt8I5Bt7t8uUdrISjzG7LOm3XYU8G9YGm01vpoY57Z2L5-Yd9ypG6RwYYkzrSKm2ePzSm7HVie0fgTYYbVC1QPTSVnrXs=w1200|https://lh3.googleusercontent.com/pw/AP1GczO63Yvw9bLyvDA_hiricEPmYO7bPgGSC-iVB39eV_4z8e1dI-kkmulEVK8Og60ALqa-gX0tgI4eISL6g0OUa-vsnqoXmMmrrwi4Rgz4iLT125Lp5Z1W=w1200|https://lh3.googleusercontent.com/pw/AP1GczM40adHLM1OcxcJveh8Dz7rDik4EEfMjDXQIMl6tT3P4LKPmElYsbpaINCp9y8N2H2KHy6_wzIi__NTAYzsRDIHV4hCjZjZfda--WcNJsNymB_EoD3w=w1200|https://lh3.googleusercontent.com/pw/AP1GczNVCg4l9LS_PhfOF9xlLBRpIy2n6igdoviqWW8pcxFGNKiRTmQuU7eAMkR2LChYWTYdTcEBEGzWvsZvZ71J9qW7COWEVvINVv_LIIGlm32pDmWRcsdj=w1200|https://lh3.googleusercontent.com/pw/AP1GczMcE53V6KgD9GWjkNKyX5xItDbi66DaEaTxcAYXpmhXyHrnIuFphqKIxXP86m8XWEIgMBB-Qe1dkmmnxjHybM0aQqYR4cMxMw1uw-3RR_SnccDTvwrO=w1200|https://lh3.googleusercontent.com/pw/AP1GczNAY1YkBiulPtihBjeStWPgUgZ-KuOgMEU144lAMs8BkrGBTouKzk78RCGsr6kFp4H6lih-CfiNBUwUTAW5R8NUMD7D0IlcIl1SZ85TTe9gPwq9lPPW=w1200|https://lh3.googleusercontent.com/pw/AP1GczMBjau5NMYjSts7lMXrFzN_7UMD0QJbUE6xgXJTfHqm0S9VOsVxrnggGtx7xCXRIeNM11OCyFT3Vqfz7e00y7t55WNC8V_s16Kuy01nT8i4xzlJYKXM=w1200|https://lh3.googleusercontent.com/pw/AP1GczNBx3y9rWdAorI-4qLQwcNN3sZO-uRUZsNBfL1MTKsdnWXAG2xfkLUfk1bcZ6tJDW6sYvA_BLWyAzupNveU8DLPrWuyjZaNseTDKYNictqBNYCtEcKL=w1200</v>
      </c>
      <c r="AJ338" s="46"/>
      <c r="AK338" s="46"/>
      <c r="AL338" s="46"/>
      <c r="AM338" s="46"/>
      <c r="AN338" s="46"/>
      <c r="AO338" s="46"/>
      <c r="AP338" s="46"/>
      <c r="AQ338" s="46"/>
      <c r="AR338" s="46"/>
      <c r="AS338" s="46"/>
      <c r="AT338" s="46"/>
      <c r="AU338" s="46"/>
      <c r="AV338" s="46"/>
      <c r="AW338" s="46"/>
      <c r="AX338" s="46"/>
      <c r="AY338" s="46"/>
      <c r="AZ338" s="46"/>
      <c r="BA338" s="46"/>
      <c r="BB338" s="46"/>
      <c r="BC338" s="46"/>
      <c r="BD338" s="46"/>
      <c r="BE338" s="46"/>
      <c r="BF338" s="46"/>
      <c r="BG338" s="46"/>
      <c r="BH338" s="46"/>
      <c r="BI338" s="46"/>
      <c r="BJ338" s="46"/>
      <c r="BK338" s="46"/>
      <c r="BL338" s="46"/>
      <c r="BM338" s="46"/>
      <c r="BN338" s="46"/>
      <c r="BO338" s="46"/>
      <c r="BP338" s="46"/>
      <c r="BQ338" s="46"/>
      <c r="BR338" s="46"/>
      <c r="BS338" s="46"/>
      <c r="BT338" s="46"/>
      <c r="BU338" s="46"/>
      <c r="BV338" s="46"/>
      <c r="BW338" s="46"/>
      <c r="BX338" s="46"/>
      <c r="BY338" s="46"/>
      <c r="BZ338" s="46"/>
      <c r="CA338" s="46"/>
      <c r="CB338" s="46"/>
      <c r="CC338" s="46"/>
    </row>
    <row r="339">
      <c r="A339" s="87" t="str">
        <f>IFERROR(__xludf.DUMMYFUNCTION("""COMPUTED_VALUE"""),"1139")</f>
        <v>1139</v>
      </c>
      <c r="B339" s="46" t="str">
        <f>IFERROR(__xludf.DUMMYFUNCTION("""COMPUTED_VALUE"""),"Casa en Conjunto Altos de Iguatemi")</f>
        <v>Casa en Conjunto Altos de Iguatemi</v>
      </c>
      <c r="C339" s="46" t="str">
        <f>IFERROR(__xludf.DUMMYFUNCTION("""COMPUTED_VALUE"""),"Casa en conjunto")</f>
        <v>Casa en conjunto</v>
      </c>
      <c r="D339" s="90" t="str">
        <f>IFERROR(__xludf.DUMMYFUNCTION("""COMPUTED_VALUE"""),"Ipanema")</f>
        <v>Ipanema</v>
      </c>
      <c r="E339" s="46" t="str">
        <f>IFERROR(__xludf.DUMMYFUNCTION("""COMPUTED_VALUE"""),"Altos de Iguatemi")</f>
        <v>Altos de Iguatemi</v>
      </c>
      <c r="F339" s="90">
        <f>IFERROR(__xludf.DUMMYFUNCTION("""COMPUTED_VALUE"""),7.8E8)</f>
        <v>780000000</v>
      </c>
      <c r="G339" s="46" t="str">
        <f>IFERROR(__xludf.DUMMYFUNCTION("""COMPUTED_VALUE"""),"$500'000.000 a $1.000'000.000")</f>
        <v>$500'000.000 a $1.000'000.000</v>
      </c>
      <c r="H339" s="46"/>
      <c r="I339" s="46"/>
      <c r="J339" s="46" t="str">
        <f>IFERROR(__xludf.DUMMYFUNCTION("""COMPUTED_VALUE"""),"Oriente")</f>
        <v>Oriente</v>
      </c>
      <c r="K339" s="87"/>
      <c r="L339" s="46">
        <f>IFERROR(__xludf.DUMMYFUNCTION("""COMPUTED_VALUE"""),4.0)</f>
        <v>4</v>
      </c>
      <c r="M339" s="46"/>
      <c r="N339" s="46">
        <f>IFERROR(__xludf.DUMMYFUNCTION("""COMPUTED_VALUE"""),4.0)</f>
        <v>4</v>
      </c>
      <c r="O339" s="46">
        <f>IFERROR(__xludf.DUMMYFUNCTION("""COMPUTED_VALUE"""),1.0)</f>
        <v>1</v>
      </c>
      <c r="P339" s="46">
        <f>IFERROR(__xludf.DUMMYFUNCTION("""COMPUTED_VALUE"""),2.0)</f>
        <v>2</v>
      </c>
      <c r="Q339" s="92">
        <f>IFERROR(__xludf.DUMMYFUNCTION("""COMPUTED_VALUE"""),243.0)</f>
        <v>243</v>
      </c>
      <c r="R339" s="92">
        <f>IFERROR(__xludf.DUMMYFUNCTION("""COMPUTED_VALUE"""),130.0)</f>
        <v>130</v>
      </c>
      <c r="S339" s="87" t="str">
        <f>IFERROR(__xludf.DUMMYFUNCTION("""COMPUTED_VALUE""")," ")</f>
        <v> </v>
      </c>
      <c r="T339" s="46" t="str">
        <f>IFERROR(__xludf.DUMMYFUNCTION("""COMPUTED_VALUE"""),"Neiva")</f>
        <v>Neiva</v>
      </c>
      <c r="U339" s="87" t="str">
        <f>IFERROR(__xludf.DUMMYFUNCTION("""COMPUTED_VALUE"""),"4")</f>
        <v>4</v>
      </c>
      <c r="V339" s="46" t="str">
        <f>IFERROR(__xludf.DUMMYFUNCTION("""COMPUTED_VALUE"""),"Medianera")</f>
        <v>Medianera</v>
      </c>
      <c r="W339" s="46"/>
      <c r="X339" s="46">
        <f>IFERROR(__xludf.DUMMYFUNCTION("""COMPUTED_VALUE"""),4.0)</f>
        <v>4</v>
      </c>
      <c r="Y339" s="46" t="str">
        <f>IFERROR(__xludf.DUMMYFUNCTION("""COMPUTED_VALUE"""),"Social")</f>
        <v>Social</v>
      </c>
      <c r="Z339" s="90" t="str">
        <f>IFERROR(__xludf.DUMMYFUNCTION("""COMPUTED_VALUE"""),"No aplica")</f>
        <v>No aplica</v>
      </c>
      <c r="AA339" s="33" t="str">
        <f>IFERROR(__xludf.DUMMYFUNCTION("""COMPUTED_VALUE"""),"No aplica")</f>
        <v>No aplica</v>
      </c>
      <c r="AB339" s="96" t="str">
        <f>IFERROR(__xludf.DUMMYFUNCTION("""COMPUTED_VALUE"""),"https://photos.app.goo.gl/AeM1B5QBFYuk39Yo6")</f>
        <v>https://photos.app.goo.gl/AeM1B5QBFYuk39Yo6</v>
      </c>
      <c r="AC339" s="46"/>
      <c r="AD339" s="46" t="str">
        <f>IFERROR(__xludf.DUMMYFUNCTION("""COMPUTED_VALUE"""),"Casa moderna y amplia. Área perimetral con jardín, árboles y Bbq.  Con acabados de alta calidad. Algunos espacio con división en vidrio templado. Carpintería en madera color miel y perfilaría metálica. Hierro forjado. Área de estudio con biblioteca empotr"&amp;"ada y  baño privado. Cuenta con una terraza amplia. Todas las habitaciones con closet y aire acondicionado.  Escritura al día.")</f>
        <v>Casa moderna y amplia. Área perimetral con jardín, árboles y Bbq.  Con acabados de alta calidad. Algunos espacio con división en vidrio templado. Carpintería en madera color miel y perfilaría metálica. Hierro forjado. Área de estudio con biblioteca empotrada y  baño privado. Cuenta con una terraza amplia. Todas las habitaciones con closet y aire acondicionado.  Escritura al día.</v>
      </c>
      <c r="AE339" s="46"/>
      <c r="AF339" s="46" t="str">
        <f>IFERROR(__xludf.DUMMYFUNCTION("""COMPUTED_VALUE"""),"integral")</f>
        <v>integral</v>
      </c>
      <c r="AG339" s="46"/>
      <c r="AH339" s="46" t="str">
        <f>IFERROR(__xludf.DUMMYFUNCTION("""COMPUTED_VALUE"""),"Aliado")</f>
        <v>Aliado</v>
      </c>
      <c r="AI339" s="92" t="str">
        <f>IFERROR(__xludf.DUMMYFUNCTION("""COMPUTED_VALUE"""),"https://lh3.googleusercontent.com/pw/AP1GczNExLehCYDz4wuQn5t0zfUAvX9P06GUECqPcvd841FBN-LkhIpD7kip19pcHI--JBkRy25baAvzOfsvZzLBtpJA8JKSMkXRU0JudGxd6CAAEpxXFmVg=w1200|https://lh3.googleusercontent.com/pw/AP1GczPnR_9ytIUvkRPooW96ooVXXfVM8kr9JhdcJ9b-GKmtGVlqLj"&amp;"A8OtzqUmv5wKP7OgonGJpcZ6FE0wxz492Ik_j6UvVWezSjaft_pB2z44y01XA749WY=w1200|https://lh3.googleusercontent.com/pw/AP1GczMveOTWAisZIcX6GwY5GQW_2h0FF4MruDYHRgHgWpKvPVh8IuObyb6VEd-tZqFxwS_BI7I83speEJ693dTlrSCRB1HUdNYjh-T4rHTIVqvSfGXBXDho=w1200|https://lh3.google"&amp;"usercontent.com/pw/AP1GczOh1QSgKvCNAaWCPASq93IKrt2cAjB2gy_tVqxAeB_MlC4G4xcFVjcgvnGKA6Vbrm0av4vMUkWry6YDp9ui19nlUdwdqd9gsMV1FWvzmU7N0FkYkAa3=w1200|https://lh3.googleusercontent.com/pw/AP1GczPpt376Hv3i5S5PMbXdyltwFY2cXBzFfyXWP4ebUcDhrgztDgenhVicEMjvyL8vE4CF"&amp;"R7pP-R3g-2Y5ir8L0kKvcgmlg3ra6E0FBIcBvQ0eNnp5pOdk=w1200|https://lh3.googleusercontent.com/pw/AP1GczMKeWpyqGILPhhKdTzA7NJukb0UknGaCeY8xyoINZsLY5_dSKDM45gccXrml2Y565IxN5Y_CFKxv6-04oXe28d0foejbOScw1UGWq5wyU3lTzdiPufQ=w1200|https://lh3.googleusercontent.com/pw"&amp;"/AP1GczNGA2ihLUdSksWEXktCTH_6UWuYIcr7AOXO25aPrDeaxg98m523yBoRJ4CX-wsl1BqCoeIhtzhflITfxF3662oO8nxecDo5M2KOEdSTJan2tiTiHQTE=w1200|https://lh3.googleusercontent.com/pw/AP1GczNqUdc_-DzCf0PqwbWR2MByORSQM4l19gVlwLYmVFtCao_YgfW0WbcCHoRdky4DXL3eR9wIwzXcPiBkSqXIR3"&amp;"yR0yto495gJvnSpAezf0iDyqUDwbQi=w1200|https://lh3.googleusercontent.com/pw/AP1GczOZIn067e4aEr8rfjwJ3ixA7Hp4K-V-uUreZ_dOUvnwvd7CO72FyVYmazuWucdMIdBn42LuDW4AIkyUA3H0sPzXG22_98Rr42SZu6a_0QT0mYZd6WJt=w1200|https://lh3.googleusercontent.com/pw/AP1GczNmlYnj1PU3Q"&amp;"fkMHFG6RfbLpyVolwaUtyosAnB_cmfv_zpSSUX-W49FEoB1FkztdlkjgX9tpZFGv5K2Igs1LelmmfmWtPt_deFsTJVQifC3gnBIBRjG=w1200|https://lh3.googleusercontent.com/pw/AP1GczPQ2_Gv2k9BwMQCteOq7v0eawvbf1ecptoq1KaXAIvUu6f7LZ8rVZYjJrnCKqiJ219bgfplAxs0T9bvn5ifkqoo1xezU11nRvywbJgK"&amp;"da5szAB3T_vY=w1200")</f>
        <v>https://lh3.googleusercontent.com/pw/AP1GczNExLehCYDz4wuQn5t0zfUAvX9P06GUECqPcvd841FBN-LkhIpD7kip19pcHI--JBkRy25baAvzOfsvZzLBtpJA8JKSMkXRU0JudGxd6CAAEpxXFmVg=w1200|https://lh3.googleusercontent.com/pw/AP1GczPnR_9ytIUvkRPooW96ooVXXfVM8kr9JhdcJ9b-GKmtGVlqLjA8OtzqUmv5wKP7OgonGJpcZ6FE0wxz492Ik_j6UvVWezSjaft_pB2z44y01XA749WY=w1200|https://lh3.googleusercontent.com/pw/AP1GczMveOTWAisZIcX6GwY5GQW_2h0FF4MruDYHRgHgWpKvPVh8IuObyb6VEd-tZqFxwS_BI7I83speEJ693dTlrSCRB1HUdNYjh-T4rHTIVqvSfGXBXDho=w1200|https://lh3.googleusercontent.com/pw/AP1GczOh1QSgKvCNAaWCPASq93IKrt2cAjB2gy_tVqxAeB_MlC4G4xcFVjcgvnGKA6Vbrm0av4vMUkWry6YDp9ui19nlUdwdqd9gsMV1FWvzmU7N0FkYkAa3=w1200|https://lh3.googleusercontent.com/pw/AP1GczPpt376Hv3i5S5PMbXdyltwFY2cXBzFfyXWP4ebUcDhrgztDgenhVicEMjvyL8vE4CFR7pP-R3g-2Y5ir8L0kKvcgmlg3ra6E0FBIcBvQ0eNnp5pOdk=w1200|https://lh3.googleusercontent.com/pw/AP1GczMKeWpyqGILPhhKdTzA7NJukb0UknGaCeY8xyoINZsLY5_dSKDM45gccXrml2Y565IxN5Y_CFKxv6-04oXe28d0foejbOScw1UGWq5wyU3lTzdiPufQ=w1200|https://lh3.googleusercontent.com/pw/AP1GczNGA2ihLUdSksWEXktCTH_6UWuYIcr7AOXO25aPrDeaxg98m523yBoRJ4CX-wsl1BqCoeIhtzhflITfxF3662oO8nxecDo5M2KOEdSTJan2tiTiHQTE=w1200|https://lh3.googleusercontent.com/pw/AP1GczNqUdc_-DzCf0PqwbWR2MByORSQM4l19gVlwLYmVFtCao_YgfW0WbcCHoRdky4DXL3eR9wIwzXcPiBkSqXIR3yR0yto495gJvnSpAezf0iDyqUDwbQi=w1200|https://lh3.googleusercontent.com/pw/AP1GczOZIn067e4aEr8rfjwJ3ixA7Hp4K-V-uUreZ_dOUvnwvd7CO72FyVYmazuWucdMIdBn42LuDW4AIkyUA3H0sPzXG22_98Rr42SZu6a_0QT0mYZd6WJt=w1200|https://lh3.googleusercontent.com/pw/AP1GczNmlYnj1PU3QfkMHFG6RfbLpyVolwaUtyosAnB_cmfv_zpSSUX-W49FEoB1FkztdlkjgX9tpZFGv5K2Igs1LelmmfmWtPt_deFsTJVQifC3gnBIBRjG=w1200|https://lh3.googleusercontent.com/pw/AP1GczPQ2_Gv2k9BwMQCteOq7v0eawvbf1ecptoq1KaXAIvUu6f7LZ8rVZYjJrnCKqiJ219bgfplAxs0T9bvn5ifkqoo1xezU11nRvywbJgKda5szAB3T_vY=w1200</v>
      </c>
      <c r="AJ339" s="46"/>
      <c r="AK339" s="46"/>
      <c r="AL339" s="46"/>
      <c r="AM339" s="46"/>
      <c r="AN339" s="46"/>
      <c r="AO339" s="46"/>
      <c r="AP339" s="46"/>
      <c r="AQ339" s="46"/>
      <c r="AR339" s="46"/>
      <c r="AS339" s="46"/>
      <c r="AT339" s="46"/>
      <c r="AU339" s="46"/>
      <c r="AV339" s="46"/>
      <c r="AW339" s="46"/>
      <c r="AX339" s="46"/>
      <c r="AY339" s="46"/>
      <c r="AZ339" s="46"/>
      <c r="BA339" s="46"/>
      <c r="BB339" s="46"/>
      <c r="BC339" s="46"/>
      <c r="BD339" s="46"/>
      <c r="BE339" s="46"/>
      <c r="BF339" s="46"/>
      <c r="BG339" s="46"/>
      <c r="BH339" s="46"/>
      <c r="BI339" s="46"/>
      <c r="BJ339" s="46"/>
      <c r="BK339" s="46"/>
      <c r="BL339" s="46"/>
      <c r="BM339" s="46"/>
      <c r="BN339" s="46"/>
      <c r="BO339" s="46"/>
      <c r="BP339" s="46"/>
      <c r="BQ339" s="46"/>
      <c r="BR339" s="46"/>
      <c r="BS339" s="46"/>
      <c r="BT339" s="46"/>
      <c r="BU339" s="46"/>
      <c r="BV339" s="46"/>
      <c r="BW339" s="46"/>
      <c r="BX339" s="46"/>
      <c r="BY339" s="46"/>
      <c r="BZ339" s="46"/>
      <c r="CA339" s="46"/>
      <c r="CB339" s="46"/>
      <c r="CC339" s="46"/>
    </row>
    <row r="340">
      <c r="A340" s="87" t="str">
        <f>IFERROR(__xludf.DUMMYFUNCTION("""COMPUTED_VALUE"""),"032")</f>
        <v>032</v>
      </c>
      <c r="B340" s="46" t="str">
        <f>IFERROR(__xludf.DUMMYFUNCTION("""COMPUTED_VALUE"""),"Casa en barrio Sevilla")</f>
        <v>Casa en barrio Sevilla</v>
      </c>
      <c r="C340" s="46" t="str">
        <f>IFERROR(__xludf.DUMMYFUNCTION("""COMPUTED_VALUE"""),"Casa")</f>
        <v>Casa</v>
      </c>
      <c r="D340" s="46" t="str">
        <f>IFERROR(__xludf.DUMMYFUNCTION("""COMPUTED_VALUE"""),"Sevilla")</f>
        <v>Sevilla</v>
      </c>
      <c r="E340" s="90" t="str">
        <f>IFERROR(__xludf.DUMMYFUNCTION("""COMPUTED_VALUE""")," ")</f>
        <v> </v>
      </c>
      <c r="F340" s="90">
        <f>IFERROR(__xludf.DUMMYFUNCTION("""COMPUTED_VALUE"""),7.5E8)</f>
        <v>750000000</v>
      </c>
      <c r="G340" s="46" t="str">
        <f>IFERROR(__xludf.DUMMYFUNCTION("""COMPUTED_VALUE"""),"$500'000.000 a $1.000'000.000")</f>
        <v>$500'000.000 a $1.000'000.000</v>
      </c>
      <c r="H340" s="46"/>
      <c r="I340" s="46"/>
      <c r="J340" s="46" t="str">
        <f>IFERROR(__xludf.DUMMYFUNCTION("""COMPUTED_VALUE"""),"Centro")</f>
        <v>Centro</v>
      </c>
      <c r="K340" s="87" t="str">
        <f>IFERROR(__xludf.DUMMYFUNCTION("""COMPUTED_VALUE"""),"3")</f>
        <v>3</v>
      </c>
      <c r="L340" s="46">
        <f>IFERROR(__xludf.DUMMYFUNCTION("""COMPUTED_VALUE"""),4.0)</f>
        <v>4</v>
      </c>
      <c r="M340" s="46"/>
      <c r="N340" s="46">
        <f>IFERROR(__xludf.DUMMYFUNCTION("""COMPUTED_VALUE"""),3.0)</f>
        <v>3</v>
      </c>
      <c r="O340" s="46">
        <f>IFERROR(__xludf.DUMMYFUNCTION("""COMPUTED_VALUE"""),2.0)</f>
        <v>2</v>
      </c>
      <c r="P340" s="46">
        <f>IFERROR(__xludf.DUMMYFUNCTION("""COMPUTED_VALUE"""),3.0)</f>
        <v>3</v>
      </c>
      <c r="Q340" s="92">
        <f>IFERROR(__xludf.DUMMYFUNCTION("""COMPUTED_VALUE"""),335.0)</f>
        <v>335</v>
      </c>
      <c r="R340" s="92">
        <f>IFERROR(__xludf.DUMMYFUNCTION("""COMPUTED_VALUE"""),141.0)</f>
        <v>141</v>
      </c>
      <c r="S340" s="87" t="str">
        <f>IFERROR(__xludf.DUMMYFUNCTION("""COMPUTED_VALUE""")," ")</f>
        <v> </v>
      </c>
      <c r="T340" s="46" t="str">
        <f>IFERROR(__xludf.DUMMYFUNCTION("""COMPUTED_VALUE"""),"Neiva")</f>
        <v>Neiva</v>
      </c>
      <c r="U340" s="87" t="str">
        <f>IFERROR(__xludf.DUMMYFUNCTION("""COMPUTED_VALUE"""),"4")</f>
        <v>4</v>
      </c>
      <c r="V340" s="46" t="str">
        <f>IFERROR(__xludf.DUMMYFUNCTION("""COMPUTED_VALUE"""),"Medianera")</f>
        <v>Medianera</v>
      </c>
      <c r="W340" s="46"/>
      <c r="X340" s="46">
        <f>IFERROR(__xludf.DUMMYFUNCTION("""COMPUTED_VALUE"""),4.0)</f>
        <v>4</v>
      </c>
      <c r="Y340" s="46" t="str">
        <f>IFERROR(__xludf.DUMMYFUNCTION("""COMPUTED_VALUE"""),"No tiene")</f>
        <v>No tiene</v>
      </c>
      <c r="Z340" s="90" t="str">
        <f>IFERROR(__xludf.DUMMYFUNCTION("""COMPUTED_VALUE"""),"No aplica")</f>
        <v>No aplica</v>
      </c>
      <c r="AA340" s="33" t="str">
        <f>IFERROR(__xludf.DUMMYFUNCTION("""COMPUTED_VALUE"""),"No aplica")</f>
        <v>No aplica</v>
      </c>
      <c r="AB340" s="96" t="str">
        <f>IFERROR(__xludf.DUMMYFUNCTION("""COMPUTED_VALUE"""),"https://photos.app.goo.gl/uVDDREVywH7S5yTH6")</f>
        <v>https://photos.app.goo.gl/uVDDREVywH7S5yTH6</v>
      </c>
      <c r="AC340" s="46"/>
      <c r="AD340" s="46" t="str">
        <f>IFERROR(__xludf.DUMMYFUNCTION("""COMPUTED_VALUE"""),"Casa amplia, con buenos acabados. Escritura al día.")</f>
        <v>Casa amplia, con buenos acabados. Escritura al día.</v>
      </c>
      <c r="AE340" s="46"/>
      <c r="AF340" s="46" t="str">
        <f>IFERROR(__xludf.DUMMYFUNCTION("""COMPUTED_VALUE"""),"integral")</f>
        <v>integral</v>
      </c>
      <c r="AG340" s="46"/>
      <c r="AH340" s="46" t="str">
        <f>IFERROR(__xludf.DUMMYFUNCTION("""COMPUTED_VALUE"""),"Aliado")</f>
        <v>Aliado</v>
      </c>
      <c r="AI340" s="92" t="str">
        <f>IFERROR(__xludf.DUMMYFUNCTION("""COMPUTED_VALUE"""),"https://lh3.googleusercontent.com/pw/AP1GczMqbpb7vXdP2rQbTs7R98TITQMBHQGNgwtkqruD3fR41QtfYTDKcqNnrLAjTprugKkOLP9KrRzvCSk3N7vxBCTeVVVlSeuyX0fijvYu0-bzDg0JlNpj=w1200|https://lh3.googleusercontent.com/pw/AP1GczOXmVug-14fxlr-V3cO4CsEpJ6qlI8jJJQGQJer0YGgxH5wJU"&amp;"uroD9s0mwAwzQFwYYmJeDPGEdNul7jBkb2fao2dB-wxVOQCLdTegWedlSId5F6GJRb=w1200|https://lh3.googleusercontent.com/pw/AP1GczNlMCNFmBOQQ_-sx4Kgbua3wGSXkcNRkxIwNFliNjcsJariOrX1-Ov75126oiIl9dTNrh4OPElbhi57raZQMSo_Cc82SoXuf5nqS6DsjCYXqBfQmmka=w1200|https://lh3.google"&amp;"usercontent.com/pw/AP1GczO-gK-G_d0qSxv2He2nbEe3rUTCTsjyY-3f95pDg2XkS_gYBF8jX5sDgP_0v143az0jG9jtTXsZ7tZwiADiJ_qwOcpxQtYugitVys-D0F391hQSSsA_=w1200|https://lh3.googleusercontent.com/pw/AP1GczOZCgFh3F_UoF9rjWd9Gev9yHQMsQk0hhvRRe5-L8MK3_KNM8TadL7Kr-2yyN769kjq"&amp;"2qgnJZZml0zyVSvrA_bfGvw4HWDHtYYU_XjEnb984n4bszfD=w1200|https://lh3.googleusercontent.com/pw/AP1GczN8Vb7ypihJpqhem135-KQzsWt1s0Ez5QF_GClIi9ukxSULZSwf20U1bTbcFsNNCNGnlClH7QR_lAO7AMGcORjK8Oqmy_mn1z5UU1PQwdN17lwKFShu=w1200|https://lh3.googleusercontent.com/pw"&amp;"/AP1GczMh8tI-0-GjW9xBi8qw2My1tqppkU4OQbC4oi5ibv6qwIyo_qPGmvwrQDhd9q9qBSBAiAHhGeu2jr6v7hQVj_N8aC2fU_QF8yaPbCKp_u37rh_C20Lf=w1200|https://lh3.googleusercontent.com/pw/AP1GczOJgw6xBGd9hWPXCaBfWIEwk5U9nIZ8LiyuxF1twSkcM39x2uIEuqBFlF2FApgt8xKcoSF1tkWVIT7dqBbtTW"&amp;"ksdHAtPJ16x276rpAYdN7bTBViox-F=w1200|https://lh3.googleusercontent.com/pw/AP1GczMN2E7UBkr5u0MpRju7DkzHBZVPSVHaPl9unQI_6ZeAzbVkURfOUOsX3Z2ijgxw-Vl9uwjezfNEvu_UPR6PAICM5AHNJ9SMsbaUixxA0R_JB9coCzVS=w1200|https://lh3.googleusercontent.com/pw/AP1GczP8IxiiMCc0q"&amp;"drh2ZNZKEOqAaqBFAvI5u-NsDZKRsAQhwuxKEpsgey5MaKx_2kB9paIsLmc_NX1RfVOSAhmI_ASAzqs-h3eOCpvvj0Q4cfOw41kN8JG=w1200|https://lh3.googleusercontent.com/pw/AP1GczO-sPel3v8XurouCsVCI4UDCa71-k7-bHL3XeJ4cYzMzEXQ8zVVLASxElBWgkzXnec2nweOqYV_3hONwR7LLJbUCrVtpp4i8NsHXBBO"&amp;"TXrgyNk-rQ-j=w1200|https://lh3.googleusercontent.com/pw/AP1GczOl7ac3QWbucYbuR-8JJVothl6m6qTyhpDtk1Bj0FzTcza1EjFNEXQMpFSBXO2tx6uMluKDnBVJisZzlpwnLs2t2cjNIzhWF4u366Tjl0Tl_rLEVx3G=w1200|https://lh3.googleusercontent.com/pw/AP1GczPbxwefdiPoBj9R5lOhmUmG0YCHbsz"&amp;"s_dngCHiBIX1fQNrtcUxSiMOICNGOgf-9EOVIt8NGpU-waIapf-2MX1ctbjLOLGKcOktIQaDxdO9luwS_VxLG=w1200|https://lh3.googleusercontent.com/pw/AP1GczNoLHj828rSLj36UnaDW53nj525Y5YK2MYzWPFwpEqBdeCnTm-dksx6SnMpqxJ3B_PdMtokjCAttxBqJuQzJE11_3u-lNc2mZYNngobrshGEmiZ2Z0O=w1200"&amp;"|https://lh3.googleusercontent.com/pw/AP1GczPN1Ic_9sPwOGYv-MgAb671gkCrOG37oOx46ZctmD2F_T1qZWAL79HgjgXdDfDVRGcnE7r4bLeIFZp7nmU93mx7LGwDiEN_xIVV966R0yArFZZ1_M2U=w1200|https://lh3.googleusercontent.com/pw/AP1GczOb_qHYkcev0KqWJv-_aIDy3lv5h_3DoPZvoZDJqe0fKSpYp"&amp;"rid8gVUggDnkjJ8BxnC6kgAC_A_gMtw4s_79I39w5d66QC39SNjO-sp2RMZ6bXQNTIW=w1200|https://lh3.googleusercontent.com/pw/AP1GczPHwrfPOjuMRtie2R2c2L3u-U8U-h1PuX6Ii2FcaFm0I1EJcNjyXr10emK-8NUosja_sKKh96LImD0tGLO9QuRrcJPtQM8OCw7t7vfg4P_qmnpceXOU=w1200|https://lh3.googl"&amp;"eusercontent.com/pw/AP1GczOd_qK7MzX9P26LBf_5PJBmkSUacEW2lDrE_pfREmiR9Uqe6QBligV5gyWOQpT4ijGIPFdyRKuSp7BRZAqgtlz_pEK7ZDgc0uK8LHw4sx8iXm9-ucTa=w1200|https://lh3.googleusercontent.com/pw/AP1GczMCKbc0ylrXUI8yXhZsbVw5CvVrIVYvyMEjp-g8VLNtaLbk1F6oC7aDSGZl--0kKoE"&amp;"sS4tiq21UTIL1S3eWAVnHtadKBYapDvgxPPDMCKOqfvoCuWLw=w1200|https://lh3.googleusercontent.com/pw/AP1GczOl-gf5GE4D8ZJ5XHM_ONLpNaebk4s3YJ2AlO5Nss14p4dVz4Ko_jJVeUsEr1AUdbHHh3qg2U750i8WzWx8avfES_qqw6Ribkj9b711GX8Di4HQdZrM=w1200|https://lh3.googleusercontent.com/p"&amp;"w/AP1GczO-6pNxPI1eeI-ty0Unh3dnYh02LGlK_C1NXTz3QjxBlOrxGRLtJb1YGzYpt8HoAoqcFQGt_AQDBA1raG2YDPdb19Xsy9k-n0n18LsR9V6O_Bj2sT9M=w1200|https://lh3.googleusercontent.com/pw/AP1GczNriZh1ONnnM31ZWNJdk6yFESBtXXL-HqyGpJ4mvineyBMePwM7xQsKnIed_boDr6-ojy37raypw8Znw9txD"&amp;"XV2YblCzyPhL62XnZOO4-ZefYMBkF7_=w1200|https://lh3.googleusercontent.com/pw/AP1GczMKLSH8j1plJvr1bLHi0_lv08lCUZqtCtXmeTz9VfiXgYBDOtmZNbv63r5Upjd18oIqgking0OneCumEhf11JOx54DP6rCB5fW0fS7hGjF5_h84P7_u=w1200|https://lh3.googleusercontent.com/pw/AP1GczNs0AFNJc7O"&amp;"H51Of1PHGmRB13fiCD9f9esPvtMiW8J0To82kY53oP7RmXCRQRbiJFUQInzdUma-yC_7sIX--O_u5hg_h3xOJ4Iilhr1N5IkwU0MGRiW=w1200")</f>
        <v>https://lh3.googleusercontent.com/pw/AP1GczMqbpb7vXdP2rQbTs7R98TITQMBHQGNgwtkqruD3fR41QtfYTDKcqNnrLAjTprugKkOLP9KrRzvCSk3N7vxBCTeVVVlSeuyX0fijvYu0-bzDg0JlNpj=w1200|https://lh3.googleusercontent.com/pw/AP1GczOXmVug-14fxlr-V3cO4CsEpJ6qlI8jJJQGQJer0YGgxH5wJUuroD9s0mwAwzQFwYYmJeDPGEdNul7jBkb2fao2dB-wxVOQCLdTegWedlSId5F6GJRb=w1200|https://lh3.googleusercontent.com/pw/AP1GczNlMCNFmBOQQ_-sx4Kgbua3wGSXkcNRkxIwNFliNjcsJariOrX1-Ov75126oiIl9dTNrh4OPElbhi57raZQMSo_Cc82SoXuf5nqS6DsjCYXqBfQmmka=w1200|https://lh3.googleusercontent.com/pw/AP1GczO-gK-G_d0qSxv2He2nbEe3rUTCTsjyY-3f95pDg2XkS_gYBF8jX5sDgP_0v143az0jG9jtTXsZ7tZwiADiJ_qwOcpxQtYugitVys-D0F391hQSSsA_=w1200|https://lh3.googleusercontent.com/pw/AP1GczOZCgFh3F_UoF9rjWd9Gev9yHQMsQk0hhvRRe5-L8MK3_KNM8TadL7Kr-2yyN769kjq2qgnJZZml0zyVSvrA_bfGvw4HWDHtYYU_XjEnb984n4bszfD=w1200|https://lh3.googleusercontent.com/pw/AP1GczN8Vb7ypihJpqhem135-KQzsWt1s0Ez5QF_GClIi9ukxSULZSwf20U1bTbcFsNNCNGnlClH7QR_lAO7AMGcORjK8Oqmy_mn1z5UU1PQwdN17lwKFShu=w1200|https://lh3.googleusercontent.com/pw/AP1GczMh8tI-0-GjW9xBi8qw2My1tqppkU4OQbC4oi5ibv6qwIyo_qPGmvwrQDhd9q9qBSBAiAHhGeu2jr6v7hQVj_N8aC2fU_QF8yaPbCKp_u37rh_C20Lf=w1200|https://lh3.googleusercontent.com/pw/AP1GczOJgw6xBGd9hWPXCaBfWIEwk5U9nIZ8LiyuxF1twSkcM39x2uIEuqBFlF2FApgt8xKcoSF1tkWVIT7dqBbtTWksdHAtPJ16x276rpAYdN7bTBViox-F=w1200|https://lh3.googleusercontent.com/pw/AP1GczMN2E7UBkr5u0MpRju7DkzHBZVPSVHaPl9unQI_6ZeAzbVkURfOUOsX3Z2ijgxw-Vl9uwjezfNEvu_UPR6PAICM5AHNJ9SMsbaUixxA0R_JB9coCzVS=w1200|https://lh3.googleusercontent.com/pw/AP1GczP8IxiiMCc0qdrh2ZNZKEOqAaqBFAvI5u-NsDZKRsAQhwuxKEpsgey5MaKx_2kB9paIsLmc_NX1RfVOSAhmI_ASAzqs-h3eOCpvvj0Q4cfOw41kN8JG=w1200|https://lh3.googleusercontent.com/pw/AP1GczO-sPel3v8XurouCsVCI4UDCa71-k7-bHL3XeJ4cYzMzEXQ8zVVLASxElBWgkzXnec2nweOqYV_3hONwR7LLJbUCrVtpp4i8NsHXBBOTXrgyNk-rQ-j=w1200|https://lh3.googleusercontent.com/pw/AP1GczOl7ac3QWbucYbuR-8JJVothl6m6qTyhpDtk1Bj0FzTcza1EjFNEXQMpFSBXO2tx6uMluKDnBVJisZzlpwnLs2t2cjNIzhWF4u366Tjl0Tl_rLEVx3G=w1200|https://lh3.googleusercontent.com/pw/AP1GczPbxwefdiPoBj9R5lOhmUmG0YCHbszs_dngCHiBIX1fQNrtcUxSiMOICNGOgf-9EOVIt8NGpU-waIapf-2MX1ctbjLOLGKcOktIQaDxdO9luwS_VxLG=w1200|https://lh3.googleusercontent.com/pw/AP1GczNoLHj828rSLj36UnaDW53nj525Y5YK2MYzWPFwpEqBdeCnTm-dksx6SnMpqxJ3B_PdMtokjCAttxBqJuQzJE11_3u-lNc2mZYNngobrshGEmiZ2Z0O=w1200|https://lh3.googleusercontent.com/pw/AP1GczPN1Ic_9sPwOGYv-MgAb671gkCrOG37oOx46ZctmD2F_T1qZWAL79HgjgXdDfDVRGcnE7r4bLeIFZp7nmU93mx7LGwDiEN_xIVV966R0yArFZZ1_M2U=w1200|https://lh3.googleusercontent.com/pw/AP1GczOb_qHYkcev0KqWJv-_aIDy3lv5h_3DoPZvoZDJqe0fKSpYprid8gVUggDnkjJ8BxnC6kgAC_A_gMtw4s_79I39w5d66QC39SNjO-sp2RMZ6bXQNTIW=w1200|https://lh3.googleusercontent.com/pw/AP1GczPHwrfPOjuMRtie2R2c2L3u-U8U-h1PuX6Ii2FcaFm0I1EJcNjyXr10emK-8NUosja_sKKh96LImD0tGLO9QuRrcJPtQM8OCw7t7vfg4P_qmnpceXOU=w1200|https://lh3.googleusercontent.com/pw/AP1GczOd_qK7MzX9P26LBf_5PJBmkSUacEW2lDrE_pfREmiR9Uqe6QBligV5gyWOQpT4ijGIPFdyRKuSp7BRZAqgtlz_pEK7ZDgc0uK8LHw4sx8iXm9-ucTa=w1200|https://lh3.googleusercontent.com/pw/AP1GczMCKbc0ylrXUI8yXhZsbVw5CvVrIVYvyMEjp-g8VLNtaLbk1F6oC7aDSGZl--0kKoEsS4tiq21UTIL1S3eWAVnHtadKBYapDvgxPPDMCKOqfvoCuWLw=w1200|https://lh3.googleusercontent.com/pw/AP1GczOl-gf5GE4D8ZJ5XHM_ONLpNaebk4s3YJ2AlO5Nss14p4dVz4Ko_jJVeUsEr1AUdbHHh3qg2U750i8WzWx8avfES_qqw6Ribkj9b711GX8Di4HQdZrM=w1200|https://lh3.googleusercontent.com/pw/AP1GczO-6pNxPI1eeI-ty0Unh3dnYh02LGlK_C1NXTz3QjxBlOrxGRLtJb1YGzYpt8HoAoqcFQGt_AQDBA1raG2YDPdb19Xsy9k-n0n18LsR9V6O_Bj2sT9M=w1200|https://lh3.googleusercontent.com/pw/AP1GczNriZh1ONnnM31ZWNJdk6yFESBtXXL-HqyGpJ4mvineyBMePwM7xQsKnIed_boDr6-ojy37raypw8Znw9txDXV2YblCzyPhL62XnZOO4-ZefYMBkF7_=w1200|https://lh3.googleusercontent.com/pw/AP1GczMKLSH8j1plJvr1bLHi0_lv08lCUZqtCtXmeTz9VfiXgYBDOtmZNbv63r5Upjd18oIqgking0OneCumEhf11JOx54DP6rCB5fW0fS7hGjF5_h84P7_u=w1200|https://lh3.googleusercontent.com/pw/AP1GczNs0AFNJc7OH51Of1PHGmRB13fiCD9f9esPvtMiW8J0To82kY53oP7RmXCRQRbiJFUQInzdUma-yC_7sIX--O_u5hg_h3xOJ4Iilhr1N5IkwU0MGRiW=w1200</v>
      </c>
      <c r="AJ340" s="46"/>
      <c r="AK340" s="46"/>
      <c r="AL340" s="46"/>
      <c r="AM340" s="46"/>
      <c r="AN340" s="46"/>
      <c r="AO340" s="46"/>
      <c r="AP340" s="46"/>
      <c r="AQ340" s="46"/>
      <c r="AR340" s="46"/>
      <c r="AS340" s="46"/>
      <c r="AT340" s="46"/>
      <c r="AU340" s="46"/>
      <c r="AV340" s="46"/>
      <c r="AW340" s="46"/>
      <c r="AX340" s="46"/>
      <c r="AY340" s="46"/>
      <c r="AZ340" s="46"/>
      <c r="BA340" s="46"/>
      <c r="BB340" s="46"/>
      <c r="BC340" s="46"/>
      <c r="BD340" s="46"/>
      <c r="BE340" s="46"/>
      <c r="BF340" s="46"/>
      <c r="BG340" s="46"/>
      <c r="BH340" s="46"/>
      <c r="BI340" s="46"/>
      <c r="BJ340" s="46"/>
      <c r="BK340" s="46"/>
      <c r="BL340" s="46"/>
      <c r="BM340" s="46"/>
      <c r="BN340" s="46"/>
      <c r="BO340" s="46"/>
      <c r="BP340" s="46"/>
      <c r="BQ340" s="46"/>
      <c r="BR340" s="46"/>
      <c r="BS340" s="46"/>
      <c r="BT340" s="46"/>
      <c r="BU340" s="46"/>
      <c r="BV340" s="46"/>
      <c r="BW340" s="46"/>
      <c r="BX340" s="46"/>
      <c r="BY340" s="46"/>
      <c r="BZ340" s="46"/>
      <c r="CA340" s="46"/>
      <c r="CB340" s="46"/>
      <c r="CC340" s="46"/>
    </row>
    <row r="341">
      <c r="A341" s="87" t="str">
        <f>IFERROR(__xludf.DUMMYFUNCTION("""COMPUTED_VALUE"""),"1026")</f>
        <v>1026</v>
      </c>
      <c r="B341" s="46" t="str">
        <f>IFERROR(__xludf.DUMMYFUNCTION("""COMPUTED_VALUE"""),"Casa en barrio Ipanema")</f>
        <v>Casa en barrio Ipanema</v>
      </c>
      <c r="C341" s="46" t="str">
        <f>IFERROR(__xludf.DUMMYFUNCTION("""COMPUTED_VALUE"""),"Casa")</f>
        <v>Casa</v>
      </c>
      <c r="D341" s="46" t="str">
        <f>IFERROR(__xludf.DUMMYFUNCTION("""COMPUTED_VALUE"""),"Ipanema")</f>
        <v>Ipanema</v>
      </c>
      <c r="E341" s="90"/>
      <c r="F341" s="90">
        <f>IFERROR(__xludf.DUMMYFUNCTION("""COMPUTED_VALUE"""),6.5E8)</f>
        <v>650000000</v>
      </c>
      <c r="G341" s="46" t="str">
        <f>IFERROR(__xludf.DUMMYFUNCTION("""COMPUTED_VALUE"""),"$500'000.000 a $1.000'000.000")</f>
        <v>$500'000.000 a $1.000'000.000</v>
      </c>
      <c r="H341" s="46"/>
      <c r="I341" s="46"/>
      <c r="J341" s="46" t="str">
        <f>IFERROR(__xludf.DUMMYFUNCTION("""COMPUTED_VALUE"""),"Oriente")</f>
        <v>Oriente</v>
      </c>
      <c r="K341" s="87"/>
      <c r="L341" s="46">
        <f>IFERROR(__xludf.DUMMYFUNCTION("""COMPUTED_VALUE"""),4.0)</f>
        <v>4</v>
      </c>
      <c r="M341" s="46"/>
      <c r="N341" s="46">
        <f>IFERROR(__xludf.DUMMYFUNCTION("""COMPUTED_VALUE"""),4.0)</f>
        <v>4</v>
      </c>
      <c r="O341" s="46">
        <f>IFERROR(__xludf.DUMMYFUNCTION("""COMPUTED_VALUE"""),1.0)</f>
        <v>1</v>
      </c>
      <c r="P341" s="46">
        <f>IFERROR(__xludf.DUMMYFUNCTION("""COMPUTED_VALUE"""),2.0)</f>
        <v>2</v>
      </c>
      <c r="Q341" s="92">
        <f>IFERROR(__xludf.DUMMYFUNCTION("""COMPUTED_VALUE"""),199.3)</f>
        <v>199.3</v>
      </c>
      <c r="R341" s="92">
        <f>IFERROR(__xludf.DUMMYFUNCTION("""COMPUTED_VALUE"""),107.1)</f>
        <v>107.1</v>
      </c>
      <c r="S341" s="87" t="str">
        <f>IFERROR(__xludf.DUMMYFUNCTION("""COMPUTED_VALUE""")," ")</f>
        <v> </v>
      </c>
      <c r="T341" s="46" t="str">
        <f>IFERROR(__xludf.DUMMYFUNCTION("""COMPUTED_VALUE"""),"Neiva")</f>
        <v>Neiva</v>
      </c>
      <c r="U341" s="87" t="str">
        <f>IFERROR(__xludf.DUMMYFUNCTION("""COMPUTED_VALUE"""),"4")</f>
        <v>4</v>
      </c>
      <c r="V341" s="46" t="str">
        <f>IFERROR(__xludf.DUMMYFUNCTION("""COMPUTED_VALUE"""),"Esquinera")</f>
        <v>Esquinera</v>
      </c>
      <c r="W341" s="46"/>
      <c r="X341" s="46">
        <f>IFERROR(__xludf.DUMMYFUNCTION("""COMPUTED_VALUE"""),4.0)</f>
        <v>4</v>
      </c>
      <c r="Y341" s="46" t="str">
        <f>IFERROR(__xludf.DUMMYFUNCTION("""COMPUTED_VALUE"""),"Privada")</f>
        <v>Privada</v>
      </c>
      <c r="Z341" s="90" t="str">
        <f>IFERROR(__xludf.DUMMYFUNCTION("""COMPUTED_VALUE"""),"No aplica")</f>
        <v>No aplica</v>
      </c>
      <c r="AA341" s="33" t="str">
        <f>IFERROR(__xludf.DUMMYFUNCTION("""COMPUTED_VALUE"""),"No aplica")</f>
        <v>No aplica</v>
      </c>
      <c r="AB341" s="96" t="str">
        <f>IFERROR(__xludf.DUMMYFUNCTION("""COMPUTED_VALUE"""),"https://photos.app.goo.gl/3jss4zehsxWf1NM78")</f>
        <v>https://photos.app.goo.gl/3jss4zehsxWf1NM78</v>
      </c>
      <c r="AC341" s="46" t="str">
        <f>IFERROR(__xludf.DUMMYFUNCTION("""COMPUTED_VALUE"""),"Casa con buenos acabados, piso en cerámica, carpintería en madera y aluminio, cielo raso en Driwall, divisiones en vidrio templado.")</f>
        <v>Casa con buenos acabados, piso en cerámica, carpintería en madera y aluminio, cielo raso en Driwall, divisiones en vidrio templado.</v>
      </c>
      <c r="AD341" s="46" t="str">
        <f>IFERROR(__xludf.DUMMYFUNCTION("""COMPUTED_VALUE"""),"Casa bien ubicada sobre vías vehiculares amplias, cera del centro comercial Santa lucia plaza. Cuenta con reja antejardín y patio. Escritura al día.")</f>
        <v>Casa bien ubicada sobre vías vehiculares amplias, cera del centro comercial Santa lucia plaza. Cuenta con reja antejardín y patio. Escritura al día.</v>
      </c>
      <c r="AE341" s="46"/>
      <c r="AF341" s="46" t="str">
        <f>IFERROR(__xludf.DUMMYFUNCTION("""COMPUTED_VALUE"""),"integral")</f>
        <v>integral</v>
      </c>
      <c r="AG341" s="46"/>
      <c r="AH341" s="46" t="str">
        <f>IFERROR(__xludf.DUMMYFUNCTION("""COMPUTED_VALUE"""),"Aliado")</f>
        <v>Aliado</v>
      </c>
      <c r="AI341" s="92" t="str">
        <f>IFERROR(__xludf.DUMMYFUNCTION("""COMPUTED_VALUE"""),"https://lh3.googleusercontent.com/pw/AP1GczOMg37gj9A5bVXk20czseRJVWcVWD82hFO_VTcvjCJB_Rsi3Fne5ju6VFkl4jBBLZ71gAaJeFJFNvQMmeooORDHoNLtpXpkHXrm0HFZQe4bEaPBPzJB=w1200|https://lh3.googleusercontent.com/pw/AP1GczM9CPaA-JhS2okH8zbjeMtypSDIwH-t9RRNH65hVibN01yLbw"&amp;"GW27E7kjEVHD4rosUi3yzkT7vlXNXk-iDWlC_kW2mGoMIdD0hy4BJMKrVkqG9fKI7e=w1200|https://lh3.googleusercontent.com/pw/AP1GczO26ocCMtXH3Z_Q4R3Mqz8odWcPtEa0cPm1zeKOYNl-DM-Ohwgx8-g4-2Sveo6-SYm6DHxUNuPSgY6Zn7Hhz8omv7AYbRlxi_VPJ44PQ6eb04RW5UGF=w1200|https://lh3.google"&amp;"usercontent.com/pw/AP1GczMn5o8POH29AXLbhKaTMgOtV9XCbhEKgbJhqgQhRHyNFAjg28jW6nIQoospeQowXg6qelNci_NJ_hGKoobl5f9wE7LNcrfqqNLHyX_wvD22pX6LB_h4=w1200|https://lh3.googleusercontent.com/pw/AP1GczNqhKWlGsI2lpd9oDR9RFDdFhi3-VX8dS2WsJiEfms95Ez17oLheNBHhpPn96PGk4Ws"&amp;"MVZewePMhTd_mftzhSJUR_a0_Paw9HwIQTB88gt_hVtvlppi=w1200|https://lh3.googleusercontent.com/pw/AP1GczO7pb4Qxp7hQM18dQnNVNlBjiX8he0wRpZEsY4XeqhCY_1xUf1p5J5Ja5cDSjMUPDMyok6E9z-Egx6n5xQv9jm-P5Cw4nMN1eE_oKsjBAe-d6Kwmnir=w1200|https://lh3.googleusercontent.com/pw"&amp;"/AP1GczMojg_xVKAMeG8FTmq6BQ4BxRBcBI0Tyqc0fUW3dZVN8spaZK24z7MPudGrPZiXU5vzJ-fVejIc4SAmPtByRCvXrqnnCqh7Tkb8CeedSmJmKCFEkdAA=w1200|https://lh3.googleusercontent.com/pw/AP1GczPTSLNfKDkvjGOvNGvyoxQsiI5cYPM5d4efUeshyWi0ekZTCKaxL1-1ygf2DQzszLflngjyMRUTkMWXH5h6Uy"&amp;"LwhP1ukSqcZ2B3kKiwrCzz21Q7zoXK=w1200|https://lh3.googleusercontent.com/pw/AP1GczNaVmM4ogmmPdUkzx4Zw0ZivZ5y-lG2m09k1jcViwGaXgSqALCop853Qpq0PZdUChaU956-0fqqpWLseq6tVexHOW6AY807wLv4UHqxmxVN8MKQ29ie=w1200|https://lh3.googleusercontent.com/pw/AP1GczN47iXftQXSn"&amp;"pS0xlCHUy1jdlA_PzvR9LOo7TI2PlxhuZAA5g7yPilARLZGBtPvkdNs6r7FtUmq-LytH4oUwk1D9mXwsyGUIMhWslnbzASmSFCno40N=w1200|https://lh3.googleusercontent.com/pw/AP1GczP3ECu6iOHRSG74L-baK_yY3L5__ELEaazJhRnt2TdRo_jCU3nguL9Cq1QwZwQrqpf0YgIyaudkH4o2IasQFcMopWk-cs8Nnl_ys1zk"&amp;"SkNDKH-owU8K=w1200|https://lh3.googleusercontent.com/pw/AP1GczM7a6y1rIvjfCoJCRW37VZUJhovnKVFTiQLjW9XxxWkrwuSSSa8VeCFQ1DpSYavuP7BT3ddoW70rGMwEtc-gK44FWBezqXRmWfwh4mlObN0_P3LhBsK=w1200|https://lh3.googleusercontent.com/pw/AP1GczP6OzckyZFm2tr3Ht8FQbRUbe7prgT"&amp;"Y_drmeX1oPZWCNcETeet52Iq-RYW-JIyksqbKamSIpy1KZa0bHltVvfeSjMkDCs2W2zJye7auyfOtNBo2vpej=w1200|https://lh3.googleusercontent.com/pw/AP1GczMDKAfBy3l1rlaVJNrZqQKjQ98qMr8yUXva3y-jjPm_4Ue-kTInWoBcEGPGY1JukhHUSmWpKuw0R1feh0V6-Ze0o_dlUjc2J4ue6V6RWzn9gE2qsYY6=w1200"&amp;"|https://lh3.googleusercontent.com/pw/AP1GczP4RasdlGxUAMBEyeDn5BneNP5NUva7CI52fak3i6KZXG1YduWRT0Z7ebBEr54wR77Z02BsA1iE0Yy4FxuARx2krzzEAn2E7X1vyXliYWWhjAu1p99s=w1200|https://lh3.googleusercontent.com/pw/AP1GczOkS9LsMJzCJkvGuJrTPCOOYAeQnsMK-PdFWDmY4LBjPwixi"&amp;"Qbp2imPXiO2X8p7FPx0ndUGUsu1qS5YBujvTgv3vh8jKxGjOnMT0sSgO58cNX8RYy__=w1200|https://lh3.googleusercontent.com/pw/AP1GczMmQf26IIsktS1-zWQp8_7tTF_4xdVJR6OoNQy5tXN9eedyEpRnwKm8suHRX7TcZ-g2KZnrTDvNhtV-Lk6lXdn7wLfzImXAMUBRT_ZtAnenqtt-njmy=w1200|https://lh3.googl"&amp;"eusercontent.com/pw/AP1GczNWkZk1QImlXAvHN1J9xi0V5RTzv8pvRlU4E74Q6MgRYLIcLrVXL08A0fUacEoPTCHVwV7rHoLNhIVD17pJStpe7zCNb5f24rNLIfN62CBU4qB9JOne=w1200|https://lh3.googleusercontent.com/pw/AP1GczNO_emg9ZskPiUHRaIZFdqV6vhJFWhScI_Hpa4iIuyU8FsCAk-70VeAJOX3FsdABUn"&amp;"yxTNIAIoqonlTu5PD2Sp5ltQffj2M9AYI4-llv-l1_gg-vMbr=w1200|https://lh3.googleusercontent.com/pw/AP1GczP_C_BVrb50-l-RAe3gtjkT-3m5TiyLvANw2634bUoIbY-6z9pKAB8s-ArcBS07sRu4lD9ZsDgKip3R6MPNgYo_52ugcBj_YF7CVYC03i39L0wv3JBS=w1200")</f>
        <v>https://lh3.googleusercontent.com/pw/AP1GczOMg37gj9A5bVXk20czseRJVWcVWD82hFO_VTcvjCJB_Rsi3Fne5ju6VFkl4jBBLZ71gAaJeFJFNvQMmeooORDHoNLtpXpkHXrm0HFZQe4bEaPBPzJB=w1200|https://lh3.googleusercontent.com/pw/AP1GczM9CPaA-JhS2okH8zbjeMtypSDIwH-t9RRNH65hVibN01yLbwGW27E7kjEVHD4rosUi3yzkT7vlXNXk-iDWlC_kW2mGoMIdD0hy4BJMKrVkqG9fKI7e=w1200|https://lh3.googleusercontent.com/pw/AP1GczO26ocCMtXH3Z_Q4R3Mqz8odWcPtEa0cPm1zeKOYNl-DM-Ohwgx8-g4-2Sveo6-SYm6DHxUNuPSgY6Zn7Hhz8omv7AYbRlxi_VPJ44PQ6eb04RW5UGF=w1200|https://lh3.googleusercontent.com/pw/AP1GczMn5o8POH29AXLbhKaTMgOtV9XCbhEKgbJhqgQhRHyNFAjg28jW6nIQoospeQowXg6qelNci_NJ_hGKoobl5f9wE7LNcrfqqNLHyX_wvD22pX6LB_h4=w1200|https://lh3.googleusercontent.com/pw/AP1GczNqhKWlGsI2lpd9oDR9RFDdFhi3-VX8dS2WsJiEfms95Ez17oLheNBHhpPn96PGk4WsMVZewePMhTd_mftzhSJUR_a0_Paw9HwIQTB88gt_hVtvlppi=w1200|https://lh3.googleusercontent.com/pw/AP1GczO7pb4Qxp7hQM18dQnNVNlBjiX8he0wRpZEsY4XeqhCY_1xUf1p5J5Ja5cDSjMUPDMyok6E9z-Egx6n5xQv9jm-P5Cw4nMN1eE_oKsjBAe-d6Kwmnir=w1200|https://lh3.googleusercontent.com/pw/AP1GczMojg_xVKAMeG8FTmq6BQ4BxRBcBI0Tyqc0fUW3dZVN8spaZK24z7MPudGrPZiXU5vzJ-fVejIc4SAmPtByRCvXrqnnCqh7Tkb8CeedSmJmKCFEkdAA=w1200|https://lh3.googleusercontent.com/pw/AP1GczPTSLNfKDkvjGOvNGvyoxQsiI5cYPM5d4efUeshyWi0ekZTCKaxL1-1ygf2DQzszLflngjyMRUTkMWXH5h6UyLwhP1ukSqcZ2B3kKiwrCzz21Q7zoXK=w1200|https://lh3.googleusercontent.com/pw/AP1GczNaVmM4ogmmPdUkzx4Zw0ZivZ5y-lG2m09k1jcViwGaXgSqALCop853Qpq0PZdUChaU956-0fqqpWLseq6tVexHOW6AY807wLv4UHqxmxVN8MKQ29ie=w1200|https://lh3.googleusercontent.com/pw/AP1GczN47iXftQXSnpS0xlCHUy1jdlA_PzvR9LOo7TI2PlxhuZAA5g7yPilARLZGBtPvkdNs6r7FtUmq-LytH4oUwk1D9mXwsyGUIMhWslnbzASmSFCno40N=w1200|https://lh3.googleusercontent.com/pw/AP1GczP3ECu6iOHRSG74L-baK_yY3L5__ELEaazJhRnt2TdRo_jCU3nguL9Cq1QwZwQrqpf0YgIyaudkH4o2IasQFcMopWk-cs8Nnl_ys1zkSkNDKH-owU8K=w1200|https://lh3.googleusercontent.com/pw/AP1GczM7a6y1rIvjfCoJCRW37VZUJhovnKVFTiQLjW9XxxWkrwuSSSa8VeCFQ1DpSYavuP7BT3ddoW70rGMwEtc-gK44FWBezqXRmWfwh4mlObN0_P3LhBsK=w1200|https://lh3.googleusercontent.com/pw/AP1GczP6OzckyZFm2tr3Ht8FQbRUbe7prgTY_drmeX1oPZWCNcETeet52Iq-RYW-JIyksqbKamSIpy1KZa0bHltVvfeSjMkDCs2W2zJye7auyfOtNBo2vpej=w1200|https://lh3.googleusercontent.com/pw/AP1GczMDKAfBy3l1rlaVJNrZqQKjQ98qMr8yUXva3y-jjPm_4Ue-kTInWoBcEGPGY1JukhHUSmWpKuw0R1feh0V6-Ze0o_dlUjc2J4ue6V6RWzn9gE2qsYY6=w1200|https://lh3.googleusercontent.com/pw/AP1GczP4RasdlGxUAMBEyeDn5BneNP5NUva7CI52fak3i6KZXG1YduWRT0Z7ebBEr54wR77Z02BsA1iE0Yy4FxuARx2krzzEAn2E7X1vyXliYWWhjAu1p99s=w1200|https://lh3.googleusercontent.com/pw/AP1GczOkS9LsMJzCJkvGuJrTPCOOYAeQnsMK-PdFWDmY4LBjPwixiQbp2imPXiO2X8p7FPx0ndUGUsu1qS5YBujvTgv3vh8jKxGjOnMT0sSgO58cNX8RYy__=w1200|https://lh3.googleusercontent.com/pw/AP1GczMmQf26IIsktS1-zWQp8_7tTF_4xdVJR6OoNQy5tXN9eedyEpRnwKm8suHRX7TcZ-g2KZnrTDvNhtV-Lk6lXdn7wLfzImXAMUBRT_ZtAnenqtt-njmy=w1200|https://lh3.googleusercontent.com/pw/AP1GczNWkZk1QImlXAvHN1J9xi0V5RTzv8pvRlU4E74Q6MgRYLIcLrVXL08A0fUacEoPTCHVwV7rHoLNhIVD17pJStpe7zCNb5f24rNLIfN62CBU4qB9JOne=w1200|https://lh3.googleusercontent.com/pw/AP1GczNO_emg9ZskPiUHRaIZFdqV6vhJFWhScI_Hpa4iIuyU8FsCAk-70VeAJOX3FsdABUnyxTNIAIoqonlTu5PD2Sp5ltQffj2M9AYI4-llv-l1_gg-vMbr=w1200|https://lh3.googleusercontent.com/pw/AP1GczP_C_BVrb50-l-RAe3gtjkT-3m5TiyLvANw2634bUoIbY-6z9pKAB8s-ArcBS07sRu4lD9ZsDgKip3R6MPNgYo_52ugcBj_YF7CVYC03i39L0wv3JBS=w1200</v>
      </c>
      <c r="AJ341" s="46"/>
      <c r="AK341" s="46"/>
      <c r="AL341" s="46"/>
      <c r="AM341" s="46"/>
      <c r="AN341" s="46"/>
      <c r="AO341" s="46"/>
      <c r="AP341" s="46"/>
      <c r="AQ341" s="46"/>
      <c r="AR341" s="46"/>
      <c r="AS341" s="46"/>
      <c r="AT341" s="46"/>
      <c r="AU341" s="46"/>
      <c r="AV341" s="46"/>
      <c r="AW341" s="46"/>
      <c r="AX341" s="46"/>
      <c r="AY341" s="46"/>
      <c r="AZ341" s="46"/>
      <c r="BA341" s="46"/>
      <c r="BB341" s="46"/>
      <c r="BC341" s="46"/>
      <c r="BD341" s="46"/>
      <c r="BE341" s="46"/>
      <c r="BF341" s="46"/>
      <c r="BG341" s="46"/>
      <c r="BH341" s="46"/>
      <c r="BI341" s="46"/>
      <c r="BJ341" s="46"/>
      <c r="BK341" s="46"/>
      <c r="BL341" s="46"/>
      <c r="BM341" s="46"/>
      <c r="BN341" s="46"/>
      <c r="BO341" s="46"/>
      <c r="BP341" s="46"/>
      <c r="BQ341" s="46"/>
      <c r="BR341" s="46"/>
      <c r="BS341" s="46"/>
      <c r="BT341" s="46"/>
      <c r="BU341" s="46"/>
      <c r="BV341" s="46"/>
      <c r="BW341" s="46"/>
      <c r="BX341" s="46"/>
      <c r="BY341" s="46"/>
      <c r="BZ341" s="46"/>
      <c r="CA341" s="46"/>
      <c r="CB341" s="46"/>
      <c r="CC341" s="46"/>
    </row>
    <row r="342">
      <c r="A342" s="87" t="str">
        <f>IFERROR(__xludf.DUMMYFUNCTION("""COMPUTED_VALUE"""),"1357")</f>
        <v>1357</v>
      </c>
      <c r="B342" s="46" t="str">
        <f>IFERROR(__xludf.DUMMYFUNCTION("""COMPUTED_VALUE"""),"Lote urbano en barrio Centro ")</f>
        <v>Lote urbano en barrio Centro </v>
      </c>
      <c r="C342" s="46" t="str">
        <f>IFERROR(__xludf.DUMMYFUNCTION("""COMPUTED_VALUE"""),"Lote")</f>
        <v>Lote</v>
      </c>
      <c r="D342" s="46" t="str">
        <f>IFERROR(__xludf.DUMMYFUNCTION("""COMPUTED_VALUE"""),"Centro")</f>
        <v>Centro</v>
      </c>
      <c r="E342" s="46"/>
      <c r="F342" s="90">
        <f>IFERROR(__xludf.DUMMYFUNCTION("""COMPUTED_VALUE"""),6.4E8)</f>
        <v>640000000</v>
      </c>
      <c r="G342" s="46" t="str">
        <f>IFERROR(__xludf.DUMMYFUNCTION("""COMPUTED_VALUE"""),"$500'000.000 a $1.000'000.000")</f>
        <v>$500'000.000 a $1.000'000.000</v>
      </c>
      <c r="H342" s="46"/>
      <c r="I342" s="46"/>
      <c r="J342" s="46" t="str">
        <f>IFERROR(__xludf.DUMMYFUNCTION("""COMPUTED_VALUE"""),"Centro")</f>
        <v>Centro</v>
      </c>
      <c r="K342" s="87" t="str">
        <f>IFERROR(__xludf.DUMMYFUNCTION("""COMPUTED_VALUE"""),"4")</f>
        <v>4</v>
      </c>
      <c r="L342" s="46">
        <f>IFERROR(__xludf.DUMMYFUNCTION("""COMPUTED_VALUE"""),0.0)</f>
        <v>0</v>
      </c>
      <c r="M342" s="46"/>
      <c r="N342" s="46">
        <f>IFERROR(__xludf.DUMMYFUNCTION("""COMPUTED_VALUE"""),0.0)</f>
        <v>0</v>
      </c>
      <c r="O342" s="46">
        <f>IFERROR(__xludf.DUMMYFUNCTION("""COMPUTED_VALUE"""),0.0)</f>
        <v>0</v>
      </c>
      <c r="P342" s="46">
        <f>IFERROR(__xludf.DUMMYFUNCTION("""COMPUTED_VALUE"""),0.0)</f>
        <v>0</v>
      </c>
      <c r="Q342" s="92">
        <f>IFERROR(__xludf.DUMMYFUNCTION("""COMPUTED_VALUE"""),0.0)</f>
        <v>0</v>
      </c>
      <c r="R342" s="92">
        <f>IFERROR(__xludf.DUMMYFUNCTION("""COMPUTED_VALUE"""),320.0)</f>
        <v>320</v>
      </c>
      <c r="S342" s="87" t="str">
        <f>IFERROR(__xludf.DUMMYFUNCTION("""COMPUTED_VALUE""")," ")</f>
        <v> </v>
      </c>
      <c r="T342" s="46" t="str">
        <f>IFERROR(__xludf.DUMMYFUNCTION("""COMPUTED_VALUE"""),"Neiva")</f>
        <v>Neiva</v>
      </c>
      <c r="U342" s="87" t="str">
        <f>IFERROR(__xludf.DUMMYFUNCTION("""COMPUTED_VALUE"""),"4")</f>
        <v>4</v>
      </c>
      <c r="V342" s="46" t="str">
        <f>IFERROR(__xludf.DUMMYFUNCTION("""COMPUTED_VALUE"""),"Medianera")</f>
        <v>Medianera</v>
      </c>
      <c r="W342" s="46"/>
      <c r="X342" s="46">
        <f>IFERROR(__xludf.DUMMYFUNCTION("""COMPUTED_VALUE"""),0.0)</f>
        <v>0</v>
      </c>
      <c r="Y342" s="46" t="str">
        <f>IFERROR(__xludf.DUMMYFUNCTION("""COMPUTED_VALUE"""),"No tiene")</f>
        <v>No tiene</v>
      </c>
      <c r="Z342" s="90"/>
      <c r="AA342" s="33" t="str">
        <f>IFERROR(__xludf.DUMMYFUNCTION("""COMPUTED_VALUE"""),"No aplica")</f>
        <v>No aplica</v>
      </c>
      <c r="AB342" s="96" t="str">
        <f>IFERROR(__xludf.DUMMYFUNCTION("""COMPUTED_VALUE"""),"https://photos.app.goo.gl/vNy5oQSYGGGH8apN9")</f>
        <v>https://photos.app.goo.gl/vNy5oQSYGGGH8apN9</v>
      </c>
      <c r="AC342" s="46" t="str">
        <f>IFERROR(__xludf.DUMMYFUNCTION("""COMPUTED_VALUE"""),"Con un área de 320 m² y condición medianera, ideal para negocio de estacionamiento, desarrollo comercial o proyecto de renta. Una propiedad con ubicación estratégica y excelente potencial de valorización")</f>
        <v>Con un área de 320 m² y condición medianera, ideal para negocio de estacionamiento, desarrollo comercial o proyecto de renta. Una propiedad con ubicación estratégica y excelente potencial de valorización</v>
      </c>
      <c r="AD342" s="46" t="str">
        <f>IFERROR(__xludf.DUMMYFUNCTION("""COMPUTED_VALUE"""),"Se vende amplio parqueadero ubicado en el barrio El Centro, en una zona de alto flujo vehicular y peatonal, a una cuadra de la carrera quinta y a 3 cuadras de la alcaldía.")</f>
        <v>Se vende amplio parqueadero ubicado en el barrio El Centro, en una zona de alto flujo vehicular y peatonal, a una cuadra de la carrera quinta y a 3 cuadras de la alcaldía.</v>
      </c>
      <c r="AE342" s="46"/>
      <c r="AF342" s="46">
        <f>IFERROR(__xludf.DUMMYFUNCTION("""COMPUTED_VALUE"""),0.0)</f>
        <v>0</v>
      </c>
      <c r="AG342" s="46"/>
      <c r="AH342" s="46" t="str">
        <f>IFERROR(__xludf.DUMMYFUNCTION("""COMPUTED_VALUE"""),"Aliado")</f>
        <v>Aliado</v>
      </c>
      <c r="AI342" s="92" t="str">
        <f>IFERROR(__xludf.DUMMYFUNCTION("""COMPUTED_VALUE"""),"https://lh3.googleusercontent.com/pw/AP1GczNtPgeekBxFwiT3RuYz0_LhAMbj2UZ7KZmFJiwkA7fdWgmxOuBj5odwQOV83ct_ZLs4VkkhGdCj5YDrO-eRH3eSCaU18xz95hz_ZXosrDvI3iz76geo=w1200|https://lh3.googleusercontent.com/pw/AP1GczOqbu1qIAcIW4iMAh7zQJ5t7f_mpy5gIeIRlthcZlZUwshbhh"&amp;"ct7tkXWFr4MHgs_j9m_VEovmoeLL2DYKa_GqvWkj9yzEh56xvFjjNYZir9LAWOUAN9=w1200|https://lh3.googleusercontent.com/pw/AP1GczNFESLzU59ve0ocvQZJB0jb-S3ip2MdlPdIV8TTyCGvLVJ5TTanNnYqYUdwGt2StlhZ1hbfdmywgtNO5daGUsw2VxYaNWoKwLrCZncotz5O7tvGDQbj=w1200|https://lh3.google"&amp;"usercontent.com/pw/AP1GczOt2FiTXQUUf3JAF1dUE1nmAhPO9E_SV4YM7hiQ9qs4xu5j4Acy_k3iWvzFjh5KGuBGnVvZQDph5Uh6aGS_n1azWDR9d1z_j7-X7UvzthJm2Awyko5y=w1200|https://lh3.googleusercontent.com/pw/AP1GczPfWqK7y-d57X8LHLWn25hz-ixZb2jKYf9vmqjrGQKOy6mF746owAN3C9T0DWiMV8UY"&amp;"xx7VP6ofnRKrZizVmzQPcAxuvLwIN42S8TmQvIr6WKXHjBGz=w1200|https://lh3.googleusercontent.com/pw/AP1GczNk9vd1N3yEjwQEB01NuJdPbvxlBhYb5hzH5NSmWXtJBg8LSy6NcDYutAmLFLnk2veFGn55PXQ5rdXRdCHqX8cYc3kyHkn3tN-ms9nwWIWC4XorcoY_=w1200")</f>
        <v>https://lh3.googleusercontent.com/pw/AP1GczNtPgeekBxFwiT3RuYz0_LhAMbj2UZ7KZmFJiwkA7fdWgmxOuBj5odwQOV83ct_ZLs4VkkhGdCj5YDrO-eRH3eSCaU18xz95hz_ZXosrDvI3iz76geo=w1200|https://lh3.googleusercontent.com/pw/AP1GczOqbu1qIAcIW4iMAh7zQJ5t7f_mpy5gIeIRlthcZlZUwshbhhct7tkXWFr4MHgs_j9m_VEovmoeLL2DYKa_GqvWkj9yzEh56xvFjjNYZir9LAWOUAN9=w1200|https://lh3.googleusercontent.com/pw/AP1GczNFESLzU59ve0ocvQZJB0jb-S3ip2MdlPdIV8TTyCGvLVJ5TTanNnYqYUdwGt2StlhZ1hbfdmywgtNO5daGUsw2VxYaNWoKwLrCZncotz5O7tvGDQbj=w1200|https://lh3.googleusercontent.com/pw/AP1GczOt2FiTXQUUf3JAF1dUE1nmAhPO9E_SV4YM7hiQ9qs4xu5j4Acy_k3iWvzFjh5KGuBGnVvZQDph5Uh6aGS_n1azWDR9d1z_j7-X7UvzthJm2Awyko5y=w1200|https://lh3.googleusercontent.com/pw/AP1GczPfWqK7y-d57X8LHLWn25hz-ixZb2jKYf9vmqjrGQKOy6mF746owAN3C9T0DWiMV8UYxx7VP6ofnRKrZizVmzQPcAxuvLwIN42S8TmQvIr6WKXHjBGz=w1200|https://lh3.googleusercontent.com/pw/AP1GczNk9vd1N3yEjwQEB01NuJdPbvxlBhYb5hzH5NSmWXtJBg8LSy6NcDYutAmLFLnk2veFGn55PXQ5rdXRdCHqX8cYc3kyHkn3tN-ms9nwWIWC4XorcoY_=w1200</v>
      </c>
      <c r="AJ342" s="46"/>
      <c r="AK342" s="46"/>
      <c r="AL342" s="46"/>
      <c r="AM342" s="46"/>
      <c r="AN342" s="46"/>
      <c r="AO342" s="46"/>
      <c r="AP342" s="46"/>
      <c r="AQ342" s="46"/>
      <c r="AR342" s="46"/>
      <c r="AS342" s="46"/>
      <c r="AT342" s="46"/>
      <c r="AU342" s="46"/>
      <c r="AV342" s="46"/>
      <c r="AW342" s="46"/>
      <c r="AX342" s="46"/>
      <c r="AY342" s="46"/>
      <c r="AZ342" s="46"/>
      <c r="BA342" s="46"/>
      <c r="BB342" s="46"/>
      <c r="BC342" s="46"/>
      <c r="BD342" s="46"/>
      <c r="BE342" s="46"/>
      <c r="BF342" s="46"/>
      <c r="BG342" s="46"/>
      <c r="BH342" s="46"/>
      <c r="BI342" s="46"/>
      <c r="BJ342" s="46"/>
      <c r="BK342" s="46"/>
      <c r="BL342" s="46"/>
      <c r="BM342" s="46"/>
      <c r="BN342" s="46"/>
      <c r="BO342" s="46"/>
      <c r="BP342" s="46"/>
      <c r="BQ342" s="46"/>
      <c r="BR342" s="46"/>
      <c r="BS342" s="46"/>
      <c r="BT342" s="46"/>
      <c r="BU342" s="46"/>
      <c r="BV342" s="46"/>
      <c r="BW342" s="46"/>
      <c r="BX342" s="46"/>
      <c r="BY342" s="46"/>
      <c r="BZ342" s="46"/>
      <c r="CA342" s="46"/>
      <c r="CB342" s="46"/>
      <c r="CC342" s="46"/>
    </row>
    <row r="343">
      <c r="A343" s="87" t="str">
        <f>IFERROR(__xludf.DUMMYFUNCTION("""COMPUTED_VALUE"""),"374")</f>
        <v>374</v>
      </c>
      <c r="B343" s="46" t="str">
        <f>IFERROR(__xludf.DUMMYFUNCTION("""COMPUTED_VALUE"""),"Apartamento en edificio Puerto Madero - La Toma")</f>
        <v>Apartamento en edificio Puerto Madero - La Toma</v>
      </c>
      <c r="C343" s="46" t="str">
        <f>IFERROR(__xludf.DUMMYFUNCTION("""COMPUTED_VALUE"""),"Apartamento")</f>
        <v>Apartamento</v>
      </c>
      <c r="D343" s="46" t="str">
        <f>IFERROR(__xludf.DUMMYFUNCTION("""COMPUTED_VALUE"""),"La Toma")</f>
        <v>La Toma</v>
      </c>
      <c r="E343" s="46"/>
      <c r="F343" s="90">
        <f>IFERROR(__xludf.DUMMYFUNCTION("""COMPUTED_VALUE"""),6.2E8)</f>
        <v>620000000</v>
      </c>
      <c r="G343" s="46" t="str">
        <f>IFERROR(__xludf.DUMMYFUNCTION("""COMPUTED_VALUE"""),"$500'000.000 a $1.000'000.000")</f>
        <v>$500'000.000 a $1.000'000.000</v>
      </c>
      <c r="H343" s="46"/>
      <c r="I343" s="46"/>
      <c r="J343" s="46" t="str">
        <f>IFERROR(__xludf.DUMMYFUNCTION("""COMPUTED_VALUE"""),"Centro")</f>
        <v>Centro</v>
      </c>
      <c r="K343" s="87" t="str">
        <f>IFERROR(__xludf.DUMMYFUNCTION("""COMPUTED_VALUE"""),"3")</f>
        <v>3</v>
      </c>
      <c r="L343" s="46">
        <f>IFERROR(__xludf.DUMMYFUNCTION("""COMPUTED_VALUE"""),4.0)</f>
        <v>4</v>
      </c>
      <c r="M343" s="46"/>
      <c r="N343" s="46">
        <f>IFERROR(__xludf.DUMMYFUNCTION("""COMPUTED_VALUE"""),4.0)</f>
        <v>4</v>
      </c>
      <c r="O343" s="46">
        <f>IFERROR(__xludf.DUMMYFUNCTION("""COMPUTED_VALUE"""),2.0)</f>
        <v>2</v>
      </c>
      <c r="P343" s="46"/>
      <c r="Q343" s="92">
        <f>IFERROR(__xludf.DUMMYFUNCTION("""COMPUTED_VALUE"""),156.7)</f>
        <v>156.7</v>
      </c>
      <c r="R343" s="92">
        <f>IFERROR(__xludf.DUMMYFUNCTION("""COMPUTED_VALUE"""),156.7)</f>
        <v>156.7</v>
      </c>
      <c r="S343" s="87" t="str">
        <f>IFERROR(__xludf.DUMMYFUNCTION("""COMPUTED_VALUE""")," ")</f>
        <v> </v>
      </c>
      <c r="T343" s="46" t="str">
        <f>IFERROR(__xludf.DUMMYFUNCTION("""COMPUTED_VALUE"""),"Neiva")</f>
        <v>Neiva</v>
      </c>
      <c r="U343" s="87" t="str">
        <f>IFERROR(__xludf.DUMMYFUNCTION("""COMPUTED_VALUE"""),"5")</f>
        <v>5</v>
      </c>
      <c r="V343" s="46"/>
      <c r="W343" s="46"/>
      <c r="X343" s="46">
        <f>IFERROR(__xludf.DUMMYFUNCTION("""COMPUTED_VALUE"""),4.0)</f>
        <v>4</v>
      </c>
      <c r="Y343" s="46" t="str">
        <f>IFERROR(__xludf.DUMMYFUNCTION("""COMPUTED_VALUE"""),"Social")</f>
        <v>Social</v>
      </c>
      <c r="Z343" s="90">
        <f>IFERROR(__xludf.DUMMYFUNCTION("""COMPUTED_VALUE"""),775900.0)</f>
        <v>775900</v>
      </c>
      <c r="AA343" s="33" t="str">
        <f>IFERROR(__xludf.DUMMYFUNCTION("""COMPUTED_VALUE"""),"No aplica")</f>
        <v>No aplica</v>
      </c>
      <c r="AB343" s="96" t="str">
        <f>IFERROR(__xludf.DUMMYFUNCTION("""COMPUTED_VALUE"""),"https://photos.app.goo.gl/ee7VaFE2BUMSfEPG9")</f>
        <v>https://photos.app.goo.gl/ee7VaFE2BUMSfEPG9</v>
      </c>
      <c r="AC343" s="46" t="str">
        <f>IFERROR(__xludf.DUMMYFUNCTION("""COMPUTED_VALUE"""),"El apartamento cuenta con 3 Habitaciones con closet, la principal con baño, Vestier y balcón compartido con vista al sur, 1 Habitación del Servicio con baño completo. 1 baño auxiliar para las dos Habitaciones y 1 baño Social. Sala, Comedor separadas con b"&amp;"alcón vista al Sur, Cocina Integral tipo Americano Remodelada, zona de lavado, 2 parquearos y un depósito.")</f>
        <v>El apartamento cuenta con 3 Habitaciones con closet, la principal con baño, Vestier y balcón compartido con vista al sur, 1 Habitación del Servicio con baño completo. 1 baño auxiliar para las dos Habitaciones y 1 baño Social. Sala, Comedor separadas con balcón vista al Sur, Cocina Integral tipo Americano Remodelada, zona de lavado, 2 parquearos y un depósito.</v>
      </c>
      <c r="AD343" s="46" t="str">
        <f>IFERROR(__xludf.DUMMYFUNCTION("""COMPUTED_VALUE"""),"El conjunto cuenta con piscina para niños y adultos en el último piso con una panorámica de 360 grados de la Ciudad, Zona Social, Zona de BBQ, Turco, gimnasio, lobby de acceso, juegos para niños, zonas comunes y parqueadero para visitantes.")</f>
        <v>El conjunto cuenta con piscina para niños y adultos en el último piso con una panorámica de 360 grados de la Ciudad, Zona Social, Zona de BBQ, Turco, gimnasio, lobby de acceso, juegos para niños, zonas comunes y parqueadero para visitantes.</v>
      </c>
      <c r="AE343" s="46"/>
      <c r="AF343" s="46" t="str">
        <f>IFERROR(__xludf.DUMMYFUNCTION("""COMPUTED_VALUE"""),"integral")</f>
        <v>integral</v>
      </c>
      <c r="AG343" s="46"/>
      <c r="AH343" s="46" t="str">
        <f>IFERROR(__xludf.DUMMYFUNCTION("""COMPUTED_VALUE"""),"Aliado")</f>
        <v>Aliado</v>
      </c>
      <c r="AI343" s="92" t="str">
        <f>IFERROR(__xludf.DUMMYFUNCTION("""COMPUTED_VALUE"""),"https://lh3.googleusercontent.com/pw/AP1GczO_sr1QlNnVS81wqNLdOZW4KpdJgrVl31_RqKX8Tx8CnMgebjtcfUl3O1gk31ygpL-fjofF6-uTSQL1j0952TY9vlmTEyxsV7Rvgr41uNzMnUyIwUSS=w1200|https://lh3.googleusercontent.com/pw/AP1GczNdxBMbA9aDqJ-ZtwtkG05sxDxwiaxwzi56Yl3d8jvelRZtaG"&amp;"YDpkvhcI5oZVZPJ8cVW8TjrK6Wfr8O990ux9ML-BGxISYENgTI_yX-mvIVx1lfWUhX=w1200|https://lh3.googleusercontent.com/pw/AP1GczM7-njZuKEY5MI0GYlzJ4ykjqAUQcQYQK3yb943_vlT98pUHap8OZv5kgkIOsX9ylpGY8yPjyPtqpYaFrJnDaTSn1fF-3aElAzna6H_LokgnOIFQ7Iv=w1200|https://lh3.google"&amp;"usercontent.com/pw/AP1GczNBeDQ06IpVEtqBDE3fjMqig3CPQO5kUc8xEkpDSMKJTVarV4Jkw2clpIDUjCE-mArUWWcHtpecwIcWW27XQw7osxZ0MLAvtfzeNGNA54LR60x6O0kh=w1200|https://lh3.googleusercontent.com/pw/AP1GczNjJwPrz2W4KLK-CorudqaVbAARz4c6WZ8BvFTSrRtz83G6meUfblz1YTbnk8Tn67zl"&amp;"nJXGGa9gu0bH4ftU6lPO-Bt0sT8OYDvauLoT6PFZVdBe-9cU=w1200|https://lh3.googleusercontent.com/pw/AP1GczPnmKEMzIQMVS1aDd8N_k3qPdIWmhDpv_QvgjeBnuDzWrChmn0Udlri3PTrk5DKsY4cRfnKNeKA09ty3WX83yS9ljmWMz8f_qQ4OcxEw3q-CZeRYZdm=w1200|https://lh3.googleusercontent.com/pw"&amp;"/AP1GczNbElim00F3SllGRzfLa7qi8EuCNkwHDV7k9bBOLIc46PJUBxvL0ULQZoJOjL1HXeYj32gOJ3fAMgsrB98EMDe8KR5MUBdUkGbpwLgTm49Qv0xFDwZz=w1200|https://lh3.googleusercontent.com/pw/AP1GczOktUa25v6q2xO4Ri8SfluIrtIPhRYcyEb9QiSn-k1LDOTepz8UQbM2pDuwEQD8h8hGc6ojqT98E0iVfqc7tR"&amp;"NhTAOc5sZOdY5JRpeYmAGVkIP1Cc6C=w1200|https://lh3.googleusercontent.com/pw/AP1GczM81_KX6NlMwl-Z04HQmY_sf9hPfBc8ZRk-qfz-DuIbGCyyy5uOmFgQGAUX8-5TooUqxHnzHhHNm30DNQQwnF7P9fKECEiSAkhJylZk-TDQRVofFe97=w1200|https://lh3.googleusercontent.com/pw/AP1GczNhTnKDj8Jl9"&amp;"44VcB904s2_eFdzmYdJrsPULYgdhNStP75nO-wgJ1_iHj5VUR8T0wk5LWvSly9nB8RhwFq-VnD89OZmM4OJ9Xo2TFzt3b-RoTbVsh6i=w1200|https://lh3.googleusercontent.com/pw/AP1GczPl94bt_I125orKp6wi6gMWGduWIJSCwoCadANz03Hj1Xo5GaFB85cOPB4Ds531Xs6hCkqT7K4Y8TSql5r_ak_u2dBSOL7mJ0SsdjWV"&amp;"E2o-p3yqhKYE=w1200|https://lh3.googleusercontent.com/pw/AP1GczPSzZ2OYyk3pZzdKRFYJ2HriIvjvS3SdQFeO4lvI43GS_PiBUe11Y_u6Sy9yakWm_YxAGvWlD9kfOH09eEM6D6syTKbCUtXZlK1g-l2TBcXzH2fOEq4=w1200|https://lh3.googleusercontent.com/pw/AP1GczORRV3Q33vkc3VDb6I4MslFInQ-hUZ"&amp;"cyAZcgxZrOArXkS0ixTReRijwzLyfy4TwGjJHG-BEOm2jmLEwE5_xNGGl43XWrdQhyoVLtYHYB3UeutrmGppk=w1200|https://lh3.googleusercontent.com/pw/AP1GczMXObQZao0SqxHzcQIx3Yd63xRojNzBp5A-ggzfc_abhsMy4pISWAKGW-04kcMGPoSLn3YNGD2u9Y7spxAuzLFk3UNlzEiExCMYzoJK_-m5MhJuayOt=w1200"&amp;"|https://lh3.googleusercontent.com/pw/AP1GczMPaa3erPtk69w43kURR1ZrVN7ozKWlV6yh_YqXRl7bsZLf5YQZrLQyijw6Q9kmKO4isMcD5KWWxhj0NRj2M9-g2t-vFK0zCxrB9XLkgtTzLmKR3o9m=w1200|https://lh3.googleusercontent.com/pw/AP1GczOVuQuBO8QwpravTDoiNvD1zf5Plvdu1mO6iMDXPnKOMbokO"&amp;"f1r0lX1zzYC4rRg2htjrQmn9JLrwxGU2nL-up5HxKDkc2Vr5ozqPb-NAcFl_qoe4TT4=w1200|https://lh3.googleusercontent.com/pw/AP1GczMZi0Hls1aNw2xiHp94TUHIp8daVoZr9FXISvbOFmUtU9jNgKtxHay2KacS5G6iFED-3R8adUakl10DNHoQ_rR8IOCxDWwI0wNzKERfFX6nWd5uusOj=w1200|https://lh3.googl"&amp;"eusercontent.com/pw/AP1GczMudqiJ44GdqNVBWnNoTpaOdcf1fmvgC9WJBYji3N3k1tsRPEFk7rWmWsUVJao4PDlFBdQt7sLaQ8X8dkdclKMFCFVap6k9dn64xXy9Kj9v9TmSD9YF=w1200")</f>
        <v>https://lh3.googleusercontent.com/pw/AP1GczO_sr1QlNnVS81wqNLdOZW4KpdJgrVl31_RqKX8Tx8CnMgebjtcfUl3O1gk31ygpL-fjofF6-uTSQL1j0952TY9vlmTEyxsV7Rvgr41uNzMnUyIwUSS=w1200|https://lh3.googleusercontent.com/pw/AP1GczNdxBMbA9aDqJ-ZtwtkG05sxDxwiaxwzi56Yl3d8jvelRZtaGYDpkvhcI5oZVZPJ8cVW8TjrK6Wfr8O990ux9ML-BGxISYENgTI_yX-mvIVx1lfWUhX=w1200|https://lh3.googleusercontent.com/pw/AP1GczM7-njZuKEY5MI0GYlzJ4ykjqAUQcQYQK3yb943_vlT98pUHap8OZv5kgkIOsX9ylpGY8yPjyPtqpYaFrJnDaTSn1fF-3aElAzna6H_LokgnOIFQ7Iv=w1200|https://lh3.googleusercontent.com/pw/AP1GczNBeDQ06IpVEtqBDE3fjMqig3CPQO5kUc8xEkpDSMKJTVarV4Jkw2clpIDUjCE-mArUWWcHtpecwIcWW27XQw7osxZ0MLAvtfzeNGNA54LR60x6O0kh=w1200|https://lh3.googleusercontent.com/pw/AP1GczNjJwPrz2W4KLK-CorudqaVbAARz4c6WZ8BvFTSrRtz83G6meUfblz1YTbnk8Tn67zlnJXGGa9gu0bH4ftU6lPO-Bt0sT8OYDvauLoT6PFZVdBe-9cU=w1200|https://lh3.googleusercontent.com/pw/AP1GczPnmKEMzIQMVS1aDd8N_k3qPdIWmhDpv_QvgjeBnuDzWrChmn0Udlri3PTrk5DKsY4cRfnKNeKA09ty3WX83yS9ljmWMz8f_qQ4OcxEw3q-CZeRYZdm=w1200|https://lh3.googleusercontent.com/pw/AP1GczNbElim00F3SllGRzfLa7qi8EuCNkwHDV7k9bBOLIc46PJUBxvL0ULQZoJOjL1HXeYj32gOJ3fAMgsrB98EMDe8KR5MUBdUkGbpwLgTm49Qv0xFDwZz=w1200|https://lh3.googleusercontent.com/pw/AP1GczOktUa25v6q2xO4Ri8SfluIrtIPhRYcyEb9QiSn-k1LDOTepz8UQbM2pDuwEQD8h8hGc6ojqT98E0iVfqc7tRNhTAOc5sZOdY5JRpeYmAGVkIP1Cc6C=w1200|https://lh3.googleusercontent.com/pw/AP1GczM81_KX6NlMwl-Z04HQmY_sf9hPfBc8ZRk-qfz-DuIbGCyyy5uOmFgQGAUX8-5TooUqxHnzHhHNm30DNQQwnF7P9fKECEiSAkhJylZk-TDQRVofFe97=w1200|https://lh3.googleusercontent.com/pw/AP1GczNhTnKDj8Jl944VcB904s2_eFdzmYdJrsPULYgdhNStP75nO-wgJ1_iHj5VUR8T0wk5LWvSly9nB8RhwFq-VnD89OZmM4OJ9Xo2TFzt3b-RoTbVsh6i=w1200|https://lh3.googleusercontent.com/pw/AP1GczPl94bt_I125orKp6wi6gMWGduWIJSCwoCadANz03Hj1Xo5GaFB85cOPB4Ds531Xs6hCkqT7K4Y8TSql5r_ak_u2dBSOL7mJ0SsdjWVE2o-p3yqhKYE=w1200|https://lh3.googleusercontent.com/pw/AP1GczPSzZ2OYyk3pZzdKRFYJ2HriIvjvS3SdQFeO4lvI43GS_PiBUe11Y_u6Sy9yakWm_YxAGvWlD9kfOH09eEM6D6syTKbCUtXZlK1g-l2TBcXzH2fOEq4=w1200|https://lh3.googleusercontent.com/pw/AP1GczORRV3Q33vkc3VDb6I4MslFInQ-hUZcyAZcgxZrOArXkS0ixTReRijwzLyfy4TwGjJHG-BEOm2jmLEwE5_xNGGl43XWrdQhyoVLtYHYB3UeutrmGppk=w1200|https://lh3.googleusercontent.com/pw/AP1GczMXObQZao0SqxHzcQIx3Yd63xRojNzBp5A-ggzfc_abhsMy4pISWAKGW-04kcMGPoSLn3YNGD2u9Y7spxAuzLFk3UNlzEiExCMYzoJK_-m5MhJuayOt=w1200|https://lh3.googleusercontent.com/pw/AP1GczMPaa3erPtk69w43kURR1ZrVN7ozKWlV6yh_YqXRl7bsZLf5YQZrLQyijw6Q9kmKO4isMcD5KWWxhj0NRj2M9-g2t-vFK0zCxrB9XLkgtTzLmKR3o9m=w1200|https://lh3.googleusercontent.com/pw/AP1GczOVuQuBO8QwpravTDoiNvD1zf5Plvdu1mO6iMDXPnKOMbokOf1r0lX1zzYC4rRg2htjrQmn9JLrwxGU2nL-up5HxKDkc2Vr5ozqPb-NAcFl_qoe4TT4=w1200|https://lh3.googleusercontent.com/pw/AP1GczMZi0Hls1aNw2xiHp94TUHIp8daVoZr9FXISvbOFmUtU9jNgKtxHay2KacS5G6iFED-3R8adUakl10DNHoQ_rR8IOCxDWwI0wNzKERfFX6nWd5uusOj=w1200|https://lh3.googleusercontent.com/pw/AP1GczMudqiJ44GdqNVBWnNoTpaOdcf1fmvgC9WJBYji3N3k1tsRPEFk7rWmWsUVJao4PDlFBdQt7sLaQ8X8dkdclKMFCFVap6k9dn64xXy9Kj9v9TmSD9YF=w1200</v>
      </c>
      <c r="AJ343" s="46"/>
      <c r="AK343" s="46"/>
      <c r="AL343" s="46"/>
      <c r="AM343" s="46"/>
      <c r="AN343" s="46"/>
      <c r="AO343" s="46"/>
      <c r="AP343" s="46"/>
      <c r="AQ343" s="46"/>
      <c r="AR343" s="46"/>
      <c r="AS343" s="46"/>
      <c r="AT343" s="46"/>
      <c r="AU343" s="46"/>
      <c r="AV343" s="46"/>
      <c r="AW343" s="46"/>
      <c r="AX343" s="46"/>
      <c r="AY343" s="46"/>
      <c r="AZ343" s="46"/>
      <c r="BA343" s="46"/>
      <c r="BB343" s="46"/>
      <c r="BC343" s="46"/>
      <c r="BD343" s="46"/>
      <c r="BE343" s="46"/>
      <c r="BF343" s="46"/>
      <c r="BG343" s="46"/>
      <c r="BH343" s="46"/>
      <c r="BI343" s="46"/>
      <c r="BJ343" s="46"/>
      <c r="BK343" s="46"/>
      <c r="BL343" s="46"/>
      <c r="BM343" s="46"/>
      <c r="BN343" s="46"/>
      <c r="BO343" s="46"/>
      <c r="BP343" s="46"/>
      <c r="BQ343" s="46"/>
      <c r="BR343" s="46"/>
      <c r="BS343" s="46"/>
      <c r="BT343" s="46"/>
      <c r="BU343" s="46"/>
      <c r="BV343" s="46"/>
      <c r="BW343" s="46"/>
      <c r="BX343" s="46"/>
      <c r="BY343" s="46"/>
      <c r="BZ343" s="46"/>
      <c r="CA343" s="46"/>
      <c r="CB343" s="46"/>
      <c r="CC343" s="46"/>
    </row>
    <row r="344">
      <c r="A344" s="87" t="str">
        <f>IFERROR(__xludf.DUMMYFUNCTION("""COMPUTED_VALUE"""),"813")</f>
        <v>813</v>
      </c>
      <c r="B344" s="46" t="str">
        <f>IFERROR(__xludf.DUMMYFUNCTION("""COMPUTED_VALUE"""),"Local en Centro de Negocios -  Cra. 5ta - Centro")</f>
        <v>Local en Centro de Negocios -  Cra. 5ta - Centro</v>
      </c>
      <c r="C344" s="46" t="str">
        <f>IFERROR(__xludf.DUMMYFUNCTION("""COMPUTED_VALUE"""),"Local")</f>
        <v>Local</v>
      </c>
      <c r="D344" s="46" t="str">
        <f>IFERROR(__xludf.DUMMYFUNCTION("""COMPUTED_VALUE"""),"Centro")</f>
        <v>Centro</v>
      </c>
      <c r="E344" s="46"/>
      <c r="F344" s="90">
        <f>IFERROR(__xludf.DUMMYFUNCTION("""COMPUTED_VALUE"""),6.1974E8)</f>
        <v>619740000</v>
      </c>
      <c r="G344" s="46" t="str">
        <f>IFERROR(__xludf.DUMMYFUNCTION("""COMPUTED_VALUE"""),"$500'000.000 a $1.000'000.000")</f>
        <v>$500'000.000 a $1.000'000.000</v>
      </c>
      <c r="H344" s="46"/>
      <c r="I344" s="46"/>
      <c r="J344" s="46" t="str">
        <f>IFERROR(__xludf.DUMMYFUNCTION("""COMPUTED_VALUE"""),"Centro")</f>
        <v>Centro</v>
      </c>
      <c r="K344" s="87" t="str">
        <f>IFERROR(__xludf.DUMMYFUNCTION("""COMPUTED_VALUE"""),"4")</f>
        <v>4</v>
      </c>
      <c r="L344" s="46">
        <f>IFERROR(__xludf.DUMMYFUNCTION("""COMPUTED_VALUE"""),0.0)</f>
        <v>0</v>
      </c>
      <c r="M344" s="46"/>
      <c r="N344" s="46">
        <f>IFERROR(__xludf.DUMMYFUNCTION("""COMPUTED_VALUE"""),0.0)</f>
        <v>0</v>
      </c>
      <c r="O344" s="46">
        <f>IFERROR(__xludf.DUMMYFUNCTION("""COMPUTED_VALUE"""),2.0)</f>
        <v>2</v>
      </c>
      <c r="P344" s="46">
        <f>IFERROR(__xludf.DUMMYFUNCTION("""COMPUTED_VALUE"""),4.0)</f>
        <v>4</v>
      </c>
      <c r="Q344" s="92">
        <f>IFERROR(__xludf.DUMMYFUNCTION("""COMPUTED_VALUE"""),103.3)</f>
        <v>103.3</v>
      </c>
      <c r="R344" s="92">
        <f>IFERROR(__xludf.DUMMYFUNCTION("""COMPUTED_VALUE"""),103.3)</f>
        <v>103.3</v>
      </c>
      <c r="S344" s="87" t="str">
        <f>IFERROR(__xludf.DUMMYFUNCTION("""COMPUTED_VALUE""")," ")</f>
        <v> </v>
      </c>
      <c r="T344" s="46" t="str">
        <f>IFERROR(__xludf.DUMMYFUNCTION("""COMPUTED_VALUE"""),"Neiva")</f>
        <v>Neiva</v>
      </c>
      <c r="U344" s="87" t="str">
        <f>IFERROR(__xludf.DUMMYFUNCTION("""COMPUTED_VALUE"""),"4")</f>
        <v>4</v>
      </c>
      <c r="V344" s="46" t="str">
        <f>IFERROR(__xludf.DUMMYFUNCTION("""COMPUTED_VALUE"""),"4to.")</f>
        <v>4to.</v>
      </c>
      <c r="W344" s="46"/>
      <c r="X344" s="46">
        <f>IFERROR(__xludf.DUMMYFUNCTION("""COMPUTED_VALUE"""),0.0)</f>
        <v>0</v>
      </c>
      <c r="Y344" s="46" t="str">
        <f>IFERROR(__xludf.DUMMYFUNCTION("""COMPUTED_VALUE"""),"No tiene")</f>
        <v>No tiene</v>
      </c>
      <c r="Z344" s="90"/>
      <c r="AA344" s="33" t="str">
        <f>IFERROR(__xludf.DUMMYFUNCTION("""COMPUTED_VALUE"""),"No aplica")</f>
        <v>No aplica</v>
      </c>
      <c r="AB344" s="144" t="str">
        <f>IFERROR(__xludf.DUMMYFUNCTION("""COMPUTED_VALUE"""),"https://photos.app.goo.gl/1av9Q27K1uyFxBsu9")</f>
        <v>https://photos.app.goo.gl/1av9Q27K1uyFxBsu9</v>
      </c>
      <c r="AC344" s="46" t="str">
        <f>IFERROR(__xludf.DUMMYFUNCTION("""COMPUTED_VALUE"""),"Local en propiedad horizontal ubicado en el cuarto piso, con baño sanitario para caballero y dama, dos parqueaderos en sótano cubiertos, con acceso en ascensor. La propiedad horizontal cuenta con planta eléctrica, transformador propio y planta de bombeo. "&amp;"Actualmente el local está generando una renta de $3.122.142 + IVA. Edificio inteligente con 7 pisos.")</f>
        <v>Local en propiedad horizontal ubicado en el cuarto piso, con baño sanitario para caballero y dama, dos parqueaderos en sótano cubiertos, con acceso en ascensor. La propiedad horizontal cuenta con planta eléctrica, transformador propio y planta de bombeo. Actualmente el local está generando una renta de $3.122.142 + IVA. Edificio inteligente con 7 pisos.</v>
      </c>
      <c r="AD344" s="46" t="str">
        <f>IFERROR(__xludf.DUMMYFUNCTION("""COMPUTED_VALUE"""),"Local con buenos acabados y ubicación.")</f>
        <v>Local con buenos acabados y ubicación.</v>
      </c>
      <c r="AE344" s="46"/>
      <c r="AF344" s="46">
        <f>IFERROR(__xludf.DUMMYFUNCTION("""COMPUTED_VALUE"""),0.0)</f>
        <v>0</v>
      </c>
      <c r="AG344" s="46"/>
      <c r="AH344" s="46" t="str">
        <f>IFERROR(__xludf.DUMMYFUNCTION("""COMPUTED_VALUE"""),"Aliado")</f>
        <v>Aliado</v>
      </c>
      <c r="AI344" s="92" t="str">
        <f>IFERROR(__xludf.DUMMYFUNCTION("""COMPUTED_VALUE"""),"https://lh3.googleusercontent.com/pw/AP1GczNdvhcjl6lmX4KXDpel_RYcqY8t3Bi0t7KcxzvxYKqR-o5uDcTCyVLndsvjPbMJE-RzjvL9YmhRnKvWfUMS4Gl7uVP6ERnau_3BBEBjSDSP6DUXupmd=w1200|https://lh3.googleusercontent.com/pw/AP1GczMTOdPo9dQohIF5IwA_M-eeERiKIH31RypmnEuEODZgacoKW1"&amp;"zCr1NoF6h84C8cDn5SwNxOumo4Y1WXgyJW0_7qSVpFkMmsnifaTvjzghHMDawoO7DB=w1200|https://lh3.googleusercontent.com/pw/AP1GczOpVpNt69NKeV6P5CmETtqXx8X0EWb3Rje1zZmZ3gRA7QFLbIoHVXoB7xuOHwU_SmL4Q73wbkUsZiFmThp7PQWeTpiOfKR1g51AXCCNJo1Jp4dSKCRv=w1200|https://lh3.google"&amp;"usercontent.com/pw/AP1GczMU4b378ZzFBxqfwE8alnYyelwxG3YKmIUmZBysVsNg7Z-pKQH6JjbbsgCBHxjX4O8LgHKN89Udshecoa-qb9UpFS3qyDHGRqZYhLWqeV9RJWe1NF3n=w1200|https://lh3.googleusercontent.com/pw/AP1GczOCJxirUBneyZF4m7Csplx9JFdjXMSO8jNOxZUlkrgQlsluZt3TmaSVlxYhPlgZaGpu"&amp;"YMnOt2sNvmMP_CHtXBGyTR7jpwtfSb5hHDOCTpVwMiaXWMLr=w1200|https://lh3.googleusercontent.com/pw/AP1GczNb8bc9z_8ic3CzPwbdhkUslFrzcTi7rePT4PSY7XMkfqYnVjHNiEBL_nJI1IqnZau-0_cYbGL6j5pzFUUU7O2UF0jRCo9E-sCkRNj4n_eV-cQc2rdG=w1200|https://lh3.googleusercontent.com/pw"&amp;"/AP1GczPesmkddHSR_dISDBgcOS-XrvDfM_g0JZWtA__rtwSj-zfufItQzOUoix_iMiaAb51bJFf-g4kfL1XEJVDjv2GcLbu1f3syRUld43eI0aCOVrRO8kMA=w1200|https://lh3.googleusercontent.com/pw/AP1GczPtP6h54g6zkOVubMMN5tZFFo_CrUbgnjwgXzBRxoRIXRRUQ0cH7jw-54HBQ2vLfnyIOWueF_skA7mpURBIG9"&amp;"MM_tJoVBxJLkdcYN81KHdLAZecX8rT=w1200")</f>
        <v>https://lh3.googleusercontent.com/pw/AP1GczNdvhcjl6lmX4KXDpel_RYcqY8t3Bi0t7KcxzvxYKqR-o5uDcTCyVLndsvjPbMJE-RzjvL9YmhRnKvWfUMS4Gl7uVP6ERnau_3BBEBjSDSP6DUXupmd=w1200|https://lh3.googleusercontent.com/pw/AP1GczMTOdPo9dQohIF5IwA_M-eeERiKIH31RypmnEuEODZgacoKW1zCr1NoF6h84C8cDn5SwNxOumo4Y1WXgyJW0_7qSVpFkMmsnifaTvjzghHMDawoO7DB=w1200|https://lh3.googleusercontent.com/pw/AP1GczOpVpNt69NKeV6P5CmETtqXx8X0EWb3Rje1zZmZ3gRA7QFLbIoHVXoB7xuOHwU_SmL4Q73wbkUsZiFmThp7PQWeTpiOfKR1g51AXCCNJo1Jp4dSKCRv=w1200|https://lh3.googleusercontent.com/pw/AP1GczMU4b378ZzFBxqfwE8alnYyelwxG3YKmIUmZBysVsNg7Z-pKQH6JjbbsgCBHxjX4O8LgHKN89Udshecoa-qb9UpFS3qyDHGRqZYhLWqeV9RJWe1NF3n=w1200|https://lh3.googleusercontent.com/pw/AP1GczOCJxirUBneyZF4m7Csplx9JFdjXMSO8jNOxZUlkrgQlsluZt3TmaSVlxYhPlgZaGpuYMnOt2sNvmMP_CHtXBGyTR7jpwtfSb5hHDOCTpVwMiaXWMLr=w1200|https://lh3.googleusercontent.com/pw/AP1GczNb8bc9z_8ic3CzPwbdhkUslFrzcTi7rePT4PSY7XMkfqYnVjHNiEBL_nJI1IqnZau-0_cYbGL6j5pzFUUU7O2UF0jRCo9E-sCkRNj4n_eV-cQc2rdG=w1200|https://lh3.googleusercontent.com/pw/AP1GczPesmkddHSR_dISDBgcOS-XrvDfM_g0JZWtA__rtwSj-zfufItQzOUoix_iMiaAb51bJFf-g4kfL1XEJVDjv2GcLbu1f3syRUld43eI0aCOVrRO8kMA=w1200|https://lh3.googleusercontent.com/pw/AP1GczPtP6h54g6zkOVubMMN5tZFFo_CrUbgnjwgXzBRxoRIXRRUQ0cH7jw-54HBQ2vLfnyIOWueF_skA7mpURBIG9MM_tJoVBxJLkdcYN81KHdLAZecX8rT=w1200</v>
      </c>
      <c r="AJ344" s="46"/>
      <c r="AK344" s="46"/>
      <c r="AL344" s="46"/>
      <c r="AM344" s="46"/>
      <c r="AN344" s="46"/>
      <c r="AO344" s="46"/>
      <c r="AP344" s="46"/>
      <c r="AQ344" s="46"/>
      <c r="AR344" s="46"/>
      <c r="AS344" s="46"/>
      <c r="AT344" s="46"/>
      <c r="AU344" s="46"/>
      <c r="AV344" s="46"/>
      <c r="AW344" s="46"/>
      <c r="AX344" s="46"/>
      <c r="AY344" s="46"/>
      <c r="AZ344" s="46"/>
      <c r="BA344" s="46"/>
      <c r="BB344" s="46"/>
      <c r="BC344" s="46"/>
      <c r="BD344" s="46"/>
      <c r="BE344" s="46"/>
      <c r="BF344" s="46"/>
      <c r="BG344" s="46"/>
      <c r="BH344" s="46"/>
      <c r="BI344" s="46"/>
      <c r="BJ344" s="46"/>
      <c r="BK344" s="46"/>
      <c r="BL344" s="46"/>
      <c r="BM344" s="46"/>
      <c r="BN344" s="46"/>
      <c r="BO344" s="46"/>
      <c r="BP344" s="46"/>
      <c r="BQ344" s="46"/>
      <c r="BR344" s="46"/>
      <c r="BS344" s="46"/>
      <c r="BT344" s="46"/>
      <c r="BU344" s="46"/>
      <c r="BV344" s="46"/>
      <c r="BW344" s="46"/>
      <c r="BX344" s="46"/>
      <c r="BY344" s="46"/>
      <c r="BZ344" s="46"/>
      <c r="CA344" s="46"/>
      <c r="CB344" s="46"/>
      <c r="CC344" s="46"/>
    </row>
    <row r="345">
      <c r="A345" s="87" t="str">
        <f>IFERROR(__xludf.DUMMYFUNCTION("""COMPUTED_VALUE"""),"812")</f>
        <v>812</v>
      </c>
      <c r="B345" s="46" t="str">
        <f>IFERROR(__xludf.DUMMYFUNCTION("""COMPUTED_VALUE"""),"Local en Centro de Negocios -  Cra. 5ta - Centro")</f>
        <v>Local en Centro de Negocios -  Cra. 5ta - Centro</v>
      </c>
      <c r="C345" s="46" t="str">
        <f>IFERROR(__xludf.DUMMYFUNCTION("""COMPUTED_VALUE"""),"Local")</f>
        <v>Local</v>
      </c>
      <c r="D345" s="46" t="str">
        <f>IFERROR(__xludf.DUMMYFUNCTION("""COMPUTED_VALUE"""),"Centro")</f>
        <v>Centro</v>
      </c>
      <c r="E345" s="46"/>
      <c r="F345" s="90">
        <f>IFERROR(__xludf.DUMMYFUNCTION("""COMPUTED_VALUE"""),6.156E8)</f>
        <v>615600000</v>
      </c>
      <c r="G345" s="46" t="str">
        <f>IFERROR(__xludf.DUMMYFUNCTION("""COMPUTED_VALUE"""),"$500'000.000 a $1.000'000.000")</f>
        <v>$500'000.000 a $1.000'000.000</v>
      </c>
      <c r="H345" s="46"/>
      <c r="I345" s="46"/>
      <c r="J345" s="46" t="str">
        <f>IFERROR(__xludf.DUMMYFUNCTION("""COMPUTED_VALUE"""),"Centro")</f>
        <v>Centro</v>
      </c>
      <c r="K345" s="87" t="str">
        <f>IFERROR(__xludf.DUMMYFUNCTION("""COMPUTED_VALUE"""),"4")</f>
        <v>4</v>
      </c>
      <c r="L345" s="46">
        <f>IFERROR(__xludf.DUMMYFUNCTION("""COMPUTED_VALUE"""),0.0)</f>
        <v>0</v>
      </c>
      <c r="M345" s="46"/>
      <c r="N345" s="46">
        <f>IFERROR(__xludf.DUMMYFUNCTION("""COMPUTED_VALUE"""),0.0)</f>
        <v>0</v>
      </c>
      <c r="O345" s="46">
        <f>IFERROR(__xludf.DUMMYFUNCTION("""COMPUTED_VALUE"""),2.0)</f>
        <v>2</v>
      </c>
      <c r="P345" s="46">
        <f>IFERROR(__xludf.DUMMYFUNCTION("""COMPUTED_VALUE"""),4.0)</f>
        <v>4</v>
      </c>
      <c r="Q345" s="92">
        <f>IFERROR(__xludf.DUMMYFUNCTION("""COMPUTED_VALUE"""),102.6)</f>
        <v>102.6</v>
      </c>
      <c r="R345" s="92">
        <f>IFERROR(__xludf.DUMMYFUNCTION("""COMPUTED_VALUE"""),102.6)</f>
        <v>102.6</v>
      </c>
      <c r="S345" s="87" t="str">
        <f>IFERROR(__xludf.DUMMYFUNCTION("""COMPUTED_VALUE""")," ")</f>
        <v> </v>
      </c>
      <c r="T345" s="46" t="str">
        <f>IFERROR(__xludf.DUMMYFUNCTION("""COMPUTED_VALUE"""),"Neiva")</f>
        <v>Neiva</v>
      </c>
      <c r="U345" s="87" t="str">
        <f>IFERROR(__xludf.DUMMYFUNCTION("""COMPUTED_VALUE"""),"4")</f>
        <v>4</v>
      </c>
      <c r="V345" s="46" t="str">
        <f>IFERROR(__xludf.DUMMYFUNCTION("""COMPUTED_VALUE"""),"4to.")</f>
        <v>4to.</v>
      </c>
      <c r="W345" s="46"/>
      <c r="X345" s="46">
        <f>IFERROR(__xludf.DUMMYFUNCTION("""COMPUTED_VALUE"""),0.0)</f>
        <v>0</v>
      </c>
      <c r="Y345" s="46" t="str">
        <f>IFERROR(__xludf.DUMMYFUNCTION("""COMPUTED_VALUE"""),"No tiene")</f>
        <v>No tiene</v>
      </c>
      <c r="Z345" s="90"/>
      <c r="AA345" s="33" t="str">
        <f>IFERROR(__xludf.DUMMYFUNCTION("""COMPUTED_VALUE"""),"No aplica")</f>
        <v>No aplica</v>
      </c>
      <c r="AB345" s="144" t="str">
        <f>IFERROR(__xludf.DUMMYFUNCTION("""COMPUTED_VALUE"""),"https://photos.app.goo.gl/BqZXJN9aSL9MHNib9")</f>
        <v>https://photos.app.goo.gl/BqZXJN9aSL9MHNib9</v>
      </c>
      <c r="AC345" s="46" t="str">
        <f>IFERROR(__xludf.DUMMYFUNCTION("""COMPUTED_VALUE"""),"Local en propiedad horizontal ubicado en el cuarto piso, con baño sanitario para caballero y dama, dos parqueaderos en sótano cubiertos, con acceso en ascensor. La propiedad horizontal cuenta con planta eléctrica, transformador propio y planta de bombeo. "&amp;"Actualmente el local está generando una renta de $2,485,080 + IVA. Edificio inteligente con 7 pisos.")</f>
        <v>Local en propiedad horizontal ubicado en el cuarto piso, con baño sanitario para caballero y dama, dos parqueaderos en sótano cubiertos, con acceso en ascensor. La propiedad horizontal cuenta con planta eléctrica, transformador propio y planta de bombeo. Actualmente el local está generando una renta de $2,485,080 + IVA. Edificio inteligente con 7 pisos.</v>
      </c>
      <c r="AD345" s="46" t="str">
        <f>IFERROR(__xludf.DUMMYFUNCTION("""COMPUTED_VALUE"""),"Local con buenos acabados y ubicación.")</f>
        <v>Local con buenos acabados y ubicación.</v>
      </c>
      <c r="AE345" s="46"/>
      <c r="AF345" s="46">
        <f>IFERROR(__xludf.DUMMYFUNCTION("""COMPUTED_VALUE"""),0.0)</f>
        <v>0</v>
      </c>
      <c r="AG345" s="46"/>
      <c r="AH345" s="46" t="str">
        <f>IFERROR(__xludf.DUMMYFUNCTION("""COMPUTED_VALUE"""),"Aliado")</f>
        <v>Aliado</v>
      </c>
      <c r="AI345" s="92" t="str">
        <f>IFERROR(__xludf.DUMMYFUNCTION("""COMPUTED_VALUE"""),"https://lh3.googleusercontent.com/pw/AP1GczM12Xz9pKSqEICC02zw_RoqeuxfW86uDnJFt1C2aC08MOxsm81AF_KcdVKw4zGSSGdnp9uJJS7q8VtAB40QbNyKwE2kAoX6aWlQZgZQrFtsLK5WUqHG=w1200|https://lh3.googleusercontent.com/pw/AP1GczMKuQNaVWneHvXuGiREcfTX3V41urAFBYHFMSTwf3El2CckR9"&amp;"xc-4p4fOlKQzpxeOTjzEKIMqQJ9DNV5-NfgHNUle9EFy7xtSRuSPlDsZRvCTOq1DQc=w1200|https://lh3.googleusercontent.com/pw/AP1GczPjdwPeN6mZM0NILLtW4vqrzjXS9atWI1SA2HQOo0llGZZvLJyBB0ARQj0pykN9OOgQ5X4P1DFDqfzlScYlQ9uBa-lrLq_8URjuuD5PqVQJgEbik-Bj=w1200|https://lh3.google"&amp;"usercontent.com/pw/AP1GczPZEv3D7IeYrawR7o9vOyLgH2mryeoiW2SXZQ1Ya2N2nWIkVS3Q2CtLUHTMIYLNx9SzMdzzvD1tXbqxlZb6rfOaQn-_anBdDbWhcmFfN7klEmrNla42=w1200|https://lh3.googleusercontent.com/pw/AP1GczO6gQjuvIU8Ir_U5gMnSFiwKRenoN74W5igALSE09AHWQOQmg4ex5eBMj5z6FCEJk6I"&amp;"Pzal7pUu_p4Au8sLEatlZ9aJP3VxL8lwYl5FSUtyr69RMZRy=w1200|https://lh3.googleusercontent.com/pw/AP1GczNy-KwAcS0yo-Ph-aqE49s_-os5OwllC0LXE_AuCZxa9C6MUH8mTtXSBM_zNHIZpLY0Phf18ET3xco52o-2MPePUfKP27ypl-k_we3Ff0vQmqnscVi6=w1200|https://lh3.googleusercontent.com/pw"&amp;"/AP1GczPDLhzms7HHmE1rUidxSD2hn7JiiHeGYdKb-ShADtudXyWGtvsxzc31tNG6RNNAoa9-PvS0PgvTm4iMR3khqOxMWejsgsnDmSQj558z5yavOpuUiyDu=w1200")</f>
        <v>https://lh3.googleusercontent.com/pw/AP1GczM12Xz9pKSqEICC02zw_RoqeuxfW86uDnJFt1C2aC08MOxsm81AF_KcdVKw4zGSSGdnp9uJJS7q8VtAB40QbNyKwE2kAoX6aWlQZgZQrFtsLK5WUqHG=w1200|https://lh3.googleusercontent.com/pw/AP1GczMKuQNaVWneHvXuGiREcfTX3V41urAFBYHFMSTwf3El2CckR9xc-4p4fOlKQzpxeOTjzEKIMqQJ9DNV5-NfgHNUle9EFy7xtSRuSPlDsZRvCTOq1DQc=w1200|https://lh3.googleusercontent.com/pw/AP1GczPjdwPeN6mZM0NILLtW4vqrzjXS9atWI1SA2HQOo0llGZZvLJyBB0ARQj0pykN9OOgQ5X4P1DFDqfzlScYlQ9uBa-lrLq_8URjuuD5PqVQJgEbik-Bj=w1200|https://lh3.googleusercontent.com/pw/AP1GczPZEv3D7IeYrawR7o9vOyLgH2mryeoiW2SXZQ1Ya2N2nWIkVS3Q2CtLUHTMIYLNx9SzMdzzvD1tXbqxlZb6rfOaQn-_anBdDbWhcmFfN7klEmrNla42=w1200|https://lh3.googleusercontent.com/pw/AP1GczO6gQjuvIU8Ir_U5gMnSFiwKRenoN74W5igALSE09AHWQOQmg4ex5eBMj5z6FCEJk6IPzal7pUu_p4Au8sLEatlZ9aJP3VxL8lwYl5FSUtyr69RMZRy=w1200|https://lh3.googleusercontent.com/pw/AP1GczNy-KwAcS0yo-Ph-aqE49s_-os5OwllC0LXE_AuCZxa9C6MUH8mTtXSBM_zNHIZpLY0Phf18ET3xco52o-2MPePUfKP27ypl-k_we3Ff0vQmqnscVi6=w1200|https://lh3.googleusercontent.com/pw/AP1GczPDLhzms7HHmE1rUidxSD2hn7JiiHeGYdKb-ShADtudXyWGtvsxzc31tNG6RNNAoa9-PvS0PgvTm4iMR3khqOxMWejsgsnDmSQj558z5yavOpuUiyDu=w1200</v>
      </c>
      <c r="AJ345" s="46"/>
      <c r="AK345" s="46"/>
      <c r="AL345" s="46"/>
      <c r="AM345" s="46"/>
      <c r="AN345" s="46"/>
      <c r="AO345" s="46"/>
      <c r="AP345" s="46"/>
      <c r="AQ345" s="46"/>
      <c r="AR345" s="46"/>
      <c r="AS345" s="46"/>
      <c r="AT345" s="46"/>
      <c r="AU345" s="46"/>
      <c r="AV345" s="46"/>
      <c r="AW345" s="46"/>
      <c r="AX345" s="46"/>
      <c r="AY345" s="46"/>
      <c r="AZ345" s="46"/>
      <c r="BA345" s="46"/>
      <c r="BB345" s="46"/>
      <c r="BC345" s="46"/>
      <c r="BD345" s="46"/>
      <c r="BE345" s="46"/>
      <c r="BF345" s="46"/>
      <c r="BG345" s="46"/>
      <c r="BH345" s="46"/>
      <c r="BI345" s="46"/>
      <c r="BJ345" s="46"/>
      <c r="BK345" s="46"/>
      <c r="BL345" s="46"/>
      <c r="BM345" s="46"/>
      <c r="BN345" s="46"/>
      <c r="BO345" s="46"/>
      <c r="BP345" s="46"/>
      <c r="BQ345" s="46"/>
      <c r="BR345" s="46"/>
      <c r="BS345" s="46"/>
      <c r="BT345" s="46"/>
      <c r="BU345" s="46"/>
      <c r="BV345" s="46"/>
      <c r="BW345" s="46"/>
      <c r="BX345" s="46"/>
      <c r="BY345" s="46"/>
      <c r="BZ345" s="46"/>
      <c r="CA345" s="46"/>
      <c r="CB345" s="46"/>
      <c r="CC345" s="46"/>
    </row>
    <row r="346">
      <c r="A346" s="87" t="str">
        <f>IFERROR(__xludf.DUMMYFUNCTION("""COMPUTED_VALUE"""),"677")</f>
        <v>677</v>
      </c>
      <c r="B346" s="46" t="str">
        <f>IFERROR(__xludf.DUMMYFUNCTION("""COMPUTED_VALUE"""),"Casa en barrio Centro")</f>
        <v>Casa en barrio Centro</v>
      </c>
      <c r="C346" s="46" t="str">
        <f>IFERROR(__xludf.DUMMYFUNCTION("""COMPUTED_VALUE"""),"Casa")</f>
        <v>Casa</v>
      </c>
      <c r="D346" s="46" t="str">
        <f>IFERROR(__xludf.DUMMYFUNCTION("""COMPUTED_VALUE"""),"Centro")</f>
        <v>Centro</v>
      </c>
      <c r="E346" s="90"/>
      <c r="F346" s="90">
        <f>IFERROR(__xludf.DUMMYFUNCTION("""COMPUTED_VALUE"""),6.0E8)</f>
        <v>600000000</v>
      </c>
      <c r="G346" s="46" t="str">
        <f>IFERROR(__xludf.DUMMYFUNCTION("""COMPUTED_VALUE"""),"$500'000.000 a $1.000'000.000")</f>
        <v>$500'000.000 a $1.000'000.000</v>
      </c>
      <c r="H346" s="46"/>
      <c r="I346" s="46"/>
      <c r="J346" s="46" t="str">
        <f>IFERROR(__xludf.DUMMYFUNCTION("""COMPUTED_VALUE"""),"Centro")</f>
        <v>Centro</v>
      </c>
      <c r="K346" s="87"/>
      <c r="L346" s="46">
        <f>IFERROR(__xludf.DUMMYFUNCTION("""COMPUTED_VALUE"""),11.0)</f>
        <v>11</v>
      </c>
      <c r="M346" s="46"/>
      <c r="N346" s="46">
        <f>IFERROR(__xludf.DUMMYFUNCTION("""COMPUTED_VALUE"""),4.0)</f>
        <v>4</v>
      </c>
      <c r="O346" s="46">
        <f>IFERROR(__xludf.DUMMYFUNCTION("""COMPUTED_VALUE"""),0.0)</f>
        <v>0</v>
      </c>
      <c r="P346" s="46">
        <f>IFERROR(__xludf.DUMMYFUNCTION("""COMPUTED_VALUE"""),2.0)</f>
        <v>2</v>
      </c>
      <c r="Q346" s="92">
        <f>IFERROR(__xludf.DUMMYFUNCTION("""COMPUTED_VALUE"""),324.0)</f>
        <v>324</v>
      </c>
      <c r="R346" s="92">
        <f>IFERROR(__xludf.DUMMYFUNCTION("""COMPUTED_VALUE"""),160.0)</f>
        <v>160</v>
      </c>
      <c r="S346" s="87" t="str">
        <f>IFERROR(__xludf.DUMMYFUNCTION("""COMPUTED_VALUE""")," ")</f>
        <v> </v>
      </c>
      <c r="T346" s="46" t="str">
        <f>IFERROR(__xludf.DUMMYFUNCTION("""COMPUTED_VALUE"""),"Neiva")</f>
        <v>Neiva</v>
      </c>
      <c r="U346" s="87" t="str">
        <f>IFERROR(__xludf.DUMMYFUNCTION("""COMPUTED_VALUE"""),"4")</f>
        <v>4</v>
      </c>
      <c r="V346" s="46" t="str">
        <f>IFERROR(__xludf.DUMMYFUNCTION("""COMPUTED_VALUE"""),"Medianera")</f>
        <v>Medianera</v>
      </c>
      <c r="W346" s="46"/>
      <c r="X346" s="46">
        <f>IFERROR(__xludf.DUMMYFUNCTION("""COMPUTED_VALUE"""),0.0)</f>
        <v>0</v>
      </c>
      <c r="Y346" s="46" t="str">
        <f>IFERROR(__xludf.DUMMYFUNCTION("""COMPUTED_VALUE"""),"No tiene")</f>
        <v>No tiene</v>
      </c>
      <c r="Z346" s="90" t="str">
        <f>IFERROR(__xludf.DUMMYFUNCTION("""COMPUTED_VALUE"""),"No aplica")</f>
        <v>No aplica</v>
      </c>
      <c r="AA346" s="33" t="str">
        <f>IFERROR(__xludf.DUMMYFUNCTION("""COMPUTED_VALUE"""),"No aplica")</f>
        <v>No aplica</v>
      </c>
      <c r="AB346" s="96" t="str">
        <f>IFERROR(__xludf.DUMMYFUNCTION("""COMPUTED_VALUE"""),"https://photos.app.goo.gl/HKnphBre4aHR5DWMA")</f>
        <v>https://photos.app.goo.gl/HKnphBre4aHR5DWMA</v>
      </c>
      <c r="AC346" s="46" t="str">
        <f>IFERROR(__xludf.DUMMYFUNCTION("""COMPUTED_VALUE"""),"Casa con buenos acabados, piso en cerámica y tableta roja,, carpintería en aluminio. Vidrio templado.")</f>
        <v>Casa con buenos acabados, piso en cerámica y tableta roja,, carpintería en aluminio. Vidrio templado.</v>
      </c>
      <c r="AD346" s="46" t="str">
        <f>IFERROR(__xludf.DUMMYFUNCTION("""COMPUTED_VALUE"""),"Casa bien ubicada sobre vía vehicular amplia y pavimentada. Escritura al día.")</f>
        <v>Casa bien ubicada sobre vía vehicular amplia y pavimentada. Escritura al día.</v>
      </c>
      <c r="AE346" s="46"/>
      <c r="AF346" s="46" t="str">
        <f>IFERROR(__xludf.DUMMYFUNCTION("""COMPUTED_VALUE"""),"básica")</f>
        <v>básica</v>
      </c>
      <c r="AG346" s="46"/>
      <c r="AH346" s="46" t="str">
        <f>IFERROR(__xludf.DUMMYFUNCTION("""COMPUTED_VALUE"""),"Aliado")</f>
        <v>Aliado</v>
      </c>
      <c r="AI346" s="92" t="str">
        <f>IFERROR(__xludf.DUMMYFUNCTION("""COMPUTED_VALUE"""),"https://lh3.googleusercontent.com/pw/AP1GczMr1V6pUNxsUvddw-i_TTr-1wkoctRRd3Tk7E1NTejsxxDQrrrkB9hevI189NC0UED-qrop50bWCftEaL4WxqHCr4jOOQli78TFOIa4dDn-fE5REM6n=w1200|https://lh3.googleusercontent.com/pw/AP1GczMWSNNKFlXyehRq7v9jheiXqmRTeJi9X8Nt0GAA1MqLZPMlm8"&amp;"MNeoWyV_EDBkLeN_XdMLXDO_N1N7JuWJddulooFGf7F_UhCNkDeZUIkUCTX-YRaa_r=w1200|https://lh3.googleusercontent.com/pw/AP1GczM-xdPr3Wtu36OuzeP1BqDExAuValNBZ2OVrdtTgniIH5jTtIiBsiDoQypn7N3JyE_Sj7YVjktNeWI8TAV8tI4-zeN85yT1lpvyDGrMEMggFHtHwLtT=w1200|https://lh3.google"&amp;"usercontent.com/pw/AP1GczNMq_MS1Beiho5GKDpRkUeW5teDyeUv7OXgRgVNi8AkAxuei4PqXKch2bkJYigzQ3drgjpFrbWhCSfyXMRG7-ZA0IifI0rtSqiBRSnJ0pNkdGc8nUzt=w1200|https://lh3.googleusercontent.com/pw/AP1GczNdRYZzyatF1OWTsp1RY3llrZUaP1V9JsGOkVx67_iUTniwnZ6EcQKTpcIz-BIsY_Rv"&amp;"MX3WcixgOTpNYsYdzeukYRRBrRvNC1wX3sKftLqy1s4VSSYp=w1200|https://lh3.googleusercontent.com/pw/AP1GczOcZf8qckyBfVAn1Qkmef7RCMxyWaa0vFZdn3ntV9GwtLtdqbjIRRK5ViQH6w0zONodVPiuyAzZTksqa0TSazEzPpfAutp89UxZPZVxR2KAvI47P-ZI=w1200|https://lh3.googleusercontent.com/pw"&amp;"/AP1GczMh4zjtGI9NiBKSYSsIxrHhdcOoN89VbW6QBYR6EzrhgbC8ruVqLR7sZlBZ3UOw2DNMqbRL1TenOIsrJiiGmq5v0qv7mwp5Mh-M2Q2hMqGvabiBas2b=w1200|https://lh3.googleusercontent.com/pw/AP1GczMjVBC32s-_5wtFKo44u1BVNrqLyrFcU3ccqgZJfDnBgxXb-ZMrdv2ujREHj5TDO6hCcZw5Wt6gcNY7-a_ubl"&amp;"o3R2dNd4wLBTrcjEWZLd2rI4WdIZS_=w1200|https://lh3.googleusercontent.com/pw/AP1GczM-vMijWLKUql5GuqWFU9FkiLjZq41N0SLzOPa0zQz5uH2rbi0rzsnModpAZVPKCaaufY9JqeFUz5M6_AlKaWARlfPCwLr056KMqKRHQC2BP3OFbegh=w1200|https://lh3.googleusercontent.com/pw/AP1GczO3UP8QWpDXI"&amp;"lHH1goLeyEgv4os7wQodzvWYwACQy5AEkCkLYfTj3lUOPljqFmws_dmN55iJcrDGoD1tGTyNU9YOOSJSGKICKB8f7PeysjBjw3nKf_F=w1200|https://lh3.googleusercontent.com/pw/AP1GczP8vPi_whqWsjT-C0PmWvn2Qx3QIjDbMd1AE921YdTzn_CC1OapFgpSA5gbBsdXpiIeAYF3OrPejkJYfiLPW_w2HTgUpPPQoFtyKOzR"&amp;"K4_mvmaOtzbr=w1200|https://lh3.googleusercontent.com/pw/AP1GczPVxnDF52nVYjvPqWaUOFaIqMfLZc75kIEEJsqF72KjswesgwH2NnfFn3MGWFqbvTRyekPRp1SaFa1UPjvWut6W1HDOdJkNtZHTH3m9uJfHaZkqps9D=w1200|https://lh3.googleusercontent.com/pw/AP1GczMIwgCgw1dhl_E4J20odmv1SqPYIoy"&amp;"58fTHPiyGgCW9EfYTqvVbQ805BWU10gBxyqYfGPe3jqwrzzpQ7m0kSztwv41eFGhgVQckUtfNgO1CVOH8sqWv=w1200|https://lh3.googleusercontent.com/pw/AP1GczNPYcECpA5hKuwLBExIViRHV0zxGKbtcARfFz2NXSxeiUpwr05CbigVIQfW05HLb2vgsKHQU0Mj6MMAI1hUMYzOSyfDm1joISjeQoD7QwP4DoQKQ2bB=w1200"&amp;"|https://lh3.googleusercontent.com/pw/AP1GczPtmrEMIKlZ2VJlPBqQOexq7qzIVL8qGmY5dJ6YDbhDV9xz289xVCI5ELnzpHcyvpG3jbQIzRGnq0fNtUmMGdhAATmlvKjgnlNQRiMnn4E6B0K0p3HF=w1200|https://lh3.googleusercontent.com/pw/AP1GczP2AnD0vs_lLuH2IatLihdLENH3aaeUBPclTrXoXatZ1Mlrp"&amp;"Sj8fX-25vKRhOjd1m3eonNR9UOceAqnnB8eOJi6xzC2ktMrMEzFW9QfCIKcbNI7qnTj=w1200|https://lh3.googleusercontent.com/pw/AP1GczNVjV1w0nZ8PGzX3wx8xR9GYPE1nu0txaMax738MPDb0-Wrr920Y37hMkcsJ-dzzlbSv35McEeVjCHOXZbCHQ5U8ll071k2DKanKNpQUAMmqBWG7QOs=w1200|https://lh3.googl"&amp;"eusercontent.com/pw/AP1GczOsiZcAjUwQ4sOHg78pqm-hcGve9XY7lJfVDgiA7k9000yW8FuWvpPqZeHgRpnfLnqOIrP40t0J5TzqWiKZ5WjWs_2mUKiZbQZjWxErCq2yS2DNo0gR=w1200|https://lh3.googleusercontent.com/pw/AP1GczMDnfdqRNoidDeh8FFb2P5INlgPJss_tslDkMUAvtscaftEYS0xlSn5HnkPav89bOo"&amp;"kvXoNovzfxMAAzA2cwkxh8M-pvXylPb6XLCpOUbwI-zizH72L=w1200|https://lh3.googleusercontent.com/pw/AP1GczM76I76nzlhZI97f1cX8_yKW5dYlfll3oCxRwEbcJl3HCg6x7KUuPwQbpsgyw39OaB950UbVCSa6Ke3f1BvxvJVb8elved6C5VDXxhjC3dTAjezxWXG=w1200|https://lh3.googleusercontent.com/p"&amp;"w/AP1GczOdPZV9PrIB2BwVjb0XTBupfG78pSq6IIop66aDIV8C-t5KD2hrHirn0A0LMU9yvJyIJNCY67Xs4QgEBRggi1bHKFZutgc9k_uu4_M6v8CofqEN-sC5=w1200|https://lh3.googleusercontent.com/pw/AP1GczOAVBLhupz3zPPuFh75HEEfvA6vRrtHCBNKaTw6mBEAoFE5zKkWVuPjalUwWH5nUjLtFh1vBz8yBzwwq8z9p"&amp;"GZUjbm06p675sxmL0r4xuRedIuiwsLD=w1200|https://lh3.googleusercontent.com/pw/AP1GczM2-m6uVKvkxDQAClnSrijU582pQo4Snz5SVZaGKM-_irCispFiDWbH9ikrpsXkoSrfKtDY6KNvskEIBXBsRW42Fi-uEATp02Bw7HkiqlVTqsXA1k9Y=w1200")</f>
        <v>https://lh3.googleusercontent.com/pw/AP1GczMr1V6pUNxsUvddw-i_TTr-1wkoctRRd3Tk7E1NTejsxxDQrrrkB9hevI189NC0UED-qrop50bWCftEaL4WxqHCr4jOOQli78TFOIa4dDn-fE5REM6n=w1200|https://lh3.googleusercontent.com/pw/AP1GczMWSNNKFlXyehRq7v9jheiXqmRTeJi9X8Nt0GAA1MqLZPMlm8MNeoWyV_EDBkLeN_XdMLXDO_N1N7JuWJddulooFGf7F_UhCNkDeZUIkUCTX-YRaa_r=w1200|https://lh3.googleusercontent.com/pw/AP1GczM-xdPr3Wtu36OuzeP1BqDExAuValNBZ2OVrdtTgniIH5jTtIiBsiDoQypn7N3JyE_Sj7YVjktNeWI8TAV8tI4-zeN85yT1lpvyDGrMEMggFHtHwLtT=w1200|https://lh3.googleusercontent.com/pw/AP1GczNMq_MS1Beiho5GKDpRkUeW5teDyeUv7OXgRgVNi8AkAxuei4PqXKch2bkJYigzQ3drgjpFrbWhCSfyXMRG7-ZA0IifI0rtSqiBRSnJ0pNkdGc8nUzt=w1200|https://lh3.googleusercontent.com/pw/AP1GczNdRYZzyatF1OWTsp1RY3llrZUaP1V9JsGOkVx67_iUTniwnZ6EcQKTpcIz-BIsY_RvMX3WcixgOTpNYsYdzeukYRRBrRvNC1wX3sKftLqy1s4VSSYp=w1200|https://lh3.googleusercontent.com/pw/AP1GczOcZf8qckyBfVAn1Qkmef7RCMxyWaa0vFZdn3ntV9GwtLtdqbjIRRK5ViQH6w0zONodVPiuyAzZTksqa0TSazEzPpfAutp89UxZPZVxR2KAvI47P-ZI=w1200|https://lh3.googleusercontent.com/pw/AP1GczMh4zjtGI9NiBKSYSsIxrHhdcOoN89VbW6QBYR6EzrhgbC8ruVqLR7sZlBZ3UOw2DNMqbRL1TenOIsrJiiGmq5v0qv7mwp5Mh-M2Q2hMqGvabiBas2b=w1200|https://lh3.googleusercontent.com/pw/AP1GczMjVBC32s-_5wtFKo44u1BVNrqLyrFcU3ccqgZJfDnBgxXb-ZMrdv2ujREHj5TDO6hCcZw5Wt6gcNY7-a_ublo3R2dNd4wLBTrcjEWZLd2rI4WdIZS_=w1200|https://lh3.googleusercontent.com/pw/AP1GczM-vMijWLKUql5GuqWFU9FkiLjZq41N0SLzOPa0zQz5uH2rbi0rzsnModpAZVPKCaaufY9JqeFUz5M6_AlKaWARlfPCwLr056KMqKRHQC2BP3OFbegh=w1200|https://lh3.googleusercontent.com/pw/AP1GczO3UP8QWpDXIlHH1goLeyEgv4os7wQodzvWYwACQy5AEkCkLYfTj3lUOPljqFmws_dmN55iJcrDGoD1tGTyNU9YOOSJSGKICKB8f7PeysjBjw3nKf_F=w1200|https://lh3.googleusercontent.com/pw/AP1GczP8vPi_whqWsjT-C0PmWvn2Qx3QIjDbMd1AE921YdTzn_CC1OapFgpSA5gbBsdXpiIeAYF3OrPejkJYfiLPW_w2HTgUpPPQoFtyKOzRK4_mvmaOtzbr=w1200|https://lh3.googleusercontent.com/pw/AP1GczPVxnDF52nVYjvPqWaUOFaIqMfLZc75kIEEJsqF72KjswesgwH2NnfFn3MGWFqbvTRyekPRp1SaFa1UPjvWut6W1HDOdJkNtZHTH3m9uJfHaZkqps9D=w1200|https://lh3.googleusercontent.com/pw/AP1GczMIwgCgw1dhl_E4J20odmv1SqPYIoy58fTHPiyGgCW9EfYTqvVbQ805BWU10gBxyqYfGPe3jqwrzzpQ7m0kSztwv41eFGhgVQckUtfNgO1CVOH8sqWv=w1200|https://lh3.googleusercontent.com/pw/AP1GczNPYcECpA5hKuwLBExIViRHV0zxGKbtcARfFz2NXSxeiUpwr05CbigVIQfW05HLb2vgsKHQU0Mj6MMAI1hUMYzOSyfDm1joISjeQoD7QwP4DoQKQ2bB=w1200|https://lh3.googleusercontent.com/pw/AP1GczPtmrEMIKlZ2VJlPBqQOexq7qzIVL8qGmY5dJ6YDbhDV9xz289xVCI5ELnzpHcyvpG3jbQIzRGnq0fNtUmMGdhAATmlvKjgnlNQRiMnn4E6B0K0p3HF=w1200|https://lh3.googleusercontent.com/pw/AP1GczP2AnD0vs_lLuH2IatLihdLENH3aaeUBPclTrXoXatZ1MlrpSj8fX-25vKRhOjd1m3eonNR9UOceAqnnB8eOJi6xzC2ktMrMEzFW9QfCIKcbNI7qnTj=w1200|https://lh3.googleusercontent.com/pw/AP1GczNVjV1w0nZ8PGzX3wx8xR9GYPE1nu0txaMax738MPDb0-Wrr920Y37hMkcsJ-dzzlbSv35McEeVjCHOXZbCHQ5U8ll071k2DKanKNpQUAMmqBWG7QOs=w1200|https://lh3.googleusercontent.com/pw/AP1GczOsiZcAjUwQ4sOHg78pqm-hcGve9XY7lJfVDgiA7k9000yW8FuWvpPqZeHgRpnfLnqOIrP40t0J5TzqWiKZ5WjWs_2mUKiZbQZjWxErCq2yS2DNo0gR=w1200|https://lh3.googleusercontent.com/pw/AP1GczMDnfdqRNoidDeh8FFb2P5INlgPJss_tslDkMUAvtscaftEYS0xlSn5HnkPav89bOokvXoNovzfxMAAzA2cwkxh8M-pvXylPb6XLCpOUbwI-zizH72L=w1200|https://lh3.googleusercontent.com/pw/AP1GczM76I76nzlhZI97f1cX8_yKW5dYlfll3oCxRwEbcJl3HCg6x7KUuPwQbpsgyw39OaB950UbVCSa6Ke3f1BvxvJVb8elved6C5VDXxhjC3dTAjezxWXG=w1200|https://lh3.googleusercontent.com/pw/AP1GczOdPZV9PrIB2BwVjb0XTBupfG78pSq6IIop66aDIV8C-t5KD2hrHirn0A0LMU9yvJyIJNCY67Xs4QgEBRggi1bHKFZutgc9k_uu4_M6v8CofqEN-sC5=w1200|https://lh3.googleusercontent.com/pw/AP1GczOAVBLhupz3zPPuFh75HEEfvA6vRrtHCBNKaTw6mBEAoFE5zKkWVuPjalUwWH5nUjLtFh1vBz8yBzwwq8z9pGZUjbm06p675sxmL0r4xuRedIuiwsLD=w1200|https://lh3.googleusercontent.com/pw/AP1GczM2-m6uVKvkxDQAClnSrijU582pQo4Snz5SVZaGKM-_irCispFiDWbH9ikrpsXkoSrfKtDY6KNvskEIBXBsRW42Fi-uEATp02Bw7HkiqlVTqsXA1k9Y=w1200</v>
      </c>
      <c r="AJ346" s="46"/>
      <c r="AK346" s="46"/>
      <c r="AL346" s="46"/>
      <c r="AM346" s="46"/>
      <c r="AN346" s="46"/>
      <c r="AO346" s="46"/>
      <c r="AP346" s="46"/>
      <c r="AQ346" s="46"/>
      <c r="AR346" s="46"/>
      <c r="AS346" s="46"/>
      <c r="AT346" s="46"/>
      <c r="AU346" s="46"/>
      <c r="AV346" s="46"/>
      <c r="AW346" s="46"/>
      <c r="AX346" s="46"/>
      <c r="AY346" s="46"/>
      <c r="AZ346" s="46"/>
      <c r="BA346" s="46"/>
      <c r="BB346" s="46"/>
      <c r="BC346" s="46"/>
      <c r="BD346" s="46"/>
      <c r="BE346" s="46"/>
      <c r="BF346" s="46"/>
      <c r="BG346" s="46"/>
      <c r="BH346" s="46"/>
      <c r="BI346" s="46"/>
      <c r="BJ346" s="46"/>
      <c r="BK346" s="46"/>
      <c r="BL346" s="46"/>
      <c r="BM346" s="46"/>
      <c r="BN346" s="46"/>
      <c r="BO346" s="46"/>
      <c r="BP346" s="46"/>
      <c r="BQ346" s="46"/>
      <c r="BR346" s="46"/>
      <c r="BS346" s="46"/>
      <c r="BT346" s="46"/>
      <c r="BU346" s="46"/>
      <c r="BV346" s="46"/>
      <c r="BW346" s="46"/>
      <c r="BX346" s="46"/>
      <c r="BY346" s="46"/>
      <c r="BZ346" s="46"/>
      <c r="CA346" s="46"/>
      <c r="CB346" s="46"/>
      <c r="CC346" s="46"/>
    </row>
    <row r="347">
      <c r="A347" s="87" t="str">
        <f>IFERROR(__xludf.DUMMYFUNCTION("""COMPUTED_VALUE"""),"543")</f>
        <v>543</v>
      </c>
      <c r="B347" s="46" t="str">
        <f>IFERROR(__xludf.DUMMYFUNCTION("""COMPUTED_VALUE"""),"Casa con tres locales en el Centro")</f>
        <v>Casa con tres locales en el Centro</v>
      </c>
      <c r="C347" s="46" t="str">
        <f>IFERROR(__xludf.DUMMYFUNCTION("""COMPUTED_VALUE"""),"Casa rentable")</f>
        <v>Casa rentable</v>
      </c>
      <c r="D347" s="46" t="str">
        <f>IFERROR(__xludf.DUMMYFUNCTION("""COMPUTED_VALUE"""),"Centro")</f>
        <v>Centro</v>
      </c>
      <c r="E347" s="46" t="str">
        <f>IFERROR(__xludf.DUMMYFUNCTION("""COMPUTED_VALUE""")," ")</f>
        <v> </v>
      </c>
      <c r="F347" s="90">
        <f>IFERROR(__xludf.DUMMYFUNCTION("""COMPUTED_VALUE"""),6.0E8)</f>
        <v>600000000</v>
      </c>
      <c r="G347" s="46" t="str">
        <f>IFERROR(__xludf.DUMMYFUNCTION("""COMPUTED_VALUE"""),"$500'000.000 a $1.000'000.000")</f>
        <v>$500'000.000 a $1.000'000.000</v>
      </c>
      <c r="H347" s="46"/>
      <c r="I347" s="46"/>
      <c r="J347" s="46" t="str">
        <f>IFERROR(__xludf.DUMMYFUNCTION("""COMPUTED_VALUE"""),"Centro")</f>
        <v>Centro</v>
      </c>
      <c r="K347" s="87"/>
      <c r="L347" s="46">
        <f>IFERROR(__xludf.DUMMYFUNCTION("""COMPUTED_VALUE"""),3.0)</f>
        <v>3</v>
      </c>
      <c r="M347" s="46"/>
      <c r="N347" s="46">
        <f>IFERROR(__xludf.DUMMYFUNCTION("""COMPUTED_VALUE"""),2.0)</f>
        <v>2</v>
      </c>
      <c r="O347" s="46">
        <f>IFERROR(__xludf.DUMMYFUNCTION("""COMPUTED_VALUE"""),1.0)</f>
        <v>1</v>
      </c>
      <c r="P347" s="46">
        <f>IFERROR(__xludf.DUMMYFUNCTION("""COMPUTED_VALUE"""),1.0)</f>
        <v>1</v>
      </c>
      <c r="Q347" s="92"/>
      <c r="R347" s="92">
        <f>IFERROR(__xludf.DUMMYFUNCTION("""COMPUTED_VALUE"""),307.0)</f>
        <v>307</v>
      </c>
      <c r="S347" s="87" t="str">
        <f>IFERROR(__xludf.DUMMYFUNCTION("""COMPUTED_VALUE""")," ")</f>
        <v> </v>
      </c>
      <c r="T347" s="46" t="str">
        <f>IFERROR(__xludf.DUMMYFUNCTION("""COMPUTED_VALUE"""),"Neiva")</f>
        <v>Neiva</v>
      </c>
      <c r="U347" s="87"/>
      <c r="V347" s="46" t="str">
        <f>IFERROR(__xludf.DUMMYFUNCTION("""COMPUTED_VALUE"""),"Medianera")</f>
        <v>Medianera</v>
      </c>
      <c r="W347" s="46"/>
      <c r="X347" s="46"/>
      <c r="Y347" s="46" t="str">
        <f>IFERROR(__xludf.DUMMYFUNCTION("""COMPUTED_VALUE"""),"No tiene")</f>
        <v>No tiene</v>
      </c>
      <c r="Z347" s="90" t="str">
        <f>IFERROR(__xludf.DUMMYFUNCTION("""COMPUTED_VALUE"""),"No aplica")</f>
        <v>No aplica</v>
      </c>
      <c r="AA347" s="33" t="str">
        <f>IFERROR(__xludf.DUMMYFUNCTION("""COMPUTED_VALUE"""),"No aplica")</f>
        <v>No aplica</v>
      </c>
      <c r="AB347" s="96" t="str">
        <f>IFERROR(__xludf.DUMMYFUNCTION("""COMPUTED_VALUE"""),"https://photos.app.goo.gl/mRN3Zvg1BYZswE7a6")</f>
        <v>https://photos.app.goo.gl/mRN3Zvg1BYZswE7a6</v>
      </c>
      <c r="AC347" s="46"/>
      <c r="AD347" s="46" t="str">
        <f>IFERROR(__xludf.DUMMYFUNCTION("""COMPUTED_VALUE"""),"Casa antigua, con locales acreditados y bien ubicados. Cuenta con patio amplio. Escritura al día.")</f>
        <v>Casa antigua, con locales acreditados y bien ubicados. Cuenta con patio amplio. Escritura al día.</v>
      </c>
      <c r="AE347" s="46"/>
      <c r="AF347" s="46" t="str">
        <f>IFERROR(__xludf.DUMMYFUNCTION("""COMPUTED_VALUE"""),"básica")</f>
        <v>básica</v>
      </c>
      <c r="AG347" s="46"/>
      <c r="AH347" s="46" t="str">
        <f>IFERROR(__xludf.DUMMYFUNCTION("""COMPUTED_VALUE"""),"Aliado")</f>
        <v>Aliado</v>
      </c>
      <c r="AI347" s="92" t="str">
        <f>IFERROR(__xludf.DUMMYFUNCTION("""COMPUTED_VALUE"""),"https://lh3.googleusercontent.com/pw/AP1GczP7KczbO4c22QjIgsPGbfIcIsYwqcL1pTXE_wDYBK2rjmd9hn3FEKgeDehFKqYIbxgnJsAQLLmUDYZEUd3HQAKIldrrd4a4VXgN5BGestIFJPLRs5lH=w1200|https://lh3.googleusercontent.com/pw/AP1GczP4syUeyN5ol5VKtJOygvcW982fYoJYY3rve-d3eGJfvL2DGn"&amp;"POzps010U6idXldoqyuXKmlo0oLDSrg-skhp7_K-t-BtPG0rLDd4gxbsfaWpAJHiCn=w1200|https://lh3.googleusercontent.com/pw/AP1GczM_u5tq_KnOvsSnWSS77eIC9LaA0Z7da9Qhj138-6PvSOfWYBWMe4Qpoy9hM57D97gIXFUukLSu-HF2qJ4UsU0fmpjJu2-58EroOY_G8tEZmrY3EJJd=w1200|https://lh3.google"&amp;"usercontent.com/pw/AP1GczPHLpvACJLH5cQV7haIMt1oQ9mYM0D6RJ03DrX6VaXmsRxdAtidbuUsH4Ib-SMdb4Dz1pnj1EVFSlo_h1ief6NTl5Hr2uFGMXlG88xfvoXj58OmwsbI=w1200|https://lh3.googleusercontent.com/pw/AP1GczPx9T_8NniSFfgaI7zMNjzVIYZRZVZOucsfEL0c_r3TucYb9IBXAQ3qqPoB_e9_-onU"&amp;"QECP9PCKazn-2WBGVCK_tIC9DZrjDkkqv12RXKoEC8Cx-Rkb=w1200|https://lh3.googleusercontent.com/pw/AP1GczPwALo5lU2nSrQ1157sk30x6-rdHbQ4E-etE6KwygwgZFyWrayeTVwDl3FLdzp7RAjgaxTPSe1eFeTaLJvtg4w5V50lijyAF2GOuPBpKPysXGgWNY4M=w1200|https://lh3.googleusercontent.com/pw"&amp;"/AP1GczNjkLCoCHIMSFC7vFC36iWbyaSUUFjC_1gbeBKsNMW3CPGyplXvXmYzq5i-9VLHy1soK4EEbZmPVkMn9BNax211MINL8BQwrC0oStZHf0FbTIDj31MQ=w1200|https://lh3.googleusercontent.com/pw/AP1GczPbrYtM70VMcIwBhSKh_Yn6F50xqlUmx2-XURvEt4ZPg_W_aNX8CXa5WJAEs1ZjUZtH0LoTPly1aOWK-2Giek"&amp;"oaIcS6_v6HIm0Jqe-SWF7Bxf2_LIOF=w1200")</f>
        <v>https://lh3.googleusercontent.com/pw/AP1GczP7KczbO4c22QjIgsPGbfIcIsYwqcL1pTXE_wDYBK2rjmd9hn3FEKgeDehFKqYIbxgnJsAQLLmUDYZEUd3HQAKIldrrd4a4VXgN5BGestIFJPLRs5lH=w1200|https://lh3.googleusercontent.com/pw/AP1GczP4syUeyN5ol5VKtJOygvcW982fYoJYY3rve-d3eGJfvL2DGnPOzps010U6idXldoqyuXKmlo0oLDSrg-skhp7_K-t-BtPG0rLDd4gxbsfaWpAJHiCn=w1200|https://lh3.googleusercontent.com/pw/AP1GczM_u5tq_KnOvsSnWSS77eIC9LaA0Z7da9Qhj138-6PvSOfWYBWMe4Qpoy9hM57D97gIXFUukLSu-HF2qJ4UsU0fmpjJu2-58EroOY_G8tEZmrY3EJJd=w1200|https://lh3.googleusercontent.com/pw/AP1GczPHLpvACJLH5cQV7haIMt1oQ9mYM0D6RJ03DrX6VaXmsRxdAtidbuUsH4Ib-SMdb4Dz1pnj1EVFSlo_h1ief6NTl5Hr2uFGMXlG88xfvoXj58OmwsbI=w1200|https://lh3.googleusercontent.com/pw/AP1GczPx9T_8NniSFfgaI7zMNjzVIYZRZVZOucsfEL0c_r3TucYb9IBXAQ3qqPoB_e9_-onUQECP9PCKazn-2WBGVCK_tIC9DZrjDkkqv12RXKoEC8Cx-Rkb=w1200|https://lh3.googleusercontent.com/pw/AP1GczPwALo5lU2nSrQ1157sk30x6-rdHbQ4E-etE6KwygwgZFyWrayeTVwDl3FLdzp7RAjgaxTPSe1eFeTaLJvtg4w5V50lijyAF2GOuPBpKPysXGgWNY4M=w1200|https://lh3.googleusercontent.com/pw/AP1GczNjkLCoCHIMSFC7vFC36iWbyaSUUFjC_1gbeBKsNMW3CPGyplXvXmYzq5i-9VLHy1soK4EEbZmPVkMn9BNax211MINL8BQwrC0oStZHf0FbTIDj31MQ=w1200|https://lh3.googleusercontent.com/pw/AP1GczPbrYtM70VMcIwBhSKh_Yn6F50xqlUmx2-XURvEt4ZPg_W_aNX8CXa5WJAEs1ZjUZtH0LoTPly1aOWK-2GiekoaIcS6_v6HIm0Jqe-SWF7Bxf2_LIOF=w1200</v>
      </c>
      <c r="AJ347" s="46"/>
      <c r="AK347" s="46"/>
      <c r="AL347" s="46"/>
      <c r="AM347" s="46"/>
      <c r="AN347" s="46"/>
      <c r="AO347" s="46"/>
      <c r="AP347" s="46"/>
      <c r="AQ347" s="46"/>
      <c r="AR347" s="46"/>
      <c r="AS347" s="46"/>
      <c r="AT347" s="46"/>
      <c r="AU347" s="46"/>
      <c r="AV347" s="46"/>
      <c r="AW347" s="46"/>
      <c r="AX347" s="46"/>
      <c r="AY347" s="46"/>
      <c r="AZ347" s="46"/>
      <c r="BA347" s="46"/>
      <c r="BB347" s="46"/>
      <c r="BC347" s="46"/>
      <c r="BD347" s="46"/>
      <c r="BE347" s="46"/>
      <c r="BF347" s="46"/>
      <c r="BG347" s="46"/>
      <c r="BH347" s="46"/>
      <c r="BI347" s="46"/>
      <c r="BJ347" s="46"/>
      <c r="BK347" s="46"/>
      <c r="BL347" s="46"/>
      <c r="BM347" s="46"/>
      <c r="BN347" s="46"/>
      <c r="BO347" s="46"/>
      <c r="BP347" s="46"/>
      <c r="BQ347" s="46"/>
      <c r="BR347" s="46"/>
      <c r="BS347" s="46"/>
      <c r="BT347" s="46"/>
      <c r="BU347" s="46"/>
      <c r="BV347" s="46"/>
      <c r="BW347" s="46"/>
      <c r="BX347" s="46"/>
      <c r="BY347" s="46"/>
      <c r="BZ347" s="46"/>
      <c r="CA347" s="46"/>
      <c r="CB347" s="46"/>
      <c r="CC347" s="46"/>
    </row>
    <row r="348">
      <c r="A348" s="87" t="str">
        <f>IFERROR(__xludf.DUMMYFUNCTION("""COMPUTED_VALUE"""),"1341")</f>
        <v>1341</v>
      </c>
      <c r="B348" s="46" t="str">
        <f>IFERROR(__xludf.DUMMYFUNCTION("""COMPUTED_VALUE"""),"Apartamento en edificio Versalles - La Toma")</f>
        <v>Apartamento en edificio Versalles - La Toma</v>
      </c>
      <c r="C348" s="46" t="str">
        <f>IFERROR(__xludf.DUMMYFUNCTION("""COMPUTED_VALUE"""),"Apartamento")</f>
        <v>Apartamento</v>
      </c>
      <c r="D348" s="46" t="str">
        <f>IFERROR(__xludf.DUMMYFUNCTION("""COMPUTED_VALUE"""),"La Toma")</f>
        <v>La Toma</v>
      </c>
      <c r="E348" s="46"/>
      <c r="F348" s="90">
        <f>IFERROR(__xludf.DUMMYFUNCTION("""COMPUTED_VALUE"""),6.0E8)</f>
        <v>600000000</v>
      </c>
      <c r="G348" s="46" t="str">
        <f>IFERROR(__xludf.DUMMYFUNCTION("""COMPUTED_VALUE"""),"$500'000.000 a $1.000'000.000")</f>
        <v>$500'000.000 a $1.000'000.000</v>
      </c>
      <c r="H348" s="46"/>
      <c r="I348" s="46"/>
      <c r="J348" s="46" t="str">
        <f>IFERROR(__xludf.DUMMYFUNCTION("""COMPUTED_VALUE"""),"Centro")</f>
        <v>Centro</v>
      </c>
      <c r="K348" s="87" t="str">
        <f>IFERROR(__xludf.DUMMYFUNCTION("""COMPUTED_VALUE"""),"3")</f>
        <v>3</v>
      </c>
      <c r="L348" s="46">
        <f>IFERROR(__xludf.DUMMYFUNCTION("""COMPUTED_VALUE"""),3.0)</f>
        <v>3</v>
      </c>
      <c r="M348" s="46"/>
      <c r="N348" s="46">
        <f>IFERROR(__xludf.DUMMYFUNCTION("""COMPUTED_VALUE"""),3.0)</f>
        <v>3</v>
      </c>
      <c r="O348" s="46">
        <f>IFERROR(__xludf.DUMMYFUNCTION("""COMPUTED_VALUE"""),2.0)</f>
        <v>2</v>
      </c>
      <c r="P348" s="46"/>
      <c r="Q348" s="92">
        <f>IFERROR(__xludf.DUMMYFUNCTION("""COMPUTED_VALUE"""),176.0)</f>
        <v>176</v>
      </c>
      <c r="R348" s="92">
        <f>IFERROR(__xludf.DUMMYFUNCTION("""COMPUTED_VALUE"""),176.0)</f>
        <v>176</v>
      </c>
      <c r="S348" s="87" t="str">
        <f>IFERROR(__xludf.DUMMYFUNCTION("""COMPUTED_VALUE""")," ")</f>
        <v> </v>
      </c>
      <c r="T348" s="46" t="str">
        <f>IFERROR(__xludf.DUMMYFUNCTION("""COMPUTED_VALUE"""),"Neiva")</f>
        <v>Neiva</v>
      </c>
      <c r="U348" s="87" t="str">
        <f>IFERROR(__xludf.DUMMYFUNCTION("""COMPUTED_VALUE"""),"5")</f>
        <v>5</v>
      </c>
      <c r="V348" s="46"/>
      <c r="W348" s="46"/>
      <c r="X348" s="46">
        <f>IFERROR(__xludf.DUMMYFUNCTION("""COMPUTED_VALUE"""),3.0)</f>
        <v>3</v>
      </c>
      <c r="Y348" s="46" t="str">
        <f>IFERROR(__xludf.DUMMYFUNCTION("""COMPUTED_VALUE"""),"Social")</f>
        <v>Social</v>
      </c>
      <c r="Z348" s="90">
        <f>IFERROR(__xludf.DUMMYFUNCTION("""COMPUTED_VALUE"""),760000.0)</f>
        <v>760000</v>
      </c>
      <c r="AA348" s="33" t="str">
        <f>IFERROR(__xludf.DUMMYFUNCTION("""COMPUTED_VALUE"""),"No aplica")</f>
        <v>No aplica</v>
      </c>
      <c r="AB348" s="96" t="str">
        <f>IFERROR(__xludf.DUMMYFUNCTION("""COMPUTED_VALUE"""),"https://photos.app.goo.gl/jH8CyDeWEkGHBXub8")</f>
        <v>https://photos.app.goo.gl/jH8CyDeWEkGHBXub8</v>
      </c>
      <c r="AC348" s="46" t="str">
        <f>IFERROR(__xludf.DUMMYFUNCTION("""COMPUTED_VALUE"""),"Distribución: cuenta con sala-comedor amplia, balcón exterior, cocina integral, zona de lavandería independiente y cuarto de servicio con baño. Dispone de tres habitaciones, todas con clóset en madera, habitación principal con baño privado, además de baño"&amp;" social, e incluye instalación de aire acondicionado. El inmueble ofrece dos parqueaderos independientes.")</f>
        <v>Distribución: cuenta con sala-comedor amplia, balcón exterior, cocina integral, zona de lavandería independiente y cuarto de servicio con baño. Dispone de tres habitaciones, todas con clóset en madera, habitación principal con baño privado, además de baño social, e incluye instalación de aire acondicionado. El inmueble ofrece dos parqueaderos independientes.</v>
      </c>
      <c r="AD348" s="46" t="str">
        <f>IFERROR(__xludf.DUMMYFUNCTION("""COMPUTED_VALUE"""),"El Edificio cuenta con vigilancia privada 24 horas, piscina, jacuzzi, salón social y zona BBQ, brindando comodidad y seguridad. Estrato 5. Una excelente oportunidad para vivir con amplitud y en una ubicación privilegiada.  Apartamento en venta – Edificio "&amp;"Versalles. Amplio y elegante apartamento de 176 m², ubicado en una excelente zona de la ciudad con fáciles vías de acceso.")</f>
        <v>El Edificio cuenta con vigilancia privada 24 horas, piscina, jacuzzi, salón social y zona BBQ, brindando comodidad y seguridad. Estrato 5. Una excelente oportunidad para vivir con amplitud y en una ubicación privilegiada.  Apartamento en venta – Edificio Versalles. Amplio y elegante apartamento de 176 m², ubicado en una excelente zona de la ciudad con fáciles vías de acceso.</v>
      </c>
      <c r="AE348" s="46"/>
      <c r="AF348" s="46" t="str">
        <f>IFERROR(__xludf.DUMMYFUNCTION("""COMPUTED_VALUE"""),"integral")</f>
        <v>integral</v>
      </c>
      <c r="AG348" s="46"/>
      <c r="AH348" s="46" t="str">
        <f>IFERROR(__xludf.DUMMYFUNCTION("""COMPUTED_VALUE"""),"Aliado")</f>
        <v>Aliado</v>
      </c>
      <c r="AI348" s="92" t="str">
        <f>IFERROR(__xludf.DUMMYFUNCTION("""COMPUTED_VALUE"""),"https://lh3.googleusercontent.com/pw/AP1GczOk2IGwaOr5tZgmyg6Lq9KaMS39Tilsh0HfVGfY6-uUfcO9yuyyQgk6Z0W-EBBj2fkceJEgZM8STv1gKwJdrxsV9hDJtcmZorkrasSEA1-yYsETthqU=w1200|https://lh3.googleusercontent.com/pw/AP1GczOOGD8OpqhRpqSYVZGMPPWaS0McGPiYn0UszMvRKgpmMWLAwQ"&amp;"aqEJBK96_bpXsbDUAf3EuZmr1CayL6LINIV8n80Rs4tpfhAh7ZE4JML5j47G7b-CF_=w1200|https://lh3.googleusercontent.com/pw/AP1GczPsoKpJ3XYKqjSOK3Lst3XDsTtEwZbuIB7bA1Kt_gjZ7X7OdvXuHifWsTmQH_cx1pFnf2zmgf-XOVdSEovUAotoCwzDbVjNUcA9jVegrATaRiwItbcM=w1200|https://lh3.google"&amp;"usercontent.com/pw/AP1GczOPicI_79gHCo3Q65R-QOHPHc3SzgpalJpNl5zHBc37S4IzETsxoimBRGz-I6ruhy1rMNYlLtybw60Kd1QuiLKW91Pq-wclklRl2x0FBBUabScDIyQn=w1200|https://lh3.googleusercontent.com/pw/AP1GczMnyaUH4kZagtx4OcN0uVxn5vZLJcLwZrU_OGpCai5OcO1DVAFy9HjDwbqHhXFeLvdZ"&amp;"48isoqrAm2vwvunGZVt2Lb-IcZzBg98QAN7WdnZbS9N6zNyH=w1200|https://lh3.googleusercontent.com/pw/AP1GczPKusAk846dKqNZ2vf3CFgSaOcMV8y3DXVJZ33jEffMLDnsuv_rLN7DYWNlldrlB8GDmV6OOI7qVUyLRLRNbA0imFAQUyPS-7r6xBKxckid2p9pQsnr=w1200|https://lh3.googleusercontent.com/pw"&amp;"/AP1GczOF9aW78wdgoqVbP8ieZbKbNHKCH9gJwVXhMkdtORYq5t9xugJLEHv8p5CDxG04StZXm0FRhNy_IwMiRSPj5oe5FAU-mxOf4hfykdYKXLy2OV8WmdEz=w1200|https://lh3.googleusercontent.com/pw/AP1GczPL-7aYopTFWIzuOd9Q0VOyZw9SotZHco_sOAs34w5zsNs-k8EYIBcTrd_GUkQy99byIuFnCpQOsmgc-V3tU1"&amp;"_arjmG7UycZ7LLmpDytgpMwIgr62on=w1200|https://lh3.googleusercontent.com/pw/AP1GczP1oLM_Y4b14eliPEA2fYCJFKz-BdxEoihlnWa1W0HF_QIur1ueiqRzL8TZ7VUfrgyYz2OcpQnqRprfMpjxVi8pKzxhnNGVjnBR5iIYmbh34nM8ZmFJ=w1200|https://lh3.googleusercontent.com/pw/AP1GczM99M1yY7w1w"&amp;"qSXmvE9h1qfZmmJlS63wDjbjBJ5-CyxObNOpNWkUFJcVhS8YTx4OWFGv0CZRbNPMuNNssSoGoTJKJOc8-tDxnejQZn7m_MDeSacTrrx=w1200|https://lh3.googleusercontent.com/pw/AP1GczNP_ZOXqdep788gwhx29_9WoVx-jKLlNPIIejeLNWJpFg4vj3i7BrPmoMlsctTbG2W_ork0Isr8Y-MJPB0fEz561iocwcfdvnzb4c7v"&amp;"G_LVkphi7xsB=w1200|https://lh3.googleusercontent.com/pw/AP1GczM0TPfvxh2mK94g3x_PsD5xnoBjzQDroqOMzenM3ZVcCYNpAZ40c08GZLsfPL8rL4sML2lVS2ZoKLODGBuXr9tabxNgHxnHbd3PuVaONoYnfy5PxnBF=w1200|https://lh3.googleusercontent.com/pw/AP1GczMSjWfcb4MeqPBv57o0m2oTUgLsjhZ"&amp;"iRD3_B-8x79q_p21ZxGGFfngxp7fQK9A0EDDiCMRSraxmfuq73d6-yWhMenPWRDi9Ku0XtpqZ0ZMsPmCbr3C0=w1200|https://lh3.googleusercontent.com/pw/AP1GczPnobfb_KWnWWiXNY1FGoa0N8tNaWfAMioACnktg9pRS7vveQOpnEh-vHvA3KAod7FHNd8nQvIZTVhU8hq_gsthF2RaifsBk86isMAiHL_sB6n_5Ths=w1200"&amp;"|https://lh3.googleusercontent.com/pw/AP1GczM16ZOKBA38tayDtz87etjjH2rBzx6yxXAecjlcO_gA1V8UctVWAh3SN75C3HdiVEKAWTPpJoVVnOyLzuiegZkwiIjCS34Zj97DWCzK6H4o5Ix9E0R2=w1200|https://lh3.googleusercontent.com/pw/AP1GczM7VeAu7BpTEEtczkWi6Xw_7eE3mjRM0f1Lk3rrTMIlzOpba"&amp;"IJpN8K0bSF32Sa7d5nhkHX5R0RAidB2g-biNUEadSPdkAi7dzWwO9Winmvs9lgX54uB=w1200|https://lh3.googleusercontent.com/pw/AP1GczNz_0w6si33R2WXlqHOeU6LT43zqq0oekO6MPvw1iuiFo6YmTIsiLs0i2feuVDNUuuQ3F2dBnbOKQ6AqNm0NFEPwT13k5L31fAuWqykNKAY494UniNV=w1200|https://lh3.googl"&amp;"eusercontent.com/pw/AP1GczMuHEkKRmGGpLit-6POEO0h-xS2njmgLKXvl8ShnvSkHb_NZrZHj_vKjJ7T-ruJ3s2t9UpBgyjgqrMEJqC4KyeCMSZm-uTzwHTTFZ9NzgPrCQX2MAqW=w1200|https://lh3.googleusercontent.com/pw/AP1GczN3padYPuovMiOh54xgEIZoSpnQGLKRSmvVfC_4u8FXOuO_4BhcgoolJkjDdqF2eVH"&amp;"3fOww9Va_IYUWqeuwWoOOPAYXWzUsqC32D0oX_Zn11M1xH7ko=w1200|https://lh3.googleusercontent.com/pw/AP1GczMqopnFw8aMYO6zvxumck61yg38-9ttsa2ZRMdSxND80w65XFnuTDkRu9pVxPVonpfzhkJCYktAUJMA9QwswIY8ayvpUlphbkGKVgjAOZsAWVTacqK7=w1200|https://lh3.googleusercontent.com/p"&amp;"w/AP1GczMbeg2E1OhlYFeWhWAwn53hHm8MBibCSxEs9Q1uy1E_niu7NNazP91Xxu7GsX7W_C_uo2tThIV-U5DSWKE0KIZta2v1ZtZ4UAPSitw5AQ-_6mMcXpH6=w1200|https://lh3.googleusercontent.com/pw/AP1GczNxFG8TBrooQ5UOg29e-WR3pf1BkEVUZOvZ8tzmfHXxuTqwi5ZmLAean-fKgNlijrT_--GUj6Z6QPQgeqnVz"&amp;"-SB1fmlELS7dEwjG6IRcZdrshv1b-ZL=w1200|https://lh3.googleusercontent.com/pw/AP1GczMxAZG4JSY4pKo5-57_XzeCwTsOYmToIYnwilhw1fJzkPHwE7Sa6QNbcCtW-xkyd1gKl1-0-0LiXt4mVYGb-uguJRXSNbkiDZlSDW6g1E8CMLue6q0a=w1200|https://lh3.googleusercontent.com/pw/AP1GczN4Jcsfq4-d"&amp;"ea0zAT9nhwYzHo4sZ0j88e1QQSmBdg9zIEsUtDPMkQNVS8nY-hM5y_4Z3xaf3siDqxReIoGnDoalwTOADxF1BEaaBWRMt9atNJXay9Ag=w1200|https://lh3.googleusercontent.com/pw/AP1GczP6hLiggFeiSuRA7nmBvOVAnq0-WbR5V8iR6jI2X_t8ChuZy8pB7wXIA9raO4D2B860P5ffW-5AN1yh4E0RMHozibKUGbY-g6M4r4k"&amp;"Ak1tn8GUnGn30=w1200|https://lh3.googleusercontent.com/pw/AP1GczMkT1-23iJfCssLyenU1yG_5shkbrRapbFxgGouuRIckyYvZmOqdMQevDi6c4AbEry5kSDgFr5zVKD3kpIQWN5uk5GA4ku1LlAR_IFGJCNzC7OAlQXl=w1200|https://lh3.googleusercontent.com/pw/AP1GczNnixiU0JHoeiGDANbqmxvDWUlZFe"&amp;"e05atUl6qnjMsAXW32KFK9tW8tDeBHc-086UkVeSHi6SMxGEDNeepmWYimfkGF3M7BuMWwlTeRECVjMxRiestI=w1200|https://lh3.googleusercontent.com/pw/AP1GczOufnmyM840JFs5IlgVq6mNBOp58opgUadd-EMoxukkY5xxOPnH9ZzONb_QrcGMFWwvhLFP5LCID1EDyGIqyJazXZGZIhG594PpXoYBMoYykA-eyE4a=w120"&amp;"0|https://lh3.googleusercontent.com/pw/AP1GczNi7tDDxDRdo3Qxbk0SJAOpOt1z7SB3KS1-cLWB7fLoaBcE7pM31EqT0py4zBcQ0FHMWgRKOPDJKIxC1KM9kigfkUqPU_ztquQNp72AbF6LyQRc9_dS=w1200")</f>
        <v>https://lh3.googleusercontent.com/pw/AP1GczOk2IGwaOr5tZgmyg6Lq9KaMS39Tilsh0HfVGfY6-uUfcO9yuyyQgk6Z0W-EBBj2fkceJEgZM8STv1gKwJdrxsV9hDJtcmZorkrasSEA1-yYsETthqU=w1200|https://lh3.googleusercontent.com/pw/AP1GczOOGD8OpqhRpqSYVZGMPPWaS0McGPiYn0UszMvRKgpmMWLAwQaqEJBK96_bpXsbDUAf3EuZmr1CayL6LINIV8n80Rs4tpfhAh7ZE4JML5j47G7b-CF_=w1200|https://lh3.googleusercontent.com/pw/AP1GczPsoKpJ3XYKqjSOK3Lst3XDsTtEwZbuIB7bA1Kt_gjZ7X7OdvXuHifWsTmQH_cx1pFnf2zmgf-XOVdSEovUAotoCwzDbVjNUcA9jVegrATaRiwItbcM=w1200|https://lh3.googleusercontent.com/pw/AP1GczOPicI_79gHCo3Q65R-QOHPHc3SzgpalJpNl5zHBc37S4IzETsxoimBRGz-I6ruhy1rMNYlLtybw60Kd1QuiLKW91Pq-wclklRl2x0FBBUabScDIyQn=w1200|https://lh3.googleusercontent.com/pw/AP1GczMnyaUH4kZagtx4OcN0uVxn5vZLJcLwZrU_OGpCai5OcO1DVAFy9HjDwbqHhXFeLvdZ48isoqrAm2vwvunGZVt2Lb-IcZzBg98QAN7WdnZbS9N6zNyH=w1200|https://lh3.googleusercontent.com/pw/AP1GczPKusAk846dKqNZ2vf3CFgSaOcMV8y3DXVJZ33jEffMLDnsuv_rLN7DYWNlldrlB8GDmV6OOI7qVUyLRLRNbA0imFAQUyPS-7r6xBKxckid2p9pQsnr=w1200|https://lh3.googleusercontent.com/pw/AP1GczOF9aW78wdgoqVbP8ieZbKbNHKCH9gJwVXhMkdtORYq5t9xugJLEHv8p5CDxG04StZXm0FRhNy_IwMiRSPj5oe5FAU-mxOf4hfykdYKXLy2OV8WmdEz=w1200|https://lh3.googleusercontent.com/pw/AP1GczPL-7aYopTFWIzuOd9Q0VOyZw9SotZHco_sOAs34w5zsNs-k8EYIBcTrd_GUkQy99byIuFnCpQOsmgc-V3tU1_arjmG7UycZ7LLmpDytgpMwIgr62on=w1200|https://lh3.googleusercontent.com/pw/AP1GczP1oLM_Y4b14eliPEA2fYCJFKz-BdxEoihlnWa1W0HF_QIur1ueiqRzL8TZ7VUfrgyYz2OcpQnqRprfMpjxVi8pKzxhnNGVjnBR5iIYmbh34nM8ZmFJ=w1200|https://lh3.googleusercontent.com/pw/AP1GczM99M1yY7w1wqSXmvE9h1qfZmmJlS63wDjbjBJ5-CyxObNOpNWkUFJcVhS8YTx4OWFGv0CZRbNPMuNNssSoGoTJKJOc8-tDxnejQZn7m_MDeSacTrrx=w1200|https://lh3.googleusercontent.com/pw/AP1GczNP_ZOXqdep788gwhx29_9WoVx-jKLlNPIIejeLNWJpFg4vj3i7BrPmoMlsctTbG2W_ork0Isr8Y-MJPB0fEz561iocwcfdvnzb4c7vG_LVkphi7xsB=w1200|https://lh3.googleusercontent.com/pw/AP1GczM0TPfvxh2mK94g3x_PsD5xnoBjzQDroqOMzenM3ZVcCYNpAZ40c08GZLsfPL8rL4sML2lVS2ZoKLODGBuXr9tabxNgHxnHbd3PuVaONoYnfy5PxnBF=w1200|https://lh3.googleusercontent.com/pw/AP1GczMSjWfcb4MeqPBv57o0m2oTUgLsjhZiRD3_B-8x79q_p21ZxGGFfngxp7fQK9A0EDDiCMRSraxmfuq73d6-yWhMenPWRDi9Ku0XtpqZ0ZMsPmCbr3C0=w1200|https://lh3.googleusercontent.com/pw/AP1GczPnobfb_KWnWWiXNY1FGoa0N8tNaWfAMioACnktg9pRS7vveQOpnEh-vHvA3KAod7FHNd8nQvIZTVhU8hq_gsthF2RaifsBk86isMAiHL_sB6n_5Ths=w1200|https://lh3.googleusercontent.com/pw/AP1GczM16ZOKBA38tayDtz87etjjH2rBzx6yxXAecjlcO_gA1V8UctVWAh3SN75C3HdiVEKAWTPpJoVVnOyLzuiegZkwiIjCS34Zj97DWCzK6H4o5Ix9E0R2=w1200|https://lh3.googleusercontent.com/pw/AP1GczM7VeAu7BpTEEtczkWi6Xw_7eE3mjRM0f1Lk3rrTMIlzOpbaIJpN8K0bSF32Sa7d5nhkHX5R0RAidB2g-biNUEadSPdkAi7dzWwO9Winmvs9lgX54uB=w1200|https://lh3.googleusercontent.com/pw/AP1GczNz_0w6si33R2WXlqHOeU6LT43zqq0oekO6MPvw1iuiFo6YmTIsiLs0i2feuVDNUuuQ3F2dBnbOKQ6AqNm0NFEPwT13k5L31fAuWqykNKAY494UniNV=w1200|https://lh3.googleusercontent.com/pw/AP1GczMuHEkKRmGGpLit-6POEO0h-xS2njmgLKXvl8ShnvSkHb_NZrZHj_vKjJ7T-ruJ3s2t9UpBgyjgqrMEJqC4KyeCMSZm-uTzwHTTFZ9NzgPrCQX2MAqW=w1200|https://lh3.googleusercontent.com/pw/AP1GczN3padYPuovMiOh54xgEIZoSpnQGLKRSmvVfC_4u8FXOuO_4BhcgoolJkjDdqF2eVH3fOww9Va_IYUWqeuwWoOOPAYXWzUsqC32D0oX_Zn11M1xH7ko=w1200|https://lh3.googleusercontent.com/pw/AP1GczMqopnFw8aMYO6zvxumck61yg38-9ttsa2ZRMdSxND80w65XFnuTDkRu9pVxPVonpfzhkJCYktAUJMA9QwswIY8ayvpUlphbkGKVgjAOZsAWVTacqK7=w1200|https://lh3.googleusercontent.com/pw/AP1GczMbeg2E1OhlYFeWhWAwn53hHm8MBibCSxEs9Q1uy1E_niu7NNazP91Xxu7GsX7W_C_uo2tThIV-U5DSWKE0KIZta2v1ZtZ4UAPSitw5AQ-_6mMcXpH6=w1200|https://lh3.googleusercontent.com/pw/AP1GczNxFG8TBrooQ5UOg29e-WR3pf1BkEVUZOvZ8tzmfHXxuTqwi5ZmLAean-fKgNlijrT_--GUj6Z6QPQgeqnVz-SB1fmlELS7dEwjG6IRcZdrshv1b-ZL=w1200|https://lh3.googleusercontent.com/pw/AP1GczMxAZG4JSY4pKo5-57_XzeCwTsOYmToIYnwilhw1fJzkPHwE7Sa6QNbcCtW-xkyd1gKl1-0-0LiXt4mVYGb-uguJRXSNbkiDZlSDW6g1E8CMLue6q0a=w1200|https://lh3.googleusercontent.com/pw/AP1GczN4Jcsfq4-dea0zAT9nhwYzHo4sZ0j88e1QQSmBdg9zIEsUtDPMkQNVS8nY-hM5y_4Z3xaf3siDqxReIoGnDoalwTOADxF1BEaaBWRMt9atNJXay9Ag=w1200|https://lh3.googleusercontent.com/pw/AP1GczP6hLiggFeiSuRA7nmBvOVAnq0-WbR5V8iR6jI2X_t8ChuZy8pB7wXIA9raO4D2B860P5ffW-5AN1yh4E0RMHozibKUGbY-g6M4r4kAk1tn8GUnGn30=w1200|https://lh3.googleusercontent.com/pw/AP1GczMkT1-23iJfCssLyenU1yG_5shkbrRapbFxgGouuRIckyYvZmOqdMQevDi6c4AbEry5kSDgFr5zVKD3kpIQWN5uk5GA4ku1LlAR_IFGJCNzC7OAlQXl=w1200|https://lh3.googleusercontent.com/pw/AP1GczNnixiU0JHoeiGDANbqmxvDWUlZFee05atUl6qnjMsAXW32KFK9tW8tDeBHc-086UkVeSHi6SMxGEDNeepmWYimfkGF3M7BuMWwlTeRECVjMxRiestI=w1200|https://lh3.googleusercontent.com/pw/AP1GczOufnmyM840JFs5IlgVq6mNBOp58opgUadd-EMoxukkY5xxOPnH9ZzONb_QrcGMFWwvhLFP5LCID1EDyGIqyJazXZGZIhG594PpXoYBMoYykA-eyE4a=w1200|https://lh3.googleusercontent.com/pw/AP1GczNi7tDDxDRdo3Qxbk0SJAOpOt1z7SB3KS1-cLWB7fLoaBcE7pM31EqT0py4zBcQ0FHMWgRKOPDJKIxC1KM9kigfkUqPU_ztquQNp72AbF6LyQRc9_dS=w1200</v>
      </c>
      <c r="AJ348" s="46"/>
      <c r="AK348" s="46"/>
      <c r="AL348" s="46"/>
      <c r="AM348" s="46"/>
      <c r="AN348" s="46"/>
      <c r="AO348" s="46"/>
      <c r="AP348" s="46"/>
      <c r="AQ348" s="46"/>
      <c r="AR348" s="46"/>
      <c r="AS348" s="46"/>
      <c r="AT348" s="46"/>
      <c r="AU348" s="46"/>
      <c r="AV348" s="46"/>
      <c r="AW348" s="46"/>
      <c r="AX348" s="46"/>
      <c r="AY348" s="46"/>
      <c r="AZ348" s="46"/>
      <c r="BA348" s="46"/>
      <c r="BB348" s="46"/>
      <c r="BC348" s="46"/>
      <c r="BD348" s="46"/>
      <c r="BE348" s="46"/>
      <c r="BF348" s="46"/>
      <c r="BG348" s="46"/>
      <c r="BH348" s="46"/>
      <c r="BI348" s="46"/>
      <c r="BJ348" s="46"/>
      <c r="BK348" s="46"/>
      <c r="BL348" s="46"/>
      <c r="BM348" s="46"/>
      <c r="BN348" s="46"/>
      <c r="BO348" s="46"/>
      <c r="BP348" s="46"/>
      <c r="BQ348" s="46"/>
      <c r="BR348" s="46"/>
      <c r="BS348" s="46"/>
      <c r="BT348" s="46"/>
      <c r="BU348" s="46"/>
      <c r="BV348" s="46"/>
      <c r="BW348" s="46"/>
      <c r="BX348" s="46"/>
      <c r="BY348" s="46"/>
      <c r="BZ348" s="46"/>
      <c r="CA348" s="46"/>
      <c r="CB348" s="46"/>
      <c r="CC348" s="46"/>
    </row>
    <row r="349">
      <c r="A349" s="87" t="str">
        <f>IFERROR(__xludf.DUMMYFUNCTION("""COMPUTED_VALUE"""),"1337")</f>
        <v>1337</v>
      </c>
      <c r="B349" s="46" t="str">
        <f>IFERROR(__xludf.DUMMYFUNCTION("""COMPUTED_VALUE"""),"Apartamento en edificio Antares - La Toma")</f>
        <v>Apartamento en edificio Antares - La Toma</v>
      </c>
      <c r="C349" s="46" t="str">
        <f>IFERROR(__xludf.DUMMYFUNCTION("""COMPUTED_VALUE"""),"Apartamento")</f>
        <v>Apartamento</v>
      </c>
      <c r="D349" s="46" t="str">
        <f>IFERROR(__xludf.DUMMYFUNCTION("""COMPUTED_VALUE"""),"La Toma")</f>
        <v>La Toma</v>
      </c>
      <c r="E349" s="46"/>
      <c r="F349" s="90">
        <f>IFERROR(__xludf.DUMMYFUNCTION("""COMPUTED_VALUE"""),6.0E8)</f>
        <v>600000000</v>
      </c>
      <c r="G349" s="46" t="str">
        <f>IFERROR(__xludf.DUMMYFUNCTION("""COMPUTED_VALUE"""),"$500'000.000 a $1.000'000.000")</f>
        <v>$500'000.000 a $1.000'000.000</v>
      </c>
      <c r="H349" s="46"/>
      <c r="I349" s="46"/>
      <c r="J349" s="46" t="str">
        <f>IFERROR(__xludf.DUMMYFUNCTION("""COMPUTED_VALUE"""),"Centro")</f>
        <v>Centro</v>
      </c>
      <c r="K349" s="87" t="str">
        <f>IFERROR(__xludf.DUMMYFUNCTION("""COMPUTED_VALUE"""),"3")</f>
        <v>3</v>
      </c>
      <c r="L349" s="46">
        <f>IFERROR(__xludf.DUMMYFUNCTION("""COMPUTED_VALUE"""),3.0)</f>
        <v>3</v>
      </c>
      <c r="M349" s="46"/>
      <c r="N349" s="46">
        <f>IFERROR(__xludf.DUMMYFUNCTION("""COMPUTED_VALUE"""),3.0)</f>
        <v>3</v>
      </c>
      <c r="O349" s="46">
        <f>IFERROR(__xludf.DUMMYFUNCTION("""COMPUTED_VALUE"""),2.0)</f>
        <v>2</v>
      </c>
      <c r="P349" s="46"/>
      <c r="Q349" s="92">
        <f>IFERROR(__xludf.DUMMYFUNCTION("""COMPUTED_VALUE"""),164.0)</f>
        <v>164</v>
      </c>
      <c r="R349" s="92">
        <f>IFERROR(__xludf.DUMMYFUNCTION("""COMPUTED_VALUE"""),164.0)</f>
        <v>164</v>
      </c>
      <c r="S349" s="87" t="str">
        <f>IFERROR(__xludf.DUMMYFUNCTION("""COMPUTED_VALUE""")," ")</f>
        <v> </v>
      </c>
      <c r="T349" s="46" t="str">
        <f>IFERROR(__xludf.DUMMYFUNCTION("""COMPUTED_VALUE"""),"Neiva")</f>
        <v>Neiva</v>
      </c>
      <c r="U349" s="87" t="str">
        <f>IFERROR(__xludf.DUMMYFUNCTION("""COMPUTED_VALUE"""),"5")</f>
        <v>5</v>
      </c>
      <c r="V349" s="46"/>
      <c r="W349" s="46"/>
      <c r="X349" s="46">
        <f>IFERROR(__xludf.DUMMYFUNCTION("""COMPUTED_VALUE"""),3.0)</f>
        <v>3</v>
      </c>
      <c r="Y349" s="46" t="str">
        <f>IFERROR(__xludf.DUMMYFUNCTION("""COMPUTED_VALUE"""),"Social")</f>
        <v>Social</v>
      </c>
      <c r="Z349" s="90">
        <f>IFERROR(__xludf.DUMMYFUNCTION("""COMPUTED_VALUE"""),550000.0)</f>
        <v>550000</v>
      </c>
      <c r="AA349" s="33" t="str">
        <f>IFERROR(__xludf.DUMMYFUNCTION("""COMPUTED_VALUE"""),"No aplica")</f>
        <v>No aplica</v>
      </c>
      <c r="AB349" s="96" t="str">
        <f>IFERROR(__xludf.DUMMYFUNCTION("""COMPUTED_VALUE"""),"https://photos.app.goo.gl/gLEdoXzG4vUV36tb9")</f>
        <v>https://photos.app.goo.gl/gLEdoXzG4vUV36tb9</v>
      </c>
      <c r="AC349" s="46" t="str">
        <f>IFERROR(__xludf.DUMMYFUNCTION("""COMPUTED_VALUE"""),"Distribuidos en tres habitaciones, todas con aire acondicionado, tres baños, amplia sala comedor, cocina, y tiene balcones que brindan excelente iluminación y ventilación natural; el edificio dispone de ascensor y área social.")</f>
        <v>Distribuidos en tres habitaciones, todas con aire acondicionado, tres baños, amplia sala comedor, cocina, y tiene balcones que brindan excelente iluminación y ventilación natural; el edificio dispone de ascensor y área social.</v>
      </c>
      <c r="AD349" s="46" t="str">
        <f>IFERROR(__xludf.DUMMYFUNCTION("""COMPUTED_VALUE"""),"Apartamento en venta en la Toma, ubicado en el Edificio Antares, en la ciudad de Neiva. Cuenta con un área de 164 m². Estrato 5. Una excelente oportunidad en una zona residencial tranquila y de alta valorización.")</f>
        <v>Apartamento en venta en la Toma, ubicado en el Edificio Antares, en la ciudad de Neiva. Cuenta con un área de 164 m². Estrato 5. Una excelente oportunidad en una zona residencial tranquila y de alta valorización.</v>
      </c>
      <c r="AE349" s="46"/>
      <c r="AF349" s="46" t="str">
        <f>IFERROR(__xludf.DUMMYFUNCTION("""COMPUTED_VALUE"""),"integral")</f>
        <v>integral</v>
      </c>
      <c r="AG349" s="46"/>
      <c r="AH349" s="46" t="str">
        <f>IFERROR(__xludf.DUMMYFUNCTION("""COMPUTED_VALUE"""),"Aliado")</f>
        <v>Aliado</v>
      </c>
      <c r="AI349" s="92" t="str">
        <f>IFERROR(__xludf.DUMMYFUNCTION("""COMPUTED_VALUE"""),"https://lh3.googleusercontent.com/pw/AP1GczNxyBvXcAMTsLJzije7GimjZ8OxWGKllk8xmMewXdhzGiROjHVTWvdi2CIliLforuxhw8J1RaKyOgmTJyKRz4zhgW8GFV1Q9y_n7UZJD90zF-OcaiIL=w1200|https://lh3.googleusercontent.com/pw/AP1GczOysT5DZ358JFFL9aOTcdlj5zzqMo2ZMerSTmSpgfNGp-U6up"&amp;"vKW82UPHSeoY-9kK0pOEULGVP-Q3FgFhTMR_Nl4zjCTU60UY0AgQ2ybg5rpZj6ml5y=w1200|https://lh3.googleusercontent.com/pw/AP1GczOBSeolG7sBS8KFQ5dYD81OzmvKpy0WheE0_hjPVt-kLeAXOiKEueAifsTFBI8uaAXbpII0YT1-t3Chj4XXAMq64GFFUIW_JHGiMz6ZiM5_QB6R6yR0=w1200|https://lh3.google"&amp;"usercontent.com/pw/AP1GczPUXOGUmqfRAfvu_pyLk71IyixlKStX63ckFqF53IbkXs96RJtJU68pqUM6sl8txV6t24FI_zJJ7osGECZeP-UQYGJDg77TIjraUYtfjw1piryNxtui=w1200|https://lh3.googleusercontent.com/pw/AP1GczP7uRSjRzVMotK3_e9u8-AH1jTFZnEUEUvkpwlDuNg6ZnHKtPPeMiVUBhxejo_rnNjS"&amp;"RWWZB0jQsCeQlkhxYZ5KBVfdWg1MTQNSKPd1h6cV_U1i-M66=w1200|https://lh3.googleusercontent.com/pw/AP1GczM8ijmg9eq-XxFunnwBmA4zKI9cdxqATTTN3sKW7duE0SXigPQUN65VGijogG99f4d_523TOupl7FmuCy_WSmORnXdvtiegcruM69cfCngTrxm4MvKY=w1200|https://lh3.googleusercontent.com/pw"&amp;"/AP1GczMdD-Muu5dah6dXqTR6KwAufyvK8RIsNYFkwu0kIO80wJdyzsuuCrB4XtGKaPOSVvonzWo74LZhmJYhttUUC021a_tqh9Wbz_ToHeYK5cL5m_75gMOd=w1200|https://lh3.googleusercontent.com/pw/AP1GczODut5qtzZMwbldpihntH8QfONFm8O7enq-w-hnpsGue3ObbbjSpU1sgN4RSAsXpT_si5k5Db3GE9zIZtp-Yv"&amp;"g1aixE1hcnLzfRqUXH2ojDqf0-bHZB=w1200|https://lh3.googleusercontent.com/pw/AP1GczO7UljtY3I1ChTzyIxHg_V8DiHP6kzsLqVH3RoyIiGEgkZnW-Yj-h37xzMJvTl00X_j7lrRSgq0E6HPDDZ7uuyIsnaCJ2TnU9nhQveDo_IrcVa-4fzQ=w1200|https://lh3.googleusercontent.com/pw/AP1GczOtu8AJQasIF"&amp;"7UflKYV2ja4ssFnaki2NcUXJRpByM62sb0r5eGdShFaWqqhSJdFi-ffTKQv_5f1fUMXYIAjHIxB0YJ9P_7KP2xrpZ7L1Yf2j6xnhQil=w1200|https://lh3.googleusercontent.com/pw/AP1GczOv-DBb36heKfUVy9ytkFnzn1Q-lMwXQUkUjNy-46UxLoeIN5O_PqVbTTttsQ4bBxZvVOovtUKuu3rNxJQWV632mdPPWp9Zz8fL2JWg"&amp;"qRahmC-feEgl=w1200|https://lh3.googleusercontent.com/pw/AP1GczP--GOjXmEzu501sfzGbAqMJ2vP-2ovT-Y7e3tBRQsPB57jjS0sLAUFSOMEORBnGrl9113-8yAsjJ7RWP8ekcC5WTrlWC6Ok2FjaEP0PYeCqdg76UJK=w1200|https://lh3.googleusercontent.com/pw/AP1GczOvw0MTZjtF-dQsRN5u09AK_ynDIGB"&amp;"AhGw61uOHvZpD_7b-wmj6rs4uzwDVUXRRoy3kwIxDS0CAfTV-Vk1Y8277t_pyG0miU5VNnbs2q8dvQrYhKYNF=w1200|https://lh3.googleusercontent.com/pw/AP1GczOdbKB3KRB7URfW33Nn96YUxK_3nuMTTqGUSbU2wLHVOTWejGu2KlMaGXW2vTSr_8VUpEyvB_HKreU8Z2feHh0ZiC5a6SqgDYMaeqh3kHqhIJ7Im8R1=w1200"&amp;"|https://lh3.googleusercontent.com/pw/AP1GczNs0yAZ-548j2NOvCbx1i9NA2Kh3F2k_T9ztNNsdSG82PlOx-KHu_FnWX_p8_slx3ADkeQUrOcryotcijOuUvtGjGy0sGYkOFAin82FcklihionDYZv=w1200|https://lh3.googleusercontent.com/pw/AP1GczNYPfqJVhxHzotP7V1hF7vcJFj8CAGaeGN-0nTwj-Snasg34"&amp;"o34sdsMaDmvMJyBFbhMgcYr38LPaim-ProrLSIaUxXZXt4ST_askHFZG9NtROAiPQ_O=w1200|https://lh3.googleusercontent.com/pw/AP1GczNEUfo9ECIu7jS6jHUCRtXc43PB8a4SGpaAHGk-sX11uiptXTz4XXTikwBd1w3ozFAtWD55gkn2iB1asCnSyh17Lv-dw2ERwH_fWmjNAHbQqpIf9ezs=w1200|https://lh3.googl"&amp;"eusercontent.com/pw/AP1GczNR6TxN89hBWe4GCJtR2okH7dmRrnzu5wmgWmD55FxVTM3tffKWgwnPIB-pjc4LfxnjKqUqu3MYMg69f5m6TppR-LPKf45MxSHbGQKuTJAnhceU5R-K=w1200|https://lh3.googleusercontent.com/pw/AP1GczPhyd0V582bKftXk1xx253lyQvW3efXDzk_2p68lqbkKZLuntFU6oXMa_TcwbINByX"&amp;"e-SqO-EdEwMvVzGbHp-vchn6W60Htkd_pwXLJm6Uho6izq8sx=w1200|https://lh3.googleusercontent.com/pw/AP1GczOk4bto1tp-QRDg-zw0ekLKm4jWofUBbAplTUOio5GHF-DPTPf7PCjDZ8g6Nacw1UCJTJdBleZC4-Bw755-bD8AhRh9RKOGKdBdUjAXsRe_2e_6H0nZ=w1200")</f>
        <v>https://lh3.googleusercontent.com/pw/AP1GczNxyBvXcAMTsLJzije7GimjZ8OxWGKllk8xmMewXdhzGiROjHVTWvdi2CIliLforuxhw8J1RaKyOgmTJyKRz4zhgW8GFV1Q9y_n7UZJD90zF-OcaiIL=w1200|https://lh3.googleusercontent.com/pw/AP1GczOysT5DZ358JFFL9aOTcdlj5zzqMo2ZMerSTmSpgfNGp-U6upvKW82UPHSeoY-9kK0pOEULGVP-Q3FgFhTMR_Nl4zjCTU60UY0AgQ2ybg5rpZj6ml5y=w1200|https://lh3.googleusercontent.com/pw/AP1GczOBSeolG7sBS8KFQ5dYD81OzmvKpy0WheE0_hjPVt-kLeAXOiKEueAifsTFBI8uaAXbpII0YT1-t3Chj4XXAMq64GFFUIW_JHGiMz6ZiM5_QB6R6yR0=w1200|https://lh3.googleusercontent.com/pw/AP1GczPUXOGUmqfRAfvu_pyLk71IyixlKStX63ckFqF53IbkXs96RJtJU68pqUM6sl8txV6t24FI_zJJ7osGECZeP-UQYGJDg77TIjraUYtfjw1piryNxtui=w1200|https://lh3.googleusercontent.com/pw/AP1GczP7uRSjRzVMotK3_e9u8-AH1jTFZnEUEUvkpwlDuNg6ZnHKtPPeMiVUBhxejo_rnNjSRWWZB0jQsCeQlkhxYZ5KBVfdWg1MTQNSKPd1h6cV_U1i-M66=w1200|https://lh3.googleusercontent.com/pw/AP1GczM8ijmg9eq-XxFunnwBmA4zKI9cdxqATTTN3sKW7duE0SXigPQUN65VGijogG99f4d_523TOupl7FmuCy_WSmORnXdvtiegcruM69cfCngTrxm4MvKY=w1200|https://lh3.googleusercontent.com/pw/AP1GczMdD-Muu5dah6dXqTR6KwAufyvK8RIsNYFkwu0kIO80wJdyzsuuCrB4XtGKaPOSVvonzWo74LZhmJYhttUUC021a_tqh9Wbz_ToHeYK5cL5m_75gMOd=w1200|https://lh3.googleusercontent.com/pw/AP1GczODut5qtzZMwbldpihntH8QfONFm8O7enq-w-hnpsGue3ObbbjSpU1sgN4RSAsXpT_si5k5Db3GE9zIZtp-Yvg1aixE1hcnLzfRqUXH2ojDqf0-bHZB=w1200|https://lh3.googleusercontent.com/pw/AP1GczO7UljtY3I1ChTzyIxHg_V8DiHP6kzsLqVH3RoyIiGEgkZnW-Yj-h37xzMJvTl00X_j7lrRSgq0E6HPDDZ7uuyIsnaCJ2TnU9nhQveDo_IrcVa-4fzQ=w1200|https://lh3.googleusercontent.com/pw/AP1GczOtu8AJQasIF7UflKYV2ja4ssFnaki2NcUXJRpByM62sb0r5eGdShFaWqqhSJdFi-ffTKQv_5f1fUMXYIAjHIxB0YJ9P_7KP2xrpZ7L1Yf2j6xnhQil=w1200|https://lh3.googleusercontent.com/pw/AP1GczOv-DBb36heKfUVy9ytkFnzn1Q-lMwXQUkUjNy-46UxLoeIN5O_PqVbTTttsQ4bBxZvVOovtUKuu3rNxJQWV632mdPPWp9Zz8fL2JWgqRahmC-feEgl=w1200|https://lh3.googleusercontent.com/pw/AP1GczP--GOjXmEzu501sfzGbAqMJ2vP-2ovT-Y7e3tBRQsPB57jjS0sLAUFSOMEORBnGrl9113-8yAsjJ7RWP8ekcC5WTrlWC6Ok2FjaEP0PYeCqdg76UJK=w1200|https://lh3.googleusercontent.com/pw/AP1GczOvw0MTZjtF-dQsRN5u09AK_ynDIGBAhGw61uOHvZpD_7b-wmj6rs4uzwDVUXRRoy3kwIxDS0CAfTV-Vk1Y8277t_pyG0miU5VNnbs2q8dvQrYhKYNF=w1200|https://lh3.googleusercontent.com/pw/AP1GczOdbKB3KRB7URfW33Nn96YUxK_3nuMTTqGUSbU2wLHVOTWejGu2KlMaGXW2vTSr_8VUpEyvB_HKreU8Z2feHh0ZiC5a6SqgDYMaeqh3kHqhIJ7Im8R1=w1200|https://lh3.googleusercontent.com/pw/AP1GczNs0yAZ-548j2NOvCbx1i9NA2Kh3F2k_T9ztNNsdSG82PlOx-KHu_FnWX_p8_slx3ADkeQUrOcryotcijOuUvtGjGy0sGYkOFAin82FcklihionDYZv=w1200|https://lh3.googleusercontent.com/pw/AP1GczNYPfqJVhxHzotP7V1hF7vcJFj8CAGaeGN-0nTwj-Snasg34o34sdsMaDmvMJyBFbhMgcYr38LPaim-ProrLSIaUxXZXt4ST_askHFZG9NtROAiPQ_O=w1200|https://lh3.googleusercontent.com/pw/AP1GczNEUfo9ECIu7jS6jHUCRtXc43PB8a4SGpaAHGk-sX11uiptXTz4XXTikwBd1w3ozFAtWD55gkn2iB1asCnSyh17Lv-dw2ERwH_fWmjNAHbQqpIf9ezs=w1200|https://lh3.googleusercontent.com/pw/AP1GczNR6TxN89hBWe4GCJtR2okH7dmRrnzu5wmgWmD55FxVTM3tffKWgwnPIB-pjc4LfxnjKqUqu3MYMg69f5m6TppR-LPKf45MxSHbGQKuTJAnhceU5R-K=w1200|https://lh3.googleusercontent.com/pw/AP1GczPhyd0V582bKftXk1xx253lyQvW3efXDzk_2p68lqbkKZLuntFU6oXMa_TcwbINByXe-SqO-EdEwMvVzGbHp-vchn6W60Htkd_pwXLJm6Uho6izq8sx=w1200|https://lh3.googleusercontent.com/pw/AP1GczOk4bto1tp-QRDg-zw0ekLKm4jWofUBbAplTUOio5GHF-DPTPf7PCjDZ8g6Nacw1UCJTJdBleZC4-Bw755-bD8AhRh9RKOGKdBdUjAXsRe_2e_6H0nZ=w1200</v>
      </c>
      <c r="AJ349" s="46"/>
      <c r="AK349" s="46"/>
      <c r="AL349" s="46"/>
      <c r="AM349" s="46"/>
      <c r="AN349" s="46"/>
      <c r="AO349" s="46"/>
      <c r="AP349" s="46"/>
      <c r="AQ349" s="46"/>
      <c r="AR349" s="46"/>
      <c r="AS349" s="46"/>
      <c r="AT349" s="46"/>
      <c r="AU349" s="46"/>
      <c r="AV349" s="46"/>
      <c r="AW349" s="46"/>
      <c r="AX349" s="46"/>
      <c r="AY349" s="46"/>
      <c r="AZ349" s="46"/>
      <c r="BA349" s="46"/>
      <c r="BB349" s="46"/>
      <c r="BC349" s="46"/>
      <c r="BD349" s="46"/>
      <c r="BE349" s="46"/>
      <c r="BF349" s="46"/>
      <c r="BG349" s="46"/>
      <c r="BH349" s="46"/>
      <c r="BI349" s="46"/>
      <c r="BJ349" s="46"/>
      <c r="BK349" s="46"/>
      <c r="BL349" s="46"/>
      <c r="BM349" s="46"/>
      <c r="BN349" s="46"/>
      <c r="BO349" s="46"/>
      <c r="BP349" s="46"/>
      <c r="BQ349" s="46"/>
      <c r="BR349" s="46"/>
      <c r="BS349" s="46"/>
      <c r="BT349" s="46"/>
      <c r="BU349" s="46"/>
      <c r="BV349" s="46"/>
      <c r="BW349" s="46"/>
      <c r="BX349" s="46"/>
      <c r="BY349" s="46"/>
      <c r="BZ349" s="46"/>
      <c r="CA349" s="46"/>
      <c r="CB349" s="46"/>
      <c r="CC349" s="46"/>
    </row>
    <row r="350">
      <c r="A350" s="87" t="str">
        <f>IFERROR(__xludf.DUMMYFUNCTION("""COMPUTED_VALUE"""),"1100")</f>
        <v>1100</v>
      </c>
      <c r="B350" s="46" t="str">
        <f>IFERROR(__xludf.DUMMYFUNCTION("""COMPUTED_VALUE"""),"Lote urbano en barrio El Jardín - Oriente")</f>
        <v>Lote urbano en barrio El Jardín - Oriente</v>
      </c>
      <c r="C350" s="46" t="str">
        <f>IFERROR(__xludf.DUMMYFUNCTION("""COMPUTED_VALUE"""),"Lote")</f>
        <v>Lote</v>
      </c>
      <c r="D350" s="46" t="str">
        <f>IFERROR(__xludf.DUMMYFUNCTION("""COMPUTED_VALUE"""),"El Jardín")</f>
        <v>El Jardín</v>
      </c>
      <c r="E350" s="46"/>
      <c r="F350" s="90">
        <f>IFERROR(__xludf.DUMMYFUNCTION("""COMPUTED_VALUE"""),6.0E8)</f>
        <v>600000000</v>
      </c>
      <c r="G350" s="46" t="str">
        <f>IFERROR(__xludf.DUMMYFUNCTION("""COMPUTED_VALUE"""),"$500'000.000 a $1.000'000.000")</f>
        <v>$500'000.000 a $1.000'000.000</v>
      </c>
      <c r="H350" s="46"/>
      <c r="I350" s="46"/>
      <c r="J350" s="46" t="str">
        <f>IFERROR(__xludf.DUMMYFUNCTION("""COMPUTED_VALUE"""),"Oriente")</f>
        <v>Oriente</v>
      </c>
      <c r="K350" s="87" t="str">
        <f>IFERROR(__xludf.DUMMYFUNCTION("""COMPUTED_VALUE"""),"5")</f>
        <v>5</v>
      </c>
      <c r="L350" s="46">
        <f>IFERROR(__xludf.DUMMYFUNCTION("""COMPUTED_VALUE"""),0.0)</f>
        <v>0</v>
      </c>
      <c r="M350" s="46"/>
      <c r="N350" s="46">
        <f>IFERROR(__xludf.DUMMYFUNCTION("""COMPUTED_VALUE"""),0.0)</f>
        <v>0</v>
      </c>
      <c r="O350" s="46">
        <f>IFERROR(__xludf.DUMMYFUNCTION("""COMPUTED_VALUE"""),0.0)</f>
        <v>0</v>
      </c>
      <c r="P350" s="46">
        <f>IFERROR(__xludf.DUMMYFUNCTION("""COMPUTED_VALUE"""),0.0)</f>
        <v>0</v>
      </c>
      <c r="Q350" s="92">
        <f>IFERROR(__xludf.DUMMYFUNCTION("""COMPUTED_VALUE"""),0.0)</f>
        <v>0</v>
      </c>
      <c r="R350" s="92">
        <f>IFERROR(__xludf.DUMMYFUNCTION("""COMPUTED_VALUE"""),700.0)</f>
        <v>700</v>
      </c>
      <c r="S350" s="87" t="str">
        <f>IFERROR(__xludf.DUMMYFUNCTION("""COMPUTED_VALUE""")," ")</f>
        <v> </v>
      </c>
      <c r="T350" s="46" t="str">
        <f>IFERROR(__xludf.DUMMYFUNCTION("""COMPUTED_VALUE"""),"Neiva")</f>
        <v>Neiva</v>
      </c>
      <c r="U350" s="87" t="str">
        <f>IFERROR(__xludf.DUMMYFUNCTION("""COMPUTED_VALUE"""),"2")</f>
        <v>2</v>
      </c>
      <c r="V350" s="46" t="str">
        <f>IFERROR(__xludf.DUMMYFUNCTION("""COMPUTED_VALUE"""),"Medianero")</f>
        <v>Medianero</v>
      </c>
      <c r="W350" s="46"/>
      <c r="X350" s="46">
        <f>IFERROR(__xludf.DUMMYFUNCTION("""COMPUTED_VALUE"""),0.0)</f>
        <v>0</v>
      </c>
      <c r="Y350" s="46" t="str">
        <f>IFERROR(__xludf.DUMMYFUNCTION("""COMPUTED_VALUE"""),"No tiene")</f>
        <v>No tiene</v>
      </c>
      <c r="Z350" s="90"/>
      <c r="AA350" s="33" t="str">
        <f>IFERROR(__xludf.DUMMYFUNCTION("""COMPUTED_VALUE"""),"No aplica")</f>
        <v>No aplica</v>
      </c>
      <c r="AB350" s="96" t="str">
        <f>IFERROR(__xludf.DUMMYFUNCTION("""COMPUTED_VALUE"""),"https://photos.app.goo.gl/EvagycDkqAs9xg3D6")</f>
        <v>https://photos.app.goo.gl/EvagycDkqAs9xg3D6</v>
      </c>
      <c r="AC350" s="46" t="str">
        <f>IFERROR(__xludf.DUMMYFUNCTION("""COMPUTED_VALUE"""),"Lote en el barrio Jardín Neiva, área 700 metros cuadrados, 35 metros de fondo, 20 metros de frente, cuenta con servicios: agua, luz y alcantarillado.")</f>
        <v>Lote en el barrio Jardín Neiva, área 700 metros cuadrados, 35 metros de fondo, 20 metros de frente, cuenta con servicios: agua, luz y alcantarillado.</v>
      </c>
      <c r="AD350" s="46" t="str">
        <f>IFERROR(__xludf.DUMMYFUNCTION("""COMPUTED_VALUE"""),"Excelente ubicación para proyecto urbano.")</f>
        <v>Excelente ubicación para proyecto urbano.</v>
      </c>
      <c r="AE350" s="46"/>
      <c r="AF350" s="46">
        <f>IFERROR(__xludf.DUMMYFUNCTION("""COMPUTED_VALUE"""),0.0)</f>
        <v>0</v>
      </c>
      <c r="AG350" s="46"/>
      <c r="AH350" s="46" t="str">
        <f>IFERROR(__xludf.DUMMYFUNCTION("""COMPUTED_VALUE"""),"Aliado")</f>
        <v>Aliado</v>
      </c>
      <c r="AI350" s="92" t="str">
        <f>IFERROR(__xludf.DUMMYFUNCTION("""COMPUTED_VALUE"""),"https://lh3.googleusercontent.com/pw/AP1GczNe8YwIqUJy4ciwPMVo5BUo1d-oWqaHInK86ijwziPdF_Xmf8dZ-SOhKDO_iP8-sV3rurhRe0jK0fxr8xBbgVxoV5Dg4IVZE13hYouz3PLzJYNC74iB=w1200|https://lh3.googleusercontent.com/pw/AP1GczN_pKMk6PfjinwLclg5BuwTi7quSJf5uh58uCeY-Xvwb3yIfO"&amp;"i04Iu_0LgnybvxFldgfWTxCBTbIKlJbY5_j0Qr2K7C4SQUBo2w2g1E2AofoIvMTJL_=w1200|https://lh3.googleusercontent.com/pw/AP1GczM4P4uF8J5BqKDehcyGlqssVSWn38ks9fDktLfVYYQp0dhwIFOZzSDQer3i62pgUOKFuy57KEmhfDXIL8WPjgkpXw5e7QsnXuf4VhwgcucUDNNMpMyS=w1200|https://lh3.google"&amp;"usercontent.com/pw/AP1GczOD-mrLIY8radsTDom6sla4Uoi7OGzg_6GSBzvEMRTRT_eg6buLkTMDcDtZinuzc5pU0EkZfV5asLJjK1UCXNBuSYTdThs2E8UZ6V4RGDoRVuK62Niv=w1200|https://lh3.googleusercontent.com/pw/AP1GczNlvN_yjkw0wIasZiQAqYat8TLsPlA6T5L-hVAF7FIfsmc8EIvgnhq2uhkCtjOydp_b"&amp;"t0Lr-4yuAeT8hQnYcBYj-PDAUMQPkHr5MimBvDdAFHjy_Xgt=w1200")</f>
        <v>https://lh3.googleusercontent.com/pw/AP1GczNe8YwIqUJy4ciwPMVo5BUo1d-oWqaHInK86ijwziPdF_Xmf8dZ-SOhKDO_iP8-sV3rurhRe0jK0fxr8xBbgVxoV5Dg4IVZE13hYouz3PLzJYNC74iB=w1200|https://lh3.googleusercontent.com/pw/AP1GczN_pKMk6PfjinwLclg5BuwTi7quSJf5uh58uCeY-Xvwb3yIfOi04Iu_0LgnybvxFldgfWTxCBTbIKlJbY5_j0Qr2K7C4SQUBo2w2g1E2AofoIvMTJL_=w1200|https://lh3.googleusercontent.com/pw/AP1GczM4P4uF8J5BqKDehcyGlqssVSWn38ks9fDktLfVYYQp0dhwIFOZzSDQer3i62pgUOKFuy57KEmhfDXIL8WPjgkpXw5e7QsnXuf4VhwgcucUDNNMpMyS=w1200|https://lh3.googleusercontent.com/pw/AP1GczOD-mrLIY8radsTDom6sla4Uoi7OGzg_6GSBzvEMRTRT_eg6buLkTMDcDtZinuzc5pU0EkZfV5asLJjK1UCXNBuSYTdThs2E8UZ6V4RGDoRVuK62Niv=w1200|https://lh3.googleusercontent.com/pw/AP1GczNlvN_yjkw0wIasZiQAqYat8TLsPlA6T5L-hVAF7FIfsmc8EIvgnhq2uhkCtjOydp_bt0Lr-4yuAeT8hQnYcBYj-PDAUMQPkHr5MimBvDdAFHjy_Xgt=w1200</v>
      </c>
      <c r="AJ350" s="46"/>
      <c r="AK350" s="46"/>
      <c r="AL350" s="46"/>
      <c r="AM350" s="46"/>
      <c r="AN350" s="46"/>
      <c r="AO350" s="46"/>
      <c r="AP350" s="46"/>
      <c r="AQ350" s="46"/>
      <c r="AR350" s="46"/>
      <c r="AS350" s="46"/>
      <c r="AT350" s="46"/>
      <c r="AU350" s="46"/>
      <c r="AV350" s="46"/>
      <c r="AW350" s="46"/>
      <c r="AX350" s="46"/>
      <c r="AY350" s="46"/>
      <c r="AZ350" s="46"/>
      <c r="BA350" s="46"/>
      <c r="BB350" s="46"/>
      <c r="BC350" s="46"/>
      <c r="BD350" s="46"/>
      <c r="BE350" s="46"/>
      <c r="BF350" s="46"/>
      <c r="BG350" s="46"/>
      <c r="BH350" s="46"/>
      <c r="BI350" s="46"/>
      <c r="BJ350" s="46"/>
      <c r="BK350" s="46"/>
      <c r="BL350" s="46"/>
      <c r="BM350" s="46"/>
      <c r="BN350" s="46"/>
      <c r="BO350" s="46"/>
      <c r="BP350" s="46"/>
      <c r="BQ350" s="46"/>
      <c r="BR350" s="46"/>
      <c r="BS350" s="46"/>
      <c r="BT350" s="46"/>
      <c r="BU350" s="46"/>
      <c r="BV350" s="46"/>
      <c r="BW350" s="46"/>
      <c r="BX350" s="46"/>
      <c r="BY350" s="46"/>
      <c r="BZ350" s="46"/>
      <c r="CA350" s="46"/>
      <c r="CB350" s="46"/>
      <c r="CC350" s="46"/>
    </row>
    <row r="351">
      <c r="A351" s="87" t="str">
        <f>IFERROR(__xludf.DUMMYFUNCTION("""COMPUTED_VALUE"""),"1266")</f>
        <v>1266</v>
      </c>
      <c r="B351" s="46" t="str">
        <f>IFERROR(__xludf.DUMMYFUNCTION("""COMPUTED_VALUE"""),"Lote industrial - sur - Vía Molino Roa")</f>
        <v>Lote industrial - sur - Vía Molino Roa</v>
      </c>
      <c r="C351" s="46" t="str">
        <f>IFERROR(__xludf.DUMMYFUNCTION("""COMPUTED_VALUE"""),"Lote")</f>
        <v>Lote</v>
      </c>
      <c r="D351" s="46"/>
      <c r="E351" s="46"/>
      <c r="F351" s="90">
        <f>IFERROR(__xludf.DUMMYFUNCTION("""COMPUTED_VALUE"""),5.8E8)</f>
        <v>580000000</v>
      </c>
      <c r="G351" s="46" t="str">
        <f>IFERROR(__xludf.DUMMYFUNCTION("""COMPUTED_VALUE"""),"$500'000.000 a $1.000'000.000")</f>
        <v>$500'000.000 a $1.000'000.000</v>
      </c>
      <c r="H351" s="46"/>
      <c r="I351" s="46"/>
      <c r="J351" s="46" t="str">
        <f>IFERROR(__xludf.DUMMYFUNCTION("""COMPUTED_VALUE"""),"Sur")</f>
        <v>Sur</v>
      </c>
      <c r="K351" s="87"/>
      <c r="L351" s="46">
        <f>IFERROR(__xludf.DUMMYFUNCTION("""COMPUTED_VALUE"""),0.0)</f>
        <v>0</v>
      </c>
      <c r="M351" s="46"/>
      <c r="N351" s="46">
        <f>IFERROR(__xludf.DUMMYFUNCTION("""COMPUTED_VALUE"""),0.0)</f>
        <v>0</v>
      </c>
      <c r="O351" s="46">
        <f>IFERROR(__xludf.DUMMYFUNCTION("""COMPUTED_VALUE"""),0.0)</f>
        <v>0</v>
      </c>
      <c r="P351" s="46">
        <f>IFERROR(__xludf.DUMMYFUNCTION("""COMPUTED_VALUE"""),0.0)</f>
        <v>0</v>
      </c>
      <c r="Q351" s="92">
        <f>IFERROR(__xludf.DUMMYFUNCTION("""COMPUTED_VALUE"""),0.0)</f>
        <v>0</v>
      </c>
      <c r="R351" s="92">
        <f>IFERROR(__xludf.DUMMYFUNCTION("""COMPUTED_VALUE"""),8710.0)</f>
        <v>8710</v>
      </c>
      <c r="S351" s="87" t="str">
        <f>IFERROR(__xludf.DUMMYFUNCTION("""COMPUTED_VALUE""")," ")</f>
        <v> </v>
      </c>
      <c r="T351" s="46" t="str">
        <f>IFERROR(__xludf.DUMMYFUNCTION("""COMPUTED_VALUE"""),"Neiva")</f>
        <v>Neiva</v>
      </c>
      <c r="U351" s="87"/>
      <c r="V351" s="46" t="str">
        <f>IFERROR(__xludf.DUMMYFUNCTION("""COMPUTED_VALUE"""),"Medianera")</f>
        <v>Medianera</v>
      </c>
      <c r="W351" s="46"/>
      <c r="X351" s="46">
        <f>IFERROR(__xludf.DUMMYFUNCTION("""COMPUTED_VALUE"""),0.0)</f>
        <v>0</v>
      </c>
      <c r="Y351" s="46" t="str">
        <f>IFERROR(__xludf.DUMMYFUNCTION("""COMPUTED_VALUE"""),"No tiene")</f>
        <v>No tiene</v>
      </c>
      <c r="Z351" s="90" t="str">
        <f>IFERROR(__xludf.DUMMYFUNCTION("""COMPUTED_VALUE"""),"No aplica")</f>
        <v>No aplica</v>
      </c>
      <c r="AA351" s="33" t="str">
        <f>IFERROR(__xludf.DUMMYFUNCTION("""COMPUTED_VALUE"""),"No aplica")</f>
        <v>No aplica</v>
      </c>
      <c r="AB351" s="96" t="str">
        <f>IFERROR(__xludf.DUMMYFUNCTION("""COMPUTED_VALUE"""),"https://photos.app.goo.gl/LRFrXnRPDwqZ2cbq7")</f>
        <v>https://photos.app.goo.gl/LRFrXnRPDwqZ2cbq7</v>
      </c>
      <c r="AC351" s="46" t="str">
        <f>IFERROR(__xludf.DUMMYFUNCTION("""COMPUTED_VALUE"""),"Espectacular lote de terreno, zona industrial, zona sur. Dimensión: 67 mt.x130 mts 8.710 mt2.")</f>
        <v>Espectacular lote de terreno, zona industrial, zona sur. Dimensión: 67 mt.x130 mts 8.710 mt2.</v>
      </c>
      <c r="AD351" s="46" t="str">
        <f>IFERROR(__xludf.DUMMYFUNCTION("""COMPUTED_VALUE"""),"Zona de alta valorización, valor negociable traspaso inmediato. cerca al molino roa Neiva-Hula.")</f>
        <v>Zona de alta valorización, valor negociable traspaso inmediato. cerca al molino roa Neiva-Hula.</v>
      </c>
      <c r="AE351" s="46"/>
      <c r="AF351" s="46">
        <f>IFERROR(__xludf.DUMMYFUNCTION("""COMPUTED_VALUE"""),0.0)</f>
        <v>0</v>
      </c>
      <c r="AG351" s="46"/>
      <c r="AH351" s="46" t="str">
        <f>IFERROR(__xludf.DUMMYFUNCTION("""COMPUTED_VALUE"""),"Aliado")</f>
        <v>Aliado</v>
      </c>
      <c r="AI351" s="92" t="str">
        <f>IFERROR(__xludf.DUMMYFUNCTION("""COMPUTED_VALUE"""),"https://lh3.googleusercontent.com/pw/AP1GczOo5MpZ03BUU8gg2oheFCDfGK_g9pqjK1b8gloxJJ7OeS5xkCBtqvPE9VK-yI3i5bUHemIWbHHrL6d3A3te_np9glEOVBkbDqUsuX7sYecTBbPafpdC=w1200|https://lh3.googleusercontent.com/pw/AP1GczOLKZFD79JOKuhYzAyLj2VYooJZzzdqIhUY-DGXHfEvwMaBz2"&amp;"wAM1aA0cQMD8mgygEA2o1XTtDn_qTuX2n28wrHINeq12iDDI53eCq2nUk2rA4lkMMT=w1200|https://lh3.googleusercontent.com/pw/AP1GczPBDxWPveoMhrxwyZo9kPE49eMIfjB0xnuV2ow_d-HWU2jCot2FO-EOiUCUwc0HscMf8g5AnE7-mMY8Pskjp-b-XQI-2vrgqLWxhJjxIRZty5Fulb2T=w1200|https://lh3.google"&amp;"usercontent.com/pw/AP1GczPgudI4vW6xVyUdYzOvX_V-3an4B425HRSADbs4NcdpSQT_VGZqj49X1Z0da-zM850L2kvOAPKB3fTt2aNEhn4LbgxgJu7v9k0GbATCIHPtducIkssk=w1200|https://lh3.googleusercontent.com/pw/AP1GczNNIMgQK2K5ECL8wT7Gt59qpVcsYiGjPc6VD5eEa_EZ166YM87IQYWT1pxiWsfTkfSF"&amp;"lpIHQTEQrwOEmhgCyGrJM8HMX3Bx3rOrY9od52FGZ2RGA2T7=w1200|https://lh3.googleusercontent.com/pw/AP1GczPCs8OWf8fwYWGDjDIUjzPmXwmCDRHbIsAzEXXHyuCbuBJBMODHzm2Q_xmAAt-lah6R1LD9Fw3Rv_FkLg7zXfkd7hEokN2anS-dxlkr5Rm4st-7MvFZ=w1200|https://lh3.googleusercontent.com/pw"&amp;"/AP1GczPZEMEmU9VP1423HpWvkr2TC1qCNyYbx1CiGVAlOnukDyJQc7mTMQGmxAXeUH9GeTI9z_7Gabt8oWNt2Q_aIEWsKQzZMHPFEWs9SNyI0foIeevwniPS=w1200|https://lh3.googleusercontent.com/pw/AP1GczOmNntODMqdSh-puvZbq8w4FafWCNgiGkwOo4QNUU8R3OpUWC5vUHaGDleJTlcBMfwtBhnNt-cA_2pqZ-kVtV"&amp;"awlpOoV3NBQp60YZbECuwPRHjigBdW=w1200|https://lh3.googleusercontent.com/pw/AP1GczNC0bBhX_o7iXM5zuIkB7Yxxo7P7cr-lS7UnCOxQP9Yhf3BFaN-Gi7Bz7d2ZejoYI7ng38PVngKsITVSD82wGNwJgJ1EDWXrbMYNaH8Lc_7KhvpECs2=w1200|https://lh3.googleusercontent.com/pw/AP1GczOnRon0GesQd"&amp;"LcF9K6YWVGqgUb-Xxd884y5XEnZPZpMhXeymSzt4cKvBg3vFSmbefGwEoNGShwq4dJmGuSLessbZXAu6RoZenuFBAXxCtwcD6V11Z7C=w1200|https://lh3.googleusercontent.com/pw/AP1GczNnEMfxbVywm0wIsNyajyNiCExXobWu066Tg6-QsJSz5AjzzzkJWJZM8x0nxDAfTl6gAIy2-tokHYK12EQN2WCVm2YRLbLgETrMHROa"&amp;"9C_zABWZUqTv=w1200|https://lh3.googleusercontent.com/pw/AP1GczMFedzLKYm7hqnibe5R-hSlVwWkPgk54DHSUjM8y9CUs77nu4EReLkfsR91qHqdVCTFMrZ2G5ht46tMjaYzVIMt7hPfKfrP_UlBtSl7Ftr3nCap1Pbp=w1200|https://lh3.googleusercontent.com/pw/AP1GczMEDKnt-MgdY5nDJDIbnyRL9xpYoUq"&amp;"FOHTB732PJce7MvlLALRkSftoMe7igIS2Ogsym2H_XHQxnhKjWE_UgVxpnnS2wk_OPiiUdh_pSMCczLccSXpD=w1200")</f>
        <v>https://lh3.googleusercontent.com/pw/AP1GczOo5MpZ03BUU8gg2oheFCDfGK_g9pqjK1b8gloxJJ7OeS5xkCBtqvPE9VK-yI3i5bUHemIWbHHrL6d3A3te_np9glEOVBkbDqUsuX7sYecTBbPafpdC=w1200|https://lh3.googleusercontent.com/pw/AP1GczOLKZFD79JOKuhYzAyLj2VYooJZzzdqIhUY-DGXHfEvwMaBz2wAM1aA0cQMD8mgygEA2o1XTtDn_qTuX2n28wrHINeq12iDDI53eCq2nUk2rA4lkMMT=w1200|https://lh3.googleusercontent.com/pw/AP1GczPBDxWPveoMhrxwyZo9kPE49eMIfjB0xnuV2ow_d-HWU2jCot2FO-EOiUCUwc0HscMf8g5AnE7-mMY8Pskjp-b-XQI-2vrgqLWxhJjxIRZty5Fulb2T=w1200|https://lh3.googleusercontent.com/pw/AP1GczPgudI4vW6xVyUdYzOvX_V-3an4B425HRSADbs4NcdpSQT_VGZqj49X1Z0da-zM850L2kvOAPKB3fTt2aNEhn4LbgxgJu7v9k0GbATCIHPtducIkssk=w1200|https://lh3.googleusercontent.com/pw/AP1GczNNIMgQK2K5ECL8wT7Gt59qpVcsYiGjPc6VD5eEa_EZ166YM87IQYWT1pxiWsfTkfSFlpIHQTEQrwOEmhgCyGrJM8HMX3Bx3rOrY9od52FGZ2RGA2T7=w1200|https://lh3.googleusercontent.com/pw/AP1GczPCs8OWf8fwYWGDjDIUjzPmXwmCDRHbIsAzEXXHyuCbuBJBMODHzm2Q_xmAAt-lah6R1LD9Fw3Rv_FkLg7zXfkd7hEokN2anS-dxlkr5Rm4st-7MvFZ=w1200|https://lh3.googleusercontent.com/pw/AP1GczPZEMEmU9VP1423HpWvkr2TC1qCNyYbx1CiGVAlOnukDyJQc7mTMQGmxAXeUH9GeTI9z_7Gabt8oWNt2Q_aIEWsKQzZMHPFEWs9SNyI0foIeevwniPS=w1200|https://lh3.googleusercontent.com/pw/AP1GczOmNntODMqdSh-puvZbq8w4FafWCNgiGkwOo4QNUU8R3OpUWC5vUHaGDleJTlcBMfwtBhnNt-cA_2pqZ-kVtVawlpOoV3NBQp60YZbECuwPRHjigBdW=w1200|https://lh3.googleusercontent.com/pw/AP1GczNC0bBhX_o7iXM5zuIkB7Yxxo7P7cr-lS7UnCOxQP9Yhf3BFaN-Gi7Bz7d2ZejoYI7ng38PVngKsITVSD82wGNwJgJ1EDWXrbMYNaH8Lc_7KhvpECs2=w1200|https://lh3.googleusercontent.com/pw/AP1GczOnRon0GesQdLcF9K6YWVGqgUb-Xxd884y5XEnZPZpMhXeymSzt4cKvBg3vFSmbefGwEoNGShwq4dJmGuSLessbZXAu6RoZenuFBAXxCtwcD6V11Z7C=w1200|https://lh3.googleusercontent.com/pw/AP1GczNnEMfxbVywm0wIsNyajyNiCExXobWu066Tg6-QsJSz5AjzzzkJWJZM8x0nxDAfTl6gAIy2-tokHYK12EQN2WCVm2YRLbLgETrMHROa9C_zABWZUqTv=w1200|https://lh3.googleusercontent.com/pw/AP1GczMFedzLKYm7hqnibe5R-hSlVwWkPgk54DHSUjM8y9CUs77nu4EReLkfsR91qHqdVCTFMrZ2G5ht46tMjaYzVIMt7hPfKfrP_UlBtSl7Ftr3nCap1Pbp=w1200|https://lh3.googleusercontent.com/pw/AP1GczMEDKnt-MgdY5nDJDIbnyRL9xpYoUqFOHTB732PJce7MvlLALRkSftoMe7igIS2Ogsym2H_XHQxnhKjWE_UgVxpnnS2wk_OPiiUdh_pSMCczLccSXpD=w1200</v>
      </c>
      <c r="AJ351" s="46"/>
      <c r="AK351" s="46"/>
      <c r="AL351" s="46"/>
      <c r="AM351" s="46"/>
      <c r="AN351" s="46"/>
      <c r="AO351" s="46"/>
      <c r="AP351" s="46"/>
      <c r="AQ351" s="46"/>
      <c r="AR351" s="46"/>
      <c r="AS351" s="46"/>
      <c r="AT351" s="46"/>
      <c r="AU351" s="46"/>
      <c r="AV351" s="46"/>
      <c r="AW351" s="46"/>
      <c r="AX351" s="46"/>
      <c r="AY351" s="46"/>
      <c r="AZ351" s="46"/>
      <c r="BA351" s="46"/>
      <c r="BB351" s="46"/>
      <c r="BC351" s="46"/>
      <c r="BD351" s="46"/>
      <c r="BE351" s="46"/>
      <c r="BF351" s="46"/>
      <c r="BG351" s="46"/>
      <c r="BH351" s="46"/>
      <c r="BI351" s="46"/>
      <c r="BJ351" s="46"/>
      <c r="BK351" s="46"/>
      <c r="BL351" s="46"/>
      <c r="BM351" s="46"/>
      <c r="BN351" s="46"/>
      <c r="BO351" s="46"/>
      <c r="BP351" s="46"/>
      <c r="BQ351" s="46"/>
      <c r="BR351" s="46"/>
      <c r="BS351" s="46"/>
      <c r="BT351" s="46"/>
      <c r="BU351" s="46"/>
      <c r="BV351" s="46"/>
      <c r="BW351" s="46"/>
      <c r="BX351" s="46"/>
      <c r="BY351" s="46"/>
      <c r="BZ351" s="46"/>
      <c r="CA351" s="46"/>
      <c r="CB351" s="46"/>
      <c r="CC351" s="46"/>
    </row>
    <row r="352">
      <c r="A352" s="87" t="str">
        <f>IFERROR(__xludf.DUMMYFUNCTION("""COMPUTED_VALUE"""),"1379")</f>
        <v>1379</v>
      </c>
      <c r="B352" s="46" t="str">
        <f>IFERROR(__xludf.DUMMYFUNCTION("""COMPUTED_VALUE"""),"Casa con 5 apartamentos en barrio Gualanday - Norte")</f>
        <v>Casa con 5 apartamentos en barrio Gualanday - Norte</v>
      </c>
      <c r="C352" s="46" t="str">
        <f>IFERROR(__xludf.DUMMYFUNCTION("""COMPUTED_VALUE"""),"Casa rentable")</f>
        <v>Casa rentable</v>
      </c>
      <c r="D352" s="46" t="str">
        <f>IFERROR(__xludf.DUMMYFUNCTION("""COMPUTED_VALUE"""),"Gualanday")</f>
        <v>Gualanday</v>
      </c>
      <c r="E352" s="46"/>
      <c r="F352" s="90">
        <f>IFERROR(__xludf.DUMMYFUNCTION("""COMPUTED_VALUE"""),5.7E8)</f>
        <v>570000000</v>
      </c>
      <c r="G352" s="46" t="str">
        <f>IFERROR(__xludf.DUMMYFUNCTION("""COMPUTED_VALUE"""),"$500'000.000 a $1.000'000.000")</f>
        <v>$500'000.000 a $1.000'000.000</v>
      </c>
      <c r="H352" s="46"/>
      <c r="I352" s="46"/>
      <c r="J352" s="46" t="str">
        <f>IFERROR(__xludf.DUMMYFUNCTION("""COMPUTED_VALUE"""),"Norte")</f>
        <v>Norte</v>
      </c>
      <c r="K352" s="87" t="str">
        <f>IFERROR(__xludf.DUMMYFUNCTION("""COMPUTED_VALUE"""),"2")</f>
        <v>2</v>
      </c>
      <c r="L352" s="46">
        <f>IFERROR(__xludf.DUMMYFUNCTION("""COMPUTED_VALUE"""),9.0)</f>
        <v>9</v>
      </c>
      <c r="M352" s="46"/>
      <c r="N352" s="46">
        <f>IFERROR(__xludf.DUMMYFUNCTION("""COMPUTED_VALUE"""),6.0)</f>
        <v>6</v>
      </c>
      <c r="O352" s="46">
        <f>IFERROR(__xludf.DUMMYFUNCTION("""COMPUTED_VALUE"""),0.0)</f>
        <v>0</v>
      </c>
      <c r="P352" s="46">
        <f>IFERROR(__xludf.DUMMYFUNCTION("""COMPUTED_VALUE"""),3.0)</f>
        <v>3</v>
      </c>
      <c r="Q352" s="92">
        <f>IFERROR(__xludf.DUMMYFUNCTION("""COMPUTED_VALUE"""),260.0)</f>
        <v>260</v>
      </c>
      <c r="R352" s="92">
        <f>IFERROR(__xludf.DUMMYFUNCTION("""COMPUTED_VALUE"""),90.0)</f>
        <v>90</v>
      </c>
      <c r="S352" s="87" t="str">
        <f>IFERROR(__xludf.DUMMYFUNCTION("""COMPUTED_VALUE"""),"Rentabilidad $2,700,000")</f>
        <v>Rentabilidad $2,700,000</v>
      </c>
      <c r="T352" s="46" t="str">
        <f>IFERROR(__xludf.DUMMYFUNCTION("""COMPUTED_VALUE"""),"Neiva")</f>
        <v>Neiva</v>
      </c>
      <c r="U352" s="87" t="str">
        <f>IFERROR(__xludf.DUMMYFUNCTION("""COMPUTED_VALUE"""),"2")</f>
        <v>2</v>
      </c>
      <c r="V352" s="46" t="str">
        <f>IFERROR(__xludf.DUMMYFUNCTION("""COMPUTED_VALUE"""),"Medianera")</f>
        <v>Medianera</v>
      </c>
      <c r="W352" s="46"/>
      <c r="X352" s="46">
        <f>IFERROR(__xludf.DUMMYFUNCTION("""COMPUTED_VALUE"""),3.0)</f>
        <v>3</v>
      </c>
      <c r="Y352" s="46" t="str">
        <f>IFERROR(__xludf.DUMMYFUNCTION("""COMPUTED_VALUE"""),"No tiene")</f>
        <v>No tiene</v>
      </c>
      <c r="Z352" s="90"/>
      <c r="AA352" s="33" t="str">
        <f>IFERROR(__xludf.DUMMYFUNCTION("""COMPUTED_VALUE"""),"18 años")</f>
        <v>18 años</v>
      </c>
      <c r="AB352" s="96" t="str">
        <f>IFERROR(__xludf.DUMMYFUNCTION("""COMPUTED_VALUE"""),"https://photos.app.goo.gl/CYwBCg4v5KkRYbtL8")</f>
        <v>https://photos.app.goo.gl/CYwBCg4v5KkRYbtL8</v>
      </c>
      <c r="AC352" s="46" t="str">
        <f>IFERROR(__xludf.DUMMYFUNCTION("""COMPUTED_VALUE"""),"El inmueble cuenta con un total de 9 habitaciones y 6 baños, distribuidos estratégicamente en un área de 90 m², ubicada en el sector norte de la ciudad, en una zona de fácil acceso y alta demanda, perfecta para inversionistas que buscan patrimonio y renta"&amp;"bilidad.")</f>
        <v>El inmueble cuenta con un total de 9 habitaciones y 6 baños, distribuidos estratégicamente en un área de 90 m², ubicada en el sector norte de la ciudad, en una zona de fácil acceso y alta demanda, perfecta para inversionistas que buscan patrimonio y rentabilidad.</v>
      </c>
      <c r="AD352" s="46" t="str">
        <f>IFERROR(__xludf.DUMMYFUNCTION("""COMPUTED_VALUE"""),"Casa de 3 pisos con excelente potencial de rentabilidad, conformada por 5 apartamentos totalmente independientes, cada uno con servicios públicos independientes, ideal para generar ingresos mensuales y asegurar una inversión sólida.")</f>
        <v>Casa de 3 pisos con excelente potencial de rentabilidad, conformada por 5 apartamentos totalmente independientes, cada uno con servicios públicos independientes, ideal para generar ingresos mensuales y asegurar una inversión sólida.</v>
      </c>
      <c r="AE352" s="46"/>
      <c r="AF352" s="46" t="str">
        <f>IFERROR(__xludf.DUMMYFUNCTION("""COMPUTED_VALUE"""),"básica")</f>
        <v>básica</v>
      </c>
      <c r="AG352" s="46"/>
      <c r="AH352" s="46" t="str">
        <f>IFERROR(__xludf.DUMMYFUNCTION("""COMPUTED_VALUE"""),"Aliado")</f>
        <v>Aliado</v>
      </c>
      <c r="AI352" s="92" t="str">
        <f>IFERROR(__xludf.DUMMYFUNCTION("""COMPUTED_VALUE"""),"https://lh3.googleusercontent.com/pw/AP1GczPMjQ02_C7eandU8luyNYPN_mHwcqYDHqt3tSGb6J-EDTzEnV3H97pXUCCpj4Anxa30cUfaMBqLrGiLHglOu2rJ-f_EE1Vhy3CCB4ByIqtWUEAMxxH9=w1200|https://lh3.googleusercontent.com/pw/AP1GczOHjllj5baoA90a7TnDCtFI3reSg9J9Jd16m-EJ1rzaTrE2uy"&amp;"xLE90WmbcUhPIpxpbL8xilozY_LirRWTnx4O0yAuQvi2-bQFu7NijYhGB74h-rgvuL=w1200|https://lh3.googleusercontent.com/pw/AP1GczMguMh3bmNjLa5DVzY1hfQikK1JhyV2_KSB53hrMfjGatNLz8qJ-vkh3wEuJNSpIry171FV-snEswYrla1ushh_JIujVg8y60AH3_Scv2U59zzgAvu6=w1200|https://lh3.google"&amp;"usercontent.com/pw/AP1GczMsouve00x8Zb9sekN-Xyf9h3Wuo77DIc3XRgfB6Xp_MyHQRBOswsyGo9ecmFgkdB7aSvNSskrhrTHgWSjE5unarlPd37RhscxKuL7UsuNok1xFIoam=w1200|https://lh3.googleusercontent.com/pw/AP1GczN5SyY_gyceEjKJaiBmrC619sjiBs5hLdnyzZ9rfvS3-cEseMYfwuPZZWeRpWahATj7"&amp;"5f3fTJ9COahcdCw4mvrzQp_Vr9SIPVUIWf5ygzRMQBbYRgH0=w1200|https://lh3.googleusercontent.com/pw/AP1GczMC2ok2llun9llX8Kw_irCUVwvi9SkPPiBWDDRnAERUMiD75Njr97L8PtNMyOhLzoI1Wgo02pb-oHug0gVA5vjkTKcSQi9cBuAFP4HzhDOkmY4gIN0Y=w1200|https://lh3.googleusercontent.com/pw"&amp;"/AP1GczMv8IRQquaVDq_vyo2yK-EwG11vLBb1hhRHSowO4slxZ4fmaBpoooOgf3oxZBbdlyD_mK7fhg9ZLQHIWr5-1lc__vdoH_SIHj55aVshcQfLviNGN04f=w1200|https://lh3.googleusercontent.com/pw/AP1GczPRPDmIJG0osnGWzAxbXc2ArGuZaJF5m6PJ5KkrpqTSgiq6GqNfY9ltANj6SfG2ZjEllEtmXOktJZpFxCU8iN"&amp;"a9wD76MOKRodJkyRcpUBc3H39InpAe=w1200|https://lh3.googleusercontent.com/pw/AP1GczOCUIXmRAiRQ2mjmVfkVl1VEXrhsUD7L5C267A5taUrakcyThmyTNwP-g3lp7AOda3YPT96N49zRyTTB9tvnBsqLyHtAdPnPjhPkDqDAU2A-vlIzL7y=w1200|https://lh3.googleusercontent.com/pw/AP1GczNGNVtRobuhV"&amp;"-fIlbwGupALKUYFsQqvmqzSOEJEG4OKGh7V1yw5lPyxGCTi1RftCqC4dPBwwR6TaFJuay0-uD7098tfC7xuG_9tt5ZohUm3o-GvwgPf=w1200|https://lh3.googleusercontent.com/pw/AP1GczMjJ0mcEyYg4m49m89lx0irorThapaZw0S28pTRNQgwUwMgRsxI1XTsP2Ffu5_6-pOeuMwGD098OWNRM826wUyH8dZeWlpakbeMnA-m"&amp;"fApoL-lai-0T=w1200|https://lh3.googleusercontent.com/pw/AP1GczNuCl7UDGz6RFzHVtVEX5pTRMsqYEGb8gJiJJJhMujr0ELHPEp00qdkNvCRmKMe7YWB7nNuaK7HNXr4UNo02Xt4T_stuwE-dgfWIq0du8NzQBshT37n=w1200|https://lh3.googleusercontent.com/pw/AP1GczPHw4gEQpzLfTy5mZceMRx6bqaA9uT"&amp;"QWLZqpL3FVerBWlD23O5jyhdTtXnRipitooq5oenR-sUPyqCaGSezF4j1X_Em0ho3TbqDg-9SkKFWBZ1gu7Nh=w1200|https://lh3.googleusercontent.com/pw/AP1GczMWPqLNmthqd_0yRzzCEM89-Gk29gJDbv8uX2wjHiJdl2aVTE6mq-yOsy6EE7IECP5Y4rYv0rG62FB52BRO0LeqPW59NZ_LhEAfrtMyXphjv_ccLEUN=w1200"&amp;"|https://lh3.googleusercontent.com/pw/AP1GczN9hdYmTuJhs3EwzAZ-xw8IQTyCIxiZ4ohDN-9PwVOlr8SKIsLUCDQyauY_JLA6z6LnND9o7XZy1jUhN9p7hAsTnCfTGbSmbjbuz6EwG9nBzr32vAgB=w1200|https://lh3.googleusercontent.com/pw/AP1GczO1U55RBOV22bZ8N2W7R_efB8ic_3iZiquUJ5rndA2aG8CxY"&amp;"ff9GA3vR2pkJtA1mwO8RBegrRPzo-i_eJg8vLlEwdL-8JTd7TAhr0uhkqra5y6RSSIk=w1200|https://lh3.googleusercontent.com/pw/AP1GczMJbaPxL1kRfq4XM-BM7IVGjOEu4NpDqfjrr95VPq5N9buC83WLlbldmnFRBPefI4pqNUw16l3gN2MEZsiIVD_9MjW9Fb4jGno65CZ8R5HH-GRG9jwN=w1200|https://lh3.googl"&amp;"eusercontent.com/pw/AP1GczN1kfFFRbqjbBb9IYwD27mBNSrdOj3vuudDbwqutG9HHk6zEQsvaH8YJc8aKRiqLmO4igbrHuYnxmfKeQh3qZHlrwp36ls10EyiLF0_phAcGSdgUe1q=w1200|https://lh3.googleusercontent.com/pw/AP1GczNu3MMq2ss1F4LCNm0s-3ceP8iEoZzCZyQcJqYapDjKVW1tzJjwYvO6cqxz8at2UXL"&amp;"U_6uWpIj-6NrIn1v3tcz7-ycwibQzcG_kCtA7gOdnkCuHU50u=w1200|https://lh3.googleusercontent.com/pw/AP1GczOw73zfY83mXZrcGdfuYwa73wrQJ1z8l6e-jGT99MZaznQm_i0mMXS5GsHF4FFH2bsGy--2dRljgZlyZZNCKqhN1nc2axIOagTyEByqHe-51eWkqgOY=w1200|https://lh3.googleusercontent.com/p"&amp;"w/AP1GczMeIuzLUUfKUF7_Oc4AFf7dEtdauTM_4bGfl2nWSSTFDxEjI-Jrr-l1lWhNJS14PcFxivgtkD12RcxvTluqH4fy3qX6SWgwVPOEb4pRe8SbQJdJ6er5=w1200|https://lh3.googleusercontent.com/pw/AP1GczPI0D-Qs39SlzYFpJPWtNpx0xc5Wi_bcdzARkvojD2SiXyPDHjxhXsS1Wyn-N9Hjwfi6GbOTykVmiy9JRNnj"&amp;"UolmiQ9xkjRKfYQdRk8Rd74euzQe8Y8=w1200|https://lh3.googleusercontent.com/pw/AP1GczNRagy1UDENZrbmPfGIuSZvNf8JN6zediJ_5GdY7qTycwP0MvjxVXhym_oj7mgfHrWhlijkhAgFZQmbiXRDIAHjoMuCVY-9-__VY6MtD1k-e9TIWCBL=w1200|https://lh3.googleusercontent.com/pw/AP1GczPY2hyn2RY8"&amp;"KPq9L8pjqoKgdAvVmn4KV3S7U22JZxpl8zy_kNkt5YiP1twnhTrmnOyYbkImwcVN8Xc0Ox5um754TQkLtok0jsVQytIrJz9Qd2kma7Ov=w1200|https://lh3.googleusercontent.com/pw/AP1GczOvB2NIi2rfvmNoS83FyEw8nUtQq5eAsxXkfeLFkN-QzhvhTvMNEkQdm_ibBkScDhk1cVRKUaQ7BvdQ6zeh2F2ldk85RTqGrYjJVoi"&amp;"vSaZx_e-FC8M0=w1200|https://lh3.googleusercontent.com/pw/AP1GczPmfB-ivN74RBA46Td3AnnfSCPyUBtcWZgJQ31oaTEarnj5XkapdDZluxRbj008cYaJS68yhXKnuAxbGIKj0Ar3OVcUqeEQ65L1TGjj9zm6YzuSvKfD=w1200|https://lh3.googleusercontent.com/pw/AP1GczOaOSM586ayvg2MrqX1HwgNI8_oFz"&amp;"YUepPj9MBaOXzJ1vgR5wO9MWr4L9DoMmhJJZI5w-aR3xWOz6ksHiCCg1sg1KR79B3DkyChW0evPxzQLvX_lPRQ=w1200|https://lh3.googleusercontent.com/pw/AP1GczODJZqNB1wL-FVqpxbxjjI2RGnitKgeoeqt3qgZMy1u0Yt4_s7CJPT33uy2P8v-AkB3tMpZvl9Sooh778_Vh6B1jD3cjQ5T0Q3Ztw97F--05zpHVjF7=w120"&amp;"0|https://lh3.googleusercontent.com/pw/AP1GczMB9BXiuJA0Bo891lZ4Rtk4usSfpQRKI5b3U5r6BU-Af9TRQwDX9C7QTy9cbrnfZIyJv55SMYQWmWFpnKqv2GgDGLp5vJDF8dqKfmesYKhpxP4otK8e=w1200|https://lh3.googleusercontent.com/pw/AP1GczPQvq2T9YceOK6x8hhREiKN8dmelF2Bk1xi-pGgsBze5rW-"&amp;"RBxoWbQYGz4CrNlE1teCZ-7_T0vKax-m4kAAt33g3Mtq6fWplWoCpZc9Lt8IcXJpydyh=w1200|https://lh3.googleusercontent.com/pw/AP1GczOmJAUlDSOjFn787mKWv3gvqGvj4yqaEVeBnlH3uZ3NQQUKc59yTaDXGL6ETYHSxEFgcIzdYBCt7_s6GBvs2Rc0dXTmv5uQoXJye2OaM_sIB0KVBXoH=w1200")</f>
        <v>https://lh3.googleusercontent.com/pw/AP1GczPMjQ02_C7eandU8luyNYPN_mHwcqYDHqt3tSGb6J-EDTzEnV3H97pXUCCpj4Anxa30cUfaMBqLrGiLHglOu2rJ-f_EE1Vhy3CCB4ByIqtWUEAMxxH9=w1200|https://lh3.googleusercontent.com/pw/AP1GczOHjllj5baoA90a7TnDCtFI3reSg9J9Jd16m-EJ1rzaTrE2uyxLE90WmbcUhPIpxpbL8xilozY_LirRWTnx4O0yAuQvi2-bQFu7NijYhGB74h-rgvuL=w1200|https://lh3.googleusercontent.com/pw/AP1GczMguMh3bmNjLa5DVzY1hfQikK1JhyV2_KSB53hrMfjGatNLz8qJ-vkh3wEuJNSpIry171FV-snEswYrla1ushh_JIujVg8y60AH3_Scv2U59zzgAvu6=w1200|https://lh3.googleusercontent.com/pw/AP1GczMsouve00x8Zb9sekN-Xyf9h3Wuo77DIc3XRgfB6Xp_MyHQRBOswsyGo9ecmFgkdB7aSvNSskrhrTHgWSjE5unarlPd37RhscxKuL7UsuNok1xFIoam=w1200|https://lh3.googleusercontent.com/pw/AP1GczN5SyY_gyceEjKJaiBmrC619sjiBs5hLdnyzZ9rfvS3-cEseMYfwuPZZWeRpWahATj75f3fTJ9COahcdCw4mvrzQp_Vr9SIPVUIWf5ygzRMQBbYRgH0=w1200|https://lh3.googleusercontent.com/pw/AP1GczMC2ok2llun9llX8Kw_irCUVwvi9SkPPiBWDDRnAERUMiD75Njr97L8PtNMyOhLzoI1Wgo02pb-oHug0gVA5vjkTKcSQi9cBuAFP4HzhDOkmY4gIN0Y=w1200|https://lh3.googleusercontent.com/pw/AP1GczMv8IRQquaVDq_vyo2yK-EwG11vLBb1hhRHSowO4slxZ4fmaBpoooOgf3oxZBbdlyD_mK7fhg9ZLQHIWr5-1lc__vdoH_SIHj55aVshcQfLviNGN04f=w1200|https://lh3.googleusercontent.com/pw/AP1GczPRPDmIJG0osnGWzAxbXc2ArGuZaJF5m6PJ5KkrpqTSgiq6GqNfY9ltANj6SfG2ZjEllEtmXOktJZpFxCU8iNa9wD76MOKRodJkyRcpUBc3H39InpAe=w1200|https://lh3.googleusercontent.com/pw/AP1GczOCUIXmRAiRQ2mjmVfkVl1VEXrhsUD7L5C267A5taUrakcyThmyTNwP-g3lp7AOda3YPT96N49zRyTTB9tvnBsqLyHtAdPnPjhPkDqDAU2A-vlIzL7y=w1200|https://lh3.googleusercontent.com/pw/AP1GczNGNVtRobuhV-fIlbwGupALKUYFsQqvmqzSOEJEG4OKGh7V1yw5lPyxGCTi1RftCqC4dPBwwR6TaFJuay0-uD7098tfC7xuG_9tt5ZohUm3o-GvwgPf=w1200|https://lh3.googleusercontent.com/pw/AP1GczMjJ0mcEyYg4m49m89lx0irorThapaZw0S28pTRNQgwUwMgRsxI1XTsP2Ffu5_6-pOeuMwGD098OWNRM826wUyH8dZeWlpakbeMnA-mfApoL-lai-0T=w1200|https://lh3.googleusercontent.com/pw/AP1GczNuCl7UDGz6RFzHVtVEX5pTRMsqYEGb8gJiJJJhMujr0ELHPEp00qdkNvCRmKMe7YWB7nNuaK7HNXr4UNo02Xt4T_stuwE-dgfWIq0du8NzQBshT37n=w1200|https://lh3.googleusercontent.com/pw/AP1GczPHw4gEQpzLfTy5mZceMRx6bqaA9uTQWLZqpL3FVerBWlD23O5jyhdTtXnRipitooq5oenR-sUPyqCaGSezF4j1X_Em0ho3TbqDg-9SkKFWBZ1gu7Nh=w1200|https://lh3.googleusercontent.com/pw/AP1GczMWPqLNmthqd_0yRzzCEM89-Gk29gJDbv8uX2wjHiJdl2aVTE6mq-yOsy6EE7IECP5Y4rYv0rG62FB52BRO0LeqPW59NZ_LhEAfrtMyXphjv_ccLEUN=w1200|https://lh3.googleusercontent.com/pw/AP1GczN9hdYmTuJhs3EwzAZ-xw8IQTyCIxiZ4ohDN-9PwVOlr8SKIsLUCDQyauY_JLA6z6LnND9o7XZy1jUhN9p7hAsTnCfTGbSmbjbuz6EwG9nBzr32vAgB=w1200|https://lh3.googleusercontent.com/pw/AP1GczO1U55RBOV22bZ8N2W7R_efB8ic_3iZiquUJ5rndA2aG8CxYff9GA3vR2pkJtA1mwO8RBegrRPzo-i_eJg8vLlEwdL-8JTd7TAhr0uhkqra5y6RSSIk=w1200|https://lh3.googleusercontent.com/pw/AP1GczMJbaPxL1kRfq4XM-BM7IVGjOEu4NpDqfjrr95VPq5N9buC83WLlbldmnFRBPefI4pqNUw16l3gN2MEZsiIVD_9MjW9Fb4jGno65CZ8R5HH-GRG9jwN=w1200|https://lh3.googleusercontent.com/pw/AP1GczN1kfFFRbqjbBb9IYwD27mBNSrdOj3vuudDbwqutG9HHk6zEQsvaH8YJc8aKRiqLmO4igbrHuYnxmfKeQh3qZHlrwp36ls10EyiLF0_phAcGSdgUe1q=w1200|https://lh3.googleusercontent.com/pw/AP1GczNu3MMq2ss1F4LCNm0s-3ceP8iEoZzCZyQcJqYapDjKVW1tzJjwYvO6cqxz8at2UXLU_6uWpIj-6NrIn1v3tcz7-ycwibQzcG_kCtA7gOdnkCuHU50u=w1200|https://lh3.googleusercontent.com/pw/AP1GczOw73zfY83mXZrcGdfuYwa73wrQJ1z8l6e-jGT99MZaznQm_i0mMXS5GsHF4FFH2bsGy--2dRljgZlyZZNCKqhN1nc2axIOagTyEByqHe-51eWkqgOY=w1200|https://lh3.googleusercontent.com/pw/AP1GczMeIuzLUUfKUF7_Oc4AFf7dEtdauTM_4bGfl2nWSSTFDxEjI-Jrr-l1lWhNJS14PcFxivgtkD12RcxvTluqH4fy3qX6SWgwVPOEb4pRe8SbQJdJ6er5=w1200|https://lh3.googleusercontent.com/pw/AP1GczPI0D-Qs39SlzYFpJPWtNpx0xc5Wi_bcdzARkvojD2SiXyPDHjxhXsS1Wyn-N9Hjwfi6GbOTykVmiy9JRNnjUolmiQ9xkjRKfYQdRk8Rd74euzQe8Y8=w1200|https://lh3.googleusercontent.com/pw/AP1GczNRagy1UDENZrbmPfGIuSZvNf8JN6zediJ_5GdY7qTycwP0MvjxVXhym_oj7mgfHrWhlijkhAgFZQmbiXRDIAHjoMuCVY-9-__VY6MtD1k-e9TIWCBL=w1200|https://lh3.googleusercontent.com/pw/AP1GczPY2hyn2RY8KPq9L8pjqoKgdAvVmn4KV3S7U22JZxpl8zy_kNkt5YiP1twnhTrmnOyYbkImwcVN8Xc0Ox5um754TQkLtok0jsVQytIrJz9Qd2kma7Ov=w1200|https://lh3.googleusercontent.com/pw/AP1GczOvB2NIi2rfvmNoS83FyEw8nUtQq5eAsxXkfeLFkN-QzhvhTvMNEkQdm_ibBkScDhk1cVRKUaQ7BvdQ6zeh2F2ldk85RTqGrYjJVoivSaZx_e-FC8M0=w1200|https://lh3.googleusercontent.com/pw/AP1GczPmfB-ivN74RBA46Td3AnnfSCPyUBtcWZgJQ31oaTEarnj5XkapdDZluxRbj008cYaJS68yhXKnuAxbGIKj0Ar3OVcUqeEQ65L1TGjj9zm6YzuSvKfD=w1200|https://lh3.googleusercontent.com/pw/AP1GczOaOSM586ayvg2MrqX1HwgNI8_oFzYUepPj9MBaOXzJ1vgR5wO9MWr4L9DoMmhJJZI5w-aR3xWOz6ksHiCCg1sg1KR79B3DkyChW0evPxzQLvX_lPRQ=w1200|https://lh3.googleusercontent.com/pw/AP1GczODJZqNB1wL-FVqpxbxjjI2RGnitKgeoeqt3qgZMy1u0Yt4_s7CJPT33uy2P8v-AkB3tMpZvl9Sooh778_Vh6B1jD3cjQ5T0Q3Ztw97F--05zpHVjF7=w1200|https://lh3.googleusercontent.com/pw/AP1GczMB9BXiuJA0Bo891lZ4Rtk4usSfpQRKI5b3U5r6BU-Af9TRQwDX9C7QTy9cbrnfZIyJv55SMYQWmWFpnKqv2GgDGLp5vJDF8dqKfmesYKhpxP4otK8e=w1200|https://lh3.googleusercontent.com/pw/AP1GczPQvq2T9YceOK6x8hhREiKN8dmelF2Bk1xi-pGgsBze5rW-RBxoWbQYGz4CrNlE1teCZ-7_T0vKax-m4kAAt33g3Mtq6fWplWoCpZc9Lt8IcXJpydyh=w1200|https://lh3.googleusercontent.com/pw/AP1GczOmJAUlDSOjFn787mKWv3gvqGvj4yqaEVeBnlH3uZ3NQQUKc59yTaDXGL6ETYHSxEFgcIzdYBCt7_s6GBvs2Rc0dXTmv5uQoXJye2OaM_sIB0KVBXoH=w1200</v>
      </c>
      <c r="AJ352" s="46"/>
      <c r="AK352" s="46"/>
      <c r="AL352" s="46"/>
      <c r="AM352" s="46"/>
      <c r="AN352" s="46"/>
      <c r="AO352" s="46"/>
      <c r="AP352" s="46"/>
      <c r="AQ352" s="46"/>
      <c r="AR352" s="46"/>
      <c r="AS352" s="46"/>
      <c r="AT352" s="46"/>
      <c r="AU352" s="46"/>
      <c r="AV352" s="46"/>
      <c r="AW352" s="46"/>
      <c r="AX352" s="46"/>
      <c r="AY352" s="46"/>
      <c r="AZ352" s="46"/>
      <c r="BA352" s="46"/>
      <c r="BB352" s="46"/>
      <c r="BC352" s="46"/>
      <c r="BD352" s="46"/>
      <c r="BE352" s="46"/>
      <c r="BF352" s="46"/>
      <c r="BG352" s="46"/>
      <c r="BH352" s="46"/>
      <c r="BI352" s="46"/>
      <c r="BJ352" s="46"/>
      <c r="BK352" s="46"/>
      <c r="BL352" s="46"/>
      <c r="BM352" s="46"/>
      <c r="BN352" s="46"/>
      <c r="BO352" s="46"/>
      <c r="BP352" s="46"/>
      <c r="BQ352" s="46"/>
      <c r="BR352" s="46"/>
      <c r="BS352" s="46"/>
      <c r="BT352" s="46"/>
      <c r="BU352" s="46"/>
      <c r="BV352" s="46"/>
      <c r="BW352" s="46"/>
      <c r="BX352" s="46"/>
      <c r="BY352" s="46"/>
      <c r="BZ352" s="46"/>
      <c r="CA352" s="46"/>
      <c r="CB352" s="46"/>
      <c r="CC352" s="46"/>
    </row>
    <row r="353">
      <c r="A353" s="87" t="str">
        <f>IFERROR(__xludf.DUMMYFUNCTION("""COMPUTED_VALUE"""),"704")</f>
        <v>704</v>
      </c>
      <c r="B353" s="46" t="str">
        <f>IFERROR(__xludf.DUMMYFUNCTION("""COMPUTED_VALUE"""),"Casa rentable con 4 oficinas y bodega en barrio Urbanización Los Samanes")</f>
        <v>Casa rentable con 4 oficinas y bodega en barrio Urbanización Los Samanes</v>
      </c>
      <c r="C353" s="46" t="str">
        <f>IFERROR(__xludf.DUMMYFUNCTION("""COMPUTED_VALUE"""),"Casa rentable")</f>
        <v>Casa rentable</v>
      </c>
      <c r="D353" s="46" t="str">
        <f>IFERROR(__xludf.DUMMYFUNCTION("""COMPUTED_VALUE"""),"Urbanización Los Samanes")</f>
        <v>Urbanización Los Samanes</v>
      </c>
      <c r="E353" s="46"/>
      <c r="F353" s="90">
        <f>IFERROR(__xludf.DUMMYFUNCTION("""COMPUTED_VALUE"""),5.5E8)</f>
        <v>550000000</v>
      </c>
      <c r="G353" s="46" t="str">
        <f>IFERROR(__xludf.DUMMYFUNCTION("""COMPUTED_VALUE"""),"$500'000.000 a $1.000'000.000")</f>
        <v>$500'000.000 a $1.000'000.000</v>
      </c>
      <c r="H353" s="46"/>
      <c r="I353" s="46"/>
      <c r="J353" s="46" t="str">
        <f>IFERROR(__xludf.DUMMYFUNCTION("""COMPUTED_VALUE"""),"Occidente")</f>
        <v>Occidente</v>
      </c>
      <c r="K353" s="87"/>
      <c r="L353" s="46">
        <f>IFERROR(__xludf.DUMMYFUNCTION("""COMPUTED_VALUE"""),0.0)</f>
        <v>0</v>
      </c>
      <c r="M353" s="46"/>
      <c r="N353" s="46">
        <f>IFERROR(__xludf.DUMMYFUNCTION("""COMPUTED_VALUE"""),2.0)</f>
        <v>2</v>
      </c>
      <c r="O353" s="46">
        <f>IFERROR(__xludf.DUMMYFUNCTION("""COMPUTED_VALUE"""),1.0)</f>
        <v>1</v>
      </c>
      <c r="P353" s="46">
        <f>IFERROR(__xludf.DUMMYFUNCTION("""COMPUTED_VALUE"""),1.0)</f>
        <v>1</v>
      </c>
      <c r="Q353" s="92">
        <f>IFERROR(__xludf.DUMMYFUNCTION("""COMPUTED_VALUE"""),153.0)</f>
        <v>153</v>
      </c>
      <c r="R353" s="92">
        <f>IFERROR(__xludf.DUMMYFUNCTION("""COMPUTED_VALUE"""),153.0)</f>
        <v>153</v>
      </c>
      <c r="S353" s="87" t="str">
        <f>IFERROR(__xludf.DUMMYFUNCTION("""COMPUTED_VALUE""")," ")</f>
        <v> </v>
      </c>
      <c r="T353" s="46" t="str">
        <f>IFERROR(__xludf.DUMMYFUNCTION("""COMPUTED_VALUE"""),"Neiva")</f>
        <v>Neiva</v>
      </c>
      <c r="U353" s="87" t="str">
        <f>IFERROR(__xludf.DUMMYFUNCTION("""COMPUTED_VALUE"""),"3")</f>
        <v>3</v>
      </c>
      <c r="V353" s="46" t="str">
        <f>IFERROR(__xludf.DUMMYFUNCTION("""COMPUTED_VALUE"""),"Medianera")</f>
        <v>Medianera</v>
      </c>
      <c r="W353" s="46"/>
      <c r="X353" s="46">
        <f>IFERROR(__xludf.DUMMYFUNCTION("""COMPUTED_VALUE"""),0.0)</f>
        <v>0</v>
      </c>
      <c r="Y353" s="46" t="str">
        <f>IFERROR(__xludf.DUMMYFUNCTION("""COMPUTED_VALUE"""),"No tiene")</f>
        <v>No tiene</v>
      </c>
      <c r="Z353" s="90" t="str">
        <f>IFERROR(__xludf.DUMMYFUNCTION("""COMPUTED_VALUE"""),"No aplica")</f>
        <v>No aplica</v>
      </c>
      <c r="AA353" s="33" t="str">
        <f>IFERROR(__xludf.DUMMYFUNCTION("""COMPUTED_VALUE"""),"No aplica")</f>
        <v>No aplica</v>
      </c>
      <c r="AB353" s="96" t="str">
        <f>IFERROR(__xludf.DUMMYFUNCTION("""COMPUTED_VALUE"""),"https://photos.app.goo.gl/4uCBjTqz5kNy2b4S7")</f>
        <v>https://photos.app.goo.gl/4uCBjTqz5kNy2b4S7</v>
      </c>
      <c r="AC353" s="46" t="str">
        <f>IFERROR(__xludf.DUMMYFUNCTION("""COMPUTED_VALUE"""),"Casa rentable distribuida para oficinas, con recepción, bodega, con estructura en proyección para 3 pisos. Cuenta con buenos acabados, piso en cerámica, carpintería en madera y aluminio.")</f>
        <v>Casa rentable distribuida para oficinas, con recepción, bodega, con estructura en proyección para 3 pisos. Cuenta con buenos acabados, piso en cerámica, carpintería en madera y aluminio.</v>
      </c>
      <c r="AD353" s="46" t="str">
        <f>IFERROR(__xludf.DUMMYFUNCTION("""COMPUTED_VALUE"""),"Casa ubicada en el microcentro de Neiva. Ubicado sobre una vía vehicular amplia y pavimentada. Escritura al día.")</f>
        <v>Casa ubicada en el microcentro de Neiva. Ubicado sobre una vía vehicular amplia y pavimentada. Escritura al día.</v>
      </c>
      <c r="AE353" s="46"/>
      <c r="AF353" s="46" t="str">
        <f>IFERROR(__xludf.DUMMYFUNCTION("""COMPUTED_VALUE"""),"básica")</f>
        <v>básica</v>
      </c>
      <c r="AG353" s="46"/>
      <c r="AH353" s="46" t="str">
        <f>IFERROR(__xludf.DUMMYFUNCTION("""COMPUTED_VALUE"""),"Aliado")</f>
        <v>Aliado</v>
      </c>
      <c r="AI353" s="92" t="str">
        <f>IFERROR(__xludf.DUMMYFUNCTION("""COMPUTED_VALUE"""),"https://lh3.googleusercontent.com/pw/AP1GczMYROKjd4pgOnryAYWXCdho3XIy7OwzEkPingQh9GTarD_AdjZ0JxdRpzmmN2ajUJ_rzeoQp3P2Cxdgg46L-j-f9BsjFaBGhMDzzMHLLa0aol8NlYJ9=w1200|https://lh3.googleusercontent.com/pw/AP1GczOD6UksLJZQZ6359LWkyEQkuATABBl-dqRJdict2UR9EtJz1r"&amp;"vWVVBKrPfwaWIrdAWI_lAp453HkoTvRklcfn-1iT-2XzEoEyShwV45WuFyjYSD23B-=w1200|https://lh3.googleusercontent.com/pw/AP1GczNhwrv_SWWqU2yNrH_Btxn-o-bCL6g5cFMBde0O_MfpWjb8zfdE19Kq25cpPmUge5-1XGluk5jLc8ID5jEj71dL47XWM-pzmMfcGdepPVTw6hMPvOyZ=w1200|https://lh3.google"&amp;"usercontent.com/pw/AP1GczOk6FsLYa2a1gX2CTfaYG7xkv3hT41UAuJSp-Q_bI4Eb__0as8jhx-35wWKeh718NXJek_Bk4v3T41WQEldyManEkxB5S2jYTJq1y5iXJHmZh4bpUNg=w1200|https://lh3.googleusercontent.com/pw/AP1GczPCJFpCs5xp6quBSoKWoJtrHGZY4S6Fc9A8Eu0dLU9YNE6ujcp6XSdkKW91CidpPJ7j"&amp;"2VrbwQlTzA2ApseU6GWwPgtkEeq82k21nbjF-w4iqD-z0tMa=w1200|https://lh3.googleusercontent.com/pw/AP1GczPOgWh-plpmqvj343agewtwRa5qkhB7icTEYh4H1hr8uolbpr_xsSOAv7kW66t__YDLiNjc0Ch2xi3EW2q62OlbO6DmD8liyWcivnn7qtHVLnZkNbjm=w1200|https://lh3.googleusercontent.com/pw"&amp;"/AP1GczOup8uPGdJauqxfNloHvyUB6hGqPLb24B_VxrkrZI5-27mcawVWp8O9eeokcUx8SsujE8JHXlOhRaHpWU26uIvmvKwZ9Whx1YdMyNNHMvnAnB9yEplf=w1200|https://lh3.googleusercontent.com/pw/AP1GczPyHXHN57WOot46nth-MzY8668Jwyrr5XaMPKuO9zE3T4KbpbLIf4gMIYXAy14odKxANKgcaQwIlUJZi2RGlF"&amp;"e6mVH3HZzf0__yuTRrihq4NPxNFHF-=w1200|https://lh3.googleusercontent.com/pw/AP1GczPSp5W4Veu1QmlN025aE4Uz-oH4eeYohUl6tFqAXGVQ8Ez7tsCjTILPceHJ9TNzc6XAPgH_pxHyXc_qRhHc2GozBzihLp081loC_XU5MMes7oPI__bw=w1200|https://lh3.googleusercontent.com/pw/AP1GczOJPGbHANzLY"&amp;"UL3W8dqp_zdoa01QWNI3nesc2ZxAPqTgGATce6qrnRrUIvPw8jnR8pgxvuEVuDYcYn_Y1QsIco-BeHEHVTzENiWM_kDSSMg2yEzhg9D=w1200|https://lh3.googleusercontent.com/pw/AP1GczMmuMHzc-aT7prp9u5dW6QcCmSJbZtzn_r561wki9xFMDz7RW-jN390MQesq4655wRe1dxzSSPzr1kU7awHKxYTvjkw-q_8H8O0OGM8"&amp;"bYph44SI-Ms_=w1200|https://lh3.googleusercontent.com/pw/AP1GczOTCa7DZ3Rr8HUckRLBDFWsByAz2pXCng9hbf8c-xyNAm8yMq3A4RDoR_2mThxn-2w4I8CyMWyFLjuJ_5fV3dnX1_o6lDYFh_bawvOsb5lnT6qntLyF=w1200|https://lh3.googleusercontent.com/pw/AP1GczOK35_9bI2udsMHwP6LSk0IMHRYqa-"&amp;"_J18qghBXD66AnyEZdZPzye9XeGI4WlzxjzT1a_Uz2jb-MyHiBUoUmq6xwA4HdLj5PXbYBDpopMnALQTgT6fT=w1200|https://lh3.googleusercontent.com/pw/AP1GczO1V5t0l6q09CTMIv2Nr_SvyYKQWhzJAqQlm_Eth5pPCEAXs_zmCBAsbI5vbP6U1aSyrY0pd0fYlvpePN6PaWrCrY7KDkdkk77IyNHwCxPs7zlNak23=w1200")</f>
        <v>https://lh3.googleusercontent.com/pw/AP1GczMYROKjd4pgOnryAYWXCdho3XIy7OwzEkPingQh9GTarD_AdjZ0JxdRpzmmN2ajUJ_rzeoQp3P2Cxdgg46L-j-f9BsjFaBGhMDzzMHLLa0aol8NlYJ9=w1200|https://lh3.googleusercontent.com/pw/AP1GczOD6UksLJZQZ6359LWkyEQkuATABBl-dqRJdict2UR9EtJz1rvWVVBKrPfwaWIrdAWI_lAp453HkoTvRklcfn-1iT-2XzEoEyShwV45WuFyjYSD23B-=w1200|https://lh3.googleusercontent.com/pw/AP1GczNhwrv_SWWqU2yNrH_Btxn-o-bCL6g5cFMBde0O_MfpWjb8zfdE19Kq25cpPmUge5-1XGluk5jLc8ID5jEj71dL47XWM-pzmMfcGdepPVTw6hMPvOyZ=w1200|https://lh3.googleusercontent.com/pw/AP1GczOk6FsLYa2a1gX2CTfaYG7xkv3hT41UAuJSp-Q_bI4Eb__0as8jhx-35wWKeh718NXJek_Bk4v3T41WQEldyManEkxB5S2jYTJq1y5iXJHmZh4bpUNg=w1200|https://lh3.googleusercontent.com/pw/AP1GczPCJFpCs5xp6quBSoKWoJtrHGZY4S6Fc9A8Eu0dLU9YNE6ujcp6XSdkKW91CidpPJ7j2VrbwQlTzA2ApseU6GWwPgtkEeq82k21nbjF-w4iqD-z0tMa=w1200|https://lh3.googleusercontent.com/pw/AP1GczPOgWh-plpmqvj343agewtwRa5qkhB7icTEYh4H1hr8uolbpr_xsSOAv7kW66t__YDLiNjc0Ch2xi3EW2q62OlbO6DmD8liyWcivnn7qtHVLnZkNbjm=w1200|https://lh3.googleusercontent.com/pw/AP1GczOup8uPGdJauqxfNloHvyUB6hGqPLb24B_VxrkrZI5-27mcawVWp8O9eeokcUx8SsujE8JHXlOhRaHpWU26uIvmvKwZ9Whx1YdMyNNHMvnAnB9yEplf=w1200|https://lh3.googleusercontent.com/pw/AP1GczPyHXHN57WOot46nth-MzY8668Jwyrr5XaMPKuO9zE3T4KbpbLIf4gMIYXAy14odKxANKgcaQwIlUJZi2RGlFe6mVH3HZzf0__yuTRrihq4NPxNFHF-=w1200|https://lh3.googleusercontent.com/pw/AP1GczPSp5W4Veu1QmlN025aE4Uz-oH4eeYohUl6tFqAXGVQ8Ez7tsCjTILPceHJ9TNzc6XAPgH_pxHyXc_qRhHc2GozBzihLp081loC_XU5MMes7oPI__bw=w1200|https://lh3.googleusercontent.com/pw/AP1GczOJPGbHANzLYUL3W8dqp_zdoa01QWNI3nesc2ZxAPqTgGATce6qrnRrUIvPw8jnR8pgxvuEVuDYcYn_Y1QsIco-BeHEHVTzENiWM_kDSSMg2yEzhg9D=w1200|https://lh3.googleusercontent.com/pw/AP1GczMmuMHzc-aT7prp9u5dW6QcCmSJbZtzn_r561wki9xFMDz7RW-jN390MQesq4655wRe1dxzSSPzr1kU7awHKxYTvjkw-q_8H8O0OGM8bYph44SI-Ms_=w1200|https://lh3.googleusercontent.com/pw/AP1GczOTCa7DZ3Rr8HUckRLBDFWsByAz2pXCng9hbf8c-xyNAm8yMq3A4RDoR_2mThxn-2w4I8CyMWyFLjuJ_5fV3dnX1_o6lDYFh_bawvOsb5lnT6qntLyF=w1200|https://lh3.googleusercontent.com/pw/AP1GczOK35_9bI2udsMHwP6LSk0IMHRYqa-_J18qghBXD66AnyEZdZPzye9XeGI4WlzxjzT1a_Uz2jb-MyHiBUoUmq6xwA4HdLj5PXbYBDpopMnALQTgT6fT=w1200|https://lh3.googleusercontent.com/pw/AP1GczO1V5t0l6q09CTMIv2Nr_SvyYKQWhzJAqQlm_Eth5pPCEAXs_zmCBAsbI5vbP6U1aSyrY0pd0fYlvpePN6PaWrCrY7KDkdkk77IyNHwCxPs7zlNak23=w1200</v>
      </c>
      <c r="AJ353" s="46"/>
      <c r="AK353" s="46"/>
      <c r="AL353" s="46"/>
      <c r="AM353" s="46"/>
      <c r="AN353" s="46"/>
      <c r="AO353" s="46"/>
      <c r="AP353" s="46"/>
      <c r="AQ353" s="46"/>
      <c r="AR353" s="46"/>
      <c r="AS353" s="46"/>
      <c r="AT353" s="46"/>
      <c r="AU353" s="46"/>
      <c r="AV353" s="46"/>
      <c r="AW353" s="46"/>
      <c r="AX353" s="46"/>
      <c r="AY353" s="46"/>
      <c r="AZ353" s="46"/>
      <c r="BA353" s="46"/>
      <c r="BB353" s="46"/>
      <c r="BC353" s="46"/>
      <c r="BD353" s="46"/>
      <c r="BE353" s="46"/>
      <c r="BF353" s="46"/>
      <c r="BG353" s="46"/>
      <c r="BH353" s="46"/>
      <c r="BI353" s="46"/>
      <c r="BJ353" s="46"/>
      <c r="BK353" s="46"/>
      <c r="BL353" s="46"/>
      <c r="BM353" s="46"/>
      <c r="BN353" s="46"/>
      <c r="BO353" s="46"/>
      <c r="BP353" s="46"/>
      <c r="BQ353" s="46"/>
      <c r="BR353" s="46"/>
      <c r="BS353" s="46"/>
      <c r="BT353" s="46"/>
      <c r="BU353" s="46"/>
      <c r="BV353" s="46"/>
      <c r="BW353" s="46"/>
      <c r="BX353" s="46"/>
      <c r="BY353" s="46"/>
      <c r="BZ353" s="46"/>
      <c r="CA353" s="46"/>
      <c r="CB353" s="46"/>
      <c r="CC353" s="46"/>
    </row>
    <row r="354">
      <c r="A354" s="87" t="str">
        <f>IFERROR(__xludf.DUMMYFUNCTION("""COMPUTED_VALUE"""),"1381")</f>
        <v>1381</v>
      </c>
      <c r="B354" s="46" t="str">
        <f>IFERROR(__xludf.DUMMYFUNCTION("""COMPUTED_VALUE"""),"Casa con 3 locales, un apartamento y un aparta estudio en barrio Villa Regina - Oriente")</f>
        <v>Casa con 3 locales, un apartamento y un aparta estudio en barrio Villa Regina - Oriente</v>
      </c>
      <c r="C354" s="46" t="str">
        <f>IFERROR(__xludf.DUMMYFUNCTION("""COMPUTED_VALUE"""),"Casa rentable")</f>
        <v>Casa rentable</v>
      </c>
      <c r="D354" s="46" t="str">
        <f>IFERROR(__xludf.DUMMYFUNCTION("""COMPUTED_VALUE"""),"Villa Regina")</f>
        <v>Villa Regina</v>
      </c>
      <c r="E354" s="46"/>
      <c r="F354" s="90">
        <f>IFERROR(__xludf.DUMMYFUNCTION("""COMPUTED_VALUE"""),5.5E8)</f>
        <v>550000000</v>
      </c>
      <c r="G354" s="46" t="str">
        <f>IFERROR(__xludf.DUMMYFUNCTION("""COMPUTED_VALUE"""),"$500'000.000 a $1.000'000.000")</f>
        <v>$500'000.000 a $1.000'000.000</v>
      </c>
      <c r="H354" s="46"/>
      <c r="I354" s="46"/>
      <c r="J354" s="46" t="str">
        <f>IFERROR(__xludf.DUMMYFUNCTION("""COMPUTED_VALUE"""),"Oriente")</f>
        <v>Oriente</v>
      </c>
      <c r="K354" s="87" t="str">
        <f>IFERROR(__xludf.DUMMYFUNCTION("""COMPUTED_VALUE"""),"7")</f>
        <v>7</v>
      </c>
      <c r="L354" s="46">
        <f>IFERROR(__xludf.DUMMYFUNCTION("""COMPUTED_VALUE"""),3.0)</f>
        <v>3</v>
      </c>
      <c r="M354" s="46"/>
      <c r="N354" s="46">
        <f>IFERROR(__xludf.DUMMYFUNCTION("""COMPUTED_VALUE"""),5.0)</f>
        <v>5</v>
      </c>
      <c r="O354" s="46">
        <f>IFERROR(__xludf.DUMMYFUNCTION("""COMPUTED_VALUE"""),0.0)</f>
        <v>0</v>
      </c>
      <c r="P354" s="46">
        <f>IFERROR(__xludf.DUMMYFUNCTION("""COMPUTED_VALUE"""),2.0)</f>
        <v>2</v>
      </c>
      <c r="Q354" s="92">
        <f>IFERROR(__xludf.DUMMYFUNCTION("""COMPUTED_VALUE"""),0.0)</f>
        <v>0</v>
      </c>
      <c r="R354" s="92">
        <f>IFERROR(__xludf.DUMMYFUNCTION("""COMPUTED_VALUE"""),0.0)</f>
        <v>0</v>
      </c>
      <c r="S354" s="87" t="str">
        <f>IFERROR(__xludf.DUMMYFUNCTION("""COMPUTED_VALUE"""),"Rentabilidad $3,800,000")</f>
        <v>Rentabilidad $3,800,000</v>
      </c>
      <c r="T354" s="46" t="str">
        <f>IFERROR(__xludf.DUMMYFUNCTION("""COMPUTED_VALUE"""),"Neiva")</f>
        <v>Neiva</v>
      </c>
      <c r="U354" s="87" t="str">
        <f>IFERROR(__xludf.DUMMYFUNCTION("""COMPUTED_VALUE"""),"3")</f>
        <v>3</v>
      </c>
      <c r="V354" s="46" t="str">
        <f>IFERROR(__xludf.DUMMYFUNCTION("""COMPUTED_VALUE"""),"Esquinera")</f>
        <v>Esquinera</v>
      </c>
      <c r="W354" s="46"/>
      <c r="X354" s="46">
        <f>IFERROR(__xludf.DUMMYFUNCTION("""COMPUTED_VALUE"""),3.0)</f>
        <v>3</v>
      </c>
      <c r="Y354" s="46" t="str">
        <f>IFERROR(__xludf.DUMMYFUNCTION("""COMPUTED_VALUE"""),"No tiene")</f>
        <v>No tiene</v>
      </c>
      <c r="Z354" s="90"/>
      <c r="AA354" s="33" t="str">
        <f>IFERROR(__xludf.DUMMYFUNCTION("""COMPUTED_VALUE"""),"12 años")</f>
        <v>12 años</v>
      </c>
      <c r="AB354" s="96" t="str">
        <f>IFERROR(__xludf.DUMMYFUNCTION("""COMPUTED_VALUE"""),"https://photos.app.goo.gl/RuCvacpnZu5MVcj99")</f>
        <v>https://photos.app.goo.gl/RuCvacpnZu5MVcj99</v>
      </c>
      <c r="AC354" s="46" t="str">
        <f>IFERROR(__xludf.DUMMYFUNCTION("""COMPUTED_VALUE"""),"Distribución:  Primer piso cuenta con 3 locales comerciales ideales para negocio, y en el segundo piso dispone de 1 apartamento de 3 alcobas y 1 aparta estudio, lo que la convierte en una opción perfecta para inversionistas que buscan rentabilidad y valor"&amp;"ización.")</f>
        <v>Distribución:  Primer piso cuenta con 3 locales comerciales ideales para negocio, y en el segundo piso dispone de 1 apartamento de 3 alcobas y 1 aparta estudio, lo que la convierte en una opción perfecta para inversionistas que buscan rentabilidad y valorización.</v>
      </c>
      <c r="AD354" s="46" t="str">
        <f>IFERROR(__xludf.DUMMYFUNCTION("""COMPUTED_VALUE"""),"Inmueble de dos pisos con alto potencial de ingresos, actualmente generando una renta aproximada de $3.800.000 (2026) mensuales, ubicado en zona estratégica de estrato 3.")</f>
        <v>Inmueble de dos pisos con alto potencial de ingresos, actualmente generando una renta aproximada de $3.800.000 (2026) mensuales, ubicado en zona estratégica de estrato 3.</v>
      </c>
      <c r="AE354" s="46"/>
      <c r="AF354" s="46" t="str">
        <f>IFERROR(__xludf.DUMMYFUNCTION("""COMPUTED_VALUE"""),"semi-integral")</f>
        <v>semi-integral</v>
      </c>
      <c r="AG354" s="46"/>
      <c r="AH354" s="46" t="str">
        <f>IFERROR(__xludf.DUMMYFUNCTION("""COMPUTED_VALUE"""),"Aliado")</f>
        <v>Aliado</v>
      </c>
      <c r="AI354" s="92" t="str">
        <f>IFERROR(__xludf.DUMMYFUNCTION("""COMPUTED_VALUE"""),"https://lh3.googleusercontent.com/pw/AP1GczMK6PtQkL49w-h44278uMBv9Z621beJRLob65hvD1WtsjGzUV43mH-8aZC-KZ_iWobVcH1gjL_R5JkbKrcgJ6XEFwqYnpB8S0s2xJN2qYpfmNUOtNpc=w1200|https://lh3.googleusercontent.com/pw/AP1GczN0-WH2WcfMvzz-eswBU1tZ7qfH9rfbfR8fl1WQPVXW5-fq5a"&amp;"a4eFScPsKuYKX7qih4KLLPjcQfmlY0sFVdGWdM0KKtf_q5uwBjPNrq9H3oBCyTm_iV=w1200|https://lh3.googleusercontent.com/pw/AP1GczMvscVap8ZxiGs-hfbVui1vuPg7GNW6VyZsl3RfjVysW0riZGVRoZwnk0yMzeuuzcU_2q5TzQQmc9gBY1UHY-pz7gFNj7KNzY8j1U17oLC2V0kX-b5y=w1200|https://lh3.google"&amp;"usercontent.com/pw/AP1GczNolimrS9VVHtVkLUOgSMWREHI8O4TxZ-AKMcH_8RiOa-BDoTryLApQr4y2ULLX-Q_o3_U6koqNBlOPzybaZiWZjSqo-g42XbR6u2acSTAaYlKiCiIa=w1200|https://lh3.googleusercontent.com/pw/AP1GczNk1lWyNzqntDR_SY27phb0rM9v_7Cb-vwmfIqa_4aY9ha8-rjJu7fuvn0PrrZJAdBa"&amp;"zX2SksbcADlHt9IFVspMEs10B5HGI5RG1lALFAzWID7MC2TG=w1200|https://lh3.googleusercontent.com/pw/AP1GczOPfGePaJCQ_bDr1tnm-KA17KO5O7ushcwXdE9A_lY4PXOoNWMCKHBroJYaD6Y6ar2CEj-BpS_aISzz0WmDwqK8eWrBjyuKiN_4oGflhU6vw07KcZ_k=w1200|https://lh3.googleusercontent.com/pw"&amp;"/AP1GczPOzvChqG1Xz3WN2IEuP7Pe7xSwEOFxtmYR7LmZHbux85Uu8o_ml7R6y4RvS6aKnugStgKGfQJ1a3Dx6nUyojWqncYjT5b-hDNm1QX8sP09VgreAW--=w1200|https://lh3.googleusercontent.com/pw/AP1GczNc7r4Kem4Tlt6f91dNYBNCqh37rvSc1CUO7YiqJChZY1PfRQHakZxAqkc6OPnM-2A7ujMZgbsGB52vj_GAeH"&amp;"hNlYW1qGJvYidpdSfmxA_jCGv78Shw=w1200|https://lh3.googleusercontent.com/pw/AP1GczOmesZV-6udPH63lX_pa-vnPuiq9ZlQRAhhR2LDCQcq0GgwduLmQIl2-ewWnPt2QGCMLsmT-WHZzVf3-ypF_LkHf8g6NuuqVwqphcUxSvVxphGEdSaY=w1200|https://lh3.googleusercontent.com/pw/AP1GczM6Doqh9uFeq"&amp;"xv-pnhxcckRPzHWF3pIJxaKqCmxuUXwgQSzpxEV_1012bVCejFKix8oDHjOWwiN9kSZe72k9hUjgSeHCJX7V99SHuJK16a9bJhG__y5=w1200|https://lh3.googleusercontent.com/pw/AP1GczM29Y0Sj1vZIcGNvY3SX1Me04pilPY4CoaBKHBlPBWZWxyebpwsjujscWxmbArftWTfMssbCtAFVe1pBMkDDaR-jn7TAXqazplhSFmD"&amp;"bgw51VmuwUnL=w1200|https://lh3.googleusercontent.com/pw/AP1GczN9g9hbLT-sNCoT_7LnGEXpVGF9--wKmzDS0RMW572dMHAIqDcAu3mGDxjWaZA_nz5V-tqmKn6uY_ZRYS0yx0P0tg7KzV5n1siWwiiqn7QN3JSvU9CF=w1200")</f>
        <v>https://lh3.googleusercontent.com/pw/AP1GczMK6PtQkL49w-h44278uMBv9Z621beJRLob65hvD1WtsjGzUV43mH-8aZC-KZ_iWobVcH1gjL_R5JkbKrcgJ6XEFwqYnpB8S0s2xJN2qYpfmNUOtNpc=w1200|https://lh3.googleusercontent.com/pw/AP1GczN0-WH2WcfMvzz-eswBU1tZ7qfH9rfbfR8fl1WQPVXW5-fq5aa4eFScPsKuYKX7qih4KLLPjcQfmlY0sFVdGWdM0KKtf_q5uwBjPNrq9H3oBCyTm_iV=w1200|https://lh3.googleusercontent.com/pw/AP1GczMvscVap8ZxiGs-hfbVui1vuPg7GNW6VyZsl3RfjVysW0riZGVRoZwnk0yMzeuuzcU_2q5TzQQmc9gBY1UHY-pz7gFNj7KNzY8j1U17oLC2V0kX-b5y=w1200|https://lh3.googleusercontent.com/pw/AP1GczNolimrS9VVHtVkLUOgSMWREHI8O4TxZ-AKMcH_8RiOa-BDoTryLApQr4y2ULLX-Q_o3_U6koqNBlOPzybaZiWZjSqo-g42XbR6u2acSTAaYlKiCiIa=w1200|https://lh3.googleusercontent.com/pw/AP1GczNk1lWyNzqntDR_SY27phb0rM9v_7Cb-vwmfIqa_4aY9ha8-rjJu7fuvn0PrrZJAdBazX2SksbcADlHt9IFVspMEs10B5HGI5RG1lALFAzWID7MC2TG=w1200|https://lh3.googleusercontent.com/pw/AP1GczOPfGePaJCQ_bDr1tnm-KA17KO5O7ushcwXdE9A_lY4PXOoNWMCKHBroJYaD6Y6ar2CEj-BpS_aISzz0WmDwqK8eWrBjyuKiN_4oGflhU6vw07KcZ_k=w1200|https://lh3.googleusercontent.com/pw/AP1GczPOzvChqG1Xz3WN2IEuP7Pe7xSwEOFxtmYR7LmZHbux85Uu8o_ml7R6y4RvS6aKnugStgKGfQJ1a3Dx6nUyojWqncYjT5b-hDNm1QX8sP09VgreAW--=w1200|https://lh3.googleusercontent.com/pw/AP1GczNc7r4Kem4Tlt6f91dNYBNCqh37rvSc1CUO7YiqJChZY1PfRQHakZxAqkc6OPnM-2A7ujMZgbsGB52vj_GAeHhNlYW1qGJvYidpdSfmxA_jCGv78Shw=w1200|https://lh3.googleusercontent.com/pw/AP1GczOmesZV-6udPH63lX_pa-vnPuiq9ZlQRAhhR2LDCQcq0GgwduLmQIl2-ewWnPt2QGCMLsmT-WHZzVf3-ypF_LkHf8g6NuuqVwqphcUxSvVxphGEdSaY=w1200|https://lh3.googleusercontent.com/pw/AP1GczM6Doqh9uFeqxv-pnhxcckRPzHWF3pIJxaKqCmxuUXwgQSzpxEV_1012bVCejFKix8oDHjOWwiN9kSZe72k9hUjgSeHCJX7V99SHuJK16a9bJhG__y5=w1200|https://lh3.googleusercontent.com/pw/AP1GczM29Y0Sj1vZIcGNvY3SX1Me04pilPY4CoaBKHBlPBWZWxyebpwsjujscWxmbArftWTfMssbCtAFVe1pBMkDDaR-jn7TAXqazplhSFmDbgw51VmuwUnL=w1200|https://lh3.googleusercontent.com/pw/AP1GczN9g9hbLT-sNCoT_7LnGEXpVGF9--wKmzDS0RMW572dMHAIqDcAu3mGDxjWaZA_nz5V-tqmKn6uY_ZRYS0yx0P0tg7KzV5n1siWwiiqn7QN3JSvU9CF=w1200</v>
      </c>
      <c r="AJ354" s="46"/>
      <c r="AK354" s="46"/>
      <c r="AL354" s="46"/>
      <c r="AM354" s="46"/>
      <c r="AN354" s="46"/>
      <c r="AO354" s="46"/>
      <c r="AP354" s="46"/>
      <c r="AQ354" s="46"/>
      <c r="AR354" s="46"/>
      <c r="AS354" s="46"/>
      <c r="AT354" s="46"/>
      <c r="AU354" s="46"/>
      <c r="AV354" s="46"/>
      <c r="AW354" s="46"/>
      <c r="AX354" s="46"/>
      <c r="AY354" s="46"/>
      <c r="AZ354" s="46"/>
      <c r="BA354" s="46"/>
      <c r="BB354" s="46"/>
      <c r="BC354" s="46"/>
      <c r="BD354" s="46"/>
      <c r="BE354" s="46"/>
      <c r="BF354" s="46"/>
      <c r="BG354" s="46"/>
      <c r="BH354" s="46"/>
      <c r="BI354" s="46"/>
      <c r="BJ354" s="46"/>
      <c r="BK354" s="46"/>
      <c r="BL354" s="46"/>
      <c r="BM354" s="46"/>
      <c r="BN354" s="46"/>
      <c r="BO354" s="46"/>
      <c r="BP354" s="46"/>
      <c r="BQ354" s="46"/>
      <c r="BR354" s="46"/>
      <c r="BS354" s="46"/>
      <c r="BT354" s="46"/>
      <c r="BU354" s="46"/>
      <c r="BV354" s="46"/>
      <c r="BW354" s="46"/>
      <c r="BX354" s="46"/>
      <c r="BY354" s="46"/>
      <c r="BZ354" s="46"/>
      <c r="CA354" s="46"/>
      <c r="CB354" s="46"/>
      <c r="CC354" s="46"/>
    </row>
    <row r="355">
      <c r="A355" s="87" t="str">
        <f>IFERROR(__xludf.DUMMYFUNCTION("""COMPUTED_VALUE"""),"1274")</f>
        <v>1274</v>
      </c>
      <c r="B355" s="46" t="str">
        <f>IFERROR(__xludf.DUMMYFUNCTION("""COMPUTED_VALUE"""),"Casa en barrio Altico")</f>
        <v>Casa en barrio Altico</v>
      </c>
      <c r="C355" s="46" t="str">
        <f>IFERROR(__xludf.DUMMYFUNCTION("""COMPUTED_VALUE"""),"Casa")</f>
        <v>Casa</v>
      </c>
      <c r="D355" s="46" t="str">
        <f>IFERROR(__xludf.DUMMYFUNCTION("""COMPUTED_VALUE"""),"El Altico")</f>
        <v>El Altico</v>
      </c>
      <c r="E355" s="46"/>
      <c r="F355" s="90">
        <f>IFERROR(__xludf.DUMMYFUNCTION("""COMPUTED_VALUE"""),5.4E8)</f>
        <v>540000000</v>
      </c>
      <c r="G355" s="46" t="str">
        <f>IFERROR(__xludf.DUMMYFUNCTION("""COMPUTED_VALUE"""),"$500'000.000 a $1.000'000.000")</f>
        <v>$500'000.000 a $1.000'000.000</v>
      </c>
      <c r="H355" s="46"/>
      <c r="I355" s="46"/>
      <c r="J355" s="46" t="str">
        <f>IFERROR(__xludf.DUMMYFUNCTION("""COMPUTED_VALUE"""),"Centro")</f>
        <v>Centro</v>
      </c>
      <c r="K355" s="87"/>
      <c r="L355" s="46">
        <f>IFERROR(__xludf.DUMMYFUNCTION("""COMPUTED_VALUE"""),4.0)</f>
        <v>4</v>
      </c>
      <c r="M355" s="46"/>
      <c r="N355" s="46">
        <f>IFERROR(__xludf.DUMMYFUNCTION("""COMPUTED_VALUE"""),3.0)</f>
        <v>3</v>
      </c>
      <c r="O355" s="46">
        <f>IFERROR(__xludf.DUMMYFUNCTION("""COMPUTED_VALUE"""),2.0)</f>
        <v>2</v>
      </c>
      <c r="P355" s="46">
        <f>IFERROR(__xludf.DUMMYFUNCTION("""COMPUTED_VALUE"""),2.0)</f>
        <v>2</v>
      </c>
      <c r="Q355" s="92">
        <f>IFERROR(__xludf.DUMMYFUNCTION("""COMPUTED_VALUE"""),210.0)</f>
        <v>210</v>
      </c>
      <c r="R355" s="92">
        <f>IFERROR(__xludf.DUMMYFUNCTION("""COMPUTED_VALUE"""),253.0)</f>
        <v>253</v>
      </c>
      <c r="S355" s="87" t="str">
        <f>IFERROR(__xludf.DUMMYFUNCTION("""COMPUTED_VALUE""")," ")</f>
        <v> </v>
      </c>
      <c r="T355" s="46" t="str">
        <f>IFERROR(__xludf.DUMMYFUNCTION("""COMPUTED_VALUE"""),"Neiva")</f>
        <v>Neiva</v>
      </c>
      <c r="U355" s="87" t="str">
        <f>IFERROR(__xludf.DUMMYFUNCTION("""COMPUTED_VALUE"""),"3")</f>
        <v>3</v>
      </c>
      <c r="V355" s="46" t="str">
        <f>IFERROR(__xludf.DUMMYFUNCTION("""COMPUTED_VALUE"""),"Esquinera")</f>
        <v>Esquinera</v>
      </c>
      <c r="W355" s="46"/>
      <c r="X355" s="46">
        <f>IFERROR(__xludf.DUMMYFUNCTION("""COMPUTED_VALUE"""),3.0)</f>
        <v>3</v>
      </c>
      <c r="Y355" s="46" t="str">
        <f>IFERROR(__xludf.DUMMYFUNCTION("""COMPUTED_VALUE"""),"No tiene")</f>
        <v>No tiene</v>
      </c>
      <c r="Z355" s="90" t="str">
        <f>IFERROR(__xludf.DUMMYFUNCTION("""COMPUTED_VALUE"""),"No aplica")</f>
        <v>No aplica</v>
      </c>
      <c r="AA355" s="33" t="str">
        <f>IFERROR(__xludf.DUMMYFUNCTION("""COMPUTED_VALUE"""),"No aplica")</f>
        <v>No aplica</v>
      </c>
      <c r="AB355" s="144" t="str">
        <f>IFERROR(__xludf.DUMMYFUNCTION("""COMPUTED_VALUE"""),"https://photos.app.goo.gl/eWoiHMc88eBYzJvy9")</f>
        <v>https://photos.app.goo.gl/eWoiHMc88eBYzJvy9</v>
      </c>
      <c r="AC355" s="46" t="str">
        <f>IFERROR(__xludf.DUMMYFUNCTION("""COMPUTED_VALUE"""),"Casa de 253 mts2, 4 habitaciones, 3 baños, sala, comedor, cocina, garaje para 2 carros, patio. Estrato 3.")</f>
        <v>Casa de 253 mts2, 4 habitaciones, 3 baños, sala, comedor, cocina, garaje para 2 carros, patio. Estrato 3.</v>
      </c>
      <c r="AD355" s="46" t="str">
        <f>IFERROR(__xludf.DUMMYFUNCTION("""COMPUTED_VALUE"""),"Buena ubicación.")</f>
        <v>Buena ubicación.</v>
      </c>
      <c r="AE355" s="46"/>
      <c r="AF355" s="46" t="str">
        <f>IFERROR(__xludf.DUMMYFUNCTION("""COMPUTED_VALUE"""),"semi-integral")</f>
        <v>semi-integral</v>
      </c>
      <c r="AG355" s="46"/>
      <c r="AH355" s="46" t="str">
        <f>IFERROR(__xludf.DUMMYFUNCTION("""COMPUTED_VALUE"""),"Aliado")</f>
        <v>Aliado</v>
      </c>
      <c r="AI355" s="92" t="str">
        <f>IFERROR(__xludf.DUMMYFUNCTION("""COMPUTED_VALUE"""),"https://lh3.googleusercontent.com/pw/AP1GczMnFZdLdk3JMOtZ_OeYYGUnKsGRR92awuu0-EmqkU5Yh1Wsc5EUXkJWZzxbk5i7JNU8T1my9viKJAv_jIfHgkzINCzFrS8mzYc1wdYHHsllkwoELUpy=w1200|https://lh3.googleusercontent.com/pw/AP1GczPR1oDbclLEh9VKllF3DU5vCAmSS1--Aw7ZCpbo1tmF1seVQT"&amp;"ykmGX9D41pGdMKtHjKWIm9I0cgw0QNz8Qj89RiY9e3ZAI1_DX_W7ygJ4WirY6e0uKL=w1200|https://lh3.googleusercontent.com/pw/AP1GczPFyVeUqcfRGjNqaXx6SNx7Kf7LB6zaBBaypcA0IdIfgFY0HCkoQwLvhVUrfPtq7_ZTEXMM0rt0RvRhKYQjE0RBC3w4usUr3hWKNUVCIJ_B_e1aJEwH=w1200|https://lh3.google"&amp;"usercontent.com/pw/AP1GczPvn7zzrtZeDojYRgu1iPBxDfc94Q2KJ8brHsFXY4MqrgSlBIgZhuz_NRhoasiSdtvlhoKc__pXAkKzl_QMzZOhS1ivCiXGvdZ6_HTpH_x-0IDfoHAI=w1200|https://lh3.googleusercontent.com/pw/AP1GczP59WClC-1D9rqCAqN0KQTT-tOrf2HvoDfS4ztNOeZNK62BeIwpMdtuzom--nVWDGBm"&amp;"vyAG_f_CSVHMitg6H2Da2F08Ntr7rnZrzK1oRL63haQdrsot=w1200|https://lh3.googleusercontent.com/pw/AP1GczPnMMaXOKUAr91c2x42nav_pWNlmoUwwJgSCovVbimEE6giAvaYrYSoLF65AkEhMAzmNKyBKzlhPCjo06CfZahcuiM6mEfyKgPu75c_ziNzq3NgDW_A=w1200|https://lh3.googleusercontent.com/pw"&amp;"/AP1GczOV2S694yvBDy-5b2Z1PZvn7ckFCkKdGdLKqY0fzdqKysCqHEYd96J74vkAB6Xk43qkFxRsVW2gZHbGhjV_ECPZUJYCbMdhncnekWSVX-NG1gQQq_hv=w1200|https://lh3.googleusercontent.com/pw/AP1GczNdn_nP_vtIG4eGa7WeS9Ppd4e6fqnzF-dXhJ8U_Cwbt3oyL3llkpJ9Vc-FVZL155DZXJHM65QyiLdBHvO6a-"&amp;"auVBNU-KpBgrtGgiugincMv-pFHAWv=w1200")</f>
        <v>https://lh3.googleusercontent.com/pw/AP1GczMnFZdLdk3JMOtZ_OeYYGUnKsGRR92awuu0-EmqkU5Yh1Wsc5EUXkJWZzxbk5i7JNU8T1my9viKJAv_jIfHgkzINCzFrS8mzYc1wdYHHsllkwoELUpy=w1200|https://lh3.googleusercontent.com/pw/AP1GczPR1oDbclLEh9VKllF3DU5vCAmSS1--Aw7ZCpbo1tmF1seVQTykmGX9D41pGdMKtHjKWIm9I0cgw0QNz8Qj89RiY9e3ZAI1_DX_W7ygJ4WirY6e0uKL=w1200|https://lh3.googleusercontent.com/pw/AP1GczPFyVeUqcfRGjNqaXx6SNx7Kf7LB6zaBBaypcA0IdIfgFY0HCkoQwLvhVUrfPtq7_ZTEXMM0rt0RvRhKYQjE0RBC3w4usUr3hWKNUVCIJ_B_e1aJEwH=w1200|https://lh3.googleusercontent.com/pw/AP1GczPvn7zzrtZeDojYRgu1iPBxDfc94Q2KJ8brHsFXY4MqrgSlBIgZhuz_NRhoasiSdtvlhoKc__pXAkKzl_QMzZOhS1ivCiXGvdZ6_HTpH_x-0IDfoHAI=w1200|https://lh3.googleusercontent.com/pw/AP1GczP59WClC-1D9rqCAqN0KQTT-tOrf2HvoDfS4ztNOeZNK62BeIwpMdtuzom--nVWDGBmvyAG_f_CSVHMitg6H2Da2F08Ntr7rnZrzK1oRL63haQdrsot=w1200|https://lh3.googleusercontent.com/pw/AP1GczPnMMaXOKUAr91c2x42nav_pWNlmoUwwJgSCovVbimEE6giAvaYrYSoLF65AkEhMAzmNKyBKzlhPCjo06CfZahcuiM6mEfyKgPu75c_ziNzq3NgDW_A=w1200|https://lh3.googleusercontent.com/pw/AP1GczOV2S694yvBDy-5b2Z1PZvn7ckFCkKdGdLKqY0fzdqKysCqHEYd96J74vkAB6Xk43qkFxRsVW2gZHbGhjV_ECPZUJYCbMdhncnekWSVX-NG1gQQq_hv=w1200|https://lh3.googleusercontent.com/pw/AP1GczNdn_nP_vtIG4eGa7WeS9Ppd4e6fqnzF-dXhJ8U_Cwbt3oyL3llkpJ9Vc-FVZL155DZXJHM65QyiLdBHvO6a-auVBNU-KpBgrtGgiugincMv-pFHAWv=w1200</v>
      </c>
      <c r="AJ355" s="46"/>
      <c r="AK355" s="46"/>
      <c r="AL355" s="46"/>
      <c r="AM355" s="46"/>
      <c r="AN355" s="46"/>
      <c r="AO355" s="46"/>
      <c r="AP355" s="46"/>
      <c r="AQ355" s="46"/>
      <c r="AR355" s="46"/>
      <c r="AS355" s="46"/>
      <c r="AT355" s="46"/>
      <c r="AU355" s="46"/>
      <c r="AV355" s="46"/>
      <c r="AW355" s="46"/>
      <c r="AX355" s="46"/>
      <c r="AY355" s="46"/>
      <c r="AZ355" s="46"/>
      <c r="BA355" s="46"/>
      <c r="BB355" s="46"/>
      <c r="BC355" s="46"/>
      <c r="BD355" s="46"/>
      <c r="BE355" s="46"/>
      <c r="BF355" s="46"/>
      <c r="BG355" s="46"/>
      <c r="BH355" s="46"/>
      <c r="BI355" s="46"/>
      <c r="BJ355" s="46"/>
      <c r="BK355" s="46"/>
      <c r="BL355" s="46"/>
      <c r="BM355" s="46"/>
      <c r="BN355" s="46"/>
      <c r="BO355" s="46"/>
      <c r="BP355" s="46"/>
      <c r="BQ355" s="46"/>
      <c r="BR355" s="46"/>
      <c r="BS355" s="46"/>
      <c r="BT355" s="46"/>
      <c r="BU355" s="46"/>
      <c r="BV355" s="46"/>
      <c r="BW355" s="46"/>
      <c r="BX355" s="46"/>
      <c r="BY355" s="46"/>
      <c r="BZ355" s="46"/>
      <c r="CA355" s="46"/>
      <c r="CB355" s="46"/>
      <c r="CC355" s="46"/>
    </row>
    <row r="356">
      <c r="A356" s="87" t="str">
        <f>IFERROR(__xludf.DUMMYFUNCTION("""COMPUTED_VALUE"""),"1300")</f>
        <v>1300</v>
      </c>
      <c r="B356" s="46" t="str">
        <f>IFERROR(__xludf.DUMMYFUNCTION("""COMPUTED_VALUE"""),"Casa en barrio Santa Lucía - Los Cambulos")</f>
        <v>Casa en barrio Santa Lucía - Los Cambulos</v>
      </c>
      <c r="C356" s="46" t="str">
        <f>IFERROR(__xludf.DUMMYFUNCTION("""COMPUTED_VALUE"""),"Casa")</f>
        <v>Casa</v>
      </c>
      <c r="D356" s="46" t="str">
        <f>IFERROR(__xludf.DUMMYFUNCTION("""COMPUTED_VALUE"""),"Santa Lucía")</f>
        <v>Santa Lucía</v>
      </c>
      <c r="E356" s="46"/>
      <c r="F356" s="90">
        <f>IFERROR(__xludf.DUMMYFUNCTION("""COMPUTED_VALUE"""),4.7E8)</f>
        <v>470000000</v>
      </c>
      <c r="G356" s="46" t="str">
        <f>IFERROR(__xludf.DUMMYFUNCTION("""COMPUTED_VALUE"""),"$400'000.000 a $500'000.000")</f>
        <v>$400'000.000 a $500'000.000</v>
      </c>
      <c r="H356" s="46"/>
      <c r="I356" s="46"/>
      <c r="J356" s="46" t="str">
        <f>IFERROR(__xludf.DUMMYFUNCTION("""COMPUTED_VALUE"""),"Norte")</f>
        <v>Norte</v>
      </c>
      <c r="K356" s="87" t="str">
        <f>IFERROR(__xludf.DUMMYFUNCTION("""COMPUTED_VALUE"""),"2")</f>
        <v>2</v>
      </c>
      <c r="L356" s="46">
        <f>IFERROR(__xludf.DUMMYFUNCTION("""COMPUTED_VALUE"""),4.0)</f>
        <v>4</v>
      </c>
      <c r="M356" s="46"/>
      <c r="N356" s="46">
        <f>IFERROR(__xludf.DUMMYFUNCTION("""COMPUTED_VALUE"""),4.0)</f>
        <v>4</v>
      </c>
      <c r="O356" s="46">
        <f>IFERROR(__xludf.DUMMYFUNCTION("""COMPUTED_VALUE"""),1.0)</f>
        <v>1</v>
      </c>
      <c r="P356" s="46">
        <f>IFERROR(__xludf.DUMMYFUNCTION("""COMPUTED_VALUE"""),2.0)</f>
        <v>2</v>
      </c>
      <c r="Q356" s="92">
        <f>IFERROR(__xludf.DUMMYFUNCTION("""COMPUTED_VALUE"""),171.0)</f>
        <v>171</v>
      </c>
      <c r="R356" s="92">
        <f>IFERROR(__xludf.DUMMYFUNCTION("""COMPUTED_VALUE"""),90.0)</f>
        <v>90</v>
      </c>
      <c r="S356" s="87" t="str">
        <f>IFERROR(__xludf.DUMMYFUNCTION("""COMPUTED_VALUE""")," ")</f>
        <v> </v>
      </c>
      <c r="T356" s="46" t="str">
        <f>IFERROR(__xludf.DUMMYFUNCTION("""COMPUTED_VALUE"""),"Neiva")</f>
        <v>Neiva</v>
      </c>
      <c r="U356" s="87" t="str">
        <f>IFERROR(__xludf.DUMMYFUNCTION("""COMPUTED_VALUE"""),"3")</f>
        <v>3</v>
      </c>
      <c r="V356" s="46" t="str">
        <f>IFERROR(__xludf.DUMMYFUNCTION("""COMPUTED_VALUE"""),"Esquinera")</f>
        <v>Esquinera</v>
      </c>
      <c r="W356" s="46"/>
      <c r="X356" s="46">
        <f>IFERROR(__xludf.DUMMYFUNCTION("""COMPUTED_VALUE"""),4.0)</f>
        <v>4</v>
      </c>
      <c r="Y356" s="46" t="str">
        <f>IFERROR(__xludf.DUMMYFUNCTION("""COMPUTED_VALUE"""),"No tiene")</f>
        <v>No tiene</v>
      </c>
      <c r="Z356" s="90"/>
      <c r="AA356" s="33" t="str">
        <f>IFERROR(__xludf.DUMMYFUNCTION("""COMPUTED_VALUE"""),"No aplica")</f>
        <v>No aplica</v>
      </c>
      <c r="AB356" s="144" t="str">
        <f>IFERROR(__xludf.DUMMYFUNCTION("""COMPUTED_VALUE"""),"https://photos.app.goo.gl/QtC2cYpZZrsJQPW99")</f>
        <v>https://photos.app.goo.gl/QtC2cYpZZrsJQPW99</v>
      </c>
      <c r="AC356" s="46" t="str">
        <f>IFERROR(__xludf.DUMMYFUNCTION("""COMPUTED_VALUE"""),"Área construida: 171.0 m², 4 habitaciones en el segundo piso, 4 baños, Sala, comedor y cocina amplia, Cuarto de servicio y zona de lavado, 1 parqueadero cubierto, Patio interior + terraza exterior ideal para reuniones, Vigilancia privada 24 horas para tu "&amp;"tranquilidad y la de tu familia, Ubicada en esquina, con excelente ventilación e iluminación natural. Barrio Santa Lucía, una zona tranquila, residencial y de fácil acceso. Perfecta tanto para vivienda familiar como para negocio u oficinas gracias a su di"&amp;"seño y visibilidad.")</f>
        <v>Área construida: 171.0 m², 4 habitaciones en el segundo piso, 4 baños, Sala, comedor y cocina amplia, Cuarto de servicio y zona de lavado, 1 parqueadero cubierto, Patio interior + terraza exterior ideal para reuniones, Vigilancia privada 24 horas para tu tranquilidad y la de tu familia, Ubicada en esquina, con excelente ventilación e iluminación natural. Barrio Santa Lucía, una zona tranquila, residencial y de fácil acceso. Perfecta tanto para vivienda familiar como para negocio u oficinas gracias a su diseño y visibilidad.</v>
      </c>
      <c r="AD356" s="46" t="str">
        <f>IFERROR(__xludf.DUMMYFUNCTION("""COMPUTED_VALUE"""),"Casa equinera bien ubicada, sobre vías amplias, cuenta con buenos acabados.")</f>
        <v>Casa equinera bien ubicada, sobre vías amplias, cuenta con buenos acabados.</v>
      </c>
      <c r="AE356" s="46"/>
      <c r="AF356" s="46" t="str">
        <f>IFERROR(__xludf.DUMMYFUNCTION("""COMPUTED_VALUE"""),"integral")</f>
        <v>integral</v>
      </c>
      <c r="AG356" s="46"/>
      <c r="AH356" s="46" t="str">
        <f>IFERROR(__xludf.DUMMYFUNCTION("""COMPUTED_VALUE"""),"Aliado")</f>
        <v>Aliado</v>
      </c>
      <c r="AI356" s="92" t="str">
        <f>IFERROR(__xludf.DUMMYFUNCTION("""COMPUTED_VALUE"""),"https://lh3.googleusercontent.com/pw/AP1GczMt13ConhVoOo4sYGSKtfz_IWWIvqcVZsbv90gROKPUAyx1oJ3Vwlw97t7DvUv_kKNtfS8sRmUxgdCTWPytF0wozhdRDr17mZfbEV2Y1t3bgJx9Wn1r=w1200|https://lh3.googleusercontent.com/pw/AP1GczOT2GbdM1GhkZZQ9M1jdsngnKLQqsC9WcdEosf3Vtekra2HRV"&amp;"5lpOX1NkD5ZEQSkX9kSWCLgGhfEfrcEUA0m142mhbXppca6X2dLEyqWZPPFy4S-vmx=w1200|https://lh3.googleusercontent.com/pw/AP1GczMs-86sXA-MtlEHhovpyAe4e1h4vZLS4kzlBXZhH9MYUnyLWeOIBc5ir-Vwy4rA_3r-x1SHsoNrAh6UNj-Om7cn4cdE3nUx53_zBSVWUtVdpYMGlL2u=w1200|https://lh3.google"&amp;"usercontent.com/pw/AP1GczNc-cj7WwBHfj3t5Zx8KZYYBw2dzfOFtqC2SBFrLxAv6LOMwcTTFuYrs3x1KKsYu1p2qFp6FAitX3XaEvkgRAxHp-yeXIH7QAd5zHIMzFDHxTDF1RCW=w1200|https://lh3.googleusercontent.com/pw/AP1GczOoVouV6HNS8BM6s7bo7lQ-ppj3AFta6hgZZ6nKT_qyH14Rmca_OPHwzgkeM4XtrFdr"&amp;"Xf8608HvWgW7CghyBX1bpOarJ1YNRcv9z-vL3Przb-3ocNiz=w1200|https://lh3.googleusercontent.com/pw/AP1GczMB80kZJj5TViAOOW31hZAD42PNxWOqRslwi8uvyMMBQfd6NrACs-Fy_VsYcgAy4fxsM9GKeX9cd9cJmHTIKjIJT6BhMkkem4_AfFsdkgcyJIEbrrB0=w1200|https://lh3.googleusercontent.com/pw"&amp;"/AP1GczMCo6cU9zPd8h1lvDcFZV-79WdCpe4mIHWweBhJZfskiHLTZWdFF0MpBwzLd3OXq0XoqJQmyzH0jo1qCzX1VQjRTD5mFlHd3NyhFhtu251XPwy4bEFt=w1200|https://lh3.googleusercontent.com/pw/AP1GczM6VV2lk64D8mb3T_vS1q7RfA-zzj8V-3cC3Neg4jm_qP83DaTr4sZK9FPHmRbj3IdBpwcV3NNbduBMhS4MYL"&amp;"pKUNkgCZ09YNEbYb_zoT3swCjZv-eK=w1200|https://lh3.googleusercontent.com/pw/AP1GczOdgfzDkVr7fgHnMRrPlAjR6DbTCljZyWd1zWq4Hqami9HNyXxHJG-TAz021QFn4wc5CcBgPeT-oGU4gIv_FniPO0zMQbWFBaXheMHbW6WZuJ9rdyYn=w1200|https://lh3.googleusercontent.com/pw/AP1GczMskn5j0nTRh"&amp;"Dzg2usCnjNQkpE9MkO9gR-3dzZfzTofRtgs-b18Iunwqyy42E7dtBn9hRpCq2hJU3eFSiXisjWvjmkdnLiAz-Jh0q94r12Ge_oI7oom=w1200|https://lh3.googleusercontent.com/pw/AP1GczPyuWbArI8llo47KmLn4ikTVOhQ7pgtcJFEh__p7uW9IOmEt0_kdGo_gl5WFzV2mcMViAwSSCFteyu0dAgUJ3X-ff-Hp2ueJgYH9nuM"&amp;"-LXIVhpwvniB=w1200|https://lh3.googleusercontent.com/pw/AP1GczNdO-1MTwG1kT5pkQE3j9lkma-2o9cBOxSFsHqp0aUloQ4I62hMgSG7Kci1MylV4UhItR3bBVgU84ewy_UHirZNjUSnQK0fKtTqVCR5EEdtYL89YETa=w1200|https://lh3.googleusercontent.com/pw/AP1GczPqIq8ryjwoAipTWjipemkslSjxn--"&amp;"Jgji5B4Lf1Jvks5RIS82bEAuNsInxIeW-ap40EaxJBRVVmAr45990e-K2-gC6QvKTkhsRaVgXFyptFcNNrxGv=w1200")</f>
        <v>https://lh3.googleusercontent.com/pw/AP1GczMt13ConhVoOo4sYGSKtfz_IWWIvqcVZsbv90gROKPUAyx1oJ3Vwlw97t7DvUv_kKNtfS8sRmUxgdCTWPytF0wozhdRDr17mZfbEV2Y1t3bgJx9Wn1r=w1200|https://lh3.googleusercontent.com/pw/AP1GczOT2GbdM1GhkZZQ9M1jdsngnKLQqsC9WcdEosf3Vtekra2HRV5lpOX1NkD5ZEQSkX9kSWCLgGhfEfrcEUA0m142mhbXppca6X2dLEyqWZPPFy4S-vmx=w1200|https://lh3.googleusercontent.com/pw/AP1GczMs-86sXA-MtlEHhovpyAe4e1h4vZLS4kzlBXZhH9MYUnyLWeOIBc5ir-Vwy4rA_3r-x1SHsoNrAh6UNj-Om7cn4cdE3nUx53_zBSVWUtVdpYMGlL2u=w1200|https://lh3.googleusercontent.com/pw/AP1GczNc-cj7WwBHfj3t5Zx8KZYYBw2dzfOFtqC2SBFrLxAv6LOMwcTTFuYrs3x1KKsYu1p2qFp6FAitX3XaEvkgRAxHp-yeXIH7QAd5zHIMzFDHxTDF1RCW=w1200|https://lh3.googleusercontent.com/pw/AP1GczOoVouV6HNS8BM6s7bo7lQ-ppj3AFta6hgZZ6nKT_qyH14Rmca_OPHwzgkeM4XtrFdrXf8608HvWgW7CghyBX1bpOarJ1YNRcv9z-vL3Przb-3ocNiz=w1200|https://lh3.googleusercontent.com/pw/AP1GczMB80kZJj5TViAOOW31hZAD42PNxWOqRslwi8uvyMMBQfd6NrACs-Fy_VsYcgAy4fxsM9GKeX9cd9cJmHTIKjIJT6BhMkkem4_AfFsdkgcyJIEbrrB0=w1200|https://lh3.googleusercontent.com/pw/AP1GczMCo6cU9zPd8h1lvDcFZV-79WdCpe4mIHWweBhJZfskiHLTZWdFF0MpBwzLd3OXq0XoqJQmyzH0jo1qCzX1VQjRTD5mFlHd3NyhFhtu251XPwy4bEFt=w1200|https://lh3.googleusercontent.com/pw/AP1GczM6VV2lk64D8mb3T_vS1q7RfA-zzj8V-3cC3Neg4jm_qP83DaTr4sZK9FPHmRbj3IdBpwcV3NNbduBMhS4MYLpKUNkgCZ09YNEbYb_zoT3swCjZv-eK=w1200|https://lh3.googleusercontent.com/pw/AP1GczOdgfzDkVr7fgHnMRrPlAjR6DbTCljZyWd1zWq4Hqami9HNyXxHJG-TAz021QFn4wc5CcBgPeT-oGU4gIv_FniPO0zMQbWFBaXheMHbW6WZuJ9rdyYn=w1200|https://lh3.googleusercontent.com/pw/AP1GczMskn5j0nTRhDzg2usCnjNQkpE9MkO9gR-3dzZfzTofRtgs-b18Iunwqyy42E7dtBn9hRpCq2hJU3eFSiXisjWvjmkdnLiAz-Jh0q94r12Ge_oI7oom=w1200|https://lh3.googleusercontent.com/pw/AP1GczPyuWbArI8llo47KmLn4ikTVOhQ7pgtcJFEh__p7uW9IOmEt0_kdGo_gl5WFzV2mcMViAwSSCFteyu0dAgUJ3X-ff-Hp2ueJgYH9nuM-LXIVhpwvniB=w1200|https://lh3.googleusercontent.com/pw/AP1GczNdO-1MTwG1kT5pkQE3j9lkma-2o9cBOxSFsHqp0aUloQ4I62hMgSG7Kci1MylV4UhItR3bBVgU84ewy_UHirZNjUSnQK0fKtTqVCR5EEdtYL89YETa=w1200|https://lh3.googleusercontent.com/pw/AP1GczPqIq8ryjwoAipTWjipemkslSjxn--Jgji5B4Lf1Jvks5RIS82bEAuNsInxIeW-ap40EaxJBRVVmAr45990e-K2-gC6QvKTkhsRaVgXFyptFcNNrxGv=w1200</v>
      </c>
      <c r="AJ356" s="46"/>
      <c r="AK356" s="46"/>
      <c r="AL356" s="46"/>
      <c r="AM356" s="46"/>
      <c r="AN356" s="46"/>
      <c r="AO356" s="46"/>
      <c r="AP356" s="46"/>
      <c r="AQ356" s="46"/>
      <c r="AR356" s="46"/>
      <c r="AS356" s="46"/>
      <c r="AT356" s="46"/>
      <c r="AU356" s="46"/>
      <c r="AV356" s="46"/>
      <c r="AW356" s="46"/>
      <c r="AX356" s="46"/>
      <c r="AY356" s="46"/>
      <c r="AZ356" s="46"/>
      <c r="BA356" s="46"/>
      <c r="BB356" s="46"/>
      <c r="BC356" s="46"/>
      <c r="BD356" s="46"/>
      <c r="BE356" s="46"/>
      <c r="BF356" s="46"/>
      <c r="BG356" s="46"/>
      <c r="BH356" s="46"/>
      <c r="BI356" s="46"/>
      <c r="BJ356" s="46"/>
      <c r="BK356" s="46"/>
      <c r="BL356" s="46"/>
      <c r="BM356" s="46"/>
      <c r="BN356" s="46"/>
      <c r="BO356" s="46"/>
      <c r="BP356" s="46"/>
      <c r="BQ356" s="46"/>
      <c r="BR356" s="46"/>
      <c r="BS356" s="46"/>
      <c r="BT356" s="46"/>
      <c r="BU356" s="46"/>
      <c r="BV356" s="46"/>
      <c r="BW356" s="46"/>
      <c r="BX356" s="46"/>
      <c r="BY356" s="46"/>
      <c r="BZ356" s="46"/>
      <c r="CA356" s="46"/>
      <c r="CB356" s="46"/>
      <c r="CC356" s="46"/>
    </row>
    <row r="357">
      <c r="A357" s="87" t="str">
        <f>IFERROR(__xludf.DUMMYFUNCTION("""COMPUTED_VALUE"""),"978")</f>
        <v>978</v>
      </c>
      <c r="B357" s="46" t="str">
        <f>IFERROR(__xludf.DUMMYFUNCTION("""COMPUTED_VALUE"""),"Casa de 2 apartamentos y un local en barrio Gualanday")</f>
        <v>Casa de 2 apartamentos y un local en barrio Gualanday</v>
      </c>
      <c r="C357" s="46" t="str">
        <f>IFERROR(__xludf.DUMMYFUNCTION("""COMPUTED_VALUE"""),"Casa rentable")</f>
        <v>Casa rentable</v>
      </c>
      <c r="D357" s="46" t="str">
        <f>IFERROR(__xludf.DUMMYFUNCTION("""COMPUTED_VALUE"""),"Gualanday")</f>
        <v>Gualanday</v>
      </c>
      <c r="E357" s="46" t="str">
        <f>IFERROR(__xludf.DUMMYFUNCTION("""COMPUTED_VALUE""")," ")</f>
        <v> </v>
      </c>
      <c r="F357" s="90">
        <f>IFERROR(__xludf.DUMMYFUNCTION("""COMPUTED_VALUE"""),4.5E8)</f>
        <v>450000000</v>
      </c>
      <c r="G357" s="46" t="str">
        <f>IFERROR(__xludf.DUMMYFUNCTION("""COMPUTED_VALUE"""),"$400'000.000 a $500'000.000")</f>
        <v>$400'000.000 a $500'000.000</v>
      </c>
      <c r="H357" s="46"/>
      <c r="I357" s="46"/>
      <c r="J357" s="46" t="str">
        <f>IFERROR(__xludf.DUMMYFUNCTION("""COMPUTED_VALUE"""),"Norte")</f>
        <v>Norte</v>
      </c>
      <c r="K357" s="87"/>
      <c r="L357" s="46">
        <f>IFERROR(__xludf.DUMMYFUNCTION("""COMPUTED_VALUE"""),6.0)</f>
        <v>6</v>
      </c>
      <c r="M357" s="46"/>
      <c r="N357" s="46">
        <f>IFERROR(__xludf.DUMMYFUNCTION("""COMPUTED_VALUE"""),5.0)</f>
        <v>5</v>
      </c>
      <c r="O357" s="46">
        <f>IFERROR(__xludf.DUMMYFUNCTION("""COMPUTED_VALUE"""),1.0)</f>
        <v>1</v>
      </c>
      <c r="P357" s="46">
        <f>IFERROR(__xludf.DUMMYFUNCTION("""COMPUTED_VALUE"""),2.0)</f>
        <v>2</v>
      </c>
      <c r="Q357" s="92">
        <f>IFERROR(__xludf.DUMMYFUNCTION("""COMPUTED_VALUE"""),150.0)</f>
        <v>150</v>
      </c>
      <c r="R357" s="92">
        <f>IFERROR(__xludf.DUMMYFUNCTION("""COMPUTED_VALUE"""),84.0)</f>
        <v>84</v>
      </c>
      <c r="S357" s="87" t="str">
        <f>IFERROR(__xludf.DUMMYFUNCTION("""COMPUTED_VALUE"""),"Rentabilidad $2,100,000")</f>
        <v>Rentabilidad $2,100,000</v>
      </c>
      <c r="T357" s="46" t="str">
        <f>IFERROR(__xludf.DUMMYFUNCTION("""COMPUTED_VALUE"""),"Neiva")</f>
        <v>Neiva</v>
      </c>
      <c r="U357" s="87" t="str">
        <f>IFERROR(__xludf.DUMMYFUNCTION("""COMPUTED_VALUE"""),"2")</f>
        <v>2</v>
      </c>
      <c r="V357" s="46" t="str">
        <f>IFERROR(__xludf.DUMMYFUNCTION("""COMPUTED_VALUE"""),"Esquinera")</f>
        <v>Esquinera</v>
      </c>
      <c r="W357" s="46"/>
      <c r="X357" s="46">
        <f>IFERROR(__xludf.DUMMYFUNCTION("""COMPUTED_VALUE"""),4.0)</f>
        <v>4</v>
      </c>
      <c r="Y357" s="46" t="str">
        <f>IFERROR(__xludf.DUMMYFUNCTION("""COMPUTED_VALUE"""),"No tiene")</f>
        <v>No tiene</v>
      </c>
      <c r="Z357" s="90" t="str">
        <f>IFERROR(__xludf.DUMMYFUNCTION("""COMPUTED_VALUE"""),"No aplica")</f>
        <v>No aplica</v>
      </c>
      <c r="AA357" s="33" t="str">
        <f>IFERROR(__xludf.DUMMYFUNCTION("""COMPUTED_VALUE"""),"18 años")</f>
        <v>18 años</v>
      </c>
      <c r="AB357" s="96" t="str">
        <f>IFERROR(__xludf.DUMMYFUNCTION("""COMPUTED_VALUE"""),"https://photos.app.goo.gl/WLWanwmGkTNRgeKQA")</f>
        <v>https://photos.app.goo.gl/WLWanwmGkTNRgeKQA</v>
      </c>
      <c r="AC357" s="46"/>
      <c r="AD357" s="46" t="str">
        <f>IFERROR(__xludf.DUMMYFUNCTION("""COMPUTED_VALUE"""),"Casa remodelada con buenos acabados, ubicada sobre vía vehicular y sector comercial. Escritura al día.")</f>
        <v>Casa remodelada con buenos acabados, ubicada sobre vía vehicular y sector comercial. Escritura al día.</v>
      </c>
      <c r="AE357" s="46"/>
      <c r="AF357" s="46" t="str">
        <f>IFERROR(__xludf.DUMMYFUNCTION("""COMPUTED_VALUE"""),"semi-integral")</f>
        <v>semi-integral</v>
      </c>
      <c r="AG357" s="46"/>
      <c r="AH357" s="46" t="str">
        <f>IFERROR(__xludf.DUMMYFUNCTION("""COMPUTED_VALUE"""),"Aliado")</f>
        <v>Aliado</v>
      </c>
      <c r="AI357" s="92" t="str">
        <f>IFERROR(__xludf.DUMMYFUNCTION("""COMPUTED_VALUE"""),"https://lh3.googleusercontent.com/pw/AP1GczPmpRFv5DkfmiVECAexOKaOzYJHQ1_EhgpW8u2aO1d3WlH-A_WhOi_yFfUtliWzvdvVw-QoUk-6rspkk35zmvjwrpi4-4rTnrsEo9qvF74xXT6EoCtX=w1200|https://lh3.googleusercontent.com/pw/AP1GczPxewC66waQYAQUOLe7S3Nglv1vi0C63bVwMd8mIjR5zqy-3O"&amp;"zXQN8gCuPymue-rwzq3tg_19O6pVLXUTT2gTCaTs6kITh-G07u5-1N-1742oHgEmY_=w1200|https://lh3.googleusercontent.com/pw/AP1GczOtvukeVixldDnkyhjMn-1xTTgO6e1_9Avq3-o2e4u06fuHaQU2Mp6M9WxxsMCXmc5NQ2Nyn8cKlr47QhTCdj9xaP1V8tSgsYtTBNMxtbrxR4BPovel=w1200|https://lh3.google"&amp;"usercontent.com/pw/AP1GczNA5etm52pooiZXRjOxtTSG4qXgwQY1_xADbHXu-ylKzx-HWkMVjZedfVzKOJrYVlzv5wkPPZFrYbm9FEjLR01jOPviGPiJXmWu8-GvxZNY27OCG6JM=w1200|https://lh3.googleusercontent.com/pw/AP1GczNLossBDTSqikDInf55ldN52zTM3x1KnNHgo4mpPRs5meBpZFK2WqLVMmIuVynswCCw"&amp;"7RrHN-7Dg7nojplIoBa3MvOlmNgH9Jy4Ni_DnmDGI9FSHdx5=w1200|https://lh3.googleusercontent.com/pw/AP1GczMUzLg_SlZxP8TXwj5Jiv1H6PpaFkpqTDzT98ykDBKaK83y6FsE6Vzmv_agmZxiZRTsfcK9BSxEnk12jEzqzPqX1Hodu4TXTcf9Y6IQBZahuVwtmRlC=w1200|https://lh3.googleusercontent.com/pw"&amp;"/AP1GczMjG1RDoPCm8FE0yIbC5b1mpZkUwEIvP1axAn3_HCVMoC2MUpOG3KYl_yEK-6-WxrLo3JIad9BJRB-cLkoSmiMzX2lQwCkLKjc__TTywj47nk1qvxV6=w1200|https://lh3.googleusercontent.com/pw/AP1GczPNF4Om3T_vK7_1w_1K-ZDCiW6IwzcYXwHbRiZUVvwl3u5Wu5KNbOVVmt2TffzQ8dibjZh-AHqtmVWNeu-dP3"&amp;"-h3U202D-ABjBC7eCkQjrKFKusNLTc=w1200|https://lh3.googleusercontent.com/pw/AP1GczMpBmlmvtMtQvbAtxmYzrg5X8pIxbMWCmsZlSGVY947ywZN1lJr72K526vo5bsoUov0JdEYgCdku190F5ZZir58WVgVat-_HqK4CGhg9g-A2pFeuk6e=w1200|https://lh3.googleusercontent.com/pw/AP1GczNw0wmd7HT95"&amp;"367QMU9MRJskc7uYEIqS3ZLEJx3940K0kqSMgfmrJFohA-tFqls2_eDGfhSX5uANGE_Nzzf-wv2RVepxLc_Yaqm7xCrKJG-j1eDKZUA=w1200|https://lh3.googleusercontent.com/pw/AP1GczPU1aUIaWZwdN2sMO5J02ccLZbUFTHH2LemHairlHROG71Bv_TCCCXBNAwDltgMo3RIhz33zgjXk5wpEb7-P9BSdqurhgw2DlpnBE0G"&amp;"xUZ7L-g9ezFj=w1200|https://lh3.googleusercontent.com/pw/AP1GczMrEP3rwoEcpH185U5LkeNCur9pFHOt5Jbu4hRI0ygzp0nYcVQA_anS8Pf-FjnE049heR5r_HHoFeY6X70AgjHq5vRyA5MSV5xv3zTjnI7_6L26Svn2=w1200")</f>
        <v>https://lh3.googleusercontent.com/pw/AP1GczPmpRFv5DkfmiVECAexOKaOzYJHQ1_EhgpW8u2aO1d3WlH-A_WhOi_yFfUtliWzvdvVw-QoUk-6rspkk35zmvjwrpi4-4rTnrsEo9qvF74xXT6EoCtX=w1200|https://lh3.googleusercontent.com/pw/AP1GczPxewC66waQYAQUOLe7S3Nglv1vi0C63bVwMd8mIjR5zqy-3OzXQN8gCuPymue-rwzq3tg_19O6pVLXUTT2gTCaTs6kITh-G07u5-1N-1742oHgEmY_=w1200|https://lh3.googleusercontent.com/pw/AP1GczOtvukeVixldDnkyhjMn-1xTTgO6e1_9Avq3-o2e4u06fuHaQU2Mp6M9WxxsMCXmc5NQ2Nyn8cKlr47QhTCdj9xaP1V8tSgsYtTBNMxtbrxR4BPovel=w1200|https://lh3.googleusercontent.com/pw/AP1GczNA5etm52pooiZXRjOxtTSG4qXgwQY1_xADbHXu-ylKzx-HWkMVjZedfVzKOJrYVlzv5wkPPZFrYbm9FEjLR01jOPviGPiJXmWu8-GvxZNY27OCG6JM=w1200|https://lh3.googleusercontent.com/pw/AP1GczNLossBDTSqikDInf55ldN52zTM3x1KnNHgo4mpPRs5meBpZFK2WqLVMmIuVynswCCw7RrHN-7Dg7nojplIoBa3MvOlmNgH9Jy4Ni_DnmDGI9FSHdx5=w1200|https://lh3.googleusercontent.com/pw/AP1GczMUzLg_SlZxP8TXwj5Jiv1H6PpaFkpqTDzT98ykDBKaK83y6FsE6Vzmv_agmZxiZRTsfcK9BSxEnk12jEzqzPqX1Hodu4TXTcf9Y6IQBZahuVwtmRlC=w1200|https://lh3.googleusercontent.com/pw/AP1GczMjG1RDoPCm8FE0yIbC5b1mpZkUwEIvP1axAn3_HCVMoC2MUpOG3KYl_yEK-6-WxrLo3JIad9BJRB-cLkoSmiMzX2lQwCkLKjc__TTywj47nk1qvxV6=w1200|https://lh3.googleusercontent.com/pw/AP1GczPNF4Om3T_vK7_1w_1K-ZDCiW6IwzcYXwHbRiZUVvwl3u5Wu5KNbOVVmt2TffzQ8dibjZh-AHqtmVWNeu-dP3-h3U202D-ABjBC7eCkQjrKFKusNLTc=w1200|https://lh3.googleusercontent.com/pw/AP1GczMpBmlmvtMtQvbAtxmYzrg5X8pIxbMWCmsZlSGVY947ywZN1lJr72K526vo5bsoUov0JdEYgCdku190F5ZZir58WVgVat-_HqK4CGhg9g-A2pFeuk6e=w1200|https://lh3.googleusercontent.com/pw/AP1GczNw0wmd7HT95367QMU9MRJskc7uYEIqS3ZLEJx3940K0kqSMgfmrJFohA-tFqls2_eDGfhSX5uANGE_Nzzf-wv2RVepxLc_Yaqm7xCrKJG-j1eDKZUA=w1200|https://lh3.googleusercontent.com/pw/AP1GczPU1aUIaWZwdN2sMO5J02ccLZbUFTHH2LemHairlHROG71Bv_TCCCXBNAwDltgMo3RIhz33zgjXk5wpEb7-P9BSdqurhgw2DlpnBE0GxUZ7L-g9ezFj=w1200|https://lh3.googleusercontent.com/pw/AP1GczMrEP3rwoEcpH185U5LkeNCur9pFHOt5Jbu4hRI0ygzp0nYcVQA_anS8Pf-FjnE049heR5r_HHoFeY6X70AgjHq5vRyA5MSV5xv3zTjnI7_6L26Svn2=w1200</v>
      </c>
      <c r="AJ357" s="46"/>
      <c r="AK357" s="46"/>
      <c r="AL357" s="46"/>
      <c r="AM357" s="46"/>
      <c r="AN357" s="46"/>
      <c r="AO357" s="46"/>
      <c r="AP357" s="46"/>
      <c r="AQ357" s="46"/>
      <c r="AR357" s="46"/>
      <c r="AS357" s="46"/>
      <c r="AT357" s="46"/>
      <c r="AU357" s="46"/>
      <c r="AV357" s="46"/>
      <c r="AW357" s="46"/>
      <c r="AX357" s="46"/>
      <c r="AY357" s="46"/>
      <c r="AZ357" s="46"/>
      <c r="BA357" s="46"/>
      <c r="BB357" s="46"/>
      <c r="BC357" s="46"/>
      <c r="BD357" s="46"/>
      <c r="BE357" s="46"/>
      <c r="BF357" s="46"/>
      <c r="BG357" s="46"/>
      <c r="BH357" s="46"/>
      <c r="BI357" s="46"/>
      <c r="BJ357" s="46"/>
      <c r="BK357" s="46"/>
      <c r="BL357" s="46"/>
      <c r="BM357" s="46"/>
      <c r="BN357" s="46"/>
      <c r="BO357" s="46"/>
      <c r="BP357" s="46"/>
      <c r="BQ357" s="46"/>
      <c r="BR357" s="46"/>
      <c r="BS357" s="46"/>
      <c r="BT357" s="46"/>
      <c r="BU357" s="46"/>
      <c r="BV357" s="46"/>
      <c r="BW357" s="46"/>
      <c r="BX357" s="46"/>
      <c r="BY357" s="46"/>
      <c r="BZ357" s="46"/>
      <c r="CA357" s="46"/>
      <c r="CB357" s="46"/>
      <c r="CC357" s="46"/>
    </row>
    <row r="358">
      <c r="A358" s="87" t="str">
        <f>IFERROR(__xludf.DUMMYFUNCTION("""COMPUTED_VALUE"""),"1294")</f>
        <v>1294</v>
      </c>
      <c r="B358" s="46" t="str">
        <f>IFERROR(__xludf.DUMMYFUNCTION("""COMPUTED_VALUE"""),"Casa en barrio El Centro")</f>
        <v>Casa en barrio El Centro</v>
      </c>
      <c r="C358" s="46" t="str">
        <f>IFERROR(__xludf.DUMMYFUNCTION("""COMPUTED_VALUE"""),"Casa")</f>
        <v>Casa</v>
      </c>
      <c r="D358" s="90" t="str">
        <f>IFERROR(__xludf.DUMMYFUNCTION("""COMPUTED_VALUE"""),"El Centro")</f>
        <v>El Centro</v>
      </c>
      <c r="E358" s="46"/>
      <c r="F358" s="90">
        <f>IFERROR(__xludf.DUMMYFUNCTION("""COMPUTED_VALUE"""),4.5E8)</f>
        <v>450000000</v>
      </c>
      <c r="G358" s="46" t="str">
        <f>IFERROR(__xludf.DUMMYFUNCTION("""COMPUTED_VALUE"""),"$400'000.000 a $500'000.000")</f>
        <v>$400'000.000 a $500'000.000</v>
      </c>
      <c r="H358" s="46"/>
      <c r="I358" s="46"/>
      <c r="J358" s="46" t="str">
        <f>IFERROR(__xludf.DUMMYFUNCTION("""COMPUTED_VALUE"""),"Centro")</f>
        <v>Centro</v>
      </c>
      <c r="K358" s="87"/>
      <c r="L358" s="46">
        <f>IFERROR(__xludf.DUMMYFUNCTION("""COMPUTED_VALUE"""),4.0)</f>
        <v>4</v>
      </c>
      <c r="M358" s="46"/>
      <c r="N358" s="46">
        <f>IFERROR(__xludf.DUMMYFUNCTION("""COMPUTED_VALUE"""),2.0)</f>
        <v>2</v>
      </c>
      <c r="O358" s="46">
        <f>IFERROR(__xludf.DUMMYFUNCTION("""COMPUTED_VALUE"""),0.0)</f>
        <v>0</v>
      </c>
      <c r="P358" s="46">
        <f>IFERROR(__xludf.DUMMYFUNCTION("""COMPUTED_VALUE"""),1.0)</f>
        <v>1</v>
      </c>
      <c r="Q358" s="92">
        <f>IFERROR(__xludf.DUMMYFUNCTION("""COMPUTED_VALUE"""),206.0)</f>
        <v>206</v>
      </c>
      <c r="R358" s="92">
        <f>IFERROR(__xludf.DUMMYFUNCTION("""COMPUTED_VALUE"""),227.0)</f>
        <v>227</v>
      </c>
      <c r="S358" s="87" t="str">
        <f>IFERROR(__xludf.DUMMYFUNCTION("""COMPUTED_VALUE""")," ")</f>
        <v> </v>
      </c>
      <c r="T358" s="46" t="str">
        <f>IFERROR(__xludf.DUMMYFUNCTION("""COMPUTED_VALUE"""),"Neiva")</f>
        <v>Neiva</v>
      </c>
      <c r="U358" s="87" t="str">
        <f>IFERROR(__xludf.DUMMYFUNCTION("""COMPUTED_VALUE"""),"4")</f>
        <v>4</v>
      </c>
      <c r="V358" s="46" t="str">
        <f>IFERROR(__xludf.DUMMYFUNCTION("""COMPUTED_VALUE"""),"Medianera")</f>
        <v>Medianera</v>
      </c>
      <c r="W358" s="46"/>
      <c r="X358" s="46">
        <f>IFERROR(__xludf.DUMMYFUNCTION("""COMPUTED_VALUE"""),0.0)</f>
        <v>0</v>
      </c>
      <c r="Y358" s="46" t="str">
        <f>IFERROR(__xludf.DUMMYFUNCTION("""COMPUTED_VALUE"""),"No tiene")</f>
        <v>No tiene</v>
      </c>
      <c r="Z358" s="90" t="str">
        <f>IFERROR(__xludf.DUMMYFUNCTION("""COMPUTED_VALUE"""),"No aplica")</f>
        <v>No aplica</v>
      </c>
      <c r="AA358" s="33" t="str">
        <f>IFERROR(__xludf.DUMMYFUNCTION("""COMPUTED_VALUE"""),"No aplica")</f>
        <v>No aplica</v>
      </c>
      <c r="AB358" s="144" t="str">
        <f>IFERROR(__xludf.DUMMYFUNCTION("""COMPUTED_VALUE"""),"https://photos.app.goo.gl/mEcLAecYoWVLnmwy6")</f>
        <v>https://photos.app.goo.gl/mEcLAecYoWVLnmwy6</v>
      </c>
      <c r="AC358" s="46" t="str">
        <f>IFERROR(__xludf.DUMMYFUNCTION("""COMPUTED_VALUE"""),"Casa de una planta en sector comercial centro, 4 alcobas, baño auxiliar, sala comedora patio, zona de lavandería. Piso en baldosa, cielo raso en machihembre, baño remodelado con división en vidrio templado y mueble, cuenta con patio.")</f>
        <v>Casa de una planta en sector comercial centro, 4 alcobas, baño auxiliar, sala comedora patio, zona de lavandería. Piso en baldosa, cielo raso en machihembre, baño remodelado con división en vidrio templado y mueble, cuenta con patio.</v>
      </c>
      <c r="AD358" s="46" t="str">
        <f>IFERROR(__xludf.DUMMYFUNCTION("""COMPUTED_VALUE"""),"Casa ubicada en sector comercial.")</f>
        <v>Casa ubicada en sector comercial.</v>
      </c>
      <c r="AE358" s="46"/>
      <c r="AF358" s="46" t="str">
        <f>IFERROR(__xludf.DUMMYFUNCTION("""COMPUTED_VALUE"""),"básica")</f>
        <v>básica</v>
      </c>
      <c r="AG358" s="46"/>
      <c r="AH358" s="46" t="str">
        <f>IFERROR(__xludf.DUMMYFUNCTION("""COMPUTED_VALUE"""),"Aliado")</f>
        <v>Aliado</v>
      </c>
      <c r="AI358" s="92" t="str">
        <f>IFERROR(__xludf.DUMMYFUNCTION("""COMPUTED_VALUE"""),"https://lh3.googleusercontent.com/pw/AP1GczOQYFTBF0ceNlb-W1kiXAEwjetU03YghOTWs4OrIu7esgBVGmbWygtIXjPJqCz6mgtjvxA_udfMMDvt5xx-VpiDMv5xHNQgg1KO9vjhnXouUR-p0LRJ=w1200|https://lh3.googleusercontent.com/pw/AP1GczMvDpDLW5Ah53zEeDO4UCOsztkI3-Yj2FbGpRcRA3dppqG2PR"&amp;"hD9x3BeueHc-EOeqzt6QLY3eiQpEvihtPX-OqLhirT4KwavogNynOGaJHSrn1lOJLO=w1200|https://lh3.googleusercontent.com/pw/AP1GczPT7QUHuoYsYNGvL5nzII_Dl-pmf5BtXK0tIN0iW8I8HmOPSdU-tiM6koRKUIvQiuxoJj_uLeXghVJm_9hGpdiJiMU59KVvLeTgZq47ecVQthiXVmK1=w1200|https://lh3.google"&amp;"usercontent.com/pw/AP1GczMmiOhkzjAVVDVLy2FobbDqRMydVwt2BrSyh1N5829vsRVDelz5X_AOpyzx0PoxZ64GN_wWZkFOwA2X0YekeWUwVx3-W7LB_M79oRJEyxZHdJIqr4z6=w1200|https://lh3.googleusercontent.com/pw/AP1GczMH_HUxoM5BCZ58bpA4f6-mi63OSL4q18iwopjpdlF4GcM3so2fPZG5eFjSAGpnNSOT"&amp;"NXz-A8d2qUb9eTz0NaJYQYWv9qU4BWrxM4j2ncl30QkG4mRs=w1200|https://lh3.googleusercontent.com/pw/AP1GczPPeAaGMFCepbA5qChjfM7azY8yIPQIQVRFqdLyqEM_hhWdvhkoWwtYT2zCCEL7IHZHk9MIOXj8y3UXSv6ONgaWG8ie0Bjtw5AHIPwMxPf2w_7MQGBm=w1200|https://lh3.googleusercontent.com/pw"&amp;"/AP1GczPgPuODAjm6dTXn96v_E2zaL3aWSV0LpMY9v0VmgrCNIxq9nesM1N835SmSgIwrVqloXXlj6CF5JxWkGJOL8w-Qk-5EmzBI_zzwJ8WbkG-sjbsp-WxJ=w1200|https://lh3.googleusercontent.com/pw/AP1GczO7RCcyimWp8_dGsIIOgDKtyFKZ8onos1Brjh82aq_cIk3g1cUaMRsk_YL5zRfgtpzju69vCNWyREtvtbTEOc"&amp;"chQnqHDwJHLsnyg8yU_NRBW9Ivlq6M=w1200|https://lh3.googleusercontent.com/pw/AP1GczO_1Yq-sryvR1n1Lmlmp-9kjFQo7DE8OF_wO8W4Ct3vmgW5_FAeG75f5w4A1HT5QU1_3bB_Pw7wCY_KhnzrKN0OnIfRNeF-3gm4vi7KNkeyAT14G7F2=w1200")</f>
        <v>https://lh3.googleusercontent.com/pw/AP1GczOQYFTBF0ceNlb-W1kiXAEwjetU03YghOTWs4OrIu7esgBVGmbWygtIXjPJqCz6mgtjvxA_udfMMDvt5xx-VpiDMv5xHNQgg1KO9vjhnXouUR-p0LRJ=w1200|https://lh3.googleusercontent.com/pw/AP1GczMvDpDLW5Ah53zEeDO4UCOsztkI3-Yj2FbGpRcRA3dppqG2PRhD9x3BeueHc-EOeqzt6QLY3eiQpEvihtPX-OqLhirT4KwavogNynOGaJHSrn1lOJLO=w1200|https://lh3.googleusercontent.com/pw/AP1GczPT7QUHuoYsYNGvL5nzII_Dl-pmf5BtXK0tIN0iW8I8HmOPSdU-tiM6koRKUIvQiuxoJj_uLeXghVJm_9hGpdiJiMU59KVvLeTgZq47ecVQthiXVmK1=w1200|https://lh3.googleusercontent.com/pw/AP1GczMmiOhkzjAVVDVLy2FobbDqRMydVwt2BrSyh1N5829vsRVDelz5X_AOpyzx0PoxZ64GN_wWZkFOwA2X0YekeWUwVx3-W7LB_M79oRJEyxZHdJIqr4z6=w1200|https://lh3.googleusercontent.com/pw/AP1GczMH_HUxoM5BCZ58bpA4f6-mi63OSL4q18iwopjpdlF4GcM3so2fPZG5eFjSAGpnNSOTNXz-A8d2qUb9eTz0NaJYQYWv9qU4BWrxM4j2ncl30QkG4mRs=w1200|https://lh3.googleusercontent.com/pw/AP1GczPPeAaGMFCepbA5qChjfM7azY8yIPQIQVRFqdLyqEM_hhWdvhkoWwtYT2zCCEL7IHZHk9MIOXj8y3UXSv6ONgaWG8ie0Bjtw5AHIPwMxPf2w_7MQGBm=w1200|https://lh3.googleusercontent.com/pw/AP1GczPgPuODAjm6dTXn96v_E2zaL3aWSV0LpMY9v0VmgrCNIxq9nesM1N835SmSgIwrVqloXXlj6CF5JxWkGJOL8w-Qk-5EmzBI_zzwJ8WbkG-sjbsp-WxJ=w1200|https://lh3.googleusercontent.com/pw/AP1GczO7RCcyimWp8_dGsIIOgDKtyFKZ8onos1Brjh82aq_cIk3g1cUaMRsk_YL5zRfgtpzju69vCNWyREtvtbTEOcchQnqHDwJHLsnyg8yU_NRBW9Ivlq6M=w1200|https://lh3.googleusercontent.com/pw/AP1GczO_1Yq-sryvR1n1Lmlmp-9kjFQo7DE8OF_wO8W4Ct3vmgW5_FAeG75f5w4A1HT5QU1_3bB_Pw7wCY_KhnzrKN0OnIfRNeF-3gm4vi7KNkeyAT14G7F2=w1200</v>
      </c>
      <c r="AJ358" s="46"/>
      <c r="AK358" s="46"/>
      <c r="AL358" s="46"/>
      <c r="AM358" s="46"/>
      <c r="AN358" s="46"/>
      <c r="AO358" s="46"/>
      <c r="AP358" s="46"/>
      <c r="AQ358" s="46"/>
      <c r="AR358" s="46"/>
      <c r="AS358" s="46"/>
      <c r="AT358" s="46"/>
      <c r="AU358" s="46"/>
      <c r="AV358" s="46"/>
      <c r="AW358" s="46"/>
      <c r="AX358" s="46"/>
      <c r="AY358" s="46"/>
      <c r="AZ358" s="46"/>
      <c r="BA358" s="46"/>
      <c r="BB358" s="46"/>
      <c r="BC358" s="46"/>
      <c r="BD358" s="46"/>
      <c r="BE358" s="46"/>
      <c r="BF358" s="46"/>
      <c r="BG358" s="46"/>
      <c r="BH358" s="46"/>
      <c r="BI358" s="46"/>
      <c r="BJ358" s="46"/>
      <c r="BK358" s="46"/>
      <c r="BL358" s="46"/>
      <c r="BM358" s="46"/>
      <c r="BN358" s="46"/>
      <c r="BO358" s="46"/>
      <c r="BP358" s="46"/>
      <c r="BQ358" s="46"/>
      <c r="BR358" s="46"/>
      <c r="BS358" s="46"/>
      <c r="BT358" s="46"/>
      <c r="BU358" s="46"/>
      <c r="BV358" s="46"/>
      <c r="BW358" s="46"/>
      <c r="BX358" s="46"/>
      <c r="BY358" s="46"/>
      <c r="BZ358" s="46"/>
      <c r="CA358" s="46"/>
      <c r="CB358" s="46"/>
      <c r="CC358" s="46"/>
    </row>
    <row r="359">
      <c r="A359" s="87" t="str">
        <f>IFERROR(__xludf.DUMMYFUNCTION("""COMPUTED_VALUE"""),"1258")</f>
        <v>1258</v>
      </c>
      <c r="B359" s="46" t="str">
        <f>IFERROR(__xludf.DUMMYFUNCTION("""COMPUTED_VALUE"""),"Apartamento en Conjunto Residencial Tangara Ciudadela Nio - Av. 26")</f>
        <v>Apartamento en Conjunto Residencial Tangara Ciudadela Nio - Av. 26</v>
      </c>
      <c r="C359" s="46" t="str">
        <f>IFERROR(__xludf.DUMMYFUNCTION("""COMPUTED_VALUE"""),"Apartamento en conjunto")</f>
        <v>Apartamento en conjunto</v>
      </c>
      <c r="D359" s="46" t="str">
        <f>IFERROR(__xludf.DUMMYFUNCTION("""COMPUTED_VALUE"""),"Las Granjas")</f>
        <v>Las Granjas</v>
      </c>
      <c r="E359" s="90" t="str">
        <f>IFERROR(__xludf.DUMMYFUNCTION("""COMPUTED_VALUE"""),"Tangara Nio")</f>
        <v>Tangara Nio</v>
      </c>
      <c r="F359" s="90">
        <f>IFERROR(__xludf.DUMMYFUNCTION("""COMPUTED_VALUE"""),4.5E8)</f>
        <v>450000000</v>
      </c>
      <c r="G359" s="46" t="str">
        <f>IFERROR(__xludf.DUMMYFUNCTION("""COMPUTED_VALUE"""),"$400'000.000 a $500'000.000")</f>
        <v>$400'000.000 a $500'000.000</v>
      </c>
      <c r="H359" s="46"/>
      <c r="I359" s="46"/>
      <c r="J359" s="46" t="str">
        <f>IFERROR(__xludf.DUMMYFUNCTION("""COMPUTED_VALUE"""),"Norte")</f>
        <v>Norte</v>
      </c>
      <c r="K359" s="87"/>
      <c r="L359" s="46">
        <f>IFERROR(__xludf.DUMMYFUNCTION("""COMPUTED_VALUE"""),3.0)</f>
        <v>3</v>
      </c>
      <c r="M359" s="46"/>
      <c r="N359" s="46">
        <f>IFERROR(__xludf.DUMMYFUNCTION("""COMPUTED_VALUE"""),2.0)</f>
        <v>2</v>
      </c>
      <c r="O359" s="46">
        <f>IFERROR(__xludf.DUMMYFUNCTION("""COMPUTED_VALUE"""),1.0)</f>
        <v>1</v>
      </c>
      <c r="P359" s="46">
        <f>IFERROR(__xludf.DUMMYFUNCTION("""COMPUTED_VALUE"""),4.0)</f>
        <v>4</v>
      </c>
      <c r="Q359" s="92">
        <f>IFERROR(__xludf.DUMMYFUNCTION("""COMPUTED_VALUE"""),100.0)</f>
        <v>100</v>
      </c>
      <c r="R359" s="92">
        <f>IFERROR(__xludf.DUMMYFUNCTION("""COMPUTED_VALUE"""),100.0)</f>
        <v>100</v>
      </c>
      <c r="S359" s="87" t="str">
        <f>IFERROR(__xludf.DUMMYFUNCTION("""COMPUTED_VALUE""")," ")</f>
        <v> </v>
      </c>
      <c r="T359" s="46" t="str">
        <f>IFERROR(__xludf.DUMMYFUNCTION("""COMPUTED_VALUE"""),"Neiva")</f>
        <v>Neiva</v>
      </c>
      <c r="U359" s="87" t="str">
        <f>IFERROR(__xludf.DUMMYFUNCTION("""COMPUTED_VALUE"""),"4")</f>
        <v>4</v>
      </c>
      <c r="V359" s="46" t="str">
        <f>IFERROR(__xludf.DUMMYFUNCTION("""COMPUTED_VALUE"""),"4to.")</f>
        <v>4to.</v>
      </c>
      <c r="W359" s="46"/>
      <c r="X359" s="46">
        <f>IFERROR(__xludf.DUMMYFUNCTION("""COMPUTED_VALUE"""),3.0)</f>
        <v>3</v>
      </c>
      <c r="Y359" s="46" t="str">
        <f>IFERROR(__xludf.DUMMYFUNCTION("""COMPUTED_VALUE"""),"Social")</f>
        <v>Social</v>
      </c>
      <c r="Z359" s="90">
        <f>IFERROR(__xludf.DUMMYFUNCTION("""COMPUTED_VALUE"""),450000.0)</f>
        <v>450000</v>
      </c>
      <c r="AA359" s="33" t="str">
        <f>IFERROR(__xludf.DUMMYFUNCTION("""COMPUTED_VALUE"""),"No aplica")</f>
        <v>No aplica</v>
      </c>
      <c r="AB359" s="144" t="str">
        <f>IFERROR(__xludf.DUMMYFUNCTION("""COMPUTED_VALUE"""),"https://photos.app.goo.gl/V74K3sZVNmBT32Tq6")</f>
        <v>https://photos.app.goo.gl/V74K3sZVNmBT32Tq6</v>
      </c>
      <c r="AC359" s="46" t="str">
        <f>IFERROR(__xludf.DUMMYFUNCTION("""COMPUTED_VALUE"""),"Sala comedor, cocina integral zona de lavandería 3 alcobas todas con aire acondicionado, la principal con closet de pared a pared y baño privado, parqueadero privado y un deposito. Valor administración $450.000 – (2025).  Vigilancia privada las 24 horas, "&amp;"jacuzzi, gimnasio, salón social.")</f>
        <v>Sala comedor, cocina integral zona de lavandería 3 alcobas todas con aire acondicionado, la principal con closet de pared a pared y baño privado, parqueadero privado y un deposito. Valor administración $450.000 – (2025).  Vigilancia privada las 24 horas, jacuzzi, gimnasio, salón social.</v>
      </c>
      <c r="AD359" s="46" t="str">
        <f>IFERROR(__xludf.DUMMYFUNCTION("""COMPUTED_VALUE"""),"Buenos acabados y depósito.")</f>
        <v>Buenos acabados y depósito.</v>
      </c>
      <c r="AE359" s="46"/>
      <c r="AF359" s="46" t="str">
        <f>IFERROR(__xludf.DUMMYFUNCTION("""COMPUTED_VALUE"""),"integral")</f>
        <v>integral</v>
      </c>
      <c r="AG359" s="46"/>
      <c r="AH359" s="46" t="str">
        <f>IFERROR(__xludf.DUMMYFUNCTION("""COMPUTED_VALUE"""),"Aliado")</f>
        <v>Aliado</v>
      </c>
      <c r="AI359" s="92" t="str">
        <f>IFERROR(__xludf.DUMMYFUNCTION("""COMPUTED_VALUE"""),"https://lh3.googleusercontent.com/pw/AP1GczOypi9-4SBW9E9cYjfiz6ii_oyzQEUJlTRPx7sl1cNwCGXVie7GM8w7FSabrWXBGKxP8W01iy4t1QNrOLOkx99_s95SBKstExOj9nUq_GfeW4XbfjpG=w1200|https://lh3.googleusercontent.com/pw/AP1GczNrdanYiryH-V9_WL3jdeKjP7rENLSkMFMGHEHEOzqyLU1qD9"&amp;"mkZCLTGcPnxc1kKniAgPkFj0lf7kVsC-iIx4Z6xv84qwpfavKewOhPm-xznU1DmqIU=w1200|https://lh3.googleusercontent.com/pw/AP1GczO1l8Op7UEuXHyB_o_HW5XJtgKcsRYqrSe2lSvwoAxJNbNOuuCdY4PkU63_nfHhVqPrm6fsjsV8xQbXZBJQIp4YGK0UX84ak8UYjbiO4qn43qkg6zhC=w1200|https://lh3.google"&amp;"usercontent.com/pw/AP1GczNIENbt8MwaEhDhjJB_rUrRTF3TD-NQDXqduFKCv97fsEcDuWHg_cEUu8GHNB928Bq3ifqdZW26zgiIfuO4zpZzWjQ2HkJY4Rws0FQRw6QHw44bNdsl=w1200|https://lh3.googleusercontent.com/pw/AP1GczPJot_j5xYu3DBtfnvhDNBxzUI5sn0GZkl8m1DFq_0DxV7bibgazZvwkBOgapv563tt"&amp;"o8341Q2U6zzSvzFQ_oNK0vVKKnOgCAFnqz63GpvVQw6HEXTZ=w1200|https://lh3.googleusercontent.com/pw/AP1GczOzhtsQ4Wc_ud1m1vu9VHJyAdVldEPFIREmT_ChdkqXpHXGIv6SJJcVlWsBOJm7GHxqIhopCAB1gIJUGQaYYlKKpPzblO7hlN52itKgfK4ySnRbBSGW=w1200|https://lh3.googleusercontent.com/pw"&amp;"/AP1GczMp6GB43JOYF00tTEJD5WYaB1Auz8jkNdMShNwbpnAbmAPb-mQQfk7Xz3vXCk4PtbhicgKSeH3YVdILGqrFcBtKJUZLkRbUxB7On_IgB1hXVkmx6Hy_=w1200|https://lh3.googleusercontent.com/pw/AP1GczNvWdoNr0sTfStcRRDuAUKiwUaUpFutEfqQkOgNJ4ZnmjqN9V_ubrjLndoWEteQ4Xw2hhCT6cOSezcImdYeYI"&amp;"7bm9jfCzwq5L23IPRT3f_Bc3v8njli=w1200|https://lh3.googleusercontent.com/pw/AP1GczNOqt1z5eXmS7xg0ijCzPvNYk9aDEf1R4nEGxOzmv3YYbmOGEud9efVpAdOU7O118LAklVImMfDoq6TNY6M_2HNiEmVluseKhkDdvfdM7OT9Ah5WUYn=w1200|https://lh3.googleusercontent.com/pw/AP1GczPscp-bCNru6"&amp;"zSOnqb3cl2FZukxfghYHNX-wu1rC6ReNC3rxKyTIYQIjOeYm8lu2S7BjFr8oB4GYba_27b1krEqmPIKsLy1praxOhgA13SeJYgJjZeA=w1200|https://lh3.googleusercontent.com/pw/AP1GczMiSdFa4WpOjIHm3hh7xyoWEKrnLACS-3JbXxrlhbbqvPGTjxI3-IpEvs28hHO2vIRk9OhVjiK196YflYCoTWF-9rwPXoqUsKHj-WKl"&amp;"2HstecHRPOs3=w1200|https://lh3.googleusercontent.com/pw/AP1GczNe1PKRmTbmyaUI6E2ctXS12J7yM7Pzxfr_j2WYJz_XqWi43B3itxcwOEsSf-TnlyeqkWm0AyNG1Qkq15542vG8gKLnbiMvWnfCa-VVIEqIN8SSt9L9=w1200")</f>
        <v>https://lh3.googleusercontent.com/pw/AP1GczOypi9-4SBW9E9cYjfiz6ii_oyzQEUJlTRPx7sl1cNwCGXVie7GM8w7FSabrWXBGKxP8W01iy4t1QNrOLOkx99_s95SBKstExOj9nUq_GfeW4XbfjpG=w1200|https://lh3.googleusercontent.com/pw/AP1GczNrdanYiryH-V9_WL3jdeKjP7rENLSkMFMGHEHEOzqyLU1qD9mkZCLTGcPnxc1kKniAgPkFj0lf7kVsC-iIx4Z6xv84qwpfavKewOhPm-xznU1DmqIU=w1200|https://lh3.googleusercontent.com/pw/AP1GczO1l8Op7UEuXHyB_o_HW5XJtgKcsRYqrSe2lSvwoAxJNbNOuuCdY4PkU63_nfHhVqPrm6fsjsV8xQbXZBJQIp4YGK0UX84ak8UYjbiO4qn43qkg6zhC=w1200|https://lh3.googleusercontent.com/pw/AP1GczNIENbt8MwaEhDhjJB_rUrRTF3TD-NQDXqduFKCv97fsEcDuWHg_cEUu8GHNB928Bq3ifqdZW26zgiIfuO4zpZzWjQ2HkJY4Rws0FQRw6QHw44bNdsl=w1200|https://lh3.googleusercontent.com/pw/AP1GczPJot_j5xYu3DBtfnvhDNBxzUI5sn0GZkl8m1DFq_0DxV7bibgazZvwkBOgapv563tto8341Q2U6zzSvzFQ_oNK0vVKKnOgCAFnqz63GpvVQw6HEXTZ=w1200|https://lh3.googleusercontent.com/pw/AP1GczOzhtsQ4Wc_ud1m1vu9VHJyAdVldEPFIREmT_ChdkqXpHXGIv6SJJcVlWsBOJm7GHxqIhopCAB1gIJUGQaYYlKKpPzblO7hlN52itKgfK4ySnRbBSGW=w1200|https://lh3.googleusercontent.com/pw/AP1GczMp6GB43JOYF00tTEJD5WYaB1Auz8jkNdMShNwbpnAbmAPb-mQQfk7Xz3vXCk4PtbhicgKSeH3YVdILGqrFcBtKJUZLkRbUxB7On_IgB1hXVkmx6Hy_=w1200|https://lh3.googleusercontent.com/pw/AP1GczNvWdoNr0sTfStcRRDuAUKiwUaUpFutEfqQkOgNJ4ZnmjqN9V_ubrjLndoWEteQ4Xw2hhCT6cOSezcImdYeYI7bm9jfCzwq5L23IPRT3f_Bc3v8njli=w1200|https://lh3.googleusercontent.com/pw/AP1GczNOqt1z5eXmS7xg0ijCzPvNYk9aDEf1R4nEGxOzmv3YYbmOGEud9efVpAdOU7O118LAklVImMfDoq6TNY6M_2HNiEmVluseKhkDdvfdM7OT9Ah5WUYn=w1200|https://lh3.googleusercontent.com/pw/AP1GczPscp-bCNru6zSOnqb3cl2FZukxfghYHNX-wu1rC6ReNC3rxKyTIYQIjOeYm8lu2S7BjFr8oB4GYba_27b1krEqmPIKsLy1praxOhgA13SeJYgJjZeA=w1200|https://lh3.googleusercontent.com/pw/AP1GczMiSdFa4WpOjIHm3hh7xyoWEKrnLACS-3JbXxrlhbbqvPGTjxI3-IpEvs28hHO2vIRk9OhVjiK196YflYCoTWF-9rwPXoqUsKHj-WKl2HstecHRPOs3=w1200|https://lh3.googleusercontent.com/pw/AP1GczNe1PKRmTbmyaUI6E2ctXS12J7yM7Pzxfr_j2WYJz_XqWi43B3itxcwOEsSf-TnlyeqkWm0AyNG1Qkq15542vG8gKLnbiMvWnfCa-VVIEqIN8SSt9L9=w1200</v>
      </c>
      <c r="AJ359" s="46"/>
      <c r="AK359" s="46"/>
      <c r="AL359" s="46"/>
      <c r="AM359" s="46"/>
      <c r="AN359" s="46"/>
      <c r="AO359" s="46"/>
      <c r="AP359" s="46"/>
      <c r="AQ359" s="46"/>
      <c r="AR359" s="46"/>
      <c r="AS359" s="46"/>
      <c r="AT359" s="46"/>
      <c r="AU359" s="46"/>
      <c r="AV359" s="46"/>
      <c r="AW359" s="46"/>
      <c r="AX359" s="46"/>
      <c r="AY359" s="46"/>
      <c r="AZ359" s="46"/>
      <c r="BA359" s="46"/>
      <c r="BB359" s="46"/>
      <c r="BC359" s="46"/>
      <c r="BD359" s="46"/>
      <c r="BE359" s="46"/>
      <c r="BF359" s="46"/>
      <c r="BG359" s="46"/>
      <c r="BH359" s="46"/>
      <c r="BI359" s="46"/>
      <c r="BJ359" s="46"/>
      <c r="BK359" s="46"/>
      <c r="BL359" s="46"/>
      <c r="BM359" s="46"/>
      <c r="BN359" s="46"/>
      <c r="BO359" s="46"/>
      <c r="BP359" s="46"/>
      <c r="BQ359" s="46"/>
      <c r="BR359" s="46"/>
      <c r="BS359" s="46"/>
      <c r="BT359" s="46"/>
      <c r="BU359" s="46"/>
      <c r="BV359" s="46"/>
      <c r="BW359" s="46"/>
      <c r="BX359" s="46"/>
      <c r="BY359" s="46"/>
      <c r="BZ359" s="46"/>
      <c r="CA359" s="46"/>
      <c r="CB359" s="46"/>
      <c r="CC359" s="46"/>
    </row>
    <row r="360">
      <c r="A360" s="87" t="str">
        <f>IFERROR(__xludf.DUMMYFUNCTION("""COMPUTED_VALUE"""),"1168")</f>
        <v>1168</v>
      </c>
      <c r="B360" s="46" t="str">
        <f>IFERROR(__xludf.DUMMYFUNCTION("""COMPUTED_VALUE"""),"Casa campestre en Rivera")</f>
        <v>Casa campestre en Rivera</v>
      </c>
      <c r="C360" s="46" t="str">
        <f>IFERROR(__xludf.DUMMYFUNCTION("""COMPUTED_VALUE"""),"Casa campestre")</f>
        <v>Casa campestre</v>
      </c>
      <c r="D360" s="46" t="str">
        <f>IFERROR(__xludf.DUMMYFUNCTION("""COMPUTED_VALUE""")," ")</f>
        <v> </v>
      </c>
      <c r="E360" s="46" t="str">
        <f>IFERROR(__xludf.DUMMYFUNCTION("""COMPUTED_VALUE""")," ")</f>
        <v> </v>
      </c>
      <c r="F360" s="90">
        <f>IFERROR(__xludf.DUMMYFUNCTION("""COMPUTED_VALUE"""),4.5E8)</f>
        <v>450000000</v>
      </c>
      <c r="G360" s="46" t="str">
        <f>IFERROR(__xludf.DUMMYFUNCTION("""COMPUTED_VALUE"""),"$400'000.000 a $500'000.000")</f>
        <v>$400'000.000 a $500'000.000</v>
      </c>
      <c r="H360" s="46"/>
      <c r="I360" s="46"/>
      <c r="J360" s="46" t="str">
        <f>IFERROR(__xludf.DUMMYFUNCTION("""COMPUTED_VALUE"""),"Oriente")</f>
        <v>Oriente</v>
      </c>
      <c r="K360" s="87"/>
      <c r="L360" s="46">
        <f>IFERROR(__xludf.DUMMYFUNCTION("""COMPUTED_VALUE"""),4.0)</f>
        <v>4</v>
      </c>
      <c r="M360" s="46"/>
      <c r="N360" s="46">
        <f>IFERROR(__xludf.DUMMYFUNCTION("""COMPUTED_VALUE"""),2.0)</f>
        <v>2</v>
      </c>
      <c r="O360" s="46">
        <f>IFERROR(__xludf.DUMMYFUNCTION("""COMPUTED_VALUE"""),2.0)</f>
        <v>2</v>
      </c>
      <c r="P360" s="46">
        <f>IFERROR(__xludf.DUMMYFUNCTION("""COMPUTED_VALUE"""),1.0)</f>
        <v>1</v>
      </c>
      <c r="Q360" s="92">
        <f>IFERROR(__xludf.DUMMYFUNCTION("""COMPUTED_VALUE"""),210.0)</f>
        <v>210</v>
      </c>
      <c r="R360" s="92">
        <f>IFERROR(__xludf.DUMMYFUNCTION("""COMPUTED_VALUE"""),600.0)</f>
        <v>600</v>
      </c>
      <c r="S360" s="87" t="str">
        <f>IFERROR(__xludf.DUMMYFUNCTION("""COMPUTED_VALUE""")," ")</f>
        <v> </v>
      </c>
      <c r="T360" s="46" t="str">
        <f>IFERROR(__xludf.DUMMYFUNCTION("""COMPUTED_VALUE"""),"Rivera")</f>
        <v>Rivera</v>
      </c>
      <c r="U360" s="87"/>
      <c r="V360" s="46"/>
      <c r="W360" s="46"/>
      <c r="X360" s="46">
        <f>IFERROR(__xludf.DUMMYFUNCTION("""COMPUTED_VALUE"""),3.0)</f>
        <v>3</v>
      </c>
      <c r="Y360" s="46" t="str">
        <f>IFERROR(__xludf.DUMMYFUNCTION("""COMPUTED_VALUE"""),"No tiene")</f>
        <v>No tiene</v>
      </c>
      <c r="Z360" s="90" t="str">
        <f>IFERROR(__xludf.DUMMYFUNCTION("""COMPUTED_VALUE"""),"No aplica")</f>
        <v>No aplica</v>
      </c>
      <c r="AA360" s="33" t="str">
        <f>IFERROR(__xludf.DUMMYFUNCTION("""COMPUTED_VALUE"""),"No aplica")</f>
        <v>No aplica</v>
      </c>
      <c r="AB360" s="144" t="str">
        <f>IFERROR(__xludf.DUMMYFUNCTION("""COMPUTED_VALUE"""),"https://photos.app.goo.gl/JhvqXFWdUTdMnoAW7")</f>
        <v>https://photos.app.goo.gl/JhvqXFWdUTdMnoAW7</v>
      </c>
      <c r="AC360" s="46" t="str">
        <f>IFERROR(__xludf.DUMMYFUNCTION("""COMPUTED_VALUE"""),"Casa campestre en venta en Rivera Huila, completamente remodelada con acabados de calidad. Propiedad de 4 habitaciones y 2 baños sobre un lote de 600 m² con amplias zonas verdes y zona BBQ, ideal para descanso y recreación familiar. Rivera es uno de los m"&amp;"unicipios de mayor valorización en el Huila por su clima, cercanía a Neiva y creciente demanda turística. Una inversión segura en finca raíz en el Huila con escritura al día y excelente estado.")</f>
        <v>Casa campestre en venta en Rivera Huila, completamente remodelada con acabados de calidad. Propiedad de 4 habitaciones y 2 baños sobre un lote de 600 m² con amplias zonas verdes y zona BBQ, ideal para descanso y recreación familiar. Rivera es uno de los municipios de mayor valorización en el Huila por su clima, cercanía a Neiva y creciente demanda turística. Una inversión segura en finca raíz en el Huila con escritura al día y excelente estado.</v>
      </c>
      <c r="AD360" s="46" t="str">
        <f>IFERROR(__xludf.DUMMYFUNCTION("""COMPUTED_VALUE"""),"Casa campestre remodelada en Rivera, Huila. Amplios jardines, zona BBQ, buenos acabados. Lote de 600 m², área construida 210 m². Escritura al día. A minutos de Neiva por vía principal.")</f>
        <v>Casa campestre remodelada en Rivera, Huila. Amplios jardines, zona BBQ, buenos acabados. Lote de 600 m², área construida 210 m². Escritura al día. A minutos de Neiva por vía principal.</v>
      </c>
      <c r="AE360" s="46"/>
      <c r="AF360" s="46" t="str">
        <f>IFERROR(__xludf.DUMMYFUNCTION("""COMPUTED_VALUE"""),"integral")</f>
        <v>integral</v>
      </c>
      <c r="AG360" s="46"/>
      <c r="AH360" s="46" t="str">
        <f>IFERROR(__xludf.DUMMYFUNCTION("""COMPUTED_VALUE"""),"Aliado")</f>
        <v>Aliado</v>
      </c>
      <c r="AI360" s="92" t="str">
        <f>IFERROR(__xludf.DUMMYFUNCTION("""COMPUTED_VALUE"""),"https://lh3.googleusercontent.com/pw/AP1GczPH5c7knJLSyJujwufHSnIZ_OKL41gtzT1WicHR6Ui5Q_nRTE-WDl6ta40YojuX1klYio4FaWqOS5XNpgs0Rt0dHCBPh7nNKYZg_owKsfMuu89Lrimr=w1200|https://lh3.googleusercontent.com/pw/AP1GczMxBpXMOQjp0Ars8Jbg_IUZ0jwKkb2_wHmk7-l0NGjpCIiWUo"&amp;"HZYmhzvO2y0YLpdYhhNgoCXvqKibZSa-NO7YaH2amNhyvCcY8HdCwTWLN0882igWq2=w1200|https://lh3.googleusercontent.com/pw/AP1GczO_n8LLk5ATzM-r2uvPhyYq_CCGC81sGJbzulRiu8nLrvqSUd1UeGF6jWrbvo5SPnnFZPzFZKIN85P3k4Sx8IFEeIqYgsgaYSjXWLW0NVydJf7UK5tl=w1200|https://lh3.google"&amp;"usercontent.com/pw/AP1GczMz7qkL8StY9GTlrhRgxrJhlx8rO7mReugWf7sQkwVaugv7l2QsCisrL1WnqMPghWPN7GxXg50cWRvU-lSzgay0XXnnXPVYhzvEMjvQZjSmzMsiYtdp=w1200|https://lh3.googleusercontent.com/pw/AP1GczNJIjPH_NRzxxz5CUh3NtcjolGDHvY6gbL5K1XCtv6S2ia7wBT8uWvD5nAft7iHKSTY"&amp;"TOdHKQ00XcR4QOdSWKEIFbq4ju6SI-R8bWbMi1AeoisZSAho=w1200|https://lh3.googleusercontent.com/pw/AP1GczPLRU-zqzv_M2DbJaw-Jjb8wtarj4aHNyXBJv9y09KLadyw55aOiDRqY5fT2MR5nZ9DlXqhARbWE6oKUMDBY-VfEwcjtsriVzLDTBUH3YWTeSOFKXvk=w1200|https://lh3.googleusercontent.com/pw"&amp;"/AP1GczOEBBkx-3t9FVCkxdxBB6hf2guyp6q-dMDCDBcjWVWp_BORATV-jc0WYDA33RUea6b48QjRpjYEdhnO6GjY9NT0szJ-nhdKf2jH_YPvAvNvufuUjhdk=w1200|https://lh3.googleusercontent.com/pw/AP1GczOUGaamDiVs5ZbsO4RS_hwqqYXJn2hjBueIovHJQKBZEULuazkaHpMgLCw2-_Fwf843CrxZw7y7w8tHlJTjtd"&amp;"zvh_bWstqqt1rQ3i6GksEe4XYp2JHk=w1200|https://lh3.googleusercontent.com/pw/AP1GczPA7omtdjNB5-WHolxv17ONY3x2IWZCZjNYKCBJnyypHr9v9NKYApfioP-tO4SNBnbvygJU4hWObBiHmYJ_nVRqjzD5WEF9pojjoSwQeotofUuD5RNZ=w1200|https://lh3.googleusercontent.com/pw/AP1GczNC9IcSaOYgA"&amp;"wW9AN1YalYaVTgBmfWmZ2HbdordykSKCGnnlcQGsGiM3je7SGw8hGsOX9cCEokY0F_2e1S2afGQVI6yy1ootgDvrjl6IXK_jAV64WBE=w1200|https://lh3.googleusercontent.com/pw/AP1GczM5-wrCim3M0fhvTF5X-vmipMpyvmD-inHxTOVGB1FuCtgbZpIyYJPbPOSM9XDmcenTPhdSY4ItfDQ-WUBcoaJ2J65U71hTBnlBrV6x"&amp;"7x2Fp_gSFSZ_=w1200")</f>
        <v>https://lh3.googleusercontent.com/pw/AP1GczPH5c7knJLSyJujwufHSnIZ_OKL41gtzT1WicHR6Ui5Q_nRTE-WDl6ta40YojuX1klYio4FaWqOS5XNpgs0Rt0dHCBPh7nNKYZg_owKsfMuu89Lrimr=w1200|https://lh3.googleusercontent.com/pw/AP1GczMxBpXMOQjp0Ars8Jbg_IUZ0jwKkb2_wHmk7-l0NGjpCIiWUoHZYmhzvO2y0YLpdYhhNgoCXvqKibZSa-NO7YaH2amNhyvCcY8HdCwTWLN0882igWq2=w1200|https://lh3.googleusercontent.com/pw/AP1GczO_n8LLk5ATzM-r2uvPhyYq_CCGC81sGJbzulRiu8nLrvqSUd1UeGF6jWrbvo5SPnnFZPzFZKIN85P3k4Sx8IFEeIqYgsgaYSjXWLW0NVydJf7UK5tl=w1200|https://lh3.googleusercontent.com/pw/AP1GczMz7qkL8StY9GTlrhRgxrJhlx8rO7mReugWf7sQkwVaugv7l2QsCisrL1WnqMPghWPN7GxXg50cWRvU-lSzgay0XXnnXPVYhzvEMjvQZjSmzMsiYtdp=w1200|https://lh3.googleusercontent.com/pw/AP1GczNJIjPH_NRzxxz5CUh3NtcjolGDHvY6gbL5K1XCtv6S2ia7wBT8uWvD5nAft7iHKSTYTOdHKQ00XcR4QOdSWKEIFbq4ju6SI-R8bWbMi1AeoisZSAho=w1200|https://lh3.googleusercontent.com/pw/AP1GczPLRU-zqzv_M2DbJaw-Jjb8wtarj4aHNyXBJv9y09KLadyw55aOiDRqY5fT2MR5nZ9DlXqhARbWE6oKUMDBY-VfEwcjtsriVzLDTBUH3YWTeSOFKXvk=w1200|https://lh3.googleusercontent.com/pw/AP1GczOEBBkx-3t9FVCkxdxBB6hf2guyp6q-dMDCDBcjWVWp_BORATV-jc0WYDA33RUea6b48QjRpjYEdhnO6GjY9NT0szJ-nhdKf2jH_YPvAvNvufuUjhdk=w1200|https://lh3.googleusercontent.com/pw/AP1GczOUGaamDiVs5ZbsO4RS_hwqqYXJn2hjBueIovHJQKBZEULuazkaHpMgLCw2-_Fwf843CrxZw7y7w8tHlJTjtdzvh_bWstqqt1rQ3i6GksEe4XYp2JHk=w1200|https://lh3.googleusercontent.com/pw/AP1GczPA7omtdjNB5-WHolxv17ONY3x2IWZCZjNYKCBJnyypHr9v9NKYApfioP-tO4SNBnbvygJU4hWObBiHmYJ_nVRqjzD5WEF9pojjoSwQeotofUuD5RNZ=w1200|https://lh3.googleusercontent.com/pw/AP1GczNC9IcSaOYgAwW9AN1YalYaVTgBmfWmZ2HbdordykSKCGnnlcQGsGiM3je7SGw8hGsOX9cCEokY0F_2e1S2afGQVI6yy1ootgDvrjl6IXK_jAV64WBE=w1200|https://lh3.googleusercontent.com/pw/AP1GczM5-wrCim3M0fhvTF5X-vmipMpyvmD-inHxTOVGB1FuCtgbZpIyYJPbPOSM9XDmcenTPhdSY4ItfDQ-WUBcoaJ2J65U71hTBnlBrV6x7x2Fp_gSFSZ_=w1200</v>
      </c>
      <c r="AJ360" s="46"/>
      <c r="AK360" s="46"/>
      <c r="AL360" s="46"/>
      <c r="AM360" s="46"/>
      <c r="AN360" s="46"/>
      <c r="AO360" s="46"/>
      <c r="AP360" s="46"/>
      <c r="AQ360" s="46"/>
      <c r="AR360" s="46"/>
      <c r="AS360" s="46"/>
      <c r="AT360" s="46"/>
      <c r="AU360" s="46"/>
      <c r="AV360" s="46"/>
      <c r="AW360" s="46"/>
      <c r="AX360" s="46"/>
      <c r="AY360" s="46"/>
      <c r="AZ360" s="46"/>
      <c r="BA360" s="46"/>
      <c r="BB360" s="46"/>
      <c r="BC360" s="46"/>
      <c r="BD360" s="46"/>
      <c r="BE360" s="46"/>
      <c r="BF360" s="46"/>
      <c r="BG360" s="46"/>
      <c r="BH360" s="46"/>
      <c r="BI360" s="46"/>
      <c r="BJ360" s="46"/>
      <c r="BK360" s="46"/>
      <c r="BL360" s="46"/>
      <c r="BM360" s="46"/>
      <c r="BN360" s="46"/>
      <c r="BO360" s="46"/>
      <c r="BP360" s="46"/>
      <c r="BQ360" s="46"/>
      <c r="BR360" s="46"/>
      <c r="BS360" s="46"/>
      <c r="BT360" s="46"/>
      <c r="BU360" s="46"/>
      <c r="BV360" s="46"/>
      <c r="BW360" s="46"/>
      <c r="BX360" s="46"/>
      <c r="BY360" s="46"/>
      <c r="BZ360" s="46"/>
      <c r="CA360" s="46"/>
      <c r="CB360" s="46"/>
      <c r="CC360" s="46"/>
    </row>
    <row r="361">
      <c r="A361" s="87" t="str">
        <f>IFERROR(__xludf.DUMMYFUNCTION("""COMPUTED_VALUE"""),"1260")</f>
        <v>1260</v>
      </c>
      <c r="B361" s="46" t="str">
        <f>IFERROR(__xludf.DUMMYFUNCTION("""COMPUTED_VALUE"""),"Casa en barrio La Orquídea")</f>
        <v>Casa en barrio La Orquídea</v>
      </c>
      <c r="C361" s="46" t="str">
        <f>IFERROR(__xludf.DUMMYFUNCTION("""COMPUTED_VALUE"""),"Casa")</f>
        <v>Casa</v>
      </c>
      <c r="D361" s="46" t="str">
        <f>IFERROR(__xludf.DUMMYFUNCTION("""COMPUTED_VALUE"""),"La Orquídea")</f>
        <v>La Orquídea</v>
      </c>
      <c r="E361" s="90"/>
      <c r="F361" s="90">
        <f>IFERROR(__xludf.DUMMYFUNCTION("""COMPUTED_VALUE"""),4.3E8)</f>
        <v>430000000</v>
      </c>
      <c r="G361" s="46" t="str">
        <f>IFERROR(__xludf.DUMMYFUNCTION("""COMPUTED_VALUE"""),"$400'000.000 a $500'000.000")</f>
        <v>$400'000.000 a $500'000.000</v>
      </c>
      <c r="H361" s="46"/>
      <c r="I361" s="46"/>
      <c r="J361" s="46" t="str">
        <f>IFERROR(__xludf.DUMMYFUNCTION("""COMPUTED_VALUE"""),"Oriente")</f>
        <v>Oriente</v>
      </c>
      <c r="K361" s="87"/>
      <c r="L361" s="46">
        <f>IFERROR(__xludf.DUMMYFUNCTION("""COMPUTED_VALUE"""),3.0)</f>
        <v>3</v>
      </c>
      <c r="M361" s="46"/>
      <c r="N361" s="46">
        <f>IFERROR(__xludf.DUMMYFUNCTION("""COMPUTED_VALUE"""),3.0)</f>
        <v>3</v>
      </c>
      <c r="O361" s="46">
        <f>IFERROR(__xludf.DUMMYFUNCTION("""COMPUTED_VALUE"""),1.0)</f>
        <v>1</v>
      </c>
      <c r="P361" s="46">
        <f>IFERROR(__xludf.DUMMYFUNCTION("""COMPUTED_VALUE"""),2.0)</f>
        <v>2</v>
      </c>
      <c r="Q361" s="92">
        <f>IFERROR(__xludf.DUMMYFUNCTION("""COMPUTED_VALUE"""),204.0)</f>
        <v>204</v>
      </c>
      <c r="R361" s="92">
        <f>IFERROR(__xludf.DUMMYFUNCTION("""COMPUTED_VALUE"""),110.5)</f>
        <v>110.5</v>
      </c>
      <c r="S361" s="87" t="str">
        <f>IFERROR(__xludf.DUMMYFUNCTION("""COMPUTED_VALUE""")," ")</f>
        <v> </v>
      </c>
      <c r="T361" s="46" t="str">
        <f>IFERROR(__xludf.DUMMYFUNCTION("""COMPUTED_VALUE"""),"Neiva")</f>
        <v>Neiva</v>
      </c>
      <c r="U361" s="87" t="str">
        <f>IFERROR(__xludf.DUMMYFUNCTION("""COMPUTED_VALUE"""),"3")</f>
        <v>3</v>
      </c>
      <c r="V361" s="46" t="str">
        <f>IFERROR(__xludf.DUMMYFUNCTION("""COMPUTED_VALUE"""),"Medianera")</f>
        <v>Medianera</v>
      </c>
      <c r="W361" s="46"/>
      <c r="X361" s="46">
        <f>IFERROR(__xludf.DUMMYFUNCTION("""COMPUTED_VALUE"""),3.0)</f>
        <v>3</v>
      </c>
      <c r="Y361" s="46" t="str">
        <f>IFERROR(__xludf.DUMMYFUNCTION("""COMPUTED_VALUE"""),"No tiene")</f>
        <v>No tiene</v>
      </c>
      <c r="Z361" s="90" t="str">
        <f>IFERROR(__xludf.DUMMYFUNCTION("""COMPUTED_VALUE"""),"No aplica")</f>
        <v>No aplica</v>
      </c>
      <c r="AA361" s="33" t="str">
        <f>IFERROR(__xludf.DUMMYFUNCTION("""COMPUTED_VALUE"""),"No aplica")</f>
        <v>No aplica</v>
      </c>
      <c r="AB361" s="144" t="str">
        <f>IFERROR(__xludf.DUMMYFUNCTION("""COMPUTED_VALUE"""),"https://photos.app.goo.gl/MPa4btevbfPaadLr6")</f>
        <v>https://photos.app.goo.gl/MPa4btevbfPaadLr6</v>
      </c>
      <c r="AC361" s="46" t="str">
        <f>IFERROR(__xludf.DUMMYFUNCTION("""COMPUTED_VALUE"""),"Primer piso: antejardín, sala, comedor, cocina, estudio, 1 wc, 2 patios internos y zona de ropas. 2 piso: Hall, tres alcobas, 2 baños.")</f>
        <v>Primer piso: antejardín, sala, comedor, cocina, estudio, 1 wc, 2 patios internos y zona de ropas. 2 piso: Hall, tres alcobas, 2 baños.</v>
      </c>
      <c r="AD361" s="46" t="str">
        <f>IFERROR(__xludf.DUMMYFUNCTION("""COMPUTED_VALUE"""),"Buena ubicación y acabados. ")</f>
        <v>Buena ubicación y acabados. </v>
      </c>
      <c r="AE361" s="46"/>
      <c r="AF361" s="46" t="str">
        <f>IFERROR(__xludf.DUMMYFUNCTION("""COMPUTED_VALUE"""),"integral")</f>
        <v>integral</v>
      </c>
      <c r="AG361" s="46"/>
      <c r="AH361" s="46" t="str">
        <f>IFERROR(__xludf.DUMMYFUNCTION("""COMPUTED_VALUE"""),"Aliado")</f>
        <v>Aliado</v>
      </c>
      <c r="AI361" s="92" t="str">
        <f>IFERROR(__xludf.DUMMYFUNCTION("""COMPUTED_VALUE"""),"https://lh3.googleusercontent.com/pw/AP1GczPV88jAZUDShNH7QtkVVEi2yw1dfNkVYKCE7P_xOzTYOyZGfxAx8pTbkpVoKRZbXwa62aPEQN2c6M_0rulMbGi5J8_EyIOGZJ9D0tq_OJy0NT9JzaB5=w1200|https://lh3.googleusercontent.com/pw/AP1GczNqa5l44NGVzWD9oh__KeM7fBmP-_IuWBtWGgI2YIZ4TNnNrQ"&amp;"eHYegDk6--1J0XZggZlCO59W2Uu1DeUG9BYBhtkKNJuuw4FggdVuzVdlTGvfxjr2hi=w1200|https://lh3.googleusercontent.com/pw/AP1GczNBRN6XCN8XMstE-cWcJXDg8rgYCjNYKSBb-F7Q4cIoswMcrjCKvwB8N6s1Gsnf3VVaXD2nRUkJAKivaXI5Mn_ngTZleAynfNxAJKC7CgXZoK9OfKuw=w1200|https://lh3.google"&amp;"usercontent.com/pw/AP1GczNqI61v4jBRVCT4oXsgWmzqMowpWRpPeH_gAJtmYZWItBgfVqETqlzfPJ5KG-0CkRQpy1wRCg4qSsqXHyT59HiNhQzlY62FJLxn8MXDIqZpRPV5Kni6=w1200|https://lh3.googleusercontent.com/pw/AP1GczPamq52KTKFGeCJqxirWxQTkZj17tADEe1kLrK-QsSy9MJu8ou9z2l1fhPwCMfiGK_K"&amp;"nxNakjOgjuNRTx8Su5jxyA_TF9z7Y8aZeio3nosnZP9jUe_r=w1200|https://lh3.googleusercontent.com/pw/AP1GczOcw5Ud-Kprt9Tem2wKAmQvaG85IgotDu_NGTjeBG2hs_H8gEmlVpvOVmQ3vTZXDsAQl6eN9daTY1dP11edfEqvHzUOXLLdWNH6IDwcYk2t2Q_9KiWu=w1200|https://lh3.googleusercontent.com/pw"&amp;"/AP1GczN50q3hhBj6S38zsQvtbZKd2uMa1T_warANZEs_L_Qd9rFUahthOzSPK4SKtLsqnOkDcO9yESyzYadkDEcru9Nh7uoCqqCbwSmztE9MvzFVgiDab_iN=w1200|https://lh3.googleusercontent.com/pw/AP1GczNDIfJkI9BfhkJfm1x_QIWK1mjY2z7HykCJjd-h65v_fFl98ah29hLHjIIhMOXO0GkZMZMzr_979WFn5QJURo"&amp;"dhl3GELlVjV_HSlZwv2OCbCiHvQNp7=w1200|https://lh3.googleusercontent.com/pw/AP1GczNDjVM66dNYOIsIoamiAd4nTtpFPa_GSujBG_ey74P1lqwf2vTrzZQP7v-X9OA7vM53-FKCZKzNhPMsEw2_c4ANI6jHdMOJYjkoi5lQiw19LYpF_Ahj=w1200|https://lh3.googleusercontent.com/pw/AP1GczOczVTt4XS7s"&amp;"ro4CpWzdYw-LJvDEav42BDUn0r7KoX6mMosbvBiFXTTorrmfYh2r65MYE7MjHm8OcfU3HIBzIl-6NyhPRQ3inFBKmbWxlZ-VKZbPzeN=w1200|https://lh3.googleusercontent.com/pw/AP1GczNfUngzRpLOgBEu6OfDAeG4-1-cqg0CFWK-XjxdOeAGefymiJ2UBHrydrmz7i6Od6HL6S2wWiUqlrtnaMhl9JJDLP1WEf4ItrntUnOt"&amp;"JUHoJcltU58S=w1200|https://lh3.googleusercontent.com/pw/AP1GczOblRx2POuRjXwg2MHhYViVd3mcDouat6LoKuD7pVbEZguwt9zVzj2v1yQxvQx5KNd65qrEIw3qXt_16rSV1e8qI5dEA7kqy56Fxvb4GZLjoD2xVqqz=w1200|https://lh3.googleusercontent.com/pw/AP1GczPZPilwFTymwOv5xJ9VBnnmu4-KXhP"&amp;"2l0IqfKPHinPsSmN8Wr3TiO5RFAt4sxEApz2uRCkSav9TfdhcITSxqqtwd7Y9IQQ978xWuKp-KWCLjc_jMkYw=w1200")</f>
        <v>https://lh3.googleusercontent.com/pw/AP1GczPV88jAZUDShNH7QtkVVEi2yw1dfNkVYKCE7P_xOzTYOyZGfxAx8pTbkpVoKRZbXwa62aPEQN2c6M_0rulMbGi5J8_EyIOGZJ9D0tq_OJy0NT9JzaB5=w1200|https://lh3.googleusercontent.com/pw/AP1GczNqa5l44NGVzWD9oh__KeM7fBmP-_IuWBtWGgI2YIZ4TNnNrQeHYegDk6--1J0XZggZlCO59W2Uu1DeUG9BYBhtkKNJuuw4FggdVuzVdlTGvfxjr2hi=w1200|https://lh3.googleusercontent.com/pw/AP1GczNBRN6XCN8XMstE-cWcJXDg8rgYCjNYKSBb-F7Q4cIoswMcrjCKvwB8N6s1Gsnf3VVaXD2nRUkJAKivaXI5Mn_ngTZleAynfNxAJKC7CgXZoK9OfKuw=w1200|https://lh3.googleusercontent.com/pw/AP1GczNqI61v4jBRVCT4oXsgWmzqMowpWRpPeH_gAJtmYZWItBgfVqETqlzfPJ5KG-0CkRQpy1wRCg4qSsqXHyT59HiNhQzlY62FJLxn8MXDIqZpRPV5Kni6=w1200|https://lh3.googleusercontent.com/pw/AP1GczPamq52KTKFGeCJqxirWxQTkZj17tADEe1kLrK-QsSy9MJu8ou9z2l1fhPwCMfiGK_KnxNakjOgjuNRTx8Su5jxyA_TF9z7Y8aZeio3nosnZP9jUe_r=w1200|https://lh3.googleusercontent.com/pw/AP1GczOcw5Ud-Kprt9Tem2wKAmQvaG85IgotDu_NGTjeBG2hs_H8gEmlVpvOVmQ3vTZXDsAQl6eN9daTY1dP11edfEqvHzUOXLLdWNH6IDwcYk2t2Q_9KiWu=w1200|https://lh3.googleusercontent.com/pw/AP1GczN50q3hhBj6S38zsQvtbZKd2uMa1T_warANZEs_L_Qd9rFUahthOzSPK4SKtLsqnOkDcO9yESyzYadkDEcru9Nh7uoCqqCbwSmztE9MvzFVgiDab_iN=w1200|https://lh3.googleusercontent.com/pw/AP1GczNDIfJkI9BfhkJfm1x_QIWK1mjY2z7HykCJjd-h65v_fFl98ah29hLHjIIhMOXO0GkZMZMzr_979WFn5QJURodhl3GELlVjV_HSlZwv2OCbCiHvQNp7=w1200|https://lh3.googleusercontent.com/pw/AP1GczNDjVM66dNYOIsIoamiAd4nTtpFPa_GSujBG_ey74P1lqwf2vTrzZQP7v-X9OA7vM53-FKCZKzNhPMsEw2_c4ANI6jHdMOJYjkoi5lQiw19LYpF_Ahj=w1200|https://lh3.googleusercontent.com/pw/AP1GczOczVTt4XS7sro4CpWzdYw-LJvDEav42BDUn0r7KoX6mMosbvBiFXTTorrmfYh2r65MYE7MjHm8OcfU3HIBzIl-6NyhPRQ3inFBKmbWxlZ-VKZbPzeN=w1200|https://lh3.googleusercontent.com/pw/AP1GczNfUngzRpLOgBEu6OfDAeG4-1-cqg0CFWK-XjxdOeAGefymiJ2UBHrydrmz7i6Od6HL6S2wWiUqlrtnaMhl9JJDLP1WEf4ItrntUnOtJUHoJcltU58S=w1200|https://lh3.googleusercontent.com/pw/AP1GczOblRx2POuRjXwg2MHhYViVd3mcDouat6LoKuD7pVbEZguwt9zVzj2v1yQxvQx5KNd65qrEIw3qXt_16rSV1e8qI5dEA7kqy56Fxvb4GZLjoD2xVqqz=w1200|https://lh3.googleusercontent.com/pw/AP1GczPZPilwFTymwOv5xJ9VBnnmu4-KXhP2l0IqfKPHinPsSmN8Wr3TiO5RFAt4sxEApz2uRCkSav9TfdhcITSxqqtwd7Y9IQQ978xWuKp-KWCLjc_jMkYw=w1200</v>
      </c>
      <c r="AJ361" s="46"/>
      <c r="AK361" s="46"/>
      <c r="AL361" s="46"/>
      <c r="AM361" s="46"/>
      <c r="AN361" s="46"/>
      <c r="AO361" s="46"/>
      <c r="AP361" s="46"/>
      <c r="AQ361" s="46"/>
      <c r="AR361" s="46"/>
      <c r="AS361" s="46"/>
      <c r="AT361" s="46"/>
      <c r="AU361" s="46"/>
      <c r="AV361" s="46"/>
      <c r="AW361" s="46"/>
      <c r="AX361" s="46"/>
      <c r="AY361" s="46"/>
      <c r="AZ361" s="46"/>
      <c r="BA361" s="46"/>
      <c r="BB361" s="46"/>
      <c r="BC361" s="46"/>
      <c r="BD361" s="46"/>
      <c r="BE361" s="46"/>
      <c r="BF361" s="46"/>
      <c r="BG361" s="46"/>
      <c r="BH361" s="46"/>
      <c r="BI361" s="46"/>
      <c r="BJ361" s="46"/>
      <c r="BK361" s="46"/>
      <c r="BL361" s="46"/>
      <c r="BM361" s="46"/>
      <c r="BN361" s="46"/>
      <c r="BO361" s="46"/>
      <c r="BP361" s="46"/>
      <c r="BQ361" s="46"/>
      <c r="BR361" s="46"/>
      <c r="BS361" s="46"/>
      <c r="BT361" s="46"/>
      <c r="BU361" s="46"/>
      <c r="BV361" s="46"/>
      <c r="BW361" s="46"/>
      <c r="BX361" s="46"/>
      <c r="BY361" s="46"/>
      <c r="BZ361" s="46"/>
      <c r="CA361" s="46"/>
      <c r="CB361" s="46"/>
      <c r="CC361" s="46"/>
    </row>
    <row r="362">
      <c r="A362" s="87" t="str">
        <f>IFERROR(__xludf.DUMMYFUNCTION("""COMPUTED_VALUE"""),"205")</f>
        <v>205</v>
      </c>
      <c r="B362" s="46" t="str">
        <f>IFERROR(__xludf.DUMMYFUNCTION("""COMPUTED_VALUE"""),"Apartamento en edificio Aranjuez")</f>
        <v>Apartamento en edificio Aranjuez</v>
      </c>
      <c r="C362" s="46" t="str">
        <f>IFERROR(__xludf.DUMMYFUNCTION("""COMPUTED_VALUE"""),"Apartamento")</f>
        <v>Apartamento</v>
      </c>
      <c r="D362" s="46" t="str">
        <f>IFERROR(__xludf.DUMMYFUNCTION("""COMPUTED_VALUE"""),"Centro")</f>
        <v>Centro</v>
      </c>
      <c r="E362" s="90" t="str">
        <f>IFERROR(__xludf.DUMMYFUNCTION("""COMPUTED_VALUE"""),"Edificio Aranjuez")</f>
        <v>Edificio Aranjuez</v>
      </c>
      <c r="F362" s="90">
        <f>IFERROR(__xludf.DUMMYFUNCTION("""COMPUTED_VALUE"""),4.2E8)</f>
        <v>420000000</v>
      </c>
      <c r="G362" s="46" t="str">
        <f>IFERROR(__xludf.DUMMYFUNCTION("""COMPUTED_VALUE"""),"$400'000.000 a $500'000.000")</f>
        <v>$400'000.000 a $500'000.000</v>
      </c>
      <c r="H362" s="46"/>
      <c r="I362" s="46"/>
      <c r="J362" s="46" t="str">
        <f>IFERROR(__xludf.DUMMYFUNCTION("""COMPUTED_VALUE"""),"Centro")</f>
        <v>Centro</v>
      </c>
      <c r="K362" s="87"/>
      <c r="L362" s="46">
        <f>IFERROR(__xludf.DUMMYFUNCTION("""COMPUTED_VALUE"""),3.0)</f>
        <v>3</v>
      </c>
      <c r="M362" s="46"/>
      <c r="N362" s="46">
        <f>IFERROR(__xludf.DUMMYFUNCTION("""COMPUTED_VALUE"""),2.0)</f>
        <v>2</v>
      </c>
      <c r="O362" s="46">
        <f>IFERROR(__xludf.DUMMYFUNCTION("""COMPUTED_VALUE"""),1.0)</f>
        <v>1</v>
      </c>
      <c r="P362" s="46">
        <f>IFERROR(__xludf.DUMMYFUNCTION("""COMPUTED_VALUE"""),2.0)</f>
        <v>2</v>
      </c>
      <c r="Q362" s="92">
        <f>IFERROR(__xludf.DUMMYFUNCTION("""COMPUTED_VALUE"""),160.0)</f>
        <v>160</v>
      </c>
      <c r="R362" s="92">
        <f>IFERROR(__xludf.DUMMYFUNCTION("""COMPUTED_VALUE"""),160.0)</f>
        <v>160</v>
      </c>
      <c r="S362" s="87" t="str">
        <f>IFERROR(__xludf.DUMMYFUNCTION("""COMPUTED_VALUE""")," ")</f>
        <v> </v>
      </c>
      <c r="T362" s="46" t="str">
        <f>IFERROR(__xludf.DUMMYFUNCTION("""COMPUTED_VALUE"""),"Neiva")</f>
        <v>Neiva</v>
      </c>
      <c r="U362" s="87" t="str">
        <f>IFERROR(__xludf.DUMMYFUNCTION("""COMPUTED_VALUE"""),"4")</f>
        <v>4</v>
      </c>
      <c r="V362" s="46" t="str">
        <f>IFERROR(__xludf.DUMMYFUNCTION("""COMPUTED_VALUE"""),"2do.")</f>
        <v>2do.</v>
      </c>
      <c r="W362" s="46"/>
      <c r="X362" s="46">
        <f>IFERROR(__xludf.DUMMYFUNCTION("""COMPUTED_VALUE"""),3.0)</f>
        <v>3</v>
      </c>
      <c r="Y362" s="46" t="str">
        <f>IFERROR(__xludf.DUMMYFUNCTION("""COMPUTED_VALUE"""),"Social")</f>
        <v>Social</v>
      </c>
      <c r="Z362" s="90">
        <f>IFERROR(__xludf.DUMMYFUNCTION("""COMPUTED_VALUE"""),450000.0)</f>
        <v>450000</v>
      </c>
      <c r="AA362" s="33" t="str">
        <f>IFERROR(__xludf.DUMMYFUNCTION("""COMPUTED_VALUE"""),"No aplica")</f>
        <v>No aplica</v>
      </c>
      <c r="AB362" s="144" t="str">
        <f>IFERROR(__xludf.DUMMYFUNCTION("""COMPUTED_VALUE"""),"https://photos.app.goo.gl/PJiDDxt3uRVzmRit9")</f>
        <v>https://photos.app.goo.gl/PJiDDxt3uRVzmRit9</v>
      </c>
      <c r="AC362" s="46" t="str">
        <f>IFERROR(__xludf.DUMMYFUNCTION("""COMPUTED_VALUE"""),"Apartamento con buenos acabados, piso en porcelanato, cielo raso en DriWall, carpintería marcos, puertas, closet y muebles empotrados en madera. Vidrio templado, hierro forjado y molduras en yeso.")</f>
        <v>Apartamento con buenos acabados, piso en porcelanato, cielo raso en DriWall, carpintería marcos, puertas, closet y muebles empotrados en madera. Vidrio templado, hierro forjado y molduras en yeso.</v>
      </c>
      <c r="AD362" s="46" t="str">
        <f>IFERROR(__xludf.DUMMYFUNCTION("""COMPUTED_VALUE"""),"Apartamento, bien ubicado sobre la Avenida la toma, cerca del Sena, supermercados Olímpica y Popular; clínicas medilaser y Uros, carrera 7. Escritura al día.")</f>
        <v>Apartamento, bien ubicado sobre la Avenida la toma, cerca del Sena, supermercados Olímpica y Popular; clínicas medilaser y Uros, carrera 7. Escritura al día.</v>
      </c>
      <c r="AE362" s="46"/>
      <c r="AF362" s="46" t="str">
        <f>IFERROR(__xludf.DUMMYFUNCTION("""COMPUTED_VALUE"""),"integral")</f>
        <v>integral</v>
      </c>
      <c r="AG362" s="46"/>
      <c r="AH362" s="46" t="str">
        <f>IFERROR(__xludf.DUMMYFUNCTION("""COMPUTED_VALUE"""),"Aliado")</f>
        <v>Aliado</v>
      </c>
      <c r="AI362" s="92" t="str">
        <f>IFERROR(__xludf.DUMMYFUNCTION("""COMPUTED_VALUE"""),"https://lh3.googleusercontent.com/pw/AP1GczNa4VVqjSG5arCPbsnx_dPiHOxMPesVufmK8RT2G5Q2ftYnkyjrdNM-Ny3wOpHB84hKT_NCyP-zpFJE85d1WGYnLe620UyL7JxhAEZv5Gq0YtVB9x9Y=w1200|https://lh3.googleusercontent.com/pw/AP1GczMrvGzKgvxyDPEvMgaolezKvOALdcSV_VzlcGb0c9qqBsc3L4"&amp;"PQWDL0PJDMtFH8-rdldwc5lEur-wayP7K4CmrcZpPbTy3oNGqhU0etw5p9CRAoHM7X=w1200|https://lh3.googleusercontent.com/pw/AP1GczPZOXT-ojHZjfpDHU8JxazAP5flA_g5fsUEKhYIJe5NScA7Dp-_LDDpnPZrSetRQC35npp0WVA_phfwnEzaa2YcptE96-jihtaGUaestIWaM8pwqm7Z=w1200|https://lh3.google"&amp;"usercontent.com/pw/AP1GczMZcvAiLSZ_VRD44Fso3O5hioC5a7BulZgVJaawIMGyQKb53XWuWQpVvbSTFh8RHQKE12sJZisy7M6gXMxrg3jJh2PLZgSx_P2k8sJ7qgUU4KL_ov3o=w1200|https://lh3.googleusercontent.com/pw/AP1GczOfyTN8WaT9kQuGU8qP4hRd4cMH1RmVvYCFXd47AGvf3yHEud7rECO9fi0r0LnJvSIu"&amp;"8NBmMEYCQo0pAoLo3rj_BDjTgm71j6QUhwRzxBShvRe8AhRy=w1200|https://lh3.googleusercontent.com/pw/AP1GczNsbpcRGAlsbenUpgMO1uJyYVmQnJk4XQO_yGAczQZRxFtUtV3AgjhsfckptqYORo3boqE3C58TO87XcLmFeJkHe1ubPZ--HSxtbKJ-FvyNRiQDcnyZ=w1200|https://lh3.googleusercontent.com/pw"&amp;"/AP1GczPRa524UX-_m74XA9Sd4VK3QnTb4BHesaS2-KMJu6YfkQd1F-ZCCcW5UM9GidRaRBZ3PQmRIFdSq0XeCtLAHd0Z5jkMIua1z3czdx-bgXKZEmJ9eBtz=w1200|https://lh3.googleusercontent.com/pw/AP1GczMawAUziTDudGXC7jbcXuO8Rgroy-zlTZ398d65xz3Dvw8RtY-FhmF0M7kfskBTK6ktZucwc4gNaamt1QHbFt"&amp;"rU3RccqNi5n5cWvkanRzRWxVJy-_T9=w1200|https://lh3.googleusercontent.com/pw/AP1GczOmvYJ9z_u82EK0trvRal5TFgNYU4rQlHlIL4YVFvpvqHROag4Y9CFFpZyN9TsDdPDf0X8URX1r6lxLTdHF5az3ZTz6zIS5MWqL_Wi53tW4ftcvUTC9=w1200|https://lh3.googleusercontent.com/pw/AP1GczMiIVO_OGA8t"&amp;"cgqLV_C80sZzRJ6vaSYpoWL6IscxEByBvHxSagn5zQRwbMaC1gpyu2ZeJjt0QT0O0IGAzMdnZqVQN2ifKei3PuhmOgihPZ3omf_0VFG=w1200|https://lh3.googleusercontent.com/pw/AP1GczO7kJi5NO0C_wpa5VxDwqrRI0rLH6EZP4rwCG94iB3_at3VXyMlJmYopA_uZRRsgsHIGGQpSvumLHsGKkcGU00SzqB4Kmda4VlDPdzU"&amp;"JFW5iIQM5C_N=w1200|https://lh3.googleusercontent.com/pw/AP1GczPjpvoqJr2TfDIiPq13BOZHh3N-Ea-jGHMzTQeqV6tRk1DRf1V4s2QQ387GyWEtJbCuHTCS7saOO1GLVQnZflCgQtW0XWpSoFEdsnNfeMjbNi8MnjaL=w1200|https://lh3.googleusercontent.com/pw/AP1GczNUebs7qOB1-Uf80LoYo678DRJYxxy"&amp;"9S89ut0Prx2-9BeraXOpX-xHIyWu4ruWkfH9sVD7caT7-MUHDsWlHgPh4p7Bx759k2g20BQezNKrmqunJ01RK=w1200|https://lh3.googleusercontent.com/pw/AP1GczMIHZdZILJ-CIvGRytMDyZGXCCvxemgpQWq8u00an84zr0uRU0x--paqoyvpU-06nZbyldyJIdahyXxA0gFZql4oRWHESEweP6KoZfdTPEuRaVIQd_I=w1200"&amp;"|https://lh3.googleusercontent.com/pw/AP1GczPUbRssDa5p5Cx5CFX9eFQzTheeL2CNjYer5gvH6f5shx9PVf6DvauIp2R6bQktvzWCG_yOVU07OMXtFhO9Pi859Mis7ERkf9C2pjHf5he9Gm-ER9J7=w1200|https://lh3.googleusercontent.com/pw/AP1GczMiNwoz7AQJ0M-vU6MQk6x4bKkyBy0KlhflMgfxNgxGkuuUC"&amp;"Q811srXwo3-kqmI5OenKMTpbcDZzbEb81a13EdNbgdYN_T--1sJlVD5gXL0W73Y9fYo=w1200|https://lh3.googleusercontent.com/pw/AP1GczMrHxPRMJnaABfy3cPE5PXAimD5HxK6XMYPpHgofgBRqoXGyI45VHByMjEx7odGn8gsF7ckg-bogiKo2yzgSQR6QhFoJ1L34eC72bnpmWbIEiAdSMbJ=w1200|https://lh3.googl"&amp;"eusercontent.com/pw/AP1GczOlw42zs34_wIDJ8rb26d2jySKFGke58ezc4EPXX5rzpBWGX3U4ypkh3oc176KPuqajz5oTDEwvrZZ0MagA3VBvPm4a8m4ElY8Y_h7iRYLMSkpQ3eOJ=w1200|https://lh3.googleusercontent.com/pw/AP1GczOMa58RxaMRJzGPZu7Owssvk-G_yf7e35iV2DyzPBxcrfh7Pv9JWEKXzvxpCVmSGG8"&amp;"pc6En4MwDZ0G-5ydZ2CONb19wWo5bt2lspeMxy2JpPJkgs7KX=w1200|https://lh3.googleusercontent.com/pw/AP1GczP0mZBo3ANt3hgDJ-OeW_DnZCaLhd9Jy169-FqCZ3KmwoH9QIMxqE3f_QUcBWNgMn1LEhayaRp8PpPZwFe8g34zs0L2wDGUj733Ou3rJXF5jZ2mvukS=w1200|https://lh3.googleusercontent.com/p"&amp;"w/AP1GczPATPytUQtqgy3-EkzDTVkWym5uB-U5XGJHelIgRTywlnVB4lr_YiMQWaruVW5gRw8UfBlyHRDLsg56sMWu47zum99WCX-kk0hFM343rwC9JKa30qBX=w1200|https://lh3.googleusercontent.com/pw/AP1GczP5DPYTDB0BDNNrn5VxO7pak4hS_CDllalv9yyPsOGCRaKjOt-rnSXw1ltDWfAqYgoxgUngwiyveWjgt_aMs"&amp;"iOjHXj5mAKCOse9JIOUJXHXOmmsdw-l=w1200|https://lh3.googleusercontent.com/pw/AP1GczN5n279-3Tq5HzI3wqivNBHyhETTA7NsL41cKFBeezBlfuvRsPK6HPwA12B2kAvppoby-K65QaIctthp2aggYLKETkcywbHsmu81Idy341UEXRwmu2L=w1200|https://lh3.googleusercontent.com/pw/AP1GczO27tFn-m3n"&amp;"hLjKSlSFTq92jcCb6ynVm3hVKJrvIsP9fOxloW6JjSJEMot43Uxj3tp3ySLYorwKIUBcfvsYaCUHgYGe--MDxvyecelOeT-eCvI37Y40=w1200|https://lh3.googleusercontent.com/pw/AP1GczNNex9hu5ESh-OTEAed3tdDM4uVclH8_6QGreb0CXNg69PuERVGyKmi2XL-oqLx6J9T6C9rXF4pXjWrNOmYicHe8gtLCJIyQkdtTKg"&amp;"Zzc_f3QzvS2Og=w1200|https://lh3.googleusercontent.com/pw/AP1GczPhAueR9UCZvUiX0Tv4WHUpHcMGD_8s6HPjf5pjE--Ka_Za7egVpNCl-ij4miesQMHnEpTErtG4ZIF6OUD52ss9neeptijkm77b7eRo3S5DUJGiTNTy=w1200|https://lh3.googleusercontent.com/pw/AP1GczOT7pVyCDp1kNGgH-5RE6UU5T4bAI"&amp;"Q_b5T-ORU-j5hatTp_kskC260MbMuh-hEt1jfk9ZgaK9NoeRq6TWhEZPFt2_0WMAze06vbQZ_HfJJ1p1Lo9LqA=w1200|https://lh3.googleusercontent.com/pw/AP1GczOSl6uOU1XpDaayRWwfiL-qB_z67JBo7chA98dMRHBscf3mcIRLKJOFUq-045UxyDC35wtKne9qOEKBHwraKYEj8syV2mC86BnPp-Q9GivtRny9E3MF=w120"&amp;"0|https://lh3.googleusercontent.com/pw/AP1GczNsWEWBxbeVhWFIDI_8IfShxc_KlfFD77Pgq-Kbbb9LHMf7zD7ISTAHXjmjJ-uvsv724TPONggGhstuYg4g5F0QzL3GKRqoRqwFjX9HQJwb_6Z6AHaf=w1200|https://lh3.googleusercontent.com/pw/AP1GczOU7T2hHDQATHFgbVt9fEjOUP2vjUSk1VZW1TXcBLzGo0od"&amp;"fACzayT1NK3rzUL_jaJKLp-500dzQjtS8NnoK-Kf_nTJ7Qr5tfGQykoMrejq2i6xs40n=w1200|https://lh3.googleusercontent.com/pw/AP1GczP4YZWkFjZ3PSw-MUpxw3ET02pJx_l1fF7rlKc47xxXSjNcKi622e8LLBn2zGSw3S-WhlAPAaEoJh8qOrUv-4EG92qTBjZSDgAihx7cpNfvYF0zaZHd=w1200|https://lh3.goog"&amp;"leusercontent.com/pw/AP1GczMR0qy086shUeE-ccVG8YFGxQzmwO8lm3b29zzMb9F-lt1Utu64slp2FKkmbVdgGyLWv_smt9tkMGvfGyaK-oKsnAfPh3equPC-s4F0njnDfw8PPk9z=w1200|https://lh3.googleusercontent.com/pw/AP1GczPMrP1ZXKLzXQ1VIw-8SPpHaX62SAUrEh3OJW8YusyBPGVPDDdlal_E_UnfyNb02L"&amp;"9Z7jIZvxOLnBXB-KWr-dfzHlV-HGeyThR1iqTJ5yqZ3d5pNyvA=w1200|https://lh3.googleusercontent.com/pw/AP1GczOOPXk7aN8bJcGffctdmejwkapzAshQ871pfU35nSVro2hGgJirJChqq1EPgV9eDddmsNI0PTWUGZ5bHdvL35j13dJDKXQwbRm_8ACfFHISMupi1mNe=w1200")</f>
        <v>https://lh3.googleusercontent.com/pw/AP1GczNa4VVqjSG5arCPbsnx_dPiHOxMPesVufmK8RT2G5Q2ftYnkyjrdNM-Ny3wOpHB84hKT_NCyP-zpFJE85d1WGYnLe620UyL7JxhAEZv5Gq0YtVB9x9Y=w1200|https://lh3.googleusercontent.com/pw/AP1GczMrvGzKgvxyDPEvMgaolezKvOALdcSV_VzlcGb0c9qqBsc3L4PQWDL0PJDMtFH8-rdldwc5lEur-wayP7K4CmrcZpPbTy3oNGqhU0etw5p9CRAoHM7X=w1200|https://lh3.googleusercontent.com/pw/AP1GczPZOXT-ojHZjfpDHU8JxazAP5flA_g5fsUEKhYIJe5NScA7Dp-_LDDpnPZrSetRQC35npp0WVA_phfwnEzaa2YcptE96-jihtaGUaestIWaM8pwqm7Z=w1200|https://lh3.googleusercontent.com/pw/AP1GczMZcvAiLSZ_VRD44Fso3O5hioC5a7BulZgVJaawIMGyQKb53XWuWQpVvbSTFh8RHQKE12sJZisy7M6gXMxrg3jJh2PLZgSx_P2k8sJ7qgUU4KL_ov3o=w1200|https://lh3.googleusercontent.com/pw/AP1GczOfyTN8WaT9kQuGU8qP4hRd4cMH1RmVvYCFXd47AGvf3yHEud7rECO9fi0r0LnJvSIu8NBmMEYCQo0pAoLo3rj_BDjTgm71j6QUhwRzxBShvRe8AhRy=w1200|https://lh3.googleusercontent.com/pw/AP1GczNsbpcRGAlsbenUpgMO1uJyYVmQnJk4XQO_yGAczQZRxFtUtV3AgjhsfckptqYORo3boqE3C58TO87XcLmFeJkHe1ubPZ--HSxtbKJ-FvyNRiQDcnyZ=w1200|https://lh3.googleusercontent.com/pw/AP1GczPRa524UX-_m74XA9Sd4VK3QnTb4BHesaS2-KMJu6YfkQd1F-ZCCcW5UM9GidRaRBZ3PQmRIFdSq0XeCtLAHd0Z5jkMIua1z3czdx-bgXKZEmJ9eBtz=w1200|https://lh3.googleusercontent.com/pw/AP1GczMawAUziTDudGXC7jbcXuO8Rgroy-zlTZ398d65xz3Dvw8RtY-FhmF0M7kfskBTK6ktZucwc4gNaamt1QHbFtrU3RccqNi5n5cWvkanRzRWxVJy-_T9=w1200|https://lh3.googleusercontent.com/pw/AP1GczOmvYJ9z_u82EK0trvRal5TFgNYU4rQlHlIL4YVFvpvqHROag4Y9CFFpZyN9TsDdPDf0X8URX1r6lxLTdHF5az3ZTz6zIS5MWqL_Wi53tW4ftcvUTC9=w1200|https://lh3.googleusercontent.com/pw/AP1GczMiIVO_OGA8tcgqLV_C80sZzRJ6vaSYpoWL6IscxEByBvHxSagn5zQRwbMaC1gpyu2ZeJjt0QT0O0IGAzMdnZqVQN2ifKei3PuhmOgihPZ3omf_0VFG=w1200|https://lh3.googleusercontent.com/pw/AP1GczO7kJi5NO0C_wpa5VxDwqrRI0rLH6EZP4rwCG94iB3_at3VXyMlJmYopA_uZRRsgsHIGGQpSvumLHsGKkcGU00SzqB4Kmda4VlDPdzUJFW5iIQM5C_N=w1200|https://lh3.googleusercontent.com/pw/AP1GczPjpvoqJr2TfDIiPq13BOZHh3N-Ea-jGHMzTQeqV6tRk1DRf1V4s2QQ387GyWEtJbCuHTCS7saOO1GLVQnZflCgQtW0XWpSoFEdsnNfeMjbNi8MnjaL=w1200|https://lh3.googleusercontent.com/pw/AP1GczNUebs7qOB1-Uf80LoYo678DRJYxxy9S89ut0Prx2-9BeraXOpX-xHIyWu4ruWkfH9sVD7caT7-MUHDsWlHgPh4p7Bx759k2g20BQezNKrmqunJ01RK=w1200|https://lh3.googleusercontent.com/pw/AP1GczMIHZdZILJ-CIvGRytMDyZGXCCvxemgpQWq8u00an84zr0uRU0x--paqoyvpU-06nZbyldyJIdahyXxA0gFZql4oRWHESEweP6KoZfdTPEuRaVIQd_I=w1200|https://lh3.googleusercontent.com/pw/AP1GczPUbRssDa5p5Cx5CFX9eFQzTheeL2CNjYer5gvH6f5shx9PVf6DvauIp2R6bQktvzWCG_yOVU07OMXtFhO9Pi859Mis7ERkf9C2pjHf5he9Gm-ER9J7=w1200|https://lh3.googleusercontent.com/pw/AP1GczMiNwoz7AQJ0M-vU6MQk6x4bKkyBy0KlhflMgfxNgxGkuuUCQ811srXwo3-kqmI5OenKMTpbcDZzbEb81a13EdNbgdYN_T--1sJlVD5gXL0W73Y9fYo=w1200|https://lh3.googleusercontent.com/pw/AP1GczMrHxPRMJnaABfy3cPE5PXAimD5HxK6XMYPpHgofgBRqoXGyI45VHByMjEx7odGn8gsF7ckg-bogiKo2yzgSQR6QhFoJ1L34eC72bnpmWbIEiAdSMbJ=w1200|https://lh3.googleusercontent.com/pw/AP1GczOlw42zs34_wIDJ8rb26d2jySKFGke58ezc4EPXX5rzpBWGX3U4ypkh3oc176KPuqajz5oTDEwvrZZ0MagA3VBvPm4a8m4ElY8Y_h7iRYLMSkpQ3eOJ=w1200|https://lh3.googleusercontent.com/pw/AP1GczOMa58RxaMRJzGPZu7Owssvk-G_yf7e35iV2DyzPBxcrfh7Pv9JWEKXzvxpCVmSGG8pc6En4MwDZ0G-5ydZ2CONb19wWo5bt2lspeMxy2JpPJkgs7KX=w1200|https://lh3.googleusercontent.com/pw/AP1GczP0mZBo3ANt3hgDJ-OeW_DnZCaLhd9Jy169-FqCZ3KmwoH9QIMxqE3f_QUcBWNgMn1LEhayaRp8PpPZwFe8g34zs0L2wDGUj733Ou3rJXF5jZ2mvukS=w1200|https://lh3.googleusercontent.com/pw/AP1GczPATPytUQtqgy3-EkzDTVkWym5uB-U5XGJHelIgRTywlnVB4lr_YiMQWaruVW5gRw8UfBlyHRDLsg56sMWu47zum99WCX-kk0hFM343rwC9JKa30qBX=w1200|https://lh3.googleusercontent.com/pw/AP1GczP5DPYTDB0BDNNrn5VxO7pak4hS_CDllalv9yyPsOGCRaKjOt-rnSXw1ltDWfAqYgoxgUngwiyveWjgt_aMsiOjHXj5mAKCOse9JIOUJXHXOmmsdw-l=w1200|https://lh3.googleusercontent.com/pw/AP1GczN5n279-3Tq5HzI3wqivNBHyhETTA7NsL41cKFBeezBlfuvRsPK6HPwA12B2kAvppoby-K65QaIctthp2aggYLKETkcywbHsmu81Idy341UEXRwmu2L=w1200|https://lh3.googleusercontent.com/pw/AP1GczO27tFn-m3nhLjKSlSFTq92jcCb6ynVm3hVKJrvIsP9fOxloW6JjSJEMot43Uxj3tp3ySLYorwKIUBcfvsYaCUHgYGe--MDxvyecelOeT-eCvI37Y40=w1200|https://lh3.googleusercontent.com/pw/AP1GczNNex9hu5ESh-OTEAed3tdDM4uVclH8_6QGreb0CXNg69PuERVGyKmi2XL-oqLx6J9T6C9rXF4pXjWrNOmYicHe8gtLCJIyQkdtTKgZzc_f3QzvS2Og=w1200|https://lh3.googleusercontent.com/pw/AP1GczPhAueR9UCZvUiX0Tv4WHUpHcMGD_8s6HPjf5pjE--Ka_Za7egVpNCl-ij4miesQMHnEpTErtG4ZIF6OUD52ss9neeptijkm77b7eRo3S5DUJGiTNTy=w1200|https://lh3.googleusercontent.com/pw/AP1GczOT7pVyCDp1kNGgH-5RE6UU5T4bAIQ_b5T-ORU-j5hatTp_kskC260MbMuh-hEt1jfk9ZgaK9NoeRq6TWhEZPFt2_0WMAze06vbQZ_HfJJ1p1Lo9LqA=w1200|https://lh3.googleusercontent.com/pw/AP1GczOSl6uOU1XpDaayRWwfiL-qB_z67JBo7chA98dMRHBscf3mcIRLKJOFUq-045UxyDC35wtKne9qOEKBHwraKYEj8syV2mC86BnPp-Q9GivtRny9E3MF=w1200|https://lh3.googleusercontent.com/pw/AP1GczNsWEWBxbeVhWFIDI_8IfShxc_KlfFD77Pgq-Kbbb9LHMf7zD7ISTAHXjmjJ-uvsv724TPONggGhstuYg4g5F0QzL3GKRqoRqwFjX9HQJwb_6Z6AHaf=w1200|https://lh3.googleusercontent.com/pw/AP1GczOU7T2hHDQATHFgbVt9fEjOUP2vjUSk1VZW1TXcBLzGo0odfACzayT1NK3rzUL_jaJKLp-500dzQjtS8NnoK-Kf_nTJ7Qr5tfGQykoMrejq2i6xs40n=w1200|https://lh3.googleusercontent.com/pw/AP1GczP4YZWkFjZ3PSw-MUpxw3ET02pJx_l1fF7rlKc47xxXSjNcKi622e8LLBn2zGSw3S-WhlAPAaEoJh8qOrUv-4EG92qTBjZSDgAihx7cpNfvYF0zaZHd=w1200|https://lh3.googleusercontent.com/pw/AP1GczMR0qy086shUeE-ccVG8YFGxQzmwO8lm3b29zzMb9F-lt1Utu64slp2FKkmbVdgGyLWv_smt9tkMGvfGyaK-oKsnAfPh3equPC-s4F0njnDfw8PPk9z=w1200|https://lh3.googleusercontent.com/pw/AP1GczPMrP1ZXKLzXQ1VIw-8SPpHaX62SAUrEh3OJW8YusyBPGVPDDdlal_E_UnfyNb02L9Z7jIZvxOLnBXB-KWr-dfzHlV-HGeyThR1iqTJ5yqZ3d5pNyvA=w1200|https://lh3.googleusercontent.com/pw/AP1GczOOPXk7aN8bJcGffctdmejwkapzAshQ871pfU35nSVro2hGgJirJChqq1EPgV9eDddmsNI0PTWUGZ5bHdvL35j13dJDKXQwbRm_8ACfFHISMupi1mNe=w1200</v>
      </c>
      <c r="AJ362" s="46"/>
      <c r="AK362" s="46"/>
      <c r="AL362" s="46"/>
      <c r="AM362" s="46"/>
      <c r="AN362" s="46"/>
      <c r="AO362" s="46"/>
      <c r="AP362" s="46"/>
      <c r="AQ362" s="46"/>
      <c r="AR362" s="46"/>
      <c r="AS362" s="46"/>
      <c r="AT362" s="46"/>
      <c r="AU362" s="46"/>
      <c r="AV362" s="46"/>
      <c r="AW362" s="46"/>
      <c r="AX362" s="46"/>
      <c r="AY362" s="46"/>
      <c r="AZ362" s="46"/>
      <c r="BA362" s="46"/>
      <c r="BB362" s="46"/>
      <c r="BC362" s="46"/>
      <c r="BD362" s="46"/>
      <c r="BE362" s="46"/>
      <c r="BF362" s="46"/>
      <c r="BG362" s="46"/>
      <c r="BH362" s="46"/>
      <c r="BI362" s="46"/>
      <c r="BJ362" s="46"/>
      <c r="BK362" s="46"/>
      <c r="BL362" s="46"/>
      <c r="BM362" s="46"/>
      <c r="BN362" s="46"/>
      <c r="BO362" s="46"/>
      <c r="BP362" s="46"/>
      <c r="BQ362" s="46"/>
      <c r="BR362" s="46"/>
      <c r="BS362" s="46"/>
      <c r="BT362" s="46"/>
      <c r="BU362" s="46"/>
      <c r="BV362" s="46"/>
      <c r="BW362" s="46"/>
      <c r="BX362" s="46"/>
      <c r="BY362" s="46"/>
      <c r="BZ362" s="46"/>
      <c r="CA362" s="46"/>
      <c r="CB362" s="46"/>
      <c r="CC362" s="46"/>
    </row>
    <row r="363">
      <c r="A363" s="87" t="str">
        <f>IFERROR(__xludf.DUMMYFUNCTION("""COMPUTED_VALUE"""),"1352")</f>
        <v>1352</v>
      </c>
      <c r="B363" s="46" t="str">
        <f>IFERROR(__xludf.DUMMYFUNCTION("""COMPUTED_VALUE"""),"Apartamento en conjunto Bosques de Santa ana - Oriente")</f>
        <v>Apartamento en conjunto Bosques de Santa ana - Oriente</v>
      </c>
      <c r="C363" s="46" t="str">
        <f>IFERROR(__xludf.DUMMYFUNCTION("""COMPUTED_VALUE"""),"Apartamento en conjunto")</f>
        <v>Apartamento en conjunto</v>
      </c>
      <c r="D363" s="46" t="str">
        <f>IFERROR(__xludf.DUMMYFUNCTION("""COMPUTED_VALUE"""),"El Vergel")</f>
        <v>El Vergel</v>
      </c>
      <c r="E363" s="46"/>
      <c r="F363" s="90">
        <f>IFERROR(__xludf.DUMMYFUNCTION("""COMPUTED_VALUE"""),4.2E8)</f>
        <v>420000000</v>
      </c>
      <c r="G363" s="46" t="str">
        <f>IFERROR(__xludf.DUMMYFUNCTION("""COMPUTED_VALUE"""),"$400'000.000 a $500'000.000")</f>
        <v>$400'000.000 a $500'000.000</v>
      </c>
      <c r="H363" s="46"/>
      <c r="I363" s="46"/>
      <c r="J363" s="46" t="str">
        <f>IFERROR(__xludf.DUMMYFUNCTION("""COMPUTED_VALUE"""),"Oriente")</f>
        <v>Oriente</v>
      </c>
      <c r="K363" s="87" t="str">
        <f>IFERROR(__xludf.DUMMYFUNCTION("""COMPUTED_VALUE"""),"5")</f>
        <v>5</v>
      </c>
      <c r="L363" s="46">
        <f>IFERROR(__xludf.DUMMYFUNCTION("""COMPUTED_VALUE"""),3.0)</f>
        <v>3</v>
      </c>
      <c r="M363" s="46"/>
      <c r="N363" s="46">
        <f>IFERROR(__xludf.DUMMYFUNCTION("""COMPUTED_VALUE"""),2.0)</f>
        <v>2</v>
      </c>
      <c r="O363" s="46">
        <f>IFERROR(__xludf.DUMMYFUNCTION("""COMPUTED_VALUE"""),1.0)</f>
        <v>1</v>
      </c>
      <c r="P363" s="46">
        <f>IFERROR(__xludf.DUMMYFUNCTION("""COMPUTED_VALUE"""),2.0)</f>
        <v>2</v>
      </c>
      <c r="Q363" s="92">
        <f>IFERROR(__xludf.DUMMYFUNCTION("""COMPUTED_VALUE"""),113.0)</f>
        <v>113</v>
      </c>
      <c r="R363" s="92">
        <f>IFERROR(__xludf.DUMMYFUNCTION("""COMPUTED_VALUE"""),113.0)</f>
        <v>113</v>
      </c>
      <c r="S363" s="87" t="str">
        <f>IFERROR(__xludf.DUMMYFUNCTION("""COMPUTED_VALUE""")," ")</f>
        <v> </v>
      </c>
      <c r="T363" s="46" t="str">
        <f>IFERROR(__xludf.DUMMYFUNCTION("""COMPUTED_VALUE"""),"Neiva")</f>
        <v>Neiva</v>
      </c>
      <c r="U363" s="87" t="str">
        <f>IFERROR(__xludf.DUMMYFUNCTION("""COMPUTED_VALUE"""),"4")</f>
        <v>4</v>
      </c>
      <c r="V363" s="46" t="str">
        <f>IFERROR(__xludf.DUMMYFUNCTION("""COMPUTED_VALUE"""),"2do.")</f>
        <v>2do.</v>
      </c>
      <c r="W363" s="46"/>
      <c r="X363" s="46">
        <f>IFERROR(__xludf.DUMMYFUNCTION("""COMPUTED_VALUE"""),3.0)</f>
        <v>3</v>
      </c>
      <c r="Y363" s="46" t="str">
        <f>IFERROR(__xludf.DUMMYFUNCTION("""COMPUTED_VALUE"""),"Social")</f>
        <v>Social</v>
      </c>
      <c r="Z363" s="90">
        <f>IFERROR(__xludf.DUMMYFUNCTION("""COMPUTED_VALUE"""),330000.0)</f>
        <v>330000</v>
      </c>
      <c r="AA363" s="33" t="str">
        <f>IFERROR(__xludf.DUMMYFUNCTION("""COMPUTED_VALUE"""),"No aplica")</f>
        <v>No aplica</v>
      </c>
      <c r="AB363" s="96" t="str">
        <f>IFERROR(__xludf.DUMMYFUNCTION("""COMPUTED_VALUE"""),"https://photos.app.goo.gl/ysWMgThXbNGE6WoD6")</f>
        <v>https://photos.app.goo.gl/ysWMgThXbNGE6WoD6</v>
      </c>
      <c r="AC363" s="46" t="str">
        <f>IFERROR(__xludf.DUMMYFUNCTION("""COMPUTED_VALUE"""),"Apartamento en Bosques de Santa Ana, Neiva: Distribución: sala y comedor independientes con excelente iluminación que conectan a un balcón fresco con malla de seguridad, habitación principal tipo suite con amplio Vestier y mueble empotrado, dos habitacion"&amp;"es auxiliares cómodas con closets, además de estudio independiente ideal para home office, cocina integral, patio de ropas, depósito y 3 aires acondicionados incluidos.")</f>
        <v>Apartamento en Bosques de Santa Ana, Neiva: Distribución: sala y comedor independientes con excelente iluminación que conectan a un balcón fresco con malla de seguridad, habitación principal tipo suite con amplio Vestier y mueble empotrado, dos habitaciones auxiliares cómodas con closets, además de estudio independiente ideal para home office, cocina integral, patio de ropas, depósito y 3 aires acondicionados incluidos.</v>
      </c>
      <c r="AD363" s="46" t="str">
        <f>IFERROR(__xludf.DUMMYFUNCTION("""COMPUTED_VALUE"""),"Disfruta de una completa vida en comunidad tipo club house con escuelas de fútbol, natación, patinaje y tenis, así como clases de zumba e hidroterapia para el adulto mayor, piso cerca de los colegios más reconocidos de la ciudad, con parqueadero privado y"&amp;" seguridad 24 horas; precio de oportunidad, invierte en el futuro de tu familia hoy mismo.")</f>
        <v>Disfruta de una completa vida en comunidad tipo club house con escuelas de fútbol, natación, patinaje y tenis, así como clases de zumba e hidroterapia para el adulto mayor, piso cerca de los colegios más reconocidos de la ciudad, con parqueadero privado y seguridad 24 horas; precio de oportunidad, invierte en el futuro de tu familia hoy mismo.</v>
      </c>
      <c r="AE363" s="46"/>
      <c r="AF363" s="46" t="str">
        <f>IFERROR(__xludf.DUMMYFUNCTION("""COMPUTED_VALUE"""),"integral")</f>
        <v>integral</v>
      </c>
      <c r="AG363" s="46"/>
      <c r="AH363" s="46" t="str">
        <f>IFERROR(__xludf.DUMMYFUNCTION("""COMPUTED_VALUE"""),"Aliado")</f>
        <v>Aliado</v>
      </c>
      <c r="AI363" s="92" t="str">
        <f>IFERROR(__xludf.DUMMYFUNCTION("""COMPUTED_VALUE"""),"https://lh3.googleusercontent.com/pw/AP1GczP9keRKYOEnc2Yw065tHyefgv0FGklLK3uv7fpksZYtxTc89T9TM9Npo9evd8DEmoPx8ZksbLUDAIGJ57pG2kAeb2sW1rEhVdRSVDPY4MBhcXZN628u=w1200|https://lh3.googleusercontent.com/pw/AP1GczOLoqrpAjLtV0_12oFH2XVd97kb7xFL7MpvjOk6C-sYW-29LW"&amp;"W8HYWhowaBcwV-aOVR2c3dtQ3X37fB-Zb7t8uBi4UwXTon8L3Zrm7dkmZpikBZIPcl=w1200|https://lh3.googleusercontent.com/pw/AP1GczMXJp-7nUA22fYdgYa3xa35bXN96UQRtpUWlTulcxSX-b9HcmN0PFsmL4hXFBN-rKu8c4m6KFKB4ngf2x8zS6JL9SKFpqhqXIPpHgZHUJpGLrPJxJ4p=w1200|https://lh3.google"&amp;"usercontent.com/pw/AP1GczNFRvPjhPS3yCiYAH_dO_iIlJtfHr5DnwhWorhB7DntnCv4bpx7sycEUI8lXxKqo9Ajh6NaDZlTbuF2AA-Dp60C9JmHzmCDb6bbcluoh41Dsa68I_sr=w1200|https://lh3.googleusercontent.com/pw/AP1GczPLA6lTrbwXYMkZQOt8-h3ibNhS8HbquwCD23FUN6TJFERwep4AukS163bSy_4RKPJl"&amp;"mr7WZMGGAihrMgWE2ZJFJAmwB5J7UFtET6Cqn5erJc4fkMVz=w1200|https://lh3.googleusercontent.com/pw/AP1GczNACVGJfDP1w8-AA_bpXGD9p-MgDyOt-8aULQ70P_fJ7Xlf62v6u8uyS23xkhnAA6jyv6IWUOsrnXR7L_cH3JQ1IPl0Gddt1UT2eSdXnwDseWzPtWnb=w1200|https://lh3.googleusercontent.com/pw"&amp;"/AP1GczN-APgws3jrX8CV32bS2tK6T0fHe1OsEspLLhXVWXW3AQkIduN2a6r-NYG3I8726Hg-MfFNFR3X6rgclc5lwEjwjAh9HL6ZnK_FiZ9kIEGJMAAZDpUa=w1200|https://lh3.googleusercontent.com/pw/AP1GczMIiZCzP_h7glw6Bd6rVy1AMQ7Emel-nJuip9yN3TUGMgAtdaROBMrKbJ0qZqEqu1YYOf-u87jGXFlWXyYFzG"&amp;"rCslYfR0t12T3Ca7_qgm0-wNt670PA=w1200|https://lh3.googleusercontent.com/pw/AP1GczPdvag-Va9sucMCFBgpwdwa4HUI1RVPxH85agiWA0ma1NdV4rp8dzgreTkAlC7xozs8gKrlS3_3Q8592d-38PThNssENh9ezTne8IGSUwUsBfV3195V=w1200|https://lh3.googleusercontent.com/pw/AP1GczOdQ6rlBuzrY"&amp;"Cjcb1pcsYxrs6rumiLCAz7ziaprS5LUOfgX4nAL2pQ6L2CBgL27Jhr5P-8VOMaNhWvULSWZHPUusbnLrsvoNkU-Z_zN77hgmhQlm7Pf=w1200|https://lh3.googleusercontent.com/pw/AP1GczP-RYhXp16NgiF0HSV5ytq-uq8bCzSoii_adme_NlCkqoh-M7EyywC4jBgJtBO7_ApqeRol-DzIrWSQ8SqHzNuPrLZWVLdksIvIQ1l1"&amp;"cLrzR6_mCzMY=w1200|https://lh3.googleusercontent.com/pw/AP1GczNJI-MyV31n3tR19HVvZ3khv8uHOTmpKzhUt1X0IF1JZ7ecbEe5F96QCmzHjbKo-xgMtVJ5ZrStsiRwCXNopUGZh9t80S0MgmQvbwGe-QUXxYOvfwep=w1200|https://lh3.googleusercontent.com/pw/AP1GczO00ArRqIB7ct1fg8sdx1Kg17g0CIO"&amp;"ptdtpJWjuOgdozwbiR-mGs2cxC5pWuZfTEsQt_4sHewEtfD0V-Cx_-PQXRzlbWOshr6wexAXqp619yauBsBU6=w1200|https://lh3.googleusercontent.com/pw/AP1GczMJBeX7g5gwdHloOcsnrUY381ZtToa8DOjs-DieJrAWMZrWIuTxavDxGmeFyD7Jy8zeoBXlwWGZehP4WxVfPHIts_Sfk3tpWGEffYC3NF_13R4F_tLz=w1200"&amp;"|https://lh3.googleusercontent.com/pw/AP1GczNtBd3rEGpltAeM_pI6uHsBYdc6UejDOGEknMtYRJda4herkKnFC_XOZTt_kh7Z11WPzZMZLyIb1I4RgTBMswvVgIFDoLvrhfN6h7NPmJx1IFgLe2sp=w1200|https://lh3.googleusercontent.com/pw/AP1GczOuQGVyLgqRBlEEbImsBT77fbprnJl5FlyzMblHe14W5kH8_"&amp;"ICzQYy-iS_DI5ywzfv6bAR59PfuX15VvTJ9z7vookV_Y3uNRP7TC-SeDVwCUI6O6opb=w1200|https://lh3.googleusercontent.com/pw/AP1GczNcFziVCk_7PMYHQ92IEBH1R--AShSI6ne7PowbHikelxqqSQHCNfircj4iU5_yr7qgUfHVrLxwA7wILc11aeQ1mCWwcuSqOQ5JRtzU8fB691kmZU_C=w1200|https://lh3.googl"&amp;"eusercontent.com/pw/AP1GczN2ymJI4YGUp5Ba6JUheRryykhSoYeCouIG5lhUqXbYUj_5VqJiLHMZGTBhos5knSUpmehwpY9L45gtFXR06CgobhSbgdtpZMcID96pG8XU5TTxssHY=w1200")</f>
        <v>https://lh3.googleusercontent.com/pw/AP1GczP9keRKYOEnc2Yw065tHyefgv0FGklLK3uv7fpksZYtxTc89T9TM9Npo9evd8DEmoPx8ZksbLUDAIGJ57pG2kAeb2sW1rEhVdRSVDPY4MBhcXZN628u=w1200|https://lh3.googleusercontent.com/pw/AP1GczOLoqrpAjLtV0_12oFH2XVd97kb7xFL7MpvjOk6C-sYW-29LWW8HYWhowaBcwV-aOVR2c3dtQ3X37fB-Zb7t8uBi4UwXTon8L3Zrm7dkmZpikBZIPcl=w1200|https://lh3.googleusercontent.com/pw/AP1GczMXJp-7nUA22fYdgYa3xa35bXN96UQRtpUWlTulcxSX-b9HcmN0PFsmL4hXFBN-rKu8c4m6KFKB4ngf2x8zS6JL9SKFpqhqXIPpHgZHUJpGLrPJxJ4p=w1200|https://lh3.googleusercontent.com/pw/AP1GczNFRvPjhPS3yCiYAH_dO_iIlJtfHr5DnwhWorhB7DntnCv4bpx7sycEUI8lXxKqo9Ajh6NaDZlTbuF2AA-Dp60C9JmHzmCDb6bbcluoh41Dsa68I_sr=w1200|https://lh3.googleusercontent.com/pw/AP1GczPLA6lTrbwXYMkZQOt8-h3ibNhS8HbquwCD23FUN6TJFERwep4AukS163bSy_4RKPJlmr7WZMGGAihrMgWE2ZJFJAmwB5J7UFtET6Cqn5erJc4fkMVz=w1200|https://lh3.googleusercontent.com/pw/AP1GczNACVGJfDP1w8-AA_bpXGD9p-MgDyOt-8aULQ70P_fJ7Xlf62v6u8uyS23xkhnAA6jyv6IWUOsrnXR7L_cH3JQ1IPl0Gddt1UT2eSdXnwDseWzPtWnb=w1200|https://lh3.googleusercontent.com/pw/AP1GczN-APgws3jrX8CV32bS2tK6T0fHe1OsEspLLhXVWXW3AQkIduN2a6r-NYG3I8726Hg-MfFNFR3X6rgclc5lwEjwjAh9HL6ZnK_FiZ9kIEGJMAAZDpUa=w1200|https://lh3.googleusercontent.com/pw/AP1GczMIiZCzP_h7glw6Bd6rVy1AMQ7Emel-nJuip9yN3TUGMgAtdaROBMrKbJ0qZqEqu1YYOf-u87jGXFlWXyYFzGrCslYfR0t12T3Ca7_qgm0-wNt670PA=w1200|https://lh3.googleusercontent.com/pw/AP1GczPdvag-Va9sucMCFBgpwdwa4HUI1RVPxH85agiWA0ma1NdV4rp8dzgreTkAlC7xozs8gKrlS3_3Q8592d-38PThNssENh9ezTne8IGSUwUsBfV3195V=w1200|https://lh3.googleusercontent.com/pw/AP1GczOdQ6rlBuzrYCjcb1pcsYxrs6rumiLCAz7ziaprS5LUOfgX4nAL2pQ6L2CBgL27Jhr5P-8VOMaNhWvULSWZHPUusbnLrsvoNkU-Z_zN77hgmhQlm7Pf=w1200|https://lh3.googleusercontent.com/pw/AP1GczP-RYhXp16NgiF0HSV5ytq-uq8bCzSoii_adme_NlCkqoh-M7EyywC4jBgJtBO7_ApqeRol-DzIrWSQ8SqHzNuPrLZWVLdksIvIQ1l1cLrzR6_mCzMY=w1200|https://lh3.googleusercontent.com/pw/AP1GczNJI-MyV31n3tR19HVvZ3khv8uHOTmpKzhUt1X0IF1JZ7ecbEe5F96QCmzHjbKo-xgMtVJ5ZrStsiRwCXNopUGZh9t80S0MgmQvbwGe-QUXxYOvfwep=w1200|https://lh3.googleusercontent.com/pw/AP1GczO00ArRqIB7ct1fg8sdx1Kg17g0CIOptdtpJWjuOgdozwbiR-mGs2cxC5pWuZfTEsQt_4sHewEtfD0V-Cx_-PQXRzlbWOshr6wexAXqp619yauBsBU6=w1200|https://lh3.googleusercontent.com/pw/AP1GczMJBeX7g5gwdHloOcsnrUY381ZtToa8DOjs-DieJrAWMZrWIuTxavDxGmeFyD7Jy8zeoBXlwWGZehP4WxVfPHIts_Sfk3tpWGEffYC3NF_13R4F_tLz=w1200|https://lh3.googleusercontent.com/pw/AP1GczNtBd3rEGpltAeM_pI6uHsBYdc6UejDOGEknMtYRJda4herkKnFC_XOZTt_kh7Z11WPzZMZLyIb1I4RgTBMswvVgIFDoLvrhfN6h7NPmJx1IFgLe2sp=w1200|https://lh3.googleusercontent.com/pw/AP1GczOuQGVyLgqRBlEEbImsBT77fbprnJl5FlyzMblHe14W5kH8_ICzQYy-iS_DI5ywzfv6bAR59PfuX15VvTJ9z7vookV_Y3uNRP7TC-SeDVwCUI6O6opb=w1200|https://lh3.googleusercontent.com/pw/AP1GczNcFziVCk_7PMYHQ92IEBH1R--AShSI6ne7PowbHikelxqqSQHCNfircj4iU5_yr7qgUfHVrLxwA7wILc11aeQ1mCWwcuSqOQ5JRtzU8fB691kmZU_C=w1200|https://lh3.googleusercontent.com/pw/AP1GczN2ymJI4YGUp5Ba6JUheRryykhSoYeCouIG5lhUqXbYUj_5VqJiLHMZGTBhos5knSUpmehwpY9L45gtFXR06CgobhSbgdtpZMcID96pG8XU5TTxssHY=w1200</v>
      </c>
      <c r="AJ363" s="46"/>
      <c r="AK363" s="46"/>
      <c r="AL363" s="46"/>
      <c r="AM363" s="46"/>
      <c r="AN363" s="46"/>
      <c r="AO363" s="46"/>
      <c r="AP363" s="46"/>
      <c r="AQ363" s="46"/>
      <c r="AR363" s="46"/>
      <c r="AS363" s="46"/>
      <c r="AT363" s="46"/>
      <c r="AU363" s="46"/>
      <c r="AV363" s="46"/>
      <c r="AW363" s="46"/>
      <c r="AX363" s="46"/>
      <c r="AY363" s="46"/>
      <c r="AZ363" s="46"/>
      <c r="BA363" s="46"/>
      <c r="BB363" s="46"/>
      <c r="BC363" s="46"/>
      <c r="BD363" s="46"/>
      <c r="BE363" s="46"/>
      <c r="BF363" s="46"/>
      <c r="BG363" s="46"/>
      <c r="BH363" s="46"/>
      <c r="BI363" s="46"/>
      <c r="BJ363" s="46"/>
      <c r="BK363" s="46"/>
      <c r="BL363" s="46"/>
      <c r="BM363" s="46"/>
      <c r="BN363" s="46"/>
      <c r="BO363" s="46"/>
      <c r="BP363" s="46"/>
      <c r="BQ363" s="46"/>
      <c r="BR363" s="46"/>
      <c r="BS363" s="46"/>
      <c r="BT363" s="46"/>
      <c r="BU363" s="46"/>
      <c r="BV363" s="46"/>
      <c r="BW363" s="46"/>
      <c r="BX363" s="46"/>
      <c r="BY363" s="46"/>
      <c r="BZ363" s="46"/>
      <c r="CA363" s="46"/>
      <c r="CB363" s="46"/>
      <c r="CC363" s="46"/>
    </row>
    <row r="364">
      <c r="A364" s="87" t="str">
        <f>IFERROR(__xludf.DUMMYFUNCTION("""COMPUTED_VALUE"""),"1343")</f>
        <v>1343</v>
      </c>
      <c r="B364" s="46" t="str">
        <f>IFERROR(__xludf.DUMMYFUNCTION("""COMPUTED_VALUE"""),"Local  - centro comercial San Juan Plaza - Norte")</f>
        <v>Local  - centro comercial San Juan Plaza - Norte</v>
      </c>
      <c r="C364" s="46" t="str">
        <f>IFERROR(__xludf.DUMMYFUNCTION("""COMPUTED_VALUE"""),"Local")</f>
        <v>Local</v>
      </c>
      <c r="D364" s="46" t="str">
        <f>IFERROR(__xludf.DUMMYFUNCTION("""COMPUTED_VALUE"""),"Alamos Norte")</f>
        <v>Alamos Norte</v>
      </c>
      <c r="E364" s="46"/>
      <c r="F364" s="90">
        <f>IFERROR(__xludf.DUMMYFUNCTION("""COMPUTED_VALUE"""),4.2E8)</f>
        <v>420000000</v>
      </c>
      <c r="G364" s="46" t="str">
        <f>IFERROR(__xludf.DUMMYFUNCTION("""COMPUTED_VALUE"""),"$400'000.000 a $500'000.000")</f>
        <v>$400'000.000 a $500'000.000</v>
      </c>
      <c r="H364" s="46"/>
      <c r="I364" s="46"/>
      <c r="J364" s="46" t="str">
        <f>IFERROR(__xludf.DUMMYFUNCTION("""COMPUTED_VALUE"""),"Norte")</f>
        <v>Norte</v>
      </c>
      <c r="K364" s="87" t="str">
        <f>IFERROR(__xludf.DUMMYFUNCTION("""COMPUTED_VALUE"""),"2")</f>
        <v>2</v>
      </c>
      <c r="L364" s="46">
        <f>IFERROR(__xludf.DUMMYFUNCTION("""COMPUTED_VALUE"""),0.0)</f>
        <v>0</v>
      </c>
      <c r="M364" s="46"/>
      <c r="N364" s="46">
        <f>IFERROR(__xludf.DUMMYFUNCTION("""COMPUTED_VALUE"""),0.0)</f>
        <v>0</v>
      </c>
      <c r="O364" s="46">
        <f>IFERROR(__xludf.DUMMYFUNCTION("""COMPUTED_VALUE"""),0.0)</f>
        <v>0</v>
      </c>
      <c r="P364" s="46">
        <f>IFERROR(__xludf.DUMMYFUNCTION("""COMPUTED_VALUE"""),1.0)</f>
        <v>1</v>
      </c>
      <c r="Q364" s="92">
        <f>IFERROR(__xludf.DUMMYFUNCTION("""COMPUTED_VALUE"""),95.45)</f>
        <v>95.45</v>
      </c>
      <c r="R364" s="92">
        <f>IFERROR(__xludf.DUMMYFUNCTION("""COMPUTED_VALUE"""),102.34)</f>
        <v>102.34</v>
      </c>
      <c r="S364" s="87" t="str">
        <f>IFERROR(__xludf.DUMMYFUNCTION("""COMPUTED_VALUE""")," ")</f>
        <v> </v>
      </c>
      <c r="T364" s="46" t="str">
        <f>IFERROR(__xludf.DUMMYFUNCTION("""COMPUTED_VALUE"""),"Neiva")</f>
        <v>Neiva</v>
      </c>
      <c r="U364" s="87" t="str">
        <f>IFERROR(__xludf.DUMMYFUNCTION("""COMPUTED_VALUE"""),"Comercial")</f>
        <v>Comercial</v>
      </c>
      <c r="V364" s="46" t="str">
        <f>IFERROR(__xludf.DUMMYFUNCTION("""COMPUTED_VALUE"""),"1ro.")</f>
        <v>1ro.</v>
      </c>
      <c r="W364" s="46"/>
      <c r="X364" s="46">
        <f>IFERROR(__xludf.DUMMYFUNCTION("""COMPUTED_VALUE"""),0.0)</f>
        <v>0</v>
      </c>
      <c r="Y364" s="46" t="str">
        <f>IFERROR(__xludf.DUMMYFUNCTION("""COMPUTED_VALUE"""),"No tiene")</f>
        <v>No tiene</v>
      </c>
      <c r="Z364" s="90"/>
      <c r="AA364" s="33" t="str">
        <f>IFERROR(__xludf.DUMMYFUNCTION("""COMPUTED_VALUE"""),"No aplica")</f>
        <v>No aplica</v>
      </c>
      <c r="AB364" s="96" t="str">
        <f>IFERROR(__xludf.DUMMYFUNCTION("""COMPUTED_VALUE"""),"https://photos.app.goo.gl/zaTZAVoCVZ4X5XzK7")</f>
        <v>https://photos.app.goo.gl/zaTZAVoCVZ4X5XzK7</v>
      </c>
      <c r="AC364" s="46" t="str">
        <f>IFERROR(__xludf.DUMMYFUNCTION("""COMPUTED_VALUE"""),"Local en venta – Centro Comercial San Juan Plaza. Excelente oportunidad de inversión, local ubicado en primer piso en una de las zonas comerciales más importantes de la ciudad de Neiva, con alto flujo peatonal y gran visibilidad.")</f>
        <v>Local en venta – Centro Comercial San Juan Plaza. Excelente oportunidad de inversión, local ubicado en primer piso en una de las zonas comerciales más importantes de la ciudad de Neiva, con alto flujo peatonal y gran visibilidad.</v>
      </c>
      <c r="AD364" s="46" t="str">
        <f>IFERROR(__xludf.DUMMYFUNCTION("""COMPUTED_VALUE"""),"Cuenta con un área construida de 102.34 m² y un área privada de 95.45 m², ideal para diferentes tipos de negocio.")</f>
        <v>Cuenta con un área construida de 102.34 m² y un área privada de 95.45 m², ideal para diferentes tipos de negocio.</v>
      </c>
      <c r="AE364" s="46"/>
      <c r="AF364" s="46">
        <f>IFERROR(__xludf.DUMMYFUNCTION("""COMPUTED_VALUE"""),0.0)</f>
        <v>0</v>
      </c>
      <c r="AG364" s="46"/>
      <c r="AH364" s="46" t="str">
        <f>IFERROR(__xludf.DUMMYFUNCTION("""COMPUTED_VALUE"""),"Aliado")</f>
        <v>Aliado</v>
      </c>
      <c r="AI364" s="92" t="str">
        <f>IFERROR(__xludf.DUMMYFUNCTION("""COMPUTED_VALUE"""),"https://lh3.googleusercontent.com/pw/AP1GczPuYrvteiDT1MT6u2gsgaUa0VnXhHEdiJrqVDDTG7fGjU9X01QsixEE2gATjcRkcAlmOA07W_HV0wkj3F1h-lmdeENGYuJH0D6LTmkc6e6KbK11XMiN=w1200|https://lh3.googleusercontent.com/pw/AP1GczNluPfZHSwf5qNeN-KCbinc2AdEmGcV-vLj0HB81PDCUgWqKE"&amp;"WIayuwte_tkD2J1l1HXEqs5syFT7tQO-xF5C49N21mELYJBx5mG3eaouXZls70WhGl=w1200|https://lh3.googleusercontent.com/pw/AP1GczMkQknBepqlKKrpyC8tl8fbD1A_hmKj1ql1A0anQUPrBlNDamDmuxCkBJQQufOOfIMjLGolRy_1YclpVHYGKzNI1GUNADVyp7I8F7DfeWv03T2vwro2=w1200|https://lh3.google"&amp;"usercontent.com/pw/AP1GczOuEkZz2o5xeb5mN-_Bd5RjMrTiclyAIXIeCWi-QV-86BCakbLnVnLuvPnT1w4dIztbmziBDcDzSZ4-vkKNK9CkTOfbze9-9NQ4AL0jjBBSPgf-yVGQ=w1200|https://lh3.googleusercontent.com/pw/AP1GczPIlaeIGp1mHtDjUyyLZrTH1OEf1Ptp17QNpbIm8x71QjlyDFx1wg1nyTCOyyxWQHHV"&amp;"fXbbgn11_n8cwH6gh2e8vp2gGubJF7Bw71QySrq4-bWLmZYj=w1200|https://lh3.googleusercontent.com/pw/AP1GczPX9HTIQP-NLBKmg6aoU5uuk0_cSCZplzQbPuU8YFGfWT-gXYbHLNYDlbZcaMMhfQ4XFrfa3aGtXSnCWXq-iQQiNpNu1zzrK1UQLxogVFbRyy58SE6W=w1200|https://lh3.googleusercontent.com/pw"&amp;"/AP1GczP-XQkioLuF8YhxQ1M8I8qJYhhXFvW423eXLPaqGi8Bq5Sbtdmn_H1uKkwqtCDwr8n2UAvqRqHoxWbjZzNGTOFYUwjtzVW3Y22mZPZqlBwKeqxLcgQm=w1200|https://lh3.googleusercontent.com/pw/AP1GczObdEZBgysutj3p0fXip_LD1u5-55O_B3vhLXv6MjjvzI_qQC8ALXNBeriavaCZranvCrSLt2SDW7cdhNVJD8"&amp;"ynYPN5Tn3FJaANTH7V6RTXmXHUbXHN=w1200|https://lh3.googleusercontent.com/pw/AP1GczMYrlyx_1n3HJ6oqWIczyGGEikeAMHoDkKjhhBUnILpAOGKHEe2BChZDsdbLjUSlMU0mi7CF7NzaNidaAGw0NRcz8j4rORq_mmDiMeAoiXHSzUZNy2_=w1200|https://lh3.googleusercontent.com/pw/AP1GczMAE2sTlXTJf"&amp;"6P2MVZZ0ZoAel93vQA6C_RYrIfN1psCVIVsHE83RLnzpFMvglGBDYdyiuCOz91iCYrd8C6K3X0ZjCN4ouqahF3Fo90PGR7MFrr-cGrg=w1200")</f>
        <v>https://lh3.googleusercontent.com/pw/AP1GczPuYrvteiDT1MT6u2gsgaUa0VnXhHEdiJrqVDDTG7fGjU9X01QsixEE2gATjcRkcAlmOA07W_HV0wkj3F1h-lmdeENGYuJH0D6LTmkc6e6KbK11XMiN=w1200|https://lh3.googleusercontent.com/pw/AP1GczNluPfZHSwf5qNeN-KCbinc2AdEmGcV-vLj0HB81PDCUgWqKEWIayuwte_tkD2J1l1HXEqs5syFT7tQO-xF5C49N21mELYJBx5mG3eaouXZls70WhGl=w1200|https://lh3.googleusercontent.com/pw/AP1GczMkQknBepqlKKrpyC8tl8fbD1A_hmKj1ql1A0anQUPrBlNDamDmuxCkBJQQufOOfIMjLGolRy_1YclpVHYGKzNI1GUNADVyp7I8F7DfeWv03T2vwro2=w1200|https://lh3.googleusercontent.com/pw/AP1GczOuEkZz2o5xeb5mN-_Bd5RjMrTiclyAIXIeCWi-QV-86BCakbLnVnLuvPnT1w4dIztbmziBDcDzSZ4-vkKNK9CkTOfbze9-9NQ4AL0jjBBSPgf-yVGQ=w1200|https://lh3.googleusercontent.com/pw/AP1GczPIlaeIGp1mHtDjUyyLZrTH1OEf1Ptp17QNpbIm8x71QjlyDFx1wg1nyTCOyyxWQHHVfXbbgn11_n8cwH6gh2e8vp2gGubJF7Bw71QySrq4-bWLmZYj=w1200|https://lh3.googleusercontent.com/pw/AP1GczPX9HTIQP-NLBKmg6aoU5uuk0_cSCZplzQbPuU8YFGfWT-gXYbHLNYDlbZcaMMhfQ4XFrfa3aGtXSnCWXq-iQQiNpNu1zzrK1UQLxogVFbRyy58SE6W=w1200|https://lh3.googleusercontent.com/pw/AP1GczP-XQkioLuF8YhxQ1M8I8qJYhhXFvW423eXLPaqGi8Bq5Sbtdmn_H1uKkwqtCDwr8n2UAvqRqHoxWbjZzNGTOFYUwjtzVW3Y22mZPZqlBwKeqxLcgQm=w1200|https://lh3.googleusercontent.com/pw/AP1GczObdEZBgysutj3p0fXip_LD1u5-55O_B3vhLXv6MjjvzI_qQC8ALXNBeriavaCZranvCrSLt2SDW7cdhNVJD8ynYPN5Tn3FJaANTH7V6RTXmXHUbXHN=w1200|https://lh3.googleusercontent.com/pw/AP1GczMYrlyx_1n3HJ6oqWIczyGGEikeAMHoDkKjhhBUnILpAOGKHEe2BChZDsdbLjUSlMU0mi7CF7NzaNidaAGw0NRcz8j4rORq_mmDiMeAoiXHSzUZNy2_=w1200|https://lh3.googleusercontent.com/pw/AP1GczMAE2sTlXTJf6P2MVZZ0ZoAel93vQA6C_RYrIfN1psCVIVsHE83RLnzpFMvglGBDYdyiuCOz91iCYrd8C6K3X0ZjCN4ouqahF3Fo90PGR7MFrr-cGrg=w1200</v>
      </c>
      <c r="AJ364" s="46"/>
      <c r="AK364" s="46"/>
      <c r="AL364" s="46"/>
      <c r="AM364" s="46"/>
      <c r="AN364" s="46"/>
      <c r="AO364" s="46"/>
      <c r="AP364" s="46"/>
      <c r="AQ364" s="46"/>
      <c r="AR364" s="46"/>
      <c r="AS364" s="46"/>
      <c r="AT364" s="46"/>
      <c r="AU364" s="46"/>
      <c r="AV364" s="46"/>
      <c r="AW364" s="46"/>
      <c r="AX364" s="46"/>
      <c r="AY364" s="46"/>
      <c r="AZ364" s="46"/>
      <c r="BA364" s="46"/>
      <c r="BB364" s="46"/>
      <c r="BC364" s="46"/>
      <c r="BD364" s="46"/>
      <c r="BE364" s="46"/>
      <c r="BF364" s="46"/>
      <c r="BG364" s="46"/>
      <c r="BH364" s="46"/>
      <c r="BI364" s="46"/>
      <c r="BJ364" s="46"/>
      <c r="BK364" s="46"/>
      <c r="BL364" s="46"/>
      <c r="BM364" s="46"/>
      <c r="BN364" s="46"/>
      <c r="BO364" s="46"/>
      <c r="BP364" s="46"/>
      <c r="BQ364" s="46"/>
      <c r="BR364" s="46"/>
      <c r="BS364" s="46"/>
      <c r="BT364" s="46"/>
      <c r="BU364" s="46"/>
      <c r="BV364" s="46"/>
      <c r="BW364" s="46"/>
      <c r="BX364" s="46"/>
      <c r="BY364" s="46"/>
      <c r="BZ364" s="46"/>
      <c r="CA364" s="46"/>
      <c r="CB364" s="46"/>
      <c r="CC364" s="46"/>
    </row>
    <row r="365">
      <c r="A365" s="87" t="str">
        <f>IFERROR(__xludf.DUMMYFUNCTION("""COMPUTED_VALUE"""),"687")</f>
        <v>687</v>
      </c>
      <c r="B365" s="46" t="str">
        <f>IFERROR(__xludf.DUMMYFUNCTION("""COMPUTED_VALUE"""),"Casa en barrio Villa Carolina")</f>
        <v>Casa en barrio Villa Carolina</v>
      </c>
      <c r="C365" s="46" t="str">
        <f>IFERROR(__xludf.DUMMYFUNCTION("""COMPUTED_VALUE"""),"Casa")</f>
        <v>Casa</v>
      </c>
      <c r="D365" s="46" t="str">
        <f>IFERROR(__xludf.DUMMYFUNCTION("""COMPUTED_VALUE"""),"Villa Carolina")</f>
        <v>Villa Carolina</v>
      </c>
      <c r="E365" s="90" t="str">
        <f>IFERROR(__xludf.DUMMYFUNCTION("""COMPUTED_VALUE""")," ")</f>
        <v> </v>
      </c>
      <c r="F365" s="90">
        <f>IFERROR(__xludf.DUMMYFUNCTION("""COMPUTED_VALUE"""),4.0E8)</f>
        <v>400000000</v>
      </c>
      <c r="G365" s="46" t="str">
        <f>IFERROR(__xludf.DUMMYFUNCTION("""COMPUTED_VALUE"""),"$400'000.000 a $500'000.000")</f>
        <v>$400'000.000 a $500'000.000</v>
      </c>
      <c r="H365" s="46"/>
      <c r="I365" s="46"/>
      <c r="J365" s="46" t="str">
        <f>IFERROR(__xludf.DUMMYFUNCTION("""COMPUTED_VALUE"""),"Norte")</f>
        <v>Norte</v>
      </c>
      <c r="K365" s="87" t="str">
        <f>IFERROR(__xludf.DUMMYFUNCTION("""COMPUTED_VALUE"""),"2")</f>
        <v>2</v>
      </c>
      <c r="L365" s="46">
        <f>IFERROR(__xludf.DUMMYFUNCTION("""COMPUTED_VALUE"""),3.0)</f>
        <v>3</v>
      </c>
      <c r="M365" s="46"/>
      <c r="N365" s="46">
        <f>IFERROR(__xludf.DUMMYFUNCTION("""COMPUTED_VALUE"""),3.0)</f>
        <v>3</v>
      </c>
      <c r="O365" s="46">
        <f>IFERROR(__xludf.DUMMYFUNCTION("""COMPUTED_VALUE"""),1.0)</f>
        <v>1</v>
      </c>
      <c r="P365" s="46">
        <f>IFERROR(__xludf.DUMMYFUNCTION("""COMPUTED_VALUE"""),2.0)</f>
        <v>2</v>
      </c>
      <c r="Q365" s="92">
        <f>IFERROR(__xludf.DUMMYFUNCTION("""COMPUTED_VALUE"""),160.0)</f>
        <v>160</v>
      </c>
      <c r="R365" s="92">
        <f>IFERROR(__xludf.DUMMYFUNCTION("""COMPUTED_VALUE"""),84.0)</f>
        <v>84</v>
      </c>
      <c r="S365" s="87" t="str">
        <f>IFERROR(__xludf.DUMMYFUNCTION("""COMPUTED_VALUE""")," ")</f>
        <v> </v>
      </c>
      <c r="T365" s="46" t="str">
        <f>IFERROR(__xludf.DUMMYFUNCTION("""COMPUTED_VALUE"""),"Neiva")</f>
        <v>Neiva</v>
      </c>
      <c r="U365" s="87" t="str">
        <f>IFERROR(__xludf.DUMMYFUNCTION("""COMPUTED_VALUE"""),"3")</f>
        <v>3</v>
      </c>
      <c r="V365" s="46" t="str">
        <f>IFERROR(__xludf.DUMMYFUNCTION("""COMPUTED_VALUE"""),"Esquinera")</f>
        <v>Esquinera</v>
      </c>
      <c r="W365" s="46"/>
      <c r="X365" s="46">
        <f>IFERROR(__xludf.DUMMYFUNCTION("""COMPUTED_VALUE"""),3.0)</f>
        <v>3</v>
      </c>
      <c r="Y365" s="46" t="str">
        <f>IFERROR(__xludf.DUMMYFUNCTION("""COMPUTED_VALUE"""),"No tiene")</f>
        <v>No tiene</v>
      </c>
      <c r="Z365" s="90" t="str">
        <f>IFERROR(__xludf.DUMMYFUNCTION("""COMPUTED_VALUE"""),"No aplica")</f>
        <v>No aplica</v>
      </c>
      <c r="AA365" s="33" t="str">
        <f>IFERROR(__xludf.DUMMYFUNCTION("""COMPUTED_VALUE"""),"No aplica")</f>
        <v>No aplica</v>
      </c>
      <c r="AB365" s="96" t="str">
        <f>IFERROR(__xludf.DUMMYFUNCTION("""COMPUTED_VALUE"""),"https://photos.app.goo.gl/ahyQLpCvzygYoqKB6")</f>
        <v>https://photos.app.goo.gl/ahyQLpCvzygYoqKB6</v>
      </c>
      <c r="AC365" s="46"/>
      <c r="AD365" s="46" t="str">
        <f>IFERROR(__xludf.DUMMYFUNCTION("""COMPUTED_VALUE"""),"Casa  con buenos acabados, bien ubicada y amplia. Cuenta con reja antejardín.  Escritura al día.")</f>
        <v>Casa  con buenos acabados, bien ubicada y amplia. Cuenta con reja antejardín.  Escritura al día.</v>
      </c>
      <c r="AE365" s="46"/>
      <c r="AF365" s="46" t="str">
        <f>IFERROR(__xludf.DUMMYFUNCTION("""COMPUTED_VALUE"""),"integral")</f>
        <v>integral</v>
      </c>
      <c r="AG365" s="46"/>
      <c r="AH365" s="46" t="str">
        <f>IFERROR(__xludf.DUMMYFUNCTION("""COMPUTED_VALUE"""),"Aliado")</f>
        <v>Aliado</v>
      </c>
      <c r="AI365" s="92" t="str">
        <f>IFERROR(__xludf.DUMMYFUNCTION("""COMPUTED_VALUE"""),"https://lh3.googleusercontent.com/pw/AP1GczNGX-tTUWf9ZGjFzcM7mbR01mtckGN7jryRUOaqt4pE89c-OBM2ypMZlnwlwoeZV_yW6OzZuGnSXe5W_bWH6zQp6YYWodVKIG_d-DCAVLY3MTpjyyuR=w1200|https://lh3.googleusercontent.com/pw/AP1GczONzc8acUrR-GE6dnNeM_OMjQ1YC77PYDDTzfUXpt95Z9fvts"&amp;"k-yySmKypo3n-Dxilgr7iErzZTLDuX5u0O7KJtQrC62zxRylY0cJh2Wu32Kpwg6VU_=w1200|https://lh3.googleusercontent.com/pw/AP1GczP2OUZW3y5EgqPVzZ3s7hW-j29cwNMfM9YRnVA1TQImq_KW7k44qzHSeR15fuLQ_UoqoKEabu0Yg0L7ey1g_i-OvlAImk57vSjXgc7HfkNMHTTWCTVG=w1200|https://lh3.google"&amp;"usercontent.com/pw/AP1GczMuBqKKjE6Gw2UnDUu_8khH-7FHmRO2POb2xMI0iY9fRw22rkXfq35Zq0bwpzAwzPr0XgFQlz7gFv_NNSPMI-VP0tBssxy84HATocXwZHp3oJMVbh3s=w1200|https://lh3.googleusercontent.com/pw/AP1GczO88Ic08K15ze3v4uMHYTzyiYduuJaaxNTkRVYIJWT7680QJz8Me32RLcYoLxqWwI-V"&amp;"lMWYfiQCTT_zwsMJjWpxRLepoIf7lczttA-4BGFDNTb7QMi9=w1200|https://lh3.googleusercontent.com/pw/AP1GczPhRe2DAKvMR5LrJtVxWlDLaxyNyn0xB6rZW99oAkFNvIKyNbwwT6-IwROAMh5BEqx70kZh5pW4nS0YCkPoHOcwMlcGMYpdS1IalQ-tuwL26OmpTjIJ=w1200|https://lh3.googleusercontent.com/pw"&amp;"/AP1GczNSGu63U5hq_I8uYz2-LpaNV6P2hyqh-rHgWc8iXPoVQWv-Cd2RKuY8bShv9BlVjudWoIZ---rnTVzAoQfM1lwXXoRjEWblWtyB0Hx_iwHbFmXq47_k=w1200|https://lh3.googleusercontent.com/pw/AP1GczPgGs_h5dImVlbxVZRZ8POdQZmapIHhFzCUBS1NOGVzSl8U9qbdb5_52cIoIQbXeVytEuGwmNuTDk7ecUZ3FH"&amp;"dnYY_5kgmH1rkd5BAmD9fCHDCzyxVt=w1200|https://lh3.googleusercontent.com/pw/AP1GczMAWN5dLCID7_ENy9W961X0KD18U6Bm98QK_J0fYV5VIN0qHEgi0FTSUzT10iDd-_e7hzbGfjxXSDrGGop9PT_3MaDzYwPbjN9k8tZy8fsUGdTCVm6b=w1200|https://lh3.googleusercontent.com/pw/AP1GczP2oJft6frCy"&amp;"zHExNf8hVG4Mu2W0i-_sEloKOcf2HyNqnhE8svVNPFgrRXXGE-Z1gsVFJWtGPvuhok7wOsAtfNdpqQU5aCifQ9cKZidA90yPTo1haEk=w1200|https://lh3.googleusercontent.com/pw/AP1GczO48_FniqXhwEd1oUFHVY_EIwllMvAqJBJfOaGm7leyL13vOSJNqo3vwmj_7E0_a6_JDvqBUWO3ah1GIDp-0uQGrcn9yw-49_35XFE-"&amp;"HuQqvR5O5dNE=w1200|https://lh3.googleusercontent.com/pw/AP1GczOtRruNhWRbQdfBJr2W5WB2hLs-z8mr2oqQ1SDnnSjrk0N02_maGL7pbn99UaE6WBn5Ske5JTR-qa5kXxsOEkAk56YJU8yAkBKmbOalSoEKdFbNBzDm=w1200|https://lh3.googleusercontent.com/pw/AP1GczOb7GezWwkKuI24c3J-WoMxq-S_OB9"&amp;"g4-4yiMoXWo1zHi4m83_vJq2Lk2b5xBkWEp4FX-ve8qgoAhpByncAg_U4TIQmpbUJ3cM99SmXhWOz4JPbYen5=w1200|https://lh3.googleusercontent.com/pw/AP1GczMbtx-12wTqb8B4VR4-GTTJXOcUdhf35MxgycpF-r0vCGb1PazNsAb9sLSM5GSzAVcXDiUkv4g9JbmLmwuaLQcRFBk6L-IQzFXrWC6CX-K93h1Lv9Eo=w1200")</f>
        <v>https://lh3.googleusercontent.com/pw/AP1GczNGX-tTUWf9ZGjFzcM7mbR01mtckGN7jryRUOaqt4pE89c-OBM2ypMZlnwlwoeZV_yW6OzZuGnSXe5W_bWH6zQp6YYWodVKIG_d-DCAVLY3MTpjyyuR=w1200|https://lh3.googleusercontent.com/pw/AP1GczONzc8acUrR-GE6dnNeM_OMjQ1YC77PYDDTzfUXpt95Z9fvtsk-yySmKypo3n-Dxilgr7iErzZTLDuX5u0O7KJtQrC62zxRylY0cJh2Wu32Kpwg6VU_=w1200|https://lh3.googleusercontent.com/pw/AP1GczP2OUZW3y5EgqPVzZ3s7hW-j29cwNMfM9YRnVA1TQImq_KW7k44qzHSeR15fuLQ_UoqoKEabu0Yg0L7ey1g_i-OvlAImk57vSjXgc7HfkNMHTTWCTVG=w1200|https://lh3.googleusercontent.com/pw/AP1GczMuBqKKjE6Gw2UnDUu_8khH-7FHmRO2POb2xMI0iY9fRw22rkXfq35Zq0bwpzAwzPr0XgFQlz7gFv_NNSPMI-VP0tBssxy84HATocXwZHp3oJMVbh3s=w1200|https://lh3.googleusercontent.com/pw/AP1GczO88Ic08K15ze3v4uMHYTzyiYduuJaaxNTkRVYIJWT7680QJz8Me32RLcYoLxqWwI-VlMWYfiQCTT_zwsMJjWpxRLepoIf7lczttA-4BGFDNTb7QMi9=w1200|https://lh3.googleusercontent.com/pw/AP1GczPhRe2DAKvMR5LrJtVxWlDLaxyNyn0xB6rZW99oAkFNvIKyNbwwT6-IwROAMh5BEqx70kZh5pW4nS0YCkPoHOcwMlcGMYpdS1IalQ-tuwL26OmpTjIJ=w1200|https://lh3.googleusercontent.com/pw/AP1GczNSGu63U5hq_I8uYz2-LpaNV6P2hyqh-rHgWc8iXPoVQWv-Cd2RKuY8bShv9BlVjudWoIZ---rnTVzAoQfM1lwXXoRjEWblWtyB0Hx_iwHbFmXq47_k=w1200|https://lh3.googleusercontent.com/pw/AP1GczPgGs_h5dImVlbxVZRZ8POdQZmapIHhFzCUBS1NOGVzSl8U9qbdb5_52cIoIQbXeVytEuGwmNuTDk7ecUZ3FHdnYY_5kgmH1rkd5BAmD9fCHDCzyxVt=w1200|https://lh3.googleusercontent.com/pw/AP1GczMAWN5dLCID7_ENy9W961X0KD18U6Bm98QK_J0fYV5VIN0qHEgi0FTSUzT10iDd-_e7hzbGfjxXSDrGGop9PT_3MaDzYwPbjN9k8tZy8fsUGdTCVm6b=w1200|https://lh3.googleusercontent.com/pw/AP1GczP2oJft6frCyzHExNf8hVG4Mu2W0i-_sEloKOcf2HyNqnhE8svVNPFgrRXXGE-Z1gsVFJWtGPvuhok7wOsAtfNdpqQU5aCifQ9cKZidA90yPTo1haEk=w1200|https://lh3.googleusercontent.com/pw/AP1GczO48_FniqXhwEd1oUFHVY_EIwllMvAqJBJfOaGm7leyL13vOSJNqo3vwmj_7E0_a6_JDvqBUWO3ah1GIDp-0uQGrcn9yw-49_35XFE-HuQqvR5O5dNE=w1200|https://lh3.googleusercontent.com/pw/AP1GczOtRruNhWRbQdfBJr2W5WB2hLs-z8mr2oqQ1SDnnSjrk0N02_maGL7pbn99UaE6WBn5Ske5JTR-qa5kXxsOEkAk56YJU8yAkBKmbOalSoEKdFbNBzDm=w1200|https://lh3.googleusercontent.com/pw/AP1GczOb7GezWwkKuI24c3J-WoMxq-S_OB9g4-4yiMoXWo1zHi4m83_vJq2Lk2b5xBkWEp4FX-ve8qgoAhpByncAg_U4TIQmpbUJ3cM99SmXhWOz4JPbYen5=w1200|https://lh3.googleusercontent.com/pw/AP1GczMbtx-12wTqb8B4VR4-GTTJXOcUdhf35MxgycpF-r0vCGb1PazNsAb9sLSM5GSzAVcXDiUkv4g9JbmLmwuaLQcRFBk6L-IQzFXrWC6CX-K93h1Lv9Eo=w1200</v>
      </c>
      <c r="AJ365" s="46"/>
      <c r="AK365" s="46"/>
      <c r="AL365" s="46"/>
      <c r="AM365" s="46"/>
      <c r="AN365" s="46"/>
      <c r="AO365" s="46"/>
      <c r="AP365" s="46"/>
      <c r="AQ365" s="46"/>
      <c r="AR365" s="46"/>
      <c r="AS365" s="46"/>
      <c r="AT365" s="46"/>
      <c r="AU365" s="46"/>
      <c r="AV365" s="46"/>
      <c r="AW365" s="46"/>
      <c r="AX365" s="46"/>
      <c r="AY365" s="46"/>
      <c r="AZ365" s="46"/>
      <c r="BA365" s="46"/>
      <c r="BB365" s="46"/>
      <c r="BC365" s="46"/>
      <c r="BD365" s="46"/>
      <c r="BE365" s="46"/>
      <c r="BF365" s="46"/>
      <c r="BG365" s="46"/>
      <c r="BH365" s="46"/>
      <c r="BI365" s="46"/>
      <c r="BJ365" s="46"/>
      <c r="BK365" s="46"/>
      <c r="BL365" s="46"/>
      <c r="BM365" s="46"/>
      <c r="BN365" s="46"/>
      <c r="BO365" s="46"/>
      <c r="BP365" s="46"/>
      <c r="BQ365" s="46"/>
      <c r="BR365" s="46"/>
      <c r="BS365" s="46"/>
      <c r="BT365" s="46"/>
      <c r="BU365" s="46"/>
      <c r="BV365" s="46"/>
      <c r="BW365" s="46"/>
      <c r="BX365" s="46"/>
      <c r="BY365" s="46"/>
      <c r="BZ365" s="46"/>
      <c r="CA365" s="46"/>
      <c r="CB365" s="46"/>
      <c r="CC365" s="46"/>
    </row>
    <row r="366">
      <c r="A366" s="87" t="str">
        <f>IFERROR(__xludf.DUMMYFUNCTION("""COMPUTED_VALUE"""),"442")</f>
        <v>442</v>
      </c>
      <c r="B366" s="46" t="str">
        <f>IFERROR(__xludf.DUMMYFUNCTION("""COMPUTED_VALUE"""),"Casa con aparta estudio  en barrio centro")</f>
        <v>Casa con aparta estudio  en barrio centro</v>
      </c>
      <c r="C366" s="46" t="str">
        <f>IFERROR(__xludf.DUMMYFUNCTION("""COMPUTED_VALUE"""),"Casa rentable")</f>
        <v>Casa rentable</v>
      </c>
      <c r="D366" s="46" t="str">
        <f>IFERROR(__xludf.DUMMYFUNCTION("""COMPUTED_VALUE"""),"Centro")</f>
        <v>Centro</v>
      </c>
      <c r="E366" s="46"/>
      <c r="F366" s="90">
        <f>IFERROR(__xludf.DUMMYFUNCTION("""COMPUTED_VALUE"""),4.0E8)</f>
        <v>400000000</v>
      </c>
      <c r="G366" s="46" t="str">
        <f>IFERROR(__xludf.DUMMYFUNCTION("""COMPUTED_VALUE"""),"$400'000.000 a $500'000.000")</f>
        <v>$400'000.000 a $500'000.000</v>
      </c>
      <c r="H366" s="46"/>
      <c r="I366" s="46"/>
      <c r="J366" s="46" t="str">
        <f>IFERROR(__xludf.DUMMYFUNCTION("""COMPUTED_VALUE"""),"Centro")</f>
        <v>Centro</v>
      </c>
      <c r="K366" s="87"/>
      <c r="L366" s="46">
        <f>IFERROR(__xludf.DUMMYFUNCTION("""COMPUTED_VALUE"""),3.0)</f>
        <v>3</v>
      </c>
      <c r="M366" s="46"/>
      <c r="N366" s="46">
        <f>IFERROR(__xludf.DUMMYFUNCTION("""COMPUTED_VALUE"""),2.0)</f>
        <v>2</v>
      </c>
      <c r="O366" s="46">
        <f>IFERROR(__xludf.DUMMYFUNCTION("""COMPUTED_VALUE"""),1.0)</f>
        <v>1</v>
      </c>
      <c r="P366" s="46">
        <f>IFERROR(__xludf.DUMMYFUNCTION("""COMPUTED_VALUE"""),1.0)</f>
        <v>1</v>
      </c>
      <c r="Q366" s="92">
        <f>IFERROR(__xludf.DUMMYFUNCTION("""COMPUTED_VALUE"""),200.0)</f>
        <v>200</v>
      </c>
      <c r="R366" s="92">
        <f>IFERROR(__xludf.DUMMYFUNCTION("""COMPUTED_VALUE"""),215.0)</f>
        <v>215</v>
      </c>
      <c r="S366" s="87" t="str">
        <f>IFERROR(__xludf.DUMMYFUNCTION("""COMPUTED_VALUE"""),"Rentabilidad $1,400,000")</f>
        <v>Rentabilidad $1,400,000</v>
      </c>
      <c r="T366" s="46" t="str">
        <f>IFERROR(__xludf.DUMMYFUNCTION("""COMPUTED_VALUE"""),"Neiva")</f>
        <v>Neiva</v>
      </c>
      <c r="U366" s="87" t="str">
        <f>IFERROR(__xludf.DUMMYFUNCTION("""COMPUTED_VALUE"""),"3")</f>
        <v>3</v>
      </c>
      <c r="V366" s="46" t="str">
        <f>IFERROR(__xludf.DUMMYFUNCTION("""COMPUTED_VALUE"""),"Medianera")</f>
        <v>Medianera</v>
      </c>
      <c r="W366" s="46"/>
      <c r="X366" s="46">
        <f>IFERROR(__xludf.DUMMYFUNCTION("""COMPUTED_VALUE"""),1.0)</f>
        <v>1</v>
      </c>
      <c r="Y366" s="46" t="str">
        <f>IFERROR(__xludf.DUMMYFUNCTION("""COMPUTED_VALUE"""),"No tiene")</f>
        <v>No tiene</v>
      </c>
      <c r="Z366" s="90" t="str">
        <f>IFERROR(__xludf.DUMMYFUNCTION("""COMPUTED_VALUE"""),"No aplica")</f>
        <v>No aplica</v>
      </c>
      <c r="AA366" s="33" t="str">
        <f>IFERROR(__xludf.DUMMYFUNCTION("""COMPUTED_VALUE"""),"24 años")</f>
        <v>24 años</v>
      </c>
      <c r="AB366" s="144" t="str">
        <f>IFERROR(__xludf.DUMMYFUNCTION("""COMPUTED_VALUE"""),"https://photos.app.goo.gl/GQ5kFHFinAS5muQj9")</f>
        <v>https://photos.app.goo.gl/GQ5kFHFinAS5muQj9</v>
      </c>
      <c r="AC366" s="46" t="str">
        <f>IFERROR(__xludf.DUMMYFUNCTION("""COMPUTED_VALUE"""),"Casa con buenos acabados, piso en cerámica, carpintería en aluminio, cielo raso en Dri Wall.")</f>
        <v>Casa con buenos acabados, piso en cerámica, carpintería en aluminio, cielo raso en Dri Wall.</v>
      </c>
      <c r="AD366" s="46" t="str">
        <f>IFERROR(__xludf.DUMMYFUNCTION("""COMPUTED_VALUE"""),"Casa ubicada sobre vía vehicular amplia, entre carrera 4 y 5ta. Escritura al día.")</f>
        <v>Casa ubicada sobre vía vehicular amplia, entre carrera 4 y 5ta. Escritura al día.</v>
      </c>
      <c r="AE366" s="46"/>
      <c r="AF366" s="46" t="str">
        <f>IFERROR(__xludf.DUMMYFUNCTION("""COMPUTED_VALUE"""),"integral")</f>
        <v>integral</v>
      </c>
      <c r="AG366" s="46"/>
      <c r="AH366" s="46" t="str">
        <f>IFERROR(__xludf.DUMMYFUNCTION("""COMPUTED_VALUE"""),"Aliado")</f>
        <v>Aliado</v>
      </c>
      <c r="AI366" s="92" t="str">
        <f>IFERROR(__xludf.DUMMYFUNCTION("""COMPUTED_VALUE"""),"https://lh3.googleusercontent.com/pw/AP1GczN6t3LugyBhowXvh2z5RVIaWFZqxyrJqPOBuniL9rSxDAY_CRqdiTfwa7YgrXa57BKB6qG6oxvyHqX23DM6FQeIuf6P3nwsZuYQ77wTDZs9T3goCBe0=w1200|https://lh3.googleusercontent.com/pw/AP1GczN0DISVepDi7iycwQKmkcHntkpaTebKCrU94Cgz8c-1S-68jg"&amp;"gXN1OGbV_ZLqBChTxeQEY8Wu9ZySmverDLR7XbqWLPrEZxdKw1Uuo-LWMGOLcVcT8u=w1200|https://lh3.googleusercontent.com/pw/AP1GczPYmIS4mhobZcNoEwgQEw2dPrHDPk_PnaacAN2z0WOf3gJEpLVdzRggZWpPFkz_0Iyyzo3pFaMeBkBkljqx5HRJmnWhmDhgJ5c0Q9H0RsXBNHDYhuOS=w1200|https://lh3.google"&amp;"usercontent.com/pw/AP1GczOYb4ZKsB--WxSCwPlduFV1pb2cNHoKnhvgQxjpYt30fgiOETfKwS8DnjD5_UsDvUPgJo1uCpilVjy2xOF8V3uTtV61BtKcLVdcpmrRqYdQ7fJFx4G7=w1200|https://lh3.googleusercontent.com/pw/AP1GczNXswM2CGeFDXqPMjHC7FEyTi9y4tr-4SzOJ7nq4ELGGW1DGY177gEhsnHU3nQ80loG"&amp;"CaFSDA5X6PgD9SsJvtR1mTVPCtNWyWIikwx0FKmN7icVVIvy=w1200|https://lh3.googleusercontent.com/pw/AP1GczMcfq7L0tDygumJ5kraBt_cyz3pKktiXdY7ujXRezRBe7t1xsQbXazhtygdTP5PJl4DCS_rF6dsAR_ZX6wPoBaR3OaMZq4UcOkNlXdfis1epwMtXvCt=w1200|https://lh3.googleusercontent.com/pw"&amp;"/AP1GczPJFCbLPR1AlplUQm1vSEhbXqlCu051KHmZTDQvYd-a5GsoW3a0TNRqzWWeNyLhwODB-lKgvmLCAgTyk9Sn1oKjIVjTIQz5hTgiokCqcuySkNFPddJ-=w1200")</f>
        <v>https://lh3.googleusercontent.com/pw/AP1GczN6t3LugyBhowXvh2z5RVIaWFZqxyrJqPOBuniL9rSxDAY_CRqdiTfwa7YgrXa57BKB6qG6oxvyHqX23DM6FQeIuf6P3nwsZuYQ77wTDZs9T3goCBe0=w1200|https://lh3.googleusercontent.com/pw/AP1GczN0DISVepDi7iycwQKmkcHntkpaTebKCrU94Cgz8c-1S-68jggXN1OGbV_ZLqBChTxeQEY8Wu9ZySmverDLR7XbqWLPrEZxdKw1Uuo-LWMGOLcVcT8u=w1200|https://lh3.googleusercontent.com/pw/AP1GczPYmIS4mhobZcNoEwgQEw2dPrHDPk_PnaacAN2z0WOf3gJEpLVdzRggZWpPFkz_0Iyyzo3pFaMeBkBkljqx5HRJmnWhmDhgJ5c0Q9H0RsXBNHDYhuOS=w1200|https://lh3.googleusercontent.com/pw/AP1GczOYb4ZKsB--WxSCwPlduFV1pb2cNHoKnhvgQxjpYt30fgiOETfKwS8DnjD5_UsDvUPgJo1uCpilVjy2xOF8V3uTtV61BtKcLVdcpmrRqYdQ7fJFx4G7=w1200|https://lh3.googleusercontent.com/pw/AP1GczNXswM2CGeFDXqPMjHC7FEyTi9y4tr-4SzOJ7nq4ELGGW1DGY177gEhsnHU3nQ80loGCaFSDA5X6PgD9SsJvtR1mTVPCtNWyWIikwx0FKmN7icVVIvy=w1200|https://lh3.googleusercontent.com/pw/AP1GczMcfq7L0tDygumJ5kraBt_cyz3pKktiXdY7ujXRezRBe7t1xsQbXazhtygdTP5PJl4DCS_rF6dsAR_ZX6wPoBaR3OaMZq4UcOkNlXdfis1epwMtXvCt=w1200|https://lh3.googleusercontent.com/pw/AP1GczPJFCbLPR1AlplUQm1vSEhbXqlCu051KHmZTDQvYd-a5GsoW3a0TNRqzWWeNyLhwODB-lKgvmLCAgTyk9Sn1oKjIVjTIQz5hTgiokCqcuySkNFPddJ-=w1200</v>
      </c>
      <c r="AJ366" s="46"/>
      <c r="AK366" s="46"/>
      <c r="AL366" s="46"/>
      <c r="AM366" s="46"/>
      <c r="AN366" s="46"/>
      <c r="AO366" s="46"/>
      <c r="AP366" s="46"/>
      <c r="AQ366" s="46"/>
      <c r="AR366" s="46"/>
      <c r="AS366" s="46"/>
      <c r="AT366" s="46"/>
      <c r="AU366" s="46"/>
      <c r="AV366" s="46"/>
      <c r="AW366" s="46"/>
      <c r="AX366" s="46"/>
      <c r="AY366" s="46"/>
      <c r="AZ366" s="46"/>
      <c r="BA366" s="46"/>
      <c r="BB366" s="46"/>
      <c r="BC366" s="46"/>
      <c r="BD366" s="46"/>
      <c r="BE366" s="46"/>
      <c r="BF366" s="46"/>
      <c r="BG366" s="46"/>
      <c r="BH366" s="46"/>
      <c r="BI366" s="46"/>
      <c r="BJ366" s="46"/>
      <c r="BK366" s="46"/>
      <c r="BL366" s="46"/>
      <c r="BM366" s="46"/>
      <c r="BN366" s="46"/>
      <c r="BO366" s="46"/>
      <c r="BP366" s="46"/>
      <c r="BQ366" s="46"/>
      <c r="BR366" s="46"/>
      <c r="BS366" s="46"/>
      <c r="BT366" s="46"/>
      <c r="BU366" s="46"/>
      <c r="BV366" s="46"/>
      <c r="BW366" s="46"/>
      <c r="BX366" s="46"/>
      <c r="BY366" s="46"/>
      <c r="BZ366" s="46"/>
      <c r="CA366" s="46"/>
      <c r="CB366" s="46"/>
      <c r="CC366" s="46"/>
    </row>
    <row r="367">
      <c r="A367" s="87" t="str">
        <f>IFERROR(__xludf.DUMMYFUNCTION("""COMPUTED_VALUE"""),"1297")</f>
        <v>1297</v>
      </c>
      <c r="B367" s="46" t="str">
        <f>IFERROR(__xludf.DUMMYFUNCTION("""COMPUTED_VALUE"""),"Casa en conjunto en barrio Prado Norte")</f>
        <v>Casa en conjunto en barrio Prado Norte</v>
      </c>
      <c r="C367" s="46" t="str">
        <f>IFERROR(__xludf.DUMMYFUNCTION("""COMPUTED_VALUE"""),"Casa en conjunto")</f>
        <v>Casa en conjunto</v>
      </c>
      <c r="D367" s="46" t="str">
        <f>IFERROR(__xludf.DUMMYFUNCTION("""COMPUTED_VALUE"""),"Prado Norte")</f>
        <v>Prado Norte</v>
      </c>
      <c r="E367" s="46"/>
      <c r="F367" s="90">
        <f>IFERROR(__xludf.DUMMYFUNCTION("""COMPUTED_VALUE"""),4.0E8)</f>
        <v>400000000</v>
      </c>
      <c r="G367" s="46" t="str">
        <f>IFERROR(__xludf.DUMMYFUNCTION("""COMPUTED_VALUE"""),"$400'000.000 a $500'000.000")</f>
        <v>$400'000.000 a $500'000.000</v>
      </c>
      <c r="H367" s="46"/>
      <c r="I367" s="46"/>
      <c r="J367" s="46" t="str">
        <f>IFERROR(__xludf.DUMMYFUNCTION("""COMPUTED_VALUE"""),"Norte")</f>
        <v>Norte</v>
      </c>
      <c r="K367" s="87" t="str">
        <f>IFERROR(__xludf.DUMMYFUNCTION("""COMPUTED_VALUE"""),"2")</f>
        <v>2</v>
      </c>
      <c r="L367" s="46">
        <f>IFERROR(__xludf.DUMMYFUNCTION("""COMPUTED_VALUE"""),3.0)</f>
        <v>3</v>
      </c>
      <c r="M367" s="46"/>
      <c r="N367" s="46">
        <f>IFERROR(__xludf.DUMMYFUNCTION("""COMPUTED_VALUE"""),3.0)</f>
        <v>3</v>
      </c>
      <c r="O367" s="46">
        <f>IFERROR(__xludf.DUMMYFUNCTION("""COMPUTED_VALUE"""),1.0)</f>
        <v>1</v>
      </c>
      <c r="P367" s="46">
        <f>IFERROR(__xludf.DUMMYFUNCTION("""COMPUTED_VALUE"""),2.0)</f>
        <v>2</v>
      </c>
      <c r="Q367" s="92">
        <f>IFERROR(__xludf.DUMMYFUNCTION("""COMPUTED_VALUE"""),0.0)</f>
        <v>0</v>
      </c>
      <c r="R367" s="92">
        <f>IFERROR(__xludf.DUMMYFUNCTION("""COMPUTED_VALUE"""),124.0)</f>
        <v>124</v>
      </c>
      <c r="S367" s="87" t="str">
        <f>IFERROR(__xludf.DUMMYFUNCTION("""COMPUTED_VALUE""")," ")</f>
        <v> </v>
      </c>
      <c r="T367" s="46" t="str">
        <f>IFERROR(__xludf.DUMMYFUNCTION("""COMPUTED_VALUE"""),"Neiva")</f>
        <v>Neiva</v>
      </c>
      <c r="U367" s="87" t="str">
        <f>IFERROR(__xludf.DUMMYFUNCTION("""COMPUTED_VALUE"""),"3")</f>
        <v>3</v>
      </c>
      <c r="V367" s="46" t="str">
        <f>IFERROR(__xludf.DUMMYFUNCTION("""COMPUTED_VALUE"""),"Medianera")</f>
        <v>Medianera</v>
      </c>
      <c r="W367" s="46"/>
      <c r="X367" s="46">
        <f>IFERROR(__xludf.DUMMYFUNCTION("""COMPUTED_VALUE"""),3.0)</f>
        <v>3</v>
      </c>
      <c r="Y367" s="46" t="str">
        <f>IFERROR(__xludf.DUMMYFUNCTION("""COMPUTED_VALUE"""),"Social")</f>
        <v>Social</v>
      </c>
      <c r="Z367" s="90">
        <f>IFERROR(__xludf.DUMMYFUNCTION("""COMPUTED_VALUE"""),360000.0)</f>
        <v>360000</v>
      </c>
      <c r="AA367" s="33" t="str">
        <f>IFERROR(__xludf.DUMMYFUNCTION("""COMPUTED_VALUE"""),"No aplica")</f>
        <v>No aplica</v>
      </c>
      <c r="AB367" s="144" t="str">
        <f>IFERROR(__xludf.DUMMYFUNCTION("""COMPUTED_VALUE"""),"https://photos.app.goo.gl/xhzBLta3P2yzEBaH9")</f>
        <v>https://photos.app.goo.gl/xhzBLta3P2yzEBaH9</v>
      </c>
      <c r="AC367" s="46" t="str">
        <f>IFERROR(__xludf.DUMMYFUNCTION("""COMPUTED_VALUE"""),"Casa Ubicada en Zona Norte, Barrio Prado norte en conjunto cerrado, lugar tranquilo, fresco, cerca al Aeropuerto y principales centros comerciales de la Ciudad de Neiva. Cuenta con 3 Habitaciones, 3 baños, Estudio, 2 Parqueadero, Cocina integral, Patio de"&amp;" ropas, zona de lavandería, balcón. Estrato: 3/4. Administración $360,000. (2025).")</f>
        <v>Casa Ubicada en Zona Norte, Barrio Prado norte en conjunto cerrado, lugar tranquilo, fresco, cerca al Aeropuerto y principales centros comerciales de la Ciudad de Neiva. Cuenta con 3 Habitaciones, 3 baños, Estudio, 2 Parqueadero, Cocina integral, Patio de ropas, zona de lavandería, balcón. Estrato: 3/4. Administración $360,000. (2025).</v>
      </c>
      <c r="AD367" s="46" t="str">
        <f>IFERROR(__xludf.DUMMYFUNCTION("""COMPUTED_VALUE"""),"Casa bien ubicada y con buenos acabados.")</f>
        <v>Casa bien ubicada y con buenos acabados.</v>
      </c>
      <c r="AE367" s="46"/>
      <c r="AF367" s="46" t="str">
        <f>IFERROR(__xludf.DUMMYFUNCTION("""COMPUTED_VALUE"""),"integral")</f>
        <v>integral</v>
      </c>
      <c r="AG367" s="46"/>
      <c r="AH367" s="46" t="str">
        <f>IFERROR(__xludf.DUMMYFUNCTION("""COMPUTED_VALUE"""),"Aliado")</f>
        <v>Aliado</v>
      </c>
      <c r="AI367" s="92" t="str">
        <f>IFERROR(__xludf.DUMMYFUNCTION("""COMPUTED_VALUE"""),"https://lh3.googleusercontent.com/pw/AP1GczP5wLt6XvriFdnGZG9SMGNNE9gYoVdcPd5B1j0vrjBe3IpyOxbojIZ9LSN-eIG9sK_S5EzfGqKYr0_O-UTU3VKcp-5fW4Lxc6moUs2jXFMUR2KJ8CtQ=w1200|https://lh3.googleusercontent.com/pw/AP1GczPprxw9cLAK2O79KhkEzztx0PNs7O7rAfFSuNr8PNCRg0zNBE"&amp;"07RCCKVHndrAqjWoNPp1ud72gYrs_lurdOvoqaYsWjTQJPESniL41l8euF_UzPNHTB=w1200|https://lh3.googleusercontent.com/pw/AP1GczOPPy63HbaqqJPNqYGCf4ywBZu8V3S9YAULjxr2dqY5y0XRWRq3tPnZoJnvlFz6HZZB65sCyCco6q3TSRtYtnFplQBIZ_GFY-lA-lYJTxxa7lYszWiq=w1200|https://lh3.google"&amp;"usercontent.com/pw/AP1GczPfnInPaMqM7Q2W9xsS8SHad69QrLatLLMHnBk0cj6kPfIrEDNgyPAW2iQV1BvV-mjmsZmWRIcI4A_nL2gqgHeDMvClql4SyZJahRs8U1ner2MZ9hLe=w1200|https://lh3.googleusercontent.com/pw/AP1GczOpx0p-fVAM1Zfl-RzV3KizFduYR6k-rw92KLzw26UgaENimJGrK7kyo8ZR-2g6MgRR"&amp;"MDEHghREuBhxVqySARZMVmSZKOiDH28qt5OlRX7B9Ib1fKZe=w1200|https://lh3.googleusercontent.com/pw/AP1GczN2roi3ayjlI8Q5RJqADKh6j_bIhhAuZ-GaAzGRuop-hiWzMN22_ENU9NXktpz8-OxZhzOJ4mcj46WCRIciy08BR8dT4bKGw67moUjY9U_1HVzBUfX6=w1200|https://lh3.googleusercontent.com/pw"&amp;"/AP1GczN932YuD5Ct3Umuhg6HNPTh1RTHB3nziR3A7va_yRBSZ7n40IvVE7Ak1jn08LtH_JQ8jCn3M1eQU62k2bl6HN4OikrJJrAFUKRCUO-8McseauN9sLNU=w1200|https://lh3.googleusercontent.com/pw/AP1GczNYsrlkDSOvEyg-5rJPZWGIBb4QKY-VuszmiiCPKBhASqQzwyDrxwBJuCZWsmauk0dBLLg_IdtGG2hptpxTMr"&amp;"UVzP1Fztzo_sfVt8TOtp7z-IoVBP09=w1200|https://lh3.googleusercontent.com/pw/AP1GczOIfqGxiLZ8ezDtWJRpdrGICz71SbciApQeD6_Li1em-8SHf49OMvXqwUUY5ApS_mvgv6oo_BVLWa2d7rehZC-SknZ27mIUpvRb6Te5jkP2kNd3_UAo=w1200|https://lh3.googleusercontent.com/pw/AP1GczM3z3mh9UX4F"&amp;"PTvmgOYEDpM2NJmHWw5DOqbZFewY4h4j56z4o3oPcWFIMR6fN-zeG8-Tl82keiZ7NxemuDxcO-LD2IC-NE-ndae8Rzly_4W-ooJcfl1=w1200|https://lh3.googleusercontent.com/pw/AP1GczPeT3ulZbu0XPjx0gAYoyCJTKmGL7cn05Qd9Ny9NvV_SICPWU8Y_YdjgwypBw6fPTynFyQaibsNhEBhLQsxCLCaxXOIBi7RoitapVjh"&amp;"TP_xTGpPvNVX=w1200|https://lh3.googleusercontent.com/pw/AP1GczP9qzPYCLPaAJZSreaeFixc4x6XtGQL61uINTGf1ItUitDqQUkJH6KyCaSk83u43MmrUC1pOSvmCdBbQ51I3V_NpVEe7yjOl_8Yt4NrJI2RO0bNEeqY=w1200|https://lh3.googleusercontent.com/pw/AP1GczPRNy5mXWPhsYXFP8bRJWJhyyFEbUf"&amp;"7k9ngVSo-KdN10vCiJxUyywJzHFXr2mAdJYEsJOf4Pl2_9CKpcGhB4JfkJ0McZSwZfsuRqsrpJK0hgV-PwHLw=w1200|https://lh3.googleusercontent.com/pw/AP1GczP3IhkNggxdow4fGAqtscZzszAUq6Ls547UM7fNXMY3gDFK8Pz-A_EsmsLytmBeJkESo8RTAKCgfenWXDMlL0OOpTADDyOrl3fC0qnDorNcjYze5uCH=w1200"&amp;"|https://lh3.googleusercontent.com/pw/AP1GczMpYP8R8EymXbBtVnRW7OHfvQIrZc9jkvSsOVdDyy_KhAQu5M-W4uJzLN4RfqN9_9QW7KW5j9oY1sC9rqmYpMyIQZIlHkNo1Uvl8FExK648VdWTfH2y=w1200|https://lh3.googleusercontent.com/pw/AP1GczMJELN_XwH4Bdo5Be5gFJ8aeORCBEI3HxOz1XFyWtFdPXsv9"&amp;"JfgjBb-vLZ0BZ_q5AQ44wWhn4fSe5543BUGIzolYuxxAoGYpnEaCrSofOAwHS09ANmu=w1200|https://lh3.googleusercontent.com/pw/AP1GczNLeWPySKX--Iga6CoMsuX5kwpccxZab5Z-wGfhsp8j909EGjo950o1iYLNrZ3NWxdwdFjWqRh8YXJtmnC5A-UUlHjO6sP97iPIFWwKo-QDirwxCwm_=w1200|https://lh3.googl"&amp;"eusercontent.com/pw/AP1GczPS_IxkcuPWUFOg8ws2bq-0dipRHPrILt6NQYhTJKuUDsUJljPVdd_2zf1dbIBFP378JyMjVcBvJNT_z6Jk_LVgFjk-qaw4RN_3ymKUNurVsffhfr-y=w1200|https://lh3.googleusercontent.com/pw/AP1GczNpa0-Ee6lVE1o0uBpjqrMZvd7sC_kAiFJm5_K7_LfNvxAqsKTbmXsEfSBKP8A8wkW"&amp;"ZGg7QvIwgoNoDthqH-QaTJ1Zp0YPMYpCp3hy6PAYtCsJi_fsy=w1200|https://lh3.googleusercontent.com/pw/AP1GczMIZEfDr62Wi2R85bMj70vnr7flOHUBwEMWCJBBh3mo8cCOK4p69vXFvyeamOLsC8Yl7BK1IIaKlYYCyrxDRDK0KYymX0sWO4eielOHJtcNacWatV2e=w1200|https://lh3.googleusercontent.com/p"&amp;"w/AP1GczNXzLOdPdinUaULPfLJnag5ezxdx1lQn1JCDYV7_FSYJ_8ZRL3OXbYCofNWDzDb7BQSk0d9BtH5nqx_Eih17PFw_xgiKA7dAtTJkd0_WEzFg9z4tXNJ=w1200|https://lh3.googleusercontent.com/pw/AP1GczPhQsktDNbOMqgaehzO5NzLLe1FhWhJpbboWUsSMZQRFznwmgEWC8wO7p4N55JjFCpKlPFjCjaO9BwQVYftm"&amp;"iFRAraEIoFjj_W1_5axp-v1CU9LnpDN=w1200")</f>
        <v>https://lh3.googleusercontent.com/pw/AP1GczP5wLt6XvriFdnGZG9SMGNNE9gYoVdcPd5B1j0vrjBe3IpyOxbojIZ9LSN-eIG9sK_S5EzfGqKYr0_O-UTU3VKcp-5fW4Lxc6moUs2jXFMUR2KJ8CtQ=w1200|https://lh3.googleusercontent.com/pw/AP1GczPprxw9cLAK2O79KhkEzztx0PNs7O7rAfFSuNr8PNCRg0zNBE07RCCKVHndrAqjWoNPp1ud72gYrs_lurdOvoqaYsWjTQJPESniL41l8euF_UzPNHTB=w1200|https://lh3.googleusercontent.com/pw/AP1GczOPPy63HbaqqJPNqYGCf4ywBZu8V3S9YAULjxr2dqY5y0XRWRq3tPnZoJnvlFz6HZZB65sCyCco6q3TSRtYtnFplQBIZ_GFY-lA-lYJTxxa7lYszWiq=w1200|https://lh3.googleusercontent.com/pw/AP1GczPfnInPaMqM7Q2W9xsS8SHad69QrLatLLMHnBk0cj6kPfIrEDNgyPAW2iQV1BvV-mjmsZmWRIcI4A_nL2gqgHeDMvClql4SyZJahRs8U1ner2MZ9hLe=w1200|https://lh3.googleusercontent.com/pw/AP1GczOpx0p-fVAM1Zfl-RzV3KizFduYR6k-rw92KLzw26UgaENimJGrK7kyo8ZR-2g6MgRRMDEHghREuBhxVqySARZMVmSZKOiDH28qt5OlRX7B9Ib1fKZe=w1200|https://lh3.googleusercontent.com/pw/AP1GczN2roi3ayjlI8Q5RJqADKh6j_bIhhAuZ-GaAzGRuop-hiWzMN22_ENU9NXktpz8-OxZhzOJ4mcj46WCRIciy08BR8dT4bKGw67moUjY9U_1HVzBUfX6=w1200|https://lh3.googleusercontent.com/pw/AP1GczN932YuD5Ct3Umuhg6HNPTh1RTHB3nziR3A7va_yRBSZ7n40IvVE7Ak1jn08LtH_JQ8jCn3M1eQU62k2bl6HN4OikrJJrAFUKRCUO-8McseauN9sLNU=w1200|https://lh3.googleusercontent.com/pw/AP1GczNYsrlkDSOvEyg-5rJPZWGIBb4QKY-VuszmiiCPKBhASqQzwyDrxwBJuCZWsmauk0dBLLg_IdtGG2hptpxTMrUVzP1Fztzo_sfVt8TOtp7z-IoVBP09=w1200|https://lh3.googleusercontent.com/pw/AP1GczOIfqGxiLZ8ezDtWJRpdrGICz71SbciApQeD6_Li1em-8SHf49OMvXqwUUY5ApS_mvgv6oo_BVLWa2d7rehZC-SknZ27mIUpvRb6Te5jkP2kNd3_UAo=w1200|https://lh3.googleusercontent.com/pw/AP1GczM3z3mh9UX4FPTvmgOYEDpM2NJmHWw5DOqbZFewY4h4j56z4o3oPcWFIMR6fN-zeG8-Tl82keiZ7NxemuDxcO-LD2IC-NE-ndae8Rzly_4W-ooJcfl1=w1200|https://lh3.googleusercontent.com/pw/AP1GczPeT3ulZbu0XPjx0gAYoyCJTKmGL7cn05Qd9Ny9NvV_SICPWU8Y_YdjgwypBw6fPTynFyQaibsNhEBhLQsxCLCaxXOIBi7RoitapVjhTP_xTGpPvNVX=w1200|https://lh3.googleusercontent.com/pw/AP1GczP9qzPYCLPaAJZSreaeFixc4x6XtGQL61uINTGf1ItUitDqQUkJH6KyCaSk83u43MmrUC1pOSvmCdBbQ51I3V_NpVEe7yjOl_8Yt4NrJI2RO0bNEeqY=w1200|https://lh3.googleusercontent.com/pw/AP1GczPRNy5mXWPhsYXFP8bRJWJhyyFEbUf7k9ngVSo-KdN10vCiJxUyywJzHFXr2mAdJYEsJOf4Pl2_9CKpcGhB4JfkJ0McZSwZfsuRqsrpJK0hgV-PwHLw=w1200|https://lh3.googleusercontent.com/pw/AP1GczP3IhkNggxdow4fGAqtscZzszAUq6Ls547UM7fNXMY3gDFK8Pz-A_EsmsLytmBeJkESo8RTAKCgfenWXDMlL0OOpTADDyOrl3fC0qnDorNcjYze5uCH=w1200|https://lh3.googleusercontent.com/pw/AP1GczMpYP8R8EymXbBtVnRW7OHfvQIrZc9jkvSsOVdDyy_KhAQu5M-W4uJzLN4RfqN9_9QW7KW5j9oY1sC9rqmYpMyIQZIlHkNo1Uvl8FExK648VdWTfH2y=w1200|https://lh3.googleusercontent.com/pw/AP1GczMJELN_XwH4Bdo5Be5gFJ8aeORCBEI3HxOz1XFyWtFdPXsv9JfgjBb-vLZ0BZ_q5AQ44wWhn4fSe5543BUGIzolYuxxAoGYpnEaCrSofOAwHS09ANmu=w1200|https://lh3.googleusercontent.com/pw/AP1GczNLeWPySKX--Iga6CoMsuX5kwpccxZab5Z-wGfhsp8j909EGjo950o1iYLNrZ3NWxdwdFjWqRh8YXJtmnC5A-UUlHjO6sP97iPIFWwKo-QDirwxCwm_=w1200|https://lh3.googleusercontent.com/pw/AP1GczPS_IxkcuPWUFOg8ws2bq-0dipRHPrILt6NQYhTJKuUDsUJljPVdd_2zf1dbIBFP378JyMjVcBvJNT_z6Jk_LVgFjk-qaw4RN_3ymKUNurVsffhfr-y=w1200|https://lh3.googleusercontent.com/pw/AP1GczNpa0-Ee6lVE1o0uBpjqrMZvd7sC_kAiFJm5_K7_LfNvxAqsKTbmXsEfSBKP8A8wkWZGg7QvIwgoNoDthqH-QaTJ1Zp0YPMYpCp3hy6PAYtCsJi_fsy=w1200|https://lh3.googleusercontent.com/pw/AP1GczMIZEfDr62Wi2R85bMj70vnr7flOHUBwEMWCJBBh3mo8cCOK4p69vXFvyeamOLsC8Yl7BK1IIaKlYYCyrxDRDK0KYymX0sWO4eielOHJtcNacWatV2e=w1200|https://lh3.googleusercontent.com/pw/AP1GczNXzLOdPdinUaULPfLJnag5ezxdx1lQn1JCDYV7_FSYJ_8ZRL3OXbYCofNWDzDb7BQSk0d9BtH5nqx_Eih17PFw_xgiKA7dAtTJkd0_WEzFg9z4tXNJ=w1200|https://lh3.googleusercontent.com/pw/AP1GczPhQsktDNbOMqgaehzO5NzLLe1FhWhJpbboWUsSMZQRFznwmgEWC8wO7p4N55JjFCpKlPFjCjaO9BwQVYftmiFRAraEIoFjj_W1_5axp-v1CU9LnpDN=w1200</v>
      </c>
      <c r="AJ367" s="46"/>
      <c r="AK367" s="46"/>
      <c r="AL367" s="46"/>
      <c r="AM367" s="46"/>
      <c r="AN367" s="46"/>
      <c r="AO367" s="46"/>
      <c r="AP367" s="46"/>
      <c r="AQ367" s="46"/>
      <c r="AR367" s="46"/>
      <c r="AS367" s="46"/>
      <c r="AT367" s="46"/>
      <c r="AU367" s="46"/>
      <c r="AV367" s="46"/>
      <c r="AW367" s="46"/>
      <c r="AX367" s="46"/>
      <c r="AY367" s="46"/>
      <c r="AZ367" s="46"/>
      <c r="BA367" s="46"/>
      <c r="BB367" s="46"/>
      <c r="BC367" s="46"/>
      <c r="BD367" s="46"/>
      <c r="BE367" s="46"/>
      <c r="BF367" s="46"/>
      <c r="BG367" s="46"/>
      <c r="BH367" s="46"/>
      <c r="BI367" s="46"/>
      <c r="BJ367" s="46"/>
      <c r="BK367" s="46"/>
      <c r="BL367" s="46"/>
      <c r="BM367" s="46"/>
      <c r="BN367" s="46"/>
      <c r="BO367" s="46"/>
      <c r="BP367" s="46"/>
      <c r="BQ367" s="46"/>
      <c r="BR367" s="46"/>
      <c r="BS367" s="46"/>
      <c r="BT367" s="46"/>
      <c r="BU367" s="46"/>
      <c r="BV367" s="46"/>
      <c r="BW367" s="46"/>
      <c r="BX367" s="46"/>
      <c r="BY367" s="46"/>
      <c r="BZ367" s="46"/>
      <c r="CA367" s="46"/>
      <c r="CB367" s="46"/>
      <c r="CC367" s="46"/>
    </row>
    <row r="368">
      <c r="A368" s="87" t="str">
        <f>IFERROR(__xludf.DUMMYFUNCTION("""COMPUTED_VALUE"""),"1189")</f>
        <v>1189</v>
      </c>
      <c r="B368" s="46" t="str">
        <f>IFERROR(__xludf.DUMMYFUNCTION("""COMPUTED_VALUE"""),"Casa más aparta estudio en barrio norte")</f>
        <v>Casa más aparta estudio en barrio norte</v>
      </c>
      <c r="C368" s="46" t="str">
        <f>IFERROR(__xludf.DUMMYFUNCTION("""COMPUTED_VALUE"""),"Casa rentable")</f>
        <v>Casa rentable</v>
      </c>
      <c r="D368" s="46" t="str">
        <f>IFERROR(__xludf.DUMMYFUNCTION("""COMPUTED_VALUE"""),"Norte")</f>
        <v>Norte</v>
      </c>
      <c r="E368" s="46"/>
      <c r="F368" s="90">
        <f>IFERROR(__xludf.DUMMYFUNCTION("""COMPUTED_VALUE"""),4.0E8)</f>
        <v>400000000</v>
      </c>
      <c r="G368" s="46" t="str">
        <f>IFERROR(__xludf.DUMMYFUNCTION("""COMPUTED_VALUE"""),"$400'000.000 a $500'000.000")</f>
        <v>$400'000.000 a $500'000.000</v>
      </c>
      <c r="H368" s="46"/>
      <c r="I368" s="46"/>
      <c r="J368" s="46" t="str">
        <f>IFERROR(__xludf.DUMMYFUNCTION("""COMPUTED_VALUE"""),"Norte")</f>
        <v>Norte</v>
      </c>
      <c r="K368" s="87"/>
      <c r="L368" s="33">
        <f>IFERROR(__xludf.DUMMYFUNCTION("""COMPUTED_VALUE"""),4.0)</f>
        <v>4</v>
      </c>
      <c r="M368" s="33"/>
      <c r="N368" s="33">
        <f>IFERROR(__xludf.DUMMYFUNCTION("""COMPUTED_VALUE"""),4.0)</f>
        <v>4</v>
      </c>
      <c r="O368" s="33">
        <f>IFERROR(__xludf.DUMMYFUNCTION("""COMPUTED_VALUE"""),1.0)</f>
        <v>1</v>
      </c>
      <c r="P368" s="33">
        <f>IFERROR(__xludf.DUMMYFUNCTION("""COMPUTED_VALUE"""),2.0)</f>
        <v>2</v>
      </c>
      <c r="Q368" s="92">
        <f>IFERROR(__xludf.DUMMYFUNCTION("""COMPUTED_VALUE"""),152.0)</f>
        <v>152</v>
      </c>
      <c r="R368" s="92">
        <f>IFERROR(__xludf.DUMMYFUNCTION("""COMPUTED_VALUE"""),152.0)</f>
        <v>152</v>
      </c>
      <c r="S368" s="87" t="str">
        <f>IFERROR(__xludf.DUMMYFUNCTION("""COMPUTED_VALUE"""),"Rentabilidad $1,200,000")</f>
        <v>Rentabilidad $1,200,000</v>
      </c>
      <c r="T368" s="46" t="str">
        <f>IFERROR(__xludf.DUMMYFUNCTION("""COMPUTED_VALUE"""),"Neiva")</f>
        <v>Neiva</v>
      </c>
      <c r="U368" s="87"/>
      <c r="V368" s="33" t="str">
        <f>IFERROR(__xludf.DUMMYFUNCTION("""COMPUTED_VALUE"""),"Medianera")</f>
        <v>Medianera</v>
      </c>
      <c r="W368" s="33"/>
      <c r="X368" s="33">
        <f>IFERROR(__xludf.DUMMYFUNCTION("""COMPUTED_VALUE"""),3.0)</f>
        <v>3</v>
      </c>
      <c r="Y368" s="46" t="str">
        <f>IFERROR(__xludf.DUMMYFUNCTION("""COMPUTED_VALUE"""),"No tiene")</f>
        <v>No tiene</v>
      </c>
      <c r="Z368" s="90" t="str">
        <f>IFERROR(__xludf.DUMMYFUNCTION("""COMPUTED_VALUE"""),"No aplica")</f>
        <v>No aplica</v>
      </c>
      <c r="AA368" s="33" t="str">
        <f>IFERROR(__xludf.DUMMYFUNCTION("""COMPUTED_VALUE"""),"28 años")</f>
        <v>28 años</v>
      </c>
      <c r="AB368" s="144" t="str">
        <f>IFERROR(__xludf.DUMMYFUNCTION("""COMPUTED_VALUE"""),"https://photos.app.goo.gl/A3SQb3ATB3Ad5EKJ6")</f>
        <v>https://photos.app.goo.gl/A3SQb3ATB3Ad5EKJ6</v>
      </c>
      <c r="AC368" s="46" t="str">
        <f>IFERROR(__xludf.DUMMYFUNCTION("""COMPUTED_VALUE"""),"Casa  amplia, ventilada y funcional. Con buenos acabados. Piso en porcelanato, tablón rojo cielo raso en Dri Wall, fachaleta, carpintería en madera.")</f>
        <v>Casa  amplia, ventilada y funcional. Con buenos acabados. Piso en porcelanato, tablón rojo cielo raso en Dri Wall, fachaleta, carpintería en madera.</v>
      </c>
      <c r="AD368" s="46" t="str">
        <f>IFERROR(__xludf.DUMMYFUNCTION("""COMPUTED_VALUE"""),"Casa ubicada sobre vía vehicular amplia, cuenta con reja antejardín y patio. Escritura al día.")</f>
        <v>Casa ubicada sobre vía vehicular amplia, cuenta con reja antejardín y patio. Escritura al día.</v>
      </c>
      <c r="AE368" s="46"/>
      <c r="AF368" s="46" t="str">
        <f>IFERROR(__xludf.DUMMYFUNCTION("""COMPUTED_VALUE"""),"integral")</f>
        <v>integral</v>
      </c>
      <c r="AG368" s="46"/>
      <c r="AH368" s="46" t="str">
        <f>IFERROR(__xludf.DUMMYFUNCTION("""COMPUTED_VALUE"""),"Aliado")</f>
        <v>Aliado</v>
      </c>
      <c r="AI368" s="92" t="str">
        <f>IFERROR(__xludf.DUMMYFUNCTION("""COMPUTED_VALUE"""),"https://lh3.googleusercontent.com/pw/AP1GczPKsHPAcGbjornlFLkTUdvLuY44vm3KpJmmqshQPfqbOPfaFjFgpCtnbk0_mcvptWzOY2oH2O3wDxDnvtbe8_jHb1NCRdGVg0t2QA1GP45b3ZmoQmes=w1200|https://lh3.googleusercontent.com/pw/AP1GczN1z4u8CL-YJdA8W59Yq0O-rnufdWZce4sfIsSL4FaiNKnoFK"&amp;"ZAElRu-BuQjjZ26bIGsM2L1S9j9nkkfe46xKwuKxsLzmZOHF20CHT_ineQLWYb8kao=w1200|https://lh3.googleusercontent.com/pw/AP1GczPoMt34ssLjMQNPAqU06bcJny6SefTSgkiPLn1973955IP1qIri5oNQI3-0frLJHGIDS407mK9iCYU7cIoGTPTwNuhMfkOno0Zwtash2yfUQNfBplrS=w1200|https://lh3.google"&amp;"usercontent.com/pw/AP1GczNh9aWovdLOBX-IjJuq6xXPb_imQgbAz89ecs038p3mYnfCvHtu4QkP9sJESDoIkip-1aJfflFe4FJuDila5km-0n4sGNe6ZgWcB0l66hBpkbEmuFua=w1200|https://lh3.googleusercontent.com/pw/AP1GczNMSGJy85PWwmWoGQhzELEkAvCyVUZkzL-Q4-hZ7NW6Zmj43fPoLS4nKKpMjkq0mha5"&amp;"FFXFUGZEW0rPI48_V5zSliZmP4UBFcGwEoqcPIXacHc-d__c=w1200|https://lh3.googleusercontent.com/pw/AP1GczO0kTfAElse2sZrzsyHP2j8z7dBSaOBLdpk-UvYceWgwFIw0jbo3FFT3K6ChXK_fxOAdSVcFsPDoM9dQm-sGR31-04KIxm1jVKsWQRKqs6NAdN_IfI9=w1200|https://lh3.googleusercontent.com/pw"&amp;"/AP1GczOtu7vdoUHM5jDkAv34cIuOMNJxH2izwdufS6j6cfTw39VrkekzK1u8lChvdobyQk_fehWrlQMV7JaL3y_dFjT2mzLA4v6OdmaIn2qGIjMrp2eLFdKn=w1200|https://lh3.googleusercontent.com/pw/AP1GczOVCcTVwvichgJvJ18olrLxDGQnLjA7ykwMqDZOZXoLKCjuy1uarVrhj25zoHwxrCaGHtZ7pYksRmqu_FuECr"&amp;"mPhmW2UJ83f2gOjB7pkJhQpnD4htR_=w1200|https://lh3.googleusercontent.com/pw/AP1GczMMw4buaiqbKKhG011m9KgTHgyQ4gz0O5Hhd26j_ThFryKlDEUdpwjD5yExNkXA1y3vqUeV3biodnVjPQVu60OknzvafxVK_KkFDCVhaGTrRCyZ1SdV=w1200|https://lh3.googleusercontent.com/pw/AP1GczMkn7jUNFg8m"&amp;"OhYrBCZ9hdmgPUYmH8a9IQqxbGLY_DeVkUfFCjFlcrEQCLeogGLi2hhrvGKeHleItP0NUukUOERGwy9ZchpmdROySESJSiCsVHQMl4x=w1200|https://lh3.googleusercontent.com/pw/AP1GczPzvlq4_lCnhZB-EkE9o1nTKeVE-1Sk5iwZ_SVEJYHpOL7qqnquc3I6z1_tNEHE6r5BvkhBzkxfPYgtPIISArqspL6XNtD1oRt-QJud"&amp;"y4ZZagtfAUU6=w1200|https://lh3.googleusercontent.com/pw/AP1GczPGIYjrsQQdv1z4KCgQsG-C4nLLPQfbUl-kDzVnR0_uc553E8RNFVia-A2wZoGctDSjI45wiDuWhBj0RcDuOwwyGG-lmpFwGuDtbq_SBCtPz60lWsAV=w1200|https://lh3.googleusercontent.com/pw/AP1GczO2QZc11Te8t87N8_S1Ca-n4WpT557"&amp;"cWqHSiWj_uzC_oKKa9ZAxl0_y_RsTQtyCPHDyQY_iLu3P-BuL4VC9c-vJPWVh_qsXnvJUOh5N4Z9k5yQK9IjY=w1200|https://lh3.googleusercontent.com/pw/AP1GczNW1XFlGSnocPj7lZU0Rtc7A9DBRElJxhXJz2kqFkXqBrC7wah7QN7xBlax89496AR6dwIRJ57w8seivSnyP3HzA_JqMA5gBYMIa_qsKdyWrGGb1B_M=w1200")</f>
        <v>https://lh3.googleusercontent.com/pw/AP1GczPKsHPAcGbjornlFLkTUdvLuY44vm3KpJmmqshQPfqbOPfaFjFgpCtnbk0_mcvptWzOY2oH2O3wDxDnvtbe8_jHb1NCRdGVg0t2QA1GP45b3ZmoQmes=w1200|https://lh3.googleusercontent.com/pw/AP1GczN1z4u8CL-YJdA8W59Yq0O-rnufdWZce4sfIsSL4FaiNKnoFKZAElRu-BuQjjZ26bIGsM2L1S9j9nkkfe46xKwuKxsLzmZOHF20CHT_ineQLWYb8kao=w1200|https://lh3.googleusercontent.com/pw/AP1GczPoMt34ssLjMQNPAqU06bcJny6SefTSgkiPLn1973955IP1qIri5oNQI3-0frLJHGIDS407mK9iCYU7cIoGTPTwNuhMfkOno0Zwtash2yfUQNfBplrS=w1200|https://lh3.googleusercontent.com/pw/AP1GczNh9aWovdLOBX-IjJuq6xXPb_imQgbAz89ecs038p3mYnfCvHtu4QkP9sJESDoIkip-1aJfflFe4FJuDila5km-0n4sGNe6ZgWcB0l66hBpkbEmuFua=w1200|https://lh3.googleusercontent.com/pw/AP1GczNMSGJy85PWwmWoGQhzELEkAvCyVUZkzL-Q4-hZ7NW6Zmj43fPoLS4nKKpMjkq0mha5FFXFUGZEW0rPI48_V5zSliZmP4UBFcGwEoqcPIXacHc-d__c=w1200|https://lh3.googleusercontent.com/pw/AP1GczO0kTfAElse2sZrzsyHP2j8z7dBSaOBLdpk-UvYceWgwFIw0jbo3FFT3K6ChXK_fxOAdSVcFsPDoM9dQm-sGR31-04KIxm1jVKsWQRKqs6NAdN_IfI9=w1200|https://lh3.googleusercontent.com/pw/AP1GczOtu7vdoUHM5jDkAv34cIuOMNJxH2izwdufS6j6cfTw39VrkekzK1u8lChvdobyQk_fehWrlQMV7JaL3y_dFjT2mzLA4v6OdmaIn2qGIjMrp2eLFdKn=w1200|https://lh3.googleusercontent.com/pw/AP1GczOVCcTVwvichgJvJ18olrLxDGQnLjA7ykwMqDZOZXoLKCjuy1uarVrhj25zoHwxrCaGHtZ7pYksRmqu_FuECrmPhmW2UJ83f2gOjB7pkJhQpnD4htR_=w1200|https://lh3.googleusercontent.com/pw/AP1GczMMw4buaiqbKKhG011m9KgTHgyQ4gz0O5Hhd26j_ThFryKlDEUdpwjD5yExNkXA1y3vqUeV3biodnVjPQVu60OknzvafxVK_KkFDCVhaGTrRCyZ1SdV=w1200|https://lh3.googleusercontent.com/pw/AP1GczMkn7jUNFg8mOhYrBCZ9hdmgPUYmH8a9IQqxbGLY_DeVkUfFCjFlcrEQCLeogGLi2hhrvGKeHleItP0NUukUOERGwy9ZchpmdROySESJSiCsVHQMl4x=w1200|https://lh3.googleusercontent.com/pw/AP1GczPzvlq4_lCnhZB-EkE9o1nTKeVE-1Sk5iwZ_SVEJYHpOL7qqnquc3I6z1_tNEHE6r5BvkhBzkxfPYgtPIISArqspL6XNtD1oRt-QJudy4ZZagtfAUU6=w1200|https://lh3.googleusercontent.com/pw/AP1GczPGIYjrsQQdv1z4KCgQsG-C4nLLPQfbUl-kDzVnR0_uc553E8RNFVia-A2wZoGctDSjI45wiDuWhBj0RcDuOwwyGG-lmpFwGuDtbq_SBCtPz60lWsAV=w1200|https://lh3.googleusercontent.com/pw/AP1GczO2QZc11Te8t87N8_S1Ca-n4WpT557cWqHSiWj_uzC_oKKa9ZAxl0_y_RsTQtyCPHDyQY_iLu3P-BuL4VC9c-vJPWVh_qsXnvJUOh5N4Z9k5yQK9IjY=w1200|https://lh3.googleusercontent.com/pw/AP1GczNW1XFlGSnocPj7lZU0Rtc7A9DBRElJxhXJz2kqFkXqBrC7wah7QN7xBlax89496AR6dwIRJ57w8seivSnyP3HzA_JqMA5gBYMIa_qsKdyWrGGb1B_M=w1200</v>
      </c>
      <c r="AJ368" s="46"/>
      <c r="AK368" s="46"/>
      <c r="AL368" s="46"/>
      <c r="AM368" s="46"/>
      <c r="AN368" s="46"/>
      <c r="AO368" s="46"/>
      <c r="AP368" s="46"/>
      <c r="AQ368" s="46"/>
      <c r="AR368" s="46"/>
      <c r="AS368" s="46"/>
      <c r="AT368" s="46"/>
      <c r="AU368" s="46"/>
      <c r="AV368" s="46"/>
      <c r="AW368" s="46"/>
      <c r="AX368" s="46"/>
      <c r="AY368" s="46"/>
      <c r="AZ368" s="46"/>
      <c r="BA368" s="46"/>
      <c r="BB368" s="46"/>
      <c r="BC368" s="46"/>
      <c r="BD368" s="46"/>
      <c r="BE368" s="46"/>
      <c r="BF368" s="46"/>
      <c r="BG368" s="46"/>
      <c r="BH368" s="46"/>
      <c r="BI368" s="46"/>
      <c r="BJ368" s="46"/>
      <c r="BK368" s="46"/>
      <c r="BL368" s="46"/>
      <c r="BM368" s="46"/>
      <c r="BN368" s="46"/>
      <c r="BO368" s="46"/>
      <c r="BP368" s="46"/>
      <c r="BQ368" s="46"/>
      <c r="BR368" s="46"/>
      <c r="BS368" s="46"/>
      <c r="BT368" s="46"/>
      <c r="BU368" s="46"/>
      <c r="BV368" s="46"/>
      <c r="BW368" s="46"/>
      <c r="BX368" s="46"/>
      <c r="BY368" s="46"/>
      <c r="BZ368" s="46"/>
      <c r="CA368" s="46"/>
      <c r="CB368" s="46"/>
      <c r="CC368" s="46"/>
    </row>
    <row r="369">
      <c r="A369" s="87" t="str">
        <f>IFERROR(__xludf.DUMMYFUNCTION("""COMPUTED_VALUE"""),"1150")</f>
        <v>1150</v>
      </c>
      <c r="B369" s="46" t="str">
        <f>IFERROR(__xludf.DUMMYFUNCTION("""COMPUTED_VALUE"""),"Casa en barrio Santa Bárbara")</f>
        <v>Casa en barrio Santa Bárbara</v>
      </c>
      <c r="C369" s="46" t="str">
        <f>IFERROR(__xludf.DUMMYFUNCTION("""COMPUTED_VALUE"""),"Casa")</f>
        <v>Casa</v>
      </c>
      <c r="D369" s="46" t="str">
        <f>IFERROR(__xludf.DUMMYFUNCTION("""COMPUTED_VALUE"""),"Santa Barbara")</f>
        <v>Santa Barbara</v>
      </c>
      <c r="E369" s="90"/>
      <c r="F369" s="90">
        <f>IFERROR(__xludf.DUMMYFUNCTION("""COMPUTED_VALUE"""),4.0E8)</f>
        <v>400000000</v>
      </c>
      <c r="G369" s="46" t="str">
        <f>IFERROR(__xludf.DUMMYFUNCTION("""COMPUTED_VALUE"""),"$400'000.000 a $500'000.000")</f>
        <v>$400'000.000 a $500'000.000</v>
      </c>
      <c r="H369" s="46"/>
      <c r="I369" s="46"/>
      <c r="J369" s="46" t="str">
        <f>IFERROR(__xludf.DUMMYFUNCTION("""COMPUTED_VALUE"""),"Occidente")</f>
        <v>Occidente</v>
      </c>
      <c r="K369" s="87"/>
      <c r="L369" s="46">
        <f>IFERROR(__xludf.DUMMYFUNCTION("""COMPUTED_VALUE"""),3.0)</f>
        <v>3</v>
      </c>
      <c r="M369" s="46"/>
      <c r="N369" s="46">
        <f>IFERROR(__xludf.DUMMYFUNCTION("""COMPUTED_VALUE"""),3.0)</f>
        <v>3</v>
      </c>
      <c r="O369" s="46">
        <f>IFERROR(__xludf.DUMMYFUNCTION("""COMPUTED_VALUE"""),1.0)</f>
        <v>1</v>
      </c>
      <c r="P369" s="46">
        <f>IFERROR(__xludf.DUMMYFUNCTION("""COMPUTED_VALUE"""),2.0)</f>
        <v>2</v>
      </c>
      <c r="Q369" s="92">
        <f>IFERROR(__xludf.DUMMYFUNCTION("""COMPUTED_VALUE"""),185.0)</f>
        <v>185</v>
      </c>
      <c r="R369" s="92">
        <f>IFERROR(__xludf.DUMMYFUNCTION("""COMPUTED_VALUE"""),104.0)</f>
        <v>104</v>
      </c>
      <c r="S369" s="87" t="str">
        <f>IFERROR(__xludf.DUMMYFUNCTION("""COMPUTED_VALUE""")," ")</f>
        <v> </v>
      </c>
      <c r="T369" s="46" t="str">
        <f>IFERROR(__xludf.DUMMYFUNCTION("""COMPUTED_VALUE"""),"Palermo")</f>
        <v>Palermo</v>
      </c>
      <c r="U369" s="87" t="str">
        <f>IFERROR(__xludf.DUMMYFUNCTION("""COMPUTED_VALUE"""),"2")</f>
        <v>2</v>
      </c>
      <c r="V369" s="46" t="str">
        <f>IFERROR(__xludf.DUMMYFUNCTION("""COMPUTED_VALUE"""),"Medianera")</f>
        <v>Medianera</v>
      </c>
      <c r="W369" s="46"/>
      <c r="X369" s="46">
        <f>IFERROR(__xludf.DUMMYFUNCTION("""COMPUTED_VALUE"""),3.0)</f>
        <v>3</v>
      </c>
      <c r="Y369" s="46" t="str">
        <f>IFERROR(__xludf.DUMMYFUNCTION("""COMPUTED_VALUE"""),"Privada")</f>
        <v>Privada</v>
      </c>
      <c r="Z369" s="90" t="str">
        <f>IFERROR(__xludf.DUMMYFUNCTION("""COMPUTED_VALUE"""),"No aplica")</f>
        <v>No aplica</v>
      </c>
      <c r="AA369" s="33" t="str">
        <f>IFERROR(__xludf.DUMMYFUNCTION("""COMPUTED_VALUE"""),"No aplica")</f>
        <v>No aplica</v>
      </c>
      <c r="AB369" s="96" t="str">
        <f>IFERROR(__xludf.DUMMYFUNCTION("""COMPUTED_VALUE"""),"https://photos.app.goo.gl/9biqo69BcA9Mky9s8")</f>
        <v>https://photos.app.goo.gl/9biqo69BcA9Mky9s8</v>
      </c>
      <c r="AC369" s="46" t="str">
        <f>IFERROR(__xludf.DUMMYFUNCTION("""COMPUTED_VALUE"""),"Casa con buenos acabados, piso en cerámica, cielo raso en Dri Wall y PVC con lámparas led de empotrar,  fachaleta, carpintería marcos, puertas closet en madera. Cuenta con patio.")</f>
        <v>Casa con buenos acabados, piso en cerámica, cielo raso en Dri Wall y PVC con lámparas led de empotrar,  fachaleta, carpintería marcos, puertas closet en madera. Cuenta con patio.</v>
      </c>
      <c r="AD369" s="46" t="str">
        <f>IFERROR(__xludf.DUMMYFUNCTION("""COMPUTED_VALUE"""),"Casa ubicada sobre vía vehicular, cuenta con reja antejardín. Escritura al día.")</f>
        <v>Casa ubicada sobre vía vehicular, cuenta con reja antejardín. Escritura al día.</v>
      </c>
      <c r="AE369" s="46"/>
      <c r="AF369" s="46" t="str">
        <f>IFERROR(__xludf.DUMMYFUNCTION("""COMPUTED_VALUE"""),"integral")</f>
        <v>integral</v>
      </c>
      <c r="AG369" s="46"/>
      <c r="AH369" s="46" t="str">
        <f>IFERROR(__xludf.DUMMYFUNCTION("""COMPUTED_VALUE"""),"Aliado")</f>
        <v>Aliado</v>
      </c>
      <c r="AI369" s="92" t="str">
        <f>IFERROR(__xludf.DUMMYFUNCTION("""COMPUTED_VALUE"""),"https://lh3.googleusercontent.com/pw/AP1GczPlfIHCTfhl56kDyiprp8DyEBZjc6hw-354drYeAdNmU8_vXMlmQvzMsJ6QzxOfI0p997G1cNOq9F-zyiikSc3KGrtEkYGmWUTTkSQchcKchQMIche_=w1200|https://lh3.googleusercontent.com/pw/AP1GczM4y9W_ciDStCnYy4SUnOfXO-ZPSvpQD14IEr3fKLo5HD9mVj"&amp;"oxTbMSIsppY8eIMp9XBd-YvZ92s-f_Ilu1Z9D9A387hL6U0VRbgBJn-k8PmRbAXbcS=w1200|https://lh3.googleusercontent.com/pw/AP1GczNsZIpTsrFWGjvrVJuenyRteKqwoP53IGK-TzCReRqo9Go53EmyknzxHWPxzglLvGkNa0XV8k79pv4P3EzzzSeCdJZ4IKbZcAGexDOgzyITyY2ryJRI=w1200|https://lh3.google"&amp;"usercontent.com/pw/AP1GczOl9UuKsiI0TYhcnHaYkqHDum2UUIxLZ3KsiowVPmGKMHhBc3xU_FCDnu5ItNv3jzZR5fWvLrxfLHBzU6vPmR37ByDXr8Kcj1069sB-nepww3yUojdy=w1200|https://lh3.googleusercontent.com/pw/AP1GczPpPVsjXbA8LCbls-2BdnrOFHT4gB767RfWYmeyVVWaSXcpST3lySsaF4TOK5daifuV"&amp;"V8SPnrgURf0yXXUw4vHlLeO8By-ebieR8yGDge8YCRsyHlP_=w1200|https://lh3.googleusercontent.com/pw/AP1GczO-2DiPWJMycfg_UaSmhSSBoSkD4m4QCSSd5eB0ogDrYysIY9FqnSiQzZ_cMOkEoPM1iod8lnNxwHaQ9-6C7zBVRu5fzepXvgRV5XOQMRF_68klBE-B=w1200|https://lh3.googleusercontent.com/pw"&amp;"/AP1GczNk5Aa_1ll-CzS1pk_klZZJi1z8b5KpINNhxsBDSuz9YsEpZNnB_6ib2MnbChlxX-L3m1C17LOWx9s_9xy_AH4EhvDEuGNIkDCBcbNyNZkxhfOrIs3M=w1200|https://lh3.googleusercontent.com/pw/AP1GczP8n8Voi02KAGscQ0bZ6HPBPg9JIShzSzF73RSZDdMWizKO8TVrCnsCHWMG8xpSKazjuxEaWeS1PxQjD-x79k"&amp;"pymv5pKK2qum0Xuh4FjDGYEIY5oBU4=w1200|https://lh3.googleusercontent.com/pw/AP1GczPJl4J3Bmx1UE-dkCRUk9epNluXQEgE-uWBH3-lXWa4pJJBSU1MFBaiGHEaY_5dWRO1JApWFUnH2kJGLa7DesXFwEsv4eynxNjCjh545S9QcGm3KuMX=w1200|https://lh3.googleusercontent.com/pw/AP1GczPOL9qE5IlI8"&amp;"KfMgroPz7t2NxpjWZ52uSv8QSP3GC_eBRKKf4wg6M_ezZ3vD61vVITI94H2oejVojppvmQFHVK3GJIentjjHdmhNSZesMKKcgY3nLJ8=w1200|https://lh3.googleusercontent.com/pw/AP1GczNLQIKm3B272ZuSUBF4MUwoRjzD9elPIkl5Fcds4Ncrltk1NAmWoQ2fjR0zMWG-j8JFmWxri_0BKd2ozqjkwhINhUPltoGYGz0qSQTp"&amp;"i5dUFd-A5A-5=w1200|https://lh3.googleusercontent.com/pw/AP1GczPGlxq5sDDSi8bWuVc8CKcjO59cg2hSSSwsQf3NoRXC0jGagVDgiHu0bGEPcLfTLO552pjHJSacs8366wqOmaj2yKlHtRGvvL9X3bZs8FBp_GKzg4ec=w1200|https://lh3.googleusercontent.com/pw/AP1GczPhWSEvQBxqa8hpzkAf4Pq-Hk9lysQ"&amp;"2lUqxOSy7ZKEWjaHI4SsJQfj5Hvq7AugiasIhBpXhyA2PxoDcQ0ITArjzLo3aos3Nnel64W9sTt-Ae0vsgIpn=w1200")</f>
        <v>https://lh3.googleusercontent.com/pw/AP1GczPlfIHCTfhl56kDyiprp8DyEBZjc6hw-354drYeAdNmU8_vXMlmQvzMsJ6QzxOfI0p997G1cNOq9F-zyiikSc3KGrtEkYGmWUTTkSQchcKchQMIche_=w1200|https://lh3.googleusercontent.com/pw/AP1GczM4y9W_ciDStCnYy4SUnOfXO-ZPSvpQD14IEr3fKLo5HD9mVjoxTbMSIsppY8eIMp9XBd-YvZ92s-f_Ilu1Z9D9A387hL6U0VRbgBJn-k8PmRbAXbcS=w1200|https://lh3.googleusercontent.com/pw/AP1GczNsZIpTsrFWGjvrVJuenyRteKqwoP53IGK-TzCReRqo9Go53EmyknzxHWPxzglLvGkNa0XV8k79pv4P3EzzzSeCdJZ4IKbZcAGexDOgzyITyY2ryJRI=w1200|https://lh3.googleusercontent.com/pw/AP1GczOl9UuKsiI0TYhcnHaYkqHDum2UUIxLZ3KsiowVPmGKMHhBc3xU_FCDnu5ItNv3jzZR5fWvLrxfLHBzU6vPmR37ByDXr8Kcj1069sB-nepww3yUojdy=w1200|https://lh3.googleusercontent.com/pw/AP1GczPpPVsjXbA8LCbls-2BdnrOFHT4gB767RfWYmeyVVWaSXcpST3lySsaF4TOK5daifuVV8SPnrgURf0yXXUw4vHlLeO8By-ebieR8yGDge8YCRsyHlP_=w1200|https://lh3.googleusercontent.com/pw/AP1GczO-2DiPWJMycfg_UaSmhSSBoSkD4m4QCSSd5eB0ogDrYysIY9FqnSiQzZ_cMOkEoPM1iod8lnNxwHaQ9-6C7zBVRu5fzepXvgRV5XOQMRF_68klBE-B=w1200|https://lh3.googleusercontent.com/pw/AP1GczNk5Aa_1ll-CzS1pk_klZZJi1z8b5KpINNhxsBDSuz9YsEpZNnB_6ib2MnbChlxX-L3m1C17LOWx9s_9xy_AH4EhvDEuGNIkDCBcbNyNZkxhfOrIs3M=w1200|https://lh3.googleusercontent.com/pw/AP1GczP8n8Voi02KAGscQ0bZ6HPBPg9JIShzSzF73RSZDdMWizKO8TVrCnsCHWMG8xpSKazjuxEaWeS1PxQjD-x79kpymv5pKK2qum0Xuh4FjDGYEIY5oBU4=w1200|https://lh3.googleusercontent.com/pw/AP1GczPJl4J3Bmx1UE-dkCRUk9epNluXQEgE-uWBH3-lXWa4pJJBSU1MFBaiGHEaY_5dWRO1JApWFUnH2kJGLa7DesXFwEsv4eynxNjCjh545S9QcGm3KuMX=w1200|https://lh3.googleusercontent.com/pw/AP1GczPOL9qE5IlI8KfMgroPz7t2NxpjWZ52uSv8QSP3GC_eBRKKf4wg6M_ezZ3vD61vVITI94H2oejVojppvmQFHVK3GJIentjjHdmhNSZesMKKcgY3nLJ8=w1200|https://lh3.googleusercontent.com/pw/AP1GczNLQIKm3B272ZuSUBF4MUwoRjzD9elPIkl5Fcds4Ncrltk1NAmWoQ2fjR0zMWG-j8JFmWxri_0BKd2ozqjkwhINhUPltoGYGz0qSQTpi5dUFd-A5A-5=w1200|https://lh3.googleusercontent.com/pw/AP1GczPGlxq5sDDSi8bWuVc8CKcjO59cg2hSSSwsQf3NoRXC0jGagVDgiHu0bGEPcLfTLO552pjHJSacs8366wqOmaj2yKlHtRGvvL9X3bZs8FBp_GKzg4ec=w1200|https://lh3.googleusercontent.com/pw/AP1GczPhWSEvQBxqa8hpzkAf4Pq-Hk9lysQ2lUqxOSy7ZKEWjaHI4SsJQfj5Hvq7AugiasIhBpXhyA2PxoDcQ0ITArjzLo3aos3Nnel64W9sTt-Ae0vsgIpn=w1200</v>
      </c>
      <c r="AJ369" s="46"/>
      <c r="AK369" s="46"/>
      <c r="AL369" s="46"/>
      <c r="AM369" s="46"/>
      <c r="AN369" s="46"/>
      <c r="AO369" s="46"/>
      <c r="AP369" s="46"/>
      <c r="AQ369" s="46"/>
      <c r="AR369" s="46"/>
      <c r="AS369" s="46"/>
      <c r="AT369" s="46"/>
      <c r="AU369" s="46"/>
      <c r="AV369" s="46"/>
      <c r="AW369" s="46"/>
      <c r="AX369" s="46"/>
      <c r="AY369" s="46"/>
      <c r="AZ369" s="46"/>
      <c r="BA369" s="46"/>
      <c r="BB369" s="46"/>
      <c r="BC369" s="46"/>
      <c r="BD369" s="46"/>
      <c r="BE369" s="46"/>
      <c r="BF369" s="46"/>
      <c r="BG369" s="46"/>
      <c r="BH369" s="46"/>
      <c r="BI369" s="46"/>
      <c r="BJ369" s="46"/>
      <c r="BK369" s="46"/>
      <c r="BL369" s="46"/>
      <c r="BM369" s="46"/>
      <c r="BN369" s="46"/>
      <c r="BO369" s="46"/>
      <c r="BP369" s="46"/>
      <c r="BQ369" s="46"/>
      <c r="BR369" s="46"/>
      <c r="BS369" s="46"/>
      <c r="BT369" s="46"/>
      <c r="BU369" s="46"/>
      <c r="BV369" s="46"/>
      <c r="BW369" s="46"/>
      <c r="BX369" s="46"/>
      <c r="BY369" s="46"/>
      <c r="BZ369" s="46"/>
      <c r="CA369" s="46"/>
      <c r="CB369" s="46"/>
      <c r="CC369" s="46"/>
    </row>
    <row r="370">
      <c r="A370" s="87" t="str">
        <f>IFERROR(__xludf.DUMMYFUNCTION("""COMPUTED_VALUE"""),"1363")</f>
        <v>1363</v>
      </c>
      <c r="B370" s="46" t="str">
        <f>IFERROR(__xludf.DUMMYFUNCTION("""COMPUTED_VALUE"""),"Apartamento en edificio 8-34 - Oriente")</f>
        <v>Apartamento en edificio 8-34 - Oriente</v>
      </c>
      <c r="C370" s="46" t="str">
        <f>IFERROR(__xludf.DUMMYFUNCTION("""COMPUTED_VALUE"""),"Apartamento")</f>
        <v>Apartamento</v>
      </c>
      <c r="D370" s="46" t="str">
        <f>IFERROR(__xludf.DUMMYFUNCTION("""COMPUTED_VALUE"""),"La Floresta")</f>
        <v>La Floresta</v>
      </c>
      <c r="E370" s="46"/>
      <c r="F370" s="90">
        <f>IFERROR(__xludf.DUMMYFUNCTION("""COMPUTED_VALUE"""),3.95E8)</f>
        <v>395000000</v>
      </c>
      <c r="G370" s="46" t="str">
        <f>IFERROR(__xludf.DUMMYFUNCTION("""COMPUTED_VALUE"""),"$300'000.000 a $400'000.000")</f>
        <v>$300'000.000 a $400'000.000</v>
      </c>
      <c r="H370" s="46"/>
      <c r="I370" s="46"/>
      <c r="J370" s="46" t="str">
        <f>IFERROR(__xludf.DUMMYFUNCTION("""COMPUTED_VALUE"""),"Oriente")</f>
        <v>Oriente</v>
      </c>
      <c r="K370" s="87" t="str">
        <f>IFERROR(__xludf.DUMMYFUNCTION("""COMPUTED_VALUE"""),"7")</f>
        <v>7</v>
      </c>
      <c r="L370" s="46">
        <f>IFERROR(__xludf.DUMMYFUNCTION("""COMPUTED_VALUE"""),3.0)</f>
        <v>3</v>
      </c>
      <c r="M370" s="46"/>
      <c r="N370" s="46">
        <f>IFERROR(__xludf.DUMMYFUNCTION("""COMPUTED_VALUE"""),2.0)</f>
        <v>2</v>
      </c>
      <c r="O370" s="46">
        <f>IFERROR(__xludf.DUMMYFUNCTION("""COMPUTED_VALUE"""),2.0)</f>
        <v>2</v>
      </c>
      <c r="P370" s="46"/>
      <c r="Q370" s="92">
        <f>IFERROR(__xludf.DUMMYFUNCTION("""COMPUTED_VALUE"""),97.0)</f>
        <v>97</v>
      </c>
      <c r="R370" s="92">
        <f>IFERROR(__xludf.DUMMYFUNCTION("""COMPUTED_VALUE"""),97.0)</f>
        <v>97</v>
      </c>
      <c r="S370" s="87" t="str">
        <f>IFERROR(__xludf.DUMMYFUNCTION("""COMPUTED_VALUE""")," ")</f>
        <v> </v>
      </c>
      <c r="T370" s="46" t="str">
        <f>IFERROR(__xludf.DUMMYFUNCTION("""COMPUTED_VALUE"""),"Neiva")</f>
        <v>Neiva</v>
      </c>
      <c r="U370" s="87" t="str">
        <f>IFERROR(__xludf.DUMMYFUNCTION("""COMPUTED_VALUE"""),"3")</f>
        <v>3</v>
      </c>
      <c r="V370" s="46"/>
      <c r="W370" s="46"/>
      <c r="X370" s="46">
        <f>IFERROR(__xludf.DUMMYFUNCTION("""COMPUTED_VALUE"""),3.0)</f>
        <v>3</v>
      </c>
      <c r="Y370" s="46" t="str">
        <f>IFERROR(__xludf.DUMMYFUNCTION("""COMPUTED_VALUE"""),"Social")</f>
        <v>Social</v>
      </c>
      <c r="Z370" s="90"/>
      <c r="AA370" s="33" t="str">
        <f>IFERROR(__xludf.DUMMYFUNCTION("""COMPUTED_VALUE"""),"No aplica")</f>
        <v>No aplica</v>
      </c>
      <c r="AB370" s="96" t="str">
        <f>IFERROR(__xludf.DUMMYFUNCTION("""COMPUTED_VALUE"""),"https://photos.app.goo.gl/PFsZXgV9Q4m72GdCA")</f>
        <v>https://photos.app.goo.gl/PFsZXgV9Q4m72GdCA</v>
      </c>
      <c r="AC370" s="46" t="str">
        <f>IFERROR(__xludf.DUMMYFUNCTION("""COMPUTED_VALUE"""),"El inmueble ofrece el equilibrio perfecto entre comodidad y estilo, con 3 habitaciones, 2 baños, espacios de sala y comedor acogedores, y acabados que marcan la diferencia como su moderno papel tapiz que aporta un toque sofisticado. Se entrega completamen"&amp;"te equipado con cortinas, mueble de TV, 3 ventiladores y aire acondicionado en la habitación principal, listo para habitar.")</f>
        <v>El inmueble ofrece el equilibrio perfecto entre comodidad y estilo, con 3 habitaciones, 2 baños, espacios de sala y comedor acogedores, y acabados que marcan la diferencia como su moderno papel tapiz que aporta un toque sofisticado. Se entrega completamente equipado con cortinas, mueble de TV, 3 ventiladores y aire acondicionado en la habitación principal, listo para habitar.</v>
      </c>
      <c r="AD370" s="46" t="str">
        <f>IFERROR(__xludf.DUMMYFUNCTION("""COMPUTED_VALUE"""),"Descubre este amplio y elegante apartamento de 97 m² ubicado en el sector oriente, una zona de alta valorización y gran proyección. Además, cuenta con el gran beneficio de 2 parqueaderos y depósito contiguo con estantería, ideal para organización y almace"&amp;"namiento. Una excelente oportunidad para vivir o invertir.")</f>
        <v>Descubre este amplio y elegante apartamento de 97 m² ubicado en el sector oriente, una zona de alta valorización y gran proyección. Además, cuenta con el gran beneficio de 2 parqueaderos y depósito contiguo con estantería, ideal para organización y almacenamiento. Una excelente oportunidad para vivir o invertir.</v>
      </c>
      <c r="AE370" s="46"/>
      <c r="AF370" s="46" t="str">
        <f>IFERROR(__xludf.DUMMYFUNCTION("""COMPUTED_VALUE"""),"integral")</f>
        <v>integral</v>
      </c>
      <c r="AG370" s="46"/>
      <c r="AH370" s="46" t="str">
        <f>IFERROR(__xludf.DUMMYFUNCTION("""COMPUTED_VALUE"""),"Aliado")</f>
        <v>Aliado</v>
      </c>
      <c r="AI370" s="92" t="str">
        <f>IFERROR(__xludf.DUMMYFUNCTION("""COMPUTED_VALUE"""),"https://lh3.googleusercontent.com/pw/AP1GczPzYDBAwuxChVOel5Me2Y__4dB6nrOPGFvresSnw5bxGoNZ5pi2b6LdhVKPgKkfiD2pALDikkjeN33asdZPpma2xWYM7Yyd5_uuApGVWsAC7d7bx-Yy=w1200|https://lh3.googleusercontent.com/pw/AP1GczPTpQlwRMmjYy5wnsG7HIV8gUHmW8Gz9FtXd2xTmhWrDO6V7z"&amp;"vZAIzN2dqRva-j5ws4bY_QmiYQt8LtAOdQH-QRvZpG6kcWMmPvwDDe3oUl8FsJ8tJc=w1200|https://lh3.googleusercontent.com/pw/AP1GczNhWO_DOb9aj8kvxcf2g0EYxNCf5UVBru_lyAmjSEsNAYZal4VKydq0BJ_ABVgIVE4qinIWsd2c2eu3D2sqZx_7LDySzeRatMDG1gUL-gtqD0ll7hwQ=w1200|https://lh3.google"&amp;"usercontent.com/pw/AP1GczMIUvaPHjuRQophkJNAieIEGPpWNF0_1fiEbRM4Ro3puXDBAdDvaRxVTemIxbwmOIPzGFojaVePM-IQLEqU-2DRg6aAwB7GFCxmctnC1P-Tu_RilmVb=w1200|https://lh3.googleusercontent.com/pw/AP1GczPfqkTn4--R_v4p_HIZ7GAm4_S_tWQJ8R7KKDppwoFOdvIwT1mT5aCB5H37MGfE5lqU"&amp;"NVZlyUIAsXtCTDou-WyFW8BxriB62-gW4Wa2g-6nb917UfyH=w1200")</f>
        <v>https://lh3.googleusercontent.com/pw/AP1GczPzYDBAwuxChVOel5Me2Y__4dB6nrOPGFvresSnw5bxGoNZ5pi2b6LdhVKPgKkfiD2pALDikkjeN33asdZPpma2xWYM7Yyd5_uuApGVWsAC7d7bx-Yy=w1200|https://lh3.googleusercontent.com/pw/AP1GczPTpQlwRMmjYy5wnsG7HIV8gUHmW8Gz9FtXd2xTmhWrDO6V7zvZAIzN2dqRva-j5ws4bY_QmiYQt8LtAOdQH-QRvZpG6kcWMmPvwDDe3oUl8FsJ8tJc=w1200|https://lh3.googleusercontent.com/pw/AP1GczNhWO_DOb9aj8kvxcf2g0EYxNCf5UVBru_lyAmjSEsNAYZal4VKydq0BJ_ABVgIVE4qinIWsd2c2eu3D2sqZx_7LDySzeRatMDG1gUL-gtqD0ll7hwQ=w1200|https://lh3.googleusercontent.com/pw/AP1GczMIUvaPHjuRQophkJNAieIEGPpWNF0_1fiEbRM4Ro3puXDBAdDvaRxVTemIxbwmOIPzGFojaVePM-IQLEqU-2DRg6aAwB7GFCxmctnC1P-Tu_RilmVb=w1200|https://lh3.googleusercontent.com/pw/AP1GczPfqkTn4--R_v4p_HIZ7GAm4_S_tWQJ8R7KKDppwoFOdvIwT1mT5aCB5H37MGfE5lqUNVZlyUIAsXtCTDou-WyFW8BxriB62-gW4Wa2g-6nb917UfyH=w1200</v>
      </c>
      <c r="AJ370" s="46"/>
      <c r="AK370" s="46"/>
      <c r="AL370" s="46"/>
      <c r="AM370" s="46"/>
      <c r="AN370" s="46"/>
      <c r="AO370" s="46"/>
      <c r="AP370" s="46"/>
      <c r="AQ370" s="46"/>
      <c r="AR370" s="46"/>
      <c r="AS370" s="46"/>
      <c r="AT370" s="46"/>
      <c r="AU370" s="46"/>
      <c r="AV370" s="46"/>
      <c r="AW370" s="46"/>
      <c r="AX370" s="46"/>
      <c r="AY370" s="46"/>
      <c r="AZ370" s="46"/>
      <c r="BA370" s="46"/>
      <c r="BB370" s="46"/>
      <c r="BC370" s="46"/>
      <c r="BD370" s="46"/>
      <c r="BE370" s="46"/>
      <c r="BF370" s="46"/>
      <c r="BG370" s="46"/>
      <c r="BH370" s="46"/>
      <c r="BI370" s="46"/>
      <c r="BJ370" s="46"/>
      <c r="BK370" s="46"/>
      <c r="BL370" s="46"/>
      <c r="BM370" s="46"/>
      <c r="BN370" s="46"/>
      <c r="BO370" s="46"/>
      <c r="BP370" s="46"/>
      <c r="BQ370" s="46"/>
      <c r="BR370" s="46"/>
      <c r="BS370" s="46"/>
      <c r="BT370" s="46"/>
      <c r="BU370" s="46"/>
      <c r="BV370" s="46"/>
      <c r="BW370" s="46"/>
      <c r="BX370" s="46"/>
      <c r="BY370" s="46"/>
      <c r="BZ370" s="46"/>
      <c r="CA370" s="46"/>
      <c r="CB370" s="46"/>
      <c r="CC370" s="46"/>
    </row>
    <row r="371">
      <c r="A371" s="87" t="str">
        <f>IFERROR(__xludf.DUMMYFUNCTION("""COMPUTED_VALUE"""),"1318")</f>
        <v>1318</v>
      </c>
      <c r="B371" s="46" t="str">
        <f>IFERROR(__xludf.DUMMYFUNCTION("""COMPUTED_VALUE"""),"Casa en conjunto Residencial - Norte")</f>
        <v>Casa en conjunto Residencial - Norte</v>
      </c>
      <c r="C371" s="46" t="str">
        <f>IFERROR(__xludf.DUMMYFUNCTION("""COMPUTED_VALUE"""),"Casa en conjunto")</f>
        <v>Casa en conjunto</v>
      </c>
      <c r="D371" s="46"/>
      <c r="E371" s="46" t="str">
        <f>IFERROR(__xludf.DUMMYFUNCTION("""COMPUTED_VALUE"""),"Conjunto Norte")</f>
        <v>Conjunto Norte</v>
      </c>
      <c r="F371" s="90">
        <f>IFERROR(__xludf.DUMMYFUNCTION("""COMPUTED_VALUE"""),3.6E8)</f>
        <v>360000000</v>
      </c>
      <c r="G371" s="46" t="str">
        <f>IFERROR(__xludf.DUMMYFUNCTION("""COMPUTED_VALUE"""),"$300'000.000 a $400'000.000")</f>
        <v>$300'000.000 a $400'000.000</v>
      </c>
      <c r="H371" s="46"/>
      <c r="I371" s="46"/>
      <c r="J371" s="46" t="str">
        <f>IFERROR(__xludf.DUMMYFUNCTION("""COMPUTED_VALUE"""),"Norte")</f>
        <v>Norte</v>
      </c>
      <c r="K371" s="87" t="str">
        <f>IFERROR(__xludf.DUMMYFUNCTION("""COMPUTED_VALUE"""),"2")</f>
        <v>2</v>
      </c>
      <c r="L371" s="46">
        <f>IFERROR(__xludf.DUMMYFUNCTION("""COMPUTED_VALUE"""),3.0)</f>
        <v>3</v>
      </c>
      <c r="M371" s="46"/>
      <c r="N371" s="46">
        <f>IFERROR(__xludf.DUMMYFUNCTION("""COMPUTED_VALUE"""),3.0)</f>
        <v>3</v>
      </c>
      <c r="O371" s="46">
        <f>IFERROR(__xludf.DUMMYFUNCTION("""COMPUTED_VALUE"""),1.0)</f>
        <v>1</v>
      </c>
      <c r="P371" s="46">
        <f>IFERROR(__xludf.DUMMYFUNCTION("""COMPUTED_VALUE"""),2.0)</f>
        <v>2</v>
      </c>
      <c r="Q371" s="92">
        <f>IFERROR(__xludf.DUMMYFUNCTION("""COMPUTED_VALUE"""),165.0)</f>
        <v>165</v>
      </c>
      <c r="R371" s="92">
        <f>IFERROR(__xludf.DUMMYFUNCTION("""COMPUTED_VALUE"""),96.0)</f>
        <v>96</v>
      </c>
      <c r="S371" s="87" t="str">
        <f>IFERROR(__xludf.DUMMYFUNCTION("""COMPUTED_VALUE""")," ")</f>
        <v> </v>
      </c>
      <c r="T371" s="46" t="str">
        <f>IFERROR(__xludf.DUMMYFUNCTION("""COMPUTED_VALUE"""),"Neiva")</f>
        <v>Neiva</v>
      </c>
      <c r="U371" s="87" t="str">
        <f>IFERROR(__xludf.DUMMYFUNCTION("""COMPUTED_VALUE"""),"4")</f>
        <v>4</v>
      </c>
      <c r="V371" s="46" t="str">
        <f>IFERROR(__xludf.DUMMYFUNCTION("""COMPUTED_VALUE"""),"Medianera")</f>
        <v>Medianera</v>
      </c>
      <c r="W371" s="46"/>
      <c r="X371" s="46">
        <f>IFERROR(__xludf.DUMMYFUNCTION("""COMPUTED_VALUE"""),3.0)</f>
        <v>3</v>
      </c>
      <c r="Y371" s="46" t="str">
        <f>IFERROR(__xludf.DUMMYFUNCTION("""COMPUTED_VALUE"""),"Social")</f>
        <v>Social</v>
      </c>
      <c r="Z371" s="90">
        <f>IFERROR(__xludf.DUMMYFUNCTION("""COMPUTED_VALUE"""),360000.0)</f>
        <v>360000</v>
      </c>
      <c r="AA371" s="33" t="str">
        <f>IFERROR(__xludf.DUMMYFUNCTION("""COMPUTED_VALUE"""),"No aplica")</f>
        <v>No aplica</v>
      </c>
      <c r="AB371" s="96" t="str">
        <f>IFERROR(__xludf.DUMMYFUNCTION("""COMPUTED_VALUE"""),"https://photos.app.goo.gl/fxMk4EJWemSXEDo17")</f>
        <v>https://photos.app.goo.gl/fxMk4EJWemSXEDo17</v>
      </c>
      <c r="AC371" s="46" t="str">
        <f>IFERROR(__xludf.DUMMYFUNCTION("""COMPUTED_VALUE"""),"Casa de dos plantas ubicada en conjunto residencial al norte de la ciudad, que ofrece en el primer nivel sala–comedor, baño social, balcón con vista a zona verde, patio interno techado, cocina integral y patio de ropas con zona de lavandería; el segundo p"&amp;"iso cuenta con hall de alcobas, balcón, estudio, habitación principal con baño privado y clóset, baño auxiliar y dos habitaciones adicionales con clóset. La propiedad dispone de parqueadero privado, es de estrato 4 y tiene un valor de administración de $3"&amp;"60.000.")</f>
        <v>Casa de dos plantas ubicada en conjunto residencial al norte de la ciudad, que ofrece en el primer nivel sala–comedor, baño social, balcón con vista a zona verde, patio interno techado, cocina integral y patio de ropas con zona de lavandería; el segundo piso cuenta con hall de alcobas, balcón, estudio, habitación principal con baño privado y clóset, baño auxiliar y dos habitaciones adicionales con clóset. La propiedad dispone de parqueadero privado, es de estrato 4 y tiene un valor de administración de $360.000.</v>
      </c>
      <c r="AD371" s="46" t="str">
        <f>IFERROR(__xludf.DUMMYFUNCTION("""COMPUTED_VALUE"""),"El conjunto residencial ofrece completas zonas comunes como canchas deportivas, piscina para adultos y niños, jacuzzi, zona BBQ, salón social, gimnasio, parque infantil, parqueadero para visitantes, supermercado, amplias zonas verdes y vigilancia 24 horas"&amp;", brindando confort, seguridad y una excelente calidad de vida.")</f>
        <v>El conjunto residencial ofrece completas zonas comunes como canchas deportivas, piscina para adultos y niños, jacuzzi, zona BBQ, salón social, gimnasio, parque infantil, parqueadero para visitantes, supermercado, amplias zonas verdes y vigilancia 24 horas, brindando confort, seguridad y una excelente calidad de vida.</v>
      </c>
      <c r="AE371" s="46"/>
      <c r="AF371" s="46" t="str">
        <f>IFERROR(__xludf.DUMMYFUNCTION("""COMPUTED_VALUE"""),"integral")</f>
        <v>integral</v>
      </c>
      <c r="AG371" s="46"/>
      <c r="AH371" s="46" t="str">
        <f>IFERROR(__xludf.DUMMYFUNCTION("""COMPUTED_VALUE"""),"Aliado")</f>
        <v>Aliado</v>
      </c>
      <c r="AI371" s="92" t="str">
        <f>IFERROR(__xludf.DUMMYFUNCTION("""COMPUTED_VALUE"""),"https://lh3.googleusercontent.com/pw/AP1GczMUoyLHmeSUsZti3NfUoylwg_qZi39WKxFVsog2QfQXWi5Y4d5zqetXgw-NRqInUc9FsOsam1L7r7GGuaKznRk3MtLzCkr-P9WxctxCyotH-Fbs0xgN=w1200|https://lh3.googleusercontent.com/pw/AP1GczOV3yM_ptgp6D20RIAFB0LcMKfehwhkeJ3jxOTWHKAKSLU_lO"&amp;"ApUchqcw1urpuNTLsmfj334XGJ2ZyTNQu_2THZwFF812VuMpJUV-MyV61Dt2i195Et=w1200|https://lh3.googleusercontent.com/pw/AP1GczODeBZVbAZbttzW1u9qv-MtcL3K4gl5S-reDZTo0-GjGkPNh8n9sHzhyGWrM4odg4S4deAjYWqxW1LlWbKkUekDhlm-Y0mARw91OqiJtV5vybP-jhyR=w1200|https://lh3.google"&amp;"usercontent.com/pw/AP1GczOV8AHns5ubRTaZu9TjrOsmgyWty6K5JpsJOod9z8or-sLBmCMlptDemFDRVfS3klINZaICOmN4g3pIaSX27HAMuhiFvvyh1kMm9BzM7xaMc9m1-T4G=w1200|https://lh3.googleusercontent.com/pw/AP1GczPqqRDugBWIhCbFq29glpXYvA7Ybywf9nHABCHf5OfwHFbuvkhn6D-DwQVpE5ndOKKc"&amp;"0ON96Mf5Tap7A43LBLNIXXKsw1_U0ZhTz8_RX18Hmr4iZrPe=w1200|https://lh3.googleusercontent.com/pw/AP1GczOVXRL6EvXl5dS_N_5K8IaqFuPYegklMfc_06T3bgbg_o3foOo-p5UiY-GToUttKb4t61mHZ_l8yQRguyvlm7ja0bwWdX_0KJR-VLUC9dSOZHmeYccF=w1200|https://lh3.googleusercontent.com/pw"&amp;"/AP1GczN2auFb2fbcO6zBzXOv1VGWllIoXoGh7pzX4Xh42LBD0j-xDz6C1WnN7At9JtDzlA0ha8kpQqgnnevnOTbFaUx23t4zN98lHUkoIvgdqgwbkj_6DaJJ=w1200|https://lh3.googleusercontent.com/pw/AP1GczNkMUePRe3vJvYyV49dN41-VNP06dXedVdzj9xz6pA6r4nvPdXd-DueSZ4ffNhoN35KGtLoaGIwccIST8jVOu"&amp;"ITwpBpCRJCpfn_fTczWu2ZfMoeNYwR=w1200|https://lh3.googleusercontent.com/pw/AP1GczO-5pC4M47hIbZvfKMpXI-COP1wGejuYbkUZ0wW79nGVS9qzEKg2POWtExwZmywA4jZ-JLWx_SLqteG2pIc3Kks4-ade2-mHeZPWyj-69oLRmqIkAvM=w1200|https://lh3.googleusercontent.com/pw/AP1GczOMB3Jk_7jHL"&amp;"mSFV9C4jchHpIkDzrjLAlbAqjUPtI18NTPjZsztksCgvYwVwuLDUDCsrhMRB0apTGgDFUOLNhc5Q7uwA3sk4VY28lvzpa-XjxctHnfr=w1200|https://lh3.googleusercontent.com/pw/AP1GczMGtT-HHIpv_uB4rs67DPQYwuYZF8cM_GKhTvwFBzlPA3ucljDRI9ZnJtCXOvnb6MaTyikqpoJU6i6ES5W6qX5jXhk4jK3X3HrGfreB"&amp;"JanTprMog8ot=w1200|https://lh3.googleusercontent.com/pw/AP1GczOOPdQJQNPpxNkCWzxBJZB4kUkZr0IUVKjhsQESy0sjFWRiN_9488Q-t-WeEusEWP6bMFK9ze-6jj0EApyh3FSFoEmdHjD2m7uATSyVrIZ0hCbKvHse=w1200|https://lh3.googleusercontent.com/pw/AP1GczMX8diF0PbaY27KLgYHmqG5CAdO73I"&amp;"O6lBmlzhtqJ8tWTRG77AS_IiTm805Fu8DAGVT5d6bJ7zSuIVV3tXtJrE9I4Rgf5RwotuEEq6HLClaTnoNb_mi=w1200|https://lh3.googleusercontent.com/pw/AP1GczODzsSLrgPNaYdYyrTBFfPwiGEuaJ7EN67tkc011rw7vhOFHsuQn4U5RPNdLNpu9cumbpBbusZKh--Mgevw7v4BuSV0wIb07dQ3QSE5Oyi2MQNFt7pK=w1200")</f>
        <v>https://lh3.googleusercontent.com/pw/AP1GczMUoyLHmeSUsZti3NfUoylwg_qZi39WKxFVsog2QfQXWi5Y4d5zqetXgw-NRqInUc9FsOsam1L7r7GGuaKznRk3MtLzCkr-P9WxctxCyotH-Fbs0xgN=w1200|https://lh3.googleusercontent.com/pw/AP1GczOV3yM_ptgp6D20RIAFB0LcMKfehwhkeJ3jxOTWHKAKSLU_lOApUchqcw1urpuNTLsmfj334XGJ2ZyTNQu_2THZwFF812VuMpJUV-MyV61Dt2i195Et=w1200|https://lh3.googleusercontent.com/pw/AP1GczODeBZVbAZbttzW1u9qv-MtcL3K4gl5S-reDZTo0-GjGkPNh8n9sHzhyGWrM4odg4S4deAjYWqxW1LlWbKkUekDhlm-Y0mARw91OqiJtV5vybP-jhyR=w1200|https://lh3.googleusercontent.com/pw/AP1GczOV8AHns5ubRTaZu9TjrOsmgyWty6K5JpsJOod9z8or-sLBmCMlptDemFDRVfS3klINZaICOmN4g3pIaSX27HAMuhiFvvyh1kMm9BzM7xaMc9m1-T4G=w1200|https://lh3.googleusercontent.com/pw/AP1GczPqqRDugBWIhCbFq29glpXYvA7Ybywf9nHABCHf5OfwHFbuvkhn6D-DwQVpE5ndOKKc0ON96Mf5Tap7A43LBLNIXXKsw1_U0ZhTz8_RX18Hmr4iZrPe=w1200|https://lh3.googleusercontent.com/pw/AP1GczOVXRL6EvXl5dS_N_5K8IaqFuPYegklMfc_06T3bgbg_o3foOo-p5UiY-GToUttKb4t61mHZ_l8yQRguyvlm7ja0bwWdX_0KJR-VLUC9dSOZHmeYccF=w1200|https://lh3.googleusercontent.com/pw/AP1GczN2auFb2fbcO6zBzXOv1VGWllIoXoGh7pzX4Xh42LBD0j-xDz6C1WnN7At9JtDzlA0ha8kpQqgnnevnOTbFaUx23t4zN98lHUkoIvgdqgwbkj_6DaJJ=w1200|https://lh3.googleusercontent.com/pw/AP1GczNkMUePRe3vJvYyV49dN41-VNP06dXedVdzj9xz6pA6r4nvPdXd-DueSZ4ffNhoN35KGtLoaGIwccIST8jVOuITwpBpCRJCpfn_fTczWu2ZfMoeNYwR=w1200|https://lh3.googleusercontent.com/pw/AP1GczO-5pC4M47hIbZvfKMpXI-COP1wGejuYbkUZ0wW79nGVS9qzEKg2POWtExwZmywA4jZ-JLWx_SLqteG2pIc3Kks4-ade2-mHeZPWyj-69oLRmqIkAvM=w1200|https://lh3.googleusercontent.com/pw/AP1GczOMB3Jk_7jHLmSFV9C4jchHpIkDzrjLAlbAqjUPtI18NTPjZsztksCgvYwVwuLDUDCsrhMRB0apTGgDFUOLNhc5Q7uwA3sk4VY28lvzpa-XjxctHnfr=w1200|https://lh3.googleusercontent.com/pw/AP1GczMGtT-HHIpv_uB4rs67DPQYwuYZF8cM_GKhTvwFBzlPA3ucljDRI9ZnJtCXOvnb6MaTyikqpoJU6i6ES5W6qX5jXhk4jK3X3HrGfreBJanTprMog8ot=w1200|https://lh3.googleusercontent.com/pw/AP1GczOOPdQJQNPpxNkCWzxBJZB4kUkZr0IUVKjhsQESy0sjFWRiN_9488Q-t-WeEusEWP6bMFK9ze-6jj0EApyh3FSFoEmdHjD2m7uATSyVrIZ0hCbKvHse=w1200|https://lh3.googleusercontent.com/pw/AP1GczMX8diF0PbaY27KLgYHmqG5CAdO73IO6lBmlzhtqJ8tWTRG77AS_IiTm805Fu8DAGVT5d6bJ7zSuIVV3tXtJrE9I4Rgf5RwotuEEq6HLClaTnoNb_mi=w1200|https://lh3.googleusercontent.com/pw/AP1GczODzsSLrgPNaYdYyrTBFfPwiGEuaJ7EN67tkc011rw7vhOFHsuQn4U5RPNdLNpu9cumbpBbusZKh--Mgevw7v4BuSV0wIb07dQ3QSE5Oyi2MQNFt7pK=w1200</v>
      </c>
      <c r="AJ371" s="46"/>
      <c r="AK371" s="46"/>
      <c r="AL371" s="46"/>
      <c r="AM371" s="46"/>
      <c r="AN371" s="46"/>
      <c r="AO371" s="46"/>
      <c r="AP371" s="46"/>
      <c r="AQ371" s="46"/>
      <c r="AR371" s="46"/>
      <c r="AS371" s="46"/>
      <c r="AT371" s="46"/>
      <c r="AU371" s="46"/>
      <c r="AV371" s="46"/>
      <c r="AW371" s="46"/>
      <c r="AX371" s="46"/>
      <c r="AY371" s="46"/>
      <c r="AZ371" s="46"/>
      <c r="BA371" s="46"/>
      <c r="BB371" s="46"/>
      <c r="BC371" s="46"/>
      <c r="BD371" s="46"/>
      <c r="BE371" s="46"/>
      <c r="BF371" s="46"/>
      <c r="BG371" s="46"/>
      <c r="BH371" s="46"/>
      <c r="BI371" s="46"/>
      <c r="BJ371" s="46"/>
      <c r="BK371" s="46"/>
      <c r="BL371" s="46"/>
      <c r="BM371" s="46"/>
      <c r="BN371" s="46"/>
      <c r="BO371" s="46"/>
      <c r="BP371" s="46"/>
      <c r="BQ371" s="46"/>
      <c r="BR371" s="46"/>
      <c r="BS371" s="46"/>
      <c r="BT371" s="46"/>
      <c r="BU371" s="46"/>
      <c r="BV371" s="46"/>
      <c r="BW371" s="46"/>
      <c r="BX371" s="46"/>
      <c r="BY371" s="46"/>
      <c r="BZ371" s="46"/>
      <c r="CA371" s="46"/>
      <c r="CB371" s="46"/>
      <c r="CC371" s="46"/>
    </row>
    <row r="372">
      <c r="A372" s="87" t="str">
        <f>IFERROR(__xludf.DUMMYFUNCTION("""COMPUTED_VALUE"""),"1365")</f>
        <v>1365</v>
      </c>
      <c r="B372" s="46" t="str">
        <f>IFERROR(__xludf.DUMMYFUNCTION("""COMPUTED_VALUE"""),"Apartamento en conjunto Mediterraneo")</f>
        <v>Apartamento en conjunto Mediterraneo</v>
      </c>
      <c r="C372" s="46" t="str">
        <f>IFERROR(__xludf.DUMMYFUNCTION("""COMPUTED_VALUE"""),"Apartamento en conjunto")</f>
        <v>Apartamento en conjunto</v>
      </c>
      <c r="D372" s="46" t="str">
        <f>IFERROR(__xludf.DUMMYFUNCTION("""COMPUTED_VALUE"""),"Andaquies")</f>
        <v>Andaquies</v>
      </c>
      <c r="E372" s="46"/>
      <c r="F372" s="90">
        <f>IFERROR(__xludf.DUMMYFUNCTION("""COMPUTED_VALUE"""),3.75E8)</f>
        <v>375000000</v>
      </c>
      <c r="G372" s="46" t="str">
        <f>IFERROR(__xludf.DUMMYFUNCTION("""COMPUTED_VALUE"""),"$300'000.000 a $400'000.000")</f>
        <v>$300'000.000 a $400'000.000</v>
      </c>
      <c r="H372" s="46"/>
      <c r="I372" s="46"/>
      <c r="J372" s="46" t="str">
        <f>IFERROR(__xludf.DUMMYFUNCTION("""COMPUTED_VALUE"""),"Norte")</f>
        <v>Norte</v>
      </c>
      <c r="K372" s="87" t="str">
        <f>IFERROR(__xludf.DUMMYFUNCTION("""COMPUTED_VALUE"""),"1")</f>
        <v>1</v>
      </c>
      <c r="L372" s="46">
        <f>IFERROR(__xludf.DUMMYFUNCTION("""COMPUTED_VALUE"""),3.0)</f>
        <v>3</v>
      </c>
      <c r="M372" s="46"/>
      <c r="N372" s="46">
        <f>IFERROR(__xludf.DUMMYFUNCTION("""COMPUTED_VALUE"""),2.0)</f>
        <v>2</v>
      </c>
      <c r="O372" s="46">
        <f>IFERROR(__xludf.DUMMYFUNCTION("""COMPUTED_VALUE"""),1.0)</f>
        <v>1</v>
      </c>
      <c r="P372" s="46">
        <f>IFERROR(__xludf.DUMMYFUNCTION("""COMPUTED_VALUE"""),1.0)</f>
        <v>1</v>
      </c>
      <c r="Q372" s="92">
        <f>IFERROR(__xludf.DUMMYFUNCTION("""COMPUTED_VALUE"""),113.0)</f>
        <v>113</v>
      </c>
      <c r="R372" s="92">
        <f>IFERROR(__xludf.DUMMYFUNCTION("""COMPUTED_VALUE"""),113.0)</f>
        <v>113</v>
      </c>
      <c r="S372" s="87" t="str">
        <f>IFERROR(__xludf.DUMMYFUNCTION("""COMPUTED_VALUE""")," ")</f>
        <v> </v>
      </c>
      <c r="T372" s="46" t="str">
        <f>IFERROR(__xludf.DUMMYFUNCTION("""COMPUTED_VALUE"""),"Neiva")</f>
        <v>Neiva</v>
      </c>
      <c r="U372" s="87" t="str">
        <f>IFERROR(__xludf.DUMMYFUNCTION("""COMPUTED_VALUE"""),"4")</f>
        <v>4</v>
      </c>
      <c r="V372" s="46" t="str">
        <f>IFERROR(__xludf.DUMMYFUNCTION("""COMPUTED_VALUE"""),"6to")</f>
        <v>6to</v>
      </c>
      <c r="W372" s="46"/>
      <c r="X372" s="46">
        <f>IFERROR(__xludf.DUMMYFUNCTION("""COMPUTED_VALUE"""),3.0)</f>
        <v>3</v>
      </c>
      <c r="Y372" s="46" t="str">
        <f>IFERROR(__xludf.DUMMYFUNCTION("""COMPUTED_VALUE"""),"Social")</f>
        <v>Social</v>
      </c>
      <c r="Z372" s="90">
        <f>IFERROR(__xludf.DUMMYFUNCTION("""COMPUTED_VALUE"""),375000.0)</f>
        <v>375000</v>
      </c>
      <c r="AA372" s="33" t="str">
        <f>IFERROR(__xludf.DUMMYFUNCTION("""COMPUTED_VALUE"""),"No aplica")</f>
        <v>No aplica</v>
      </c>
      <c r="AB372" s="96" t="str">
        <f>IFERROR(__xludf.DUMMYFUNCTION("""COMPUTED_VALUE"""),"https://photos.app.goo.gl/EzBkdkrkPKaESDAZ8")</f>
        <v>https://photos.app.goo.gl/EzBkdkrkPKaESDAZ8</v>
      </c>
      <c r="AC372" s="46" t="str">
        <f>IFERROR(__xludf.DUMMYFUNCTION("""COMPUTED_VALUE"""),"Descubre este amplio y acogedor apartamento de 113 m², ubicado en un sexto piso que ofrece excelente iluminación natural y un agradable balcón panorámico ideal para disfrutar la vista; cuenta con 3 cómodas habitaciones, 2 baños, sala y comedor con espacio"&amp;"s bien distribuidos, además de una cocina integral funcional, bodega para almacenamiento adicional y 1 parqueadero. Ubicado en el sector norte, una zona de alta valorización y gran proyección, este inmueble es perfecto para vivir con confort o invertir in"&amp;"teligentemente. Precio: $375,000,000.")</f>
        <v>Descubre este amplio y acogedor apartamento de 113 m², ubicado en un sexto piso que ofrece excelente iluminación natural y un agradable balcón panorámico ideal para disfrutar la vista; cuenta con 3 cómodas habitaciones, 2 baños, sala y comedor con espacios bien distribuidos, además de una cocina integral funcional, bodega para almacenamiento adicional y 1 parqueadero. Ubicado en el sector norte, una zona de alta valorización y gran proyección, este inmueble es perfecto para vivir con confort o invertir inteligentemente. Precio: $375,000,000.</v>
      </c>
      <c r="AD372" s="46" t="str">
        <f>IFERROR(__xludf.DUMMYFUNCTION("""COMPUTED_VALUE"""),"Apartamento en conjunto Mediterraneo en 6to piso.")</f>
        <v>Apartamento en conjunto Mediterraneo en 6to piso.</v>
      </c>
      <c r="AE372" s="46"/>
      <c r="AF372" s="46" t="str">
        <f>IFERROR(__xludf.DUMMYFUNCTION("""COMPUTED_VALUE"""),"integral")</f>
        <v>integral</v>
      </c>
      <c r="AG372" s="46"/>
      <c r="AH372" s="46" t="str">
        <f>IFERROR(__xludf.DUMMYFUNCTION("""COMPUTED_VALUE"""),"Aliado")</f>
        <v>Aliado</v>
      </c>
      <c r="AI372" s="92" t="str">
        <f>IFERROR(__xludf.DUMMYFUNCTION("""COMPUTED_VALUE"""),"https://lh3.googleusercontent.com/pw/AP1GczMBlZXcLi3iS5qJ-DKutHbGweeUvam7VdiyD1id-yO-2164t7OnYmZizz3kPpqipKZ2enLzb0zkzZL22KSpQtEbJBk3kR5CXEgXpfzAmBCJOATdZLh5=w1200|https://lh3.googleusercontent.com/pw/AP1GczNw_7rM5bbJvlj1EHsdAPK4ZOLByn-B4nQb-SfZ0RjS-AVyTw"&amp;"EYsPACE4nb1kkmSTm90U4BlXHTbLNhKPy4kFPwcFU7oMesE9mc98MVMJU11fMtjnUQ=w1200|https://lh3.googleusercontent.com/pw/AP1GczNNS5yooKAynpayWy5Li3F0AVooN6Bn4Fql1oHjOxru1zR65fo7X-Arth_GTjA7A4bhNBtQKVEccos_BBFl09V5uJsjSGOpnD6uKHSABNXYMTYXmxcS=w1200|https://lh3.google"&amp;"usercontent.com/pw/AP1GczOTMjpLk8AR8wWEYuh7KdsD169SwxDA25rT5vq05oILG29nf_Vki0Fyev6BKi8oLybojQMapMTXIX4Eb55qaWLyXggXLxxED24EoOBlD5PXTk7tspSZ=w1200|https://lh3.googleusercontent.com/pw/AP1GczM_JOsVBLE5B-0qRAbUPTnjZFznDJ9ys9mCveLJ5FPGWp1b2tTvx5ZIwqCzC95peicR"&amp;"rmCcMhibzv9P98cZOWDiwgwYrEbozBDkJmSmaScAAJvSV5j3=w1200|https://lh3.googleusercontent.com/pw/AP1GczP3KsCEKtfOkrdjOWlUOOrX53b7k_euB-X1eYICozll0I2Tp2MlAnfOkawsSQk25xLJ_TjALoIMYRFiXuh0AH_Q5e__poWsQTBf9sf87bMScwP3-hWD=w1200|https://lh3.googleusercontent.com/pw"&amp;"/AP1GczOYxfdIkT3d-JKc1cHLFSXKxhbOPMxvwYj_g88BNE6c31UAc0fSbiScKDWteCGpsDRkXrlRCaIiklnlGUKi1ciqpJL44c0LLKJz5JFoPh5MW0oXldD6=w1200|https://lh3.googleusercontent.com/pw/AP1GczOwa1HTvPUIaJannton9rjT-pvHbqc7jsG_QCq1n1ogzApdfFgIbk6XUk9LVNkStnWP7jVaTGWQ_ExSXuM4oK"&amp;"nx2ai93Zo7UOy7ye883iAHXT3lsB6u=w1200|https://lh3.googleusercontent.com/pw/AP1GczNmzV6m8TGTqJtrPjaYK5ZfLBOAVpIm_vaUoUsy1EOteyxfZG_8OQ0-HekpGarC0BuciUcKixn_6v6FaapDYL_vO4oX2iZq2Tzfuv78n2Jp8rf9VyWr=w1200|https://lh3.googleusercontent.com/pw/AP1GczMjKcKyumsHw"&amp;"4x55e7akf0uDepbhyPNkkIsL-x-5Jn480SzhOaJvrK5SZHf0r6_U57eLtMgyNnKR3TeCq0x8v11agAfl3pjy5SK9CfQ0_DEMF-qJzTG=w1200|https://lh3.googleusercontent.com/pw/AP1GczPIw2gPNB1F5FnasdeJ-w_zR28IY6RIGoEyMtSh14tf0Gtq-q3wYFCtiGGq6lyZG3DTna6rI2HooclIplsIJua_NNzDdbHHwmmyo9pS"&amp;"GOz_sunoavKt=w1200|https://lh3.googleusercontent.com/pw/AP1GczMQC49ld-ikS6Jbam-MHQFQWjhFehJGvtty2DPy-ukI86W269lqBTZGmT3gCK7dQ1ImuitYdOd_WeCIp4vPYFbMHb8sUXA1lf2YtM2M1RpgDnziVtZT=w1200|https://lh3.googleusercontent.com/pw/AP1GczNCbAHx2jmXQb8cdudVVIYWn69eb52"&amp;"uAvEGsthksUIchEmGTR9VnMHBQPKnJtF-ZErrKgTEODBXZNSZ4nQ11xoTCqn2Zj9Znr2ZpXWVLwaDr-dorPeq=w1200|https://lh3.googleusercontent.com/pw/AP1GczNtjxXnA-wKUhLDEAhGo8bXgze3RKdsUKLy3UnXusCUB_El_i5L6b3qhY2Qwg3PBj0FHe-7oypr9FPf4utarm71Jd87O2KlpP9_aSDMeUhks6UIkS7g=w1200"&amp;"|https://lh3.googleusercontent.com/pw/AP1GczNgMXjBrIMilC2BBwdSDNIjH5bB6wG68WhtRF7oiwC8EEhyz-7JXKE7Xw50DKGW-w61mMB6wWTIBKG8fB9W42EuZm78AzJeLRCj6sWw2MoCb4QPD6LE=w1200|https://lh3.googleusercontent.com/pw/AP1GczNllC06yFykHjhP8lpalVGJIyk0lBcwLRUfQWkrPmQay3sGj"&amp;"p2UJh6VVUUhedZ-sq-zb0s-LYKBQF2FM8OWU4FMQ2-IXSXYEZsTVmOIkflpP7ZIhEJj=w1200|https://lh3.googleusercontent.com/pw/AP1GczPWJdoJwJHH3Xjo1Jb_pqQiDpLwiS8YFtpwX1ZZkufk0M9zb2GAXusEICbpWZ2ZfJef2kntCFKY7GgbQ6WTs-H4uEYOZsfNKPavhtwyxdo2cGhtABeD=w1200|https://lh3.googl"&amp;"eusercontent.com/pw/AP1GczN3MNEcKwQ6TyHTq_vPmr7w-w8hG_uigCSTEK5b8Iv6kXX7-CJF1jK_nOuNPWwm1v5ZkDKYnfiAte_dD_V01NJHALK26IiaUdK2229YE7xWzfvdy7a2=w1200|https://lh3.googleusercontent.com/pw/AP1GczOc4i_FWA6C9osC60rhQw9mYy36vY_cGIT2KeOQHXWTqlrNc7ynfT9jEsBgQVXcDvZ"&amp;"z-Z78bm1nIDuYLn-OaX9Iie5SywNhOxc6NzpQnQRDfmIJ22Lx=w1200|https://lh3.googleusercontent.com/pw/AP1GczPM8aN-7ILMGzJHPjJxERo6Jj-rkU-E_aoMgsIHQ_IiFGyn9wgVErGQJUPTFMur_-hzdQvBCVBNZP47oNbdtCpgBzjkeByAEdfgPy2EoU0Fq_0miNtQ=w1200")</f>
        <v>https://lh3.googleusercontent.com/pw/AP1GczMBlZXcLi3iS5qJ-DKutHbGweeUvam7VdiyD1id-yO-2164t7OnYmZizz3kPpqipKZ2enLzb0zkzZL22KSpQtEbJBk3kR5CXEgXpfzAmBCJOATdZLh5=w1200|https://lh3.googleusercontent.com/pw/AP1GczNw_7rM5bbJvlj1EHsdAPK4ZOLByn-B4nQb-SfZ0RjS-AVyTwEYsPACE4nb1kkmSTm90U4BlXHTbLNhKPy4kFPwcFU7oMesE9mc98MVMJU11fMtjnUQ=w1200|https://lh3.googleusercontent.com/pw/AP1GczNNS5yooKAynpayWy5Li3F0AVooN6Bn4Fql1oHjOxru1zR65fo7X-Arth_GTjA7A4bhNBtQKVEccos_BBFl09V5uJsjSGOpnD6uKHSABNXYMTYXmxcS=w1200|https://lh3.googleusercontent.com/pw/AP1GczOTMjpLk8AR8wWEYuh7KdsD169SwxDA25rT5vq05oILG29nf_Vki0Fyev6BKi8oLybojQMapMTXIX4Eb55qaWLyXggXLxxED24EoOBlD5PXTk7tspSZ=w1200|https://lh3.googleusercontent.com/pw/AP1GczM_JOsVBLE5B-0qRAbUPTnjZFznDJ9ys9mCveLJ5FPGWp1b2tTvx5ZIwqCzC95peicRrmCcMhibzv9P98cZOWDiwgwYrEbozBDkJmSmaScAAJvSV5j3=w1200|https://lh3.googleusercontent.com/pw/AP1GczP3KsCEKtfOkrdjOWlUOOrX53b7k_euB-X1eYICozll0I2Tp2MlAnfOkawsSQk25xLJ_TjALoIMYRFiXuh0AH_Q5e__poWsQTBf9sf87bMScwP3-hWD=w1200|https://lh3.googleusercontent.com/pw/AP1GczOYxfdIkT3d-JKc1cHLFSXKxhbOPMxvwYj_g88BNE6c31UAc0fSbiScKDWteCGpsDRkXrlRCaIiklnlGUKi1ciqpJL44c0LLKJz5JFoPh5MW0oXldD6=w1200|https://lh3.googleusercontent.com/pw/AP1GczOwa1HTvPUIaJannton9rjT-pvHbqc7jsG_QCq1n1ogzApdfFgIbk6XUk9LVNkStnWP7jVaTGWQ_ExSXuM4oKnx2ai93Zo7UOy7ye883iAHXT3lsB6u=w1200|https://lh3.googleusercontent.com/pw/AP1GczNmzV6m8TGTqJtrPjaYK5ZfLBOAVpIm_vaUoUsy1EOteyxfZG_8OQ0-HekpGarC0BuciUcKixn_6v6FaapDYL_vO4oX2iZq2Tzfuv78n2Jp8rf9VyWr=w1200|https://lh3.googleusercontent.com/pw/AP1GczMjKcKyumsHw4x55e7akf0uDepbhyPNkkIsL-x-5Jn480SzhOaJvrK5SZHf0r6_U57eLtMgyNnKR3TeCq0x8v11agAfl3pjy5SK9CfQ0_DEMF-qJzTG=w1200|https://lh3.googleusercontent.com/pw/AP1GczPIw2gPNB1F5FnasdeJ-w_zR28IY6RIGoEyMtSh14tf0Gtq-q3wYFCtiGGq6lyZG3DTna6rI2HooclIplsIJua_NNzDdbHHwmmyo9pSGOz_sunoavKt=w1200|https://lh3.googleusercontent.com/pw/AP1GczMQC49ld-ikS6Jbam-MHQFQWjhFehJGvtty2DPy-ukI86W269lqBTZGmT3gCK7dQ1ImuitYdOd_WeCIp4vPYFbMHb8sUXA1lf2YtM2M1RpgDnziVtZT=w1200|https://lh3.googleusercontent.com/pw/AP1GczNCbAHx2jmXQb8cdudVVIYWn69eb52uAvEGsthksUIchEmGTR9VnMHBQPKnJtF-ZErrKgTEODBXZNSZ4nQ11xoTCqn2Zj9Znr2ZpXWVLwaDr-dorPeq=w1200|https://lh3.googleusercontent.com/pw/AP1GczNtjxXnA-wKUhLDEAhGo8bXgze3RKdsUKLy3UnXusCUB_El_i5L6b3qhY2Qwg3PBj0FHe-7oypr9FPf4utarm71Jd87O2KlpP9_aSDMeUhks6UIkS7g=w1200|https://lh3.googleusercontent.com/pw/AP1GczNgMXjBrIMilC2BBwdSDNIjH5bB6wG68WhtRF7oiwC8EEhyz-7JXKE7Xw50DKGW-w61mMB6wWTIBKG8fB9W42EuZm78AzJeLRCj6sWw2MoCb4QPD6LE=w1200|https://lh3.googleusercontent.com/pw/AP1GczNllC06yFykHjhP8lpalVGJIyk0lBcwLRUfQWkrPmQay3sGjp2UJh6VVUUhedZ-sq-zb0s-LYKBQF2FM8OWU4FMQ2-IXSXYEZsTVmOIkflpP7ZIhEJj=w1200|https://lh3.googleusercontent.com/pw/AP1GczPWJdoJwJHH3Xjo1Jb_pqQiDpLwiS8YFtpwX1ZZkufk0M9zb2GAXusEICbpWZ2ZfJef2kntCFKY7GgbQ6WTs-H4uEYOZsfNKPavhtwyxdo2cGhtABeD=w1200|https://lh3.googleusercontent.com/pw/AP1GczN3MNEcKwQ6TyHTq_vPmr7w-w8hG_uigCSTEK5b8Iv6kXX7-CJF1jK_nOuNPWwm1v5ZkDKYnfiAte_dD_V01NJHALK26IiaUdK2229YE7xWzfvdy7a2=w1200|https://lh3.googleusercontent.com/pw/AP1GczOc4i_FWA6C9osC60rhQw9mYy36vY_cGIT2KeOQHXWTqlrNc7ynfT9jEsBgQVXcDvZz-Z78bm1nIDuYLn-OaX9Iie5SywNhOxc6NzpQnQRDfmIJ22Lx=w1200|https://lh3.googleusercontent.com/pw/AP1GczPM8aN-7ILMGzJHPjJxERo6Jj-rkU-E_aoMgsIHQ_IiFGyn9wgVErGQJUPTFMur_-hzdQvBCVBNZP47oNbdtCpgBzjkeByAEdfgPy2EoU0Fq_0miNtQ=w1200</v>
      </c>
      <c r="AJ372" s="46"/>
      <c r="AK372" s="46"/>
      <c r="AL372" s="46"/>
      <c r="AM372" s="46"/>
      <c r="AN372" s="46"/>
      <c r="AO372" s="46"/>
      <c r="AP372" s="46"/>
      <c r="AQ372" s="46"/>
      <c r="AR372" s="46"/>
      <c r="AS372" s="46"/>
      <c r="AT372" s="46"/>
      <c r="AU372" s="46"/>
      <c r="AV372" s="46"/>
      <c r="AW372" s="46"/>
      <c r="AX372" s="46"/>
      <c r="AY372" s="46"/>
      <c r="AZ372" s="46"/>
      <c r="BA372" s="46"/>
      <c r="BB372" s="46"/>
      <c r="BC372" s="46"/>
      <c r="BD372" s="46"/>
      <c r="BE372" s="46"/>
      <c r="BF372" s="46"/>
      <c r="BG372" s="46"/>
      <c r="BH372" s="46"/>
      <c r="BI372" s="46"/>
      <c r="BJ372" s="46"/>
      <c r="BK372" s="46"/>
      <c r="BL372" s="46"/>
      <c r="BM372" s="46"/>
      <c r="BN372" s="46"/>
      <c r="BO372" s="46"/>
      <c r="BP372" s="46"/>
      <c r="BQ372" s="46"/>
      <c r="BR372" s="46"/>
      <c r="BS372" s="46"/>
      <c r="BT372" s="46"/>
      <c r="BU372" s="46"/>
      <c r="BV372" s="46"/>
      <c r="BW372" s="46"/>
      <c r="BX372" s="46"/>
      <c r="BY372" s="46"/>
      <c r="BZ372" s="46"/>
      <c r="CA372" s="46"/>
      <c r="CB372" s="46"/>
      <c r="CC372" s="46"/>
    </row>
    <row r="373">
      <c r="A373" s="87" t="str">
        <f>IFERROR(__xludf.DUMMYFUNCTION("""COMPUTED_VALUE"""),"1362")</f>
        <v>1362</v>
      </c>
      <c r="B373" s="46" t="str">
        <f>IFERROR(__xludf.DUMMYFUNCTION("""COMPUTED_VALUE"""),"Finca Ganadera - Cafetera - Algeciras")</f>
        <v>Finca Ganadera - Cafetera - Algeciras</v>
      </c>
      <c r="C373" s="46" t="str">
        <f>IFERROR(__xludf.DUMMYFUNCTION("""COMPUTED_VALUE"""),"Finca")</f>
        <v>Finca</v>
      </c>
      <c r="D373" s="46"/>
      <c r="E373" s="46"/>
      <c r="F373" s="90">
        <f>IFERROR(__xludf.DUMMYFUNCTION("""COMPUTED_VALUE"""),3.75E8)</f>
        <v>375000000</v>
      </c>
      <c r="G373" s="46" t="str">
        <f>IFERROR(__xludf.DUMMYFUNCTION("""COMPUTED_VALUE"""),"$300'000.000 a $400'000.000")</f>
        <v>$300'000.000 a $400'000.000</v>
      </c>
      <c r="H373" s="46"/>
      <c r="I373" s="46"/>
      <c r="J373" s="46" t="str">
        <f>IFERROR(__xludf.DUMMYFUNCTION("""COMPUTED_VALUE"""),"Sur")</f>
        <v>Sur</v>
      </c>
      <c r="K373" s="87"/>
      <c r="L373" s="46">
        <f>IFERROR(__xludf.DUMMYFUNCTION("""COMPUTED_VALUE"""),4.0)</f>
        <v>4</v>
      </c>
      <c r="M373" s="46"/>
      <c r="N373" s="46">
        <f>IFERROR(__xludf.DUMMYFUNCTION("""COMPUTED_VALUE"""),3.0)</f>
        <v>3</v>
      </c>
      <c r="O373" s="46">
        <f>IFERROR(__xludf.DUMMYFUNCTION("""COMPUTED_VALUE"""),0.0)</f>
        <v>0</v>
      </c>
      <c r="P373" s="46">
        <f>IFERROR(__xludf.DUMMYFUNCTION("""COMPUTED_VALUE"""),1.0)</f>
        <v>1</v>
      </c>
      <c r="Q373" s="92">
        <f>IFERROR(__xludf.DUMMYFUNCTION("""COMPUTED_VALUE"""),0.0)</f>
        <v>0</v>
      </c>
      <c r="R373" s="92">
        <f>IFERROR(__xludf.DUMMYFUNCTION("""COMPUTED_VALUE"""),1050.0)</f>
        <v>1050</v>
      </c>
      <c r="S373" s="87" t="str">
        <f>IFERROR(__xludf.DUMMYFUNCTION("""COMPUTED_VALUE""")," ")</f>
        <v> </v>
      </c>
      <c r="T373" s="46" t="str">
        <f>IFERROR(__xludf.DUMMYFUNCTION("""COMPUTED_VALUE"""),"Algeciras")</f>
        <v>Algeciras</v>
      </c>
      <c r="U373" s="87"/>
      <c r="V373" s="46"/>
      <c r="W373" s="46"/>
      <c r="X373" s="46">
        <f>IFERROR(__xludf.DUMMYFUNCTION("""COMPUTED_VALUE"""),0.0)</f>
        <v>0</v>
      </c>
      <c r="Y373" s="46" t="str">
        <f>IFERROR(__xludf.DUMMYFUNCTION("""COMPUTED_VALUE"""),"No tiene")</f>
        <v>No tiene</v>
      </c>
      <c r="Z373" s="90" t="str">
        <f>IFERROR(__xludf.DUMMYFUNCTION("""COMPUTED_VALUE"""),"No aplica")</f>
        <v>No aplica</v>
      </c>
      <c r="AA373" s="33" t="str">
        <f>IFERROR(__xludf.DUMMYFUNCTION("""COMPUTED_VALUE"""),"No aplica")</f>
        <v>No aplica</v>
      </c>
      <c r="AB373" s="96" t="str">
        <f>IFERROR(__xludf.DUMMYFUNCTION("""COMPUTED_VALUE"""),"https://photos.app.goo.gl/KKXk8evmVShuX6PEA")</f>
        <v>https://photos.app.goo.gl/KKXk8evmVShuX6PEA</v>
      </c>
      <c r="AC373" s="46" t="str">
        <f>IFERROR(__xludf.DUMMYFUNCTION("""COMPUTED_VALUE"""),"La propiedad cuenta con una cómoda casa principal que ofrece cocina de 4 metros, sala, comedor, terraza y 4 alcobas (dos privadas y dos para mayordomo), además de 3 baños totalmente enchapados. Su potencial productivo es uno de sus mayores atractivos: dis"&amp;"pone de aproximadamente 12.000 palos de café, cultivo de cacao en plena producción y completas instalaciones como cochera, corral y galpón")</f>
        <v>La propiedad cuenta con una cómoda casa principal que ofrece cocina de 4 metros, sala, comedor, terraza y 4 alcobas (dos privadas y dos para mayordomo), además de 3 baños totalmente enchapados. Su potencial productivo es uno de sus mayores atractivos: dispone de aproximadamente 12.000 palos de café, cultivo de cacao en plena producción y completas instalaciones como cochera, corral y galpón</v>
      </c>
      <c r="AD373" s="46" t="str">
        <f>IFERROR(__xludf.DUMMYFUNCTION("""COMPUTED_VALUE"""),"Se vende espectacular finca en Algeciras, con una amplia extensión de 10,5 hectáreas ideales para producción agrícola y ganadera. Servicios: cuenta con agua veredal y por gravedad, así como energía eléctrica, lo que garantiza funcionalidad y autosuficienc"&amp;"ia.")</f>
        <v>Se vende espectacular finca en Algeciras, con una amplia extensión de 10,5 hectáreas ideales para producción agrícola y ganadera. Servicios: cuenta con agua veredal y por gravedad, así como energía eléctrica, lo que garantiza funcionalidad y autosuficiencia.</v>
      </c>
      <c r="AE373" s="46"/>
      <c r="AF373" s="46" t="str">
        <f>IFERROR(__xludf.DUMMYFUNCTION("""COMPUTED_VALUE"""),"básica")</f>
        <v>básica</v>
      </c>
      <c r="AG373" s="46"/>
      <c r="AH373" s="46" t="str">
        <f>IFERROR(__xludf.DUMMYFUNCTION("""COMPUTED_VALUE"""),"Aliado")</f>
        <v>Aliado</v>
      </c>
      <c r="AI373" s="92" t="str">
        <f>IFERROR(__xludf.DUMMYFUNCTION("""COMPUTED_VALUE"""),"https://lh3.googleusercontent.com/pw/AP1GczPiict2x08YFqOSUWvd42SMrBVMKQjAFihCl2U-QNc1yzVOUCEDn805kICYK1EMx5euC9xQihHnt7dWrzPzj3BGO2FB-vJLp5C_iRMKf3py1HJRG_wX=w1200|https://lh3.googleusercontent.com/pw/AP1GczM7okBzP9XS9LcNsGP-l3hEdb__6HL92wiWAoocLcX5K_AuOZ"&amp;"6xoNybXcwjnacX3x2LA-e1YrgzWN9bW8SKJBtP9cYXrF8wLF0K8R1ej4p17AMkbOm6=w1200|https://lh3.googleusercontent.com/pw/AP1GczOmHtI-RS4gT9HsWZRFXr_TYHv-edvWi4CfwyUwfyawWQBSVA312ItpJyFkzZJo3W-bNhukyAIoqh1SbimCeHzFhPFrK2LflnvUBOAEjLCI83iBkHDh=w1200|https://lh3.google"&amp;"usercontent.com/pw/AP1GczMju_01qtlfwk1syh8YD_7ZICkp3Z7XwiQbvUhz9wKNVCk9ceKH3_DV3fGguDospx85JdhpBmuChsUNGG5oEuc74JixmwSln57OpkOz1dwgoNEZkX_6=w1200|https://lh3.googleusercontent.com/pw/AP1GczPld_6Ojw9VFPNto9vSCyCEkQhUQbfHgiXORQD3CSlBHwf0nkkZiiKgJRVU2VB_rBf3"&amp;"0K3-ieNouExTJGOINSAdBZ90z7VwI5f2cVZTv5Oo2jjKkUXq=w1200|https://lh3.googleusercontent.com/pw/AP1GczPjwIPXojXSAI7f19AxlzxY-l8kjJPqxKOX55ZhQh2sbXqydnKxVatEaDOSdG1_Mr-3nF3DuHj_KcAUMCo6VmC1Iuk5qTzo_W-gSLYrACbW03YkYRW7=w1200|https://lh3.googleusercontent.com/pw"&amp;"/AP1GczP-QRhhcEvIxCb-1XqbpD30sptmvDWMsJLA-WUExt7HHr8zMxk_c4gN6YnYVdGhJ3U8xWlq9mbzRSQ2-P6oGeoSV1t-SzrIhYYCWmwBq_p2SbJYvC4b=w1200|https://lh3.googleusercontent.com/pw/AP1GczO9JGwGEcK4OQV84ZnmnZ40TT40HeOIceRzWFqHWP7gvCyC4HM7RRoHisDSKU_xoLzibrN1kHvuKcW9v8OuYA"&amp;"LxCfS00FzfMOOu3AXPzyZVKj1HCZsN=w1200|https://lh3.googleusercontent.com/pw/AP1GczPd1G3UjsTysKaujHOfemowf5bAT_lThr2okWAOZDP9wQ-mGJu4kz2X55jKqq92YDShrKjlVJ-04ons5BT7lCpzRejW0x2ADve0zUgOL73FNgSQrRmd=w1200|https://lh3.googleusercontent.com/pw/AP1GczMU4PAhIHMWA"&amp;"9cd2sdwRgayIbbQKm8WcJ3wvB97ytwkKJAskTEKM9KzPNrbbLe-kp24hfRa5lANRYfQfRblRe_cY7qrXCCkIkLXTUsXMTTWN2AIdLsf=w1200|https://lh3.googleusercontent.com/pw/AP1GczNoqXmrGCLPE0CdZGn0F66rLQUmQWH5YqD8njKhJvY4cEiJixSlNJWy7XEQmFgmakRlCK91JbYiUxRytD_hJWyzIv5muO4xrB0niqjI"&amp;"WCMQ6Rd9DYH3=w1200|https://lh3.googleusercontent.com/pw/AP1GczM8jO9S1y6jy0RMpUQHBQKNmUH07QR_0XSzqefFLGSqQ_eDKn8N-W1oJ7V6z6Oo7kNseeGdRXlwLxDjiIhvMOagGQNlhAEQ72WVl-tNyOCPJUtBCsxn=w1200|https://lh3.googleusercontent.com/pw/AP1GczP4yAGpInoo-ZOMwfJ7MWuoiNYdPks"&amp;"uqvYdNeNQNknIP2W-ybg-lM5fCfDSTR0tJubHV8EZqx38JGQIvToH-20FEx_k3l0SF-dprd_fYcQuQLG7uXU-=w1200|https://lh3.googleusercontent.com/pw/AP1GczN_lMv91nFuCpK5bc0dSA0m1pCP3EIQsXb_qcVR6gSxTlSKlgCjRuTJMG32grAFHw2kFkm09gDJ7jk1PRm-eyz3q1VOaA1Wcg7wk4vYKJfH2AJVpvuX=w1200"&amp;"|https://lh3.googleusercontent.com/pw/AP1GczPQsME-1r1otylsbVttnhO1J90HWd5C2rFAXk42GZGP-b9BWHpu9c09sdN9DXt1tG11oCZ708iFkKn43JYVv_WQ0QscssEZ592gj2kZsabx5H8qbZWg=w1200")</f>
        <v>https://lh3.googleusercontent.com/pw/AP1GczPiict2x08YFqOSUWvd42SMrBVMKQjAFihCl2U-QNc1yzVOUCEDn805kICYK1EMx5euC9xQihHnt7dWrzPzj3BGO2FB-vJLp5C_iRMKf3py1HJRG_wX=w1200|https://lh3.googleusercontent.com/pw/AP1GczM7okBzP9XS9LcNsGP-l3hEdb__6HL92wiWAoocLcX5K_AuOZ6xoNybXcwjnacX3x2LA-e1YrgzWN9bW8SKJBtP9cYXrF8wLF0K8R1ej4p17AMkbOm6=w1200|https://lh3.googleusercontent.com/pw/AP1GczOmHtI-RS4gT9HsWZRFXr_TYHv-edvWi4CfwyUwfyawWQBSVA312ItpJyFkzZJo3W-bNhukyAIoqh1SbimCeHzFhPFrK2LflnvUBOAEjLCI83iBkHDh=w1200|https://lh3.googleusercontent.com/pw/AP1GczMju_01qtlfwk1syh8YD_7ZICkp3Z7XwiQbvUhz9wKNVCk9ceKH3_DV3fGguDospx85JdhpBmuChsUNGG5oEuc74JixmwSln57OpkOz1dwgoNEZkX_6=w1200|https://lh3.googleusercontent.com/pw/AP1GczPld_6Ojw9VFPNto9vSCyCEkQhUQbfHgiXORQD3CSlBHwf0nkkZiiKgJRVU2VB_rBf30K3-ieNouExTJGOINSAdBZ90z7VwI5f2cVZTv5Oo2jjKkUXq=w1200|https://lh3.googleusercontent.com/pw/AP1GczPjwIPXojXSAI7f19AxlzxY-l8kjJPqxKOX55ZhQh2sbXqydnKxVatEaDOSdG1_Mr-3nF3DuHj_KcAUMCo6VmC1Iuk5qTzo_W-gSLYrACbW03YkYRW7=w1200|https://lh3.googleusercontent.com/pw/AP1GczP-QRhhcEvIxCb-1XqbpD30sptmvDWMsJLA-WUExt7HHr8zMxk_c4gN6YnYVdGhJ3U8xWlq9mbzRSQ2-P6oGeoSV1t-SzrIhYYCWmwBq_p2SbJYvC4b=w1200|https://lh3.googleusercontent.com/pw/AP1GczO9JGwGEcK4OQV84ZnmnZ40TT40HeOIceRzWFqHWP7gvCyC4HM7RRoHisDSKU_xoLzibrN1kHvuKcW9v8OuYALxCfS00FzfMOOu3AXPzyZVKj1HCZsN=w1200|https://lh3.googleusercontent.com/pw/AP1GczPd1G3UjsTysKaujHOfemowf5bAT_lThr2okWAOZDP9wQ-mGJu4kz2X55jKqq92YDShrKjlVJ-04ons5BT7lCpzRejW0x2ADve0zUgOL73FNgSQrRmd=w1200|https://lh3.googleusercontent.com/pw/AP1GczMU4PAhIHMWA9cd2sdwRgayIbbQKm8WcJ3wvB97ytwkKJAskTEKM9KzPNrbbLe-kp24hfRa5lANRYfQfRblRe_cY7qrXCCkIkLXTUsXMTTWN2AIdLsf=w1200|https://lh3.googleusercontent.com/pw/AP1GczNoqXmrGCLPE0CdZGn0F66rLQUmQWH5YqD8njKhJvY4cEiJixSlNJWy7XEQmFgmakRlCK91JbYiUxRytD_hJWyzIv5muO4xrB0niqjIWCMQ6Rd9DYH3=w1200|https://lh3.googleusercontent.com/pw/AP1GczM8jO9S1y6jy0RMpUQHBQKNmUH07QR_0XSzqefFLGSqQ_eDKn8N-W1oJ7V6z6Oo7kNseeGdRXlwLxDjiIhvMOagGQNlhAEQ72WVl-tNyOCPJUtBCsxn=w1200|https://lh3.googleusercontent.com/pw/AP1GczP4yAGpInoo-ZOMwfJ7MWuoiNYdPksuqvYdNeNQNknIP2W-ybg-lM5fCfDSTR0tJubHV8EZqx38JGQIvToH-20FEx_k3l0SF-dprd_fYcQuQLG7uXU-=w1200|https://lh3.googleusercontent.com/pw/AP1GczN_lMv91nFuCpK5bc0dSA0m1pCP3EIQsXb_qcVR6gSxTlSKlgCjRuTJMG32grAFHw2kFkm09gDJ7jk1PRm-eyz3q1VOaA1Wcg7wk4vYKJfH2AJVpvuX=w1200|https://lh3.googleusercontent.com/pw/AP1GczPQsME-1r1otylsbVttnhO1J90HWd5C2rFAXk42GZGP-b9BWHpu9c09sdN9DXt1tG11oCZ708iFkKn43JYVv_WQ0QscssEZ592gj2kZsabx5H8qbZWg=w1200</v>
      </c>
      <c r="AJ373" s="46"/>
      <c r="AK373" s="46"/>
      <c r="AL373" s="46"/>
      <c r="AM373" s="46"/>
      <c r="AN373" s="46"/>
      <c r="AO373" s="46"/>
      <c r="AP373" s="46"/>
      <c r="AQ373" s="46"/>
      <c r="AR373" s="46"/>
      <c r="AS373" s="46"/>
      <c r="AT373" s="46"/>
      <c r="AU373" s="46"/>
      <c r="AV373" s="46"/>
      <c r="AW373" s="46"/>
      <c r="AX373" s="46"/>
      <c r="AY373" s="46"/>
      <c r="AZ373" s="46"/>
      <c r="BA373" s="46"/>
      <c r="BB373" s="46"/>
      <c r="BC373" s="46"/>
      <c r="BD373" s="46"/>
      <c r="BE373" s="46"/>
      <c r="BF373" s="46"/>
      <c r="BG373" s="46"/>
      <c r="BH373" s="46"/>
      <c r="BI373" s="46"/>
      <c r="BJ373" s="46"/>
      <c r="BK373" s="46"/>
      <c r="BL373" s="46"/>
      <c r="BM373" s="46"/>
      <c r="BN373" s="46"/>
      <c r="BO373" s="46"/>
      <c r="BP373" s="46"/>
      <c r="BQ373" s="46"/>
      <c r="BR373" s="46"/>
      <c r="BS373" s="46"/>
      <c r="BT373" s="46"/>
      <c r="BU373" s="46"/>
      <c r="BV373" s="46"/>
      <c r="BW373" s="46"/>
      <c r="BX373" s="46"/>
      <c r="BY373" s="46"/>
      <c r="BZ373" s="46"/>
      <c r="CA373" s="46"/>
      <c r="CB373" s="46"/>
      <c r="CC373" s="46"/>
    </row>
    <row r="374">
      <c r="A374" s="87" t="str">
        <f>IFERROR(__xludf.DUMMYFUNCTION("""COMPUTED_VALUE"""),"1342")</f>
        <v>1342</v>
      </c>
      <c r="B374" s="46" t="str">
        <f>IFERROR(__xludf.DUMMYFUNCTION("""COMPUTED_VALUE"""),"Apartamento en conjunto Residencial San Pablo - Norte")</f>
        <v>Apartamento en conjunto Residencial San Pablo - Norte</v>
      </c>
      <c r="C374" s="46" t="str">
        <f>IFERROR(__xludf.DUMMYFUNCTION("""COMPUTED_VALUE"""),"Apartamento en conjunto")</f>
        <v>Apartamento en conjunto</v>
      </c>
      <c r="D374" s="46" t="str">
        <f>IFERROR(__xludf.DUMMYFUNCTION("""COMPUTED_VALUE"""),"Los pinos")</f>
        <v>Los pinos</v>
      </c>
      <c r="E374" s="46"/>
      <c r="F374" s="90">
        <f>IFERROR(__xludf.DUMMYFUNCTION("""COMPUTED_VALUE"""),3.4E8)</f>
        <v>340000000</v>
      </c>
      <c r="G374" s="46" t="str">
        <f>IFERROR(__xludf.DUMMYFUNCTION("""COMPUTED_VALUE"""),"$300'000.000 a $400'000.000")</f>
        <v>$300'000.000 a $400'000.000</v>
      </c>
      <c r="H374" s="46"/>
      <c r="I374" s="46"/>
      <c r="J374" s="46" t="str">
        <f>IFERROR(__xludf.DUMMYFUNCTION("""COMPUTED_VALUE"""),"Norte")</f>
        <v>Norte</v>
      </c>
      <c r="K374" s="87" t="str">
        <f>IFERROR(__xludf.DUMMYFUNCTION("""COMPUTED_VALUE"""),"2")</f>
        <v>2</v>
      </c>
      <c r="L374" s="46">
        <f>IFERROR(__xludf.DUMMYFUNCTION("""COMPUTED_VALUE"""),3.0)</f>
        <v>3</v>
      </c>
      <c r="M374" s="46"/>
      <c r="N374" s="46">
        <f>IFERROR(__xludf.DUMMYFUNCTION("""COMPUTED_VALUE"""),2.0)</f>
        <v>2</v>
      </c>
      <c r="O374" s="46">
        <f>IFERROR(__xludf.DUMMYFUNCTION("""COMPUTED_VALUE"""),1.0)</f>
        <v>1</v>
      </c>
      <c r="P374" s="46">
        <f>IFERROR(__xludf.DUMMYFUNCTION("""COMPUTED_VALUE"""),4.0)</f>
        <v>4</v>
      </c>
      <c r="Q374" s="92">
        <f>IFERROR(__xludf.DUMMYFUNCTION("""COMPUTED_VALUE"""),72.0)</f>
        <v>72</v>
      </c>
      <c r="R374" s="92">
        <f>IFERROR(__xludf.DUMMYFUNCTION("""COMPUTED_VALUE"""),72.0)</f>
        <v>72</v>
      </c>
      <c r="S374" s="87" t="str">
        <f>IFERROR(__xludf.DUMMYFUNCTION("""COMPUTED_VALUE""")," ")</f>
        <v> </v>
      </c>
      <c r="T374" s="46" t="str">
        <f>IFERROR(__xludf.DUMMYFUNCTION("""COMPUTED_VALUE"""),"Neiva")</f>
        <v>Neiva</v>
      </c>
      <c r="U374" s="87" t="str">
        <f>IFERROR(__xludf.DUMMYFUNCTION("""COMPUTED_VALUE"""),"3")</f>
        <v>3</v>
      </c>
      <c r="V374" s="46" t="str">
        <f>IFERROR(__xludf.DUMMYFUNCTION("""COMPUTED_VALUE"""),"4to.")</f>
        <v>4to.</v>
      </c>
      <c r="W374" s="46"/>
      <c r="X374" s="46">
        <f>IFERROR(__xludf.DUMMYFUNCTION("""COMPUTED_VALUE"""),3.0)</f>
        <v>3</v>
      </c>
      <c r="Y374" s="46" t="str">
        <f>IFERROR(__xludf.DUMMYFUNCTION("""COMPUTED_VALUE"""),"Social")</f>
        <v>Social</v>
      </c>
      <c r="Z374" s="90">
        <f>IFERROR(__xludf.DUMMYFUNCTION("""COMPUTED_VALUE"""),270000.0)</f>
        <v>270000</v>
      </c>
      <c r="AA374" s="33" t="str">
        <f>IFERROR(__xludf.DUMMYFUNCTION("""COMPUTED_VALUE"""),"No aplica")</f>
        <v>No aplica</v>
      </c>
      <c r="AB374" s="96" t="str">
        <f>IFERROR(__xludf.DUMMYFUNCTION("""COMPUTED_VALUE"""),"https://photos.app.goo.gl/QDhyZnkG2BXFHTZx5")</f>
        <v>https://photos.app.goo.gl/QDhyZnkG2BXFHTZx5</v>
      </c>
      <c r="AC374" s="46" t="str">
        <f>IFERROR(__xludf.DUMMYFUNCTION("""COMPUTED_VALUE"""),"Apartamento en venta – Conjunto Residencial San Pablo. Ubicado en la zona norte de la ciudad de Neiva, cerca de centros comerciales y con excelentes vías de acceso, este apartamento cuenta con un área de 72 m² distribuidos en sala-comedor, balcón, cocina "&amp;"integral, zona de estudio, tres alcobas, dos baños y parqueadero cubierto.")</f>
        <v>Apartamento en venta – Conjunto Residencial San Pablo. Ubicado en la zona norte de la ciudad de Neiva, cerca de centros comerciales y con excelentes vías de acceso, este apartamento cuenta con un área de 72 m² distribuidos en sala-comedor, balcón, cocina integral, zona de estudio, tres alcobas, dos baños y parqueadero cubierto.</v>
      </c>
      <c r="AD374" s="46" t="str">
        <f>IFERROR(__xludf.DUMMYFUNCTION("""COMPUTED_VALUE"""),"El conjunto ofrece completas zonas comunes como ascensor, piscina, gimnasio, cancha de squash y vigilancia privada 24 horas, brindando comodidad y seguridad. Actualmente arrendado en $1.320.000, ideal para inversión.")</f>
        <v>El conjunto ofrece completas zonas comunes como ascensor, piscina, gimnasio, cancha de squash y vigilancia privada 24 horas, brindando comodidad y seguridad. Actualmente arrendado en $1.320.000, ideal para inversión.</v>
      </c>
      <c r="AE374" s="46"/>
      <c r="AF374" s="46" t="str">
        <f>IFERROR(__xludf.DUMMYFUNCTION("""COMPUTED_VALUE"""),"integral")</f>
        <v>integral</v>
      </c>
      <c r="AG374" s="46"/>
      <c r="AH374" s="46" t="str">
        <f>IFERROR(__xludf.DUMMYFUNCTION("""COMPUTED_VALUE"""),"Aliado")</f>
        <v>Aliado</v>
      </c>
      <c r="AI374" s="92" t="str">
        <f>IFERROR(__xludf.DUMMYFUNCTION("""COMPUTED_VALUE"""),"https://lh3.googleusercontent.com/pw/AP1GczPsqQw93NImjfyTkrhcFmjzTNH_ashnSM2oMmxguovpGpXq26yC9C1DPMANwPeuP1EoM5DInZ9wMJjXNnBrn1u94ijxqKAJbfNe7SBMe-DMLk7vr1Yb=w1200|https://lh3.googleusercontent.com/pw/AP1GczOysjekS-iycSNtfnTOk-BaCU0_zhZNQH56F5q4KKSgq0CzXb"&amp;"BBhAF99Gi25sZSMn9BSi-QOCje3IK6j73cTayfvmpeQvc4wC7ZOW_DOgPQVQclEO91=w1200|https://lh3.googleusercontent.com/pw/AP1GczPwwiqv9qxkwevVYq3NMFUP5UmiXaHhZiWEuRr9gg7nt-0W9fZwYX4EJBDnyADI5R7Ioq7iyTMc-Cf-j-MEFarmRR_QxZFNmA0QDD1mJqY3EYDazyVV=w1200|https://lh3.google"&amp;"usercontent.com/pw/AP1GczOWJdZ4nJa15vwscENmTJB9LGEgkHqiaasQzB-Zp1e0W3kVZ8IrfsoNgXbaxLtIPuFMzCl4_RSIUW6SMPLb5yX-Qfq_xEMG52n3lxaqPbyivuYkCf1O=w1200|https://lh3.googleusercontent.com/pw/AP1GczPaREs9nbPjoEk4Zj1GJshPw4tAwW35hb31vv3wI4GxXO3Nn6s62KQLlxFPAZPH7XvC"&amp;"WNwPetyf3qj8pkHnGQ-OsXYdjcVNxcp_Nq7z2mkrYrJiIT6i=w1200|https://lh3.googleusercontent.com/pw/AP1GczMe79n95BL6MTDPbRXFqddCrpw6cl49rXawU1h-MjK0-1BajJFTLwQ5loVNafGPeJxgbRvgIzQ8r18p59FZyoxJRPmUiAF4PBO-t4R0Wc4KpuHfc2KL=w1200|https://lh3.googleusercontent.com/pw"&amp;"/AP1GczMCjahnBIJ1bKZ3HQ7EzoP3P2-MjNW08yq-MMm2V8OdBZraYl-5YNr0Fmy486tNxZe-ToEP7GCtq40Iqjba7rSvlqYaTYQqddyNj0Srh0B4NZKWWA2b=w1200|https://lh3.googleusercontent.com/pw/AP1GczO-hf89r7bN5ruKSR25pSlO1xJ0w4LFOFfbeIJCo-cXbTTK4bVln7MGmD5eB4CVCgFpWJbAooqOtkx_8yfwek"&amp;"k8V8Y-mlw5i3zNg6n8heVn0MeMToyj=w1200|https://lh3.googleusercontent.com/pw/AP1GczN2PAuIKc9uQL7LdcRbZe-IXsV-uRU3EjBTHAMFVnofpFulqKLWL0a2kDRXFyo9OEexlBw13zpkLK6uW6nQJfCYWVwZd1dKkdK8ug0Gr_NbtM74E8fH=w1200|https://lh3.googleusercontent.com/pw/AP1GczMNpUzPl3HTo"&amp;"En73qQeNXbOzFNrIgtBt3ql_lcc4NC26jTtpP6qlivQMnY3B65rCRdpOc9yYPthw9XD6jJUOVuRGZyY9cDvuJ5iPRtoC5RfntKXk7Zv=w1200|https://lh3.googleusercontent.com/pw/AP1GczPO-Yd1rq3APb7A-br9sT-NggEo1Cg2OfTYvJz4vpFvmV74-wTC2FPTBl8J-EWfzgT3j5oOR07J_iLgXl1nC5pYb7J_N4YDnqvjJXGC"&amp;"ibXCT7iHoBu1=w1200|https://lh3.googleusercontent.com/pw/AP1GczMLjUTWwxyD5pnoWI4Pb6E1HRlP-lithCLgv12GRTXUxfAydGDsG3x-nESjQbBJvOvt6vkxL2A-Dy8BoJW0L6-X8mcndLfBz9bPrHi_KrlW1AQUtk1b=w1200")</f>
        <v>https://lh3.googleusercontent.com/pw/AP1GczPsqQw93NImjfyTkrhcFmjzTNH_ashnSM2oMmxguovpGpXq26yC9C1DPMANwPeuP1EoM5DInZ9wMJjXNnBrn1u94ijxqKAJbfNe7SBMe-DMLk7vr1Yb=w1200|https://lh3.googleusercontent.com/pw/AP1GczOysjekS-iycSNtfnTOk-BaCU0_zhZNQH56F5q4KKSgq0CzXbBBhAF99Gi25sZSMn9BSi-QOCje3IK6j73cTayfvmpeQvc4wC7ZOW_DOgPQVQclEO91=w1200|https://lh3.googleusercontent.com/pw/AP1GczPwwiqv9qxkwevVYq3NMFUP5UmiXaHhZiWEuRr9gg7nt-0W9fZwYX4EJBDnyADI5R7Ioq7iyTMc-Cf-j-MEFarmRR_QxZFNmA0QDD1mJqY3EYDazyVV=w1200|https://lh3.googleusercontent.com/pw/AP1GczOWJdZ4nJa15vwscENmTJB9LGEgkHqiaasQzB-Zp1e0W3kVZ8IrfsoNgXbaxLtIPuFMzCl4_RSIUW6SMPLb5yX-Qfq_xEMG52n3lxaqPbyivuYkCf1O=w1200|https://lh3.googleusercontent.com/pw/AP1GczPaREs9nbPjoEk4Zj1GJshPw4tAwW35hb31vv3wI4GxXO3Nn6s62KQLlxFPAZPH7XvCWNwPetyf3qj8pkHnGQ-OsXYdjcVNxcp_Nq7z2mkrYrJiIT6i=w1200|https://lh3.googleusercontent.com/pw/AP1GczMe79n95BL6MTDPbRXFqddCrpw6cl49rXawU1h-MjK0-1BajJFTLwQ5loVNafGPeJxgbRvgIzQ8r18p59FZyoxJRPmUiAF4PBO-t4R0Wc4KpuHfc2KL=w1200|https://lh3.googleusercontent.com/pw/AP1GczMCjahnBIJ1bKZ3HQ7EzoP3P2-MjNW08yq-MMm2V8OdBZraYl-5YNr0Fmy486tNxZe-ToEP7GCtq40Iqjba7rSvlqYaTYQqddyNj0Srh0B4NZKWWA2b=w1200|https://lh3.googleusercontent.com/pw/AP1GczO-hf89r7bN5ruKSR25pSlO1xJ0w4LFOFfbeIJCo-cXbTTK4bVln7MGmD5eB4CVCgFpWJbAooqOtkx_8yfwekk8V8Y-mlw5i3zNg6n8heVn0MeMToyj=w1200|https://lh3.googleusercontent.com/pw/AP1GczN2PAuIKc9uQL7LdcRbZe-IXsV-uRU3EjBTHAMFVnofpFulqKLWL0a2kDRXFyo9OEexlBw13zpkLK6uW6nQJfCYWVwZd1dKkdK8ug0Gr_NbtM74E8fH=w1200|https://lh3.googleusercontent.com/pw/AP1GczMNpUzPl3HToEn73qQeNXbOzFNrIgtBt3ql_lcc4NC26jTtpP6qlivQMnY3B65rCRdpOc9yYPthw9XD6jJUOVuRGZyY9cDvuJ5iPRtoC5RfntKXk7Zv=w1200|https://lh3.googleusercontent.com/pw/AP1GczPO-Yd1rq3APb7A-br9sT-NggEo1Cg2OfTYvJz4vpFvmV74-wTC2FPTBl8J-EWfzgT3j5oOR07J_iLgXl1nC5pYb7J_N4YDnqvjJXGCibXCT7iHoBu1=w1200|https://lh3.googleusercontent.com/pw/AP1GczMLjUTWwxyD5pnoWI4Pb6E1HRlP-lithCLgv12GRTXUxfAydGDsG3x-nESjQbBJvOvt6vkxL2A-Dy8BoJW0L6-X8mcndLfBz9bPrHi_KrlW1AQUtk1b=w1200</v>
      </c>
      <c r="AJ374" s="46"/>
      <c r="AK374" s="46"/>
      <c r="AL374" s="46"/>
      <c r="AM374" s="46"/>
      <c r="AN374" s="46"/>
      <c r="AO374" s="46"/>
      <c r="AP374" s="46"/>
      <c r="AQ374" s="46"/>
      <c r="AR374" s="46"/>
      <c r="AS374" s="46"/>
      <c r="AT374" s="46"/>
      <c r="AU374" s="46"/>
      <c r="AV374" s="46"/>
      <c r="AW374" s="46"/>
      <c r="AX374" s="46"/>
      <c r="AY374" s="46"/>
      <c r="AZ374" s="46"/>
      <c r="BA374" s="46"/>
      <c r="BB374" s="46"/>
      <c r="BC374" s="46"/>
      <c r="BD374" s="46"/>
      <c r="BE374" s="46"/>
      <c r="BF374" s="46"/>
      <c r="BG374" s="46"/>
      <c r="BH374" s="46"/>
      <c r="BI374" s="46"/>
      <c r="BJ374" s="46"/>
      <c r="BK374" s="46"/>
      <c r="BL374" s="46"/>
      <c r="BM374" s="46"/>
      <c r="BN374" s="46"/>
      <c r="BO374" s="46"/>
      <c r="BP374" s="46"/>
      <c r="BQ374" s="46"/>
      <c r="BR374" s="46"/>
      <c r="BS374" s="46"/>
      <c r="BT374" s="46"/>
      <c r="BU374" s="46"/>
      <c r="BV374" s="46"/>
      <c r="BW374" s="46"/>
      <c r="BX374" s="46"/>
      <c r="BY374" s="46"/>
      <c r="BZ374" s="46"/>
      <c r="CA374" s="46"/>
      <c r="CB374" s="46"/>
      <c r="CC374" s="46"/>
    </row>
    <row r="375">
      <c r="A375" s="87" t="str">
        <f>IFERROR(__xludf.DUMMYFUNCTION("""COMPUTED_VALUE"""),"1332")</f>
        <v>1332</v>
      </c>
      <c r="B375" s="46" t="str">
        <f>IFERROR(__xludf.DUMMYFUNCTION("""COMPUTED_VALUE"""),"Casa con Aparta estudio en barrio Candido Leguízamo - Norte")</f>
        <v>Casa con Aparta estudio en barrio Candido Leguízamo - Norte</v>
      </c>
      <c r="C375" s="46" t="str">
        <f>IFERROR(__xludf.DUMMYFUNCTION("""COMPUTED_VALUE"""),"Casa rentable")</f>
        <v>Casa rentable</v>
      </c>
      <c r="D375" s="46" t="str">
        <f>IFERROR(__xludf.DUMMYFUNCTION("""COMPUTED_VALUE"""),"Candido")</f>
        <v>Candido</v>
      </c>
      <c r="E375" s="46"/>
      <c r="F375" s="90">
        <f>IFERROR(__xludf.DUMMYFUNCTION("""COMPUTED_VALUE"""),3.7E8)</f>
        <v>370000000</v>
      </c>
      <c r="G375" s="46" t="str">
        <f>IFERROR(__xludf.DUMMYFUNCTION("""COMPUTED_VALUE"""),"$300'000.000 a $400'000.000")</f>
        <v>$300'000.000 a $400'000.000</v>
      </c>
      <c r="H375" s="46"/>
      <c r="I375" s="46"/>
      <c r="J375" s="46" t="str">
        <f>IFERROR(__xludf.DUMMYFUNCTION("""COMPUTED_VALUE"""),"Norte")</f>
        <v>Norte</v>
      </c>
      <c r="K375" s="87" t="str">
        <f>IFERROR(__xludf.DUMMYFUNCTION("""COMPUTED_VALUE"""),"4")</f>
        <v>4</v>
      </c>
      <c r="L375" s="46">
        <f>IFERROR(__xludf.DUMMYFUNCTION("""COMPUTED_VALUE"""),4.0)</f>
        <v>4</v>
      </c>
      <c r="M375" s="46"/>
      <c r="N375" s="46">
        <f>IFERROR(__xludf.DUMMYFUNCTION("""COMPUTED_VALUE"""),3.0)</f>
        <v>3</v>
      </c>
      <c r="O375" s="46">
        <f>IFERROR(__xludf.DUMMYFUNCTION("""COMPUTED_VALUE"""),2.0)</f>
        <v>2</v>
      </c>
      <c r="P375" s="46">
        <f>IFERROR(__xludf.DUMMYFUNCTION("""COMPUTED_VALUE"""),1.0)</f>
        <v>1</v>
      </c>
      <c r="Q375" s="92">
        <f>IFERROR(__xludf.DUMMYFUNCTION("""COMPUTED_VALUE"""),170.0)</f>
        <v>170</v>
      </c>
      <c r="R375" s="92">
        <f>IFERROR(__xludf.DUMMYFUNCTION("""COMPUTED_VALUE"""),170.0)</f>
        <v>170</v>
      </c>
      <c r="S375" s="87" t="str">
        <f>IFERROR(__xludf.DUMMYFUNCTION("""COMPUTED_VALUE""")," ")</f>
        <v> </v>
      </c>
      <c r="T375" s="46" t="str">
        <f>IFERROR(__xludf.DUMMYFUNCTION("""COMPUTED_VALUE"""),"Neiva")</f>
        <v>Neiva</v>
      </c>
      <c r="U375" s="87" t="str">
        <f>IFERROR(__xludf.DUMMYFUNCTION("""COMPUTED_VALUE"""),"2")</f>
        <v>2</v>
      </c>
      <c r="V375" s="46" t="str">
        <f>IFERROR(__xludf.DUMMYFUNCTION("""COMPUTED_VALUE"""),"Medianera")</f>
        <v>Medianera</v>
      </c>
      <c r="W375" s="46"/>
      <c r="X375" s="46">
        <f>IFERROR(__xludf.DUMMYFUNCTION("""COMPUTED_VALUE"""),4.0)</f>
        <v>4</v>
      </c>
      <c r="Y375" s="46" t="str">
        <f>IFERROR(__xludf.DUMMYFUNCTION("""COMPUTED_VALUE"""),"No tiene")</f>
        <v>No tiene</v>
      </c>
      <c r="Z375" s="90" t="str">
        <f>IFERROR(__xludf.DUMMYFUNCTION("""COMPUTED_VALUE"""),"No aplica")</f>
        <v>No aplica</v>
      </c>
      <c r="AA375" s="33" t="str">
        <f>IFERROR(__xludf.DUMMYFUNCTION("""COMPUTED_VALUE"""),"No aplica")</f>
        <v>No aplica</v>
      </c>
      <c r="AB375" s="96" t="str">
        <f>IFERROR(__xludf.DUMMYFUNCTION("""COMPUTED_VALUE"""),"https://photos.app.goo.gl/UtWq6d5B44pAn9dA9")</f>
        <v>https://photos.app.goo.gl/UtWq6d5B44pAn9dA9</v>
      </c>
      <c r="AC375" s="46" t="str">
        <f>IFERROR(__xludf.DUMMYFUNCTION("""COMPUTED_VALUE"""),"La vivienda dispone de garaje para dos vehículos con reja techada, depósito, sala, espacio para estudio, cocina integral, corredor y patio de ropas. Tiene tres habitaciones, todas con clóset, y dos baños, uno de ellos en la habitación principal. Además, c"&amp;"uenta con un aparta-estudio independiente que incluye cocina semi-integral, baño y habitación, ideal para generar renta adicional o para uso familiar.")</f>
        <v>La vivienda dispone de garaje para dos vehículos con reja techada, depósito, sala, espacio para estudio, cocina integral, corredor y patio de ropas. Tiene tres habitaciones, todas con clóset, y dos baños, uno de ellos en la habitación principal. Además, cuenta con un aparta-estudio independiente que incluye cocina semi-integral, baño y habitación, ideal para generar renta adicional o para uso familiar.</v>
      </c>
      <c r="AD375" s="46" t="str">
        <f>IFERROR(__xludf.DUMMYFUNCTION("""COMPUTED_VALUE"""),"Casa en venta en el barrio Cándido, en la ciudad de Neiva. Cuenta con un área de 170.0 m². Una excelente oportunidad de inversión y vivienda en un mismo lugar.")</f>
        <v>Casa en venta en el barrio Cándido, en la ciudad de Neiva. Cuenta con un área de 170.0 m². Una excelente oportunidad de inversión y vivienda en un mismo lugar.</v>
      </c>
      <c r="AE375" s="46"/>
      <c r="AF375" s="46" t="str">
        <f>IFERROR(__xludf.DUMMYFUNCTION("""COMPUTED_VALUE"""),"integral")</f>
        <v>integral</v>
      </c>
      <c r="AG375" s="46"/>
      <c r="AH375" s="46" t="str">
        <f>IFERROR(__xludf.DUMMYFUNCTION("""COMPUTED_VALUE"""),"Aliado")</f>
        <v>Aliado</v>
      </c>
      <c r="AI375" s="92" t="str">
        <f>IFERROR(__xludf.DUMMYFUNCTION("""COMPUTED_VALUE"""),"https://lh3.googleusercontent.com/pw/AP1GczPrB6V2ZovQfqt12w9nlxB5UMptUa5L7ZedHFYH-tiwflbAmKXhqgBzsBpnz3Tk0EYLnlrywutnuDfFUqKZZgizOaukpPOhgV1DVsDyyvf9mNpupMxL=w1200|https://lh3.googleusercontent.com/pw/AP1GczMU2BHV0zxuPTU3VY7-QecD6z8aq_pPpl9SxET7KhTXhnDEKn"&amp;"kKxgO13KEZ51ZU9BW6uNkHFoTWrSJe88b4r49N-mGqX_0f3NhyzRsxVD6r2o-1z85v=w1200|https://lh3.googleusercontent.com/pw/AP1GczOZS5PMyyPQLdK6UFbGK7wOE4EuSKntL7STIe6QkKM9_NJEzVPoVs6LBXDnGCsyYGpSiBhj9Ojeig-MWCS4NTAIm8u_v5-2zRrSmgMWsqusqKsbTtvJ=w1200|https://lh3.google"&amp;"usercontent.com/pw/AP1GczO0B45zgrz9Y2PWvpr1Y9EPvSoYwZAD9LOGX6MVKcXDey3JsHNlGmALjQi2MO_Ke2i3EAaB3gzp86vHoEW7_Cn06PxuFI5-JPcv4pGPxRyZNf0W_JFL=w1200|https://lh3.googleusercontent.com/pw/AP1GczOu9wkg7fCD8gElFN9DdFzOCLyRmQgjavm3mEEZWtrER4_kSOQoxhk5tFmAdtY0TbST"&amp;"D02tB95cygGK4XLB5RudvOVW4tOaeDTN-Gg-eNrkMEE-1A7Q=w1200|https://lh3.googleusercontent.com/pw/AP1GczMm39n7YlzK0OTE9D_jPgWucQhY9mNNGc1ytCkO1hrogDMEtzYpt8pIh5U1pZt_QL2I7EDVYJc5NsWHZUOnYSdIRAu7p8_Rhz7P1u_-Z2sTRse8qiSX=w1200|https://lh3.googleusercontent.com/pw"&amp;"/AP1GczNwisNttQWxfiw40YAkOyhRH02ukuyFVVA_7TNvxySw1X-D0vxa4mX1Z3bHEHxsci6jXi-6dgP1QeX9d0odFnYnaYbkXhldLXxRdFkN5NQVoTBi8NWL=w1200|https://lh3.googleusercontent.com/pw/AP1GczOdCW1LbqVp9DaYKDuUzogxOeZtwctNJZlKHc6L3eeLxnGAWTTBvBcIS-G2SmXuBJwOPw0joOWFLscNDv-MZ_"&amp;"418JUK9FuGmB2fAq-T_pGISnIgxnTa=w1200|https://lh3.googleusercontent.com/pw/AP1GczMgtxa9iB0tTqXVMLmq1516DWg2Zq_ev7otMVIU7M6v7ufxhV5PCyD0w3yBMJSetXHXLhSMYHWVNNgGgkt1m5GiAYeCQzwweD0tML7rk-Nju6w7c-F2=w1200|https://lh3.googleusercontent.com/pw/AP1GczMLsiY1kO0e6"&amp;"jj4vqx5pTg_OYLqZWuiPNP8XH-NsNu08CwoEm6Ba05Q8QT837X4Pz7WEPgH0K0fLUZIx36WGG9WKGfNY3-UrIMB93zKdMdIsrY95Jpg=w1200|https://lh3.googleusercontent.com/pw/AP1GczPNl8lV_ocgPRcJidC56OeL3zI9M6EiedrFS-unF74bpNRK4JRF0amxxdT9OUj7U4CL4iUhqTARE77oM21j2BpcY9s7AwSKGvdKoH8G"&amp;"Lwq3g5oMQXE3=w1200|https://lh3.googleusercontent.com/pw/AP1GczOwFW3bLrwk0ETpiVQhnlX_Py48XOrjXngiEU_KJbHTtAnvYWu7AZKY7turVv49mu2mUynhOa8SCrMy0xW_sBtPTlC5s9iutR6vRKaSRzF3SXwkLE_Y=w1200|https://lh3.googleusercontent.com/pw/AP1GczMDwRvtaqSTu7lfXtOt4LAgDXcnM9F"&amp;"dnGKKnGG_g5XLVGuQ27MPh9M8EUGKFh3PAKowNtx-0NuhIrNoKmwWlVz5P5rfEu_SgaoKHGuPq3P5ZBOYgi8C=w1200|https://lh3.googleusercontent.com/pw/AP1GczOK8Pp_TifcksUyRv8LnhRfVl0p7H_KG0l3U6Duofc8ROuk56E1kunnahhZW7GB_ILrejAH8s4xl8484klv39l2YprymMhRuSQ8Pe5qsN6iRyKkYqyB=w1200"&amp;"|https://lh3.googleusercontent.com/pw/AP1GczN0CBk8dnnsrjueed7aKBPZf4S_IwjOGaGD2H5EMGHoPmjzgXw8aZZ-zR5TIdxEltSzkx-glmcsem1b3qPcvNrvl_u8ez_1wQ15lT6s7R_L6gBOj3CE=w1200|https://lh3.googleusercontent.com/pw/AP1GczNFtwLG_Znzy3kUUAujrHTckYsqXzC05fkCEc21qqI-sesbO"&amp;"7xZkFDfNU5BbkjygW6U9zDngd9XkDaVdLkZMrJAK8dVg32r9LCn0DuE6aAnw0mQJLZT=w1200|https://lh3.googleusercontent.com/pw/AP1GczNcfn4-RLuWTosvJms_z11l9UrSSVCGqYFfNqOxTNIZmJ3OTzh-exi1nh8ffMI7MdcPO4rZtkRhGRkpj7fR3AAVG0ul8R8pJ_W5lkfisd3cgUSiCNIM=w1200|https://lh3.googl"&amp;"eusercontent.com/pw/AP1GczOosgqoyV2jUIz_DNm-X_EqlpEpOwfRrSZdvFf-E4gjsZxBvK8IoOBdeR9Ch59WmTfNmFytI-q1vOTICOkV4gQ16ZQ7K1fQxKLhAKlmqZNl_u8TgzHv=w1200")</f>
        <v>https://lh3.googleusercontent.com/pw/AP1GczPrB6V2ZovQfqt12w9nlxB5UMptUa5L7ZedHFYH-tiwflbAmKXhqgBzsBpnz3Tk0EYLnlrywutnuDfFUqKZZgizOaukpPOhgV1DVsDyyvf9mNpupMxL=w1200|https://lh3.googleusercontent.com/pw/AP1GczMU2BHV0zxuPTU3VY7-QecD6z8aq_pPpl9SxET7KhTXhnDEKnkKxgO13KEZ51ZU9BW6uNkHFoTWrSJe88b4r49N-mGqX_0f3NhyzRsxVD6r2o-1z85v=w1200|https://lh3.googleusercontent.com/pw/AP1GczOZS5PMyyPQLdK6UFbGK7wOE4EuSKntL7STIe6QkKM9_NJEzVPoVs6LBXDnGCsyYGpSiBhj9Ojeig-MWCS4NTAIm8u_v5-2zRrSmgMWsqusqKsbTtvJ=w1200|https://lh3.googleusercontent.com/pw/AP1GczO0B45zgrz9Y2PWvpr1Y9EPvSoYwZAD9LOGX6MVKcXDey3JsHNlGmALjQi2MO_Ke2i3EAaB3gzp86vHoEW7_Cn06PxuFI5-JPcv4pGPxRyZNf0W_JFL=w1200|https://lh3.googleusercontent.com/pw/AP1GczOu9wkg7fCD8gElFN9DdFzOCLyRmQgjavm3mEEZWtrER4_kSOQoxhk5tFmAdtY0TbSTD02tB95cygGK4XLB5RudvOVW4tOaeDTN-Gg-eNrkMEE-1A7Q=w1200|https://lh3.googleusercontent.com/pw/AP1GczMm39n7YlzK0OTE9D_jPgWucQhY9mNNGc1ytCkO1hrogDMEtzYpt8pIh5U1pZt_QL2I7EDVYJc5NsWHZUOnYSdIRAu7p8_Rhz7P1u_-Z2sTRse8qiSX=w1200|https://lh3.googleusercontent.com/pw/AP1GczNwisNttQWxfiw40YAkOyhRH02ukuyFVVA_7TNvxySw1X-D0vxa4mX1Z3bHEHxsci6jXi-6dgP1QeX9d0odFnYnaYbkXhldLXxRdFkN5NQVoTBi8NWL=w1200|https://lh3.googleusercontent.com/pw/AP1GczOdCW1LbqVp9DaYKDuUzogxOeZtwctNJZlKHc6L3eeLxnGAWTTBvBcIS-G2SmXuBJwOPw0joOWFLscNDv-MZ_418JUK9FuGmB2fAq-T_pGISnIgxnTa=w1200|https://lh3.googleusercontent.com/pw/AP1GczMgtxa9iB0tTqXVMLmq1516DWg2Zq_ev7otMVIU7M6v7ufxhV5PCyD0w3yBMJSetXHXLhSMYHWVNNgGgkt1m5GiAYeCQzwweD0tML7rk-Nju6w7c-F2=w1200|https://lh3.googleusercontent.com/pw/AP1GczMLsiY1kO0e6jj4vqx5pTg_OYLqZWuiPNP8XH-NsNu08CwoEm6Ba05Q8QT837X4Pz7WEPgH0K0fLUZIx36WGG9WKGfNY3-UrIMB93zKdMdIsrY95Jpg=w1200|https://lh3.googleusercontent.com/pw/AP1GczPNl8lV_ocgPRcJidC56OeL3zI9M6EiedrFS-unF74bpNRK4JRF0amxxdT9OUj7U4CL4iUhqTARE77oM21j2BpcY9s7AwSKGvdKoH8GLwq3g5oMQXE3=w1200|https://lh3.googleusercontent.com/pw/AP1GczOwFW3bLrwk0ETpiVQhnlX_Py48XOrjXngiEU_KJbHTtAnvYWu7AZKY7turVv49mu2mUynhOa8SCrMy0xW_sBtPTlC5s9iutR6vRKaSRzF3SXwkLE_Y=w1200|https://lh3.googleusercontent.com/pw/AP1GczMDwRvtaqSTu7lfXtOt4LAgDXcnM9FdnGKKnGG_g5XLVGuQ27MPh9M8EUGKFh3PAKowNtx-0NuhIrNoKmwWlVz5P5rfEu_SgaoKHGuPq3P5ZBOYgi8C=w1200|https://lh3.googleusercontent.com/pw/AP1GczOK8Pp_TifcksUyRv8LnhRfVl0p7H_KG0l3U6Duofc8ROuk56E1kunnahhZW7GB_ILrejAH8s4xl8484klv39l2YprymMhRuSQ8Pe5qsN6iRyKkYqyB=w1200|https://lh3.googleusercontent.com/pw/AP1GczN0CBk8dnnsrjueed7aKBPZf4S_IwjOGaGD2H5EMGHoPmjzgXw8aZZ-zR5TIdxEltSzkx-glmcsem1b3qPcvNrvl_u8ez_1wQ15lT6s7R_L6gBOj3CE=w1200|https://lh3.googleusercontent.com/pw/AP1GczNFtwLG_Znzy3kUUAujrHTckYsqXzC05fkCEc21qqI-sesbO7xZkFDfNU5BbkjygW6U9zDngd9XkDaVdLkZMrJAK8dVg32r9LCn0DuE6aAnw0mQJLZT=w1200|https://lh3.googleusercontent.com/pw/AP1GczNcfn4-RLuWTosvJms_z11l9UrSSVCGqYFfNqOxTNIZmJ3OTzh-exi1nh8ffMI7MdcPO4rZtkRhGRkpj7fR3AAVG0ul8R8pJ_W5lkfisd3cgUSiCNIM=w1200|https://lh3.googleusercontent.com/pw/AP1GczOosgqoyV2jUIz_DNm-X_EqlpEpOwfRrSZdvFf-E4gjsZxBvK8IoOBdeR9Ch59WmTfNmFytI-q1vOTICOkV4gQ16ZQ7K1fQxKLhAKlmqZNl_u8TgzHv=w1200</v>
      </c>
      <c r="AJ375" s="46"/>
      <c r="AK375" s="46"/>
      <c r="AL375" s="46"/>
      <c r="AM375" s="46"/>
      <c r="AN375" s="46"/>
      <c r="AO375" s="46"/>
      <c r="AP375" s="46"/>
      <c r="AQ375" s="46"/>
      <c r="AR375" s="46"/>
      <c r="AS375" s="46"/>
      <c r="AT375" s="46"/>
      <c r="AU375" s="46"/>
      <c r="AV375" s="46"/>
      <c r="AW375" s="46"/>
      <c r="AX375" s="46"/>
      <c r="AY375" s="46"/>
      <c r="AZ375" s="46"/>
      <c r="BA375" s="46"/>
      <c r="BB375" s="46"/>
      <c r="BC375" s="46"/>
      <c r="BD375" s="46"/>
      <c r="BE375" s="46"/>
      <c r="BF375" s="46"/>
      <c r="BG375" s="46"/>
      <c r="BH375" s="46"/>
      <c r="BI375" s="46"/>
      <c r="BJ375" s="46"/>
      <c r="BK375" s="46"/>
      <c r="BL375" s="46"/>
      <c r="BM375" s="46"/>
      <c r="BN375" s="46"/>
      <c r="BO375" s="46"/>
      <c r="BP375" s="46"/>
      <c r="BQ375" s="46"/>
      <c r="BR375" s="46"/>
      <c r="BS375" s="46"/>
      <c r="BT375" s="46"/>
      <c r="BU375" s="46"/>
      <c r="BV375" s="46"/>
      <c r="BW375" s="46"/>
      <c r="BX375" s="46"/>
      <c r="BY375" s="46"/>
      <c r="BZ375" s="46"/>
      <c r="CA375" s="46"/>
      <c r="CB375" s="46"/>
      <c r="CC375" s="46"/>
    </row>
    <row r="376">
      <c r="A376" s="87" t="str">
        <f>IFERROR(__xludf.DUMMYFUNCTION("""COMPUTED_VALUE"""),"1167")</f>
        <v>1167</v>
      </c>
      <c r="B376" s="46" t="str">
        <f>IFERROR(__xludf.DUMMYFUNCTION("""COMPUTED_VALUE"""),"Casa más 3 apartamentos y un aparta estudio en barrio La Orquídea")</f>
        <v>Casa más 3 apartamentos y un aparta estudio en barrio La Orquídea</v>
      </c>
      <c r="C376" s="46" t="str">
        <f>IFERROR(__xludf.DUMMYFUNCTION("""COMPUTED_VALUE"""),"Casa rentable")</f>
        <v>Casa rentable</v>
      </c>
      <c r="D376" s="46" t="str">
        <f>IFERROR(__xludf.DUMMYFUNCTION("""COMPUTED_VALUE"""),"La Orquídea")</f>
        <v>La Orquídea</v>
      </c>
      <c r="E376" s="90"/>
      <c r="F376" s="90">
        <f>IFERROR(__xludf.DUMMYFUNCTION("""COMPUTED_VALUE"""),3.7E8)</f>
        <v>370000000</v>
      </c>
      <c r="G376" s="46" t="str">
        <f>IFERROR(__xludf.DUMMYFUNCTION("""COMPUTED_VALUE"""),"$300'000.000 a $400'000.000")</f>
        <v>$300'000.000 a $400'000.000</v>
      </c>
      <c r="H376" s="46"/>
      <c r="I376" s="46"/>
      <c r="J376" s="46" t="str">
        <f>IFERROR(__xludf.DUMMYFUNCTION("""COMPUTED_VALUE"""),"Oriente")</f>
        <v>Oriente</v>
      </c>
      <c r="K376" s="87"/>
      <c r="L376" s="46">
        <f>IFERROR(__xludf.DUMMYFUNCTION("""COMPUTED_VALUE"""),7.0)</f>
        <v>7</v>
      </c>
      <c r="M376" s="46"/>
      <c r="N376" s="46">
        <f>IFERROR(__xludf.DUMMYFUNCTION("""COMPUTED_VALUE"""),5.0)</f>
        <v>5</v>
      </c>
      <c r="O376" s="46">
        <f>IFERROR(__xludf.DUMMYFUNCTION("""COMPUTED_VALUE"""),1.0)</f>
        <v>1</v>
      </c>
      <c r="P376" s="46">
        <f>IFERROR(__xludf.DUMMYFUNCTION("""COMPUTED_VALUE"""),2.0)</f>
        <v>2</v>
      </c>
      <c r="Q376" s="92">
        <f>IFERROR(__xludf.DUMMYFUNCTION("""COMPUTED_VALUE"""),213.0)</f>
        <v>213</v>
      </c>
      <c r="R376" s="92">
        <f>IFERROR(__xludf.DUMMYFUNCTION("""COMPUTED_VALUE"""),105.5)</f>
        <v>105.5</v>
      </c>
      <c r="S376" s="87" t="str">
        <f>IFERROR(__xludf.DUMMYFUNCTION("""COMPUTED_VALUE"""),"Rentabilidad $2,000,000")</f>
        <v>Rentabilidad $2,000,000</v>
      </c>
      <c r="T376" s="46" t="str">
        <f>IFERROR(__xludf.DUMMYFUNCTION("""COMPUTED_VALUE"""),"Neiva")</f>
        <v>Neiva</v>
      </c>
      <c r="U376" s="87" t="str">
        <f>IFERROR(__xludf.DUMMYFUNCTION("""COMPUTED_VALUE"""),"3")</f>
        <v>3</v>
      </c>
      <c r="V376" s="46" t="str">
        <f>IFERROR(__xludf.DUMMYFUNCTION("""COMPUTED_VALUE"""),"Esquinera")</f>
        <v>Esquinera</v>
      </c>
      <c r="W376" s="46"/>
      <c r="X376" s="46">
        <f>IFERROR(__xludf.DUMMYFUNCTION("""COMPUTED_VALUE"""),4.0)</f>
        <v>4</v>
      </c>
      <c r="Y376" s="46" t="str">
        <f>IFERROR(__xludf.DUMMYFUNCTION("""COMPUTED_VALUE"""),"No tiene")</f>
        <v>No tiene</v>
      </c>
      <c r="Z376" s="90" t="str">
        <f>IFERROR(__xludf.DUMMYFUNCTION("""COMPUTED_VALUE"""),"No aplica")</f>
        <v>No aplica</v>
      </c>
      <c r="AA376" s="33" t="str">
        <f>IFERROR(__xludf.DUMMYFUNCTION("""COMPUTED_VALUE"""),"15 años")</f>
        <v>15 años</v>
      </c>
      <c r="AB376" s="96" t="str">
        <f>IFERROR(__xludf.DUMMYFUNCTION("""COMPUTED_VALUE"""),"https://photos.app.goo.gl/SSE5HCfD1AVpZ2Xu8")</f>
        <v>https://photos.app.goo.gl/SSE5HCfD1AVpZ2Xu8</v>
      </c>
      <c r="AC376" s="46" t="str">
        <f>IFERROR(__xludf.DUMMYFUNCTION("""COMPUTED_VALUE"""),"Casa con buenos acabados.")</f>
        <v>Casa con buenos acabados.</v>
      </c>
      <c r="AD376" s="46" t="str">
        <f>IFERROR(__xludf.DUMMYFUNCTION("""COMPUTED_VALUE"""),"Casa ubicada sobre vía vehicular amplia y peatonal. Con reja antejardín y patio. Escritura al día.")</f>
        <v>Casa ubicada sobre vía vehicular amplia y peatonal. Con reja antejardín y patio. Escritura al día.</v>
      </c>
      <c r="AE376" s="46"/>
      <c r="AF376" s="46" t="str">
        <f>IFERROR(__xludf.DUMMYFUNCTION("""COMPUTED_VALUE"""),"integral")</f>
        <v>integral</v>
      </c>
      <c r="AG376" s="46"/>
      <c r="AH376" s="46" t="str">
        <f>IFERROR(__xludf.DUMMYFUNCTION("""COMPUTED_VALUE"""),"Aliado")</f>
        <v>Aliado</v>
      </c>
      <c r="AI376" s="92" t="str">
        <f>IFERROR(__xludf.DUMMYFUNCTION("""COMPUTED_VALUE"""),"https://lh3.googleusercontent.com/pw/AP1GczMJXXaDoyev9nEpyDaJeyDt_SwnnmTEMIUU1FxeM3ux8Rdj_KyC6m6dPfRPLHCCfqdRBfjhbwBBN1oJOCDY9zd8EUbJkwpEXMAjj67M1ddw93l-ydxB=w1200|https://lh3.googleusercontent.com/pw/AP1GczPlDLuhhrpjUmufLGeu_oT5MsoPR-y2pow192_retqMvJeWxu"&amp;"DZowS3ySadEXN6_J_1nFV5SalG6AwfphqIaCyXMamAGTAfA4kvlvWCvQ7XkkCrc69q=w1200|https://lh3.googleusercontent.com/pw/AP1GczND4-pzdKYbXw-tXcH0MQQArcQlAZ8FHaf2oN3wuM4Q06aMixeRNndmAVEFyBrdHIh12wtocpu1ciW-6EhwgHxoXM28gdTOY1WrgkSaTJrWTRh7by2m=w1200|https://lh3.google"&amp;"usercontent.com/pw/AP1GczNYiLtgDa94tECokmO0btydfaoGeDYSFFciQzSYymXAL8rucf5u47mt0KROyxjchfA1jLz1aWcJZsGBaRp4b9WedT_LrHVqMhUbaFpQmWrbv1fzMMj5=w1200|https://lh3.googleusercontent.com/pw/AP1GczNQQ0PYAelsBa6t5XnLnin2ugeOJGhsYp_SwFWcD8cZ_Ni1gZI-nNtlSAJt_Hfl2tfz"&amp;"W4UDgV9mnRgt5TMZS-syMnHWbDcZIKozi2SvFTrIqn65qGzG=w1200|https://lh3.googleusercontent.com/pw/AP1GczMUHUGdWc39u7LtA7Of4lj1kddgroZ0O2K7ONbNuWJ0GOrMsGo4kj0LLpfvfrlXt9TUVqHxaoVT99jP7aiQiHrB_RdDE3XbR8NkVf1kNxndLdu0XdmL=w1200|https://lh3.googleusercontent.com/pw"&amp;"/AP1GczNvMX_3zqctRV-APl7LYiO2S33NGtKPC7ZJIe-ABSoYESjK5lnsvjA8HwhVdfzqpk6SMG6maZ48p_iErwB8rC6kRyZoahIcMG8qSFjPk3jcLzNOLsxb=w1200|https://lh3.googleusercontent.com/pw/AP1GczPRpkPq25YSm6LbovxQnt6QTkdzv-g0P5hTveR2QfBO_q2q1AvtPH1ZwGVKsU2ftTZxGN7CURBy--x408SOX4"&amp;"k8B4_B8l-zCmHymEIG5NSH0Z5MD7D6=w1200|https://lh3.googleusercontent.com/pw/AP1GczMlzw_o3S-x5aXyF0TB8PmjHoNIJnO3Duy20imesOheXCvlsyxrcaPvHlzotceLCQJn486Y_NgI6GwcaTnz8HvLDJAXVJIIT33R9bO-azyqfq28yuqw=w1200|https://lh3.googleusercontent.com/pw/AP1GczNMqYRkg6hjh"&amp;"RsGT9x1FPe6SUY76isKo9iho1Go_yzpaLNOMHT5XjU4NR05J7CDM4JiTzfu2YuhqoIIcyKWWrsRSswO2422jNR24Nu_xKt9xI7B4I_-=w1200|https://lh3.googleusercontent.com/pw/AP1GczOTvJXYAdM51yMm__324nP9pxS2XZL7p1WnYP-DW8bGiCbTtH97KQfh8Cm-95tkg9mND_6rjtqArcoeMIUO6d4ZxGOYoHmEYRvd2DG3"&amp;"uT0XPhQb1KUh=w1200|https://lh3.googleusercontent.com/pw/AP1GczNcuizkaMMsozIhWsEKFFwRzLjsi2yulenmHdheu5BXbsq1ZG4PvcIWuEiLZWWT6MtpXlsR9fiFibTofU-P-Il5SV9Jv7zTJGRT0-QtizLNy2EnfOaj=w1200|https://lh3.googleusercontent.com/pw/AP1GczMoXre1tTYhoIWuX3vh6Ks-aG-fX2Z"&amp;"CQmHq7Mqv8p4EmMv5t-V986njfab1s6IzANYvRIMFxiiyBcRIYxHFLPbGPTewaqqQB7HqX_ba4gfW5cx5ZfwU=w1200|https://lh3.googleusercontent.com/pw/AP1GczPC-ZeblJECVaxmacPRn2vzh656sjWYr6jDdy3ZXEJbGHSXQvWJJLpf5ojAhGG3yEtDZb_yTqshUvjuhTFTukdDQP5ivs6UhEzeYEWDzN05b5swTwCV=w1200")</f>
        <v>https://lh3.googleusercontent.com/pw/AP1GczMJXXaDoyev9nEpyDaJeyDt_SwnnmTEMIUU1FxeM3ux8Rdj_KyC6m6dPfRPLHCCfqdRBfjhbwBBN1oJOCDY9zd8EUbJkwpEXMAjj67M1ddw93l-ydxB=w1200|https://lh3.googleusercontent.com/pw/AP1GczPlDLuhhrpjUmufLGeu_oT5MsoPR-y2pow192_retqMvJeWxuDZowS3ySadEXN6_J_1nFV5SalG6AwfphqIaCyXMamAGTAfA4kvlvWCvQ7XkkCrc69q=w1200|https://lh3.googleusercontent.com/pw/AP1GczND4-pzdKYbXw-tXcH0MQQArcQlAZ8FHaf2oN3wuM4Q06aMixeRNndmAVEFyBrdHIh12wtocpu1ciW-6EhwgHxoXM28gdTOY1WrgkSaTJrWTRh7by2m=w1200|https://lh3.googleusercontent.com/pw/AP1GczNYiLtgDa94tECokmO0btydfaoGeDYSFFciQzSYymXAL8rucf5u47mt0KROyxjchfA1jLz1aWcJZsGBaRp4b9WedT_LrHVqMhUbaFpQmWrbv1fzMMj5=w1200|https://lh3.googleusercontent.com/pw/AP1GczNQQ0PYAelsBa6t5XnLnin2ugeOJGhsYp_SwFWcD8cZ_Ni1gZI-nNtlSAJt_Hfl2tfzW4UDgV9mnRgt5TMZS-syMnHWbDcZIKozi2SvFTrIqn65qGzG=w1200|https://lh3.googleusercontent.com/pw/AP1GczMUHUGdWc39u7LtA7Of4lj1kddgroZ0O2K7ONbNuWJ0GOrMsGo4kj0LLpfvfrlXt9TUVqHxaoVT99jP7aiQiHrB_RdDE3XbR8NkVf1kNxndLdu0XdmL=w1200|https://lh3.googleusercontent.com/pw/AP1GczNvMX_3zqctRV-APl7LYiO2S33NGtKPC7ZJIe-ABSoYESjK5lnsvjA8HwhVdfzqpk6SMG6maZ48p_iErwB8rC6kRyZoahIcMG8qSFjPk3jcLzNOLsxb=w1200|https://lh3.googleusercontent.com/pw/AP1GczPRpkPq25YSm6LbovxQnt6QTkdzv-g0P5hTveR2QfBO_q2q1AvtPH1ZwGVKsU2ftTZxGN7CURBy--x408SOX4k8B4_B8l-zCmHymEIG5NSH0Z5MD7D6=w1200|https://lh3.googleusercontent.com/pw/AP1GczMlzw_o3S-x5aXyF0TB8PmjHoNIJnO3Duy20imesOheXCvlsyxrcaPvHlzotceLCQJn486Y_NgI6GwcaTnz8HvLDJAXVJIIT33R9bO-azyqfq28yuqw=w1200|https://lh3.googleusercontent.com/pw/AP1GczNMqYRkg6hjhRsGT9x1FPe6SUY76isKo9iho1Go_yzpaLNOMHT5XjU4NR05J7CDM4JiTzfu2YuhqoIIcyKWWrsRSswO2422jNR24Nu_xKt9xI7B4I_-=w1200|https://lh3.googleusercontent.com/pw/AP1GczOTvJXYAdM51yMm__324nP9pxS2XZL7p1WnYP-DW8bGiCbTtH97KQfh8Cm-95tkg9mND_6rjtqArcoeMIUO6d4ZxGOYoHmEYRvd2DG3uT0XPhQb1KUh=w1200|https://lh3.googleusercontent.com/pw/AP1GczNcuizkaMMsozIhWsEKFFwRzLjsi2yulenmHdheu5BXbsq1ZG4PvcIWuEiLZWWT6MtpXlsR9fiFibTofU-P-Il5SV9Jv7zTJGRT0-QtizLNy2EnfOaj=w1200|https://lh3.googleusercontent.com/pw/AP1GczMoXre1tTYhoIWuX3vh6Ks-aG-fX2ZCQmHq7Mqv8p4EmMv5t-V986njfab1s6IzANYvRIMFxiiyBcRIYxHFLPbGPTewaqqQB7HqX_ba4gfW5cx5ZfwU=w1200|https://lh3.googleusercontent.com/pw/AP1GczPC-ZeblJECVaxmacPRn2vzh656sjWYr6jDdy3ZXEJbGHSXQvWJJLpf5ojAhGG3yEtDZb_yTqshUvjuhTFTukdDQP5ivs6UhEzeYEWDzN05b5swTwCV=w1200</v>
      </c>
      <c r="AJ376" s="46"/>
      <c r="AK376" s="46"/>
      <c r="AL376" s="46"/>
      <c r="AM376" s="46"/>
      <c r="AN376" s="46"/>
      <c r="AO376" s="46"/>
      <c r="AP376" s="46"/>
      <c r="AQ376" s="46"/>
      <c r="AR376" s="46"/>
      <c r="AS376" s="46"/>
      <c r="AT376" s="46"/>
      <c r="AU376" s="46"/>
      <c r="AV376" s="46"/>
      <c r="AW376" s="46"/>
      <c r="AX376" s="46"/>
      <c r="AY376" s="46"/>
      <c r="AZ376" s="46"/>
      <c r="BA376" s="46"/>
      <c r="BB376" s="46"/>
      <c r="BC376" s="46"/>
      <c r="BD376" s="46"/>
      <c r="BE376" s="46"/>
      <c r="BF376" s="46"/>
      <c r="BG376" s="46"/>
      <c r="BH376" s="46"/>
      <c r="BI376" s="46"/>
      <c r="BJ376" s="46"/>
      <c r="BK376" s="46"/>
      <c r="BL376" s="46"/>
      <c r="BM376" s="46"/>
      <c r="BN376" s="46"/>
      <c r="BO376" s="46"/>
      <c r="BP376" s="46"/>
      <c r="BQ376" s="46"/>
      <c r="BR376" s="46"/>
      <c r="BS376" s="46"/>
      <c r="BT376" s="46"/>
      <c r="BU376" s="46"/>
      <c r="BV376" s="46"/>
      <c r="BW376" s="46"/>
      <c r="BX376" s="46"/>
      <c r="BY376" s="46"/>
      <c r="BZ376" s="46"/>
      <c r="CA376" s="46"/>
      <c r="CB376" s="46"/>
      <c r="CC376" s="46"/>
    </row>
    <row r="377">
      <c r="A377" s="87" t="str">
        <f>IFERROR(__xludf.DUMMYFUNCTION("""COMPUTED_VALUE"""),"1081")</f>
        <v>1081</v>
      </c>
      <c r="B377" s="46" t="str">
        <f>IFERROR(__xludf.DUMMYFUNCTION("""COMPUTED_VALUE"""),"Casa en barrio Oriental")</f>
        <v>Casa en barrio Oriental</v>
      </c>
      <c r="C377" s="46" t="str">
        <f>IFERROR(__xludf.DUMMYFUNCTION("""COMPUTED_VALUE"""),"Casa")</f>
        <v>Casa</v>
      </c>
      <c r="D377" s="46" t="str">
        <f>IFERROR(__xludf.DUMMYFUNCTION("""COMPUTED_VALUE"""),"Oriente")</f>
        <v>Oriente</v>
      </c>
      <c r="E377" s="46"/>
      <c r="F377" s="90">
        <f>IFERROR(__xludf.DUMMYFUNCTION("""COMPUTED_VALUE"""),3.7E8)</f>
        <v>370000000</v>
      </c>
      <c r="G377" s="46" t="str">
        <f>IFERROR(__xludf.DUMMYFUNCTION("""COMPUTED_VALUE"""),"$300'000.000 a $400'000.000")</f>
        <v>$300'000.000 a $400'000.000</v>
      </c>
      <c r="H377" s="46"/>
      <c r="I377" s="46"/>
      <c r="J377" s="46" t="str">
        <f>IFERROR(__xludf.DUMMYFUNCTION("""COMPUTED_VALUE"""),"Oriente")</f>
        <v>Oriente</v>
      </c>
      <c r="K377" s="87"/>
      <c r="L377" s="33">
        <f>IFERROR(__xludf.DUMMYFUNCTION("""COMPUTED_VALUE"""),3.0)</f>
        <v>3</v>
      </c>
      <c r="M377" s="33"/>
      <c r="N377" s="33">
        <f>IFERROR(__xludf.DUMMYFUNCTION("""COMPUTED_VALUE"""),2.0)</f>
        <v>2</v>
      </c>
      <c r="O377" s="33">
        <f>IFERROR(__xludf.DUMMYFUNCTION("""COMPUTED_VALUE"""),1.0)</f>
        <v>1</v>
      </c>
      <c r="P377" s="33">
        <f>IFERROR(__xludf.DUMMYFUNCTION("""COMPUTED_VALUE"""),2.0)</f>
        <v>2</v>
      </c>
      <c r="Q377" s="92">
        <f>IFERROR(__xludf.DUMMYFUNCTION("""COMPUTED_VALUE"""),142.0)</f>
        <v>142</v>
      </c>
      <c r="R377" s="92">
        <f>IFERROR(__xludf.DUMMYFUNCTION("""COMPUTED_VALUE"""),95.0)</f>
        <v>95</v>
      </c>
      <c r="S377" s="87" t="str">
        <f>IFERROR(__xludf.DUMMYFUNCTION("""COMPUTED_VALUE""")," ")</f>
        <v> </v>
      </c>
      <c r="T377" s="46" t="str">
        <f>IFERROR(__xludf.DUMMYFUNCTION("""COMPUTED_VALUE"""),"Neiva")</f>
        <v>Neiva</v>
      </c>
      <c r="U377" s="87" t="str">
        <f>IFERROR(__xludf.DUMMYFUNCTION("""COMPUTED_VALUE"""),"3")</f>
        <v>3</v>
      </c>
      <c r="V377" s="33" t="str">
        <f>IFERROR(__xludf.DUMMYFUNCTION("""COMPUTED_VALUE"""),"Medianera")</f>
        <v>Medianera</v>
      </c>
      <c r="W377" s="33"/>
      <c r="X377" s="33">
        <f>IFERROR(__xludf.DUMMYFUNCTION("""COMPUTED_VALUE"""),3.0)</f>
        <v>3</v>
      </c>
      <c r="Y377" s="46" t="str">
        <f>IFERROR(__xludf.DUMMYFUNCTION("""COMPUTED_VALUE"""),"No tiene")</f>
        <v>No tiene</v>
      </c>
      <c r="Z377" s="90" t="str">
        <f>IFERROR(__xludf.DUMMYFUNCTION("""COMPUTED_VALUE"""),"No aplica")</f>
        <v>No aplica</v>
      </c>
      <c r="AA377" s="33" t="str">
        <f>IFERROR(__xludf.DUMMYFUNCTION("""COMPUTED_VALUE"""),"No aplica")</f>
        <v>No aplica</v>
      </c>
      <c r="AB377" s="144" t="str">
        <f>IFERROR(__xludf.DUMMYFUNCTION("""COMPUTED_VALUE"""),"https://photos.app.goo.gl/C2EjB2CEJB7hjFTR8")</f>
        <v>https://photos.app.goo.gl/C2EjB2CEJB7hjFTR8</v>
      </c>
      <c r="AC377" s="46" t="str">
        <f>IFERROR(__xludf.DUMMYFUNCTION("""COMPUTED_VALUE"""),"Casa con buenos acabados, piso en porcelanato, Cieloraso en DriWall, molduras en yeso, carpintería marcos, puertas, closet, muebles empotrados y estudio en madera.  Fachaleta. Hierro forjado en pasamanos de la escalera. Divisiones en vídrio templado.")</f>
        <v>Casa con buenos acabados, piso en porcelanato, Cieloraso en DriWall, molduras en yeso, carpintería marcos, puertas, closet, muebles empotrados y estudio en madera.  Fachaleta. Hierro forjado en pasamanos de la escalera. Divisiones en vídrio templado.</v>
      </c>
      <c r="AD377" s="46" t="str">
        <f>IFERROR(__xludf.DUMMYFUNCTION("""COMPUTED_VALUE"""),"Casa bien ubicada sobre vía  vehicular amplia y pavimentada, con reja antejardín, en fachada viga canal. Piso del antejardín en cerámica antideslizante. 17 años de construida. Sector de alta valorización. Escritura al día.")</f>
        <v>Casa bien ubicada sobre vía  vehicular amplia y pavimentada, con reja antejardín, en fachada viga canal. Piso del antejardín en cerámica antideslizante. 17 años de construida. Sector de alta valorización. Escritura al día.</v>
      </c>
      <c r="AE377" s="46"/>
      <c r="AF377" s="46" t="str">
        <f>IFERROR(__xludf.DUMMYFUNCTION("""COMPUTED_VALUE"""),"integral")</f>
        <v>integral</v>
      </c>
      <c r="AG377" s="46"/>
      <c r="AH377" s="46" t="str">
        <f>IFERROR(__xludf.DUMMYFUNCTION("""COMPUTED_VALUE"""),"Aliado")</f>
        <v>Aliado</v>
      </c>
      <c r="AI377" s="92" t="str">
        <f>IFERROR(__xludf.DUMMYFUNCTION("""COMPUTED_VALUE"""),"https://lh3.googleusercontent.com/pw/AP1GczO7FOl2oc817zHCWWUtI3mXa2lEglgcmtleJgedojT_udld33ggXkywYndYvE3xq4l3JpHPT3ZNKVXSOF-bbQCALpVbZuuATocUUWzU7kAOuLmZ0a6n=w1200|https://lh3.googleusercontent.com/pw/AP1GczPwOKyw3Ojr4opOLR31aJl4UMi4gWrkMTtig_fAZHDdedsSpy"&amp;"Pch0nO6bPQ2sq7BvB-k54XLaK21_CqiEpPwZXN4O9-6hsScp1qTq3Sa2dw7WYPCDO7=w1200|https://lh3.googleusercontent.com/pw/AP1GczNUuEz7WZ3ZULF37b37LMAlbFclyOHBtIVo05HtcIKmEfm6EPUsBJGW7I8Kjr3Sdt_HyGeIwQXLqInM0UxvRxH4-jD6FdJDdrQ6qflBR-xERYw5EtAZ=w1200|https://lh3.google"&amp;"usercontent.com/pw/AP1GczNTdFZ2ij79hkBPdMZB0Ja56k2S0tEjMgStDfwk0fqsOWsyYNHqlL_5n_oaqFI9E1dv13PCXacQGOWdk40dHLx7VuZkw_FmJFTcyeICwpxb-pAGrR1V=w1200|https://lh3.googleusercontent.com/pw/AP1GczMWb7x1r9issXujTLTlEwrrLIDjORKqCT50IVIAxYpZ3NDOwAOks1PzGCb207nTb0QB"&amp;"L92Alg3yIW6Ua4OZuSMGYfpWq0JrZU0B1c3yEg9r3zXHRBDj=w1200|https://lh3.googleusercontent.com/pw/AP1GczMb4D1oM_42tYjbZZQSOF0UTgKsVUyBGuHDfxBuIYNfOKb9kJ7LTEmtWkgScIgBfu9pCB7C-g5-ylgIlktUVeYqexAlsBHD8kkFU-14ys7NbIP9DYZ_=w1200|https://lh3.googleusercontent.com/pw"&amp;"/AP1GczP8tkxeKiTGWbgH4TsWz_LRkgyzqzHbWU3-kjhHEEmKUio3BusweTEX4A4B8dsZgo5l2S8J7ERQ4F8LZJkav8gtCcw3c6nw4oJlAhkEse81D3bM0D9N=w1200|https://lh3.googleusercontent.com/pw/AP1GczOslJ8jspSsWHhsSPrZNa9_IIxIrT8wZPHrFFUM0llzhEgtt5TK5q8wNDzXW6SAQ4m16kzzSyY72m4YMS670L"&amp;"VQKN6mA_olodl1oQgyV9rdUaqSEYSf=w1200|https://lh3.googleusercontent.com/pw/AP1GczNzc5ZdWxqPqDNWBn-jnRKG8nsdAHu-LTs8DXKFtgt4eEQFMa51vcFzyZOA84iRTgAVkGGP6m6L_MrOgE-hhunNK5LDQk7dDoF2_P6ZKBhVUZ1RxtSA=w1200|https://lh3.googleusercontent.com/pw/AP1GczOgSbPQPPHfX"&amp;"B1aLSPSC85Dc0AfbJNuAyp3zvdPqR-ZlUhLPP5t8GrIseahu2Z3MM4vNucwiR__kRWq7EsW4MAGdduXRiYYTkaYLb2OQ2clLgP_9kVd=w1200|https://lh3.googleusercontent.com/pw/AP1GczM48whLnxqajhsSwc11rThJ2ooJW9bh__Bg6sAv_F1D2V9UN55TPyvrfnDwNE4BP22psZ4u3zvgtze86WKPwaevFemyr6S3ceKR5Onz"&amp;"vYkyX4-yEwzy=w1200|https://lh3.googleusercontent.com/pw/AP1GczOZ6clnwBlLe2OCpWquCph3xtmJGO625rXAVSJjJ99iWCQDmabnNYYZnZ3yIYJde04AyJ9-X5BiSnCFgf1fkysPWsDRqlfmolJOHTro92JJTLa7dsoH=w1200|https://lh3.googleusercontent.com/pw/AP1GczNEq6O2NwcSXHTAOhlXKYOV93N6TXn"&amp;"hXp50BcvXQzK_TqV2P6eLVDnlfy9_E0tHdY2qkjDE6v1AazuP3WSbSKpbc7S2_kGV0eaSzdmlPc3ZkZM4LY0t=w1200|https://lh3.googleusercontent.com/pw/AP1GczP4oAybvkwwB87O6IkdvxBt20EuaD5eKgxaxNJo9UglzYs_D4HEpGreM-9wDh1cda3GHDX9ScHFZWq3LNxYRI-FS3xQ1-1BXq4NIOTz02KHGZ_Wvxbg=w1200"&amp;"|https://lh3.googleusercontent.com/pw/AP1GczPJtG4rFEKnAI4-mG8a3Eucl0S2rc4lXecxYq5Bp5-wOJiypUyrWRz3KnsKnIMZPUitSCwBNEfkp42hh16Bv_-4ZkQl8i8eLqPNuO-wpTzk8bgUfTsA=w1200|https://lh3.googleusercontent.com/pw/AP1GczP_rQOsIK48GNwz6rkhOqI1AfS2TgGbSb5qcUcNKLhoHeXou"&amp;"okGwWHS45Eo0r8Yyf9O8wfnFRxKjJTaGlKOBV8-8RaphED9Dr4gnTw-G9C0j57lireR=w1200|https://lh3.googleusercontent.com/pw/AP1GczPWKrG0quY3zWhA1DFzbVgeCJveKT05VaVXkwg5ihhRxvI7dwdiGrDBmywPQ3dXViOJkrUDJO2eQ-n9LAk8tvPRsFlfnMLktkwJG2pJv4RIs0-lnM0q=w1200|https://lh3.googl"&amp;"eusercontent.com/pw/AP1GczONIDe9k9gl1aDH2jVECJ2ZSS2HOpkgtnvORCcNKq6fpYVeiptaY0LtcPdf-zfrbh0iBeU_HpUhDtBSf9PKHZaf9SaWKV3QtaZLDNIv2uSS1YZcFaci=w1200|https://lh3.googleusercontent.com/pw/AP1GczPa0lz1cqhxq5QjyfZ2Nxfm5SFfyn4VUMgQhI_g0qpJiHTj6smQFjeMHfvFdtrxBef"&amp;"uvwQRgVJ2EPQ61GMkQxw9o5k43xOLJ5T7eS-P6PDqvlInMR5l=w1200|https://lh3.googleusercontent.com/pw/AP1GczOWIY2jtWA7J5BXKAweCwRBii4OvQeSW8gJAlHjsTBlUoBUqIyYrE53iGBDyCafFZ-g47MAyTYYTxTScDtpQ3RkphCB0Mqg0jHtQpGKycWwMQDtpp83=w1200")</f>
        <v>https://lh3.googleusercontent.com/pw/AP1GczO7FOl2oc817zHCWWUtI3mXa2lEglgcmtleJgedojT_udld33ggXkywYndYvE3xq4l3JpHPT3ZNKVXSOF-bbQCALpVbZuuATocUUWzU7kAOuLmZ0a6n=w1200|https://lh3.googleusercontent.com/pw/AP1GczPwOKyw3Ojr4opOLR31aJl4UMi4gWrkMTtig_fAZHDdedsSpyPch0nO6bPQ2sq7BvB-k54XLaK21_CqiEpPwZXN4O9-6hsScp1qTq3Sa2dw7WYPCDO7=w1200|https://lh3.googleusercontent.com/pw/AP1GczNUuEz7WZ3ZULF37b37LMAlbFclyOHBtIVo05HtcIKmEfm6EPUsBJGW7I8Kjr3Sdt_HyGeIwQXLqInM0UxvRxH4-jD6FdJDdrQ6qflBR-xERYw5EtAZ=w1200|https://lh3.googleusercontent.com/pw/AP1GczNTdFZ2ij79hkBPdMZB0Ja56k2S0tEjMgStDfwk0fqsOWsyYNHqlL_5n_oaqFI9E1dv13PCXacQGOWdk40dHLx7VuZkw_FmJFTcyeICwpxb-pAGrR1V=w1200|https://lh3.googleusercontent.com/pw/AP1GczMWb7x1r9issXujTLTlEwrrLIDjORKqCT50IVIAxYpZ3NDOwAOks1PzGCb207nTb0QBL92Alg3yIW6Ua4OZuSMGYfpWq0JrZU0B1c3yEg9r3zXHRBDj=w1200|https://lh3.googleusercontent.com/pw/AP1GczMb4D1oM_42tYjbZZQSOF0UTgKsVUyBGuHDfxBuIYNfOKb9kJ7LTEmtWkgScIgBfu9pCB7C-g5-ylgIlktUVeYqexAlsBHD8kkFU-14ys7NbIP9DYZ_=w1200|https://lh3.googleusercontent.com/pw/AP1GczP8tkxeKiTGWbgH4TsWz_LRkgyzqzHbWU3-kjhHEEmKUio3BusweTEX4A4B8dsZgo5l2S8J7ERQ4F8LZJkav8gtCcw3c6nw4oJlAhkEse81D3bM0D9N=w1200|https://lh3.googleusercontent.com/pw/AP1GczOslJ8jspSsWHhsSPrZNa9_IIxIrT8wZPHrFFUM0llzhEgtt5TK5q8wNDzXW6SAQ4m16kzzSyY72m4YMS670LVQKN6mA_olodl1oQgyV9rdUaqSEYSf=w1200|https://lh3.googleusercontent.com/pw/AP1GczNzc5ZdWxqPqDNWBn-jnRKG8nsdAHu-LTs8DXKFtgt4eEQFMa51vcFzyZOA84iRTgAVkGGP6m6L_MrOgE-hhunNK5LDQk7dDoF2_P6ZKBhVUZ1RxtSA=w1200|https://lh3.googleusercontent.com/pw/AP1GczOgSbPQPPHfXB1aLSPSC85Dc0AfbJNuAyp3zvdPqR-ZlUhLPP5t8GrIseahu2Z3MM4vNucwiR__kRWq7EsW4MAGdduXRiYYTkaYLb2OQ2clLgP_9kVd=w1200|https://lh3.googleusercontent.com/pw/AP1GczM48whLnxqajhsSwc11rThJ2ooJW9bh__Bg6sAv_F1D2V9UN55TPyvrfnDwNE4BP22psZ4u3zvgtze86WKPwaevFemyr6S3ceKR5OnzvYkyX4-yEwzy=w1200|https://lh3.googleusercontent.com/pw/AP1GczOZ6clnwBlLe2OCpWquCph3xtmJGO625rXAVSJjJ99iWCQDmabnNYYZnZ3yIYJde04AyJ9-X5BiSnCFgf1fkysPWsDRqlfmolJOHTro92JJTLa7dsoH=w1200|https://lh3.googleusercontent.com/pw/AP1GczNEq6O2NwcSXHTAOhlXKYOV93N6TXnhXp50BcvXQzK_TqV2P6eLVDnlfy9_E0tHdY2qkjDE6v1AazuP3WSbSKpbc7S2_kGV0eaSzdmlPc3ZkZM4LY0t=w1200|https://lh3.googleusercontent.com/pw/AP1GczP4oAybvkwwB87O6IkdvxBt20EuaD5eKgxaxNJo9UglzYs_D4HEpGreM-9wDh1cda3GHDX9ScHFZWq3LNxYRI-FS3xQ1-1BXq4NIOTz02KHGZ_Wvxbg=w1200|https://lh3.googleusercontent.com/pw/AP1GczPJtG4rFEKnAI4-mG8a3Eucl0S2rc4lXecxYq5Bp5-wOJiypUyrWRz3KnsKnIMZPUitSCwBNEfkp42hh16Bv_-4ZkQl8i8eLqPNuO-wpTzk8bgUfTsA=w1200|https://lh3.googleusercontent.com/pw/AP1GczP_rQOsIK48GNwz6rkhOqI1AfS2TgGbSb5qcUcNKLhoHeXouokGwWHS45Eo0r8Yyf9O8wfnFRxKjJTaGlKOBV8-8RaphED9Dr4gnTw-G9C0j57lireR=w1200|https://lh3.googleusercontent.com/pw/AP1GczPWKrG0quY3zWhA1DFzbVgeCJveKT05VaVXkwg5ihhRxvI7dwdiGrDBmywPQ3dXViOJkrUDJO2eQ-n9LAk8tvPRsFlfnMLktkwJG2pJv4RIs0-lnM0q=w1200|https://lh3.googleusercontent.com/pw/AP1GczONIDe9k9gl1aDH2jVECJ2ZSS2HOpkgtnvORCcNKq6fpYVeiptaY0LtcPdf-zfrbh0iBeU_HpUhDtBSf9PKHZaf9SaWKV3QtaZLDNIv2uSS1YZcFaci=w1200|https://lh3.googleusercontent.com/pw/AP1GczPa0lz1cqhxq5QjyfZ2Nxfm5SFfyn4VUMgQhI_g0qpJiHTj6smQFjeMHfvFdtrxBefuvwQRgVJ2EPQ61GMkQxw9o5k43xOLJ5T7eS-P6PDqvlInMR5l=w1200|https://lh3.googleusercontent.com/pw/AP1GczOWIY2jtWA7J5BXKAweCwRBii4OvQeSW8gJAlHjsTBlUoBUqIyYrE53iGBDyCafFZ-g47MAyTYYTxTScDtpQ3RkphCB0Mqg0jHtQpGKycWwMQDtpp83=w1200</v>
      </c>
      <c r="AJ377" s="46"/>
      <c r="AK377" s="46"/>
      <c r="AL377" s="46"/>
      <c r="AM377" s="46"/>
      <c r="AN377" s="46"/>
      <c r="AO377" s="46"/>
      <c r="AP377" s="46"/>
      <c r="AQ377" s="46"/>
      <c r="AR377" s="46"/>
      <c r="AS377" s="46"/>
      <c r="AT377" s="46"/>
      <c r="AU377" s="46"/>
      <c r="AV377" s="46"/>
      <c r="AW377" s="46"/>
      <c r="AX377" s="46"/>
      <c r="AY377" s="46"/>
      <c r="AZ377" s="46"/>
      <c r="BA377" s="46"/>
      <c r="BB377" s="46"/>
      <c r="BC377" s="46"/>
      <c r="BD377" s="46"/>
      <c r="BE377" s="46"/>
      <c r="BF377" s="46"/>
      <c r="BG377" s="46"/>
      <c r="BH377" s="46"/>
      <c r="BI377" s="46"/>
      <c r="BJ377" s="46"/>
      <c r="BK377" s="46"/>
      <c r="BL377" s="46"/>
      <c r="BM377" s="46"/>
      <c r="BN377" s="46"/>
      <c r="BO377" s="46"/>
      <c r="BP377" s="46"/>
      <c r="BQ377" s="46"/>
      <c r="BR377" s="46"/>
      <c r="BS377" s="46"/>
      <c r="BT377" s="46"/>
      <c r="BU377" s="46"/>
      <c r="BV377" s="46"/>
      <c r="BW377" s="46"/>
      <c r="BX377" s="46"/>
      <c r="BY377" s="46"/>
      <c r="BZ377" s="46"/>
      <c r="CA377" s="46"/>
      <c r="CB377" s="46"/>
      <c r="CC377" s="46"/>
    </row>
    <row r="378">
      <c r="A378" s="87" t="str">
        <f>IFERROR(__xludf.DUMMYFUNCTION("""COMPUTED_VALUE"""),"862")</f>
        <v>862</v>
      </c>
      <c r="B378" s="46" t="str">
        <f>IFERROR(__xludf.DUMMYFUNCTION("""COMPUTED_VALUE"""),"Casa en barrio Los Guaduales")</f>
        <v>Casa en barrio Los Guaduales</v>
      </c>
      <c r="C378" s="46" t="str">
        <f>IFERROR(__xludf.DUMMYFUNCTION("""COMPUTED_VALUE"""),"Casa")</f>
        <v>Casa</v>
      </c>
      <c r="D378" s="46" t="str">
        <f>IFERROR(__xludf.DUMMYFUNCTION("""COMPUTED_VALUE"""),"Los Guaduales")</f>
        <v>Los Guaduales</v>
      </c>
      <c r="E378" s="46"/>
      <c r="F378" s="90">
        <f>IFERROR(__xludf.DUMMYFUNCTION("""COMPUTED_VALUE"""),3.6E8)</f>
        <v>360000000</v>
      </c>
      <c r="G378" s="46" t="str">
        <f>IFERROR(__xludf.DUMMYFUNCTION("""COMPUTED_VALUE"""),"$300'000.000 a $400'000.000")</f>
        <v>$300'000.000 a $400'000.000</v>
      </c>
      <c r="H378" s="46"/>
      <c r="I378" s="46"/>
      <c r="J378" s="46" t="str">
        <f>IFERROR(__xludf.DUMMYFUNCTION("""COMPUTED_VALUE"""),"Oriente")</f>
        <v>Oriente</v>
      </c>
      <c r="K378" s="87" t="str">
        <f>IFERROR(__xludf.DUMMYFUNCTION("""COMPUTED_VALUE"""),"5")</f>
        <v>5</v>
      </c>
      <c r="L378" s="46">
        <f>IFERROR(__xludf.DUMMYFUNCTION("""COMPUTED_VALUE"""),4.0)</f>
        <v>4</v>
      </c>
      <c r="M378" s="46"/>
      <c r="N378" s="46">
        <f>IFERROR(__xludf.DUMMYFUNCTION("""COMPUTED_VALUE"""),3.0)</f>
        <v>3</v>
      </c>
      <c r="O378" s="46">
        <f>IFERROR(__xludf.DUMMYFUNCTION("""COMPUTED_VALUE"""),1.0)</f>
        <v>1</v>
      </c>
      <c r="P378" s="46">
        <f>IFERROR(__xludf.DUMMYFUNCTION("""COMPUTED_VALUE"""),2.0)</f>
        <v>2</v>
      </c>
      <c r="Q378" s="92">
        <f>IFERROR(__xludf.DUMMYFUNCTION("""COMPUTED_VALUE"""),150.0)</f>
        <v>150</v>
      </c>
      <c r="R378" s="92">
        <f>IFERROR(__xludf.DUMMYFUNCTION("""COMPUTED_VALUE"""),0.0)</f>
        <v>0</v>
      </c>
      <c r="S378" s="87" t="str">
        <f>IFERROR(__xludf.DUMMYFUNCTION("""COMPUTED_VALUE""")," ")</f>
        <v> </v>
      </c>
      <c r="T378" s="46" t="str">
        <f>IFERROR(__xludf.DUMMYFUNCTION("""COMPUTED_VALUE"""),"Neiva")</f>
        <v>Neiva</v>
      </c>
      <c r="U378" s="87" t="str">
        <f>IFERROR(__xludf.DUMMYFUNCTION("""COMPUTED_VALUE"""),"3")</f>
        <v>3</v>
      </c>
      <c r="V378" s="46" t="str">
        <f>IFERROR(__xludf.DUMMYFUNCTION("""COMPUTED_VALUE"""),"Medianera")</f>
        <v>Medianera</v>
      </c>
      <c r="W378" s="46"/>
      <c r="X378" s="46">
        <f>IFERROR(__xludf.DUMMYFUNCTION("""COMPUTED_VALUE"""),3.0)</f>
        <v>3</v>
      </c>
      <c r="Y378" s="46" t="str">
        <f>IFERROR(__xludf.DUMMYFUNCTION("""COMPUTED_VALUE"""),"No tiene")</f>
        <v>No tiene</v>
      </c>
      <c r="Z378" s="90"/>
      <c r="AA378" s="33" t="str">
        <f>IFERROR(__xludf.DUMMYFUNCTION("""COMPUTED_VALUE"""),"No aplica")</f>
        <v>No aplica</v>
      </c>
      <c r="AB378" s="96" t="str">
        <f>IFERROR(__xludf.DUMMYFUNCTION("""COMPUTED_VALUE"""),"https://photos.app.goo.gl/JfNfhbKqF1ssBcwq8")</f>
        <v>https://photos.app.goo.gl/JfNfhbKqF1ssBcwq8</v>
      </c>
      <c r="AC378" s="46" t="str">
        <f>IFERROR(__xludf.DUMMYFUNCTION("""COMPUTED_VALUE"""),"Casa de dos pisos en venta en el barrio Guaduales, Neiva, ubicada en el sector oriente (estrato 2), con un área construida de 150 m² y un precio de $360.000.000. Este inmueble ofrece 4 habitaciones, incluyendo una en el primer piso con baño privado, ideal"&amp;" para adultos mayores o visitas, mientras que en el segundo nivel se encuentran 3 habitaciones, entre ellas la principal con baño privado y un baño auxiliar para las demás. Cuenta con una amplia sala con baño social, zona de lavado independiente completam"&amp;"ente cerrada, patio funcional y espacios bien distribuidos. Se destaca por su seguridad, gracias a su cerramiento tanto en la entrada como en la parte posterior, lo que brinda mayor tranquilidad y privacidad.")</f>
        <v>Casa de dos pisos en venta en el barrio Guaduales, Neiva, ubicada en el sector oriente (estrato 2), con un área construida de 150 m² y un precio de $360.000.000. Este inmueble ofrece 4 habitaciones, incluyendo una en el primer piso con baño privado, ideal para adultos mayores o visitas, mientras que en el segundo nivel se encuentran 3 habitaciones, entre ellas la principal con baño privado y un baño auxiliar para las demás. Cuenta con una amplia sala con baño social, zona de lavado independiente completamente cerrada, patio funcional y espacios bien distribuidos. Se destaca por su seguridad, gracias a su cerramiento tanto en la entrada como en la parte posterior, lo que brinda mayor tranquilidad y privacidad.</v>
      </c>
      <c r="AD378" s="46" t="str">
        <f>IFERROR(__xludf.DUMMYFUNCTION("""COMPUTED_VALUE"""),"Casa en barrio Los Guaduales, Neiva.")</f>
        <v>Casa en barrio Los Guaduales, Neiva.</v>
      </c>
      <c r="AE378" s="46"/>
      <c r="AF378" s="46" t="str">
        <f>IFERROR(__xludf.DUMMYFUNCTION("""COMPUTED_VALUE"""),"integral")</f>
        <v>integral</v>
      </c>
      <c r="AG378" s="46"/>
      <c r="AH378" s="46" t="str">
        <f>IFERROR(__xludf.DUMMYFUNCTION("""COMPUTED_VALUE"""),"Aliado")</f>
        <v>Aliado</v>
      </c>
      <c r="AI378" s="92" t="str">
        <f>IFERROR(__xludf.DUMMYFUNCTION("""COMPUTED_VALUE"""),"https://lh3.googleusercontent.com/pw/AP1GczNSKamQ8QXAY6Pbd2TsprUUXS49HWYbnIahQfVEg3xRge7CLTq8yH2a6fAWsJHsz1iRBDpuQA0Lerzp0L7TAsC017imQuEG4-iPOoIeY7XEcoUvQ3E3=w1200|https://lh3.googleusercontent.com/pw/AP1GczOtqcfu4ObU6GMFYt2FcZSeOOqcIlaijahSR9LDh-uYpL-6Gw"&amp;"7fgw2jpWly3h6Jm-djbjVmPJEfKYpflPn8ITiVYH7JMjCtJY78EDVKg3GJEYPTEvFf=w1200|https://lh3.googleusercontent.com/pw/AP1GczOnoKMONGWqnnj1mv0ExRH7LoCLOXKMOxf63euFE2sy-TMCCREPjEhGW7tL-a4yh-W-2ZWn4LRPEI5XPC-hVOpC0GzEHdayxOHNq7Gg19MXEyvICiL3=w1200|https://lh3.google"&amp;"usercontent.com/pw/AP1GczNdo_r9B_JN8GgEJG0bjGU9WL0Czb5C84ydC3qJor1ua6gRupxzCACTWOVckkSxfy6DjgWFY--D3-LazGriACJJwWlyAlueyJrMUdkRLiUB3w31vh2D=w1200|https://lh3.googleusercontent.com/pw/AP1GczN2ItTZ1OA5_yAahpPXlbXl41tae-sH5Rarmxq47QbQglIy5hBVo2Gn_oXZAASP-0x2"&amp;"lxm-cqPDfmaXvGfBLz6s7BgQZ0355p61SqG6sAmeAthXXbIu=w1200|https://lh3.googleusercontent.com/pw/AP1GczMwCP-HTOTNmcwR1tmOSc6-aKYHXPRsjkVE7DlSLh7KALAy0rC3N4w4GikQADxa_KppDvS6pSNR3Gf-DwGTNA7kPgn12yLTFq8pEQswxb2DcTEYfUm0=w1200|https://lh3.googleusercontent.com/pw"&amp;"/AP1GczPMQCYN1N1RGXiePUOOnN4YiStAfEJmW_7zvoS4plB7RYbGDBColfMiXJv2iNNqX-aS3AkZ_Lo1EYXHEf2K73LLf-pQOzv8Sq27gR9fs24GTpMbraGQ=w1200|https://lh3.googleusercontent.com/pw/AP1GczMV_ViTkTG4STRpqI7qqdYBJgtP7yulEtb3aJ8LE8VpDCmNz2QjlC_aAcFwYRMMZFAH-yp867U0II1SMtgQeh"&amp;"a8e5NSlZmfTeNQSdZgLUiHB_IJlhHK=w1200|https://lh3.googleusercontent.com/pw/AP1GczMtTyvykwu_dx4S9Py6K_IXgBtcDH1z-CbXQlTByHig2w7soltUqrIwNT8MbCVYJw-6UyWcOiXYedwKwFcAkOjyGlzBG1mhxr3sez6mlsqIqWGZcQge=w1200|https://lh3.googleusercontent.com/pw/AP1GczPWWmxIoYdXY"&amp;"CC7vXzqWoSX_GRYRs3Qfwx_esYMgPr16z3Vf7HK2CgwMFOwxSAG9FZiSzZGhpFH3ubF0XRHHN6-qD9JSHYc6n2aBtoJZ8HtYpi4kpgd=w1200|https://lh3.googleusercontent.com/pw/AP1GczNMMz2jAW5jnknXLEXehLh28r32RHEDXiVWYxS3AwowDkeAHcz4BTjqnnUyFUzP-2CO7BMtpemTBlVgiW36sjeEU2BPxk9D6bkQqq3W"&amp;"dxexigVKSBkS=w1200|https://lh3.googleusercontent.com/pw/AP1GczMT_JI7Go1tdAAK5MMkWpOFoVfQZbeQrSCFvjuG3fdky8pyhis1r1URzuo3vUtezfjaVlk49CCu0liU5vH5XgWKoQjt4d15HHF9ZHeHIk40FHUBrO1t=w1200|https://lh3.googleusercontent.com/pw/AP1GczM95Ow_2kSFmK_Uktp3tl6yroyFgkg"&amp;"A_mlrIZ8jspVygE4lKrIDhad6VLiFJAbWdudoheVUIfacCV-4oRkSL0HHi54RiLd2FqXs57hOwsaIyDETvghh=w1200|https://lh3.googleusercontent.com/pw/AP1GczObF7o8Hr7hWbn8L1H-weUISd6ZXQiM60Q80QkKiPqWu2T87h72gH-_QsL_z0rmOFvNtnqR50Z622o0UQZfCvWdXsqXm9Gp11ua0Z8Gi9M_YhbgCiEB=w1200"&amp;"|https://lh3.googleusercontent.com/pw/AP1GczNCmGozeuJVIdT69yKZyLbQh1gAYiKhIvIRxQHkVzZzyga2k6vQWuKu5H67lCL-7C7Y6GawfenAOSr77CUs8hG-UKL0ZQELSV4SwpdDigYbRxRVBPeC=w1200|https://lh3.googleusercontent.com/pw/AP1GczMTyE4Hie33wuaOhoJwTdL_UC9ReAFVSM1mYihpHsKIOxIWK"&amp;"1gGA2pTajszGMjA3XUFu93EuMZpbUPmwkK6W28SlVnPyXY8xWOsggfbxlt3s5Zi_lBl=w1200|https://lh3.googleusercontent.com/pw/AP1GczMye5_kWqY4G4G24_xNEAeccbByl-QTCH15_yZvWxZuW770ylsav_fQQ7qUbWiHohQBxeVJgrHERmc7W0VOvETNyK99ydAyhiJh74J6512d2ETHCtba=w1200|https://lh3.googl"&amp;"eusercontent.com/pw/AP1GczO9B65cs-mNNIc9Y0-ltvBRo1E7_UGS8L865Vn486PdSiLxTGQ1gAQorDVxLl7o3wrNfnV1LZIJxX1wdBWpEJDfMvCRBTLC37jFmkSUWqqFu6z3KXyH=w1200|https://lh3.googleusercontent.com/pw/AP1GczMyC_cQVf717np7w_0fS26YindQkusaOq3gQjbe0StWWbxJlqijHSkT0yM-SUA_aPh"&amp;"oFFkzvW215ihdXI3OxI135zpOpfync1CYfdst3L7Kljn-FqIj=w1200|https://lh3.googleusercontent.com/pw/AP1GczPMaxpU_tjo1jjvq6gCoLdCO51ySCMITgG9DCFsfQLvEChes58_nfjLS2pZIN7bpvKa02XNYUdK-XeLuZh1qQXAJPuzz3xUpYF5mYhjJCryy2dBjMBw=w1200")</f>
        <v>https://lh3.googleusercontent.com/pw/AP1GczNSKamQ8QXAY6Pbd2TsprUUXS49HWYbnIahQfVEg3xRge7CLTq8yH2a6fAWsJHsz1iRBDpuQA0Lerzp0L7TAsC017imQuEG4-iPOoIeY7XEcoUvQ3E3=w1200|https://lh3.googleusercontent.com/pw/AP1GczOtqcfu4ObU6GMFYt2FcZSeOOqcIlaijahSR9LDh-uYpL-6Gw7fgw2jpWly3h6Jm-djbjVmPJEfKYpflPn8ITiVYH7JMjCtJY78EDVKg3GJEYPTEvFf=w1200|https://lh3.googleusercontent.com/pw/AP1GczOnoKMONGWqnnj1mv0ExRH7LoCLOXKMOxf63euFE2sy-TMCCREPjEhGW7tL-a4yh-W-2ZWn4LRPEI5XPC-hVOpC0GzEHdayxOHNq7Gg19MXEyvICiL3=w1200|https://lh3.googleusercontent.com/pw/AP1GczNdo_r9B_JN8GgEJG0bjGU9WL0Czb5C84ydC3qJor1ua6gRupxzCACTWOVckkSxfy6DjgWFY--D3-LazGriACJJwWlyAlueyJrMUdkRLiUB3w31vh2D=w1200|https://lh3.googleusercontent.com/pw/AP1GczN2ItTZ1OA5_yAahpPXlbXl41tae-sH5Rarmxq47QbQglIy5hBVo2Gn_oXZAASP-0x2lxm-cqPDfmaXvGfBLz6s7BgQZ0355p61SqG6sAmeAthXXbIu=w1200|https://lh3.googleusercontent.com/pw/AP1GczMwCP-HTOTNmcwR1tmOSc6-aKYHXPRsjkVE7DlSLh7KALAy0rC3N4w4GikQADxa_KppDvS6pSNR3Gf-DwGTNA7kPgn12yLTFq8pEQswxb2DcTEYfUm0=w1200|https://lh3.googleusercontent.com/pw/AP1GczPMQCYN1N1RGXiePUOOnN4YiStAfEJmW_7zvoS4plB7RYbGDBColfMiXJv2iNNqX-aS3AkZ_Lo1EYXHEf2K73LLf-pQOzv8Sq27gR9fs24GTpMbraGQ=w1200|https://lh3.googleusercontent.com/pw/AP1GczMV_ViTkTG4STRpqI7qqdYBJgtP7yulEtb3aJ8LE8VpDCmNz2QjlC_aAcFwYRMMZFAH-yp867U0II1SMtgQeha8e5NSlZmfTeNQSdZgLUiHB_IJlhHK=w1200|https://lh3.googleusercontent.com/pw/AP1GczMtTyvykwu_dx4S9Py6K_IXgBtcDH1z-CbXQlTByHig2w7soltUqrIwNT8MbCVYJw-6UyWcOiXYedwKwFcAkOjyGlzBG1mhxr3sez6mlsqIqWGZcQge=w1200|https://lh3.googleusercontent.com/pw/AP1GczPWWmxIoYdXYCC7vXzqWoSX_GRYRs3Qfwx_esYMgPr16z3Vf7HK2CgwMFOwxSAG9FZiSzZGhpFH3ubF0XRHHN6-qD9JSHYc6n2aBtoJZ8HtYpi4kpgd=w1200|https://lh3.googleusercontent.com/pw/AP1GczNMMz2jAW5jnknXLEXehLh28r32RHEDXiVWYxS3AwowDkeAHcz4BTjqnnUyFUzP-2CO7BMtpemTBlVgiW36sjeEU2BPxk9D6bkQqq3WdxexigVKSBkS=w1200|https://lh3.googleusercontent.com/pw/AP1GczMT_JI7Go1tdAAK5MMkWpOFoVfQZbeQrSCFvjuG3fdky8pyhis1r1URzuo3vUtezfjaVlk49CCu0liU5vH5XgWKoQjt4d15HHF9ZHeHIk40FHUBrO1t=w1200|https://lh3.googleusercontent.com/pw/AP1GczM95Ow_2kSFmK_Uktp3tl6yroyFgkgA_mlrIZ8jspVygE4lKrIDhad6VLiFJAbWdudoheVUIfacCV-4oRkSL0HHi54RiLd2FqXs57hOwsaIyDETvghh=w1200|https://lh3.googleusercontent.com/pw/AP1GczObF7o8Hr7hWbn8L1H-weUISd6ZXQiM60Q80QkKiPqWu2T87h72gH-_QsL_z0rmOFvNtnqR50Z622o0UQZfCvWdXsqXm9Gp11ua0Z8Gi9M_YhbgCiEB=w1200|https://lh3.googleusercontent.com/pw/AP1GczNCmGozeuJVIdT69yKZyLbQh1gAYiKhIvIRxQHkVzZzyga2k6vQWuKu5H67lCL-7C7Y6GawfenAOSr77CUs8hG-UKL0ZQELSV4SwpdDigYbRxRVBPeC=w1200|https://lh3.googleusercontent.com/pw/AP1GczMTyE4Hie33wuaOhoJwTdL_UC9ReAFVSM1mYihpHsKIOxIWK1gGA2pTajszGMjA3XUFu93EuMZpbUPmwkK6W28SlVnPyXY8xWOsggfbxlt3s5Zi_lBl=w1200|https://lh3.googleusercontent.com/pw/AP1GczMye5_kWqY4G4G24_xNEAeccbByl-QTCH15_yZvWxZuW770ylsav_fQQ7qUbWiHohQBxeVJgrHERmc7W0VOvETNyK99ydAyhiJh74J6512d2ETHCtba=w1200|https://lh3.googleusercontent.com/pw/AP1GczO9B65cs-mNNIc9Y0-ltvBRo1E7_UGS8L865Vn486PdSiLxTGQ1gAQorDVxLl7o3wrNfnV1LZIJxX1wdBWpEJDfMvCRBTLC37jFmkSUWqqFu6z3KXyH=w1200|https://lh3.googleusercontent.com/pw/AP1GczMyC_cQVf717np7w_0fS26YindQkusaOq3gQjbe0StWWbxJlqijHSkT0yM-SUA_aPhoFFkzvW215ihdXI3OxI135zpOpfync1CYfdst3L7Kljn-FqIj=w1200|https://lh3.googleusercontent.com/pw/AP1GczPMaxpU_tjo1jjvq6gCoLdCO51ySCMITgG9DCFsfQLvEChes58_nfjLS2pZIN7bpvKa02XNYUdK-XeLuZh1qQXAJPuzz3xUpYF5mYhjJCryy2dBjMBw=w1200</v>
      </c>
      <c r="AJ378" s="46"/>
      <c r="AK378" s="46"/>
      <c r="AL378" s="46"/>
      <c r="AM378" s="46"/>
      <c r="AN378" s="46"/>
      <c r="AO378" s="46"/>
      <c r="AP378" s="46"/>
      <c r="AQ378" s="46"/>
      <c r="AR378" s="46"/>
      <c r="AS378" s="46"/>
      <c r="AT378" s="46"/>
      <c r="AU378" s="46"/>
      <c r="AV378" s="46"/>
      <c r="AW378" s="46"/>
      <c r="AX378" s="46"/>
      <c r="AY378" s="46"/>
      <c r="AZ378" s="46"/>
      <c r="BA378" s="46"/>
      <c r="BB378" s="46"/>
      <c r="BC378" s="46"/>
      <c r="BD378" s="46"/>
      <c r="BE378" s="46"/>
      <c r="BF378" s="46"/>
      <c r="BG378" s="46"/>
      <c r="BH378" s="46"/>
      <c r="BI378" s="46"/>
      <c r="BJ378" s="46"/>
      <c r="BK378" s="46"/>
      <c r="BL378" s="46"/>
      <c r="BM378" s="46"/>
      <c r="BN378" s="46"/>
      <c r="BO378" s="46"/>
      <c r="BP378" s="46"/>
      <c r="BQ378" s="46"/>
      <c r="BR378" s="46"/>
      <c r="BS378" s="46"/>
      <c r="BT378" s="46"/>
      <c r="BU378" s="46"/>
      <c r="BV378" s="46"/>
      <c r="BW378" s="46"/>
      <c r="BX378" s="46"/>
      <c r="BY378" s="46"/>
      <c r="BZ378" s="46"/>
      <c r="CA378" s="46"/>
      <c r="CB378" s="46"/>
      <c r="CC378" s="46"/>
    </row>
    <row r="379">
      <c r="A379" s="87" t="str">
        <f>IFERROR(__xludf.DUMMYFUNCTION("""COMPUTED_VALUE"""),"1287")</f>
        <v>1287</v>
      </c>
      <c r="B379" s="46" t="str">
        <f>IFERROR(__xludf.DUMMYFUNCTION("""COMPUTED_VALUE"""),"Casa en barrio Alameda Monterey - Tesoro")</f>
        <v>Casa en barrio Alameda Monterey - Tesoro</v>
      </c>
      <c r="C379" s="46" t="str">
        <f>IFERROR(__xludf.DUMMYFUNCTION("""COMPUTED_VALUE"""),"Casa")</f>
        <v>Casa</v>
      </c>
      <c r="D379" s="90" t="str">
        <f>IFERROR(__xludf.DUMMYFUNCTION("""COMPUTED_VALUE"""),"Alameda de Monterrey")</f>
        <v>Alameda de Monterrey</v>
      </c>
      <c r="E379" s="46"/>
      <c r="F379" s="90">
        <f>IFERROR(__xludf.DUMMYFUNCTION("""COMPUTED_VALUE"""),3.6E8)</f>
        <v>360000000</v>
      </c>
      <c r="G379" s="46" t="str">
        <f>IFERROR(__xludf.DUMMYFUNCTION("""COMPUTED_VALUE"""),"$300'000.000 a $400'000.000")</f>
        <v>$300'000.000 a $400'000.000</v>
      </c>
      <c r="H379" s="46"/>
      <c r="I379" s="46"/>
      <c r="J379" s="46" t="str">
        <f>IFERROR(__xludf.DUMMYFUNCTION("""COMPUTED_VALUE"""),"Oriente")</f>
        <v>Oriente</v>
      </c>
      <c r="K379" s="87"/>
      <c r="L379" s="46">
        <f>IFERROR(__xludf.DUMMYFUNCTION("""COMPUTED_VALUE"""),3.0)</f>
        <v>3</v>
      </c>
      <c r="M379" s="46"/>
      <c r="N379" s="46">
        <f>IFERROR(__xludf.DUMMYFUNCTION("""COMPUTED_VALUE"""),2.0)</f>
        <v>2</v>
      </c>
      <c r="O379" s="46">
        <f>IFERROR(__xludf.DUMMYFUNCTION("""COMPUTED_VALUE"""),1.0)</f>
        <v>1</v>
      </c>
      <c r="P379" s="46">
        <f>IFERROR(__xludf.DUMMYFUNCTION("""COMPUTED_VALUE"""),2.0)</f>
        <v>2</v>
      </c>
      <c r="Q379" s="92">
        <f>IFERROR(__xludf.DUMMYFUNCTION("""COMPUTED_VALUE"""),134.0)</f>
        <v>134</v>
      </c>
      <c r="R379" s="92">
        <f>IFERROR(__xludf.DUMMYFUNCTION("""COMPUTED_VALUE"""),105.0)</f>
        <v>105</v>
      </c>
      <c r="S379" s="87" t="str">
        <f>IFERROR(__xludf.DUMMYFUNCTION("""COMPUTED_VALUE""")," ")</f>
        <v> </v>
      </c>
      <c r="T379" s="46" t="str">
        <f>IFERROR(__xludf.DUMMYFUNCTION("""COMPUTED_VALUE"""),"Neiva")</f>
        <v>Neiva</v>
      </c>
      <c r="U379" s="87" t="str">
        <f>IFERROR(__xludf.DUMMYFUNCTION("""COMPUTED_VALUE"""),"2")</f>
        <v>2</v>
      </c>
      <c r="V379" s="46" t="str">
        <f>IFERROR(__xludf.DUMMYFUNCTION("""COMPUTED_VALUE"""),"Medianera")</f>
        <v>Medianera</v>
      </c>
      <c r="W379" s="46"/>
      <c r="X379" s="46">
        <f>IFERROR(__xludf.DUMMYFUNCTION("""COMPUTED_VALUE"""),3.0)</f>
        <v>3</v>
      </c>
      <c r="Y379" s="46" t="str">
        <f>IFERROR(__xludf.DUMMYFUNCTION("""COMPUTED_VALUE"""),"No tiene")</f>
        <v>No tiene</v>
      </c>
      <c r="Z379" s="90" t="str">
        <f>IFERROR(__xludf.DUMMYFUNCTION("""COMPUTED_VALUE"""),"No aplica")</f>
        <v>No aplica</v>
      </c>
      <c r="AA379" s="33" t="str">
        <f>IFERROR(__xludf.DUMMYFUNCTION("""COMPUTED_VALUE"""),"No aplica")</f>
        <v>No aplica</v>
      </c>
      <c r="AB379" s="144" t="str">
        <f>IFERROR(__xludf.DUMMYFUNCTION("""COMPUTED_VALUE"""),"https://photos.app.goo.gl/wnVtkfiy7QPGppfo9")</f>
        <v>https://photos.app.goo.gl/wnVtkfiy7QPGppfo9</v>
      </c>
      <c r="AC379" s="46" t="str">
        <f>IFERROR(__xludf.DUMMYFUNCTION("""COMPUTED_VALUE"""),"Casa de 2 plantas enrejada, Piso en cerámica, ventanas con reja de seguridad, sala de televisión, zona para comedor amplia, cocina integral con estufa, baño social con sus respectivos muebles, patio, zona de lavandería con alberca enchapada y lavadero, es"&amp;"calera en espiral con barandal 3 alcobas todas con closet, baño, estudio, garaje techado y enrejado. Área construida 134 Mts2 Área del lote 105 Mts2. Excelentes vías de acceso.")</f>
        <v>Casa de 2 plantas enrejada, Piso en cerámica, ventanas con reja de seguridad, sala de televisión, zona para comedor amplia, cocina integral con estufa, baño social con sus respectivos muebles, patio, zona de lavandería con alberca enchapada y lavadero, escalera en espiral con barandal 3 alcobas todas con closet, baño, estudio, garaje techado y enrejado. Área construida 134 Mts2 Área del lote 105 Mts2. Excelentes vías de acceso.</v>
      </c>
      <c r="AD379" s="46" t="str">
        <f>IFERROR(__xludf.DUMMYFUNCTION("""COMPUTED_VALUE"""),"Casa bien ubicada y con buenos acabados.")</f>
        <v>Casa bien ubicada y con buenos acabados.</v>
      </c>
      <c r="AE379" s="46"/>
      <c r="AF379" s="46" t="str">
        <f>IFERROR(__xludf.DUMMYFUNCTION("""COMPUTED_VALUE"""),"integral")</f>
        <v>integral</v>
      </c>
      <c r="AG379" s="46"/>
      <c r="AH379" s="46" t="str">
        <f>IFERROR(__xludf.DUMMYFUNCTION("""COMPUTED_VALUE"""),"Aliado")</f>
        <v>Aliado</v>
      </c>
      <c r="AI379" s="92" t="str">
        <f>IFERROR(__xludf.DUMMYFUNCTION("""COMPUTED_VALUE"""),"https://lh3.googleusercontent.com/pw/AP1GczPlHZfFenCNn9jAotxqWDkBeXM0dEqYMkq3gjuAmrjNGKSV3UbD0R8aJRFpxZqxmezh7xTuwLXC-iQYuoXJSZ2SfcxN8btrOwPgTiGBesi0mwUDE34x=w1200|https://lh3.googleusercontent.com/pw/AP1GczNOXbCRSs-p8S2PUYSrxPIOAJFkvFsVbNdDGBJdhG74eb0_FZ"&amp;"-AvFYu_hA2oqR2npXgY1CYauqbGeiP5DQl61_htoc79EHqazwwS-W9fBp-sRQX7dth=w1200|https://lh3.googleusercontent.com/pw/AP1GczP3-WV2wI_MXTOccWPY-MWzTiUvnKcj3ImV1j8soracuD3SyC024B4w2VelNhFD6SlfeVFinuxeRo22KrA09H3lo6uiGz2SCJ07TDPTSEsJ97oNVm9s=w1200|https://lh3.google"&amp;"usercontent.com/pw/AP1GczNgBd3u7KClIo7Gf6NOHWRsHsxeCwI0vEE2ysX91ZRvonNXtVxw8szPNH82Kz7Jgpv-my4vYumlc4GPF2e1x_TS6CIIE5--GY0pZYJ8YIINqAHyliUh=w1200|https://lh3.googleusercontent.com/pw/AP1GczONrDrDQEl4_NFoWd_3nCnZqFZQIjh274bDKiDJOGrla6dA6Ti3LZvxLQl57kmj6nG1"&amp;"UR1iomYT9tmploOaMD-_ptcCdQoO2NVELMLveKODcjXihr_w=w1200|https://lh3.googleusercontent.com/pw/AP1GczM0tWyMVu6QBLGCnDP-Fqvo5Ti_cLadU99AU3UlWyaQbwY7yHF8zT4Y_FN5BllYW5Z6XDNvuon6DXeqRzXmMWLrgJ4v6G0GGJmv3ulQXvQB7JtWipbT=w1200|https://lh3.googleusercontent.com/pw"&amp;"/AP1GczMqzO1NONjmFShf3mAAS1_pmDzLUrKHR1jsBLDp2I0jtCkQd3t-simxqHY1E2m0XEEJZodwe_V3nq_X4QvKtR4a_-oHcpOwZvWqU7qG7Yjqq7bcDB4Y=w1200|https://lh3.googleusercontent.com/pw/AP1GczM3mfPx7ubW79uYbPXletIUkYIcSLSUy0EWI7IW1nFVbgStm1glW38fo7VECfLYwyMvep2BQyDVUHtQjnRsrz"&amp;"nFSZCWLhYukUcUZNzlvfo8eckUOG3A=w1200|https://lh3.googleusercontent.com/pw/AP1GczO1r_yW9f73xmVrt9D5UOdqALuLhYchvjCow81BVoLwGnKo8kal0_K8nbXFGGWetwb4xP0sCqtl8UC-mR3-MToxI3B9_Nv5XYfCrYkIqBHJEkeBVHKN=w1200|https://lh3.googleusercontent.com/pw/AP1GczNPr5FKsJZ3i"&amp;"wKKQrEoF9CHPLWKyhhj-_Itv-ZnLQQVS_08O1HdpXjc5ffUyn6HOiKxqZyGHHMnPFHv-8W5qjgVT08zGSbdzPK_0S7aXT5WoLDTJZUp=w1200|https://lh3.googleusercontent.com/pw/AP1GczNqMGHgSK_skn9HuRvPifdPUsQrOg-4winlnDvAlgI4hxNGRj0-SnOc7xfse5VEKIfZUunBeVg_ERBC3f_fjt06lC-Tm9g1wmdhqopX"&amp;"kxQBpBOZROoz=w1200|https://lh3.googleusercontent.com/pw/AP1GczNyLPebOCrsyX9kG6ZyEHzxZmpSVcSc78fKuHQ-yaIsYLPZ_C56PmwToAbPBbPowf-rHOt2SZO5RIaFoqzqCSoJBsu4nnd1Zxxoi7gKBBZT5M-NEROM=w1200|https://lh3.googleusercontent.com/pw/AP1GczPj1tDDzru1GUNW5Do8dzcjGUQLEOP"&amp;"CgVLJr5bURnLBiqmlA5GIRpfh6-5n6L67lQ2e8l_QWgG0D91hUa55eEB1fKBDXjZZOabPymDaBwE5pdPYPHuk=w1200|https://lh3.googleusercontent.com/pw/AP1GczMDxZTDXbreLR4yI-slDvAXJoR47lnTxqU7coeUey_muL8Kcv0rgwzavx8JSNFg31o3BzSyCULzEelzKEHmWUTv3Jhpy3qibk6Qfa548XvUhLxcdZOU=w1200"&amp;"|https://lh3.googleusercontent.com/pw/AP1GczMmFs8NGIu_iZ1Ud5_RfTRBgnfhGRLkVAu1pC9KG4rmKnfTaIbMFgNd_Mt-QdFiIJbsNBTzraRkZPGOoJYfZ61LqlJCw1IXHrcx1A3AI_rUhZEThDIR=w1200|https://lh3.googleusercontent.com/pw/AP1GczOjEWi-Ei0Hzjmx1Tx8MRficLlp_H9nhU_uozIBXktHandiu"&amp;"Bs64qUzXyuqRgj7qpPArL5-ImUNHzD6ZIWWB5dpKMPMlQVy20QgKQDyvQZcQpKC9cdi=w1200|https://lh3.googleusercontent.com/pw/AP1GczO2up_ot_LZDk7xrDOylPVCXLSyKlrZi0GYRvshZFuHqBfBqMO75lxTqy6VPP_IMl_tgyWsB-mKcwA2ZpKIVhSVwcdTy785zGDo6_uWZ5HMDOWdQ200=w1200|https://lh3.googl"&amp;"eusercontent.com/pw/AP1GczOywoid9l-DEkUIB9troXm-ZJ4cDSmwS4KIOCiFNkT1enFe0l3ZlzaCMUSJjiDcFUZccZsHdIF0FALFQMpPuQty2-lVsLe_5oqzZVar2vc4SAcgKClg=w1200|https://lh3.googleusercontent.com/pw/AP1GczPrt2h7n1wGFjHV6-mLiYEPIBqs26MDiM_JHT9QRWaiKcVztjyWqAYAcNPNCRdvvTc"&amp;"iBcjoYNSw8BlbiCpbRXfdSAOOJ5gnpaVgmvPdoYSH164mTglm=w1200|https://lh3.googleusercontent.com/pw/AP1GczPFB3mjjKzX8fGE0sBFZbaWoKzK218JQ9gr8tZjKLg7-OxEdH61_-haCxK3X_88WbOeHzjJEQ5mBbvGvt3BSa6NqvD-0ejGTRKggAuxky083vLtaC7L=w1200|https://lh3.googleusercontent.com/p"&amp;"w/AP1GczOzapat2Jh7zoiF5m9une--52cFCP8vEON2na9h-1d62RP1StBTe9ExIjH3FmeYvc_MhWmx2Nv4TvFW9Aj_I_TJHXuN8-L2zLh7qXyQWf_u2q1eu8Ft=w1200|https://lh3.googleusercontent.com/pw/AP1GczPJUAnRUnGx_wZxAgJNDWnqirSXvRcZJ1wRLl6mqGhH3JcxSFm3cclu1BKNFulNT0IXYz4VFcoEUYVIo5UEe"&amp;"vLyVEYTeVBydvPdcE-eJilgGQ_xoNOp=w1200")</f>
        <v>https://lh3.googleusercontent.com/pw/AP1GczPlHZfFenCNn9jAotxqWDkBeXM0dEqYMkq3gjuAmrjNGKSV3UbD0R8aJRFpxZqxmezh7xTuwLXC-iQYuoXJSZ2SfcxN8btrOwPgTiGBesi0mwUDE34x=w1200|https://lh3.googleusercontent.com/pw/AP1GczNOXbCRSs-p8S2PUYSrxPIOAJFkvFsVbNdDGBJdhG74eb0_FZ-AvFYu_hA2oqR2npXgY1CYauqbGeiP5DQl61_htoc79EHqazwwS-W9fBp-sRQX7dth=w1200|https://lh3.googleusercontent.com/pw/AP1GczP3-WV2wI_MXTOccWPY-MWzTiUvnKcj3ImV1j8soracuD3SyC024B4w2VelNhFD6SlfeVFinuxeRo22KrA09H3lo6uiGz2SCJ07TDPTSEsJ97oNVm9s=w1200|https://lh3.googleusercontent.com/pw/AP1GczNgBd3u7KClIo7Gf6NOHWRsHsxeCwI0vEE2ysX91ZRvonNXtVxw8szPNH82Kz7Jgpv-my4vYumlc4GPF2e1x_TS6CIIE5--GY0pZYJ8YIINqAHyliUh=w1200|https://lh3.googleusercontent.com/pw/AP1GczONrDrDQEl4_NFoWd_3nCnZqFZQIjh274bDKiDJOGrla6dA6Ti3LZvxLQl57kmj6nG1UR1iomYT9tmploOaMD-_ptcCdQoO2NVELMLveKODcjXihr_w=w1200|https://lh3.googleusercontent.com/pw/AP1GczM0tWyMVu6QBLGCnDP-Fqvo5Ti_cLadU99AU3UlWyaQbwY7yHF8zT4Y_FN5BllYW5Z6XDNvuon6DXeqRzXmMWLrgJ4v6G0GGJmv3ulQXvQB7JtWipbT=w1200|https://lh3.googleusercontent.com/pw/AP1GczMqzO1NONjmFShf3mAAS1_pmDzLUrKHR1jsBLDp2I0jtCkQd3t-simxqHY1E2m0XEEJZodwe_V3nq_X4QvKtR4a_-oHcpOwZvWqU7qG7Yjqq7bcDB4Y=w1200|https://lh3.googleusercontent.com/pw/AP1GczM3mfPx7ubW79uYbPXletIUkYIcSLSUy0EWI7IW1nFVbgStm1glW38fo7VECfLYwyMvep2BQyDVUHtQjnRsrznFSZCWLhYukUcUZNzlvfo8eckUOG3A=w1200|https://lh3.googleusercontent.com/pw/AP1GczO1r_yW9f73xmVrt9D5UOdqALuLhYchvjCow81BVoLwGnKo8kal0_K8nbXFGGWetwb4xP0sCqtl8UC-mR3-MToxI3B9_Nv5XYfCrYkIqBHJEkeBVHKN=w1200|https://lh3.googleusercontent.com/pw/AP1GczNPr5FKsJZ3iwKKQrEoF9CHPLWKyhhj-_Itv-ZnLQQVS_08O1HdpXjc5ffUyn6HOiKxqZyGHHMnPFHv-8W5qjgVT08zGSbdzPK_0S7aXT5WoLDTJZUp=w1200|https://lh3.googleusercontent.com/pw/AP1GczNqMGHgSK_skn9HuRvPifdPUsQrOg-4winlnDvAlgI4hxNGRj0-SnOc7xfse5VEKIfZUunBeVg_ERBC3f_fjt06lC-Tm9g1wmdhqopXkxQBpBOZROoz=w1200|https://lh3.googleusercontent.com/pw/AP1GczNyLPebOCrsyX9kG6ZyEHzxZmpSVcSc78fKuHQ-yaIsYLPZ_C56PmwToAbPBbPowf-rHOt2SZO5RIaFoqzqCSoJBsu4nnd1Zxxoi7gKBBZT5M-NEROM=w1200|https://lh3.googleusercontent.com/pw/AP1GczPj1tDDzru1GUNW5Do8dzcjGUQLEOPCgVLJr5bURnLBiqmlA5GIRpfh6-5n6L67lQ2e8l_QWgG0D91hUa55eEB1fKBDXjZZOabPymDaBwE5pdPYPHuk=w1200|https://lh3.googleusercontent.com/pw/AP1GczMDxZTDXbreLR4yI-slDvAXJoR47lnTxqU7coeUey_muL8Kcv0rgwzavx8JSNFg31o3BzSyCULzEelzKEHmWUTv3Jhpy3qibk6Qfa548XvUhLxcdZOU=w1200|https://lh3.googleusercontent.com/pw/AP1GczMmFs8NGIu_iZ1Ud5_RfTRBgnfhGRLkVAu1pC9KG4rmKnfTaIbMFgNd_Mt-QdFiIJbsNBTzraRkZPGOoJYfZ61LqlJCw1IXHrcx1A3AI_rUhZEThDIR=w1200|https://lh3.googleusercontent.com/pw/AP1GczOjEWi-Ei0Hzjmx1Tx8MRficLlp_H9nhU_uozIBXktHandiuBs64qUzXyuqRgj7qpPArL5-ImUNHzD6ZIWWB5dpKMPMlQVy20QgKQDyvQZcQpKC9cdi=w1200|https://lh3.googleusercontent.com/pw/AP1GczO2up_ot_LZDk7xrDOylPVCXLSyKlrZi0GYRvshZFuHqBfBqMO75lxTqy6VPP_IMl_tgyWsB-mKcwA2ZpKIVhSVwcdTy785zGDo6_uWZ5HMDOWdQ200=w1200|https://lh3.googleusercontent.com/pw/AP1GczOywoid9l-DEkUIB9troXm-ZJ4cDSmwS4KIOCiFNkT1enFe0l3ZlzaCMUSJjiDcFUZccZsHdIF0FALFQMpPuQty2-lVsLe_5oqzZVar2vc4SAcgKClg=w1200|https://lh3.googleusercontent.com/pw/AP1GczPrt2h7n1wGFjHV6-mLiYEPIBqs26MDiM_JHT9QRWaiKcVztjyWqAYAcNPNCRdvvTciBcjoYNSw8BlbiCpbRXfdSAOOJ5gnpaVgmvPdoYSH164mTglm=w1200|https://lh3.googleusercontent.com/pw/AP1GczPFB3mjjKzX8fGE0sBFZbaWoKzK218JQ9gr8tZjKLg7-OxEdH61_-haCxK3X_88WbOeHzjJEQ5mBbvGvt3BSa6NqvD-0ejGTRKggAuxky083vLtaC7L=w1200|https://lh3.googleusercontent.com/pw/AP1GczOzapat2Jh7zoiF5m9une--52cFCP8vEON2na9h-1d62RP1StBTe9ExIjH3FmeYvc_MhWmx2Nv4TvFW9Aj_I_TJHXuN8-L2zLh7qXyQWf_u2q1eu8Ft=w1200|https://lh3.googleusercontent.com/pw/AP1GczPJUAnRUnGx_wZxAgJNDWnqirSXvRcZJ1wRLl6mqGhH3JcxSFm3cclu1BKNFulNT0IXYz4VFcoEUYVIo5UEevLyVEYTeVBydvPdcE-eJilgGQ_xoNOp=w1200</v>
      </c>
      <c r="AJ379" s="46"/>
      <c r="AK379" s="46"/>
      <c r="AL379" s="46"/>
      <c r="AM379" s="46"/>
      <c r="AN379" s="46"/>
      <c r="AO379" s="46"/>
      <c r="AP379" s="46"/>
      <c r="AQ379" s="46"/>
      <c r="AR379" s="46"/>
      <c r="AS379" s="46"/>
      <c r="AT379" s="46"/>
      <c r="AU379" s="46"/>
      <c r="AV379" s="46"/>
      <c r="AW379" s="46"/>
      <c r="AX379" s="46"/>
      <c r="AY379" s="46"/>
      <c r="AZ379" s="46"/>
      <c r="BA379" s="46"/>
      <c r="BB379" s="46"/>
      <c r="BC379" s="46"/>
      <c r="BD379" s="46"/>
      <c r="BE379" s="46"/>
      <c r="BF379" s="46"/>
      <c r="BG379" s="46"/>
      <c r="BH379" s="46"/>
      <c r="BI379" s="46"/>
      <c r="BJ379" s="46"/>
      <c r="BK379" s="46"/>
      <c r="BL379" s="46"/>
      <c r="BM379" s="46"/>
      <c r="BN379" s="46"/>
      <c r="BO379" s="46"/>
      <c r="BP379" s="46"/>
      <c r="BQ379" s="46"/>
      <c r="BR379" s="46"/>
      <c r="BS379" s="46"/>
      <c r="BT379" s="46"/>
      <c r="BU379" s="46"/>
      <c r="BV379" s="46"/>
      <c r="BW379" s="46"/>
      <c r="BX379" s="46"/>
      <c r="BY379" s="46"/>
      <c r="BZ379" s="46"/>
      <c r="CA379" s="46"/>
      <c r="CB379" s="46"/>
      <c r="CC379" s="46"/>
    </row>
    <row r="380">
      <c r="A380" s="87" t="str">
        <f>IFERROR(__xludf.DUMMYFUNCTION("""COMPUTED_VALUE"""),"1378")</f>
        <v>1378</v>
      </c>
      <c r="B380" s="46" t="str">
        <f>IFERROR(__xludf.DUMMYFUNCTION("""COMPUTED_VALUE"""),"Casa con apartaestudio en barrio Gualanday")</f>
        <v>Casa con apartaestudio en barrio Gualanday</v>
      </c>
      <c r="C380" s="46" t="str">
        <f>IFERROR(__xludf.DUMMYFUNCTION("""COMPUTED_VALUE"""),"Casa rentable")</f>
        <v>Casa rentable</v>
      </c>
      <c r="D380" s="46" t="str">
        <f>IFERROR(__xludf.DUMMYFUNCTION("""COMPUTED_VALUE"""),"Gualanday")</f>
        <v>Gualanday</v>
      </c>
      <c r="E380" s="46"/>
      <c r="F380" s="90">
        <f>IFERROR(__xludf.DUMMYFUNCTION("""COMPUTED_VALUE"""),3.5E8)</f>
        <v>350000000</v>
      </c>
      <c r="G380" s="46" t="str">
        <f>IFERROR(__xludf.DUMMYFUNCTION("""COMPUTED_VALUE"""),"$300'000.000 a $400'000.000")</f>
        <v>$300'000.000 a $400'000.000</v>
      </c>
      <c r="H380" s="46"/>
      <c r="I380" s="46"/>
      <c r="J380" s="46" t="str">
        <f>IFERROR(__xludf.DUMMYFUNCTION("""COMPUTED_VALUE"""),"Norte")</f>
        <v>Norte</v>
      </c>
      <c r="K380" s="87" t="str">
        <f>IFERROR(__xludf.DUMMYFUNCTION("""COMPUTED_VALUE"""),"2")</f>
        <v>2</v>
      </c>
      <c r="L380" s="46">
        <f>IFERROR(__xludf.DUMMYFUNCTION("""COMPUTED_VALUE"""),4.0)</f>
        <v>4</v>
      </c>
      <c r="M380" s="46"/>
      <c r="N380" s="46">
        <f>IFERROR(__xludf.DUMMYFUNCTION("""COMPUTED_VALUE"""),2.0)</f>
        <v>2</v>
      </c>
      <c r="O380" s="46">
        <f>IFERROR(__xludf.DUMMYFUNCTION("""COMPUTED_VALUE"""),1.0)</f>
        <v>1</v>
      </c>
      <c r="P380" s="46">
        <f>IFERROR(__xludf.DUMMYFUNCTION("""COMPUTED_VALUE"""),3.0)</f>
        <v>3</v>
      </c>
      <c r="Q380" s="92">
        <f>IFERROR(__xludf.DUMMYFUNCTION("""COMPUTED_VALUE"""),0.0)</f>
        <v>0</v>
      </c>
      <c r="R380" s="92">
        <f>IFERROR(__xludf.DUMMYFUNCTION("""COMPUTED_VALUE"""),102.0)</f>
        <v>102</v>
      </c>
      <c r="S380" s="87" t="str">
        <f>IFERROR(__xludf.DUMMYFUNCTION("""COMPUTED_VALUE""")," ")</f>
        <v> </v>
      </c>
      <c r="T380" s="46" t="str">
        <f>IFERROR(__xludf.DUMMYFUNCTION("""COMPUTED_VALUE"""),"Neiva")</f>
        <v>Neiva</v>
      </c>
      <c r="U380" s="87" t="str">
        <f>IFERROR(__xludf.DUMMYFUNCTION("""COMPUTED_VALUE"""),"2")</f>
        <v>2</v>
      </c>
      <c r="V380" s="46" t="str">
        <f>IFERROR(__xludf.DUMMYFUNCTION("""COMPUTED_VALUE"""),"Medianera")</f>
        <v>Medianera</v>
      </c>
      <c r="W380" s="46"/>
      <c r="X380" s="46">
        <f>IFERROR(__xludf.DUMMYFUNCTION("""COMPUTED_VALUE"""),0.0)</f>
        <v>0</v>
      </c>
      <c r="Y380" s="46" t="str">
        <f>IFERROR(__xludf.DUMMYFUNCTION("""COMPUTED_VALUE"""),"No tiene")</f>
        <v>No tiene</v>
      </c>
      <c r="Z380" s="90"/>
      <c r="AA380" s="33" t="str">
        <f>IFERROR(__xludf.DUMMYFUNCTION("""COMPUTED_VALUE"""),"No aplica")</f>
        <v>No aplica</v>
      </c>
      <c r="AB380" s="96" t="str">
        <f>IFERROR(__xludf.DUMMYFUNCTION("""COMPUTED_VALUE"""),"https://photos.app.goo.gl/bzZd1yfUDYYmZrn7A")</f>
        <v>https://photos.app.goo.gl/bzZd1yfUDYYmZrn7A</v>
      </c>
      <c r="AC380" s="46" t="str">
        <f>IFERROR(__xludf.DUMMYFUNCTION("""COMPUTED_VALUE"""),"Se vende casa de 3 pisos, servicios públicos independientes, perfectos para generar renta desde el primer momento; el primer piso ofrece 3 cómodas habitaciones, 1 baño, sala–comedor, cocina y garaje, mientras que el tercer piso cuenta con 1 habitación, 1 "&amp;"baño, sala, patio y zona de lavandería, para un total de 4 habitaciones y 2 baños, ubicados en un sector de alta demanda, fácil acceso y excelente proyección de valorización, ideal para quienes buscan rentabilidad y seguridad en su inversión.")</f>
        <v>Se vende casa de 3 pisos, servicios públicos independientes, perfectos para generar renta desde el primer momento; el primer piso ofrece 3 cómodas habitaciones, 1 baño, sala–comedor, cocina y garaje, mientras que el tercer piso cuenta con 1 habitación, 1 baño, sala, patio y zona de lavandería, para un total de 4 habitaciones y 2 baños, ubicados en un sector de alta demanda, fácil acceso y excelente proyección de valorización, ideal para quienes buscan rentabilidad y seguridad en su inversión.</v>
      </c>
      <c r="AD380" s="46" t="str">
        <f>IFERROR(__xludf.DUMMYFUNCTION("""COMPUTED_VALUE"""),"Casa con apartaestudio en 3er piso con servicios independientes, cerca al San Pedro plaza comercial.")</f>
        <v>Casa con apartaestudio en 3er piso con servicios independientes, cerca al San Pedro plaza comercial.</v>
      </c>
      <c r="AE380" s="46"/>
      <c r="AF380" s="46" t="str">
        <f>IFERROR(__xludf.DUMMYFUNCTION("""COMPUTED_VALUE"""),"básica")</f>
        <v>básica</v>
      </c>
      <c r="AG380" s="46"/>
      <c r="AH380" s="46" t="str">
        <f>IFERROR(__xludf.DUMMYFUNCTION("""COMPUTED_VALUE"""),"Aliado")</f>
        <v>Aliado</v>
      </c>
      <c r="AI380" s="92" t="str">
        <f>IFERROR(__xludf.DUMMYFUNCTION("""COMPUTED_VALUE"""),"https://lh3.googleusercontent.com/pw/AP1GczOLMQNyglT_oZ0xn8JCZeP-SxUuAf1g3tXzDpzkP_-nU1wkTKrsNCbEo3U6QF-6ILc0CX9aEi9dY6LtZhRcthutcD4Xl19CPCpJpNLR4rW6R1cuewE4=w1200|https://lh3.googleusercontent.com/pw/AP1GczOWfZrc-Bgunc_rMk74el8dwMgBk0X4BI6SlMiP_eZ34zzR38"&amp;"G4ZL-rebRyqyUmAtdDiWVIrwEtMlShx-pN7DczYN5vnKA-06DsgT-3zAVCqMqfmrcZ=w1200|https://lh3.googleusercontent.com/pw/AP1GczOQFb3lu_bbz2ZTiy3iqXZKo35iiO8NT0WhPDxxd_SauRH96hf8l7MFN-d6peC1oDHvdvm_i-3-NqKjCrdC06nfZWYkBW0YOgKuy0NXN9GVLVyIlwR0=w1200|https://lh3.google"&amp;"usercontent.com/pw/AP1GczOswAF9cvwSmjahLBJg6lvEwioALHRaFKDfeHMZ3gaopeOQYtawsV8dEazQ8UY5z-zHZsqYO57dyQvqC7mYX3HNhv5qi3ZUV7_rVWSNCf_wWSPuqaD_=w1200|https://lh3.googleusercontent.com/pw/AP1GczPooMJV_n9vwGOsVfWqA1xUbrWzKVQUa8ezMUk4SjNOHszU1AAwoxPQJc_ao_Eqb1nQ"&amp;"wC1cpA-Pj8rzTV6Z79nX5VhfC9272n44gcXgtnP4HcqjUpbk=w1200|https://lh3.googleusercontent.com/pw/AP1GczNH0rqnIe5uakOkYTJQ5v6bxHBmpkDAVaZPLRobEL1UHwLgdy25nE4q_RZIuxpZZQh66aI0bkTi9Nz6YEoa8LeSeobzO_lkW69QbLl_HlaSbeuoi_CA=w1200|https://lh3.googleusercontent.com/pw"&amp;"/AP1GczNkYMM6du7wpLFJy_e0PQeRyKXSJLCsMYO3rMGp_IzpO5ipJUmuos175tDysMsMNJhDmEGrFlGU0q-PA-21hlYQ5K1YJFstbeO9ATOi6RMj12Po8R8W=w1200|https://lh3.googleusercontent.com/pw/AP1GczPxQFuvl4Baq2P6iOeEOOO_OUDaltj2jkbFZlnnv_wabfmxeDoSuq5nPYpAn3VPgOnDsujV5aeG_TFWRhBWlJ"&amp;"ZX7hplDXYMTatvFlzR5jy3l0E5yUcF=w1200|https://lh3.googleusercontent.com/pw/AP1GczOxzILFJFp62o5lZiAlxLwW9jg7wovn9H-9c8hlYVvIzi-P6ZvF0F2n8lMfHg-WgKAkkrrkk3AFW0icZAEVRcodm9AQbrONilEkaUvJ9tlBVxUvbYRw=w1200|https://lh3.googleusercontent.com/pw/AP1GczPUmtzNWxAu3"&amp;"uwarAwQx67qzPy-h9xaBVx_2OarOZ9effNtDM__6RNtJMk57HOsZXPtjkUaoykVJkAgkhLQFmZjWuyNdq4gs1mspGexNhk1msJxq0k3=w1200|https://lh3.googleusercontent.com/pw/AP1GczPAkRpGQnW1sV2DrFimucfJaCw_MMhilqsUL-Aotxl1zpu9tUQSRq7tEgLAfgngOftfToGOPIbc0NR57fOnRZBYY_Nte3Lh9TG_YXAo"&amp;"HIMSngNi2IS5=w1200|https://lh3.googleusercontent.com/pw/AP1GczMh46l-WNIxTg-3aAw0uYZtoJftKTYJC1pRv_kccG9J1pCvW4UVc7D_MhVYxEe2jN2eeuIHY7Lm5ce6_7CWqzG533TXJW1RW6aAey3EmuTHzEZLX2q5=w1200|https://lh3.googleusercontent.com/pw/AP1GczPIoP-ZY9DINQxowrGFDYzkT3LHOMK"&amp;"3Uo2669dR-MJQB60-mCoDEuc96MWqmhSUPnn7Z0Vc_mT9N-Xfl3lUtaNYSWSX_vIJE3TTdCggLS0vy4gLy7C-=w1200|https://lh3.googleusercontent.com/pw/AP1GczPtCc3z0daUqTRg-2gtpeqryzqn5pG68rTBCUfvaQVAjWgBbQth4RDoP9MU6VDJuIVRsnEewZ-2fOHJM_wm2ck2LTeD5K_UUq0TveqAdHEEaEU6u6kR=w1200"&amp;"|https://lh3.googleusercontent.com/pw/AP1GczOu3fiDiESDcY8CE4YKdma9Up6Yo8LJSaNzo9QBhe7O-ua9th-BidwQFUvaJGyHKZkcert1eKZHFvN_zbk3ku_j-9E80Cv7rf2gpgdYyqKrbvM6iXUe=w1200|https://lh3.googleusercontent.com/pw/AP1GczMnA-SCq373HqSC-O4Ms4TmYm6V3mUxulFZ2-MKa3nuL66So"&amp;"jANUnaDMgV42xAwbBxxDw8ILo0b_vm-CtL3aU9-CbcmRDfgfp_wFRmY_Qc7weaWiqx8=w1200|https://lh3.googleusercontent.com/pw/AP1GczPG8pjcw_njQmZJ0p5i6CBKSYH6H6XetaORjXLIbSnyJv7ZSV_lyn_mviKt-RQiV-l_Tgh2FtifQTN0dgAujey0o_zMNEoPYrfKHeIxPNRSsCr2kjyk=w1200|https://lh3.googl"&amp;"eusercontent.com/pw/AP1GczPGxGDgCh-fT1reXhXgCh-skUWjH8y4xuuZzExSgNJd6c36R1P5R-aVmj1kcysU8anWx39ZnEjT9poj7ylmQqIJZbwTnv-LmgY5ZvCgMjxeyih_lkCt=w1200|https://lh3.googleusercontent.com/pw/AP1GczNHmLMrJnH6mANZTf-0gwpnjPQcVwvoMbb2fhoAwu2pFFmNDPx24Ckicz_9lHxvp83"&amp;"r6lhsK_5raXUvtguUIdSoLAWnSO6-2NJL_eBsFLdHpDmq2hZL=w1200|https://lh3.googleusercontent.com/pw/AP1GczMmlGE7nLHUU2ahpEXi7PJ0Y1nrXYnT7qyES8pqrnk8t3KDJDijl46WHv773stGs4VxEFGxLSrIZcmm9RhWSGnPTKaRW2q4cv9rqMS1Bq6aqt2wEG0G=w1200|https://lh3.googleusercontent.com/p"&amp;"w/AP1GczPAUKiwyA_uU1kjN_PmpZ7vXgRVlMyjYdaCwOXZ-LrEsOhT6J77z7VWrr_47brh-Y9O2cZ0OMnyD9Rl0KLwsWV3n-PUnSQM2jugqNo9NI-JieOJ6mXN=w1200|https://lh3.googleusercontent.com/pw/AP1GczNSIoormHz4XvJ6kWRUqdacfASMHXUtGJ2wahA497HAl0V00GZ57E08myVbVgtnDgMiZCaaGHvtfsGtJnFtG"&amp;"st4JIxcIlgDVyPpbn-gQqe9kTmy5O7a=w1200|https://lh3.googleusercontent.com/pw/AP1GczOTKRwgXF6uJT7LCmunpFam8oGZlSvXMEDBleW9ixRx7SVV9DBzFC7MZWVIrY9n28DlRq9o-8Tjb-rdqBTAc8Nw3cxaV9VGg7Cjc8sveNcL_jC1mXrY=w1200|https://lh3.googleusercontent.com/pw/AP1GczM2J-CN-_PY"&amp;"usMFMCllWHJMU36m8m58SFpabzke2ZEZNGw2NO8VeQRPToPD87NQ4byAt66rmMws0qlT9KrKdtoqDkEcDUtRyIzTKODs2-l37WbBCm-d=w1200")</f>
        <v>https://lh3.googleusercontent.com/pw/AP1GczOLMQNyglT_oZ0xn8JCZeP-SxUuAf1g3tXzDpzkP_-nU1wkTKrsNCbEo3U6QF-6ILc0CX9aEi9dY6LtZhRcthutcD4Xl19CPCpJpNLR4rW6R1cuewE4=w1200|https://lh3.googleusercontent.com/pw/AP1GczOWfZrc-Bgunc_rMk74el8dwMgBk0X4BI6SlMiP_eZ34zzR38G4ZL-rebRyqyUmAtdDiWVIrwEtMlShx-pN7DczYN5vnKA-06DsgT-3zAVCqMqfmrcZ=w1200|https://lh3.googleusercontent.com/pw/AP1GczOQFb3lu_bbz2ZTiy3iqXZKo35iiO8NT0WhPDxxd_SauRH96hf8l7MFN-d6peC1oDHvdvm_i-3-NqKjCrdC06nfZWYkBW0YOgKuy0NXN9GVLVyIlwR0=w1200|https://lh3.googleusercontent.com/pw/AP1GczOswAF9cvwSmjahLBJg6lvEwioALHRaFKDfeHMZ3gaopeOQYtawsV8dEazQ8UY5z-zHZsqYO57dyQvqC7mYX3HNhv5qi3ZUV7_rVWSNCf_wWSPuqaD_=w1200|https://lh3.googleusercontent.com/pw/AP1GczPooMJV_n9vwGOsVfWqA1xUbrWzKVQUa8ezMUk4SjNOHszU1AAwoxPQJc_ao_Eqb1nQwC1cpA-Pj8rzTV6Z79nX5VhfC9272n44gcXgtnP4HcqjUpbk=w1200|https://lh3.googleusercontent.com/pw/AP1GczNH0rqnIe5uakOkYTJQ5v6bxHBmpkDAVaZPLRobEL1UHwLgdy25nE4q_RZIuxpZZQh66aI0bkTi9Nz6YEoa8LeSeobzO_lkW69QbLl_HlaSbeuoi_CA=w1200|https://lh3.googleusercontent.com/pw/AP1GczNkYMM6du7wpLFJy_e0PQeRyKXSJLCsMYO3rMGp_IzpO5ipJUmuos175tDysMsMNJhDmEGrFlGU0q-PA-21hlYQ5K1YJFstbeO9ATOi6RMj12Po8R8W=w1200|https://lh3.googleusercontent.com/pw/AP1GczPxQFuvl4Baq2P6iOeEOOO_OUDaltj2jkbFZlnnv_wabfmxeDoSuq5nPYpAn3VPgOnDsujV5aeG_TFWRhBWlJZX7hplDXYMTatvFlzR5jy3l0E5yUcF=w1200|https://lh3.googleusercontent.com/pw/AP1GczOxzILFJFp62o5lZiAlxLwW9jg7wovn9H-9c8hlYVvIzi-P6ZvF0F2n8lMfHg-WgKAkkrrkk3AFW0icZAEVRcodm9AQbrONilEkaUvJ9tlBVxUvbYRw=w1200|https://lh3.googleusercontent.com/pw/AP1GczPUmtzNWxAu3uwarAwQx67qzPy-h9xaBVx_2OarOZ9effNtDM__6RNtJMk57HOsZXPtjkUaoykVJkAgkhLQFmZjWuyNdq4gs1mspGexNhk1msJxq0k3=w1200|https://lh3.googleusercontent.com/pw/AP1GczPAkRpGQnW1sV2DrFimucfJaCw_MMhilqsUL-Aotxl1zpu9tUQSRq7tEgLAfgngOftfToGOPIbc0NR57fOnRZBYY_Nte3Lh9TG_YXAoHIMSngNi2IS5=w1200|https://lh3.googleusercontent.com/pw/AP1GczMh46l-WNIxTg-3aAw0uYZtoJftKTYJC1pRv_kccG9J1pCvW4UVc7D_MhVYxEe2jN2eeuIHY7Lm5ce6_7CWqzG533TXJW1RW6aAey3EmuTHzEZLX2q5=w1200|https://lh3.googleusercontent.com/pw/AP1GczPIoP-ZY9DINQxowrGFDYzkT3LHOMK3Uo2669dR-MJQB60-mCoDEuc96MWqmhSUPnn7Z0Vc_mT9N-Xfl3lUtaNYSWSX_vIJE3TTdCggLS0vy4gLy7C-=w1200|https://lh3.googleusercontent.com/pw/AP1GczPtCc3z0daUqTRg-2gtpeqryzqn5pG68rTBCUfvaQVAjWgBbQth4RDoP9MU6VDJuIVRsnEewZ-2fOHJM_wm2ck2LTeD5K_UUq0TveqAdHEEaEU6u6kR=w1200|https://lh3.googleusercontent.com/pw/AP1GczOu3fiDiESDcY8CE4YKdma9Up6Yo8LJSaNzo9QBhe7O-ua9th-BidwQFUvaJGyHKZkcert1eKZHFvN_zbk3ku_j-9E80Cv7rf2gpgdYyqKrbvM6iXUe=w1200|https://lh3.googleusercontent.com/pw/AP1GczMnA-SCq373HqSC-O4Ms4TmYm6V3mUxulFZ2-MKa3nuL66SojANUnaDMgV42xAwbBxxDw8ILo0b_vm-CtL3aU9-CbcmRDfgfp_wFRmY_Qc7weaWiqx8=w1200|https://lh3.googleusercontent.com/pw/AP1GczPG8pjcw_njQmZJ0p5i6CBKSYH6H6XetaORjXLIbSnyJv7ZSV_lyn_mviKt-RQiV-l_Tgh2FtifQTN0dgAujey0o_zMNEoPYrfKHeIxPNRSsCr2kjyk=w1200|https://lh3.googleusercontent.com/pw/AP1GczPGxGDgCh-fT1reXhXgCh-skUWjH8y4xuuZzExSgNJd6c36R1P5R-aVmj1kcysU8anWx39ZnEjT9poj7ylmQqIJZbwTnv-LmgY5ZvCgMjxeyih_lkCt=w1200|https://lh3.googleusercontent.com/pw/AP1GczNHmLMrJnH6mANZTf-0gwpnjPQcVwvoMbb2fhoAwu2pFFmNDPx24Ckicz_9lHxvp83r6lhsK_5raXUvtguUIdSoLAWnSO6-2NJL_eBsFLdHpDmq2hZL=w1200|https://lh3.googleusercontent.com/pw/AP1GczMmlGE7nLHUU2ahpEXi7PJ0Y1nrXYnT7qyES8pqrnk8t3KDJDijl46WHv773stGs4VxEFGxLSrIZcmm9RhWSGnPTKaRW2q4cv9rqMS1Bq6aqt2wEG0G=w1200|https://lh3.googleusercontent.com/pw/AP1GczPAUKiwyA_uU1kjN_PmpZ7vXgRVlMyjYdaCwOXZ-LrEsOhT6J77z7VWrr_47brh-Y9O2cZ0OMnyD9Rl0KLwsWV3n-PUnSQM2jugqNo9NI-JieOJ6mXN=w1200|https://lh3.googleusercontent.com/pw/AP1GczNSIoormHz4XvJ6kWRUqdacfASMHXUtGJ2wahA497HAl0V00GZ57E08myVbVgtnDgMiZCaaGHvtfsGtJnFtGst4JIxcIlgDVyPpbn-gQqe9kTmy5O7a=w1200|https://lh3.googleusercontent.com/pw/AP1GczOTKRwgXF6uJT7LCmunpFam8oGZlSvXMEDBleW9ixRx7SVV9DBzFC7MZWVIrY9n28DlRq9o-8Tjb-rdqBTAc8Nw3cxaV9VGg7Cjc8sveNcL_jC1mXrY=w1200|https://lh3.googleusercontent.com/pw/AP1GczM2J-CN-_PYusMFMCllWHJMU36m8m58SFpabzke2ZEZNGw2NO8VeQRPToPD87NQ4byAt66rmMws0qlT9KrKdtoqDkEcDUtRyIzTKODs2-l37WbBCm-d=w1200</v>
      </c>
      <c r="AJ380" s="46"/>
      <c r="AK380" s="46"/>
      <c r="AL380" s="46"/>
      <c r="AM380" s="46"/>
      <c r="AN380" s="46"/>
      <c r="AO380" s="46"/>
      <c r="AP380" s="46"/>
      <c r="AQ380" s="46"/>
      <c r="AR380" s="46"/>
      <c r="AS380" s="46"/>
      <c r="AT380" s="46"/>
      <c r="AU380" s="46"/>
      <c r="AV380" s="46"/>
      <c r="AW380" s="46"/>
      <c r="AX380" s="46"/>
      <c r="AY380" s="46"/>
      <c r="AZ380" s="46"/>
      <c r="BA380" s="46"/>
      <c r="BB380" s="46"/>
      <c r="BC380" s="46"/>
      <c r="BD380" s="46"/>
      <c r="BE380" s="46"/>
      <c r="BF380" s="46"/>
      <c r="BG380" s="46"/>
      <c r="BH380" s="46"/>
      <c r="BI380" s="46"/>
      <c r="BJ380" s="46"/>
      <c r="BK380" s="46"/>
      <c r="BL380" s="46"/>
      <c r="BM380" s="46"/>
      <c r="BN380" s="46"/>
      <c r="BO380" s="46"/>
      <c r="BP380" s="46"/>
      <c r="BQ380" s="46"/>
      <c r="BR380" s="46"/>
      <c r="BS380" s="46"/>
      <c r="BT380" s="46"/>
      <c r="BU380" s="46"/>
      <c r="BV380" s="46"/>
      <c r="BW380" s="46"/>
      <c r="BX380" s="46"/>
      <c r="BY380" s="46"/>
      <c r="BZ380" s="46"/>
      <c r="CA380" s="46"/>
      <c r="CB380" s="46"/>
      <c r="CC380" s="46"/>
    </row>
    <row r="381">
      <c r="A381" s="87" t="str">
        <f>IFERROR(__xludf.DUMMYFUNCTION("""COMPUTED_VALUE"""),"1331")</f>
        <v>1331</v>
      </c>
      <c r="B381" s="46" t="str">
        <f>IFERROR(__xludf.DUMMYFUNCTION("""COMPUTED_VALUE"""),"Apartamento en edificio Montanar - Oriente - La Gaitana")</f>
        <v>Apartamento en edificio Montanar - Oriente - La Gaitana</v>
      </c>
      <c r="C381" s="46" t="str">
        <f>IFERROR(__xludf.DUMMYFUNCTION("""COMPUTED_VALUE"""),"Apartamento")</f>
        <v>Apartamento</v>
      </c>
      <c r="D381" s="46" t="str">
        <f>IFERROR(__xludf.DUMMYFUNCTION("""COMPUTED_VALUE"""),"La gaitana")</f>
        <v>La gaitana</v>
      </c>
      <c r="E381" s="46"/>
      <c r="F381" s="90">
        <f>IFERROR(__xludf.DUMMYFUNCTION("""COMPUTED_VALUE"""),3.5E8)</f>
        <v>350000000</v>
      </c>
      <c r="G381" s="46" t="str">
        <f>IFERROR(__xludf.DUMMYFUNCTION("""COMPUTED_VALUE"""),"$300'000.000 a $400'000.000")</f>
        <v>$300'000.000 a $400'000.000</v>
      </c>
      <c r="H381" s="46"/>
      <c r="I381" s="46"/>
      <c r="J381" s="46" t="str">
        <f>IFERROR(__xludf.DUMMYFUNCTION("""COMPUTED_VALUE"""),"Oriente")</f>
        <v>Oriente</v>
      </c>
      <c r="K381" s="87" t="str">
        <f>IFERROR(__xludf.DUMMYFUNCTION("""COMPUTED_VALUE"""),"7")</f>
        <v>7</v>
      </c>
      <c r="L381" s="46">
        <f>IFERROR(__xludf.DUMMYFUNCTION("""COMPUTED_VALUE"""),3.0)</f>
        <v>3</v>
      </c>
      <c r="M381" s="46"/>
      <c r="N381" s="46">
        <f>IFERROR(__xludf.DUMMYFUNCTION("""COMPUTED_VALUE"""),2.0)</f>
        <v>2</v>
      </c>
      <c r="O381" s="46">
        <f>IFERROR(__xludf.DUMMYFUNCTION("""COMPUTED_VALUE"""),1.0)</f>
        <v>1</v>
      </c>
      <c r="P381" s="46">
        <f>IFERROR(__xludf.DUMMYFUNCTION("""COMPUTED_VALUE"""),4.0)</f>
        <v>4</v>
      </c>
      <c r="Q381" s="92">
        <f>IFERROR(__xludf.DUMMYFUNCTION("""COMPUTED_VALUE"""),107.0)</f>
        <v>107</v>
      </c>
      <c r="R381" s="92">
        <f>IFERROR(__xludf.DUMMYFUNCTION("""COMPUTED_VALUE"""),107.0)</f>
        <v>107</v>
      </c>
      <c r="S381" s="87" t="str">
        <f>IFERROR(__xludf.DUMMYFUNCTION("""COMPUTED_VALUE""")," ")</f>
        <v> </v>
      </c>
      <c r="T381" s="46" t="str">
        <f>IFERROR(__xludf.DUMMYFUNCTION("""COMPUTED_VALUE"""),"Neiva")</f>
        <v>Neiva</v>
      </c>
      <c r="U381" s="87" t="str">
        <f>IFERROR(__xludf.DUMMYFUNCTION("""COMPUTED_VALUE"""),"4")</f>
        <v>4</v>
      </c>
      <c r="V381" s="46" t="str">
        <f>IFERROR(__xludf.DUMMYFUNCTION("""COMPUTED_VALUE"""),"4to.")</f>
        <v>4to.</v>
      </c>
      <c r="W381" s="46"/>
      <c r="X381" s="46">
        <f>IFERROR(__xludf.DUMMYFUNCTION("""COMPUTED_VALUE"""),3.0)</f>
        <v>3</v>
      </c>
      <c r="Y381" s="46" t="str">
        <f>IFERROR(__xludf.DUMMYFUNCTION("""COMPUTED_VALUE"""),"No tiene")</f>
        <v>No tiene</v>
      </c>
      <c r="Z381" s="90">
        <f>IFERROR(__xludf.DUMMYFUNCTION("""COMPUTED_VALUE"""),280000.0)</f>
        <v>280000</v>
      </c>
      <c r="AA381" s="33" t="str">
        <f>IFERROR(__xludf.DUMMYFUNCTION("""COMPUTED_VALUE"""),"No aplica")</f>
        <v>No aplica</v>
      </c>
      <c r="AB381" s="96" t="str">
        <f>IFERROR(__xludf.DUMMYFUNCTION("""COMPUTED_VALUE"""),"https://photos.app.goo.gl/CpZZ7LXTmhuCNZE6A")</f>
        <v>https://photos.app.goo.gl/CpZZ7LXTmhuCNZE6A</v>
      </c>
      <c r="AC381" s="46" t="str">
        <f>IFERROR(__xludf.DUMMYFUNCTION("""COMPUTED_VALUE"""),"Apartamento cuenta con buenos acabados. Distribuidos en tres habitaciones, todas con aire acondicionado, dos baños, amplia sala comedor, cocina, y dos balcones que brindan excelente iluminación y ventilación natural. Se encuentra en cuarto piso.")</f>
        <v>Apartamento cuenta con buenos acabados. Distribuidos en tres habitaciones, todas con aire acondicionado, dos baños, amplia sala comedor, cocina, y dos balcones que brindan excelente iluminación y ventilación natural. Se encuentra en cuarto piso.</v>
      </c>
      <c r="AD381" s="46" t="str">
        <f>IFERROR(__xludf.DUMMYFUNCTION("""COMPUTED_VALUE"""),"Apartamento en venta en el barrio La Gaitana, ubicado en el Edificio Montanar, en la ciudad de Neiva. Cuenta con un área de 107 m². El edificio dispone de ascensor y área social. Estrato 4. Una excelente oportunidad en una zona residencial tranquila y de "&amp;"alta valorización")</f>
        <v>Apartamento en venta en el barrio La Gaitana, ubicado en el Edificio Montanar, en la ciudad de Neiva. Cuenta con un área de 107 m². El edificio dispone de ascensor y área social. Estrato 4. Una excelente oportunidad en una zona residencial tranquila y de alta valorización</v>
      </c>
      <c r="AE381" s="46"/>
      <c r="AF381" s="46" t="str">
        <f>IFERROR(__xludf.DUMMYFUNCTION("""COMPUTED_VALUE"""),"integral")</f>
        <v>integral</v>
      </c>
      <c r="AG381" s="46"/>
      <c r="AH381" s="46" t="str">
        <f>IFERROR(__xludf.DUMMYFUNCTION("""COMPUTED_VALUE"""),"Aliado")</f>
        <v>Aliado</v>
      </c>
      <c r="AI381" s="92" t="str">
        <f>IFERROR(__xludf.DUMMYFUNCTION("""COMPUTED_VALUE"""),"https://lh3.googleusercontent.com/pw/AP1GczN3h7B5eH_QR0KeS58lQOWJG69yQVvC9onNlU5Qa775lM6P9hCji7HWjJd0xQammEJG1R5cRsSjOFIOw73fcp6ayU2nOOsdQaNbyYbBG4nH0n_tTslj=w1200|https://lh3.googleusercontent.com/pw/AP1GczOgYdNIGc9Uk0WtrSq2X0_r5lXRGkCTQmiFMUxeAtMC03w59N"&amp;"05zyWlphjGEl0PYmRvNNdid55kFoDcQjLpwA6rRLWAsYtXMav91PCBfPvXphtjnn38=w1200|https://lh3.googleusercontent.com/pw/AP1GczNKHzhGcbG4NbWeUTviAxFx28VSB10xM-EguyiAHZa0EJlZMAeyAUPOTNk_KaaousxMkNka_YcA11j0GnspqzRt2_fYxXTp7z1syeEcLv9DkL_M-QRX=w1200|https://lh3.google"&amp;"usercontent.com/pw/AP1GczO0-g_0mkwV3BCu0onmWxMcAC-lcoTnrV9jO98fp-cLsB16FCyr5Mj7_-Av17g-17MEME18ItfClyYBXdiGnk7B0pTd7gE-h5sqfB2kV68S9kp4d4YR=w1200|https://lh3.googleusercontent.com/pw/AP1GczNdyBVJcWzr8hZCxjLIKICg2Xxs5qZj623FYxo9XBWPXAHseZL4xfhyTsMu6db5lhew"&amp;"5M0mDmM_NreRoIIfVVu-3hM3PScN6UN-QRf9571TpS-HFTyY=w1200|https://lh3.googleusercontent.com/pw/AP1GczNPDHNPDFg5aaiqjAPphg18RwAxuKr71hfrAV0SRyk2tvbuOhVgqPb0Ydwem68gMArxtsJGMZRds97RicwaeJNKLIpVVNGlifvwtlHZX4Grh0bs-tpa=w1200|https://lh3.googleusercontent.com/pw"&amp;"/AP1GczOxgbs-7sXXSFCMAxYnEETaro-LoTGBa-jLNPQeAsrVVE77zQv-bk5csZQB7-4-Y2ECPWDbp6P7KrABJTNlAl36tXNXXomrabXkfvH51lkpoGdtfOW1=w1200|https://lh3.googleusercontent.com/pw/AP1GczO9UaRlwVZa7xZPkXwS6gt9KR3Pq_qEQjO3RARsAQAg9oPaKvC1msaOcnnm1rjqfIQYwSZWU27aCBzYntO-cn"&amp;"XtnDUmkVAMf6BpQpBOrrpHk4EGhYIK=w1200|https://lh3.googleusercontent.com/pw/AP1GczPu_RSSzGo1yyBCxUTPMTZ9OI8sT6BGlJIvlA_Gq8c89-RwZFPM7zMSMjID6-cn2edCe_4OAxlI1iY1w8f8utZo9lfYmm0e98NuzRgXiZ6tsMD1zk83=w1200|https://lh3.googleusercontent.com/pw/AP1GczMezag2X21kD"&amp;"c-b6GMu0WikI1SZlvKGnqiWCqtdBWeurqSe4UAqC78clkw-Rma5s7ivZpp_m6nahC5cT95xNQADaodfknNwBSMi3lLBpKymSbl65Rc3=w1200|https://lh3.googleusercontent.com/pw/AP1GczMw--YJVc9eOngPs1RXGc5xJUBckSNlFHHyX2rGU5zDBBp0KRJjGIWloq9JRXbTyBTRzdagcno7XWrXZQ9ZKN0FgZFV1BytZHgp8YE2"&amp;"QzMfWHlu7Fuh=w1200|https://lh3.googleusercontent.com/pw/AP1GczNqquJweK8pS0iWeNieKOEbephwW_jR9ix4lXixGgHY3TryEUIY_42OEIyB2lxLFOFJfE2evwmHN5iYrroINwDKm4lbhoB-J45NaTtVGOTRBQICJnFP=w1200|https://lh3.googleusercontent.com/pw/AP1GczPIKFtt5Dsy3OV4aKhG9YEKvHqoIyl"&amp;"aivWzClvpaA1FTmW03m-4d25NrOP4Ajg9GLHtwr7O2-_eK8g7t6wcxk0wrs6YAOY8bD6J_najrC_PFcveA2Od=w1200")</f>
        <v>https://lh3.googleusercontent.com/pw/AP1GczN3h7B5eH_QR0KeS58lQOWJG69yQVvC9onNlU5Qa775lM6P9hCji7HWjJd0xQammEJG1R5cRsSjOFIOw73fcp6ayU2nOOsdQaNbyYbBG4nH0n_tTslj=w1200|https://lh3.googleusercontent.com/pw/AP1GczOgYdNIGc9Uk0WtrSq2X0_r5lXRGkCTQmiFMUxeAtMC03w59N05zyWlphjGEl0PYmRvNNdid55kFoDcQjLpwA6rRLWAsYtXMav91PCBfPvXphtjnn38=w1200|https://lh3.googleusercontent.com/pw/AP1GczNKHzhGcbG4NbWeUTviAxFx28VSB10xM-EguyiAHZa0EJlZMAeyAUPOTNk_KaaousxMkNka_YcA11j0GnspqzRt2_fYxXTp7z1syeEcLv9DkL_M-QRX=w1200|https://lh3.googleusercontent.com/pw/AP1GczO0-g_0mkwV3BCu0onmWxMcAC-lcoTnrV9jO98fp-cLsB16FCyr5Mj7_-Av17g-17MEME18ItfClyYBXdiGnk7B0pTd7gE-h5sqfB2kV68S9kp4d4YR=w1200|https://lh3.googleusercontent.com/pw/AP1GczNdyBVJcWzr8hZCxjLIKICg2Xxs5qZj623FYxo9XBWPXAHseZL4xfhyTsMu6db5lhew5M0mDmM_NreRoIIfVVu-3hM3PScN6UN-QRf9571TpS-HFTyY=w1200|https://lh3.googleusercontent.com/pw/AP1GczNPDHNPDFg5aaiqjAPphg18RwAxuKr71hfrAV0SRyk2tvbuOhVgqPb0Ydwem68gMArxtsJGMZRds97RicwaeJNKLIpVVNGlifvwtlHZX4Grh0bs-tpa=w1200|https://lh3.googleusercontent.com/pw/AP1GczOxgbs-7sXXSFCMAxYnEETaro-LoTGBa-jLNPQeAsrVVE77zQv-bk5csZQB7-4-Y2ECPWDbp6P7KrABJTNlAl36tXNXXomrabXkfvH51lkpoGdtfOW1=w1200|https://lh3.googleusercontent.com/pw/AP1GczO9UaRlwVZa7xZPkXwS6gt9KR3Pq_qEQjO3RARsAQAg9oPaKvC1msaOcnnm1rjqfIQYwSZWU27aCBzYntO-cnXtnDUmkVAMf6BpQpBOrrpHk4EGhYIK=w1200|https://lh3.googleusercontent.com/pw/AP1GczPu_RSSzGo1yyBCxUTPMTZ9OI8sT6BGlJIvlA_Gq8c89-RwZFPM7zMSMjID6-cn2edCe_4OAxlI1iY1w8f8utZo9lfYmm0e98NuzRgXiZ6tsMD1zk83=w1200|https://lh3.googleusercontent.com/pw/AP1GczMezag2X21kDc-b6GMu0WikI1SZlvKGnqiWCqtdBWeurqSe4UAqC78clkw-Rma5s7ivZpp_m6nahC5cT95xNQADaodfknNwBSMi3lLBpKymSbl65Rc3=w1200|https://lh3.googleusercontent.com/pw/AP1GczMw--YJVc9eOngPs1RXGc5xJUBckSNlFHHyX2rGU5zDBBp0KRJjGIWloq9JRXbTyBTRzdagcno7XWrXZQ9ZKN0FgZFV1BytZHgp8YE2QzMfWHlu7Fuh=w1200|https://lh3.googleusercontent.com/pw/AP1GczNqquJweK8pS0iWeNieKOEbephwW_jR9ix4lXixGgHY3TryEUIY_42OEIyB2lxLFOFJfE2evwmHN5iYrroINwDKm4lbhoB-J45NaTtVGOTRBQICJnFP=w1200|https://lh3.googleusercontent.com/pw/AP1GczPIKFtt5Dsy3OV4aKhG9YEKvHqoIylaivWzClvpaA1FTmW03m-4d25NrOP4Ajg9GLHtwr7O2-_eK8g7t6wcxk0wrs6YAOY8bD6J_najrC_PFcveA2Od=w1200</v>
      </c>
      <c r="AJ381" s="46"/>
      <c r="AK381" s="46"/>
      <c r="AL381" s="46"/>
      <c r="AM381" s="46"/>
      <c r="AN381" s="46"/>
      <c r="AO381" s="46"/>
      <c r="AP381" s="46"/>
      <c r="AQ381" s="46"/>
      <c r="AR381" s="46"/>
      <c r="AS381" s="46"/>
      <c r="AT381" s="46"/>
      <c r="AU381" s="46"/>
      <c r="AV381" s="46"/>
      <c r="AW381" s="46"/>
      <c r="AX381" s="46"/>
      <c r="AY381" s="46"/>
      <c r="AZ381" s="46"/>
      <c r="BA381" s="46"/>
      <c r="BB381" s="46"/>
      <c r="BC381" s="46"/>
      <c r="BD381" s="46"/>
      <c r="BE381" s="46"/>
      <c r="BF381" s="46"/>
      <c r="BG381" s="46"/>
      <c r="BH381" s="46"/>
      <c r="BI381" s="46"/>
      <c r="BJ381" s="46"/>
      <c r="BK381" s="46"/>
      <c r="BL381" s="46"/>
      <c r="BM381" s="46"/>
      <c r="BN381" s="46"/>
      <c r="BO381" s="46"/>
      <c r="BP381" s="46"/>
      <c r="BQ381" s="46"/>
      <c r="BR381" s="46"/>
      <c r="BS381" s="46"/>
      <c r="BT381" s="46"/>
      <c r="BU381" s="46"/>
      <c r="BV381" s="46"/>
      <c r="BW381" s="46"/>
      <c r="BX381" s="46"/>
      <c r="BY381" s="46"/>
      <c r="BZ381" s="46"/>
      <c r="CA381" s="46"/>
      <c r="CB381" s="46"/>
      <c r="CC381" s="46"/>
    </row>
    <row r="382">
      <c r="A382" s="87" t="str">
        <f>IFERROR(__xludf.DUMMYFUNCTION("""COMPUTED_VALUE"""),"1245")</f>
        <v>1245</v>
      </c>
      <c r="B382" s="46" t="str">
        <f>IFERROR(__xludf.DUMMYFUNCTION("""COMPUTED_VALUE"""),"Casa en barrio Altico")</f>
        <v>Casa en barrio Altico</v>
      </c>
      <c r="C382" s="46" t="str">
        <f>IFERROR(__xludf.DUMMYFUNCTION("""COMPUTED_VALUE"""),"Casa")</f>
        <v>Casa</v>
      </c>
      <c r="D382" s="46" t="str">
        <f>IFERROR(__xludf.DUMMYFUNCTION("""COMPUTED_VALUE"""),"El Altico")</f>
        <v>El Altico</v>
      </c>
      <c r="E382" s="90"/>
      <c r="F382" s="90">
        <f>IFERROR(__xludf.DUMMYFUNCTION("""COMPUTED_VALUE"""),3.5E8)</f>
        <v>350000000</v>
      </c>
      <c r="G382" s="46" t="str">
        <f>IFERROR(__xludf.DUMMYFUNCTION("""COMPUTED_VALUE"""),"$300'000.000 a $400'000.000")</f>
        <v>$300'000.000 a $400'000.000</v>
      </c>
      <c r="H382" s="46"/>
      <c r="I382" s="46"/>
      <c r="J382" s="46" t="str">
        <f>IFERROR(__xludf.DUMMYFUNCTION("""COMPUTED_VALUE"""),"Centro")</f>
        <v>Centro</v>
      </c>
      <c r="K382" s="87"/>
      <c r="L382" s="46">
        <f>IFERROR(__xludf.DUMMYFUNCTION("""COMPUTED_VALUE"""),6.0)</f>
        <v>6</v>
      </c>
      <c r="M382" s="46"/>
      <c r="N382" s="46">
        <f>IFERROR(__xludf.DUMMYFUNCTION("""COMPUTED_VALUE"""),3.0)</f>
        <v>3</v>
      </c>
      <c r="O382" s="46">
        <f>IFERROR(__xludf.DUMMYFUNCTION("""COMPUTED_VALUE"""),1.0)</f>
        <v>1</v>
      </c>
      <c r="P382" s="46">
        <f>IFERROR(__xludf.DUMMYFUNCTION("""COMPUTED_VALUE"""),2.0)</f>
        <v>2</v>
      </c>
      <c r="Q382" s="92">
        <f>IFERROR(__xludf.DUMMYFUNCTION("""COMPUTED_VALUE"""),172.0)</f>
        <v>172</v>
      </c>
      <c r="R382" s="92">
        <f>IFERROR(__xludf.DUMMYFUNCTION("""COMPUTED_VALUE"""),132.0)</f>
        <v>132</v>
      </c>
      <c r="S382" s="87" t="str">
        <f>IFERROR(__xludf.DUMMYFUNCTION("""COMPUTED_VALUE""")," ")</f>
        <v> </v>
      </c>
      <c r="T382" s="46" t="str">
        <f>IFERROR(__xludf.DUMMYFUNCTION("""COMPUTED_VALUE"""),"Neiva")</f>
        <v>Neiva</v>
      </c>
      <c r="U382" s="87" t="str">
        <f>IFERROR(__xludf.DUMMYFUNCTION("""COMPUTED_VALUE"""),"3")</f>
        <v>3</v>
      </c>
      <c r="V382" s="46" t="str">
        <f>IFERROR(__xludf.DUMMYFUNCTION("""COMPUTED_VALUE"""),"Medianera")</f>
        <v>Medianera</v>
      </c>
      <c r="W382" s="46"/>
      <c r="X382" s="46">
        <f>IFERROR(__xludf.DUMMYFUNCTION("""COMPUTED_VALUE"""),4.0)</f>
        <v>4</v>
      </c>
      <c r="Y382" s="46" t="str">
        <f>IFERROR(__xludf.DUMMYFUNCTION("""COMPUTED_VALUE"""),"No tiene")</f>
        <v>No tiene</v>
      </c>
      <c r="Z382" s="90" t="str">
        <f>IFERROR(__xludf.DUMMYFUNCTION("""COMPUTED_VALUE"""),"No aplica")</f>
        <v>No aplica</v>
      </c>
      <c r="AA382" s="33" t="str">
        <f>IFERROR(__xludf.DUMMYFUNCTION("""COMPUTED_VALUE"""),"No aplica")</f>
        <v>No aplica</v>
      </c>
      <c r="AB382" s="96" t="str">
        <f>IFERROR(__xludf.DUMMYFUNCTION("""COMPUTED_VALUE"""),"https://photos.app.goo.gl/LkXspBzMFj6yQf46A")</f>
        <v>https://photos.app.goo.gl/LkXspBzMFj6yQf46A</v>
      </c>
      <c r="AC382" s="46"/>
      <c r="AD382" s="46"/>
      <c r="AE382" s="46"/>
      <c r="AF382" s="46" t="str">
        <f>IFERROR(__xludf.DUMMYFUNCTION("""COMPUTED_VALUE"""),"semi-integral")</f>
        <v>semi-integral</v>
      </c>
      <c r="AG382" s="46"/>
      <c r="AH382" s="46" t="str">
        <f>IFERROR(__xludf.DUMMYFUNCTION("""COMPUTED_VALUE"""),"Aliado")</f>
        <v>Aliado</v>
      </c>
      <c r="AI382" s="92" t="str">
        <f>IFERROR(__xludf.DUMMYFUNCTION("""COMPUTED_VALUE"""),"https://lh3.googleusercontent.com/pw/AP1GczPBq1xGT8sOjLpCbBc0Ptj1UFU7C3jue6I9ziiaBbkLhLhExL9A7MkAcXOgdkvCGosxS_tJXR7G3ml96ZSDmfbapvygNfe2AV3_rvrrW_D_60H9L_Rk=w1200|https://lh3.googleusercontent.com/pw/AP1GczPJn3KXypCi7MGzd0WUS9_rjJEXo3cMtKuoKcYFc_FzigEpdw"&amp;"xPlzZORrdBf4iZ-RBuDAN6erB6gtMircGsSFfkjr-CpzSIWxIEGpKX-Gy9417XfMcK=w1200|https://lh3.googleusercontent.com/pw/AP1GczNOla9IUzjHHeFEHs20k2PV2m04Xql0ro2VbqdwNNhsLuQZ7HELhyFIdPztFibn5nYrZf0Yq1vwxijFX73taNMRxvYxhTvJJMBmmXCcPmARC0hHZ1oM=w1200|https://lh3.google"&amp;"usercontent.com/pw/AP1GczNyt3ArkCfIo9ARdSQ6PnbEMvlwKaJFzwNmiKE711o772apViKhKqJBv1-WwgXVS58BNKt2-d2Kioru3dvcKXL2CrIhcIFTu_CaMi1M_Rjmqih_7a8R=w1200|https://lh3.googleusercontent.com/pw/AP1GczMrmiioE-X4InjlF4sr8xphG6JtIn_BppQ_cJtV3_-FDWbsbCwYlPw8zfuY3E8a_SBC"&amp;"u-kLDAtzqpxvZqkzo5NMIQN6xd6AsRzj1y17Z7wWhhvEZYkH=w1200|https://lh3.googleusercontent.com/pw/AP1GczP_znFzkICSZeCW6gITudCd6e2u7_QUnf41Npzsivm3Ng1pedtdh7Ow9-kHVJzrXvhzgHf5clIei48QbxY4EqLy9Y1WDkmbLhNLXnlmZy8AULHHfDtN=w1200|https://lh3.googleusercontent.com/pw"&amp;"/AP1GczNOUFCi-0O41kHG4imLLfCntpud2PqSqCzqER4zOejywyFit9xA90qYt-DI7TIYWt5trveAaEimcbdNrCuqjR0k15sxtAiZL0QVZPokXSBXz-dOtSw1=w1200|https://lh3.googleusercontent.com/pw/AP1GczO296ckpJx44CLyTtA09AvgtpB15fVsPDJJ5PYlWzakYO_EnMUS5sldAiCyweQmeNZLumxlzImogNzBABhKzq"&amp;"MvjRNQxbrvLsvuS8GEXQKeR0F9qKsv=w1200|https://lh3.googleusercontent.com/pw/AP1GczMGX_9tMSvVSPhZVadTTaWvWoEt5S_DNlFPIS1IGb8C3SUh9o4PY56HcySwtdjd_Q9u9kEhVmCicft9NUcRayBK8ivCO69_UoZFL-hlpHscHFM9ypcb=w1200|https://lh3.googleusercontent.com/pw/AP1GczMrCvS3WIej8"&amp;"tPxL-vJzoTQzrNzA5CQhgDJwscUeZASkTkvQAeF1iLrxCeD0tk7snIUBeRYpUuI902i7_QTeWlcbCxO1IEZHcT1C_yNF_QKY_eEKoJW=w1200|https://lh3.googleusercontent.com/pw/AP1GczP26IDy-geMplYSxTsk8UY6_6A68-MhNfyDvGCZLIv8a3K5CVxx63FcrLdpn5fAbknt-MO3yKzqoiaDi5JdE5hirNx-DHOS1Ipl5u0s"&amp;"d9_a5-KpLZNR=w1200|https://lh3.googleusercontent.com/pw/AP1GczMpBfG6KX6K0mKRX5q6bDEXrap18YJH29MUo-QtbT1xt-AWnkIXVALRfbCM0gAs6UT4y3aQrdFrQWm3UIDBEqOVp1OEGtFstFgZWSFLvP4CvJnaUFlI=w1200|https://lh3.googleusercontent.com/pw/AP1GczPghD_3Nnqp2QLa-8Z1TBboCMwMmpo"&amp;"z99Bfz16glBlMke5AQqo9S2cE38pQ_Dqr-BryexhOnRnBdz99Jb4T9D6AXq3UP2mQDJRVPds5R7oX9Wj12hHJ=w1200|https://lh3.googleusercontent.com/pw/AP1GczMLrkEwQeKDdOMjBrM9xrOZFbwmmRE3PP-CfTUxBXhkAgDktB2Uo6AukqhdSdX7--fLik_YilSAzD7NyaDTNOtzciTVOYWMEi-1x1DCVP0G5AOn0MMO=w1200")</f>
        <v>https://lh3.googleusercontent.com/pw/AP1GczPBq1xGT8sOjLpCbBc0Ptj1UFU7C3jue6I9ziiaBbkLhLhExL9A7MkAcXOgdkvCGosxS_tJXR7G3ml96ZSDmfbapvygNfe2AV3_rvrrW_D_60H9L_Rk=w1200|https://lh3.googleusercontent.com/pw/AP1GczPJn3KXypCi7MGzd0WUS9_rjJEXo3cMtKuoKcYFc_FzigEpdwxPlzZORrdBf4iZ-RBuDAN6erB6gtMircGsSFfkjr-CpzSIWxIEGpKX-Gy9417XfMcK=w1200|https://lh3.googleusercontent.com/pw/AP1GczNOla9IUzjHHeFEHs20k2PV2m04Xql0ro2VbqdwNNhsLuQZ7HELhyFIdPztFibn5nYrZf0Yq1vwxijFX73taNMRxvYxhTvJJMBmmXCcPmARC0hHZ1oM=w1200|https://lh3.googleusercontent.com/pw/AP1GczNyt3ArkCfIo9ARdSQ6PnbEMvlwKaJFzwNmiKE711o772apViKhKqJBv1-WwgXVS58BNKt2-d2Kioru3dvcKXL2CrIhcIFTu_CaMi1M_Rjmqih_7a8R=w1200|https://lh3.googleusercontent.com/pw/AP1GczMrmiioE-X4InjlF4sr8xphG6JtIn_BppQ_cJtV3_-FDWbsbCwYlPw8zfuY3E8a_SBCu-kLDAtzqpxvZqkzo5NMIQN6xd6AsRzj1y17Z7wWhhvEZYkH=w1200|https://lh3.googleusercontent.com/pw/AP1GczP_znFzkICSZeCW6gITudCd6e2u7_QUnf41Npzsivm3Ng1pedtdh7Ow9-kHVJzrXvhzgHf5clIei48QbxY4EqLy9Y1WDkmbLhNLXnlmZy8AULHHfDtN=w1200|https://lh3.googleusercontent.com/pw/AP1GczNOUFCi-0O41kHG4imLLfCntpud2PqSqCzqER4zOejywyFit9xA90qYt-DI7TIYWt5trveAaEimcbdNrCuqjR0k15sxtAiZL0QVZPokXSBXz-dOtSw1=w1200|https://lh3.googleusercontent.com/pw/AP1GczO296ckpJx44CLyTtA09AvgtpB15fVsPDJJ5PYlWzakYO_EnMUS5sldAiCyweQmeNZLumxlzImogNzBABhKzqMvjRNQxbrvLsvuS8GEXQKeR0F9qKsv=w1200|https://lh3.googleusercontent.com/pw/AP1GczMGX_9tMSvVSPhZVadTTaWvWoEt5S_DNlFPIS1IGb8C3SUh9o4PY56HcySwtdjd_Q9u9kEhVmCicft9NUcRayBK8ivCO69_UoZFL-hlpHscHFM9ypcb=w1200|https://lh3.googleusercontent.com/pw/AP1GczMrCvS3WIej8tPxL-vJzoTQzrNzA5CQhgDJwscUeZASkTkvQAeF1iLrxCeD0tk7snIUBeRYpUuI902i7_QTeWlcbCxO1IEZHcT1C_yNF_QKY_eEKoJW=w1200|https://lh3.googleusercontent.com/pw/AP1GczP26IDy-geMplYSxTsk8UY6_6A68-MhNfyDvGCZLIv8a3K5CVxx63FcrLdpn5fAbknt-MO3yKzqoiaDi5JdE5hirNx-DHOS1Ipl5u0sd9_a5-KpLZNR=w1200|https://lh3.googleusercontent.com/pw/AP1GczMpBfG6KX6K0mKRX5q6bDEXrap18YJH29MUo-QtbT1xt-AWnkIXVALRfbCM0gAs6UT4y3aQrdFrQWm3UIDBEqOVp1OEGtFstFgZWSFLvP4CvJnaUFlI=w1200|https://lh3.googleusercontent.com/pw/AP1GczPghD_3Nnqp2QLa-8Z1TBboCMwMmpoz99Bfz16glBlMke5AQqo9S2cE38pQ_Dqr-BryexhOnRnBdz99Jb4T9D6AXq3UP2mQDJRVPds5R7oX9Wj12hHJ=w1200|https://lh3.googleusercontent.com/pw/AP1GczMLrkEwQeKDdOMjBrM9xrOZFbwmmRE3PP-CfTUxBXhkAgDktB2Uo6AukqhdSdX7--fLik_YilSAzD7NyaDTNOtzciTVOYWMEi-1x1DCVP0G5AOn0MMO=w1200</v>
      </c>
      <c r="AJ382" s="46"/>
      <c r="AK382" s="46"/>
      <c r="AL382" s="46"/>
      <c r="AM382" s="46"/>
      <c r="AN382" s="46"/>
      <c r="AO382" s="46"/>
      <c r="AP382" s="46"/>
      <c r="AQ382" s="46"/>
      <c r="AR382" s="46"/>
      <c r="AS382" s="46"/>
      <c r="AT382" s="46"/>
      <c r="AU382" s="46"/>
      <c r="AV382" s="46"/>
      <c r="AW382" s="46"/>
      <c r="AX382" s="46"/>
      <c r="AY382" s="46"/>
      <c r="AZ382" s="46"/>
      <c r="BA382" s="46"/>
      <c r="BB382" s="46"/>
      <c r="BC382" s="46"/>
      <c r="BD382" s="46"/>
      <c r="BE382" s="46"/>
      <c r="BF382" s="46"/>
      <c r="BG382" s="46"/>
      <c r="BH382" s="46"/>
      <c r="BI382" s="46"/>
      <c r="BJ382" s="46"/>
      <c r="BK382" s="46"/>
      <c r="BL382" s="46"/>
      <c r="BM382" s="46"/>
      <c r="BN382" s="46"/>
      <c r="BO382" s="46"/>
      <c r="BP382" s="46"/>
      <c r="BQ382" s="46"/>
      <c r="BR382" s="46"/>
      <c r="BS382" s="46"/>
      <c r="BT382" s="46"/>
      <c r="BU382" s="46"/>
      <c r="BV382" s="46"/>
      <c r="BW382" s="46"/>
      <c r="BX382" s="46"/>
      <c r="BY382" s="46"/>
      <c r="BZ382" s="46"/>
      <c r="CA382" s="46"/>
      <c r="CB382" s="46"/>
      <c r="CC382" s="46"/>
    </row>
    <row r="383">
      <c r="A383" s="87" t="str">
        <f>IFERROR(__xludf.DUMMYFUNCTION("""COMPUTED_VALUE"""),"1062")</f>
        <v>1062</v>
      </c>
      <c r="B383" s="46" t="str">
        <f>IFERROR(__xludf.DUMMYFUNCTION("""COMPUTED_VALUE"""),"Casa en Conjunto Condominio Llanos De Vimianzo - Juncal")</f>
        <v>Casa en Conjunto Condominio Llanos De Vimianzo - Juncal</v>
      </c>
      <c r="C383" s="46" t="str">
        <f>IFERROR(__xludf.DUMMYFUNCTION("""COMPUTED_VALUE"""),"Casa en conjunto")</f>
        <v>Casa en conjunto</v>
      </c>
      <c r="D383" s="90" t="str">
        <f>IFERROR(__xludf.DUMMYFUNCTION("""COMPUTED_VALUE""")," ")</f>
        <v> </v>
      </c>
      <c r="E383" s="46" t="str">
        <f>IFERROR(__xludf.DUMMYFUNCTION("""COMPUTED_VALUE"""),"Llanos de Vimianzo")</f>
        <v>Llanos de Vimianzo</v>
      </c>
      <c r="F383" s="90">
        <f>IFERROR(__xludf.DUMMYFUNCTION("""COMPUTED_VALUE"""),3.5E8)</f>
        <v>350000000</v>
      </c>
      <c r="G383" s="46" t="str">
        <f>IFERROR(__xludf.DUMMYFUNCTION("""COMPUTED_VALUE"""),"$300'000.000 a $400'000.000")</f>
        <v>$300'000.000 a $400'000.000</v>
      </c>
      <c r="H383" s="46"/>
      <c r="I383" s="46"/>
      <c r="J383" s="46" t="str">
        <f>IFERROR(__xludf.DUMMYFUNCTION("""COMPUTED_VALUE"""),"Sur")</f>
        <v>Sur</v>
      </c>
      <c r="K383" s="87"/>
      <c r="L383" s="46">
        <f>IFERROR(__xludf.DUMMYFUNCTION("""COMPUTED_VALUE"""),6.0)</f>
        <v>6</v>
      </c>
      <c r="M383" s="46"/>
      <c r="N383" s="46">
        <f>IFERROR(__xludf.DUMMYFUNCTION("""COMPUTED_VALUE"""),4.0)</f>
        <v>4</v>
      </c>
      <c r="O383" s="46">
        <f>IFERROR(__xludf.DUMMYFUNCTION("""COMPUTED_VALUE"""),1.0)</f>
        <v>1</v>
      </c>
      <c r="P383" s="46">
        <f>IFERROR(__xludf.DUMMYFUNCTION("""COMPUTED_VALUE"""),2.0)</f>
        <v>2</v>
      </c>
      <c r="Q383" s="92">
        <f>IFERROR(__xludf.DUMMYFUNCTION("""COMPUTED_VALUE"""),54.0)</f>
        <v>54</v>
      </c>
      <c r="R383" s="92">
        <f>IFERROR(__xludf.DUMMYFUNCTION("""COMPUTED_VALUE"""),340.0)</f>
        <v>340</v>
      </c>
      <c r="S383" s="87" t="str">
        <f>IFERROR(__xludf.DUMMYFUNCTION("""COMPUTED_VALUE""")," ")</f>
        <v> </v>
      </c>
      <c r="T383" s="46" t="str">
        <f>IFERROR(__xludf.DUMMYFUNCTION("""COMPUTED_VALUE"""),"Juncal")</f>
        <v>Juncal</v>
      </c>
      <c r="U383" s="87" t="str">
        <f>IFERROR(__xludf.DUMMYFUNCTION("""COMPUTED_VALUE"""),"2")</f>
        <v>2</v>
      </c>
      <c r="V383" s="46" t="str">
        <f>IFERROR(__xludf.DUMMYFUNCTION("""COMPUTED_VALUE"""),"Medianera")</f>
        <v>Medianera</v>
      </c>
      <c r="W383" s="46"/>
      <c r="X383" s="46">
        <f>IFERROR(__xludf.DUMMYFUNCTION("""COMPUTED_VALUE"""),6.0)</f>
        <v>6</v>
      </c>
      <c r="Y383" s="46" t="str">
        <f>IFERROR(__xludf.DUMMYFUNCTION("""COMPUTED_VALUE"""),"Privada")</f>
        <v>Privada</v>
      </c>
      <c r="Z383" s="90">
        <f>IFERROR(__xludf.DUMMYFUNCTION("""COMPUTED_VALUE"""),100000.0)</f>
        <v>100000</v>
      </c>
      <c r="AA383" s="33" t="str">
        <f>IFERROR(__xludf.DUMMYFUNCTION("""COMPUTED_VALUE"""),"No aplica")</f>
        <v>No aplica</v>
      </c>
      <c r="AB383" s="96" t="str">
        <f>IFERROR(__xludf.DUMMYFUNCTION("""COMPUTED_VALUE"""),"https://photos.app.goo.gl/CVnCQGxM7o8Ngdkf7")</f>
        <v>https://photos.app.goo.gl/CVnCQGxM7o8Ngdkf7</v>
      </c>
      <c r="AC383" s="46"/>
      <c r="AD383" s="46" t="str">
        <f>IFERROR(__xludf.DUMMYFUNCTION("""COMPUTED_VALUE"""),"Casa bien ubicada, encerrada con limoncillo, con Bbq, jardines. Escritura al día.")</f>
        <v>Casa bien ubicada, encerrada con limoncillo, con Bbq, jardines. Escritura al día.</v>
      </c>
      <c r="AE383" s="46"/>
      <c r="AF383" s="46" t="str">
        <f>IFERROR(__xludf.DUMMYFUNCTION("""COMPUTED_VALUE"""),"básica")</f>
        <v>básica</v>
      </c>
      <c r="AG383" s="46"/>
      <c r="AH383" s="46" t="str">
        <f>IFERROR(__xludf.DUMMYFUNCTION("""COMPUTED_VALUE"""),"Aliado")</f>
        <v>Aliado</v>
      </c>
      <c r="AI383" s="92" t="str">
        <f>IFERROR(__xludf.DUMMYFUNCTION("""COMPUTED_VALUE"""),"https://lh3.googleusercontent.com/pw/AP1GczPwMynLpohPShzqegTBAOw2qXS5BkKZkgxIRUKyAspoVm12rH3rUvLuXZ1JvEyNmWnaVV6AfS9C8BdOZHLkOoXXXwFKNkUQ62RRLvyoX_AYMlHi3iIM=w1200|https://lh3.googleusercontent.com/pw/AP1GczO4Ql-HK9IaqasOwvkTGZUKdKWBbp5vPjbY83_itC0MV_gL1O"&amp;"hDC2fp73BEjNOE9GXzB1JgQdox4An6Sp8AQjibf29rV5q0gRr33ZOVOJhTSblXDbjX=w1200|https://lh3.googleusercontent.com/pw/AP1GczO_1jAPLQwk473PdYV-3mIDowDbXjXkzG7mUSS6MsXTIg9XMgHpFictvxat55_Wr26HD0X_XPRm4-GU4sbT8aG3CsrJT-yvyNuG6HyaeoK7by0R72cN=w1200|https://lh3.google"&amp;"usercontent.com/pw/AP1GczNqqNMjJ6JNeZPydOW4zyFq7IzDTlB-Bf8B9NFkpf4_-PnW8sWCuokBdkAK5-fnKSlCcB4e773BBYI8GNW70TAE3UC9vSjE8c5ZxIPiI88nL5foYNXk=w1200|https://lh3.googleusercontent.com/pw/AP1GczNjT89nhQvxSEAczquYBlH0qO617tZgQ3kridIIPZh-PU06upEPaJt-AmXLnBnzxUyX"&amp;"zAg0DK-lWwy0Yds9LhnApTYIwpwCW5v9k-S96lIp0w84z86A=w1200|https://lh3.googleusercontent.com/pw/AP1GczMRwia3baAg64geuMqrwGVlCW7Ni8Xo9T4o00s_h7YBPYK6iTVRQffLTodaBru_oZtHpfBqXx-tW_gXT7bnm9SmtlYg8ueGuBMTAJLbQ0wLuZubEDIA=w1200|https://lh3.googleusercontent.com/pw"&amp;"/AP1GczPgi24BqTIsnZAMRO4hg-rCm32v1ZGfNP5b1mJ3gVLLCJF58Id7Khu_B5RMXaA4viRxiRewysRYOXFrQohRt1iXT6fNp9JVDgoBrEUQO6AZDYMmhzH6=w1200|https://lh3.googleusercontent.com/pw/AP1GczOE37FHG1xZKgK55_Hn3ufPQZ8kjrvl-K9P0KCtvIMpq3Fm4EAZDxKiBhPXWh5G-o7WNAwTCgzbBHZnZ-u5do"&amp;"qSuWr6fP42mEQ6yT9CEsTpCg4IZm2Z=w1200|https://lh3.googleusercontent.com/pw/AP1GczOaP6qMlM1RnLZe7NxSIfE_KdL873GIHa0ET-R0xaImojXlN18q9e5YzSl4rN0MmSA-oALwGhKbBCKHJ2FMwuWI0l8OQCLTS1EoMQEY13ZGpXAhZ74E=w1200|https://lh3.googleusercontent.com/pw/AP1GczOIFu_KgATIv"&amp;"_ucSgNpXVBySYFhP273AgRFISgfM0mlQKfRR-X7IA3MvVSfAc_khLy_HheZAAP07D_4OPGXe9Os4_6bn4bBgEGfCUaYnyrmADaXHrpl=w1200|https://lh3.googleusercontent.com/pw/AP1GczOUq2xTsxuTuviWir5b67UWalRXhA4267vcTErrpsKGoKweSNvUECMHZZVlOmAMDtKY8brwS-IefiVyL6pBpYeZsTqdvo6TV_KqRG_8"&amp;"P05TnW3NjHop=w1200|https://lh3.googleusercontent.com/pw/AP1GczO7SFkVSbp9Nz5l0qghm0bU4HF4AbzDHqnDyehEQdGGXulkGCBxhqxKasKaHHNAT4RrqxWHdlj0Kp5h4LlhJwJB_Ht0cEhvgpjMsIuGrxGb4OdER7-X=w1200|https://lh3.googleusercontent.com/pw/AP1GczM30Y0UsTqUCDD5lFj0aEgMhNpl8Nm"&amp;"aEk1NovEc2lNKK2yfoks8e2XF4_ZgtjZXPFkml90xE3JYZfasQDEkY7PmpcqsYFA3HgttWOcwqYdELInimq_w=w1200")</f>
        <v>https://lh3.googleusercontent.com/pw/AP1GczPwMynLpohPShzqegTBAOw2qXS5BkKZkgxIRUKyAspoVm12rH3rUvLuXZ1JvEyNmWnaVV6AfS9C8BdOZHLkOoXXXwFKNkUQ62RRLvyoX_AYMlHi3iIM=w1200|https://lh3.googleusercontent.com/pw/AP1GczO4Ql-HK9IaqasOwvkTGZUKdKWBbp5vPjbY83_itC0MV_gL1OhDC2fp73BEjNOE9GXzB1JgQdox4An6Sp8AQjibf29rV5q0gRr33ZOVOJhTSblXDbjX=w1200|https://lh3.googleusercontent.com/pw/AP1GczO_1jAPLQwk473PdYV-3mIDowDbXjXkzG7mUSS6MsXTIg9XMgHpFictvxat55_Wr26HD0X_XPRm4-GU4sbT8aG3CsrJT-yvyNuG6HyaeoK7by0R72cN=w1200|https://lh3.googleusercontent.com/pw/AP1GczNqqNMjJ6JNeZPydOW4zyFq7IzDTlB-Bf8B9NFkpf4_-PnW8sWCuokBdkAK5-fnKSlCcB4e773BBYI8GNW70TAE3UC9vSjE8c5ZxIPiI88nL5foYNXk=w1200|https://lh3.googleusercontent.com/pw/AP1GczNjT89nhQvxSEAczquYBlH0qO617tZgQ3kridIIPZh-PU06upEPaJt-AmXLnBnzxUyXzAg0DK-lWwy0Yds9LhnApTYIwpwCW5v9k-S96lIp0w84z86A=w1200|https://lh3.googleusercontent.com/pw/AP1GczMRwia3baAg64geuMqrwGVlCW7Ni8Xo9T4o00s_h7YBPYK6iTVRQffLTodaBru_oZtHpfBqXx-tW_gXT7bnm9SmtlYg8ueGuBMTAJLbQ0wLuZubEDIA=w1200|https://lh3.googleusercontent.com/pw/AP1GczPgi24BqTIsnZAMRO4hg-rCm32v1ZGfNP5b1mJ3gVLLCJF58Id7Khu_B5RMXaA4viRxiRewysRYOXFrQohRt1iXT6fNp9JVDgoBrEUQO6AZDYMmhzH6=w1200|https://lh3.googleusercontent.com/pw/AP1GczOE37FHG1xZKgK55_Hn3ufPQZ8kjrvl-K9P0KCtvIMpq3Fm4EAZDxKiBhPXWh5G-o7WNAwTCgzbBHZnZ-u5doqSuWr6fP42mEQ6yT9CEsTpCg4IZm2Z=w1200|https://lh3.googleusercontent.com/pw/AP1GczOaP6qMlM1RnLZe7NxSIfE_KdL873GIHa0ET-R0xaImojXlN18q9e5YzSl4rN0MmSA-oALwGhKbBCKHJ2FMwuWI0l8OQCLTS1EoMQEY13ZGpXAhZ74E=w1200|https://lh3.googleusercontent.com/pw/AP1GczOIFu_KgATIv_ucSgNpXVBySYFhP273AgRFISgfM0mlQKfRR-X7IA3MvVSfAc_khLy_HheZAAP07D_4OPGXe9Os4_6bn4bBgEGfCUaYnyrmADaXHrpl=w1200|https://lh3.googleusercontent.com/pw/AP1GczOUq2xTsxuTuviWir5b67UWalRXhA4267vcTErrpsKGoKweSNvUECMHZZVlOmAMDtKY8brwS-IefiVyL6pBpYeZsTqdvo6TV_KqRG_8P05TnW3NjHop=w1200|https://lh3.googleusercontent.com/pw/AP1GczO7SFkVSbp9Nz5l0qghm0bU4HF4AbzDHqnDyehEQdGGXulkGCBxhqxKasKaHHNAT4RrqxWHdlj0Kp5h4LlhJwJB_Ht0cEhvgpjMsIuGrxGb4OdER7-X=w1200|https://lh3.googleusercontent.com/pw/AP1GczM30Y0UsTqUCDD5lFj0aEgMhNpl8NmaEk1NovEc2lNKK2yfoks8e2XF4_ZgtjZXPFkml90xE3JYZfasQDEkY7PmpcqsYFA3HgttWOcwqYdELInimq_w=w1200</v>
      </c>
      <c r="AJ383" s="46"/>
      <c r="AK383" s="46"/>
      <c r="AL383" s="46"/>
      <c r="AM383" s="46"/>
      <c r="AN383" s="46"/>
      <c r="AO383" s="46"/>
      <c r="AP383" s="46"/>
      <c r="AQ383" s="46"/>
      <c r="AR383" s="46"/>
      <c r="AS383" s="46"/>
      <c r="AT383" s="46"/>
      <c r="AU383" s="46"/>
      <c r="AV383" s="46"/>
      <c r="AW383" s="46"/>
      <c r="AX383" s="46"/>
      <c r="AY383" s="46"/>
      <c r="AZ383" s="46"/>
      <c r="BA383" s="46"/>
      <c r="BB383" s="46"/>
      <c r="BC383" s="46"/>
      <c r="BD383" s="46"/>
      <c r="BE383" s="46"/>
      <c r="BF383" s="46"/>
      <c r="BG383" s="46"/>
      <c r="BH383" s="46"/>
      <c r="BI383" s="46"/>
      <c r="BJ383" s="46"/>
      <c r="BK383" s="46"/>
      <c r="BL383" s="46"/>
      <c r="BM383" s="46"/>
      <c r="BN383" s="46"/>
      <c r="BO383" s="46"/>
      <c r="BP383" s="46"/>
      <c r="BQ383" s="46"/>
      <c r="BR383" s="46"/>
      <c r="BS383" s="46"/>
      <c r="BT383" s="46"/>
      <c r="BU383" s="46"/>
      <c r="BV383" s="46"/>
      <c r="BW383" s="46"/>
      <c r="BX383" s="46"/>
      <c r="BY383" s="46"/>
      <c r="BZ383" s="46"/>
      <c r="CA383" s="46"/>
      <c r="CB383" s="46"/>
      <c r="CC383" s="46"/>
    </row>
    <row r="384">
      <c r="A384" s="87" t="str">
        <f>IFERROR(__xludf.DUMMYFUNCTION("""COMPUTED_VALUE"""),"1271")</f>
        <v>1271</v>
      </c>
      <c r="B384" s="46" t="str">
        <f>IFERROR(__xludf.DUMMYFUNCTION("""COMPUTED_VALUE"""),"Apartamento en  edificio  Altos de Yerbabuena - Prado Alto - Oriente")</f>
        <v>Apartamento en  edificio  Altos de Yerbabuena - Prado Alto - Oriente</v>
      </c>
      <c r="C384" s="46" t="str">
        <f>IFERROR(__xludf.DUMMYFUNCTION("""COMPUTED_VALUE"""),"Apartamento")</f>
        <v>Apartamento</v>
      </c>
      <c r="D384" s="46"/>
      <c r="E384" s="46"/>
      <c r="F384" s="90">
        <f>IFERROR(__xludf.DUMMYFUNCTION("""COMPUTED_VALUE"""),3.2E8)</f>
        <v>320000000</v>
      </c>
      <c r="G384" s="46" t="str">
        <f>IFERROR(__xludf.DUMMYFUNCTION("""COMPUTED_VALUE"""),"$300'000.000 a $400'000.000")</f>
        <v>$300'000.000 a $400'000.000</v>
      </c>
      <c r="H384" s="46"/>
      <c r="I384" s="46"/>
      <c r="J384" s="46" t="str">
        <f>IFERROR(__xludf.DUMMYFUNCTION("""COMPUTED_VALUE"""),"Oriente")</f>
        <v>Oriente</v>
      </c>
      <c r="K384" s="87"/>
      <c r="L384" s="46">
        <f>IFERROR(__xludf.DUMMYFUNCTION("""COMPUTED_VALUE"""),2.0)</f>
        <v>2</v>
      </c>
      <c r="M384" s="46"/>
      <c r="N384" s="46">
        <f>IFERROR(__xludf.DUMMYFUNCTION("""COMPUTED_VALUE"""),2.0)</f>
        <v>2</v>
      </c>
      <c r="O384" s="46">
        <f>IFERROR(__xludf.DUMMYFUNCTION("""COMPUTED_VALUE"""),1.0)</f>
        <v>1</v>
      </c>
      <c r="P384" s="46">
        <f>IFERROR(__xludf.DUMMYFUNCTION("""COMPUTED_VALUE"""),5.0)</f>
        <v>5</v>
      </c>
      <c r="Q384" s="92">
        <f>IFERROR(__xludf.DUMMYFUNCTION("""COMPUTED_VALUE"""),71.0)</f>
        <v>71</v>
      </c>
      <c r="R384" s="92">
        <f>IFERROR(__xludf.DUMMYFUNCTION("""COMPUTED_VALUE"""),71.0)</f>
        <v>71</v>
      </c>
      <c r="S384" s="87" t="str">
        <f>IFERROR(__xludf.DUMMYFUNCTION("""COMPUTED_VALUE""")," ")</f>
        <v> </v>
      </c>
      <c r="T384" s="46" t="str">
        <f>IFERROR(__xludf.DUMMYFUNCTION("""COMPUTED_VALUE"""),"Neiva")</f>
        <v>Neiva</v>
      </c>
      <c r="U384" s="87" t="str">
        <f>IFERROR(__xludf.DUMMYFUNCTION("""COMPUTED_VALUE"""),"4")</f>
        <v>4</v>
      </c>
      <c r="V384" s="46" t="str">
        <f>IFERROR(__xludf.DUMMYFUNCTION("""COMPUTED_VALUE"""),"5to.")</f>
        <v>5to.</v>
      </c>
      <c r="W384" s="46"/>
      <c r="X384" s="46">
        <f>IFERROR(__xludf.DUMMYFUNCTION("""COMPUTED_VALUE"""),2.0)</f>
        <v>2</v>
      </c>
      <c r="Y384" s="46" t="str">
        <f>IFERROR(__xludf.DUMMYFUNCTION("""COMPUTED_VALUE"""),"Social")</f>
        <v>Social</v>
      </c>
      <c r="Z384" s="90">
        <f>IFERROR(__xludf.DUMMYFUNCTION("""COMPUTED_VALUE"""),0.0)</f>
        <v>0</v>
      </c>
      <c r="AA384" s="33" t="str">
        <f>IFERROR(__xludf.DUMMYFUNCTION("""COMPUTED_VALUE"""),"No aplica")</f>
        <v>No aplica</v>
      </c>
      <c r="AB384" s="144" t="str">
        <f>IFERROR(__xludf.DUMMYFUNCTION("""COMPUTED_VALUE"""),"https://photos.app.goo.gl/Ln8NCQRo26R2mzUd9")</f>
        <v>https://photos.app.goo.gl/Ln8NCQRo26R2mzUd9</v>
      </c>
      <c r="AC384" s="46" t="str">
        <f>IFERROR(__xludf.DUMMYFUNCTION("""COMPUTED_VALUE"""),"Apartamento de dos habitaciones amplias, cada una con clóset amplios, las dos con aire acondicionado inverter, dos baños, con blackout, las ventanas con reja y polarizadas, cocina remodelada integral, calentador, sala comedor, balcón con vista a la univer"&amp;"sidad corhuila, 5 piso con ascensor, estrato 4, parqueadero propio y el más grande del conjunto, en el 7 piso piscina, bbqe, sauna, ubicado a una cuadra de la corhuila o frupys")</f>
        <v>Apartamento de dos habitaciones amplias, cada una con clóset amplios, las dos con aire acondicionado inverter, dos baños, con blackout, las ventanas con reja y polarizadas, cocina remodelada integral, calentador, sala comedor, balcón con vista a la universidad corhuila, 5 piso con ascensor, estrato 4, parqueadero propio y el más grande del conjunto, en el 7 piso piscina, bbqe, sauna, ubicado a una cuadra de la corhuila o frupys</v>
      </c>
      <c r="AD384" s="46" t="str">
        <f>IFERROR(__xludf.DUMMYFUNCTION("""COMPUTED_VALUE"""),"Buena ubicación, Cerca a la Universidad Corhuila.")</f>
        <v>Buena ubicación, Cerca a la Universidad Corhuila.</v>
      </c>
      <c r="AE384" s="46"/>
      <c r="AF384" s="46" t="str">
        <f>IFERROR(__xludf.DUMMYFUNCTION("""COMPUTED_VALUE"""),"integral")</f>
        <v>integral</v>
      </c>
      <c r="AG384" s="46"/>
      <c r="AH384" s="46" t="str">
        <f>IFERROR(__xludf.DUMMYFUNCTION("""COMPUTED_VALUE"""),"Aliado")</f>
        <v>Aliado</v>
      </c>
      <c r="AI384" s="92" t="str">
        <f>IFERROR(__xludf.DUMMYFUNCTION("""COMPUTED_VALUE"""),"https://lh3.googleusercontent.com/pw/AP1GczPqs6ZSElIvEtcCwbob8AZznwYw6AWMVn0Pj2-UmTjaBj9k8OX-PwHpIYf8M9RfFUwxAJlZqLGrL3YZiNg_ygSBi-5YBi_m2BysnoUVFhYRWO0R1xm3=w1200|https://lh3.googleusercontent.com/pw/AP1GczMNuV6ylMwKfPWyZ-on5k-PSy4FPkDRKqgDb4aXqvRKYizkgU"&amp;"-sLNiQk15cbif48EgvbIQAbbyz3qumqLSmxjtfM0gt_holUwPzoo8JB-e-c9v_-olX=w1200|https://lh3.googleusercontent.com/pw/AP1GczOa3LpU_ZCF7Cm370M1noUc_zQUNErxSA7qGckzxS21xapCMJouXOwgr6eipAyz6aLywK26U2IQ1PpYtLxXcsmKH5RZTo9hRbEq4janbg6-DIKR-F18=w1200|https://lh3.google"&amp;"usercontent.com/pw/AP1GczOjx8LlZHICLbyCQJmS9KhLs-BRdz41mJWBgVB74Qf-Kqf5Sd2uVYPDU7S4dErNnSkxxaGTDUoCjI5_iiISS1tBTRHZW9DFlCXjsKeAq53XpDuCoYQL=w1200|https://lh3.googleusercontent.com/pw/AP1GczMGd3PphF67ffLMR4Hhgnc60DDtAzAmcyMpC4iHj2wDEgzkKGKeQ_5LavI9UjeMG9jT"&amp;"W5YE2SP8gbmHMYHAIRqOH87DiIaUD7az9tKnYd8A9IOZb5gy=w1200|https://lh3.googleusercontent.com/pw/AP1GczMGss8NLHocjFn3k3EiW4HrHBsFelrR8JBB1skRqcPKi8k_F0c-TcUND1zMZ6cz88KOwr4E5luXYm57hbIUjgtCSHkh68IxXg9ilLrGw5qn_lEK0g7S=w1200|https://lh3.googleusercontent.com/pw"&amp;"/AP1GczPa6HE-H3rseOuRy1hgj-tEWlB_pbdaF42G10Lk_5naQYEdRa9hSca3Hv6qW6z8Y6osIV0LQ2MocsNfCF1OAhEgT2oNpX-lAYPeekxIju-H2sRvEGfN=w1200|https://lh3.googleusercontent.com/pw/AP1GczNn1GMLW0k7OGjuuVICuQy9PosrsshDrt0PUGr24Yaq04eMA-J58hQ4CZl_mTO4wJiNgyYZVYyUgRloRsWu4M"&amp;"gJqeCP8U971PXUHZFgdcEp64X-S7Sk=w1200|https://lh3.googleusercontent.com/pw/AP1GczPmuorXaVKaJNC55bTOQvHYP1JscOSlHqAZ0KUN1aECA0XsuGJN5EgzZimS2xOE0DEPazmpnHq1ZLu4GA_T4vmi-E6GZYhbtwfskeKzZTRmE-HFwwXU=w1200|https://lh3.googleusercontent.com/pw/AP1GczPmeFuCk3pGT"&amp;"Ws2wOHicBIzs0PYqnJSeNBs5h1jYdw0oY-hEyk58Y9T2k-S2T1Lp8M0wWbrkGws5pR2ER0wZb8bHRxi2q3ppCTBEoCfK3z2cQsLinbM=w1200|https://lh3.googleusercontent.com/pw/AP1GczMWVREHm6jWoxzd9IVj4RgFjCe1zaY0UcHC9s4ikJoKLjKd_BQZ9XC3OFj5oetpVBSX8r4jBwTm4aXquzjbcLmpLiuttN1eSrrmm1uy"&amp;"up845KLmTHbM=w1200|https://lh3.googleusercontent.com/pw/AP1GczPpz-TODBjtfDhn5m4grWZewfgNGzByq990CD9YRtOQ7k5nVb62a19sjFYZ5ds5hAUFTv-rWHBQ7yBgAPmH-swCdD7L2ZWYHMYZx2vyYeZXACDCIN5C=w1200|https://lh3.googleusercontent.com/pw/AP1GczOtaP12JiPEAwVMCDulJbUh4ekG8lu"&amp;"b-QwDlum0woDxyBP8OQkQInf_oEzKmtI3M9jXru7FMXW__qM83-upTdfm6Z7il6kLMqHUphKOaCkX_6K-wOUY=w1200|https://lh3.googleusercontent.com/pw/AP1GczMdYHVYt_T79XyidTGVehfKpDauE18G8TBrxzH8ilk9cKEfx1EXNd4kMmFPNibnpQM_H3WS_MqUxl_kF2js-hGR_atwoM256KYuyl7mXIBe7o0B60r9=w1200")</f>
        <v>https://lh3.googleusercontent.com/pw/AP1GczPqs6ZSElIvEtcCwbob8AZznwYw6AWMVn0Pj2-UmTjaBj9k8OX-PwHpIYf8M9RfFUwxAJlZqLGrL3YZiNg_ygSBi-5YBi_m2BysnoUVFhYRWO0R1xm3=w1200|https://lh3.googleusercontent.com/pw/AP1GczMNuV6ylMwKfPWyZ-on5k-PSy4FPkDRKqgDb4aXqvRKYizkgU-sLNiQk15cbif48EgvbIQAbbyz3qumqLSmxjtfM0gt_holUwPzoo8JB-e-c9v_-olX=w1200|https://lh3.googleusercontent.com/pw/AP1GczOa3LpU_ZCF7Cm370M1noUc_zQUNErxSA7qGckzxS21xapCMJouXOwgr6eipAyz6aLywK26U2IQ1PpYtLxXcsmKH5RZTo9hRbEq4janbg6-DIKR-F18=w1200|https://lh3.googleusercontent.com/pw/AP1GczOjx8LlZHICLbyCQJmS9KhLs-BRdz41mJWBgVB74Qf-Kqf5Sd2uVYPDU7S4dErNnSkxxaGTDUoCjI5_iiISS1tBTRHZW9DFlCXjsKeAq53XpDuCoYQL=w1200|https://lh3.googleusercontent.com/pw/AP1GczMGd3PphF67ffLMR4Hhgnc60DDtAzAmcyMpC4iHj2wDEgzkKGKeQ_5LavI9UjeMG9jTW5YE2SP8gbmHMYHAIRqOH87DiIaUD7az9tKnYd8A9IOZb5gy=w1200|https://lh3.googleusercontent.com/pw/AP1GczMGss8NLHocjFn3k3EiW4HrHBsFelrR8JBB1skRqcPKi8k_F0c-TcUND1zMZ6cz88KOwr4E5luXYm57hbIUjgtCSHkh68IxXg9ilLrGw5qn_lEK0g7S=w1200|https://lh3.googleusercontent.com/pw/AP1GczPa6HE-H3rseOuRy1hgj-tEWlB_pbdaF42G10Lk_5naQYEdRa9hSca3Hv6qW6z8Y6osIV0LQ2MocsNfCF1OAhEgT2oNpX-lAYPeekxIju-H2sRvEGfN=w1200|https://lh3.googleusercontent.com/pw/AP1GczNn1GMLW0k7OGjuuVICuQy9PosrsshDrt0PUGr24Yaq04eMA-J58hQ4CZl_mTO4wJiNgyYZVYyUgRloRsWu4MgJqeCP8U971PXUHZFgdcEp64X-S7Sk=w1200|https://lh3.googleusercontent.com/pw/AP1GczPmuorXaVKaJNC55bTOQvHYP1JscOSlHqAZ0KUN1aECA0XsuGJN5EgzZimS2xOE0DEPazmpnHq1ZLu4GA_T4vmi-E6GZYhbtwfskeKzZTRmE-HFwwXU=w1200|https://lh3.googleusercontent.com/pw/AP1GczPmeFuCk3pGTWs2wOHicBIzs0PYqnJSeNBs5h1jYdw0oY-hEyk58Y9T2k-S2T1Lp8M0wWbrkGws5pR2ER0wZb8bHRxi2q3ppCTBEoCfK3z2cQsLinbM=w1200|https://lh3.googleusercontent.com/pw/AP1GczMWVREHm6jWoxzd9IVj4RgFjCe1zaY0UcHC9s4ikJoKLjKd_BQZ9XC3OFj5oetpVBSX8r4jBwTm4aXquzjbcLmpLiuttN1eSrrmm1uyup845KLmTHbM=w1200|https://lh3.googleusercontent.com/pw/AP1GczPpz-TODBjtfDhn5m4grWZewfgNGzByq990CD9YRtOQ7k5nVb62a19sjFYZ5ds5hAUFTv-rWHBQ7yBgAPmH-swCdD7L2ZWYHMYZx2vyYeZXACDCIN5C=w1200|https://lh3.googleusercontent.com/pw/AP1GczOtaP12JiPEAwVMCDulJbUh4ekG8lub-QwDlum0woDxyBP8OQkQInf_oEzKmtI3M9jXru7FMXW__qM83-upTdfm6Z7il6kLMqHUphKOaCkX_6K-wOUY=w1200|https://lh3.googleusercontent.com/pw/AP1GczMdYHVYt_T79XyidTGVehfKpDauE18G8TBrxzH8ilk9cKEfx1EXNd4kMmFPNibnpQM_H3WS_MqUxl_kF2js-hGR_atwoM256KYuyl7mXIBe7o0B60r9=w1200</v>
      </c>
      <c r="AJ384" s="46"/>
      <c r="AK384" s="46"/>
      <c r="AL384" s="46"/>
      <c r="AM384" s="46"/>
      <c r="AN384" s="46"/>
      <c r="AO384" s="46"/>
      <c r="AP384" s="46"/>
      <c r="AQ384" s="46"/>
      <c r="AR384" s="46"/>
      <c r="AS384" s="46"/>
      <c r="AT384" s="46"/>
      <c r="AU384" s="46"/>
      <c r="AV384" s="46"/>
      <c r="AW384" s="46"/>
      <c r="AX384" s="46"/>
      <c r="AY384" s="46"/>
      <c r="AZ384" s="46"/>
      <c r="BA384" s="46"/>
      <c r="BB384" s="46"/>
      <c r="BC384" s="46"/>
      <c r="BD384" s="46"/>
      <c r="BE384" s="46"/>
      <c r="BF384" s="46"/>
      <c r="BG384" s="46"/>
      <c r="BH384" s="46"/>
      <c r="BI384" s="46"/>
      <c r="BJ384" s="46"/>
      <c r="BK384" s="46"/>
      <c r="BL384" s="46"/>
      <c r="BM384" s="46"/>
      <c r="BN384" s="46"/>
      <c r="BO384" s="46"/>
      <c r="BP384" s="46"/>
      <c r="BQ384" s="46"/>
      <c r="BR384" s="46"/>
      <c r="BS384" s="46"/>
      <c r="BT384" s="46"/>
      <c r="BU384" s="46"/>
      <c r="BV384" s="46"/>
      <c r="BW384" s="46"/>
      <c r="BX384" s="46"/>
      <c r="BY384" s="46"/>
      <c r="BZ384" s="46"/>
      <c r="CA384" s="46"/>
      <c r="CB384" s="46"/>
      <c r="CC384" s="46"/>
    </row>
    <row r="385">
      <c r="A385" s="87" t="str">
        <f>IFERROR(__xludf.DUMMYFUNCTION("""COMPUTED_VALUE"""),"1330")</f>
        <v>1330</v>
      </c>
      <c r="B385" s="46" t="str">
        <f>IFERROR(__xludf.DUMMYFUNCTION("""COMPUTED_VALUE"""),"Casa en barrio  Terrazas de Algarrobos - Norte")</f>
        <v>Casa en barrio  Terrazas de Algarrobos - Norte</v>
      </c>
      <c r="C385" s="46" t="str">
        <f>IFERROR(__xludf.DUMMYFUNCTION("""COMPUTED_VALUE"""),"Casa")</f>
        <v>Casa</v>
      </c>
      <c r="D385" s="46" t="str">
        <f>IFERROR(__xludf.DUMMYFUNCTION("""COMPUTED_VALUE"""),"Algarrobos")</f>
        <v>Algarrobos</v>
      </c>
      <c r="E385" s="46"/>
      <c r="F385" s="90">
        <f>IFERROR(__xludf.DUMMYFUNCTION("""COMPUTED_VALUE"""),3.3E8)</f>
        <v>330000000</v>
      </c>
      <c r="G385" s="46" t="str">
        <f>IFERROR(__xludf.DUMMYFUNCTION("""COMPUTED_VALUE"""),"$300'000.000 a $400'000.000")</f>
        <v>$300'000.000 a $400'000.000</v>
      </c>
      <c r="H385" s="46"/>
      <c r="I385" s="46"/>
      <c r="J385" s="46" t="str">
        <f>IFERROR(__xludf.DUMMYFUNCTION("""COMPUTED_VALUE"""),"Norte")</f>
        <v>Norte</v>
      </c>
      <c r="K385" s="87"/>
      <c r="L385" s="46">
        <f>IFERROR(__xludf.DUMMYFUNCTION("""COMPUTED_VALUE"""),3.0)</f>
        <v>3</v>
      </c>
      <c r="M385" s="46"/>
      <c r="N385" s="46">
        <f>IFERROR(__xludf.DUMMYFUNCTION("""COMPUTED_VALUE"""),3.0)</f>
        <v>3</v>
      </c>
      <c r="O385" s="46">
        <f>IFERROR(__xludf.DUMMYFUNCTION("""COMPUTED_VALUE"""),1.0)</f>
        <v>1</v>
      </c>
      <c r="P385" s="46">
        <f>IFERROR(__xludf.DUMMYFUNCTION("""COMPUTED_VALUE"""),2.0)</f>
        <v>2</v>
      </c>
      <c r="Q385" s="92">
        <f>IFERROR(__xludf.DUMMYFUNCTION("""COMPUTED_VALUE"""),162.0)</f>
        <v>162</v>
      </c>
      <c r="R385" s="92">
        <f>IFERROR(__xludf.DUMMYFUNCTION("""COMPUTED_VALUE"""),90.0)</f>
        <v>90</v>
      </c>
      <c r="S385" s="87" t="str">
        <f>IFERROR(__xludf.DUMMYFUNCTION("""COMPUTED_VALUE""")," ")</f>
        <v> </v>
      </c>
      <c r="T385" s="46" t="str">
        <f>IFERROR(__xludf.DUMMYFUNCTION("""COMPUTED_VALUE"""),"Neiva")</f>
        <v>Neiva</v>
      </c>
      <c r="U385" s="87" t="str">
        <f>IFERROR(__xludf.DUMMYFUNCTION("""COMPUTED_VALUE"""),"2")</f>
        <v>2</v>
      </c>
      <c r="V385" s="46" t="str">
        <f>IFERROR(__xludf.DUMMYFUNCTION("""COMPUTED_VALUE"""),"Esquinera")</f>
        <v>Esquinera</v>
      </c>
      <c r="W385" s="46"/>
      <c r="X385" s="46">
        <f>IFERROR(__xludf.DUMMYFUNCTION("""COMPUTED_VALUE"""),3.0)</f>
        <v>3</v>
      </c>
      <c r="Y385" s="46" t="str">
        <f>IFERROR(__xludf.DUMMYFUNCTION("""COMPUTED_VALUE"""),"No tiene")</f>
        <v>No tiene</v>
      </c>
      <c r="Z385" s="90"/>
      <c r="AA385" s="33" t="str">
        <f>IFERROR(__xludf.DUMMYFUNCTION("""COMPUTED_VALUE"""),"No aplica")</f>
        <v>No aplica</v>
      </c>
      <c r="AB385" s="96" t="str">
        <f>IFERROR(__xludf.DUMMYFUNCTION("""COMPUTED_VALUE"""),"https://photos.app.goo.gl/TrPudcCCmC94Rpuk7")</f>
        <v>https://photos.app.goo.gl/TrPudcCCmC94Rpuk7</v>
      </c>
      <c r="AC385" s="46" t="str">
        <f>IFERROR(__xludf.DUMMYFUNCTION("""COMPUTED_VALUE"""),"La vivienda con buenos acabados. Dispone de sala, comedor, estudio, cocina integral, patio de ropas, tres habitaciones con clóset y tres baños. Ubicada en estrato 2.")</f>
        <v>La vivienda con buenos acabados. Dispone de sala, comedor, estudio, cocina integral, patio de ropas, tres habitaciones con clóset y tres baños. Ubicada en estrato 2.</v>
      </c>
      <c r="AD385" s="46" t="str">
        <f>IFERROR(__xludf.DUMMYFUNCTION("""COMPUTED_VALUE"""),"Casa en venta en la zona norte de Neiva, ubicada en el sector Terrazas de Algarrobo. Cuenta con un área de 162 m². es una excelente opción para quienes buscan comodidad, buena distribución y una ubicación estratégica en el norte de la ciudad.")</f>
        <v>Casa en venta en la zona norte de Neiva, ubicada en el sector Terrazas de Algarrobo. Cuenta con un área de 162 m². es una excelente opción para quienes buscan comodidad, buena distribución y una ubicación estratégica en el norte de la ciudad.</v>
      </c>
      <c r="AE385" s="46"/>
      <c r="AF385" s="46" t="str">
        <f>IFERROR(__xludf.DUMMYFUNCTION("""COMPUTED_VALUE"""),"integral")</f>
        <v>integral</v>
      </c>
      <c r="AG385" s="46"/>
      <c r="AH385" s="46" t="str">
        <f>IFERROR(__xludf.DUMMYFUNCTION("""COMPUTED_VALUE"""),"Aliado")</f>
        <v>Aliado</v>
      </c>
      <c r="AI385" s="92" t="str">
        <f>IFERROR(__xludf.DUMMYFUNCTION("""COMPUTED_VALUE"""),"https://lh3.googleusercontent.com/pw/AP1GczPS83BeWWNfSvslyl44lxXKSRUEpbsIE2JRN9e9KVu0uQyFALoNfxHPIwdXgMn9ylzPgtlK31zaX4RFe3-7bML8t1FU4SBykF3ol1SHnIqFf96FjI9u=w1200|https://lh3.googleusercontent.com/pw/AP1GczNWRsenVjhaKsqXf_w__cKwe2_nVnpnbue0-ayUBtG_IwQ6rx"&amp;"01XL9K55VE6gaYXZKDffW9f1522Uo8Pz-Odf6G-9jVb8RNYNbmF7z-M8UvD6D5dEJQ=w1200|https://lh3.googleusercontent.com/pw/AP1GczNVwBAVqgHPeuMOYl8j8x8N9KB5pd8b2Yq-reshyVerOopIM4P09sxPyP6o32sfUgC6Wg3QqQIhQEoI7jwvp4E3I8Kjwrh7NWJkHTaZPXTu8mL39lHE=w1200|https://lh3.google"&amp;"usercontent.com/pw/AP1GczOBYbnaGB4XcBbuUZLOQyT8ynoWn586NEqqmFr40lv3e-JbkEYVkAzkyDjxsW95GwL3FXl_KGJJDRy_sqjl_mRWRCIynxUZjpWmvPuslrSiLVtriAU3=w1200|https://lh3.googleusercontent.com/pw/AP1GczM3sApIEiCtz50AiqiROUmn6loe97mYFyfoCi4zAx951nM-8J-FX7gb_jZfDdq-i2mm"&amp;"wOYjooAsSMZNJDCsazlv0PbsGybU9zhPg60WLieZNRxvuJaR=w1200|https://lh3.googleusercontent.com/pw/AP1GczMQDUfZrVUJalAzbD85X10SL-uVYrKfUkrZYeJp-wHkmNj2pIzeMqXzj5O8hoIODoPejhQrV9IxRcg0jF3roKqFyshq-Tjj9iD6UGWZlOd7cPehb0GG=w1200|https://lh3.googleusercontent.com/pw"&amp;"/AP1GczPKEwNiCEzKOu5rx2YLIOek0UJEpMZ97SCzImutydbF-Tp7zW9Ut3_7e1m-hQwZVD7A_td1ZlJVrrQ74KmlSXNJjYiebts37VJBWf9gXDfYfmGCgjC6=w1200|https://lh3.googleusercontent.com/pw/AP1GczPAGSbuwmvcJV09aVq0EnaqiNfFVWzN0Rub0ggzQBCgcWLK3hhbtsM3sF_-HWP0c7z-RUV71JqpMvSnmcZ-CK"&amp;"lva74z9SXxjrvTcma5l9ryN9blnx1_=w1200|https://lh3.googleusercontent.com/pw/AP1GczNqD8CJndr9pHxG-evEWFsjOl6B5tBF7SRQoTQDfzxBv22CIvDlfZuqL8xtm2_tuK8aBrttTOwYwbmnslhMoTiPTFVRZDBAEmTa-muM2iO5L2A9ecrV=w1200|https://lh3.googleusercontent.com/pw/AP1GczPHUxnyRBCIg"&amp;"8H2XXPd46FH3JYRPe-6PEhpKge2z-FxbJwQqT52RsrBBFxczxajIxDI1Yb9nD81TG6a0etaF6TmWRLQ8vOMjSgWVKimtA38yCKsC0Jl=w1200|https://lh3.googleusercontent.com/pw/AP1GczMUIwcFNrac6JTP-KvykNe9zP1vinkFZkPEODFYGSEiN63AmG44fwSdFeeBjrBIQCelE7uKyyHx0YG8y6uBK_0cUBggWLEYdCb3ZcFn"&amp;"jsA_oKm3VKED=w1200|https://lh3.googleusercontent.com/pw/AP1GczNAt_NFBAhWpjqtMV6DJC_QY5dBdQkcQbeUxJlOhRONYL0bf2qp7ckiI_fMq0HhSXC4KJpmgsPyVSWXx7Q4M-IMX2_Oiv2pf6cn7vBldRtqTkplxLhM=w1200")</f>
        <v>https://lh3.googleusercontent.com/pw/AP1GczPS83BeWWNfSvslyl44lxXKSRUEpbsIE2JRN9e9KVu0uQyFALoNfxHPIwdXgMn9ylzPgtlK31zaX4RFe3-7bML8t1FU4SBykF3ol1SHnIqFf96FjI9u=w1200|https://lh3.googleusercontent.com/pw/AP1GczNWRsenVjhaKsqXf_w__cKwe2_nVnpnbue0-ayUBtG_IwQ6rx01XL9K55VE6gaYXZKDffW9f1522Uo8Pz-Odf6G-9jVb8RNYNbmF7z-M8UvD6D5dEJQ=w1200|https://lh3.googleusercontent.com/pw/AP1GczNVwBAVqgHPeuMOYl8j8x8N9KB5pd8b2Yq-reshyVerOopIM4P09sxPyP6o32sfUgC6Wg3QqQIhQEoI7jwvp4E3I8Kjwrh7NWJkHTaZPXTu8mL39lHE=w1200|https://lh3.googleusercontent.com/pw/AP1GczOBYbnaGB4XcBbuUZLOQyT8ynoWn586NEqqmFr40lv3e-JbkEYVkAzkyDjxsW95GwL3FXl_KGJJDRy_sqjl_mRWRCIynxUZjpWmvPuslrSiLVtriAU3=w1200|https://lh3.googleusercontent.com/pw/AP1GczM3sApIEiCtz50AiqiROUmn6loe97mYFyfoCi4zAx951nM-8J-FX7gb_jZfDdq-i2mmwOYjooAsSMZNJDCsazlv0PbsGybU9zhPg60WLieZNRxvuJaR=w1200|https://lh3.googleusercontent.com/pw/AP1GczMQDUfZrVUJalAzbD85X10SL-uVYrKfUkrZYeJp-wHkmNj2pIzeMqXzj5O8hoIODoPejhQrV9IxRcg0jF3roKqFyshq-Tjj9iD6UGWZlOd7cPehb0GG=w1200|https://lh3.googleusercontent.com/pw/AP1GczPKEwNiCEzKOu5rx2YLIOek0UJEpMZ97SCzImutydbF-Tp7zW9Ut3_7e1m-hQwZVD7A_td1ZlJVrrQ74KmlSXNJjYiebts37VJBWf9gXDfYfmGCgjC6=w1200|https://lh3.googleusercontent.com/pw/AP1GczPAGSbuwmvcJV09aVq0EnaqiNfFVWzN0Rub0ggzQBCgcWLK3hhbtsM3sF_-HWP0c7z-RUV71JqpMvSnmcZ-CKlva74z9SXxjrvTcma5l9ryN9blnx1_=w1200|https://lh3.googleusercontent.com/pw/AP1GczNqD8CJndr9pHxG-evEWFsjOl6B5tBF7SRQoTQDfzxBv22CIvDlfZuqL8xtm2_tuK8aBrttTOwYwbmnslhMoTiPTFVRZDBAEmTa-muM2iO5L2A9ecrV=w1200|https://lh3.googleusercontent.com/pw/AP1GczPHUxnyRBCIg8H2XXPd46FH3JYRPe-6PEhpKge2z-FxbJwQqT52RsrBBFxczxajIxDI1Yb9nD81TG6a0etaF6TmWRLQ8vOMjSgWVKimtA38yCKsC0Jl=w1200|https://lh3.googleusercontent.com/pw/AP1GczMUIwcFNrac6JTP-KvykNe9zP1vinkFZkPEODFYGSEiN63AmG44fwSdFeeBjrBIQCelE7uKyyHx0YG8y6uBK_0cUBggWLEYdCb3ZcFnjsA_oKm3VKED=w1200|https://lh3.googleusercontent.com/pw/AP1GczNAt_NFBAhWpjqtMV6DJC_QY5dBdQkcQbeUxJlOhRONYL0bf2qp7ckiI_fMq0HhSXC4KJpmgsPyVSWXx7Q4M-IMX2_Oiv2pf6cn7vBldRtqTkplxLhM=w1200</v>
      </c>
      <c r="AJ385" s="46"/>
      <c r="AK385" s="46"/>
      <c r="AL385" s="46"/>
      <c r="AM385" s="46"/>
      <c r="AN385" s="46"/>
      <c r="AO385" s="46"/>
      <c r="AP385" s="46"/>
      <c r="AQ385" s="46"/>
      <c r="AR385" s="46"/>
      <c r="AS385" s="46"/>
      <c r="AT385" s="46"/>
      <c r="AU385" s="46"/>
      <c r="AV385" s="46"/>
      <c r="AW385" s="46"/>
      <c r="AX385" s="46"/>
      <c r="AY385" s="46"/>
      <c r="AZ385" s="46"/>
      <c r="BA385" s="46"/>
      <c r="BB385" s="46"/>
      <c r="BC385" s="46"/>
      <c r="BD385" s="46"/>
      <c r="BE385" s="46"/>
      <c r="BF385" s="46"/>
      <c r="BG385" s="46"/>
      <c r="BH385" s="46"/>
      <c r="BI385" s="46"/>
      <c r="BJ385" s="46"/>
      <c r="BK385" s="46"/>
      <c r="BL385" s="46"/>
      <c r="BM385" s="46"/>
      <c r="BN385" s="46"/>
      <c r="BO385" s="46"/>
      <c r="BP385" s="46"/>
      <c r="BQ385" s="46"/>
      <c r="BR385" s="46"/>
      <c r="BS385" s="46"/>
      <c r="BT385" s="46"/>
      <c r="BU385" s="46"/>
      <c r="BV385" s="46"/>
      <c r="BW385" s="46"/>
      <c r="BX385" s="46"/>
      <c r="BY385" s="46"/>
      <c r="BZ385" s="46"/>
      <c r="CA385" s="46"/>
      <c r="CB385" s="46"/>
      <c r="CC385" s="46"/>
    </row>
    <row r="386">
      <c r="A386" s="87" t="str">
        <f>IFERROR(__xludf.DUMMYFUNCTION("""COMPUTED_VALUE"""),"660")</f>
        <v>660</v>
      </c>
      <c r="B386" s="46" t="str">
        <f>IFERROR(__xludf.DUMMYFUNCTION("""COMPUTED_VALUE"""),"Casa en barrio San José")</f>
        <v>Casa en barrio San José</v>
      </c>
      <c r="C386" s="46" t="str">
        <f>IFERROR(__xludf.DUMMYFUNCTION("""COMPUTED_VALUE"""),"Casa")</f>
        <v>Casa</v>
      </c>
      <c r="D386" s="46" t="str">
        <f>IFERROR(__xludf.DUMMYFUNCTION("""COMPUTED_VALUE"""),"San José")</f>
        <v>San José</v>
      </c>
      <c r="E386" s="46"/>
      <c r="F386" s="90">
        <f>IFERROR(__xludf.DUMMYFUNCTION("""COMPUTED_VALUE"""),3.2E8)</f>
        <v>320000000</v>
      </c>
      <c r="G386" s="46" t="str">
        <f>IFERROR(__xludf.DUMMYFUNCTION("""COMPUTED_VALUE"""),"$300'000.000 a $400'000.000")</f>
        <v>$300'000.000 a $400'000.000</v>
      </c>
      <c r="H386" s="46"/>
      <c r="I386" s="46"/>
      <c r="J386" s="46" t="str">
        <f>IFERROR(__xludf.DUMMYFUNCTION("""COMPUTED_VALUE"""),"Oriente")</f>
        <v>Oriente</v>
      </c>
      <c r="K386" s="87"/>
      <c r="L386" s="46">
        <f>IFERROR(__xludf.DUMMYFUNCTION("""COMPUTED_VALUE"""),5.0)</f>
        <v>5</v>
      </c>
      <c r="M386" s="46"/>
      <c r="N386" s="46">
        <f>IFERROR(__xludf.DUMMYFUNCTION("""COMPUTED_VALUE"""),1.0)</f>
        <v>1</v>
      </c>
      <c r="O386" s="46">
        <f>IFERROR(__xludf.DUMMYFUNCTION("""COMPUTED_VALUE"""),1.0)</f>
        <v>1</v>
      </c>
      <c r="P386" s="46">
        <f>IFERROR(__xludf.DUMMYFUNCTION("""COMPUTED_VALUE"""),1.0)</f>
        <v>1</v>
      </c>
      <c r="Q386" s="92">
        <f>IFERROR(__xludf.DUMMYFUNCTION("""COMPUTED_VALUE"""),167.0)</f>
        <v>167</v>
      </c>
      <c r="R386" s="92">
        <f>IFERROR(__xludf.DUMMYFUNCTION("""COMPUTED_VALUE"""),160.0)</f>
        <v>160</v>
      </c>
      <c r="S386" s="87" t="str">
        <f>IFERROR(__xludf.DUMMYFUNCTION("""COMPUTED_VALUE""")," ")</f>
        <v> </v>
      </c>
      <c r="T386" s="46" t="str">
        <f>IFERROR(__xludf.DUMMYFUNCTION("""COMPUTED_VALUE"""),"Neiva")</f>
        <v>Neiva</v>
      </c>
      <c r="U386" s="87" t="str">
        <f>IFERROR(__xludf.DUMMYFUNCTION("""COMPUTED_VALUE"""),"3")</f>
        <v>3</v>
      </c>
      <c r="V386" s="46" t="str">
        <f>IFERROR(__xludf.DUMMYFUNCTION("""COMPUTED_VALUE"""),"Medianera")</f>
        <v>Medianera</v>
      </c>
      <c r="W386" s="46"/>
      <c r="X386" s="46">
        <f>IFERROR(__xludf.DUMMYFUNCTION("""COMPUTED_VALUE"""),3.0)</f>
        <v>3</v>
      </c>
      <c r="Y386" s="46" t="str">
        <f>IFERROR(__xludf.DUMMYFUNCTION("""COMPUTED_VALUE"""),"No tiene")</f>
        <v>No tiene</v>
      </c>
      <c r="Z386" s="90" t="str">
        <f>IFERROR(__xludf.DUMMYFUNCTION("""COMPUTED_VALUE"""),"No aplica")</f>
        <v>No aplica</v>
      </c>
      <c r="AA386" s="33" t="str">
        <f>IFERROR(__xludf.DUMMYFUNCTION("""COMPUTED_VALUE"""),"No aplica")</f>
        <v>No aplica</v>
      </c>
      <c r="AB386" s="144" t="str">
        <f>IFERROR(__xludf.DUMMYFUNCTION("""COMPUTED_VALUE"""),"https://photos.app.goo.gl/pCj3q4GggyvhtjLh7")</f>
        <v>https://photos.app.goo.gl/pCj3q4GggyvhtjLh7</v>
      </c>
      <c r="AC386" s="46" t="str">
        <f>IFERROR(__xludf.DUMMYFUNCTION("""COMPUTED_VALUE"""),"Casa amplia en niveles, con piso en baldosa, cielo raso e icopor, área de servicio con reja de seguridad.")</f>
        <v>Casa amplia en niveles, con piso en baldosa, cielo raso e icopor, área de servicio con reja de seguridad.</v>
      </c>
      <c r="AD386" s="46" t="str">
        <f>IFERROR(__xludf.DUMMYFUNCTION("""COMPUTED_VALUE"""),"Casa con antejardín  en cerámica y con reja cubierta. Escritura al día.")</f>
        <v>Casa con antejardín  en cerámica y con reja cubierta. Escritura al día.</v>
      </c>
      <c r="AE386" s="46"/>
      <c r="AF386" s="46" t="str">
        <f>IFERROR(__xludf.DUMMYFUNCTION("""COMPUTED_VALUE"""),"integral")</f>
        <v>integral</v>
      </c>
      <c r="AG386" s="46"/>
      <c r="AH386" s="46" t="str">
        <f>IFERROR(__xludf.DUMMYFUNCTION("""COMPUTED_VALUE"""),"Aliado")</f>
        <v>Aliado</v>
      </c>
      <c r="AI386" s="46" t="str">
        <f>IFERROR(__xludf.DUMMYFUNCTION("""COMPUTED_VALUE"""),"https://lh3.googleusercontent.com/pw/AP1GczPTzLPIUxrdRxlrWp7eyVJK8ADr1hFWYiFy9EeF18NGWa5Lu7E4agUVH0unWG3qQiF-_Ec2ZpST1VGnYDmFgEAeNJnPaKCXl2A0FIMZu1xBT2Bvb5O6=w1200|https://lh3.googleusercontent.com/pw/AP1GczNmbk-ecnBMS0xbjUyL0GmW6awYhPFnZKAaN1uujcK3719zrv"&amp;"XDkbYPTWvUwPk8X2cqogGLeS5TY9JTp6MnVc6hjTqKkPEHcmoaqS8ZqtKD4liNmTPj=w1200|https://lh3.googleusercontent.com/pw/AP1GczO-Kg-mjkjUxQFzaBsCzudgJzEEcZU6Ru7BcOQ0RnmBJ3NnhdY5xRVSHYi9k6WLUrp31ISjHrz76hxEHMU5QW6NO2bfI37ZMH1fTdp4IdVmq4GgHZOC=w1200|https://lh3.google"&amp;"usercontent.com/pw/AP1GczMAFHJRhpauUkZUQ5tI4F_mhk1WAa_n7p5ZayFdL_65LVzHOLgycAvfeV4rd37JDaASAhTQ_TpBjBJp1gRzyzRydvukB-P10LP-IQafJqrXDaEN0BWl=w1200|https://lh3.googleusercontent.com/pw/AP1GczNmtSp03Vh4rqTIEHtHCZoSgIsysxaA7KfPrG318UScM4-KnDUa7i_6sajlfC8UCVyP"&amp;"5AxdEQq-vNDeVCWlfVJWdVU4AO9DL8elIRxzlj_v7WK4EerZ=w1200|https://lh3.googleusercontent.com/pw/AP1GczMGUcK5Ta5QUGbzbSka3PDaka7H1jLXJ_HKsToEPhV1BuKlZziZEnqH5OCqhGqj92YL0WmyNSKbdsI6KDrZKRqk6NVUPhAgCJRiM1aPPTYyeVvu7KDU=w1200|https://lh3.googleusercontent.com/pw"&amp;"/AP1GczMT0wvY_wMI-XaqnROkmSLBreJNwcwka8s7QLfR5jz-nz0S5rJZfGZqabjhvwS5oh0c6zzQpIAV64O_LdABedlPKp-EewQy3aF1PxWoHrI7UyQ--3-L=w1200|https://lh3.googleusercontent.com/pw/AP1GczPMW5oJT2XO4wLcny1B7sBkQR2L9w-J6wolCrbhR6MDYXF9fRgb738S7aXJ0L1fITJygWFqvEAVh4aNnERFR9"&amp;"6dad2DjleIoD_2p0JEI52fuYsZwaLD=w1200|https://lh3.googleusercontent.com/pw/AP1GczMtjLgIfC_IianDoI1_Ub0kyZfks2A1JhMuBXxyIafkkyGJUcG53L8v8mV7jFIWAZ2t80l5u4woj39BIynDeSNw0N2zrfmaiqBPQGgpCAH3CFVkdoXu=w1200|https://lh3.googleusercontent.com/pw/AP1GczPVlWhye0Ctr"&amp;"Jl8io4mlllt-0wTvrZssDQiTLL5bjNqRPkBkEp3AUTq9BOJaJcr8lIxK2bGlcoN6HV5qXw3Kb2iPsSx_RxB_NLIyrW49j-uPGpdtcGs=w1200|https://lh3.googleusercontent.com/pw/AP1GczODCmAbZvamLjc2BF6dG54A2DHoLM2i1LkoKHK54fBYJo-St-yHkljrtI-OIuou89S87-9dOPeiNVqr6cz05KZ3DmFU1jVBK2n9UKC6"&amp;"QOegi39YcuJO=w1200|https://lh3.googleusercontent.com/pw/AP1GczP4y4FO4Ue35D0OTKZahCwtAipUiW2E03xusrCQj2lGWyk9chLhJbsBpMtYWMFsiGuEYDGhYnvKwMiemZYTcrBSIRqutoFHsvlF8O-URdt4q2O68XK7=w1200|https://lh3.googleusercontent.com/pw/AP1GczPBCv6oWTxZDYPe1Y4PkEh2-dBJFlh"&amp;"Losq6_q0COwycWB4FnOsGkecBONobROZvvf1riJ7g_shDqnasZ5hSD-bag5ZoUz8Yz7omQGt2awqZ-Q_wfxzf=w1200")</f>
        <v>https://lh3.googleusercontent.com/pw/AP1GczPTzLPIUxrdRxlrWp7eyVJK8ADr1hFWYiFy9EeF18NGWa5Lu7E4agUVH0unWG3qQiF-_Ec2ZpST1VGnYDmFgEAeNJnPaKCXl2A0FIMZu1xBT2Bvb5O6=w1200|https://lh3.googleusercontent.com/pw/AP1GczNmbk-ecnBMS0xbjUyL0GmW6awYhPFnZKAaN1uujcK3719zrvXDkbYPTWvUwPk8X2cqogGLeS5TY9JTp6MnVc6hjTqKkPEHcmoaqS8ZqtKD4liNmTPj=w1200|https://lh3.googleusercontent.com/pw/AP1GczO-Kg-mjkjUxQFzaBsCzudgJzEEcZU6Ru7BcOQ0RnmBJ3NnhdY5xRVSHYi9k6WLUrp31ISjHrz76hxEHMU5QW6NO2bfI37ZMH1fTdp4IdVmq4GgHZOC=w1200|https://lh3.googleusercontent.com/pw/AP1GczMAFHJRhpauUkZUQ5tI4F_mhk1WAa_n7p5ZayFdL_65LVzHOLgycAvfeV4rd37JDaASAhTQ_TpBjBJp1gRzyzRydvukB-P10LP-IQafJqrXDaEN0BWl=w1200|https://lh3.googleusercontent.com/pw/AP1GczNmtSp03Vh4rqTIEHtHCZoSgIsysxaA7KfPrG318UScM4-KnDUa7i_6sajlfC8UCVyP5AxdEQq-vNDeVCWlfVJWdVU4AO9DL8elIRxzlj_v7WK4EerZ=w1200|https://lh3.googleusercontent.com/pw/AP1GczMGUcK5Ta5QUGbzbSka3PDaka7H1jLXJ_HKsToEPhV1BuKlZziZEnqH5OCqhGqj92YL0WmyNSKbdsI6KDrZKRqk6NVUPhAgCJRiM1aPPTYyeVvu7KDU=w1200|https://lh3.googleusercontent.com/pw/AP1GczMT0wvY_wMI-XaqnROkmSLBreJNwcwka8s7QLfR5jz-nz0S5rJZfGZqabjhvwS5oh0c6zzQpIAV64O_LdABedlPKp-EewQy3aF1PxWoHrI7UyQ--3-L=w1200|https://lh3.googleusercontent.com/pw/AP1GczPMW5oJT2XO4wLcny1B7sBkQR2L9w-J6wolCrbhR6MDYXF9fRgb738S7aXJ0L1fITJygWFqvEAVh4aNnERFR96dad2DjleIoD_2p0JEI52fuYsZwaLD=w1200|https://lh3.googleusercontent.com/pw/AP1GczMtjLgIfC_IianDoI1_Ub0kyZfks2A1JhMuBXxyIafkkyGJUcG53L8v8mV7jFIWAZ2t80l5u4woj39BIynDeSNw0N2zrfmaiqBPQGgpCAH3CFVkdoXu=w1200|https://lh3.googleusercontent.com/pw/AP1GczPVlWhye0CtrJl8io4mlllt-0wTvrZssDQiTLL5bjNqRPkBkEp3AUTq9BOJaJcr8lIxK2bGlcoN6HV5qXw3Kb2iPsSx_RxB_NLIyrW49j-uPGpdtcGs=w1200|https://lh3.googleusercontent.com/pw/AP1GczODCmAbZvamLjc2BF6dG54A2DHoLM2i1LkoKHK54fBYJo-St-yHkljrtI-OIuou89S87-9dOPeiNVqr6cz05KZ3DmFU1jVBK2n9UKC6QOegi39YcuJO=w1200|https://lh3.googleusercontent.com/pw/AP1GczP4y4FO4Ue35D0OTKZahCwtAipUiW2E03xusrCQj2lGWyk9chLhJbsBpMtYWMFsiGuEYDGhYnvKwMiemZYTcrBSIRqutoFHsvlF8O-URdt4q2O68XK7=w1200|https://lh3.googleusercontent.com/pw/AP1GczPBCv6oWTxZDYPe1Y4PkEh2-dBJFlhLosq6_q0COwycWB4FnOsGkecBONobROZvvf1riJ7g_shDqnasZ5hSD-bag5ZoUz8Yz7omQGt2awqZ-Q_wfxzf=w1200</v>
      </c>
      <c r="AJ386" s="46"/>
      <c r="AK386" s="46"/>
      <c r="AL386" s="46"/>
      <c r="AM386" s="46"/>
      <c r="AN386" s="46"/>
      <c r="AO386" s="46"/>
      <c r="AP386" s="46"/>
      <c r="AQ386" s="46"/>
      <c r="AR386" s="46"/>
      <c r="AS386" s="46"/>
      <c r="AT386" s="46"/>
      <c r="AU386" s="46"/>
      <c r="AV386" s="46"/>
      <c r="AW386" s="46"/>
      <c r="AX386" s="46"/>
      <c r="AY386" s="46"/>
      <c r="AZ386" s="46"/>
      <c r="BA386" s="46"/>
      <c r="BB386" s="46"/>
      <c r="BC386" s="46"/>
      <c r="BD386" s="46"/>
      <c r="BE386" s="46"/>
      <c r="BF386" s="46"/>
      <c r="BG386" s="46"/>
      <c r="BH386" s="46"/>
      <c r="BI386" s="46"/>
      <c r="BJ386" s="46"/>
      <c r="BK386" s="46"/>
      <c r="BL386" s="46"/>
      <c r="BM386" s="46"/>
      <c r="BN386" s="46"/>
      <c r="BO386" s="46"/>
      <c r="BP386" s="46"/>
      <c r="BQ386" s="46"/>
      <c r="BR386" s="46"/>
      <c r="BS386" s="46"/>
      <c r="BT386" s="46"/>
      <c r="BU386" s="46"/>
      <c r="BV386" s="46"/>
      <c r="BW386" s="46"/>
      <c r="BX386" s="46"/>
      <c r="BY386" s="46"/>
      <c r="BZ386" s="46"/>
      <c r="CA386" s="46"/>
      <c r="CB386" s="46"/>
      <c r="CC386" s="46"/>
    </row>
    <row r="387">
      <c r="A387" s="87" t="str">
        <f>IFERROR(__xludf.DUMMYFUNCTION("""COMPUTED_VALUE"""),"883")</f>
        <v>883</v>
      </c>
      <c r="B387" s="46" t="str">
        <f>IFERROR(__xludf.DUMMYFUNCTION("""COMPUTED_VALUE"""),"Casa de dos apartamentos independientes en barrio Los Girasoles")</f>
        <v>Casa de dos apartamentos independientes en barrio Los Girasoles</v>
      </c>
      <c r="C387" s="46" t="str">
        <f>IFERROR(__xludf.DUMMYFUNCTION("""COMPUTED_VALUE"""),"Casa rentable")</f>
        <v>Casa rentable</v>
      </c>
      <c r="D387" s="46" t="str">
        <f>IFERROR(__xludf.DUMMYFUNCTION("""COMPUTED_VALUE"""),"Girasoles")</f>
        <v>Girasoles</v>
      </c>
      <c r="E387" s="46" t="str">
        <f>IFERROR(__xludf.DUMMYFUNCTION("""COMPUTED_VALUE""")," ")</f>
        <v> </v>
      </c>
      <c r="F387" s="90">
        <f>IFERROR(__xludf.DUMMYFUNCTION("""COMPUTED_VALUE"""),3.0E8)</f>
        <v>300000000</v>
      </c>
      <c r="G387" s="46" t="str">
        <f>IFERROR(__xludf.DUMMYFUNCTION("""COMPUTED_VALUE"""),"$300'000.000 a $400'000.000")</f>
        <v>$300'000.000 a $400'000.000</v>
      </c>
      <c r="H387" s="46"/>
      <c r="I387" s="46"/>
      <c r="J387" s="46" t="str">
        <f>IFERROR(__xludf.DUMMYFUNCTION("""COMPUTED_VALUE"""),"Oriente")</f>
        <v>Oriente</v>
      </c>
      <c r="K387" s="87"/>
      <c r="L387" s="46">
        <f>IFERROR(__xludf.DUMMYFUNCTION("""COMPUTED_VALUE"""),5.0)</f>
        <v>5</v>
      </c>
      <c r="M387" s="46"/>
      <c r="N387" s="46">
        <f>IFERROR(__xludf.DUMMYFUNCTION("""COMPUTED_VALUE"""),4.0)</f>
        <v>4</v>
      </c>
      <c r="O387" s="46">
        <f>IFERROR(__xludf.DUMMYFUNCTION("""COMPUTED_VALUE"""),1.0)</f>
        <v>1</v>
      </c>
      <c r="P387" s="46">
        <f>IFERROR(__xludf.DUMMYFUNCTION("""COMPUTED_VALUE"""),2.0)</f>
        <v>2</v>
      </c>
      <c r="Q387" s="92"/>
      <c r="R387" s="92">
        <f>IFERROR(__xludf.DUMMYFUNCTION("""COMPUTED_VALUE"""),105.0)</f>
        <v>105</v>
      </c>
      <c r="S387" s="87" t="str">
        <f>IFERROR(__xludf.DUMMYFUNCTION("""COMPUTED_VALUE""")," ")</f>
        <v> </v>
      </c>
      <c r="T387" s="46" t="str">
        <f>IFERROR(__xludf.DUMMYFUNCTION("""COMPUTED_VALUE"""),"Neiva")</f>
        <v>Neiva</v>
      </c>
      <c r="U387" s="87" t="str">
        <f>IFERROR(__xludf.DUMMYFUNCTION("""COMPUTED_VALUE"""),"2")</f>
        <v>2</v>
      </c>
      <c r="V387" s="46" t="str">
        <f>IFERROR(__xludf.DUMMYFUNCTION("""COMPUTED_VALUE"""),"Medianera")</f>
        <v>Medianera</v>
      </c>
      <c r="W387" s="46"/>
      <c r="X387" s="46">
        <f>IFERROR(__xludf.DUMMYFUNCTION("""COMPUTED_VALUE"""),4.0)</f>
        <v>4</v>
      </c>
      <c r="Y387" s="46" t="str">
        <f>IFERROR(__xludf.DUMMYFUNCTION("""COMPUTED_VALUE"""),"No tiene")</f>
        <v>No tiene</v>
      </c>
      <c r="Z387" s="90" t="str">
        <f>IFERROR(__xludf.DUMMYFUNCTION("""COMPUTED_VALUE"""),"No aplica")</f>
        <v>No aplica</v>
      </c>
      <c r="AA387" s="33" t="str">
        <f>IFERROR(__xludf.DUMMYFUNCTION("""COMPUTED_VALUE"""),"No aplica")</f>
        <v>No aplica</v>
      </c>
      <c r="AB387" s="96" t="str">
        <f>IFERROR(__xludf.DUMMYFUNCTION("""COMPUTED_VALUE"""),"https://photos.app.goo.gl/4R3WvqD4DTGRozNs7")</f>
        <v>https://photos.app.goo.gl/4R3WvqD4DTGRozNs7</v>
      </c>
      <c r="AC387" s="46"/>
      <c r="AD387" s="46" t="str">
        <f>IFERROR(__xludf.DUMMYFUNCTION("""COMPUTED_VALUE"""),"Casa bien ubicada, con buenos acabados porcelanato, madera, cieloraso en icopor. Los  servicios públicos independientes. Entrepiso en placa fácil. Escritura al día.")</f>
        <v>Casa bien ubicada, con buenos acabados porcelanato, madera, cieloraso en icopor. Los  servicios públicos independientes. Entrepiso en placa fácil. Escritura al día.</v>
      </c>
      <c r="AE387" s="46"/>
      <c r="AF387" s="46" t="str">
        <f>IFERROR(__xludf.DUMMYFUNCTION("""COMPUTED_VALUE"""),"semi-integral")</f>
        <v>semi-integral</v>
      </c>
      <c r="AG387" s="46"/>
      <c r="AH387" s="46" t="str">
        <f>IFERROR(__xludf.DUMMYFUNCTION("""COMPUTED_VALUE"""),"Aliado")</f>
        <v>Aliado</v>
      </c>
      <c r="AI387" s="92" t="str">
        <f>IFERROR(__xludf.DUMMYFUNCTION("""COMPUTED_VALUE"""),"https://lh3.googleusercontent.com/pw/AP1GczM7z_HKRzp6OkZlJOr-wXten59ThJDNDyea7O2QnR6WGmELYug5PE2xrGJTF-t-4Dc5pnz3do5Rk-skouXSUnWcnoLeHjSZuvdtMTrzYck9zahGaVwU=w1200|https://lh3.googleusercontent.com/pw/AP1GczPwJSVZkl1GaPPAplm377k5LwP_7QTnrfc3jCaJlinhZ4cNl1"&amp;"5CSu33HNVGXkYNFWkTEB_US57ONtAYieNgk4f5Qo1GMRGF9X9GfSFFi3gx8E_YJkjk=w1200|https://lh3.googleusercontent.com/pw/AP1GczN5VOoP9iGWlQCPyXUQuhdsyjtSHHs5MLgMFFNKg38waKZb0ma5crarLhcztQPYChArTq5JfSx2ywbIxq9ap1c-wDG0ShzvD2fJ7ETnLe0dtmU_BF1B=w1200|https://lh3.google"&amp;"usercontent.com/pw/AP1GczOmlHK7Lm0lAUst99-WFcYCsP_qKRmiiYQA0AEsj45G10XjknKVQJRvffRDs2_KLR2kwUGTXwOQlFsEdOf1BbNzbf-NmH_bY1pk8XSOh0ZlL3YW6Mrp=w1200|https://lh3.googleusercontent.com/pw/AP1GczP6kYOKdjkuPhO9H8jZuAuXBW-JoaDHkfLvDJPJOgDl0wecGVtux1ZEpApsPEvANZQ-"&amp;"6mWApR7aUBEErR2CNpQ8i3gA6Rb5PFIj8anuWliwa1JoZsVJ=w1200|https://lh3.googleusercontent.com/pw/AP1GczPQ_bJ0-9oIUolRE7Pg-19jnLEBit1rRQX_WLjaLWc-YeuMB0y-qDtZyEN_wG513ZvJy3p0LLVEcqwc0kzFMRQAMkPR0FkELkyb6K2B3Onu-r7Zt_B4=w1200|https://lh3.googleusercontent.com/pw"&amp;"/AP1GczPesF0XsugbHd0f5Cit_efw0zQZgmz26MJeTPDZ5NbtZI-ekydS72ai2pYAdBk_FLeAeHzhA-HSCgQPZWvcro-qYAyc-tqYQ-Wu1xuB9nWTiQi0QS2W=w1200|https://lh3.googleusercontent.com/pw/AP1GczOv18HEWGD3GqP22RyRuTmFWIjmRTBOQK_CNgBO_O6dnOuBU_ccM6SFF9aWC9bs5T1UjFeoyHqpcOUPjGXSXD"&amp;"f20a92of_Jl65fUUEZVEZTDjS3c9Eb=w1200|https://lh3.googleusercontent.com/pw/AP1GczPLYbTB8pgF96Z0SvvcPjVDBJ8Dlch5VKxvoSXaOtHqOTinZo2edSOnDmfLVMCcqI8geiRPcmgDOuKa9TwIJ0SjzNKxVOmbrJR0yVDlKMZiuXT15ofu=w1200|https://lh3.googleusercontent.com/pw/AP1GczO_URc7kwup2"&amp;"aWIycTNMfvHnU4npI8CzgwHkOHZ_7ACu2oXAw5zZKL3bNYm-OkLdCu1XawNF4cw0kbyIKjd6BYGhMzPBpL5Jmv6FHJD4fLjkdPQSRH9=w1200|https://lh3.googleusercontent.com/pw/AP1GczO0_h_roPddgy_HN8Tk9JaBGw46jmEMw3bSmeFqGUbfCA8QDLkV6hafa0fkfOsU0cPkLEwdeckzI2JATRVAPaAChOtZh94nP22kjFSJ"&amp;"_MZxti_cqgTQ=w1200|https://lh3.googleusercontent.com/pw/AP1GczNqj-nDU81cR7VigHbojH2PIpQRQz1eLBzWxCxqcyEMMYGZT_qQpJEvLqFpWndqGeXi2Kcv6Q5SkD3LIjGEWhQkIK8vctUgWJc7y-B0oETkn0IBa5jG=w1200|https://lh3.googleusercontent.com/pw/AP1GczMMOIvuADQTUWNLgzRIobM7MkUNqi1"&amp;"gtsO3zwzpTrjSp8el0ekmMFpEE9By1KIVbLvcoW9DyEx4TXxatkNnUxUi8AWoaeEBptoZDFX4AjP7YTy5mc21=w1200|https://lh3.googleusercontent.com/pw/AP1GczP-T0SbUJdB9sY9s8bsL-TEeDNcpRWdcSU5yl4Re9VCrhBQr0TOKA_QcxDKWz_pYLKcd9V5En9vugwWuRZir4K2YZ0HJxa6_W5Xc7yl6rGIBLjbPcd4=w1200")</f>
        <v>https://lh3.googleusercontent.com/pw/AP1GczM7z_HKRzp6OkZlJOr-wXten59ThJDNDyea7O2QnR6WGmELYug5PE2xrGJTF-t-4Dc5pnz3do5Rk-skouXSUnWcnoLeHjSZuvdtMTrzYck9zahGaVwU=w1200|https://lh3.googleusercontent.com/pw/AP1GczPwJSVZkl1GaPPAplm377k5LwP_7QTnrfc3jCaJlinhZ4cNl15CSu33HNVGXkYNFWkTEB_US57ONtAYieNgk4f5Qo1GMRGF9X9GfSFFi3gx8E_YJkjk=w1200|https://lh3.googleusercontent.com/pw/AP1GczN5VOoP9iGWlQCPyXUQuhdsyjtSHHs5MLgMFFNKg38waKZb0ma5crarLhcztQPYChArTq5JfSx2ywbIxq9ap1c-wDG0ShzvD2fJ7ETnLe0dtmU_BF1B=w1200|https://lh3.googleusercontent.com/pw/AP1GczOmlHK7Lm0lAUst99-WFcYCsP_qKRmiiYQA0AEsj45G10XjknKVQJRvffRDs2_KLR2kwUGTXwOQlFsEdOf1BbNzbf-NmH_bY1pk8XSOh0ZlL3YW6Mrp=w1200|https://lh3.googleusercontent.com/pw/AP1GczP6kYOKdjkuPhO9H8jZuAuXBW-JoaDHkfLvDJPJOgDl0wecGVtux1ZEpApsPEvANZQ-6mWApR7aUBEErR2CNpQ8i3gA6Rb5PFIj8anuWliwa1JoZsVJ=w1200|https://lh3.googleusercontent.com/pw/AP1GczPQ_bJ0-9oIUolRE7Pg-19jnLEBit1rRQX_WLjaLWc-YeuMB0y-qDtZyEN_wG513ZvJy3p0LLVEcqwc0kzFMRQAMkPR0FkELkyb6K2B3Onu-r7Zt_B4=w1200|https://lh3.googleusercontent.com/pw/AP1GczPesF0XsugbHd0f5Cit_efw0zQZgmz26MJeTPDZ5NbtZI-ekydS72ai2pYAdBk_FLeAeHzhA-HSCgQPZWvcro-qYAyc-tqYQ-Wu1xuB9nWTiQi0QS2W=w1200|https://lh3.googleusercontent.com/pw/AP1GczOv18HEWGD3GqP22RyRuTmFWIjmRTBOQK_CNgBO_O6dnOuBU_ccM6SFF9aWC9bs5T1UjFeoyHqpcOUPjGXSXDf20a92of_Jl65fUUEZVEZTDjS3c9Eb=w1200|https://lh3.googleusercontent.com/pw/AP1GczPLYbTB8pgF96Z0SvvcPjVDBJ8Dlch5VKxvoSXaOtHqOTinZo2edSOnDmfLVMCcqI8geiRPcmgDOuKa9TwIJ0SjzNKxVOmbrJR0yVDlKMZiuXT15ofu=w1200|https://lh3.googleusercontent.com/pw/AP1GczO_URc7kwup2aWIycTNMfvHnU4npI8CzgwHkOHZ_7ACu2oXAw5zZKL3bNYm-OkLdCu1XawNF4cw0kbyIKjd6BYGhMzPBpL5Jmv6FHJD4fLjkdPQSRH9=w1200|https://lh3.googleusercontent.com/pw/AP1GczO0_h_roPddgy_HN8Tk9JaBGw46jmEMw3bSmeFqGUbfCA8QDLkV6hafa0fkfOsU0cPkLEwdeckzI2JATRVAPaAChOtZh94nP22kjFSJ_MZxti_cqgTQ=w1200|https://lh3.googleusercontent.com/pw/AP1GczNqj-nDU81cR7VigHbojH2PIpQRQz1eLBzWxCxqcyEMMYGZT_qQpJEvLqFpWndqGeXi2Kcv6Q5SkD3LIjGEWhQkIK8vctUgWJc7y-B0oETkn0IBa5jG=w1200|https://lh3.googleusercontent.com/pw/AP1GczMMOIvuADQTUWNLgzRIobM7MkUNqi1gtsO3zwzpTrjSp8el0ekmMFpEE9By1KIVbLvcoW9DyEx4TXxatkNnUxUi8AWoaeEBptoZDFX4AjP7YTy5mc21=w1200|https://lh3.googleusercontent.com/pw/AP1GczP-T0SbUJdB9sY9s8bsL-TEeDNcpRWdcSU5yl4Re9VCrhBQr0TOKA_QcxDKWz_pYLKcd9V5En9vugwWuRZir4K2YZ0HJxa6_W5Xc7yl6rGIBLjbPcd4=w1200</v>
      </c>
      <c r="AJ387" s="46"/>
      <c r="AK387" s="46"/>
      <c r="AL387" s="46"/>
      <c r="AM387" s="46"/>
      <c r="AN387" s="46"/>
      <c r="AO387" s="46"/>
      <c r="AP387" s="46"/>
      <c r="AQ387" s="46"/>
      <c r="AR387" s="46"/>
      <c r="AS387" s="46"/>
      <c r="AT387" s="46"/>
      <c r="AU387" s="46"/>
      <c r="AV387" s="46"/>
      <c r="AW387" s="46"/>
      <c r="AX387" s="46"/>
      <c r="AY387" s="46"/>
      <c r="AZ387" s="46"/>
      <c r="BA387" s="46"/>
      <c r="BB387" s="46"/>
      <c r="BC387" s="46"/>
      <c r="BD387" s="46"/>
      <c r="BE387" s="46"/>
      <c r="BF387" s="46"/>
      <c r="BG387" s="46"/>
      <c r="BH387" s="46"/>
      <c r="BI387" s="46"/>
      <c r="BJ387" s="46"/>
      <c r="BK387" s="46"/>
      <c r="BL387" s="46"/>
      <c r="BM387" s="46"/>
      <c r="BN387" s="46"/>
      <c r="BO387" s="46"/>
      <c r="BP387" s="46"/>
      <c r="BQ387" s="46"/>
      <c r="BR387" s="46"/>
      <c r="BS387" s="46"/>
      <c r="BT387" s="46"/>
      <c r="BU387" s="46"/>
      <c r="BV387" s="46"/>
      <c r="BW387" s="46"/>
      <c r="BX387" s="46"/>
      <c r="BY387" s="46"/>
      <c r="BZ387" s="46"/>
      <c r="CA387" s="46"/>
      <c r="CB387" s="46"/>
      <c r="CC387" s="46"/>
    </row>
    <row r="388">
      <c r="A388" s="87" t="str">
        <f>IFERROR(__xludf.DUMMYFUNCTION("""COMPUTED_VALUE"""),"1281")</f>
        <v>1281</v>
      </c>
      <c r="B388" s="46" t="str">
        <f>IFERROR(__xludf.DUMMYFUNCTION("""COMPUTED_VALUE"""),"Lote en conjunto Condominio Campestre La Voragine - Rivera")</f>
        <v>Lote en conjunto Condominio Campestre La Voragine - Rivera</v>
      </c>
      <c r="C388" s="46" t="str">
        <f>IFERROR(__xludf.DUMMYFUNCTION("""COMPUTED_VALUE"""),"Lote en conjunto")</f>
        <v>Lote en conjunto</v>
      </c>
      <c r="D388" s="46"/>
      <c r="E388" s="46" t="str">
        <f>IFERROR(__xludf.DUMMYFUNCTION("""COMPUTED_VALUE"""),"Condominio Campestre La Voragine")</f>
        <v>Condominio Campestre La Voragine</v>
      </c>
      <c r="F388" s="90">
        <f>IFERROR(__xludf.DUMMYFUNCTION("""COMPUTED_VALUE"""),2.85E8)</f>
        <v>285000000</v>
      </c>
      <c r="G388" s="46" t="str">
        <f>IFERROR(__xludf.DUMMYFUNCTION("""COMPUTED_VALUE"""),"$200'000.000 a $300'000.000")</f>
        <v>$200'000.000 a $300'000.000</v>
      </c>
      <c r="H388" s="46"/>
      <c r="I388" s="46"/>
      <c r="J388" s="46" t="str">
        <f>IFERROR(__xludf.DUMMYFUNCTION("""COMPUTED_VALUE"""),"Sur")</f>
        <v>Sur</v>
      </c>
      <c r="K388" s="87"/>
      <c r="L388" s="46">
        <f>IFERROR(__xludf.DUMMYFUNCTION("""COMPUTED_VALUE"""),0.0)</f>
        <v>0</v>
      </c>
      <c r="M388" s="46"/>
      <c r="N388" s="46">
        <f>IFERROR(__xludf.DUMMYFUNCTION("""COMPUTED_VALUE"""),0.0)</f>
        <v>0</v>
      </c>
      <c r="O388" s="46">
        <f>IFERROR(__xludf.DUMMYFUNCTION("""COMPUTED_VALUE"""),0.0)</f>
        <v>0</v>
      </c>
      <c r="P388" s="46">
        <f>IFERROR(__xludf.DUMMYFUNCTION("""COMPUTED_VALUE"""),0.0)</f>
        <v>0</v>
      </c>
      <c r="Q388" s="92">
        <f>IFERROR(__xludf.DUMMYFUNCTION("""COMPUTED_VALUE"""),0.0)</f>
        <v>0</v>
      </c>
      <c r="R388" s="92">
        <f>IFERROR(__xludf.DUMMYFUNCTION("""COMPUTED_VALUE"""),1306.0)</f>
        <v>1306</v>
      </c>
      <c r="S388" s="87" t="str">
        <f>IFERROR(__xludf.DUMMYFUNCTION("""COMPUTED_VALUE""")," ")</f>
        <v> </v>
      </c>
      <c r="T388" s="46" t="str">
        <f>IFERROR(__xludf.DUMMYFUNCTION("""COMPUTED_VALUE"""),"Rivera")</f>
        <v>Rivera</v>
      </c>
      <c r="U388" s="87"/>
      <c r="V388" s="46" t="str">
        <f>IFERROR(__xludf.DUMMYFUNCTION("""COMPUTED_VALUE"""),"Medianera")</f>
        <v>Medianera</v>
      </c>
      <c r="W388" s="46"/>
      <c r="X388" s="46">
        <f>IFERROR(__xludf.DUMMYFUNCTION("""COMPUTED_VALUE"""),0.0)</f>
        <v>0</v>
      </c>
      <c r="Y388" s="46" t="str">
        <f>IFERROR(__xludf.DUMMYFUNCTION("""COMPUTED_VALUE"""),"Social")</f>
        <v>Social</v>
      </c>
      <c r="Z388" s="90">
        <f>IFERROR(__xludf.DUMMYFUNCTION("""COMPUTED_VALUE"""),808000.0)</f>
        <v>808000</v>
      </c>
      <c r="AA388" s="33" t="str">
        <f>IFERROR(__xludf.DUMMYFUNCTION("""COMPUTED_VALUE"""),"No aplica")</f>
        <v>No aplica</v>
      </c>
      <c r="AB388" s="144" t="str">
        <f>IFERROR(__xludf.DUMMYFUNCTION("""COMPUTED_VALUE"""),"https://photos.app.goo.gl/m2uS6rpanjLGzX9W8")</f>
        <v>https://photos.app.goo.gl/m2uS6rpanjLGzX9W8</v>
      </c>
      <c r="AC388" s="46" t="str">
        <f>IFERROR(__xludf.DUMMYFUNCTION("""COMPUTED_VALUE"""),"Espectacular lote Sector de alta valorización 1.306 M2 con acometidas para servicios públicos. Excelente ubicación parte alta y cerca de las zonas sociales, piscinas, lagos, cancha múltiple y salón social. Valor venta metro cuadrado $285.000 Valor adminis"&amp;"tración: 808.000.")</f>
        <v>Espectacular lote Sector de alta valorización 1.306 M2 con acometidas para servicios públicos. Excelente ubicación parte alta y cerca de las zonas sociales, piscinas, lagos, cancha múltiple y salón social. Valor venta metro cuadrado $285.000 Valor administración: 808.000.</v>
      </c>
      <c r="AD388" s="46" t="str">
        <f>IFERROR(__xludf.DUMMYFUNCTION("""COMPUTED_VALUE"""),"El conjunto se encuentra ubicado en la parte alta de Rivera Huila. A 870 metros sobre el nivel del mar, con ubicación estratégica, vista hermosa, excelente clima, a tan solo 500 metros de las termales de Rivera, te mereces vivir en uno de los lugares más "&amp;"exclusivos, agradables y bien ubicados del municipio de Rivera.")</f>
        <v>El conjunto se encuentra ubicado en la parte alta de Rivera Huila. A 870 metros sobre el nivel del mar, con ubicación estratégica, vista hermosa, excelente clima, a tan solo 500 metros de las termales de Rivera, te mereces vivir en uno de los lugares más exclusivos, agradables y bien ubicados del municipio de Rivera.</v>
      </c>
      <c r="AE388" s="46"/>
      <c r="AF388" s="46">
        <f>IFERROR(__xludf.DUMMYFUNCTION("""COMPUTED_VALUE"""),0.0)</f>
        <v>0</v>
      </c>
      <c r="AG388" s="46"/>
      <c r="AH388" s="46" t="str">
        <f>IFERROR(__xludf.DUMMYFUNCTION("""COMPUTED_VALUE"""),"Aliado")</f>
        <v>Aliado</v>
      </c>
      <c r="AI388" s="92" t="str">
        <f>IFERROR(__xludf.DUMMYFUNCTION("""COMPUTED_VALUE"""),"https://lh3.googleusercontent.com/pw/AP1GczPmbwOsiTlu5OcaWPvfR_YMqEE_tBHoMn6mwc0neHv4qL7yeNVyntVQNoKJKvTF7wCLbha2m8kQYj9HJ_sh8QP0VuNL0i2PwnDXvrCkICZeGOul6eyb=w1200|https://lh3.googleusercontent.com/pw/AP1GczPxWfxjLHlxzIx8DEeUPS9vZaxgQx5IIJ4bCtnvfE4hPh7B5G"&amp;"8JLQf8g3CD77h8TCtPY-tLnRXx_ORnSn0zr1vx_VPIMHhp0aruEKJa2iCcbTlwa4TY=w1200|https://lh3.googleusercontent.com/pw/AP1GczOIlUQwJdxx8_fUmCw_G5lWe3cGX_yA-BwcE_enQ4m78ts8W0aMvrIaY754f11o-M2_k4ffesgCrtbCQTWsAhELo6isY3pymij64XylE4dJsfqke7q-=w1200|https://lh3.google"&amp;"usercontent.com/pw/AP1GczOJOp8DZ8u_Eup1PyfNS-dRlz4vQ6j3CIrBEMLu5PCgrYUcdF-n2CsuapaPhT6vx10fdm1-II7u3tIgUMN4vIT_JW3g2Gv1zAjI2cgJ0ouZ5CdRzP5R=w1200|https://lh3.googleusercontent.com/pw/AP1GczNhR3FDTGeUfCn6RBFdz-aZhhKfSArUZ45nfUVoxCXmG6UhaYltPt5GOK-GqxgxnTEs"&amp;"WamRqqtaiX2Cu0faH6r3MuXqYEfIvb07CZkZIHqBpFNkuIa0=w1200|https://lh3.googleusercontent.com/pw/AP1GczPsh6SSZ7UV9VYtt_fpgs4tglZ8yu9XG0JOtjUr7MrqkYRYLF0DRcH0IjWjOnpRpdHxgq6qu2xhpd3P8yIsLAFIURFBC_d2K2rn_tmuD2Gf6w069E7A=w1200|https://lh3.googleusercontent.com/pw"&amp;"/AP1GczOjLJf_cjoW7YE7n5TR4e83ZaaN95laO6ooSqpVfpUwt-EwIwUmZuhLMVJ_z07yU3KYFYzbMzsE1kzfhS_reun0dbBp-rsIBWadFs230OIb8g4vP1YC=w1200|https://lh3.googleusercontent.com/pw/AP1GczP4rzQp0DOR8SCx5JUMRgDEDUC5cYlAFFZ2HJu_qp3L5GskOvOBWjQ1PzJErqvKL3ptZ2SHXSzSwrDgE_vthm"&amp;"CO2UoOphkijAJ5HWuzzLJrCMBcn-Rn=w1200|https://lh3.googleusercontent.com/pw/AP1GczPjmWkPe6cgxEk71LKv1W3YDsrKvSrWAxEarv3NyeerSo5u5JVvgCJ5Afu4rfIJunBBKWYmtLMtgpp4r4Jx9q9iWp1eSIufkrW0YgWCpTmOMIUwRIto=w1200|https://lh3.googleusercontent.com/pw/AP1GczM3mhxtAgAle"&amp;"-mtv5-B_9ZR7md9tUF2ifPlQ3ai_QLuO6YGbti7_SgfRFZnPpGID3ckVzgnN6vbvTcGhFhudVPaKyuuXdpzsty7ShPZYVDLwwuLwIxH=w1200|https://lh3.googleusercontent.com/pw/AP1GczOHQT40JN-r6kgsG-cTqNo2rRuAO6hwWZ6p0ccRVa0ov__0KwuOp9DeGFp0GopuUrjWKuFXIvLesC_paL0Sf_eZ54G36ZAgMApx2rZH"&amp;"5gKAqmvuxsrT=w1200|https://lh3.googleusercontent.com/pw/AP1GczP9IcTzbuce4cXpkRZ8VwAuEBcNXx2Ki1iTlZ5vc1mIMmfY1rSww8pzueOvUK-jcp_0a1kiFUNBSu4f66X--nsYQc8sI1P72H9WAWHsuZH6p_8MPimV=w1200")</f>
        <v>https://lh3.googleusercontent.com/pw/AP1GczPmbwOsiTlu5OcaWPvfR_YMqEE_tBHoMn6mwc0neHv4qL7yeNVyntVQNoKJKvTF7wCLbha2m8kQYj9HJ_sh8QP0VuNL0i2PwnDXvrCkICZeGOul6eyb=w1200|https://lh3.googleusercontent.com/pw/AP1GczPxWfxjLHlxzIx8DEeUPS9vZaxgQx5IIJ4bCtnvfE4hPh7B5G8JLQf8g3CD77h8TCtPY-tLnRXx_ORnSn0zr1vx_VPIMHhp0aruEKJa2iCcbTlwa4TY=w1200|https://lh3.googleusercontent.com/pw/AP1GczOIlUQwJdxx8_fUmCw_G5lWe3cGX_yA-BwcE_enQ4m78ts8W0aMvrIaY754f11o-M2_k4ffesgCrtbCQTWsAhELo6isY3pymij64XylE4dJsfqke7q-=w1200|https://lh3.googleusercontent.com/pw/AP1GczOJOp8DZ8u_Eup1PyfNS-dRlz4vQ6j3CIrBEMLu5PCgrYUcdF-n2CsuapaPhT6vx10fdm1-II7u3tIgUMN4vIT_JW3g2Gv1zAjI2cgJ0ouZ5CdRzP5R=w1200|https://lh3.googleusercontent.com/pw/AP1GczNhR3FDTGeUfCn6RBFdz-aZhhKfSArUZ45nfUVoxCXmG6UhaYltPt5GOK-GqxgxnTEsWamRqqtaiX2Cu0faH6r3MuXqYEfIvb07CZkZIHqBpFNkuIa0=w1200|https://lh3.googleusercontent.com/pw/AP1GczPsh6SSZ7UV9VYtt_fpgs4tglZ8yu9XG0JOtjUr7MrqkYRYLF0DRcH0IjWjOnpRpdHxgq6qu2xhpd3P8yIsLAFIURFBC_d2K2rn_tmuD2Gf6w069E7A=w1200|https://lh3.googleusercontent.com/pw/AP1GczOjLJf_cjoW7YE7n5TR4e83ZaaN95laO6ooSqpVfpUwt-EwIwUmZuhLMVJ_z07yU3KYFYzbMzsE1kzfhS_reun0dbBp-rsIBWadFs230OIb8g4vP1YC=w1200|https://lh3.googleusercontent.com/pw/AP1GczP4rzQp0DOR8SCx5JUMRgDEDUC5cYlAFFZ2HJu_qp3L5GskOvOBWjQ1PzJErqvKL3ptZ2SHXSzSwrDgE_vthmCO2UoOphkijAJ5HWuzzLJrCMBcn-Rn=w1200|https://lh3.googleusercontent.com/pw/AP1GczPjmWkPe6cgxEk71LKv1W3YDsrKvSrWAxEarv3NyeerSo5u5JVvgCJ5Afu4rfIJunBBKWYmtLMtgpp4r4Jx9q9iWp1eSIufkrW0YgWCpTmOMIUwRIto=w1200|https://lh3.googleusercontent.com/pw/AP1GczM3mhxtAgAle-mtv5-B_9ZR7md9tUF2ifPlQ3ai_QLuO6YGbti7_SgfRFZnPpGID3ckVzgnN6vbvTcGhFhudVPaKyuuXdpzsty7ShPZYVDLwwuLwIxH=w1200|https://lh3.googleusercontent.com/pw/AP1GczOHQT40JN-r6kgsG-cTqNo2rRuAO6hwWZ6p0ccRVa0ov__0KwuOp9DeGFp0GopuUrjWKuFXIvLesC_paL0Sf_eZ54G36ZAgMApx2rZH5gKAqmvuxsrT=w1200|https://lh3.googleusercontent.com/pw/AP1GczP9IcTzbuce4cXpkRZ8VwAuEBcNXx2Ki1iTlZ5vc1mIMmfY1rSww8pzueOvUK-jcp_0a1kiFUNBSu4f66X--nsYQc8sI1P72H9WAWHsuZH6p_8MPimV=w1200</v>
      </c>
      <c r="AJ388" s="46"/>
      <c r="AK388" s="46"/>
      <c r="AL388" s="46"/>
      <c r="AM388" s="46"/>
      <c r="AN388" s="46"/>
      <c r="AO388" s="46"/>
      <c r="AP388" s="46"/>
      <c r="AQ388" s="46"/>
      <c r="AR388" s="46"/>
      <c r="AS388" s="46"/>
      <c r="AT388" s="46"/>
      <c r="AU388" s="46"/>
      <c r="AV388" s="46"/>
      <c r="AW388" s="46"/>
      <c r="AX388" s="46"/>
      <c r="AY388" s="46"/>
      <c r="AZ388" s="46"/>
      <c r="BA388" s="46"/>
      <c r="BB388" s="46"/>
      <c r="BC388" s="46"/>
      <c r="BD388" s="46"/>
      <c r="BE388" s="46"/>
      <c r="BF388" s="46"/>
      <c r="BG388" s="46"/>
      <c r="BH388" s="46"/>
      <c r="BI388" s="46"/>
      <c r="BJ388" s="46"/>
      <c r="BK388" s="46"/>
      <c r="BL388" s="46"/>
      <c r="BM388" s="46"/>
      <c r="BN388" s="46"/>
      <c r="BO388" s="46"/>
      <c r="BP388" s="46"/>
      <c r="BQ388" s="46"/>
      <c r="BR388" s="46"/>
      <c r="BS388" s="46"/>
      <c r="BT388" s="46"/>
      <c r="BU388" s="46"/>
      <c r="BV388" s="46"/>
      <c r="BW388" s="46"/>
      <c r="BX388" s="46"/>
      <c r="BY388" s="46"/>
      <c r="BZ388" s="46"/>
      <c r="CA388" s="46"/>
      <c r="CB388" s="46"/>
      <c r="CC388" s="46"/>
    </row>
    <row r="389">
      <c r="A389" s="87" t="str">
        <f>IFERROR(__xludf.DUMMYFUNCTION("""COMPUTED_VALUE"""),"1324")</f>
        <v>1324</v>
      </c>
      <c r="B389" s="46" t="str">
        <f>IFERROR(__xludf.DUMMYFUNCTION("""COMPUTED_VALUE"""),"Apartamento en Conjunto Reservas de los Tulipanes - Sur")</f>
        <v>Apartamento en Conjunto Reservas de los Tulipanes - Sur</v>
      </c>
      <c r="C389" s="46" t="str">
        <f>IFERROR(__xludf.DUMMYFUNCTION("""COMPUTED_VALUE"""),"Apartamento en conjunto")</f>
        <v>Apartamento en conjunto</v>
      </c>
      <c r="D389" s="46"/>
      <c r="E389" s="46" t="str">
        <f>IFERROR(__xludf.DUMMYFUNCTION("""COMPUTED_VALUE"""),"Conjunto Reservas de los Tulipanes")</f>
        <v>Conjunto Reservas de los Tulipanes</v>
      </c>
      <c r="F389" s="90">
        <f>IFERROR(__xludf.DUMMYFUNCTION("""COMPUTED_VALUE"""),2.8E8)</f>
        <v>280000000</v>
      </c>
      <c r="G389" s="46" t="str">
        <f>IFERROR(__xludf.DUMMYFUNCTION("""COMPUTED_VALUE"""),"$200'000.000 a $300'000.000")</f>
        <v>$200'000.000 a $300'000.000</v>
      </c>
      <c r="H389" s="46"/>
      <c r="I389" s="46"/>
      <c r="J389" s="46" t="str">
        <f>IFERROR(__xludf.DUMMYFUNCTION("""COMPUTED_VALUE"""),"Sur")</f>
        <v>Sur</v>
      </c>
      <c r="K389" s="87"/>
      <c r="L389" s="46">
        <f>IFERROR(__xludf.DUMMYFUNCTION("""COMPUTED_VALUE"""),3.0)</f>
        <v>3</v>
      </c>
      <c r="M389" s="46"/>
      <c r="N389" s="46">
        <f>IFERROR(__xludf.DUMMYFUNCTION("""COMPUTED_VALUE"""),2.0)</f>
        <v>2</v>
      </c>
      <c r="O389" s="46">
        <f>IFERROR(__xludf.DUMMYFUNCTION("""COMPUTED_VALUE"""),1.0)</f>
        <v>1</v>
      </c>
      <c r="P389" s="46">
        <f>IFERROR(__xludf.DUMMYFUNCTION("""COMPUTED_VALUE"""),10.0)</f>
        <v>10</v>
      </c>
      <c r="Q389" s="92">
        <f>IFERROR(__xludf.DUMMYFUNCTION("""COMPUTED_VALUE"""),92.0)</f>
        <v>92</v>
      </c>
      <c r="R389" s="92">
        <f>IFERROR(__xludf.DUMMYFUNCTION("""COMPUTED_VALUE"""),92.0)</f>
        <v>92</v>
      </c>
      <c r="S389" s="87" t="str">
        <f>IFERROR(__xludf.DUMMYFUNCTION("""COMPUTED_VALUE""")," ")</f>
        <v> </v>
      </c>
      <c r="T389" s="46" t="str">
        <f>IFERROR(__xludf.DUMMYFUNCTION("""COMPUTED_VALUE"""),"Neiva")</f>
        <v>Neiva</v>
      </c>
      <c r="U389" s="87" t="str">
        <f>IFERROR(__xludf.DUMMYFUNCTION("""COMPUTED_VALUE"""),"4")</f>
        <v>4</v>
      </c>
      <c r="V389" s="46" t="str">
        <f>IFERROR(__xludf.DUMMYFUNCTION("""COMPUTED_VALUE"""),"10mo.")</f>
        <v>10mo.</v>
      </c>
      <c r="W389" s="46"/>
      <c r="X389" s="46">
        <f>IFERROR(__xludf.DUMMYFUNCTION("""COMPUTED_VALUE"""),3.0)</f>
        <v>3</v>
      </c>
      <c r="Y389" s="46" t="str">
        <f>IFERROR(__xludf.DUMMYFUNCTION("""COMPUTED_VALUE"""),"Social")</f>
        <v>Social</v>
      </c>
      <c r="Z389" s="90">
        <f>IFERROR(__xludf.DUMMYFUNCTION("""COMPUTED_VALUE"""),311000.0)</f>
        <v>311000</v>
      </c>
      <c r="AA389" s="33" t="str">
        <f>IFERROR(__xludf.DUMMYFUNCTION("""COMPUTED_VALUE"""),"No aplica")</f>
        <v>No aplica</v>
      </c>
      <c r="AB389" s="96" t="str">
        <f>IFERROR(__xludf.DUMMYFUNCTION("""COMPUTED_VALUE"""),"https://photos.app.goo.gl/UZ96JkH82z5knv1B7")</f>
        <v>https://photos.app.goo.gl/UZ96JkH82z5knv1B7</v>
      </c>
      <c r="AC389" s="46" t="str">
        <f>IFERROR(__xludf.DUMMYFUNCTION("""COMPUTED_VALUE"""),"El Apartamento cuenta con buenos acabados. Distribución:  tres habitaciones, todas con clóset en madera; la habitación principal dispone de baño privado, además de baño auxiliar. Dispone de sala comedor, espacio para estudio, cocina integral y zona de lav"&amp;"andería independiente.")</f>
        <v>El Apartamento cuenta con buenos acabados. Distribución:  tres habitaciones, todas con clóset en madera; la habitación principal dispone de baño privado, además de baño auxiliar. Dispone de sala comedor, espacio para estudio, cocina integral y zona de lavandería independiente.</v>
      </c>
      <c r="AD389" s="46" t="str">
        <f>IFERROR(__xludf.DUMMYFUNCTION("""COMPUTED_VALUE"""),"Apartamento en el conjunto Reservas de los Tulipanes, ubicado en décimo piso, con parqueadero privado cubierto. El conjunto ofrece vigilancia privada 24 horas y completas zonas comunes como piscina, parques infantiles, polideportivo, gimnasio y salón soci"&amp;"al. Estrato 4.")</f>
        <v>Apartamento en el conjunto Reservas de los Tulipanes, ubicado en décimo piso, con parqueadero privado cubierto. El conjunto ofrece vigilancia privada 24 horas y completas zonas comunes como piscina, parques infantiles, polideportivo, gimnasio y salón social. Estrato 4.</v>
      </c>
      <c r="AE389" s="46"/>
      <c r="AF389" s="46" t="str">
        <f>IFERROR(__xludf.DUMMYFUNCTION("""COMPUTED_VALUE"""),"integral")</f>
        <v>integral</v>
      </c>
      <c r="AG389" s="46"/>
      <c r="AH389" s="46" t="str">
        <f>IFERROR(__xludf.DUMMYFUNCTION("""COMPUTED_VALUE"""),"Aliado")</f>
        <v>Aliado</v>
      </c>
      <c r="AI389" s="92" t="str">
        <f>IFERROR(__xludf.DUMMYFUNCTION("""COMPUTED_VALUE"""),"https://lh3.googleusercontent.com/pw/AP1GczNWEv_pplB2jJSWZzdR24Oelgza39uBiFFtsQuzmExbF0f1ZXrT_fmby4GvSzudB9lX_2UX_QyoymgY3yyJmRmC7V7Ew8ovcLKPsyk_HTu-oxrDtNaw=w1200|https://lh3.googleusercontent.com/pw/AP1GczOQBEfueLQJTJS-EHNWF8-AVvo-n-NP989CqfgTzSh5Ha2BNu"&amp;"tm41jFSubqJRP-lK9S7VU3by6WOv9jrmfVG--2KSgE9jAgkOwUCWfMRf987BQHdKQe=w1200|https://lh3.googleusercontent.com/pw/AP1GczOpycUNUpJFbuO-MmlRvRVRFO_R_1rpHJkdQ4yGdcpOW22tqqvsRuepVAWAgUpk1G7DIzUcXkdwNNw_seL_x16GjOwEZMUpqYynhxXbhVw5kOJ5j1j9=w1200|https://lh3.google"&amp;"usercontent.com/pw/AP1GczM6b8VZNNrjtXahIi0m-MYSkyggkLdUxFbgf2XfhSxILMCJAoQWWKBGvQt-Z_nJp65yIJPMw3EQRXfmCnpZ01w_8yVwdj0qMIW1w9Z-AC5RaH_2b4tP=w1200|https://lh3.googleusercontent.com/pw/AP1GczM169zOKyZLkVux0IcDYv2U-i7GtdzvRRb3s-YR78fzPoMFb5aBkyxDd_YBJWimkVsl"&amp;"6WEOj-q0kdP_nMAK4ZZSnrnbU6obNTuZy4EbHz-H1Ao6EAEA=w1200|https://lh3.googleusercontent.com/pw/AP1GczPxenQ-tdEwP6psJwWyN9GjcEACup4Fi9PsdvoSHpBtnJoGvoVZWwdui33UltWg_eNtIPFurekUUJoRmCIb4kOxzpkbsgzV0-_f0mMqcEufMuRuRSHU=w1200|https://lh3.googleusercontent.com/pw"&amp;"/AP1GczOTNHdypCBeoS1Kycp03pg2J7Npl5MGue5OFp3V_ceyAVzQFs_-Xtx2Oj2HJD3sLVwxjGPZlM_EAGDoRg-MVlmZHJSBcG0lWv3129GvSzLrZqtgs9ax=w1200|https://lh3.googleusercontent.com/pw/AP1GczMA_rt1FjtlEls_A7UOGgeHdnHvhT-pVQyupObzrEz4VaDnyuR6GJjn8HXawEwrwZcnWK7gT54GtwoxlGqAlM"&amp;"pEQ00lZb-Lpi9vPbPbG6dXPmKdJ7xL=w1200|https://lh3.googleusercontent.com/pw/AP1GczO1qwLHF8GEzWrVKML9cIgxOPgsA7eZYQLPv-uRmCNhM99JH0YRZwVJnH-iXpPsmIygIMHg8Wzu0qk6Nv0KF8vICJ9dUM0_qKQT7s2B_0tYOMomAsCQ=w1200|https://lh3.googleusercontent.com/pw/AP1GczN702w6HaZrC"&amp;"c01_qOOSsl9dZJYpve1hg9IMPVy44YiP52IOmjMSMDlu-mxnDpHe9vYF8kknyDtGVHRlzxCGkVpgIc645yPec1VozOpeTXsNuIpAIdE=w1200|https://lh3.googleusercontent.com/pw/AP1GczPGbzRss2M-luq1h2_XrnyQpCb5tGlyX5_yJbfZsfO_tTUbr6nL0dUtGZVxoX_et7D2p9XIEUiybhFCw5gJfSBE8MaCRvjBNFqdeKvG"&amp;"EHLBR0vvwMYU=w1200|https://lh3.googleusercontent.com/pw/AP1GczMxiCJr1_Ah8W-9ppkJk78_2HRODvyHuV2SGSzEgDe7_pWcA-dFIaZHzpFCBKbet6ZM_yXDbeebCM3aGalGPwZ16g-2mgd25atNCftf4hMjfAcS07-G=w1200|https://lh3.googleusercontent.com/pw/AP1GczMN2GuBzg8r0l5fBXC-FC6q7p83isL"&amp;"21BRyJ6BoA_Afgx336JwtAkqBTu24v6B9G81WwTKAVpokKoXugh5mZiA_-CGcNsWulmmK06t5Y9cc8QUrRRA9=w1200|https://lh3.googleusercontent.com/pw/AP1GczPAuhoU_NPRsOwUXBMwedXgtHOj5QO_5wamJpobnwJpQNVjVuL6fpz2GST8Hz3Wy5cXsd2zvEuKfD6_DgSX1YBezzoAJ0MdGPP_Jq47N6DOyck53XrL=w1200"&amp;"|https://lh3.googleusercontent.com/pw/AP1GczNCteMxUQuwyqDF6fk2kAt7R1byDxrZUgJviYaPqfA0jy5PPdzGGBGO9CtQYkji4lskUfOqaNl3hZ3l_EKYbuheWWVApcAP4kadNUnksSnAjPv3PJnK=w1200|https://lh3.googleusercontent.com/pw/AP1GczNoaUet6HxUCISUX12FqANMANwOEBLZy1qm3XjvUYReuH2-B"&amp;"A970-yn66evtrvXiMoswfw0BLjALFWbWkzpwArplqb_OXGVp3dykPrGajsQfHjkMGyK=w1200|https://lh3.googleusercontent.com/pw/AP1GczOu7yQpCkQd5VXp3gjvdZGAa5npJspba6IvK-ZazbAe3ik0KqY6FHMl7NCADAzs4uAFChN14DJML7Mva1VS80PLwnq7MnyQKk7zxpWQkJBMofup42ar=w1200|https://lh3.googl"&amp;"eusercontent.com/pw/AP1GczNs3s---j0pNczKShg4Rwashb3sA3kZjYmN57KGWMdgdlQYZNFNfToLKmoihbhjTjM7xWrha5IWWeS_FSAetrooyv9fKkf7U7Sg_Ui6LKg4-2z8zwhK=w1200|https://lh3.googleusercontent.com/pw/AP1GczPiA55J1mBEG1VbDdd6Cta_C5G-sFBUYJUQiHTMPVtsNpXt2fw2wWWD7nW_2NAMr6v"&amp;"bNfnmUmkxNfUrL9q4t6MCEt8IKlwWCQpd8DH4XN0kdbL9ATyd=w1200|https://lh3.googleusercontent.com/pw/AP1GczO9_8-SEjhfdJVndqvJJqUCKuXdjvcOYqkU296T3wdt_keR3mMNm59mrukKJI_g6jCfIkEnhNShEBOGwtTgsQFrZk7G80AC-WSmeX92FlvDdTMO7ZHu=w1200|https://lh3.googleusercontent.com/p"&amp;"w/AP1GczM60wiVdVMq9AyHu_qnLTJ4Q3WzDGfZRdn3TMqT7Nb7qcfTk2p8_YAtaYdDpG4HNKQHkZ4AjlaCIvzg9uDior5sBUsICXpl04k64mnNgnHsYewa768F=w1200|https://lh3.googleusercontent.com/pw/AP1GczOuXfIZ1uNSiOBYuiriXQFa2Vk1mavhRG4SeMoepc-DG8avGBnFR6V6yruZSqKNDLtm0GhCHEPcYvJqD1Tgr"&amp;"Q4yHy09aAA0XASYryAjsIVXVjh3FcSR=w1200|https://lh3.googleusercontent.com/pw/AP1GczP1E0f9NuJ4xaKIlHVF1YO7RLxHM5dBo3vO4pqsMCuK7tMriPC8VwhMjoYHJMSiNiUsRj9__o9Ua9Mq_JgGLHiAkr9kjmyHQJA2KiwwFMijJNM0M2hS=w1200|https://lh3.googleusercontent.com/pw/AP1GczNT4WXqFnpf"&amp;"rtQvV7vrGWQxw1mVq93h0U66DgZml951zGtW6Uq49vJ-AeEKcU08PiMKLyJOaYZJHRklI2MchfzQ1odW6TB9E-oPsbACIHoBjszNEeF9=w1200|https://lh3.googleusercontent.com/pw/AP1GczMJX0BJbwo5-Fat22VPuiTcUTUvSoL-Ps5c7DjGYGl59HdAZQdZ_UQT-P4lCTvhaC2nfK3ZRGh8b3BcUPfhIkmOl_TTt8PDM9-jKff"&amp;"px3zwKlufpu7X=w1200|https://lh3.googleusercontent.com/pw/AP1GczNOEXVhCGSc-pmxWg4stnVLuFBRwOkbshVa_nOPJAQFjmM-UceeTmgHUgWt68xAC7WPI9TExuAhPdCkr4Bwk1c0lRSjmNdi4TdkiOGqK4TL17tZ82wI=w1200|https://lh3.googleusercontent.com/pw/AP1GczP3cL7X6T9bueRM3TCCMYopm72iIO"&amp;"yegFgLuUf2QNCrln7yl-oqLqeKwyvbvBbsvFdVwsWBQRmPKPfw2AMs5VRlePhbCojLdJhJBT7mXSIOr7nkKEdU=w1200|https://lh3.googleusercontent.com/pw/AP1GczPCv6r9TcPxeEkeC4L-U8Xzgr4jyACerx1HxbNJjH7yj7D-qe-cuo2UyKmX5Jx1jSaHNc_0NgPaFodGoeF8_xnhjiSfQKdwOI_Nc0BWJKxc2HQNjko-=w120"&amp;"0|https://lh3.googleusercontent.com/pw/AP1GczOaRiR-361Akc-mHxoYK1e-RKpKkZ6xXxv4520hHGr--TbaLA2fs0qPRUgxHqP-CKiYXLg5Ndvp4vwLI0bD_KD2fe-OwsJk7Oxsz0MVCvEb_kO5k4km=w1200|https://lh3.googleusercontent.com/pw/AP1GczPKOPLDYILWhO2WDBeFLlrnQ-7y8-23rASV6QmUWYBd4xpd"&amp;"fYZ6jkF_Os52ATlaqADiT8qIy8X1mrpBWIkHYHJKwjxcCN-d8ZdqBIh1Xn2tcwyRc4sn=w1200|https://lh3.googleusercontent.com/pw/AP1GczNS5fknmnXkzHPv6cJ99f624aT-csS_MpXUXrPDTSonF59HGIPYALTsn3qR1w3bvbarKS5G8jy7OxgBfKVycOLOdIJf2hHSFGZI7k0rZOQc5z1lESg7=w1200|https://lh3.goog"&amp;"leusercontent.com/pw/AP1GczOicsSwDAfPs7UAT4pEgHNh4rc_epVzSYxg2WLcmrrVCbO7W1hkUrtrvk6idWyubj-nwHEs6cp6Pt5-8RfkUMTntbOeIFcxH9UfbSgsJJWuHcZBoR-O=w1200|https://lh3.googleusercontent.com/pw/AP1GczMQxsPfhh398j0zaGnzegZbW3B6tyD3h5hp93sWmuFXKSlDKxAxzlRLKqJEqq47ZB"&amp;"Xt21wGOR_80Fz0Uu98Xzlk0ZRYcMcIm_2NqXABT2QlGVvNhW55=w1200")</f>
        <v>https://lh3.googleusercontent.com/pw/AP1GczNWEv_pplB2jJSWZzdR24Oelgza39uBiFFtsQuzmExbF0f1ZXrT_fmby4GvSzudB9lX_2UX_QyoymgY3yyJmRmC7V7Ew8ovcLKPsyk_HTu-oxrDtNaw=w1200|https://lh3.googleusercontent.com/pw/AP1GczOQBEfueLQJTJS-EHNWF8-AVvo-n-NP989CqfgTzSh5Ha2BNutm41jFSubqJRP-lK9S7VU3by6WOv9jrmfVG--2KSgE9jAgkOwUCWfMRf987BQHdKQe=w1200|https://lh3.googleusercontent.com/pw/AP1GczOpycUNUpJFbuO-MmlRvRVRFO_R_1rpHJkdQ4yGdcpOW22tqqvsRuepVAWAgUpk1G7DIzUcXkdwNNw_seL_x16GjOwEZMUpqYynhxXbhVw5kOJ5j1j9=w1200|https://lh3.googleusercontent.com/pw/AP1GczM6b8VZNNrjtXahIi0m-MYSkyggkLdUxFbgf2XfhSxILMCJAoQWWKBGvQt-Z_nJp65yIJPMw3EQRXfmCnpZ01w_8yVwdj0qMIW1w9Z-AC5RaH_2b4tP=w1200|https://lh3.googleusercontent.com/pw/AP1GczM169zOKyZLkVux0IcDYv2U-i7GtdzvRRb3s-YR78fzPoMFb5aBkyxDd_YBJWimkVsl6WEOj-q0kdP_nMAK4ZZSnrnbU6obNTuZy4EbHz-H1Ao6EAEA=w1200|https://lh3.googleusercontent.com/pw/AP1GczPxenQ-tdEwP6psJwWyN9GjcEACup4Fi9PsdvoSHpBtnJoGvoVZWwdui33UltWg_eNtIPFurekUUJoRmCIb4kOxzpkbsgzV0-_f0mMqcEufMuRuRSHU=w1200|https://lh3.googleusercontent.com/pw/AP1GczOTNHdypCBeoS1Kycp03pg2J7Npl5MGue5OFp3V_ceyAVzQFs_-Xtx2Oj2HJD3sLVwxjGPZlM_EAGDoRg-MVlmZHJSBcG0lWv3129GvSzLrZqtgs9ax=w1200|https://lh3.googleusercontent.com/pw/AP1GczMA_rt1FjtlEls_A7UOGgeHdnHvhT-pVQyupObzrEz4VaDnyuR6GJjn8HXawEwrwZcnWK7gT54GtwoxlGqAlMpEQ00lZb-Lpi9vPbPbG6dXPmKdJ7xL=w1200|https://lh3.googleusercontent.com/pw/AP1GczO1qwLHF8GEzWrVKML9cIgxOPgsA7eZYQLPv-uRmCNhM99JH0YRZwVJnH-iXpPsmIygIMHg8Wzu0qk6Nv0KF8vICJ9dUM0_qKQT7s2B_0tYOMomAsCQ=w1200|https://lh3.googleusercontent.com/pw/AP1GczN702w6HaZrCc01_qOOSsl9dZJYpve1hg9IMPVy44YiP52IOmjMSMDlu-mxnDpHe9vYF8kknyDtGVHRlzxCGkVpgIc645yPec1VozOpeTXsNuIpAIdE=w1200|https://lh3.googleusercontent.com/pw/AP1GczPGbzRss2M-luq1h2_XrnyQpCb5tGlyX5_yJbfZsfO_tTUbr6nL0dUtGZVxoX_et7D2p9XIEUiybhFCw5gJfSBE8MaCRvjBNFqdeKvGEHLBR0vvwMYU=w1200|https://lh3.googleusercontent.com/pw/AP1GczMxiCJr1_Ah8W-9ppkJk78_2HRODvyHuV2SGSzEgDe7_pWcA-dFIaZHzpFCBKbet6ZM_yXDbeebCM3aGalGPwZ16g-2mgd25atNCftf4hMjfAcS07-G=w1200|https://lh3.googleusercontent.com/pw/AP1GczMN2GuBzg8r0l5fBXC-FC6q7p83isL21BRyJ6BoA_Afgx336JwtAkqBTu24v6B9G81WwTKAVpokKoXugh5mZiA_-CGcNsWulmmK06t5Y9cc8QUrRRA9=w1200|https://lh3.googleusercontent.com/pw/AP1GczPAuhoU_NPRsOwUXBMwedXgtHOj5QO_5wamJpobnwJpQNVjVuL6fpz2GST8Hz3Wy5cXsd2zvEuKfD6_DgSX1YBezzoAJ0MdGPP_Jq47N6DOyck53XrL=w1200|https://lh3.googleusercontent.com/pw/AP1GczNCteMxUQuwyqDF6fk2kAt7R1byDxrZUgJviYaPqfA0jy5PPdzGGBGO9CtQYkji4lskUfOqaNl3hZ3l_EKYbuheWWVApcAP4kadNUnksSnAjPv3PJnK=w1200|https://lh3.googleusercontent.com/pw/AP1GczNoaUet6HxUCISUX12FqANMANwOEBLZy1qm3XjvUYReuH2-BA970-yn66evtrvXiMoswfw0BLjALFWbWkzpwArplqb_OXGVp3dykPrGajsQfHjkMGyK=w1200|https://lh3.googleusercontent.com/pw/AP1GczOu7yQpCkQd5VXp3gjvdZGAa5npJspba6IvK-ZazbAe3ik0KqY6FHMl7NCADAzs4uAFChN14DJML7Mva1VS80PLwnq7MnyQKk7zxpWQkJBMofup42ar=w1200|https://lh3.googleusercontent.com/pw/AP1GczNs3s---j0pNczKShg4Rwashb3sA3kZjYmN57KGWMdgdlQYZNFNfToLKmoihbhjTjM7xWrha5IWWeS_FSAetrooyv9fKkf7U7Sg_Ui6LKg4-2z8zwhK=w1200|https://lh3.googleusercontent.com/pw/AP1GczPiA55J1mBEG1VbDdd6Cta_C5G-sFBUYJUQiHTMPVtsNpXt2fw2wWWD7nW_2NAMr6vbNfnmUmkxNfUrL9q4t6MCEt8IKlwWCQpd8DH4XN0kdbL9ATyd=w1200|https://lh3.googleusercontent.com/pw/AP1GczO9_8-SEjhfdJVndqvJJqUCKuXdjvcOYqkU296T3wdt_keR3mMNm59mrukKJI_g6jCfIkEnhNShEBOGwtTgsQFrZk7G80AC-WSmeX92FlvDdTMO7ZHu=w1200|https://lh3.googleusercontent.com/pw/AP1GczM60wiVdVMq9AyHu_qnLTJ4Q3WzDGfZRdn3TMqT7Nb7qcfTk2p8_YAtaYdDpG4HNKQHkZ4AjlaCIvzg9uDior5sBUsICXpl04k64mnNgnHsYewa768F=w1200|https://lh3.googleusercontent.com/pw/AP1GczOuXfIZ1uNSiOBYuiriXQFa2Vk1mavhRG4SeMoepc-DG8avGBnFR6V6yruZSqKNDLtm0GhCHEPcYvJqD1TgrQ4yHy09aAA0XASYryAjsIVXVjh3FcSR=w1200|https://lh3.googleusercontent.com/pw/AP1GczP1E0f9NuJ4xaKIlHVF1YO7RLxHM5dBo3vO4pqsMCuK7tMriPC8VwhMjoYHJMSiNiUsRj9__o9Ua9Mq_JgGLHiAkr9kjmyHQJA2KiwwFMijJNM0M2hS=w1200|https://lh3.googleusercontent.com/pw/AP1GczNT4WXqFnpfrtQvV7vrGWQxw1mVq93h0U66DgZml951zGtW6Uq49vJ-AeEKcU08PiMKLyJOaYZJHRklI2MchfzQ1odW6TB9E-oPsbACIHoBjszNEeF9=w1200|https://lh3.googleusercontent.com/pw/AP1GczMJX0BJbwo5-Fat22VPuiTcUTUvSoL-Ps5c7DjGYGl59HdAZQdZ_UQT-P4lCTvhaC2nfK3ZRGh8b3BcUPfhIkmOl_TTt8PDM9-jKffpx3zwKlufpu7X=w1200|https://lh3.googleusercontent.com/pw/AP1GczNOEXVhCGSc-pmxWg4stnVLuFBRwOkbshVa_nOPJAQFjmM-UceeTmgHUgWt68xAC7WPI9TExuAhPdCkr4Bwk1c0lRSjmNdi4TdkiOGqK4TL17tZ82wI=w1200|https://lh3.googleusercontent.com/pw/AP1GczP3cL7X6T9bueRM3TCCMYopm72iIOyegFgLuUf2QNCrln7yl-oqLqeKwyvbvBbsvFdVwsWBQRmPKPfw2AMs5VRlePhbCojLdJhJBT7mXSIOr7nkKEdU=w1200|https://lh3.googleusercontent.com/pw/AP1GczPCv6r9TcPxeEkeC4L-U8Xzgr4jyACerx1HxbNJjH7yj7D-qe-cuo2UyKmX5Jx1jSaHNc_0NgPaFodGoeF8_xnhjiSfQKdwOI_Nc0BWJKxc2HQNjko-=w1200|https://lh3.googleusercontent.com/pw/AP1GczOaRiR-361Akc-mHxoYK1e-RKpKkZ6xXxv4520hHGr--TbaLA2fs0qPRUgxHqP-CKiYXLg5Ndvp4vwLI0bD_KD2fe-OwsJk7Oxsz0MVCvEb_kO5k4km=w1200|https://lh3.googleusercontent.com/pw/AP1GczPKOPLDYILWhO2WDBeFLlrnQ-7y8-23rASV6QmUWYBd4xpdfYZ6jkF_Os52ATlaqADiT8qIy8X1mrpBWIkHYHJKwjxcCN-d8ZdqBIh1Xn2tcwyRc4sn=w1200|https://lh3.googleusercontent.com/pw/AP1GczNS5fknmnXkzHPv6cJ99f624aT-csS_MpXUXrPDTSonF59HGIPYALTsn3qR1w3bvbarKS5G8jy7OxgBfKVycOLOdIJf2hHSFGZI7k0rZOQc5z1lESg7=w1200|https://lh3.googleusercontent.com/pw/AP1GczOicsSwDAfPs7UAT4pEgHNh4rc_epVzSYxg2WLcmrrVCbO7W1hkUrtrvk6idWyubj-nwHEs6cp6Pt5-8RfkUMTntbOeIFcxH9UfbSgsJJWuHcZBoR-O=w1200|https://lh3.googleusercontent.com/pw/AP1GczMQxsPfhh398j0zaGnzegZbW3B6tyD3h5hp93sWmuFXKSlDKxAxzlRLKqJEqq47ZBXt21wGOR_80Fz0Uu98Xzlk0ZRYcMcIm_2NqXABT2QlGVvNhW55=w1200</v>
      </c>
      <c r="AJ389" s="46"/>
      <c r="AK389" s="46"/>
      <c r="AL389" s="46"/>
      <c r="AM389" s="46"/>
      <c r="AN389" s="46"/>
      <c r="AO389" s="46"/>
      <c r="AP389" s="46"/>
      <c r="AQ389" s="46"/>
      <c r="AR389" s="46"/>
      <c r="AS389" s="46"/>
      <c r="AT389" s="46"/>
      <c r="AU389" s="46"/>
      <c r="AV389" s="46"/>
      <c r="AW389" s="46"/>
      <c r="AX389" s="46"/>
      <c r="AY389" s="46"/>
      <c r="AZ389" s="46"/>
      <c r="BA389" s="46"/>
      <c r="BB389" s="46"/>
      <c r="BC389" s="46"/>
      <c r="BD389" s="46"/>
      <c r="BE389" s="46"/>
      <c r="BF389" s="46"/>
      <c r="BG389" s="46"/>
      <c r="BH389" s="46"/>
      <c r="BI389" s="46"/>
      <c r="BJ389" s="46"/>
      <c r="BK389" s="46"/>
      <c r="BL389" s="46"/>
      <c r="BM389" s="46"/>
      <c r="BN389" s="46"/>
      <c r="BO389" s="46"/>
      <c r="BP389" s="46"/>
      <c r="BQ389" s="46"/>
      <c r="BR389" s="46"/>
      <c r="BS389" s="46"/>
      <c r="BT389" s="46"/>
      <c r="BU389" s="46"/>
      <c r="BV389" s="46"/>
      <c r="BW389" s="46"/>
      <c r="BX389" s="46"/>
      <c r="BY389" s="46"/>
      <c r="BZ389" s="46"/>
      <c r="CA389" s="46"/>
      <c r="CB389" s="46"/>
      <c r="CC389" s="46"/>
    </row>
    <row r="390">
      <c r="A390" s="87" t="str">
        <f>IFERROR(__xludf.DUMMYFUNCTION("""COMPUTED_VALUE"""),"1110")</f>
        <v>1110</v>
      </c>
      <c r="B390" s="46" t="str">
        <f>IFERROR(__xludf.DUMMYFUNCTION("""COMPUTED_VALUE"""),"Casa más apartamento independiente en barrio Villa del río")</f>
        <v>Casa más apartamento independiente en barrio Villa del río</v>
      </c>
      <c r="C390" s="46" t="str">
        <f>IFERROR(__xludf.DUMMYFUNCTION("""COMPUTED_VALUE"""),"Casa rentable")</f>
        <v>Casa rentable</v>
      </c>
      <c r="D390" s="46" t="str">
        <f>IFERROR(__xludf.DUMMYFUNCTION("""COMPUTED_VALUE"""),"Villa del río")</f>
        <v>Villa del río</v>
      </c>
      <c r="E390" s="46"/>
      <c r="F390" s="90">
        <f>IFERROR(__xludf.DUMMYFUNCTION("""COMPUTED_VALUE"""),2.7E8)</f>
        <v>270000000</v>
      </c>
      <c r="G390" s="46" t="str">
        <f>IFERROR(__xludf.DUMMYFUNCTION("""COMPUTED_VALUE"""),"$200'000.000 a $300'000.000")</f>
        <v>$200'000.000 a $300'000.000</v>
      </c>
      <c r="H390" s="46"/>
      <c r="I390" s="46"/>
      <c r="J390" s="46" t="str">
        <f>IFERROR(__xludf.DUMMYFUNCTION("""COMPUTED_VALUE"""),"Occidente")</f>
        <v>Occidente</v>
      </c>
      <c r="K390" s="87"/>
      <c r="L390" s="46">
        <f>IFERROR(__xludf.DUMMYFUNCTION("""COMPUTED_VALUE"""),4.0)</f>
        <v>4</v>
      </c>
      <c r="M390" s="46"/>
      <c r="N390" s="46">
        <f>IFERROR(__xludf.DUMMYFUNCTION("""COMPUTED_VALUE"""),2.0)</f>
        <v>2</v>
      </c>
      <c r="O390" s="46">
        <f>IFERROR(__xludf.DUMMYFUNCTION("""COMPUTED_VALUE"""),2.0)</f>
        <v>2</v>
      </c>
      <c r="P390" s="46">
        <f>IFERROR(__xludf.DUMMYFUNCTION("""COMPUTED_VALUE"""),2.0)</f>
        <v>2</v>
      </c>
      <c r="Q390" s="92">
        <f>IFERROR(__xludf.DUMMYFUNCTION("""COMPUTED_VALUE"""),140.0)</f>
        <v>140</v>
      </c>
      <c r="R390" s="92">
        <f>IFERROR(__xludf.DUMMYFUNCTION("""COMPUTED_VALUE"""),84.0)</f>
        <v>84</v>
      </c>
      <c r="S390" s="87" t="str">
        <f>IFERROR(__xludf.DUMMYFUNCTION("""COMPUTED_VALUE"""),"Rentabilidad $1,100,000")</f>
        <v>Rentabilidad $1,100,000</v>
      </c>
      <c r="T390" s="46" t="str">
        <f>IFERROR(__xludf.DUMMYFUNCTION("""COMPUTED_VALUE"""),"Neiva")</f>
        <v>Neiva</v>
      </c>
      <c r="U390" s="87" t="str">
        <f>IFERROR(__xludf.DUMMYFUNCTION("""COMPUTED_VALUE"""),"3")</f>
        <v>3</v>
      </c>
      <c r="V390" s="46" t="str">
        <f>IFERROR(__xludf.DUMMYFUNCTION("""COMPUTED_VALUE"""),"Medianera")</f>
        <v>Medianera</v>
      </c>
      <c r="W390" s="46"/>
      <c r="X390" s="46">
        <f>IFERROR(__xludf.DUMMYFUNCTION("""COMPUTED_VALUE"""),4.0)</f>
        <v>4</v>
      </c>
      <c r="Y390" s="46" t="str">
        <f>IFERROR(__xludf.DUMMYFUNCTION("""COMPUTED_VALUE"""),"No tiene")</f>
        <v>No tiene</v>
      </c>
      <c r="Z390" s="90" t="str">
        <f>IFERROR(__xludf.DUMMYFUNCTION("""COMPUTED_VALUE"""),"No aplica")</f>
        <v>No aplica</v>
      </c>
      <c r="AA390" s="33"/>
      <c r="AB390" s="144" t="str">
        <f>IFERROR(__xludf.DUMMYFUNCTION("""COMPUTED_VALUE"""),"https://photos.app.goo.gl/NjLHTuXuMHnnmTeW8")</f>
        <v>https://photos.app.goo.gl/NjLHTuXuMHnnmTeW8</v>
      </c>
      <c r="AC390" s="46" t="str">
        <f>IFERROR(__xludf.DUMMYFUNCTION("""COMPUTED_VALUE"""),"Casa rentable con buenos acabados, cada apartamento con 2 habitaciones y closet, piso en cerámica, cerámica antideslizante, divisiones en acrílico, carpintería marcos, puertas y closet en madera.")</f>
        <v>Casa rentable con buenos acabados, cada apartamento con 2 habitaciones y closet, piso en cerámica, cerámica antideslizante, divisiones en acrílico, carpintería marcos, puertas y closet en madera.</v>
      </c>
      <c r="AD390" s="46" t="str">
        <f>IFERROR(__xludf.DUMMYFUNCTION("""COMPUTED_VALUE"""),"Casa ubicada sobre vía vehicular amplia, cuenta con reja antejardín independiente y cubierta. Con servicios públicos independientes. Escritura al día.")</f>
        <v>Casa ubicada sobre vía vehicular amplia, cuenta con reja antejardín independiente y cubierta. Con servicios públicos independientes. Escritura al día.</v>
      </c>
      <c r="AE390" s="46"/>
      <c r="AF390" s="46" t="str">
        <f>IFERROR(__xludf.DUMMYFUNCTION("""COMPUTED_VALUE"""),"semi-integral")</f>
        <v>semi-integral</v>
      </c>
      <c r="AG390" s="46"/>
      <c r="AH390" s="46" t="str">
        <f>IFERROR(__xludf.DUMMYFUNCTION("""COMPUTED_VALUE"""),"Aliado")</f>
        <v>Aliado</v>
      </c>
      <c r="AI390" s="92" t="str">
        <f>IFERROR(__xludf.DUMMYFUNCTION("""COMPUTED_VALUE"""),"https://lh3.googleusercontent.com/pw/AP1GczOu7LPIInE7fc_waoMpS7zF12d20u8s7T9IDtBU-hgW1z_82W8GcF9trzDOAau9lWV1VGslT34COTSiXDbsnmbcLDsR9VwFMTfXo4rkXEBEagsx9jsC=w1200|https://lh3.googleusercontent.com/pw/AP1GczMonw-cX09A3g3gAl_-EXjeHLWZTXfdsKFa16FQp6GboQp4Ne"&amp;"OKjVhgfPFXXklOm0Mdb058feqFxmx68CiDa1OH5o_5d3cT_aSe0SBK0wWFJABeyTIg=w1200|https://lh3.googleusercontent.com/pw/AP1GczOe-w72av2k7kRlSNa3_cDcAznWdckIRRZIvSjzS_hk-C8QIUnFUyDuDg9SzpmBNPaHMPpJ3op13pI2BeUDT000Vm7vQTiJ7KHMlUuhBil1O7pbcb00=w1200|https://lh3.google"&amp;"usercontent.com/pw/AP1GczNWR4lS8GS8nhi8t08gLJipGw6CkROpC6iQoWaVTEgwgKUf5ZY8WU1FPqO39p0coTsLLsnV_SoXwrbSNKsS07NlIucslrTMbXmNhYPj8_hWlvG-PUC2=w1200|https://lh3.googleusercontent.com/pw/AP1GczPywCiLfWkGVFbLh2BFnlsRgz-pS_6t7lT1i4f6JDbbK9wv8K2_5wqh_i8guLVXzOFW"&amp;"8hWHNxz-THATrixHKTqpmv3OstS9kZHn3fmBU19xkxW1Alpk=w1200|https://lh3.googleusercontent.com/pw/AP1GczP0dzD65ZAvknw1HqF8oW2YcrCY2tjCE8w1u_Ww_p8aebXH23zmGX3DxQRAVLxbSDMuP88hrjnGGrH6hNRDjq4sL2mawdPLQtBnveRDCdE0zIyos2CM=w1200")</f>
        <v>https://lh3.googleusercontent.com/pw/AP1GczOu7LPIInE7fc_waoMpS7zF12d20u8s7T9IDtBU-hgW1z_82W8GcF9trzDOAau9lWV1VGslT34COTSiXDbsnmbcLDsR9VwFMTfXo4rkXEBEagsx9jsC=w1200|https://lh3.googleusercontent.com/pw/AP1GczMonw-cX09A3g3gAl_-EXjeHLWZTXfdsKFa16FQp6GboQp4NeOKjVhgfPFXXklOm0Mdb058feqFxmx68CiDa1OH5o_5d3cT_aSe0SBK0wWFJABeyTIg=w1200|https://lh3.googleusercontent.com/pw/AP1GczOe-w72av2k7kRlSNa3_cDcAznWdckIRRZIvSjzS_hk-C8QIUnFUyDuDg9SzpmBNPaHMPpJ3op13pI2BeUDT000Vm7vQTiJ7KHMlUuhBil1O7pbcb00=w1200|https://lh3.googleusercontent.com/pw/AP1GczNWR4lS8GS8nhi8t08gLJipGw6CkROpC6iQoWaVTEgwgKUf5ZY8WU1FPqO39p0coTsLLsnV_SoXwrbSNKsS07NlIucslrTMbXmNhYPj8_hWlvG-PUC2=w1200|https://lh3.googleusercontent.com/pw/AP1GczPywCiLfWkGVFbLh2BFnlsRgz-pS_6t7lT1i4f6JDbbK9wv8K2_5wqh_i8guLVXzOFW8hWHNxz-THATrixHKTqpmv3OstS9kZHn3fmBU19xkxW1Alpk=w1200|https://lh3.googleusercontent.com/pw/AP1GczP0dzD65ZAvknw1HqF8oW2YcrCY2tjCE8w1u_Ww_p8aebXH23zmGX3DxQRAVLxbSDMuP88hrjnGGrH6hNRDjq4sL2mawdPLQtBnveRDCdE0zIyos2CM=w1200</v>
      </c>
      <c r="AJ390" s="46"/>
      <c r="AK390" s="46"/>
      <c r="AL390" s="46"/>
      <c r="AM390" s="46"/>
      <c r="AN390" s="46"/>
      <c r="AO390" s="46"/>
      <c r="AP390" s="46"/>
      <c r="AQ390" s="46"/>
      <c r="AR390" s="46"/>
      <c r="AS390" s="46"/>
      <c r="AT390" s="46"/>
      <c r="AU390" s="46"/>
      <c r="AV390" s="46"/>
      <c r="AW390" s="46"/>
      <c r="AX390" s="46"/>
      <c r="AY390" s="46"/>
      <c r="AZ390" s="46"/>
      <c r="BA390" s="46"/>
      <c r="BB390" s="46"/>
      <c r="BC390" s="46"/>
      <c r="BD390" s="46"/>
      <c r="BE390" s="46"/>
      <c r="BF390" s="46"/>
      <c r="BG390" s="46"/>
      <c r="BH390" s="46"/>
      <c r="BI390" s="46"/>
      <c r="BJ390" s="46"/>
      <c r="BK390" s="46"/>
      <c r="BL390" s="46"/>
      <c r="BM390" s="46"/>
      <c r="BN390" s="46"/>
      <c r="BO390" s="46"/>
      <c r="BP390" s="46"/>
      <c r="BQ390" s="46"/>
      <c r="BR390" s="46"/>
      <c r="BS390" s="46"/>
      <c r="BT390" s="46"/>
      <c r="BU390" s="46"/>
      <c r="BV390" s="46"/>
      <c r="BW390" s="46"/>
      <c r="BX390" s="46"/>
      <c r="BY390" s="46"/>
      <c r="BZ390" s="46"/>
      <c r="CA390" s="46"/>
      <c r="CB390" s="46"/>
      <c r="CC390" s="46"/>
    </row>
    <row r="391">
      <c r="A391" s="87" t="str">
        <f>IFERROR(__xludf.DUMMYFUNCTION("""COMPUTED_VALUE"""),"873")</f>
        <v>873</v>
      </c>
      <c r="B391" s="46" t="str">
        <f>IFERROR(__xludf.DUMMYFUNCTION("""COMPUTED_VALUE"""),"Casa en barrio Calixto")</f>
        <v>Casa en barrio Calixto</v>
      </c>
      <c r="C391" s="46" t="str">
        <f>IFERROR(__xludf.DUMMYFUNCTION("""COMPUTED_VALUE"""),"Casa")</f>
        <v>Casa</v>
      </c>
      <c r="D391" s="46" t="str">
        <f>IFERROR(__xludf.DUMMYFUNCTION("""COMPUTED_VALUE"""),"Calixto")</f>
        <v>Calixto</v>
      </c>
      <c r="E391" s="90"/>
      <c r="F391" s="90">
        <f>IFERROR(__xludf.DUMMYFUNCTION("""COMPUTED_VALUE"""),2.5E8)</f>
        <v>250000000</v>
      </c>
      <c r="G391" s="46" t="str">
        <f>IFERROR(__xludf.DUMMYFUNCTION("""COMPUTED_VALUE"""),"$200'000.000 a $300'000.000")</f>
        <v>$200'000.000 a $300'000.000</v>
      </c>
      <c r="H391" s="46"/>
      <c r="I391" s="46"/>
      <c r="J391" s="46" t="str">
        <f>IFERROR(__xludf.DUMMYFUNCTION("""COMPUTED_VALUE"""),"Oriente")</f>
        <v>Oriente</v>
      </c>
      <c r="K391" s="87"/>
      <c r="L391" s="46">
        <f>IFERROR(__xludf.DUMMYFUNCTION("""COMPUTED_VALUE"""),3.0)</f>
        <v>3</v>
      </c>
      <c r="M391" s="46"/>
      <c r="N391" s="46">
        <f>IFERROR(__xludf.DUMMYFUNCTION("""COMPUTED_VALUE"""),2.0)</f>
        <v>2</v>
      </c>
      <c r="O391" s="46">
        <f>IFERROR(__xludf.DUMMYFUNCTION("""COMPUTED_VALUE"""),2.0)</f>
        <v>2</v>
      </c>
      <c r="P391" s="46">
        <f>IFERROR(__xludf.DUMMYFUNCTION("""COMPUTED_VALUE"""),1.0)</f>
        <v>1</v>
      </c>
      <c r="Q391" s="92">
        <f>IFERROR(__xludf.DUMMYFUNCTION("""COMPUTED_VALUE"""),140.0)</f>
        <v>140</v>
      </c>
      <c r="R391" s="92">
        <f>IFERROR(__xludf.DUMMYFUNCTION("""COMPUTED_VALUE"""),150.0)</f>
        <v>150</v>
      </c>
      <c r="S391" s="87" t="str">
        <f>IFERROR(__xludf.DUMMYFUNCTION("""COMPUTED_VALUE""")," ")</f>
        <v> </v>
      </c>
      <c r="T391" s="46" t="str">
        <f>IFERROR(__xludf.DUMMYFUNCTION("""COMPUTED_VALUE"""),"Neiva")</f>
        <v>Neiva</v>
      </c>
      <c r="U391" s="87" t="str">
        <f>IFERROR(__xludf.DUMMYFUNCTION("""COMPUTED_VALUE"""),"3")</f>
        <v>3</v>
      </c>
      <c r="V391" s="46" t="str">
        <f>IFERROR(__xludf.DUMMYFUNCTION("""COMPUTED_VALUE"""),"Medianera")</f>
        <v>Medianera</v>
      </c>
      <c r="W391" s="46"/>
      <c r="X391" s="46">
        <f>IFERROR(__xludf.DUMMYFUNCTION("""COMPUTED_VALUE"""),2.0)</f>
        <v>2</v>
      </c>
      <c r="Y391" s="46" t="str">
        <f>IFERROR(__xludf.DUMMYFUNCTION("""COMPUTED_VALUE"""),"No tiene")</f>
        <v>No tiene</v>
      </c>
      <c r="Z391" s="90" t="str">
        <f>IFERROR(__xludf.DUMMYFUNCTION("""COMPUTED_VALUE"""),"No aplica")</f>
        <v>No aplica</v>
      </c>
      <c r="AA391" s="33"/>
      <c r="AB391" s="96" t="str">
        <f>IFERROR(__xludf.DUMMYFUNCTION("""COMPUTED_VALUE"""),"https://photos.app.goo.gl/gEAwBsoBfrtef6bF9")</f>
        <v>https://photos.app.goo.gl/gEAwBsoBfrtef6bF9</v>
      </c>
      <c r="AC391" s="46" t="str">
        <f>IFERROR(__xludf.DUMMYFUNCTION("""COMPUTED_VALUE"""),"Casa con buenos acabados, piso en mármol gris, cielo raso en Dri wall y machehembre, carpintería marcos, puertas, closet y cocina en madera. Cocina abierta tipo americano.")</f>
        <v>Casa con buenos acabados, piso en mármol gris, cielo raso en Dri wall y machehembre, carpintería marcos, puertas, closet y cocina en madera. Cocina abierta tipo americano.</v>
      </c>
      <c r="AD391" s="46" t="str">
        <f>IFERROR(__xludf.DUMMYFUNCTION("""COMPUTED_VALUE"""),"Casa bien ubicada sobre vía vehicular amplia, con patio, sin reja antejardín. Escritura al día.")</f>
        <v>Casa bien ubicada sobre vía vehicular amplia, con patio, sin reja antejardín. Escritura al día.</v>
      </c>
      <c r="AE391" s="46"/>
      <c r="AF391" s="46" t="str">
        <f>IFERROR(__xludf.DUMMYFUNCTION("""COMPUTED_VALUE"""),"integral")</f>
        <v>integral</v>
      </c>
      <c r="AG391" s="46"/>
      <c r="AH391" s="46" t="str">
        <f>IFERROR(__xludf.DUMMYFUNCTION("""COMPUTED_VALUE"""),"Aliado")</f>
        <v>Aliado</v>
      </c>
      <c r="AI391" s="92" t="str">
        <f>IFERROR(__xludf.DUMMYFUNCTION("""COMPUTED_VALUE"""),"https://lh3.googleusercontent.com/pw/AP1GczOH_mvdXTCk2c-WHMEyhyzuRW9Qm-4ZGJfnM8tInz3BHM-YEBKu3kBRUX7yZkFRyD1BZ7Y1F2hkQoNPrgIb-3IflFPEct26_kztKu9PI_HacgvHl8O2=w1200|https://lh3.googleusercontent.com/pw/AP1GczOd9OLsCOukrAuIOk2qZ9jXJZTX8KtDHdMhoke1x_xOG7-Bec"&amp;"CQErnqKZz61zgF4nJhk3Wpr0A8m1U08PXHfXZ1omkHypneoKFM2ojFaw2hs3lxxvfD=w1200|https://lh3.googleusercontent.com/pw/AP1GczOBdqsFlkbziEXA6EMeirQXBrVVy_Z1UZ2n2_vI-BaxurmTlIqNJ1NcQAyFiv3X3fwu4ECBqeyt5o5gSWwKYvPWpDLxy_fThKg8ba3qKrrYqBjRqnmp=w1200|https://lh3.google"&amp;"usercontent.com/pw/AP1GczMRdQJEuWFuT3Md9KJ1W1SfY5c2elEsaqM3riknGFozUUyMXH8QyXh-7vkve7vaprBR291ezW_7J3oVVDH11flZ_ZyEmfISagzKGiXdG3TU0WRFjsvh=w1200|https://lh3.googleusercontent.com/pw/AP1GczOITLGstVohAu1KW6KLvDgrexfLad-Nl6ajEd0la62yT2KgOuFSThgB1g5hOB-zREom"&amp;"plJSxm5B5YVg4kwJ4UPpCd5-n_8Fs2xDPfTe7aWBL0_6WqYC=w1200|https://lh3.googleusercontent.com/pw/AP1GczOKcsVmITjTslLl7kzwyyZOGZYzFjDO7AtdvO1V8vKSom_2_-Dca-JY8Fo_yL7EOc1QGpW3MyEHrbLgNBSP-q3IKBmxcvwc7FloTUwt0RwICIIfW0tY=w1200|https://lh3.googleusercontent.com/pw"&amp;"/AP1GczNuTWs-ZQyfqFiCriVzJ45xuy_yfxELY9lmy6gktgNRJ3yReZ2S9NuUQKFm5k9IrzBAwXqCNOaXXyCn88RloBne1kNXugwGsRd8wEsutf8ac7ywuDm2=w1200|https://lh3.googleusercontent.com/pw/AP1GczNsFZWlCMepacssUzbw0ZRIJQ7ari8pLbZ5llyvJAVRyOb8saUV1Gg1unytRDgq8KUW7CAUI3WSwyvU1vgKli"&amp;"LAaxD0oBI21flOnJLEeISNz_Tl8_KZ=w1200|https://lh3.googleusercontent.com/pw/AP1GczMa_s93I953mxp8xYzjfQ96AI9-dnjTlPKXZ-ZAQ2nCumvJeng420aGiFcaLlfNgSM018fDjYsiMdcbBNKFVTFRJg9OCZ1UH_2lnTmawSr3F1YU2EW8=w1200|https://lh3.googleusercontent.com/pw/AP1GczNk_i_pPkYLf"&amp;"zDkjlM8FGxL_hOm5Co5-7QUvGlM9cu9dUXLPB4mcfbdGN3HElbnQTlWbEq9RKsrDN7gwxGt-B6KokJIy7Ei-YgEGHB3ZTjU9X2ypZAt=w1200|https://lh3.googleusercontent.com/pw/AP1GczMJeggFCU0pqGo253R-prKCuvJFQ7_hu2N_r_W_xGAaLMlraiuyx--_LdSYoQsW_dQtX6wAAxoJlNtK_1YaV8QR3yILINbPv60rwKR_"&amp;"ElToqNsEfJIo=w1200|https://lh3.googleusercontent.com/pw/AP1GczOXPHJLpI7SiFqW5FlfA_DujBIIR_4Vqqroe9b4uzr6hZyXwSaPBFxpz7VqRQORjnx272TMgRbOR42nKRS0FhPZSmDtikUNCm14Lf2JR57VkHA44V7h=w1200|https://lh3.googleusercontent.com/pw/AP1GczMG0Af4NBAugOYXm4mbXj_oqI-cKGW"&amp;"KGB9ZaknxFk3iMbhdZttK6zBYEREjjMNFFmsaq8w-lvWDs9Ja4t0el0FwabGDiI9vpgnGz2jFzpbAWBnAl0dJ=w1200|https://lh3.googleusercontent.com/pw/AP1GczOXLK_BGfQM7Ei6VJverCzrbGj-dpfGtmfXaG7onxFQrJpV67Fel_N2u8LpX4XIP7hMk4sRUM2uKCJiLfhhm-tpIQkYnWuEi33n-s_Mw1zew4Kwxcr8=w1200"&amp;"|https://lh3.googleusercontent.com/pw/AP1GczOKyDRm22b3BpDObNxa2VJkpcPRI241fPQokJakknQztJyKKcEt3CtrmWjgeeIcW97b2uioUld2iKUoEfYeP9DLBKbH0I4F4G3GUhtRFp--7H_KuDnh=w1200|https://lh3.googleusercontent.com/pw/AP1GczMXz8hEkqkHOXSvE8l0SZmUfXuOdBo92NNLNUZE1FyNs1BJa"&amp;"V87JoeWBwokXGYrdXkXK2yAtbg9lCCWK8ouwLBSYSfyltBjER4oxaJnSDPDxJ-uFnwQ=w1200")</f>
        <v>https://lh3.googleusercontent.com/pw/AP1GczOH_mvdXTCk2c-WHMEyhyzuRW9Qm-4ZGJfnM8tInz3BHM-YEBKu3kBRUX7yZkFRyD1BZ7Y1F2hkQoNPrgIb-3IflFPEct26_kztKu9PI_HacgvHl8O2=w1200|https://lh3.googleusercontent.com/pw/AP1GczOd9OLsCOukrAuIOk2qZ9jXJZTX8KtDHdMhoke1x_xOG7-BecCQErnqKZz61zgF4nJhk3Wpr0A8m1U08PXHfXZ1omkHypneoKFM2ojFaw2hs3lxxvfD=w1200|https://lh3.googleusercontent.com/pw/AP1GczOBdqsFlkbziEXA6EMeirQXBrVVy_Z1UZ2n2_vI-BaxurmTlIqNJ1NcQAyFiv3X3fwu4ECBqeyt5o5gSWwKYvPWpDLxy_fThKg8ba3qKrrYqBjRqnmp=w1200|https://lh3.googleusercontent.com/pw/AP1GczMRdQJEuWFuT3Md9KJ1W1SfY5c2elEsaqM3riknGFozUUyMXH8QyXh-7vkve7vaprBR291ezW_7J3oVVDH11flZ_ZyEmfISagzKGiXdG3TU0WRFjsvh=w1200|https://lh3.googleusercontent.com/pw/AP1GczOITLGstVohAu1KW6KLvDgrexfLad-Nl6ajEd0la62yT2KgOuFSThgB1g5hOB-zREomplJSxm5B5YVg4kwJ4UPpCd5-n_8Fs2xDPfTe7aWBL0_6WqYC=w1200|https://lh3.googleusercontent.com/pw/AP1GczOKcsVmITjTslLl7kzwyyZOGZYzFjDO7AtdvO1V8vKSom_2_-Dca-JY8Fo_yL7EOc1QGpW3MyEHrbLgNBSP-q3IKBmxcvwc7FloTUwt0RwICIIfW0tY=w1200|https://lh3.googleusercontent.com/pw/AP1GczNuTWs-ZQyfqFiCriVzJ45xuy_yfxELY9lmy6gktgNRJ3yReZ2S9NuUQKFm5k9IrzBAwXqCNOaXXyCn88RloBne1kNXugwGsRd8wEsutf8ac7ywuDm2=w1200|https://lh3.googleusercontent.com/pw/AP1GczNsFZWlCMepacssUzbw0ZRIJQ7ari8pLbZ5llyvJAVRyOb8saUV1Gg1unytRDgq8KUW7CAUI3WSwyvU1vgKliLAaxD0oBI21flOnJLEeISNz_Tl8_KZ=w1200|https://lh3.googleusercontent.com/pw/AP1GczMa_s93I953mxp8xYzjfQ96AI9-dnjTlPKXZ-ZAQ2nCumvJeng420aGiFcaLlfNgSM018fDjYsiMdcbBNKFVTFRJg9OCZ1UH_2lnTmawSr3F1YU2EW8=w1200|https://lh3.googleusercontent.com/pw/AP1GczNk_i_pPkYLfzDkjlM8FGxL_hOm5Co5-7QUvGlM9cu9dUXLPB4mcfbdGN3HElbnQTlWbEq9RKsrDN7gwxGt-B6KokJIy7Ei-YgEGHB3ZTjU9X2ypZAt=w1200|https://lh3.googleusercontent.com/pw/AP1GczMJeggFCU0pqGo253R-prKCuvJFQ7_hu2N_r_W_xGAaLMlraiuyx--_LdSYoQsW_dQtX6wAAxoJlNtK_1YaV8QR3yILINbPv60rwKR_ElToqNsEfJIo=w1200|https://lh3.googleusercontent.com/pw/AP1GczOXPHJLpI7SiFqW5FlfA_DujBIIR_4Vqqroe9b4uzr6hZyXwSaPBFxpz7VqRQORjnx272TMgRbOR42nKRS0FhPZSmDtikUNCm14Lf2JR57VkHA44V7h=w1200|https://lh3.googleusercontent.com/pw/AP1GczMG0Af4NBAugOYXm4mbXj_oqI-cKGWKGB9ZaknxFk3iMbhdZttK6zBYEREjjMNFFmsaq8w-lvWDs9Ja4t0el0FwabGDiI9vpgnGz2jFzpbAWBnAl0dJ=w1200|https://lh3.googleusercontent.com/pw/AP1GczOXLK_BGfQM7Ei6VJverCzrbGj-dpfGtmfXaG7onxFQrJpV67Fel_N2u8LpX4XIP7hMk4sRUM2uKCJiLfhhm-tpIQkYnWuEi33n-s_Mw1zew4Kwxcr8=w1200|https://lh3.googleusercontent.com/pw/AP1GczOKyDRm22b3BpDObNxa2VJkpcPRI241fPQokJakknQztJyKKcEt3CtrmWjgeeIcW97b2uioUld2iKUoEfYeP9DLBKbH0I4F4G3GUhtRFp--7H_KuDnh=w1200|https://lh3.googleusercontent.com/pw/AP1GczMXz8hEkqkHOXSvE8l0SZmUfXuOdBo92NNLNUZE1FyNs1BJaV87JoeWBwokXGYrdXkXK2yAtbg9lCCWK8ouwLBSYSfyltBjER4oxaJnSDPDxJ-uFnwQ=w1200</v>
      </c>
      <c r="AJ391" s="46"/>
      <c r="AK391" s="46"/>
      <c r="AL391" s="46"/>
      <c r="AM391" s="46"/>
      <c r="AN391" s="46"/>
      <c r="AO391" s="46"/>
      <c r="AP391" s="46"/>
      <c r="AQ391" s="46"/>
      <c r="AR391" s="46"/>
      <c r="AS391" s="46"/>
      <c r="AT391" s="46"/>
      <c r="AU391" s="46"/>
      <c r="AV391" s="46"/>
      <c r="AW391" s="46"/>
      <c r="AX391" s="46"/>
      <c r="AY391" s="46"/>
      <c r="AZ391" s="46"/>
      <c r="BA391" s="46"/>
      <c r="BB391" s="46"/>
      <c r="BC391" s="46"/>
      <c r="BD391" s="46"/>
      <c r="BE391" s="46"/>
      <c r="BF391" s="46"/>
      <c r="BG391" s="46"/>
      <c r="BH391" s="46"/>
      <c r="BI391" s="46"/>
      <c r="BJ391" s="46"/>
      <c r="BK391" s="46"/>
      <c r="BL391" s="46"/>
      <c r="BM391" s="46"/>
      <c r="BN391" s="46"/>
      <c r="BO391" s="46"/>
      <c r="BP391" s="46"/>
      <c r="BQ391" s="46"/>
      <c r="BR391" s="46"/>
      <c r="BS391" s="46"/>
      <c r="BT391" s="46"/>
      <c r="BU391" s="46"/>
      <c r="BV391" s="46"/>
      <c r="BW391" s="46"/>
      <c r="BX391" s="46"/>
      <c r="BY391" s="46"/>
      <c r="BZ391" s="46"/>
      <c r="CA391" s="46"/>
      <c r="CB391" s="46"/>
      <c r="CC391" s="46"/>
    </row>
    <row r="392">
      <c r="A392" s="87" t="str">
        <f>IFERROR(__xludf.DUMMYFUNCTION("""COMPUTED_VALUE"""),"1224")</f>
        <v>1224</v>
      </c>
      <c r="B392" s="46" t="str">
        <f>IFERROR(__xludf.DUMMYFUNCTION("""COMPUTED_VALUE"""),"Casa campestre - Vda. Altos de Sardinata - Palermo")</f>
        <v>Casa campestre - Vda. Altos de Sardinata - Palermo</v>
      </c>
      <c r="C392" s="46" t="str">
        <f>IFERROR(__xludf.DUMMYFUNCTION("""COMPUTED_VALUE"""),"Casa campestre")</f>
        <v>Casa campestre</v>
      </c>
      <c r="D392" s="46"/>
      <c r="E392" s="46"/>
      <c r="F392" s="90">
        <f>IFERROR(__xludf.DUMMYFUNCTION("""COMPUTED_VALUE"""),2.5E8)</f>
        <v>250000000</v>
      </c>
      <c r="G392" s="46" t="str">
        <f>IFERROR(__xludf.DUMMYFUNCTION("""COMPUTED_VALUE"""),"$200'000.000 a $300'000.000")</f>
        <v>$200'000.000 a $300'000.000</v>
      </c>
      <c r="H392" s="46"/>
      <c r="I392" s="46"/>
      <c r="J392" s="46" t="str">
        <f>IFERROR(__xludf.DUMMYFUNCTION("""COMPUTED_VALUE"""),"Occidente")</f>
        <v>Occidente</v>
      </c>
      <c r="K392" s="87"/>
      <c r="L392" s="46">
        <f>IFERROR(__xludf.DUMMYFUNCTION("""COMPUTED_VALUE"""),3.0)</f>
        <v>3</v>
      </c>
      <c r="M392" s="46"/>
      <c r="N392" s="46">
        <f>IFERROR(__xludf.DUMMYFUNCTION("""COMPUTED_VALUE"""),2.0)</f>
        <v>2</v>
      </c>
      <c r="O392" s="46">
        <f>IFERROR(__xludf.DUMMYFUNCTION("""COMPUTED_VALUE"""),1.0)</f>
        <v>1</v>
      </c>
      <c r="P392" s="46">
        <f>IFERROR(__xludf.DUMMYFUNCTION("""COMPUTED_VALUE"""),1.0)</f>
        <v>1</v>
      </c>
      <c r="Q392" s="92">
        <f>IFERROR(__xludf.DUMMYFUNCTION("""COMPUTED_VALUE"""),250.0)</f>
        <v>250</v>
      </c>
      <c r="R392" s="92">
        <f>IFERROR(__xludf.DUMMYFUNCTION("""COMPUTED_VALUE"""),1448.0)</f>
        <v>1448</v>
      </c>
      <c r="S392" s="87" t="str">
        <f>IFERROR(__xludf.DUMMYFUNCTION("""COMPUTED_VALUE""")," ")</f>
        <v> </v>
      </c>
      <c r="T392" s="46" t="str">
        <f>IFERROR(__xludf.DUMMYFUNCTION("""COMPUTED_VALUE"""),"Palermo")</f>
        <v>Palermo</v>
      </c>
      <c r="U392" s="87"/>
      <c r="V392" s="46"/>
      <c r="W392" s="46"/>
      <c r="X392" s="46">
        <f>IFERROR(__xludf.DUMMYFUNCTION("""COMPUTED_VALUE"""),2.0)</f>
        <v>2</v>
      </c>
      <c r="Y392" s="46" t="str">
        <f>IFERROR(__xludf.DUMMYFUNCTION("""COMPUTED_VALUE"""),"No tiene")</f>
        <v>No tiene</v>
      </c>
      <c r="Z392" s="90"/>
      <c r="AA392" s="33" t="str">
        <f>IFERROR(__xludf.DUMMYFUNCTION("""COMPUTED_VALUE"""),"No aplica")</f>
        <v>No aplica</v>
      </c>
      <c r="AB392" s="96" t="str">
        <f>IFERROR(__xludf.DUMMYFUNCTION("""COMPUTED_VALUE"""),"https://photos.app.goo.gl/U7fjQkgwDPrLE3Yy7")</f>
        <v>https://photos.app.goo.gl/U7fjQkgwDPrLE3Yy7</v>
      </c>
      <c r="AC392" s="46" t="str">
        <f>IFERROR(__xludf.DUMMYFUNCTION("""COMPUTED_VALUE"""),"La casa consta de 3 alcobas, la principal con baño privado, sala, comedor, cocina integral, baño social. Cuenta con árboles frutales, plátano, gallinero, bbq, y jardines que delimitan los espacios.")</f>
        <v>La casa consta de 3 alcobas, la principal con baño privado, sala, comedor, cocina integral, baño social. Cuenta con árboles frutales, plátano, gallinero, bbq, y jardines que delimitan los espacios.</v>
      </c>
      <c r="AD392" s="46" t="str">
        <f>IFERROR(__xludf.DUMMYFUNCTION("""COMPUTED_VALUE"""),"Se vende casa campestre con un área total 1.448 Mts2, Cuenta con energía eléctrica y servicio de agua y alcantarillado.")</f>
        <v>Se vende casa campestre con un área total 1.448 Mts2, Cuenta con energía eléctrica y servicio de agua y alcantarillado.</v>
      </c>
      <c r="AE392" s="46"/>
      <c r="AF392" s="46" t="str">
        <f>IFERROR(__xludf.DUMMYFUNCTION("""COMPUTED_VALUE"""),"integral")</f>
        <v>integral</v>
      </c>
      <c r="AG392" s="46"/>
      <c r="AH392" s="46" t="str">
        <f>IFERROR(__xludf.DUMMYFUNCTION("""COMPUTED_VALUE"""),"Aliado")</f>
        <v>Aliado</v>
      </c>
      <c r="AI392" s="92" t="str">
        <f>IFERROR(__xludf.DUMMYFUNCTION("""COMPUTED_VALUE"""),"https://lh3.googleusercontent.com/pw/AP1GczN5ZfDghHLeHZw6T2YaHDtAM23suyNB7vrUV1uflfMcYipiT4vuV64_Me_Bg6Fy1zVAvspMQhuJoURapDqzdHLgGHlv1s1EGKnCYfv-vGwZdYad0SPw=w1200|https://lh3.googleusercontent.com/pw/AP1GczMvKaaPakyoyfQSh4sNearygfP5h4ZCzcYWDvmFyfg5E70quy"&amp;"raF5QvSRFwjuz6P6HeRiZBr4XX4EX9PluVgUbpw99WuAgRYHPfsu7H0mdsrifSEVW7=w1200|https://lh3.googleusercontent.com/pw/AP1GczNBpQEzL3g3d0auXkw8ybZ05Ho-T4sA2qYuc2OnRMhggm_QdXGk-rwcfkxG69Dqedn_VXB5Jhl3yzcUsl6qLpnKLc2uJzw9mPzQZyKDB4CnCtIjiXP7=w1200|https://lh3.google"&amp;"usercontent.com/pw/AP1GczNCsMb0-hm2b6t1rVDDB1TP_-y_qn9LKO9LoWNN0n_11kCztCwf0D6Y8yyCL5OB0shmHmQRhj1IL9yZVH4FUvx1bnV4sedVeNJaUDJGoWzm9gNsJZdP=w1200|https://lh3.googleusercontent.com/pw/AP1GczO-gruVqpLC1fyI29jr5IlsZ46E6PIxIEjmk5LVyIzI0Q9ildOT9CLKQXZ0VDjtCCaq"&amp;"Jk8BKlGBw77ppITXzjLJNgptCAeBdZxoKn3WyqZ8M2qMrS0F=w1200|https://lh3.googleusercontent.com/pw/AP1GczNCUn2aee91cyv03CdOv3I9AJEc23kPff9gDfjAaDZn66FWDISOtROHjZAeLvM1143cdvRIc-EoTA5XjcHifTggG4-noxSQcwD5H7_sR9EUE_oTMk0o=w1200|https://lh3.googleusercontent.com/pw"&amp;"/AP1GczMIPyl6EMeatunbtDfmaratfbNIMQrq3wNI4d68fW27kbWhjBxP4JM1baOGZXV0UzGt3sE0N3bqz0JXA8DmDE2ROY5WPPE8gTMxVDy7gWKFqYvBr3BT=w1200|https://lh3.googleusercontent.com/pw/AP1GczOXx9HOQhD4Nc4debdFhZYXr7B8ooWk1VJd1U_PYhn-TTzuov9dSoq-RRckMX1R8epgtZN9iD2PWfgq9zYabs"&amp;"4hOdtCIU-MXuZbrgQcq4oDPepW2PwX=w1200|https://lh3.googleusercontent.com/pw/AP1GczMckcHrPV3v_Gmc5per629c8u0gevQcc4X9fbLqDgXtDCmfGEGQYuNnBhrtm2-Eg-44_Exe2gMJtkTws16LkhgZ_VkDHHrFs8mdT3rkqcNadrud6sK_=w1200|https://lh3.googleusercontent.com/pw/AP1GczNi2R4rtpfJX"&amp;"OtlhY1NMun-Tf8mEL-Q1NMbVn4Kgz2HbVOsW5yOEUVF2yCrdPpakRcdqxoeAYSAlZGSTn5_o6n8JMLlica6zl6UU1mjnpLkBbqk144r=w1200|https://lh3.googleusercontent.com/pw/AP1GczNDPUOMhUTtvULDUqPoRNqblufYKkiklkKuw0xLqQWb5SCqaxwfGwab_dIkYonqYJ1xT_9iYnl7t--wLDmeGcZFpXc0smr3Rz5_0aoZ"&amp;"_fai3px5DpCu=w1200|https://lh3.googleusercontent.com/pw/AP1GczO1g3zPD4nYAE5cZ-LFrU8kVzwLqO6Dna5NollciH83Ck2nJGY3cjYOkpPlU5oNj28W877NJkrjjU9Iz-mvfPxQoUjRa2yHcVk0f7jRKWaJPIKSgGsy=w1200|https://lh3.googleusercontent.com/pw/AP1GczNqkY89MNkFCBhLh0ELtldtNtyH1HM"&amp;"tQSZ0_AQPoBll_jn3-ztlcQdlvUPOLMWkXrV7_Tv_1G704N6JD2kXFpguHE2dcivwo1LhMcFTDa46d_n8yPlg=w1200|https://lh3.googleusercontent.com/pw/AP1GczOzTheZwB79vQYjw34QyHGvaupX24O-mXyZfcYpuaUop5FjvZrAWhPOMMY9KIpAXVEAsKlouMmKNIrGT_xbTxkGtWBqqx-aIp2_VtMPOoAWbwPfG8-1=w1200"&amp;"|https://lh3.googleusercontent.com/pw/AP1GczP1bsHItyIMx46XbLzm_5-U2lYcSX3W-4WEGbpf29LR7bruonhije8s8Up2NlnX8Ex6nInm0ifQT81pEdFgn0U1VC57P4i7-IjnuKjdyZk3XDBKE5vF=w1200|https://lh3.googleusercontent.com/pw/AP1GczNJYCUd6O6YN5p49HQJMl8I0Bh_n9il5YzxprsdC21eTuH3B"&amp;"rNLuttOOoj_jOFW83waHJ8CVJrmqwmAVOsd_tmBbU-RmyXCyKuESbphjdol8wytdNEH=w1200|https://lh3.googleusercontent.com/pw/AP1GczPR0cPtDt-afIKvIhwqGrc7QpwLKf5R-FhvqO4LNSqrMH3DX3qMeQJQIiChFNkKEWSpaD-WLUj3BV6J0mo8-mzTI19AM3E90CbLVQ3DYeI_jhSoGm0O=w1200|https://lh3.googl"&amp;"eusercontent.com/pw/AP1GczPKpM6yUNMguUhlDYh7LDHsIAGhSlV5JpZgLy4OBbm-Q9_sGrbWcE674EKYhq1DqHG6mFf9LlKITm5hkopbuCKIFA8apTQglbZrTD4kke7Q3NtT1Fei=w1200|https://lh3.googleusercontent.com/pw/AP1GczN9xA_HLZAUdIjwAq4RnCyYTTgD7fYFvVr-3fBZdKkbK9l4-uRM9wctOJrrHXsCCSc"&amp;"eCVqCGImtSex8C8n6ZmePMKcy_fDEhJvlFM1qGXwfNaI2rtfI=w1200|https://lh3.googleusercontent.com/pw/AP1GczNdyvDG7O237qu6P3MOzwYN4aWKL_8xZQWQdlNCVlKdR8_OKGmtswnB8UhsQ9-qQurabTUwd39P7EgP-votnfK4tJR67YAPkVYb-cIZlSEZIzz5z20w=w1200|https://lh3.googleusercontent.com/p"&amp;"w/AP1GczNzOJ4Nf61ENAlH9yv6WDogpI0xyYwxKJmAh381GmDyzjaYWU20FMzV8Wy4vNMN8u-XirUFcWmjOUVCBWAlgUlVkvpzewatP8UNTizyGQhNQoSFXizQ=w1200|https://lh3.googleusercontent.com/pw/AP1GczMNuIuT42CMqlMZAHORfTXGRouLr_OF9c_62o2jVV7yNJC5UY0vyDcuOH3NxIrEIOOxvpKVgurJEcoFtWAGq"&amp;"ZOo_p7KjEOEWJQf8H5ou-X3ZXnk6DnO=w1200|https://lh3.googleusercontent.com/pw/AP1GczMudpdXCXClrqqRHfXYADGgQPgh2CQLbNWwmVfaxwOBxyhM_XsB0Zs18v9EQzctqSSzmrsxUy_wFZYTxK6D5AWgq81sq2VaTd1ngR_-K-2QKlUWumft=w1200|https://lh3.googleusercontent.com/pw/AP1GczNHJKb2oOHa"&amp;"w8ZDaZuNfHhMftUl3Q0LKVimFRguSpb4BG14OcCxuVlqkJ1F8FQCxGJQ1WFUAfL6Y3xfITLS6NwgXvVU7zLnWgkPselWfuUoo1U-k2nJ=w1200")</f>
        <v>https://lh3.googleusercontent.com/pw/AP1GczN5ZfDghHLeHZw6T2YaHDtAM23suyNB7vrUV1uflfMcYipiT4vuV64_Me_Bg6Fy1zVAvspMQhuJoURapDqzdHLgGHlv1s1EGKnCYfv-vGwZdYad0SPw=w1200|https://lh3.googleusercontent.com/pw/AP1GczMvKaaPakyoyfQSh4sNearygfP5h4ZCzcYWDvmFyfg5E70quyraF5QvSRFwjuz6P6HeRiZBr4XX4EX9PluVgUbpw99WuAgRYHPfsu7H0mdsrifSEVW7=w1200|https://lh3.googleusercontent.com/pw/AP1GczNBpQEzL3g3d0auXkw8ybZ05Ho-T4sA2qYuc2OnRMhggm_QdXGk-rwcfkxG69Dqedn_VXB5Jhl3yzcUsl6qLpnKLc2uJzw9mPzQZyKDB4CnCtIjiXP7=w1200|https://lh3.googleusercontent.com/pw/AP1GczNCsMb0-hm2b6t1rVDDB1TP_-y_qn9LKO9LoWNN0n_11kCztCwf0D6Y8yyCL5OB0shmHmQRhj1IL9yZVH4FUvx1bnV4sedVeNJaUDJGoWzm9gNsJZdP=w1200|https://lh3.googleusercontent.com/pw/AP1GczO-gruVqpLC1fyI29jr5IlsZ46E6PIxIEjmk5LVyIzI0Q9ildOT9CLKQXZ0VDjtCCaqJk8BKlGBw77ppITXzjLJNgptCAeBdZxoKn3WyqZ8M2qMrS0F=w1200|https://lh3.googleusercontent.com/pw/AP1GczNCUn2aee91cyv03CdOv3I9AJEc23kPff9gDfjAaDZn66FWDISOtROHjZAeLvM1143cdvRIc-EoTA5XjcHifTggG4-noxSQcwD5H7_sR9EUE_oTMk0o=w1200|https://lh3.googleusercontent.com/pw/AP1GczMIPyl6EMeatunbtDfmaratfbNIMQrq3wNI4d68fW27kbWhjBxP4JM1baOGZXV0UzGt3sE0N3bqz0JXA8DmDE2ROY5WPPE8gTMxVDy7gWKFqYvBr3BT=w1200|https://lh3.googleusercontent.com/pw/AP1GczOXx9HOQhD4Nc4debdFhZYXr7B8ooWk1VJd1U_PYhn-TTzuov9dSoq-RRckMX1R8epgtZN9iD2PWfgq9zYabs4hOdtCIU-MXuZbrgQcq4oDPepW2PwX=w1200|https://lh3.googleusercontent.com/pw/AP1GczMckcHrPV3v_Gmc5per629c8u0gevQcc4X9fbLqDgXtDCmfGEGQYuNnBhrtm2-Eg-44_Exe2gMJtkTws16LkhgZ_VkDHHrFs8mdT3rkqcNadrud6sK_=w1200|https://lh3.googleusercontent.com/pw/AP1GczNi2R4rtpfJXOtlhY1NMun-Tf8mEL-Q1NMbVn4Kgz2HbVOsW5yOEUVF2yCrdPpakRcdqxoeAYSAlZGSTn5_o6n8JMLlica6zl6UU1mjnpLkBbqk144r=w1200|https://lh3.googleusercontent.com/pw/AP1GczNDPUOMhUTtvULDUqPoRNqblufYKkiklkKuw0xLqQWb5SCqaxwfGwab_dIkYonqYJ1xT_9iYnl7t--wLDmeGcZFpXc0smr3Rz5_0aoZ_fai3px5DpCu=w1200|https://lh3.googleusercontent.com/pw/AP1GczO1g3zPD4nYAE5cZ-LFrU8kVzwLqO6Dna5NollciH83Ck2nJGY3cjYOkpPlU5oNj28W877NJkrjjU9Iz-mvfPxQoUjRa2yHcVk0f7jRKWaJPIKSgGsy=w1200|https://lh3.googleusercontent.com/pw/AP1GczNqkY89MNkFCBhLh0ELtldtNtyH1HMtQSZ0_AQPoBll_jn3-ztlcQdlvUPOLMWkXrV7_Tv_1G704N6JD2kXFpguHE2dcivwo1LhMcFTDa46d_n8yPlg=w1200|https://lh3.googleusercontent.com/pw/AP1GczOzTheZwB79vQYjw34QyHGvaupX24O-mXyZfcYpuaUop5FjvZrAWhPOMMY9KIpAXVEAsKlouMmKNIrGT_xbTxkGtWBqqx-aIp2_VtMPOoAWbwPfG8-1=w1200|https://lh3.googleusercontent.com/pw/AP1GczP1bsHItyIMx46XbLzm_5-U2lYcSX3W-4WEGbpf29LR7bruonhije8s8Up2NlnX8Ex6nInm0ifQT81pEdFgn0U1VC57P4i7-IjnuKjdyZk3XDBKE5vF=w1200|https://lh3.googleusercontent.com/pw/AP1GczNJYCUd6O6YN5p49HQJMl8I0Bh_n9il5YzxprsdC21eTuH3BrNLuttOOoj_jOFW83waHJ8CVJrmqwmAVOsd_tmBbU-RmyXCyKuESbphjdol8wytdNEH=w1200|https://lh3.googleusercontent.com/pw/AP1GczPR0cPtDt-afIKvIhwqGrc7QpwLKf5R-FhvqO4LNSqrMH3DX3qMeQJQIiChFNkKEWSpaD-WLUj3BV6J0mo8-mzTI19AM3E90CbLVQ3DYeI_jhSoGm0O=w1200|https://lh3.googleusercontent.com/pw/AP1GczPKpM6yUNMguUhlDYh7LDHsIAGhSlV5JpZgLy4OBbm-Q9_sGrbWcE674EKYhq1DqHG6mFf9LlKITm5hkopbuCKIFA8apTQglbZrTD4kke7Q3NtT1Fei=w1200|https://lh3.googleusercontent.com/pw/AP1GczN9xA_HLZAUdIjwAq4RnCyYTTgD7fYFvVr-3fBZdKkbK9l4-uRM9wctOJrrHXsCCSceCVqCGImtSex8C8n6ZmePMKcy_fDEhJvlFM1qGXwfNaI2rtfI=w1200|https://lh3.googleusercontent.com/pw/AP1GczNdyvDG7O237qu6P3MOzwYN4aWKL_8xZQWQdlNCVlKdR8_OKGmtswnB8UhsQ9-qQurabTUwd39P7EgP-votnfK4tJR67YAPkVYb-cIZlSEZIzz5z20w=w1200|https://lh3.googleusercontent.com/pw/AP1GczNzOJ4Nf61ENAlH9yv6WDogpI0xyYwxKJmAh381GmDyzjaYWU20FMzV8Wy4vNMN8u-XirUFcWmjOUVCBWAlgUlVkvpzewatP8UNTizyGQhNQoSFXizQ=w1200|https://lh3.googleusercontent.com/pw/AP1GczMNuIuT42CMqlMZAHORfTXGRouLr_OF9c_62o2jVV7yNJC5UY0vyDcuOH3NxIrEIOOxvpKVgurJEcoFtWAGqZOo_p7KjEOEWJQf8H5ou-X3ZXnk6DnO=w1200|https://lh3.googleusercontent.com/pw/AP1GczMudpdXCXClrqqRHfXYADGgQPgh2CQLbNWwmVfaxwOBxyhM_XsB0Zs18v9EQzctqSSzmrsxUy_wFZYTxK6D5AWgq81sq2VaTd1ngR_-K-2QKlUWumft=w1200|https://lh3.googleusercontent.com/pw/AP1GczNHJKb2oOHaw8ZDaZuNfHhMftUl3Q0LKVimFRguSpb4BG14OcCxuVlqkJ1F8FQCxGJQ1WFUAfL6Y3xfITLS6NwgXvVU7zLnWgkPselWfuUoo1U-k2nJ=w1200</v>
      </c>
      <c r="AJ392" s="46"/>
      <c r="AK392" s="46"/>
      <c r="AL392" s="46"/>
      <c r="AM392" s="46"/>
      <c r="AN392" s="46"/>
      <c r="AO392" s="46"/>
      <c r="AP392" s="46"/>
      <c r="AQ392" s="46"/>
      <c r="AR392" s="46"/>
      <c r="AS392" s="46"/>
      <c r="AT392" s="46"/>
      <c r="AU392" s="46"/>
      <c r="AV392" s="46"/>
      <c r="AW392" s="46"/>
      <c r="AX392" s="46"/>
      <c r="AY392" s="46"/>
      <c r="AZ392" s="46"/>
      <c r="BA392" s="46"/>
      <c r="BB392" s="46"/>
      <c r="BC392" s="46"/>
      <c r="BD392" s="46"/>
      <c r="BE392" s="46"/>
      <c r="BF392" s="46"/>
      <c r="BG392" s="46"/>
      <c r="BH392" s="46"/>
      <c r="BI392" s="46"/>
      <c r="BJ392" s="46"/>
      <c r="BK392" s="46"/>
      <c r="BL392" s="46"/>
      <c r="BM392" s="46"/>
      <c r="BN392" s="46"/>
      <c r="BO392" s="46"/>
      <c r="BP392" s="46"/>
      <c r="BQ392" s="46"/>
      <c r="BR392" s="46"/>
      <c r="BS392" s="46"/>
      <c r="BT392" s="46"/>
      <c r="BU392" s="46"/>
      <c r="BV392" s="46"/>
      <c r="BW392" s="46"/>
      <c r="BX392" s="46"/>
      <c r="BY392" s="46"/>
      <c r="BZ392" s="46"/>
      <c r="CA392" s="46"/>
      <c r="CB392" s="46"/>
      <c r="CC392" s="46"/>
    </row>
    <row r="393">
      <c r="A393" s="87" t="str">
        <f>IFERROR(__xludf.DUMMYFUNCTION("""COMPUTED_VALUE"""),"1360")</f>
        <v>1360</v>
      </c>
      <c r="B393" s="46" t="str">
        <f>IFERROR(__xludf.DUMMYFUNCTION("""COMPUTED_VALUE"""),"Apartamento en edificio El Cafetal - Centro")</f>
        <v>Apartamento en edificio El Cafetal - Centro</v>
      </c>
      <c r="C393" s="46" t="str">
        <f>IFERROR(__xludf.DUMMYFUNCTION("""COMPUTED_VALUE"""),"Apartamento")</f>
        <v>Apartamento</v>
      </c>
      <c r="D393" s="46" t="str">
        <f>IFERROR(__xludf.DUMMYFUNCTION("""COMPUTED_VALUE"""),"Centro")</f>
        <v>Centro</v>
      </c>
      <c r="E393" s="46"/>
      <c r="F393" s="90">
        <f>IFERROR(__xludf.DUMMYFUNCTION("""COMPUTED_VALUE"""),2.35E8)</f>
        <v>235000000</v>
      </c>
      <c r="G393" s="46" t="str">
        <f>IFERROR(__xludf.DUMMYFUNCTION("""COMPUTED_VALUE"""),"$200'000.000 a $300'000.000")</f>
        <v>$200'000.000 a $300'000.000</v>
      </c>
      <c r="H393" s="46"/>
      <c r="I393" s="46"/>
      <c r="J393" s="46" t="str">
        <f>IFERROR(__xludf.DUMMYFUNCTION("""COMPUTED_VALUE"""),"Centro")</f>
        <v>Centro</v>
      </c>
      <c r="K393" s="87" t="str">
        <f>IFERROR(__xludf.DUMMYFUNCTION("""COMPUTED_VALUE"""),"4")</f>
        <v>4</v>
      </c>
      <c r="L393" s="46">
        <f>IFERROR(__xludf.DUMMYFUNCTION("""COMPUTED_VALUE"""),3.0)</f>
        <v>3</v>
      </c>
      <c r="M393" s="46"/>
      <c r="N393" s="46">
        <f>IFERROR(__xludf.DUMMYFUNCTION("""COMPUTED_VALUE"""),3.0)</f>
        <v>3</v>
      </c>
      <c r="O393" s="46">
        <f>IFERROR(__xludf.DUMMYFUNCTION("""COMPUTED_VALUE"""),1.0)</f>
        <v>1</v>
      </c>
      <c r="P393" s="46">
        <f>IFERROR(__xludf.DUMMYFUNCTION("""COMPUTED_VALUE"""),3.0)</f>
        <v>3</v>
      </c>
      <c r="Q393" s="92">
        <f>IFERROR(__xludf.DUMMYFUNCTION("""COMPUTED_VALUE"""),119.91)</f>
        <v>119.91</v>
      </c>
      <c r="R393" s="92">
        <f>IFERROR(__xludf.DUMMYFUNCTION("""COMPUTED_VALUE"""),119.91)</f>
        <v>119.91</v>
      </c>
      <c r="S393" s="87" t="str">
        <f>IFERROR(__xludf.DUMMYFUNCTION("""COMPUTED_VALUE""")," ")</f>
        <v> </v>
      </c>
      <c r="T393" s="46" t="str">
        <f>IFERROR(__xludf.DUMMYFUNCTION("""COMPUTED_VALUE"""),"Neiva")</f>
        <v>Neiva</v>
      </c>
      <c r="U393" s="87" t="str">
        <f>IFERROR(__xludf.DUMMYFUNCTION("""COMPUTED_VALUE"""),"4")</f>
        <v>4</v>
      </c>
      <c r="V393" s="46">
        <f>IFERROR(__xludf.DUMMYFUNCTION("""COMPUTED_VALUE"""),3.0)</f>
        <v>3</v>
      </c>
      <c r="W393" s="46"/>
      <c r="X393" s="46">
        <f>IFERROR(__xludf.DUMMYFUNCTION("""COMPUTED_VALUE"""),3.0)</f>
        <v>3</v>
      </c>
      <c r="Y393" s="46" t="str">
        <f>IFERROR(__xludf.DUMMYFUNCTION("""COMPUTED_VALUE"""),"No tiene")</f>
        <v>No tiene</v>
      </c>
      <c r="Z393" s="90"/>
      <c r="AA393" s="33" t="str">
        <f>IFERROR(__xludf.DUMMYFUNCTION("""COMPUTED_VALUE"""),"No aplica")</f>
        <v>No aplica</v>
      </c>
      <c r="AB393" s="96" t="str">
        <f>IFERROR(__xludf.DUMMYFUNCTION("""COMPUTED_VALUE"""),"https://photos.app.goo.gl/xu5bBDj2gJyBoQLy8")</f>
        <v>https://photos.app.goo.gl/xu5bBDj2gJyBoQLy8</v>
      </c>
      <c r="AC393" s="46" t="str">
        <f>IFERROR(__xludf.DUMMYFUNCTION("""COMPUTED_VALUE"""),"Cuenta con 3 habitaciones principales más habitación de servicio, 3 baños, sala y comedor de excelente tamaño, además de parqueadero. Este inmueble es ideal para quienes buscan confort, ubicación estratégica y valorización. La propiedad se encuentra libre"&amp;" de deudas, lista para una negociación ágil y segura.")</f>
        <v>Cuenta con 3 habitaciones principales más habitación de servicio, 3 baños, sala y comedor de excelente tamaño, además de parqueadero. Este inmueble es ideal para quienes buscan confort, ubicación estratégica y valorización. La propiedad se encuentra libre de deudas, lista para una negociación ágil y segura.</v>
      </c>
      <c r="AD393" s="46" t="str">
        <f>IFERROR(__xludf.DUMMYFUNCTION("""COMPUTED_VALUE"""),"Oportunidad única de inversión y vivienda. Se vende amplio y acogedor apartamento en el Edificio El Cafetal, ubicado en un tercer piso, con un área de 119.91 m² que ofrece espacios cómodos y bien distribuidos.")</f>
        <v>Oportunidad única de inversión y vivienda. Se vende amplio y acogedor apartamento en el Edificio El Cafetal, ubicado en un tercer piso, con un área de 119.91 m² que ofrece espacios cómodos y bien distribuidos.</v>
      </c>
      <c r="AE393" s="46"/>
      <c r="AF393" s="46" t="str">
        <f>IFERROR(__xludf.DUMMYFUNCTION("""COMPUTED_VALUE"""),"integral")</f>
        <v>integral</v>
      </c>
      <c r="AG393" s="46"/>
      <c r="AH393" s="46" t="str">
        <f>IFERROR(__xludf.DUMMYFUNCTION("""COMPUTED_VALUE"""),"Aliado")</f>
        <v>Aliado</v>
      </c>
      <c r="AI393" s="92" t="str">
        <f>IFERROR(__xludf.DUMMYFUNCTION("""COMPUTED_VALUE"""),"https://lh3.googleusercontent.com/pw/AP1GczNkPKaOOus0Ps8QePq0tPoc2B4WH_XQWI_ZSAnGIZQ2Hl2KiXsv_V5wGyKSLP3Gc0fCr-jRhB6GTZhNIqfAzj7vtu8H2Fx_NqFYjii_H9bRhK0uBc8R=w1200|https://lh3.googleusercontent.com/pw/AP1GczPeFw8qzOIgpwW7mQ9Q6sMYYtyA0eypfwW0gi1l46K_cDt7yT"&amp;"OTV4KD-joeBt5YeMDIOIsy_W8ACjMqRuDAEB0mR5sEurcZpik9nwfVakjUnwlhOTSS=w1200|https://lh3.googleusercontent.com/pw/AP1GczMSmHw_K6IyZ094eywYPPjNh_2hfr6mnYLKHfF7SU3S6ovkvVRLbDiQApVeDts-bXzFrQ4BagnUjxZoSQVmfXSND1TwHkmzaVrnyAmircH2E1u1ePLk=w1200|https://lh3.google"&amp;"usercontent.com/pw/AP1GczNfcCOlftKcwcjBwKkB8M1kQPeO9WYx9B4g7eFEs3tU_7j7VEhKS-QxrKTOOn6MrErbKmJYk_IcUp1WjFuO5DAKoJTecQxVGvo4spBP3kEY-TaEXxQr=w1200|https://lh3.googleusercontent.com/pw/AP1GczOT6Hg7atCUKfL6gX2oY46Bq-cMIy-yoAyRltfBABL4cduHezpMlCWiUd1uTcSLeNzm"&amp;"BotCb-loJd3SFiIsFcJT8vNumqP8vrm9y-Di-iPh1qhW58lY=w1200|https://lh3.googleusercontent.com/pw/AP1GczPaPAPMTU6ZbN2nbwkakKlJHS04KqCHnpWfFqNRPhfEQtmGB37W30AvF9DQV57isl5-YZ-jElwYUGFP2TZbSQ3PB8K4dE1u_7_Ioxwoy8JfSkiAr_yO=w1200|https://lh3.googleusercontent.com/pw"&amp;"/AP1GczMyIHFqE9WJjuvkx87hq0nBKfrOCbWLAafcUok-5nTGghb4H1MYrOKX6ZCv8NGXohqFfVOp6X_zT-p8bcwweT7Gg64yzw_nZjS2ZbEu6m3HNJ5QRv2E=w1200|https://lh3.googleusercontent.com/pw/AP1GczNEaf7ZTLUJByAgae1OHL0Yd5zk4Jgnozm3tZI1oRtPkwADbueKcHHgZ2fHr3w3T5ZiJChFzwccBL2HPoEnE5"&amp;"wix-xqYYsXbXp_qYs9fUxBZmhL_hyu=w1200|https://lh3.googleusercontent.com/pw/AP1GczNAnvHcF_TMO6MUI0C6SFAY8QckRBNRaxWC8nH2vdZsvG0Vf__bbswefk-a294wpSYh_jb-VogcJzyRA1nPSjyN_eabDZR4k-HtC7DWgsUAbu_lOQR2=w1200")</f>
        <v>https://lh3.googleusercontent.com/pw/AP1GczNkPKaOOus0Ps8QePq0tPoc2B4WH_XQWI_ZSAnGIZQ2Hl2KiXsv_V5wGyKSLP3Gc0fCr-jRhB6GTZhNIqfAzj7vtu8H2Fx_NqFYjii_H9bRhK0uBc8R=w1200|https://lh3.googleusercontent.com/pw/AP1GczPeFw8qzOIgpwW7mQ9Q6sMYYtyA0eypfwW0gi1l46K_cDt7yTOTV4KD-joeBt5YeMDIOIsy_W8ACjMqRuDAEB0mR5sEurcZpik9nwfVakjUnwlhOTSS=w1200|https://lh3.googleusercontent.com/pw/AP1GczMSmHw_K6IyZ094eywYPPjNh_2hfr6mnYLKHfF7SU3S6ovkvVRLbDiQApVeDts-bXzFrQ4BagnUjxZoSQVmfXSND1TwHkmzaVrnyAmircH2E1u1ePLk=w1200|https://lh3.googleusercontent.com/pw/AP1GczNfcCOlftKcwcjBwKkB8M1kQPeO9WYx9B4g7eFEs3tU_7j7VEhKS-QxrKTOOn6MrErbKmJYk_IcUp1WjFuO5DAKoJTecQxVGvo4spBP3kEY-TaEXxQr=w1200|https://lh3.googleusercontent.com/pw/AP1GczOT6Hg7atCUKfL6gX2oY46Bq-cMIy-yoAyRltfBABL4cduHezpMlCWiUd1uTcSLeNzmBotCb-loJd3SFiIsFcJT8vNumqP8vrm9y-Di-iPh1qhW58lY=w1200|https://lh3.googleusercontent.com/pw/AP1GczPaPAPMTU6ZbN2nbwkakKlJHS04KqCHnpWfFqNRPhfEQtmGB37W30AvF9DQV57isl5-YZ-jElwYUGFP2TZbSQ3PB8K4dE1u_7_Ioxwoy8JfSkiAr_yO=w1200|https://lh3.googleusercontent.com/pw/AP1GczMyIHFqE9WJjuvkx87hq0nBKfrOCbWLAafcUok-5nTGghb4H1MYrOKX6ZCv8NGXohqFfVOp6X_zT-p8bcwweT7Gg64yzw_nZjS2ZbEu6m3HNJ5QRv2E=w1200|https://lh3.googleusercontent.com/pw/AP1GczNEaf7ZTLUJByAgae1OHL0Yd5zk4Jgnozm3tZI1oRtPkwADbueKcHHgZ2fHr3w3T5ZiJChFzwccBL2HPoEnE5wix-xqYYsXbXp_qYs9fUxBZmhL_hyu=w1200|https://lh3.googleusercontent.com/pw/AP1GczNAnvHcF_TMO6MUI0C6SFAY8QckRBNRaxWC8nH2vdZsvG0Vf__bbswefk-a294wpSYh_jb-VogcJzyRA1nPSjyN_eabDZR4k-HtC7DWgsUAbu_lOQR2=w1200</v>
      </c>
      <c r="AJ393" s="46"/>
      <c r="AK393" s="46"/>
      <c r="AL393" s="46"/>
      <c r="AM393" s="46"/>
      <c r="AN393" s="46"/>
      <c r="AO393" s="46"/>
      <c r="AP393" s="46"/>
      <c r="AQ393" s="46"/>
      <c r="AR393" s="46"/>
      <c r="AS393" s="46"/>
      <c r="AT393" s="46"/>
      <c r="AU393" s="46"/>
      <c r="AV393" s="46"/>
      <c r="AW393" s="46"/>
      <c r="AX393" s="46"/>
      <c r="AY393" s="46"/>
      <c r="AZ393" s="46"/>
      <c r="BA393" s="46"/>
      <c r="BB393" s="46"/>
      <c r="BC393" s="46"/>
      <c r="BD393" s="46"/>
      <c r="BE393" s="46"/>
      <c r="BF393" s="46"/>
      <c r="BG393" s="46"/>
      <c r="BH393" s="46"/>
      <c r="BI393" s="46"/>
      <c r="BJ393" s="46"/>
      <c r="BK393" s="46"/>
      <c r="BL393" s="46"/>
      <c r="BM393" s="46"/>
      <c r="BN393" s="46"/>
      <c r="BO393" s="46"/>
      <c r="BP393" s="46"/>
      <c r="BQ393" s="46"/>
      <c r="BR393" s="46"/>
      <c r="BS393" s="46"/>
      <c r="BT393" s="46"/>
      <c r="BU393" s="46"/>
      <c r="BV393" s="46"/>
      <c r="BW393" s="46"/>
      <c r="BX393" s="46"/>
      <c r="BY393" s="46"/>
      <c r="BZ393" s="46"/>
      <c r="CA393" s="46"/>
      <c r="CB393" s="46"/>
      <c r="CC393" s="46"/>
    </row>
    <row r="394">
      <c r="A394" s="87" t="str">
        <f>IFERROR(__xludf.DUMMYFUNCTION("""COMPUTED_VALUE"""),"713")</f>
        <v>713</v>
      </c>
      <c r="B394" s="46" t="str">
        <f>IFERROR(__xludf.DUMMYFUNCTION("""COMPUTED_VALUE"""),"Casa en barrio Santa Ines")</f>
        <v>Casa en barrio Santa Ines</v>
      </c>
      <c r="C394" s="46" t="str">
        <f>IFERROR(__xludf.DUMMYFUNCTION("""COMPUTED_VALUE"""),"Casa")</f>
        <v>Casa</v>
      </c>
      <c r="D394" s="90" t="str">
        <f>IFERROR(__xludf.DUMMYFUNCTION("""COMPUTED_VALUE"""),"Santa Inés")</f>
        <v>Santa Inés</v>
      </c>
      <c r="E394" s="90" t="str">
        <f>IFERROR(__xludf.DUMMYFUNCTION("""COMPUTED_VALUE""")," ")</f>
        <v> </v>
      </c>
      <c r="F394" s="90">
        <f>IFERROR(__xludf.DUMMYFUNCTION("""COMPUTED_VALUE"""),2.2E8)</f>
        <v>220000000</v>
      </c>
      <c r="G394" s="46" t="str">
        <f>IFERROR(__xludf.DUMMYFUNCTION("""COMPUTED_VALUE"""),"$200'000.000 a $300'000.000")</f>
        <v>$200'000.000 a $300'000.000</v>
      </c>
      <c r="H394" s="46"/>
      <c r="I394" s="46"/>
      <c r="J394" s="46" t="str">
        <f>IFERROR(__xludf.DUMMYFUNCTION("""COMPUTED_VALUE"""),"Norte")</f>
        <v>Norte</v>
      </c>
      <c r="K394" s="87"/>
      <c r="L394" s="46">
        <f>IFERROR(__xludf.DUMMYFUNCTION("""COMPUTED_VALUE"""),3.0)</f>
        <v>3</v>
      </c>
      <c r="M394" s="46"/>
      <c r="N394" s="46">
        <f>IFERROR(__xludf.DUMMYFUNCTION("""COMPUTED_VALUE"""),3.0)</f>
        <v>3</v>
      </c>
      <c r="O394" s="46">
        <f>IFERROR(__xludf.DUMMYFUNCTION("""COMPUTED_VALUE"""),1.0)</f>
        <v>1</v>
      </c>
      <c r="P394" s="46">
        <f>IFERROR(__xludf.DUMMYFUNCTION("""COMPUTED_VALUE"""),1.0)</f>
        <v>1</v>
      </c>
      <c r="Q394" s="92">
        <f>IFERROR(__xludf.DUMMYFUNCTION("""COMPUTED_VALUE"""),94.0)</f>
        <v>94</v>
      </c>
      <c r="R394" s="92">
        <f>IFERROR(__xludf.DUMMYFUNCTION("""COMPUTED_VALUE"""),94.0)</f>
        <v>94</v>
      </c>
      <c r="S394" s="87" t="str">
        <f>IFERROR(__xludf.DUMMYFUNCTION("""COMPUTED_VALUE""")," ")</f>
        <v> </v>
      </c>
      <c r="T394" s="46" t="str">
        <f>IFERROR(__xludf.DUMMYFUNCTION("""COMPUTED_VALUE"""),"Neiva")</f>
        <v>Neiva</v>
      </c>
      <c r="U394" s="87" t="str">
        <f>IFERROR(__xludf.DUMMYFUNCTION("""COMPUTED_VALUE"""),"2")</f>
        <v>2</v>
      </c>
      <c r="V394" s="46" t="str">
        <f>IFERROR(__xludf.DUMMYFUNCTION("""COMPUTED_VALUE"""),"Medianera")</f>
        <v>Medianera</v>
      </c>
      <c r="W394" s="46"/>
      <c r="X394" s="46">
        <f>IFERROR(__xludf.DUMMYFUNCTION("""COMPUTED_VALUE"""),3.0)</f>
        <v>3</v>
      </c>
      <c r="Y394" s="46" t="str">
        <f>IFERROR(__xludf.DUMMYFUNCTION("""COMPUTED_VALUE"""),"No tiene")</f>
        <v>No tiene</v>
      </c>
      <c r="Z394" s="90" t="str">
        <f>IFERROR(__xludf.DUMMYFUNCTION("""COMPUTED_VALUE"""),"No aplica")</f>
        <v>No aplica</v>
      </c>
      <c r="AA394" s="33" t="str">
        <f>IFERROR(__xludf.DUMMYFUNCTION("""COMPUTED_VALUE"""),"No aplica")</f>
        <v>No aplica</v>
      </c>
      <c r="AB394" s="144" t="str">
        <f>IFERROR(__xludf.DUMMYFUNCTION("""COMPUTED_VALUE"""),"https://photos.app.goo.gl/WAGTuuc72N7MSkEt8")</f>
        <v>https://photos.app.goo.gl/WAGTuuc72N7MSkEt8</v>
      </c>
      <c r="AC394" s="46"/>
      <c r="AD394" s="46" t="str">
        <f>IFERROR(__xludf.DUMMYFUNCTION("""COMPUTED_VALUE"""),"Casa bien ubicada y con buenos acabados.  Escritura al día.")</f>
        <v>Casa bien ubicada y con buenos acabados.  Escritura al día.</v>
      </c>
      <c r="AE394" s="46"/>
      <c r="AF394" s="46" t="str">
        <f>IFERROR(__xludf.DUMMYFUNCTION("""COMPUTED_VALUE"""),"integral")</f>
        <v>integral</v>
      </c>
      <c r="AG394" s="46"/>
      <c r="AH394" s="46" t="str">
        <f>IFERROR(__xludf.DUMMYFUNCTION("""COMPUTED_VALUE"""),"Aliado")</f>
        <v>Aliado</v>
      </c>
      <c r="AI394" s="92" t="str">
        <f>IFERROR(__xludf.DUMMYFUNCTION("""COMPUTED_VALUE"""),"https://lh3.googleusercontent.com/pw/AP1GczMyVd-6KGPLUeErQLTBXtd8DbFblkt5Kx_nW1h9Qsr9SAHDhwbAL2gFOheaUg2VX94rfjz4Xm-HY8p3VR5JGyn1LkT1xQrUMbN1AzR-uYQHLGdTOt94=w1200|https://lh3.googleusercontent.com/pw/AP1GczNlQ5k1fys3tvY_SvfEk1YfTPwYjcvhbL1Z_ekhI54IfliNwv"&amp;"kbse_hwZru6UktlQydBR0hRUcKN01u6Y1uRgUiBVT56qwvkmjWBsFCMNYxQdQ2WshX=w1200|https://lh3.googleusercontent.com/pw/AP1GczNRZT4D_l3jRhXZqxsYrxTXiUk54pQ9F4cB3wUIUbTh-VrnzJO2zVIBuJkwmWGENkDKg_HI9qJkCXy8qVMCujNulKF92Y10TvdJap7RRMCaXgcIlQG4=w1200|https://lh3.google"&amp;"usercontent.com/pw/AP1GczO9Q38IQb9mu07mHh5t8x-Idnue3WeXKEw2b5PE7T3M5sTe52jn6URFHQ-A3QRZAmg6zmCfagtH0L0YdVlLbAqdK9cPsDmY3KrD_MIKMMiA8ymA67UP=w1200|https://lh3.googleusercontent.com/pw/AP1GczOWIsf7SG1PtRdX0sE-m94RIKLq2zyigOGiyyA6Mslm4WkKgNQpYY1-ezNjgb31sPa5"&amp;"S68N7CRGCM6DCAeAi0Lt45069tRNH-mjKF7-t-zpVqzuPXLu=w1200|https://lh3.googleusercontent.com/pw/AP1GczNSngDZs7Gm3oM_m0Xwejq7PZYXNaHlrCTh4Y02vwe2SKgn5Q7EKzqTqGEwxjnY4aA19kSjEyvkPAy1CsU8e9dX2HlKOELww9ktuYx4ZF4IdDj0XwIT=w1200|https://lh3.googleusercontent.com/pw"&amp;"/AP1GczNEkW3fBoWYphjV8aX_LDZK9F0n9StNBgg7NZV2fHg7ECAI9ziea7wJnDcvoKnXwrhpjkPYh8nDziE4tftvcl0-njytaXKh_sq8P0pxKXtnh7jnGLvt=w1200|https://lh3.googleusercontent.com/pw/AP1GczOudndQUZwb8xNG9NVAS_DGXoKpXbDapsAXD4aE8r7W6WXwKRh93eKK5Vs1wsFr5pGtDE2wUA5Jt5WIGFkgEt"&amp;"mSCbWq-FqxOKKnXFZQi_xBjGzDt9wg=w1200|https://lh3.googleusercontent.com/pw/AP1GczPIdIBY8IdfFvEYsATdE_aCVF2dKBZlDeMvta-tWq4HcA8AJKdH8whdTb4mp4fP3tYfRqW9_QxaOlZXIRqdG-KOQSLmjg572XM_PKRhzcxYh6B0L2ki=w1200|https://lh3.googleusercontent.com/pw/AP1GczPunyOePk7S4"&amp;"TSoHJotzfV7Q8SJP2jg0MbTN270wSHYBwRB9RwNi4802dz-bqj1CPcFeKkYkaiyQEA6DQroHWvhaIYGkvviuksOVMOmZX9nTG1ICAmT=w1200|https://lh3.googleusercontent.com/pw/AP1GczNKBg2Q25UdalPGNXhvCH95_8tPoqMy09hlVITrbXtxtNpi0Qa3Y9o26zq0MbGWSAldCioLcKVK9nCoYPpo0pI-Az1ArEh-uIS098jJ"&amp;"VwncjrGbz95f=w1200|https://lh3.googleusercontent.com/pw/AP1GczMhmmyfvJo257klUPo52jZMBUSvh8ctQWbYbOrWMqhlImFFYfxGE7UoP4ueE_zq_soZ4aBmeVRbqlL2kFPKqRw_FykOPfbyGOl2krp0jk_9JwTIqm_A=w1200|https://lh3.googleusercontent.com/pw/AP1GczM4sLMbSH9FK0e9glFk_oLg4xsqKUj"&amp;"0VoATPI0ZVNb4akELTIQT7ub9eZDzEaralS14Xa31rvE0iU6Or1pyd_HbtCM0TUA7Dd5vw7bRnw_aZ0bB5l_E=w1200|https://lh3.googleusercontent.com/pw/AP1GczPDJzuOjneaBHgdNOOBpnDew1IN_amg9v6WOKimk4ivHQNtD5aBbmEEyD6bui6EIlgkMILt2qHkhCYL3b72Bf431jq0Qrb_OlTzXYo-a5k32BLAjvTU=w1200")</f>
        <v>https://lh3.googleusercontent.com/pw/AP1GczMyVd-6KGPLUeErQLTBXtd8DbFblkt5Kx_nW1h9Qsr9SAHDhwbAL2gFOheaUg2VX94rfjz4Xm-HY8p3VR5JGyn1LkT1xQrUMbN1AzR-uYQHLGdTOt94=w1200|https://lh3.googleusercontent.com/pw/AP1GczNlQ5k1fys3tvY_SvfEk1YfTPwYjcvhbL1Z_ekhI54IfliNwvkbse_hwZru6UktlQydBR0hRUcKN01u6Y1uRgUiBVT56qwvkmjWBsFCMNYxQdQ2WshX=w1200|https://lh3.googleusercontent.com/pw/AP1GczNRZT4D_l3jRhXZqxsYrxTXiUk54pQ9F4cB3wUIUbTh-VrnzJO2zVIBuJkwmWGENkDKg_HI9qJkCXy8qVMCujNulKF92Y10TvdJap7RRMCaXgcIlQG4=w1200|https://lh3.googleusercontent.com/pw/AP1GczO9Q38IQb9mu07mHh5t8x-Idnue3WeXKEw2b5PE7T3M5sTe52jn6URFHQ-A3QRZAmg6zmCfagtH0L0YdVlLbAqdK9cPsDmY3KrD_MIKMMiA8ymA67UP=w1200|https://lh3.googleusercontent.com/pw/AP1GczOWIsf7SG1PtRdX0sE-m94RIKLq2zyigOGiyyA6Mslm4WkKgNQpYY1-ezNjgb31sPa5S68N7CRGCM6DCAeAi0Lt45069tRNH-mjKF7-t-zpVqzuPXLu=w1200|https://lh3.googleusercontent.com/pw/AP1GczNSngDZs7Gm3oM_m0Xwejq7PZYXNaHlrCTh4Y02vwe2SKgn5Q7EKzqTqGEwxjnY4aA19kSjEyvkPAy1CsU8e9dX2HlKOELww9ktuYx4ZF4IdDj0XwIT=w1200|https://lh3.googleusercontent.com/pw/AP1GczNEkW3fBoWYphjV8aX_LDZK9F0n9StNBgg7NZV2fHg7ECAI9ziea7wJnDcvoKnXwrhpjkPYh8nDziE4tftvcl0-njytaXKh_sq8P0pxKXtnh7jnGLvt=w1200|https://lh3.googleusercontent.com/pw/AP1GczOudndQUZwb8xNG9NVAS_DGXoKpXbDapsAXD4aE8r7W6WXwKRh93eKK5Vs1wsFr5pGtDE2wUA5Jt5WIGFkgEtmSCbWq-FqxOKKnXFZQi_xBjGzDt9wg=w1200|https://lh3.googleusercontent.com/pw/AP1GczPIdIBY8IdfFvEYsATdE_aCVF2dKBZlDeMvta-tWq4HcA8AJKdH8whdTb4mp4fP3tYfRqW9_QxaOlZXIRqdG-KOQSLmjg572XM_PKRhzcxYh6B0L2ki=w1200|https://lh3.googleusercontent.com/pw/AP1GczPunyOePk7S4TSoHJotzfV7Q8SJP2jg0MbTN270wSHYBwRB9RwNi4802dz-bqj1CPcFeKkYkaiyQEA6DQroHWvhaIYGkvviuksOVMOmZX9nTG1ICAmT=w1200|https://lh3.googleusercontent.com/pw/AP1GczNKBg2Q25UdalPGNXhvCH95_8tPoqMy09hlVITrbXtxtNpi0Qa3Y9o26zq0MbGWSAldCioLcKVK9nCoYPpo0pI-Az1ArEh-uIS098jJVwncjrGbz95f=w1200|https://lh3.googleusercontent.com/pw/AP1GczMhmmyfvJo257klUPo52jZMBUSvh8ctQWbYbOrWMqhlImFFYfxGE7UoP4ueE_zq_soZ4aBmeVRbqlL2kFPKqRw_FykOPfbyGOl2krp0jk_9JwTIqm_A=w1200|https://lh3.googleusercontent.com/pw/AP1GczM4sLMbSH9FK0e9glFk_oLg4xsqKUj0VoATPI0ZVNb4akELTIQT7ub9eZDzEaralS14Xa31rvE0iU6Or1pyd_HbtCM0TUA7Dd5vw7bRnw_aZ0bB5l_E=w1200|https://lh3.googleusercontent.com/pw/AP1GczPDJzuOjneaBHgdNOOBpnDew1IN_amg9v6WOKimk4ivHQNtD5aBbmEEyD6bui6EIlgkMILt2qHkhCYL3b72Bf431jq0Qrb_OlTzXYo-a5k32BLAjvTU=w1200</v>
      </c>
      <c r="AJ394" s="46"/>
      <c r="AK394" s="46"/>
      <c r="AL394" s="46"/>
      <c r="AM394" s="46"/>
      <c r="AN394" s="46"/>
      <c r="AO394" s="46"/>
      <c r="AP394" s="46"/>
      <c r="AQ394" s="46"/>
      <c r="AR394" s="46"/>
      <c r="AS394" s="46"/>
      <c r="AT394" s="46"/>
      <c r="AU394" s="46"/>
      <c r="AV394" s="46"/>
      <c r="AW394" s="46"/>
      <c r="AX394" s="46"/>
      <c r="AY394" s="46"/>
      <c r="AZ394" s="46"/>
      <c r="BA394" s="46"/>
      <c r="BB394" s="46"/>
      <c r="BC394" s="46"/>
      <c r="BD394" s="46"/>
      <c r="BE394" s="46"/>
      <c r="BF394" s="46"/>
      <c r="BG394" s="46"/>
      <c r="BH394" s="46"/>
      <c r="BI394" s="46"/>
      <c r="BJ394" s="46"/>
      <c r="BK394" s="46"/>
      <c r="BL394" s="46"/>
      <c r="BM394" s="46"/>
      <c r="BN394" s="46"/>
      <c r="BO394" s="46"/>
      <c r="BP394" s="46"/>
      <c r="BQ394" s="46"/>
      <c r="BR394" s="46"/>
      <c r="BS394" s="46"/>
      <c r="BT394" s="46"/>
      <c r="BU394" s="46"/>
      <c r="BV394" s="46"/>
      <c r="BW394" s="46"/>
      <c r="BX394" s="46"/>
      <c r="BY394" s="46"/>
      <c r="BZ394" s="46"/>
      <c r="CA394" s="46"/>
      <c r="CB394" s="46"/>
      <c r="CC394" s="46"/>
    </row>
    <row r="395">
      <c r="A395" s="87" t="str">
        <f>IFERROR(__xludf.DUMMYFUNCTION("""COMPUTED_VALUE"""),"1005")</f>
        <v>1005</v>
      </c>
      <c r="B395" s="46" t="str">
        <f>IFERROR(__xludf.DUMMYFUNCTION("""COMPUTED_VALUE"""),"Local en Centro comerial San Juan Plaza - Norte")</f>
        <v>Local en Centro comerial San Juan Plaza - Norte</v>
      </c>
      <c r="C395" s="46" t="str">
        <f>IFERROR(__xludf.DUMMYFUNCTION("""COMPUTED_VALUE"""),"Local")</f>
        <v>Local</v>
      </c>
      <c r="D395" s="46" t="str">
        <f>IFERROR(__xludf.DUMMYFUNCTION("""COMPUTED_VALUE"""),"Alamos Norte")</f>
        <v>Alamos Norte</v>
      </c>
      <c r="E395" s="46"/>
      <c r="F395" s="90">
        <f>IFERROR(__xludf.DUMMYFUNCTION("""COMPUTED_VALUE"""),2.1E8)</f>
        <v>210000000</v>
      </c>
      <c r="G395" s="46" t="str">
        <f>IFERROR(__xludf.DUMMYFUNCTION("""COMPUTED_VALUE"""),"$200'000.000 a $300'000.000")</f>
        <v>$200'000.000 a $300'000.000</v>
      </c>
      <c r="H395" s="46"/>
      <c r="I395" s="46"/>
      <c r="J395" s="46" t="str">
        <f>IFERROR(__xludf.DUMMYFUNCTION("""COMPUTED_VALUE"""),"Norte")</f>
        <v>Norte</v>
      </c>
      <c r="K395" s="87" t="str">
        <f>IFERROR(__xludf.DUMMYFUNCTION("""COMPUTED_VALUE"""),"2")</f>
        <v>2</v>
      </c>
      <c r="L395" s="46">
        <f>IFERROR(__xludf.DUMMYFUNCTION("""COMPUTED_VALUE"""),0.0)</f>
        <v>0</v>
      </c>
      <c r="M395" s="46"/>
      <c r="N395" s="46">
        <f>IFERROR(__xludf.DUMMYFUNCTION("""COMPUTED_VALUE"""),1.0)</f>
        <v>1</v>
      </c>
      <c r="O395" s="46">
        <f>IFERROR(__xludf.DUMMYFUNCTION("""COMPUTED_VALUE"""),0.0)</f>
        <v>0</v>
      </c>
      <c r="P395" s="46">
        <f>IFERROR(__xludf.DUMMYFUNCTION("""COMPUTED_VALUE"""),1.0)</f>
        <v>1</v>
      </c>
      <c r="Q395" s="92">
        <f>IFERROR(__xludf.DUMMYFUNCTION("""COMPUTED_VALUE"""),3119.0)</f>
        <v>3119</v>
      </c>
      <c r="R395" s="92">
        <f>IFERROR(__xludf.DUMMYFUNCTION("""COMPUTED_VALUE"""),3119.0)</f>
        <v>3119</v>
      </c>
      <c r="S395" s="87" t="str">
        <f>IFERROR(__xludf.DUMMYFUNCTION("""COMPUTED_VALUE""")," ")</f>
        <v> </v>
      </c>
      <c r="T395" s="46" t="str">
        <f>IFERROR(__xludf.DUMMYFUNCTION("""COMPUTED_VALUE"""),"Neiva")</f>
        <v>Neiva</v>
      </c>
      <c r="U395" s="87" t="str">
        <f>IFERROR(__xludf.DUMMYFUNCTION("""COMPUTED_VALUE"""),"Comercial")</f>
        <v>Comercial</v>
      </c>
      <c r="V395" s="46" t="str">
        <f>IFERROR(__xludf.DUMMYFUNCTION("""COMPUTED_VALUE"""),"Esquinera")</f>
        <v>Esquinera</v>
      </c>
      <c r="W395" s="46"/>
      <c r="X395" s="46">
        <f>IFERROR(__xludf.DUMMYFUNCTION("""COMPUTED_VALUE"""),1.0)</f>
        <v>1</v>
      </c>
      <c r="Y395" s="46" t="str">
        <f>IFERROR(__xludf.DUMMYFUNCTION("""COMPUTED_VALUE"""),"No tiene")</f>
        <v>No tiene</v>
      </c>
      <c r="Z395" s="90"/>
      <c r="AA395" s="33" t="str">
        <f>IFERROR(__xludf.DUMMYFUNCTION("""COMPUTED_VALUE"""),"No aplica")</f>
        <v>No aplica</v>
      </c>
      <c r="AB395" s="144" t="str">
        <f>IFERROR(__xludf.DUMMYFUNCTION("""COMPUTED_VALUE"""),"https://photos.app.goo.gl/doFcVdcMp63Cc6hy7")</f>
        <v>https://photos.app.goo.gl/doFcVdcMp63Cc6hy7</v>
      </c>
      <c r="AC395" s="46" t="str">
        <f>IFERROR(__xludf.DUMMYFUNCTION("""COMPUTED_VALUE"""),"Local comercial en primer piso en sector exclusivo de la ciudad en el centro comercial San Juan Plaza, con excelente ubicación y exhibición doble vitrina.")</f>
        <v>Local comercial en primer piso en sector exclusivo de la ciudad en el centro comercial San Juan Plaza, con excelente ubicación y exhibición doble vitrina.</v>
      </c>
      <c r="AD395" s="46" t="str">
        <f>IFERROR(__xludf.DUMMYFUNCTION("""COMPUTED_VALUE"""),"Local bien ubicado, con buenos acabados y doble vitrina")</f>
        <v>Local bien ubicado, con buenos acabados y doble vitrina</v>
      </c>
      <c r="AE395" s="46"/>
      <c r="AF395" s="46">
        <f>IFERROR(__xludf.DUMMYFUNCTION("""COMPUTED_VALUE"""),0.0)</f>
        <v>0</v>
      </c>
      <c r="AG395" s="46"/>
      <c r="AH395" s="46" t="str">
        <f>IFERROR(__xludf.DUMMYFUNCTION("""COMPUTED_VALUE"""),"Aliado")</f>
        <v>Aliado</v>
      </c>
      <c r="AI395" s="92" t="str">
        <f>IFERROR(__xludf.DUMMYFUNCTION("""COMPUTED_VALUE"""),"https://lh3.googleusercontent.com/pw/AP1GczMuR2sJZOJnqvg-cktJfgpSPDBhaCzLZdQ7lh9e2X99oGFTQHp8QhW3dg3KTnFl7gQs6ofXYpMMMmquIG5tOAkkcFqmPnm4ao_PrUHMc7CTSC6PfY5X=w1200|https://lh3.googleusercontent.com/pw/AP1GczMc6VzWMYZMiWYZAOJ3g0Erw4d0I0EzxyXQFwCXCkFntI9gLM"&amp;"p8uEu5qq3Syc3JQNOwNUua3v5oKdTuzFLB-WYGDc-WOx4143V7ms4x3ciGa0Zw3NND=w1200|https://lh3.googleusercontent.com/pw/AP1GczPRzhWViKl9x6bsyy1CBwpeD1pyrp43zewsrV7_i80agsaQWtGDC7rMDTW48HDv5WXc1wWcMEO01e33R4GQSPOlhH0ybR32Wl4NchSJL7UId1GZ8lMk=w1200")</f>
        <v>https://lh3.googleusercontent.com/pw/AP1GczMuR2sJZOJnqvg-cktJfgpSPDBhaCzLZdQ7lh9e2X99oGFTQHp8QhW3dg3KTnFl7gQs6ofXYpMMMmquIG5tOAkkcFqmPnm4ao_PrUHMc7CTSC6PfY5X=w1200|https://lh3.googleusercontent.com/pw/AP1GczMc6VzWMYZMiWYZAOJ3g0Erw4d0I0EzxyXQFwCXCkFntI9gLMp8uEu5qq3Syc3JQNOwNUua3v5oKdTuzFLB-WYGDc-WOx4143V7ms4x3ciGa0Zw3NND=w1200|https://lh3.googleusercontent.com/pw/AP1GczPRzhWViKl9x6bsyy1CBwpeD1pyrp43zewsrV7_i80agsaQWtGDC7rMDTW48HDv5WXc1wWcMEO01e33R4GQSPOlhH0ybR32Wl4NchSJL7UId1GZ8lMk=w1200</v>
      </c>
      <c r="AJ395" s="46"/>
      <c r="AK395" s="46"/>
      <c r="AL395" s="46"/>
      <c r="AM395" s="46"/>
      <c r="AN395" s="46"/>
      <c r="AO395" s="46"/>
      <c r="AP395" s="46"/>
      <c r="AQ395" s="46"/>
      <c r="AR395" s="46"/>
      <c r="AS395" s="46"/>
      <c r="AT395" s="46"/>
      <c r="AU395" s="46"/>
      <c r="AV395" s="46"/>
      <c r="AW395" s="46"/>
      <c r="AX395" s="46"/>
      <c r="AY395" s="46"/>
      <c r="AZ395" s="46"/>
      <c r="BA395" s="46"/>
      <c r="BB395" s="46"/>
      <c r="BC395" s="46"/>
      <c r="BD395" s="46"/>
      <c r="BE395" s="46"/>
      <c r="BF395" s="46"/>
      <c r="BG395" s="46"/>
      <c r="BH395" s="46"/>
      <c r="BI395" s="46"/>
      <c r="BJ395" s="46"/>
      <c r="BK395" s="46"/>
      <c r="BL395" s="46"/>
      <c r="BM395" s="46"/>
      <c r="BN395" s="46"/>
      <c r="BO395" s="46"/>
      <c r="BP395" s="46"/>
      <c r="BQ395" s="46"/>
      <c r="BR395" s="46"/>
      <c r="BS395" s="46"/>
      <c r="BT395" s="46"/>
      <c r="BU395" s="46"/>
      <c r="BV395" s="46"/>
      <c r="BW395" s="46"/>
      <c r="BX395" s="46"/>
      <c r="BY395" s="46"/>
      <c r="BZ395" s="46"/>
      <c r="CA395" s="46"/>
      <c r="CB395" s="46"/>
      <c r="CC395" s="46"/>
    </row>
    <row r="396">
      <c r="A396" s="87" t="str">
        <f>IFERROR(__xludf.DUMMYFUNCTION("""COMPUTED_VALUE"""),"1308")</f>
        <v>1308</v>
      </c>
      <c r="B396" s="46" t="str">
        <f>IFERROR(__xludf.DUMMYFUNCTION("""COMPUTED_VALUE"""),"Casa lote en Vda. el Triunfo - Rivera")</f>
        <v>Casa lote en Vda. el Triunfo - Rivera</v>
      </c>
      <c r="C396" s="46" t="str">
        <f>IFERROR(__xludf.DUMMYFUNCTION("""COMPUTED_VALUE"""),"Casa lote")</f>
        <v>Casa lote</v>
      </c>
      <c r="D396" s="46"/>
      <c r="E396" s="46"/>
      <c r="F396" s="90">
        <f>IFERROR(__xludf.DUMMYFUNCTION("""COMPUTED_VALUE"""),2.0E8)</f>
        <v>200000000</v>
      </c>
      <c r="G396" s="46" t="str">
        <f>IFERROR(__xludf.DUMMYFUNCTION("""COMPUTED_VALUE"""),"$200'000.000 a $300'000.000")</f>
        <v>$200'000.000 a $300'000.000</v>
      </c>
      <c r="H396" s="46"/>
      <c r="I396" s="46"/>
      <c r="J396" s="46" t="str">
        <f>IFERROR(__xludf.DUMMYFUNCTION("""COMPUTED_VALUE"""),"Sur")</f>
        <v>Sur</v>
      </c>
      <c r="K396" s="87"/>
      <c r="L396" s="46">
        <f>IFERROR(__xludf.DUMMYFUNCTION("""COMPUTED_VALUE"""),2.0)</f>
        <v>2</v>
      </c>
      <c r="M396" s="46"/>
      <c r="N396" s="46">
        <f>IFERROR(__xludf.DUMMYFUNCTION("""COMPUTED_VALUE"""),1.0)</f>
        <v>1</v>
      </c>
      <c r="O396" s="46">
        <f>IFERROR(__xludf.DUMMYFUNCTION("""COMPUTED_VALUE"""),0.0)</f>
        <v>0</v>
      </c>
      <c r="P396" s="46">
        <f>IFERROR(__xludf.DUMMYFUNCTION("""COMPUTED_VALUE"""),1.0)</f>
        <v>1</v>
      </c>
      <c r="Q396" s="92">
        <f>IFERROR(__xludf.DUMMYFUNCTION("""COMPUTED_VALUE"""),48.0)</f>
        <v>48</v>
      </c>
      <c r="R396" s="92">
        <f>IFERROR(__xludf.DUMMYFUNCTION("""COMPUTED_VALUE"""),3070.0)</f>
        <v>3070</v>
      </c>
      <c r="S396" s="87" t="str">
        <f>IFERROR(__xludf.DUMMYFUNCTION("""COMPUTED_VALUE""")," ")</f>
        <v> </v>
      </c>
      <c r="T396" s="46" t="str">
        <f>IFERROR(__xludf.DUMMYFUNCTION("""COMPUTED_VALUE"""),"Rivera")</f>
        <v>Rivera</v>
      </c>
      <c r="U396" s="87"/>
      <c r="V396" s="46"/>
      <c r="W396" s="46"/>
      <c r="X396" s="46">
        <f>IFERROR(__xludf.DUMMYFUNCTION("""COMPUTED_VALUE"""),0.0)</f>
        <v>0</v>
      </c>
      <c r="Y396" s="46" t="str">
        <f>IFERROR(__xludf.DUMMYFUNCTION("""COMPUTED_VALUE"""),"No tiene")</f>
        <v>No tiene</v>
      </c>
      <c r="Z396" s="90"/>
      <c r="AA396" s="33" t="str">
        <f>IFERROR(__xludf.DUMMYFUNCTION("""COMPUTED_VALUE"""),"No aplica")</f>
        <v>No aplica</v>
      </c>
      <c r="AB396" s="144" t="str">
        <f>IFERROR(__xludf.DUMMYFUNCTION("""COMPUTED_VALUE"""),"https://photos.app.goo.gl/zVs32Z9bD61yNxnFA")</f>
        <v>https://photos.app.goo.gl/zVs32Z9bD61yNxnFA</v>
      </c>
      <c r="AC396" s="46" t="str">
        <f>IFERROR(__xludf.DUMMYFUNCTION("""COMPUTED_VALUE"""),"Lote en vereda el Triunfo cuenta con un área de 3.070 mts2, un área de construcción de 48.0 mts2, ubicado en el municipio de Rivera - Huila.")</f>
        <v>Lote en vereda el Triunfo cuenta con un área de 3.070 mts2, un área de construcción de 48.0 mts2, ubicado en el municipio de Rivera - Huila.</v>
      </c>
      <c r="AD396" s="46" t="str">
        <f>IFERROR(__xludf.DUMMYFUNCTION("""COMPUTED_VALUE"""),"Sector turistico y producción agricola pan cojer.")</f>
        <v>Sector turistico y producción agricola pan cojer.</v>
      </c>
      <c r="AE396" s="46"/>
      <c r="AF396" s="46" t="str">
        <f>IFERROR(__xludf.DUMMYFUNCTION("""COMPUTED_VALUE"""),"básica")</f>
        <v>básica</v>
      </c>
      <c r="AG396" s="46"/>
      <c r="AH396" s="46" t="str">
        <f>IFERROR(__xludf.DUMMYFUNCTION("""COMPUTED_VALUE"""),"Aliado")</f>
        <v>Aliado</v>
      </c>
      <c r="AI396" s="92" t="str">
        <f>IFERROR(__xludf.DUMMYFUNCTION("""COMPUTED_VALUE"""),"https://lh3.googleusercontent.com/pw/AP1GczNgBBJ9tdFZxWZZmBtkpXiFkBToNJil-L6GXkjAkohC1gVl8dstWDdJLWUkZvBbOtxdPBBFIM052ymwX24RBVkOM7rq1LIajj1BtHIBgjLiZ_o0iYUy=w1200|https://lh3.googleusercontent.com/pw/AP1GczPQsgDYSQcE9eJzhzsrLjeimtEW9DmP5qnARa-CWMPSavL7kL"&amp;"O_vjeQxfFXfTn4sK3AysQO6xVIYrQST3IZ_ePGaHn2-w1ZV-TKdB9Nc7vAGRLBlhVM=w1200|https://lh3.googleusercontent.com/pw/AP1GczMcdDZGnZmyL4m2s_X9muQZnLL8a7Ar--YCfP8e2WGDaxfhV3Jzh_y4AdjRPWESMaRevYHSxpB2Sb7k4BhD2NrwqjQljqZJDv3W0X_OAsEtylmE6wht=w1200|https://lh3.google"&amp;"usercontent.com/pw/AP1GczNTCRi9XC4gaUfFWZUUYM1X7rjI8HC6eILCQmEXesdHhHJ9v-dpN48TOeK9CL5UivK5R0BD5L6RWN92yU7odo961Wi9m2XCmqRPm0KP759kQSbDh5Na=w1200|https://lh3.googleusercontent.com/pw/AP1GczPGnkiL2KSQYBnytQ-6QCWdg7R4Jr0mv7OO2uFIYJRrjIz1Fj1IiuKIFtjAp7rgP5sW"&amp;"OqwsOucXpyX3fj9po9evrwPghw31l0bvpPYeBE-nqnm4TxZu=w1200|https://lh3.googleusercontent.com/pw/AP1GczNI9e-TuAuRFq_o20A4XP9ispUykHx6aCFq_M9hWajABfTw-uBy8BdO8Z4VMh3IqgEFKnPi_NIoYcGh5L_quH8RY7h8FTQ9LOJ8aSLrVA-5HxmlkiPo=w1200|https://lh3.googleusercontent.com/pw"&amp;"/AP1GczNiOzSbFlcE4L0-kzO2LAYm9WRm-nbKugJ2y67686EEdlP6jc2R-XH8zuOxS7OKp0M1cN3ao1jX9LM42x0pTMfFUIcvnPjT5oiF5tWwxdw-vN802eiX=w1200|https://lh3.googleusercontent.com/pw/AP1GczMw-Kha3RxxqIKT4i_h6jutUZvVhnT9ppzexlRCYpkiJLmda9yEwIF5FRvehSR28Yb0Q_sq4reyCSRX6H9YTD"&amp;"thy0YNwt_WKczu0IaqS6p6IIlaK369=w1200|https://lh3.googleusercontent.com/pw/AP1GczN-G0kHHUlXP9x6U3Q8ESrubAZK6UCpO27GPdclRrDmkiwtmZPDki9_8_ogCrBdixPj1O1KPFQ6I3Xnjcdz38JmIdk_clx4icWGMGeagkSvrm19hCCe=w1200|https://lh3.googleusercontent.com/pw/AP1GczMtq0nFY_KDB"&amp;"X7SxLSQ6HbozXNut2c2dbqk8RTKvak9YEj58LjUvgEH_wfn83AEs9ED-ett4L9CUYse02YcJghPv_vAzSJ9iVbllV5Nt3pOnj_rIxoD=w1200|https://lh3.googleusercontent.com/pw/AP1GczM1n0sfEZ7bn0cfw_SXwXph6BIgd0h3Z9HWHdqO_9xQ1yg1UmQqVLQ3a04MNS4aX5Oodo2_uY0BgBao5-984QVxQq4qfDQ_QGtHoeV4"&amp;"f7rhfJLdFoeu=w1200|https://lh3.googleusercontent.com/pw/AP1GczOeLf8YtgHMJw3n15vDTiIK9uhn_qAV9lyj2o7eIA-OPAi7GkgPcAGS4h5-1LUO8g58ES6SdqUdoee0fsaL5fwSxKqZBNCHvdWRIDHziJGTVUoMoS6w=w1200|https://lh3.googleusercontent.com/pw/AP1GczNM2qcXLNq_UeSPLklgdybkgV89-Cx"&amp;"DMWwxOIOedL_l2lDZMwaUn7tU-Mlud8xpoWGF-IICAgbkVILQRNVqIJ0n2symellJ_yfGdzAPJwO6OpaU3urE=w1200|https://lh3.googleusercontent.com/pw/AP1GczNKsNqTk7J8QdhGiYwEVfVXWK1KrN_UkjgIkugr5jJY1O8zxJBIKIt1OAYV0Xi1vRejTv2B5G4sCH0kfdgK8fwpoEuCtW4OB2veGJz70S9-HAOShZ_1=w1200"&amp;"|https://lh3.googleusercontent.com/pw/AP1GczMWk6IzbwOCOsD92n9Oaixh1HMXB4bKoDQh5XL0fbW5q0zSjwxQ0l9xDBfn6d-GwvyXuvqmU6Bo0b5oItWzHLreLNLgA_TH_FnK7etLYHtNQ85InhIw=w1200|https://lh3.googleusercontent.com/pw/AP1GczMySnPgGEUYLD2z_XvWSZwh95g-Nj43v9ML9MnYxzx096tKh"&amp;"YpzIacCTSEhmyVNH0z420eu8SPYYwfseIZL6YmZgISYtxtcgCXltqYiIrodMAvyc5pA=w1200|https://lh3.googleusercontent.com/pw/AP1GczMhvQL027Y4ql-Vnxl2dylvCpde3qQ218vdD7WABVGxXTVdbG3w8_Eb6yAN_9TPNmkWwrLh_11xEeAGdiNZ7jgV5n0uPCWNZvQfXOaxnDHdcn4XvdHy=w1200|https://lh3.googl"&amp;"eusercontent.com/pw/AP1GczNprBCQQz7U2hUohpS3SS_tFmYwDP1XOPnJ8C7pRKX9DcEJESDArLchuyxw51wLz_A4X0x0cebME2Tuh2xho6_llZqSfuA64UJPPIN0ynVufWqSVV0T=w1200|https://lh3.googleusercontent.com/pw/AP1GczMZ3N2zjFBQgw_1F14y066YdRNJni_68RG6-HTx10hxM2L8hENSpWRfhHcQT63yfl-"&amp;"HuHhGzXP9HjOPCSAX8qatd_h9n4fzrd4STtXK1BlN0HZLSXx6=w1200|https://lh3.googleusercontent.com/pw/AP1GczOXnVqNvcjwEJ4R65-qxKDIfplFf-8P3RPPJzi3Kg_8Z4t6ITub8iFT0GfnMGPXmdOqfwi4aO0NBrxnbwUZgvi0Cu7Z5XCAyw0j9oODEKZFn4W2CphM=w1200|https://lh3.googleusercontent.com/p"&amp;"w/AP1GczObIyNr-SzqGhXaG46yJKuRZtB6y9OdyrgvibJxWO8yxAlS8Ccru0igHjm9cYqeg2EWw0Lxo7RlkOBcV3YifmZAPVEOGk54VIIrFt03r_zKF8bSATp0=w1200|https://lh3.googleusercontent.com/pw/AP1GczOqXiM-XpJ2fcrC9GyZ57t--xroECv0e6vxyixMK-XyKhJ0YMGYOHnHLPge57QeN4s9iuOpsvWCfmSIsFIMe"&amp;"-q3n97AKCgJSkWh5ZZ-5OIeulKVMf8S=w1200|https://lh3.googleusercontent.com/pw/AP1GczOkmsHxQdICg9R20Aed-cRIlOLCDO5NKIfVvcEji_pf5pg5MgtqarNoajFULGldYy3BFDMtwAzRHsmHkqpSw2Pjo1lkE-2ZYDO32yVzMHNwVa8TvqPi=w1200|https://lh3.googleusercontent.com/pw/AP1GczNMVDFqXYoi"&amp;"RY2J08SSR77z_NyxfqHsNa1m5bCPXEkYRn5Cz8JXyv25pR7PVBe2JT69oE3N11Pv-zI-hbButpd2tZj8whnMVU3bSczM2B9-FcxI34HW=w1200|https://lh3.googleusercontent.com/pw/AP1GczORX8h1FySeNBRL8jt6agfI4Qn1oHHW3olGvcSAB1BwdGODjnug_W0L-zAETb3ZCgA0jpHZBKX0IO7ZBF2ZSy8RsET_15v907zoTkP"&amp;"ciYb6GmnzbD5v=w1200|https://lh3.googleusercontent.com/pw/AP1GczOSmPrPba1kmVOfbNpzGjDOtH8Qjo_xvVQk65dHqUp_bI6nZAUQOXcTkhHUjF6aSi99PqPCRP6wq7Tcfs_zG_358s1ZZjX-iJbnkheELEoTHK5KzkUO=w1200|https://lh3.googleusercontent.com/pw/AP1GczP4VQaZzOw3vIoeklgGAEP9PXQJUv"&amp;"rka7A5SR_SNpzUxUweCZ9v5mhafKwh7d5urZqd3Pi2JUarIZ0QFxakaSCpJSPiAO0SsOf4pDsgAfJFDRTZXuKi=w1200|https://lh3.googleusercontent.com/pw/AP1GczOWadzU65eXashRjIOKac0b5NnfwdGm0UOylFq6DwMeXMvkysE0rqu7eock0Ur7dX0hHqfPtvswBW0bTJXUmumiw38bSJTFMjSfB_SziRlULvG7hpCL=w120"&amp;"0")</f>
        <v>https://lh3.googleusercontent.com/pw/AP1GczNgBBJ9tdFZxWZZmBtkpXiFkBToNJil-L6GXkjAkohC1gVl8dstWDdJLWUkZvBbOtxdPBBFIM052ymwX24RBVkOM7rq1LIajj1BtHIBgjLiZ_o0iYUy=w1200|https://lh3.googleusercontent.com/pw/AP1GczPQsgDYSQcE9eJzhzsrLjeimtEW9DmP5qnARa-CWMPSavL7kLO_vjeQxfFXfTn4sK3AysQO6xVIYrQST3IZ_ePGaHn2-w1ZV-TKdB9Nc7vAGRLBlhVM=w1200|https://lh3.googleusercontent.com/pw/AP1GczMcdDZGnZmyL4m2s_X9muQZnLL8a7Ar--YCfP8e2WGDaxfhV3Jzh_y4AdjRPWESMaRevYHSxpB2Sb7k4BhD2NrwqjQljqZJDv3W0X_OAsEtylmE6wht=w1200|https://lh3.googleusercontent.com/pw/AP1GczNTCRi9XC4gaUfFWZUUYM1X7rjI8HC6eILCQmEXesdHhHJ9v-dpN48TOeK9CL5UivK5R0BD5L6RWN92yU7odo961Wi9m2XCmqRPm0KP759kQSbDh5Na=w1200|https://lh3.googleusercontent.com/pw/AP1GczPGnkiL2KSQYBnytQ-6QCWdg7R4Jr0mv7OO2uFIYJRrjIz1Fj1IiuKIFtjAp7rgP5sWOqwsOucXpyX3fj9po9evrwPghw31l0bvpPYeBE-nqnm4TxZu=w1200|https://lh3.googleusercontent.com/pw/AP1GczNI9e-TuAuRFq_o20A4XP9ispUykHx6aCFq_M9hWajABfTw-uBy8BdO8Z4VMh3IqgEFKnPi_NIoYcGh5L_quH8RY7h8FTQ9LOJ8aSLrVA-5HxmlkiPo=w1200|https://lh3.googleusercontent.com/pw/AP1GczNiOzSbFlcE4L0-kzO2LAYm9WRm-nbKugJ2y67686EEdlP6jc2R-XH8zuOxS7OKp0M1cN3ao1jX9LM42x0pTMfFUIcvnPjT5oiF5tWwxdw-vN802eiX=w1200|https://lh3.googleusercontent.com/pw/AP1GczMw-Kha3RxxqIKT4i_h6jutUZvVhnT9ppzexlRCYpkiJLmda9yEwIF5FRvehSR28Yb0Q_sq4reyCSRX6H9YTDthy0YNwt_WKczu0IaqS6p6IIlaK369=w1200|https://lh3.googleusercontent.com/pw/AP1GczN-G0kHHUlXP9x6U3Q8ESrubAZK6UCpO27GPdclRrDmkiwtmZPDki9_8_ogCrBdixPj1O1KPFQ6I3Xnjcdz38JmIdk_clx4icWGMGeagkSvrm19hCCe=w1200|https://lh3.googleusercontent.com/pw/AP1GczMtq0nFY_KDBX7SxLSQ6HbozXNut2c2dbqk8RTKvak9YEj58LjUvgEH_wfn83AEs9ED-ett4L9CUYse02YcJghPv_vAzSJ9iVbllV5Nt3pOnj_rIxoD=w1200|https://lh3.googleusercontent.com/pw/AP1GczM1n0sfEZ7bn0cfw_SXwXph6BIgd0h3Z9HWHdqO_9xQ1yg1UmQqVLQ3a04MNS4aX5Oodo2_uY0BgBao5-984QVxQq4qfDQ_QGtHoeV4f7rhfJLdFoeu=w1200|https://lh3.googleusercontent.com/pw/AP1GczOeLf8YtgHMJw3n15vDTiIK9uhn_qAV9lyj2o7eIA-OPAi7GkgPcAGS4h5-1LUO8g58ES6SdqUdoee0fsaL5fwSxKqZBNCHvdWRIDHziJGTVUoMoS6w=w1200|https://lh3.googleusercontent.com/pw/AP1GczNM2qcXLNq_UeSPLklgdybkgV89-CxDMWwxOIOedL_l2lDZMwaUn7tU-Mlud8xpoWGF-IICAgbkVILQRNVqIJ0n2symellJ_yfGdzAPJwO6OpaU3urE=w1200|https://lh3.googleusercontent.com/pw/AP1GczNKsNqTk7J8QdhGiYwEVfVXWK1KrN_UkjgIkugr5jJY1O8zxJBIKIt1OAYV0Xi1vRejTv2B5G4sCH0kfdgK8fwpoEuCtW4OB2veGJz70S9-HAOShZ_1=w1200|https://lh3.googleusercontent.com/pw/AP1GczMWk6IzbwOCOsD92n9Oaixh1HMXB4bKoDQh5XL0fbW5q0zSjwxQ0l9xDBfn6d-GwvyXuvqmU6Bo0b5oItWzHLreLNLgA_TH_FnK7etLYHtNQ85InhIw=w1200|https://lh3.googleusercontent.com/pw/AP1GczMySnPgGEUYLD2z_XvWSZwh95g-Nj43v9ML9MnYxzx096tKhYpzIacCTSEhmyVNH0z420eu8SPYYwfseIZL6YmZgISYtxtcgCXltqYiIrodMAvyc5pA=w1200|https://lh3.googleusercontent.com/pw/AP1GczMhvQL027Y4ql-Vnxl2dylvCpde3qQ218vdD7WABVGxXTVdbG3w8_Eb6yAN_9TPNmkWwrLh_11xEeAGdiNZ7jgV5n0uPCWNZvQfXOaxnDHdcn4XvdHy=w1200|https://lh3.googleusercontent.com/pw/AP1GczNprBCQQz7U2hUohpS3SS_tFmYwDP1XOPnJ8C7pRKX9DcEJESDArLchuyxw51wLz_A4X0x0cebME2Tuh2xho6_llZqSfuA64UJPPIN0ynVufWqSVV0T=w1200|https://lh3.googleusercontent.com/pw/AP1GczMZ3N2zjFBQgw_1F14y066YdRNJni_68RG6-HTx10hxM2L8hENSpWRfhHcQT63yfl-HuHhGzXP9HjOPCSAX8qatd_h9n4fzrd4STtXK1BlN0HZLSXx6=w1200|https://lh3.googleusercontent.com/pw/AP1GczOXnVqNvcjwEJ4R65-qxKDIfplFf-8P3RPPJzi3Kg_8Z4t6ITub8iFT0GfnMGPXmdOqfwi4aO0NBrxnbwUZgvi0Cu7Z5XCAyw0j9oODEKZFn4W2CphM=w1200|https://lh3.googleusercontent.com/pw/AP1GczObIyNr-SzqGhXaG46yJKuRZtB6y9OdyrgvibJxWO8yxAlS8Ccru0igHjm9cYqeg2EWw0Lxo7RlkOBcV3YifmZAPVEOGk54VIIrFt03r_zKF8bSATp0=w1200|https://lh3.googleusercontent.com/pw/AP1GczOqXiM-XpJ2fcrC9GyZ57t--xroECv0e6vxyixMK-XyKhJ0YMGYOHnHLPge57QeN4s9iuOpsvWCfmSIsFIMe-q3n97AKCgJSkWh5ZZ-5OIeulKVMf8S=w1200|https://lh3.googleusercontent.com/pw/AP1GczOkmsHxQdICg9R20Aed-cRIlOLCDO5NKIfVvcEji_pf5pg5MgtqarNoajFULGldYy3BFDMtwAzRHsmHkqpSw2Pjo1lkE-2ZYDO32yVzMHNwVa8TvqPi=w1200|https://lh3.googleusercontent.com/pw/AP1GczNMVDFqXYoiRY2J08SSR77z_NyxfqHsNa1m5bCPXEkYRn5Cz8JXyv25pR7PVBe2JT69oE3N11Pv-zI-hbButpd2tZj8whnMVU3bSczM2B9-FcxI34HW=w1200|https://lh3.googleusercontent.com/pw/AP1GczORX8h1FySeNBRL8jt6agfI4Qn1oHHW3olGvcSAB1BwdGODjnug_W0L-zAETb3ZCgA0jpHZBKX0IO7ZBF2ZSy8RsET_15v907zoTkPciYb6GmnzbD5v=w1200|https://lh3.googleusercontent.com/pw/AP1GczOSmPrPba1kmVOfbNpzGjDOtH8Qjo_xvVQk65dHqUp_bI6nZAUQOXcTkhHUjF6aSi99PqPCRP6wq7Tcfs_zG_358s1ZZjX-iJbnkheELEoTHK5KzkUO=w1200|https://lh3.googleusercontent.com/pw/AP1GczP4VQaZzOw3vIoeklgGAEP9PXQJUvrka7A5SR_SNpzUxUweCZ9v5mhafKwh7d5urZqd3Pi2JUarIZ0QFxakaSCpJSPiAO0SsOf4pDsgAfJFDRTZXuKi=w1200|https://lh3.googleusercontent.com/pw/AP1GczOWadzU65eXashRjIOKac0b5NnfwdGm0UOylFq6DwMeXMvkysE0rqu7eock0Ur7dX0hHqfPtvswBW0bTJXUmumiw38bSJTFMjSfB_SziRlULvG7hpCL=w1200</v>
      </c>
      <c r="AJ396" s="46"/>
      <c r="AK396" s="46"/>
      <c r="AL396" s="46"/>
      <c r="AM396" s="46"/>
      <c r="AN396" s="46"/>
      <c r="AO396" s="46"/>
      <c r="AP396" s="46"/>
      <c r="AQ396" s="46"/>
      <c r="AR396" s="46"/>
      <c r="AS396" s="46"/>
      <c r="AT396" s="46"/>
      <c r="AU396" s="46"/>
      <c r="AV396" s="46"/>
      <c r="AW396" s="46"/>
      <c r="AX396" s="46"/>
      <c r="AY396" s="46"/>
      <c r="AZ396" s="46"/>
      <c r="BA396" s="46"/>
      <c r="BB396" s="46"/>
      <c r="BC396" s="46"/>
      <c r="BD396" s="46"/>
      <c r="BE396" s="46"/>
      <c r="BF396" s="46"/>
      <c r="BG396" s="46"/>
      <c r="BH396" s="46"/>
      <c r="BI396" s="46"/>
      <c r="BJ396" s="46"/>
      <c r="BK396" s="46"/>
      <c r="BL396" s="46"/>
      <c r="BM396" s="46"/>
      <c r="BN396" s="46"/>
      <c r="BO396" s="46"/>
      <c r="BP396" s="46"/>
      <c r="BQ396" s="46"/>
      <c r="BR396" s="46"/>
      <c r="BS396" s="46"/>
      <c r="BT396" s="46"/>
      <c r="BU396" s="46"/>
      <c r="BV396" s="46"/>
      <c r="BW396" s="46"/>
      <c r="BX396" s="46"/>
      <c r="BY396" s="46"/>
      <c r="BZ396" s="46"/>
      <c r="CA396" s="46"/>
      <c r="CB396" s="46"/>
      <c r="CC396" s="46"/>
    </row>
    <row r="397">
      <c r="A397" s="87" t="str">
        <f>IFERROR(__xludf.DUMMYFUNCTION("""COMPUTED_VALUE"""),"1382")</f>
        <v>1382</v>
      </c>
      <c r="B397" s="46" t="str">
        <f>IFERROR(__xludf.DUMMYFUNCTION("""COMPUTED_VALUE"""),"Apartamento en edificio - Centro")</f>
        <v>Apartamento en edificio - Centro</v>
      </c>
      <c r="C397" s="46" t="str">
        <f>IFERROR(__xludf.DUMMYFUNCTION("""COMPUTED_VALUE"""),"Apartamento")</f>
        <v>Apartamento</v>
      </c>
      <c r="D397" s="46" t="str">
        <f>IFERROR(__xludf.DUMMYFUNCTION("""COMPUTED_VALUE"""),"Centro")</f>
        <v>Centro</v>
      </c>
      <c r="E397" s="46"/>
      <c r="F397" s="90">
        <f>IFERROR(__xludf.DUMMYFUNCTION("""COMPUTED_VALUE"""),1.9E8)</f>
        <v>190000000</v>
      </c>
      <c r="G397" s="46" t="str">
        <f>IFERROR(__xludf.DUMMYFUNCTION("""COMPUTED_VALUE"""),"$100'000.000 a $200'000.000")</f>
        <v>$100'000.000 a $200'000.000</v>
      </c>
      <c r="H397" s="46"/>
      <c r="I397" s="46"/>
      <c r="J397" s="46" t="str">
        <f>IFERROR(__xludf.DUMMYFUNCTION("""COMPUTED_VALUE"""),"Centro")</f>
        <v>Centro</v>
      </c>
      <c r="K397" s="87" t="str">
        <f>IFERROR(__xludf.DUMMYFUNCTION("""COMPUTED_VALUE"""),"4")</f>
        <v>4</v>
      </c>
      <c r="L397" s="46">
        <f>IFERROR(__xludf.DUMMYFUNCTION("""COMPUTED_VALUE"""),3.0)</f>
        <v>3</v>
      </c>
      <c r="M397" s="46"/>
      <c r="N397" s="46">
        <f>IFERROR(__xludf.DUMMYFUNCTION("""COMPUTED_VALUE"""),3.0)</f>
        <v>3</v>
      </c>
      <c r="O397" s="46">
        <f>IFERROR(__xludf.DUMMYFUNCTION("""COMPUTED_VALUE"""),1.0)</f>
        <v>1</v>
      </c>
      <c r="P397" s="46">
        <f>IFERROR(__xludf.DUMMYFUNCTION("""COMPUTED_VALUE"""),2.0)</f>
        <v>2</v>
      </c>
      <c r="Q397" s="92">
        <f>IFERROR(__xludf.DUMMYFUNCTION("""COMPUTED_VALUE"""),101.66)</f>
        <v>101.66</v>
      </c>
      <c r="R397" s="92">
        <f>IFERROR(__xludf.DUMMYFUNCTION("""COMPUTED_VALUE"""),110.0)</f>
        <v>110</v>
      </c>
      <c r="S397" s="87" t="str">
        <f>IFERROR(__xludf.DUMMYFUNCTION("""COMPUTED_VALUE""")," ")</f>
        <v> </v>
      </c>
      <c r="T397" s="46" t="str">
        <f>IFERROR(__xludf.DUMMYFUNCTION("""COMPUTED_VALUE"""),"Neiva")</f>
        <v>Neiva</v>
      </c>
      <c r="U397" s="87" t="str">
        <f>IFERROR(__xludf.DUMMYFUNCTION("""COMPUTED_VALUE"""),"2")</f>
        <v>2</v>
      </c>
      <c r="V397" s="46" t="str">
        <f>IFERROR(__xludf.DUMMYFUNCTION("""COMPUTED_VALUE"""),"2do.")</f>
        <v>2do.</v>
      </c>
      <c r="W397" s="46"/>
      <c r="X397" s="46">
        <f>IFERROR(__xludf.DUMMYFUNCTION("""COMPUTED_VALUE"""),3.0)</f>
        <v>3</v>
      </c>
      <c r="Y397" s="46" t="str">
        <f>IFERROR(__xludf.DUMMYFUNCTION("""COMPUTED_VALUE"""),"No tiene")</f>
        <v>No tiene</v>
      </c>
      <c r="Z397" s="90"/>
      <c r="AA397" s="33" t="str">
        <f>IFERROR(__xludf.DUMMYFUNCTION("""COMPUTED_VALUE"""),"No aplica")</f>
        <v>No aplica</v>
      </c>
      <c r="AB397" s="96" t="str">
        <f>IFERROR(__xludf.DUMMYFUNCTION("""COMPUTED_VALUE"""),"https://photos.app.goo.gl/bzQiL2Bevj12VyPf8")</f>
        <v>https://photos.app.goo.gl/bzQiL2Bevj12VyPf8</v>
      </c>
      <c r="AC397" s="46" t="str">
        <f>IFERROR(__xludf.DUMMYFUNCTION("""COMPUTED_VALUE"""),"Ofrece una excelente distribución con salón comedor, cocina funcional, hall de alcobas, tres habitaciones con closet, dos baños, más alcoba de servicio con baño, balcón y zona de ropas, además de contar con garaje en sótano.")</f>
        <v>Ofrece una excelente distribución con salón comedor, cocina funcional, hall de alcobas, tres habitaciones con closet, dos baños, más alcoba de servicio con baño, balcón y zona de ropas, además de contar con garaje en sótano.</v>
      </c>
      <c r="AD397" s="46" t="str">
        <f>IFERROR(__xludf.DUMMYFUNCTION("""COMPUTED_VALUE"""),"Este cómodo apartamento de 101.66 m² de área privada, con garaje de 12.00 m², Ubicado en un sector de estrato 2, y con una antigüedad de 34 años, se presenta como una propiedad sólida y bien conservada, ideal para vivir o invertir.")</f>
        <v>Este cómodo apartamento de 101.66 m² de área privada, con garaje de 12.00 m², Ubicado en un sector de estrato 2, y con una antigüedad de 34 años, se presenta como una propiedad sólida y bien conservada, ideal para vivir o invertir.</v>
      </c>
      <c r="AE397" s="46"/>
      <c r="AF397" s="46" t="str">
        <f>IFERROR(__xludf.DUMMYFUNCTION("""COMPUTED_VALUE"""),"integral")</f>
        <v>integral</v>
      </c>
      <c r="AG397" s="46"/>
      <c r="AH397" s="46" t="str">
        <f>IFERROR(__xludf.DUMMYFUNCTION("""COMPUTED_VALUE"""),"Aliado")</f>
        <v>Aliado</v>
      </c>
      <c r="AI397" s="92" t="str">
        <f>IFERROR(__xludf.DUMMYFUNCTION("""COMPUTED_VALUE"""),"https://lh3.googleusercontent.com/pw/AP1GczP1VXCMNqVBkH6xSvqK7QEaB110fg3NhBcOCjRBmaEtJFPjn1srZuso1Mu7_UIYYFJiQwik3xJDoBRblmBlWOW7FWPNJKCsnfoxEd1re_SBcTr5l6_y=w1200|https://lh3.googleusercontent.com/pw/AP1GczORMrRuAldLcKqkHloRU8Xia4vZL0K-RqE2YFU0dbIQhmTKdL"&amp;"I7xp4FjP41s7itiHAITLMV6LpiF7FCIzmFk5qpk0yPvubxMuXQnN7_fLWDPXqwQOQv=w1200|https://lh3.googleusercontent.com/pw/AP1GczPThi5rc6lm_m9Sg9DyP1iAoTzXS6VH4mU1mp-_BvyxtR5cjX6bucRvnVyApeeUYqRyq1K-oilkH5OHI9OLmncglGOSaQdTddhsKYDmQ9O5Ob9PNfDp=w1200|https://lh3.google"&amp;"usercontent.com/pw/AP1GczOPm90_jGeGQQ8Whd7otFBz-XxovFCMJwPeQQQyTktfgNFIrmJzyrKaJkU3xk3-6ca8dsWTnu7MhQQ2xjwOdBzsSdWhGvL6j-BoX12tH2ShkKgZvAhQ=w1200|https://lh3.googleusercontent.com/pw/AP1GczN06MOuI6MvjOfSl_AJChtxqFZrPp87uMkqtrCPow6aDi3HbzCNp1jg5KcRbEspjTS4"&amp;"khsT_LvanvofnIgW8zbCcl6JzqrrKVCMttNfYRlZLT3Fg_Xm=w1200|https://lh3.googleusercontent.com/pw/AP1GczNF7F-OTTn2c8IAobzNyhWwYyuMx4zFyJWm6W6S0-u62aDF5673G7hG4Of_cZkKE6hCnQ-ycvp4v2I0fACdnvccPsmYFxWprYPpRaxIl3FmgO8BjEQW=w1200|https://lh3.googleusercontent.com/pw"&amp;"/AP1GczN442w2aAlHlKGUuvD7PhQNRJiNf0xf_vj2NxMv6yHFeBGNY2eNinMa5CcurtOILvtuoHIuemQDyH8TRPw-gqMRZymGWy8nBlzCbQNnUHSt31-Gfu35=w1200|https://lh3.googleusercontent.com/pw/AP1GczPR5cEguzoAbOrLTxqhgDHJuYIHpul2h9BOSyQ02t6eVrYRhDFj2XlqL-IeMDye3N09JPWpO_11XkQv4Wk4tk"&amp;"PkhAIh7G0eKba4zk7ZJt2PVGCAoRdx=w1200|https://lh3.googleusercontent.com/pw/AP1GczOhFvNGB7NbMb2_Oi_RInJMfmVcBZn1eAWb2XKqV_-XaSnU-f9IKElM8zUHS1F23-JXqz6APwJNbtECVtMjpKjdFleckgeGziG3W38kDVWTZMUVafg6=w1200|https://lh3.googleusercontent.com/pw/AP1GczNVLBm-xp62F"&amp;"kgygIj5-eY2BaRcSGuRIm_7HfjiuiHsrjNhVlztW8wegbWKv2gmfva1_3t6NkC8MJ_iVnrzhjdVAERpHYCjlOBu0CRcR8gDQ03K2C6d=w1200|https://lh3.googleusercontent.com/pw/AP1GczOAje9ca4NnnfGU-kcGbV3wltO8UW8Lt-QM-Ydc4fjrFCuOx-Qg1qNeJ81Vwq4jOcfyofzVUr4vWBdjkN7Qn3asOFickuiK6HosW9rf"&amp;"b33JWh7rrfPB=w1200|https://lh3.googleusercontent.com/pw/AP1GczO9RdJCkDID7ZhxXJwqdw9p3ktn6AB94QukTaOTEkQLT3AymQFPl3NqLTbr8l5F2Q9wnoIli5BmYsVMPGDwTjqrhG9RvheEpFHe_xAGTwkqjbsPfeXj=w1200|https://lh3.googleusercontent.com/pw/AP1GczNXYiglGYlUD3H0kFEydozY6ZrLode"&amp;"LW2yrEUzgUlwk6_XtPCWBGVCxl30A38TprjtcWY69U5BfP9lDAJzu4rCYxUCV1wtgK-GmT-ERTFlMJtp4oGXR=w1200|https://lh3.googleusercontent.com/pw/AP1GczOGU42WoI2buqMIqWqavedo10kQ5cyZkXgtGsYZNR1E9g5PwylHFb6h9iFQ1LNbEUBq361xcvq-Vsx-5VL2YZ2gl18pPJdKK4AbtViYHb8X3dwC04mv=w1200"&amp;"|https://lh3.googleusercontent.com/pw/AP1GczMP5BJ9xqXpQU_uxoPdeTv_oyOm41NA7kJNIZdysC4Er1C3EsUDIRd61ja4YJWekb9ZCHuqO4oVqRDXPTNRNmD-gDWfIKlSegfj8EFIyzcvVgsVZdwI=w1200|https://lh3.googleusercontent.com/pw/AP1GczMQWdGbtGlLcvI94826CjVnYyq2Z4dM1yoYOXB7-G25KufWX"&amp;"d6qkJ9Nxn4A0aQEfb4nD6sXVhx3pvFzUSSBS1YL2bR4_m-BT7RGjg_UYPKRqxO7lVba=w1200")</f>
        <v>https://lh3.googleusercontent.com/pw/AP1GczP1VXCMNqVBkH6xSvqK7QEaB110fg3NhBcOCjRBmaEtJFPjn1srZuso1Mu7_UIYYFJiQwik3xJDoBRblmBlWOW7FWPNJKCsnfoxEd1re_SBcTr5l6_y=w1200|https://lh3.googleusercontent.com/pw/AP1GczORMrRuAldLcKqkHloRU8Xia4vZL0K-RqE2YFU0dbIQhmTKdLI7xp4FjP41s7itiHAITLMV6LpiF7FCIzmFk5qpk0yPvubxMuXQnN7_fLWDPXqwQOQv=w1200|https://lh3.googleusercontent.com/pw/AP1GczPThi5rc6lm_m9Sg9DyP1iAoTzXS6VH4mU1mp-_BvyxtR5cjX6bucRvnVyApeeUYqRyq1K-oilkH5OHI9OLmncglGOSaQdTddhsKYDmQ9O5Ob9PNfDp=w1200|https://lh3.googleusercontent.com/pw/AP1GczOPm90_jGeGQQ8Whd7otFBz-XxovFCMJwPeQQQyTktfgNFIrmJzyrKaJkU3xk3-6ca8dsWTnu7MhQQ2xjwOdBzsSdWhGvL6j-BoX12tH2ShkKgZvAhQ=w1200|https://lh3.googleusercontent.com/pw/AP1GczN06MOuI6MvjOfSl_AJChtxqFZrPp87uMkqtrCPow6aDi3HbzCNp1jg5KcRbEspjTS4khsT_LvanvofnIgW8zbCcl6JzqrrKVCMttNfYRlZLT3Fg_Xm=w1200|https://lh3.googleusercontent.com/pw/AP1GczNF7F-OTTn2c8IAobzNyhWwYyuMx4zFyJWm6W6S0-u62aDF5673G7hG4Of_cZkKE6hCnQ-ycvp4v2I0fACdnvccPsmYFxWprYPpRaxIl3FmgO8BjEQW=w1200|https://lh3.googleusercontent.com/pw/AP1GczN442w2aAlHlKGUuvD7PhQNRJiNf0xf_vj2NxMv6yHFeBGNY2eNinMa5CcurtOILvtuoHIuemQDyH8TRPw-gqMRZymGWy8nBlzCbQNnUHSt31-Gfu35=w1200|https://lh3.googleusercontent.com/pw/AP1GczPR5cEguzoAbOrLTxqhgDHJuYIHpul2h9BOSyQ02t6eVrYRhDFj2XlqL-IeMDye3N09JPWpO_11XkQv4Wk4tkPkhAIh7G0eKba4zk7ZJt2PVGCAoRdx=w1200|https://lh3.googleusercontent.com/pw/AP1GczOhFvNGB7NbMb2_Oi_RInJMfmVcBZn1eAWb2XKqV_-XaSnU-f9IKElM8zUHS1F23-JXqz6APwJNbtECVtMjpKjdFleckgeGziG3W38kDVWTZMUVafg6=w1200|https://lh3.googleusercontent.com/pw/AP1GczNVLBm-xp62FkgygIj5-eY2BaRcSGuRIm_7HfjiuiHsrjNhVlztW8wegbWKv2gmfva1_3t6NkC8MJ_iVnrzhjdVAERpHYCjlOBu0CRcR8gDQ03K2C6d=w1200|https://lh3.googleusercontent.com/pw/AP1GczOAje9ca4NnnfGU-kcGbV3wltO8UW8Lt-QM-Ydc4fjrFCuOx-Qg1qNeJ81Vwq4jOcfyofzVUr4vWBdjkN7Qn3asOFickuiK6HosW9rfb33JWh7rrfPB=w1200|https://lh3.googleusercontent.com/pw/AP1GczO9RdJCkDID7ZhxXJwqdw9p3ktn6AB94QukTaOTEkQLT3AymQFPl3NqLTbr8l5F2Q9wnoIli5BmYsVMPGDwTjqrhG9RvheEpFHe_xAGTwkqjbsPfeXj=w1200|https://lh3.googleusercontent.com/pw/AP1GczNXYiglGYlUD3H0kFEydozY6ZrLodeLW2yrEUzgUlwk6_XtPCWBGVCxl30A38TprjtcWY69U5BfP9lDAJzu4rCYxUCV1wtgK-GmT-ERTFlMJtp4oGXR=w1200|https://lh3.googleusercontent.com/pw/AP1GczOGU42WoI2buqMIqWqavedo10kQ5cyZkXgtGsYZNR1E9g5PwylHFb6h9iFQ1LNbEUBq361xcvq-Vsx-5VL2YZ2gl18pPJdKK4AbtViYHb8X3dwC04mv=w1200|https://lh3.googleusercontent.com/pw/AP1GczMP5BJ9xqXpQU_uxoPdeTv_oyOm41NA7kJNIZdysC4Er1C3EsUDIRd61ja4YJWekb9ZCHuqO4oVqRDXPTNRNmD-gDWfIKlSegfj8EFIyzcvVgsVZdwI=w1200|https://lh3.googleusercontent.com/pw/AP1GczMQWdGbtGlLcvI94826CjVnYyq2Z4dM1yoYOXB7-G25KufWXd6qkJ9Nxn4A0aQEfb4nD6sXVhx3pvFzUSSBS1YL2bR4_m-BT7RGjg_UYPKRqxO7lVba=w1200</v>
      </c>
      <c r="AJ397" s="46"/>
      <c r="AK397" s="46"/>
      <c r="AL397" s="46"/>
      <c r="AM397" s="46"/>
      <c r="AN397" s="46"/>
      <c r="AO397" s="46"/>
      <c r="AP397" s="46"/>
      <c r="AQ397" s="46"/>
      <c r="AR397" s="46"/>
      <c r="AS397" s="46"/>
      <c r="AT397" s="46"/>
      <c r="AU397" s="46"/>
      <c r="AV397" s="46"/>
      <c r="AW397" s="46"/>
      <c r="AX397" s="46"/>
      <c r="AY397" s="46"/>
      <c r="AZ397" s="46"/>
      <c r="BA397" s="46"/>
      <c r="BB397" s="46"/>
      <c r="BC397" s="46"/>
      <c r="BD397" s="46"/>
      <c r="BE397" s="46"/>
      <c r="BF397" s="46"/>
      <c r="BG397" s="46"/>
      <c r="BH397" s="46"/>
      <c r="BI397" s="46"/>
      <c r="BJ397" s="46"/>
      <c r="BK397" s="46"/>
      <c r="BL397" s="46"/>
      <c r="BM397" s="46"/>
      <c r="BN397" s="46"/>
      <c r="BO397" s="46"/>
      <c r="BP397" s="46"/>
      <c r="BQ397" s="46"/>
      <c r="BR397" s="46"/>
      <c r="BS397" s="46"/>
      <c r="BT397" s="46"/>
      <c r="BU397" s="46"/>
      <c r="BV397" s="46"/>
      <c r="BW397" s="46"/>
      <c r="BX397" s="46"/>
      <c r="BY397" s="46"/>
      <c r="BZ397" s="46"/>
      <c r="CA397" s="46"/>
      <c r="CB397" s="46"/>
      <c r="CC397" s="46"/>
    </row>
    <row r="398">
      <c r="A398" s="87" t="str">
        <f>IFERROR(__xludf.DUMMYFUNCTION("""COMPUTED_VALUE"""),"853")</f>
        <v>853</v>
      </c>
      <c r="B398" s="46" t="str">
        <f>IFERROR(__xludf.DUMMYFUNCTION("""COMPUTED_VALUE"""),"Lote campestre en conjunto Condominio San Sebastian - Palermo")</f>
        <v>Lote campestre en conjunto Condominio San Sebastian - Palermo</v>
      </c>
      <c r="C398" s="46" t="str">
        <f>IFERROR(__xludf.DUMMYFUNCTION("""COMPUTED_VALUE"""),"Lote campestre en conjunto")</f>
        <v>Lote campestre en conjunto</v>
      </c>
      <c r="D398" s="46"/>
      <c r="E398" s="46"/>
      <c r="F398" s="90">
        <f>IFERROR(__xludf.DUMMYFUNCTION("""COMPUTED_VALUE"""),1.7E8)</f>
        <v>170000000</v>
      </c>
      <c r="G398" s="46" t="str">
        <f>IFERROR(__xludf.DUMMYFUNCTION("""COMPUTED_VALUE"""),"$100'000.000 a $200'000.000")</f>
        <v>$100'000.000 a $200'000.000</v>
      </c>
      <c r="H398" s="46"/>
      <c r="I398" s="46"/>
      <c r="J398" s="46" t="str">
        <f>IFERROR(__xludf.DUMMYFUNCTION("""COMPUTED_VALUE"""),"Occidente")</f>
        <v>Occidente</v>
      </c>
      <c r="K398" s="87"/>
      <c r="L398" s="46">
        <f>IFERROR(__xludf.DUMMYFUNCTION("""COMPUTED_VALUE"""),0.0)</f>
        <v>0</v>
      </c>
      <c r="M398" s="46"/>
      <c r="N398" s="46">
        <f>IFERROR(__xludf.DUMMYFUNCTION("""COMPUTED_VALUE"""),0.0)</f>
        <v>0</v>
      </c>
      <c r="O398" s="46">
        <f>IFERROR(__xludf.DUMMYFUNCTION("""COMPUTED_VALUE"""),0.0)</f>
        <v>0</v>
      </c>
      <c r="P398" s="46">
        <f>IFERROR(__xludf.DUMMYFUNCTION("""COMPUTED_VALUE"""),0.0)</f>
        <v>0</v>
      </c>
      <c r="Q398" s="92">
        <f>IFERROR(__xludf.DUMMYFUNCTION("""COMPUTED_VALUE"""),0.0)</f>
        <v>0</v>
      </c>
      <c r="R398" s="92">
        <f>IFERROR(__xludf.DUMMYFUNCTION("""COMPUTED_VALUE"""),1040.0)</f>
        <v>1040</v>
      </c>
      <c r="S398" s="87" t="str">
        <f>IFERROR(__xludf.DUMMYFUNCTION("""COMPUTED_VALUE""")," ")</f>
        <v> </v>
      </c>
      <c r="T398" s="46" t="str">
        <f>IFERROR(__xludf.DUMMYFUNCTION("""COMPUTED_VALUE"""),"Palermo")</f>
        <v>Palermo</v>
      </c>
      <c r="U398" s="87"/>
      <c r="V398" s="46" t="str">
        <f>IFERROR(__xludf.DUMMYFUNCTION("""COMPUTED_VALUE"""),"Medianera")</f>
        <v>Medianera</v>
      </c>
      <c r="W398" s="46"/>
      <c r="X398" s="46">
        <f>IFERROR(__xludf.DUMMYFUNCTION("""COMPUTED_VALUE"""),0.0)</f>
        <v>0</v>
      </c>
      <c r="Y398" s="46" t="str">
        <f>IFERROR(__xludf.DUMMYFUNCTION("""COMPUTED_VALUE"""),"Social")</f>
        <v>Social</v>
      </c>
      <c r="Z398" s="90"/>
      <c r="AA398" s="33" t="str">
        <f>IFERROR(__xludf.DUMMYFUNCTION("""COMPUTED_VALUE"""),"No aplica")</f>
        <v>No aplica</v>
      </c>
      <c r="AB398" s="96" t="str">
        <f>IFERROR(__xludf.DUMMYFUNCTION("""COMPUTED_VALUE"""),"https://photos.app.goo.gl/5m2ZTQnWqdKGY4dm6")</f>
        <v>https://photos.app.goo.gl/5m2ZTQnWqdKGY4dm6</v>
      </c>
      <c r="AC398" s="46" t="str">
        <f>IFERROR(__xludf.DUMMYFUNCTION("""COMPUTED_VALUE"""),"Invierte en tranquilidad y proyección en este amplio lote de 1.040 m², ubicado en el exclusivo Condominio San Sebastián en Palermo (Huila), un entorno ideal para construir la casa de tus sueños rodeado de naturaleza, seguridad y excelente valorización.")</f>
        <v>Invierte en tranquilidad y proyección en este amplio lote de 1.040 m², ubicado en el exclusivo Condominio San Sebastián en Palermo (Huila), un entorno ideal para construir la casa de tus sueños rodeado de naturaleza, seguridad y excelente valorización.</v>
      </c>
      <c r="AD398" s="46" t="str">
        <f>IFERROR(__xludf.DUMMYFUNCTION("""COMPUTED_VALUE"""),"Disfruta de un espacio generoso que te brinda libertad de diseño y privacidad, dentro de un conjunto organizado con una administración de $285.000. Una oportunidad única para vivir o invertir.")</f>
        <v>Disfruta de un espacio generoso que te brinda libertad de diseño y privacidad, dentro de un conjunto organizado con una administración de $285.000. Una oportunidad única para vivir o invertir.</v>
      </c>
      <c r="AE398" s="46"/>
      <c r="AF398" s="46">
        <f>IFERROR(__xludf.DUMMYFUNCTION("""COMPUTED_VALUE"""),0.0)</f>
        <v>0</v>
      </c>
      <c r="AG398" s="46"/>
      <c r="AH398" s="46" t="str">
        <f>IFERROR(__xludf.DUMMYFUNCTION("""COMPUTED_VALUE"""),"Aliado")</f>
        <v>Aliado</v>
      </c>
      <c r="AI398" s="92" t="str">
        <f>IFERROR(__xludf.DUMMYFUNCTION("""COMPUTED_VALUE"""),"https://lh3.googleusercontent.com/pw/AP1GczOIbBUEoSzoBVKKJ1BNWUrHYbreIvFzYmdXPhM_4Eh86wDo9XGy9rTwE32fvBuirju9-zR7cO6wwTauqzt0PjOJljJnM5WqdmyrrjCQAAUbEqRhJ1e8=w1200|https://lh3.googleusercontent.com/pw/AP1GczNDEUzVSKhEv7pvsCwAS6HiON1kFPJ260TO95lrgSRLfEG5S0"&amp;"wAfQBAyrpUaeP_SWHpi02tPUCXGk7cpV5jGLFxpat-wLekiKn2ezD6IU2N11gXpykf=w1200|https://lh3.googleusercontent.com/pw/AP1GczPBs5ervXscBIWWBRvql-hMCl6x5FKtslQ5EAP4IDh2vWaa5JFSbVXRQ6D7MhdpyddspQiYMEzK5Tk-t8OCP2Y3tBoDIM6Pph4ylQylZHVNH8qYC5ke=w1200|https://lh3.google"&amp;"usercontent.com/pw/AP1GczOJNVu7-C-Mp6TDkW5LO8rej82cnQQbC2di7qkbF2pZarvo-oI1ld-6bBpXkSmTCijj8Yrm50SDJK19GftXLwl5mME9HpDcxkhxUZZKgqSDlSQXRLNc=w1200|https://lh3.googleusercontent.com/pw/AP1GczMmaNjbUv16dXEWoYNTyVy-IYudCAm0MYRRDPLxHZuj9AKepfIKoFMFwJ-dq-Nf6uMP"&amp;"X8maEvjINICJxIPt6iWNwlBSdSm9O6I_4Cu5u98YVHfM1OHF=w1200|https://lh3.googleusercontent.com/pw/AP1GczNwporcrILGV2ENL069OTUO3zCjVOLpissMjpqVXWbsbxwNLq8tQWRF6tO9T_hBiInb7delhRa5zauskWmEXzE4uxGAVbnRCXy0EjpilsJYukoDPqUY=w1200|https://lh3.googleusercontent.com/pw"&amp;"/AP1GczOodlCbPiqBvQjHGzFNdh6M3IGKy4spEolGpYshY-NbaI9F4TZs4DqupG40baxzSefEF1Xs7AAmQFCwqy1qMeMacUtgVDVb9-m3T3aQaxXX9ffAIJSs=w1200|https://lh3.googleusercontent.com/pw/AP1GczPHKEu6EwfWGpJxp2E8vQOkPyGEZm9J9LwCSRCdySeBCDHZGa5qrQefVGmfK9ywQcQii_aFhGfTdMPyojGj68"&amp;"1VT4ueErqZcGfbEfwjyrAe60W-ykYr=w1200|https://lh3.googleusercontent.com/pw/AP1GczP3TP7okHdazfQed4wbeXunwkwPIjgSglmFPuwXEobzH7gZ0gOZ1MyD7R0hO1hhwtWmC5zw6y6SAItGcaBNDAYi7uBITDPigaELBLp4oLplyOlpgb75=w1200|https://lh3.googleusercontent.com/pw/AP1GczO2QAq_DlVsz"&amp;"Q2if-ZAXRd2CQqU7ss1A4TQ8rHv_VzL5KMufkklZKXBCVk7KyA6YUAGM_q0RL7yUwKY9omqu5FRvWyJytaIsPvMUVTyFTO6Yi3hVD89=w1200|https://lh3.googleusercontent.com/pw/AP1GczO6w9-kFP_UzF5CWuz5iANdbiz3uy60LsLlkN8KcztXf_seOcl_7uGbuWQ3JbTPKBsIdc60dDWl_zFv1jqVjInAzaLoEUgVOmizH0FW"&amp;"XFv9Wrk_E4yX=w1200")</f>
        <v>https://lh3.googleusercontent.com/pw/AP1GczOIbBUEoSzoBVKKJ1BNWUrHYbreIvFzYmdXPhM_4Eh86wDo9XGy9rTwE32fvBuirju9-zR7cO6wwTauqzt0PjOJljJnM5WqdmyrrjCQAAUbEqRhJ1e8=w1200|https://lh3.googleusercontent.com/pw/AP1GczNDEUzVSKhEv7pvsCwAS6HiON1kFPJ260TO95lrgSRLfEG5S0wAfQBAyrpUaeP_SWHpi02tPUCXGk7cpV5jGLFxpat-wLekiKn2ezD6IU2N11gXpykf=w1200|https://lh3.googleusercontent.com/pw/AP1GczPBs5ervXscBIWWBRvql-hMCl6x5FKtslQ5EAP4IDh2vWaa5JFSbVXRQ6D7MhdpyddspQiYMEzK5Tk-t8OCP2Y3tBoDIM6Pph4ylQylZHVNH8qYC5ke=w1200|https://lh3.googleusercontent.com/pw/AP1GczOJNVu7-C-Mp6TDkW5LO8rej82cnQQbC2di7qkbF2pZarvo-oI1ld-6bBpXkSmTCijj8Yrm50SDJK19GftXLwl5mME9HpDcxkhxUZZKgqSDlSQXRLNc=w1200|https://lh3.googleusercontent.com/pw/AP1GczMmaNjbUv16dXEWoYNTyVy-IYudCAm0MYRRDPLxHZuj9AKepfIKoFMFwJ-dq-Nf6uMPX8maEvjINICJxIPt6iWNwlBSdSm9O6I_4Cu5u98YVHfM1OHF=w1200|https://lh3.googleusercontent.com/pw/AP1GczNwporcrILGV2ENL069OTUO3zCjVOLpissMjpqVXWbsbxwNLq8tQWRF6tO9T_hBiInb7delhRa5zauskWmEXzE4uxGAVbnRCXy0EjpilsJYukoDPqUY=w1200|https://lh3.googleusercontent.com/pw/AP1GczOodlCbPiqBvQjHGzFNdh6M3IGKy4spEolGpYshY-NbaI9F4TZs4DqupG40baxzSefEF1Xs7AAmQFCwqy1qMeMacUtgVDVb9-m3T3aQaxXX9ffAIJSs=w1200|https://lh3.googleusercontent.com/pw/AP1GczPHKEu6EwfWGpJxp2E8vQOkPyGEZm9J9LwCSRCdySeBCDHZGa5qrQefVGmfK9ywQcQii_aFhGfTdMPyojGj681VT4ueErqZcGfbEfwjyrAe60W-ykYr=w1200|https://lh3.googleusercontent.com/pw/AP1GczP3TP7okHdazfQed4wbeXunwkwPIjgSglmFPuwXEobzH7gZ0gOZ1MyD7R0hO1hhwtWmC5zw6y6SAItGcaBNDAYi7uBITDPigaELBLp4oLplyOlpgb75=w1200|https://lh3.googleusercontent.com/pw/AP1GczO2QAq_DlVszQ2if-ZAXRd2CQqU7ss1A4TQ8rHv_VzL5KMufkklZKXBCVk7KyA6YUAGM_q0RL7yUwKY9omqu5FRvWyJytaIsPvMUVTyFTO6Yi3hVD89=w1200|https://lh3.googleusercontent.com/pw/AP1GczO6w9-kFP_UzF5CWuz5iANdbiz3uy60LsLlkN8KcztXf_seOcl_7uGbuWQ3JbTPKBsIdc60dDWl_zFv1jqVjInAzaLoEUgVOmizH0FWXFv9Wrk_E4yX=w1200</v>
      </c>
      <c r="AJ398" s="46"/>
      <c r="AK398" s="46"/>
      <c r="AL398" s="46"/>
      <c r="AM398" s="46"/>
      <c r="AN398" s="46"/>
      <c r="AO398" s="46"/>
      <c r="AP398" s="46"/>
      <c r="AQ398" s="46"/>
      <c r="AR398" s="46"/>
      <c r="AS398" s="46"/>
      <c r="AT398" s="46"/>
      <c r="AU398" s="46"/>
      <c r="AV398" s="46"/>
      <c r="AW398" s="46"/>
      <c r="AX398" s="46"/>
      <c r="AY398" s="46"/>
      <c r="AZ398" s="46"/>
      <c r="BA398" s="46"/>
      <c r="BB398" s="46"/>
      <c r="BC398" s="46"/>
      <c r="BD398" s="46"/>
      <c r="BE398" s="46"/>
      <c r="BF398" s="46"/>
      <c r="BG398" s="46"/>
      <c r="BH398" s="46"/>
      <c r="BI398" s="46"/>
      <c r="BJ398" s="46"/>
      <c r="BK398" s="46"/>
      <c r="BL398" s="46"/>
      <c r="BM398" s="46"/>
      <c r="BN398" s="46"/>
      <c r="BO398" s="46"/>
      <c r="BP398" s="46"/>
      <c r="BQ398" s="46"/>
      <c r="BR398" s="46"/>
      <c r="BS398" s="46"/>
      <c r="BT398" s="46"/>
      <c r="BU398" s="46"/>
      <c r="BV398" s="46"/>
      <c r="BW398" s="46"/>
      <c r="BX398" s="46"/>
      <c r="BY398" s="46"/>
      <c r="BZ398" s="46"/>
      <c r="CA398" s="46"/>
      <c r="CB398" s="46"/>
      <c r="CC398" s="46"/>
    </row>
    <row r="399">
      <c r="A399" s="87" t="str">
        <f>IFERROR(__xludf.DUMMYFUNCTION("""COMPUTED_VALUE"""),"1242")</f>
        <v>1242</v>
      </c>
      <c r="B399" s="46" t="str">
        <f>IFERROR(__xludf.DUMMYFUNCTION("""COMPUTED_VALUE"""),"Casa en barrio La Acacias")</f>
        <v>Casa en barrio La Acacias</v>
      </c>
      <c r="C399" s="46" t="str">
        <f>IFERROR(__xludf.DUMMYFUNCTION("""COMPUTED_VALUE"""),"Casa")</f>
        <v>Casa</v>
      </c>
      <c r="D399" s="46" t="str">
        <f>IFERROR(__xludf.DUMMYFUNCTION("""COMPUTED_VALUE"""),"Las Acacias")</f>
        <v>Las Acacias</v>
      </c>
      <c r="E399" s="46"/>
      <c r="F399" s="90">
        <f>IFERROR(__xludf.DUMMYFUNCTION("""COMPUTED_VALUE"""),1.7E8)</f>
        <v>170000000</v>
      </c>
      <c r="G399" s="46" t="str">
        <f>IFERROR(__xludf.DUMMYFUNCTION("""COMPUTED_VALUE"""),"$100'000.000 a $200'000.000")</f>
        <v>$100'000.000 a $200'000.000</v>
      </c>
      <c r="H399" s="46"/>
      <c r="I399" s="46"/>
      <c r="J399" s="46" t="str">
        <f>IFERROR(__xludf.DUMMYFUNCTION("""COMPUTED_VALUE"""),"Sur")</f>
        <v>Sur</v>
      </c>
      <c r="K399" s="87" t="str">
        <f>IFERROR(__xludf.DUMMYFUNCTION("""COMPUTED_VALUE"""),"10")</f>
        <v>10</v>
      </c>
      <c r="L399" s="46">
        <f>IFERROR(__xludf.DUMMYFUNCTION("""COMPUTED_VALUE"""),3.0)</f>
        <v>3</v>
      </c>
      <c r="M399" s="46"/>
      <c r="N399" s="46">
        <f>IFERROR(__xludf.DUMMYFUNCTION("""COMPUTED_VALUE"""),2.0)</f>
        <v>2</v>
      </c>
      <c r="O399" s="46">
        <f>IFERROR(__xludf.DUMMYFUNCTION("""COMPUTED_VALUE"""),1.0)</f>
        <v>1</v>
      </c>
      <c r="P399" s="46">
        <f>IFERROR(__xludf.DUMMYFUNCTION("""COMPUTED_VALUE"""),2.0)</f>
        <v>2</v>
      </c>
      <c r="Q399" s="92"/>
      <c r="R399" s="92">
        <f>IFERROR(__xludf.DUMMYFUNCTION("""COMPUTED_VALUE"""),160.0)</f>
        <v>160</v>
      </c>
      <c r="S399" s="87" t="str">
        <f>IFERROR(__xludf.DUMMYFUNCTION("""COMPUTED_VALUE""")," ")</f>
        <v> </v>
      </c>
      <c r="T399" s="46" t="str">
        <f>IFERROR(__xludf.DUMMYFUNCTION("""COMPUTED_VALUE"""),"Neiva")</f>
        <v>Neiva</v>
      </c>
      <c r="U399" s="87" t="str">
        <f>IFERROR(__xludf.DUMMYFUNCTION("""COMPUTED_VALUE"""),"2")</f>
        <v>2</v>
      </c>
      <c r="V399" s="46" t="str">
        <f>IFERROR(__xludf.DUMMYFUNCTION("""COMPUTED_VALUE"""),"Esquinera")</f>
        <v>Esquinera</v>
      </c>
      <c r="W399" s="46"/>
      <c r="X399" s="46">
        <f>IFERROR(__xludf.DUMMYFUNCTION("""COMPUTED_VALUE"""),2.0)</f>
        <v>2</v>
      </c>
      <c r="Y399" s="46" t="str">
        <f>IFERROR(__xludf.DUMMYFUNCTION("""COMPUTED_VALUE"""),"No tiene")</f>
        <v>No tiene</v>
      </c>
      <c r="Z399" s="90" t="str">
        <f>IFERROR(__xludf.DUMMYFUNCTION("""COMPUTED_VALUE"""),"No aplica")</f>
        <v>No aplica</v>
      </c>
      <c r="AA399" s="33" t="str">
        <f>IFERROR(__xludf.DUMMYFUNCTION("""COMPUTED_VALUE"""),"No aplica")</f>
        <v>No aplica</v>
      </c>
      <c r="AB399" s="96" t="str">
        <f>IFERROR(__xludf.DUMMYFUNCTION("""COMPUTED_VALUE"""),"https://photos.app.goo.gl/hUNY7SXZKEKs37cg7")</f>
        <v>https://photos.app.goo.gl/hUNY7SXZKEKs37cg7</v>
      </c>
      <c r="AC399" s="46"/>
      <c r="AD399" s="46"/>
      <c r="AE399" s="46"/>
      <c r="AF399" s="46" t="str">
        <f>IFERROR(__xludf.DUMMYFUNCTION("""COMPUTED_VALUE"""),"básica")</f>
        <v>básica</v>
      </c>
      <c r="AG399" s="46"/>
      <c r="AH399" s="46" t="str">
        <f>IFERROR(__xludf.DUMMYFUNCTION("""COMPUTED_VALUE"""),"Aliado")</f>
        <v>Aliado</v>
      </c>
      <c r="AI399" s="92" t="str">
        <f>IFERROR(__xludf.DUMMYFUNCTION("""COMPUTED_VALUE"""),"https://lh3.googleusercontent.com/pw/AP1GczPnrwhWzj-a6FjYCjv7Q_D3NWJ0jd7UwJ79QT2P0iAnWFcwRWwwT535zJuq5J-LBEV4dlOgzTvKU9CM3NfSJYdTNw0Dqi8zbfv9uV_e11IZBi442v0Y=w1200|https://lh3.googleusercontent.com/pw/AP1GczO_1uaQEDPWDYw9Ywu7aNY2wv8UvJEL2m-OhNZJ5qtDk6RYul"&amp;"WjCxhBAUOqwsppxrKBKz5RwPXElZ4h9n7U9Z69X0wtq96Ltym2y0I1FRYMxfeelxkg=w1200|https://lh3.googleusercontent.com/pw/AP1GczP2Z1fXlRxMx4lGefGHAI2gDiBJ4rZECXojcoBlBG8-3wcAGrsmzq2igPGblFb5w4iUC3knGj4K69eJCG-5Ru-oEB1DQ_q0mUf5H1NvKTc2LIkoRco_=w1200|https://lh3.google"&amp;"usercontent.com/pw/AP1GczNP67YYbbAIvwRB1BA8QK7DwhpZo3rpn7sChDGk3FBBsslNic1SnxhwqZwXi9gfsPHFuQAWc_MduxqU5rJez-QVp9sZT_yNWo74ttM4ozCaLuglmYh_=w1200|https://lh3.googleusercontent.com/pw/AP1GczOgnx6qkNLrxstOvhMSGDA9qIgwnqg8UIS79XXkyhIuOaXvFG4N6UFFqSCwmP_7GCQ3"&amp;"W2yfpysJ3M9K4G4BfzXIbq7maFVVAFQh6I0kKoCzJ0Fg6DT9=w1200|https://lh3.googleusercontent.com/pw/AP1GczMXEy0sDirCu47O7FpLmzopm1_jFmxCcerEx_jVujkeB3p3iQhnRnm-myPLi_ina-M6HzUNtTIGlPZoUsiN8hVcSNfZKsBYw9P4ozWXM8fATtNRg3AK=w1200|https://lh3.googleusercontent.com/pw"&amp;"/AP1GczOGj7PX8e6Bf8QIUUS7bZQG291x0DDHAIpGa8ESq3cOohW-5o4pqa0QR_7xOHFnK__tEanz9RVVkTuj0ojdS6kePqArhmP6TppeK86nplhaxIEaBV-b=w1200|https://lh3.googleusercontent.com/pw/AP1GczPx7Xi4aGKtTD_05Nh3dqs0HeIA4Z1Zb6rlEmDQOiSc385qPuXwtjg9FT-xk0lzht9lkwb8xtgAKZyQXJghx7"&amp;"YbUlmmK3TJPOzLaJF1lHEHTxOyLUXI=w1200|https://lh3.googleusercontent.com/pw/AP1GczNlvHpW4z6IzH-O9J-zKieCiGRwvLasreeJGWfCPjx4YZwn0InvVIIFAvJBypFz1x89BB4apHrVSuVvHeY0MzXrXoT_JnTNlM67j8Z3OcCCn0989XPl=w1200|https://lh3.googleusercontent.com/pw/AP1GczMPGoFV3WCTb"&amp;"YVnXtAIFPjopeh-SiBz1TADEMV2LpJuW0H0ujRrkQfk5odHTSvzA8F7LK545Qx-qhWXg0jXYeYvtZDQBI6ouE81rvgPKv7cEB78FXQz=w1200|https://lh3.googleusercontent.com/pw/AP1GczOdsgncArFu-rmefIGVFl5n_yYbYHFkePJYl9Dayk1rEWZzaB83TDNEs2VipHS8L8Fof_e3JN-O5pv-YbBXdv-9IDSqGlBsoH5UelAf"&amp;"xM5_ndFUrf76=w1200|https://lh3.googleusercontent.com/pw/AP1GczOtlVcmS3KO8bH3B3YuB-aamSSDQjWjL3yAj1Jxujzdd04jFB9Zvl445Twx8B0tZddxZMX-Bj4UsmkAdD3Ctgqyx3noXZgmutH33ONIPvHIaswW7iFa=w1200|https://lh3.googleusercontent.com/pw/AP1GczM2qpiA7OBRWyjvZsZj8j8hQj9S_GQ"&amp;"wU_7mrRW3nXaBA3G0rIXgdHMskqNXAcBkG5ckdE6U9WCG-RgvokB0dBoszpBWLdvf-BKbS8pPME3UZrtTXEV3=w1200|https://lh3.googleusercontent.com/pw/AP1GczPmXhrCc4QLT6yZTO760QSotGNgCpmEP1aXIY88jdKHtj8SHPsLO6Q43Akldsg8ytimEhLVOKSv9UvzPInYlL32PBHRjj8C_vln8ph5Zm9MKg22LvgD=w1200"&amp;"|https://lh3.googleusercontent.com/pw/AP1GczPgBESeFUgH9T0Aexbc8qbmlqxbiGco615t42sQqNkERGAjge-8aPLm7bsD_SPZg0ftjQoVLqMBox9nvj2HLQS9YVqrLTdJcfGTOFB6xZQTCx59XMKd=w1200|https://lh3.googleusercontent.com/pw/AP1GczPeimym41z68VT-XY68-xNr9KJYlOpuYNAsGfi-NNDN3d9Yg"&amp;"vHWo7pu_6YMSxSuv6y1e30H8y6N-YM2Yrbwn_xwoEdPTmKG0_y_ow1vV46XOU-IUMSI=w1200|https://lh3.googleusercontent.com/pw/AP1GczPkcsgTOnEkPH9N9N6MhUlD3uiYQ-Ln7QNvWiwVKZYbZ0j0pZ5UQ8OgaejIddI4Qs4EY9lECZDIangfdBYFdGZeoqkuGQMTqq_oGVO0cyi60J-KrMvm=w1200|https://lh3.googl"&amp;"eusercontent.com/pw/AP1GczPk-rEVuk_uqPBaXVpU-EgIqJyDExlQhBWCtStsg96vDLuPr8sTkFtKNibQe7zE4eidvME2I-bXGIZsvUMGvfCfFzwIoqF3vCCaryAHfQY65JkTQ4Ze=w1200|https://lh3.googleusercontent.com/pw/AP1GczNcOULSFiZt_ddvBLwmEzF-eYXTiLRcU5VulYbVLJijLNHlulbOiO4-YyPOFfI0z3D"&amp;"2-cjsBn-6_rbTR-mpqysvejGKGNI2b2_lZjigyayKBixeqrvK=w1200")</f>
        <v>https://lh3.googleusercontent.com/pw/AP1GczPnrwhWzj-a6FjYCjv7Q_D3NWJ0jd7UwJ79QT2P0iAnWFcwRWwwT535zJuq5J-LBEV4dlOgzTvKU9CM3NfSJYdTNw0Dqi8zbfv9uV_e11IZBi442v0Y=w1200|https://lh3.googleusercontent.com/pw/AP1GczO_1uaQEDPWDYw9Ywu7aNY2wv8UvJEL2m-OhNZJ5qtDk6RYulWjCxhBAUOqwsppxrKBKz5RwPXElZ4h9n7U9Z69X0wtq96Ltym2y0I1FRYMxfeelxkg=w1200|https://lh3.googleusercontent.com/pw/AP1GczP2Z1fXlRxMx4lGefGHAI2gDiBJ4rZECXojcoBlBG8-3wcAGrsmzq2igPGblFb5w4iUC3knGj4K69eJCG-5Ru-oEB1DQ_q0mUf5H1NvKTc2LIkoRco_=w1200|https://lh3.googleusercontent.com/pw/AP1GczNP67YYbbAIvwRB1BA8QK7DwhpZo3rpn7sChDGk3FBBsslNic1SnxhwqZwXi9gfsPHFuQAWc_MduxqU5rJez-QVp9sZT_yNWo74ttM4ozCaLuglmYh_=w1200|https://lh3.googleusercontent.com/pw/AP1GczOgnx6qkNLrxstOvhMSGDA9qIgwnqg8UIS79XXkyhIuOaXvFG4N6UFFqSCwmP_7GCQ3W2yfpysJ3M9K4G4BfzXIbq7maFVVAFQh6I0kKoCzJ0Fg6DT9=w1200|https://lh3.googleusercontent.com/pw/AP1GczMXEy0sDirCu47O7FpLmzopm1_jFmxCcerEx_jVujkeB3p3iQhnRnm-myPLi_ina-M6HzUNtTIGlPZoUsiN8hVcSNfZKsBYw9P4ozWXM8fATtNRg3AK=w1200|https://lh3.googleusercontent.com/pw/AP1GczOGj7PX8e6Bf8QIUUS7bZQG291x0DDHAIpGa8ESq3cOohW-5o4pqa0QR_7xOHFnK__tEanz9RVVkTuj0ojdS6kePqArhmP6TppeK86nplhaxIEaBV-b=w1200|https://lh3.googleusercontent.com/pw/AP1GczPx7Xi4aGKtTD_05Nh3dqs0HeIA4Z1Zb6rlEmDQOiSc385qPuXwtjg9FT-xk0lzht9lkwb8xtgAKZyQXJghx7YbUlmmK3TJPOzLaJF1lHEHTxOyLUXI=w1200|https://lh3.googleusercontent.com/pw/AP1GczNlvHpW4z6IzH-O9J-zKieCiGRwvLasreeJGWfCPjx4YZwn0InvVIIFAvJBypFz1x89BB4apHrVSuVvHeY0MzXrXoT_JnTNlM67j8Z3OcCCn0989XPl=w1200|https://lh3.googleusercontent.com/pw/AP1GczMPGoFV3WCTbYVnXtAIFPjopeh-SiBz1TADEMV2LpJuW0H0ujRrkQfk5odHTSvzA8F7LK545Qx-qhWXg0jXYeYvtZDQBI6ouE81rvgPKv7cEB78FXQz=w1200|https://lh3.googleusercontent.com/pw/AP1GczOdsgncArFu-rmefIGVFl5n_yYbYHFkePJYl9Dayk1rEWZzaB83TDNEs2VipHS8L8Fof_e3JN-O5pv-YbBXdv-9IDSqGlBsoH5UelAfxM5_ndFUrf76=w1200|https://lh3.googleusercontent.com/pw/AP1GczOtlVcmS3KO8bH3B3YuB-aamSSDQjWjL3yAj1Jxujzdd04jFB9Zvl445Twx8B0tZddxZMX-Bj4UsmkAdD3Ctgqyx3noXZgmutH33ONIPvHIaswW7iFa=w1200|https://lh3.googleusercontent.com/pw/AP1GczM2qpiA7OBRWyjvZsZj8j8hQj9S_GQwU_7mrRW3nXaBA3G0rIXgdHMskqNXAcBkG5ckdE6U9WCG-RgvokB0dBoszpBWLdvf-BKbS8pPME3UZrtTXEV3=w1200|https://lh3.googleusercontent.com/pw/AP1GczPmXhrCc4QLT6yZTO760QSotGNgCpmEP1aXIY88jdKHtj8SHPsLO6Q43Akldsg8ytimEhLVOKSv9UvzPInYlL32PBHRjj8C_vln8ph5Zm9MKg22LvgD=w1200|https://lh3.googleusercontent.com/pw/AP1GczPgBESeFUgH9T0Aexbc8qbmlqxbiGco615t42sQqNkERGAjge-8aPLm7bsD_SPZg0ftjQoVLqMBox9nvj2HLQS9YVqrLTdJcfGTOFB6xZQTCx59XMKd=w1200|https://lh3.googleusercontent.com/pw/AP1GczPeimym41z68VT-XY68-xNr9KJYlOpuYNAsGfi-NNDN3d9YgvHWo7pu_6YMSxSuv6y1e30H8y6N-YM2Yrbwn_xwoEdPTmKG0_y_ow1vV46XOU-IUMSI=w1200|https://lh3.googleusercontent.com/pw/AP1GczPkcsgTOnEkPH9N9N6MhUlD3uiYQ-Ln7QNvWiwVKZYbZ0j0pZ5UQ8OgaejIddI4Qs4EY9lECZDIangfdBYFdGZeoqkuGQMTqq_oGVO0cyi60J-KrMvm=w1200|https://lh3.googleusercontent.com/pw/AP1GczPk-rEVuk_uqPBaXVpU-EgIqJyDExlQhBWCtStsg96vDLuPr8sTkFtKNibQe7zE4eidvME2I-bXGIZsvUMGvfCfFzwIoqF3vCCaryAHfQY65JkTQ4Ze=w1200|https://lh3.googleusercontent.com/pw/AP1GczNcOULSFiZt_ddvBLwmEzF-eYXTiLRcU5VulYbVLJijLNHlulbOiO4-YyPOFfI0z3D2-cjsBn-6_rbTR-mpqysvejGKGNI2b2_lZjigyayKBixeqrvK=w1200</v>
      </c>
      <c r="AJ399" s="46"/>
      <c r="AK399" s="46"/>
      <c r="AL399" s="46"/>
      <c r="AM399" s="46"/>
      <c r="AN399" s="46"/>
      <c r="AO399" s="46"/>
      <c r="AP399" s="46"/>
      <c r="AQ399" s="46"/>
      <c r="AR399" s="46"/>
      <c r="AS399" s="46"/>
      <c r="AT399" s="46"/>
      <c r="AU399" s="46"/>
      <c r="AV399" s="46"/>
      <c r="AW399" s="46"/>
      <c r="AX399" s="46"/>
      <c r="AY399" s="46"/>
      <c r="AZ399" s="46"/>
      <c r="BA399" s="46"/>
      <c r="BB399" s="46"/>
      <c r="BC399" s="46"/>
      <c r="BD399" s="46"/>
      <c r="BE399" s="46"/>
      <c r="BF399" s="46"/>
      <c r="BG399" s="46"/>
      <c r="BH399" s="46"/>
      <c r="BI399" s="46"/>
      <c r="BJ399" s="46"/>
      <c r="BK399" s="46"/>
      <c r="BL399" s="46"/>
      <c r="BM399" s="46"/>
      <c r="BN399" s="46"/>
      <c r="BO399" s="46"/>
      <c r="BP399" s="46"/>
      <c r="BQ399" s="46"/>
      <c r="BR399" s="46"/>
      <c r="BS399" s="46"/>
      <c r="BT399" s="46"/>
      <c r="BU399" s="46"/>
      <c r="BV399" s="46"/>
      <c r="BW399" s="46"/>
      <c r="BX399" s="46"/>
      <c r="BY399" s="46"/>
      <c r="BZ399" s="46"/>
      <c r="CA399" s="46"/>
      <c r="CB399" s="46"/>
      <c r="CC399" s="46"/>
    </row>
    <row r="400">
      <c r="A400" s="87" t="str">
        <f>IFERROR(__xludf.DUMMYFUNCTION("""COMPUTED_VALUE"""),"1112")</f>
        <v>1112</v>
      </c>
      <c r="B400" s="46" t="str">
        <f>IFERROR(__xludf.DUMMYFUNCTION("""COMPUTED_VALUE"""),"Lote campestre en vereda Los Ocobos ")</f>
        <v>Lote campestre en vereda Los Ocobos </v>
      </c>
      <c r="C400" s="46" t="str">
        <f>IFERROR(__xludf.DUMMYFUNCTION("""COMPUTED_VALUE"""),"Lote en conjunto")</f>
        <v>Lote en conjunto</v>
      </c>
      <c r="D400" s="46"/>
      <c r="E400" s="46"/>
      <c r="F400" s="90">
        <f>IFERROR(__xludf.DUMMYFUNCTION("""COMPUTED_VALUE"""),1.6E8)</f>
        <v>160000000</v>
      </c>
      <c r="G400" s="46" t="str">
        <f>IFERROR(__xludf.DUMMYFUNCTION("""COMPUTED_VALUE"""),"$100'000.000 a $200'000.000")</f>
        <v>$100'000.000 a $200'000.000</v>
      </c>
      <c r="H400" s="46"/>
      <c r="I400" s="46"/>
      <c r="J400" s="46" t="str">
        <f>IFERROR(__xludf.DUMMYFUNCTION("""COMPUTED_VALUE"""),"Rural")</f>
        <v>Rural</v>
      </c>
      <c r="K400" s="87"/>
      <c r="L400" s="46">
        <f>IFERROR(__xludf.DUMMYFUNCTION("""COMPUTED_VALUE"""),0.0)</f>
        <v>0</v>
      </c>
      <c r="M400" s="46"/>
      <c r="N400" s="46">
        <f>IFERROR(__xludf.DUMMYFUNCTION("""COMPUTED_VALUE"""),0.0)</f>
        <v>0</v>
      </c>
      <c r="O400" s="46">
        <f>IFERROR(__xludf.DUMMYFUNCTION("""COMPUTED_VALUE"""),0.0)</f>
        <v>0</v>
      </c>
      <c r="P400" s="46">
        <f>IFERROR(__xludf.DUMMYFUNCTION("""COMPUTED_VALUE"""),0.0)</f>
        <v>0</v>
      </c>
      <c r="Q400" s="92">
        <f>IFERROR(__xludf.DUMMYFUNCTION("""COMPUTED_VALUE"""),0.0)</f>
        <v>0</v>
      </c>
      <c r="R400" s="92">
        <f>IFERROR(__xludf.DUMMYFUNCTION("""COMPUTED_VALUE"""),2209.0)</f>
        <v>2209</v>
      </c>
      <c r="S400" s="87" t="str">
        <f>IFERROR(__xludf.DUMMYFUNCTION("""COMPUTED_VALUE""")," ")</f>
        <v> </v>
      </c>
      <c r="T400" s="46" t="str">
        <f>IFERROR(__xludf.DUMMYFUNCTION("""COMPUTED_VALUE"""),"Rivera")</f>
        <v>Rivera</v>
      </c>
      <c r="U400" s="87"/>
      <c r="V400" s="46" t="str">
        <f>IFERROR(__xludf.DUMMYFUNCTION("""COMPUTED_VALUE"""),"Medianera")</f>
        <v>Medianera</v>
      </c>
      <c r="W400" s="46"/>
      <c r="X400" s="46">
        <f>IFERROR(__xludf.DUMMYFUNCTION("""COMPUTED_VALUE"""),0.0)</f>
        <v>0</v>
      </c>
      <c r="Y400" s="46" t="str">
        <f>IFERROR(__xludf.DUMMYFUNCTION("""COMPUTED_VALUE"""),"No tiene")</f>
        <v>No tiene</v>
      </c>
      <c r="Z400" s="90"/>
      <c r="AA400" s="33" t="str">
        <f>IFERROR(__xludf.DUMMYFUNCTION("""COMPUTED_VALUE"""),"No aplica")</f>
        <v>No aplica</v>
      </c>
      <c r="AB400" s="96" t="str">
        <f>IFERROR(__xludf.DUMMYFUNCTION("""COMPUTED_VALUE"""),"https://photos.app.goo.gl/oXxMfoKQYfhr8Qzx8")</f>
        <v>https://photos.app.goo.gl/oXxMfoKQYfhr8Qzx8</v>
      </c>
      <c r="AC400" s="46" t="str">
        <f>IFERROR(__xludf.DUMMYFUNCTION("""COMPUTED_VALUE"""),"Lote los ocobos, área de 2,209 mts2, con pozo séptico.")</f>
        <v>Lote los ocobos, área de 2,209 mts2, con pozo séptico.</v>
      </c>
      <c r="AD400" s="46" t="str">
        <f>IFERROR(__xludf.DUMMYFUNCTION("""COMPUTED_VALUE"""),"Excelente ubicación.")</f>
        <v>Excelente ubicación.</v>
      </c>
      <c r="AE400" s="46"/>
      <c r="AF400" s="46">
        <f>IFERROR(__xludf.DUMMYFUNCTION("""COMPUTED_VALUE"""),0.0)</f>
        <v>0</v>
      </c>
      <c r="AG400" s="46"/>
      <c r="AH400" s="46" t="str">
        <f>IFERROR(__xludf.DUMMYFUNCTION("""COMPUTED_VALUE"""),"Aliado")</f>
        <v>Aliado</v>
      </c>
      <c r="AI400" s="92" t="str">
        <f>IFERROR(__xludf.DUMMYFUNCTION("""COMPUTED_VALUE"""),"https://lh3.googleusercontent.com/pw/AP1GczNic0bUD935s6Ta-NmQFd8LGautvxRSxYct9acl4nFvUnZRrJwu3O_EfNVJ4Y91o5idgsZOOZX6KRGXrfbKCmkMeIz19DDz_4SFMryjMB3i9BwaMPpG=w1200|https://lh3.googleusercontent.com/pw/AP1GczNAwDudj_I4_2aa9okKgpk4LLv7nfeEjF0zsxH87oltGS8zGN"&amp;"Iv0cjgLjQfHLMl2tiPnPuCjd1z2cPaqMdux0XSJDs9Jy4YkIvrvxTDBfWohYgIrqQ2=w1200|https://lh3.googleusercontent.com/pw/AP1GczPSZDqTATb1YstKoUGTG7WbaafdWP8fpTlOcT4EYgdGnltA2hBJw8xe75iBKDO7p-V82mqck-XFKMOfROdS8pfDpiyUyJF-gdsXDRHDBBFP-tdNc9B3=w1200")</f>
        <v>https://lh3.googleusercontent.com/pw/AP1GczNic0bUD935s6Ta-NmQFd8LGautvxRSxYct9acl4nFvUnZRrJwu3O_EfNVJ4Y91o5idgsZOOZX6KRGXrfbKCmkMeIz19DDz_4SFMryjMB3i9BwaMPpG=w1200|https://lh3.googleusercontent.com/pw/AP1GczNAwDudj_I4_2aa9okKgpk4LLv7nfeEjF0zsxH87oltGS8zGNIv0cjgLjQfHLMl2tiPnPuCjd1z2cPaqMdux0XSJDs9Jy4YkIvrvxTDBfWohYgIrqQ2=w1200|https://lh3.googleusercontent.com/pw/AP1GczPSZDqTATb1YstKoUGTG7WbaafdWP8fpTlOcT4EYgdGnltA2hBJw8xe75iBKDO7p-V82mqck-XFKMOfROdS8pfDpiyUyJF-gdsXDRHDBBFP-tdNc9B3=w1200</v>
      </c>
      <c r="AJ400" s="46"/>
      <c r="AK400" s="46"/>
      <c r="AL400" s="46"/>
      <c r="AM400" s="46"/>
      <c r="AN400" s="46"/>
      <c r="AO400" s="46"/>
      <c r="AP400" s="46"/>
      <c r="AQ400" s="46"/>
      <c r="AR400" s="46"/>
      <c r="AS400" s="46"/>
      <c r="AT400" s="46"/>
      <c r="AU400" s="46"/>
      <c r="AV400" s="46"/>
      <c r="AW400" s="46"/>
      <c r="AX400" s="46"/>
      <c r="AY400" s="46"/>
      <c r="AZ400" s="46"/>
      <c r="BA400" s="46"/>
      <c r="BB400" s="46"/>
      <c r="BC400" s="46"/>
      <c r="BD400" s="46"/>
      <c r="BE400" s="46"/>
      <c r="BF400" s="46"/>
      <c r="BG400" s="46"/>
      <c r="BH400" s="46"/>
      <c r="BI400" s="46"/>
      <c r="BJ400" s="46"/>
      <c r="BK400" s="46"/>
      <c r="BL400" s="46"/>
      <c r="BM400" s="46"/>
      <c r="BN400" s="46"/>
      <c r="BO400" s="46"/>
      <c r="BP400" s="46"/>
      <c r="BQ400" s="46"/>
      <c r="BR400" s="46"/>
      <c r="BS400" s="46"/>
      <c r="BT400" s="46"/>
      <c r="BU400" s="46"/>
      <c r="BV400" s="46"/>
      <c r="BW400" s="46"/>
      <c r="BX400" s="46"/>
      <c r="BY400" s="46"/>
      <c r="BZ400" s="46"/>
      <c r="CA400" s="46"/>
      <c r="CB400" s="46"/>
      <c r="CC400" s="46"/>
    </row>
    <row r="401">
      <c r="A401" s="87" t="str">
        <f>IFERROR(__xludf.DUMMYFUNCTION("""COMPUTED_VALUE"""),"1003")</f>
        <v>1003</v>
      </c>
      <c r="B401" s="46" t="str">
        <f>IFERROR(__xludf.DUMMYFUNCTION("""COMPUTED_VALUE"""),"Casa en barrio Cuarto Centenario")</f>
        <v>Casa en barrio Cuarto Centenario</v>
      </c>
      <c r="C401" s="46" t="str">
        <f>IFERROR(__xludf.DUMMYFUNCTION("""COMPUTED_VALUE"""),"Casa")</f>
        <v>Casa</v>
      </c>
      <c r="D401" s="46" t="str">
        <f>IFERROR(__xludf.DUMMYFUNCTION("""COMPUTED_VALUE"""),"Cuarto Centenario")</f>
        <v>Cuarto Centenario</v>
      </c>
      <c r="E401" s="46"/>
      <c r="F401" s="90">
        <f>IFERROR(__xludf.DUMMYFUNCTION("""COMPUTED_VALUE"""),1.6E8)</f>
        <v>160000000</v>
      </c>
      <c r="G401" s="46" t="str">
        <f>IFERROR(__xludf.DUMMYFUNCTION("""COMPUTED_VALUE"""),"$100'000.000 a $200'000.000")</f>
        <v>$100'000.000 a $200'000.000</v>
      </c>
      <c r="H401" s="46"/>
      <c r="I401" s="46"/>
      <c r="J401" s="46" t="str">
        <f>IFERROR(__xludf.DUMMYFUNCTION("""COMPUTED_VALUE"""),"Sur")</f>
        <v>Sur</v>
      </c>
      <c r="K401" s="87"/>
      <c r="L401" s="46">
        <f>IFERROR(__xludf.DUMMYFUNCTION("""COMPUTED_VALUE"""),2.0)</f>
        <v>2</v>
      </c>
      <c r="M401" s="46"/>
      <c r="N401" s="46">
        <f>IFERROR(__xludf.DUMMYFUNCTION("""COMPUTED_VALUE"""),1.0)</f>
        <v>1</v>
      </c>
      <c r="O401" s="46">
        <f>IFERROR(__xludf.DUMMYFUNCTION("""COMPUTED_VALUE"""),1.0)</f>
        <v>1</v>
      </c>
      <c r="P401" s="46">
        <f>IFERROR(__xludf.DUMMYFUNCTION("""COMPUTED_VALUE"""),1.0)</f>
        <v>1</v>
      </c>
      <c r="Q401" s="92">
        <f>IFERROR(__xludf.DUMMYFUNCTION("""COMPUTED_VALUE"""),84.0)</f>
        <v>84</v>
      </c>
      <c r="R401" s="92">
        <f>IFERROR(__xludf.DUMMYFUNCTION("""COMPUTED_VALUE"""),84.0)</f>
        <v>84</v>
      </c>
      <c r="S401" s="87" t="str">
        <f>IFERROR(__xludf.DUMMYFUNCTION("""COMPUTED_VALUE""")," ")</f>
        <v> </v>
      </c>
      <c r="T401" s="46" t="str">
        <f>IFERROR(__xludf.DUMMYFUNCTION("""COMPUTED_VALUE"""),"Neiva")</f>
        <v>Neiva</v>
      </c>
      <c r="U401" s="87" t="str">
        <f>IFERROR(__xludf.DUMMYFUNCTION("""COMPUTED_VALUE"""),"2")</f>
        <v>2</v>
      </c>
      <c r="V401" s="46" t="str">
        <f>IFERROR(__xludf.DUMMYFUNCTION("""COMPUTED_VALUE"""),"Medianera")</f>
        <v>Medianera</v>
      </c>
      <c r="W401" s="46"/>
      <c r="X401" s="46">
        <f>IFERROR(__xludf.DUMMYFUNCTION("""COMPUTED_VALUE"""),0.0)</f>
        <v>0</v>
      </c>
      <c r="Y401" s="46" t="str">
        <f>IFERROR(__xludf.DUMMYFUNCTION("""COMPUTED_VALUE"""),"No tiene")</f>
        <v>No tiene</v>
      </c>
      <c r="Z401" s="90" t="str">
        <f>IFERROR(__xludf.DUMMYFUNCTION("""COMPUTED_VALUE"""),"No aplica")</f>
        <v>No aplica</v>
      </c>
      <c r="AA401" s="33"/>
      <c r="AB401" s="144" t="str">
        <f>IFERROR(__xludf.DUMMYFUNCTION("""COMPUTED_VALUE"""),"https://photos.app.goo.gl/izNh1y6zf6yQogRe7")</f>
        <v>https://photos.app.goo.gl/izNh1y6zf6yQogRe7</v>
      </c>
      <c r="AC401" s="46" t="str">
        <f>IFERROR(__xludf.DUMMYFUNCTION("""COMPUTED_VALUE"""),"Cuenta con algunos acabados, piso en cerámica, cielo raso en Icopor. Algunos muros  terminados, otros en obra negra. Cubierta con teja en zinc y perfileria metálica.")</f>
        <v>Cuenta con algunos acabados, piso en cerámica, cielo raso en Icopor. Algunos muros  terminados, otros en obra negra. Cubierta con teja en zinc y perfileria metálica.</v>
      </c>
      <c r="AD401" s="46" t="str">
        <f>IFERROR(__xludf.DUMMYFUNCTION("""COMPUTED_VALUE"""),"Casa ubicada sobre vía amplia. Cuenta con reja. Acreditada para negocio. Escritura al día.")</f>
        <v>Casa ubicada sobre vía amplia. Cuenta con reja. Acreditada para negocio. Escritura al día.</v>
      </c>
      <c r="AE401" s="46"/>
      <c r="AF401" s="46" t="str">
        <f>IFERROR(__xludf.DUMMYFUNCTION("""COMPUTED_VALUE"""),"básica")</f>
        <v>básica</v>
      </c>
      <c r="AG401" s="46"/>
      <c r="AH401" s="46" t="str">
        <f>IFERROR(__xludf.DUMMYFUNCTION("""COMPUTED_VALUE"""),"Aliado")</f>
        <v>Aliado</v>
      </c>
      <c r="AI401" s="92" t="str">
        <f>IFERROR(__xludf.DUMMYFUNCTION("""COMPUTED_VALUE"""),"https://lh3.googleusercontent.com/pw/AP1GczPvdEny__Mx3CxCIjLhpfjupH5NVE5_mYTXq9FwGGfluzbFqlO5IlxCyEWu5eeGh0jUi_6wvgNf2vyR_2AnUSKpo1-C9KEeXn_iLqrMjLzuE9-fi4C0=w1200|https://lh3.googleusercontent.com/pw/AP1GczOUCq1f6q8swHYLpPp9U3QD6Y41D5FCni7G-i5HapiYmOxbdP"&amp;"OZ8RbxUYQ9BGpnhhcDWM1royk9KpM3V2W_AdJeuUVdzm33ipVvZ6fOmm4UgiONUS6Y=w1200|https://lh3.googleusercontent.com/pw/AP1GczMfh48xDQNf2O-xOXI4_zRNzbemSLyMl0d3bcSJAt3azzi0QmksSkPSLFAVBmDBCFzWHnpmpIRNKlOGWzWAs8nkNHQwDdqONyK-aF0Tl_3uJg7tOOPl=w1200|https://lh3.google"&amp;"usercontent.com/pw/AP1GczM6YjSsS-HQl14phRNyteqW7jKagOI75Cj49afqhT18l9pG0DKZUbHVi1Et4px999fEkLbQX0Hk38Jz2wYLNntXx2zKanQbRFAuJMt67YJhLGANI72o=w1200|https://lh3.googleusercontent.com/pw/AP1GczMhmUse9An4ZV9xj8_ErT4itz27aoGWThG4iKqEe0cVbcFkD1SWDYlMOBHZwvV6Q-yd"&amp;"xNf1we_684bDQyH9GTfIvT5pI7Dm5QqZi99PESp87f23SLd4=w1200")</f>
        <v>https://lh3.googleusercontent.com/pw/AP1GczPvdEny__Mx3CxCIjLhpfjupH5NVE5_mYTXq9FwGGfluzbFqlO5IlxCyEWu5eeGh0jUi_6wvgNf2vyR_2AnUSKpo1-C9KEeXn_iLqrMjLzuE9-fi4C0=w1200|https://lh3.googleusercontent.com/pw/AP1GczOUCq1f6q8swHYLpPp9U3QD6Y41D5FCni7G-i5HapiYmOxbdPOZ8RbxUYQ9BGpnhhcDWM1royk9KpM3V2W_AdJeuUVdzm33ipVvZ6fOmm4UgiONUS6Y=w1200|https://lh3.googleusercontent.com/pw/AP1GczMfh48xDQNf2O-xOXI4_zRNzbemSLyMl0d3bcSJAt3azzi0QmksSkPSLFAVBmDBCFzWHnpmpIRNKlOGWzWAs8nkNHQwDdqONyK-aF0Tl_3uJg7tOOPl=w1200|https://lh3.googleusercontent.com/pw/AP1GczM6YjSsS-HQl14phRNyteqW7jKagOI75Cj49afqhT18l9pG0DKZUbHVi1Et4px999fEkLbQX0Hk38Jz2wYLNntXx2zKanQbRFAuJMt67YJhLGANI72o=w1200|https://lh3.googleusercontent.com/pw/AP1GczMhmUse9An4ZV9xj8_ErT4itz27aoGWThG4iKqEe0cVbcFkD1SWDYlMOBHZwvV6Q-ydxNf1we_684bDQyH9GTfIvT5pI7Dm5QqZi99PESp87f23SLd4=w1200</v>
      </c>
      <c r="AJ401" s="46"/>
      <c r="AK401" s="46"/>
      <c r="AL401" s="46"/>
      <c r="AM401" s="46"/>
      <c r="AN401" s="46"/>
      <c r="AO401" s="46"/>
      <c r="AP401" s="46"/>
      <c r="AQ401" s="46"/>
      <c r="AR401" s="46"/>
      <c r="AS401" s="46"/>
      <c r="AT401" s="46"/>
      <c r="AU401" s="46"/>
      <c r="AV401" s="46"/>
      <c r="AW401" s="46"/>
      <c r="AX401" s="46"/>
      <c r="AY401" s="46"/>
      <c r="AZ401" s="46"/>
      <c r="BA401" s="46"/>
      <c r="BB401" s="46"/>
      <c r="BC401" s="46"/>
      <c r="BD401" s="46"/>
      <c r="BE401" s="46"/>
      <c r="BF401" s="46"/>
      <c r="BG401" s="46"/>
      <c r="BH401" s="46"/>
      <c r="BI401" s="46"/>
      <c r="BJ401" s="46"/>
      <c r="BK401" s="46"/>
      <c r="BL401" s="46"/>
      <c r="BM401" s="46"/>
      <c r="BN401" s="46"/>
      <c r="BO401" s="46"/>
      <c r="BP401" s="46"/>
      <c r="BQ401" s="46"/>
      <c r="BR401" s="46"/>
      <c r="BS401" s="46"/>
      <c r="BT401" s="46"/>
      <c r="BU401" s="46"/>
      <c r="BV401" s="46"/>
      <c r="BW401" s="46"/>
      <c r="BX401" s="46"/>
      <c r="BY401" s="46"/>
      <c r="BZ401" s="46"/>
      <c r="CA401" s="46"/>
      <c r="CB401" s="46"/>
      <c r="CC401" s="46"/>
    </row>
    <row r="402">
      <c r="A402" s="87" t="str">
        <f>IFERROR(__xludf.DUMMYFUNCTION("""COMPUTED_VALUE"""),"706")</f>
        <v>706</v>
      </c>
      <c r="B402" s="46" t="str">
        <f>IFERROR(__xludf.DUMMYFUNCTION("""COMPUTED_VALUE"""),"Casa en barrio Oasis")</f>
        <v>Casa en barrio Oasis</v>
      </c>
      <c r="C402" s="46" t="str">
        <f>IFERROR(__xludf.DUMMYFUNCTION("""COMPUTED_VALUE"""),"Casa")</f>
        <v>Casa</v>
      </c>
      <c r="D402" s="46" t="str">
        <f>IFERROR(__xludf.DUMMYFUNCTION("""COMPUTED_VALUE"""),"Oasis")</f>
        <v>Oasis</v>
      </c>
      <c r="E402" s="90" t="str">
        <f>IFERROR(__xludf.DUMMYFUNCTION("""COMPUTED_VALUE""")," ")</f>
        <v> </v>
      </c>
      <c r="F402" s="90">
        <f>IFERROR(__xludf.DUMMYFUNCTION("""COMPUTED_VALUE"""),1.5E8)</f>
        <v>150000000</v>
      </c>
      <c r="G402" s="46" t="str">
        <f>IFERROR(__xludf.DUMMYFUNCTION("""COMPUTED_VALUE"""),"$100'000.000 a $200'000.000")</f>
        <v>$100'000.000 a $200'000.000</v>
      </c>
      <c r="H402" s="46"/>
      <c r="I402" s="46"/>
      <c r="J402" s="46" t="str">
        <f>IFERROR(__xludf.DUMMYFUNCTION("""COMPUTED_VALUE"""),"Sur")</f>
        <v>Sur</v>
      </c>
      <c r="K402" s="87"/>
      <c r="L402" s="46">
        <f>IFERROR(__xludf.DUMMYFUNCTION("""COMPUTED_VALUE"""),2.0)</f>
        <v>2</v>
      </c>
      <c r="M402" s="46"/>
      <c r="N402" s="46">
        <f>IFERROR(__xludf.DUMMYFUNCTION("""COMPUTED_VALUE"""),1.0)</f>
        <v>1</v>
      </c>
      <c r="O402" s="46">
        <f>IFERROR(__xludf.DUMMYFUNCTION("""COMPUTED_VALUE"""),1.0)</f>
        <v>1</v>
      </c>
      <c r="P402" s="46">
        <f>IFERROR(__xludf.DUMMYFUNCTION("""COMPUTED_VALUE"""),1.0)</f>
        <v>1</v>
      </c>
      <c r="Q402" s="92">
        <f>IFERROR(__xludf.DUMMYFUNCTION("""COMPUTED_VALUE"""),84.0)</f>
        <v>84</v>
      </c>
      <c r="R402" s="92">
        <f>IFERROR(__xludf.DUMMYFUNCTION("""COMPUTED_VALUE"""),84.0)</f>
        <v>84</v>
      </c>
      <c r="S402" s="87" t="str">
        <f>IFERROR(__xludf.DUMMYFUNCTION("""COMPUTED_VALUE""")," ")</f>
        <v> </v>
      </c>
      <c r="T402" s="46" t="str">
        <f>IFERROR(__xludf.DUMMYFUNCTION("""COMPUTED_VALUE"""),"Neiva")</f>
        <v>Neiva</v>
      </c>
      <c r="U402" s="87" t="str">
        <f>IFERROR(__xludf.DUMMYFUNCTION("""COMPUTED_VALUE"""),"2")</f>
        <v>2</v>
      </c>
      <c r="V402" s="46" t="str">
        <f>IFERROR(__xludf.DUMMYFUNCTION("""COMPUTED_VALUE"""),"Esquinera")</f>
        <v>Esquinera</v>
      </c>
      <c r="W402" s="46"/>
      <c r="X402" s="46">
        <f>IFERROR(__xludf.DUMMYFUNCTION("""COMPUTED_VALUE"""),0.0)</f>
        <v>0</v>
      </c>
      <c r="Y402" s="46" t="str">
        <f>IFERROR(__xludf.DUMMYFUNCTION("""COMPUTED_VALUE"""),"No tiene")</f>
        <v>No tiene</v>
      </c>
      <c r="Z402" s="90" t="str">
        <f>IFERROR(__xludf.DUMMYFUNCTION("""COMPUTED_VALUE"""),"No aplica")</f>
        <v>No aplica</v>
      </c>
      <c r="AA402" s="33" t="str">
        <f>IFERROR(__xludf.DUMMYFUNCTION("""COMPUTED_VALUE"""),"No aplica")</f>
        <v>No aplica</v>
      </c>
      <c r="AB402" s="144" t="str">
        <f>IFERROR(__xludf.DUMMYFUNCTION("""COMPUTED_VALUE"""),"https://photos.app.goo.gl/Nh9zS1YrEDv1dTzW6")</f>
        <v>https://photos.app.goo.gl/Nh9zS1YrEDv1dTzW6</v>
      </c>
      <c r="AC402" s="46"/>
      <c r="AD402" s="46" t="str">
        <f>IFERROR(__xludf.DUMMYFUNCTION("""COMPUTED_VALUE"""),"Casa bien ubicada, con buenos acabados. Con reja antejardín.  Escritura al día.")</f>
        <v>Casa bien ubicada, con buenos acabados. Con reja antejardín.  Escritura al día.</v>
      </c>
      <c r="AE402" s="46"/>
      <c r="AF402" s="46" t="str">
        <f>IFERROR(__xludf.DUMMYFUNCTION("""COMPUTED_VALUE"""),"semi-integral")</f>
        <v>semi-integral</v>
      </c>
      <c r="AG402" s="46"/>
      <c r="AH402" s="46" t="str">
        <f>IFERROR(__xludf.DUMMYFUNCTION("""COMPUTED_VALUE"""),"Aliado")</f>
        <v>Aliado</v>
      </c>
      <c r="AI402" s="92" t="str">
        <f>IFERROR(__xludf.DUMMYFUNCTION("""COMPUTED_VALUE"""),"https://lh3.googleusercontent.com/pw/AP1GczPUREpdyVj5rIM-xho2OBUcgzswONDHgBBGQTCo7FO-7XXju703whfaPelZzHF8Cvr-i0BPsLnSIkB75e57jxCp9xlCcpfysRBXXHbwWiYTU3lYf_Sv=w1200|https://lh3.googleusercontent.com/pw/AP1GczOKxZjj_64NgD5KvMCX1K8g3als--9CFd7UrksYxv545uk3vH"&amp;"vO8BUSsqlOCdXMxguRfbGXh7WzOcKvdo2lYF-uvKrjn6TG1gwzk6RJFwogR7gXj42c=w1200|https://lh3.googleusercontent.com/pw/AP1GczOk6maS3p7HzV5Azi7eZ6Vvw9EMbgLHm2MN1fKCqraJGkkn8KAMBAS9fQXJU-m5eJW1YIAgVM66EuN1LEAQg7QAJrVDoQbKvskEdwl1WyqGwfQHJ3iO=w1200|https://lh3.google"&amp;"usercontent.com/pw/AP1GczMXoa9M5W4kGm4ieymJJTkLEZaY4sI_XCKF03_Xr4FFnwhL3yxFo33Y0CyIOjtaxS87eR6TfxFtsbHWpnPV8t5v4apGOGbyxa30Q501G-REjWXvxAGp=w1200|https://lh3.googleusercontent.com/pw/AP1GczOC2hex1nKe_cbKw48HHzuSEgff3vzztqIuoYD54kdRJUDZvulteVRzWODG6m0b4arc"&amp;"GR88HX57-QUcoBYYXePWsktkWyOgpBS9Z5gmgUjRpeRqt4VL=w1200")</f>
        <v>https://lh3.googleusercontent.com/pw/AP1GczPUREpdyVj5rIM-xho2OBUcgzswONDHgBBGQTCo7FO-7XXju703whfaPelZzHF8Cvr-i0BPsLnSIkB75e57jxCp9xlCcpfysRBXXHbwWiYTU3lYf_Sv=w1200|https://lh3.googleusercontent.com/pw/AP1GczOKxZjj_64NgD5KvMCX1K8g3als--9CFd7UrksYxv545uk3vHvO8BUSsqlOCdXMxguRfbGXh7WzOcKvdo2lYF-uvKrjn6TG1gwzk6RJFwogR7gXj42c=w1200|https://lh3.googleusercontent.com/pw/AP1GczOk6maS3p7HzV5Azi7eZ6Vvw9EMbgLHm2MN1fKCqraJGkkn8KAMBAS9fQXJU-m5eJW1YIAgVM66EuN1LEAQg7QAJrVDoQbKvskEdwl1WyqGwfQHJ3iO=w1200|https://lh3.googleusercontent.com/pw/AP1GczMXoa9M5W4kGm4ieymJJTkLEZaY4sI_XCKF03_Xr4FFnwhL3yxFo33Y0CyIOjtaxS87eR6TfxFtsbHWpnPV8t5v4apGOGbyxa30Q501G-REjWXvxAGp=w1200|https://lh3.googleusercontent.com/pw/AP1GczOC2hex1nKe_cbKw48HHzuSEgff3vzztqIuoYD54kdRJUDZvulteVRzWODG6m0b4arcGR88HX57-QUcoBYYXePWsktkWyOgpBS9Z5gmgUjRpeRqt4VL=w1200</v>
      </c>
      <c r="AJ402" s="46"/>
      <c r="AK402" s="46"/>
      <c r="AL402" s="46"/>
      <c r="AM402" s="46"/>
      <c r="AN402" s="46"/>
      <c r="AO402" s="46"/>
      <c r="AP402" s="46"/>
      <c r="AQ402" s="46"/>
      <c r="AR402" s="46"/>
      <c r="AS402" s="46"/>
      <c r="AT402" s="46"/>
      <c r="AU402" s="46"/>
      <c r="AV402" s="46"/>
      <c r="AW402" s="46"/>
      <c r="AX402" s="46"/>
      <c r="AY402" s="46"/>
      <c r="AZ402" s="46"/>
      <c r="BA402" s="46"/>
      <c r="BB402" s="46"/>
      <c r="BC402" s="46"/>
      <c r="BD402" s="46"/>
      <c r="BE402" s="46"/>
      <c r="BF402" s="46"/>
      <c r="BG402" s="46"/>
      <c r="BH402" s="46"/>
      <c r="BI402" s="46"/>
      <c r="BJ402" s="46"/>
      <c r="BK402" s="46"/>
      <c r="BL402" s="46"/>
      <c r="BM402" s="46"/>
      <c r="BN402" s="46"/>
      <c r="BO402" s="46"/>
      <c r="BP402" s="46"/>
      <c r="BQ402" s="46"/>
      <c r="BR402" s="46"/>
      <c r="BS402" s="46"/>
      <c r="BT402" s="46"/>
      <c r="BU402" s="46"/>
      <c r="BV402" s="46"/>
      <c r="BW402" s="46"/>
      <c r="BX402" s="46"/>
      <c r="BY402" s="46"/>
      <c r="BZ402" s="46"/>
      <c r="CA402" s="46"/>
      <c r="CB402" s="46"/>
      <c r="CC402" s="46"/>
    </row>
    <row r="403">
      <c r="A403" s="87" t="str">
        <f>IFERROR(__xludf.DUMMYFUNCTION("""COMPUTED_VALUE"""),"1383")</f>
        <v>1383</v>
      </c>
      <c r="B403" s="46" t="str">
        <f>IFERROR(__xludf.DUMMYFUNCTION("""COMPUTED_VALUE"""),"Apartamento en conjunto Residencial Bloques de Santa Inés - Norte")</f>
        <v>Apartamento en conjunto Residencial Bloques de Santa Inés - Norte</v>
      </c>
      <c r="C403" s="46" t="str">
        <f>IFERROR(__xludf.DUMMYFUNCTION("""COMPUTED_VALUE"""),"Apartamento en conjunto")</f>
        <v>Apartamento en conjunto</v>
      </c>
      <c r="D403" s="46" t="str">
        <f>IFERROR(__xludf.DUMMYFUNCTION("""COMPUTED_VALUE"""),"Santa Inés")</f>
        <v>Santa Inés</v>
      </c>
      <c r="E403" s="46" t="str">
        <f>IFERROR(__xludf.DUMMYFUNCTION("""COMPUTED_VALUE"""),"Conjunto Residencial de Santa Inés")</f>
        <v>Conjunto Residencial de Santa Inés</v>
      </c>
      <c r="F403" s="90">
        <f>IFERROR(__xludf.DUMMYFUNCTION("""COMPUTED_VALUE"""),1.5E8)</f>
        <v>150000000</v>
      </c>
      <c r="G403" s="46" t="str">
        <f>IFERROR(__xludf.DUMMYFUNCTION("""COMPUTED_VALUE"""),"$100'000.000 a $200'000.000")</f>
        <v>$100'000.000 a $200'000.000</v>
      </c>
      <c r="H403" s="46"/>
      <c r="I403" s="46"/>
      <c r="J403" s="46" t="str">
        <f>IFERROR(__xludf.DUMMYFUNCTION("""COMPUTED_VALUE"""),"Norte")</f>
        <v>Norte</v>
      </c>
      <c r="K403" s="87" t="str">
        <f>IFERROR(__xludf.DUMMYFUNCTION("""COMPUTED_VALUE"""),"1")</f>
        <v>1</v>
      </c>
      <c r="L403" s="46">
        <f>IFERROR(__xludf.DUMMYFUNCTION("""COMPUTED_VALUE"""),3.0)</f>
        <v>3</v>
      </c>
      <c r="M403" s="46"/>
      <c r="N403" s="46">
        <f>IFERROR(__xludf.DUMMYFUNCTION("""COMPUTED_VALUE"""),1.0)</f>
        <v>1</v>
      </c>
      <c r="O403" s="46">
        <f>IFERROR(__xludf.DUMMYFUNCTION("""COMPUTED_VALUE"""),1.0)</f>
        <v>1</v>
      </c>
      <c r="P403" s="46">
        <f>IFERROR(__xludf.DUMMYFUNCTION("""COMPUTED_VALUE"""),5.0)</f>
        <v>5</v>
      </c>
      <c r="Q403" s="92">
        <f>IFERROR(__xludf.DUMMYFUNCTION("""COMPUTED_VALUE"""),0.0)</f>
        <v>0</v>
      </c>
      <c r="R403" s="92">
        <f>IFERROR(__xludf.DUMMYFUNCTION("""COMPUTED_VALUE"""),0.0)</f>
        <v>0</v>
      </c>
      <c r="S403" s="87" t="str">
        <f>IFERROR(__xludf.DUMMYFUNCTION("""COMPUTED_VALUE""")," ")</f>
        <v> </v>
      </c>
      <c r="T403" s="46" t="str">
        <f>IFERROR(__xludf.DUMMYFUNCTION("""COMPUTED_VALUE"""),"Neiva")</f>
        <v>Neiva</v>
      </c>
      <c r="U403" s="87" t="str">
        <f>IFERROR(__xludf.DUMMYFUNCTION("""COMPUTED_VALUE"""),"2")</f>
        <v>2</v>
      </c>
      <c r="V403" s="46" t="str">
        <f>IFERROR(__xludf.DUMMYFUNCTION("""COMPUTED_VALUE"""),"5to.")</f>
        <v>5to.</v>
      </c>
      <c r="W403" s="46"/>
      <c r="X403" s="46">
        <f>IFERROR(__xludf.DUMMYFUNCTION("""COMPUTED_VALUE"""),3.0)</f>
        <v>3</v>
      </c>
      <c r="Y403" s="46" t="str">
        <f>IFERROR(__xludf.DUMMYFUNCTION("""COMPUTED_VALUE"""),"No tiene")</f>
        <v>No tiene</v>
      </c>
      <c r="Z403" s="90">
        <f>IFERROR(__xludf.DUMMYFUNCTION("""COMPUTED_VALUE"""),115000.0)</f>
        <v>115000</v>
      </c>
      <c r="AA403" s="33" t="str">
        <f>IFERROR(__xludf.DUMMYFUNCTION("""COMPUTED_VALUE"""),"No aplica")</f>
        <v>No aplica</v>
      </c>
      <c r="AB403" s="96" t="str">
        <f>IFERROR(__xludf.DUMMYFUNCTION("""COMPUTED_VALUE"""),"https://photos.app.goo.gl/kz62gSK6JCwAnsZu7")</f>
        <v>https://photos.app.goo.gl/kz62gSK6JCwAnsZu7</v>
      </c>
      <c r="AC403" s="46" t="str">
        <f>IFERROR(__xludf.DUMMYFUNCTION("""COMPUTED_VALUE"""),"Cuenta con sala comedor, cocina, tres alcobas con clóset, un baño y un pequeño patio de ropas, ideal para quienes buscan comodidad y fácil acceso a diferentes zonas de la ciudad.")</f>
        <v>Cuenta con sala comedor, cocina, tres alcobas con clóset, un baño y un pequeño patio de ropas, ideal para quienes buscan comodidad y fácil acceso a diferentes zonas de la ciudad.</v>
      </c>
      <c r="AD403" s="46" t="str">
        <f>IFERROR(__xludf.DUMMYFUNCTION("""COMPUTED_VALUE"""),"Apartamento en el conjunto residencial Bloques de Santa Inés, zona norte, ubicado en quinto piso, con excelente ubicación central. costo de administración $180.000, estrato dos.")</f>
        <v>Apartamento en el conjunto residencial Bloques de Santa Inés, zona norte, ubicado en quinto piso, con excelente ubicación central. costo de administración $180.000, estrato dos.</v>
      </c>
      <c r="AE403" s="46"/>
      <c r="AF403" s="46" t="str">
        <f>IFERROR(__xludf.DUMMYFUNCTION("""COMPUTED_VALUE"""),"semi-integral")</f>
        <v>semi-integral</v>
      </c>
      <c r="AG403" s="46"/>
      <c r="AH403" s="46" t="str">
        <f>IFERROR(__xludf.DUMMYFUNCTION("""COMPUTED_VALUE"""),"Aliado")</f>
        <v>Aliado</v>
      </c>
      <c r="AI403" s="92" t="str">
        <f>IFERROR(__xludf.DUMMYFUNCTION("""COMPUTED_VALUE"""),"https://lh3.googleusercontent.com/pw/AP1GczP_zXgtQmc9zleqr5aJv2mjThTajzDdX8PXMdsG3Jgdc64xir7VFWlLANyFu4MTFrA-JseUccRuzF7qNpcGZQFFnOFERdNFM-UkxLzz1frn0YY44uv9=w1200|https://lh3.googleusercontent.com/pw/AP1GczPOvY-01KurUh4PSLYUw7wBAAQUBEOi6JaI5G7MOrDPmdpMlW"&amp;"ZBguHKGtbCrMAAfDE5xhrs75EdIiOWB63KFjCgAOSU1uMHMBJspBX4nB1V1BXwd0CT=w1200|https://lh3.googleusercontent.com/pw/AP1GczOK_XMMAr-OO2PYaZ1Hdejmg2Tr8hG3kf7uomQHWRhZEupHmhp9r48V2rk8Ra37P-BOMI1loOXmD3qHliyuzIMmdq6UUZnFuE03Tlfae0cdzmdMRliY=w1200|https://lh3.google"&amp;"usercontent.com/pw/AP1GczMH9-VdBLSgmdMRNCLeN5hOLQE0Mw1m4Cb3I_wgcpf0f434GC5mBVi3OwrdzVldRxyzQNyoqQwV4bljG4zhM_4hU4YDtDtL4S5XvfTg1VJUK8fKhLeY=w1200|https://lh3.googleusercontent.com/pw/AP1GczMu_5errDWyLmJEehYMhab70nYSXc46PuEJwAYrFgYLaXzpVhutL0WEARuc4kW0UXRM"&amp;"os1od-q0LuTKB7NmIuPTHvW_eOhLcJGdYN3rd63qzgq81HCY=w1200|https://lh3.googleusercontent.com/pw/AP1GczPBhovMiRyaqUw-IQcM4RtlLn7A2r9Q6yu9UusuR6QR3QDZqAhBnVGAMdbxrmVW3q-MkRCLRHpdhWdzhsjT80kVy3dItNzld64cEjfK0RBr7NcsyQMj=w1200|https://lh3.googleusercontent.com/pw"&amp;"/AP1GczMJfFLAgpteeV8oHpRwr-jDMnfzXSAGkO7SalPZqTmEV62KfyL3Ej0oOofettXntQ50hTMy7QZx5owNltDw3h18pOjqJr2D4dH0PCuMQDMiRKqW-tzh=w1200|https://lh3.googleusercontent.com/pw/AP1GczP6BR5mWz1VvV_5nxzq5GuCkA1m3AcYizfWYsvxPNKSfOW5yZgEu2YJI9hLoWsm4NMpyv_2ZYjVvQ2rkswlJV"&amp;"O4kDI0dKpvSTn0VTa41fiuQo2icmHf=w1200|https://lh3.googleusercontent.com/pw/AP1GczOjgchXyGr1SrBide5-eydfFNrlvJIY8--pqDcv3yH-UJ-1LsJeeyfDKeO03DzgeJnw0PDSsKaTcmvAWi60Af1ebet-NkCakMqwc6SanhjsyjHS_knN=w1200|https://lh3.googleusercontent.com/pw/AP1GczNmWS04XnrES"&amp;"b0zp0vhfIQsbDYl9diCZZDSnNommmtWI_ruO_VcBKgmdeAOh8zZG4QpucOwxd80nsp7jvVU2ES1zi0oEpevGnKkCGEESx-npj8VJC-9=w1200|https://lh3.googleusercontent.com/pw/AP1GczPca_lEXBqR3gcdCgdk-vuRPDECQRHPbfYIpV0TGxw3MSD8G6RTAOKFcwJVtuHu2uouYJriz5Jdnldgc3YYFRti9fS23k_rYGTKc1yV"&amp;"G6jKNqwMg9oW=w1200|https://lh3.googleusercontent.com/pw/AP1GczPPiB6BYrK1RR8cuAFL6B51IusbXpQ79y51CMeB9eF2kN15QffkQnPV0FlMdEbNxoslbaeDdnGNpm0D1QGyyR2Z29fh2xBkxgrto1DN14qenDu-dT4b=w1200|https://lh3.googleusercontent.com/pw/AP1GczMt04wHeU3lXJKoGJ2dUDsQxBiZiwo"&amp;"E1lWw9sYioLghuJaBEFM4Pw5jhvzC3SSQslBES6TIPR6XAIBI5qBwX3pLfKYSHvmuhM7VBugpmxRSjFb5DNhL=w1200|https://lh3.googleusercontent.com/pw/AP1GczO8R0S8fL75QLWpj-3EBMw8jZUWrmZLN2yMSJB0bFFSm5jzaserYMeYXzhm2cbSK6CzQuyNf3BQ6X93P9DsTGQHNDvdfqqlmjo6SNgqMa1Bm8q9LRXD=w1200"&amp;"|https://lh3.googleusercontent.com/pw/AP1GczNTiuMoXdOo0TTVisCZ7OE2m6WovpdeC4OqTof1gV3UXi4TbTRLDgEbw7d1Vn7aBd_NtK6h_qdsrC1mGvu-5Rq4RUs0IyrpCUqN2ZmiplTgS0ZZj0tD=w1200")</f>
        <v>https://lh3.googleusercontent.com/pw/AP1GczP_zXgtQmc9zleqr5aJv2mjThTajzDdX8PXMdsG3Jgdc64xir7VFWlLANyFu4MTFrA-JseUccRuzF7qNpcGZQFFnOFERdNFM-UkxLzz1frn0YY44uv9=w1200|https://lh3.googleusercontent.com/pw/AP1GczPOvY-01KurUh4PSLYUw7wBAAQUBEOi6JaI5G7MOrDPmdpMlWZBguHKGtbCrMAAfDE5xhrs75EdIiOWB63KFjCgAOSU1uMHMBJspBX4nB1V1BXwd0CT=w1200|https://lh3.googleusercontent.com/pw/AP1GczOK_XMMAr-OO2PYaZ1Hdejmg2Tr8hG3kf7uomQHWRhZEupHmhp9r48V2rk8Ra37P-BOMI1loOXmD3qHliyuzIMmdq6UUZnFuE03Tlfae0cdzmdMRliY=w1200|https://lh3.googleusercontent.com/pw/AP1GczMH9-VdBLSgmdMRNCLeN5hOLQE0Mw1m4Cb3I_wgcpf0f434GC5mBVi3OwrdzVldRxyzQNyoqQwV4bljG4zhM_4hU4YDtDtL4S5XvfTg1VJUK8fKhLeY=w1200|https://lh3.googleusercontent.com/pw/AP1GczMu_5errDWyLmJEehYMhab70nYSXc46PuEJwAYrFgYLaXzpVhutL0WEARuc4kW0UXRMos1od-q0LuTKB7NmIuPTHvW_eOhLcJGdYN3rd63qzgq81HCY=w1200|https://lh3.googleusercontent.com/pw/AP1GczPBhovMiRyaqUw-IQcM4RtlLn7A2r9Q6yu9UusuR6QR3QDZqAhBnVGAMdbxrmVW3q-MkRCLRHpdhWdzhsjT80kVy3dItNzld64cEjfK0RBr7NcsyQMj=w1200|https://lh3.googleusercontent.com/pw/AP1GczMJfFLAgpteeV8oHpRwr-jDMnfzXSAGkO7SalPZqTmEV62KfyL3Ej0oOofettXntQ50hTMy7QZx5owNltDw3h18pOjqJr2D4dH0PCuMQDMiRKqW-tzh=w1200|https://lh3.googleusercontent.com/pw/AP1GczP6BR5mWz1VvV_5nxzq5GuCkA1m3AcYizfWYsvxPNKSfOW5yZgEu2YJI9hLoWsm4NMpyv_2ZYjVvQ2rkswlJVO4kDI0dKpvSTn0VTa41fiuQo2icmHf=w1200|https://lh3.googleusercontent.com/pw/AP1GczOjgchXyGr1SrBide5-eydfFNrlvJIY8--pqDcv3yH-UJ-1LsJeeyfDKeO03DzgeJnw0PDSsKaTcmvAWi60Af1ebet-NkCakMqwc6SanhjsyjHS_knN=w1200|https://lh3.googleusercontent.com/pw/AP1GczNmWS04XnrESb0zp0vhfIQsbDYl9diCZZDSnNommmtWI_ruO_VcBKgmdeAOh8zZG4QpucOwxd80nsp7jvVU2ES1zi0oEpevGnKkCGEESx-npj8VJC-9=w1200|https://lh3.googleusercontent.com/pw/AP1GczPca_lEXBqR3gcdCgdk-vuRPDECQRHPbfYIpV0TGxw3MSD8G6RTAOKFcwJVtuHu2uouYJriz5Jdnldgc3YYFRti9fS23k_rYGTKc1yVG6jKNqwMg9oW=w1200|https://lh3.googleusercontent.com/pw/AP1GczPPiB6BYrK1RR8cuAFL6B51IusbXpQ79y51CMeB9eF2kN15QffkQnPV0FlMdEbNxoslbaeDdnGNpm0D1QGyyR2Z29fh2xBkxgrto1DN14qenDu-dT4b=w1200|https://lh3.googleusercontent.com/pw/AP1GczMt04wHeU3lXJKoGJ2dUDsQxBiZiwoE1lWw9sYioLghuJaBEFM4Pw5jhvzC3SSQslBES6TIPR6XAIBI5qBwX3pLfKYSHvmuhM7VBugpmxRSjFb5DNhL=w1200|https://lh3.googleusercontent.com/pw/AP1GczO8R0S8fL75QLWpj-3EBMw8jZUWrmZLN2yMSJB0bFFSm5jzaserYMeYXzhm2cbSK6CzQuyNf3BQ6X93P9DsTGQHNDvdfqqlmjo6SNgqMa1Bm8q9LRXD=w1200|https://lh3.googleusercontent.com/pw/AP1GczNTiuMoXdOo0TTVisCZ7OE2m6WovpdeC4OqTof1gV3UXi4TbTRLDgEbw7d1Vn7aBd_NtK6h_qdsrC1mGvu-5Rq4RUs0IyrpCUqN2ZmiplTgS0ZZj0tD=w1200</v>
      </c>
      <c r="AJ403" s="46"/>
      <c r="AK403" s="46"/>
      <c r="AL403" s="46"/>
      <c r="AM403" s="46"/>
      <c r="AN403" s="46"/>
      <c r="AO403" s="46"/>
      <c r="AP403" s="46"/>
      <c r="AQ403" s="46"/>
      <c r="AR403" s="46"/>
      <c r="AS403" s="46"/>
      <c r="AT403" s="46"/>
      <c r="AU403" s="46"/>
      <c r="AV403" s="46"/>
      <c r="AW403" s="46"/>
      <c r="AX403" s="46"/>
      <c r="AY403" s="46"/>
      <c r="AZ403" s="46"/>
      <c r="BA403" s="46"/>
      <c r="BB403" s="46"/>
      <c r="BC403" s="46"/>
      <c r="BD403" s="46"/>
      <c r="BE403" s="46"/>
      <c r="BF403" s="46"/>
      <c r="BG403" s="46"/>
      <c r="BH403" s="46"/>
      <c r="BI403" s="46"/>
      <c r="BJ403" s="46"/>
      <c r="BK403" s="46"/>
      <c r="BL403" s="46"/>
      <c r="BM403" s="46"/>
      <c r="BN403" s="46"/>
      <c r="BO403" s="46"/>
      <c r="BP403" s="46"/>
      <c r="BQ403" s="46"/>
      <c r="BR403" s="46"/>
      <c r="BS403" s="46"/>
      <c r="BT403" s="46"/>
      <c r="BU403" s="46"/>
      <c r="BV403" s="46"/>
      <c r="BW403" s="46"/>
      <c r="BX403" s="46"/>
      <c r="BY403" s="46"/>
      <c r="BZ403" s="46"/>
      <c r="CA403" s="46"/>
      <c r="CB403" s="46"/>
      <c r="CC403" s="46"/>
    </row>
    <row r="404">
      <c r="A404" s="87" t="str">
        <f>IFERROR(__xludf.DUMMYFUNCTION("""COMPUTED_VALUE"""),"1285")</f>
        <v>1285</v>
      </c>
      <c r="B404" s="46" t="str">
        <f>IFERROR(__xludf.DUMMYFUNCTION("""COMPUTED_VALUE"""),"Casa en barrio Puertas del Sol -  Sur")</f>
        <v>Casa en barrio Puertas del Sol -  Sur</v>
      </c>
      <c r="C404" s="46" t="str">
        <f>IFERROR(__xludf.DUMMYFUNCTION("""COMPUTED_VALUE"""),"Casa")</f>
        <v>Casa</v>
      </c>
      <c r="D404" s="46" t="str">
        <f>IFERROR(__xludf.DUMMYFUNCTION("""COMPUTED_VALUE"""),"Puertas del sol")</f>
        <v>Puertas del sol</v>
      </c>
      <c r="E404" s="90"/>
      <c r="F404" s="90">
        <f>IFERROR(__xludf.DUMMYFUNCTION("""COMPUTED_VALUE"""),1.4E8)</f>
        <v>140000000</v>
      </c>
      <c r="G404" s="46" t="str">
        <f>IFERROR(__xludf.DUMMYFUNCTION("""COMPUTED_VALUE"""),"$100'000.000 a $200'000.000")</f>
        <v>$100'000.000 a $200'000.000</v>
      </c>
      <c r="H404" s="46"/>
      <c r="I404" s="46"/>
      <c r="J404" s="46" t="str">
        <f>IFERROR(__xludf.DUMMYFUNCTION("""COMPUTED_VALUE"""),"Sur")</f>
        <v>Sur</v>
      </c>
      <c r="K404" s="87"/>
      <c r="L404" s="46">
        <f>IFERROR(__xludf.DUMMYFUNCTION("""COMPUTED_VALUE"""),3.0)</f>
        <v>3</v>
      </c>
      <c r="M404" s="46"/>
      <c r="N404" s="46">
        <f>IFERROR(__xludf.DUMMYFUNCTION("""COMPUTED_VALUE"""),1.0)</f>
        <v>1</v>
      </c>
      <c r="O404" s="46">
        <f>IFERROR(__xludf.DUMMYFUNCTION("""COMPUTED_VALUE"""),1.0)</f>
        <v>1</v>
      </c>
      <c r="P404" s="46">
        <f>IFERROR(__xludf.DUMMYFUNCTION("""COMPUTED_VALUE"""),1.0)</f>
        <v>1</v>
      </c>
      <c r="Q404" s="92">
        <f>IFERROR(__xludf.DUMMYFUNCTION("""COMPUTED_VALUE"""),84.0)</f>
        <v>84</v>
      </c>
      <c r="R404" s="92">
        <f>IFERROR(__xludf.DUMMYFUNCTION("""COMPUTED_VALUE"""),84.0)</f>
        <v>84</v>
      </c>
      <c r="S404" s="87" t="str">
        <f>IFERROR(__xludf.DUMMYFUNCTION("""COMPUTED_VALUE""")," ")</f>
        <v> </v>
      </c>
      <c r="T404" s="46" t="str">
        <f>IFERROR(__xludf.DUMMYFUNCTION("""COMPUTED_VALUE"""),"Neiva")</f>
        <v>Neiva</v>
      </c>
      <c r="U404" s="87" t="str">
        <f>IFERROR(__xludf.DUMMYFUNCTION("""COMPUTED_VALUE"""),"2")</f>
        <v>2</v>
      </c>
      <c r="V404" s="46" t="str">
        <f>IFERROR(__xludf.DUMMYFUNCTION("""COMPUTED_VALUE"""),"Medianera")</f>
        <v>Medianera</v>
      </c>
      <c r="W404" s="46"/>
      <c r="X404" s="46">
        <f>IFERROR(__xludf.DUMMYFUNCTION("""COMPUTED_VALUE"""),0.0)</f>
        <v>0</v>
      </c>
      <c r="Y404" s="46" t="str">
        <f>IFERROR(__xludf.DUMMYFUNCTION("""COMPUTED_VALUE"""),"No tiene")</f>
        <v>No tiene</v>
      </c>
      <c r="Z404" s="90" t="str">
        <f>IFERROR(__xludf.DUMMYFUNCTION("""COMPUTED_VALUE"""),"No aplica")</f>
        <v>No aplica</v>
      </c>
      <c r="AA404" s="33" t="str">
        <f>IFERROR(__xludf.DUMMYFUNCTION("""COMPUTED_VALUE"""),"No aplica")</f>
        <v>No aplica</v>
      </c>
      <c r="AB404" s="144" t="str">
        <f>IFERROR(__xludf.DUMMYFUNCTION("""COMPUTED_VALUE"""),"https://photos.app.goo.gl/itsFzTEXdnpTxRcF8")</f>
        <v>https://photos.app.goo.gl/itsFzTEXdnpTxRcF8</v>
      </c>
      <c r="AC404" s="46" t="str">
        <f>IFERROR(__xludf.DUMMYFUNCTION("""COMPUTED_VALUE"""),"Casa de una planta enrejada en barrio puertas del sol, parqueadero amplio con espacio hasta para 4 motos, sala comedor, 3 habitaciones, cocina, baño con ducha, zona de lavandería con lavadero, alberca y espacio para lavadero y cuarto de depósito amplio. E"&amp;"strato 2. Piso en cerámica y baldosa, puertas en madera, Cielo raso en Driwall.")</f>
        <v>Casa de una planta enrejada en barrio puertas del sol, parqueadero amplio con espacio hasta para 4 motos, sala comedor, 3 habitaciones, cocina, baño con ducha, zona de lavandería con lavadero, alberca y espacio para lavadero y cuarto de depósito amplio. Estrato 2. Piso en cerámica y baldosa, puertas en madera, Cielo raso en Driwall.</v>
      </c>
      <c r="AD404" s="46" t="str">
        <f>IFERROR(__xludf.DUMMYFUNCTION("""COMPUTED_VALUE"""),"Casa Medianera, cuenta con reja antejardín,")</f>
        <v>Casa Medianera, cuenta con reja antejardín,</v>
      </c>
      <c r="AE404" s="46"/>
      <c r="AF404" s="46" t="str">
        <f>IFERROR(__xludf.DUMMYFUNCTION("""COMPUTED_VALUE"""),"básica")</f>
        <v>básica</v>
      </c>
      <c r="AG404" s="46"/>
      <c r="AH404" s="46" t="str">
        <f>IFERROR(__xludf.DUMMYFUNCTION("""COMPUTED_VALUE"""),"Aliado")</f>
        <v>Aliado</v>
      </c>
      <c r="AI404" s="92" t="str">
        <f>IFERROR(__xludf.DUMMYFUNCTION("""COMPUTED_VALUE"""),"https://lh3.googleusercontent.com/pw/AP1GczOgRX_D97jw8YeFxPOmFphs34KdWsLKfFTt8tyO-8E-o7o5AXrFEtISEJA0BGkGdOfGmO5AtSc9dWJpdAMxnWQmehMkBjhFJL6v_a3T88P-w2nin4f5=w1200|https://lh3.googleusercontent.com/pw/AP1GczOh1Wg9hYcuiQaJrrShtbfOXbkQVEDkBsM4YZbl0ujCBqhuuE"&amp;"7nFq3DQjtPn09X4j5hRBshkItqUE8WHD6l4YqhCpr8yfULaOlhDt6wkm8gZnwYluyX=w1200|https://lh3.googleusercontent.com/pw/AP1GczPPMfnEXwGHr1bzEqjwGpFF-1JXgSoInkWcFKTStHbPyAveFXhNFttSp14qkczYZRxsDZaML3-2OIqNIGgkjvKy4HeC_nFEQHGwOctPIoWKnrM4ZMR5=w1200|https://lh3.google"&amp;"usercontent.com/pw/AP1GczNuFihWyKC79yLZpccvj9xsQHpU6iVT-HdUhQ0LAoVv_7vzhA3_Om2dS9bL5CNJyDCvmhgVpeM_y6nUtrbmU5gJC5rPVrabLPmMDPGj7q5exq4dRVjM=w1200|https://lh3.googleusercontent.com/pw/AP1GczOKaePFp_dObAqqGMjoZ1bDI2ajH7zvcRMUQ4ZYI6tU-xN9zDLKkCQ38erHLN2N5_QD"&amp;"QD-cyXHMTNyNnKoqATzjmwCiPhSuHBLYu0TbCROGa5q7dmOs=w1200|https://lh3.googleusercontent.com/pw/AP1GczNvNi04FA2iTXDdvU2hbAgr3JiJNLZQ2dEfVNTByp3Hs8x35hCTnUn5gF3bgu62D0Z1wHClFz9KTKxAZeqwDwl3NK0CLX-2JSHCTC9kXT-Wc3QkuLZ6=w1200|https://lh3.googleusercontent.com/pw"&amp;"/AP1GczMteu_5f0qtSxegq-wfMr1Zfr4eQgyLzdnSi1KRtxQirtTMOruEqjkEkhBYEsqJ1l6JDXh7k3kQ4CHwswZR4qZDo3Q8cfB8x10sKKHPzx5m2cYIiaaw=w1200|https://lh3.googleusercontent.com/pw/AP1GczMvX8o5zfMGZoxfNJe0CQqguEahO_OqSKdIq3srfXpFPz0hVF2pUX35dyvpa2Fevb4roa0U9akSYnKsW92xE3"&amp;"jnxf4ATRcVPB-lDfoDlpQHAkFPWI7O=w1200|https://lh3.googleusercontent.com/pw/AP1GczOb1u4lcGMbt3xOXUSmufHUvqf9zXodAIdV2wHwNoUwhaZWJiBFt7yVJgWmSpdNP7d6YKw_PvtxSWS8Zis1MIUpPZAyvsajIg1DKzyT1mGGnaEv-MJr=w1200")</f>
        <v>https://lh3.googleusercontent.com/pw/AP1GczOgRX_D97jw8YeFxPOmFphs34KdWsLKfFTt8tyO-8E-o7o5AXrFEtISEJA0BGkGdOfGmO5AtSc9dWJpdAMxnWQmehMkBjhFJL6v_a3T88P-w2nin4f5=w1200|https://lh3.googleusercontent.com/pw/AP1GczOh1Wg9hYcuiQaJrrShtbfOXbkQVEDkBsM4YZbl0ujCBqhuuE7nFq3DQjtPn09X4j5hRBshkItqUE8WHD6l4YqhCpr8yfULaOlhDt6wkm8gZnwYluyX=w1200|https://lh3.googleusercontent.com/pw/AP1GczPPMfnEXwGHr1bzEqjwGpFF-1JXgSoInkWcFKTStHbPyAveFXhNFttSp14qkczYZRxsDZaML3-2OIqNIGgkjvKy4HeC_nFEQHGwOctPIoWKnrM4ZMR5=w1200|https://lh3.googleusercontent.com/pw/AP1GczNuFihWyKC79yLZpccvj9xsQHpU6iVT-HdUhQ0LAoVv_7vzhA3_Om2dS9bL5CNJyDCvmhgVpeM_y6nUtrbmU5gJC5rPVrabLPmMDPGj7q5exq4dRVjM=w1200|https://lh3.googleusercontent.com/pw/AP1GczOKaePFp_dObAqqGMjoZ1bDI2ajH7zvcRMUQ4ZYI6tU-xN9zDLKkCQ38erHLN2N5_QDQD-cyXHMTNyNnKoqATzjmwCiPhSuHBLYu0TbCROGa5q7dmOs=w1200|https://lh3.googleusercontent.com/pw/AP1GczNvNi04FA2iTXDdvU2hbAgr3JiJNLZQ2dEfVNTByp3Hs8x35hCTnUn5gF3bgu62D0Z1wHClFz9KTKxAZeqwDwl3NK0CLX-2JSHCTC9kXT-Wc3QkuLZ6=w1200|https://lh3.googleusercontent.com/pw/AP1GczMteu_5f0qtSxegq-wfMr1Zfr4eQgyLzdnSi1KRtxQirtTMOruEqjkEkhBYEsqJ1l6JDXh7k3kQ4CHwswZR4qZDo3Q8cfB8x10sKKHPzx5m2cYIiaaw=w1200|https://lh3.googleusercontent.com/pw/AP1GczMvX8o5zfMGZoxfNJe0CQqguEahO_OqSKdIq3srfXpFPz0hVF2pUX35dyvpa2Fevb4roa0U9akSYnKsW92xE3jnxf4ATRcVPB-lDfoDlpQHAkFPWI7O=w1200|https://lh3.googleusercontent.com/pw/AP1GczOb1u4lcGMbt3xOXUSmufHUvqf9zXodAIdV2wHwNoUwhaZWJiBFt7yVJgWmSpdNP7d6YKw_PvtxSWS8Zis1MIUpPZAyvsajIg1DKzyT1mGGnaEv-MJr=w1200</v>
      </c>
      <c r="AJ404" s="46"/>
      <c r="AK404" s="46"/>
      <c r="AL404" s="46"/>
      <c r="AM404" s="46"/>
      <c r="AN404" s="46"/>
      <c r="AO404" s="46"/>
      <c r="AP404" s="46"/>
      <c r="AQ404" s="46"/>
      <c r="AR404" s="46"/>
      <c r="AS404" s="46"/>
      <c r="AT404" s="46"/>
      <c r="AU404" s="46"/>
      <c r="AV404" s="46"/>
      <c r="AW404" s="46"/>
      <c r="AX404" s="46"/>
      <c r="AY404" s="46"/>
      <c r="AZ404" s="46"/>
      <c r="BA404" s="46"/>
      <c r="BB404" s="46"/>
      <c r="BC404" s="46"/>
      <c r="BD404" s="46"/>
      <c r="BE404" s="46"/>
      <c r="BF404" s="46"/>
      <c r="BG404" s="46"/>
      <c r="BH404" s="46"/>
      <c r="BI404" s="46"/>
      <c r="BJ404" s="46"/>
      <c r="BK404" s="46"/>
      <c r="BL404" s="46"/>
      <c r="BM404" s="46"/>
      <c r="BN404" s="46"/>
      <c r="BO404" s="46"/>
      <c r="BP404" s="46"/>
      <c r="BQ404" s="46"/>
      <c r="BR404" s="46"/>
      <c r="BS404" s="46"/>
      <c r="BT404" s="46"/>
      <c r="BU404" s="46"/>
      <c r="BV404" s="46"/>
      <c r="BW404" s="46"/>
      <c r="BX404" s="46"/>
      <c r="BY404" s="46"/>
      <c r="BZ404" s="46"/>
      <c r="CA404" s="46"/>
      <c r="CB404" s="46"/>
      <c r="CC404" s="46"/>
    </row>
    <row r="405">
      <c r="A405" s="87" t="str">
        <f>IFERROR(__xludf.DUMMYFUNCTION("""COMPUTED_VALUE"""),"792")</f>
        <v>792</v>
      </c>
      <c r="B405" s="46" t="str">
        <f>IFERROR(__xludf.DUMMYFUNCTION("""COMPUTED_VALUE"""),"Lote en conjunto Condominio Campestre Miralagos - Neiva - Vía Santa Clara")</f>
        <v>Lote en conjunto Condominio Campestre Miralagos - Neiva - Vía Santa Clara</v>
      </c>
      <c r="C405" s="46" t="str">
        <f>IFERROR(__xludf.DUMMYFUNCTION("""COMPUTED_VALUE"""),"Lote en conjunto")</f>
        <v>Lote en conjunto</v>
      </c>
      <c r="D405" s="46"/>
      <c r="E405" s="46" t="str">
        <f>IFERROR(__xludf.DUMMYFUNCTION("""COMPUTED_VALUE"""),"Conjunto Condominio Campestre Miralagos")</f>
        <v>Conjunto Condominio Campestre Miralagos</v>
      </c>
      <c r="F405" s="90">
        <f>IFERROR(__xludf.DUMMYFUNCTION("""COMPUTED_VALUE"""),1.45E8)</f>
        <v>145000000</v>
      </c>
      <c r="G405" s="46" t="str">
        <f>IFERROR(__xludf.DUMMYFUNCTION("""COMPUTED_VALUE"""),"$100'000.000 a $200'000.000")</f>
        <v>$100'000.000 a $200'000.000</v>
      </c>
      <c r="H405" s="46"/>
      <c r="I405" s="46"/>
      <c r="J405" s="46" t="str">
        <f>IFERROR(__xludf.DUMMYFUNCTION("""COMPUTED_VALUE"""),"Norte")</f>
        <v>Norte</v>
      </c>
      <c r="K405" s="87"/>
      <c r="L405" s="46">
        <f>IFERROR(__xludf.DUMMYFUNCTION("""COMPUTED_VALUE"""),0.0)</f>
        <v>0</v>
      </c>
      <c r="M405" s="46"/>
      <c r="N405" s="46">
        <f>IFERROR(__xludf.DUMMYFUNCTION("""COMPUTED_VALUE"""),0.0)</f>
        <v>0</v>
      </c>
      <c r="O405" s="46">
        <f>IFERROR(__xludf.DUMMYFUNCTION("""COMPUTED_VALUE"""),0.0)</f>
        <v>0</v>
      </c>
      <c r="P405" s="46">
        <f>IFERROR(__xludf.DUMMYFUNCTION("""COMPUTED_VALUE"""),0.0)</f>
        <v>0</v>
      </c>
      <c r="Q405" s="92">
        <f>IFERROR(__xludf.DUMMYFUNCTION("""COMPUTED_VALUE"""),0.0)</f>
        <v>0</v>
      </c>
      <c r="R405" s="92">
        <f>IFERROR(__xludf.DUMMYFUNCTION("""COMPUTED_VALUE"""),531.0)</f>
        <v>531</v>
      </c>
      <c r="S405" s="87" t="str">
        <f>IFERROR(__xludf.DUMMYFUNCTION("""COMPUTED_VALUE""")," ")</f>
        <v> </v>
      </c>
      <c r="T405" s="46" t="str">
        <f>IFERROR(__xludf.DUMMYFUNCTION("""COMPUTED_VALUE"""),"Neiva")</f>
        <v>Neiva</v>
      </c>
      <c r="U405" s="87"/>
      <c r="V405" s="46" t="str">
        <f>IFERROR(__xludf.DUMMYFUNCTION("""COMPUTED_VALUE"""),"Medianera")</f>
        <v>Medianera</v>
      </c>
      <c r="W405" s="46"/>
      <c r="X405" s="46">
        <f>IFERROR(__xludf.DUMMYFUNCTION("""COMPUTED_VALUE"""),0.0)</f>
        <v>0</v>
      </c>
      <c r="Y405" s="46" t="str">
        <f>IFERROR(__xludf.DUMMYFUNCTION("""COMPUTED_VALUE"""),"No tiene")</f>
        <v>No tiene</v>
      </c>
      <c r="Z405" s="90"/>
      <c r="AA405" s="33" t="str">
        <f>IFERROR(__xludf.DUMMYFUNCTION("""COMPUTED_VALUE"""),"No aplica")</f>
        <v>No aplica</v>
      </c>
      <c r="AB405" s="144" t="str">
        <f>IFERROR(__xludf.DUMMYFUNCTION("""COMPUTED_VALUE"""),"https://photos.app.goo.gl/KfMfPWituhJAec1a7")</f>
        <v>https://photos.app.goo.gl/KfMfPWituhJAec1a7</v>
      </c>
      <c r="AC405" s="46" t="str">
        <f>IFERROR(__xludf.DUMMYFUNCTION("""COMPUTED_VALUE"""),"Lote en condominio campestre Miralagos. Área: 531 metros cuadrados.")</f>
        <v>Lote en condominio campestre Miralagos. Área: 531 metros cuadrados.</v>
      </c>
      <c r="AD405" s="46" t="str">
        <f>IFERROR(__xludf.DUMMYFUNCTION("""COMPUTED_VALUE"""),"El conjunto está ubicado a Km 1 Vía Santa Clara, a 10 minutos del centro de Neiva. Cuenta con 4 lagos, Miralagos, Flor de loto, Mirador y Lago azul.")</f>
        <v>El conjunto está ubicado a Km 1 Vía Santa Clara, a 10 minutos del centro de Neiva. Cuenta con 4 lagos, Miralagos, Flor de loto, Mirador y Lago azul.</v>
      </c>
      <c r="AE405" s="46"/>
      <c r="AF405" s="46">
        <f>IFERROR(__xludf.DUMMYFUNCTION("""COMPUTED_VALUE"""),0.0)</f>
        <v>0</v>
      </c>
      <c r="AG405" s="46"/>
      <c r="AH405" s="46" t="str">
        <f>IFERROR(__xludf.DUMMYFUNCTION("""COMPUTED_VALUE"""),"Aliado")</f>
        <v>Aliado</v>
      </c>
      <c r="AI405" s="92" t="str">
        <f>IFERROR(__xludf.DUMMYFUNCTION("""COMPUTED_VALUE"""),"https://lh3.googleusercontent.com/pw/AP1GczOmiaQRnUhUX2FVdB5rm7ia4xN1dk-4H_Wp14tx4dzaXR73ctZZFOgLbhEjpqfLXZ_2QIYKKK7NOOhmXC-wKPXpzkyp6WBaze8Ns_YCRbOrwnCAxqK3=w1200|https://lh3.googleusercontent.com/pw/AP1GczN7xdRvUrd4sf-TrMCBgAhN0HZ1P8uBPZfkoEUY3_B2jkpPsY"&amp;"5y9HID1NoXIwwjmH6LF1ZtPj6OhCdHqYSOK_QIG-3X-jVLKdJJmu8Phm8ng0X-2EMW=w1200|https://lh3.googleusercontent.com/pw/AP1GczPXy43yCKAgEowfo1eCXLajJNc0bBr3-qkxwBdnbgNcTaxpISwbm280Mm1BN05dm7RVliZ6v95_8fH6m1gPmvuAjviErBGsuyUPaiUCxAK63LKuVSiC=w1200|https://lh3.google"&amp;"usercontent.com/pw/AP1GczMkBa8-4kaTPItXsN_X1t88UIY0dnfhp_XBYYg9fU5gdmy2t2G9azhr3Rm5gTpQb7NLGiJkx7GU24ZhsQK_0N-_twNEL4bPeKguebY6B405n-dGSQRm=w1200|https://lh3.googleusercontent.com/pw/AP1GczOoCkVyqTsk-VsWaN1P0IgLaFj1u0Lc6xkZ3qAUBl_2YBa2S0gPZqFGnFG8RO6ufYkr"&amp;"d1YUI5flBaXkxyfTuTSYHToGDuiGYd7kV9dO65xd3rolyZah=w1200|https://lh3.googleusercontent.com/pw/AP1GczP35kuYRGkxkjipbz3DW2Bt3PjcQVztuaI-RtFcH1uxTR1vA33i2rKX2_dhdrKRpR8V43XQSm2TwbAm6DNzOOBIhYBUk6AHi-UeKzsZ-XZTJwN0TMBS=w1200|https://lh3.googleusercontent.com/pw"&amp;"/AP1GczPBPVvXlUoRDsb4XpCNrqLKYA8wIA1POMRwZ3L7G57UhKJB4M0Gw5k2YOafV0pq65zKBEkPLEZrKPifFtEsgpkOuHqHC48O-AUD_boWqY1uxyoWv2yN=w1200")</f>
        <v>https://lh3.googleusercontent.com/pw/AP1GczOmiaQRnUhUX2FVdB5rm7ia4xN1dk-4H_Wp14tx4dzaXR73ctZZFOgLbhEjpqfLXZ_2QIYKKK7NOOhmXC-wKPXpzkyp6WBaze8Ns_YCRbOrwnCAxqK3=w1200|https://lh3.googleusercontent.com/pw/AP1GczN7xdRvUrd4sf-TrMCBgAhN0HZ1P8uBPZfkoEUY3_B2jkpPsY5y9HID1NoXIwwjmH6LF1ZtPj6OhCdHqYSOK_QIG-3X-jVLKdJJmu8Phm8ng0X-2EMW=w1200|https://lh3.googleusercontent.com/pw/AP1GczPXy43yCKAgEowfo1eCXLajJNc0bBr3-qkxwBdnbgNcTaxpISwbm280Mm1BN05dm7RVliZ6v95_8fH6m1gPmvuAjviErBGsuyUPaiUCxAK63LKuVSiC=w1200|https://lh3.googleusercontent.com/pw/AP1GczMkBa8-4kaTPItXsN_X1t88UIY0dnfhp_XBYYg9fU5gdmy2t2G9azhr3Rm5gTpQb7NLGiJkx7GU24ZhsQK_0N-_twNEL4bPeKguebY6B405n-dGSQRm=w1200|https://lh3.googleusercontent.com/pw/AP1GczOoCkVyqTsk-VsWaN1P0IgLaFj1u0Lc6xkZ3qAUBl_2YBa2S0gPZqFGnFG8RO6ufYkrd1YUI5flBaXkxyfTuTSYHToGDuiGYd7kV9dO65xd3rolyZah=w1200|https://lh3.googleusercontent.com/pw/AP1GczP35kuYRGkxkjipbz3DW2Bt3PjcQVztuaI-RtFcH1uxTR1vA33i2rKX2_dhdrKRpR8V43XQSm2TwbAm6DNzOOBIhYBUk6AHi-UeKzsZ-XZTJwN0TMBS=w1200|https://lh3.googleusercontent.com/pw/AP1GczPBPVvXlUoRDsb4XpCNrqLKYA8wIA1POMRwZ3L7G57UhKJB4M0Gw5k2YOafV0pq65zKBEkPLEZrKPifFtEsgpkOuHqHC48O-AUD_boWqY1uxyoWv2yN=w1200</v>
      </c>
      <c r="AJ405" s="46"/>
      <c r="AK405" s="46"/>
      <c r="AL405" s="46"/>
      <c r="AM405" s="46"/>
      <c r="AN405" s="46"/>
      <c r="AO405" s="46"/>
      <c r="AP405" s="46"/>
      <c r="AQ405" s="46"/>
      <c r="AR405" s="46"/>
      <c r="AS405" s="46"/>
      <c r="AT405" s="46"/>
      <c r="AU405" s="46"/>
      <c r="AV405" s="46"/>
      <c r="AW405" s="46"/>
      <c r="AX405" s="46"/>
      <c r="AY405" s="46"/>
      <c r="AZ405" s="46"/>
      <c r="BA405" s="46"/>
      <c r="BB405" s="46"/>
      <c r="BC405" s="46"/>
      <c r="BD405" s="46"/>
      <c r="BE405" s="46"/>
      <c r="BF405" s="46"/>
      <c r="BG405" s="46"/>
      <c r="BH405" s="46"/>
      <c r="BI405" s="46"/>
      <c r="BJ405" s="46"/>
      <c r="BK405" s="46"/>
      <c r="BL405" s="46"/>
      <c r="BM405" s="46"/>
      <c r="BN405" s="46"/>
      <c r="BO405" s="46"/>
      <c r="BP405" s="46"/>
      <c r="BQ405" s="46"/>
      <c r="BR405" s="46"/>
      <c r="BS405" s="46"/>
      <c r="BT405" s="46"/>
      <c r="BU405" s="46"/>
      <c r="BV405" s="46"/>
      <c r="BW405" s="46"/>
      <c r="BX405" s="46"/>
      <c r="BY405" s="46"/>
      <c r="BZ405" s="46"/>
      <c r="CA405" s="46"/>
      <c r="CB405" s="46"/>
      <c r="CC405" s="46"/>
    </row>
    <row r="406">
      <c r="A406" s="87" t="str">
        <f>IFERROR(__xludf.DUMMYFUNCTION("""COMPUTED_VALUE"""),"1359")</f>
        <v>1359</v>
      </c>
      <c r="B406" s="46" t="str">
        <f>IFERROR(__xludf.DUMMYFUNCTION("""COMPUTED_VALUE"""),"Lote campestre en conjunto Condominio Altos de la Sabana - Pelermo - Z. Industrial")</f>
        <v>Lote campestre en conjunto Condominio Altos de la Sabana - Pelermo - Z. Industrial</v>
      </c>
      <c r="C406" s="46" t="str">
        <f>IFERROR(__xludf.DUMMYFUNCTION("""COMPUTED_VALUE"""),"Lote campestre en conjunto")</f>
        <v>Lote campestre en conjunto</v>
      </c>
      <c r="D406" s="46"/>
      <c r="E406" s="46"/>
      <c r="F406" s="90">
        <f>IFERROR(__xludf.DUMMYFUNCTION("""COMPUTED_VALUE"""),1.4E8)</f>
        <v>140000000</v>
      </c>
      <c r="G406" s="46" t="str">
        <f>IFERROR(__xludf.DUMMYFUNCTION("""COMPUTED_VALUE"""),"$100'000.000 a $200'000.000")</f>
        <v>$100'000.000 a $200'000.000</v>
      </c>
      <c r="H406" s="46"/>
      <c r="I406" s="46"/>
      <c r="J406" s="46" t="str">
        <f>IFERROR(__xludf.DUMMYFUNCTION("""COMPUTED_VALUE"""),"Occidente")</f>
        <v>Occidente</v>
      </c>
      <c r="K406" s="87"/>
      <c r="L406" s="46">
        <f>IFERROR(__xludf.DUMMYFUNCTION("""COMPUTED_VALUE"""),0.0)</f>
        <v>0</v>
      </c>
      <c r="M406" s="46"/>
      <c r="N406" s="46">
        <f>IFERROR(__xludf.DUMMYFUNCTION("""COMPUTED_VALUE"""),0.0)</f>
        <v>0</v>
      </c>
      <c r="O406" s="46">
        <f>IFERROR(__xludf.DUMMYFUNCTION("""COMPUTED_VALUE"""),0.0)</f>
        <v>0</v>
      </c>
      <c r="P406" s="46">
        <f>IFERROR(__xludf.DUMMYFUNCTION("""COMPUTED_VALUE"""),0.0)</f>
        <v>0</v>
      </c>
      <c r="Q406" s="92">
        <f>IFERROR(__xludf.DUMMYFUNCTION("""COMPUTED_VALUE"""),0.0)</f>
        <v>0</v>
      </c>
      <c r="R406" s="92">
        <f>IFERROR(__xludf.DUMMYFUNCTION("""COMPUTED_VALUE"""),528.0)</f>
        <v>528</v>
      </c>
      <c r="S406" s="87" t="str">
        <f>IFERROR(__xludf.DUMMYFUNCTION("""COMPUTED_VALUE""")," ")</f>
        <v> </v>
      </c>
      <c r="T406" s="46" t="str">
        <f>IFERROR(__xludf.DUMMYFUNCTION("""COMPUTED_VALUE"""),"Palermo")</f>
        <v>Palermo</v>
      </c>
      <c r="U406" s="87"/>
      <c r="V406" s="46" t="str">
        <f>IFERROR(__xludf.DUMMYFUNCTION("""COMPUTED_VALUE"""),"Medianera")</f>
        <v>Medianera</v>
      </c>
      <c r="W406" s="46"/>
      <c r="X406" s="46">
        <f>IFERROR(__xludf.DUMMYFUNCTION("""COMPUTED_VALUE"""),0.0)</f>
        <v>0</v>
      </c>
      <c r="Y406" s="46" t="str">
        <f>IFERROR(__xludf.DUMMYFUNCTION("""COMPUTED_VALUE"""),"Social")</f>
        <v>Social</v>
      </c>
      <c r="Z406" s="90">
        <f>IFERROR(__xludf.DUMMYFUNCTION("""COMPUTED_VALUE"""),280000.0)</f>
        <v>280000</v>
      </c>
      <c r="AA406" s="33" t="str">
        <f>IFERROR(__xludf.DUMMYFUNCTION("""COMPUTED_VALUE"""),"No aplica")</f>
        <v>No aplica</v>
      </c>
      <c r="AB406" s="96" t="str">
        <f>IFERROR(__xludf.DUMMYFUNCTION("""COMPUTED_VALUE"""),"https://photos.app.goo.gl/9XVkzKFgx1DV5Ezz9")</f>
        <v>https://photos.app.goo.gl/9XVkzKFgx1DV5Ezz9</v>
      </c>
      <c r="AC406" s="46" t="str">
        <f>IFERROR(__xludf.DUMMYFUNCTION("""COMPUTED_VALUE"""),"Áreas comunes: salón social, piscinas, oratorio, parque infantil, gimnasio biosaludable, cancha sintética, cancha Vóley playa, cancha múltiple. Acueducto propio. Todos los servicios públicos.")</f>
        <v>Áreas comunes: salón social, piscinas, oratorio, parque infantil, gimnasio biosaludable, cancha sintética, cancha Vóley playa, cancha múltiple. Acueducto propio. Todos los servicios públicos.</v>
      </c>
      <c r="AD406" s="46" t="str">
        <f>IFERROR(__xludf.DUMMYFUNCTION("""COMPUTED_VALUE"""),"Se Vende Hermoso Lote en Condominio Campestre Altos de la sábana a 10 min de Neiva. Zona parque industrial de Palermo. Area 528m2.")</f>
        <v>Se Vende Hermoso Lote en Condominio Campestre Altos de la sábana a 10 min de Neiva. Zona parque industrial de Palermo. Area 528m2.</v>
      </c>
      <c r="AE406" s="46"/>
      <c r="AF406" s="46">
        <f>IFERROR(__xludf.DUMMYFUNCTION("""COMPUTED_VALUE"""),0.0)</f>
        <v>0</v>
      </c>
      <c r="AG406" s="46"/>
      <c r="AH406" s="46" t="str">
        <f>IFERROR(__xludf.DUMMYFUNCTION("""COMPUTED_VALUE"""),"Aliado")</f>
        <v>Aliado</v>
      </c>
      <c r="AI406" s="92" t="str">
        <f>IFERROR(__xludf.DUMMYFUNCTION("""COMPUTED_VALUE"""),"https://lh3.googleusercontent.com/pw/AP1GczOk1IltE-R8jEZBIrKi5AhreXnhi_tmeV-VkNj6Ywnyr93SFmNE6zcCvyFqWoVj-45I1kDGyFPfW3X0sHG9sHzgvIfavwZG--KcqEgetl595ykxp9pP=w1200|https://lh3.googleusercontent.com/pw/AP1GczOhN3zXbZAX2YKFAt1lwwsZ13ooh7JaAn6wWieLz3RXILbmzO"&amp;"Pse_lQV8KMIuGvLcYb_eLEEnvoYjm2iktxrCO6HdJChdp0FrjSbCv7ItBNmopEo0cz=w1200|https://lh3.googleusercontent.com/pw/AP1GczNiWzaxRXk4ooAovEqh-NPQjT8Bgkh6ZHCakKCB4l0gnXv0qZoj85wzngWj7U9aJOhkP4N0hXIJLgLK-jpbCDRTXkERsqd7JaXoVzYm2JLKyCGYEmL7=w1200|https://lh3.google"&amp;"usercontent.com/pw/AP1GczN1ZMIuhb2onzYEtsmJbYvCOzYrWRFxCk95CuWLkwMab8sIIddtNpzYtPNGPtB1t-hdfaBKhx-HH9y1kYxus7RmHqozmaVlVffj-WRbNbRkWKjhkUbW=w1200|https://lh3.googleusercontent.com/pw/AP1GczN-UBqx2K1PlDeKrFUPk19KP4dFEj82hXKORlKaQFRHqjbwZEMsy7ZtR6_qNSwK3GHc"&amp;"6Ic_A1PIh18p3Nh2ZAeCNCBd2FjkQ3pU8G7tJ7WhMYXtTy4H=w1200|https://lh3.googleusercontent.com/pw/AP1GczO3fjOr20ozUPV3ZaofY6w0PDf8y4Hxa1o0gDpgk5O9zcdhjlRLe8Q50InNtJTvH3wWd-mKBBOM1dJxLWEPW4UhhTlE9Z05Ff4mgd4miag3-9Ftc92J=w1200|https://lh3.googleusercontent.com/pw"&amp;"/AP1GczOJh1OLnumCY2lOTMwKFCJKbFbRnc6SyRUH6XX1qtGlqHEOzJcFuyuWPGF1JuPQtLfwg9SUULtmBzlun6FAFo-cWUjvomNrmT8Q187zVOV0s1J34D8G=w1200")</f>
        <v>https://lh3.googleusercontent.com/pw/AP1GczOk1IltE-R8jEZBIrKi5AhreXnhi_tmeV-VkNj6Ywnyr93SFmNE6zcCvyFqWoVj-45I1kDGyFPfW3X0sHG9sHzgvIfavwZG--KcqEgetl595ykxp9pP=w1200|https://lh3.googleusercontent.com/pw/AP1GczOhN3zXbZAX2YKFAt1lwwsZ13ooh7JaAn6wWieLz3RXILbmzOPse_lQV8KMIuGvLcYb_eLEEnvoYjm2iktxrCO6HdJChdp0FrjSbCv7ItBNmopEo0cz=w1200|https://lh3.googleusercontent.com/pw/AP1GczNiWzaxRXk4ooAovEqh-NPQjT8Bgkh6ZHCakKCB4l0gnXv0qZoj85wzngWj7U9aJOhkP4N0hXIJLgLK-jpbCDRTXkERsqd7JaXoVzYm2JLKyCGYEmL7=w1200|https://lh3.googleusercontent.com/pw/AP1GczN1ZMIuhb2onzYEtsmJbYvCOzYrWRFxCk95CuWLkwMab8sIIddtNpzYtPNGPtB1t-hdfaBKhx-HH9y1kYxus7RmHqozmaVlVffj-WRbNbRkWKjhkUbW=w1200|https://lh3.googleusercontent.com/pw/AP1GczN-UBqx2K1PlDeKrFUPk19KP4dFEj82hXKORlKaQFRHqjbwZEMsy7ZtR6_qNSwK3GHc6Ic_A1PIh18p3Nh2ZAeCNCBd2FjkQ3pU8G7tJ7WhMYXtTy4H=w1200|https://lh3.googleusercontent.com/pw/AP1GczO3fjOr20ozUPV3ZaofY6w0PDf8y4Hxa1o0gDpgk5O9zcdhjlRLe8Q50InNtJTvH3wWd-mKBBOM1dJxLWEPW4UhhTlE9Z05Ff4mgd4miag3-9Ftc92J=w1200|https://lh3.googleusercontent.com/pw/AP1GczOJh1OLnumCY2lOTMwKFCJKbFbRnc6SyRUH6XX1qtGlqHEOzJcFuyuWPGF1JuPQtLfwg9SUULtmBzlun6FAFo-cWUjvomNrmT8Q187zVOV0s1J34D8G=w1200</v>
      </c>
      <c r="AJ406" s="46"/>
      <c r="AK406" s="46"/>
      <c r="AL406" s="46"/>
      <c r="AM406" s="46"/>
      <c r="AN406" s="46"/>
      <c r="AO406" s="46"/>
      <c r="AP406" s="46"/>
      <c r="AQ406" s="46"/>
      <c r="AR406" s="46"/>
      <c r="AS406" s="46"/>
      <c r="AT406" s="46"/>
      <c r="AU406" s="46"/>
      <c r="AV406" s="46"/>
      <c r="AW406" s="46"/>
      <c r="AX406" s="46"/>
      <c r="AY406" s="46"/>
      <c r="AZ406" s="46"/>
      <c r="BA406" s="46"/>
      <c r="BB406" s="46"/>
      <c r="BC406" s="46"/>
      <c r="BD406" s="46"/>
      <c r="BE406" s="46"/>
      <c r="BF406" s="46"/>
      <c r="BG406" s="46"/>
      <c r="BH406" s="46"/>
      <c r="BI406" s="46"/>
      <c r="BJ406" s="46"/>
      <c r="BK406" s="46"/>
      <c r="BL406" s="46"/>
      <c r="BM406" s="46"/>
      <c r="BN406" s="46"/>
      <c r="BO406" s="46"/>
      <c r="BP406" s="46"/>
      <c r="BQ406" s="46"/>
      <c r="BR406" s="46"/>
      <c r="BS406" s="46"/>
      <c r="BT406" s="46"/>
      <c r="BU406" s="46"/>
      <c r="BV406" s="46"/>
      <c r="BW406" s="46"/>
      <c r="BX406" s="46"/>
      <c r="BY406" s="46"/>
      <c r="BZ406" s="46"/>
      <c r="CA406" s="46"/>
      <c r="CB406" s="46"/>
      <c r="CC406" s="46"/>
    </row>
    <row r="407">
      <c r="A407" s="87" t="str">
        <f>IFERROR(__xludf.DUMMYFUNCTION("""COMPUTED_VALUE"""),"1340")</f>
        <v>1340</v>
      </c>
      <c r="B407" s="46" t="str">
        <f>IFERROR(__xludf.DUMMYFUNCTION("""COMPUTED_VALUE"""),"Lote campestre en conjunto Condominio Altos de la Sabana - Pelermo - Z. Industrial")</f>
        <v>Lote campestre en conjunto Condominio Altos de la Sabana - Pelermo - Z. Industrial</v>
      </c>
      <c r="C407" s="46" t="str">
        <f>IFERROR(__xludf.DUMMYFUNCTION("""COMPUTED_VALUE"""),"Lote campestre en conjunto")</f>
        <v>Lote campestre en conjunto</v>
      </c>
      <c r="D407" s="46"/>
      <c r="E407" s="46" t="str">
        <f>IFERROR(__xludf.DUMMYFUNCTION("""COMPUTED_VALUE"""),"Conjunto Campestre Altos de la Sabana")</f>
        <v>Conjunto Campestre Altos de la Sabana</v>
      </c>
      <c r="F407" s="90">
        <f>IFERROR(__xludf.DUMMYFUNCTION("""COMPUTED_VALUE"""),1.4E8)</f>
        <v>140000000</v>
      </c>
      <c r="G407" s="46" t="str">
        <f>IFERROR(__xludf.DUMMYFUNCTION("""COMPUTED_VALUE"""),"$100'000.000 a $200'000.000")</f>
        <v>$100'000.000 a $200'000.000</v>
      </c>
      <c r="H407" s="46"/>
      <c r="I407" s="46"/>
      <c r="J407" s="46" t="str">
        <f>IFERROR(__xludf.DUMMYFUNCTION("""COMPUTED_VALUE"""),"Occidente")</f>
        <v>Occidente</v>
      </c>
      <c r="K407" s="87"/>
      <c r="L407" s="46">
        <f>IFERROR(__xludf.DUMMYFUNCTION("""COMPUTED_VALUE"""),0.0)</f>
        <v>0</v>
      </c>
      <c r="M407" s="46"/>
      <c r="N407" s="46">
        <f>IFERROR(__xludf.DUMMYFUNCTION("""COMPUTED_VALUE"""),0.0)</f>
        <v>0</v>
      </c>
      <c r="O407" s="46">
        <f>IFERROR(__xludf.DUMMYFUNCTION("""COMPUTED_VALUE"""),0.0)</f>
        <v>0</v>
      </c>
      <c r="P407" s="46">
        <f>IFERROR(__xludf.DUMMYFUNCTION("""COMPUTED_VALUE"""),0.0)</f>
        <v>0</v>
      </c>
      <c r="Q407" s="92">
        <f>IFERROR(__xludf.DUMMYFUNCTION("""COMPUTED_VALUE"""),0.0)</f>
        <v>0</v>
      </c>
      <c r="R407" s="92">
        <f>IFERROR(__xludf.DUMMYFUNCTION("""COMPUTED_VALUE"""),528.0)</f>
        <v>528</v>
      </c>
      <c r="S407" s="87" t="str">
        <f>IFERROR(__xludf.DUMMYFUNCTION("""COMPUTED_VALUE""")," ")</f>
        <v> </v>
      </c>
      <c r="T407" s="46" t="str">
        <f>IFERROR(__xludf.DUMMYFUNCTION("""COMPUTED_VALUE"""),"Palermo")</f>
        <v>Palermo</v>
      </c>
      <c r="U407" s="87"/>
      <c r="V407" s="46" t="str">
        <f>IFERROR(__xludf.DUMMYFUNCTION("""COMPUTED_VALUE"""),"Medianera")</f>
        <v>Medianera</v>
      </c>
      <c r="W407" s="46"/>
      <c r="X407" s="46">
        <f>IFERROR(__xludf.DUMMYFUNCTION("""COMPUTED_VALUE"""),0.0)</f>
        <v>0</v>
      </c>
      <c r="Y407" s="46" t="str">
        <f>IFERROR(__xludf.DUMMYFUNCTION("""COMPUTED_VALUE"""),"Social")</f>
        <v>Social</v>
      </c>
      <c r="Z407" s="90">
        <f>IFERROR(__xludf.DUMMYFUNCTION("""COMPUTED_VALUE"""),214000.0)</f>
        <v>214000</v>
      </c>
      <c r="AA407" s="33" t="str">
        <f>IFERROR(__xludf.DUMMYFUNCTION("""COMPUTED_VALUE"""),"No aplica")</f>
        <v>No aplica</v>
      </c>
      <c r="AB407" s="96" t="str">
        <f>IFERROR(__xludf.DUMMYFUNCTION("""COMPUTED_VALUE"""),"https://photos.app.goo.gl/xhrh6ZB1MFLfPC6p6")</f>
        <v>https://photos.app.goo.gl/xhrh6ZB1MFLfPC6p6</v>
      </c>
      <c r="AC407" s="46" t="str">
        <f>IFERROR(__xludf.DUMMYFUNCTION("""COMPUTED_VALUE"""),"Lote para venta en conjunto campestre Altos de la sabana vía Palermo, excelentes vías de acceso, de alta valorización.")</f>
        <v>Lote para venta en conjunto campestre Altos de la sabana vía Palermo, excelentes vías de acceso, de alta valorización.</v>
      </c>
      <c r="AD407" s="46" t="str">
        <f>IFERROR(__xludf.DUMMYFUNCTION("""COMPUTED_VALUE"""),"El condominio cuenta con vigilancia privada, zonas verdes, zonas sociales, piscina, cancha de microfutbol, parqueaderos visitantes.")</f>
        <v>El condominio cuenta con vigilancia privada, zonas verdes, zonas sociales, piscina, cancha de microfutbol, parqueaderos visitantes.</v>
      </c>
      <c r="AE407" s="46"/>
      <c r="AF407" s="46">
        <f>IFERROR(__xludf.DUMMYFUNCTION("""COMPUTED_VALUE"""),0.0)</f>
        <v>0</v>
      </c>
      <c r="AG407" s="46"/>
      <c r="AH407" s="46" t="str">
        <f>IFERROR(__xludf.DUMMYFUNCTION("""COMPUTED_VALUE"""),"Aliado")</f>
        <v>Aliado</v>
      </c>
      <c r="AI407" s="92" t="str">
        <f>IFERROR(__xludf.DUMMYFUNCTION("""COMPUTED_VALUE"""),"https://lh3.googleusercontent.com/pw/AP1GczPGJGG_Q3_4OPsqg3bcc8cwLH1N-r-MjbSqnBpzqFdVls_ydAY4DozBtE_GQEnNL7ojn4zopiUcMZ99JarnEFed-KfnL4VntmT4mjreenRmrffE2Rph=w1200|https://lh3.googleusercontent.com/pw/AP1GczOtX5q-DZlEIRlgLz_-etXPjEl1cIYtvKjPcUjtcj1LODHGJZ"&amp;"XivTUQK3y654xAmCtRxJjzAEc__UuoNr6QAj7jnjO9spwXWoq9M8oy7GlwaaqItnHX=w1200|https://lh3.googleusercontent.com/pw/AP1GczMH2XrAVobtmEqohFrLlHRzMULn8Uph6tj3NL67okzh3YrBfpTiWzyNw6AGSREfVp92VRH4cHZUdfekYgRpQM8qrwSQIVtapdW7N7Cxmd93Py_nGxru=w1200|https://lh3.google"&amp;"usercontent.com/pw/AP1GczOlErVJS9bIcDSh2AAeyJd9Q_etXliaEHl5Y0K6yobgbIfa7OvuXp7zuyfM8CsnulWAgrW7cgnHUnau3iGeVpsuoMJycAA1lFMZuX46Wf5kPtmCdnyH=w1200|https://lh3.googleusercontent.com/pw/AP1GczOxm_ODGWCdFSFt1qjLbLWRPW0y1kZ4U8uLIpxGjyOjxf6nG3gOfS7Nz8dnYRTxmoAb"&amp;"ByWCzHrgVgtDRQJP30l6QBWJWWxLfYWw2L7xQILrgcwqJizC=w1200|https://lh3.googleusercontent.com/pw/AP1GczOZveeSYXKJhV1EPNX9JbN_ZlL7nifP04BxrECLkYkWjvK7q0X7xCwl7JHGEBNSXSG84MGTJxrJAfavJqegLYD7x3uoIxBvSbML9IvPzZGf2Nk0GWvv=w1200|https://lh3.googleusercontent.com/pw"&amp;"/AP1GczOn14_PpceQ9NfCqO93_4HOlR-fP6W3NVlMD_Ex072kfP_QsP0JUbkiJVlfB01bkBz_96LPHs5TJ-7CVkAr81jem6JMJ200OP7uVk6CpdIKNIYKT5vH=w1200|https://lh3.googleusercontent.com/pw/AP1GczNy9psKnoRMIWY7dcmui-e_DtUJ942xSsHn8opWfJgQ6EjzyTrxZ7MGkHuj8njA9qVrC2w9U1RA5o7tXdIwm_"&amp;"B7XVjXyopluMFgC69OlRuloPk_gYIE=w1200|https://lh3.googleusercontent.com/pw/AP1GczNWUq6lt4X0pOc-k8kRxOdpyUgzdDQ0ocU6Bo2QwaIbWtIiBYo0lmcw_PZ2odKFT2o5z5gtCzkuwJMRU70D8VxyATN6XbMLMCukvdUPeHlo-K0tUY3B=w1200|https://lh3.googleusercontent.com/pw/AP1GczORWJzikXQuw"&amp;"eOKlkyGpdbjhSzC4r-FH7P5AnnaxYLtcMnK1arMTXzSifJnxuLB0Fb1L9IV8_NEKfWKa2O8639Zs9wXxt_1Rl_bbwL8dD6hfqeAXpjf=w1200|https://lh3.googleusercontent.com/pw/AP1GczNZyHARD1XobfonJHCPv6MpKMiVy6HIkP7cZN0TYsg1jdVAsEiKsbFvIfwDp8ifxpma_fl4ll3jLvlVm9I0YAKeavFQrfoSdc_LyH7t"&amp;"jRcWxq_2IZvH=w1200|https://lh3.googleusercontent.com/pw/AP1GczMDXGkpKD5Eqg3So-DLtEtRs-3o3pT3PWl1pR9_nhmzs5mnBbTLRZ76gHpj0c5xC7FC-VEWC5Ag0fQvROIsr_SISWLJFy4l4X_e01hvJPaHKnSf2ZvR=w1200|https://lh3.googleusercontent.com/pw/AP1GczOHRWnMgOpCPe7kHZH7SZv_SRsTC2B"&amp;"83JgAQJkQ2a8iYbZoa4FkHoRMGkIsc7AmaAy9yF1GO0rX3vPQMdQ46J_mnVJG7xqlftke2oR85pefOkPTPpNT=w1200|https://lh3.googleusercontent.com/pw/AP1GczNqZZgghLv-SWQ5CdyTRUsL4BhPgVN8hMB3f4_k4oo0Aj59Xy-1i0iYkdf_pS-48kUr5EslCvBJMm12wQ_I63R0sUWkPXiTXZ7KcET_U4ph7oI52GZq=w1200"&amp;"|https://lh3.googleusercontent.com/pw/AP1GczN2Za9_8wG1EeljJvx2hsa1ZoYc6pluaobmncWatRQNmaTHkbLmB9NrLMGT6Ftna98FJdHmM-kMKGKxLmgrA7uJ8nnvYeuw1iDX_eZxo2jGb8HYyxiP=w1200|https://lh3.googleusercontent.com/pw/AP1GczPR_X7RGct2q-qr-5OLuvNNHlDK7cIYHpSpB2UmFxJoJsewE"&amp;"LR9MF6_b18tBoC7LW-u514yiybTzklSsgvOvEu3GT-t136RYMzAlYg5LWkRbJSoURQU=w1200|https://lh3.googleusercontent.com/pw/AP1GczMf1ftJH8mOHhJHDTojTtPFNr9SBMIodTEQKv2R1Gptp0LvVhodLjaqGkfMR78nxQFcx44qbdUNIBGAP4Evgy82rVKwVjaK8qq5iSefgqtXvAJRX4IL=w1200|https://lh3.googl"&amp;"eusercontent.com/pw/AP1GczPy0LIMeRCUCmy9ONW8S3eBWcZBJVP7U01HApUT9h48r-WpL7ZnprsZLFOvcpLU_ImKVHRpxvIChz_P9Z1XBD0FJpfkn0UuvaGdxY2X_CTCm66h5CuD=w1200|https://lh3.googleusercontent.com/pw/AP1GczM3Dr2kL8agJkFikoa-JtRuwzL9qRbyMcVZXJaiCEXokE0YedFvAAD03qReBpJyJUu"&amp;"Rph-luQvfiyPlDpiB1RfP5vZh8KswofL7VCvESiG7vatN9AdR=w1200|https://lh3.googleusercontent.com/pw/AP1GczP_R1xFfcxmlSRT9IriZUOe7RFRIMr1QjmOXPTQF8FaOg4OFqREVKmqKgKMdTh-B-cQU2eUIWPOhzNkaeggGSe6HwPbq7tMFLrV9k1yQMjh55ZA3Kx6=w1200|https://lh3.googleusercontent.com/p"&amp;"w/AP1GczOK_RG3Yr-xdVhosb19wDCMBPp45yfQcFt75eDBMLGBxggr_6cwICBv9kyIFLdbGRFMfYKOJvZKx4Cx8kDve8mAa96DMt0KnNQV6RiZG3IlpBpgeiRM=w1200")</f>
        <v>https://lh3.googleusercontent.com/pw/AP1GczPGJGG_Q3_4OPsqg3bcc8cwLH1N-r-MjbSqnBpzqFdVls_ydAY4DozBtE_GQEnNL7ojn4zopiUcMZ99JarnEFed-KfnL4VntmT4mjreenRmrffE2Rph=w1200|https://lh3.googleusercontent.com/pw/AP1GczOtX5q-DZlEIRlgLz_-etXPjEl1cIYtvKjPcUjtcj1LODHGJZXivTUQK3y654xAmCtRxJjzAEc__UuoNr6QAj7jnjO9spwXWoq9M8oy7GlwaaqItnHX=w1200|https://lh3.googleusercontent.com/pw/AP1GczMH2XrAVobtmEqohFrLlHRzMULn8Uph6tj3NL67okzh3YrBfpTiWzyNw6AGSREfVp92VRH4cHZUdfekYgRpQM8qrwSQIVtapdW7N7Cxmd93Py_nGxru=w1200|https://lh3.googleusercontent.com/pw/AP1GczOlErVJS9bIcDSh2AAeyJd9Q_etXliaEHl5Y0K6yobgbIfa7OvuXp7zuyfM8CsnulWAgrW7cgnHUnau3iGeVpsuoMJycAA1lFMZuX46Wf5kPtmCdnyH=w1200|https://lh3.googleusercontent.com/pw/AP1GczOxm_ODGWCdFSFt1qjLbLWRPW0y1kZ4U8uLIpxGjyOjxf6nG3gOfS7Nz8dnYRTxmoAbByWCzHrgVgtDRQJP30l6QBWJWWxLfYWw2L7xQILrgcwqJizC=w1200|https://lh3.googleusercontent.com/pw/AP1GczOZveeSYXKJhV1EPNX9JbN_ZlL7nifP04BxrECLkYkWjvK7q0X7xCwl7JHGEBNSXSG84MGTJxrJAfavJqegLYD7x3uoIxBvSbML9IvPzZGf2Nk0GWvv=w1200|https://lh3.googleusercontent.com/pw/AP1GczOn14_PpceQ9NfCqO93_4HOlR-fP6W3NVlMD_Ex072kfP_QsP0JUbkiJVlfB01bkBz_96LPHs5TJ-7CVkAr81jem6JMJ200OP7uVk6CpdIKNIYKT5vH=w1200|https://lh3.googleusercontent.com/pw/AP1GczNy9psKnoRMIWY7dcmui-e_DtUJ942xSsHn8opWfJgQ6EjzyTrxZ7MGkHuj8njA9qVrC2w9U1RA5o7tXdIwm_B7XVjXyopluMFgC69OlRuloPk_gYIE=w1200|https://lh3.googleusercontent.com/pw/AP1GczNWUq6lt4X0pOc-k8kRxOdpyUgzdDQ0ocU6Bo2QwaIbWtIiBYo0lmcw_PZ2odKFT2o5z5gtCzkuwJMRU70D8VxyATN6XbMLMCukvdUPeHlo-K0tUY3B=w1200|https://lh3.googleusercontent.com/pw/AP1GczORWJzikXQuweOKlkyGpdbjhSzC4r-FH7P5AnnaxYLtcMnK1arMTXzSifJnxuLB0Fb1L9IV8_NEKfWKa2O8639Zs9wXxt_1Rl_bbwL8dD6hfqeAXpjf=w1200|https://lh3.googleusercontent.com/pw/AP1GczNZyHARD1XobfonJHCPv6MpKMiVy6HIkP7cZN0TYsg1jdVAsEiKsbFvIfwDp8ifxpma_fl4ll3jLvlVm9I0YAKeavFQrfoSdc_LyH7tjRcWxq_2IZvH=w1200|https://lh3.googleusercontent.com/pw/AP1GczMDXGkpKD5Eqg3So-DLtEtRs-3o3pT3PWl1pR9_nhmzs5mnBbTLRZ76gHpj0c5xC7FC-VEWC5Ag0fQvROIsr_SISWLJFy4l4X_e01hvJPaHKnSf2ZvR=w1200|https://lh3.googleusercontent.com/pw/AP1GczOHRWnMgOpCPe7kHZH7SZv_SRsTC2B83JgAQJkQ2a8iYbZoa4FkHoRMGkIsc7AmaAy9yF1GO0rX3vPQMdQ46J_mnVJG7xqlftke2oR85pefOkPTPpNT=w1200|https://lh3.googleusercontent.com/pw/AP1GczNqZZgghLv-SWQ5CdyTRUsL4BhPgVN8hMB3f4_k4oo0Aj59Xy-1i0iYkdf_pS-48kUr5EslCvBJMm12wQ_I63R0sUWkPXiTXZ7KcET_U4ph7oI52GZq=w1200|https://lh3.googleusercontent.com/pw/AP1GczN2Za9_8wG1EeljJvx2hsa1ZoYc6pluaobmncWatRQNmaTHkbLmB9NrLMGT6Ftna98FJdHmM-kMKGKxLmgrA7uJ8nnvYeuw1iDX_eZxo2jGb8HYyxiP=w1200|https://lh3.googleusercontent.com/pw/AP1GczPR_X7RGct2q-qr-5OLuvNNHlDK7cIYHpSpB2UmFxJoJsewELR9MF6_b18tBoC7LW-u514yiybTzklSsgvOvEu3GT-t136RYMzAlYg5LWkRbJSoURQU=w1200|https://lh3.googleusercontent.com/pw/AP1GczMf1ftJH8mOHhJHDTojTtPFNr9SBMIodTEQKv2R1Gptp0LvVhodLjaqGkfMR78nxQFcx44qbdUNIBGAP4Evgy82rVKwVjaK8qq5iSefgqtXvAJRX4IL=w1200|https://lh3.googleusercontent.com/pw/AP1GczPy0LIMeRCUCmy9ONW8S3eBWcZBJVP7U01HApUT9h48r-WpL7ZnprsZLFOvcpLU_ImKVHRpxvIChz_P9Z1XBD0FJpfkn0UuvaGdxY2X_CTCm66h5CuD=w1200|https://lh3.googleusercontent.com/pw/AP1GczM3Dr2kL8agJkFikoa-JtRuwzL9qRbyMcVZXJaiCEXokE0YedFvAAD03qReBpJyJUuRph-luQvfiyPlDpiB1RfP5vZh8KswofL7VCvESiG7vatN9AdR=w1200|https://lh3.googleusercontent.com/pw/AP1GczP_R1xFfcxmlSRT9IriZUOe7RFRIMr1QjmOXPTQF8FaOg4OFqREVKmqKgKMdTh-B-cQU2eUIWPOhzNkaeggGSe6HwPbq7tMFLrV9k1yQMjh55ZA3Kx6=w1200|https://lh3.googleusercontent.com/pw/AP1GczOK_RG3Yr-xdVhosb19wDCMBPp45yfQcFt75eDBMLGBxggr_6cwICBv9kyIFLdbGRFMfYKOJvZKx4Cx8kDve8mAa96DMt0KnNQV6RiZG3IlpBpgeiRM=w1200</v>
      </c>
      <c r="AJ407" s="46"/>
      <c r="AK407" s="46"/>
      <c r="AL407" s="46"/>
      <c r="AM407" s="46"/>
      <c r="AN407" s="46"/>
      <c r="AO407" s="46"/>
      <c r="AP407" s="46"/>
      <c r="AQ407" s="46"/>
      <c r="AR407" s="46"/>
      <c r="AS407" s="46"/>
      <c r="AT407" s="46"/>
      <c r="AU407" s="46"/>
      <c r="AV407" s="46"/>
      <c r="AW407" s="46"/>
      <c r="AX407" s="46"/>
      <c r="AY407" s="46"/>
      <c r="AZ407" s="46"/>
      <c r="BA407" s="46"/>
      <c r="BB407" s="46"/>
      <c r="BC407" s="46"/>
      <c r="BD407" s="46"/>
      <c r="BE407" s="46"/>
      <c r="BF407" s="46"/>
      <c r="BG407" s="46"/>
      <c r="BH407" s="46"/>
      <c r="BI407" s="46"/>
      <c r="BJ407" s="46"/>
      <c r="BK407" s="46"/>
      <c r="BL407" s="46"/>
      <c r="BM407" s="46"/>
      <c r="BN407" s="46"/>
      <c r="BO407" s="46"/>
      <c r="BP407" s="46"/>
      <c r="BQ407" s="46"/>
      <c r="BR407" s="46"/>
      <c r="BS407" s="46"/>
      <c r="BT407" s="46"/>
      <c r="BU407" s="46"/>
      <c r="BV407" s="46"/>
      <c r="BW407" s="46"/>
      <c r="BX407" s="46"/>
      <c r="BY407" s="46"/>
      <c r="BZ407" s="46"/>
      <c r="CA407" s="46"/>
      <c r="CB407" s="46"/>
      <c r="CC407" s="46"/>
    </row>
    <row r="408">
      <c r="A408" s="87" t="str">
        <f>IFERROR(__xludf.DUMMYFUNCTION("""COMPUTED_VALUE"""),"939")</f>
        <v>939</v>
      </c>
      <c r="B408" s="46" t="str">
        <f>IFERROR(__xludf.DUMMYFUNCTION("""COMPUTED_VALUE"""),"Casa en barrio Limonar")</f>
        <v>Casa en barrio Limonar</v>
      </c>
      <c r="C408" s="46" t="str">
        <f>IFERROR(__xludf.DUMMYFUNCTION("""COMPUTED_VALUE"""),"Casa")</f>
        <v>Casa</v>
      </c>
      <c r="D408" s="46" t="str">
        <f>IFERROR(__xludf.DUMMYFUNCTION("""COMPUTED_VALUE"""),"Limonar")</f>
        <v>Limonar</v>
      </c>
      <c r="E408" s="90" t="str">
        <f>IFERROR(__xludf.DUMMYFUNCTION("""COMPUTED_VALUE""")," ")</f>
        <v> </v>
      </c>
      <c r="F408" s="90">
        <f>IFERROR(__xludf.DUMMYFUNCTION("""COMPUTED_VALUE"""),1.3E8)</f>
        <v>130000000</v>
      </c>
      <c r="G408" s="46" t="str">
        <f>IFERROR(__xludf.DUMMYFUNCTION("""COMPUTED_VALUE"""),"$100'000.000 a $200'000.000")</f>
        <v>$100'000.000 a $200'000.000</v>
      </c>
      <c r="H408" s="46"/>
      <c r="I408" s="46"/>
      <c r="J408" s="46" t="str">
        <f>IFERROR(__xludf.DUMMYFUNCTION("""COMPUTED_VALUE"""),"Sur")</f>
        <v>Sur</v>
      </c>
      <c r="K408" s="87" t="str">
        <f>IFERROR(__xludf.DUMMYFUNCTION("""COMPUTED_VALUE"""),"6")</f>
        <v>6</v>
      </c>
      <c r="L408" s="46">
        <f>IFERROR(__xludf.DUMMYFUNCTION("""COMPUTED_VALUE"""),3.0)</f>
        <v>3</v>
      </c>
      <c r="M408" s="46"/>
      <c r="N408" s="46">
        <f>IFERROR(__xludf.DUMMYFUNCTION("""COMPUTED_VALUE"""),1.0)</f>
        <v>1</v>
      </c>
      <c r="O408" s="46">
        <f>IFERROR(__xludf.DUMMYFUNCTION("""COMPUTED_VALUE"""),0.0)</f>
        <v>0</v>
      </c>
      <c r="P408" s="46">
        <f>IFERROR(__xludf.DUMMYFUNCTION("""COMPUTED_VALUE"""),1.0)</f>
        <v>1</v>
      </c>
      <c r="Q408" s="92">
        <f>IFERROR(__xludf.DUMMYFUNCTION("""COMPUTED_VALUE"""),78.0)</f>
        <v>78</v>
      </c>
      <c r="R408" s="92">
        <f>IFERROR(__xludf.DUMMYFUNCTION("""COMPUTED_VALUE"""),78.0)</f>
        <v>78</v>
      </c>
      <c r="S408" s="87" t="str">
        <f>IFERROR(__xludf.DUMMYFUNCTION("""COMPUTED_VALUE""")," ")</f>
        <v> </v>
      </c>
      <c r="T408" s="46" t="str">
        <f>IFERROR(__xludf.DUMMYFUNCTION("""COMPUTED_VALUE"""),"Neiva")</f>
        <v>Neiva</v>
      </c>
      <c r="U408" s="87" t="str">
        <f>IFERROR(__xludf.DUMMYFUNCTION("""COMPUTED_VALUE"""),"2")</f>
        <v>2</v>
      </c>
      <c r="V408" s="46" t="str">
        <f>IFERROR(__xludf.DUMMYFUNCTION("""COMPUTED_VALUE"""),"Medianera")</f>
        <v>Medianera</v>
      </c>
      <c r="W408" s="46"/>
      <c r="X408" s="46">
        <f>IFERROR(__xludf.DUMMYFUNCTION("""COMPUTED_VALUE"""),3.0)</f>
        <v>3</v>
      </c>
      <c r="Y408" s="46" t="str">
        <f>IFERROR(__xludf.DUMMYFUNCTION("""COMPUTED_VALUE"""),"No tiene")</f>
        <v>No tiene</v>
      </c>
      <c r="Z408" s="90" t="str">
        <f>IFERROR(__xludf.DUMMYFUNCTION("""COMPUTED_VALUE"""),"No aplica")</f>
        <v>No aplica</v>
      </c>
      <c r="AA408" s="33" t="str">
        <f>IFERROR(__xludf.DUMMYFUNCTION("""COMPUTED_VALUE"""),"No aplica")</f>
        <v>No aplica</v>
      </c>
      <c r="AB408" s="144" t="str">
        <f>IFERROR(__xludf.DUMMYFUNCTION("""COMPUTED_VALUE"""),"https://photos.app.goo.gl/jjQoH533EFN3Le8F8")</f>
        <v>https://photos.app.goo.gl/jjQoH533EFN3Le8F8</v>
      </c>
      <c r="AC408" s="46"/>
      <c r="AD408" s="46"/>
      <c r="AE408" s="46"/>
      <c r="AF408" s="46" t="str">
        <f>IFERROR(__xludf.DUMMYFUNCTION("""COMPUTED_VALUE"""),"semi-integral")</f>
        <v>semi-integral</v>
      </c>
      <c r="AG408" s="46"/>
      <c r="AH408" s="46" t="str">
        <f>IFERROR(__xludf.DUMMYFUNCTION("""COMPUTED_VALUE"""),"Aliado")</f>
        <v>Aliado</v>
      </c>
      <c r="AI408" s="92" t="str">
        <f>IFERROR(__xludf.DUMMYFUNCTION("""COMPUTED_VALUE"""),"https://lh3.googleusercontent.com/pw/AP1GczPddHSjV8-WK6Mf4qnVQmILxHoas7HmIKg-H2zrjkNYbpPQdyE6b4IFBw_h373azeRNYtSKSKn31177nKOOejr7b2DPTtVIf73xpCl62q5DA8RMOKFK=w1200|https://lh3.googleusercontent.com/pw/AP1GczM4StyrOiD--yR9bXxTdBPSrfXbEu5ZxylKddUB1Mj7IXLT5K"&amp;"iPKgiw0DcU-mQKQGb8389nku7I_pRmUIFLnFo9NhcW-5sTcxmDS_MhsYSIkUazPluL=w1200|https://lh3.googleusercontent.com/pw/AP1GczPdDdHpgeT9RXZmBZkUSy74Lixw9JM6XXcJWEbPoVh6Tf0Yu1s28kaIZlyjnJ9s0qXINZK3-7AZiImRFE_sPNkFNaF1cW6mbUDuUY1oNmAhd6xNuOyE=w1200|https://lh3.google"&amp;"usercontent.com/pw/AP1GczN38xEjU5mZOQIbnm3R064IPHu8Ec3WxPfc10AyM36R__2TbkB8iYbBn-VVSLRQqSxc60XSTPrZR0zaRSPeMfyTRghxe-p6pVOQ0qYE1Apqv0n0xTF2=w1200|https://lh3.googleusercontent.com/pw/AP1GczNh0jSKGcllrcHVVpC9CMuKKMhejKNzdg2rO1wpQeo2yirHmFzbYvbv3rFYF7kTer2K"&amp;"zM9JmYAvR1Pp_ZXrhsSrHTVllJLkRdgs5-mqEA6zuCv6VKzM=w1200|https://lh3.googleusercontent.com/pw/AP1GczM2O66-NEnRmpIeeYA48YV5wNyAIijmQ8oRe80diI6qACSD13_3koeQh5RM1TNJbsNiE8sauOQOo3prmCU3HMn7VYTGWhxQG44013-COAVmD3kGWsi8=w1200|https://lh3.googleusercontent.com/pw"&amp;"/AP1GczM1cKH_xOB3Qer8rDhkn4NNCwuHm5bi9iZr7ngC1trXkuUZD1rt_xxIJUHNA3RSvGxNeJbUHjthdz1AaRKrOIJsBy2ts9ZqSNG5j8gx9rhaJdx7sUvB=w1200|https://lh3.googleusercontent.com/pw/AP1GczNTzJn-abalQN6y6T9j8NyMW7Mg0d7LIQR2EHwCBP9lNuBIejMJZ_FDz6y4L4mhEh-3D45auOppF9yoTKueiP"&amp;"Db-dAbF5wIZT13eJcUp-Jm4S-MXjj-=w1200|https://lh3.googleusercontent.com/pw/AP1GczN086UvT70lk8HRDU5w1bLvtwTvXKE3E4EYbobCPAFttwKW5e1qUWYH7q7j61F6oXQhp_q8YHARNTOpD0z_QAiJzsGjXgTwGn7vtEZu7ZYa5Fy6JQEk=w1200|https://lh3.googleusercontent.com/pw/AP1GczN1bsihc9YzY"&amp;"qsg2cphDoKnScY525SDqBBzG3iMtRABrEnJcfk1aZkP7NQptAHkqT-5Fq-cqxZefCw05lO4uryxxSMTFabTVGOdOdm7QbqanLQe_NN2=w1200|https://lh3.googleusercontent.com/pw/AP1GczMS9PQbKLfbo1IvqFXEcV8zVqMFuf02ULhJJneDLzf4VUDtOZLKKIIbtD7c-qOpudhBdrbBMvQooczRcQis0q6L93C4NGECBjRC93rJ"&amp;"oVdHeCm06MNB=w1200|https://lh3.googleusercontent.com/pw/AP1GczMrTwmoiykKi-Mh4VfHewS5c1DckeydyTaisaFJpiljA5OgxE-75sGWDUd0am2EOn3BH-D8YI-2A8qgS6orI9_OyjUVMXUBSe_-CB5czVyuEhAGGGUB=w1200|https://lh3.googleusercontent.com/pw/AP1GczPzWBAex8q1XYWA01lAPiSYJb6BE7Z"&amp;"P_7_y8cG2qnCZx-l9qkfJuHiyV6ZyY52mHzSrtjEg09Zfn9b7W7cHyS9joTNi8u-eX4HCXz-iG6YXhtDajzn1=w1200|https://lh3.googleusercontent.com/pw/AP1GczPfsZt3UyT5oeELZp5EFe8hpxuAeFI6lfwSzlqjH8f6DMlgM3bdCh4Sz_f5-n73QOc-ciDpzZzJwF8XhpruFPcathmqWGA4I3Ah_PK050MIz1hYBFIl=w1200")</f>
        <v>https://lh3.googleusercontent.com/pw/AP1GczPddHSjV8-WK6Mf4qnVQmILxHoas7HmIKg-H2zrjkNYbpPQdyE6b4IFBw_h373azeRNYtSKSKn31177nKOOejr7b2DPTtVIf73xpCl62q5DA8RMOKFK=w1200|https://lh3.googleusercontent.com/pw/AP1GczM4StyrOiD--yR9bXxTdBPSrfXbEu5ZxylKddUB1Mj7IXLT5KiPKgiw0DcU-mQKQGb8389nku7I_pRmUIFLnFo9NhcW-5sTcxmDS_MhsYSIkUazPluL=w1200|https://lh3.googleusercontent.com/pw/AP1GczPdDdHpgeT9RXZmBZkUSy74Lixw9JM6XXcJWEbPoVh6Tf0Yu1s28kaIZlyjnJ9s0qXINZK3-7AZiImRFE_sPNkFNaF1cW6mbUDuUY1oNmAhd6xNuOyE=w1200|https://lh3.googleusercontent.com/pw/AP1GczN38xEjU5mZOQIbnm3R064IPHu8Ec3WxPfc10AyM36R__2TbkB8iYbBn-VVSLRQqSxc60XSTPrZR0zaRSPeMfyTRghxe-p6pVOQ0qYE1Apqv0n0xTF2=w1200|https://lh3.googleusercontent.com/pw/AP1GczNh0jSKGcllrcHVVpC9CMuKKMhejKNzdg2rO1wpQeo2yirHmFzbYvbv3rFYF7kTer2KzM9JmYAvR1Pp_ZXrhsSrHTVllJLkRdgs5-mqEA6zuCv6VKzM=w1200|https://lh3.googleusercontent.com/pw/AP1GczM2O66-NEnRmpIeeYA48YV5wNyAIijmQ8oRe80diI6qACSD13_3koeQh5RM1TNJbsNiE8sauOQOo3prmCU3HMn7VYTGWhxQG44013-COAVmD3kGWsi8=w1200|https://lh3.googleusercontent.com/pw/AP1GczM1cKH_xOB3Qer8rDhkn4NNCwuHm5bi9iZr7ngC1trXkuUZD1rt_xxIJUHNA3RSvGxNeJbUHjthdz1AaRKrOIJsBy2ts9ZqSNG5j8gx9rhaJdx7sUvB=w1200|https://lh3.googleusercontent.com/pw/AP1GczNTzJn-abalQN6y6T9j8NyMW7Mg0d7LIQR2EHwCBP9lNuBIejMJZ_FDz6y4L4mhEh-3D45auOppF9yoTKueiPDb-dAbF5wIZT13eJcUp-Jm4S-MXjj-=w1200|https://lh3.googleusercontent.com/pw/AP1GczN086UvT70lk8HRDU5w1bLvtwTvXKE3E4EYbobCPAFttwKW5e1qUWYH7q7j61F6oXQhp_q8YHARNTOpD0z_QAiJzsGjXgTwGn7vtEZu7ZYa5Fy6JQEk=w1200|https://lh3.googleusercontent.com/pw/AP1GczN1bsihc9YzYqsg2cphDoKnScY525SDqBBzG3iMtRABrEnJcfk1aZkP7NQptAHkqT-5Fq-cqxZefCw05lO4uryxxSMTFabTVGOdOdm7QbqanLQe_NN2=w1200|https://lh3.googleusercontent.com/pw/AP1GczMS9PQbKLfbo1IvqFXEcV8zVqMFuf02ULhJJneDLzf4VUDtOZLKKIIbtD7c-qOpudhBdrbBMvQooczRcQis0q6L93C4NGECBjRC93rJoVdHeCm06MNB=w1200|https://lh3.googleusercontent.com/pw/AP1GczMrTwmoiykKi-Mh4VfHewS5c1DckeydyTaisaFJpiljA5OgxE-75sGWDUd0am2EOn3BH-D8YI-2A8qgS6orI9_OyjUVMXUBSe_-CB5czVyuEhAGGGUB=w1200|https://lh3.googleusercontent.com/pw/AP1GczPzWBAex8q1XYWA01lAPiSYJb6BE7ZP_7_y8cG2qnCZx-l9qkfJuHiyV6ZyY52mHzSrtjEg09Zfn9b7W7cHyS9joTNi8u-eX4HCXz-iG6YXhtDajzn1=w1200|https://lh3.googleusercontent.com/pw/AP1GczPfsZt3UyT5oeELZp5EFe8hpxuAeFI6lfwSzlqjH8f6DMlgM3bdCh4Sz_f5-n73QOc-ciDpzZzJwF8XhpruFPcathmqWGA4I3Ah_PK050MIz1hYBFIl=w1200</v>
      </c>
      <c r="AJ408" s="46"/>
      <c r="AK408" s="46"/>
      <c r="AL408" s="46"/>
      <c r="AM408" s="46"/>
      <c r="AN408" s="46"/>
      <c r="AO408" s="46"/>
      <c r="AP408" s="46"/>
      <c r="AQ408" s="46"/>
      <c r="AR408" s="46"/>
      <c r="AS408" s="46"/>
      <c r="AT408" s="46"/>
      <c r="AU408" s="46"/>
      <c r="AV408" s="46"/>
      <c r="AW408" s="46"/>
      <c r="AX408" s="46"/>
      <c r="AY408" s="46"/>
      <c r="AZ408" s="46"/>
      <c r="BA408" s="46"/>
      <c r="BB408" s="46"/>
      <c r="BC408" s="46"/>
      <c r="BD408" s="46"/>
      <c r="BE408" s="46"/>
      <c r="BF408" s="46"/>
      <c r="BG408" s="46"/>
      <c r="BH408" s="46"/>
      <c r="BI408" s="46"/>
      <c r="BJ408" s="46"/>
      <c r="BK408" s="46"/>
      <c r="BL408" s="46"/>
      <c r="BM408" s="46"/>
      <c r="BN408" s="46"/>
      <c r="BO408" s="46"/>
      <c r="BP408" s="46"/>
      <c r="BQ408" s="46"/>
      <c r="BR408" s="46"/>
      <c r="BS408" s="46"/>
      <c r="BT408" s="46"/>
      <c r="BU408" s="46"/>
      <c r="BV408" s="46"/>
      <c r="BW408" s="46"/>
      <c r="BX408" s="46"/>
      <c r="BY408" s="46"/>
      <c r="BZ408" s="46"/>
      <c r="CA408" s="46"/>
      <c r="CB408" s="46"/>
      <c r="CC408" s="46"/>
    </row>
    <row r="409">
      <c r="A409" s="87" t="str">
        <f>IFERROR(__xludf.DUMMYFUNCTION("""COMPUTED_VALUE"""),"1268")</f>
        <v>1268</v>
      </c>
      <c r="B409" s="46" t="str">
        <f>IFERROR(__xludf.DUMMYFUNCTION("""COMPUTED_VALUE"""),"Casa lote en Granjas Comunitarias La Unión - Sena Industrial")</f>
        <v>Casa lote en Granjas Comunitarias La Unión - Sena Industrial</v>
      </c>
      <c r="C409" s="46" t="str">
        <f>IFERROR(__xludf.DUMMYFUNCTION("""COMPUTED_VALUE"""),"Casa lote")</f>
        <v>Casa lote</v>
      </c>
      <c r="D409" s="46" t="str">
        <f>IFERROR(__xludf.DUMMYFUNCTION("""COMPUTED_VALUE"""),"Granjas Comunitarias")</f>
        <v>Granjas Comunitarias</v>
      </c>
      <c r="E409" s="46"/>
      <c r="F409" s="90">
        <f>IFERROR(__xludf.DUMMYFUNCTION("""COMPUTED_VALUE"""),1.3E8)</f>
        <v>130000000</v>
      </c>
      <c r="G409" s="46" t="str">
        <f>IFERROR(__xludf.DUMMYFUNCTION("""COMPUTED_VALUE"""),"$100'000.000 a $200'000.000")</f>
        <v>$100'000.000 a $200'000.000</v>
      </c>
      <c r="H409" s="46"/>
      <c r="I409" s="46"/>
      <c r="J409" s="46" t="str">
        <f>IFERROR(__xludf.DUMMYFUNCTION("""COMPUTED_VALUE"""),"Norte")</f>
        <v>Norte</v>
      </c>
      <c r="K409" s="87"/>
      <c r="L409" s="46">
        <f>IFERROR(__xludf.DUMMYFUNCTION("""COMPUTED_VALUE"""),3.0)</f>
        <v>3</v>
      </c>
      <c r="M409" s="46"/>
      <c r="N409" s="46">
        <f>IFERROR(__xludf.DUMMYFUNCTION("""COMPUTED_VALUE"""),2.0)</f>
        <v>2</v>
      </c>
      <c r="O409" s="46">
        <f>IFERROR(__xludf.DUMMYFUNCTION("""COMPUTED_VALUE"""),1.0)</f>
        <v>1</v>
      </c>
      <c r="P409" s="46">
        <f>IFERROR(__xludf.DUMMYFUNCTION("""COMPUTED_VALUE"""),1.0)</f>
        <v>1</v>
      </c>
      <c r="Q409" s="92">
        <f>IFERROR(__xludf.DUMMYFUNCTION("""COMPUTED_VALUE"""),96.0)</f>
        <v>96</v>
      </c>
      <c r="R409" s="92">
        <f>IFERROR(__xludf.DUMMYFUNCTION("""COMPUTED_VALUE"""),1245.0)</f>
        <v>1245</v>
      </c>
      <c r="S409" s="87" t="str">
        <f>IFERROR(__xludf.DUMMYFUNCTION("""COMPUTED_VALUE""")," ")</f>
        <v> </v>
      </c>
      <c r="T409" s="46" t="str">
        <f>IFERROR(__xludf.DUMMYFUNCTION("""COMPUTED_VALUE"""),"Neiva")</f>
        <v>Neiva</v>
      </c>
      <c r="U409" s="87"/>
      <c r="V409" s="46" t="str">
        <f>IFERROR(__xludf.DUMMYFUNCTION("""COMPUTED_VALUE"""),"Medianera")</f>
        <v>Medianera</v>
      </c>
      <c r="W409" s="46"/>
      <c r="X409" s="46">
        <f>IFERROR(__xludf.DUMMYFUNCTION("""COMPUTED_VALUE"""),0.0)</f>
        <v>0</v>
      </c>
      <c r="Y409" s="46" t="str">
        <f>IFERROR(__xludf.DUMMYFUNCTION("""COMPUTED_VALUE"""),"No tiene")</f>
        <v>No tiene</v>
      </c>
      <c r="Z409" s="90" t="str">
        <f>IFERROR(__xludf.DUMMYFUNCTION("""COMPUTED_VALUE"""),"No aplica")</f>
        <v>No aplica</v>
      </c>
      <c r="AA409" s="33" t="str">
        <f>IFERROR(__xludf.DUMMYFUNCTION("""COMPUTED_VALUE"""),"No aplica")</f>
        <v>No aplica</v>
      </c>
      <c r="AB409" s="144" t="str">
        <f>IFERROR(__xludf.DUMMYFUNCTION("""COMPUTED_VALUE"""),"https://photos.app.goo.gl/t1AgQAmmpK36UNUd8")</f>
        <v>https://photos.app.goo.gl/t1AgQAmmpK36UNUd8</v>
      </c>
      <c r="AC409" s="46" t="str">
        <f>IFERROR(__xludf.DUMMYFUNCTION("""COMPUTED_VALUE"""),"Casa lote de 1 piso enrejada con; 3 Alcobas, 1 baño principal, 1 baño auxiliar, sala comedor, cocina, patio de ropas, garaje. Area lote 1.245 mts2, Area construida 96.0 mts2.")</f>
        <v>Casa lote de 1 piso enrejada con; 3 Alcobas, 1 baño principal, 1 baño auxiliar, sala comedor, cocina, patio de ropas, garaje. Area lote 1.245 mts2, Area construida 96.0 mts2.</v>
      </c>
      <c r="AD409" s="46" t="str">
        <f>IFERROR(__xludf.DUMMYFUNCTION("""COMPUTED_VALUE"""),"Casa lote bien ubicada.")</f>
        <v>Casa lote bien ubicada.</v>
      </c>
      <c r="AE409" s="46"/>
      <c r="AF409" s="46" t="str">
        <f>IFERROR(__xludf.DUMMYFUNCTION("""COMPUTED_VALUE"""),"básica")</f>
        <v>básica</v>
      </c>
      <c r="AG409" s="46"/>
      <c r="AH409" s="46" t="str">
        <f>IFERROR(__xludf.DUMMYFUNCTION("""COMPUTED_VALUE"""),"Aliado")</f>
        <v>Aliado</v>
      </c>
      <c r="AI409" s="92" t="str">
        <f>IFERROR(__xludf.DUMMYFUNCTION("""COMPUTED_VALUE"""),"https://lh3.googleusercontent.com/pw/AP1GczPXDyhaCTkykAqPFAXzLG2y2Oc9lt3GMrKkFwrRHwOWP9cB0b6ZFmLTFUFENnkBv7Qi6JhdiEgOw9kI1A5LdYnOWJzTDOsC5GXJK9pS8aqFA2yNZQsC=w1200|https://lh3.googleusercontent.com/pw/AP1GczPRTsmhsrTXx_Di4mTQCQE5tn3jkbZ4x0ATDH1NN8B1vEXB6D"&amp;"YbfJneX67mPGZjt9k-j8xYYQyMbNSDX-RQsgd6TCmcVvpPSkX2ZUqBcK9hGejAp8Wf=w1200|https://lh3.googleusercontent.com/pw/AP1GczO3mEagwjaQT4g1KD48k_Dw9reMWQbysgwGJmkjAW6hVw19r95FJwFmNmRYz4k3oFQMkShFaK0jsNq4lad0gcy17P0EJCvFBTNF10i08l7llWTPtVcb=w1200|https://lh3.google"&amp;"usercontent.com/pw/AP1GczP_jKmHPPc83lwkIFVAA5PF9ypOWRPkRVkbu-f0FIjZQXyOFMonyUvf59EbYp80VGh3vZ-jhU4m7sltkUPxml5CBnnrjfg9z9EZkNXe6Sqmz7PeuxQW=w1200|https://lh3.googleusercontent.com/pw/AP1GczObcPQH4eVs5isA8V1ODo05vnLf_gO2vXNgTxSwxG_ESiEfQfYC7hXZSJiofkXka-fG"&amp;"3XUnb-A3wcrEZlyhXoEjpEnu_YNvIKnhER22cbMQHk9SFjAP=w1200|https://lh3.googleusercontent.com/pw/AP1GczP2hMavdoYaRjn_FUA3WwaBzesF-2hjyT9RaiAEbuN3eGzmU696LwRknkg-gjhUcu2ZnFqFBq5_jOKynWoknfC-MJlOSbz3Kr2ELEiPwa9MwFx6_AQX=w1200|https://lh3.googleusercontent.com/pw"&amp;"/AP1GczO8ROWRZb16laumY5JGJnFGdI1TFO89ipc7QG68ixB_IzHFa0JPU2G_lSTuQsKm6ZMv2L3HKNkQ0SOwgISIHVt8d8dbRah7M1lwKxjAz4s6y1qWSGEN=w1200|https://lh3.googleusercontent.com/pw/AP1GczM-d7n8c-d_22mTBxgRFEhyjW_ogLTc_G0W9TTpkaiqHpzXj3RB8PKCcjQn8ZdZXgZLepPZzev5zSKx0yOuSp"&amp;"q9BJDYIl_sTwsCix8TO3iah5goPROK=w1200|https://lh3.googleusercontent.com/pw/AP1GczNI1n4gNsm4ilrbK-0OTTt5CNauBfOkoUAsbRAN3fIxVGERsOzHxNWMdQ9LnGpRmG-LBLnAyFSJXkUljT1jf3ikl7yF5v027hirooXzVa5mGMOqZmNq=w1200|https://lh3.googleusercontent.com/pw/AP1GczOcJG9_zgfKU"&amp;"PI4GhyCvZwgrQ-jA6wchNlnrlyviHWXPQczlInLPtopOtPM2wTdQQ_ykpiDH8c3OW4J2cxfaqKEcExbyOR9prJEtGB7ZyhQSgeYA4UF=w1200|https://lh3.googleusercontent.com/pw/AP1GczM2QfphQBkr-4bxdyD_DKpVN2N6YEd0XQq7MPdpcJt1ruDWvGeUx0P7IN9RG2qocx0lPxvwbNCKaJzv4puwfq-PT009YXaZa-m1JTJF"&amp;"HTg61gFrluSm=w1200|https://lh3.googleusercontent.com/pw/AP1GczOapTLylFi2hphjmMzaUNzKap3_TzBn3iII06fUIOB0OxA0SQF3HkpfCNJaK6Yw6lbAZzwqE0xQw1C885TPw_QB6YMPV5nxgy6Bf5c-XgbSfypXk8XL=w1200|https://lh3.googleusercontent.com/pw/AP1GczN0A_8BwmIvDv6Fzl6Q40Bdw_bbf_o"&amp;"ydlg7O0k-0Ds-jBypCDE7nIbhnvnfA0oqc33i1fZUGFVd1m-IrLolBymq27FxfkgrciPc8R92Lh5V3AkKIuis=w1200|https://lh3.googleusercontent.com/pw/AP1GczMI2xRDIAfSrOpIbGADMIzY_IX8kMNeRSZ5dXdownp9xYYuAutpe8sxedec-lU97S69scl0rfJclLU9TnFHvy_UuHrXU8lcMkqdCMjn02fn9TiD2KLn=w1200")</f>
        <v>https://lh3.googleusercontent.com/pw/AP1GczPXDyhaCTkykAqPFAXzLG2y2Oc9lt3GMrKkFwrRHwOWP9cB0b6ZFmLTFUFENnkBv7Qi6JhdiEgOw9kI1A5LdYnOWJzTDOsC5GXJK9pS8aqFA2yNZQsC=w1200|https://lh3.googleusercontent.com/pw/AP1GczPRTsmhsrTXx_Di4mTQCQE5tn3jkbZ4x0ATDH1NN8B1vEXB6DYbfJneX67mPGZjt9k-j8xYYQyMbNSDX-RQsgd6TCmcVvpPSkX2ZUqBcK9hGejAp8Wf=w1200|https://lh3.googleusercontent.com/pw/AP1GczO3mEagwjaQT4g1KD48k_Dw9reMWQbysgwGJmkjAW6hVw19r95FJwFmNmRYz4k3oFQMkShFaK0jsNq4lad0gcy17P0EJCvFBTNF10i08l7llWTPtVcb=w1200|https://lh3.googleusercontent.com/pw/AP1GczP_jKmHPPc83lwkIFVAA5PF9ypOWRPkRVkbu-f0FIjZQXyOFMonyUvf59EbYp80VGh3vZ-jhU4m7sltkUPxml5CBnnrjfg9z9EZkNXe6Sqmz7PeuxQW=w1200|https://lh3.googleusercontent.com/pw/AP1GczObcPQH4eVs5isA8V1ODo05vnLf_gO2vXNgTxSwxG_ESiEfQfYC7hXZSJiofkXka-fG3XUnb-A3wcrEZlyhXoEjpEnu_YNvIKnhER22cbMQHk9SFjAP=w1200|https://lh3.googleusercontent.com/pw/AP1GczP2hMavdoYaRjn_FUA3WwaBzesF-2hjyT9RaiAEbuN3eGzmU696LwRknkg-gjhUcu2ZnFqFBq5_jOKynWoknfC-MJlOSbz3Kr2ELEiPwa9MwFx6_AQX=w1200|https://lh3.googleusercontent.com/pw/AP1GczO8ROWRZb16laumY5JGJnFGdI1TFO89ipc7QG68ixB_IzHFa0JPU2G_lSTuQsKm6ZMv2L3HKNkQ0SOwgISIHVt8d8dbRah7M1lwKxjAz4s6y1qWSGEN=w1200|https://lh3.googleusercontent.com/pw/AP1GczM-d7n8c-d_22mTBxgRFEhyjW_ogLTc_G0W9TTpkaiqHpzXj3RB8PKCcjQn8ZdZXgZLepPZzev5zSKx0yOuSpq9BJDYIl_sTwsCix8TO3iah5goPROK=w1200|https://lh3.googleusercontent.com/pw/AP1GczNI1n4gNsm4ilrbK-0OTTt5CNauBfOkoUAsbRAN3fIxVGERsOzHxNWMdQ9LnGpRmG-LBLnAyFSJXkUljT1jf3ikl7yF5v027hirooXzVa5mGMOqZmNq=w1200|https://lh3.googleusercontent.com/pw/AP1GczOcJG9_zgfKUPI4GhyCvZwgrQ-jA6wchNlnrlyviHWXPQczlInLPtopOtPM2wTdQQ_ykpiDH8c3OW4J2cxfaqKEcExbyOR9prJEtGB7ZyhQSgeYA4UF=w1200|https://lh3.googleusercontent.com/pw/AP1GczM2QfphQBkr-4bxdyD_DKpVN2N6YEd0XQq7MPdpcJt1ruDWvGeUx0P7IN9RG2qocx0lPxvwbNCKaJzv4puwfq-PT009YXaZa-m1JTJFHTg61gFrluSm=w1200|https://lh3.googleusercontent.com/pw/AP1GczOapTLylFi2hphjmMzaUNzKap3_TzBn3iII06fUIOB0OxA0SQF3HkpfCNJaK6Yw6lbAZzwqE0xQw1C885TPw_QB6YMPV5nxgy6Bf5c-XgbSfypXk8XL=w1200|https://lh3.googleusercontent.com/pw/AP1GczN0A_8BwmIvDv6Fzl6Q40Bdw_bbf_oydlg7O0k-0Ds-jBypCDE7nIbhnvnfA0oqc33i1fZUGFVd1m-IrLolBymq27FxfkgrciPc8R92Lh5V3AkKIuis=w1200|https://lh3.googleusercontent.com/pw/AP1GczMI2xRDIAfSrOpIbGADMIzY_IX8kMNeRSZ5dXdownp9xYYuAutpe8sxedec-lU97S69scl0rfJclLU9TnFHvy_UuHrXU8lcMkqdCMjn02fn9TiD2KLn=w1200</v>
      </c>
      <c r="AJ409" s="46"/>
      <c r="AK409" s="46"/>
      <c r="AL409" s="46"/>
      <c r="AM409" s="46"/>
      <c r="AN409" s="46"/>
      <c r="AO409" s="46"/>
      <c r="AP409" s="46"/>
      <c r="AQ409" s="46"/>
      <c r="AR409" s="46"/>
      <c r="AS409" s="46"/>
      <c r="AT409" s="46"/>
      <c r="AU409" s="46"/>
      <c r="AV409" s="46"/>
      <c r="AW409" s="46"/>
      <c r="AX409" s="46"/>
      <c r="AY409" s="46"/>
      <c r="AZ409" s="46"/>
      <c r="BA409" s="46"/>
      <c r="BB409" s="46"/>
      <c r="BC409" s="46"/>
      <c r="BD409" s="46"/>
      <c r="BE409" s="46"/>
      <c r="BF409" s="46"/>
      <c r="BG409" s="46"/>
      <c r="BH409" s="46"/>
      <c r="BI409" s="46"/>
      <c r="BJ409" s="46"/>
      <c r="BK409" s="46"/>
      <c r="BL409" s="46"/>
      <c r="BM409" s="46"/>
      <c r="BN409" s="46"/>
      <c r="BO409" s="46"/>
      <c r="BP409" s="46"/>
      <c r="BQ409" s="46"/>
      <c r="BR409" s="46"/>
      <c r="BS409" s="46"/>
      <c r="BT409" s="46"/>
      <c r="BU409" s="46"/>
      <c r="BV409" s="46"/>
      <c r="BW409" s="46"/>
      <c r="BX409" s="46"/>
      <c r="BY409" s="46"/>
      <c r="BZ409" s="46"/>
      <c r="CA409" s="46"/>
      <c r="CB409" s="46"/>
      <c r="CC409" s="46"/>
    </row>
    <row r="410">
      <c r="A410" s="87" t="str">
        <f>IFERROR(__xludf.DUMMYFUNCTION("""COMPUTED_VALUE"""),"671")</f>
        <v>671</v>
      </c>
      <c r="B410" s="46" t="str">
        <f>IFERROR(__xludf.DUMMYFUNCTION("""COMPUTED_VALUE"""),"Lote en conjunto Residencial Colinas del Iguá - Palermo")</f>
        <v>Lote en conjunto Residencial Colinas del Iguá - Palermo</v>
      </c>
      <c r="C410" s="46" t="str">
        <f>IFERROR(__xludf.DUMMYFUNCTION("""COMPUTED_VALUE"""),"Lote en conjunto")</f>
        <v>Lote en conjunto</v>
      </c>
      <c r="D410" s="46"/>
      <c r="E410" s="46" t="str">
        <f>IFERROR(__xludf.DUMMYFUNCTION("""COMPUTED_VALUE"""),"Conjunto Residencial Colinas del Iguá ")</f>
        <v>Conjunto Residencial Colinas del Iguá </v>
      </c>
      <c r="F410" s="90">
        <f>IFERROR(__xludf.DUMMYFUNCTION("""COMPUTED_VALUE"""),1.25E8)</f>
        <v>125000000</v>
      </c>
      <c r="G410" s="46" t="str">
        <f>IFERROR(__xludf.DUMMYFUNCTION("""COMPUTED_VALUE"""),"$100'000.000 a $200'000.000")</f>
        <v>$100'000.000 a $200'000.000</v>
      </c>
      <c r="H410" s="46"/>
      <c r="I410" s="46"/>
      <c r="J410" s="46" t="str">
        <f>IFERROR(__xludf.DUMMYFUNCTION("""COMPUTED_VALUE"""),"Norte")</f>
        <v>Norte</v>
      </c>
      <c r="K410" s="87"/>
      <c r="L410" s="46">
        <f>IFERROR(__xludf.DUMMYFUNCTION("""COMPUTED_VALUE"""),0.0)</f>
        <v>0</v>
      </c>
      <c r="M410" s="46"/>
      <c r="N410" s="46">
        <f>IFERROR(__xludf.DUMMYFUNCTION("""COMPUTED_VALUE"""),0.0)</f>
        <v>0</v>
      </c>
      <c r="O410" s="46">
        <f>IFERROR(__xludf.DUMMYFUNCTION("""COMPUTED_VALUE"""),0.0)</f>
        <v>0</v>
      </c>
      <c r="P410" s="46">
        <f>IFERROR(__xludf.DUMMYFUNCTION("""COMPUTED_VALUE"""),0.0)</f>
        <v>0</v>
      </c>
      <c r="Q410" s="92">
        <f>IFERROR(__xludf.DUMMYFUNCTION("""COMPUTED_VALUE"""),0.0)</f>
        <v>0</v>
      </c>
      <c r="R410" s="92">
        <f>IFERROR(__xludf.DUMMYFUNCTION("""COMPUTED_VALUE"""),250.0)</f>
        <v>250</v>
      </c>
      <c r="S410" s="87" t="str">
        <f>IFERROR(__xludf.DUMMYFUNCTION("""COMPUTED_VALUE""")," ")</f>
        <v> </v>
      </c>
      <c r="T410" s="46" t="str">
        <f>IFERROR(__xludf.DUMMYFUNCTION("""COMPUTED_VALUE"""),"Palermo")</f>
        <v>Palermo</v>
      </c>
      <c r="U410" s="87"/>
      <c r="V410" s="46" t="str">
        <f>IFERROR(__xludf.DUMMYFUNCTION("""COMPUTED_VALUE"""),"Medianera")</f>
        <v>Medianera</v>
      </c>
      <c r="W410" s="46"/>
      <c r="X410" s="46">
        <f>IFERROR(__xludf.DUMMYFUNCTION("""COMPUTED_VALUE"""),0.0)</f>
        <v>0</v>
      </c>
      <c r="Y410" s="46" t="str">
        <f>IFERROR(__xludf.DUMMYFUNCTION("""COMPUTED_VALUE"""),"Social")</f>
        <v>Social</v>
      </c>
      <c r="Z410" s="90"/>
      <c r="AA410" s="33" t="str">
        <f>IFERROR(__xludf.DUMMYFUNCTION("""COMPUTED_VALUE"""),"No aplica")</f>
        <v>No aplica</v>
      </c>
      <c r="AB410" s="144" t="str">
        <f>IFERROR(__xludf.DUMMYFUNCTION("""COMPUTED_VALUE"""),"https://photos.app.goo.gl/APjocfzCiV2ew62n8")</f>
        <v>https://photos.app.goo.gl/APjocfzCiV2ew62n8</v>
      </c>
      <c r="AC410" s="46" t="str">
        <f>IFERROR(__xludf.DUMMYFUNCTION("""COMPUTED_VALUE"""),"El hogar de tus sueños te espera en la Etapa 2 del Conjunto Residencial Colinas del Iguá. Ubicado en la vía Neiva-Bogotá, a solo 5 minutos del centro de Neiva, este conjunto ofrece lotes con vistas panorámicas desde un mirador en la cima de la colina. La "&amp;"Etapa 2 cuenta con 14 lotes exclusivos, con opciones de vista hacia el oriente u occidente, ideales para construir tu casa de dos pisos, con un área de hasta 320 m² en terrenos de aproximadamente 250 m².")</f>
        <v>El hogar de tus sueños te espera en la Etapa 2 del Conjunto Residencial Colinas del Iguá. Ubicado en la vía Neiva-Bogotá, a solo 5 minutos del centro de Neiva, este conjunto ofrece lotes con vistas panorámicas desde un mirador en la cima de la colina. La Etapa 2 cuenta con 14 lotes exclusivos, con opciones de vista hacia el oriente u occidente, ideales para construir tu casa de dos pisos, con un área de hasta 320 m² en terrenos de aproximadamente 250 m².</v>
      </c>
      <c r="AD410" s="46" t="str">
        <f>IFERROR(__xludf.DUMMYFUNCTION("""COMPUTED_VALUE"""),"El conjunto cuenta con excelentes amenidades como piscina, zona de BBQ, cancha múltiple, senderos verdes y parque infantil. Un espacio pensado para el bienestar y calidad de vida de tu familia.")</f>
        <v>El conjunto cuenta con excelentes amenidades como piscina, zona de BBQ, cancha múltiple, senderos verdes y parque infantil. Un espacio pensado para el bienestar y calidad de vida de tu familia.</v>
      </c>
      <c r="AE410" s="46"/>
      <c r="AF410" s="46">
        <f>IFERROR(__xludf.DUMMYFUNCTION("""COMPUTED_VALUE"""),0.0)</f>
        <v>0</v>
      </c>
      <c r="AG410" s="46"/>
      <c r="AH410" s="46" t="str">
        <f>IFERROR(__xludf.DUMMYFUNCTION("""COMPUTED_VALUE"""),"Aliado")</f>
        <v>Aliado</v>
      </c>
      <c r="AI410" s="92" t="str">
        <f>IFERROR(__xludf.DUMMYFUNCTION("""COMPUTED_VALUE"""),"https://lh3.googleusercontent.com/pw/AP1GczOPjOhlKcLWNTFj0CjEV_8vRD50FTW2FVdraV-sFx2ej583YtQmxRTuF07djogT5u8pdyAulAX5MoMu8O1bHrHpPNMvh8gyeGA6At2qnIP7uxwnAWCS=w1200|https://lh3.googleusercontent.com/pw/AP1GczMwAy9zPVw2uC4gEbtQACix7RwrJm3lz4KhNXcw54-94L5u9u"&amp;"o-I6ASNd93cP2knCSKXGVUykBbcyEemj88GaGK_E6-BPzzzCvNawVVWzIuwcDDfZiL=w1200|https://lh3.googleusercontent.com/pw/AP1GczPoeigt6WcPbYcVUDUfPYW4E0lPuifmuGBJuvBAZj8Pk7wBLZsHkE1OkTZhXKKGmL2Gg8J9CzQdSEbPiBZ91198kBWxzP-Fz1SarhVic7Gp9njLeXwY=w1200|https://lh3.google"&amp;"usercontent.com/pw/AP1GczMEAcxr1Ot7-UJJgryi0VLZ_bZ0emnPZ48M-2a2-bAn6-VFuC4WIjrQDLLuhKdPFTBIv_c2Z7c6oIL1dEvVl6jG6o35TyX1dUfJ0TvJBJKATimEt_s_=w1200|https://lh3.googleusercontent.com/pw/AP1GczO5g4LbQvcZ65GZB1rm01T4VyhpB6eE9zQL0ZjMCbx5qTLTdc5U2ix-fM2-nnO77arZ"&amp;"ZqZ55JKBmEcRX_RhfA9gr1PU2deeegfPlndUw5OIyI-t5G-L=w1200|https://lh3.googleusercontent.com/pw/AP1GczN9gP0rXUf7lvtrLc2YQhdi-3AW93Wdx1DrI9KkyROBYRrMvrpBQT2_L3g31YN8Nyz84oRVPrmVpU7MuE4nto6b25dE1G10QFST01cH3pJGh2EhF-KE=w1200|https://lh3.googleusercontent.com/pw"&amp;"/AP1GczMxp-bLs3c3TUzgfQ1-y6ychOHSl_bmLKRnPCEJjyzaXm0yHptJsTulQNQ8w9kG8wj-j__FqKS5JZt4cS3fs1iFSWvW9jnUM0fCX1RMpLsHHDybRAr4=w1200")</f>
        <v>https://lh3.googleusercontent.com/pw/AP1GczOPjOhlKcLWNTFj0CjEV_8vRD50FTW2FVdraV-sFx2ej583YtQmxRTuF07djogT5u8pdyAulAX5MoMu8O1bHrHpPNMvh8gyeGA6At2qnIP7uxwnAWCS=w1200|https://lh3.googleusercontent.com/pw/AP1GczMwAy9zPVw2uC4gEbtQACix7RwrJm3lz4KhNXcw54-94L5u9uo-I6ASNd93cP2knCSKXGVUykBbcyEemj88GaGK_E6-BPzzzCvNawVVWzIuwcDDfZiL=w1200|https://lh3.googleusercontent.com/pw/AP1GczPoeigt6WcPbYcVUDUfPYW4E0lPuifmuGBJuvBAZj8Pk7wBLZsHkE1OkTZhXKKGmL2Gg8J9CzQdSEbPiBZ91198kBWxzP-Fz1SarhVic7Gp9njLeXwY=w1200|https://lh3.googleusercontent.com/pw/AP1GczMEAcxr1Ot7-UJJgryi0VLZ_bZ0emnPZ48M-2a2-bAn6-VFuC4WIjrQDLLuhKdPFTBIv_c2Z7c6oIL1dEvVl6jG6o35TyX1dUfJ0TvJBJKATimEt_s_=w1200|https://lh3.googleusercontent.com/pw/AP1GczO5g4LbQvcZ65GZB1rm01T4VyhpB6eE9zQL0ZjMCbx5qTLTdc5U2ix-fM2-nnO77arZZqZ55JKBmEcRX_RhfA9gr1PU2deeegfPlndUw5OIyI-t5G-L=w1200|https://lh3.googleusercontent.com/pw/AP1GczN9gP0rXUf7lvtrLc2YQhdi-3AW93Wdx1DrI9KkyROBYRrMvrpBQT2_L3g31YN8Nyz84oRVPrmVpU7MuE4nto6b25dE1G10QFST01cH3pJGh2EhF-KE=w1200|https://lh3.googleusercontent.com/pw/AP1GczMxp-bLs3c3TUzgfQ1-y6ychOHSl_bmLKRnPCEJjyzaXm0yHptJsTulQNQ8w9kG8wj-j__FqKS5JZt4cS3fs1iFSWvW9jnUM0fCX1RMpLsHHDybRAr4=w1200</v>
      </c>
      <c r="AJ410" s="46"/>
      <c r="AK410" s="46"/>
      <c r="AL410" s="46"/>
      <c r="AM410" s="46"/>
      <c r="AN410" s="46"/>
      <c r="AO410" s="46"/>
      <c r="AP410" s="46"/>
      <c r="AQ410" s="46"/>
      <c r="AR410" s="46"/>
      <c r="AS410" s="46"/>
      <c r="AT410" s="46"/>
      <c r="AU410" s="46"/>
      <c r="AV410" s="46"/>
      <c r="AW410" s="46"/>
      <c r="AX410" s="46"/>
      <c r="AY410" s="46"/>
      <c r="AZ410" s="46"/>
      <c r="BA410" s="46"/>
      <c r="BB410" s="46"/>
      <c r="BC410" s="46"/>
      <c r="BD410" s="46"/>
      <c r="BE410" s="46"/>
      <c r="BF410" s="46"/>
      <c r="BG410" s="46"/>
      <c r="BH410" s="46"/>
      <c r="BI410" s="46"/>
      <c r="BJ410" s="46"/>
      <c r="BK410" s="46"/>
      <c r="BL410" s="46"/>
      <c r="BM410" s="46"/>
      <c r="BN410" s="46"/>
      <c r="BO410" s="46"/>
      <c r="BP410" s="46"/>
      <c r="BQ410" s="46"/>
      <c r="BR410" s="46"/>
      <c r="BS410" s="46"/>
      <c r="BT410" s="46"/>
      <c r="BU410" s="46"/>
      <c r="BV410" s="46"/>
      <c r="BW410" s="46"/>
      <c r="BX410" s="46"/>
      <c r="BY410" s="46"/>
      <c r="BZ410" s="46"/>
      <c r="CA410" s="46"/>
      <c r="CB410" s="46"/>
      <c r="CC410" s="46"/>
    </row>
    <row r="411">
      <c r="A411" s="87" t="str">
        <f>IFERROR(__xludf.DUMMYFUNCTION("""COMPUTED_VALUE"""),"1368")</f>
        <v>1368</v>
      </c>
      <c r="B411" s="46" t="str">
        <f>IFERROR(__xludf.DUMMYFUNCTION("""COMPUTED_VALUE"""),"Lote en conjunto - Ulloa - Caguán")</f>
        <v>Lote en conjunto - Ulloa - Caguán</v>
      </c>
      <c r="C411" s="46" t="str">
        <f>IFERROR(__xludf.DUMMYFUNCTION("""COMPUTED_VALUE"""),"Lote en conjunto")</f>
        <v>Lote en conjunto</v>
      </c>
      <c r="D411" s="46"/>
      <c r="E411" s="46" t="str">
        <f>IFERROR(__xludf.DUMMYFUNCTION("""COMPUTED_VALUE"""),"Conjunto Ulloa")</f>
        <v>Conjunto Ulloa</v>
      </c>
      <c r="F411" s="90">
        <f>IFERROR(__xludf.DUMMYFUNCTION("""COMPUTED_VALUE"""),1.09E8)</f>
        <v>109000000</v>
      </c>
      <c r="G411" s="46" t="str">
        <f>IFERROR(__xludf.DUMMYFUNCTION("""COMPUTED_VALUE"""),"$100'000.000 a $200'000.000")</f>
        <v>$100'000.000 a $200'000.000</v>
      </c>
      <c r="H411" s="46"/>
      <c r="I411" s="46"/>
      <c r="J411" s="46" t="str">
        <f>IFERROR(__xludf.DUMMYFUNCTION("""COMPUTED_VALUE"""),"Sur")</f>
        <v>Sur</v>
      </c>
      <c r="K411" s="87"/>
      <c r="L411" s="46">
        <f>IFERROR(__xludf.DUMMYFUNCTION("""COMPUTED_VALUE"""),0.0)</f>
        <v>0</v>
      </c>
      <c r="M411" s="46"/>
      <c r="N411" s="46">
        <f>IFERROR(__xludf.DUMMYFUNCTION("""COMPUTED_VALUE"""),0.0)</f>
        <v>0</v>
      </c>
      <c r="O411" s="46">
        <f>IFERROR(__xludf.DUMMYFUNCTION("""COMPUTED_VALUE"""),0.0)</f>
        <v>0</v>
      </c>
      <c r="P411" s="46">
        <f>IFERROR(__xludf.DUMMYFUNCTION("""COMPUTED_VALUE"""),0.0)</f>
        <v>0</v>
      </c>
      <c r="Q411" s="92">
        <f>IFERROR(__xludf.DUMMYFUNCTION("""COMPUTED_VALUE"""),0.0)</f>
        <v>0</v>
      </c>
      <c r="R411" s="92">
        <f>IFERROR(__xludf.DUMMYFUNCTION("""COMPUTED_VALUE"""),1500.0)</f>
        <v>1500</v>
      </c>
      <c r="S411" s="87" t="str">
        <f>IFERROR(__xludf.DUMMYFUNCTION("""COMPUTED_VALUE""")," ")</f>
        <v> </v>
      </c>
      <c r="T411" s="46" t="str">
        <f>IFERROR(__xludf.DUMMYFUNCTION("""COMPUTED_VALUE"""),"Ulloa")</f>
        <v>Ulloa</v>
      </c>
      <c r="U411" s="87"/>
      <c r="V411" s="46" t="str">
        <f>IFERROR(__xludf.DUMMYFUNCTION("""COMPUTED_VALUE"""),"Medianera")</f>
        <v>Medianera</v>
      </c>
      <c r="W411" s="46"/>
      <c r="X411" s="46">
        <f>IFERROR(__xludf.DUMMYFUNCTION("""COMPUTED_VALUE"""),0.0)</f>
        <v>0</v>
      </c>
      <c r="Y411" s="46" t="str">
        <f>IFERROR(__xludf.DUMMYFUNCTION("""COMPUTED_VALUE"""),"No tiene")</f>
        <v>No tiene</v>
      </c>
      <c r="Z411" s="90" t="str">
        <f>IFERROR(__xludf.DUMMYFUNCTION("""COMPUTED_VALUE"""),"No aplica")</f>
        <v>No aplica</v>
      </c>
      <c r="AA411" s="33" t="str">
        <f>IFERROR(__xludf.DUMMYFUNCTION("""COMPUTED_VALUE"""),"No aplica")</f>
        <v>No aplica</v>
      </c>
      <c r="AB411" s="96" t="str">
        <f>IFERROR(__xludf.DUMMYFUNCTION("""COMPUTED_VALUE"""),"https://photos.app.goo.gl/RnWeUb8aMHGa5icy9")</f>
        <v>https://photos.app.goo.gl/RnWeUb8aMHGa5icy9</v>
      </c>
      <c r="AC411" s="46" t="str">
        <f>IFERROR(__xludf.DUMMYFUNCTION("""COMPUTED_VALUE"""),"Lote en venta en el sector Ulloa – Caguán, una excelente oportunidad de inversión a tan solo 15 minutos de Neiva. Ubicado en conjunto cerrado y estratégicamente a orilla de carretera entre Caguán y la Ulloa, este terreno de 1.500 m² ofrece fácil acceso y "&amp;"alto potencial de valorización.")</f>
        <v>Lote en venta en el sector Ulloa – Caguán, una excelente oportunidad de inversión a tan solo 15 minutos de Neiva. Ubicado en conjunto cerrado y estratégicamente a orilla de carretera entre Caguán y la Ulloa, este terreno de 1.500 m² ofrece fácil acceso y alto potencial de valorización.</v>
      </c>
      <c r="AD411" s="46" t="str">
        <f>IFERROR(__xludf.DUMMYFUNCTION("""COMPUTED_VALUE"""),"Se encuentra a aproximadamente 7,2 km del Centro Comercial Unicentro Neiva, lo que garantiza cercanía a servicios, comercio y zonas urbanas, sin perder la tranquilidad del entorno campestre. Ideal para construir vivienda, casa de descanso o desarrollar un"&amp;" proyecto a futuro.")</f>
        <v>Se encuentra a aproximadamente 7,2 km del Centro Comercial Unicentro Neiva, lo que garantiza cercanía a servicios, comercio y zonas urbanas, sin perder la tranquilidad del entorno campestre. Ideal para construir vivienda, casa de descanso o desarrollar un proyecto a futuro.</v>
      </c>
      <c r="AE411" s="46"/>
      <c r="AF411" s="46">
        <f>IFERROR(__xludf.DUMMYFUNCTION("""COMPUTED_VALUE"""),0.0)</f>
        <v>0</v>
      </c>
      <c r="AG411" s="46"/>
      <c r="AH411" s="46" t="str">
        <f>IFERROR(__xludf.DUMMYFUNCTION("""COMPUTED_VALUE"""),"Aliado")</f>
        <v>Aliado</v>
      </c>
      <c r="AI411" s="92" t="str">
        <f>IFERROR(__xludf.DUMMYFUNCTION("""COMPUTED_VALUE"""),"https://lh3.googleusercontent.com/pw/AP1GczPAz8JQYU9ixUwjfyUyIwx9CIXwJt8Wv-gn8lQJ0gG3RznzAbA-2YlfEUmaRhPWg6qn_UW2_XjOwDNlHez11P55UNJFU7rgy6M0_gU14zkwZ2NK5dn6=w1200|https://lh3.googleusercontent.com/pw/AP1GczMpbB52r4E6XbcrRRtzdLsehWfNOJu85cq4Jr3OHtMyrwlR6Q"&amp;"KffdMC2grK6S24CdnltjTyRg-OpQbT1zzdlpLZaTl-_Na75Nep04nCPIJMuzTm9GmR=w1200|https://lh3.googleusercontent.com/pw/AP1GczN9iepOkCPEO4QB8LBUifnlzx0rMcuRb2ww1OEdO1f-yHO8KXjkPeuFVNOyVm6QT1Tv3tYMTuFHcM1X086gMzpwcm8GOEdO0fgkGMBvauggQobl54T6=w1200")</f>
        <v>https://lh3.googleusercontent.com/pw/AP1GczPAz8JQYU9ixUwjfyUyIwx9CIXwJt8Wv-gn8lQJ0gG3RznzAbA-2YlfEUmaRhPWg6qn_UW2_XjOwDNlHez11P55UNJFU7rgy6M0_gU14zkwZ2NK5dn6=w1200|https://lh3.googleusercontent.com/pw/AP1GczMpbB52r4E6XbcrRRtzdLsehWfNOJu85cq4Jr3OHtMyrwlR6QKffdMC2grK6S24CdnltjTyRg-OpQbT1zzdlpLZaTl-_Na75Nep04nCPIJMuzTm9GmR=w1200|https://lh3.googleusercontent.com/pw/AP1GczN9iepOkCPEO4QB8LBUifnlzx0rMcuRb2ww1OEdO1f-yHO8KXjkPeuFVNOyVm6QT1Tv3tYMTuFHcM1X086gMzpwcm8GOEdO0fgkGMBvauggQobl54T6=w1200</v>
      </c>
      <c r="AJ411" s="46"/>
      <c r="AK411" s="46"/>
      <c r="AL411" s="46"/>
      <c r="AM411" s="46"/>
      <c r="AN411" s="46"/>
      <c r="AO411" s="46"/>
      <c r="AP411" s="46"/>
      <c r="AQ411" s="46"/>
      <c r="AR411" s="46"/>
      <c r="AS411" s="46"/>
      <c r="AT411" s="46"/>
      <c r="AU411" s="46"/>
      <c r="AV411" s="46"/>
      <c r="AW411" s="46"/>
      <c r="AX411" s="46"/>
      <c r="AY411" s="46"/>
      <c r="AZ411" s="46"/>
      <c r="BA411" s="46"/>
      <c r="BB411" s="46"/>
      <c r="BC411" s="46"/>
      <c r="BD411" s="46"/>
      <c r="BE411" s="46"/>
      <c r="BF411" s="46"/>
      <c r="BG411" s="46"/>
      <c r="BH411" s="46"/>
      <c r="BI411" s="46"/>
      <c r="BJ411" s="46"/>
      <c r="BK411" s="46"/>
      <c r="BL411" s="46"/>
      <c r="BM411" s="46"/>
      <c r="BN411" s="46"/>
      <c r="BO411" s="46"/>
      <c r="BP411" s="46"/>
      <c r="BQ411" s="46"/>
      <c r="BR411" s="46"/>
      <c r="BS411" s="46"/>
      <c r="BT411" s="46"/>
      <c r="BU411" s="46"/>
      <c r="BV411" s="46"/>
      <c r="BW411" s="46"/>
      <c r="BX411" s="46"/>
      <c r="BY411" s="46"/>
      <c r="BZ411" s="46"/>
      <c r="CA411" s="46"/>
      <c r="CB411" s="46"/>
      <c r="CC411" s="46"/>
    </row>
    <row r="412">
      <c r="A412" s="87" t="str">
        <f>IFERROR(__xludf.DUMMYFUNCTION("""COMPUTED_VALUE"""),"1187")</f>
        <v>1187</v>
      </c>
      <c r="B412" s="46" t="str">
        <f>IFERROR(__xludf.DUMMYFUNCTION("""COMPUTED_VALUE"""),"Lote en conjunto Villa Grande Club House - Palermo")</f>
        <v>Lote en conjunto Villa Grande Club House - Palermo</v>
      </c>
      <c r="C412" s="46" t="str">
        <f>IFERROR(__xludf.DUMMYFUNCTION("""COMPUTED_VALUE"""),"Lote en conjunto")</f>
        <v>Lote en conjunto</v>
      </c>
      <c r="D412" s="46"/>
      <c r="E412" s="46" t="str">
        <f>IFERROR(__xludf.DUMMYFUNCTION("""COMPUTED_VALUE"""),"Conjunto Villa Grande")</f>
        <v>Conjunto Villa Grande</v>
      </c>
      <c r="F412" s="90">
        <f>IFERROR(__xludf.DUMMYFUNCTION("""COMPUTED_VALUE"""),9.5E7)</f>
        <v>95000000</v>
      </c>
      <c r="G412" s="46" t="str">
        <f>IFERROR(__xludf.DUMMYFUNCTION("""COMPUTED_VALUE"""),"$0 a $100'000.000")</f>
        <v>$0 a $100'000.000</v>
      </c>
      <c r="H412" s="46"/>
      <c r="I412" s="46"/>
      <c r="J412" s="46" t="str">
        <f>IFERROR(__xludf.DUMMYFUNCTION("""COMPUTED_VALUE"""),"Sur")</f>
        <v>Sur</v>
      </c>
      <c r="K412" s="87"/>
      <c r="L412" s="46">
        <f>IFERROR(__xludf.DUMMYFUNCTION("""COMPUTED_VALUE"""),0.0)</f>
        <v>0</v>
      </c>
      <c r="M412" s="46"/>
      <c r="N412" s="46">
        <f>IFERROR(__xludf.DUMMYFUNCTION("""COMPUTED_VALUE"""),0.0)</f>
        <v>0</v>
      </c>
      <c r="O412" s="46">
        <f>IFERROR(__xludf.DUMMYFUNCTION("""COMPUTED_VALUE"""),0.0)</f>
        <v>0</v>
      </c>
      <c r="P412" s="46">
        <f>IFERROR(__xludf.DUMMYFUNCTION("""COMPUTED_VALUE"""),0.0)</f>
        <v>0</v>
      </c>
      <c r="Q412" s="92">
        <f>IFERROR(__xludf.DUMMYFUNCTION("""COMPUTED_VALUE"""),0.0)</f>
        <v>0</v>
      </c>
      <c r="R412" s="92">
        <f>IFERROR(__xludf.DUMMYFUNCTION("""COMPUTED_VALUE"""),482.0)</f>
        <v>482</v>
      </c>
      <c r="S412" s="87" t="str">
        <f>IFERROR(__xludf.DUMMYFUNCTION("""COMPUTED_VALUE""")," ")</f>
        <v> </v>
      </c>
      <c r="T412" s="46" t="str">
        <f>IFERROR(__xludf.DUMMYFUNCTION("""COMPUTED_VALUE"""),"Palermo")</f>
        <v>Palermo</v>
      </c>
      <c r="U412" s="87"/>
      <c r="V412" s="46" t="str">
        <f>IFERROR(__xludf.DUMMYFUNCTION("""COMPUTED_VALUE"""),"Esquinera")</f>
        <v>Esquinera</v>
      </c>
      <c r="W412" s="46"/>
      <c r="X412" s="46">
        <f>IFERROR(__xludf.DUMMYFUNCTION("""COMPUTED_VALUE"""),0.0)</f>
        <v>0</v>
      </c>
      <c r="Y412" s="46" t="str">
        <f>IFERROR(__xludf.DUMMYFUNCTION("""COMPUTED_VALUE"""),"No tiene")</f>
        <v>No tiene</v>
      </c>
      <c r="Z412" s="90"/>
      <c r="AA412" s="33" t="str">
        <f>IFERROR(__xludf.DUMMYFUNCTION("""COMPUTED_VALUE"""),"No aplica")</f>
        <v>No aplica</v>
      </c>
      <c r="AB412" s="144" t="str">
        <f>IFERROR(__xludf.DUMMYFUNCTION("""COMPUTED_VALUE"""),"https://photos.app.goo.gl/ARpvx3VEBahn8W9o9")</f>
        <v>https://photos.app.goo.gl/ARpvx3VEBahn8W9o9</v>
      </c>
      <c r="AC412" s="46" t="str">
        <f>IFERROR(__xludf.DUMMYFUNCTION("""COMPUTED_VALUE"""),"Se vende espectacular lote esquinero de 482 m², ubicado en la vereda El Juncal, municipio de Palermo, a solo 15 minutos de Neiva, Huila. El lote está completamente al día en pagos de administración e impuestos, listo para construir la casa de tus sueños. "&amp;"Ubicado en un exclusivo condominio con Club House, ofrece una amplia variedad de servicios.")</f>
        <v>Se vende espectacular lote esquinero de 482 m², ubicado en la vereda El Juncal, municipio de Palermo, a solo 15 minutos de Neiva, Huila. El lote está completamente al día en pagos de administración e impuestos, listo para construir la casa de tus sueños. Ubicado en un exclusivo condominio con Club House, ofrece una amplia variedad de servicios.</v>
      </c>
      <c r="AD412" s="46" t="str">
        <f>IFERROR(__xludf.DUMMYFUNCTION("""COMPUTED_VALUE"""),"Zonas comunes: portería de lujo 24 horas, piscinas para adultos y niños, gimnasio dotado, canchas deportivas, zonas BBQ, senderos peatonales, parque infantil, capilla, gimnasio biosaludable, y mucho más.Vive con comodidad, seguridad y naturaleza en un sol"&amp;"o lugar.")</f>
        <v>Zonas comunes: portería de lujo 24 horas, piscinas para adultos y niños, gimnasio dotado, canchas deportivas, zonas BBQ, senderos peatonales, parque infantil, capilla, gimnasio biosaludable, y mucho más.Vive con comodidad, seguridad y naturaleza en un solo lugar.</v>
      </c>
      <c r="AE412" s="46"/>
      <c r="AF412" s="46">
        <f>IFERROR(__xludf.DUMMYFUNCTION("""COMPUTED_VALUE"""),0.0)</f>
        <v>0</v>
      </c>
      <c r="AG412" s="46"/>
      <c r="AH412" s="46" t="str">
        <f>IFERROR(__xludf.DUMMYFUNCTION("""COMPUTED_VALUE"""),"Aliado")</f>
        <v>Aliado</v>
      </c>
      <c r="AI412" s="92" t="str">
        <f>IFERROR(__xludf.DUMMYFUNCTION("""COMPUTED_VALUE"""),"https://lh3.googleusercontent.com/pw/AP1GczOoPBE_ljcd9T2O7aQ9MhhbQym-Bugh2peUTgYKLqchoGU2HjbdhPbyFgkXWk5K4C8FDHHCi0yb3l2zIog0AlcvJL8OTa_BgMl27XcUzAglLSCCR49R=w1200|https://lh3.googleusercontent.com/pw/AP1GczOJ5MsjPF_Tr_MhuFddqikW-2y7KmLAQyM9In1A5oR9kEhc5H"&amp;"xE-qv4TNpmmQFxTRdr_MM0nC9Y8Us6rd1bdu0BVcHqIMBHDFEcdSJDA52DDZptzeh4=w1200|https://lh3.googleusercontent.com/pw/AP1GczOcPVAxu4GiUommG1v5UqIiAk4meANgfrzU9MAEjVHc41LJz7dMGWoAMISPgrPOpBKq2DBgDcZ8ICc5DwpvEdf9bDvP00AUh2OWfJ51VN07kf32gFiw=w1200|https://lh3.google"&amp;"usercontent.com/pw/AP1GczPko5-iE4WypsBGNrNRk6KWTPMi0GRnNNmN5wJQD2Ny1ux-LECDhlKpCJqwKSHnVG6gyCiUBvpKK5s2WTRH6UoYZHC1aEVp3m7gz9_UWr0z-dy4cZVa=w1200|https://lh3.googleusercontent.com/pw/AP1GczNAkuxUH-DBQjrhI_Da7LfS7IQjYE4SXRqG7I-6OaVPkRqaOBYmONu-m8ralTt33UTd"&amp;"cfiGjA_Bq7qEOBBAGWtTYdmgm9KQuJwUfrd7XraAgzlZYdHX=w1200|https://lh3.googleusercontent.com/pw/AP1GczM9eC9fGtOzmhDNfWnw4b3vcMM5cxKSuPBkrqLAhdR35QvQF4WDUd4NJllC7WR8SvuQIUsw3oVgVa2efVTVMOI2aTFaxztu-CqbQHbJjZGpqdEL3l64=w1200|https://lh3.googleusercontent.com/pw"&amp;"/AP1GczOStzIZ17s8PCih5zHrzYF7AGO3zC-tF8L7-oPLJ8T5m0Y0GrHQAMJ0n3zHm3P4qJcR0Yqd_E9AhpdbiiB6gXwuA6pH0vIp-sK2_eSbYIwbvD_CazKd=w1200|https://lh3.googleusercontent.com/pw/AP1GczNNKP32aaWF2ooqAKT2HP1xkck_mdr7fe7zvVg3dqks_xvYtAi7ii2Hh3TB9wGNl0lfI1jAmtJ28K7lZuo_0p"&amp;"ybxEgSAfsg8qDPca7DLrI4q5sThl92=w1200|https://lh3.googleusercontent.com/pw/AP1GczOYb1GvJagytKzcfEk9wPx757XKx0E0f2kReqzVo9z4akqKpjRo7MzwlgOi5klPxMq8kYFUu71v9sp4xtlt2nRPDlcS0GmtqMJMWmen7wyjKvSG_4tW=w1200")</f>
        <v>https://lh3.googleusercontent.com/pw/AP1GczOoPBE_ljcd9T2O7aQ9MhhbQym-Bugh2peUTgYKLqchoGU2HjbdhPbyFgkXWk5K4C8FDHHCi0yb3l2zIog0AlcvJL8OTa_BgMl27XcUzAglLSCCR49R=w1200|https://lh3.googleusercontent.com/pw/AP1GczOJ5MsjPF_Tr_MhuFddqikW-2y7KmLAQyM9In1A5oR9kEhc5HxE-qv4TNpmmQFxTRdr_MM0nC9Y8Us6rd1bdu0BVcHqIMBHDFEcdSJDA52DDZptzeh4=w1200|https://lh3.googleusercontent.com/pw/AP1GczOcPVAxu4GiUommG1v5UqIiAk4meANgfrzU9MAEjVHc41LJz7dMGWoAMISPgrPOpBKq2DBgDcZ8ICc5DwpvEdf9bDvP00AUh2OWfJ51VN07kf32gFiw=w1200|https://lh3.googleusercontent.com/pw/AP1GczPko5-iE4WypsBGNrNRk6KWTPMi0GRnNNmN5wJQD2Ny1ux-LECDhlKpCJqwKSHnVG6gyCiUBvpKK5s2WTRH6UoYZHC1aEVp3m7gz9_UWr0z-dy4cZVa=w1200|https://lh3.googleusercontent.com/pw/AP1GczNAkuxUH-DBQjrhI_Da7LfS7IQjYE4SXRqG7I-6OaVPkRqaOBYmONu-m8ralTt33UTdcfiGjA_Bq7qEOBBAGWtTYdmgm9KQuJwUfrd7XraAgzlZYdHX=w1200|https://lh3.googleusercontent.com/pw/AP1GczM9eC9fGtOzmhDNfWnw4b3vcMM5cxKSuPBkrqLAhdR35QvQF4WDUd4NJllC7WR8SvuQIUsw3oVgVa2efVTVMOI2aTFaxztu-CqbQHbJjZGpqdEL3l64=w1200|https://lh3.googleusercontent.com/pw/AP1GczOStzIZ17s8PCih5zHrzYF7AGO3zC-tF8L7-oPLJ8T5m0Y0GrHQAMJ0n3zHm3P4qJcR0Yqd_E9AhpdbiiB6gXwuA6pH0vIp-sK2_eSbYIwbvD_CazKd=w1200|https://lh3.googleusercontent.com/pw/AP1GczNNKP32aaWF2ooqAKT2HP1xkck_mdr7fe7zvVg3dqks_xvYtAi7ii2Hh3TB9wGNl0lfI1jAmtJ28K7lZuo_0pybxEgSAfsg8qDPca7DLrI4q5sThl92=w1200|https://lh3.googleusercontent.com/pw/AP1GczOYb1GvJagytKzcfEk9wPx757XKx0E0f2kReqzVo9z4akqKpjRo7MzwlgOi5klPxMq8kYFUu71v9sp4xtlt2nRPDlcS0GmtqMJMWmen7wyjKvSG_4tW=w1200</v>
      </c>
      <c r="AJ412" s="46"/>
      <c r="AK412" s="46"/>
      <c r="AL412" s="46"/>
      <c r="AM412" s="46"/>
      <c r="AN412" s="46"/>
      <c r="AO412" s="46"/>
      <c r="AP412" s="46"/>
      <c r="AQ412" s="46"/>
      <c r="AR412" s="46"/>
      <c r="AS412" s="46"/>
      <c r="AT412" s="46"/>
      <c r="AU412" s="46"/>
      <c r="AV412" s="46"/>
      <c r="AW412" s="46"/>
      <c r="AX412" s="46"/>
      <c r="AY412" s="46"/>
      <c r="AZ412" s="46"/>
      <c r="BA412" s="46"/>
      <c r="BB412" s="46"/>
      <c r="BC412" s="46"/>
      <c r="BD412" s="46"/>
      <c r="BE412" s="46"/>
      <c r="BF412" s="46"/>
      <c r="BG412" s="46"/>
      <c r="BH412" s="46"/>
      <c r="BI412" s="46"/>
      <c r="BJ412" s="46"/>
      <c r="BK412" s="46"/>
      <c r="BL412" s="46"/>
      <c r="BM412" s="46"/>
      <c r="BN412" s="46"/>
      <c r="BO412" s="46"/>
      <c r="BP412" s="46"/>
      <c r="BQ412" s="46"/>
      <c r="BR412" s="46"/>
      <c r="BS412" s="46"/>
      <c r="BT412" s="46"/>
      <c r="BU412" s="46"/>
      <c r="BV412" s="46"/>
      <c r="BW412" s="46"/>
      <c r="BX412" s="46"/>
      <c r="BY412" s="46"/>
      <c r="BZ412" s="46"/>
      <c r="CA412" s="46"/>
      <c r="CB412" s="46"/>
      <c r="CC412" s="46"/>
    </row>
    <row r="413">
      <c r="A413" s="87" t="str">
        <f>IFERROR(__xludf.DUMMYFUNCTION("""COMPUTED_VALUE"""),"588")</f>
        <v>588</v>
      </c>
      <c r="B413" s="46" t="str">
        <f>IFERROR(__xludf.DUMMYFUNCTION("""COMPUTED_VALUE"""),"Apartamento en Conjunto Cuarto Centenario - sector María Paula")</f>
        <v>Apartamento en Conjunto Cuarto Centenario - sector María Paula</v>
      </c>
      <c r="C413" s="46" t="str">
        <f>IFERROR(__xludf.DUMMYFUNCTION("""COMPUTED_VALUE"""),"Apartamento en conjunto")</f>
        <v>Apartamento en conjunto</v>
      </c>
      <c r="D413" s="46" t="str">
        <f>IFERROR(__xludf.DUMMYFUNCTION("""COMPUTED_VALUE"""),"Canaima")</f>
        <v>Canaima</v>
      </c>
      <c r="E413" s="90" t="str">
        <f>IFERROR(__xludf.DUMMYFUNCTION("""COMPUTED_VALUE"""),"Cuarto Centenario - sector María Paula")</f>
        <v>Cuarto Centenario - sector María Paula</v>
      </c>
      <c r="F413" s="90">
        <f>IFERROR(__xludf.DUMMYFUNCTION("""COMPUTED_VALUE"""),8.5E7)</f>
        <v>85000000</v>
      </c>
      <c r="G413" s="46" t="str">
        <f>IFERROR(__xludf.DUMMYFUNCTION("""COMPUTED_VALUE"""),"$0 a $100'000.000")</f>
        <v>$0 a $100'000.000</v>
      </c>
      <c r="H413" s="46"/>
      <c r="I413" s="46"/>
      <c r="J413" s="46" t="str">
        <f>IFERROR(__xludf.DUMMYFUNCTION("""COMPUTED_VALUE"""),"Sur")</f>
        <v>Sur</v>
      </c>
      <c r="K413" s="87"/>
      <c r="L413" s="46">
        <f>IFERROR(__xludf.DUMMYFUNCTION("""COMPUTED_VALUE"""),3.0)</f>
        <v>3</v>
      </c>
      <c r="M413" s="46"/>
      <c r="N413" s="46">
        <f>IFERROR(__xludf.DUMMYFUNCTION("""COMPUTED_VALUE"""),1.0)</f>
        <v>1</v>
      </c>
      <c r="O413" s="46">
        <f>IFERROR(__xludf.DUMMYFUNCTION("""COMPUTED_VALUE"""),1.0)</f>
        <v>1</v>
      </c>
      <c r="P413" s="46">
        <f>IFERROR(__xludf.DUMMYFUNCTION("""COMPUTED_VALUE"""),3.0)</f>
        <v>3</v>
      </c>
      <c r="Q413" s="92">
        <f>IFERROR(__xludf.DUMMYFUNCTION("""COMPUTED_VALUE"""),46.15)</f>
        <v>46.15</v>
      </c>
      <c r="R413" s="92">
        <f>IFERROR(__xludf.DUMMYFUNCTION("""COMPUTED_VALUE"""),49.8)</f>
        <v>49.8</v>
      </c>
      <c r="S413" s="87" t="str">
        <f>IFERROR(__xludf.DUMMYFUNCTION("""COMPUTED_VALUE""")," ")</f>
        <v> </v>
      </c>
      <c r="T413" s="46" t="str">
        <f>IFERROR(__xludf.DUMMYFUNCTION("""COMPUTED_VALUE"""),"Neiva")</f>
        <v>Neiva</v>
      </c>
      <c r="U413" s="87" t="str">
        <f>IFERROR(__xludf.DUMMYFUNCTION("""COMPUTED_VALUE"""),"1")</f>
        <v>1</v>
      </c>
      <c r="V413" s="46" t="str">
        <f>IFERROR(__xludf.DUMMYFUNCTION("""COMPUTED_VALUE"""),"3er.")</f>
        <v>3er.</v>
      </c>
      <c r="W413" s="46"/>
      <c r="X413" s="46">
        <f>IFERROR(__xludf.DUMMYFUNCTION("""COMPUTED_VALUE"""),2.0)</f>
        <v>2</v>
      </c>
      <c r="Y413" s="46" t="str">
        <f>IFERROR(__xludf.DUMMYFUNCTION("""COMPUTED_VALUE"""),"No tiene")</f>
        <v>No tiene</v>
      </c>
      <c r="Z413" s="90">
        <f>IFERROR(__xludf.DUMMYFUNCTION("""COMPUTED_VALUE"""),52000.0)</f>
        <v>52000</v>
      </c>
      <c r="AA413" s="33" t="str">
        <f>IFERROR(__xludf.DUMMYFUNCTION("""COMPUTED_VALUE"""),"No aplica")</f>
        <v>No aplica</v>
      </c>
      <c r="AB413" s="96" t="str">
        <f>IFERROR(__xludf.DUMMYFUNCTION("""COMPUTED_VALUE"""),"https://photos.app.goo.gl/eBaLFPXDVzRtiyxE7")</f>
        <v>https://photos.app.goo.gl/eBaLFPXDVzRtiyxE7</v>
      </c>
      <c r="AC413" s="46"/>
      <c r="AD413" s="46" t="str">
        <f>IFERROR(__xludf.DUMMYFUNCTION("""COMPUTED_VALUE""")," Prqueadero Comunal.")</f>
        <v> Prqueadero Comunal.</v>
      </c>
      <c r="AE413" s="46"/>
      <c r="AF413" s="46" t="str">
        <f>IFERROR(__xludf.DUMMYFUNCTION("""COMPUTED_VALUE"""),"semi-integral")</f>
        <v>semi-integral</v>
      </c>
      <c r="AG413" s="46"/>
      <c r="AH413" s="46" t="str">
        <f>IFERROR(__xludf.DUMMYFUNCTION("""COMPUTED_VALUE"""),"Aliado")</f>
        <v>Aliado</v>
      </c>
      <c r="AI413" s="92" t="str">
        <f>IFERROR(__xludf.DUMMYFUNCTION("""COMPUTED_VALUE"""),"https://lh3.googleusercontent.com/pw/AP1GczPwaCc_-hm2KOY9ifq6p7WECpOjbfPRGaayHWHZdmCp1qCIHIgn9FSViNjNuNYsG-h_8V12QxpZi0fBJX7w1HLVhSVmLO-7ndZQntLkZBLtmpIxwN1h=w1200|https://lh3.googleusercontent.com/pw/AP1GczP8kRfVYHyaJoBmtzdyapm8DqjfZzXPWfQJqMmwo7b5G8hOQo"&amp;"52YVlC5mZ0VfnntO7Seg1R3u0Y8RLGoUgVn2DdYK5IHrD5wbOH9WLO_qR2EfJiJYRj=w1200|https://lh3.googleusercontent.com/pw/AP1GczP6LcX6b1anU98RhG03fzZLeAWSfmokv8mrZ8W4RK0SxEPwlRKmVAX0OU3_jr4XPrL54rCw_dkDb3hh_SjYeMxdxRF05bzF0uXtn1HX_9zLoivBMeHj=w1200|https://lh3.google"&amp;"usercontent.com/pw/AP1GczOlwcGmbikk5sUywMePDGOCpQrfD315AbD559Ffj4NPYYPhfCLVzSUBAeTygC2mOX-eCfjjmbO3vxEbdndHPAkPqCuGz62bJr2JY_X6bpS51eHcdWYF=w1200|https://lh3.googleusercontent.com/pw/AP1GczNN-eSTSa_CxVki5OVCzo0pxzfAB54h_rShGyicmfErVvg3M8dRSefcFB9a3mTe-1xq"&amp;"psVy4RNW190g7Mp0hid3H44pTh5FjsNYmnD8FPyPuC-97gsJ=w1200|https://lh3.googleusercontent.com/pw/AP1GczNums20T4MY2lsqoOhZ42lzFkKIl7ZfsWHEm4T_YKXD_ba9SWNdiuhxVuey2yH7Oc-9OQfk4A5aXUlTneyTnT_uwfpHjHhNVlAMQ5mlgfj654Yx0WGM=w1200|https://lh3.googleusercontent.com/pw"&amp;"/AP1GczPBXkp7yTgAdAOYg9-eBDmjUgaAvD9fGDTt7hT9ff1fbCTeTqtq3Qoe4-SjEmkKA_gHH8SdVCNsJRinySQrmoRlgGwuLf3helRC2zAQ5Uhz8IjtmuIM=w1200|https://lh3.googleusercontent.com/pw/AP1GczOK5TKIP3hNIZixt4zYGIczj2wgizfAhFH2ic9oJW3sKUMXi0V1mHI4Votca5UygNLijx1uHPmeUGODXclYH5"&amp;"OENbkaobFHSkb88-5RmA6JmBagV5Ve=w1200|https://lh3.googleusercontent.com/pw/AP1GczNP1sqHcJaB9kZf8sTMiIRgu-KeVAiorvqisMXTEAXNPZtlVvNSqDfptVrkJtJOBCrTHxphZPE2ymdkn54vyuVIB6qQ_XO_VZf0QQChlws7y5Z6TzXn=w1200|https://lh3.googleusercontent.com/pw/AP1GczMAb1NqNON9D"&amp;"rStdeZrVl_opDcTKXrr7K5A4UGxGLmqhlySwi46CHGNbBqtGW2zn0qf-FNYj--6XNVUmO9Oa6S_Q_ATn6gn9OeTYGMgcDzNIy492_f2=w1200|https://lh3.googleusercontent.com/pw/AP1GczPQysqQBnVX4HvKIo6Raa5EudDNl57g98gWvGx_QS_sEaJZKHiakdbYcIsAyS0n3fIaQaNWTvQp2X-xAuayAGreTlOhB3JivLdItavb"&amp;"VfBUf-qTGQMf=w1200")</f>
        <v>https://lh3.googleusercontent.com/pw/AP1GczPwaCc_-hm2KOY9ifq6p7WECpOjbfPRGaayHWHZdmCp1qCIHIgn9FSViNjNuNYsG-h_8V12QxpZi0fBJX7w1HLVhSVmLO-7ndZQntLkZBLtmpIxwN1h=w1200|https://lh3.googleusercontent.com/pw/AP1GczP8kRfVYHyaJoBmtzdyapm8DqjfZzXPWfQJqMmwo7b5G8hOQo52YVlC5mZ0VfnntO7Seg1R3u0Y8RLGoUgVn2DdYK5IHrD5wbOH9WLO_qR2EfJiJYRj=w1200|https://lh3.googleusercontent.com/pw/AP1GczP6LcX6b1anU98RhG03fzZLeAWSfmokv8mrZ8W4RK0SxEPwlRKmVAX0OU3_jr4XPrL54rCw_dkDb3hh_SjYeMxdxRF05bzF0uXtn1HX_9zLoivBMeHj=w1200|https://lh3.googleusercontent.com/pw/AP1GczOlwcGmbikk5sUywMePDGOCpQrfD315AbD559Ffj4NPYYPhfCLVzSUBAeTygC2mOX-eCfjjmbO3vxEbdndHPAkPqCuGz62bJr2JY_X6bpS51eHcdWYF=w1200|https://lh3.googleusercontent.com/pw/AP1GczNN-eSTSa_CxVki5OVCzo0pxzfAB54h_rShGyicmfErVvg3M8dRSefcFB9a3mTe-1xqpsVy4RNW190g7Mp0hid3H44pTh5FjsNYmnD8FPyPuC-97gsJ=w1200|https://lh3.googleusercontent.com/pw/AP1GczNums20T4MY2lsqoOhZ42lzFkKIl7ZfsWHEm4T_YKXD_ba9SWNdiuhxVuey2yH7Oc-9OQfk4A5aXUlTneyTnT_uwfpHjHhNVlAMQ5mlgfj654Yx0WGM=w1200|https://lh3.googleusercontent.com/pw/AP1GczPBXkp7yTgAdAOYg9-eBDmjUgaAvD9fGDTt7hT9ff1fbCTeTqtq3Qoe4-SjEmkKA_gHH8SdVCNsJRinySQrmoRlgGwuLf3helRC2zAQ5Uhz8IjtmuIM=w1200|https://lh3.googleusercontent.com/pw/AP1GczOK5TKIP3hNIZixt4zYGIczj2wgizfAhFH2ic9oJW3sKUMXi0V1mHI4Votca5UygNLijx1uHPmeUGODXclYH5OENbkaobFHSkb88-5RmA6JmBagV5Ve=w1200|https://lh3.googleusercontent.com/pw/AP1GczNP1sqHcJaB9kZf8sTMiIRgu-KeVAiorvqisMXTEAXNPZtlVvNSqDfptVrkJtJOBCrTHxphZPE2ymdkn54vyuVIB6qQ_XO_VZf0QQChlws7y5Z6TzXn=w1200|https://lh3.googleusercontent.com/pw/AP1GczMAb1NqNON9DrStdeZrVl_opDcTKXrr7K5A4UGxGLmqhlySwi46CHGNbBqtGW2zn0qf-FNYj--6XNVUmO9Oa6S_Q_ATn6gn9OeTYGMgcDzNIy492_f2=w1200|https://lh3.googleusercontent.com/pw/AP1GczPQysqQBnVX4HvKIo6Raa5EudDNl57g98gWvGx_QS_sEaJZKHiakdbYcIsAyS0n3fIaQaNWTvQp2X-xAuayAGreTlOhB3JivLdItavbVfBUf-qTGQMf=w1200</v>
      </c>
      <c r="AJ413" s="46"/>
      <c r="AK413" s="46"/>
      <c r="AL413" s="46"/>
      <c r="AM413" s="46"/>
      <c r="AN413" s="46"/>
      <c r="AO413" s="46"/>
      <c r="AP413" s="46"/>
      <c r="AQ413" s="46"/>
      <c r="AR413" s="46"/>
      <c r="AS413" s="46"/>
      <c r="AT413" s="46"/>
      <c r="AU413" s="46"/>
      <c r="AV413" s="46"/>
      <c r="AW413" s="46"/>
      <c r="AX413" s="46"/>
      <c r="AY413" s="46"/>
      <c r="AZ413" s="46"/>
      <c r="BA413" s="46"/>
      <c r="BB413" s="46"/>
      <c r="BC413" s="46"/>
      <c r="BD413" s="46"/>
      <c r="BE413" s="46"/>
      <c r="BF413" s="46"/>
      <c r="BG413" s="46"/>
      <c r="BH413" s="46"/>
      <c r="BI413" s="46"/>
      <c r="BJ413" s="46"/>
      <c r="BK413" s="46"/>
      <c r="BL413" s="46"/>
      <c r="BM413" s="46"/>
      <c r="BN413" s="46"/>
      <c r="BO413" s="46"/>
      <c r="BP413" s="46"/>
      <c r="BQ413" s="46"/>
      <c r="BR413" s="46"/>
      <c r="BS413" s="46"/>
      <c r="BT413" s="46"/>
      <c r="BU413" s="46"/>
      <c r="BV413" s="46"/>
      <c r="BW413" s="46"/>
      <c r="BX413" s="46"/>
      <c r="BY413" s="46"/>
      <c r="BZ413" s="46"/>
      <c r="CA413" s="46"/>
      <c r="CB413" s="46"/>
      <c r="CC413" s="46"/>
    </row>
    <row r="414">
      <c r="A414" s="87" t="str">
        <f>IFERROR(__xludf.DUMMYFUNCTION("""COMPUTED_VALUE"""),"1036")</f>
        <v>1036</v>
      </c>
      <c r="B414" s="46" t="str">
        <f>IFERROR(__xludf.DUMMYFUNCTION("""COMPUTED_VALUE"""),"Lote en conjunto Villa Grande Club House - Palermo")</f>
        <v>Lote en conjunto Villa Grande Club House - Palermo</v>
      </c>
      <c r="C414" s="46" t="str">
        <f>IFERROR(__xludf.DUMMYFUNCTION("""COMPUTED_VALUE"""),"Lote en conjunto")</f>
        <v>Lote en conjunto</v>
      </c>
      <c r="D414" s="46"/>
      <c r="E414" s="46" t="str">
        <f>IFERROR(__xludf.DUMMYFUNCTION("""COMPUTED_VALUE"""),"Conjunto Villa Grande")</f>
        <v>Conjunto Villa Grande</v>
      </c>
      <c r="F414" s="90">
        <f>IFERROR(__xludf.DUMMYFUNCTION("""COMPUTED_VALUE"""),7.0E7)</f>
        <v>70000000</v>
      </c>
      <c r="G414" s="46" t="str">
        <f>IFERROR(__xludf.DUMMYFUNCTION("""COMPUTED_VALUE"""),"$0 a $100'000.000")</f>
        <v>$0 a $100'000.000</v>
      </c>
      <c r="H414" s="46"/>
      <c r="I414" s="46"/>
      <c r="J414" s="46" t="str">
        <f>IFERROR(__xludf.DUMMYFUNCTION("""COMPUTED_VALUE"""),"Sur")</f>
        <v>Sur</v>
      </c>
      <c r="K414" s="87"/>
      <c r="L414" s="46">
        <f>IFERROR(__xludf.DUMMYFUNCTION("""COMPUTED_VALUE"""),0.0)</f>
        <v>0</v>
      </c>
      <c r="M414" s="46"/>
      <c r="N414" s="46">
        <f>IFERROR(__xludf.DUMMYFUNCTION("""COMPUTED_VALUE"""),0.0)</f>
        <v>0</v>
      </c>
      <c r="O414" s="46">
        <f>IFERROR(__xludf.DUMMYFUNCTION("""COMPUTED_VALUE"""),0.0)</f>
        <v>0</v>
      </c>
      <c r="P414" s="46">
        <f>IFERROR(__xludf.DUMMYFUNCTION("""COMPUTED_VALUE"""),0.0)</f>
        <v>0</v>
      </c>
      <c r="Q414" s="92">
        <f>IFERROR(__xludf.DUMMYFUNCTION("""COMPUTED_VALUE"""),0.0)</f>
        <v>0</v>
      </c>
      <c r="R414" s="92">
        <f>IFERROR(__xludf.DUMMYFUNCTION("""COMPUTED_VALUE"""),400.0)</f>
        <v>400</v>
      </c>
      <c r="S414" s="87" t="str">
        <f>IFERROR(__xludf.DUMMYFUNCTION("""COMPUTED_VALUE""")," ")</f>
        <v> </v>
      </c>
      <c r="T414" s="46" t="str">
        <f>IFERROR(__xludf.DUMMYFUNCTION("""COMPUTED_VALUE"""),"Palermo")</f>
        <v>Palermo</v>
      </c>
      <c r="U414" s="87"/>
      <c r="V414" s="46" t="str">
        <f>IFERROR(__xludf.DUMMYFUNCTION("""COMPUTED_VALUE"""),"Medianera")</f>
        <v>Medianera</v>
      </c>
      <c r="W414" s="46"/>
      <c r="X414" s="46">
        <f>IFERROR(__xludf.DUMMYFUNCTION("""COMPUTED_VALUE"""),0.0)</f>
        <v>0</v>
      </c>
      <c r="Y414" s="46" t="str">
        <f>IFERROR(__xludf.DUMMYFUNCTION("""COMPUTED_VALUE"""),"No tiene")</f>
        <v>No tiene</v>
      </c>
      <c r="Z414" s="90"/>
      <c r="AA414" s="33" t="str">
        <f>IFERROR(__xludf.DUMMYFUNCTION("""COMPUTED_VALUE"""),"No aplica")</f>
        <v>No aplica</v>
      </c>
      <c r="AB414" s="144" t="str">
        <f>IFERROR(__xludf.DUMMYFUNCTION("""COMPUTED_VALUE"""),"https://photos.app.goo.gl/nik972QMrmXmE8MXA")</f>
        <v>https://photos.app.goo.gl/nik972QMrmXmE8MXA</v>
      </c>
      <c r="AC414" s="46" t="str">
        <f>IFERROR(__xludf.DUMMYFUNCTION("""COMPUTED_VALUE"""),"Lote dentro de un conjunto cerrado, con seguridad y club House. La urbanización queda sobre la avenida principal. Totalmente accesible.")</f>
        <v>Lote dentro de un conjunto cerrado, con seguridad y club House. La urbanización queda sobre la avenida principal. Totalmente accesible.</v>
      </c>
      <c r="AD414" s="46" t="str">
        <f>IFERROR(__xludf.DUMMYFUNCTION("""COMPUTED_VALUE"""),"Lote de 400 Mts2 (20X20). Totalmente plano.")</f>
        <v>Lote de 400 Mts2 (20X20). Totalmente plano.</v>
      </c>
      <c r="AE414" s="46"/>
      <c r="AF414" s="46">
        <f>IFERROR(__xludf.DUMMYFUNCTION("""COMPUTED_VALUE"""),0.0)</f>
        <v>0</v>
      </c>
      <c r="AG414" s="46"/>
      <c r="AH414" s="46" t="str">
        <f>IFERROR(__xludf.DUMMYFUNCTION("""COMPUTED_VALUE"""),"Aliado")</f>
        <v>Aliado</v>
      </c>
      <c r="AI414" s="92" t="str">
        <f>IFERROR(__xludf.DUMMYFUNCTION("""COMPUTED_VALUE"""),"https://lh3.googleusercontent.com/pw/AP1GczNLM52ZmH69jHUWJqs01dAGtO3fHCq9ALTlqZLnD0MY1mvKnaSR3YYkjmhJJzXFLhyTw4sf0BqmsmgYKXNm4k6tddFzlAutLR9YjRVtO8ujZfsaMNod=w1200|https://lh3.googleusercontent.com/pw/AP1GczPU7gWsdiz020vrKeSDoLXhB1T_dtxgxs5t5n0w7iBWIf1ana"&amp;"nTixBEjspEPksLAGw9ZhvRDvToWdnrzgngAI359wx_i60-VlgSU0Tdaxsr4FJiexew=w1200|https://lh3.googleusercontent.com/pw/AP1GczPbSpfVukSGza65JxzkC31n_rnrUrGU2lj-j30smuuvx0F6GKBFKVanGck5MhkEKP0n8-XJEiJfdKhsvVwDu98OpB-O45MuMe0Zm0oMmPszmhBHAU-9=w1200")</f>
        <v>https://lh3.googleusercontent.com/pw/AP1GczNLM52ZmH69jHUWJqs01dAGtO3fHCq9ALTlqZLnD0MY1mvKnaSR3YYkjmhJJzXFLhyTw4sf0BqmsmgYKXNm4k6tddFzlAutLR9YjRVtO8ujZfsaMNod=w1200|https://lh3.googleusercontent.com/pw/AP1GczPU7gWsdiz020vrKeSDoLXhB1T_dtxgxs5t5n0w7iBWIf1ananTixBEjspEPksLAGw9ZhvRDvToWdnrzgngAI359wx_i60-VlgSU0Tdaxsr4FJiexew=w1200|https://lh3.googleusercontent.com/pw/AP1GczPbSpfVukSGza65JxzkC31n_rnrUrGU2lj-j30smuuvx0F6GKBFKVanGck5MhkEKP0n8-XJEiJfdKhsvVwDu98OpB-O45MuMe0Zm0oMmPszmhBHAU-9=w1200</v>
      </c>
      <c r="AJ414" s="46"/>
      <c r="AK414" s="46"/>
      <c r="AL414" s="46"/>
      <c r="AM414" s="46"/>
      <c r="AN414" s="46"/>
      <c r="AO414" s="46"/>
      <c r="AP414" s="46"/>
      <c r="AQ414" s="46"/>
      <c r="AR414" s="46"/>
      <c r="AS414" s="46"/>
      <c r="AT414" s="46"/>
      <c r="AU414" s="46"/>
      <c r="AV414" s="46"/>
      <c r="AW414" s="46"/>
      <c r="AX414" s="46"/>
      <c r="AY414" s="46"/>
      <c r="AZ414" s="46"/>
      <c r="BA414" s="46"/>
      <c r="BB414" s="46"/>
      <c r="BC414" s="46"/>
      <c r="BD414" s="46"/>
      <c r="BE414" s="46"/>
      <c r="BF414" s="46"/>
      <c r="BG414" s="46"/>
      <c r="BH414" s="46"/>
      <c r="BI414" s="46"/>
      <c r="BJ414" s="46"/>
      <c r="BK414" s="46"/>
      <c r="BL414" s="46"/>
      <c r="BM414" s="46"/>
      <c r="BN414" s="46"/>
      <c r="BO414" s="46"/>
      <c r="BP414" s="46"/>
      <c r="BQ414" s="46"/>
      <c r="BR414" s="46"/>
      <c r="BS414" s="46"/>
      <c r="BT414" s="46"/>
      <c r="BU414" s="46"/>
      <c r="BV414" s="46"/>
      <c r="BW414" s="46"/>
      <c r="BX414" s="46"/>
      <c r="BY414" s="46"/>
      <c r="BZ414" s="46"/>
      <c r="CA414" s="46"/>
      <c r="CB414" s="46"/>
      <c r="CC414" s="46"/>
    </row>
    <row r="415">
      <c r="A415" s="87" t="str">
        <f>IFERROR(__xludf.DUMMYFUNCTION("""COMPUTED_VALUE"""),"1090")</f>
        <v>1090</v>
      </c>
      <c r="B415" s="46" t="str">
        <f>IFERROR(__xludf.DUMMYFUNCTION("""COMPUTED_VALUE"""),"Lote en conjunto Condominio Kanaan - Campoalegre")</f>
        <v>Lote en conjunto Condominio Kanaan - Campoalegre</v>
      </c>
      <c r="C415" s="46" t="str">
        <f>IFERROR(__xludf.DUMMYFUNCTION("""COMPUTED_VALUE"""),"Lote en conjunto")</f>
        <v>Lote en conjunto</v>
      </c>
      <c r="D415" s="46"/>
      <c r="E415" s="46" t="str">
        <f>IFERROR(__xludf.DUMMYFUNCTION("""COMPUTED_VALUE"""),"Condominio Kanaan")</f>
        <v>Condominio Kanaan</v>
      </c>
      <c r="F415" s="90">
        <f>IFERROR(__xludf.DUMMYFUNCTION("""COMPUTED_VALUE"""),6.5E7)</f>
        <v>65000000</v>
      </c>
      <c r="G415" s="46" t="str">
        <f>IFERROR(__xludf.DUMMYFUNCTION("""COMPUTED_VALUE"""),"$0 a $100'000.000")</f>
        <v>$0 a $100'000.000</v>
      </c>
      <c r="H415" s="46"/>
      <c r="I415" s="46"/>
      <c r="J415" s="46" t="str">
        <f>IFERROR(__xludf.DUMMYFUNCTION("""COMPUTED_VALUE"""),"Sur")</f>
        <v>Sur</v>
      </c>
      <c r="K415" s="87"/>
      <c r="L415" s="46">
        <f>IFERROR(__xludf.DUMMYFUNCTION("""COMPUTED_VALUE"""),0.0)</f>
        <v>0</v>
      </c>
      <c r="M415" s="46"/>
      <c r="N415" s="46">
        <f>IFERROR(__xludf.DUMMYFUNCTION("""COMPUTED_VALUE"""),0.0)</f>
        <v>0</v>
      </c>
      <c r="O415" s="46">
        <f>IFERROR(__xludf.DUMMYFUNCTION("""COMPUTED_VALUE"""),0.0)</f>
        <v>0</v>
      </c>
      <c r="P415" s="46">
        <f>IFERROR(__xludf.DUMMYFUNCTION("""COMPUTED_VALUE"""),0.0)</f>
        <v>0</v>
      </c>
      <c r="Q415" s="92">
        <f>IFERROR(__xludf.DUMMYFUNCTION("""COMPUTED_VALUE"""),0.0)</f>
        <v>0</v>
      </c>
      <c r="R415" s="92">
        <f>IFERROR(__xludf.DUMMYFUNCTION("""COMPUTED_VALUE"""),1800.0)</f>
        <v>1800</v>
      </c>
      <c r="S415" s="87" t="str">
        <f>IFERROR(__xludf.DUMMYFUNCTION("""COMPUTED_VALUE""")," ")</f>
        <v> </v>
      </c>
      <c r="T415" s="46" t="str">
        <f>IFERROR(__xludf.DUMMYFUNCTION("""COMPUTED_VALUE"""),"Campoalegre")</f>
        <v>Campoalegre</v>
      </c>
      <c r="U415" s="87" t="str">
        <f>IFERROR(__xludf.DUMMYFUNCTION("""COMPUTED_VALUE"""),"0")</f>
        <v>0</v>
      </c>
      <c r="V415" s="46" t="str">
        <f>IFERROR(__xludf.DUMMYFUNCTION("""COMPUTED_VALUE"""),"Medianera")</f>
        <v>Medianera</v>
      </c>
      <c r="W415" s="46"/>
      <c r="X415" s="46">
        <f>IFERROR(__xludf.DUMMYFUNCTION("""COMPUTED_VALUE"""),0.0)</f>
        <v>0</v>
      </c>
      <c r="Y415" s="46" t="str">
        <f>IFERROR(__xludf.DUMMYFUNCTION("""COMPUTED_VALUE"""),"No tiene")</f>
        <v>No tiene</v>
      </c>
      <c r="Z415" s="90"/>
      <c r="AA415" s="33" t="str">
        <f>IFERROR(__xludf.DUMMYFUNCTION("""COMPUTED_VALUE"""),"No aplica")</f>
        <v>No aplica</v>
      </c>
      <c r="AB415" s="144" t="str">
        <f>IFERROR(__xludf.DUMMYFUNCTION("""COMPUTED_VALUE"""),"https://photos.app.goo.gl/CzJLePgPxZDjnzri9")</f>
        <v>https://photos.app.goo.gl/CzJLePgPxZDjnzri9</v>
      </c>
      <c r="AC415" s="46" t="str">
        <f>IFERROR(__xludf.DUMMYFUNCTION("""COMPUTED_VALUE"""),"Oferta de inversión: Espectacular Lote de 1800 metros cuadrados, ubicado en la vereda piravante del municipio de campo alegre. Colinda con hotel casa bohemia vía panamericana Neiva-Campoalegre.")</f>
        <v>Oferta de inversión: Espectacular Lote de 1800 metros cuadrados, ubicado en la vereda piravante del municipio de campo alegre. Colinda con hotel casa bohemia vía panamericana Neiva-Campoalegre.</v>
      </c>
      <c r="AD415" s="46" t="str">
        <f>IFERROR(__xludf.DUMMYFUNCTION("""COMPUTED_VALUE"""),"Acceso desde la panamericana por 1.5 km en placa huella. Condominio KANAAN. Cuenta con punto de agua y dos niveles para construcción.")</f>
        <v>Acceso desde la panamericana por 1.5 km en placa huella. Condominio KANAAN. Cuenta con punto de agua y dos niveles para construcción.</v>
      </c>
      <c r="AE415" s="46"/>
      <c r="AF415" s="46">
        <f>IFERROR(__xludf.DUMMYFUNCTION("""COMPUTED_VALUE"""),0.0)</f>
        <v>0</v>
      </c>
      <c r="AG415" s="46"/>
      <c r="AH415" s="46" t="str">
        <f>IFERROR(__xludf.DUMMYFUNCTION("""COMPUTED_VALUE"""),"Aliado")</f>
        <v>Aliado</v>
      </c>
      <c r="AI415" s="92" t="str">
        <f>IFERROR(__xludf.DUMMYFUNCTION("""COMPUTED_VALUE"""),"https://lh3.googleusercontent.com/pw/AP1GczM04m5ORL9fuOLKWIcdixt1SIz6gfYoVCFE7divN0C_xH1HPZygnp2MItugtG62Zf6rUktGScOxU1k0o-G8kSE-lDlsWCq6mU41rq-Y-joT8JtyeYMo=w1200|https://lh3.googleusercontent.com/pw/AP1GczP9_v8m67raJ_jjbBnCbFR3X7Swr7xhBmYD5Y3zbPK54iyRlZ"&amp;"_8qlS62ZAAQWT-77pnMsnxbAFFcuKf3gD8UlknIzeLfcR8TPY6JLZg8l3dIpqKWr5X=w1200|https://lh3.googleusercontent.com/pw/AP1GczMXjE6v7m0KUzZAlrwq_KfI7dQm8hf4jt_9myTXAdvo_LIOCTZ_6J0O-Vt9blJpmCHt0COWUeB1cE2TCFKmqyeJrn5ky-k5OU_GxywGTMV8vAgyH9Ot=w1200|https://lh3.google"&amp;"usercontent.com/pw/AP1GczPGMdtzzF4QYE05oihjbSvsGuG5NALE161B9YbCkk046BvgVXas4AAq5dJe_diLNUPizJqi5UoZ3sjia4IDp2-l-WQk3wPlKnzArpBFzuaU_pzWr9DA=w1200|https://lh3.googleusercontent.com/pw/AP1GczN-cpyFxJWJSk0hb41wByzGi814hhGlFkJUqqZ8hMWc188pZFnc_NT8hq5Ur048HdRP"&amp;"l_DJI48-1JwClR9NuxLVIunY24zPAuAFjprg2aa-3WZAQJ0Z=w1200|https://lh3.googleusercontent.com/pw/AP1GczMJ7uBB3JfSgBCbhkN-FmuU7Mx4MgzE7B3l4IHddkYDC6khTafi09ZP0mhiQ44Z7KFzUXEi5cirMeWVvFHDehwIXxY62e_AbsU4_0Xk2FdmVX-reuvr=w1200|https://lh3.googleusercontent.com/pw"&amp;"/AP1GczOwSptSk8UAgyGSTrNzp35ATVgcuuGK-z91_7gYOd3orgCR8e_0l9SFeIUrRGC9lZEoNTXJFXWQtDRxNjH3sSHwNwmeDW5kYszTwFU7A9433q6liuh5=w1200|https://lh3.googleusercontent.com/pw/AP1GczM_xPt_4uMxC5aCmId80VkgKgx2ixrI2-63pceZSCp3p0VsupNKejFRL2MEcy8S043dA9C3h3ZwS-BrY1tF7v"&amp;"JbPjrg53XYRq-EL99v2S8iysn5Ad6y=w1200|https://lh3.googleusercontent.com/pw/AP1GczPa_AMKrRCNuWd1XImFmRvp-_IiIFUxtSa_TTwLaUNHp4IZgsxP8R74ezUIii7zS3Vq96WGfCAgIasCX0hn7pqgkUZnFxRmoGsX5PgI9BDjfF7mYWVw=w1200|https://lh3.googleusercontent.com/pw/AP1GczNT5AjoX_dSw"&amp;"IS-NerkT-z099xEObSWz4gFpLhxegjM6mUvST8Cx-REnnFn0YXZ_7LxgiT00CSmCa_pUTvknu4NeoBOva8Y2OLI3Nlgy9auinkGT-sA=w1200|https://lh3.googleusercontent.com/pw/AP1GczMCQuibBVXySJldNj_QC-3nlcHjURuaiXjtLx86aJtjSCOTOjI3M_8s31-4NQKyVh9zFL8JJW9hRzGcLQ--UTrdDIomR1bsaGDQIe3K"&amp;"5GyaVAjDtu6m=w1200|https://lh3.googleusercontent.com/pw/AP1GczNpYWpS0bZFNm0OBeTsE34e93etOJU4kXj9ibVS3FC_9PwJqZhfS7UWEkNyLqpzl7p_CnLise_LCkIPAL0G97SIkYBa-79ivBuYqm8sl6Jih4F65iqJ=w1200")</f>
        <v>https://lh3.googleusercontent.com/pw/AP1GczM04m5ORL9fuOLKWIcdixt1SIz6gfYoVCFE7divN0C_xH1HPZygnp2MItugtG62Zf6rUktGScOxU1k0o-G8kSE-lDlsWCq6mU41rq-Y-joT8JtyeYMo=w1200|https://lh3.googleusercontent.com/pw/AP1GczP9_v8m67raJ_jjbBnCbFR3X7Swr7xhBmYD5Y3zbPK54iyRlZ_8qlS62ZAAQWT-77pnMsnxbAFFcuKf3gD8UlknIzeLfcR8TPY6JLZg8l3dIpqKWr5X=w1200|https://lh3.googleusercontent.com/pw/AP1GczMXjE6v7m0KUzZAlrwq_KfI7dQm8hf4jt_9myTXAdvo_LIOCTZ_6J0O-Vt9blJpmCHt0COWUeB1cE2TCFKmqyeJrn5ky-k5OU_GxywGTMV8vAgyH9Ot=w1200|https://lh3.googleusercontent.com/pw/AP1GczPGMdtzzF4QYE05oihjbSvsGuG5NALE161B9YbCkk046BvgVXas4AAq5dJe_diLNUPizJqi5UoZ3sjia4IDp2-l-WQk3wPlKnzArpBFzuaU_pzWr9DA=w1200|https://lh3.googleusercontent.com/pw/AP1GczN-cpyFxJWJSk0hb41wByzGi814hhGlFkJUqqZ8hMWc188pZFnc_NT8hq5Ur048HdRPl_DJI48-1JwClR9NuxLVIunY24zPAuAFjprg2aa-3WZAQJ0Z=w1200|https://lh3.googleusercontent.com/pw/AP1GczMJ7uBB3JfSgBCbhkN-FmuU7Mx4MgzE7B3l4IHddkYDC6khTafi09ZP0mhiQ44Z7KFzUXEi5cirMeWVvFHDehwIXxY62e_AbsU4_0Xk2FdmVX-reuvr=w1200|https://lh3.googleusercontent.com/pw/AP1GczOwSptSk8UAgyGSTrNzp35ATVgcuuGK-z91_7gYOd3orgCR8e_0l9SFeIUrRGC9lZEoNTXJFXWQtDRxNjH3sSHwNwmeDW5kYszTwFU7A9433q6liuh5=w1200|https://lh3.googleusercontent.com/pw/AP1GczM_xPt_4uMxC5aCmId80VkgKgx2ixrI2-63pceZSCp3p0VsupNKejFRL2MEcy8S043dA9C3h3ZwS-BrY1tF7vJbPjrg53XYRq-EL99v2S8iysn5Ad6y=w1200|https://lh3.googleusercontent.com/pw/AP1GczPa_AMKrRCNuWd1XImFmRvp-_IiIFUxtSa_TTwLaUNHp4IZgsxP8R74ezUIii7zS3Vq96WGfCAgIasCX0hn7pqgkUZnFxRmoGsX5PgI9BDjfF7mYWVw=w1200|https://lh3.googleusercontent.com/pw/AP1GczNT5AjoX_dSwIS-NerkT-z099xEObSWz4gFpLhxegjM6mUvST8Cx-REnnFn0YXZ_7LxgiT00CSmCa_pUTvknu4NeoBOva8Y2OLI3Nlgy9auinkGT-sA=w1200|https://lh3.googleusercontent.com/pw/AP1GczMCQuibBVXySJldNj_QC-3nlcHjURuaiXjtLx86aJtjSCOTOjI3M_8s31-4NQKyVh9zFL8JJW9hRzGcLQ--UTrdDIomR1bsaGDQIe3K5GyaVAjDtu6m=w1200|https://lh3.googleusercontent.com/pw/AP1GczNpYWpS0bZFNm0OBeTsE34e93etOJU4kXj9ibVS3FC_9PwJqZhfS7UWEkNyLqpzl7p_CnLise_LCkIPAL0G97SIkYBa-79ivBuYqm8sl6Jih4F65iqJ=w1200</v>
      </c>
      <c r="AJ415" s="46"/>
      <c r="AK415" s="46"/>
      <c r="AL415" s="46"/>
      <c r="AM415" s="46"/>
      <c r="AN415" s="46"/>
      <c r="AO415" s="46"/>
      <c r="AP415" s="46"/>
      <c r="AQ415" s="46"/>
      <c r="AR415" s="46"/>
      <c r="AS415" s="46"/>
      <c r="AT415" s="46"/>
      <c r="AU415" s="46"/>
      <c r="AV415" s="46"/>
      <c r="AW415" s="46"/>
      <c r="AX415" s="46"/>
      <c r="AY415" s="46"/>
      <c r="AZ415" s="46"/>
      <c r="BA415" s="46"/>
      <c r="BB415" s="46"/>
      <c r="BC415" s="46"/>
      <c r="BD415" s="46"/>
      <c r="BE415" s="46"/>
      <c r="BF415" s="46"/>
      <c r="BG415" s="46"/>
      <c r="BH415" s="46"/>
      <c r="BI415" s="46"/>
      <c r="BJ415" s="46"/>
      <c r="BK415" s="46"/>
      <c r="BL415" s="46"/>
      <c r="BM415" s="46"/>
      <c r="BN415" s="46"/>
      <c r="BO415" s="46"/>
      <c r="BP415" s="46"/>
      <c r="BQ415" s="46"/>
      <c r="BR415" s="46"/>
      <c r="BS415" s="46"/>
      <c r="BT415" s="46"/>
      <c r="BU415" s="46"/>
      <c r="BV415" s="46"/>
      <c r="BW415" s="46"/>
      <c r="BX415" s="46"/>
      <c r="BY415" s="46"/>
      <c r="BZ415" s="46"/>
      <c r="CA415" s="46"/>
      <c r="CB415" s="46"/>
      <c r="CC415" s="46"/>
    </row>
    <row r="416">
      <c r="A416" s="87" t="str">
        <f>IFERROR(__xludf.DUMMYFUNCTION("""COMPUTED_VALUE"""),"1198")</f>
        <v>1198</v>
      </c>
      <c r="B416" s="46" t="str">
        <f>IFERROR(__xludf.DUMMYFUNCTION("""COMPUTED_VALUE"""),"Lote campestre Villas del Lago -  Sur - Rivera")</f>
        <v>Lote campestre Villas del Lago -  Sur - Rivera</v>
      </c>
      <c r="C416" s="46" t="str">
        <f>IFERROR(__xludf.DUMMYFUNCTION("""COMPUTED_VALUE"""),"Lote")</f>
        <v>Lote</v>
      </c>
      <c r="D416" s="46"/>
      <c r="E416" s="46"/>
      <c r="F416" s="90">
        <f>IFERROR(__xludf.DUMMYFUNCTION("""COMPUTED_VALUE"""),1.0E8)</f>
        <v>100000000</v>
      </c>
      <c r="G416" s="46" t="str">
        <f>IFERROR(__xludf.DUMMYFUNCTION("""COMPUTED_VALUE"""),"$100'000.000 a $200'000.000")</f>
        <v>$100'000.000 a $200'000.000</v>
      </c>
      <c r="H416" s="46"/>
      <c r="I416" s="46"/>
      <c r="J416" s="46" t="str">
        <f>IFERROR(__xludf.DUMMYFUNCTION("""COMPUTED_VALUE"""),"Sur")</f>
        <v>Sur</v>
      </c>
      <c r="K416" s="87"/>
      <c r="L416" s="46">
        <f>IFERROR(__xludf.DUMMYFUNCTION("""COMPUTED_VALUE"""),0.0)</f>
        <v>0</v>
      </c>
      <c r="M416" s="46"/>
      <c r="N416" s="46">
        <f>IFERROR(__xludf.DUMMYFUNCTION("""COMPUTED_VALUE"""),0.0)</f>
        <v>0</v>
      </c>
      <c r="O416" s="46">
        <f>IFERROR(__xludf.DUMMYFUNCTION("""COMPUTED_VALUE"""),0.0)</f>
        <v>0</v>
      </c>
      <c r="P416" s="46">
        <f>IFERROR(__xludf.DUMMYFUNCTION("""COMPUTED_VALUE"""),0.0)</f>
        <v>0</v>
      </c>
      <c r="Q416" s="92">
        <f>IFERROR(__xludf.DUMMYFUNCTION("""COMPUTED_VALUE"""),0.0)</f>
        <v>0</v>
      </c>
      <c r="R416" s="92">
        <f>IFERROR(__xludf.DUMMYFUNCTION("""COMPUTED_VALUE"""),2000.0)</f>
        <v>2000</v>
      </c>
      <c r="S416" s="87" t="str">
        <f>IFERROR(__xludf.DUMMYFUNCTION("""COMPUTED_VALUE""")," ")</f>
        <v> </v>
      </c>
      <c r="T416" s="46" t="str">
        <f>IFERROR(__xludf.DUMMYFUNCTION("""COMPUTED_VALUE"""),"Rivera")</f>
        <v>Rivera</v>
      </c>
      <c r="U416" s="87"/>
      <c r="V416" s="46" t="str">
        <f>IFERROR(__xludf.DUMMYFUNCTION("""COMPUTED_VALUE"""),"Medianera")</f>
        <v>Medianera</v>
      </c>
      <c r="W416" s="46"/>
      <c r="X416" s="46">
        <f>IFERROR(__xludf.DUMMYFUNCTION("""COMPUTED_VALUE"""),0.0)</f>
        <v>0</v>
      </c>
      <c r="Y416" s="46" t="str">
        <f>IFERROR(__xludf.DUMMYFUNCTION("""COMPUTED_VALUE"""),"No tiene")</f>
        <v>No tiene</v>
      </c>
      <c r="Z416" s="90" t="str">
        <f>IFERROR(__xludf.DUMMYFUNCTION("""COMPUTED_VALUE"""),"No aplica")</f>
        <v>No aplica</v>
      </c>
      <c r="AA416" s="33" t="str">
        <f>IFERROR(__xludf.DUMMYFUNCTION("""COMPUTED_VALUE"""),"No aplica")</f>
        <v>No aplica</v>
      </c>
      <c r="AB416" s="96" t="str">
        <f>IFERROR(__xludf.DUMMYFUNCTION("""COMPUTED_VALUE"""),"https://photos.app.goo.gl/vMbm7Vtpg9hwsvFy7")</f>
        <v>https://photos.app.goo.gl/vMbm7Vtpg9hwsvFy7</v>
      </c>
      <c r="AC416" s="46" t="str">
        <f>IFERROR(__xludf.DUMMYFUNCTION("""COMPUTED_VALUE"""),"Villas del Lago Condición: Venta Precio: $ 100.000.000 Área: 2.000 Mts2 Descripción: Lotes de 2.000 M2 ubicado frente a parque recreacional proyecto Villa España.")</f>
        <v>Villas del Lago Condición: Venta Precio: $ 100.000.000 Área: 2.000 Mts2 Descripción: Lotes de 2.000 M2 ubicado frente a parque recreacional proyecto Villa España.</v>
      </c>
      <c r="AD416" s="46" t="str">
        <f>IFERROR(__xludf.DUMMYFUNCTION("""COMPUTED_VALUE"""),"Colinda con un hermoso lago nacedero, también pasa un brazo de fuente hídrica. Proyecto Villas del Lago. Con doble nivel lugar fresco rodeado de la naturaleza.")</f>
        <v>Colinda con un hermoso lago nacedero, también pasa un brazo de fuente hídrica. Proyecto Villas del Lago. Con doble nivel lugar fresco rodeado de la naturaleza.</v>
      </c>
      <c r="AE416" s="46"/>
      <c r="AF416" s="46">
        <f>IFERROR(__xludf.DUMMYFUNCTION("""COMPUTED_VALUE"""),0.0)</f>
        <v>0</v>
      </c>
      <c r="AG416" s="46"/>
      <c r="AH416" s="46"/>
      <c r="AI416" s="92" t="str">
        <f>IFERROR(__xludf.DUMMYFUNCTION("""COMPUTED_VALUE"""),"https://lh3.googleusercontent.com/pw/AP1GczMNryEXLL7SFMBK532XhF3ZND7bjG4aXU2CKftKjxk1HPJQokw3lQYClZS6T9ZxtmDca85jU7oq0ttDNIexGOukoLeW7KRHU5igy7WEKQcefXeTjNGV=w1200|https://lh3.googleusercontent.com/pw/AP1GczOl-WakvA7t9xWGY6mm9WV_zpxa9sQx2YF20FxEXzn5wEghCp"&amp;"UH4NhNtq2K6qIRV6g49hRGBucBaXq7nvocQM3TuAxqAFG8vOyBblyTv1Ui0DF-mP5a=w1200|https://lh3.googleusercontent.com/pw/AP1GczPBlS9lTGo5YlY3oypY7Cj6wy-54smWNLEf2sNrU4d6rF-w-h2p4jftbcA0s1ZeGHQME16N6Uxg258yaoCYVgVPi-yaZpvbe0oPh8gN8xPi8Po_2I3N=w1200|https://lh3.google"&amp;"usercontent.com/pw/AP1GczPM90A2oPQfdmF--lga59BTlZS5AhNAAFKgRTrHErRcwU5FL5-j6_d6lErbkvi7Gd8_whovtkIV05r9xJBahls7QjMYDTemeZfkRb9aYdQdyWix9erR=w1200|https://lh3.googleusercontent.com/pw/AP1GczO1pyBrs-CC5mOMuj1rQ9KS6gL51FVByQbneAifCm-bWIHxyhiJ7UFRGOFeTMzz1LuM"&amp;"-sT0uDHo5pwTYiO7JpViHwn87ual2mdTzcUtMiO3NR8hXrpO=w1200|https://lh3.googleusercontent.com/pw/AP1GczNFAdH8PUI9E_w-8VoXXkTf8ty1TiUBNxodmtCGbQ0zyF3CVw2lvfspKsRZr106XZhuWyYRGul4lXn8eLoboS79zbq8yBReiLjA2AUWI0P-lUDFdc4v=w1200|https://lh3.googleusercontent.com/pw"&amp;"/AP1GczO_gnP5_3BfqScSwRcWR0-t28Tn1iLlAspSGsHLysaVBaWZMDELPegv1nNLhb-Xduw4x98VCwQG4tqMHTs5wkZyQldG99e7qqATbxaIk45PQ3t_d9oW=w1200|https://lh3.googleusercontent.com/pw/AP1GczPTayuazdalMjWG9o5ALkWQ0WfMnwtZp6xSB6Hd4mpPipLF0A35oHKlN_DInTOvWNdXw4-Pd23E-CkjKm5cQi"&amp;"UsnGpN2Ks_jaQVgdrQEBT5oQ0f6P7_=w1200|https://lh3.googleusercontent.com/pw/AP1GczP5Nerow8ntIXH1Dptyf8ldl3wsYc264IKmoFAJXkwsS5zbVH8DLXpwowRbOTpwOOktQzsr7ppTRkmxSno_seyKxhn6uJ_wuP3mRdWYoSAwSqNHUKy_=w1200|https://lh3.googleusercontent.com/pw/AP1GczNVKcjP9nkSb"&amp;"1sw83F9NgJpAi-q0SuNN0NqcuVFuAzobCL5PmYfLVZuXEoQUjz-Qoi6bzp22-8eFPO_1Pybd4X3MH4NkwxxmFFBcTV11Bib57YNC09I=w1200|https://lh3.googleusercontent.com/pw/AP1GczMggPp9sJe10Bb_uBI32whfjsuncObvepGs5mQybF6X20Dx4qjBGEQgvIEENDTqVBQUxUjEMpS-kzgHHDQG4uM5HyD1I1itQUav0MYc"&amp;"DKheHjbWvsz_=w1200")</f>
        <v>https://lh3.googleusercontent.com/pw/AP1GczMNryEXLL7SFMBK532XhF3ZND7bjG4aXU2CKftKjxk1HPJQokw3lQYClZS6T9ZxtmDca85jU7oq0ttDNIexGOukoLeW7KRHU5igy7WEKQcefXeTjNGV=w1200|https://lh3.googleusercontent.com/pw/AP1GczOl-WakvA7t9xWGY6mm9WV_zpxa9sQx2YF20FxEXzn5wEghCpUH4NhNtq2K6qIRV6g49hRGBucBaXq7nvocQM3TuAxqAFG8vOyBblyTv1Ui0DF-mP5a=w1200|https://lh3.googleusercontent.com/pw/AP1GczPBlS9lTGo5YlY3oypY7Cj6wy-54smWNLEf2sNrU4d6rF-w-h2p4jftbcA0s1ZeGHQME16N6Uxg258yaoCYVgVPi-yaZpvbe0oPh8gN8xPi8Po_2I3N=w1200|https://lh3.googleusercontent.com/pw/AP1GczPM90A2oPQfdmF--lga59BTlZS5AhNAAFKgRTrHErRcwU5FL5-j6_d6lErbkvi7Gd8_whovtkIV05r9xJBahls7QjMYDTemeZfkRb9aYdQdyWix9erR=w1200|https://lh3.googleusercontent.com/pw/AP1GczO1pyBrs-CC5mOMuj1rQ9KS6gL51FVByQbneAifCm-bWIHxyhiJ7UFRGOFeTMzz1LuM-sT0uDHo5pwTYiO7JpViHwn87ual2mdTzcUtMiO3NR8hXrpO=w1200|https://lh3.googleusercontent.com/pw/AP1GczNFAdH8PUI9E_w-8VoXXkTf8ty1TiUBNxodmtCGbQ0zyF3CVw2lvfspKsRZr106XZhuWyYRGul4lXn8eLoboS79zbq8yBReiLjA2AUWI0P-lUDFdc4v=w1200|https://lh3.googleusercontent.com/pw/AP1GczO_gnP5_3BfqScSwRcWR0-t28Tn1iLlAspSGsHLysaVBaWZMDELPegv1nNLhb-Xduw4x98VCwQG4tqMHTs5wkZyQldG99e7qqATbxaIk45PQ3t_d9oW=w1200|https://lh3.googleusercontent.com/pw/AP1GczPTayuazdalMjWG9o5ALkWQ0WfMnwtZp6xSB6Hd4mpPipLF0A35oHKlN_DInTOvWNdXw4-Pd23E-CkjKm5cQiUsnGpN2Ks_jaQVgdrQEBT5oQ0f6P7_=w1200|https://lh3.googleusercontent.com/pw/AP1GczP5Nerow8ntIXH1Dptyf8ldl3wsYc264IKmoFAJXkwsS5zbVH8DLXpwowRbOTpwOOktQzsr7ppTRkmxSno_seyKxhn6uJ_wuP3mRdWYoSAwSqNHUKy_=w1200|https://lh3.googleusercontent.com/pw/AP1GczNVKcjP9nkSb1sw83F9NgJpAi-q0SuNN0NqcuVFuAzobCL5PmYfLVZuXEoQUjz-Qoi6bzp22-8eFPO_1Pybd4X3MH4NkwxxmFFBcTV11Bib57YNC09I=w1200|https://lh3.googleusercontent.com/pw/AP1GczMggPp9sJe10Bb_uBI32whfjsuncObvepGs5mQybF6X20Dx4qjBGEQgvIEENDTqVBQUxUjEMpS-kzgHHDQG4uM5HyD1I1itQUav0MYcDKheHjbWvsz_=w1200</v>
      </c>
      <c r="AJ416" s="46"/>
      <c r="AK416" s="46"/>
      <c r="AL416" s="46"/>
      <c r="AM416" s="46"/>
      <c r="AN416" s="46"/>
      <c r="AO416" s="46"/>
      <c r="AP416" s="46"/>
      <c r="AQ416" s="46"/>
      <c r="AR416" s="46"/>
      <c r="AS416" s="46"/>
      <c r="AT416" s="46"/>
      <c r="AU416" s="46"/>
      <c r="AV416" s="46"/>
      <c r="AW416" s="46"/>
      <c r="AX416" s="46"/>
      <c r="AY416" s="46"/>
      <c r="AZ416" s="46"/>
      <c r="BA416" s="46"/>
      <c r="BB416" s="46"/>
      <c r="BC416" s="46"/>
      <c r="BD416" s="46"/>
      <c r="BE416" s="46"/>
      <c r="BF416" s="46"/>
      <c r="BG416" s="46"/>
      <c r="BH416" s="46"/>
      <c r="BI416" s="46"/>
      <c r="BJ416" s="46"/>
      <c r="BK416" s="46"/>
      <c r="BL416" s="46"/>
      <c r="BM416" s="46"/>
      <c r="BN416" s="46"/>
      <c r="BO416" s="46"/>
      <c r="BP416" s="46"/>
      <c r="BQ416" s="46"/>
      <c r="BR416" s="46"/>
      <c r="BS416" s="46"/>
      <c r="BT416" s="46"/>
      <c r="BU416" s="46"/>
      <c r="BV416" s="46"/>
      <c r="BW416" s="46"/>
      <c r="BX416" s="46"/>
      <c r="BY416" s="46"/>
      <c r="BZ416" s="46"/>
      <c r="CA416" s="46"/>
      <c r="CB416" s="46"/>
      <c r="CC416" s="46"/>
    </row>
    <row r="417">
      <c r="A417" s="87" t="str">
        <f>IFERROR(__xludf.DUMMYFUNCTION("""COMPUTED_VALUE"""),"595")</f>
        <v>595</v>
      </c>
      <c r="B417" s="46" t="str">
        <f>IFERROR(__xludf.DUMMYFUNCTION("""COMPUTED_VALUE"""),"Casa con un aparta estudio en barrio Altico")</f>
        <v>Casa con un aparta estudio en barrio Altico</v>
      </c>
      <c r="C417" s="46" t="str">
        <f>IFERROR(__xludf.DUMMYFUNCTION("""COMPUTED_VALUE"""),"Casa rentable")</f>
        <v>Casa rentable</v>
      </c>
      <c r="D417" s="46" t="str">
        <f>IFERROR(__xludf.DUMMYFUNCTION("""COMPUTED_VALUE"""),"El Altico")</f>
        <v>El Altico</v>
      </c>
      <c r="E417" s="90"/>
      <c r="F417" s="90">
        <f>IFERROR(__xludf.DUMMYFUNCTION("""COMPUTED_VALUE"""),5.5E8)</f>
        <v>550000000</v>
      </c>
      <c r="G417" s="46" t="str">
        <f>IFERROR(__xludf.DUMMYFUNCTION("""COMPUTED_VALUE"""),"$500'000.000 a $1.000'000.000")</f>
        <v>$500'000.000 a $1.000'000.000</v>
      </c>
      <c r="H417" s="46"/>
      <c r="I417" s="46"/>
      <c r="J417" s="46" t="str">
        <f>IFERROR(__xludf.DUMMYFUNCTION("""COMPUTED_VALUE"""),"Oriente")</f>
        <v>Oriente</v>
      </c>
      <c r="K417" s="87"/>
      <c r="L417" s="46">
        <f>IFERROR(__xludf.DUMMYFUNCTION("""COMPUTED_VALUE"""),5.0)</f>
        <v>5</v>
      </c>
      <c r="M417" s="46"/>
      <c r="N417" s="46">
        <f>IFERROR(__xludf.DUMMYFUNCTION("""COMPUTED_VALUE"""),2.0)</f>
        <v>2</v>
      </c>
      <c r="O417" s="46">
        <f>IFERROR(__xludf.DUMMYFUNCTION("""COMPUTED_VALUE"""),3.0)</f>
        <v>3</v>
      </c>
      <c r="P417" s="46">
        <f>IFERROR(__xludf.DUMMYFUNCTION("""COMPUTED_VALUE"""),1.0)</f>
        <v>1</v>
      </c>
      <c r="Q417" s="92">
        <f>IFERROR(__xludf.DUMMYFUNCTION("""COMPUTED_VALUE"""),223.0)</f>
        <v>223</v>
      </c>
      <c r="R417" s="92">
        <f>IFERROR(__xludf.DUMMYFUNCTION("""COMPUTED_VALUE"""),265.0)</f>
        <v>265</v>
      </c>
      <c r="S417" s="87" t="str">
        <f>IFERROR(__xludf.DUMMYFUNCTION("""COMPUTED_VALUE"""),"Rentabilidad $1,100,000")</f>
        <v>Rentabilidad $1,100,000</v>
      </c>
      <c r="T417" s="46" t="str">
        <f>IFERROR(__xludf.DUMMYFUNCTION("""COMPUTED_VALUE"""),"Neiva")</f>
        <v>Neiva</v>
      </c>
      <c r="U417" s="87" t="str">
        <f>IFERROR(__xludf.DUMMYFUNCTION("""COMPUTED_VALUE"""),"4")</f>
        <v>4</v>
      </c>
      <c r="V417" s="46" t="str">
        <f>IFERROR(__xludf.DUMMYFUNCTION("""COMPUTED_VALUE"""),"Medianera")</f>
        <v>Medianera</v>
      </c>
      <c r="W417" s="46"/>
      <c r="X417" s="46">
        <f>IFERROR(__xludf.DUMMYFUNCTION("""COMPUTED_VALUE"""),2.0)</f>
        <v>2</v>
      </c>
      <c r="Y417" s="46" t="str">
        <f>IFERROR(__xludf.DUMMYFUNCTION("""COMPUTED_VALUE"""),"No tiene")</f>
        <v>No tiene</v>
      </c>
      <c r="Z417" s="90" t="str">
        <f>IFERROR(__xludf.DUMMYFUNCTION("""COMPUTED_VALUE"""),"No aplica")</f>
        <v>No aplica</v>
      </c>
      <c r="AA417" s="33" t="str">
        <f>IFERROR(__xludf.DUMMYFUNCTION("""COMPUTED_VALUE"""),"42 años")</f>
        <v>42 años</v>
      </c>
      <c r="AB417" s="96" t="str">
        <f>IFERROR(__xludf.DUMMYFUNCTION("""COMPUTED_VALUE"""),"https://photos.app.goo.gl/C677pfwrSc9vyt8H6")</f>
        <v>https://photos.app.goo.gl/C677pfwrSc9vyt8H6</v>
      </c>
      <c r="AC417" s="46" t="str">
        <f>IFERROR(__xludf.DUMMYFUNCTION("""COMPUTED_VALUE"""),"Casa con acabados en conservación antigua.")</f>
        <v>Casa con acabados en conservación antigua.</v>
      </c>
      <c r="AD417" s="46"/>
      <c r="AE417" s="46"/>
      <c r="AF417" s="46" t="str">
        <f>IFERROR(__xludf.DUMMYFUNCTION("""COMPUTED_VALUE"""),"básica")</f>
        <v>básica</v>
      </c>
      <c r="AG417" s="46"/>
      <c r="AH417" s="46" t="str">
        <f>IFERROR(__xludf.DUMMYFUNCTION("""COMPUTED_VALUE"""),"Aliado")</f>
        <v>Aliado</v>
      </c>
      <c r="AI417" s="92" t="str">
        <f>IFERROR(__xludf.DUMMYFUNCTION("""COMPUTED_VALUE"""),"https://lh3.googleusercontent.com/pw/AP1GczNl92nkGzub2DX-aXdsAzw9T2RvD-7awqxH2ajpXzJq5RHlS2FINRP0wwUZvWTB8nuqZ3uFSCKnu5Lo9cB0ICX8GEtXlw1wRU4dRFp1OAStrd6ikR7s=w1200|https://lh3.googleusercontent.com/pw/AP1GczP10PfeAQ-kq2vtcfdktk0PP6g3s4rjMDbRy7hTwC4ui_UobG"&amp;"Br-0HZDto1DVCp4ja4Jrx-daZVapPXzMKELUIgU3A7faXAivb1WfdbA3K77tddk1o8=w1200|https://lh3.googleusercontent.com/pw/AP1GczPtpNkCJk2k5HST5_31nUzXZRSrFznkG7HNoi46lOPsF0-0iQEvffrPbqOrfB0jyNVN0msTmf53T3l2dQ2VKiWpN1ilxpZfoLbUUzvuX5qe_fxPIAmI=w1200|https://lh3.google"&amp;"usercontent.com/pw/AP1GczNm9F4-8SpOAZ5S_04DLM_cvvg5U12sy5iAxBPBjLJebAx8y_CAHyNlCKxH8wnbkhslW318XBiJn-Y9Ms4UjwYO9n7ehesBb752ARa75rtFVdIiJkjs=w1200|https://lh3.googleusercontent.com/pw/AP1GczN54Ztro7Pydx3vgOWprhvrsztQ5sIAPwTvUGLLbR0PKoZZ4VTn6cOJC2jJWSUpERvW"&amp;"o4-IeosNHM3Lb0iSRGY28IR0ilfaRhkrMkpCGuhb3BaGVHtO=w1200|https://lh3.googleusercontent.com/pw/AP1GczOoiQTngZ8zVN6GUbKJdPPTI6fsMwj6b4zxTqp91OcIHCIYZ4TeyxcSThA7Y2Lwc3vtbrgwXQFtyfDKF1wUMLS-mykVcAsBQK21aRQy5x3K45_pRl0o=w1200|https://lh3.googleusercontent.com/pw"&amp;"/AP1GczMvWXUHE5eDUeoQcrdOs4Qqi-KZrjVwczcfovhOkkxANo2-jOJaLtFeuEz8kJqI-1IuN2NdbUFpEWG7mgunVc0dH9ebydX-b1nf9zqa3RMcAIesFZhf=w1200|https://lh3.googleusercontent.com/pw/AP1GczNDrSKbLqrn0opvyTWdHclVoc06xzYukBrXt88UPpTvoikfjZFQqdNKZjmYJcZZyn1y-1doh8J72BHWmPvqKD"&amp;"r05jpcsX0JGhE42_7DX2TeXEPNBTmn=w1200|https://lh3.googleusercontent.com/pw/AP1GczPEalQt0HqAdNN3896IScQbzSjzoIaAwOHusx12K1pbdBRcGvYZSAVgYO4C9UmDxg5vqclx9483myCBxjV7tzAlrJSvqW2-pXXPH-oZJ2a5Oqo_jAZe=w1200")</f>
        <v>https://lh3.googleusercontent.com/pw/AP1GczNl92nkGzub2DX-aXdsAzw9T2RvD-7awqxH2ajpXzJq5RHlS2FINRP0wwUZvWTB8nuqZ3uFSCKnu5Lo9cB0ICX8GEtXlw1wRU4dRFp1OAStrd6ikR7s=w1200|https://lh3.googleusercontent.com/pw/AP1GczP10PfeAQ-kq2vtcfdktk0PP6g3s4rjMDbRy7hTwC4ui_UobGBr-0HZDto1DVCp4ja4Jrx-daZVapPXzMKELUIgU3A7faXAivb1WfdbA3K77tddk1o8=w1200|https://lh3.googleusercontent.com/pw/AP1GczPtpNkCJk2k5HST5_31nUzXZRSrFznkG7HNoi46lOPsF0-0iQEvffrPbqOrfB0jyNVN0msTmf53T3l2dQ2VKiWpN1ilxpZfoLbUUzvuX5qe_fxPIAmI=w1200|https://lh3.googleusercontent.com/pw/AP1GczNm9F4-8SpOAZ5S_04DLM_cvvg5U12sy5iAxBPBjLJebAx8y_CAHyNlCKxH8wnbkhslW318XBiJn-Y9Ms4UjwYO9n7ehesBb752ARa75rtFVdIiJkjs=w1200|https://lh3.googleusercontent.com/pw/AP1GczN54Ztro7Pydx3vgOWprhvrsztQ5sIAPwTvUGLLbR0PKoZZ4VTn6cOJC2jJWSUpERvWo4-IeosNHM3Lb0iSRGY28IR0ilfaRhkrMkpCGuhb3BaGVHtO=w1200|https://lh3.googleusercontent.com/pw/AP1GczOoiQTngZ8zVN6GUbKJdPPTI6fsMwj6b4zxTqp91OcIHCIYZ4TeyxcSThA7Y2Lwc3vtbrgwXQFtyfDKF1wUMLS-mykVcAsBQK21aRQy5x3K45_pRl0o=w1200|https://lh3.googleusercontent.com/pw/AP1GczMvWXUHE5eDUeoQcrdOs4Qqi-KZrjVwczcfovhOkkxANo2-jOJaLtFeuEz8kJqI-1IuN2NdbUFpEWG7mgunVc0dH9ebydX-b1nf9zqa3RMcAIesFZhf=w1200|https://lh3.googleusercontent.com/pw/AP1GczNDrSKbLqrn0opvyTWdHclVoc06xzYukBrXt88UPpTvoikfjZFQqdNKZjmYJcZZyn1y-1doh8J72BHWmPvqKDr05jpcsX0JGhE42_7DX2TeXEPNBTmn=w1200|https://lh3.googleusercontent.com/pw/AP1GczPEalQt0HqAdNN3896IScQbzSjzoIaAwOHusx12K1pbdBRcGvYZSAVgYO4C9UmDxg5vqclx9483myCBxjV7tzAlrJSvqW2-pXXPH-oZJ2a5Oqo_jAZe=w1200</v>
      </c>
      <c r="AJ417" s="46"/>
      <c r="AK417" s="46"/>
      <c r="AL417" s="46"/>
      <c r="AM417" s="46"/>
      <c r="AN417" s="46"/>
      <c r="AO417" s="46"/>
      <c r="AP417" s="46"/>
      <c r="AQ417" s="46"/>
      <c r="AR417" s="46"/>
      <c r="AS417" s="46"/>
      <c r="AT417" s="46"/>
      <c r="AU417" s="46"/>
      <c r="AV417" s="46"/>
      <c r="AW417" s="46"/>
      <c r="AX417" s="46"/>
      <c r="AY417" s="46"/>
      <c r="AZ417" s="46"/>
      <c r="BA417" s="46"/>
      <c r="BB417" s="46"/>
      <c r="BC417" s="46"/>
      <c r="BD417" s="46"/>
      <c r="BE417" s="46"/>
      <c r="BF417" s="46"/>
      <c r="BG417" s="46"/>
      <c r="BH417" s="46"/>
      <c r="BI417" s="46"/>
      <c r="BJ417" s="46"/>
      <c r="BK417" s="46"/>
      <c r="BL417" s="46"/>
      <c r="BM417" s="46"/>
      <c r="BN417" s="46"/>
      <c r="BO417" s="46"/>
      <c r="BP417" s="46"/>
      <c r="BQ417" s="46"/>
      <c r="BR417" s="46"/>
      <c r="BS417" s="46"/>
      <c r="BT417" s="46"/>
      <c r="BU417" s="46"/>
      <c r="BV417" s="46"/>
      <c r="BW417" s="46"/>
      <c r="BX417" s="46"/>
      <c r="BY417" s="46"/>
      <c r="BZ417" s="46"/>
      <c r="CA417" s="46"/>
      <c r="CB417" s="46"/>
      <c r="CC417" s="46"/>
    </row>
    <row r="418">
      <c r="A418" s="87" t="str">
        <f>IFERROR(__xludf.DUMMYFUNCTION("""COMPUTED_VALUE"""),"650")</f>
        <v>650</v>
      </c>
      <c r="B418" s="46" t="str">
        <f>IFERROR(__xludf.DUMMYFUNCTION("""COMPUTED_VALUE"""),"Apartamento en edificio Ateneo")</f>
        <v>Apartamento en edificio Ateneo</v>
      </c>
      <c r="C418" s="46" t="str">
        <f>IFERROR(__xludf.DUMMYFUNCTION("""COMPUTED_VALUE"""),"Apartamento")</f>
        <v>Apartamento</v>
      </c>
      <c r="D418" s="46" t="str">
        <f>IFERROR(__xludf.DUMMYFUNCTION("""COMPUTED_VALUE"""),"Quirinal")</f>
        <v>Quirinal</v>
      </c>
      <c r="E418" s="46"/>
      <c r="F418" s="90">
        <f>IFERROR(__xludf.DUMMYFUNCTION("""COMPUTED_VALUE"""),4.0E8)</f>
        <v>400000000</v>
      </c>
      <c r="G418" s="46" t="str">
        <f>IFERROR(__xludf.DUMMYFUNCTION("""COMPUTED_VALUE"""),"$400'000.000 a $500'000.000")</f>
        <v>$400'000.000 a $500'000.000</v>
      </c>
      <c r="H418" s="46"/>
      <c r="I418" s="46"/>
      <c r="J418" s="46" t="str">
        <f>IFERROR(__xludf.DUMMYFUNCTION("""COMPUTED_VALUE"""),"Centro")</f>
        <v>Centro</v>
      </c>
      <c r="K418" s="87"/>
      <c r="L418" s="46">
        <f>IFERROR(__xludf.DUMMYFUNCTION("""COMPUTED_VALUE"""),3.0)</f>
        <v>3</v>
      </c>
      <c r="M418" s="46"/>
      <c r="N418" s="46">
        <f>IFERROR(__xludf.DUMMYFUNCTION("""COMPUTED_VALUE"""),3.0)</f>
        <v>3</v>
      </c>
      <c r="O418" s="46">
        <f>IFERROR(__xludf.DUMMYFUNCTION("""COMPUTED_VALUE"""),1.0)</f>
        <v>1</v>
      </c>
      <c r="P418" s="46">
        <f>IFERROR(__xludf.DUMMYFUNCTION("""COMPUTED_VALUE"""),1.0)</f>
        <v>1</v>
      </c>
      <c r="Q418" s="92">
        <f>IFERROR(__xludf.DUMMYFUNCTION("""COMPUTED_VALUE"""),150.0)</f>
        <v>150</v>
      </c>
      <c r="R418" s="92">
        <f>IFERROR(__xludf.DUMMYFUNCTION("""COMPUTED_VALUE"""),150.0)</f>
        <v>150</v>
      </c>
      <c r="S418" s="87" t="str">
        <f>IFERROR(__xludf.DUMMYFUNCTION("""COMPUTED_VALUE""")," ")</f>
        <v> </v>
      </c>
      <c r="T418" s="46" t="str">
        <f>IFERROR(__xludf.DUMMYFUNCTION("""COMPUTED_VALUE"""),"Neiva")</f>
        <v>Neiva</v>
      </c>
      <c r="U418" s="87" t="str">
        <f>IFERROR(__xludf.DUMMYFUNCTION("""COMPUTED_VALUE"""),"4")</f>
        <v>4</v>
      </c>
      <c r="V418" s="46"/>
      <c r="W418" s="46"/>
      <c r="X418" s="46">
        <f>IFERROR(__xludf.DUMMYFUNCTION("""COMPUTED_VALUE"""),3.0)</f>
        <v>3</v>
      </c>
      <c r="Y418" s="46" t="str">
        <f>IFERROR(__xludf.DUMMYFUNCTION("""COMPUTED_VALUE"""),"Social")</f>
        <v>Social</v>
      </c>
      <c r="Z418" s="90">
        <f>IFERROR(__xludf.DUMMYFUNCTION("""COMPUTED_VALUE"""),650000.0)</f>
        <v>650000</v>
      </c>
      <c r="AA418" s="33" t="str">
        <f>IFERROR(__xludf.DUMMYFUNCTION("""COMPUTED_VALUE"""),"No aplica")</f>
        <v>No aplica</v>
      </c>
      <c r="AB418" s="96" t="str">
        <f>IFERROR(__xludf.DUMMYFUNCTION("""COMPUTED_VALUE"""),"https://photos.app.goo.gl/sqAqc52tEwqT2aiq7")</f>
        <v>https://photos.app.goo.gl/sqAqc52tEwqT2aiq7</v>
      </c>
      <c r="AC418" s="46"/>
      <c r="AD418" s="46"/>
      <c r="AE418" s="46"/>
      <c r="AF418" s="46" t="str">
        <f>IFERROR(__xludf.DUMMYFUNCTION("""COMPUTED_VALUE"""),"integral")</f>
        <v>integral</v>
      </c>
      <c r="AG418" s="46"/>
      <c r="AH418" s="46" t="str">
        <f>IFERROR(__xludf.DUMMYFUNCTION("""COMPUTED_VALUE"""),"Aliado")</f>
        <v>Aliado</v>
      </c>
      <c r="AI418" s="92" t="str">
        <f>IFERROR(__xludf.DUMMYFUNCTION("""COMPUTED_VALUE"""),"https://lh3.googleusercontent.com/pw/AP1GczOXiAJkfM7RvjDeJds88Nw9Uv6g-q5UsMvIxX45uYfe_J2CioNj2xWAxIa3BAGPJISjPlUf9HE6TDJmImvKVO_l2RTLTHGP_bxwsn0JmAiZkZQ5U2L7=w1200|https://lh3.googleusercontent.com/pw/AP1GczNgEDhyHZT1wo2MSwOM48B3xyMwtuTJJh3AEjv_cOWfMv9-WR"&amp;"kc67Og-1FF9CrYQPZix-G8ctcz6Ws0AdiPRKMSMVjaaOkPw_CSdkwccgG_r5JZwJG1=w1200|https://lh3.googleusercontent.com/pw/AP1GczP1WNN1isZz51MXqVgzUZF2EQb4SBWEA85mJbktissqx-NdTPkTdyM2f2-42-RkydZZa5j7VL90GcTwEo5TphLgayRBTaJNe3JmO6Jced5EOpKlbsWA=w1200|https://lh3.google"&amp;"usercontent.com/pw/AP1GczMOnVLITe1iYwEgZL2z0T2_wEQQ8lE63h9fFq5VPPnoeu6mUHPwpkw0akfkzxMEZFrd3l55IVXgWFvqRoZz0f9PEgd0nZJwrrh9sFLo5Fhlz5plvzeg=w1200|https://lh3.googleusercontent.com/pw/AP1GczPaW79adudlPoXChBN6nVs4gEzyGfWnY2-gfjFg62LVa1s9WHvjrR8NxXR88SsbajdL"&amp;"03AMUjE5RF_LGSOArAeRpYA4lJnMUqYSeFUDSMZhisTnOEVo=w1200|https://lh3.googleusercontent.com/pw/AP1GczM4PU7wlVcHfg_My0eeQEWvfGGfZH85LNkZ9Mms-6ySIVf0DebgKcJRj_AyauVzvwGFs1rmxYAm7Gp7km1KXh4aJKhfFsa5pRwC375toeHNPVM3S1ux=w1200|https://lh3.googleusercontent.com/pw"&amp;"/AP1GczNZaZ4MwnsDBha-Qf95Z-tO73jMwzr89l0zmG7zGUTfzBPgK7gRwYniMVBGkYBsaHYjw2-_M8vqXJnxjWp62oFY_FZkq72i7pJBYQKrfeFQsdlsbeP_=w1200|https://lh3.googleusercontent.com/pw/AP1GczO8gEZe3Ruq162tsH36uaXcMjNVUHHvkNfsWj5NNzsZ4osPmSrIdn6LGB86JgwtworfKzXtB_eNwU8zkjy0yb"&amp;"cOH3H4e26UWjYODCiPaMfZ6wrv7Yzt=w1200|https://lh3.googleusercontent.com/pw/AP1GczP9VG7DsAVkVYGm4cb5VIvCBRKBjmRs4LozNRNywt5ruAPhQJ4ObBMv3KQqluyq8uJxMtF6BpALSI9mYaATFIepL14zo-ztQnFVtzhk6g8_z-8t45zk=w1200|https://lh3.googleusercontent.com/pw/AP1GczNYJLIsVqQ88"&amp;"CLJjUw1WjTg1LV0H-V7RjfsZxx8AYRJ_QKbqpJbGh_5tjPmD3GQp5XG2EJ6SkcQTvnhTZYb3reU4Jvd8gpcFfOUIXGWwplnh9hXcLZ7=w1200|https://lh3.googleusercontent.com/pw/AP1GczOi9XmgHxrnXOwC2dxONmD6OdfpXJ8ei6WzK0Zmnf5LgvOFKOMGdqt9AWwHCIskLVp8_A8iflcOWYZMwJFZdWJFZWIMTFuQu0MoPCV6"&amp;"O88em3L_x2su=w1200|https://lh3.googleusercontent.com/pw/AP1GczM_CfX0k0IG71yw0yG3btPm8FEsgN1gb-NCevWeibnyzS10Y5jMcWJKT1FD5i0h5K3N_E4WIv_BBO5jn4ZQNpzf6wuiQrddTsF_GKDd6yRvQEuk0eY-=w1200|https://lh3.googleusercontent.com/pw/AP1GczNvw-G7vXIcy76ZbV3Lps3TiolyLHV"&amp;"jNDW7dEEJJUNLz2J1tpNzS54Q6FOqXRovU6m_DHyPop3fZ16Yu9-Ga-lHe35JPsMcYDMOf1c4pB-4nmYXnrdH=w1200|https://lh3.googleusercontent.com/pw/AP1GczNsQJyWcfO3oNNyZqFIrJf6B5sQtzuM4qmIfGK70ODqPPmCUijMctE8oHGYoU77e89drx5hKxLXOY_PwODZMLpOodU7wK7OZD2nzSfLmp9l1K8GKYO-=w1200"&amp;"|https://lh3.googleusercontent.com/pw/AP1GczPsfq5v_hU7zhHZF2imgNWiAldHENwT78bSH7Xf5mYtRwXQAdLdmsXOcY7pM4IgOo7RaEBX2r4tGykMZgvyG9qYp1WOMwiVt1lZl7oFSvMVYPjBb3aH=w1200|https://lh3.googleusercontent.com/pw/AP1GczN7pZ-o6Mq-Q4JW2yNQDgrAyv3xGv8FAZcs9OP6P2843Kkqv"&amp;"G0KW7wZtlOfs8sQxX7WI3V3LyWXeA-yltUxbXy0rvO3fr31EyyqJTinvsXNzhWKLpPY=w1200|https://lh3.googleusercontent.com/pw/AP1GczNCQwN85Tl6URnsRSyd5AIAEGncH_ZV8fj-MIlGVokISIhTzboHEPhxdrz66gEToITqoGZCRzJv9F3QZmWEmD9Cz_kVkA4T-3XANKgv0GSijGng3y4Q=w1200|https://lh3.googl"&amp;"eusercontent.com/pw/AP1GczNjew_Ez3NUJMD2UlVo-e3p45keKRr1WyCV0xAAnD1zPnOTiiR2-zUnFt2yNwG5IhPDrP93XmHXA5Lb60seGAk61KoFcP1GIQzlcqph4Wwc2Cf6uGwo=w1200")</f>
        <v>https://lh3.googleusercontent.com/pw/AP1GczOXiAJkfM7RvjDeJds88Nw9Uv6g-q5UsMvIxX45uYfe_J2CioNj2xWAxIa3BAGPJISjPlUf9HE6TDJmImvKVO_l2RTLTHGP_bxwsn0JmAiZkZQ5U2L7=w1200|https://lh3.googleusercontent.com/pw/AP1GczNgEDhyHZT1wo2MSwOM48B3xyMwtuTJJh3AEjv_cOWfMv9-WRkc67Og-1FF9CrYQPZix-G8ctcz6Ws0AdiPRKMSMVjaaOkPw_CSdkwccgG_r5JZwJG1=w1200|https://lh3.googleusercontent.com/pw/AP1GczP1WNN1isZz51MXqVgzUZF2EQb4SBWEA85mJbktissqx-NdTPkTdyM2f2-42-RkydZZa5j7VL90GcTwEo5TphLgayRBTaJNe3JmO6Jced5EOpKlbsWA=w1200|https://lh3.googleusercontent.com/pw/AP1GczMOnVLITe1iYwEgZL2z0T2_wEQQ8lE63h9fFq5VPPnoeu6mUHPwpkw0akfkzxMEZFrd3l55IVXgWFvqRoZz0f9PEgd0nZJwrrh9sFLo5Fhlz5plvzeg=w1200|https://lh3.googleusercontent.com/pw/AP1GczPaW79adudlPoXChBN6nVs4gEzyGfWnY2-gfjFg62LVa1s9WHvjrR8NxXR88SsbajdL03AMUjE5RF_LGSOArAeRpYA4lJnMUqYSeFUDSMZhisTnOEVo=w1200|https://lh3.googleusercontent.com/pw/AP1GczM4PU7wlVcHfg_My0eeQEWvfGGfZH85LNkZ9Mms-6ySIVf0DebgKcJRj_AyauVzvwGFs1rmxYAm7Gp7km1KXh4aJKhfFsa5pRwC375toeHNPVM3S1ux=w1200|https://lh3.googleusercontent.com/pw/AP1GczNZaZ4MwnsDBha-Qf95Z-tO73jMwzr89l0zmG7zGUTfzBPgK7gRwYniMVBGkYBsaHYjw2-_M8vqXJnxjWp62oFY_FZkq72i7pJBYQKrfeFQsdlsbeP_=w1200|https://lh3.googleusercontent.com/pw/AP1GczO8gEZe3Ruq162tsH36uaXcMjNVUHHvkNfsWj5NNzsZ4osPmSrIdn6LGB86JgwtworfKzXtB_eNwU8zkjy0ybcOH3H4e26UWjYODCiPaMfZ6wrv7Yzt=w1200|https://lh3.googleusercontent.com/pw/AP1GczP9VG7DsAVkVYGm4cb5VIvCBRKBjmRs4LozNRNywt5ruAPhQJ4ObBMv3KQqluyq8uJxMtF6BpALSI9mYaATFIepL14zo-ztQnFVtzhk6g8_z-8t45zk=w1200|https://lh3.googleusercontent.com/pw/AP1GczNYJLIsVqQ88CLJjUw1WjTg1LV0H-V7RjfsZxx8AYRJ_QKbqpJbGh_5tjPmD3GQp5XG2EJ6SkcQTvnhTZYb3reU4Jvd8gpcFfOUIXGWwplnh9hXcLZ7=w1200|https://lh3.googleusercontent.com/pw/AP1GczOi9XmgHxrnXOwC2dxONmD6OdfpXJ8ei6WzK0Zmnf5LgvOFKOMGdqt9AWwHCIskLVp8_A8iflcOWYZMwJFZdWJFZWIMTFuQu0MoPCV6O88em3L_x2su=w1200|https://lh3.googleusercontent.com/pw/AP1GczM_CfX0k0IG71yw0yG3btPm8FEsgN1gb-NCevWeibnyzS10Y5jMcWJKT1FD5i0h5K3N_E4WIv_BBO5jn4ZQNpzf6wuiQrddTsF_GKDd6yRvQEuk0eY-=w1200|https://lh3.googleusercontent.com/pw/AP1GczNvw-G7vXIcy76ZbV3Lps3TiolyLHVjNDW7dEEJJUNLz2J1tpNzS54Q6FOqXRovU6m_DHyPop3fZ16Yu9-Ga-lHe35JPsMcYDMOf1c4pB-4nmYXnrdH=w1200|https://lh3.googleusercontent.com/pw/AP1GczNsQJyWcfO3oNNyZqFIrJf6B5sQtzuM4qmIfGK70ODqPPmCUijMctE8oHGYoU77e89drx5hKxLXOY_PwODZMLpOodU7wK7OZD2nzSfLmp9l1K8GKYO-=w1200|https://lh3.googleusercontent.com/pw/AP1GczPsfq5v_hU7zhHZF2imgNWiAldHENwT78bSH7Xf5mYtRwXQAdLdmsXOcY7pM4IgOo7RaEBX2r4tGykMZgvyG9qYp1WOMwiVt1lZl7oFSvMVYPjBb3aH=w1200|https://lh3.googleusercontent.com/pw/AP1GczN7pZ-o6Mq-Q4JW2yNQDgrAyv3xGv8FAZcs9OP6P2843KkqvG0KW7wZtlOfs8sQxX7WI3V3LyWXeA-yltUxbXy0rvO3fr31EyyqJTinvsXNzhWKLpPY=w1200|https://lh3.googleusercontent.com/pw/AP1GczNCQwN85Tl6URnsRSyd5AIAEGncH_ZV8fj-MIlGVokISIhTzboHEPhxdrz66gEToITqoGZCRzJv9F3QZmWEmD9Cz_kVkA4T-3XANKgv0GSijGng3y4Q=w1200|https://lh3.googleusercontent.com/pw/AP1GczNjew_Ez3NUJMD2UlVo-e3p45keKRr1WyCV0xAAnD1zPnOTiiR2-zUnFt2yNwG5IhPDrP93XmHXA5Lb60seGAk61KoFcP1GIQzlcqph4Wwc2Cf6uGwo=w1200</v>
      </c>
      <c r="AJ418" s="46"/>
      <c r="AK418" s="46"/>
      <c r="AL418" s="46"/>
      <c r="AM418" s="46"/>
      <c r="AN418" s="46"/>
      <c r="AO418" s="46"/>
      <c r="AP418" s="46"/>
      <c r="AQ418" s="46"/>
      <c r="AR418" s="46"/>
      <c r="AS418" s="46"/>
      <c r="AT418" s="46"/>
      <c r="AU418" s="46"/>
      <c r="AV418" s="46"/>
      <c r="AW418" s="46"/>
      <c r="AX418" s="46"/>
      <c r="AY418" s="46"/>
      <c r="AZ418" s="46"/>
      <c r="BA418" s="46"/>
      <c r="BB418" s="46"/>
      <c r="BC418" s="46"/>
      <c r="BD418" s="46"/>
      <c r="BE418" s="46"/>
      <c r="BF418" s="46"/>
      <c r="BG418" s="46"/>
      <c r="BH418" s="46"/>
      <c r="BI418" s="46"/>
      <c r="BJ418" s="46"/>
      <c r="BK418" s="46"/>
      <c r="BL418" s="46"/>
      <c r="BM418" s="46"/>
      <c r="BN418" s="46"/>
      <c r="BO418" s="46"/>
      <c r="BP418" s="46"/>
      <c r="BQ418" s="46"/>
      <c r="BR418" s="46"/>
      <c r="BS418" s="46"/>
      <c r="BT418" s="46"/>
      <c r="BU418" s="46"/>
      <c r="BV418" s="46"/>
      <c r="BW418" s="46"/>
      <c r="BX418" s="46"/>
      <c r="BY418" s="46"/>
      <c r="BZ418" s="46"/>
      <c r="CA418" s="46"/>
      <c r="CB418" s="46"/>
      <c r="CC418" s="46"/>
    </row>
    <row r="419">
      <c r="A419" s="87" t="str">
        <f>IFERROR(__xludf.DUMMYFUNCTION("""COMPUTED_VALUE"""),"4750")</f>
        <v>4750</v>
      </c>
      <c r="B419" s="46" t="str">
        <f>IFERROR(__xludf.DUMMYFUNCTION("""COMPUTED_VALUE"""),"Casa campestre Indep. en la  Ulloa")</f>
        <v>Casa campestre Indep. en la  Ulloa</v>
      </c>
      <c r="C419" s="46" t="str">
        <f>IFERROR(__xludf.DUMMYFUNCTION("""COMPUTED_VALUE"""),"Casa campestre")</f>
        <v>Casa campestre</v>
      </c>
      <c r="D419" s="46" t="str">
        <f>IFERROR(__xludf.DUMMYFUNCTION("""COMPUTED_VALUE"""),"Ulloa")</f>
        <v>Ulloa</v>
      </c>
      <c r="E419" s="90"/>
      <c r="F419" s="90">
        <f>IFERROR(__xludf.DUMMYFUNCTION("""COMPUTED_VALUE"""),1.6E9)</f>
        <v>1600000000</v>
      </c>
      <c r="G419" s="46" t="str">
        <f>IFERROR(__xludf.DUMMYFUNCTION("""COMPUTED_VALUE"""),"Más de $1.000'000.000")</f>
        <v>Más de $1.000'000.000</v>
      </c>
      <c r="H419" s="46"/>
      <c r="I419" s="46"/>
      <c r="J419" s="46" t="str">
        <f>IFERROR(__xludf.DUMMYFUNCTION("""COMPUTED_VALUE"""),"Sur")</f>
        <v>Sur</v>
      </c>
      <c r="K419" s="87"/>
      <c r="L419" s="46">
        <f>IFERROR(__xludf.DUMMYFUNCTION("""COMPUTED_VALUE"""),5.0)</f>
        <v>5</v>
      </c>
      <c r="M419" s="46"/>
      <c r="N419" s="46">
        <f>IFERROR(__xludf.DUMMYFUNCTION("""COMPUTED_VALUE"""),7.0)</f>
        <v>7</v>
      </c>
      <c r="O419" s="46">
        <f>IFERROR(__xludf.DUMMYFUNCTION("""COMPUTED_VALUE"""),5.0)</f>
        <v>5</v>
      </c>
      <c r="P419" s="46">
        <f>IFERROR(__xludf.DUMMYFUNCTION("""COMPUTED_VALUE"""),2.0)</f>
        <v>2</v>
      </c>
      <c r="Q419" s="92">
        <f>IFERROR(__xludf.DUMMYFUNCTION("""COMPUTED_VALUE"""),500.0)</f>
        <v>500</v>
      </c>
      <c r="R419" s="92">
        <f>IFERROR(__xludf.DUMMYFUNCTION("""COMPUTED_VALUE"""),1730.0)</f>
        <v>1730</v>
      </c>
      <c r="S419" s="87" t="str">
        <f>IFERROR(__xludf.DUMMYFUNCTION("""COMPUTED_VALUE""")," ")</f>
        <v> </v>
      </c>
      <c r="T419" s="46" t="str">
        <f>IFERROR(__xludf.DUMMYFUNCTION("""COMPUTED_VALUE"""),"Ulloa")</f>
        <v>Ulloa</v>
      </c>
      <c r="U419" s="87" t="str">
        <f>IFERROR(__xludf.DUMMYFUNCTION("""COMPUTED_VALUE"""),"0")</f>
        <v>0</v>
      </c>
      <c r="V419" s="46">
        <f>IFERROR(__xludf.DUMMYFUNCTION("""COMPUTED_VALUE"""),0.0)</f>
        <v>0</v>
      </c>
      <c r="W419" s="46"/>
      <c r="X419" s="46">
        <f>IFERROR(__xludf.DUMMYFUNCTION("""COMPUTED_VALUE"""),5.0)</f>
        <v>5</v>
      </c>
      <c r="Y419" s="46" t="str">
        <f>IFERROR(__xludf.DUMMYFUNCTION("""COMPUTED_VALUE"""),"Privada")</f>
        <v>Privada</v>
      </c>
      <c r="Z419" s="90" t="str">
        <f>IFERROR(__xludf.DUMMYFUNCTION("""COMPUTED_VALUE"""),"No aplica")</f>
        <v>No aplica</v>
      </c>
      <c r="AA419" s="33" t="str">
        <f>IFERROR(__xludf.DUMMYFUNCTION("""COMPUTED_VALUE"""),"No aplica")</f>
        <v>No aplica</v>
      </c>
      <c r="AB419" s="144" t="str">
        <f>IFERROR(__xludf.DUMMYFUNCTION("""COMPUTED_VALUE"""),"https://photos.app.goo.gl/upL9KbdeM1GpG72v8")</f>
        <v>https://photos.app.goo.gl/upL9KbdeM1GpG72v8</v>
      </c>
      <c r="AC419" s="46" t="str">
        <f>IFERROR(__xludf.DUMMYFUNCTION("""COMPUTED_VALUE"""),"Espectacular casa campestre con o sin mobiliario ubicada a cinco minutos del parque la Ulloa vía rivera. Consta de: *portón y puerta auxiliar automática *2 salas *sala de televisión *comedor *5 habitaciones cada una con baño privado, closet y aire acondic"&amp;"ionado *cocina integral *2 baños sociales *estudio *zona de lavandería *zona bbq *terraza con zona bbq y baño social *piscina con pequeña zona de playa *zona de jardinería de aproximadamente 800 m2 *perrera de 250 m2 *garaje para carros *bodega *rodeada d"&amp;"e mucha naturaleza y tranquilidad.")</f>
        <v>Espectacular casa campestre con o sin mobiliario ubicada a cinco minutos del parque la Ulloa vía rivera. Consta de: *portón y puerta auxiliar automática *2 salas *sala de televisión *comedor *5 habitaciones cada una con baño privado, closet y aire acondicionado *cocina integral *2 baños sociales *estudio *zona de lavandería *zona bbq *terraza con zona bbq y baño social *piscina con pequeña zona de playa *zona de jardinería de aproximadamente 800 m2 *perrera de 250 m2 *garaje para carros *bodega *rodeada de mucha naturaleza y tranquilidad.</v>
      </c>
      <c r="AD419" s="46" t="str">
        <f>IFERROR(__xludf.DUMMYFUNCTION("""COMPUTED_VALUE"""),"Cuenta con buena ubicación y acabados.")</f>
        <v>Cuenta con buena ubicación y acabados.</v>
      </c>
      <c r="AE419" s="46"/>
      <c r="AF419" s="46" t="str">
        <f>IFERROR(__xludf.DUMMYFUNCTION("""COMPUTED_VALUE"""),"integral")</f>
        <v>integral</v>
      </c>
      <c r="AG419" s="46"/>
      <c r="AH419" s="46" t="str">
        <f>IFERROR(__xludf.DUMMYFUNCTION("""COMPUTED_VALUE"""),"Aliado")</f>
        <v>Aliado</v>
      </c>
      <c r="AI419" s="92" t="str">
        <f>IFERROR(__xludf.DUMMYFUNCTION("""COMPUTED_VALUE"""),"https://lh3.googleusercontent.com/pw/AP1GczPN_A3gXO6a9al91o2C0SNh8Fjf0fXiZdFUmliDBd5sAzEYnYm5ofUBiC_RXltCiyL6TboDtIMrZ0jP7N85gqb6jEbb9SfE6pEqNNY_G_-Q6OG7M5jG=w1200|https://lh3.googleusercontent.com/pw/AP1GczNtpYJl1xeegJvlgZi8yZ6dIJodyCqKsiIljxWI7855ZpE8oe"&amp;"6--LFtg6boDBjnLc1iKL3dQ_SY2HpjexQJSUaH3oGpmaFA5v0rLCxiK1Fwqbehnvzq=w1200|https://lh3.googleusercontent.com/pw/AP1GczNBbyiPVw1PvqJTNiUKred6C3AFk6nMP6YcYxT5xcrJ6pHIATPbbqo3yDVdenRXq9TQiYbRrTINqIAJcHd2b3516axWn-rVE7nASGwd1x8Z3mGN9SAE=w1200|https://lh3.google"&amp;"usercontent.com/pw/AP1GczOX-S6pyN8bDywUmxvJ_XRFA7hfBSIxpgqHUZlfHqBr_rRN9wLFg0wqb5-irdIenYlQIH39NM1T1MOblQdbEdwel9vdvC2H6UuIRdIB9kTRwkvT_Mj0=w1200|https://lh3.googleusercontent.com/pw/AP1GczOmvKtgR0DNLW0ttqNFSqMYCKJcDJW8mslCbXH07xw8ThPxuCc4J92g-r464YIrirW7"&amp;"sJ147NP5NA5h15lWq7Z0UZL6mssR5w_ec2CYovfAdjsIGh4o=w1200|https://lh3.googleusercontent.com/pw/AP1GczP6XCYVorOKMNFgKjJKZ2sYMeGwn2rj7dIjk8h-56HadwjBmttkFHHtAJhyU5FmfnvWYePEw8ln_2m_KTuL1xx4YCDWc0ZZBLXQuvz-CImkbTHdxHrg=w1200|https://lh3.googleusercontent.com/pw"&amp;"/AP1GczOJHh3um052iQt0SFj4ugfS_kMS7nkKO0eePcf0hhYhxc9X66ziLKVSJWEBNxQF2Y7zeFX6PXwlhlQFG1GZsleWkGTdjRgRPOHL0NvoUopFeanlrGnX=w1200|https://lh3.googleusercontent.com/pw/AP1GczOzImgMePu63O8MXMmysDElUmDmUU5T9wLL2yPjPGrAAUXzbNlOPxxOXu678G_0ZNR8hzfBFskKlSS0Vk_kQ7"&amp;"02njlwjDw1ARB_hVZWCs214f78v3x8=w1200|https://lh3.googleusercontent.com/pw/AP1GczNnZewmV0xi0pO9Rio3kfecRZyAO5KjJmQu9I9SKVwLGfKdux5wWaT8uBrEc7o4Vui1y2HtMIiN1Y6Bme0oTULT6IbphgCKl9FZFFReH22ZL1ctQRue=w1200|https://lh3.googleusercontent.com/pw/AP1GczM4qllNO_4Jo"&amp;"hDhB-xzXPY8yssVtAyV0jJ-cVfj-yaH7r7pfbgMm5DMBKn75VXN9or_LroV4GmHWv_ioC95idB30k4WFmvD_Ge4gTkPbQx0aovEvXjs=w1200|https://lh3.googleusercontent.com/pw/AP1GczPW7wVWdphUaxoTOnnqkStJYm_smRLaYDeqJk4lv-Vj_VOE23_NRzWNB9ugdPTK8MFIajH-AxzDkrsJKRP5J1RfKIeLZ_2QWhzrZzw-"&amp;"x17w_O6f9RNa=w1200|https://lh3.googleusercontent.com/pw/AP1GczMtJwn8AOO49QVQtbx6cymXKmT6k7BLOpIjynHlSlto_d-kEQXnVs2Z4LCITdRgrtVj78wkKQPHZto5maTXWQk9rmTSe2BKGROLBhdFW-VkN1aAJ5cc=w1200|https://lh3.googleusercontent.com/pw/AP1GczO-LGPcH-TDPUS6OIyGXngvGICJN99"&amp;"8Z9c-D73QYRGLKvOWyM1COsoS-IACDclwryADHeLBER31xAF__JwU-6DiSAe8wq3x3NBNBdgffzaHBMeQnjmz=w1200|https://lh3.googleusercontent.com/pw/AP1GczPJGheF9vLcIKaaVhF5-h3ndCYi9rmt0ORDxkIzCkXtY6QJrM6MH15cKurw2mcaMmZ1mbcOtK6pPsNufgZcxq5Riq6SFh8ByeJzMXUBJV_zwymN6L5V=w1200"&amp;"|https://lh3.googleusercontent.com/pw/AP1GczP_35m8lPi5-_H0xsPwzBVYugUci94sk-zgQNg2eMWS5jz5pSOIyI0-qxpgCmaymSe5y4KhwOQPKznEWeoTdV-kpZgOIYoM1FMfQhmGyu41BGG6WAQA=w1200|https://lh3.googleusercontent.com/pw/AP1GczPJXVVpZnlTGzS2JKkIe4D2tFc2Nvi0BquA9wgX_sAoeWtpv"&amp;"8uIisK-3GgOISCwJwOX_mjRi464H8xwvkxht0Rx6ewwdl8RlhZw3pSYRd7GubJW2MMu=w1200|https://lh3.googleusercontent.com/pw/AP1GczPqcVAZXMI1RJC1DdfIhhx4sGfpbhvsprLrxd3bEh6tv50yLkKG6XUlSaxQAdSdQFOc0gEdBdIw4JhLnz1azhXy0os-T1xCNf05O-_qfO_YvB8vVbIv=w1200|https://lh3.googl"&amp;"eusercontent.com/pw/AP1GczPn5_b3Y-Kg40k3SRWUaIbc3x-UzUyX2W75cV72LOB7ci78nrq-AISXy5uOSVN_kMSrBYJtziM4wKjIhJzJu9ecUNFpam6pggJp0vjALSbXLWHdJscj=w1200|https://lh3.googleusercontent.com/pw/AP1GczOXf9fMEw3p_34c99chSrb0H5Tc4LcqpjMyLo_YmoPbXN5MVavBxewWprlwAzVhGsB"&amp;"Mzuzyb9Du3j_-RKXJfJMFthNcBTPFlfQR49QaMKzguTi1jKzg=w1200|https://lh3.googleusercontent.com/pw/AP1GczNR9YpdSsiL5EdVSxuejZRyNN0ubXpIINGNcyOMoAMOfzWFQZqNaP8SMLU3eWXv4V0qlW8AEn_HRVHMAKpSNq-wVGQdnHyQ6AvBbwlg17Dutaoswr6N=w1200|https://lh3.googleusercontent.com/p"&amp;"w/AP1GczN5y-FbUEO_Ab1PfBIAD1AOe-eCFNFWNW2s2QbYhazr3y5VWDBN9c-NtlPjgvB4G1d_vERv8kGr7P0_j8AIqF-iTxSjqCrTVqC7VtTir79RRmlE2D-T=w1200|https://lh3.googleusercontent.com/pw/AP1GczON7QNwFW-curu8aNG1btEYNShexgYq6UkdHaHO_GqgiAFzQDrZejmhh8QbIZEGKoB6CSe8YRipnmJv5k1sM"&amp;"6DyrtSWwf_f-W1h41gQDQsj2RCZK577=w1200|https://lh3.googleusercontent.com/pw/AP1GczOzAjGvCvHiStI_0qtCF5gnYnr0n8qzdXBTidBDx-BKvPS284L4XTXuo38OF8gg4Tmr3oheG-zymw55d49mKEVis0JTgsNQe24m2RW0OzNCn6hMldgd=w1200|https://lh3.googleusercontent.com/pw/AP1GczNErTPYKYkS"&amp;"r5voLmMkrI9Hs91-p3dDzoEjD8ckyeLikxFO4Pi7vsuc8xxKyxkdVcPDgoIXHWcCuXaWeN9WtOjYAZ_rmQbOPCF9fzoL_vy44pz8cULM=w1200|https://lh3.googleusercontent.com/pw/AP1GczNoae_aePxKP91QYyTETRJKs00CEIG8kSk0MUFWcb_BYgpoLWZ2gT_DmttI0E9QySas5qprxOs1QrtRUNe3wyMPtRW-okQqiVlyoJA"&amp;"m92wwLCP3CwOq=w1200|https://lh3.googleusercontent.com/pw/AP1GczO1Ga2ohzmo6xrmtx_5wx3ImZx2NwuCezVqJ_8dwxwF-KJ24VHO52RCNK9uMiK3J1mQGmHWcRmownZUCcCONyJ35t6UrecmRBGQRwsS_-BhhWGDz_2m=w1200|https://lh3.googleusercontent.com/pw/AP1GczM_BZGw1GH9kwU4TEoITVXzgq5L2C"&amp;"5A9mR_KGB9PZf3SD8wvSlyhSaNI8W96HkqZZ-0fXJGMyfyx4hln2yum13UyfCgplyKJm22kkDme_TCdSyUYhs1=w1200|https://lh3.googleusercontent.com/pw/AP1GczMHBj6TuP8fuvtZ3h5xjf46IWvfCfXDOaPcN2d72RSDt_RCi9hQ9yvLlwe5KxfEJvHwrO38rT9FHye0FoREZfZQ5FEoiNoLu6SafHykpmDXnksoH0c9=w120"&amp;"0|https://lh3.googleusercontent.com/pw/AP1GczP8OkefJp9eeQuC5TCYnKqh_JjkPjDiiNvM_1aEXhPeakjd_MzSsM9_Q4iGgyJBU-qM2uwX5V4uvGT_1l_hg4qs2cQDa4FTY9RWXF9qdVT4ZYLtJUgY=w1200|https://lh3.googleusercontent.com/pw/AP1GczOBCznlPLn5tpwSMyINfM0-BSyX5Jgf4RZUJDU5nm8YAGR0"&amp;"-z-QFVLgBjjz7N6viKFUJPXGLOIUK5klfUKalpo_ZFabWyMDFjMZMZwN8UNemq-bw-ym=w1200|https://lh3.googleusercontent.com/pw/AP1GczOUE4EZeIJmdzQ8zl2auxOoVfWECUTc2tHFsmLAmK3svV8WotFfvXq-36pWZy7nZoBD0pgPmQp2t07kOIkLRXI3_BVeVCYxn8hFHj9Yf5zHpguLTHcu=w1200|https://lh3.goog"&amp;"leusercontent.com/pw/AP1GczMpgKxuXZG2KPqqeQa_rrTmjx-mxbMjm5FBgy4ssG4YG1pXLN47R4M3_d72OUmYB2_ipFOeIDGtVV08qzeaNRYVluCiKzg490Y2q1OauYoY6gIeJDuM=w1200")</f>
        <v>https://lh3.googleusercontent.com/pw/AP1GczPN_A3gXO6a9al91o2C0SNh8Fjf0fXiZdFUmliDBd5sAzEYnYm5ofUBiC_RXltCiyL6TboDtIMrZ0jP7N85gqb6jEbb9SfE6pEqNNY_G_-Q6OG7M5jG=w1200|https://lh3.googleusercontent.com/pw/AP1GczNtpYJl1xeegJvlgZi8yZ6dIJodyCqKsiIljxWI7855ZpE8oe6--LFtg6boDBjnLc1iKL3dQ_SY2HpjexQJSUaH3oGpmaFA5v0rLCxiK1Fwqbehnvzq=w1200|https://lh3.googleusercontent.com/pw/AP1GczNBbyiPVw1PvqJTNiUKred6C3AFk6nMP6YcYxT5xcrJ6pHIATPbbqo3yDVdenRXq9TQiYbRrTINqIAJcHd2b3516axWn-rVE7nASGwd1x8Z3mGN9SAE=w1200|https://lh3.googleusercontent.com/pw/AP1GczOX-S6pyN8bDywUmxvJ_XRFA7hfBSIxpgqHUZlfHqBr_rRN9wLFg0wqb5-irdIenYlQIH39NM1T1MOblQdbEdwel9vdvC2H6UuIRdIB9kTRwkvT_Mj0=w1200|https://lh3.googleusercontent.com/pw/AP1GczOmvKtgR0DNLW0ttqNFSqMYCKJcDJW8mslCbXH07xw8ThPxuCc4J92g-r464YIrirW7sJ147NP5NA5h15lWq7Z0UZL6mssR5w_ec2CYovfAdjsIGh4o=w1200|https://lh3.googleusercontent.com/pw/AP1GczP6XCYVorOKMNFgKjJKZ2sYMeGwn2rj7dIjk8h-56HadwjBmttkFHHtAJhyU5FmfnvWYePEw8ln_2m_KTuL1xx4YCDWc0ZZBLXQuvz-CImkbTHdxHrg=w1200|https://lh3.googleusercontent.com/pw/AP1GczOJHh3um052iQt0SFj4ugfS_kMS7nkKO0eePcf0hhYhxc9X66ziLKVSJWEBNxQF2Y7zeFX6PXwlhlQFG1GZsleWkGTdjRgRPOHL0NvoUopFeanlrGnX=w1200|https://lh3.googleusercontent.com/pw/AP1GczOzImgMePu63O8MXMmysDElUmDmUU5T9wLL2yPjPGrAAUXzbNlOPxxOXu678G_0ZNR8hzfBFskKlSS0Vk_kQ702njlwjDw1ARB_hVZWCs214f78v3x8=w1200|https://lh3.googleusercontent.com/pw/AP1GczNnZewmV0xi0pO9Rio3kfecRZyAO5KjJmQu9I9SKVwLGfKdux5wWaT8uBrEc7o4Vui1y2HtMIiN1Y6Bme0oTULT6IbphgCKl9FZFFReH22ZL1ctQRue=w1200|https://lh3.googleusercontent.com/pw/AP1GczM4qllNO_4JohDhB-xzXPY8yssVtAyV0jJ-cVfj-yaH7r7pfbgMm5DMBKn75VXN9or_LroV4GmHWv_ioC95idB30k4WFmvD_Ge4gTkPbQx0aovEvXjs=w1200|https://lh3.googleusercontent.com/pw/AP1GczPW7wVWdphUaxoTOnnqkStJYm_smRLaYDeqJk4lv-Vj_VOE23_NRzWNB9ugdPTK8MFIajH-AxzDkrsJKRP5J1RfKIeLZ_2QWhzrZzw-x17w_O6f9RNa=w1200|https://lh3.googleusercontent.com/pw/AP1GczMtJwn8AOO49QVQtbx6cymXKmT6k7BLOpIjynHlSlto_d-kEQXnVs2Z4LCITdRgrtVj78wkKQPHZto5maTXWQk9rmTSe2BKGROLBhdFW-VkN1aAJ5cc=w1200|https://lh3.googleusercontent.com/pw/AP1GczO-LGPcH-TDPUS6OIyGXngvGICJN998Z9c-D73QYRGLKvOWyM1COsoS-IACDclwryADHeLBER31xAF__JwU-6DiSAe8wq3x3NBNBdgffzaHBMeQnjmz=w1200|https://lh3.googleusercontent.com/pw/AP1GczPJGheF9vLcIKaaVhF5-h3ndCYi9rmt0ORDxkIzCkXtY6QJrM6MH15cKurw2mcaMmZ1mbcOtK6pPsNufgZcxq5Riq6SFh8ByeJzMXUBJV_zwymN6L5V=w1200|https://lh3.googleusercontent.com/pw/AP1GczP_35m8lPi5-_H0xsPwzBVYugUci94sk-zgQNg2eMWS5jz5pSOIyI0-qxpgCmaymSe5y4KhwOQPKznEWeoTdV-kpZgOIYoM1FMfQhmGyu41BGG6WAQA=w1200|https://lh3.googleusercontent.com/pw/AP1GczPJXVVpZnlTGzS2JKkIe4D2tFc2Nvi0BquA9wgX_sAoeWtpv8uIisK-3GgOISCwJwOX_mjRi464H8xwvkxht0Rx6ewwdl8RlhZw3pSYRd7GubJW2MMu=w1200|https://lh3.googleusercontent.com/pw/AP1GczPqcVAZXMI1RJC1DdfIhhx4sGfpbhvsprLrxd3bEh6tv50yLkKG6XUlSaxQAdSdQFOc0gEdBdIw4JhLnz1azhXy0os-T1xCNf05O-_qfO_YvB8vVbIv=w1200|https://lh3.googleusercontent.com/pw/AP1GczPn5_b3Y-Kg40k3SRWUaIbc3x-UzUyX2W75cV72LOB7ci78nrq-AISXy5uOSVN_kMSrBYJtziM4wKjIhJzJu9ecUNFpam6pggJp0vjALSbXLWHdJscj=w1200|https://lh3.googleusercontent.com/pw/AP1GczOXf9fMEw3p_34c99chSrb0H5Tc4LcqpjMyLo_YmoPbXN5MVavBxewWprlwAzVhGsBMzuzyb9Du3j_-RKXJfJMFthNcBTPFlfQR49QaMKzguTi1jKzg=w1200|https://lh3.googleusercontent.com/pw/AP1GczNR9YpdSsiL5EdVSxuejZRyNN0ubXpIINGNcyOMoAMOfzWFQZqNaP8SMLU3eWXv4V0qlW8AEn_HRVHMAKpSNq-wVGQdnHyQ6AvBbwlg17Dutaoswr6N=w1200|https://lh3.googleusercontent.com/pw/AP1GczN5y-FbUEO_Ab1PfBIAD1AOe-eCFNFWNW2s2QbYhazr3y5VWDBN9c-NtlPjgvB4G1d_vERv8kGr7P0_j8AIqF-iTxSjqCrTVqC7VtTir79RRmlE2D-T=w1200|https://lh3.googleusercontent.com/pw/AP1GczON7QNwFW-curu8aNG1btEYNShexgYq6UkdHaHO_GqgiAFzQDrZejmhh8QbIZEGKoB6CSe8YRipnmJv5k1sM6DyrtSWwf_f-W1h41gQDQsj2RCZK577=w1200|https://lh3.googleusercontent.com/pw/AP1GczOzAjGvCvHiStI_0qtCF5gnYnr0n8qzdXBTidBDx-BKvPS284L4XTXuo38OF8gg4Tmr3oheG-zymw55d49mKEVis0JTgsNQe24m2RW0OzNCn6hMldgd=w1200|https://lh3.googleusercontent.com/pw/AP1GczNErTPYKYkSr5voLmMkrI9Hs91-p3dDzoEjD8ckyeLikxFO4Pi7vsuc8xxKyxkdVcPDgoIXHWcCuXaWeN9WtOjYAZ_rmQbOPCF9fzoL_vy44pz8cULM=w1200|https://lh3.googleusercontent.com/pw/AP1GczNoae_aePxKP91QYyTETRJKs00CEIG8kSk0MUFWcb_BYgpoLWZ2gT_DmttI0E9QySas5qprxOs1QrtRUNe3wyMPtRW-okQqiVlyoJAm92wwLCP3CwOq=w1200|https://lh3.googleusercontent.com/pw/AP1GczO1Ga2ohzmo6xrmtx_5wx3ImZx2NwuCezVqJ_8dwxwF-KJ24VHO52RCNK9uMiK3J1mQGmHWcRmownZUCcCONyJ35t6UrecmRBGQRwsS_-BhhWGDz_2m=w1200|https://lh3.googleusercontent.com/pw/AP1GczM_BZGw1GH9kwU4TEoITVXzgq5L2C5A9mR_KGB9PZf3SD8wvSlyhSaNI8W96HkqZZ-0fXJGMyfyx4hln2yum13UyfCgplyKJm22kkDme_TCdSyUYhs1=w1200|https://lh3.googleusercontent.com/pw/AP1GczMHBj6TuP8fuvtZ3h5xjf46IWvfCfXDOaPcN2d72RSDt_RCi9hQ9yvLlwe5KxfEJvHwrO38rT9FHye0FoREZfZQ5FEoiNoLu6SafHykpmDXnksoH0c9=w1200|https://lh3.googleusercontent.com/pw/AP1GczP8OkefJp9eeQuC5TCYnKqh_JjkPjDiiNvM_1aEXhPeakjd_MzSsM9_Q4iGgyJBU-qM2uwX5V4uvGT_1l_hg4qs2cQDa4FTY9RWXF9qdVT4ZYLtJUgY=w1200|https://lh3.googleusercontent.com/pw/AP1GczOBCznlPLn5tpwSMyINfM0-BSyX5Jgf4RZUJDU5nm8YAGR0-z-QFVLgBjjz7N6viKFUJPXGLOIUK5klfUKalpo_ZFabWyMDFjMZMZwN8UNemq-bw-ym=w1200|https://lh3.googleusercontent.com/pw/AP1GczOUE4EZeIJmdzQ8zl2auxOoVfWECUTc2tHFsmLAmK3svV8WotFfvXq-36pWZy7nZoBD0pgPmQp2t07kOIkLRXI3_BVeVCYxn8hFHj9Yf5zHpguLTHcu=w1200|https://lh3.googleusercontent.com/pw/AP1GczMpgKxuXZG2KPqqeQa_rrTmjx-mxbMjm5FBgy4ssG4YG1pXLN47R4M3_d72OUmYB2_ipFOeIDGtVV08qzeaNRYVluCiKzg490Y2q1OauYoY6gIeJDuM=w1200</v>
      </c>
      <c r="AJ419" s="46"/>
      <c r="AK419" s="46"/>
      <c r="AL419" s="46"/>
      <c r="AM419" s="46"/>
      <c r="AN419" s="46"/>
      <c r="AO419" s="46"/>
      <c r="AP419" s="46"/>
      <c r="AQ419" s="46"/>
      <c r="AR419" s="46"/>
      <c r="AS419" s="46"/>
      <c r="AT419" s="46"/>
      <c r="AU419" s="46"/>
      <c r="AV419" s="46"/>
      <c r="AW419" s="46"/>
      <c r="AX419" s="46"/>
      <c r="AY419" s="46"/>
      <c r="AZ419" s="46"/>
      <c r="BA419" s="46"/>
      <c r="BB419" s="46"/>
      <c r="BC419" s="46"/>
      <c r="BD419" s="46"/>
      <c r="BE419" s="46"/>
      <c r="BF419" s="46"/>
      <c r="BG419" s="46"/>
      <c r="BH419" s="46"/>
      <c r="BI419" s="46"/>
      <c r="BJ419" s="46"/>
      <c r="BK419" s="46"/>
      <c r="BL419" s="46"/>
      <c r="BM419" s="46"/>
      <c r="BN419" s="46"/>
      <c r="BO419" s="46"/>
      <c r="BP419" s="46"/>
      <c r="BQ419" s="46"/>
      <c r="BR419" s="46"/>
      <c r="BS419" s="46"/>
      <c r="BT419" s="46"/>
      <c r="BU419" s="46"/>
      <c r="BV419" s="46"/>
      <c r="BW419" s="46"/>
      <c r="BX419" s="46"/>
      <c r="BY419" s="46"/>
      <c r="BZ419" s="46"/>
      <c r="CA419" s="46"/>
      <c r="CB419" s="46"/>
      <c r="CC419" s="46"/>
    </row>
    <row r="420">
      <c r="A420" s="87" t="str">
        <f>IFERROR(__xludf.DUMMYFUNCTION("""COMPUTED_VALUE"""),"4864")</f>
        <v>4864</v>
      </c>
      <c r="B420" s="46" t="str">
        <f>IFERROR(__xludf.DUMMYFUNCTION("""COMPUTED_VALUE"""),"Casa campestre en Rivera")</f>
        <v>Casa campestre en Rivera</v>
      </c>
      <c r="C420" s="46" t="str">
        <f>IFERROR(__xludf.DUMMYFUNCTION("""COMPUTED_VALUE"""),"Casa campestre")</f>
        <v>Casa campestre</v>
      </c>
      <c r="D420" s="90"/>
      <c r="E420" s="46"/>
      <c r="F420" s="90">
        <f>IFERROR(__xludf.DUMMYFUNCTION("""COMPUTED_VALUE"""),1.5E9)</f>
        <v>1500000000</v>
      </c>
      <c r="G420" s="46" t="str">
        <f>IFERROR(__xludf.DUMMYFUNCTION("""COMPUTED_VALUE"""),"Más de $1.000'000.000")</f>
        <v>Más de $1.000'000.000</v>
      </c>
      <c r="H420" s="46"/>
      <c r="I420" s="46"/>
      <c r="J420" s="46" t="str">
        <f>IFERROR(__xludf.DUMMYFUNCTION("""COMPUTED_VALUE"""),"Sur")</f>
        <v>Sur</v>
      </c>
      <c r="K420" s="87"/>
      <c r="L420" s="46">
        <f>IFERROR(__xludf.DUMMYFUNCTION("""COMPUTED_VALUE"""),5.0)</f>
        <v>5</v>
      </c>
      <c r="M420" s="46"/>
      <c r="N420" s="46">
        <f>IFERROR(__xludf.DUMMYFUNCTION("""COMPUTED_VALUE"""),5.0)</f>
        <v>5</v>
      </c>
      <c r="O420" s="46">
        <f>IFERROR(__xludf.DUMMYFUNCTION("""COMPUTED_VALUE"""),5.0)</f>
        <v>5</v>
      </c>
      <c r="P420" s="46">
        <f>IFERROR(__xludf.DUMMYFUNCTION("""COMPUTED_VALUE"""),1.0)</f>
        <v>1</v>
      </c>
      <c r="Q420" s="92">
        <f>IFERROR(__xludf.DUMMYFUNCTION("""COMPUTED_VALUE"""),0.0)</f>
        <v>0</v>
      </c>
      <c r="R420" s="92">
        <f>IFERROR(__xludf.DUMMYFUNCTION("""COMPUTED_VALUE"""),0.0)</f>
        <v>0</v>
      </c>
      <c r="S420" s="87" t="str">
        <f>IFERROR(__xludf.DUMMYFUNCTION("""COMPUTED_VALUE""")," ")</f>
        <v> </v>
      </c>
      <c r="T420" s="46" t="str">
        <f>IFERROR(__xludf.DUMMYFUNCTION("""COMPUTED_VALUE"""),"Rivera")</f>
        <v>Rivera</v>
      </c>
      <c r="U420" s="87"/>
      <c r="V420" s="46" t="str">
        <f>IFERROR(__xludf.DUMMYFUNCTION("""COMPUTED_VALUE"""),"Medianera")</f>
        <v>Medianera</v>
      </c>
      <c r="W420" s="46"/>
      <c r="X420" s="46">
        <f>IFERROR(__xludf.DUMMYFUNCTION("""COMPUTED_VALUE"""),5.0)</f>
        <v>5</v>
      </c>
      <c r="Y420" s="46" t="str">
        <f>IFERROR(__xludf.DUMMYFUNCTION("""COMPUTED_VALUE"""),"Privada")</f>
        <v>Privada</v>
      </c>
      <c r="Z420" s="90"/>
      <c r="AA420" s="33"/>
      <c r="AB420" s="144" t="str">
        <f>IFERROR(__xludf.DUMMYFUNCTION("""COMPUTED_VALUE"""),"https://photos.app.goo.gl/fvusjk1XVdi67Cen9")</f>
        <v>https://photos.app.goo.gl/fvusjk1XVdi67Cen9</v>
      </c>
      <c r="AC420" s="46" t="str">
        <f>IFERROR(__xludf.DUMMYFUNCTION("""COMPUTED_VALUE"""),"La casa cuenta con una distribución ideal para vivienda familiar o explotación comercial, conformada por sala principal, sala adicional, comedor, altillo y cinco habitaciones, cada una con baño privado, ducha con agua caliente y aire acondicionado, garant"&amp;"izando comodidad total para huéspedes o residentes. En su zona exterior, la propiedad ofrece piscina, amplias zonas verdes, y un entorno amigable con el medio ambiente, rodeado de naturaleza y tranquilidad, características altamente valoradas en el mercad"&amp;"o turístico de Rivera. La capacidad de alojamiento es de hasta 25 personas, lo que la convierte en una excelente opción para alquiler de planes familiares, eventos empresariales y turismo vacacional.")</f>
        <v>La casa cuenta con una distribución ideal para vivienda familiar o explotación comercial, conformada por sala principal, sala adicional, comedor, altillo y cinco habitaciones, cada una con baño privado, ducha con agua caliente y aire acondicionado, garantizando comodidad total para huéspedes o residentes. En su zona exterior, la propiedad ofrece piscina, amplias zonas verdes, y un entorno amigable con el medio ambiente, rodeado de naturaleza y tranquilidad, características altamente valoradas en el mercado turístico de Rivera. La capacidad de alojamiento es de hasta 25 personas, lo que la convierte en una excelente opción para alquiler de planes familiares, eventos empresariales y turismo vacacional.</v>
      </c>
      <c r="AD420" s="46" t="str">
        <f>IFERROR(__xludf.DUMMYFUNCTION("""COMPUTED_VALUE"""),"Hermosa casa colonial en el municipio de Rivera, Huila, ubicada estratégicamente a solo tres cuadras del parque principal, en una zona turística de alta demanda y excelente valorización. Esta propiedad combina el encanto arquitectónico colonial con amplio"&amp;"s espacios, confort moderno y una fuerte proyección de rentabilidad turística y empresarial. La venta incluye todo el mobiliario, permitiendo iniciar operación inmediata sin inversiones adicionales. Adicionalmente, el propietario recibe permuta por inmueb"&amp;"les o vehículos, lo que amplía las alternativas de negociación.")</f>
        <v>Hermosa casa colonial en el municipio de Rivera, Huila, ubicada estratégicamente a solo tres cuadras del parque principal, en una zona turística de alta demanda y excelente valorización. Esta propiedad combina el encanto arquitectónico colonial con amplios espacios, confort moderno y una fuerte proyección de rentabilidad turística y empresarial. La venta incluye todo el mobiliario, permitiendo iniciar operación inmediata sin inversiones adicionales. Adicionalmente, el propietario recibe permuta por inmuebles o vehículos, lo que amplía las alternativas de negociación.</v>
      </c>
      <c r="AE420" s="46"/>
      <c r="AF420" s="46" t="str">
        <f>IFERROR(__xludf.DUMMYFUNCTION("""COMPUTED_VALUE"""),"integral")</f>
        <v>integral</v>
      </c>
      <c r="AG420" s="46"/>
      <c r="AH420" s="46" t="str">
        <f>IFERROR(__xludf.DUMMYFUNCTION("""COMPUTED_VALUE"""),"Aliado")</f>
        <v>Aliado</v>
      </c>
      <c r="AI420" s="92" t="str">
        <f>IFERROR(__xludf.DUMMYFUNCTION("""COMPUTED_VALUE"""),"https://lh3.googleusercontent.com/pw/AP1GczMThUiplyAck4RKNdF1H5jyz4fQZw-aar3l5Dx6miStsZF2375xohkaneXNi-fQkwgkdmpVz_RoEkaV93FLAsV7za2AJmT79dbjJlBVFYGt55olDwQv=w1200|https://lh3.googleusercontent.com/pw/AP1GczMSlvQmusyy6yxjvVBg9rOoh0Mo0ni4xklA7s4zAWolSL55oz"&amp;"FOkXIvjSsIauhWxyCX2CDCDnFfEeyYezETAX3LZWlqLNBF2VUZ6FoRVXZiPIZgao9r=w1200|https://lh3.googleusercontent.com/pw/AP1GczOSmVsX8RUcrJVt36Sih3v1l3zpn6UvZxnxwOLSadXBd1pDRwMyqB4UqHsKwgpql1Rz2zf1YzzHLvB8nIXNgxVI-shURl7a1Jm42j9n1FtI3indmfwa=w1200|https://lh3.google"&amp;"usercontent.com/pw/AP1GczMWyeAd5vM2C9cbeHOsTn_8gE_X10BxGN7ZhFEfKPgWFxy0ei-uXXNyjzNFVQ5DW3qzVaiH3_LwEt7dKdnE-iLjYUaBno1vb7gtYWdoUPQZHd_rl91z=w1200|https://lh3.googleusercontent.com/pw/AP1GczNBNRwMjl01zuSCPie5HHoDFHDLhmg0GInt-F66y1DdymNFCfyPWU78goQzRsvTIKtH"&amp;"x2nbMcHxQoCtOOfKSWw7crxqy6-pH8VBTo2GD_17cB5SGr32=w1200|https://lh3.googleusercontent.com/pw/AP1GczPL3AeXBc1sGlQk8duRkztQwyr5DQ_hfKlblWZ_6EhV7XlCXghkaJD8yvV90vt0-9N5FNQP1bwnUuGEsAhmUGtfbtG8MtX6hkIabpnlIJTkXDwk0Wot=w1200|https://lh3.googleusercontent.com/pw"&amp;"/AP1GczPz9VNWOSNtDOIyRGRtxOuJLlqeN0YxOnMNN3hOyWF0xc4rDW1sJLoasbNRxTDBUHARX6fix50RLyedjhpRvl_rCGDHAXhMr-MTiPywSscvXg9PaImR=w1200|https://lh3.googleusercontent.com/pw/AP1GczN1t_X0-2AMbtf3oNzKjpjWgRmrAow_IutZ1kOMiKr4UKzFS6jfl49JkxTmQ4E9YufDJM8fyXHjlUZXqaeo3b"&amp;"hM_FqfXJkWb3dLGoeWsHyN38ubAM6x=w1200|https://lh3.googleusercontent.com/pw/AP1GczMrYxsaPIRQ4KyXR5BATGxXLRZ9ovtkBhX0tzTnuOzFqZmasybjYW-buw2Oyue3lRXFieL7YzWMkS7d-hwCoH5Sd6jyx6PEfOBVOQz9SDhzotpKFAOL=w1200|https://lh3.googleusercontent.com/pw/AP1GczNR-ygDvbQO3"&amp;"fqzx-IqG4Qtw2a6EUKF4XZf1UL6PSw9dUFjEQdwe-Xv01bkPxCOhIJKQQmSovfgAgCYQP9_gBnB9xVFWEeVzsVVsMymj1L89V_zo6DN=w1200|https://lh3.googleusercontent.com/pw/AP1GczNUmHVEnR2h8hfQzqkFHWT3lWuFMn0V3MepyLbhilupz9Swd7tMssXgcTW4h1uG7z91EqW3q6ZR8tubMQo4bxhHX-3MHZ_52q_MrMlt"&amp;"QVu1Nh1YihOF=w1200|https://lh3.googleusercontent.com/pw/AP1GczPNd83kMuSgzuq8TTwSxJC-OYMzUHDOtmz6G5oU_bMeXhdWHsP-EGZKaYcaN0lOefF7BMB6i_n1j-R6CYK99fXVeYatqG_XEO6rKa39eqH5eCyHKm4X=w1200|https://lh3.googleusercontent.com/pw/AP1GczNWRmz0_qUyz8-5QzXj77r2RV89vkk"&amp;"ZdX7Kg-anit7WqIPNMuhlwKMT6UuHdQBFsBa5mJPZVTHbqe4bRkZqnktWsFMEoBrKxSTwvNNceERyVHNE1hDT=w1200|https://lh3.googleusercontent.com/pw/AP1GczOPhUMvcmZncl8ItyYaH-Xc902A5Pn7-yqjjl0D8zn1BJ2eIQ7LOmfs0lsxjHnmQuWmYuBaYGeSwLiR3noU5La0RftibOnjDZlpU-LsTj4RofXjZoII=w1200"&amp;"|https://lh3.googleusercontent.com/pw/AP1GczPeigl8fNkSv3vMW9yYawvTqxTU8XEx8QRkyIhTtEMdgXzHSMyTGSwgRi8p6A4xqj54sYbiuBs087SLsmFqfko_KhBSYUGWdnGxnSaNQh7PN6m5O8qQ=w1200|https://lh3.googleusercontent.com/pw/AP1GczOz_SiUpXQIDeuRpzVe5NlPGHUysAXMvL_FRUrLLh1_5wXXc"&amp;"48OovHFqJmSnRkw2qjPcl_V4NnjDa-rKgfiUWKrDT6iU2Q0dmRjKFNhx_8-Vgib5HCz=w1200|https://lh3.googleusercontent.com/pw/AP1GczOVin2I19R3stKyQwjBzTLf5DD_KTa7hjB98wvAo6pxqc3GjYJwGZvw0cWnWOa_SkmGna3QAFrK1sETpfZwDRQzCeyS0t9TJubziNwnLhaft6v9bMwA=w1200|https://lh3.googl"&amp;"eusercontent.com/pw/AP1GczPJUH-hqo7-cI58J_6X6kJYjGMaioIMVZRvVfA6exVLswc05ZbOJabLG-nw4bvlabj9v141zv7UVgDsOLE4dn2g180D_J778g5y4DfTMCUKas881ppQ=w1200|https://lh3.googleusercontent.com/pw/AP1GczPKPs3DV_tHhw6lujmhrPpgVE9PD6SIJnooon9pwljZqoHgf0IQGF3aqiIcJkMy5Ls"&amp;"7KvPyVLjiLj3qvoC7QvFYVh_Hp50ppgkZj065lNlW8H3_6MhI=w1200|https://lh3.googleusercontent.com/pw/AP1GczMpIinPdW6LSgQyyVpJ-6Wx913SvpwEHddOT8WuOSKVvUKZFf24W_cPZKK_shx_TLWeSxLKaZIjQvtXCBjmUINLtWugMS9NajHSBAYnOykzY7fww0bs=w1200|https://lh3.googleusercontent.com/p"&amp;"w/AP1GczOGS410ZG-zylD26-8px--ZrsUPTHQ4KKpgDSEv3pYfP8YLzP5VSYoJ92xrlX5FPseVwrs05O-jFsR5JB3ofXL3JVeiyRUeVX6-x0s4Cof5d5CKA3C6=w1200|https://lh3.googleusercontent.com/pw/AP1GczOkCllWUvb9ylbwg9G9kvaQ-M86dE5rZzsbovC_eQnW4bRAbeliMxNtdwkoO9H7PuXBXElpDGYiUgmxtVfRu"&amp;"qMZ5_Ihp9ZJZRftkaoor4bTCII1s8Re=w1200|https://lh3.googleusercontent.com/pw/AP1GczPYStdl3dOuWcPClvFgvt4EHBQlqZAUZoeeFNur6JJ-Elo1rG7o1SGqEKRROqZVcKeYJAMLnMfvE5U60fHqT5plcTlNEfPMUhR-KnnarePZn8tLCbme=w1200|https://lh3.googleusercontent.com/pw/AP1GczPSFYbmsUmS"&amp;"rQGqG394nbp37e8xMAEnTjXzLktY-qSkJe1a5CDXi_HOO5D1zarhtGW_PyTEVOX5fZQx2b00aWiLvnluPNOGwnJw76slVOJldaPCIMPy=w1200|https://lh3.googleusercontent.com/pw/AP1GczNdFTzQV_cRfD0b7qHQgJdiL7oBpYasKuJfJg8NxMPxBDNf4k_WvdXflWsGHwM6gsa9vPGcj0kL9dCT9SjZnwgF3rQBifr94rgHmJT"&amp;"URR35RCK0n4HG=w1200|https://lh3.googleusercontent.com/pw/AP1GczMcBAyL36Bhijm2XZd8TK4riFwFf-n9M65OiX6q5OU-MIsW81WWEdZ5an5B-IkM_VmuwgQDpXB3cYwr6Vk_sE6AqdSfsYlxh-larGoXP3O77e-A4QXb=w1200|https://lh3.googleusercontent.com/pw/AP1GczPMKil6F6LqEPuOwJF1IFx7Twcv32"&amp;"iBqR0OwwWStgkzQ1J5BenVHkXt59cFTYXIAPOrYIF8vDWMFu3lNTtsuQvWNQBVshRhPGH6UMpj-2hb3vlGuNv_=w1200|https://lh3.googleusercontent.com/pw/AP1GczOp2g5RAjTgjleidKjvLY1pRvhRYTjSnhKQg1du_eDSMcDkITD1CnCtvTN7plELYth6cWvfXXfX61XJSqniAe5KKg2x51fPTtW3tdxTw9Rx9fuYVV_E=w120"&amp;"0|https://lh3.googleusercontent.com/pw/AP1GczM4YpDXqN5FJ05tjOt5tRUug-VtanY8rQr_NV8N1PUSMeHyaOU39XvtRsfiBjF-w7tO6tieH_zBBHksUEHVO8p1_QVs554QFIMp3JfxauJq5ybyLp_C=w1200")</f>
        <v>https://lh3.googleusercontent.com/pw/AP1GczMThUiplyAck4RKNdF1H5jyz4fQZw-aar3l5Dx6miStsZF2375xohkaneXNi-fQkwgkdmpVz_RoEkaV93FLAsV7za2AJmT79dbjJlBVFYGt55olDwQv=w1200|https://lh3.googleusercontent.com/pw/AP1GczMSlvQmusyy6yxjvVBg9rOoh0Mo0ni4xklA7s4zAWolSL55ozFOkXIvjSsIauhWxyCX2CDCDnFfEeyYezETAX3LZWlqLNBF2VUZ6FoRVXZiPIZgao9r=w1200|https://lh3.googleusercontent.com/pw/AP1GczOSmVsX8RUcrJVt36Sih3v1l3zpn6UvZxnxwOLSadXBd1pDRwMyqB4UqHsKwgpql1Rz2zf1YzzHLvB8nIXNgxVI-shURl7a1Jm42j9n1FtI3indmfwa=w1200|https://lh3.googleusercontent.com/pw/AP1GczMWyeAd5vM2C9cbeHOsTn_8gE_X10BxGN7ZhFEfKPgWFxy0ei-uXXNyjzNFVQ5DW3qzVaiH3_LwEt7dKdnE-iLjYUaBno1vb7gtYWdoUPQZHd_rl91z=w1200|https://lh3.googleusercontent.com/pw/AP1GczNBNRwMjl01zuSCPie5HHoDFHDLhmg0GInt-F66y1DdymNFCfyPWU78goQzRsvTIKtHx2nbMcHxQoCtOOfKSWw7crxqy6-pH8VBTo2GD_17cB5SGr32=w1200|https://lh3.googleusercontent.com/pw/AP1GczPL3AeXBc1sGlQk8duRkztQwyr5DQ_hfKlblWZ_6EhV7XlCXghkaJD8yvV90vt0-9N5FNQP1bwnUuGEsAhmUGtfbtG8MtX6hkIabpnlIJTkXDwk0Wot=w1200|https://lh3.googleusercontent.com/pw/AP1GczPz9VNWOSNtDOIyRGRtxOuJLlqeN0YxOnMNN3hOyWF0xc4rDW1sJLoasbNRxTDBUHARX6fix50RLyedjhpRvl_rCGDHAXhMr-MTiPywSscvXg9PaImR=w1200|https://lh3.googleusercontent.com/pw/AP1GczN1t_X0-2AMbtf3oNzKjpjWgRmrAow_IutZ1kOMiKr4UKzFS6jfl49JkxTmQ4E9YufDJM8fyXHjlUZXqaeo3bhM_FqfXJkWb3dLGoeWsHyN38ubAM6x=w1200|https://lh3.googleusercontent.com/pw/AP1GczMrYxsaPIRQ4KyXR5BATGxXLRZ9ovtkBhX0tzTnuOzFqZmasybjYW-buw2Oyue3lRXFieL7YzWMkS7d-hwCoH5Sd6jyx6PEfOBVOQz9SDhzotpKFAOL=w1200|https://lh3.googleusercontent.com/pw/AP1GczNR-ygDvbQO3fqzx-IqG4Qtw2a6EUKF4XZf1UL6PSw9dUFjEQdwe-Xv01bkPxCOhIJKQQmSovfgAgCYQP9_gBnB9xVFWEeVzsVVsMymj1L89V_zo6DN=w1200|https://lh3.googleusercontent.com/pw/AP1GczNUmHVEnR2h8hfQzqkFHWT3lWuFMn0V3MepyLbhilupz9Swd7tMssXgcTW4h1uG7z91EqW3q6ZR8tubMQo4bxhHX-3MHZ_52q_MrMltQVu1Nh1YihOF=w1200|https://lh3.googleusercontent.com/pw/AP1GczPNd83kMuSgzuq8TTwSxJC-OYMzUHDOtmz6G5oU_bMeXhdWHsP-EGZKaYcaN0lOefF7BMB6i_n1j-R6CYK99fXVeYatqG_XEO6rKa39eqH5eCyHKm4X=w1200|https://lh3.googleusercontent.com/pw/AP1GczNWRmz0_qUyz8-5QzXj77r2RV89vkkZdX7Kg-anit7WqIPNMuhlwKMT6UuHdQBFsBa5mJPZVTHbqe4bRkZqnktWsFMEoBrKxSTwvNNceERyVHNE1hDT=w1200|https://lh3.googleusercontent.com/pw/AP1GczOPhUMvcmZncl8ItyYaH-Xc902A5Pn7-yqjjl0D8zn1BJ2eIQ7LOmfs0lsxjHnmQuWmYuBaYGeSwLiR3noU5La0RftibOnjDZlpU-LsTj4RofXjZoII=w1200|https://lh3.googleusercontent.com/pw/AP1GczPeigl8fNkSv3vMW9yYawvTqxTU8XEx8QRkyIhTtEMdgXzHSMyTGSwgRi8p6A4xqj54sYbiuBs087SLsmFqfko_KhBSYUGWdnGxnSaNQh7PN6m5O8qQ=w1200|https://lh3.googleusercontent.com/pw/AP1GczOz_SiUpXQIDeuRpzVe5NlPGHUysAXMvL_FRUrLLh1_5wXXc48OovHFqJmSnRkw2qjPcl_V4NnjDa-rKgfiUWKrDT6iU2Q0dmRjKFNhx_8-Vgib5HCz=w1200|https://lh3.googleusercontent.com/pw/AP1GczOVin2I19R3stKyQwjBzTLf5DD_KTa7hjB98wvAo6pxqc3GjYJwGZvw0cWnWOa_SkmGna3QAFrK1sETpfZwDRQzCeyS0t9TJubziNwnLhaft6v9bMwA=w1200|https://lh3.googleusercontent.com/pw/AP1GczPJUH-hqo7-cI58J_6X6kJYjGMaioIMVZRvVfA6exVLswc05ZbOJabLG-nw4bvlabj9v141zv7UVgDsOLE4dn2g180D_J778g5y4DfTMCUKas881ppQ=w1200|https://lh3.googleusercontent.com/pw/AP1GczPKPs3DV_tHhw6lujmhrPpgVE9PD6SIJnooon9pwljZqoHgf0IQGF3aqiIcJkMy5Ls7KvPyVLjiLj3qvoC7QvFYVh_Hp50ppgkZj065lNlW8H3_6MhI=w1200|https://lh3.googleusercontent.com/pw/AP1GczMpIinPdW6LSgQyyVpJ-6Wx913SvpwEHddOT8WuOSKVvUKZFf24W_cPZKK_shx_TLWeSxLKaZIjQvtXCBjmUINLtWugMS9NajHSBAYnOykzY7fww0bs=w1200|https://lh3.googleusercontent.com/pw/AP1GczOGS410ZG-zylD26-8px--ZrsUPTHQ4KKpgDSEv3pYfP8YLzP5VSYoJ92xrlX5FPseVwrs05O-jFsR5JB3ofXL3JVeiyRUeVX6-x0s4Cof5d5CKA3C6=w1200|https://lh3.googleusercontent.com/pw/AP1GczOkCllWUvb9ylbwg9G9kvaQ-M86dE5rZzsbovC_eQnW4bRAbeliMxNtdwkoO9H7PuXBXElpDGYiUgmxtVfRuqMZ5_Ihp9ZJZRftkaoor4bTCII1s8Re=w1200|https://lh3.googleusercontent.com/pw/AP1GczPYStdl3dOuWcPClvFgvt4EHBQlqZAUZoeeFNur6JJ-Elo1rG7o1SGqEKRROqZVcKeYJAMLnMfvE5U60fHqT5plcTlNEfPMUhR-KnnarePZn8tLCbme=w1200|https://lh3.googleusercontent.com/pw/AP1GczPSFYbmsUmSrQGqG394nbp37e8xMAEnTjXzLktY-qSkJe1a5CDXi_HOO5D1zarhtGW_PyTEVOX5fZQx2b00aWiLvnluPNOGwnJw76slVOJldaPCIMPy=w1200|https://lh3.googleusercontent.com/pw/AP1GczNdFTzQV_cRfD0b7qHQgJdiL7oBpYasKuJfJg8NxMPxBDNf4k_WvdXflWsGHwM6gsa9vPGcj0kL9dCT9SjZnwgF3rQBifr94rgHmJTURR35RCK0n4HG=w1200|https://lh3.googleusercontent.com/pw/AP1GczMcBAyL36Bhijm2XZd8TK4riFwFf-n9M65OiX6q5OU-MIsW81WWEdZ5an5B-IkM_VmuwgQDpXB3cYwr6Vk_sE6AqdSfsYlxh-larGoXP3O77e-A4QXb=w1200|https://lh3.googleusercontent.com/pw/AP1GczPMKil6F6LqEPuOwJF1IFx7Twcv32iBqR0OwwWStgkzQ1J5BenVHkXt59cFTYXIAPOrYIF8vDWMFu3lNTtsuQvWNQBVshRhPGH6UMpj-2hb3vlGuNv_=w1200|https://lh3.googleusercontent.com/pw/AP1GczOp2g5RAjTgjleidKjvLY1pRvhRYTjSnhKQg1du_eDSMcDkITD1CnCtvTN7plELYth6cWvfXXfX61XJSqniAe5KKg2x51fPTtW3tdxTw9Rx9fuYVV_E=w1200|https://lh3.googleusercontent.com/pw/AP1GczM4YpDXqN5FJ05tjOt5tRUug-VtanY8rQr_NV8N1PUSMeHyaOU39XvtRsfiBjF-w7tO6tieH_zBBHksUEHVO8p1_QVs554QFIMp3JfxauJq5ybyLp_C=w1200</v>
      </c>
      <c r="AJ420" s="46"/>
      <c r="AK420" s="46"/>
      <c r="AL420" s="46"/>
      <c r="AM420" s="46"/>
      <c r="AN420" s="46"/>
      <c r="AO420" s="46"/>
      <c r="AP420" s="46"/>
      <c r="AQ420" s="46"/>
      <c r="AR420" s="46"/>
      <c r="AS420" s="46"/>
      <c r="AT420" s="46"/>
      <c r="AU420" s="46"/>
      <c r="AV420" s="46"/>
      <c r="AW420" s="46"/>
      <c r="AX420" s="46"/>
      <c r="AY420" s="46"/>
      <c r="AZ420" s="46"/>
      <c r="BA420" s="46"/>
      <c r="BB420" s="46"/>
      <c r="BC420" s="46"/>
      <c r="BD420" s="46"/>
      <c r="BE420" s="46"/>
      <c r="BF420" s="46"/>
      <c r="BG420" s="46"/>
      <c r="BH420" s="46"/>
      <c r="BI420" s="46"/>
      <c r="BJ420" s="46"/>
      <c r="BK420" s="46"/>
      <c r="BL420" s="46"/>
      <c r="BM420" s="46"/>
      <c r="BN420" s="46"/>
      <c r="BO420" s="46"/>
      <c r="BP420" s="46"/>
      <c r="BQ420" s="46"/>
      <c r="BR420" s="46"/>
      <c r="BS420" s="46"/>
      <c r="BT420" s="46"/>
      <c r="BU420" s="46"/>
      <c r="BV420" s="46"/>
      <c r="BW420" s="46"/>
      <c r="BX420" s="46"/>
      <c r="BY420" s="46"/>
      <c r="BZ420" s="46"/>
      <c r="CA420" s="46"/>
      <c r="CB420" s="46"/>
      <c r="CC420" s="46"/>
    </row>
    <row r="421">
      <c r="A421" s="87" t="str">
        <f>IFERROR(__xludf.DUMMYFUNCTION("""COMPUTED_VALUE"""),"4817")</f>
        <v>4817</v>
      </c>
      <c r="B421" s="46" t="str">
        <f>IFERROR(__xludf.DUMMYFUNCTION("""COMPUTED_VALUE"""),"Casa campestre en Conjunto Condominio Campestre San Sebastian -  Zona Franca - Palermo")</f>
        <v>Casa campestre en Conjunto Condominio Campestre San Sebastian -  Zona Franca - Palermo</v>
      </c>
      <c r="C421" s="46" t="str">
        <f>IFERROR(__xludf.DUMMYFUNCTION("""COMPUTED_VALUE"""),"Casa campestre en conjunto")</f>
        <v>Casa campestre en conjunto</v>
      </c>
      <c r="D421" s="46"/>
      <c r="E421" s="46" t="str">
        <f>IFERROR(__xludf.DUMMYFUNCTION("""COMPUTED_VALUE"""),"Condominio Campestre San Sebastian")</f>
        <v>Condominio Campestre San Sebastian</v>
      </c>
      <c r="F421" s="90">
        <f>IFERROR(__xludf.DUMMYFUNCTION("""COMPUTED_VALUE"""),1.3E9)</f>
        <v>1300000000</v>
      </c>
      <c r="G421" s="46" t="str">
        <f>IFERROR(__xludf.DUMMYFUNCTION("""COMPUTED_VALUE"""),"Más de $1.000'000.000")</f>
        <v>Más de $1.000'000.000</v>
      </c>
      <c r="H421" s="46"/>
      <c r="I421" s="46"/>
      <c r="J421" s="46" t="str">
        <f>IFERROR(__xludf.DUMMYFUNCTION("""COMPUTED_VALUE"""),"Sur")</f>
        <v>Sur</v>
      </c>
      <c r="K421" s="87"/>
      <c r="L421" s="46">
        <f>IFERROR(__xludf.DUMMYFUNCTION("""COMPUTED_VALUE"""),5.0)</f>
        <v>5</v>
      </c>
      <c r="M421" s="46"/>
      <c r="N421" s="46">
        <f>IFERROR(__xludf.DUMMYFUNCTION("""COMPUTED_VALUE"""),3.0)</f>
        <v>3</v>
      </c>
      <c r="O421" s="46">
        <f>IFERROR(__xludf.DUMMYFUNCTION("""COMPUTED_VALUE"""),4.0)</f>
        <v>4</v>
      </c>
      <c r="P421" s="46">
        <f>IFERROR(__xludf.DUMMYFUNCTION("""COMPUTED_VALUE"""),1.0)</f>
        <v>1</v>
      </c>
      <c r="Q421" s="92">
        <f>IFERROR(__xludf.DUMMYFUNCTION("""COMPUTED_VALUE"""),430.0)</f>
        <v>430</v>
      </c>
      <c r="R421" s="92">
        <f>IFERROR(__xludf.DUMMYFUNCTION("""COMPUTED_VALUE"""),2100.0)</f>
        <v>2100</v>
      </c>
      <c r="S421" s="87" t="str">
        <f>IFERROR(__xludf.DUMMYFUNCTION("""COMPUTED_VALUE""")," ")</f>
        <v> </v>
      </c>
      <c r="T421" s="46" t="str">
        <f>IFERROR(__xludf.DUMMYFUNCTION("""COMPUTED_VALUE"""),"Palermo")</f>
        <v>Palermo</v>
      </c>
      <c r="U421" s="87" t="str">
        <f>IFERROR(__xludf.DUMMYFUNCTION("""COMPUTED_VALUE"""),"Rural")</f>
        <v>Rural</v>
      </c>
      <c r="V421" s="46" t="str">
        <f>IFERROR(__xludf.DUMMYFUNCTION("""COMPUTED_VALUE"""),"Medianera")</f>
        <v>Medianera</v>
      </c>
      <c r="W421" s="46"/>
      <c r="X421" s="46">
        <f>IFERROR(__xludf.DUMMYFUNCTION("""COMPUTED_VALUE"""),5.0)</f>
        <v>5</v>
      </c>
      <c r="Y421" s="46" t="str">
        <f>IFERROR(__xludf.DUMMYFUNCTION("""COMPUTED_VALUE"""),"Privada")</f>
        <v>Privada</v>
      </c>
      <c r="Z421" s="90"/>
      <c r="AA421" s="33" t="str">
        <f>IFERROR(__xludf.DUMMYFUNCTION("""COMPUTED_VALUE"""),"No aplica")</f>
        <v>No aplica</v>
      </c>
      <c r="AB421" s="96" t="str">
        <f>IFERROR(__xludf.DUMMYFUNCTION("""COMPUTED_VALUE"""),"https://photos.app.goo.gl/EDPt3CqUUVJWKKfG6")</f>
        <v>https://photos.app.goo.gl/EDPt3CqUUVJWKKfG6</v>
      </c>
      <c r="AC421" s="46" t="str">
        <f>IFERROR(__xludf.DUMMYFUNCTION("""COMPUTED_VALUE"""),"La propiedad se encuentra sobre un lote de 2.100 m², con un área construida aproximada de 430 m², ideal para quienes buscan amplitud, confort y privacidad en un entorno campestre exclusivo. El condominio se caracteriza por ser amigable con el medio ambien"&amp;"te, ofreciendo un ambiente seguro, natural y armonioso. La casa cuenta con una distribución moderna y funcional, conformada por cinco habitaciones, cada una con clóset y baño privado, brindando comodidad total para familias numerosas o proyectos de descan"&amp;"so. Dispone de sala principal, sala adicional, comedor, cocina integral estilo americana, zona de estudio, dos baños sociales y zona de lavado independiente.")</f>
        <v>La propiedad se encuentra sobre un lote de 2.100 m², con un área construida aproximada de 430 m², ideal para quienes buscan amplitud, confort y privacidad en un entorno campestre exclusivo. El condominio se caracteriza por ser amigable con el medio ambiente, ofreciendo un ambiente seguro, natural y armonioso. La casa cuenta con una distribución moderna y funcional, conformada por cinco habitaciones, cada una con clóset y baño privado, brindando comodidad total para familias numerosas o proyectos de descanso. Dispone de sala principal, sala adicional, comedor, cocina integral estilo americana, zona de estudio, dos baños sociales y zona de lavado independiente.</v>
      </c>
      <c r="AD421" s="46" t="str">
        <f>IFERROR(__xludf.DUMMYFUNCTION("""COMPUTED_VALUE"""),"Hermosa casa campestre en el Condominio Campestre San Sebastián, ubicada estratégicamente en la Zona Franca del municipio de Palermo, Huila, un sector de alta valorización, rodeado de naturaleza, tranquilidad y fácil acceso desde Neiva. En el área exterio"&amp;"r se destaca su amplia zona verde, perfecta para el esparcimiento y el contacto con la naturaleza, además de una completa zona social con piscina y zona BBQ, ideal para reuniones familiares, eventos sociales o descanso de fin de semana.")</f>
        <v>Hermosa casa campestre en el Condominio Campestre San Sebastián, ubicada estratégicamente en la Zona Franca del municipio de Palermo, Huila, un sector de alta valorización, rodeado de naturaleza, tranquilidad y fácil acceso desde Neiva. En el área exterior se destaca su amplia zona verde, perfecta para el esparcimiento y el contacto con la naturaleza, además de una completa zona social con piscina y zona BBQ, ideal para reuniones familiares, eventos sociales o descanso de fin de semana.</v>
      </c>
      <c r="AE421" s="46"/>
      <c r="AF421" s="46" t="str">
        <f>IFERROR(__xludf.DUMMYFUNCTION("""COMPUTED_VALUE"""),"integral")</f>
        <v>integral</v>
      </c>
      <c r="AG421" s="46"/>
      <c r="AH421" s="46" t="str">
        <f>IFERROR(__xludf.DUMMYFUNCTION("""COMPUTED_VALUE"""),"Aliado")</f>
        <v>Aliado</v>
      </c>
      <c r="AI421" s="92" t="str">
        <f>IFERROR(__xludf.DUMMYFUNCTION("""COMPUTED_VALUE"""),"https://lh3.googleusercontent.com/pw/AP1GczMCOnmG_HrX1_2UbVZAKRQA4I9sWnKUUvtN_I7pV3PhaKs_Wfu6kBqNhrCs0hLxa9rZOh-McXv06NUnuFHEGPF3-suqVEe9rB9PYI8wEYKp7v4Oxees=w1200|https://lh3.googleusercontent.com/pw/AP1GczPISwLYnBpc2LvyREFUe2JjezobW6i7su0A8Xaf7HE0eYm5M7"&amp;"QYk9J0Q3iayMO26Fs90pkQx4QgBl0gV-PnFDbe6G0hkGrdwCCsIyTBfQLYbWikpSO_=w1200|https://lh3.googleusercontent.com/pw/AP1GczN1ituywPHZ69LbsbN6OC0zOsBP_Sz3trZ3X0PKcx8rnLOZFbXEFkQzDjKVvgFyiW3ydqwRQfhucf-6H0KyfqBqGrBrNKtJiEVPowI6nQ8ASxztZNlN=w1200|https://lh3.google"&amp;"usercontent.com/pw/AP1GczNal6hNVpgz1NxEC4SzVvynAi-1mw2D5KyLya3Lghy4wPcKNFzMQQxVYLElfu-uBmg4kJgCz5pgGMTJjDw69zySLCnpAerKVGLo1Og8NKd2Okvl8RQH=w1200|https://lh3.googleusercontent.com/pw/AP1GczOh5FOXlOJZDvBn4RdRYsCofBPfyvSMXTGc60UiQ_lWlIeR6E4qu-GzZdLXxPDVPyCk"&amp;"WP3CYeW1DW3jN_M8ZyyKTqkAbpekee1vpnwVnckzZJ7MVrpv=w1200|https://lh3.googleusercontent.com/pw/AP1GczOkMYxOkW3d6Agt-Bw20bETEuFkKxz6YmM3KI7FTDPWytDAEe24_ZKGfY8GGpM-hP2LoIEgaS5U6m5Ov8QeYnpx5pty07TM7wHfk6SzKV2audoVX3SF=w1200|https://lh3.googleusercontent.com/pw"&amp;"/AP1GczPDtMhQDQw1RswGquM2QGkbZIyv0OV_DhGdSDiW3FhJ1WjFlAoGPZ0DDM4c9mL9aNV5RgTAwWLlpNyGNNiwNb21ebA_euA1PaGXkwo8nfGzXMQZKxwR=w1200|https://lh3.googleusercontent.com/pw/AP1GczP4JjdWNC0Qh4ozsOy_1Ee_Nd8QbXpGdNtYBXASsCvayzpI7EGdEWp0_BaWvt7rgf02-wqHAOBb2-exD-Z2uJ"&amp;"IUHCbcNBiJ2fok8IAGRdaZADr5kY1v=w1200|https://lh3.googleusercontent.com/pw/AP1GczOjpetx-DvYsXYa0tOCWzbqtBorSz70O2GBcs-JoPFJx_DHIACe7AAo7RVNoX6PgYGIwvPVMlSVeqknNPsUE-qYGZItKenapMIqm-PUPYvIkD7AYkXR=w1200|https://lh3.googleusercontent.com/pw/AP1GczNqqa1PQvB4D"&amp;"Bjz5j5BcQ32gq5cHrG6aiAPZp9NVG6ipW9OA7NBxeld02Z3Irs8WPalnBHv7ZC5NjsOgeR4FinB_DIGasw5EsI47RKxHSb_279Ge_Lf=w1200|https://lh3.googleusercontent.com/pw/AP1GczN5Td_pplET52B_ty784lzTHQ2z86Q3VhG-y2WGYSH0yiire_YW4-fElO24LX77lTvF6ijlAwZGNV8d0bGyytyHFNt5LUJ_qkZKAu0d"&amp;"bQg8ulSFnqNe=w1200|https://lh3.googleusercontent.com/pw/AP1GczN9KbmB__Gf00uK8AQ0F8yNN3PFgT4RQ6SYC3_mNFU1SrQlLNPO59rqDjxFTBInp4TimKFwLsPCGXIT4M66dD-LpnWA_0MFNdYgwspBhGJOLLAd9Zbu=w1200|https://lh3.googleusercontent.com/pw/AP1GczPAlX20yT1aRVGzD9IRw_WNvNZPiTJ"&amp;"g4XAwSISZ3GJPucYzKCOc8VMubDef4zoEdqjPk6Mzz7OFpt2RV35SeoX95DsIgQpkP4jMj2Ka4BTx6EVCcj2-=w1200|https://lh3.googleusercontent.com/pw/AP1GczPcrjQmqTtCRWvzzgVreu2xvg4kGze2WFFZu-xdv7GfjmN9KhKI8cy5usbfCE3TbofgMGD5rZGbqISjF-BilnkN-LYgNJRlVb7CHTlpdunqhKwKHHed=w1200"&amp;"|https://lh3.googleusercontent.com/pw/AP1GczPK0lD7Ht61zQgb-bEVqzsRRyqdOaFGFt1jXeHGLzvo0x-t1zbmCEP1-bVecF5sFyXEXvZzCi9yRvUimd9aIUPrU29sQmNxsCYaYJvyIVlvOKv-wa4y=w1200|https://lh3.googleusercontent.com/pw/AP1GczMgYuEgjN9b5nJuIOD0uM4p38WoO8qpP3FP-4XWYZTLa1baJ"&amp;"EBNlEbDZxYcVmdv_RWXMtqUSvbDAOygPD9d9ijLwfjIfUldEupfMHK3r5GTqOxxy4xH=w1200|https://lh3.googleusercontent.com/pw/AP1GczNviae9pLfXnq1VqKKoOh79gUn7aV6oBqOW1sQqbhdFJojyHgBi2qzBY5ou_vCVD_U42nOwaaJxD9gx6Sz2GgY7qqq1HQIBLZL9EiUmgw0Cmi31dOn4=w1200|https://lh3.googl"&amp;"eusercontent.com/pw/AP1GczM9V6NGlbz7GxoIlwFCnXBi5tl7GajaTjnxaPJe9rgcZRi0gXeDWk38sQ5MB5Ba8hT34PQoFLQqkwZqGO52iDbElh8AD8pkArFPPLDodTbWXZvVS5Y_=w1200|https://lh3.googleusercontent.com/pw/AP1GczNliDQB6knEdj9raC2enCVmoooHG999qbkZc0i8fXAPiG5MDOAob9Ia59z1Kthn4wc"&amp;"whTGJ7RXY_1DNFKTJszaJSsK4lRIClyPBYESzr_ea-6N24qNp=w1200|https://lh3.googleusercontent.com/pw/AP1GczPN5OlrlJ-QRBuv0PAX668o0uTpUAwX0x_eaDXdYRU0ghCjuhUDv4RwfjELGyIeSvnzz-E3-h5dwL8B2O3SWM46XK-N7e4sIf6i__C3Iw79ieFsArR7=w1200|https://lh3.googleusercontent.com/p"&amp;"w/AP1GczMKPGBiwSUZzJfwtC2NqKgXp1CELFutwkA4SeviU_nYxYHmS_wdlqzCdfGBMJDncmTnY4DfnVr0RtwgZL9-yZyERuRQQSWI3iMCXutSvctoW6sIh9a3=w1200|https://lh3.googleusercontent.com/pw/AP1GczPKieIitYxnzOtSEJ6pCQOHeJ4xxlCBZe9MIGDQm0pnoatZ--pBL5jM9H9TLf_zhjvGmmhpNrA1sasMJvv3F"&amp;"KdfyGcaVie4FJt3EX7AP3uFUjMDq1Bs=w1200|https://lh3.googleusercontent.com/pw/AP1GczNDxGkZRYgxmcGMXUXxmE4T4eIJq_xaqerhbhTb0H1AlE2hKMpId4LRoLaKf-OxlaQ69mepSzXy5J959nT9JXqjrs57XtbKAZP3dlHXHsgJewQK6YRf=w1200|https://lh3.googleusercontent.com/pw/AP1GczMSPCPeOVsc"&amp;"k2lwEU3diaOeeMqv25usZ9_ypDImAymcwyzc19iN6xa_nh2wLxsHAQrYOvqK95JOL24cvWLsA45-jDKFT4TAHVXdQ7GnEIHJAFLl7T1D=w1200|https://lh3.googleusercontent.com/pw/AP1GczN2T7SOo1uI1LL_SXz0sJ_EIM_HrPg4oWFxynvh6iqjNjIg6mmOzuUx3-DE_H0V0TTlI9bZGeK-zPK-c-2KTmaQIv0rFirL6KSO40b"&amp;"KfU5-ylNw9h-y=w1200|https://lh3.googleusercontent.com/pw/AP1GczNvoLFvG-teoG2aM-LzB4eFpDGsKKoLTuY-rbOXzQ1EsHwnzFfcy5a472GlCXHyAwP98Sj15958LHDFRM5roJDRcHb37Mm_y9x0CWJ6HmasfzQe6bY6=w1200|https://lh3.googleusercontent.com/pw/AP1GczOTsTbabpCdQn5Yw9KZEmm_N8Rtam"&amp;"2DxmOP9KQ6GLY5Xqog6SV711tLHrtqS6oE9SQBY33yQkSOp2aWCyfVKzXBaAfIEPBDRhM3BclzVANbnqx-Goth=w1200|https://lh3.googleusercontent.com/pw/AP1GczMFMCZ7GS3kI6AlUmbaBDDlTr_ecljCU5732I7qQ7KJb4HTEdQ_TcNVnZW3vPmP0fxg_2V9TaWCVSCumUzJ4r2nks6cIkcA0zEz9VVWpDYBiasQGZlc=w120"&amp;"0|https://lh3.googleusercontent.com/pw/AP1GczMXavJaqGAINugjulLlhwA-fBPsV8kE9Rxgti3tuIt-sLoC-5GTlwGcAV3D-pYT59j6NjiSV0x1L2-R8V4uVLyTiO3pkg6vH2cHDAU9Hffs7DqbuFI_=w1200|https://lh3.googleusercontent.com/pw/AP1GczPGi17EuJqeLXcaLJOm7lwVgljOcBzq8me-MqbCkVpMWW4p"&amp;"3dREltZJhlMIaDjiHhXedeVf3QlPer7lW0bVzGeq2o2m_5OtxaB1lwKdBm7p1Mex9bJ6=w1200|https://lh3.googleusercontent.com/pw/AP1GczP1Df6cxuUb_T_fPxGjsKKWInBL3ulPhmdxHaqUy72okkmE__S7Z01g9v921vCxmQA1jERuCFuuVYba9dFauWAgVo6kg3sbEx7-AOy6tL9bn1FnIeQ8=w1200|https://lh3.goog"&amp;"leusercontent.com/pw/AP1GczMGkrlD4W4ZU-6LCIx3iyb6bxxXPO6ecq-QvFuLAOKuswedDg3rI6gAMTOWz5cM36wvsJgu6n0vtdLjiKHWezd7npiru8Loe-Kj4E54tliNwkcPBLBv=w1200|https://lh3.googleusercontent.com/pw/AP1GczMBK2NiaZjwRocgujnDKa_Qn-1rHR1eLxaN2RbRTT6Dx2jHXwNoeEFvkoWZJsv1OW"&amp;"9F3hKwCn9OFBuCGKDZ1XCrrydERebOXuBxUfZ7BJjuSyMTiBjh=w1200|https://lh3.googleusercontent.com/pw/AP1GczPHv2uRzrTWYiKYSvP6aEo4SIDqgBavQJayCVaWujokhh5Srnhp4e5F5e_QnVKRlCOhoDIFsqOJf4TTQvht-BRC1mmW3vNwYT2ci5J6HaR7Rk4n7iep=w1200|https://lh3.googleusercontent.com/"&amp;"pw/AP1GczOPCKyu61eIbztNiLBG8tPxUPpVSXihv54eiHwgDIP1wkP9wYPrRZE2FmtnfoGD4lLlvTg0R4akW447pDvKgRnrVMq1layO6C-P-cPUgKv6NtRvab11=w1200|https://lh3.googleusercontent.com/pw/AP1GczMVZMOd19gCxbi1ND0SXqwC3mneOFOu8FC9InT1D6H-IgoN3jLKI9-OLUmaGz_Kr-21JzMGY4MuV7VXXBo9"&amp;"OMqXAMv68f6x_sVcfpJqeKdgvnViwm2M=w1200|https://lh3.googleusercontent.com/pw/AP1GczOY9AnR1XqrdAsKGGvqfI0iMM-PNZj_P0uLtfzxXjr53bYnrW3fFTR3S9FwADxUVBRMi3BvJDI-qTxfm-ZiNt9Ai1jxXxi4vE9EflrA_LN7lScVRUUV=w1200|https://lh3.googleusercontent.com/pw/AP1GczN6ZVBijKq"&amp;"LmHdZ12tTv2sMjKDDCdLyrOExPwAkCVUUJ030KP48LBbXNMaDIC8sLPBEZG6L87yaHCDfkBQ_-9Vv1tuWNYWsMeKUIInkhiic4mjwL2tT=w1200|https://lh3.googleusercontent.com/pw/AP1GczMmun_biEFQ2Px_pt9pqAgaTqANuEVz0L8We7pN5LgW7Bh3WrgM4Mz0KSI5-qjnzQ6yZ3URr-o057Z_V8LdmseX2F5SLb_2V5UteD"&amp;"HJjEgseQ38VHu6=w1200|https://lh3.googleusercontent.com/pw/AP1GczPwlK0ROOzIDnLOA8DcU3cZ7mzRZn_iG8XTvASRHbnR1cP8dxidr0TN91xwi6nvB7cSRL2OBkjHi7tD0GLUdzhkusC9zvllixh_gHDt-HrlSvjelSPE=w1200|https://lh3.googleusercontent.com/pw/AP1GczPTQFY2bRw5Wd6Joyi5qYpzrWzIo"&amp;"c-wTy5kvvE2-BkyrXLonV3zYrHCu3pk1Zj5Izn1ZSyI6lbMQv0fxloLOmg-iBBmWWHVRXUQ226082xxVpOm2o7D=w1200|https://lh3.googleusercontent.com/pw/AP1GczN9ihTMaxOOtPtf6lguEYd6HDnQ3yrlBPgBFEPPei5BYYwOER-nsvZqhQD6jiRntHqXD83A5QGLyxvMNhgIOQ_u3x-wvzJwknAzh_o0bRc75NEF_ghe=w12"&amp;"00|https://lh3.googleusercontent.com/pw/AP1GczMwTMe6ur8lnSHxcTe0NlVjHTEsLpVIffJWTLnu7xMpEw119l3GbbW0TFp9fM7t_HPi7WOyYzji9JmjoIw_-aq72WA4ll8KrbIJ_XDuJOjTyVYRaaw_=w1200|https://lh3.googleusercontent.com/pw/AP1GczMDXzEprwEn2jodu3xNg3NfpcbzW-AZjUsoLBHoJXLGxGJ"&amp;"K39EN_ni0sZPBONEPSmvmh78xB_rSdF9ox5l9DVHfZfySOMiVL9NO6w88nzkV9WTYtjyk=w1200")</f>
        <v>https://lh3.googleusercontent.com/pw/AP1GczMCOnmG_HrX1_2UbVZAKRQA4I9sWnKUUvtN_I7pV3PhaKs_Wfu6kBqNhrCs0hLxa9rZOh-McXv06NUnuFHEGPF3-suqVEe9rB9PYI8wEYKp7v4Oxees=w1200|https://lh3.googleusercontent.com/pw/AP1GczPISwLYnBpc2LvyREFUe2JjezobW6i7su0A8Xaf7HE0eYm5M7QYk9J0Q3iayMO26Fs90pkQx4QgBl0gV-PnFDbe6G0hkGrdwCCsIyTBfQLYbWikpSO_=w1200|https://lh3.googleusercontent.com/pw/AP1GczN1ituywPHZ69LbsbN6OC0zOsBP_Sz3trZ3X0PKcx8rnLOZFbXEFkQzDjKVvgFyiW3ydqwRQfhucf-6H0KyfqBqGrBrNKtJiEVPowI6nQ8ASxztZNlN=w1200|https://lh3.googleusercontent.com/pw/AP1GczNal6hNVpgz1NxEC4SzVvynAi-1mw2D5KyLya3Lghy4wPcKNFzMQQxVYLElfu-uBmg4kJgCz5pgGMTJjDw69zySLCnpAerKVGLo1Og8NKd2Okvl8RQH=w1200|https://lh3.googleusercontent.com/pw/AP1GczOh5FOXlOJZDvBn4RdRYsCofBPfyvSMXTGc60UiQ_lWlIeR6E4qu-GzZdLXxPDVPyCkWP3CYeW1DW3jN_M8ZyyKTqkAbpekee1vpnwVnckzZJ7MVrpv=w1200|https://lh3.googleusercontent.com/pw/AP1GczOkMYxOkW3d6Agt-Bw20bETEuFkKxz6YmM3KI7FTDPWytDAEe24_ZKGfY8GGpM-hP2LoIEgaS5U6m5Ov8QeYnpx5pty07TM7wHfk6SzKV2audoVX3SF=w1200|https://lh3.googleusercontent.com/pw/AP1GczPDtMhQDQw1RswGquM2QGkbZIyv0OV_DhGdSDiW3FhJ1WjFlAoGPZ0DDM4c9mL9aNV5RgTAwWLlpNyGNNiwNb21ebA_euA1PaGXkwo8nfGzXMQZKxwR=w1200|https://lh3.googleusercontent.com/pw/AP1GczP4JjdWNC0Qh4ozsOy_1Ee_Nd8QbXpGdNtYBXASsCvayzpI7EGdEWp0_BaWvt7rgf02-wqHAOBb2-exD-Z2uJIUHCbcNBiJ2fok8IAGRdaZADr5kY1v=w1200|https://lh3.googleusercontent.com/pw/AP1GczOjpetx-DvYsXYa0tOCWzbqtBorSz70O2GBcs-JoPFJx_DHIACe7AAo7RVNoX6PgYGIwvPVMlSVeqknNPsUE-qYGZItKenapMIqm-PUPYvIkD7AYkXR=w1200|https://lh3.googleusercontent.com/pw/AP1GczNqqa1PQvB4DBjz5j5BcQ32gq5cHrG6aiAPZp9NVG6ipW9OA7NBxeld02Z3Irs8WPalnBHv7ZC5NjsOgeR4FinB_DIGasw5EsI47RKxHSb_279Ge_Lf=w1200|https://lh3.googleusercontent.com/pw/AP1GczN5Td_pplET52B_ty784lzTHQ2z86Q3VhG-y2WGYSH0yiire_YW4-fElO24LX77lTvF6ijlAwZGNV8d0bGyytyHFNt5LUJ_qkZKAu0dbQg8ulSFnqNe=w1200|https://lh3.googleusercontent.com/pw/AP1GczN9KbmB__Gf00uK8AQ0F8yNN3PFgT4RQ6SYC3_mNFU1SrQlLNPO59rqDjxFTBInp4TimKFwLsPCGXIT4M66dD-LpnWA_0MFNdYgwspBhGJOLLAd9Zbu=w1200|https://lh3.googleusercontent.com/pw/AP1GczPAlX20yT1aRVGzD9IRw_WNvNZPiTJg4XAwSISZ3GJPucYzKCOc8VMubDef4zoEdqjPk6Mzz7OFpt2RV35SeoX95DsIgQpkP4jMj2Ka4BTx6EVCcj2-=w1200|https://lh3.googleusercontent.com/pw/AP1GczPcrjQmqTtCRWvzzgVreu2xvg4kGze2WFFZu-xdv7GfjmN9KhKI8cy5usbfCE3TbofgMGD5rZGbqISjF-BilnkN-LYgNJRlVb7CHTlpdunqhKwKHHed=w1200|https://lh3.googleusercontent.com/pw/AP1GczPK0lD7Ht61zQgb-bEVqzsRRyqdOaFGFt1jXeHGLzvo0x-t1zbmCEP1-bVecF5sFyXEXvZzCi9yRvUimd9aIUPrU29sQmNxsCYaYJvyIVlvOKv-wa4y=w1200|https://lh3.googleusercontent.com/pw/AP1GczMgYuEgjN9b5nJuIOD0uM4p38WoO8qpP3FP-4XWYZTLa1baJEBNlEbDZxYcVmdv_RWXMtqUSvbDAOygPD9d9ijLwfjIfUldEupfMHK3r5GTqOxxy4xH=w1200|https://lh3.googleusercontent.com/pw/AP1GczNviae9pLfXnq1VqKKoOh79gUn7aV6oBqOW1sQqbhdFJojyHgBi2qzBY5ou_vCVD_U42nOwaaJxD9gx6Sz2GgY7qqq1HQIBLZL9EiUmgw0Cmi31dOn4=w1200|https://lh3.googleusercontent.com/pw/AP1GczM9V6NGlbz7GxoIlwFCnXBi5tl7GajaTjnxaPJe9rgcZRi0gXeDWk38sQ5MB5Ba8hT34PQoFLQqkwZqGO52iDbElh8AD8pkArFPPLDodTbWXZvVS5Y_=w1200|https://lh3.googleusercontent.com/pw/AP1GczNliDQB6knEdj9raC2enCVmoooHG999qbkZc0i8fXAPiG5MDOAob9Ia59z1Kthn4wcwhTGJ7RXY_1DNFKTJszaJSsK4lRIClyPBYESzr_ea-6N24qNp=w1200|https://lh3.googleusercontent.com/pw/AP1GczPN5OlrlJ-QRBuv0PAX668o0uTpUAwX0x_eaDXdYRU0ghCjuhUDv4RwfjELGyIeSvnzz-E3-h5dwL8B2O3SWM46XK-N7e4sIf6i__C3Iw79ieFsArR7=w1200|https://lh3.googleusercontent.com/pw/AP1GczMKPGBiwSUZzJfwtC2NqKgXp1CELFutwkA4SeviU_nYxYHmS_wdlqzCdfGBMJDncmTnY4DfnVr0RtwgZL9-yZyERuRQQSWI3iMCXutSvctoW6sIh9a3=w1200|https://lh3.googleusercontent.com/pw/AP1GczPKieIitYxnzOtSEJ6pCQOHeJ4xxlCBZe9MIGDQm0pnoatZ--pBL5jM9H9TLf_zhjvGmmhpNrA1sasMJvv3FKdfyGcaVie4FJt3EX7AP3uFUjMDq1Bs=w1200|https://lh3.googleusercontent.com/pw/AP1GczNDxGkZRYgxmcGMXUXxmE4T4eIJq_xaqerhbhTb0H1AlE2hKMpId4LRoLaKf-OxlaQ69mepSzXy5J959nT9JXqjrs57XtbKAZP3dlHXHsgJewQK6YRf=w1200|https://lh3.googleusercontent.com/pw/AP1GczMSPCPeOVsck2lwEU3diaOeeMqv25usZ9_ypDImAymcwyzc19iN6xa_nh2wLxsHAQrYOvqK95JOL24cvWLsA45-jDKFT4TAHVXdQ7GnEIHJAFLl7T1D=w1200|https://lh3.googleusercontent.com/pw/AP1GczN2T7SOo1uI1LL_SXz0sJ_EIM_HrPg4oWFxynvh6iqjNjIg6mmOzuUx3-DE_H0V0TTlI9bZGeK-zPK-c-2KTmaQIv0rFirL6KSO40bKfU5-ylNw9h-y=w1200|https://lh3.googleusercontent.com/pw/AP1GczNvoLFvG-teoG2aM-LzB4eFpDGsKKoLTuY-rbOXzQ1EsHwnzFfcy5a472GlCXHyAwP98Sj15958LHDFRM5roJDRcHb37Mm_y9x0CWJ6HmasfzQe6bY6=w1200|https://lh3.googleusercontent.com/pw/AP1GczOTsTbabpCdQn5Yw9KZEmm_N8Rtam2DxmOP9KQ6GLY5Xqog6SV711tLHrtqS6oE9SQBY33yQkSOp2aWCyfVKzXBaAfIEPBDRhM3BclzVANbnqx-Goth=w1200|https://lh3.googleusercontent.com/pw/AP1GczMFMCZ7GS3kI6AlUmbaBDDlTr_ecljCU5732I7qQ7KJb4HTEdQ_TcNVnZW3vPmP0fxg_2V9TaWCVSCumUzJ4r2nks6cIkcA0zEz9VVWpDYBiasQGZlc=w1200|https://lh3.googleusercontent.com/pw/AP1GczMXavJaqGAINugjulLlhwA-fBPsV8kE9Rxgti3tuIt-sLoC-5GTlwGcAV3D-pYT59j6NjiSV0x1L2-R8V4uVLyTiO3pkg6vH2cHDAU9Hffs7DqbuFI_=w1200|https://lh3.googleusercontent.com/pw/AP1GczPGi17EuJqeLXcaLJOm7lwVgljOcBzq8me-MqbCkVpMWW4p3dREltZJhlMIaDjiHhXedeVf3QlPer7lW0bVzGeq2o2m_5OtxaB1lwKdBm7p1Mex9bJ6=w1200|https://lh3.googleusercontent.com/pw/AP1GczP1Df6cxuUb_T_fPxGjsKKWInBL3ulPhmdxHaqUy72okkmE__S7Z01g9v921vCxmQA1jERuCFuuVYba9dFauWAgVo6kg3sbEx7-AOy6tL9bn1FnIeQ8=w1200|https://lh3.googleusercontent.com/pw/AP1GczMGkrlD4W4ZU-6LCIx3iyb6bxxXPO6ecq-QvFuLAOKuswedDg3rI6gAMTOWz5cM36wvsJgu6n0vtdLjiKHWezd7npiru8Loe-Kj4E54tliNwkcPBLBv=w1200|https://lh3.googleusercontent.com/pw/AP1GczMBK2NiaZjwRocgujnDKa_Qn-1rHR1eLxaN2RbRTT6Dx2jHXwNoeEFvkoWZJsv1OW9F3hKwCn9OFBuCGKDZ1XCrrydERebOXuBxUfZ7BJjuSyMTiBjh=w1200|https://lh3.googleusercontent.com/pw/AP1GczPHv2uRzrTWYiKYSvP6aEo4SIDqgBavQJayCVaWujokhh5Srnhp4e5F5e_QnVKRlCOhoDIFsqOJf4TTQvht-BRC1mmW3vNwYT2ci5J6HaR7Rk4n7iep=w1200|https://lh3.googleusercontent.com/pw/AP1GczOPCKyu61eIbztNiLBG8tPxUPpVSXihv54eiHwgDIP1wkP9wYPrRZE2FmtnfoGD4lLlvTg0R4akW447pDvKgRnrVMq1layO6C-P-cPUgKv6NtRvab11=w1200|https://lh3.googleusercontent.com/pw/AP1GczMVZMOd19gCxbi1ND0SXqwC3mneOFOu8FC9InT1D6H-IgoN3jLKI9-OLUmaGz_Kr-21JzMGY4MuV7VXXBo9OMqXAMv68f6x_sVcfpJqeKdgvnViwm2M=w1200|https://lh3.googleusercontent.com/pw/AP1GczOY9AnR1XqrdAsKGGvqfI0iMM-PNZj_P0uLtfzxXjr53bYnrW3fFTR3S9FwADxUVBRMi3BvJDI-qTxfm-ZiNt9Ai1jxXxi4vE9EflrA_LN7lScVRUUV=w1200|https://lh3.googleusercontent.com/pw/AP1GczN6ZVBijKqLmHdZ12tTv2sMjKDDCdLyrOExPwAkCVUUJ030KP48LBbXNMaDIC8sLPBEZG6L87yaHCDfkBQ_-9Vv1tuWNYWsMeKUIInkhiic4mjwL2tT=w1200|https://lh3.googleusercontent.com/pw/AP1GczMmun_biEFQ2Px_pt9pqAgaTqANuEVz0L8We7pN5LgW7Bh3WrgM4Mz0KSI5-qjnzQ6yZ3URr-o057Z_V8LdmseX2F5SLb_2V5UteDHJjEgseQ38VHu6=w1200|https://lh3.googleusercontent.com/pw/AP1GczPwlK0ROOzIDnLOA8DcU3cZ7mzRZn_iG8XTvASRHbnR1cP8dxidr0TN91xwi6nvB7cSRL2OBkjHi7tD0GLUdzhkusC9zvllixh_gHDt-HrlSvjelSPE=w1200|https://lh3.googleusercontent.com/pw/AP1GczPTQFY2bRw5Wd6Joyi5qYpzrWzIoc-wTy5kvvE2-BkyrXLonV3zYrHCu3pk1Zj5Izn1ZSyI6lbMQv0fxloLOmg-iBBmWWHVRXUQ226082xxVpOm2o7D=w1200|https://lh3.googleusercontent.com/pw/AP1GczN9ihTMaxOOtPtf6lguEYd6HDnQ3yrlBPgBFEPPei5BYYwOER-nsvZqhQD6jiRntHqXD83A5QGLyxvMNhgIOQ_u3x-wvzJwknAzh_o0bRc75NEF_ghe=w1200|https://lh3.googleusercontent.com/pw/AP1GczMwTMe6ur8lnSHxcTe0NlVjHTEsLpVIffJWTLnu7xMpEw119l3GbbW0TFp9fM7t_HPi7WOyYzji9JmjoIw_-aq72WA4ll8KrbIJ_XDuJOjTyVYRaaw_=w1200|https://lh3.googleusercontent.com/pw/AP1GczMDXzEprwEn2jodu3xNg3NfpcbzW-AZjUsoLBHoJXLGxGJK39EN_ni0sZPBONEPSmvmh78xB_rSdF9ox5l9DVHfZfySOMiVL9NO6w88nzkV9WTYtjyk=w1200</v>
      </c>
      <c r="AJ421" s="46"/>
      <c r="AK421" s="46"/>
      <c r="AL421" s="46"/>
      <c r="AM421" s="46"/>
      <c r="AN421" s="46"/>
      <c r="AO421" s="46"/>
      <c r="AP421" s="46"/>
      <c r="AQ421" s="46"/>
      <c r="AR421" s="46"/>
      <c r="AS421" s="46"/>
      <c r="AT421" s="46"/>
      <c r="AU421" s="46"/>
      <c r="AV421" s="46"/>
      <c r="AW421" s="46"/>
      <c r="AX421" s="46"/>
      <c r="AY421" s="46"/>
      <c r="AZ421" s="46"/>
      <c r="BA421" s="46"/>
      <c r="BB421" s="46"/>
      <c r="BC421" s="46"/>
      <c r="BD421" s="46"/>
      <c r="BE421" s="46"/>
      <c r="BF421" s="46"/>
      <c r="BG421" s="46"/>
      <c r="BH421" s="46"/>
      <c r="BI421" s="46"/>
      <c r="BJ421" s="46"/>
      <c r="BK421" s="46"/>
      <c r="BL421" s="46"/>
      <c r="BM421" s="46"/>
      <c r="BN421" s="46"/>
      <c r="BO421" s="46"/>
      <c r="BP421" s="46"/>
      <c r="BQ421" s="46"/>
      <c r="BR421" s="46"/>
      <c r="BS421" s="46"/>
      <c r="BT421" s="46"/>
      <c r="BU421" s="46"/>
      <c r="BV421" s="46"/>
      <c r="BW421" s="46"/>
      <c r="BX421" s="46"/>
      <c r="BY421" s="46"/>
      <c r="BZ421" s="46"/>
      <c r="CA421" s="46"/>
      <c r="CB421" s="46"/>
      <c r="CC421" s="46"/>
    </row>
    <row r="422">
      <c r="A422" s="87" t="str">
        <f>IFERROR(__xludf.DUMMYFUNCTION("""COMPUTED_VALUE"""),"5864")</f>
        <v>5864</v>
      </c>
      <c r="B422" s="46" t="str">
        <f>IFERROR(__xludf.DUMMYFUNCTION("""COMPUTED_VALUE"""),"Casa campestre - Rivera")</f>
        <v>Casa campestre - Rivera</v>
      </c>
      <c r="C422" s="46" t="str">
        <f>IFERROR(__xludf.DUMMYFUNCTION("""COMPUTED_VALUE"""),"Casa campestre")</f>
        <v>Casa campestre</v>
      </c>
      <c r="D422" s="46"/>
      <c r="E422" s="46"/>
      <c r="F422" s="90">
        <f>IFERROR(__xludf.DUMMYFUNCTION("""COMPUTED_VALUE"""),8.25E8)</f>
        <v>825000000</v>
      </c>
      <c r="G422" s="46" t="str">
        <f>IFERROR(__xludf.DUMMYFUNCTION("""COMPUTED_VALUE"""),"$500'000.000 a $1.000'000.000")</f>
        <v>$500'000.000 a $1.000'000.000</v>
      </c>
      <c r="H422" s="46"/>
      <c r="I422" s="46"/>
      <c r="J422" s="46" t="str">
        <f>IFERROR(__xludf.DUMMYFUNCTION("""COMPUTED_VALUE"""),"Sur")</f>
        <v>Sur</v>
      </c>
      <c r="K422" s="87"/>
      <c r="L422" s="46">
        <f>IFERROR(__xludf.DUMMYFUNCTION("""COMPUTED_VALUE"""),5.0)</f>
        <v>5</v>
      </c>
      <c r="M422" s="46"/>
      <c r="N422" s="46">
        <f>IFERROR(__xludf.DUMMYFUNCTION("""COMPUTED_VALUE"""),3.0)</f>
        <v>3</v>
      </c>
      <c r="O422" s="46">
        <f>IFERROR(__xludf.DUMMYFUNCTION("""COMPUTED_VALUE"""),1.0)</f>
        <v>1</v>
      </c>
      <c r="P422" s="46">
        <f>IFERROR(__xludf.DUMMYFUNCTION("""COMPUTED_VALUE"""),2.0)</f>
        <v>2</v>
      </c>
      <c r="Q422" s="92">
        <f>IFERROR(__xludf.DUMMYFUNCTION("""COMPUTED_VALUE"""),450.0)</f>
        <v>450</v>
      </c>
      <c r="R422" s="92">
        <f>IFERROR(__xludf.DUMMYFUNCTION("""COMPUTED_VALUE"""),347.0)</f>
        <v>347</v>
      </c>
      <c r="S422" s="87" t="str">
        <f>IFERROR(__xludf.DUMMYFUNCTION("""COMPUTED_VALUE""")," ")</f>
        <v> </v>
      </c>
      <c r="T422" s="46" t="str">
        <f>IFERROR(__xludf.DUMMYFUNCTION("""COMPUTED_VALUE"""),"Rivera")</f>
        <v>Rivera</v>
      </c>
      <c r="U422" s="87"/>
      <c r="V422" s="46" t="str">
        <f>IFERROR(__xludf.DUMMYFUNCTION("""COMPUTED_VALUE"""),"Medianera")</f>
        <v>Medianera</v>
      </c>
      <c r="W422" s="46"/>
      <c r="X422" s="46">
        <f>IFERROR(__xludf.DUMMYFUNCTION("""COMPUTED_VALUE"""),4.0)</f>
        <v>4</v>
      </c>
      <c r="Y422" s="46" t="str">
        <f>IFERROR(__xludf.DUMMYFUNCTION("""COMPUTED_VALUE"""),"Privada")</f>
        <v>Privada</v>
      </c>
      <c r="Z422" s="90" t="str">
        <f>IFERROR(__xludf.DUMMYFUNCTION("""COMPUTED_VALUE"""),"No aplica")</f>
        <v>No aplica</v>
      </c>
      <c r="AA422" s="33" t="str">
        <f>IFERROR(__xludf.DUMMYFUNCTION("""COMPUTED_VALUE"""),"No aplica")</f>
        <v>No aplica</v>
      </c>
      <c r="AB422" s="96" t="str">
        <f>IFERROR(__xludf.DUMMYFUNCTION("""COMPUTED_VALUE"""),"https://photos.app.goo.gl/Gvq8MmZARb9gwYjv7")</f>
        <v>https://photos.app.goo.gl/Gvq8MmZARb9gwYjv7</v>
      </c>
      <c r="AC422" s="46" t="str">
        <f>IFERROR(__xludf.DUMMYFUNCTION("""COMPUTED_VALUE"""),"Casa campestre ubicada en Rivera, Huila, específicamente a una cuadra de Los Gabrieles. La propiedad cuenta con un área de lote de $347.0m2 y ofrece diversas características ideales para el descanso y la recreación, tales como amplias zonas, una piscina c"&amp;"on maquinaria totalmente nueva, salón social y una zona BBQ.")</f>
        <v>Casa campestre ubicada en Rivera, Huila, específicamente a una cuadra de Los Gabrieles. La propiedad cuenta con un área de lote de $347.0m2 y ofrece diversas características ideales para el descanso y la recreación, tales como amplias zonas, una piscina con maquinaria totalmente nueva, salón social y una zona BBQ.</v>
      </c>
      <c r="AD422" s="46" t="str">
        <f>IFERROR(__xludf.DUMMYFUNCTION("""COMPUTED_VALUE"""),"En cuanto a su distribución interna, el inmueble dispone de sala y comedor, cocina, 5 habitaciones y 3 baños y se especifica que cuenta con la documentación al día.")</f>
        <v>En cuanto a su distribución interna, el inmueble dispone de sala y comedor, cocina, 5 habitaciones y 3 baños y se especifica que cuenta con la documentación al día.</v>
      </c>
      <c r="AE422" s="46"/>
      <c r="AF422" s="46" t="str">
        <f>IFERROR(__xludf.DUMMYFUNCTION("""COMPUTED_VALUE"""),"básica")</f>
        <v>básica</v>
      </c>
      <c r="AG422" s="46"/>
      <c r="AH422" s="46" t="str">
        <f>IFERROR(__xludf.DUMMYFUNCTION("""COMPUTED_VALUE"""),"Aliado")</f>
        <v>Aliado</v>
      </c>
      <c r="AI422" s="92" t="str">
        <f>IFERROR(__xludf.DUMMYFUNCTION("""COMPUTED_VALUE"""),"https://lh3.googleusercontent.com/pw/AP1GczNZGZREA9voLm-V_UC0q-v5sALU6MbQfvh31wRWrPx_YrLJPSzoMZxiQJjpw9OOikOhd5vmre9aoLkm193RbuUpXaHliN4lzUddY-BBs6Kkp02t6uWo=w1200|https://lh3.googleusercontent.com/pw/AP1GczOuvdGlJRcoK0aVw8adQ4uuOMZOwvGQqwMR3nc2D17r-HdBOr"&amp;"HL6Qutu6fyYRrcL75U0MiXRsOs9wD1fiZLxJY17nVFyOsk5Dw2Thi5ImyzBcvvAGk-=w1200|https://lh3.googleusercontent.com/pw/AP1GczMNgtM_7QdQ0cbakMcHb9s0g7h_MuzmWIW74DxujGj7w_KKMncvONgvgfdYTPpPTN3O276mvYVEyglzwBhqlrWHSNUPQx3Q4Q5kkd0Xbo9PJKeZVjmf=w1200|https://lh3.google"&amp;"usercontent.com/pw/AP1GczNpI_-AjTr2ed7NbQRCCfn3BZgrLHWT-sMewNlIlqKOYJVtt1Wn22A57-k1Kfh7D1REB0L5x8AeZLCrvyZMB65HmMo9WuiutKtG-FEQXEhagECLeDwM=w1200|https://lh3.googleusercontent.com/pw/AP1GczO79EmeRWj7N5wlJpThJ9lXvXb8aZCcCcXJC-5pHUDEwDWMyzACzOvj0OOpBfr9_uuH"&amp;"JP8kFqJmUNS5GPzjgjmWAD9ZLJB0D4MVVeQFVHKOdVWqua85=w1200|https://lh3.googleusercontent.com/pw/AP1GczPemtKfkB9FC0uU8LWR4lQeueQtK5phiqk11zek32IEyntT3noHJ2RIlts6dtm_eLxdtF-g5gHwLBxEz1G5XglwwEpjCRfIzgYhV950hnJB59jvdTRt=w1200|https://lh3.googleusercontent.com/pw"&amp;"/AP1GczO2nh6OpgRHrrUJM1p2ntKUNqf5lB3Ck7J1TRVBDCmose33_egSVEFOD_xzlwVEPo5d-bNssslHuy5SFEzWXdeHro929FGVEvnbaXGc4XgfMraNmAdC=w1200|https://lh3.googleusercontent.com/pw/AP1GczNy8EdGVEqSJaQ0a52NpjEKZxTw3vo0vfNAKsjuM7DaA4iYKyyQwH2esUAo_ZXORRiKMlDMzPEfJV-GNogQzW"&amp;"G_BWUMg_nyyBjHT9fRTAJjrBZdKp6f=w1200|https://lh3.googleusercontent.com/pw/AP1GczN8BB_hsvnju6IovshhXwr72cjwDb6Tals3jn1hec8HScfY-i-Rj-mH0eI8dHn8tB_3FzhRQngUgGvj2eZix6sJtbs0rCQAqRiGc6EE1-e8hoeFmwcN=w1200|https://lh3.googleusercontent.com/pw/AP1GczNQzFsLjakLf"&amp;"jKqMBJVDtK7lovafgsDjCwkxNbxbeffi2_HndMOZEossToBhIhnqHXtKtMUxDih5vIQ-2r3Hk7oUQ3CQEcqz0YHRKIIojrcXkR3eLG4=w1200|https://lh3.googleusercontent.com/pw/AP1GczPPsKzCWGIQ9nzOwfkBJQysJs1Tj0NKZ88ry4-4zy04bXTtPliZ6RHsXG6yLNZxTpw5Vaj0vV2mMT5JA70YJJuU9fLyDE6BtMzAaX1I"&amp;"uu5MdQYwNfWR=w1200|https://lh3.googleusercontent.com/pw/AP1GczMySih41oGx93L14kHqFoBy0mDlZyHlIJY3AR4WyD2gshpWgGlbxKtrO6SsXCu_rMH4uceSW3hzGEuylh9UWzP4lGUdLp2vrVL0tghZiV4yWXD1Qt2-=w1200|https://lh3.googleusercontent.com/pw/AP1GczNVa1RxsRn2MMy--RWFlx23eOaoHL9"&amp;"ATU_RXvM1mnquL3WswaxU7_n2NWtYUsxjWcMNMrPK1cmvs-hIjUdSqydUOpN96rDXMPY3lf4ZhNnKfAk4D69b=w1200|https://lh3.googleusercontent.com/pw/AP1GczOr9uokd7ul1kytrlXTE2xly4uSHjZXfnYUeIUkKgc4ZXXaCEE5vdTMsx0bJmSMl1NzmZDO-tcxLREurUmvDB9C53IROaB8YGiVHUW7kJ7zwJadBZAE=w1200"&amp;"|https://lh3.googleusercontent.com/pw/AP1GczPDA8BEZ62LRLuXkMjdtK0mKHO24cCoc8OPv9JxQ6VyVgSLKr_7-NiyJqr0m7bj_cUhVxRv3uMwJ5rTMHGazUmXztVD7XFGbVGOcAtJen4liuJB9uYU=w1200")</f>
        <v>https://lh3.googleusercontent.com/pw/AP1GczNZGZREA9voLm-V_UC0q-v5sALU6MbQfvh31wRWrPx_YrLJPSzoMZxiQJjpw9OOikOhd5vmre9aoLkm193RbuUpXaHliN4lzUddY-BBs6Kkp02t6uWo=w1200|https://lh3.googleusercontent.com/pw/AP1GczOuvdGlJRcoK0aVw8adQ4uuOMZOwvGQqwMR3nc2D17r-HdBOrHL6Qutu6fyYRrcL75U0MiXRsOs9wD1fiZLxJY17nVFyOsk5Dw2Thi5ImyzBcvvAGk-=w1200|https://lh3.googleusercontent.com/pw/AP1GczMNgtM_7QdQ0cbakMcHb9s0g7h_MuzmWIW74DxujGj7w_KKMncvONgvgfdYTPpPTN3O276mvYVEyglzwBhqlrWHSNUPQx3Q4Q5kkd0Xbo9PJKeZVjmf=w1200|https://lh3.googleusercontent.com/pw/AP1GczNpI_-AjTr2ed7NbQRCCfn3BZgrLHWT-sMewNlIlqKOYJVtt1Wn22A57-k1Kfh7D1REB0L5x8AeZLCrvyZMB65HmMo9WuiutKtG-FEQXEhagECLeDwM=w1200|https://lh3.googleusercontent.com/pw/AP1GczO79EmeRWj7N5wlJpThJ9lXvXb8aZCcCcXJC-5pHUDEwDWMyzACzOvj0OOpBfr9_uuHJP8kFqJmUNS5GPzjgjmWAD9ZLJB0D4MVVeQFVHKOdVWqua85=w1200|https://lh3.googleusercontent.com/pw/AP1GczPemtKfkB9FC0uU8LWR4lQeueQtK5phiqk11zek32IEyntT3noHJ2RIlts6dtm_eLxdtF-g5gHwLBxEz1G5XglwwEpjCRfIzgYhV950hnJB59jvdTRt=w1200|https://lh3.googleusercontent.com/pw/AP1GczO2nh6OpgRHrrUJM1p2ntKUNqf5lB3Ck7J1TRVBDCmose33_egSVEFOD_xzlwVEPo5d-bNssslHuy5SFEzWXdeHro929FGVEvnbaXGc4XgfMraNmAdC=w1200|https://lh3.googleusercontent.com/pw/AP1GczNy8EdGVEqSJaQ0a52NpjEKZxTw3vo0vfNAKsjuM7DaA4iYKyyQwH2esUAo_ZXORRiKMlDMzPEfJV-GNogQzWG_BWUMg_nyyBjHT9fRTAJjrBZdKp6f=w1200|https://lh3.googleusercontent.com/pw/AP1GczN8BB_hsvnju6IovshhXwr72cjwDb6Tals3jn1hec8HScfY-i-Rj-mH0eI8dHn8tB_3FzhRQngUgGvj2eZix6sJtbs0rCQAqRiGc6EE1-e8hoeFmwcN=w1200|https://lh3.googleusercontent.com/pw/AP1GczNQzFsLjakLfjKqMBJVDtK7lovafgsDjCwkxNbxbeffi2_HndMOZEossToBhIhnqHXtKtMUxDih5vIQ-2r3Hk7oUQ3CQEcqz0YHRKIIojrcXkR3eLG4=w1200|https://lh3.googleusercontent.com/pw/AP1GczPPsKzCWGIQ9nzOwfkBJQysJs1Tj0NKZ88ry4-4zy04bXTtPliZ6RHsXG6yLNZxTpw5Vaj0vV2mMT5JA70YJJuU9fLyDE6BtMzAaX1Iuu5MdQYwNfWR=w1200|https://lh3.googleusercontent.com/pw/AP1GczMySih41oGx93L14kHqFoBy0mDlZyHlIJY3AR4WyD2gshpWgGlbxKtrO6SsXCu_rMH4uceSW3hzGEuylh9UWzP4lGUdLp2vrVL0tghZiV4yWXD1Qt2-=w1200|https://lh3.googleusercontent.com/pw/AP1GczNVa1RxsRn2MMy--RWFlx23eOaoHL9ATU_RXvM1mnquL3WswaxU7_n2NWtYUsxjWcMNMrPK1cmvs-hIjUdSqydUOpN96rDXMPY3lf4ZhNnKfAk4D69b=w1200|https://lh3.googleusercontent.com/pw/AP1GczOr9uokd7ul1kytrlXTE2xly4uSHjZXfnYUeIUkKgc4ZXXaCEE5vdTMsx0bJmSMl1NzmZDO-tcxLREurUmvDB9C53IROaB8YGiVHUW7kJ7zwJadBZAE=w1200|https://lh3.googleusercontent.com/pw/AP1GczPDA8BEZ62LRLuXkMjdtK0mKHO24cCoc8OPv9JxQ6VyVgSLKr_7-NiyJqr0m7bj_cUhVxRv3uMwJ5rTMHGazUmXztVD7XFGbVGOcAtJen4liuJB9uYU=w1200</v>
      </c>
      <c r="AJ422" s="46"/>
      <c r="AK422" s="46"/>
      <c r="AL422" s="46"/>
      <c r="AM422" s="46"/>
      <c r="AN422" s="46"/>
      <c r="AO422" s="46"/>
      <c r="AP422" s="46"/>
      <c r="AQ422" s="46"/>
      <c r="AR422" s="46"/>
      <c r="AS422" s="46"/>
      <c r="AT422" s="46"/>
      <c r="AU422" s="46"/>
      <c r="AV422" s="46"/>
      <c r="AW422" s="46"/>
      <c r="AX422" s="46"/>
      <c r="AY422" s="46"/>
      <c r="AZ422" s="46"/>
      <c r="BA422" s="46"/>
      <c r="BB422" s="46"/>
      <c r="BC422" s="46"/>
      <c r="BD422" s="46"/>
      <c r="BE422" s="46"/>
      <c r="BF422" s="46"/>
      <c r="BG422" s="46"/>
      <c r="BH422" s="46"/>
      <c r="BI422" s="46"/>
      <c r="BJ422" s="46"/>
      <c r="BK422" s="46"/>
      <c r="BL422" s="46"/>
      <c r="BM422" s="46"/>
      <c r="BN422" s="46"/>
      <c r="BO422" s="46"/>
      <c r="BP422" s="46"/>
      <c r="BQ422" s="46"/>
      <c r="BR422" s="46"/>
      <c r="BS422" s="46"/>
      <c r="BT422" s="46"/>
      <c r="BU422" s="46"/>
      <c r="BV422" s="46"/>
      <c r="BW422" s="46"/>
      <c r="BX422" s="46"/>
      <c r="BY422" s="46"/>
      <c r="BZ422" s="46"/>
      <c r="CA422" s="46"/>
      <c r="CB422" s="46"/>
      <c r="CC422" s="46"/>
    </row>
    <row r="423">
      <c r="A423" s="87" t="str">
        <f>IFERROR(__xludf.DUMMYFUNCTION("""COMPUTED_VALUE"""),"6386")</f>
        <v>6386</v>
      </c>
      <c r="B423" s="46" t="str">
        <f>IFERROR(__xludf.DUMMYFUNCTION("""COMPUTED_VALUE"""),"Apartamento en conjunto Reservas de la Sierra - Oriente")</f>
        <v>Apartamento en conjunto Reservas de la Sierra - Oriente</v>
      </c>
      <c r="C423" s="46" t="str">
        <f>IFERROR(__xludf.DUMMYFUNCTION("""COMPUTED_VALUE"""),"Apartamento en conjunto")</f>
        <v>Apartamento en conjunto</v>
      </c>
      <c r="D423" s="46"/>
      <c r="E423" s="46" t="str">
        <f>IFERROR(__xludf.DUMMYFUNCTION("""COMPUTED_VALUE""")," Conjunto Reservas de la Sierra")</f>
        <v> Conjunto Reservas de la Sierra</v>
      </c>
      <c r="F423" s="90">
        <f>IFERROR(__xludf.DUMMYFUNCTION("""COMPUTED_VALUE"""),7.6E8)</f>
        <v>760000000</v>
      </c>
      <c r="G423" s="46" t="str">
        <f>IFERROR(__xludf.DUMMYFUNCTION("""COMPUTED_VALUE"""),"$500'000.000 a $1.000'000.000")</f>
        <v>$500'000.000 a $1.000'000.000</v>
      </c>
      <c r="H423" s="46"/>
      <c r="I423" s="46"/>
      <c r="J423" s="46" t="str">
        <f>IFERROR(__xludf.DUMMYFUNCTION("""COMPUTED_VALUE"""),"Oriente")</f>
        <v>Oriente</v>
      </c>
      <c r="K423" s="87"/>
      <c r="L423" s="46">
        <f>IFERROR(__xludf.DUMMYFUNCTION("""COMPUTED_VALUE"""),2.0)</f>
        <v>2</v>
      </c>
      <c r="M423" s="46"/>
      <c r="N423" s="46">
        <f>IFERROR(__xludf.DUMMYFUNCTION("""COMPUTED_VALUE"""),2.0)</f>
        <v>2</v>
      </c>
      <c r="O423" s="46">
        <f>IFERROR(__xludf.DUMMYFUNCTION("""COMPUTED_VALUE"""),2.0)</f>
        <v>2</v>
      </c>
      <c r="P423" s="46">
        <f>IFERROR(__xludf.DUMMYFUNCTION("""COMPUTED_VALUE"""),7.0)</f>
        <v>7</v>
      </c>
      <c r="Q423" s="92">
        <f>IFERROR(__xludf.DUMMYFUNCTION("""COMPUTED_VALUE"""),152.0)</f>
        <v>152</v>
      </c>
      <c r="R423" s="92">
        <f>IFERROR(__xludf.DUMMYFUNCTION("""COMPUTED_VALUE"""),152.0)</f>
        <v>152</v>
      </c>
      <c r="S423" s="87" t="str">
        <f>IFERROR(__xludf.DUMMYFUNCTION("""COMPUTED_VALUE""")," ")</f>
        <v> </v>
      </c>
      <c r="T423" s="46" t="str">
        <f>IFERROR(__xludf.DUMMYFUNCTION("""COMPUTED_VALUE"""),"Neiva")</f>
        <v>Neiva</v>
      </c>
      <c r="U423" s="87" t="str">
        <f>IFERROR(__xludf.DUMMYFUNCTION("""COMPUTED_VALUE"""),"5")</f>
        <v>5</v>
      </c>
      <c r="V423" s="46" t="str">
        <f>IFERROR(__xludf.DUMMYFUNCTION("""COMPUTED_VALUE"""),"7o.")</f>
        <v>7o.</v>
      </c>
      <c r="W423" s="46"/>
      <c r="X423" s="46">
        <f>IFERROR(__xludf.DUMMYFUNCTION("""COMPUTED_VALUE"""),2.0)</f>
        <v>2</v>
      </c>
      <c r="Y423" s="46" t="str">
        <f>IFERROR(__xludf.DUMMYFUNCTION("""COMPUTED_VALUE"""),"Social")</f>
        <v>Social</v>
      </c>
      <c r="Z423" s="90">
        <f>IFERROR(__xludf.DUMMYFUNCTION("""COMPUTED_VALUE"""),760000.0)</f>
        <v>760000</v>
      </c>
      <c r="AA423" s="33" t="str">
        <f>IFERROR(__xludf.DUMMYFUNCTION("""COMPUTED_VALUE"""),"No aplica")</f>
        <v>No aplica</v>
      </c>
      <c r="AB423" s="96" t="str">
        <f>IFERROR(__xludf.DUMMYFUNCTION("""COMPUTED_VALUE"""),"https://photos.app.goo.gl/1dopEgTf3Sn61hmc8")</f>
        <v>https://photos.app.goo.gl/1dopEgTf3Sn61hmc8</v>
      </c>
      <c r="AC423" s="46" t="str">
        <f>IFERROR(__xludf.DUMMYFUNCTION("""COMPUTED_VALUE"""),"Este exclusivo y espacioso apartamento, ubicado en el séptimo piso de Reservas de la Sierra, cuenta con un área total de 152 m² que se caracteriza por sus acabados de lujo y ambientes perfectamente iluminados. Al ingresar, se aprecia una amplísima sala-co"&amp;"medor revestida con pisos en porcelanato de alto brillo y muros estucados en blanco, la cual conecta de manera fluida con un gran balcón privado a través de ventanales de piso a techo. La distribución interior ofrece un estudio independiente completamente"&amp;" amoblado con escritorios y estanterías modernas, además de tres cómodas habitaciones con clósets empotrados —destacando la principal con su propio baño privado—. Dispone también de dos baños sociales, una zona de lavandería independiente y un práctico cu"&amp;"arto de servicio con baño privado. Por su parte, la imponente cocina integral en forma de U resalta por sus generosas encimeras de granito oscuro, salpicadero negro, estufa empotrada, horno y un sofisticado mobiliario modular en tonos madera clara y moca."&amp;" Como complemento ideal, la propiedad incluye dos parqueaderos privados y un depósito para almacenamiento extra.")</f>
        <v>Este exclusivo y espacioso apartamento, ubicado en el séptimo piso de Reservas de la Sierra, cuenta con un área total de 152 m² que se caracteriza por sus acabados de lujo y ambientes perfectamente iluminados. Al ingresar, se aprecia una amplísima sala-comedor revestida con pisos en porcelanato de alto brillo y muros estucados en blanco, la cual conecta de manera fluida con un gran balcón privado a través de ventanales de piso a techo. La distribución interior ofrece un estudio independiente completamente amoblado con escritorios y estanterías modernas, además de tres cómodas habitaciones con clósets empotrados —destacando la principal con su propio baño privado—. Dispone también de dos baños sociales, una zona de lavandería independiente y un práctico cuarto de servicio con baño privado. Por su parte, la imponente cocina integral en forma de U resalta por sus generosas encimeras de granito oscuro, salpicadero negro, estufa empotrada, horno y un sofisticado mobiliario modular en tonos madera clara y moca. Como complemento ideal, la propiedad incluye dos parqueaderos privados y un depósito para almacenamiento extra.</v>
      </c>
      <c r="AD423" s="46" t="str">
        <f>IFERROR(__xludf.DUMMYFUNCTION("""COMPUTED_VALUE"""),"Esta propiedad representa una oportunidad de compra inmediata inigualable para quienes buscan un estilo de vida sofisticado, cómodo y exclusivo en la ciudad. Al estar situado en un séptimo piso, el apartamento regala una espectacular vista exterior panorá"&amp;"mica y garantiza una ventilación natural constante en cada uno de sus rincones. Sin duda, el mayor factor de atracción son sus zonas sociales tipo club, diseñadas para el entretenimiento de toda la familia sin salir de casa; el complejo residencial cuenta"&amp;" con un lago, golfito, gimnasio dotado, canchas de tenis, squash, cancha sintética de fútbol 5, un parque infantil de tres niveles, un oratorio y un espectacular complejo de seis piscinas. Con espacios listos para mudarse, acabados estéticos impecables y "&amp;"la comodidad de contar con doble estacionamiento propio, este inmueble es la inversión inteligente definitiva en el mercado de alta gama.")</f>
        <v>Esta propiedad representa una oportunidad de compra inmediata inigualable para quienes buscan un estilo de vida sofisticado, cómodo y exclusivo en la ciudad. Al estar situado en un séptimo piso, el apartamento regala una espectacular vista exterior panorámica y garantiza una ventilación natural constante en cada uno de sus rincones. Sin duda, el mayor factor de atracción son sus zonas sociales tipo club, diseñadas para el entretenimiento de toda la familia sin salir de casa; el complejo residencial cuenta con un lago, golfito, gimnasio dotado, canchas de tenis, squash, cancha sintética de fútbol 5, un parque infantil de tres niveles, un oratorio y un espectacular complejo de seis piscinas. Con espacios listos para mudarse, acabados estéticos impecables y la comodidad de contar con doble estacionamiento propio, este inmueble es la inversión inteligente definitiva en el mercado de alta gama.</v>
      </c>
      <c r="AE423" s="46"/>
      <c r="AF423" s="46" t="str">
        <f>IFERROR(__xludf.DUMMYFUNCTION("""COMPUTED_VALUE"""),"integral")</f>
        <v>integral</v>
      </c>
      <c r="AG423" s="46"/>
      <c r="AH423" s="46" t="str">
        <f>IFERROR(__xludf.DUMMYFUNCTION("""COMPUTED_VALUE"""),"Aliado")</f>
        <v>Aliado</v>
      </c>
      <c r="AI423" s="92" t="str">
        <f>IFERROR(__xludf.DUMMYFUNCTION("""COMPUTED_VALUE"""),"https://lh3.googleusercontent.com/pw/AP1GczO7YMReWhHFU4rXeeaX9CgcCkcl0ku3Tca2t4YfFVOHlfQrBk9ofmUixQB0uq-za9gXZH8Sp9wy3Gm8G3V2haIhfxcc69MWcTSLLJLGXHMpQM78O5Xk=w1200|https://lh3.googleusercontent.com/pw/AP1GczPho3sfYpY-ywVy4XW5W5uYjzZXg0YkWTfHLdjdaNhi9w4nWF"&amp;"BSjNbF1R4M8D98zJTICVTF0zgjranXc60SNR0D961ZbO-M96JGIqo8T-MCJaxEhN7r=w1200|https://lh3.googleusercontent.com/pw/AP1GczMXFfn5RvH1Ez1yNqEOi923Odl1uBUDrrHLJ49rtdwqi35iLCTG8DYnN0DavbWc_bYbAlLvpCC_sEZaNjELG21Vi-aigQemH13UDvV0IBlUe2ALAHNU=w1200|https://lh3.google"&amp;"usercontent.com/pw/AP1GczO-Cj-AqddILgLoZUfjiCH7FetoWLWh7Ju2F4BkFfRHu4PdeQxJlmZ4eboJs5f18aFzY26bBlkg8VYkTc_V8vtFE3_d_PpaQR-QABj1AMh2-Mb-sSXV=w1200|https://lh3.googleusercontent.com/pw/AP1GczP2qTBebOJb5V-TqTeuYWLa3wjhvlnUilGuFVS7-eG0WTSPPCkj1wqtrpRdBS5HpnCI"&amp;"rY8zr5dxbCOEopyPfQ9ezN1R2uz2y_OH4XsaMhEr2iZckcAs=w1200|https://lh3.googleusercontent.com/pw/AP1GczP1RmORHLYu_SZdAQmHQMtq7DQwlOV2miGof5bvLCeEg8b4gLfkrbw6-v09AV6LeV7OwAidbnZezgTn8DM8-Hn5UI1-aIJiSBKMioIbVJZdLOy-bmWP=w1200|https://lh3.googleusercontent.com/pw"&amp;"/AP1GczPkRZQChtCbVTLFMIkKNmrgWMPbyK4phktz7kqjYqPfY7lTrfB2Bq-R55ShTOTDcs0wFI_hKxbyz5kn38J5KwNe4oF0YQOdJ3zrvynf7BMCqJcqUQBb=w1200|https://lh3.googleusercontent.com/pw/AP1GczMcjTProGxFCPsMu4CgVz0pVpGqcaMvtitghdIZO4IIVt5AE8HDfrt36XTLmqNsKBJngy51a3STbCTUXdS6Ak"&amp;"E2lccfUFMemIGGey07wcSgP2XA15p9=w1200|https://lh3.googleusercontent.com/pw/AP1GczMOzAuv1NR71FFLd9TvV3ANSr5MO8Vo6hQ8NtLIq0JcEn2fhmrnZLvasyt_yd-UBRy-bw6qk8PWICOSiid49LzPp3SjmWJ3UC7TG2rwz0mfFKvzJTbl=w1200|https://lh3.googleusercontent.com/pw/AP1GczPulplw34NCm"&amp;"9Xbe8P1NgNBW04UcqSz_UJAsJpF-9fuMQQ_DUAC1M2r5_O26y5to1rNhf2U8Xp5YygbR5EuZJs8rnCjnGKiGQ0EmR7FYnuw2wgm1iQC=w1200|https://lh3.googleusercontent.com/pw/AP1GczMC5dwpHc-V9OCEzv8PwY1fwGXsXD24oFcz7awmIbyRiVSKZj0JsKJGyaY64HHXa36_4hOBuEBoXAgPkzs8nb8oVtm7S4bnDWY31p3U"&amp;"hPe_0JXMm7uj=w1200|https://lh3.googleusercontent.com/pw/AP1GczPe-JlC0P47m6wcAKj67PosmvbITvkZJLvCpVMspLKRRdfqZQK3KBAMlmqYPgFJCzKoWVe4l1CzbW2RccEhjqXWBB882AVGIYJbqn4v7Oatsq8Ktl7v=w1200|https://lh3.googleusercontent.com/pw/AP1GczOtpWrB8aU-vhXc2CDBdUv1sJ7AR5X"&amp;"RER34MFaNFzpm6z0_UmhWymV5WfYzygObFSxFrqmlHjtuE4m7ulRLEpRB8CMl6y0Hgpv_mHk6rLvI2-AnC4e7=w1200|https://lh3.googleusercontent.com/pw/AP1GczP2wnUgPAfwZftlrMlQtgaOudcntEVLNpxyUA7atKiY3NFkojZ-Kpv5K-diE4qge7y3dtzFkdN-vrJFgywjRykvlU6kPH8PFb9ZbCbzjzg7jAIDODaT=w1200"&amp;"|https://lh3.googleusercontent.com/pw/AP1GczPYHpb41s5DaNhB3vEl8VKklsYEd9u4h8G4D7Pzc-2KbqhKPmJTHem2YG1ceXdbhitHQDNKPNTjA8WxzBP5g7CpLBbpBtIAMUPP4BImIPNTa8vOwtSQ=w1200|https://lh3.googleusercontent.com/pw/AP1GczPdcAlC2_g7VJU7EEkTWK6pbcefsEPduF7YxHR-Q_MJeT1S0"&amp;"5BJ-TKWbTIMwkSZq8LR2iKOjnv-H-EHA-LwRAX7X25Ljhgwif0WWZeL6UxGzQaLgEqA=w1200|https://lh3.googleusercontent.com/pw/AP1GczMW49kP42BEv8kOBgiZ0sqnbLHnWq2TCzQBEcXwLVufcj0nnaeUNKsRBGH8dLqyLrZJx4at25mdeKXDAtu1PEzIYkWFpm4NeWZYWWgJzpFCXjjIgn1x=w1200|https://lh3.googl"&amp;"eusercontent.com/pw/AP1GczMkOps8slU4jPYHcs9GiXv_cfRtHaVQK7Jd8lhz0atObEUta0GCCC1oSWMN9xgtaGx9nGzWzoj9bPQgi1G6z8CX7-MjkAqSZlR2rq6en3MLSobundjD=w1200|https://lh3.googleusercontent.com/pw/AP1GczMLyjhv_03MLbXedXmi_56D5T7wycyOGk90ujLrhf851LDQHI3-LR6PZ6EWeLZx2po"&amp;"cC5RTfzajnYFvBJBaFHYhXKf_i3xQIeUYmDaoNnkgTc-G-LXz=w1200|https://lh3.googleusercontent.com/pw/AP1GczO0AgGIrzHaks_W9Pp3133E8wK247mpTTgO6D0LE_Diz0A4fMr1WCVSVIZ_aC-1GNRiC2A-dKGhl1_a0MwMGlj_16BwCcSCNerZXfXVJdNEDXA33xjA=w1200|https://lh3.googleusercontent.com/p"&amp;"w/AP1GczN_-OtrEE8u4Zgkh4805OfOc3LVu6a-K7IvPueSLfCA4YqTp6KeyuXSnkO-maYu4Bcim9F0EteSf6GhPjPmnfui2BUAxt7Cf0tWOHvZkmg_Q2s1x_SK=w1200|https://lh3.googleusercontent.com/pw/AP1GczOpYui5S1GpybVYA_EaFSHq8IrD-PSazK4c3atcWuOamhG24Xm3M-SqaVP86i8rU2PDkOm2UmW000DH5O68H"&amp;"w3ifakEmvHiP_84s7u54TMJyU3_TAxd=w1200|https://lh3.googleusercontent.com/pw/AP1GczOwhwDWzLiHB3un1MSlep3WbN_yDm-Ii35tOK5fNi9eI4rvfnFmYUs7Beaa02TRdG0M-pL5yVNAkNuMX-dGV3E3W-U7Q57kLLB2DYRmWNO1vw4x9G6E=w1200")</f>
        <v>https://lh3.googleusercontent.com/pw/AP1GczO7YMReWhHFU4rXeeaX9CgcCkcl0ku3Tca2t4YfFVOHlfQrBk9ofmUixQB0uq-za9gXZH8Sp9wy3Gm8G3V2haIhfxcc69MWcTSLLJLGXHMpQM78O5Xk=w1200|https://lh3.googleusercontent.com/pw/AP1GczPho3sfYpY-ywVy4XW5W5uYjzZXg0YkWTfHLdjdaNhi9w4nWFBSjNbF1R4M8D98zJTICVTF0zgjranXc60SNR0D961ZbO-M96JGIqo8T-MCJaxEhN7r=w1200|https://lh3.googleusercontent.com/pw/AP1GczMXFfn5RvH1Ez1yNqEOi923Odl1uBUDrrHLJ49rtdwqi35iLCTG8DYnN0DavbWc_bYbAlLvpCC_sEZaNjELG21Vi-aigQemH13UDvV0IBlUe2ALAHNU=w1200|https://lh3.googleusercontent.com/pw/AP1GczO-Cj-AqddILgLoZUfjiCH7FetoWLWh7Ju2F4BkFfRHu4PdeQxJlmZ4eboJs5f18aFzY26bBlkg8VYkTc_V8vtFE3_d_PpaQR-QABj1AMh2-Mb-sSXV=w1200|https://lh3.googleusercontent.com/pw/AP1GczP2qTBebOJb5V-TqTeuYWLa3wjhvlnUilGuFVS7-eG0WTSPPCkj1wqtrpRdBS5HpnCIrY8zr5dxbCOEopyPfQ9ezN1R2uz2y_OH4XsaMhEr2iZckcAs=w1200|https://lh3.googleusercontent.com/pw/AP1GczP1RmORHLYu_SZdAQmHQMtq7DQwlOV2miGof5bvLCeEg8b4gLfkrbw6-v09AV6LeV7OwAidbnZezgTn8DM8-Hn5UI1-aIJiSBKMioIbVJZdLOy-bmWP=w1200|https://lh3.googleusercontent.com/pw/AP1GczPkRZQChtCbVTLFMIkKNmrgWMPbyK4phktz7kqjYqPfY7lTrfB2Bq-R55ShTOTDcs0wFI_hKxbyz5kn38J5KwNe4oF0YQOdJ3zrvynf7BMCqJcqUQBb=w1200|https://lh3.googleusercontent.com/pw/AP1GczMcjTProGxFCPsMu4CgVz0pVpGqcaMvtitghdIZO4IIVt5AE8HDfrt36XTLmqNsKBJngy51a3STbCTUXdS6AkE2lccfUFMemIGGey07wcSgP2XA15p9=w1200|https://lh3.googleusercontent.com/pw/AP1GczMOzAuv1NR71FFLd9TvV3ANSr5MO8Vo6hQ8NtLIq0JcEn2fhmrnZLvasyt_yd-UBRy-bw6qk8PWICOSiid49LzPp3SjmWJ3UC7TG2rwz0mfFKvzJTbl=w1200|https://lh3.googleusercontent.com/pw/AP1GczPulplw34NCm9Xbe8P1NgNBW04UcqSz_UJAsJpF-9fuMQQ_DUAC1M2r5_O26y5to1rNhf2U8Xp5YygbR5EuZJs8rnCjnGKiGQ0EmR7FYnuw2wgm1iQC=w1200|https://lh3.googleusercontent.com/pw/AP1GczMC5dwpHc-V9OCEzv8PwY1fwGXsXD24oFcz7awmIbyRiVSKZj0JsKJGyaY64HHXa36_4hOBuEBoXAgPkzs8nb8oVtm7S4bnDWY31p3UhPe_0JXMm7uj=w1200|https://lh3.googleusercontent.com/pw/AP1GczPe-JlC0P47m6wcAKj67PosmvbITvkZJLvCpVMspLKRRdfqZQK3KBAMlmqYPgFJCzKoWVe4l1CzbW2RccEhjqXWBB882AVGIYJbqn4v7Oatsq8Ktl7v=w1200|https://lh3.googleusercontent.com/pw/AP1GczOtpWrB8aU-vhXc2CDBdUv1sJ7AR5XRER34MFaNFzpm6z0_UmhWymV5WfYzygObFSxFrqmlHjtuE4m7ulRLEpRB8CMl6y0Hgpv_mHk6rLvI2-AnC4e7=w1200|https://lh3.googleusercontent.com/pw/AP1GczP2wnUgPAfwZftlrMlQtgaOudcntEVLNpxyUA7atKiY3NFkojZ-Kpv5K-diE4qge7y3dtzFkdN-vrJFgywjRykvlU6kPH8PFb9ZbCbzjzg7jAIDODaT=w1200|https://lh3.googleusercontent.com/pw/AP1GczPYHpb41s5DaNhB3vEl8VKklsYEd9u4h8G4D7Pzc-2KbqhKPmJTHem2YG1ceXdbhitHQDNKPNTjA8WxzBP5g7CpLBbpBtIAMUPP4BImIPNTa8vOwtSQ=w1200|https://lh3.googleusercontent.com/pw/AP1GczPdcAlC2_g7VJU7EEkTWK6pbcefsEPduF7YxHR-Q_MJeT1S05BJ-TKWbTIMwkSZq8LR2iKOjnv-H-EHA-LwRAX7X25Ljhgwif0WWZeL6UxGzQaLgEqA=w1200|https://lh3.googleusercontent.com/pw/AP1GczMW49kP42BEv8kOBgiZ0sqnbLHnWq2TCzQBEcXwLVufcj0nnaeUNKsRBGH8dLqyLrZJx4at25mdeKXDAtu1PEzIYkWFpm4NeWZYWWgJzpFCXjjIgn1x=w1200|https://lh3.googleusercontent.com/pw/AP1GczMkOps8slU4jPYHcs9GiXv_cfRtHaVQK7Jd8lhz0atObEUta0GCCC1oSWMN9xgtaGx9nGzWzoj9bPQgi1G6z8CX7-MjkAqSZlR2rq6en3MLSobundjD=w1200|https://lh3.googleusercontent.com/pw/AP1GczMLyjhv_03MLbXedXmi_56D5T7wycyOGk90ujLrhf851LDQHI3-LR6PZ6EWeLZx2pocC5RTfzajnYFvBJBaFHYhXKf_i3xQIeUYmDaoNnkgTc-G-LXz=w1200|https://lh3.googleusercontent.com/pw/AP1GczO0AgGIrzHaks_W9Pp3133E8wK247mpTTgO6D0LE_Diz0A4fMr1WCVSVIZ_aC-1GNRiC2A-dKGhl1_a0MwMGlj_16BwCcSCNerZXfXVJdNEDXA33xjA=w1200|https://lh3.googleusercontent.com/pw/AP1GczN_-OtrEE8u4Zgkh4805OfOc3LVu6a-K7IvPueSLfCA4YqTp6KeyuXSnkO-maYu4Bcim9F0EteSf6GhPjPmnfui2BUAxt7Cf0tWOHvZkmg_Q2s1x_SK=w1200|https://lh3.googleusercontent.com/pw/AP1GczOpYui5S1GpybVYA_EaFSHq8IrD-PSazK4c3atcWuOamhG24Xm3M-SqaVP86i8rU2PDkOm2UmW000DH5O68Hw3ifakEmvHiP_84s7u54TMJyU3_TAxd=w1200|https://lh3.googleusercontent.com/pw/AP1GczOwhwDWzLiHB3un1MSlep3WbN_yDm-Ii35tOK5fNi9eI4rvfnFmYUs7Beaa02TRdG0M-pL5yVNAkNuMX-dGV3E3W-U7Q57kLLB2DYRmWNO1vw4x9G6E=w1200</v>
      </c>
      <c r="AJ423" s="46"/>
      <c r="AK423" s="46"/>
      <c r="AL423" s="46"/>
      <c r="AM423" s="46"/>
      <c r="AN423" s="46"/>
      <c r="AO423" s="46"/>
      <c r="AP423" s="46"/>
      <c r="AQ423" s="46"/>
      <c r="AR423" s="46"/>
      <c r="AS423" s="46"/>
      <c r="AT423" s="46"/>
      <c r="AU423" s="46"/>
      <c r="AV423" s="46"/>
      <c r="AW423" s="46"/>
      <c r="AX423" s="46"/>
      <c r="AY423" s="46"/>
      <c r="AZ423" s="46"/>
      <c r="BA423" s="46"/>
      <c r="BB423" s="46"/>
      <c r="BC423" s="46"/>
      <c r="BD423" s="46"/>
      <c r="BE423" s="46"/>
      <c r="BF423" s="46"/>
      <c r="BG423" s="46"/>
      <c r="BH423" s="46"/>
      <c r="BI423" s="46"/>
      <c r="BJ423" s="46"/>
      <c r="BK423" s="46"/>
      <c r="BL423" s="46"/>
      <c r="BM423" s="46"/>
      <c r="BN423" s="46"/>
      <c r="BO423" s="46"/>
      <c r="BP423" s="46"/>
      <c r="BQ423" s="46"/>
      <c r="BR423" s="46"/>
      <c r="BS423" s="46"/>
      <c r="BT423" s="46"/>
      <c r="BU423" s="46"/>
      <c r="BV423" s="46"/>
      <c r="BW423" s="46"/>
      <c r="BX423" s="46"/>
      <c r="BY423" s="46"/>
      <c r="BZ423" s="46"/>
      <c r="CA423" s="46"/>
      <c r="CB423" s="46"/>
      <c r="CC423" s="46"/>
    </row>
    <row r="424">
      <c r="A424" s="87" t="str">
        <f>IFERROR(__xludf.DUMMYFUNCTION("""COMPUTED_VALUE"""),"5110")</f>
        <v>5110</v>
      </c>
      <c r="B424" s="46" t="str">
        <f>IFERROR(__xludf.DUMMYFUNCTION("""COMPUTED_VALUE"""),"Casa rentable con apartaestudio y local comercial en barrio Los Mártires")</f>
        <v>Casa rentable con apartaestudio y local comercial en barrio Los Mártires</v>
      </c>
      <c r="C424" s="46" t="str">
        <f>IFERROR(__xludf.DUMMYFUNCTION("""COMPUTED_VALUE"""),"Casa rentable")</f>
        <v>Casa rentable</v>
      </c>
      <c r="D424" s="46" t="str">
        <f>IFERROR(__xludf.DUMMYFUNCTION("""COMPUTED_VALUE"""),"Los Mártires")</f>
        <v>Los Mártires</v>
      </c>
      <c r="E424" s="46"/>
      <c r="F424" s="90">
        <f>IFERROR(__xludf.DUMMYFUNCTION("""COMPUTED_VALUE"""),4.95E8)</f>
        <v>495000000</v>
      </c>
      <c r="G424" s="46" t="str">
        <f>IFERROR(__xludf.DUMMYFUNCTION("""COMPUTED_VALUE"""),"$400'000.000 a $500'000.000")</f>
        <v>$400'000.000 a $500'000.000</v>
      </c>
      <c r="H424" s="46"/>
      <c r="I424" s="46"/>
      <c r="J424" s="46" t="str">
        <f>IFERROR(__xludf.DUMMYFUNCTION("""COMPUTED_VALUE"""),"Centro")</f>
        <v>Centro</v>
      </c>
      <c r="K424" s="87" t="str">
        <f>IFERROR(__xludf.DUMMYFUNCTION("""COMPUTED_VALUE"""),"4")</f>
        <v>4</v>
      </c>
      <c r="L424" s="46">
        <f>IFERROR(__xludf.DUMMYFUNCTION("""COMPUTED_VALUE"""),5.0)</f>
        <v>5</v>
      </c>
      <c r="M424" s="46"/>
      <c r="N424" s="46">
        <f>IFERROR(__xludf.DUMMYFUNCTION("""COMPUTED_VALUE"""),2.0)</f>
        <v>2</v>
      </c>
      <c r="O424" s="46">
        <f>IFERROR(__xludf.DUMMYFUNCTION("""COMPUTED_VALUE"""),0.0)</f>
        <v>0</v>
      </c>
      <c r="P424" s="46">
        <f>IFERROR(__xludf.DUMMYFUNCTION("""COMPUTED_VALUE"""),1.0)</f>
        <v>1</v>
      </c>
      <c r="Q424" s="92">
        <f>IFERROR(__xludf.DUMMYFUNCTION("""COMPUTED_VALUE"""),228.0)</f>
        <v>228</v>
      </c>
      <c r="R424" s="92"/>
      <c r="S424" s="87" t="str">
        <f>IFERROR(__xludf.DUMMYFUNCTION("""COMPUTED_VALUE""")," ")</f>
        <v> </v>
      </c>
      <c r="T424" s="46" t="str">
        <f>IFERROR(__xludf.DUMMYFUNCTION("""COMPUTED_VALUE"""),"Neiva")</f>
        <v>Neiva</v>
      </c>
      <c r="U424" s="87" t="str">
        <f>IFERROR(__xludf.DUMMYFUNCTION("""COMPUTED_VALUE"""),"2")</f>
        <v>2</v>
      </c>
      <c r="V424" s="46" t="str">
        <f>IFERROR(__xludf.DUMMYFUNCTION("""COMPUTED_VALUE"""),"Medianera")</f>
        <v>Medianera</v>
      </c>
      <c r="W424" s="46"/>
      <c r="X424" s="46">
        <f>IFERROR(__xludf.DUMMYFUNCTION("""COMPUTED_VALUE"""),2.0)</f>
        <v>2</v>
      </c>
      <c r="Y424" s="46" t="str">
        <f>IFERROR(__xludf.DUMMYFUNCTION("""COMPUTED_VALUE"""),"No tiene")</f>
        <v>No tiene</v>
      </c>
      <c r="Z424" s="90" t="str">
        <f>IFERROR(__xludf.DUMMYFUNCTION("""COMPUTED_VALUE"""),"No aplica")</f>
        <v>No aplica</v>
      </c>
      <c r="AA424" s="33"/>
      <c r="AB424" s="144" t="str">
        <f>IFERROR(__xludf.DUMMYFUNCTION("""COMPUTED_VALUE"""),"https://photos.google.com/share/AF1QipPGkZKWkSGObmevnDBYoaV7pLZTwPU9KupE5O7rcAOw8hOgtCXPguBF51hw5oxDuA?key=bXRNZ09jdnpZVW96bWJDQ1AtdmNPOVkxWUI4U0ln")</f>
        <v>https://photos.google.com/share/AF1QipPGkZKWkSGObmevnDBYoaV7pLZTwPU9KupE5O7rcAOw8hOgtCXPguBF51hw5oxDuA?key=bXRNZ09jdnpZVW96bWJDQ1AtdmNPOVkxWUI4U0ln</v>
      </c>
      <c r="AC424" s="46"/>
      <c r="AD424" s="46" t="str">
        <f>IFERROR(__xludf.DUMMYFUNCTION("""COMPUTED_VALUE"""),"Cuenta con terraza, bodega. Además cuenta con un local comercial y un apartaestudio rentando. ")</f>
        <v>Cuenta con terraza, bodega. Además cuenta con un local comercial y un apartaestudio rentando. </v>
      </c>
      <c r="AE424" s="46"/>
      <c r="AF424" s="46" t="str">
        <f>IFERROR(__xludf.DUMMYFUNCTION("""COMPUTED_VALUE"""),"semi-integral")</f>
        <v>semi-integral</v>
      </c>
      <c r="AG424" s="46"/>
      <c r="AH424" s="46" t="str">
        <f>IFERROR(__xludf.DUMMYFUNCTION("""COMPUTED_VALUE"""),"Aliado")</f>
        <v>Aliado</v>
      </c>
      <c r="AI424" s="92" t="str">
        <f>IFERROR(__xludf.DUMMYFUNCTION("""COMPUTED_VALUE"""),"https://lh3.googleusercontent.com/pw/AP1GczNd3UP-EMSlezGp_unN3CSVxFQtWF2TCtng0O8cV6rJ3fgtiUxAlFgatqGsiFYdz7kFLigoRrVPdH1ZSUwk9hamXmLkoRSjfDxzF-Xf_0Qn5hQWm62G=w1200|https://lh3.googleusercontent.com/pw/AP1GczOHE4Q6t1fX79B2Q_Q1dY_c8lpDo6vcyLWhqGk4X4DYeEFeT_"&amp;"sQEQ0lm4Imi1uefnqZ36Cc4aFgAI7aihgxQOsMu1UoJFImY8USH1Dt6EiYq9UZ58m_=w1200|https://lh3.googleusercontent.com/pw/AP1GczOc1DRF7Xsx9tRtRT6ftUosiVRUNIybcg7r4vOky0RMTTGAEtP7JSe-Xp5Ze-YO6yaYHcSFDQuUpqq4Uoz5lwftGa94NzYc2KGhW6fOs3wGdh4IGtBF=w1200|https://lh3.google"&amp;"usercontent.com/pw/AP1GczP8vXlrp4UbHV3Bb3m6Rz93BYflsd5ylgLJG81jmE-ESxeMz1BHOMY8el9AUW0F8w5upLLnOYnCi9G4yB6_iOa2F8fBdlaBGosie9MFtG2GhV6NHAWn=w1200|https://lh3.googleusercontent.com/pw/AP1GczPZ_dkHcYTzE-ONW3YQhd3kyTWzU9EnYOLpCLjWEq1MBs38lmpG2FVleBSrXA3SEBNm"&amp;"QIVCPOxW0S-gxSvjBzxP9wtXC9xq0FYtvlYlWrGI4LladJEm=w1200|https://lh3.googleusercontent.com/pw/AP1GczOQdDYfxY7AUeTxP5MX4gJvJJLWVNUxQFz83OxqxXuySsXO1vi026xf-Sm0I8FNGI-PA0U-W4_hiIdg4R_BpiuouaerS0-ZdXZ9Jv53ls0RsvtRRReM=w1200|https://lh3.googleusercontent.com/pw"&amp;"/AP1GczNhNM1Rmjky3kNjMXNmS6idq8yzsH4uH761wdQiIpadNiHAPz9lCswRWr_5ie6HrmsxG_SinjBUlol_hi_y-a42QgWDUS-eGNUuhX3fXu6YjRFTWX-K=w1200|https://lh3.googleusercontent.com/pw/AP1GczNXNwx4tKH_oMvlcYVzWRED2MvzvkEvXm_lWz7wsS1nACOVJUry6JMP7ip5PO5V68X04Q0NfXLm8vHcBdPCdA"&amp;"sdTMsdzEGOQFTMV8HfKl222jqd3lPr=w1200|https://lh3.googleusercontent.com/pw/AP1GczNPD_ekjojgyKm-UvB3o9bhjIFfzBYrcE54uorin-zsi68GwCfXqrKebZnCDR1-dfkdB4xL3cxXuqlMjODA-JdyItQ_69ffRNsCNJ8DQmURGC-mCYiF=w1200|https://lh3.googleusercontent.com/pw/AP1GczP801KMAVQeD"&amp;"dfLUXPLT3pjYFnikvcSlnC1tofUKdHCaFJY1l1B4vQ0IEKKBUL1o7XkDmJSErfRCFzAGkxigRKxfJ2ZcUKimXu6_lRA2UEHc8hmXEik=w1200|https://lh3.googleusercontent.com/pw/AP1GczOmtk6eeB9jlToF421aLpIgwTQiBtqC0qbn5SOq5Y38-ZqttOjyrpn-MHYF7Mxfu9hrHP65eQ8vs7688_y05XgjHj0Y4vNk6W33xrvC"&amp;"Zk-uxBiwhv8C=w1200")</f>
        <v>https://lh3.googleusercontent.com/pw/AP1GczNd3UP-EMSlezGp_unN3CSVxFQtWF2TCtng0O8cV6rJ3fgtiUxAlFgatqGsiFYdz7kFLigoRrVPdH1ZSUwk9hamXmLkoRSjfDxzF-Xf_0Qn5hQWm62G=w1200|https://lh3.googleusercontent.com/pw/AP1GczOHE4Q6t1fX79B2Q_Q1dY_c8lpDo6vcyLWhqGk4X4DYeEFeT_sQEQ0lm4Imi1uefnqZ36Cc4aFgAI7aihgxQOsMu1UoJFImY8USH1Dt6EiYq9UZ58m_=w1200|https://lh3.googleusercontent.com/pw/AP1GczOc1DRF7Xsx9tRtRT6ftUosiVRUNIybcg7r4vOky0RMTTGAEtP7JSe-Xp5Ze-YO6yaYHcSFDQuUpqq4Uoz5lwftGa94NzYc2KGhW6fOs3wGdh4IGtBF=w1200|https://lh3.googleusercontent.com/pw/AP1GczP8vXlrp4UbHV3Bb3m6Rz93BYflsd5ylgLJG81jmE-ESxeMz1BHOMY8el9AUW0F8w5upLLnOYnCi9G4yB6_iOa2F8fBdlaBGosie9MFtG2GhV6NHAWn=w1200|https://lh3.googleusercontent.com/pw/AP1GczPZ_dkHcYTzE-ONW3YQhd3kyTWzU9EnYOLpCLjWEq1MBs38lmpG2FVleBSrXA3SEBNmQIVCPOxW0S-gxSvjBzxP9wtXC9xq0FYtvlYlWrGI4LladJEm=w1200|https://lh3.googleusercontent.com/pw/AP1GczOQdDYfxY7AUeTxP5MX4gJvJJLWVNUxQFz83OxqxXuySsXO1vi026xf-Sm0I8FNGI-PA0U-W4_hiIdg4R_BpiuouaerS0-ZdXZ9Jv53ls0RsvtRRReM=w1200|https://lh3.googleusercontent.com/pw/AP1GczNhNM1Rmjky3kNjMXNmS6idq8yzsH4uH761wdQiIpadNiHAPz9lCswRWr_5ie6HrmsxG_SinjBUlol_hi_y-a42QgWDUS-eGNUuhX3fXu6YjRFTWX-K=w1200|https://lh3.googleusercontent.com/pw/AP1GczNXNwx4tKH_oMvlcYVzWRED2MvzvkEvXm_lWz7wsS1nACOVJUry6JMP7ip5PO5V68X04Q0NfXLm8vHcBdPCdAsdTMsdzEGOQFTMV8HfKl222jqd3lPr=w1200|https://lh3.googleusercontent.com/pw/AP1GczNPD_ekjojgyKm-UvB3o9bhjIFfzBYrcE54uorin-zsi68GwCfXqrKebZnCDR1-dfkdB4xL3cxXuqlMjODA-JdyItQ_69ffRNsCNJ8DQmURGC-mCYiF=w1200|https://lh3.googleusercontent.com/pw/AP1GczP801KMAVQeDdfLUXPLT3pjYFnikvcSlnC1tofUKdHCaFJY1l1B4vQ0IEKKBUL1o7XkDmJSErfRCFzAGkxigRKxfJ2ZcUKimXu6_lRA2UEHc8hmXEik=w1200|https://lh3.googleusercontent.com/pw/AP1GczOmtk6eeB9jlToF421aLpIgwTQiBtqC0qbn5SOq5Y38-ZqttOjyrpn-MHYF7Mxfu9hrHP65eQ8vs7688_y05XgjHj0Y4vNk6W33xrvCZk-uxBiwhv8C=w1200</v>
      </c>
      <c r="AJ424" s="46"/>
      <c r="AK424" s="46"/>
      <c r="AL424" s="46"/>
      <c r="AM424" s="46"/>
      <c r="AN424" s="46"/>
      <c r="AO424" s="46"/>
      <c r="AP424" s="46"/>
      <c r="AQ424" s="46"/>
      <c r="AR424" s="46"/>
      <c r="AS424" s="46"/>
      <c r="AT424" s="46"/>
      <c r="AU424" s="46"/>
      <c r="AV424" s="46"/>
      <c r="AW424" s="46"/>
      <c r="AX424" s="46"/>
      <c r="AY424" s="46"/>
      <c r="AZ424" s="46"/>
      <c r="BA424" s="46"/>
      <c r="BB424" s="46"/>
      <c r="BC424" s="46"/>
      <c r="BD424" s="46"/>
      <c r="BE424" s="46"/>
      <c r="BF424" s="46"/>
      <c r="BG424" s="46"/>
      <c r="BH424" s="46"/>
      <c r="BI424" s="46"/>
      <c r="BJ424" s="46"/>
      <c r="BK424" s="46"/>
      <c r="BL424" s="46"/>
      <c r="BM424" s="46"/>
      <c r="BN424" s="46"/>
      <c r="BO424" s="46"/>
      <c r="BP424" s="46"/>
      <c r="BQ424" s="46"/>
      <c r="BR424" s="46"/>
      <c r="BS424" s="46"/>
      <c r="BT424" s="46"/>
      <c r="BU424" s="46"/>
      <c r="BV424" s="46"/>
      <c r="BW424" s="46"/>
      <c r="BX424" s="46"/>
      <c r="BY424" s="46"/>
      <c r="BZ424" s="46"/>
      <c r="CA424" s="46"/>
      <c r="CB424" s="46"/>
      <c r="CC424" s="46"/>
    </row>
    <row r="425">
      <c r="A425" s="87" t="str">
        <f>IFERROR(__xludf.DUMMYFUNCTION("""COMPUTED_VALUE"""),"4658")</f>
        <v>4658</v>
      </c>
      <c r="B425" s="46" t="str">
        <f>IFERROR(__xludf.DUMMYFUNCTION("""COMPUTED_VALUE"""),"Casa con Aparta estudio en barrio Alameda de Monterrey")</f>
        <v>Casa con Aparta estudio en barrio Alameda de Monterrey</v>
      </c>
      <c r="C425" s="46" t="str">
        <f>IFERROR(__xludf.DUMMYFUNCTION("""COMPUTED_VALUE"""),"Casa rentable")</f>
        <v>Casa rentable</v>
      </c>
      <c r="D425" s="90" t="str">
        <f>IFERROR(__xludf.DUMMYFUNCTION("""COMPUTED_VALUE"""),"Alameda de Monterrey")</f>
        <v>Alameda de Monterrey</v>
      </c>
      <c r="E425" s="46"/>
      <c r="F425" s="90">
        <f>IFERROR(__xludf.DUMMYFUNCTION("""COMPUTED_VALUE"""),4.2E8)</f>
        <v>420000000</v>
      </c>
      <c r="G425" s="46" t="str">
        <f>IFERROR(__xludf.DUMMYFUNCTION("""COMPUTED_VALUE"""),"$400'000.000 a $500'000.000")</f>
        <v>$400'000.000 a $500'000.000</v>
      </c>
      <c r="H425" s="46"/>
      <c r="I425" s="46"/>
      <c r="J425" s="46" t="str">
        <f>IFERROR(__xludf.DUMMYFUNCTION("""COMPUTED_VALUE"""),"Oriente")</f>
        <v>Oriente</v>
      </c>
      <c r="K425" s="87"/>
      <c r="L425" s="46">
        <f>IFERROR(__xludf.DUMMYFUNCTION("""COMPUTED_VALUE"""),4.0)</f>
        <v>4</v>
      </c>
      <c r="M425" s="46"/>
      <c r="N425" s="46">
        <f>IFERROR(__xludf.DUMMYFUNCTION("""COMPUTED_VALUE"""),3.0)</f>
        <v>3</v>
      </c>
      <c r="O425" s="46">
        <f>IFERROR(__xludf.DUMMYFUNCTION("""COMPUTED_VALUE"""),3.0)</f>
        <v>3</v>
      </c>
      <c r="P425" s="46">
        <f>IFERROR(__xludf.DUMMYFUNCTION("""COMPUTED_VALUE"""),2.0)</f>
        <v>2</v>
      </c>
      <c r="Q425" s="92">
        <f>IFERROR(__xludf.DUMMYFUNCTION("""COMPUTED_VALUE"""),0.0)</f>
        <v>0</v>
      </c>
      <c r="R425" s="92">
        <f>IFERROR(__xludf.DUMMYFUNCTION("""COMPUTED_VALUE"""),0.0)</f>
        <v>0</v>
      </c>
      <c r="S425" s="87" t="str">
        <f>IFERROR(__xludf.DUMMYFUNCTION("""COMPUTED_VALUE"""),"Rentabilidad $1,500,000")</f>
        <v>Rentabilidad $1,500,000</v>
      </c>
      <c r="T425" s="46" t="str">
        <f>IFERROR(__xludf.DUMMYFUNCTION("""COMPUTED_VALUE"""),"Neiva")</f>
        <v>Neiva</v>
      </c>
      <c r="U425" s="87" t="str">
        <f>IFERROR(__xludf.DUMMYFUNCTION("""COMPUTED_VALUE"""),"2")</f>
        <v>2</v>
      </c>
      <c r="V425" s="46" t="str">
        <f>IFERROR(__xludf.DUMMYFUNCTION("""COMPUTED_VALUE"""),"Medianera")</f>
        <v>Medianera</v>
      </c>
      <c r="W425" s="46"/>
      <c r="X425" s="46">
        <f>IFERROR(__xludf.DUMMYFUNCTION("""COMPUTED_VALUE"""),3.0)</f>
        <v>3</v>
      </c>
      <c r="Y425" s="46" t="str">
        <f>IFERROR(__xludf.DUMMYFUNCTION("""COMPUTED_VALUE"""),"No tiene")</f>
        <v>No tiene</v>
      </c>
      <c r="Z425" s="90" t="str">
        <f>IFERROR(__xludf.DUMMYFUNCTION("""COMPUTED_VALUE"""),"No aplica")</f>
        <v>No aplica</v>
      </c>
      <c r="AA425" s="33" t="str">
        <f>IFERROR(__xludf.DUMMYFUNCTION("""COMPUTED_VALUE"""),"No aplica")</f>
        <v>No aplica</v>
      </c>
      <c r="AB425" s="144" t="str">
        <f>IFERROR(__xludf.DUMMYFUNCTION("""COMPUTED_VALUE"""),"https://photos.app.goo.gl/oQHfUM752EZxS1Sz8")</f>
        <v>https://photos.app.goo.gl/oQHfUM752EZxS1Sz8</v>
      </c>
      <c r="AC425" s="46" t="str">
        <f>IFERROR(__xludf.DUMMYFUNCTION("""COMPUTED_VALUE"""),"La casa consta de: Garaje, sala comedor, 3 habitaciones, cocina integral, baño social y baño privado, zona de lavandería, amplio patio de ropas. Cuenta con zona verde para cultivar variedad de plantas y parqueadero para carro y moto. El aparta estudio con"&amp;"sta de: salón amplio con closet, cocina semi integral y baño. Tiene parqueadero para carro y moto.")</f>
        <v>La casa consta de: Garaje, sala comedor, 3 habitaciones, cocina integral, baño social y baño privado, zona de lavandería, amplio patio de ropas. Cuenta con zona verde para cultivar variedad de plantas y parqueadero para carro y moto. El aparta estudio consta de: salón amplio con closet, cocina semi integral y baño. Tiene parqueadero para carro y moto.</v>
      </c>
      <c r="AD425" s="46" t="str">
        <f>IFERROR(__xludf.DUMMYFUNCTION("""COMPUTED_VALUE"""),"Casa bien ubicada.")</f>
        <v>Casa bien ubicada.</v>
      </c>
      <c r="AE425" s="46"/>
      <c r="AF425" s="46" t="str">
        <f>IFERROR(__xludf.DUMMYFUNCTION("""COMPUTED_VALUE"""),"integral")</f>
        <v>integral</v>
      </c>
      <c r="AG425" s="46"/>
      <c r="AH425" s="46" t="str">
        <f>IFERROR(__xludf.DUMMYFUNCTION("""COMPUTED_VALUE"""),"Aliado")</f>
        <v>Aliado</v>
      </c>
      <c r="AI425" s="92" t="str">
        <f>IFERROR(__xludf.DUMMYFUNCTION("""COMPUTED_VALUE"""),"https://lh3.googleusercontent.com/pw/AP1GczOG8UZeMdLI8ziW0iCtjTsTCqMMLgcNAawR9oqs8GLFna60XA9WPWODWjjIzduE3Y2exNNiLfbITQiNDQahnYMhqj4JyT-xxB46ZmHTPzz4CrRWeTV_=w1200|https://lh3.googleusercontent.com/pw/AP1GczPuhkM8b1K9SnmuS3asuthiANe6Bd-FzU8muXh20LtQtQNznI"&amp;"Ck-7cDvPAKYJV-6Y6hERCRqhf5ocGFtiVE4jG939cD3iGJ9R6zS4vCKVtKHjwVVk3R=w1200|https://lh3.googleusercontent.com/pw/AP1GczMiWvA_RULR0Ovdlwkdws9ufh6um_SUuO5WLpGs5TpPwZGHhZj9iqc_PYtN_xHPGWcaeOxerqHkCDpkzi3YyVkLFo_IWnn_RbpNB9cBGwyWy8DHyd4p=w1200|https://lh3.google"&amp;"usercontent.com/pw/AP1GczPbQqWIjccyW7oTGs6LHAkPI2JMVzewYHcBnLvrzMVmg28E_PFWd-Z9lP_fuM7wgJATz7D3hRI9hAKO2w97ATfaVqT6XmajwMVtsn7pEA3-IjFKkDWk=w1200|https://lh3.googleusercontent.com/pw/AP1GczMvr7UqRL5ILHLrhkmMVNgK9nvFIzxlRWbesQuVo3HzLSFobj1f0YppY0lRiymInBa0"&amp;"Hthy1k8fbV11CpXSRXsXfdZ8o-IdO8Z6X1rLWVlEe_jCFfDj=w1200|https://lh3.googleusercontent.com/pw/AP1GczMH6A45_7ndw4sL4p8sfk7DcEgyyMMa3QqzH496A_FHFymo9jnNbuKuqMPCjTV1iX3KsD3wYVjZ2N6_6DE8mK3XGVY7rxwXztV2l2xMuBSEKXAbifS5=w1200|https://lh3.googleusercontent.com/pw"&amp;"/AP1GczPxrYf4knPORnbsLtmEgDBaf3rmHATwqMxDR1LPUYOpTQl_Jh4pVKRt589aZdqCTjYuKVoKbmOQzEoA4eSHcHBra128_VFGtipVoV6vU9CuDYXMKu6e=w1200|https://lh3.googleusercontent.com/pw/AP1GczPrZeX1XketFLURI23h0kpIHKuUeMW6bv9C4KT-3xHvuN3GjvvCupMgFpY0ImhvDXsnsNm7qvVv7hX8LTC_Pt"&amp;"CiHmg3NzxlLG6f7E5HPhFEd4_l05JV=w1200|https://lh3.googleusercontent.com/pw/AP1GczPF7rB6ZMBUwk87xaxSDlGVWo4vzNjl9lGqAOYfWSqrrstZHxltDFhoMMUcTTzMhFxMNzc5KYZXHNuzsCP3UGwRxQwQKnoWrHq1vPSnSjfDo_9NgOiu=w1200")</f>
        <v>https://lh3.googleusercontent.com/pw/AP1GczOG8UZeMdLI8ziW0iCtjTsTCqMMLgcNAawR9oqs8GLFna60XA9WPWODWjjIzduE3Y2exNNiLfbITQiNDQahnYMhqj4JyT-xxB46ZmHTPzz4CrRWeTV_=w1200|https://lh3.googleusercontent.com/pw/AP1GczPuhkM8b1K9SnmuS3asuthiANe6Bd-FzU8muXh20LtQtQNznICk-7cDvPAKYJV-6Y6hERCRqhf5ocGFtiVE4jG939cD3iGJ9R6zS4vCKVtKHjwVVk3R=w1200|https://lh3.googleusercontent.com/pw/AP1GczMiWvA_RULR0Ovdlwkdws9ufh6um_SUuO5WLpGs5TpPwZGHhZj9iqc_PYtN_xHPGWcaeOxerqHkCDpkzi3YyVkLFo_IWnn_RbpNB9cBGwyWy8DHyd4p=w1200|https://lh3.googleusercontent.com/pw/AP1GczPbQqWIjccyW7oTGs6LHAkPI2JMVzewYHcBnLvrzMVmg28E_PFWd-Z9lP_fuM7wgJATz7D3hRI9hAKO2w97ATfaVqT6XmajwMVtsn7pEA3-IjFKkDWk=w1200|https://lh3.googleusercontent.com/pw/AP1GczMvr7UqRL5ILHLrhkmMVNgK9nvFIzxlRWbesQuVo3HzLSFobj1f0YppY0lRiymInBa0Hthy1k8fbV11CpXSRXsXfdZ8o-IdO8Z6X1rLWVlEe_jCFfDj=w1200|https://lh3.googleusercontent.com/pw/AP1GczMH6A45_7ndw4sL4p8sfk7DcEgyyMMa3QqzH496A_FHFymo9jnNbuKuqMPCjTV1iX3KsD3wYVjZ2N6_6DE8mK3XGVY7rxwXztV2l2xMuBSEKXAbifS5=w1200|https://lh3.googleusercontent.com/pw/AP1GczPxrYf4knPORnbsLtmEgDBaf3rmHATwqMxDR1LPUYOpTQl_Jh4pVKRt589aZdqCTjYuKVoKbmOQzEoA4eSHcHBra128_VFGtipVoV6vU9CuDYXMKu6e=w1200|https://lh3.googleusercontent.com/pw/AP1GczPrZeX1XketFLURI23h0kpIHKuUeMW6bv9C4KT-3xHvuN3GjvvCupMgFpY0ImhvDXsnsNm7qvVv7hX8LTC_PtCiHmg3NzxlLG6f7E5HPhFEd4_l05JV=w1200|https://lh3.googleusercontent.com/pw/AP1GczPF7rB6ZMBUwk87xaxSDlGVWo4vzNjl9lGqAOYfWSqrrstZHxltDFhoMMUcTTzMhFxMNzc5KYZXHNuzsCP3UGwRxQwQKnoWrHq1vPSnSjfDo_9NgOiu=w1200</v>
      </c>
      <c r="AJ425" s="46"/>
      <c r="AK425" s="46"/>
      <c r="AL425" s="46"/>
      <c r="AM425" s="46"/>
      <c r="AN425" s="46"/>
      <c r="AO425" s="46"/>
      <c r="AP425" s="46"/>
      <c r="AQ425" s="46"/>
      <c r="AR425" s="46"/>
      <c r="AS425" s="46"/>
      <c r="AT425" s="46"/>
      <c r="AU425" s="46"/>
      <c r="AV425" s="46"/>
      <c r="AW425" s="46"/>
      <c r="AX425" s="46"/>
      <c r="AY425" s="46"/>
      <c r="AZ425" s="46"/>
      <c r="BA425" s="46"/>
      <c r="BB425" s="46"/>
      <c r="BC425" s="46"/>
      <c r="BD425" s="46"/>
      <c r="BE425" s="46"/>
      <c r="BF425" s="46"/>
      <c r="BG425" s="46"/>
      <c r="BH425" s="46"/>
      <c r="BI425" s="46"/>
      <c r="BJ425" s="46"/>
      <c r="BK425" s="46"/>
      <c r="BL425" s="46"/>
      <c r="BM425" s="46"/>
      <c r="BN425" s="46"/>
      <c r="BO425" s="46"/>
      <c r="BP425" s="46"/>
      <c r="BQ425" s="46"/>
      <c r="BR425" s="46"/>
      <c r="BS425" s="46"/>
      <c r="BT425" s="46"/>
      <c r="BU425" s="46"/>
      <c r="BV425" s="46"/>
      <c r="BW425" s="46"/>
      <c r="BX425" s="46"/>
      <c r="BY425" s="46"/>
      <c r="BZ425" s="46"/>
      <c r="CA425" s="46"/>
      <c r="CB425" s="46"/>
      <c r="CC425" s="46"/>
    </row>
    <row r="426">
      <c r="A426" s="87" t="str">
        <f>IFERROR(__xludf.DUMMYFUNCTION("""COMPUTED_VALUE"""),"5353")</f>
        <v>5353</v>
      </c>
      <c r="B426" s="46" t="str">
        <f>IFERROR(__xludf.DUMMYFUNCTION("""COMPUTED_VALUE"""),"Lote urbano en barrio Buganviles - Oriente")</f>
        <v>Lote urbano en barrio Buganviles - Oriente</v>
      </c>
      <c r="C426" s="46" t="str">
        <f>IFERROR(__xludf.DUMMYFUNCTION("""COMPUTED_VALUE"""),"Lote")</f>
        <v>Lote</v>
      </c>
      <c r="D426" s="46" t="str">
        <f>IFERROR(__xludf.DUMMYFUNCTION("""COMPUTED_VALUE"""),"Buganviles")</f>
        <v>Buganviles</v>
      </c>
      <c r="E426" s="46"/>
      <c r="F426" s="90">
        <f>IFERROR(__xludf.DUMMYFUNCTION("""COMPUTED_VALUE"""),4.05E8)</f>
        <v>405000000</v>
      </c>
      <c r="G426" s="46" t="str">
        <f>IFERROR(__xludf.DUMMYFUNCTION("""COMPUTED_VALUE"""),"$400'000.000 a $500'000.000")</f>
        <v>$400'000.000 a $500'000.000</v>
      </c>
      <c r="H426" s="46"/>
      <c r="I426" s="46"/>
      <c r="J426" s="46" t="str">
        <f>IFERROR(__xludf.DUMMYFUNCTION("""COMPUTED_VALUE"""),"Oriente")</f>
        <v>Oriente</v>
      </c>
      <c r="K426" s="87" t="str">
        <f>IFERROR(__xludf.DUMMYFUNCTION("""COMPUTED_VALUE"""),"5")</f>
        <v>5</v>
      </c>
      <c r="L426" s="46">
        <f>IFERROR(__xludf.DUMMYFUNCTION("""COMPUTED_VALUE"""),0.0)</f>
        <v>0</v>
      </c>
      <c r="M426" s="46"/>
      <c r="N426" s="46">
        <f>IFERROR(__xludf.DUMMYFUNCTION("""COMPUTED_VALUE"""),0.0)</f>
        <v>0</v>
      </c>
      <c r="O426" s="46">
        <f>IFERROR(__xludf.DUMMYFUNCTION("""COMPUTED_VALUE"""),0.0)</f>
        <v>0</v>
      </c>
      <c r="P426" s="46">
        <f>IFERROR(__xludf.DUMMYFUNCTION("""COMPUTED_VALUE"""),0.0)</f>
        <v>0</v>
      </c>
      <c r="Q426" s="92">
        <f>IFERROR(__xludf.DUMMYFUNCTION("""COMPUTED_VALUE"""),0.0)</f>
        <v>0</v>
      </c>
      <c r="R426" s="92">
        <f>IFERROR(__xludf.DUMMYFUNCTION("""COMPUTED_VALUE"""),225.0)</f>
        <v>225</v>
      </c>
      <c r="S426" s="87" t="str">
        <f>IFERROR(__xludf.DUMMYFUNCTION("""COMPUTED_VALUE""")," ")</f>
        <v> </v>
      </c>
      <c r="T426" s="46" t="str">
        <f>IFERROR(__xludf.DUMMYFUNCTION("""COMPUTED_VALUE"""),"Neiva")</f>
        <v>Neiva</v>
      </c>
      <c r="U426" s="87" t="str">
        <f>IFERROR(__xludf.DUMMYFUNCTION("""COMPUTED_VALUE"""),"3")</f>
        <v>3</v>
      </c>
      <c r="V426" s="46" t="str">
        <f>IFERROR(__xludf.DUMMYFUNCTION("""COMPUTED_VALUE"""),"Medianera")</f>
        <v>Medianera</v>
      </c>
      <c r="W426" s="46"/>
      <c r="X426" s="46">
        <f>IFERROR(__xludf.DUMMYFUNCTION("""COMPUTED_VALUE"""),0.0)</f>
        <v>0</v>
      </c>
      <c r="Y426" s="46" t="str">
        <f>IFERROR(__xludf.DUMMYFUNCTION("""COMPUTED_VALUE"""),"No tiene")</f>
        <v>No tiene</v>
      </c>
      <c r="Z426" s="90"/>
      <c r="AA426" s="33" t="str">
        <f>IFERROR(__xludf.DUMMYFUNCTION("""COMPUTED_VALUE"""),"No aplica")</f>
        <v>No aplica</v>
      </c>
      <c r="AB426" s="96" t="str">
        <f>IFERROR(__xludf.DUMMYFUNCTION("""COMPUTED_VALUE"""),"https://photos.app.goo.gl/mnuQgn6hP4QVvEgJ9")</f>
        <v>https://photos.app.goo.gl/mnuQgn6hP4QVvEgJ9</v>
      </c>
      <c r="AC426" s="46" t="str">
        <f>IFERROR(__xludf.DUMMYFUNCTION("""COMPUTED_VALUE"""),"lotes urbanizados ubicados en el barrio Buganviles, uno de los mejores sectores del oriente de Neiva, reconocido por su alta valorización y excelente entorno residencial. Esta es una excelente oportunidad de inversión tanto para constructores como para pe"&amp;"rsonas que desean edificar su vivienda en una zona exclusiva y consolidada de la ciudad.   Los lotes cuentan con un área de 225 m², ideales para la construcción de casas amplias, viviendas de dos o más pisos, o para el desarrollo de proyectos inmobiliario"&amp;"s. Su ubicación estratégica garantiza fácil acceso, tranquilidad y gran proyección de crecimiento.")</f>
        <v>lotes urbanizados ubicados en el barrio Buganviles, uno de los mejores sectores del oriente de Neiva, reconocido por su alta valorización y excelente entorno residencial. Esta es una excelente oportunidad de inversión tanto para constructores como para personas que desean edificar su vivienda en una zona exclusiva y consolidada de la ciudad.   Los lotes cuentan con un área de 225 m², ideales para la construcción de casas amplias, viviendas de dos o más pisos, o para el desarrollo de proyectos inmobiliarios. Su ubicación estratégica garantiza fácil acceso, tranquilidad y gran proyección de crecimiento.</v>
      </c>
      <c r="AD426" s="46"/>
      <c r="AE426" s="46"/>
      <c r="AF426" s="46"/>
      <c r="AG426" s="46"/>
      <c r="AH426" s="46" t="str">
        <f>IFERROR(__xludf.DUMMYFUNCTION("""COMPUTED_VALUE"""),"Aliado")</f>
        <v>Aliado</v>
      </c>
      <c r="AI426" s="92" t="str">
        <f>IFERROR(__xludf.DUMMYFUNCTION("""COMPUTED_VALUE"""),"https://lh3.googleusercontent.com/pw/AP1GczP6LoYAqCbx33bXjoEGvleMMzHf8DnuZLnjb1tAuOztWJanIOwBP5t_FzFCTXNpsj0iMu00x4M-57zWbn-xP0vMC1g4Duhscnh8GgIzGucjHCLyn-qz=w1200|https://lh3.googleusercontent.com/pw/AP1GczNlXO6GCfFY-mNO0BCngnf9CgIuitXAvW5QZ78z-o3BHeSXun"&amp;"JjatfCOhJbMBDs7uhc2GjrwQnKt06p3eSIh8cvw224Wrw0gRaHfPWxxMHUi8jNWgSq=w1200|https://lh3.googleusercontent.com/pw/AP1GczOnfLfL9hP_C2k2RBNwR6NDWGIti162ONLGNrXmnQ-3YDST5awOG-bTssxOgNdDf7bAiQgXFtx_2JnbgyM1U-04jdvyw35GGzzrm9psLijmVbP2Xpny=w1200|https://lh3.google"&amp;"usercontent.com/pw/AP1GczNoorpBKpzXyQ8J3xLIdqSdor9AgBQacKIfYAbMmtqElXN3db5su2-VrX-TlBXrdeairiboZouw4GSuem5KqW2N_8zZmG47ZAYxAemNekoseKGGBbX8=w1200")</f>
        <v>https://lh3.googleusercontent.com/pw/AP1GczP6LoYAqCbx33bXjoEGvleMMzHf8DnuZLnjb1tAuOztWJanIOwBP5t_FzFCTXNpsj0iMu00x4M-57zWbn-xP0vMC1g4Duhscnh8GgIzGucjHCLyn-qz=w1200|https://lh3.googleusercontent.com/pw/AP1GczNlXO6GCfFY-mNO0BCngnf9CgIuitXAvW5QZ78z-o3BHeSXunJjatfCOhJbMBDs7uhc2GjrwQnKt06p3eSIh8cvw224Wrw0gRaHfPWxxMHUi8jNWgSq=w1200|https://lh3.googleusercontent.com/pw/AP1GczOnfLfL9hP_C2k2RBNwR6NDWGIti162ONLGNrXmnQ-3YDST5awOG-bTssxOgNdDf7bAiQgXFtx_2JnbgyM1U-04jdvyw35GGzzrm9psLijmVbP2Xpny=w1200|https://lh3.googleusercontent.com/pw/AP1GczNoorpBKpzXyQ8J3xLIdqSdor9AgBQacKIfYAbMmtqElXN3db5su2-VrX-TlBXrdeairiboZouw4GSuem5KqW2N_8zZmG47ZAYxAemNekoseKGGBbX8=w1200</v>
      </c>
      <c r="AJ426" s="46"/>
      <c r="AK426" s="46"/>
      <c r="AL426" s="46"/>
      <c r="AM426" s="46"/>
      <c r="AN426" s="46"/>
      <c r="AO426" s="46"/>
      <c r="AP426" s="46"/>
      <c r="AQ426" s="46"/>
      <c r="AR426" s="46"/>
      <c r="AS426" s="46"/>
      <c r="AT426" s="46"/>
      <c r="AU426" s="46"/>
      <c r="AV426" s="46"/>
      <c r="AW426" s="46"/>
      <c r="AX426" s="46"/>
      <c r="AY426" s="46"/>
      <c r="AZ426" s="46"/>
      <c r="BA426" s="46"/>
      <c r="BB426" s="46"/>
      <c r="BC426" s="46"/>
      <c r="BD426" s="46"/>
      <c r="BE426" s="46"/>
      <c r="BF426" s="46"/>
      <c r="BG426" s="46"/>
      <c r="BH426" s="46"/>
      <c r="BI426" s="46"/>
      <c r="BJ426" s="46"/>
      <c r="BK426" s="46"/>
      <c r="BL426" s="46"/>
      <c r="BM426" s="46"/>
      <c r="BN426" s="46"/>
      <c r="BO426" s="46"/>
      <c r="BP426" s="46"/>
      <c r="BQ426" s="46"/>
      <c r="BR426" s="46"/>
      <c r="BS426" s="46"/>
      <c r="BT426" s="46"/>
      <c r="BU426" s="46"/>
      <c r="BV426" s="46"/>
      <c r="BW426" s="46"/>
      <c r="BX426" s="46"/>
      <c r="BY426" s="46"/>
      <c r="BZ426" s="46"/>
      <c r="CA426" s="46"/>
      <c r="CB426" s="46"/>
      <c r="CC426" s="46"/>
    </row>
    <row r="427">
      <c r="A427" s="87" t="str">
        <f>IFERROR(__xludf.DUMMYFUNCTION("""COMPUTED_VALUE"""),"4927")</f>
        <v>4927</v>
      </c>
      <c r="B427" s="46" t="str">
        <f>IFERROR(__xludf.DUMMYFUNCTION("""COMPUTED_VALUE"""),"Casa en Conjunto residencial La Morada")</f>
        <v>Casa en Conjunto residencial La Morada</v>
      </c>
      <c r="C427" s="46" t="str">
        <f>IFERROR(__xludf.DUMMYFUNCTION("""COMPUTED_VALUE"""),"Casa en conjunto")</f>
        <v>Casa en conjunto</v>
      </c>
      <c r="D427" s="46" t="str">
        <f>IFERROR(__xludf.DUMMYFUNCTION("""COMPUTED_VALUE"""),"El Tesoro")</f>
        <v>El Tesoro</v>
      </c>
      <c r="E427" s="46" t="str">
        <f>IFERROR(__xludf.DUMMYFUNCTION("""COMPUTED_VALUE"""),"La Morada")</f>
        <v>La Morada</v>
      </c>
      <c r="F427" s="90">
        <f>IFERROR(__xludf.DUMMYFUNCTION("""COMPUTED_VALUE"""),3.95E8)</f>
        <v>395000000</v>
      </c>
      <c r="G427" s="46" t="str">
        <f>IFERROR(__xludf.DUMMYFUNCTION("""COMPUTED_VALUE"""),"$300'000.000 a $400'000.000")</f>
        <v>$300'000.000 a $400'000.000</v>
      </c>
      <c r="H427" s="46"/>
      <c r="I427" s="46"/>
      <c r="J427" s="46" t="str">
        <f>IFERROR(__xludf.DUMMYFUNCTION("""COMPUTED_VALUE"""),"Oriente")</f>
        <v>Oriente</v>
      </c>
      <c r="K427" s="87" t="str">
        <f>IFERROR(__xludf.DUMMYFUNCTION("""COMPUTED_VALUE"""),"10")</f>
        <v>10</v>
      </c>
      <c r="L427" s="46">
        <f>IFERROR(__xludf.DUMMYFUNCTION("""COMPUTED_VALUE"""),3.0)</f>
        <v>3</v>
      </c>
      <c r="M427" s="46"/>
      <c r="N427" s="46">
        <f>IFERROR(__xludf.DUMMYFUNCTION("""COMPUTED_VALUE"""),2.0)</f>
        <v>2</v>
      </c>
      <c r="O427" s="46">
        <f>IFERROR(__xludf.DUMMYFUNCTION("""COMPUTED_VALUE"""),1.0)</f>
        <v>1</v>
      </c>
      <c r="P427" s="46">
        <f>IFERROR(__xludf.DUMMYFUNCTION("""COMPUTED_VALUE"""),2.0)</f>
        <v>2</v>
      </c>
      <c r="Q427" s="92">
        <f>IFERROR(__xludf.DUMMYFUNCTION("""COMPUTED_VALUE"""),111.92)</f>
        <v>111.92</v>
      </c>
      <c r="R427" s="92"/>
      <c r="S427" s="87" t="str">
        <f>IFERROR(__xludf.DUMMYFUNCTION("""COMPUTED_VALUE""")," ")</f>
        <v> </v>
      </c>
      <c r="T427" s="46" t="str">
        <f>IFERROR(__xludf.DUMMYFUNCTION("""COMPUTED_VALUE"""),"Neiva")</f>
        <v>Neiva</v>
      </c>
      <c r="U427" s="87" t="str">
        <f>IFERROR(__xludf.DUMMYFUNCTION("""COMPUTED_VALUE"""),"3")</f>
        <v>3</v>
      </c>
      <c r="V427" s="46" t="str">
        <f>IFERROR(__xludf.DUMMYFUNCTION("""COMPUTED_VALUE"""),"Medianera")</f>
        <v>Medianera</v>
      </c>
      <c r="W427" s="46"/>
      <c r="X427" s="46">
        <f>IFERROR(__xludf.DUMMYFUNCTION("""COMPUTED_VALUE"""),3.0)</f>
        <v>3</v>
      </c>
      <c r="Y427" s="46" t="str">
        <f>IFERROR(__xludf.DUMMYFUNCTION("""COMPUTED_VALUE"""),"No tiene")</f>
        <v>No tiene</v>
      </c>
      <c r="Z427" s="90"/>
      <c r="AA427" s="33"/>
      <c r="AB427" s="144" t="str">
        <f>IFERROR(__xludf.DUMMYFUNCTION("""COMPUTED_VALUE"""),"https://photos.google.com/share/AF1QipMxRbLn18ARCuKLHzsTNYH20pWqQ-JZ5ZSRfGmc68JP3QNRSEWBl_5TARakThrRpQ?key=aUVGRnlVdUNLNHB4ZVVGaTZYM084MmdTcEhjWXZB")</f>
        <v>https://photos.google.com/share/AF1QipMxRbLn18ARCuKLHzsTNYH20pWqQ-JZ5ZSRfGmc68JP3QNRSEWBl_5TARakThrRpQ?key=aUVGRnlVdUNLNHB4ZVVGaTZYM084MmdTcEhjWXZB</v>
      </c>
      <c r="AC427" s="46" t="str">
        <f>IFERROR(__xludf.DUMMYFUNCTION("""COMPUTED_VALUE"""),"La propiedad cuenta con un área de 111,92 m² y una distribución funcional y contemporánea. En el acceso dispone de pasos en concreto, jardín con grama natural y parqueadero con grama natural y huellas en concreto. En el primer nivel se encuentra área para"&amp;" estudio, baño social, escalera metálica flotada con pasos en madera, cocina abierta hacia el comedor con barra auxiliar, zona de ropas independiente y sala comedor con salida directa al patio, el cual cuenta con grama natural. En el segundo nivel se ubic"&amp;"a la alcoba principal con vestier y baño privado, dos alcobas auxiliares con clóset y balcón, baño auxiliar de alcobas y espacio para mueble en el hall de alcobas, brindando comodidad y privacidad para toda la familia.")</f>
        <v>La propiedad cuenta con un área de 111,92 m² y una distribución funcional y contemporánea. En el acceso dispone de pasos en concreto, jardín con grama natural y parqueadero con grama natural y huellas en concreto. En el primer nivel se encuentra área para estudio, baño social, escalera metálica flotada con pasos en madera, cocina abierta hacia el comedor con barra auxiliar, zona de ropas independiente y sala comedor con salida directa al patio, el cual cuenta con grama natural. En el segundo nivel se ubica la alcoba principal con vestier y baño privado, dos alcobas auxiliares con clóset y balcón, baño auxiliar de alcobas y espacio para mueble en el hall de alcobas, brindando comodidad y privacidad para toda la familia.</v>
      </c>
      <c r="AD427" s="46" t="str">
        <f>IFERROR(__xludf.DUMMYFUNCTION("""COMPUTED_VALUE"""),"Hermosa casa de dos pisos para estrenar en el Conjunto Residencial La Morada, ubicado en el oriente de Neiva, una zona residencial moderna, segura y de alta valorización, ideal para familias que buscan comodidad, diseño y calidad de vida. La casa se entre"&amp;"ga con cortinas blackout con velo, un valor agregado que complementa los acabados y la funcionalidad del inmueble. El conjunto residencial ofrece completas zonas comunes, entre las que se destacan portería, oficina de administración, cuarto de basuras, pa"&amp;"rqueaderos para visitantes, terraza BBQ, salón social, planta eléctrica de emergencia para zonas comunes, piscina, cancha polideportiva, parque infantil y máquinas biosaludables, garantizando bienestar y entretenimiento.")</f>
        <v>Hermosa casa de dos pisos para estrenar en el Conjunto Residencial La Morada, ubicado en el oriente de Neiva, una zona residencial moderna, segura y de alta valorización, ideal para familias que buscan comodidad, diseño y calidad de vida. La casa se entrega con cortinas blackout con velo, un valor agregado que complementa los acabados y la funcionalidad del inmueble. El conjunto residencial ofrece completas zonas comunes, entre las que se destacan portería, oficina de administración, cuarto de basuras, parqueaderos para visitantes, terraza BBQ, salón social, planta eléctrica de emergencia para zonas comunes, piscina, cancha polideportiva, parque infantil y máquinas biosaludables, garantizando bienestar y entretenimiento.</v>
      </c>
      <c r="AE427" s="46"/>
      <c r="AF427" s="46" t="str">
        <f>IFERROR(__xludf.DUMMYFUNCTION("""COMPUTED_VALUE"""),"integral")</f>
        <v>integral</v>
      </c>
      <c r="AG427" s="46"/>
      <c r="AH427" s="46" t="str">
        <f>IFERROR(__xludf.DUMMYFUNCTION("""COMPUTED_VALUE"""),"Aliado")</f>
        <v>Aliado</v>
      </c>
      <c r="AI427" s="92" t="str">
        <f>IFERROR(__xludf.DUMMYFUNCTION("""COMPUTED_VALUE"""),"https://lh3.googleusercontent.com/pw/AP1GczP80b4EdOAldTZkBu4D4oUaMQYcdlnRP0encoWbMqt9SB-azMp0B5uov0gbuzSxSDv94cQrNsta_d7qgKEql5tzrK4OJY4Pj0bEtAMIm1fgDP90uzf8=w1200|https://lh3.googleusercontent.com/pw/AP1GczPoD-hGFQO_55f6t_nN9bF4czH3-buCZlEE21HPsbQj4WkM-f"&amp;"x8hrIHOaeFH1ekMWvjK5dR80jy7ZfV0F3--oJEi4LofJ928TvknaWHrHeBV9LbGL6c=w1200|https://lh3.googleusercontent.com/pw/AP1GczMCTC7s0I4yzbt5g1OAHl_sE6sRcJIGTOH_BNk4hEoBQbJUMduhWt_LmzOWFV0ueXqt2ZY_HlMaM3lee9OcUwt-F82QrL5ihn6gbpsO-HqTakmnsN19=w1200|https://lh3.google"&amp;"usercontent.com/pw/AP1GczNDz1J57t6bqnXfs5Ba-Yw023WLAe1KOKhjSN8BPexm3feFpORPz2baJ2dOFOF8Daw5QIdbGs7FF8XihBSoMVKmWr2rGw_1g4zMX1yikFZGYT8lJC89=w1200|https://lh3.googleusercontent.com/pw/AP1GczO6VXeyv_Tn42V2Vijk42C2-vjWJHuKpbnEK1fIZnZDUYgNDQ94M_f6TNDUMDKqev4N"&amp;"nsv9-YT1L3VDAnPTG5sfbYhb8JwtinkQMLR4fH9GRYbNmw-7=w1200|https://lh3.googleusercontent.com/pw/AP1GczMpzhkTGm8Bfqhyn0bhXN94371vcBYAQ2HEnc2-I7vrgkLT-E7LMSOi6Vf_am47AHhqO2Wr9UpKb_5-x-DZzEUcNKbRUuM6jH0sGfpgAf3N8BbFBsT6=w1200|https://lh3.googleusercontent.com/pw"&amp;"/AP1GczMwsaOvZBCnx7qX8tFaNUqVFR5oYR7lC2z63mtP0iTqbPz2hA9dzk30TO0cBaDV5uZP9cfmGneWztjniN2Po0PaR9xanEAFXU2qg8WY9Aw5GCocyD5f=w1200|https://lh3.googleusercontent.com/pw/AP1GczN_YBhPcqkIjRz1RE2a5HkTYO8uZjpn5jUJmYJ77dYag68rBZCL3ZIT0GqggVytQRyQOSe2SZmlXM1jACV7wJ"&amp;"1exiKhCQ6a3N5NkzIY-oYhoOZRLoVA=w1200|https://lh3.googleusercontent.com/pw/AP1GczM_m87EQxkbWTc2MLXikZJq1HYQjip-H9hHJaFSnwMXGz-uNzq6ZUZ1dH71xrZbE-EZeQcQQUHMk_1X5pTtDN84BqueLBGAZHZ87G6Dn9jqfQ2hOHD_=w1200|https://lh3.googleusercontent.com/pw/AP1GczOND7LVV-5Cw"&amp;"QqqQ4AMDmYSbW6iGjoHTEWo2_SJp69_rLjC0aDomlhOdCkR627ZBHLZP78U2JG805zJGVKXCcLrR8DKTCF4ubRhCrrtW8EMwBIbv8ck=w1200|https://lh3.googleusercontent.com/pw/AP1GczOgC8u6LCrutI0pVYYm14n8NFAAg9YwwowCqxlSvBIEX_Rbv97bHociAelh549ccbu1ej11mNNjBtKuUPpjv74P-mPlzFsvkUUUudBF"&amp;"hyE0HxGw8Kep=w1200|https://lh3.googleusercontent.com/pw/AP1GczNirGPkfoZQBEkwTbtA50uWrcl8d2TUld7cZwXVPQTAMAXXYZIDNhELP4XAy-kZNicuNzM6mO2bwcng1SQPk097EfTokqPWeZcVoIFPNmfbIR4qCI3x=w1200|https://lh3.googleusercontent.com/pw/AP1GczPJW7LBnhqi_Unr4KqRKVPL6flCsbh"&amp;"lle6Z4H8Yiic0ciFMIsVcDPMmypW-RzpNAx0_TS6M7zIah52FMk7eJrO-cC2xNYWSgDc65zq4doejFN_xJjiq=w1200|https://lh3.googleusercontent.com/pw/AP1GczNaWoa-CkoKu_d6_OlR5HIBn3GA32aSYuEWoXrBF9b_oA0HfygRrDesH2EXGbM5GwTcJAObKHBhgyB322HM-KA7aCPhc8FCsgEp0IIlx9YIy1hTKSyV=w1200"&amp;"|https://lh3.googleusercontent.com/pw/AP1GczOr0ocd3FhqVv5OQYNMn1EOHT7jTn8DBEohDExmsboL04wLJ5Xjkwlmwtfa_PBIg9O8f-vOKPQQaXbjLsuxM2UwYGAg25WBwpTYGo-LKWcztv-zxqEJ=w1200|https://lh3.googleusercontent.com/pw/AP1GczN66G-73c2-c3b8UWfmchYzcw02fB_Ud2Zsod5JcIux0QhPY"&amp;"LO8JrACXtvki2G53voOoWWWDFBgV14S7aLu0hqTcHwLT5zhDBb6NLki5C8RBqHCg5GQ=w1200")</f>
        <v>https://lh3.googleusercontent.com/pw/AP1GczP80b4EdOAldTZkBu4D4oUaMQYcdlnRP0encoWbMqt9SB-azMp0B5uov0gbuzSxSDv94cQrNsta_d7qgKEql5tzrK4OJY4Pj0bEtAMIm1fgDP90uzf8=w1200|https://lh3.googleusercontent.com/pw/AP1GczPoD-hGFQO_55f6t_nN9bF4czH3-buCZlEE21HPsbQj4WkM-fx8hrIHOaeFH1ekMWvjK5dR80jy7ZfV0F3--oJEi4LofJ928TvknaWHrHeBV9LbGL6c=w1200|https://lh3.googleusercontent.com/pw/AP1GczMCTC7s0I4yzbt5g1OAHl_sE6sRcJIGTOH_BNk4hEoBQbJUMduhWt_LmzOWFV0ueXqt2ZY_HlMaM3lee9OcUwt-F82QrL5ihn6gbpsO-HqTakmnsN19=w1200|https://lh3.googleusercontent.com/pw/AP1GczNDz1J57t6bqnXfs5Ba-Yw023WLAe1KOKhjSN8BPexm3feFpORPz2baJ2dOFOF8Daw5QIdbGs7FF8XihBSoMVKmWr2rGw_1g4zMX1yikFZGYT8lJC89=w1200|https://lh3.googleusercontent.com/pw/AP1GczO6VXeyv_Tn42V2Vijk42C2-vjWJHuKpbnEK1fIZnZDUYgNDQ94M_f6TNDUMDKqev4Nnsv9-YT1L3VDAnPTG5sfbYhb8JwtinkQMLR4fH9GRYbNmw-7=w1200|https://lh3.googleusercontent.com/pw/AP1GczMpzhkTGm8Bfqhyn0bhXN94371vcBYAQ2HEnc2-I7vrgkLT-E7LMSOi6Vf_am47AHhqO2Wr9UpKb_5-x-DZzEUcNKbRUuM6jH0sGfpgAf3N8BbFBsT6=w1200|https://lh3.googleusercontent.com/pw/AP1GczMwsaOvZBCnx7qX8tFaNUqVFR5oYR7lC2z63mtP0iTqbPz2hA9dzk30TO0cBaDV5uZP9cfmGneWztjniN2Po0PaR9xanEAFXU2qg8WY9Aw5GCocyD5f=w1200|https://lh3.googleusercontent.com/pw/AP1GczN_YBhPcqkIjRz1RE2a5HkTYO8uZjpn5jUJmYJ77dYag68rBZCL3ZIT0GqggVytQRyQOSe2SZmlXM1jACV7wJ1exiKhCQ6a3N5NkzIY-oYhoOZRLoVA=w1200|https://lh3.googleusercontent.com/pw/AP1GczM_m87EQxkbWTc2MLXikZJq1HYQjip-H9hHJaFSnwMXGz-uNzq6ZUZ1dH71xrZbE-EZeQcQQUHMk_1X5pTtDN84BqueLBGAZHZ87G6Dn9jqfQ2hOHD_=w1200|https://lh3.googleusercontent.com/pw/AP1GczOND7LVV-5CwQqqQ4AMDmYSbW6iGjoHTEWo2_SJp69_rLjC0aDomlhOdCkR627ZBHLZP78U2JG805zJGVKXCcLrR8DKTCF4ubRhCrrtW8EMwBIbv8ck=w1200|https://lh3.googleusercontent.com/pw/AP1GczOgC8u6LCrutI0pVYYm14n8NFAAg9YwwowCqxlSvBIEX_Rbv97bHociAelh549ccbu1ej11mNNjBtKuUPpjv74P-mPlzFsvkUUUudBFhyE0HxGw8Kep=w1200|https://lh3.googleusercontent.com/pw/AP1GczNirGPkfoZQBEkwTbtA50uWrcl8d2TUld7cZwXVPQTAMAXXYZIDNhELP4XAy-kZNicuNzM6mO2bwcng1SQPk097EfTokqPWeZcVoIFPNmfbIR4qCI3x=w1200|https://lh3.googleusercontent.com/pw/AP1GczPJW7LBnhqi_Unr4KqRKVPL6flCsbhlle6Z4H8Yiic0ciFMIsVcDPMmypW-RzpNAx0_TS6M7zIah52FMk7eJrO-cC2xNYWSgDc65zq4doejFN_xJjiq=w1200|https://lh3.googleusercontent.com/pw/AP1GczNaWoa-CkoKu_d6_OlR5HIBn3GA32aSYuEWoXrBF9b_oA0HfygRrDesH2EXGbM5GwTcJAObKHBhgyB322HM-KA7aCPhc8FCsgEp0IIlx9YIy1hTKSyV=w1200|https://lh3.googleusercontent.com/pw/AP1GczOr0ocd3FhqVv5OQYNMn1EOHT7jTn8DBEohDExmsboL04wLJ5Xjkwlmwtfa_PBIg9O8f-vOKPQQaXbjLsuxM2UwYGAg25WBwpTYGo-LKWcztv-zxqEJ=w1200|https://lh3.googleusercontent.com/pw/AP1GczN66G-73c2-c3b8UWfmchYzcw02fB_Ud2Zsod5JcIux0QhPYLO8JrACXtvki2G53voOoWWWDFBgV14S7aLu0hqTcHwLT5zhDBb6NLki5C8RBqHCg5GQ=w1200</v>
      </c>
      <c r="AJ427" s="46"/>
      <c r="AK427" s="46"/>
      <c r="AL427" s="46"/>
      <c r="AM427" s="46"/>
      <c r="AN427" s="46"/>
      <c r="AO427" s="46"/>
      <c r="AP427" s="46"/>
      <c r="AQ427" s="46"/>
      <c r="AR427" s="46"/>
      <c r="AS427" s="46"/>
      <c r="AT427" s="46"/>
      <c r="AU427" s="46"/>
      <c r="AV427" s="46"/>
      <c r="AW427" s="46"/>
      <c r="AX427" s="46"/>
      <c r="AY427" s="46"/>
      <c r="AZ427" s="46"/>
      <c r="BA427" s="46"/>
      <c r="BB427" s="46"/>
      <c r="BC427" s="46"/>
      <c r="BD427" s="46"/>
      <c r="BE427" s="46"/>
      <c r="BF427" s="46"/>
      <c r="BG427" s="46"/>
      <c r="BH427" s="46"/>
      <c r="BI427" s="46"/>
      <c r="BJ427" s="46"/>
      <c r="BK427" s="46"/>
      <c r="BL427" s="46"/>
      <c r="BM427" s="46"/>
      <c r="BN427" s="46"/>
      <c r="BO427" s="46"/>
      <c r="BP427" s="46"/>
      <c r="BQ427" s="46"/>
      <c r="BR427" s="46"/>
      <c r="BS427" s="46"/>
      <c r="BT427" s="46"/>
      <c r="BU427" s="46"/>
      <c r="BV427" s="46"/>
      <c r="BW427" s="46"/>
      <c r="BX427" s="46"/>
      <c r="BY427" s="46"/>
      <c r="BZ427" s="46"/>
      <c r="CA427" s="46"/>
      <c r="CB427" s="46"/>
      <c r="CC427" s="46"/>
    </row>
    <row r="428">
      <c r="A428" s="87" t="str">
        <f>IFERROR(__xludf.DUMMYFUNCTION("""COMPUTED_VALUE"""),"5123")</f>
        <v>5123</v>
      </c>
      <c r="B428" s="46" t="str">
        <f>IFERROR(__xludf.DUMMYFUNCTION("""COMPUTED_VALUE"""),"Casa en urbanización Los Dujos - Norte")</f>
        <v>Casa en urbanización Los Dujos - Norte</v>
      </c>
      <c r="C428" s="46" t="str">
        <f>IFERROR(__xludf.DUMMYFUNCTION("""COMPUTED_VALUE"""),"Casa")</f>
        <v>Casa</v>
      </c>
      <c r="D428" s="46" t="str">
        <f>IFERROR(__xludf.DUMMYFUNCTION("""COMPUTED_VALUE"""),"Los Dujos")</f>
        <v>Los Dujos</v>
      </c>
      <c r="E428" s="90"/>
      <c r="F428" s="90">
        <f>IFERROR(__xludf.DUMMYFUNCTION("""COMPUTED_VALUE"""),3.8E8)</f>
        <v>380000000</v>
      </c>
      <c r="G428" s="46" t="str">
        <f>IFERROR(__xludf.DUMMYFUNCTION("""COMPUTED_VALUE"""),"$300'000.000 a $400'000.000")</f>
        <v>$300'000.000 a $400'000.000</v>
      </c>
      <c r="H428" s="46"/>
      <c r="I428" s="46"/>
      <c r="J428" s="46" t="str">
        <f>IFERROR(__xludf.DUMMYFUNCTION("""COMPUTED_VALUE"""),"Norte")</f>
        <v>Norte</v>
      </c>
      <c r="K428" s="87" t="str">
        <f>IFERROR(__xludf.DUMMYFUNCTION("""COMPUTED_VALUE"""),"1")</f>
        <v>1</v>
      </c>
      <c r="L428" s="46">
        <f>IFERROR(__xludf.DUMMYFUNCTION("""COMPUTED_VALUE"""),2.0)</f>
        <v>2</v>
      </c>
      <c r="M428" s="46"/>
      <c r="N428" s="46">
        <f>IFERROR(__xludf.DUMMYFUNCTION("""COMPUTED_VALUE"""),3.0)</f>
        <v>3</v>
      </c>
      <c r="O428" s="46">
        <f>IFERROR(__xludf.DUMMYFUNCTION("""COMPUTED_VALUE"""),1.0)</f>
        <v>1</v>
      </c>
      <c r="P428" s="46">
        <f>IFERROR(__xludf.DUMMYFUNCTION("""COMPUTED_VALUE"""),2.0)</f>
        <v>2</v>
      </c>
      <c r="Q428" s="92">
        <f>IFERROR(__xludf.DUMMYFUNCTION("""COMPUTED_VALUE"""),0.0)</f>
        <v>0</v>
      </c>
      <c r="R428" s="92">
        <f>IFERROR(__xludf.DUMMYFUNCTION("""COMPUTED_VALUE"""),0.0)</f>
        <v>0</v>
      </c>
      <c r="S428" s="87" t="str">
        <f>IFERROR(__xludf.DUMMYFUNCTION("""COMPUTED_VALUE""")," ")</f>
        <v> </v>
      </c>
      <c r="T428" s="46" t="str">
        <f>IFERROR(__xludf.DUMMYFUNCTION("""COMPUTED_VALUE"""),"Neiva")</f>
        <v>Neiva</v>
      </c>
      <c r="U428" s="87" t="str">
        <f>IFERROR(__xludf.DUMMYFUNCTION("""COMPUTED_VALUE"""),"3")</f>
        <v>3</v>
      </c>
      <c r="V428" s="46" t="str">
        <f>IFERROR(__xludf.DUMMYFUNCTION("""COMPUTED_VALUE"""),"Medianera")</f>
        <v>Medianera</v>
      </c>
      <c r="W428" s="46"/>
      <c r="X428" s="46">
        <f>IFERROR(__xludf.DUMMYFUNCTION("""COMPUTED_VALUE"""),2.0)</f>
        <v>2</v>
      </c>
      <c r="Y428" s="46" t="str">
        <f>IFERROR(__xludf.DUMMYFUNCTION("""COMPUTED_VALUE"""),"No tiene")</f>
        <v>No tiene</v>
      </c>
      <c r="Z428" s="90" t="str">
        <f>IFERROR(__xludf.DUMMYFUNCTION("""COMPUTED_VALUE"""),"No aplica")</f>
        <v>No aplica</v>
      </c>
      <c r="AA428" s="33" t="str">
        <f>IFERROR(__xludf.DUMMYFUNCTION("""COMPUTED_VALUE"""),"No aplica")</f>
        <v>No aplica</v>
      </c>
      <c r="AB428" s="144" t="str">
        <f>IFERROR(__xludf.DUMMYFUNCTION("""COMPUTED_VALUE"""),"https://photos.app.goo.gl/4yHeBhknKmxi1qJL9")</f>
        <v>https://photos.app.goo.gl/4yHeBhknKmxi1qJL9</v>
      </c>
      <c r="AC428" s="46" t="str">
        <f>IFERROR(__xludf.DUMMYFUNCTION("""COMPUTED_VALUE"""),"El diseño interior de la propiedad destaca de inmediato por sus pisos en retal de mármol pulido con juntas vaciadas, una técnica tradicional altamente valorada por su gran resistencia, frescura térmica y facilidad de mantenimiento, la cual se extiende de "&amp;"manera uniforme por toda la primera planta. En este primer nivel, la vivienda cuenta con un garaje privado para un vehículo, una amplia sala-comedor ideal para compartir en familia iluminada por modernas lámparas colgantes de diseño cúbico, y una cocina s"&amp;"emiintegral funcional de concepto abierto con barra tipo americana en un vibrante tono verde manzana que aporta dinamismo al espacio. Hacia la parte posterior se abre paso un patio techado excepcionalmente amplio, enchapado con paredes de ladrillo a la vi"&amp;"sta y equipado con una zona de lavandería independiente con lavadero tradicional, ideal para las tareas del hogar con total privacidad.")</f>
        <v>El diseño interior de la propiedad destaca de inmediato por sus pisos en retal de mármol pulido con juntas vaciadas, una técnica tradicional altamente valorada por su gran resistencia, frescura térmica y facilidad de mantenimiento, la cual se extiende de manera uniforme por toda la primera planta. En este primer nivel, la vivienda cuenta con un garaje privado para un vehículo, una amplia sala-comedor ideal para compartir en familia iluminada por modernas lámparas colgantes de diseño cúbico, y una cocina semiintegral funcional de concepto abierto con barra tipo americana en un vibrante tono verde manzana que aporta dinamismo al espacio. Hacia la parte posterior se abre paso un patio techado excepcionalmente amplio, enchapado con paredes de ladrillo a la vista y equipado con una zona de lavandería independiente con lavadero tradicional, ideal para las tareas del hogar con total privacidad.</v>
      </c>
      <c r="AD428" s="46" t="str">
        <f>IFERROR(__xludf.DUMMYFUNCTION("""COMPUTED_VALUE"""),"Esta hermosa casa de dos pisos, con un área de lote de $84\text{ m}^2$ y unos generosos $152\text{ m}^2$ construidos, se encuentra estratégicamente ubicada en un sector residencial, seguro y muy tranquilo de la zona Norte de Neiva. Su ubicación es privile"&amp;"giada para quienes buscan conectividad y comodidad, situándose a solo dos cuadras de la avenida principal, a escasos 5 minutos del centro de la ciudad y con múltiples alternativas de acceso vehicular.")</f>
        <v>Esta hermosa casa de dos pisos, con un área de lote de $84\text{ m}^2$ y unos generosos $152\text{ m}^2$ construidos, se encuentra estratégicamente ubicada en un sector residencial, seguro y muy tranquilo de la zona Norte de Neiva. Su ubicación es privilegiada para quienes buscan conectividad y comodidad, situándose a solo dos cuadras de la avenida principal, a escasos 5 minutos del centro de la ciudad y con múltiples alternativas de acceso vehicular.</v>
      </c>
      <c r="AE428" s="46"/>
      <c r="AF428" s="46" t="str">
        <f>IFERROR(__xludf.DUMMYFUNCTION("""COMPUTED_VALUE"""),"semi-integral")</f>
        <v>semi-integral</v>
      </c>
      <c r="AG428" s="46"/>
      <c r="AH428" s="46" t="str">
        <f>IFERROR(__xludf.DUMMYFUNCTION("""COMPUTED_VALUE"""),"Aliado")</f>
        <v>Aliado</v>
      </c>
      <c r="AI428" s="92" t="str">
        <f>IFERROR(__xludf.DUMMYFUNCTION("""COMPUTED_VALUE"""),"https://lh3.googleusercontent.com/pw/AP1GczNIa2GjfbwglLclPsoQxl7HuSWXGbzGn3ryoJFSAogmKLFksExZBkXc-AHwi1ZuZ2v44IKiGi3U_BZJHlJ9ejjB8GaAGL3g9mvdOpUtoj7gS4ygAxia=w1200|https://lh3.googleusercontent.com/pw/AP1GczOoEogxDIbWZsxNgUjValhL5URh7KSCcDny7WxCijGJI8QbRD"&amp;"fKBYmxueQbot2r_5lkIJo8MPssBEm89gSlM_eHuFjBsDNz_umGtyejD4zsSnvIgIn0=w1200|https://lh3.googleusercontent.com/pw/AP1GczNAdxjwUEZTioggneRjzJ0L7udlMeTBU2fC0EWDHcPt6uDkdY0t35e7dXlERTbay62HWb9lVX5tcX_F0y5GQzlc0yueh_Kr0RBQP7sK2LqqESjzoD3y=w1200|https://lh3.google"&amp;"usercontent.com/pw/AP1GczMSgzWIk6a847AuXyWUl8ugYbFxG5rft1SgJPPuO1mBveeN4F22rOOQZTUPSAoOcBq4esVkYqRCn_a0jHUrIMx_FYrUsRCUsDZp44NwroE6Qi4Pd2ss=w1200|https://lh3.googleusercontent.com/pw/AP1GczNyGemp0QTCo_X3sf-bjt4EUzxhJjoi4eLZrezvIub7q46rJcEBIzoF8MXXnoF02_NB"&amp;"7fz2OVtE6omWqKN56CHPFjv_74xFC35trpSbfz3gXrQdwsOr=w1200|https://lh3.googleusercontent.com/pw/AP1GczMzrkWW4Lonjg10ze9llOK5pdg_qDtjhbJSEDhprAnhQT0Ik5xwdKe4h-2p6G6HzY9ZveOoU81dFTVbSKG57OV2z_SaUpYfFYWV7ieRG1hkoZyCKzuw=w1200|https://lh3.googleusercontent.com/pw"&amp;"/AP1GczNsN7NE5N3Mr86enDzNNMN37F7pyDycM0usUEQSiWoxGnNJNpLY3-8LO7oQyDqCnBTMqfialFi2BW3RFvxFrQ4RRs1UAsA25Y7KxUfiwKj86DN0gvrF=w1200|https://lh3.googleusercontent.com/pw/AP1GczNAXbupbgih0Cr_V9OnjYZWZ1_Cjfrba9qmXZfDoZroathD40M3mR2du9vKf6N0IvUlu1fR0piJtOSje1a1L8"&amp;"AdMgGeu1cJucSukc1XLt0_e2Ms6B0S=w1200|https://lh3.googleusercontent.com/pw/AP1GczN2FFd8VLplydaHptvzQUrWRlbiV_pYVbWR5q4RswjMXcDl79MAB3U6md5uxtzbl4GYcmb7vZGwTNZe2ElBMhjcTAdTRN3_IjAP0HErLEo9AAF_HJ9a=w1200|https://lh3.googleusercontent.com/pw/AP1GczNyCpUXPQAZB"&amp;"PBxuvswMR2SAGN3SaJl_d6exkDUNlTy65z_Y1NYuHReZbp3BG3Q2jGLaNN1wQICY-kSGwxIcDyOUKFNa7ZOth52UiL3o4rEq4ULzUCU=w1200|https://lh3.googleusercontent.com/pw/AP1GczME4FxrT8Rrwls-yI60gHaHjzJHWcxXZWzFl08MTwG1rYVMHUA-oMfuPYJQt4qb853P1vIgVv-5nxbDQ6PllNYWe1zmxYwYC6a6_6rH"&amp;"PvZVZGuxuBSU=w1200|https://lh3.googleusercontent.com/pw/AP1GczPe0ELdXYHu7Q6qifvq88rztzz_jbIg0Gd4FjtLit9pe4yDHq0g4aqINnt7d1jLbdLN56kl_BiTjFszIwPmEaIlDiWoNuaCFoDjD9KOFdlT-IH8Qe4q=w1200|https://lh3.googleusercontent.com/pw/AP1GczO-_hto1ClsYfL7XeLakJeA4G_CwXs"&amp;"MgLdJ1KsbZCGgJxPJXV5Kzc-vm02GE6ptF5dIGpprLhyLaZRe6XmVG0UHoTDJL9EQmVxaHlILil9og_6XvjKP=w1200")</f>
        <v>https://lh3.googleusercontent.com/pw/AP1GczNIa2GjfbwglLclPsoQxl7HuSWXGbzGn3ryoJFSAogmKLFksExZBkXc-AHwi1ZuZ2v44IKiGi3U_BZJHlJ9ejjB8GaAGL3g9mvdOpUtoj7gS4ygAxia=w1200|https://lh3.googleusercontent.com/pw/AP1GczOoEogxDIbWZsxNgUjValhL5URh7KSCcDny7WxCijGJI8QbRDfKBYmxueQbot2r_5lkIJo8MPssBEm89gSlM_eHuFjBsDNz_umGtyejD4zsSnvIgIn0=w1200|https://lh3.googleusercontent.com/pw/AP1GczNAdxjwUEZTioggneRjzJ0L7udlMeTBU2fC0EWDHcPt6uDkdY0t35e7dXlERTbay62HWb9lVX5tcX_F0y5GQzlc0yueh_Kr0RBQP7sK2LqqESjzoD3y=w1200|https://lh3.googleusercontent.com/pw/AP1GczMSgzWIk6a847AuXyWUl8ugYbFxG5rft1SgJPPuO1mBveeN4F22rOOQZTUPSAoOcBq4esVkYqRCn_a0jHUrIMx_FYrUsRCUsDZp44NwroE6Qi4Pd2ss=w1200|https://lh3.googleusercontent.com/pw/AP1GczNyGemp0QTCo_X3sf-bjt4EUzxhJjoi4eLZrezvIub7q46rJcEBIzoF8MXXnoF02_NB7fz2OVtE6omWqKN56CHPFjv_74xFC35trpSbfz3gXrQdwsOr=w1200|https://lh3.googleusercontent.com/pw/AP1GczMzrkWW4Lonjg10ze9llOK5pdg_qDtjhbJSEDhprAnhQT0Ik5xwdKe4h-2p6G6HzY9ZveOoU81dFTVbSKG57OV2z_SaUpYfFYWV7ieRG1hkoZyCKzuw=w1200|https://lh3.googleusercontent.com/pw/AP1GczNsN7NE5N3Mr86enDzNNMN37F7pyDycM0usUEQSiWoxGnNJNpLY3-8LO7oQyDqCnBTMqfialFi2BW3RFvxFrQ4RRs1UAsA25Y7KxUfiwKj86DN0gvrF=w1200|https://lh3.googleusercontent.com/pw/AP1GczNAXbupbgih0Cr_V9OnjYZWZ1_Cjfrba9qmXZfDoZroathD40M3mR2du9vKf6N0IvUlu1fR0piJtOSje1a1L8AdMgGeu1cJucSukc1XLt0_e2Ms6B0S=w1200|https://lh3.googleusercontent.com/pw/AP1GczN2FFd8VLplydaHptvzQUrWRlbiV_pYVbWR5q4RswjMXcDl79MAB3U6md5uxtzbl4GYcmb7vZGwTNZe2ElBMhjcTAdTRN3_IjAP0HErLEo9AAF_HJ9a=w1200|https://lh3.googleusercontent.com/pw/AP1GczNyCpUXPQAZBPBxuvswMR2SAGN3SaJl_d6exkDUNlTy65z_Y1NYuHReZbp3BG3Q2jGLaNN1wQICY-kSGwxIcDyOUKFNa7ZOth52UiL3o4rEq4ULzUCU=w1200|https://lh3.googleusercontent.com/pw/AP1GczME4FxrT8Rrwls-yI60gHaHjzJHWcxXZWzFl08MTwG1rYVMHUA-oMfuPYJQt4qb853P1vIgVv-5nxbDQ6PllNYWe1zmxYwYC6a6_6rHPvZVZGuxuBSU=w1200|https://lh3.googleusercontent.com/pw/AP1GczPe0ELdXYHu7Q6qifvq88rztzz_jbIg0Gd4FjtLit9pe4yDHq0g4aqINnt7d1jLbdLN56kl_BiTjFszIwPmEaIlDiWoNuaCFoDjD9KOFdlT-IH8Qe4q=w1200|https://lh3.googleusercontent.com/pw/AP1GczO-_hto1ClsYfL7XeLakJeA4G_CwXsMgLdJ1KsbZCGgJxPJXV5Kzc-vm02GE6ptF5dIGpprLhyLaZRe6XmVG0UHoTDJL9EQmVxaHlILil9og_6XvjKP=w1200</v>
      </c>
      <c r="AJ428" s="46"/>
      <c r="AK428" s="46"/>
      <c r="AL428" s="46"/>
      <c r="AM428" s="46"/>
      <c r="AN428" s="46"/>
      <c r="AO428" s="46"/>
      <c r="AP428" s="46"/>
      <c r="AQ428" s="46"/>
      <c r="AR428" s="46"/>
      <c r="AS428" s="46"/>
      <c r="AT428" s="46"/>
      <c r="AU428" s="46"/>
      <c r="AV428" s="46"/>
      <c r="AW428" s="46"/>
      <c r="AX428" s="46"/>
      <c r="AY428" s="46"/>
      <c r="AZ428" s="46"/>
      <c r="BA428" s="46"/>
      <c r="BB428" s="46"/>
      <c r="BC428" s="46"/>
      <c r="BD428" s="46"/>
      <c r="BE428" s="46"/>
      <c r="BF428" s="46"/>
      <c r="BG428" s="46"/>
      <c r="BH428" s="46"/>
      <c r="BI428" s="46"/>
      <c r="BJ428" s="46"/>
      <c r="BK428" s="46"/>
      <c r="BL428" s="46"/>
      <c r="BM428" s="46"/>
      <c r="BN428" s="46"/>
      <c r="BO428" s="46"/>
      <c r="BP428" s="46"/>
      <c r="BQ428" s="46"/>
      <c r="BR428" s="46"/>
      <c r="BS428" s="46"/>
      <c r="BT428" s="46"/>
      <c r="BU428" s="46"/>
      <c r="BV428" s="46"/>
      <c r="BW428" s="46"/>
      <c r="BX428" s="46"/>
      <c r="BY428" s="46"/>
      <c r="BZ428" s="46"/>
      <c r="CA428" s="46"/>
      <c r="CB428" s="46"/>
      <c r="CC428" s="46"/>
    </row>
    <row r="429">
      <c r="A429" s="87" t="str">
        <f>IFERROR(__xludf.DUMMYFUNCTION("""COMPUTED_VALUE"""),"5058")</f>
        <v>5058</v>
      </c>
      <c r="B429" s="46" t="str">
        <f>IFERROR(__xludf.DUMMYFUNCTION("""COMPUTED_VALUE"""),"Casa en barrio La Arboleda")</f>
        <v>Casa en barrio La Arboleda</v>
      </c>
      <c r="C429" s="46" t="str">
        <f>IFERROR(__xludf.DUMMYFUNCTION("""COMPUTED_VALUE"""),"Casa")</f>
        <v>Casa</v>
      </c>
      <c r="D429" s="46" t="str">
        <f>IFERROR(__xludf.DUMMYFUNCTION("""COMPUTED_VALUE"""),"La Arboleda")</f>
        <v>La Arboleda</v>
      </c>
      <c r="E429" s="46"/>
      <c r="F429" s="90">
        <f>IFERROR(__xludf.DUMMYFUNCTION("""COMPUTED_VALUE"""),3.7E8)</f>
        <v>370000000</v>
      </c>
      <c r="G429" s="46" t="str">
        <f>IFERROR(__xludf.DUMMYFUNCTION("""COMPUTED_VALUE"""),"$300'000.000 a $400'000.000")</f>
        <v>$300'000.000 a $400'000.000</v>
      </c>
      <c r="H429" s="46"/>
      <c r="I429" s="46"/>
      <c r="J429" s="46" t="str">
        <f>IFERROR(__xludf.DUMMYFUNCTION("""COMPUTED_VALUE"""),"Oriente")</f>
        <v>Oriente</v>
      </c>
      <c r="K429" s="87"/>
      <c r="L429" s="46">
        <f>IFERROR(__xludf.DUMMYFUNCTION("""COMPUTED_VALUE"""),3.0)</f>
        <v>3</v>
      </c>
      <c r="M429" s="46"/>
      <c r="N429" s="46">
        <f>IFERROR(__xludf.DUMMYFUNCTION("""COMPUTED_VALUE"""),3.0)</f>
        <v>3</v>
      </c>
      <c r="O429" s="46">
        <f>IFERROR(__xludf.DUMMYFUNCTION("""COMPUTED_VALUE"""),1.0)</f>
        <v>1</v>
      </c>
      <c r="P429" s="46">
        <f>IFERROR(__xludf.DUMMYFUNCTION("""COMPUTED_VALUE"""),3.0)</f>
        <v>3</v>
      </c>
      <c r="Q429" s="92">
        <f>IFERROR(__xludf.DUMMYFUNCTION("""COMPUTED_VALUE"""),140.0)</f>
        <v>140</v>
      </c>
      <c r="R429" s="92">
        <f>IFERROR(__xludf.DUMMYFUNCTION("""COMPUTED_VALUE"""),72.0)</f>
        <v>72</v>
      </c>
      <c r="S429" s="87" t="str">
        <f>IFERROR(__xludf.DUMMYFUNCTION("""COMPUTED_VALUE""")," ")</f>
        <v> </v>
      </c>
      <c r="T429" s="46" t="str">
        <f>IFERROR(__xludf.DUMMYFUNCTION("""COMPUTED_VALUE"""),"Neiva")</f>
        <v>Neiva</v>
      </c>
      <c r="U429" s="87" t="str">
        <f>IFERROR(__xludf.DUMMYFUNCTION("""COMPUTED_VALUE"""),"3")</f>
        <v>3</v>
      </c>
      <c r="V429" s="46" t="str">
        <f>IFERROR(__xludf.DUMMYFUNCTION("""COMPUTED_VALUE"""),"Medianera")</f>
        <v>Medianera</v>
      </c>
      <c r="W429" s="46"/>
      <c r="X429" s="46">
        <f>IFERROR(__xludf.DUMMYFUNCTION("""COMPUTED_VALUE"""),3.0)</f>
        <v>3</v>
      </c>
      <c r="Y429" s="46" t="str">
        <f>IFERROR(__xludf.DUMMYFUNCTION("""COMPUTED_VALUE"""),"No tiene")</f>
        <v>No tiene</v>
      </c>
      <c r="Z429" s="90" t="str">
        <f>IFERROR(__xludf.DUMMYFUNCTION("""COMPUTED_VALUE"""),"No aplica")</f>
        <v>No aplica</v>
      </c>
      <c r="AA429" s="33" t="str">
        <f>IFERROR(__xludf.DUMMYFUNCTION("""COMPUTED_VALUE"""),"No aplica")</f>
        <v>No aplica</v>
      </c>
      <c r="AB429" s="144" t="str">
        <f>IFERROR(__xludf.DUMMYFUNCTION("""COMPUTED_VALUE"""),"https://photos.app.goo.gl/F3guTcvx6pwEsaAt8")</f>
        <v>https://photos.app.goo.gl/F3guTcvx6pwEsaAt8</v>
      </c>
      <c r="AC429" s="46" t="str">
        <f>IFERROR(__xludf.DUMMYFUNCTION("""COMPUTED_VALUE"""),"Casa de tres pisos en el barrio la arboleda oriente de Neiva. Consta de: en el primer piso: garaje carro, sala, comedor, zona tv, cocina integral, baño social. Segundo piso: sala, baño social, habitación principal con baño privado, aire acondicionado y ba"&amp;"lcón, 2 habitaciones auxiliares con closet. Tercer piso: terraza con balcón amplio, zona bbq, área de lavandería, baño social y habitación auxiliar.")</f>
        <v>Casa de tres pisos en el barrio la arboleda oriente de Neiva. Consta de: en el primer piso: garaje carro, sala, comedor, zona tv, cocina integral, baño social. Segundo piso: sala, baño social, habitación principal con baño privado, aire acondicionado y balcón, 2 habitaciones auxiliares con closet. Tercer piso: terraza con balcón amplio, zona bbq, área de lavandería, baño social y habitación auxiliar.</v>
      </c>
      <c r="AD429" s="46" t="str">
        <f>IFERROR(__xludf.DUMMYFUNCTION("""COMPUTED_VALUE"""),"Casa bien ubicada.")</f>
        <v>Casa bien ubicada.</v>
      </c>
      <c r="AE429" s="46"/>
      <c r="AF429" s="46" t="str">
        <f>IFERROR(__xludf.DUMMYFUNCTION("""COMPUTED_VALUE"""),"integral")</f>
        <v>integral</v>
      </c>
      <c r="AG429" s="46"/>
      <c r="AH429" s="46" t="str">
        <f>IFERROR(__xludf.DUMMYFUNCTION("""COMPUTED_VALUE"""),"Aliado")</f>
        <v>Aliado</v>
      </c>
      <c r="AI429" s="92" t="str">
        <f>IFERROR(__xludf.DUMMYFUNCTION("""COMPUTED_VALUE"""),"https://lh3.googleusercontent.com/pw/AP1GczPagTndixkhiUB5l4HNitF2EpwT57ew4nFOczp5bDY3JLxrnRK6Gv3ve6oCuYyKe8mPUDzfXS6n-lGm4hsOlvymmyuk83ld8wiYq5RYBp6RC0hXcu4B=w1200|https://lh3.googleusercontent.com/pw/AP1GczOswhtz9UxFcKgIQfSKdtvCsJzPFU2Jcco6tcKdilkiDD1FE_"&amp;"18JjJ3UD5RZjnVFryJvlbikhdfbGN0xfPMcHjcvRz6sgP4UeLSddQyO9bXRLTELgdx=w1200|https://lh3.googleusercontent.com/pw/AP1GczNCNVcg4j9VUSeSGYDKWlzQfZBI67fZxHm5vIjY03EuJJEj3iIGEaSgkySUSeQzFiQpSlsCVtcxviwfXJOfZ6sdmpGqgkAeurCQl6QbUsUsODdW2Mwu=w1200|https://lh3.google"&amp;"usercontent.com/pw/AP1GczM_G8107loPAD5BHtjCvciG5kNcw6k_D4ChGe1CaWXu49u8tPYnXV4veeWNk-JGnUK8FCs5Ghnxk1-qA3gTOCQnWUcKaldE35WkmqOGRkiKTtMO8m_1=w1200|https://lh3.googleusercontent.com/pw/AP1GczOEf-6f31j03D-DofeTyKn-8_qi7OLF0bdcecqUfaJehrYZyW3OsIdmJwas3BMRTi35"&amp;"7f1lhStGvdy4-NtUu-7vyDRGSVy634cBv1tM3tJl8lro-wu2=w1200|https://lh3.googleusercontent.com/pw/AP1GczMs5wfqK4TIafrObaj46nh3YN5Q27xEr1lvWbVzWx7c8EMczM8drhZk8AuiCJZD7Oeg1RyQ5GiY0FLs1pkaR-yArWqZWZ6c7T6XYcv4ConbtjKFiu1h=w1200|https://lh3.googleusercontent.com/pw"&amp;"/AP1GczMnjDXlxyMMu5Ou4BliijWtUvtlNqPxXJwj3kaiVlJhA-DiaPU44X_KDht0365lfxL1U2dOKj9a6AkgK7p1ep052_Ib24YRrfvAtPGqlXhh0MxaG8xj=w1200|https://lh3.googleusercontent.com/pw/AP1GczO4055MRpb8wGlwkbLCCwMMXVudUQM6JD0Ypk3Js27AGhpwehZujQeWEXVdC-BwVorMx-eyXGmjWpRCBWdI_H"&amp;"BdHwoftmaHzMJhNKz-g0KGqzHa-B7k=w1200|https://lh3.googleusercontent.com/pw/AP1GczN3zEz7R4SANov69R2Wny-C_2wrQQi-MXCuhoIqU776u-tP06Oq1C3ISNvEzdy0VTCWHiHhfc41C0SsgYJ1ZvO_26GuSTay1TMLrdAgEHBjvIiHjDOp=w1200|https://lh3.googleusercontent.com/pw/AP1GczNc6zdhPQb6k"&amp;"1kjLNKv4YTiG3x3bcozbAs2e4oZkPHFc_MmDt6QPRq73D0dCaWW0p7A5uZpGbNi7YWuZxenjZXiE5y7rSFZwZwDcbsMxIE5uPNQXPAc=w1200|https://lh3.googleusercontent.com/pw/AP1GczNN5LmsycqecwoHZDDwexMfIHY9iucO7ATab5D6TXUiH2Jct7zJO5VWbh0DHPcWzWGnPDyZ-tnXnmrEGqgiKFUYIwu9rtKma7yWJO0G"&amp;"ZMcG976oP1J8=w1200|https://lh3.googleusercontent.com/pw/AP1GczOK99Us_QyhUBWayQo6gtOBH-Dwfxm-ccXxA0SNgcvm_WfaHXgIt8SydzA09muI43rwYqgWFCrhwSBzPdMJ6N24J5MkzNuQBdYrOEkBFMS_bK4Sdwrn=w1200|https://lh3.googleusercontent.com/pw/AP1GczNxFRfhWTUtevs4tUQdZiQWjw0L7H_"&amp;"ud5-8PVa9BO-9-IYSpZxtJNffKdwi9WsZuSaT-jmT0J_-eu8CpilZL7MjZtSOsRXAYEArIhS9Y4g6iC8ylDY9=w1200|https://lh3.googleusercontent.com/pw/AP1GczPQreE5xepYe-EFgQMdo7mLoNRZ6gz7SSdafGVbqT_ZHkldzhim8JODXqz7j8CGTjksBhDcS_pEdnkiyjvhiGrXn1SnwF1Lqex2X5ag3a_2W4aKKmvZ=w1200"&amp;"|https://lh3.googleusercontent.com/pw/AP1GczOZrjjV2HV4udKA46M3Y73_wv5f9N2T2KR2AtDnhfPNcBukW0ykSZLPU1ZWQ341ufpjzzzGmqCDyHINGymFQgCoC_PDcZgNPEkPUxDGfUVSIS3PKp6D=w1200")</f>
        <v>https://lh3.googleusercontent.com/pw/AP1GczPagTndixkhiUB5l4HNitF2EpwT57ew4nFOczp5bDY3JLxrnRK6Gv3ve6oCuYyKe8mPUDzfXS6n-lGm4hsOlvymmyuk83ld8wiYq5RYBp6RC0hXcu4B=w1200|https://lh3.googleusercontent.com/pw/AP1GczOswhtz9UxFcKgIQfSKdtvCsJzPFU2Jcco6tcKdilkiDD1FE_18JjJ3UD5RZjnVFryJvlbikhdfbGN0xfPMcHjcvRz6sgP4UeLSddQyO9bXRLTELgdx=w1200|https://lh3.googleusercontent.com/pw/AP1GczNCNVcg4j9VUSeSGYDKWlzQfZBI67fZxHm5vIjY03EuJJEj3iIGEaSgkySUSeQzFiQpSlsCVtcxviwfXJOfZ6sdmpGqgkAeurCQl6QbUsUsODdW2Mwu=w1200|https://lh3.googleusercontent.com/pw/AP1GczM_G8107loPAD5BHtjCvciG5kNcw6k_D4ChGe1CaWXu49u8tPYnXV4veeWNk-JGnUK8FCs5Ghnxk1-qA3gTOCQnWUcKaldE35WkmqOGRkiKTtMO8m_1=w1200|https://lh3.googleusercontent.com/pw/AP1GczOEf-6f31j03D-DofeTyKn-8_qi7OLF0bdcecqUfaJehrYZyW3OsIdmJwas3BMRTi357f1lhStGvdy4-NtUu-7vyDRGSVy634cBv1tM3tJl8lro-wu2=w1200|https://lh3.googleusercontent.com/pw/AP1GczMs5wfqK4TIafrObaj46nh3YN5Q27xEr1lvWbVzWx7c8EMczM8drhZk8AuiCJZD7Oeg1RyQ5GiY0FLs1pkaR-yArWqZWZ6c7T6XYcv4ConbtjKFiu1h=w1200|https://lh3.googleusercontent.com/pw/AP1GczMnjDXlxyMMu5Ou4BliijWtUvtlNqPxXJwj3kaiVlJhA-DiaPU44X_KDht0365lfxL1U2dOKj9a6AkgK7p1ep052_Ib24YRrfvAtPGqlXhh0MxaG8xj=w1200|https://lh3.googleusercontent.com/pw/AP1GczO4055MRpb8wGlwkbLCCwMMXVudUQM6JD0Ypk3Js27AGhpwehZujQeWEXVdC-BwVorMx-eyXGmjWpRCBWdI_HBdHwoftmaHzMJhNKz-g0KGqzHa-B7k=w1200|https://lh3.googleusercontent.com/pw/AP1GczN3zEz7R4SANov69R2Wny-C_2wrQQi-MXCuhoIqU776u-tP06Oq1C3ISNvEzdy0VTCWHiHhfc41C0SsgYJ1ZvO_26GuSTay1TMLrdAgEHBjvIiHjDOp=w1200|https://lh3.googleusercontent.com/pw/AP1GczNc6zdhPQb6k1kjLNKv4YTiG3x3bcozbAs2e4oZkPHFc_MmDt6QPRq73D0dCaWW0p7A5uZpGbNi7YWuZxenjZXiE5y7rSFZwZwDcbsMxIE5uPNQXPAc=w1200|https://lh3.googleusercontent.com/pw/AP1GczNN5LmsycqecwoHZDDwexMfIHY9iucO7ATab5D6TXUiH2Jct7zJO5VWbh0DHPcWzWGnPDyZ-tnXnmrEGqgiKFUYIwu9rtKma7yWJO0GZMcG976oP1J8=w1200|https://lh3.googleusercontent.com/pw/AP1GczOK99Us_QyhUBWayQo6gtOBH-Dwfxm-ccXxA0SNgcvm_WfaHXgIt8SydzA09muI43rwYqgWFCrhwSBzPdMJ6N24J5MkzNuQBdYrOEkBFMS_bK4Sdwrn=w1200|https://lh3.googleusercontent.com/pw/AP1GczNxFRfhWTUtevs4tUQdZiQWjw0L7H_ud5-8PVa9BO-9-IYSpZxtJNffKdwi9WsZuSaT-jmT0J_-eu8CpilZL7MjZtSOsRXAYEArIhS9Y4g6iC8ylDY9=w1200|https://lh3.googleusercontent.com/pw/AP1GczPQreE5xepYe-EFgQMdo7mLoNRZ6gz7SSdafGVbqT_ZHkldzhim8JODXqz7j8CGTjksBhDcS_pEdnkiyjvhiGrXn1SnwF1Lqex2X5ag3a_2W4aKKmvZ=w1200|https://lh3.googleusercontent.com/pw/AP1GczOZrjjV2HV4udKA46M3Y73_wv5f9N2T2KR2AtDnhfPNcBukW0ykSZLPU1ZWQ341ufpjzzzGmqCDyHINGymFQgCoC_PDcZgNPEkPUxDGfUVSIS3PKp6D=w1200</v>
      </c>
      <c r="AJ429" s="46"/>
      <c r="AK429" s="46"/>
      <c r="AL429" s="46"/>
      <c r="AM429" s="46"/>
      <c r="AN429" s="46"/>
      <c r="AO429" s="46"/>
      <c r="AP429" s="46"/>
      <c r="AQ429" s="46"/>
      <c r="AR429" s="46"/>
      <c r="AS429" s="46"/>
      <c r="AT429" s="46"/>
      <c r="AU429" s="46"/>
      <c r="AV429" s="46"/>
      <c r="AW429" s="46"/>
      <c r="AX429" s="46"/>
      <c r="AY429" s="46"/>
      <c r="AZ429" s="46"/>
      <c r="BA429" s="46"/>
      <c r="BB429" s="46"/>
      <c r="BC429" s="46"/>
      <c r="BD429" s="46"/>
      <c r="BE429" s="46"/>
      <c r="BF429" s="46"/>
      <c r="BG429" s="46"/>
      <c r="BH429" s="46"/>
      <c r="BI429" s="46"/>
      <c r="BJ429" s="46"/>
      <c r="BK429" s="46"/>
      <c r="BL429" s="46"/>
      <c r="BM429" s="46"/>
      <c r="BN429" s="46"/>
      <c r="BO429" s="46"/>
      <c r="BP429" s="46"/>
      <c r="BQ429" s="46"/>
      <c r="BR429" s="46"/>
      <c r="BS429" s="46"/>
      <c r="BT429" s="46"/>
      <c r="BU429" s="46"/>
      <c r="BV429" s="46"/>
      <c r="BW429" s="46"/>
      <c r="BX429" s="46"/>
      <c r="BY429" s="46"/>
      <c r="BZ429" s="46"/>
      <c r="CA429" s="46"/>
      <c r="CB429" s="46"/>
      <c r="CC429" s="46"/>
    </row>
    <row r="430">
      <c r="A430" s="87" t="str">
        <f>IFERROR(__xludf.DUMMYFUNCTION("""COMPUTED_VALUE"""),"4613")</f>
        <v>4613</v>
      </c>
      <c r="B430" s="46" t="str">
        <f>IFERROR(__xludf.DUMMYFUNCTION("""COMPUTED_VALUE"""),"Casa con Local en barrio Timanco - Sur")</f>
        <v>Casa con Local en barrio Timanco - Sur</v>
      </c>
      <c r="C430" s="46" t="str">
        <f>IFERROR(__xludf.DUMMYFUNCTION("""COMPUTED_VALUE"""),"Casa rentable")</f>
        <v>Casa rentable</v>
      </c>
      <c r="D430" s="46" t="str">
        <f>IFERROR(__xludf.DUMMYFUNCTION("""COMPUTED_VALUE"""),"Timanco")</f>
        <v>Timanco</v>
      </c>
      <c r="E430" s="46"/>
      <c r="F430" s="90">
        <f>IFERROR(__xludf.DUMMYFUNCTION("""COMPUTED_VALUE"""),3.7E8)</f>
        <v>370000000</v>
      </c>
      <c r="G430" s="46" t="str">
        <f>IFERROR(__xludf.DUMMYFUNCTION("""COMPUTED_VALUE"""),"$300'000.000 a $400'000.000")</f>
        <v>$300'000.000 a $400'000.000</v>
      </c>
      <c r="H430" s="46"/>
      <c r="I430" s="46"/>
      <c r="J430" s="46" t="str">
        <f>IFERROR(__xludf.DUMMYFUNCTION("""COMPUTED_VALUE"""),"Sur")</f>
        <v>Sur</v>
      </c>
      <c r="K430" s="87" t="str">
        <f>IFERROR(__xludf.DUMMYFUNCTION("""COMPUTED_VALUE"""),"6")</f>
        <v>6</v>
      </c>
      <c r="L430" s="46">
        <f>IFERROR(__xludf.DUMMYFUNCTION("""COMPUTED_VALUE"""),3.0)</f>
        <v>3</v>
      </c>
      <c r="M430" s="46"/>
      <c r="N430" s="46">
        <f>IFERROR(__xludf.DUMMYFUNCTION("""COMPUTED_VALUE"""),3.0)</f>
        <v>3</v>
      </c>
      <c r="O430" s="46">
        <f>IFERROR(__xludf.DUMMYFUNCTION("""COMPUTED_VALUE"""),1.0)</f>
        <v>1</v>
      </c>
      <c r="P430" s="46">
        <f>IFERROR(__xludf.DUMMYFUNCTION("""COMPUTED_VALUE"""),2.0)</f>
        <v>2</v>
      </c>
      <c r="Q430" s="92">
        <f>IFERROR(__xludf.DUMMYFUNCTION("""COMPUTED_VALUE"""),0.0)</f>
        <v>0</v>
      </c>
      <c r="R430" s="92">
        <f>IFERROR(__xludf.DUMMYFUNCTION("""COMPUTED_VALUE"""),0.0)</f>
        <v>0</v>
      </c>
      <c r="S430" s="87" t="str">
        <f>IFERROR(__xludf.DUMMYFUNCTION("""COMPUTED_VALUE"""),"Rentabilidad $1,400,000")</f>
        <v>Rentabilidad $1,400,000</v>
      </c>
      <c r="T430" s="46" t="str">
        <f>IFERROR(__xludf.DUMMYFUNCTION("""COMPUTED_VALUE"""),"Neiva")</f>
        <v>Neiva</v>
      </c>
      <c r="U430" s="87" t="str">
        <f>IFERROR(__xludf.DUMMYFUNCTION("""COMPUTED_VALUE"""),"2")</f>
        <v>2</v>
      </c>
      <c r="V430" s="46" t="str">
        <f>IFERROR(__xludf.DUMMYFUNCTION("""COMPUTED_VALUE"""),"Esquinera")</f>
        <v>Esquinera</v>
      </c>
      <c r="W430" s="46"/>
      <c r="X430" s="46">
        <f>IFERROR(__xludf.DUMMYFUNCTION("""COMPUTED_VALUE"""),3.0)</f>
        <v>3</v>
      </c>
      <c r="Y430" s="46" t="str">
        <f>IFERROR(__xludf.DUMMYFUNCTION("""COMPUTED_VALUE"""),"No tiene")</f>
        <v>No tiene</v>
      </c>
      <c r="Z430" s="90" t="str">
        <f>IFERROR(__xludf.DUMMYFUNCTION("""COMPUTED_VALUE"""),"No aplica")</f>
        <v>No aplica</v>
      </c>
      <c r="AA430" s="33" t="str">
        <f>IFERROR(__xludf.DUMMYFUNCTION("""COMPUTED_VALUE"""),"22 años")</f>
        <v>22 años</v>
      </c>
      <c r="AB430" s="96" t="str">
        <f>IFERROR(__xludf.DUMMYFUNCTION("""COMPUTED_VALUE"""),"https://photos.app.goo.gl/j1UXrnCDoK6W4u4aA")</f>
        <v>https://photos.app.goo.gl/j1UXrnCDoK6W4u4aA</v>
      </c>
      <c r="AC430" s="46" t="str">
        <f>IFERROR(__xludf.DUMMYFUNCTION("""COMPUTED_VALUE"""),"Distribución. Primer piso, el inmueble cuenta con un amplio antejardín, local comercial independiente con cocina, baño, zona de lavandería y cuarto de san alejo, además de garaje con su propia zona de lavandería, lo que la convierte en una propiedad ideal"&amp;" para vivienda y negocio. El segundo piso dispone de balcón amplio, sala comedor, habitación principal con clóset y baño privado, dos habitaciones auxiliares con clóset, cocina semi integral, baño social y zona de lavandería. Cuenta con buenos acabados.")</f>
        <v>Distribución. Primer piso, el inmueble cuenta con un amplio antejardín, local comercial independiente con cocina, baño, zona de lavandería y cuarto de san alejo, además de garaje con su propia zona de lavandería, lo que la convierte en una propiedad ideal para vivienda y negocio. El segundo piso dispone de balcón amplio, sala comedor, habitación principal con clóset y baño privado, dos habitaciones auxiliares con clóset, cocina semi integral, baño social y zona de lavandería. Cuenta con buenos acabados.</v>
      </c>
      <c r="AD430" s="46" t="str">
        <f>IFERROR(__xludf.DUMMYFUNCTION("""COMPUTED_VALUE"""),"Casa esquinera de dos pisos ubicada en el barrio Timanco, al sur de Neiva, en una excelente ubicación, a solo tres cuadras de Olímpica, Ara y Dolarcity, en un sector de alto flujo y valorización.  Gracias a su ubicación esquinera, distribución y local com"&amp;"ercial, esta propiedad ofrece una excelente oportunidad de inversión y generación de ingresos.")</f>
        <v>Casa esquinera de dos pisos ubicada en el barrio Timanco, al sur de Neiva, en una excelente ubicación, a solo tres cuadras de Olímpica, Ara y Dolarcity, en un sector de alto flujo y valorización.  Gracias a su ubicación esquinera, distribución y local comercial, esta propiedad ofrece una excelente oportunidad de inversión y generación de ingresos.</v>
      </c>
      <c r="AE430" s="46"/>
      <c r="AF430" s="46" t="str">
        <f>IFERROR(__xludf.DUMMYFUNCTION("""COMPUTED_VALUE"""),"semi-integral")</f>
        <v>semi-integral</v>
      </c>
      <c r="AG430" s="46"/>
      <c r="AH430" s="46" t="str">
        <f>IFERROR(__xludf.DUMMYFUNCTION("""COMPUTED_VALUE"""),"Aliado")</f>
        <v>Aliado</v>
      </c>
      <c r="AI430" s="92" t="str">
        <f>IFERROR(__xludf.DUMMYFUNCTION("""COMPUTED_VALUE"""),"https://lh3.googleusercontent.com/pw/AP1GczMmTO5qhu32tlEzQRED2HmhGmCnYcXr3D69B5_eWS-mSnFHmNoxXVic_30mABFSswcHmKX6yDFKqnxxeI2NKkwJ0IMZMQ1zm49ttCYrBvYTZSW-91Bv=w1200|https://lh3.googleusercontent.com/pw/AP1GczPet1ixejPF_XBl4JxJ7Iu9Qz5VaLNUTUtUt6sYHxW7TzA3DL"&amp;"h-6RkyM7Cjf1SvPLJmY5z6j8fjZD6C25jqWmS18DrztvAiZn8eZyiHyu5bNFe-oBey=w1200|https://lh3.googleusercontent.com/pw/AP1GczMuQNRsj2oBd-8zFyFmugInjeLAqSCQCcR36gkh16zrXSym8ETcuJY169MNN126HzVWa6-mdbpoL2A26hTzM03rya6KwdGjqztkIlbiBsTMlcXacx7n=w1200|https://lh3.google"&amp;"usercontent.com/pw/AP1GczOu73Gv159sgVL3fLG4DysT0lqJYLdxw4k_iJRAGzqxR1muOe3qYq6LTqyJTqc2Al7jxF2U289ZK3EPM1SvJRreYiQtxeHJQOpJJRQEz_LLM7urd2oz=w1200|https://lh3.googleusercontent.com/pw/AP1GczNaHVTQxAdkoO3s1UQwBQ1xG9rDgQnDxJ7FabBulVi2Q4Olp1kAbr4ly6qBL6ZklUY8"&amp;"Xo_MB5MVTlyGRMxiok9MedLuh_eYRfHGzRVZ4cOdiDC8bVZg=w1200|https://lh3.googleusercontent.com/pw/AP1GczOU_sNVeZ3ahTJNtwcFw9osUZf3LUFKsxCdJavJL93CViXm3IiDa4islerPf_0MfFWVar8Iff_BvjnPIfghzdSCYRLTv6QNUMwuGr6jYPy5uCWR9xL4=w1200|https://lh3.googleusercontent.com/pw"&amp;"/AP1GczMasPB9y07nVD9gATkoT3k9Urhs4b2ogHiFHo0uYJSdON4ctrXKccXozx7IeN0ngGttHu-HdFk2pqqtgfAFnc-K4U9pxfTrE8yAjVXioavu3EnKLHTM=w1200|https://lh3.googleusercontent.com/pw/AP1GczO_i6ygaED1-Kj50Su6EvO9dj5L11mLpPVEFmIpg1y9p21lqJXJhltljDWGCaT8imedcyBhO5XACa7RH6kfTa"&amp;"kF-8fqXRR03CEQpx88wyRFMOflrPGA=w1200|https://lh3.googleusercontent.com/pw/AP1GczNO-UUPvLexh2cl50mlWMZ1i7q5s1_NObZva3YJKnZ95L1CQzz8nD8tOKeJWu29hSwvWdvg_YR-j1SJRPHEECo3eWss5BiTGQ40gWzrWXjtynx4nNDJ=w1200|https://lh3.googleusercontent.com/pw/AP1GczPtFkMU6kWRW"&amp;"u0zVuewFBQaPwmw1DhYkfQzu4isZZ7c69ni7hWvF5WRnVB90soDhxjnniAKzHZUE9lEGfJ2BJNY7m953FE3AdmQFvoI7NXbT7GgNCgV=w1200|https://lh3.googleusercontent.com/pw/AP1GczMJX9lt8EVcE9iNrXwP0rZuvHgcUmo1wSvvhs4IIUDS6hNyq0eajEdTetHz_RnPMxo9rDoKbqFRH8MhaQkP85nOdOfgPbZ3r9ZgEVly"&amp;"bxObeJKC7Tmc=w1200|https://lh3.googleusercontent.com/pw/AP1GczPyfEGDURAkW4Fs9nkbVXRzi3aKD1vhZv590QPCnfBMbroNqUHCXCVud4OZrCJiw1AN67KIWVWzXivZ5Z39a2g6QKs5cRZv_cvXfZ1uPfTomp3Ax0ST=w1200|https://lh3.googleusercontent.com/pw/AP1GczMWt3IVZrmO3wmx_S93d6G1iK2WZ7a"&amp;"-7RT0yKTBCMU6R_nQxg60cAOGFaMGAxhgYGo90dFmSdaN6pr-nPa92PBhKj_cV6RJM58KpRA9dYjDW8r6SNiq=w1200|https://lh3.googleusercontent.com/pw/AP1GczPjlsUsO6zQaDLmKU6Y2i3VnwKfQRdlJ8_8Ii-bzX5lZjJS_jRYReAtgBtuA88FUWcTl6klNxRX1x48fz_kJV_eAg8Cgn0cuRdfMp7eCQeOBSylcNS8=w1200"&amp;"|https://lh3.googleusercontent.com/pw/AP1GczMnYvfVBxELFX1fzk4TOHVaET1uXsJRptRRcZcUJbArXCp-EiZW27Ud22N9ECjNmS5Czb3ZU-MaxI5QBONuBmoEnqRe4S6wzvUnKcAGqirmn9a7O-I7=w1200|https://lh3.googleusercontent.com/pw/AP1GczP7EriR4A0DDr-EKfXHvYU6aT30fkq25dRVvo3rZ_nOF5OLo"&amp;"97ZArJpr2XMLoz8M27vBLyaETA6NX86wTJVBy3pMsnli6O-_Wf4ZSv9326XeYxhIxhA=w1200|https://lh3.googleusercontent.com/pw/AP1GczNgCFzdBEBk0r7fsYg_iv_L5C4_CFGQAAmhcm-C8aui16Faquyb7C7UXIhjTE-GcygtIOf8vIOuj8BvqpukSTWBa_IQLLGvSmbvt-EZ6CeQ_yA-SB4z=w1200|https://lh3.googl"&amp;"eusercontent.com/pw/AP1GczMbd94OWsfk-g1FVFoZG0AeTvQ0QrOdfME5EYtTtXaOTsHkSq_27rI86IQBSguB9xCf7VlXn7IQqs2qhCyj9J6_EYbsYVFVm06C21qlcxSDJsrMmTRH=w1200")</f>
        <v>https://lh3.googleusercontent.com/pw/AP1GczMmTO5qhu32tlEzQRED2HmhGmCnYcXr3D69B5_eWS-mSnFHmNoxXVic_30mABFSswcHmKX6yDFKqnxxeI2NKkwJ0IMZMQ1zm49ttCYrBvYTZSW-91Bv=w1200|https://lh3.googleusercontent.com/pw/AP1GczPet1ixejPF_XBl4JxJ7Iu9Qz5VaLNUTUtUt6sYHxW7TzA3DLh-6RkyM7Cjf1SvPLJmY5z6j8fjZD6C25jqWmS18DrztvAiZn8eZyiHyu5bNFe-oBey=w1200|https://lh3.googleusercontent.com/pw/AP1GczMuQNRsj2oBd-8zFyFmugInjeLAqSCQCcR36gkh16zrXSym8ETcuJY169MNN126HzVWa6-mdbpoL2A26hTzM03rya6KwdGjqztkIlbiBsTMlcXacx7n=w1200|https://lh3.googleusercontent.com/pw/AP1GczOu73Gv159sgVL3fLG4DysT0lqJYLdxw4k_iJRAGzqxR1muOe3qYq6LTqyJTqc2Al7jxF2U289ZK3EPM1SvJRreYiQtxeHJQOpJJRQEz_LLM7urd2oz=w1200|https://lh3.googleusercontent.com/pw/AP1GczNaHVTQxAdkoO3s1UQwBQ1xG9rDgQnDxJ7FabBulVi2Q4Olp1kAbr4ly6qBL6ZklUY8Xo_MB5MVTlyGRMxiok9MedLuh_eYRfHGzRVZ4cOdiDC8bVZg=w1200|https://lh3.googleusercontent.com/pw/AP1GczOU_sNVeZ3ahTJNtwcFw9osUZf3LUFKsxCdJavJL93CViXm3IiDa4islerPf_0MfFWVar8Iff_BvjnPIfghzdSCYRLTv6QNUMwuGr6jYPy5uCWR9xL4=w1200|https://lh3.googleusercontent.com/pw/AP1GczMasPB9y07nVD9gATkoT3k9Urhs4b2ogHiFHo0uYJSdON4ctrXKccXozx7IeN0ngGttHu-HdFk2pqqtgfAFnc-K4U9pxfTrE8yAjVXioavu3EnKLHTM=w1200|https://lh3.googleusercontent.com/pw/AP1GczO_i6ygaED1-Kj50Su6EvO9dj5L11mLpPVEFmIpg1y9p21lqJXJhltljDWGCaT8imedcyBhO5XACa7RH6kfTakF-8fqXRR03CEQpx88wyRFMOflrPGA=w1200|https://lh3.googleusercontent.com/pw/AP1GczNO-UUPvLexh2cl50mlWMZ1i7q5s1_NObZva3YJKnZ95L1CQzz8nD8tOKeJWu29hSwvWdvg_YR-j1SJRPHEECo3eWss5BiTGQ40gWzrWXjtynx4nNDJ=w1200|https://lh3.googleusercontent.com/pw/AP1GczPtFkMU6kWRWu0zVuewFBQaPwmw1DhYkfQzu4isZZ7c69ni7hWvF5WRnVB90soDhxjnniAKzHZUE9lEGfJ2BJNY7m953FE3AdmQFvoI7NXbT7GgNCgV=w1200|https://lh3.googleusercontent.com/pw/AP1GczMJX9lt8EVcE9iNrXwP0rZuvHgcUmo1wSvvhs4IIUDS6hNyq0eajEdTetHz_RnPMxo9rDoKbqFRH8MhaQkP85nOdOfgPbZ3r9ZgEVlybxObeJKC7Tmc=w1200|https://lh3.googleusercontent.com/pw/AP1GczPyfEGDURAkW4Fs9nkbVXRzi3aKD1vhZv590QPCnfBMbroNqUHCXCVud4OZrCJiw1AN67KIWVWzXivZ5Z39a2g6QKs5cRZv_cvXfZ1uPfTomp3Ax0ST=w1200|https://lh3.googleusercontent.com/pw/AP1GczMWt3IVZrmO3wmx_S93d6G1iK2WZ7a-7RT0yKTBCMU6R_nQxg60cAOGFaMGAxhgYGo90dFmSdaN6pr-nPa92PBhKj_cV6RJM58KpRA9dYjDW8r6SNiq=w1200|https://lh3.googleusercontent.com/pw/AP1GczPjlsUsO6zQaDLmKU6Y2i3VnwKfQRdlJ8_8Ii-bzX5lZjJS_jRYReAtgBtuA88FUWcTl6klNxRX1x48fz_kJV_eAg8Cgn0cuRdfMp7eCQeOBSylcNS8=w1200|https://lh3.googleusercontent.com/pw/AP1GczMnYvfVBxELFX1fzk4TOHVaET1uXsJRptRRcZcUJbArXCp-EiZW27Ud22N9ECjNmS5Czb3ZU-MaxI5QBONuBmoEnqRe4S6wzvUnKcAGqirmn9a7O-I7=w1200|https://lh3.googleusercontent.com/pw/AP1GczP7EriR4A0DDr-EKfXHvYU6aT30fkq25dRVvo3rZ_nOF5OLo97ZArJpr2XMLoz8M27vBLyaETA6NX86wTJVBy3pMsnli6O-_Wf4ZSv9326XeYxhIxhA=w1200|https://lh3.googleusercontent.com/pw/AP1GczNgCFzdBEBk0r7fsYg_iv_L5C4_CFGQAAmhcm-C8aui16Faquyb7C7UXIhjTE-GcygtIOf8vIOuj8BvqpukSTWBa_IQLLGvSmbvt-EZ6CeQ_yA-SB4z=w1200|https://lh3.googleusercontent.com/pw/AP1GczMbd94OWsfk-g1FVFoZG0AeTvQ0QrOdfME5EYtTtXaOTsHkSq_27rI86IQBSguB9xCf7VlXn7IQqs2qhCyj9J6_EYbsYVFVm06C21qlcxSDJsrMmTRH=w1200</v>
      </c>
      <c r="AJ430" s="46"/>
      <c r="AK430" s="46"/>
      <c r="AL430" s="46"/>
      <c r="AM430" s="46"/>
      <c r="AN430" s="46"/>
      <c r="AO430" s="46"/>
      <c r="AP430" s="46"/>
      <c r="AQ430" s="46"/>
      <c r="AR430" s="46"/>
      <c r="AS430" s="46"/>
      <c r="AT430" s="46"/>
      <c r="AU430" s="46"/>
      <c r="AV430" s="46"/>
      <c r="AW430" s="46"/>
      <c r="AX430" s="46"/>
      <c r="AY430" s="46"/>
      <c r="AZ430" s="46"/>
      <c r="BA430" s="46"/>
      <c r="BB430" s="46"/>
      <c r="BC430" s="46"/>
      <c r="BD430" s="46"/>
      <c r="BE430" s="46"/>
      <c r="BF430" s="46"/>
      <c r="BG430" s="46"/>
      <c r="BH430" s="46"/>
      <c r="BI430" s="46"/>
      <c r="BJ430" s="46"/>
      <c r="BK430" s="46"/>
      <c r="BL430" s="46"/>
      <c r="BM430" s="46"/>
      <c r="BN430" s="46"/>
      <c r="BO430" s="46"/>
      <c r="BP430" s="46"/>
      <c r="BQ430" s="46"/>
      <c r="BR430" s="46"/>
      <c r="BS430" s="46"/>
      <c r="BT430" s="46"/>
      <c r="BU430" s="46"/>
      <c r="BV430" s="46"/>
      <c r="BW430" s="46"/>
      <c r="BX430" s="46"/>
      <c r="BY430" s="46"/>
      <c r="BZ430" s="46"/>
      <c r="CA430" s="46"/>
      <c r="CB430" s="46"/>
      <c r="CC430" s="46"/>
    </row>
    <row r="431">
      <c r="A431" s="87" t="str">
        <f>IFERROR(__xludf.DUMMYFUNCTION("""COMPUTED_VALUE"""),"5933")</f>
        <v>5933</v>
      </c>
      <c r="B431" s="46" t="str">
        <f>IFERROR(__xludf.DUMMYFUNCTION("""COMPUTED_VALUE"""),"Apartamento en conjunto Residencial Terravento - Sur")</f>
        <v>Apartamento en conjunto Residencial Terravento - Sur</v>
      </c>
      <c r="C431" s="46" t="str">
        <f>IFERROR(__xludf.DUMMYFUNCTION("""COMPUTED_VALUE"""),"Apartamento en conjunto")</f>
        <v>Apartamento en conjunto</v>
      </c>
      <c r="D431" s="46"/>
      <c r="E431" s="46" t="str">
        <f>IFERROR(__xludf.DUMMYFUNCTION("""COMPUTED_VALUE"""),"Conjunto Residencial Terravento")</f>
        <v>Conjunto Residencial Terravento</v>
      </c>
      <c r="F431" s="90">
        <f>IFERROR(__xludf.DUMMYFUNCTION("""COMPUTED_VALUE"""),3.5E8)</f>
        <v>350000000</v>
      </c>
      <c r="G431" s="46" t="str">
        <f>IFERROR(__xludf.DUMMYFUNCTION("""COMPUTED_VALUE"""),"$300'000.000 a $400'000.000")</f>
        <v>$300'000.000 a $400'000.000</v>
      </c>
      <c r="H431" s="46"/>
      <c r="I431" s="46"/>
      <c r="J431" s="46" t="str">
        <f>IFERROR(__xludf.DUMMYFUNCTION("""COMPUTED_VALUE"""),"Sur")</f>
        <v>Sur</v>
      </c>
      <c r="K431" s="87" t="str">
        <f>IFERROR(__xludf.DUMMYFUNCTION("""COMPUTED_VALUE"""),"6")</f>
        <v>6</v>
      </c>
      <c r="L431" s="46">
        <f>IFERROR(__xludf.DUMMYFUNCTION("""COMPUTED_VALUE"""),3.0)</f>
        <v>3</v>
      </c>
      <c r="M431" s="46"/>
      <c r="N431" s="46">
        <f>IFERROR(__xludf.DUMMYFUNCTION("""COMPUTED_VALUE"""),2.0)</f>
        <v>2</v>
      </c>
      <c r="O431" s="46">
        <f>IFERROR(__xludf.DUMMYFUNCTION("""COMPUTED_VALUE"""),2.0)</f>
        <v>2</v>
      </c>
      <c r="P431" s="46">
        <f>IFERROR(__xludf.DUMMYFUNCTION("""COMPUTED_VALUE"""),3.0)</f>
        <v>3</v>
      </c>
      <c r="Q431" s="92">
        <f>IFERROR(__xludf.DUMMYFUNCTION("""COMPUTED_VALUE"""),88.39)</f>
        <v>88.39</v>
      </c>
      <c r="R431" s="92">
        <f>IFERROR(__xludf.DUMMYFUNCTION("""COMPUTED_VALUE"""),88.39)</f>
        <v>88.39</v>
      </c>
      <c r="S431" s="87" t="str">
        <f>IFERROR(__xludf.DUMMYFUNCTION("""COMPUTED_VALUE""")," ")</f>
        <v> </v>
      </c>
      <c r="T431" s="46" t="str">
        <f>IFERROR(__xludf.DUMMYFUNCTION("""COMPUTED_VALUE"""),"Neiva")</f>
        <v>Neiva</v>
      </c>
      <c r="U431" s="87" t="str">
        <f>IFERROR(__xludf.DUMMYFUNCTION("""COMPUTED_VALUE"""),"3")</f>
        <v>3</v>
      </c>
      <c r="V431" s="46" t="str">
        <f>IFERROR(__xludf.DUMMYFUNCTION("""COMPUTED_VALUE"""),"3er.")</f>
        <v>3er.</v>
      </c>
      <c r="W431" s="46"/>
      <c r="X431" s="46">
        <f>IFERROR(__xludf.DUMMYFUNCTION("""COMPUTED_VALUE"""),3.0)</f>
        <v>3</v>
      </c>
      <c r="Y431" s="46" t="str">
        <f>IFERROR(__xludf.DUMMYFUNCTION("""COMPUTED_VALUE"""),"Social")</f>
        <v>Social</v>
      </c>
      <c r="Z431" s="90">
        <f>IFERROR(__xludf.DUMMYFUNCTION("""COMPUTED_VALUE"""),375000.0)</f>
        <v>375000</v>
      </c>
      <c r="AA431" s="33" t="str">
        <f>IFERROR(__xludf.DUMMYFUNCTION("""COMPUTED_VALUE"""),"No aplica")</f>
        <v>No aplica</v>
      </c>
      <c r="AB431" s="96" t="str">
        <f>IFERROR(__xludf.DUMMYFUNCTION("""COMPUTED_VALUE"""),"https://photos.app.goo.gl/8HWZomEcScsEKEnn6")</f>
        <v>https://photos.app.goo.gl/8HWZomEcScsEKEnn6</v>
      </c>
      <c r="AC431" s="46" t="str">
        <f>IFERROR(__xludf.DUMMYFUNCTION("""COMPUTED_VALUE"""),"Este cómodo apartamento de estrato 3, ubicado en el tercer piso en el sur de Neiva, cuenta con un área privada de 88.39 m² y modernos acabados.  Ofrece una amplia sala-comedor con pisos de porcelanato brillante, ventilador de techo y una llamativa pared d"&amp;"ecorativa en tono naranja, conectada a un agradable balcón. Dispone de cocina integral equipada con encimeras de granito oscuro y gabinetes en contraste blanco y gris (zona de lavandería independiente, estudio, baño social y un área privada con 3 habitaci"&amp;"ones —la principal con baño privado y aire acondicionado— y dos habitaciones auxiliares, además de incluir dos parqueaderos privados.")</f>
        <v>Este cómodo apartamento de estrato 3, ubicado en el tercer piso en el sur de Neiva, cuenta con un área privada de 88.39 m² y modernos acabados.  Ofrece una amplia sala-comedor con pisos de porcelanato brillante, ventilador de techo y una llamativa pared decorativa en tono naranja, conectada a un agradable balcón. Dispone de cocina integral equipada con encimeras de granito oscuro y gabinetes en contraste blanco y gris (zona de lavandería independiente, estudio, baño social y un área privada con 3 habitaciones —la principal con baño privado y aire acondicionado— y dos habitaciones auxiliares, además de incluir dos parqueaderos privados.</v>
      </c>
      <c r="AD431" s="46" t="str">
        <f>IFERROR(__xludf.DUMMYFUNCTION("""COMPUTED_VALUE"""),"Ubicado en un entorno muy tranquilo, seguro y de fácil acceso, este inmueble destaca como una oportunidad de compra inmediata gracias a su excelente iluminación y ventilación natural. El confort térmico en la alcoba principal, la total independencia en el"&amp;" área de ropas y la enorme ventaja de contar con dos estacionamientos propios garantizan una comodidad superior. Con acabados estéticos impecables y espacios listos para habitar, este apartamento es la elección definitiva para familias modernas que buscan"&amp;" bienestar, exclusividad y una inversión totalmente inteligente.")</f>
        <v>Ubicado en un entorno muy tranquilo, seguro y de fácil acceso, este inmueble destaca como una oportunidad de compra inmediata gracias a su excelente iluminación y ventilación natural. El confort térmico en la alcoba principal, la total independencia en el área de ropas y la enorme ventaja de contar con dos estacionamientos propios garantizan una comodidad superior. Con acabados estéticos impecables y espacios listos para habitar, este apartamento es la elección definitiva para familias modernas que buscan bienestar, exclusividad y una inversión totalmente inteligente.</v>
      </c>
      <c r="AE431" s="46"/>
      <c r="AF431" s="46" t="str">
        <f>IFERROR(__xludf.DUMMYFUNCTION("""COMPUTED_VALUE"""),"integral")</f>
        <v>integral</v>
      </c>
      <c r="AG431" s="46"/>
      <c r="AH431" s="46" t="str">
        <f>IFERROR(__xludf.DUMMYFUNCTION("""COMPUTED_VALUE"""),"Aliado")</f>
        <v>Aliado</v>
      </c>
      <c r="AI431" s="92" t="str">
        <f>IFERROR(__xludf.DUMMYFUNCTION("""COMPUTED_VALUE"""),"https://lh3.googleusercontent.com/pw/AP1GczOKDnjhNLSD-7JukCWTqC72RSqktmkP1Ju5eMc0qVvbXzGKa2ftJNdptvO5m_IOK8JSFBdguoNzeYyJmu0nlXUmQ_iVkS20i369QWjFnnqwTKjBRzqI=w1200|https://lh3.googleusercontent.com/pw/AP1GczM9DjIgZ04pS3-Yx_1v17fdA4FouYT1-yiGbMlgtsukJGZwxS"&amp;"jPpXzddVBPHXp6M2b9v_0GQaRlhDEx-xuu2bwWopTwcS7YPlac4jVLHnJj2Gklj8kx=w1200|https://lh3.googleusercontent.com/pw/AP1GczNQWxK5yy3bzxh2u_lUXyXVDRqDZ1k7ruN0nUK1Zz88-pNRZnYP4929-KLWU7uQob3iau9aap2Jb5AlE4zgB-V34jY98CBEqE8GQjyz7uWbAK0j8Pbx=w1200|https://lh3.google"&amp;"usercontent.com/pw/AP1GczMqbaaSq-VD0-dNwEMFqJhmTPSihsLnocD6CT37DdHNhl8vLtL5inUtUlSV1YhjhgmVjInayfdTmgUHYxH6-mkpHYTxfNf6IXg4fQ0R5c-eUpDLDVl_=w1200|https://lh3.googleusercontent.com/pw/AP1GczORgANCH16yTrr95N9gG9zAqD74OTzNAAKTLIKxyU8ElALwA_KGEgA_n2tbnywX8InQ"&amp;"0LGCzNy72MRIgLIZxUkDx5Vh4KpGmdN754s5IJBOIRlB_trn=w1200|https://lh3.googleusercontent.com/pw/AP1GczOD2_DjOfQzIWp1Cj6rpCOdrJJMxKOIn4l-LL2dC7CBHveVIgY9lr7acLYnDBDDfDK25RVK5uMQpgeFKwlfHg3ogY1JBMI4p6PuSY4N06OnGaUh1jF3=w1200|https://lh3.googleusercontent.com/pw"&amp;"/AP1GczMbywi0M8nErRZ_ZCmN8wIwfCVItP_cIynC2v_oX9ohvCBOnOV7PFEv2q1wZqi0ahAJ4BGpHQDC4luk52MV85GqXwFxYqqeE-applw4AvS4t4M6XbAe=w1200|https://lh3.googleusercontent.com/pw/AP1GczPmZFMhu0J57H4My9bGni-xPi9oVgySTlOXc5jRokMjqxKUVQxuh_-aWt1rviw2nV6AuPw2lRyD8g3M-cn7vG"&amp;"AtrsDr-y7oA8oAnv0yJ7ely7Tss8Cn=w1200|https://lh3.googleusercontent.com/pw/AP1GczOEkoJyLq4GR4KaroY-CcjRPHgoyKyn70-hTuHk_NfXIWZoMsz61oGiscyQ_EqqsN-MENeYGO6j0bcpzehhRQ33iE3cN_OJ5Xlc1rcBEWh_0nYTFd5G=w1200|https://lh3.googleusercontent.com/pw/AP1GczOeC76-EBDWA"&amp;"F_CFire2LNDGxekcbDGEwhgm5zu2C-JMBKHEHK8xyzTDEjo13pPwhPIH8sgK-fzIS93RT5M87Hw3PtXC0xXsm-SpW1QNgtvsf-xmokf=w1200|https://lh3.googleusercontent.com/pw/AP1GczNO7oLkJXuQ4HE8SvOC_sSQJ17DH2quE7OMg4_5DMjfd987mpurKC3mfMYtv73SG1DV4pYURxkmf1vro6tzw6tiZce9nkenlgCup8N4"&amp;"5VT1oXinEg8p=w1200|https://lh3.googleusercontent.com/pw/AP1GczMZo-lv4wSTYANU9WUzmAoAc3sgGkuczlIpvrx0Sm8Qu8-KDkRE0IbUPDPX6796ofJbbt09ph5Z1c5SqWkoKzrcabki9K69to0dexnipSBuxGUXeC0C=w1200|https://lh3.googleusercontent.com/pw/AP1GczPClaKGwq7P2lWiR8bOkiaHlVz8HC_"&amp;"oHEFCbh3nEIxgZAPcpU2i8ojDbW8EjMFJG39QW_Co4CqH5tx_ghqqHfAhNrtJhEELGkKjAyuYBGuI2Zdlfu7H=w1200|https://lh3.googleusercontent.com/pw/AP1GczP8yNCCv19Z9aJFZXdDNVPB5gc4WE3AtNaGK2atXjm50msgub3rRzlobUDL3uHoAyJCD-v88Vxb3tf1h6_t7nd9nmUug0l5fKeYDHnYW_4WcttSBYLN=w1200"&amp;"|https://lh3.googleusercontent.com/pw/AP1GczPWx8IhT6TA2yjfAJ2e4iKhMcXMBfCDKwBntDIpgYuog0zfGchU0ZphQbKym7XSfvt87tghwtGrRdl6smr9v2xF3ZQ2CXbdZvyvpCcuCepmvu8m8V_t=w1200|https://lh3.googleusercontent.com/pw/AP1GczMwN-BrjsaYojDqC9d7aL9mhL7Yl1ToqB1YSSQasSsYepvh-"&amp;"u7IiSvTDLelrSTWGdagxUY9lf_G_g1PQ_eeYP9rgiDeEjGV8kY7DoS0W-whF-IK7YXM=w1200|https://lh3.googleusercontent.com/pw/AP1GczN6Eas7ff5j92fdu7JahIoZynBiIqZ5_3F1uI83dp8v78sFsNBLlXURZLLibCIce4FcYwzA06xJbpwo1nDPml_uIgylMORX-2yCt8Ym53I7-X4wYGpL=w1200")</f>
        <v>https://lh3.googleusercontent.com/pw/AP1GczOKDnjhNLSD-7JukCWTqC72RSqktmkP1Ju5eMc0qVvbXzGKa2ftJNdptvO5m_IOK8JSFBdguoNzeYyJmu0nlXUmQ_iVkS20i369QWjFnnqwTKjBRzqI=w1200|https://lh3.googleusercontent.com/pw/AP1GczM9DjIgZ04pS3-Yx_1v17fdA4FouYT1-yiGbMlgtsukJGZwxSjPpXzddVBPHXp6M2b9v_0GQaRlhDEx-xuu2bwWopTwcS7YPlac4jVLHnJj2Gklj8kx=w1200|https://lh3.googleusercontent.com/pw/AP1GczNQWxK5yy3bzxh2u_lUXyXVDRqDZ1k7ruN0nUK1Zz88-pNRZnYP4929-KLWU7uQob3iau9aap2Jb5AlE4zgB-V34jY98CBEqE8GQjyz7uWbAK0j8Pbx=w1200|https://lh3.googleusercontent.com/pw/AP1GczMqbaaSq-VD0-dNwEMFqJhmTPSihsLnocD6CT37DdHNhl8vLtL5inUtUlSV1YhjhgmVjInayfdTmgUHYxH6-mkpHYTxfNf6IXg4fQ0R5c-eUpDLDVl_=w1200|https://lh3.googleusercontent.com/pw/AP1GczORgANCH16yTrr95N9gG9zAqD74OTzNAAKTLIKxyU8ElALwA_KGEgA_n2tbnywX8InQ0LGCzNy72MRIgLIZxUkDx5Vh4KpGmdN754s5IJBOIRlB_trn=w1200|https://lh3.googleusercontent.com/pw/AP1GczOD2_DjOfQzIWp1Cj6rpCOdrJJMxKOIn4l-LL2dC7CBHveVIgY9lr7acLYnDBDDfDK25RVK5uMQpgeFKwlfHg3ogY1JBMI4p6PuSY4N06OnGaUh1jF3=w1200|https://lh3.googleusercontent.com/pw/AP1GczMbywi0M8nErRZ_ZCmN8wIwfCVItP_cIynC2v_oX9ohvCBOnOV7PFEv2q1wZqi0ahAJ4BGpHQDC4luk52MV85GqXwFxYqqeE-applw4AvS4t4M6XbAe=w1200|https://lh3.googleusercontent.com/pw/AP1GczPmZFMhu0J57H4My9bGni-xPi9oVgySTlOXc5jRokMjqxKUVQxuh_-aWt1rviw2nV6AuPw2lRyD8g3M-cn7vGAtrsDr-y7oA8oAnv0yJ7ely7Tss8Cn=w1200|https://lh3.googleusercontent.com/pw/AP1GczOEkoJyLq4GR4KaroY-CcjRPHgoyKyn70-hTuHk_NfXIWZoMsz61oGiscyQ_EqqsN-MENeYGO6j0bcpzehhRQ33iE3cN_OJ5Xlc1rcBEWh_0nYTFd5G=w1200|https://lh3.googleusercontent.com/pw/AP1GczOeC76-EBDWAF_CFire2LNDGxekcbDGEwhgm5zu2C-JMBKHEHK8xyzTDEjo13pPwhPIH8sgK-fzIS93RT5M87Hw3PtXC0xXsm-SpW1QNgtvsf-xmokf=w1200|https://lh3.googleusercontent.com/pw/AP1GczNO7oLkJXuQ4HE8SvOC_sSQJ17DH2quE7OMg4_5DMjfd987mpurKC3mfMYtv73SG1DV4pYURxkmf1vro6tzw6tiZce9nkenlgCup8N45VT1oXinEg8p=w1200|https://lh3.googleusercontent.com/pw/AP1GczMZo-lv4wSTYANU9WUzmAoAc3sgGkuczlIpvrx0Sm8Qu8-KDkRE0IbUPDPX6796ofJbbt09ph5Z1c5SqWkoKzrcabki9K69to0dexnipSBuxGUXeC0C=w1200|https://lh3.googleusercontent.com/pw/AP1GczPClaKGwq7P2lWiR8bOkiaHlVz8HC_oHEFCbh3nEIxgZAPcpU2i8ojDbW8EjMFJG39QW_Co4CqH5tx_ghqqHfAhNrtJhEELGkKjAyuYBGuI2Zdlfu7H=w1200|https://lh3.googleusercontent.com/pw/AP1GczP8yNCCv19Z9aJFZXdDNVPB5gc4WE3AtNaGK2atXjm50msgub3rRzlobUDL3uHoAyJCD-v88Vxb3tf1h6_t7nd9nmUug0l5fKeYDHnYW_4WcttSBYLN=w1200|https://lh3.googleusercontent.com/pw/AP1GczPWx8IhT6TA2yjfAJ2e4iKhMcXMBfCDKwBntDIpgYuog0zfGchU0ZphQbKym7XSfvt87tghwtGrRdl6smr9v2xF3ZQ2CXbdZvyvpCcuCepmvu8m8V_t=w1200|https://lh3.googleusercontent.com/pw/AP1GczMwN-BrjsaYojDqC9d7aL9mhL7Yl1ToqB1YSSQasSsYepvh-u7IiSvTDLelrSTWGdagxUY9lf_G_g1PQ_eeYP9rgiDeEjGV8kY7DoS0W-whF-IK7YXM=w1200|https://lh3.googleusercontent.com/pw/AP1GczN6Eas7ff5j92fdu7JahIoZynBiIqZ5_3F1uI83dp8v78sFsNBLlXURZLLibCIce4FcYwzA06xJbpwo1nDPml_uIgylMORX-2yCt8Ym53I7-X4wYGpL=w1200</v>
      </c>
      <c r="AJ431" s="46"/>
      <c r="AK431" s="46"/>
      <c r="AL431" s="46"/>
      <c r="AM431" s="46"/>
      <c r="AN431" s="46"/>
      <c r="AO431" s="46"/>
      <c r="AP431" s="46"/>
      <c r="AQ431" s="46"/>
      <c r="AR431" s="46"/>
      <c r="AS431" s="46"/>
      <c r="AT431" s="46"/>
      <c r="AU431" s="46"/>
      <c r="AV431" s="46"/>
      <c r="AW431" s="46"/>
      <c r="AX431" s="46"/>
      <c r="AY431" s="46"/>
      <c r="AZ431" s="46"/>
      <c r="BA431" s="46"/>
      <c r="BB431" s="46"/>
      <c r="BC431" s="46"/>
      <c r="BD431" s="46"/>
      <c r="BE431" s="46"/>
      <c r="BF431" s="46"/>
      <c r="BG431" s="46"/>
      <c r="BH431" s="46"/>
      <c r="BI431" s="46"/>
      <c r="BJ431" s="46"/>
      <c r="BK431" s="46"/>
      <c r="BL431" s="46"/>
      <c r="BM431" s="46"/>
      <c r="BN431" s="46"/>
      <c r="BO431" s="46"/>
      <c r="BP431" s="46"/>
      <c r="BQ431" s="46"/>
      <c r="BR431" s="46"/>
      <c r="BS431" s="46"/>
      <c r="BT431" s="46"/>
      <c r="BU431" s="46"/>
      <c r="BV431" s="46"/>
      <c r="BW431" s="46"/>
      <c r="BX431" s="46"/>
      <c r="BY431" s="46"/>
      <c r="BZ431" s="46"/>
      <c r="CA431" s="46"/>
      <c r="CB431" s="46"/>
      <c r="CC431" s="46"/>
    </row>
    <row r="432">
      <c r="A432" s="87" t="str">
        <f>IFERROR(__xludf.DUMMYFUNCTION("""COMPUTED_VALUE"""),"4948")</f>
        <v>4948</v>
      </c>
      <c r="B432" s="46" t="str">
        <f>IFERROR(__xludf.DUMMYFUNCTION("""COMPUTED_VALUE"""),"Casa en Conjunto Residencial Payande")</f>
        <v>Casa en Conjunto Residencial Payande</v>
      </c>
      <c r="C432" s="46" t="str">
        <f>IFERROR(__xludf.DUMMYFUNCTION("""COMPUTED_VALUE"""),"Casa en conjunto")</f>
        <v>Casa en conjunto</v>
      </c>
      <c r="D432" s="46"/>
      <c r="E432" s="90" t="str">
        <f>IFERROR(__xludf.DUMMYFUNCTION("""COMPUTED_VALUE"""),"Payande")</f>
        <v>Payande</v>
      </c>
      <c r="F432" s="90">
        <f>IFERROR(__xludf.DUMMYFUNCTION("""COMPUTED_VALUE"""),3.5E8)</f>
        <v>350000000</v>
      </c>
      <c r="G432" s="46" t="str">
        <f>IFERROR(__xludf.DUMMYFUNCTION("""COMPUTED_VALUE"""),"$300'000.000 a $400'000.000")</f>
        <v>$300'000.000 a $400'000.000</v>
      </c>
      <c r="H432" s="46"/>
      <c r="I432" s="46"/>
      <c r="J432" s="46" t="str">
        <f>IFERROR(__xludf.DUMMYFUNCTION("""COMPUTED_VALUE"""),"Sur")</f>
        <v>Sur</v>
      </c>
      <c r="K432" s="87"/>
      <c r="L432" s="46">
        <f>IFERROR(__xludf.DUMMYFUNCTION("""COMPUTED_VALUE"""),3.0)</f>
        <v>3</v>
      </c>
      <c r="M432" s="46"/>
      <c r="N432" s="46">
        <f>IFERROR(__xludf.DUMMYFUNCTION("""COMPUTED_VALUE"""),3.0)</f>
        <v>3</v>
      </c>
      <c r="O432" s="46">
        <f>IFERROR(__xludf.DUMMYFUNCTION("""COMPUTED_VALUE"""),1.0)</f>
        <v>1</v>
      </c>
      <c r="P432" s="46">
        <f>IFERROR(__xludf.DUMMYFUNCTION("""COMPUTED_VALUE"""),2.0)</f>
        <v>2</v>
      </c>
      <c r="Q432" s="92">
        <f>IFERROR(__xludf.DUMMYFUNCTION("""COMPUTED_VALUE"""),163.0)</f>
        <v>163</v>
      </c>
      <c r="R432" s="92">
        <f>IFERROR(__xludf.DUMMYFUNCTION("""COMPUTED_VALUE"""),102.0)</f>
        <v>102</v>
      </c>
      <c r="S432" s="87" t="str">
        <f>IFERROR(__xludf.DUMMYFUNCTION("""COMPUTED_VALUE""")," ")</f>
        <v> </v>
      </c>
      <c r="T432" s="46" t="str">
        <f>IFERROR(__xludf.DUMMYFUNCTION("""COMPUTED_VALUE"""),"Neiva")</f>
        <v>Neiva</v>
      </c>
      <c r="U432" s="87" t="str">
        <f>IFERROR(__xludf.DUMMYFUNCTION("""COMPUTED_VALUE"""),"4")</f>
        <v>4</v>
      </c>
      <c r="V432" s="46" t="str">
        <f>IFERROR(__xludf.DUMMYFUNCTION("""COMPUTED_VALUE"""),"Medianera")</f>
        <v>Medianera</v>
      </c>
      <c r="W432" s="46"/>
      <c r="X432" s="46">
        <f>IFERROR(__xludf.DUMMYFUNCTION("""COMPUTED_VALUE"""),3.0)</f>
        <v>3</v>
      </c>
      <c r="Y432" s="46" t="str">
        <f>IFERROR(__xludf.DUMMYFUNCTION("""COMPUTED_VALUE"""),"Social")</f>
        <v>Social</v>
      </c>
      <c r="Z432" s="90">
        <f>IFERROR(__xludf.DUMMYFUNCTION("""COMPUTED_VALUE"""),0.0)</f>
        <v>0</v>
      </c>
      <c r="AA432" s="33" t="str">
        <f>IFERROR(__xludf.DUMMYFUNCTION("""COMPUTED_VALUE"""),"No aplica")</f>
        <v>No aplica</v>
      </c>
      <c r="AB432" s="96" t="str">
        <f>IFERROR(__xludf.DUMMYFUNCTION("""COMPUTED_VALUE"""),"https://photos.app.goo.gl/7L8bNbq7scFyE3rS8")</f>
        <v>https://photos.app.goo.gl/7L8bNbq7scFyE3rS8</v>
      </c>
      <c r="AC432" s="46" t="str">
        <f>IFERROR(__xludf.DUMMYFUNCTION("""COMPUTED_VALUE"""),"Hermosa casa de dos pisos en el conjunto residencial payande sur de Neiva, excelente sector, cerca de Unicentro, ara, dollarcity, olímpica. Consta de: amplio antejardín para parqueadero carro y moto, sala comedor, tres habitaciones con closet, tres baños,"&amp;" cocina integral, zona de lavandería, patio de ropas.")</f>
        <v>Hermosa casa de dos pisos en el conjunto residencial payande sur de Neiva, excelente sector, cerca de Unicentro, ara, dollarcity, olímpica. Consta de: amplio antejardín para parqueadero carro y moto, sala comedor, tres habitaciones con closet, tres baños, cocina integral, zona de lavandería, patio de ropas.</v>
      </c>
      <c r="AD432" s="46" t="str">
        <f>IFERROR(__xludf.DUMMYFUNCTION("""COMPUTED_VALUE"""),"Casa bien ubicada")</f>
        <v>Casa bien ubicada</v>
      </c>
      <c r="AE432" s="46"/>
      <c r="AF432" s="46" t="str">
        <f>IFERROR(__xludf.DUMMYFUNCTION("""COMPUTED_VALUE"""),"integral")</f>
        <v>integral</v>
      </c>
      <c r="AG432" s="46"/>
      <c r="AH432" s="46" t="str">
        <f>IFERROR(__xludf.DUMMYFUNCTION("""COMPUTED_VALUE"""),"Aliado")</f>
        <v>Aliado</v>
      </c>
      <c r="AI432" s="92" t="str">
        <f>IFERROR(__xludf.DUMMYFUNCTION("""COMPUTED_VALUE"""),"https://lh3.googleusercontent.com/pw/AP1GczNUrShaBl2Ao6KLBv5tep34BfJ7CrHe-0ySIiMK97jlzTggxlLOiYqwCWeMxiuQ-dZIw06TYiFasCL2ZnGi_IxatKkP9pIni3XS8_4rEJJhzPFg5ga1=w1200|https://lh3.googleusercontent.com/pw/AP1GczNtOzdGhXw-LLgR82t4edtih9r7xxxp-k_kIzUS-BS4Go9xi3"&amp;"uzMKOWyy70TQ864RD7fPDfNj44oYzlJu5WZ3GUn-MSZb8PMpbg8sK1CTgC1yr-VN1y=w1200|https://lh3.googleusercontent.com/pw/AP1GczPurnaLJwUyaRvUPDDropLqedTLeWbWzMXAxfULlgX2gfeyHdMv-7NAw39is1b-UwdkGeR3THsBeTEwQQizsOhMZ-QdE_A_L8-QJvrtoIlOgA-sUeIE=w1200|https://lh3.google"&amp;"usercontent.com/pw/AP1GczP-593E5KkMU6Bw6uv2vSOVOhlPV7fXl-s_DrwmD3YuK7aOmgjgamAcxl0KrhtXzJM7hdRGhK-uWd1hztRCL7qTUjMydA3M-hQ9ffBT8ReJejNxZr_2=w1200|https://lh3.googleusercontent.com/pw/AP1GczOU2i_DYRTn6wgzMxkEW8DNVGUEuOX99BvyaVn5HaRL9AE5ZkdvGa8pCZ0ASi22wJ-6"&amp;"LH31HcQG-UbbTZfdMCx1XVOkk_XF90rCQLAgmodLoulqqE6g=w1200|https://lh3.googleusercontent.com/pw/AP1GczOMQ9wgTXF4OLGPA7uQaZpNOdYSvsrOSKnz3AW4j3gsyG0ELS5IWOeXHknkNo3RrISbiFbq3dLvRIfF-0PH3BmOS-YY92HRKs8MMJnVuN9hrjaQK0Aa=w1200|https://lh3.googleusercontent.com/pw"&amp;"/AP1GczNdBEzBrlN9vbUx-XkFTTqopb5FtBnSKf_lLVxL5tz-aX0ED9PkP_E68O4AoQRUccJyZuD3XjMn5guAVCNf3ycSx4TRew_Kh9f8J52cMsIot3WzuRe3=w1200|https://lh3.googleusercontent.com/pw/AP1GczMyRI3ArDLWCy4sdrDnPLsKhgwVP_ScGYCSkTyK1yu4y0ARBZwHLQbjNR2hCLC5_U3Tw-uyjFPx6gxUP9w2L1"&amp;"g6_VxgQXY9YTuInqlc9yb3th0fDr7I=w1200|https://lh3.googleusercontent.com/pw/AP1GczP5LltCBIaW5qFx56oiP2D7kuNScKkniDnZiF-faS7ZE_Sc4ZR2DRfWpEeHCtSYCmdD5N7io7IwvweUZj1wilfWLamhiemmaHWAJqJNoE35cJfgIfM4=w1200|https://lh3.googleusercontent.com/pw/AP1GczOp7qxXgGw1B"&amp;"VY4g35uKWEiuVzHrb9qC-LRH0PIXTZE_MePK_WgoYmprETwyzCzGYm-8FGqrlaoN7yaySIdyIHwZJHKiN0HgA4T-rEIbWUHsWRDFEDH=w1200|https://lh3.googleusercontent.com/pw/AP1GczNw3MBI-ndBDyP1HtWMSu0NxzjQYdRY0iGJ_h92_uhoAZdLmfHsHeR9FYcTEMeNu9gmL7H4loq0rn_F490COy1oFEth9Rpna4hE84wR"&amp;"uoPqOqrSYZSp=w1200|https://lh3.googleusercontent.com/pw/AP1GczOWwlXW33UjKKRjUfO8zgYRNFRlFpOlT5d5iepRKy3QhwhRvu-PLHzv0AksqRPQMky7XUjxOkk9BbKtVtebkaPRPxk0ovxi4xVBgk3GTPbgcJvdmtuu=w1200|https://lh3.googleusercontent.com/pw/AP1GczMgU_7sSP6doA--RyPQwmvjmilCDDs"&amp;"BCBzQXsBpjgYQjbArYu8_fAKWtDFeaRydb-3R5RUyC4Gs1MiuXXJQ5rvKlGdseNdC9OtMR1F4TahY2PoDlf5P=w1200|https://lh3.googleusercontent.com/pw/AP1GczNGxxRVQvrt_C1s5M_-8DftH0wdQBKSWCgh_sf9eBbqpltHX4ZTBBCroaJZvxXapVv56IY148Ibkqwmo9sZYcEewkGXCapdh_dPW30P6dRuDAEZbH1J=w1200"&amp;"|https://lh3.googleusercontent.com/pw/AP1GczPoyXEMYPRWwOtJe-YRAQcVgQNTmyapxLoAO3S-OBD1UkSNlgDVu8k6C3WaGYQAdlO6FoCIT9h8DJllA3-h1YLVrfXTZqYC6GhW5rY0L6IcqTEw-q9q=w1200|https://lh3.googleusercontent.com/pw/AP1GczNLt-or9Z-r-dlI8ImIfY-fj8S0NK_dkuIAnGx9XODMjBKeQ"&amp;"dWFgv7JzP7To4TYV4FzITQa6PEft5G1iAMEz9WYqeeCsbtYMzsHWSku2mScD_cPBsk4=w1200|https://lh3.googleusercontent.com/pw/AP1GczMTGLfi8VjPO4uVxheh6XgJUN2VrvZ7Q4diH7APxYfOtuTS4M5_9cnGSpfbdBCfu3b5-_d37d0-zAjjXgRXSaSKGqvdYFX6UNdDNxFX-B53oQ9onNOh=w1200|https://lh3.googl"&amp;"eusercontent.com/pw/AP1GczPWlFL39VIr1L-3XuGGJQKqIh1YTxAjZbLK_iVjR6M3_sqTppkmnfkiofxMrvrVTbWXtNFzMfp6vmLx81uQ76S89w1Z42Cr-7Wx-ERvO8rV5kr5dDB7=w1200|https://lh3.googleusercontent.com/pw/AP1GczPoLixGcVHGJ4BcnsCsdKGLleb0UkRLeiJOkSUnOMxO8V1yLQTl50JhrfAtNQkGZmt"&amp;"dBoTEBOlfxqOUCl4cVOhbM31A5l4_J71c_aLvnjfl114SdNRY=w1200|https://lh3.googleusercontent.com/pw/AP1GczM8vhouxVVjzisRwwlLRI6PDZShWu7NR_eKtzfpY4jHR-LCAsnKkF71IjHEQWzDqomas51BEVibrnsSSpCWxF4tx6e9NqpYZqItjL-qVFpiO-Gfh5BT=w1200")</f>
        <v>https://lh3.googleusercontent.com/pw/AP1GczNUrShaBl2Ao6KLBv5tep34BfJ7CrHe-0ySIiMK97jlzTggxlLOiYqwCWeMxiuQ-dZIw06TYiFasCL2ZnGi_IxatKkP9pIni3XS8_4rEJJhzPFg5ga1=w1200|https://lh3.googleusercontent.com/pw/AP1GczNtOzdGhXw-LLgR82t4edtih9r7xxxp-k_kIzUS-BS4Go9xi3uzMKOWyy70TQ864RD7fPDfNj44oYzlJu5WZ3GUn-MSZb8PMpbg8sK1CTgC1yr-VN1y=w1200|https://lh3.googleusercontent.com/pw/AP1GczPurnaLJwUyaRvUPDDropLqedTLeWbWzMXAxfULlgX2gfeyHdMv-7NAw39is1b-UwdkGeR3THsBeTEwQQizsOhMZ-QdE_A_L8-QJvrtoIlOgA-sUeIE=w1200|https://lh3.googleusercontent.com/pw/AP1GczP-593E5KkMU6Bw6uv2vSOVOhlPV7fXl-s_DrwmD3YuK7aOmgjgamAcxl0KrhtXzJM7hdRGhK-uWd1hztRCL7qTUjMydA3M-hQ9ffBT8ReJejNxZr_2=w1200|https://lh3.googleusercontent.com/pw/AP1GczOU2i_DYRTn6wgzMxkEW8DNVGUEuOX99BvyaVn5HaRL9AE5ZkdvGa8pCZ0ASi22wJ-6LH31HcQG-UbbTZfdMCx1XVOkk_XF90rCQLAgmodLoulqqE6g=w1200|https://lh3.googleusercontent.com/pw/AP1GczOMQ9wgTXF4OLGPA7uQaZpNOdYSvsrOSKnz3AW4j3gsyG0ELS5IWOeXHknkNo3RrISbiFbq3dLvRIfF-0PH3BmOS-YY92HRKs8MMJnVuN9hrjaQK0Aa=w1200|https://lh3.googleusercontent.com/pw/AP1GczNdBEzBrlN9vbUx-XkFTTqopb5FtBnSKf_lLVxL5tz-aX0ED9PkP_E68O4AoQRUccJyZuD3XjMn5guAVCNf3ycSx4TRew_Kh9f8J52cMsIot3WzuRe3=w1200|https://lh3.googleusercontent.com/pw/AP1GczMyRI3ArDLWCy4sdrDnPLsKhgwVP_ScGYCSkTyK1yu4y0ARBZwHLQbjNR2hCLC5_U3Tw-uyjFPx6gxUP9w2L1g6_VxgQXY9YTuInqlc9yb3th0fDr7I=w1200|https://lh3.googleusercontent.com/pw/AP1GczP5LltCBIaW5qFx56oiP2D7kuNScKkniDnZiF-faS7ZE_Sc4ZR2DRfWpEeHCtSYCmdD5N7io7IwvweUZj1wilfWLamhiemmaHWAJqJNoE35cJfgIfM4=w1200|https://lh3.googleusercontent.com/pw/AP1GczOp7qxXgGw1BVY4g35uKWEiuVzHrb9qC-LRH0PIXTZE_MePK_WgoYmprETwyzCzGYm-8FGqrlaoN7yaySIdyIHwZJHKiN0HgA4T-rEIbWUHsWRDFEDH=w1200|https://lh3.googleusercontent.com/pw/AP1GczNw3MBI-ndBDyP1HtWMSu0NxzjQYdRY0iGJ_h92_uhoAZdLmfHsHeR9FYcTEMeNu9gmL7H4loq0rn_F490COy1oFEth9Rpna4hE84wRuoPqOqrSYZSp=w1200|https://lh3.googleusercontent.com/pw/AP1GczOWwlXW33UjKKRjUfO8zgYRNFRlFpOlT5d5iepRKy3QhwhRvu-PLHzv0AksqRPQMky7XUjxOkk9BbKtVtebkaPRPxk0ovxi4xVBgk3GTPbgcJvdmtuu=w1200|https://lh3.googleusercontent.com/pw/AP1GczMgU_7sSP6doA--RyPQwmvjmilCDDsBCBzQXsBpjgYQjbArYu8_fAKWtDFeaRydb-3R5RUyC4Gs1MiuXXJQ5rvKlGdseNdC9OtMR1F4TahY2PoDlf5P=w1200|https://lh3.googleusercontent.com/pw/AP1GczNGxxRVQvrt_C1s5M_-8DftH0wdQBKSWCgh_sf9eBbqpltHX4ZTBBCroaJZvxXapVv56IY148Ibkqwmo9sZYcEewkGXCapdh_dPW30P6dRuDAEZbH1J=w1200|https://lh3.googleusercontent.com/pw/AP1GczPoyXEMYPRWwOtJe-YRAQcVgQNTmyapxLoAO3S-OBD1UkSNlgDVu8k6C3WaGYQAdlO6FoCIT9h8DJllA3-h1YLVrfXTZqYC6GhW5rY0L6IcqTEw-q9q=w1200|https://lh3.googleusercontent.com/pw/AP1GczNLt-or9Z-r-dlI8ImIfY-fj8S0NK_dkuIAnGx9XODMjBKeQdWFgv7JzP7To4TYV4FzITQa6PEft5G1iAMEz9WYqeeCsbtYMzsHWSku2mScD_cPBsk4=w1200|https://lh3.googleusercontent.com/pw/AP1GczMTGLfi8VjPO4uVxheh6XgJUN2VrvZ7Q4diH7APxYfOtuTS4M5_9cnGSpfbdBCfu3b5-_d37d0-zAjjXgRXSaSKGqvdYFX6UNdDNxFX-B53oQ9onNOh=w1200|https://lh3.googleusercontent.com/pw/AP1GczPWlFL39VIr1L-3XuGGJQKqIh1YTxAjZbLK_iVjR6M3_sqTppkmnfkiofxMrvrVTbWXtNFzMfp6vmLx81uQ76S89w1Z42Cr-7Wx-ERvO8rV5kr5dDB7=w1200|https://lh3.googleusercontent.com/pw/AP1GczPoLixGcVHGJ4BcnsCsdKGLleb0UkRLeiJOkSUnOMxO8V1yLQTl50JhrfAtNQkGZmtdBoTEBOlfxqOUCl4cVOhbM31A5l4_J71c_aLvnjfl114SdNRY=w1200|https://lh3.googleusercontent.com/pw/AP1GczM8vhouxVVjzisRwwlLRI6PDZShWu7NR_eKtzfpY4jHR-LCAsnKkF71IjHEQWzDqomas51BEVibrnsSSpCWxF4tx6e9NqpYZqItjL-qVFpiO-Gfh5BT=w1200</v>
      </c>
      <c r="AJ432" s="46"/>
      <c r="AK432" s="46"/>
      <c r="AL432" s="46"/>
      <c r="AM432" s="46"/>
      <c r="AN432" s="46"/>
      <c r="AO432" s="46"/>
      <c r="AP432" s="46"/>
      <c r="AQ432" s="46"/>
      <c r="AR432" s="46"/>
      <c r="AS432" s="46"/>
      <c r="AT432" s="46"/>
      <c r="AU432" s="46"/>
      <c r="AV432" s="46"/>
      <c r="AW432" s="46"/>
      <c r="AX432" s="46"/>
      <c r="AY432" s="46"/>
      <c r="AZ432" s="46"/>
      <c r="BA432" s="46"/>
      <c r="BB432" s="46"/>
      <c r="BC432" s="46"/>
      <c r="BD432" s="46"/>
      <c r="BE432" s="46"/>
      <c r="BF432" s="46"/>
      <c r="BG432" s="46"/>
      <c r="BH432" s="46"/>
      <c r="BI432" s="46"/>
      <c r="BJ432" s="46"/>
      <c r="BK432" s="46"/>
      <c r="BL432" s="46"/>
      <c r="BM432" s="46"/>
      <c r="BN432" s="46"/>
      <c r="BO432" s="46"/>
      <c r="BP432" s="46"/>
      <c r="BQ432" s="46"/>
      <c r="BR432" s="46"/>
      <c r="BS432" s="46"/>
      <c r="BT432" s="46"/>
      <c r="BU432" s="46"/>
      <c r="BV432" s="46"/>
      <c r="BW432" s="46"/>
      <c r="BX432" s="46"/>
      <c r="BY432" s="46"/>
      <c r="BZ432" s="46"/>
      <c r="CA432" s="46"/>
      <c r="CB432" s="46"/>
      <c r="CC432" s="46"/>
    </row>
    <row r="433">
      <c r="A433" s="87" t="str">
        <f>IFERROR(__xludf.DUMMYFUNCTION("""COMPUTED_VALUE"""),"6008")</f>
        <v>6008</v>
      </c>
      <c r="B433" s="46" t="str">
        <f>IFERROR(__xludf.DUMMYFUNCTION("""COMPUTED_VALUE"""),"Apartamento en conjunto Condominio Residencial Bosques de Baviera - Sur")</f>
        <v>Apartamento en conjunto Condominio Residencial Bosques de Baviera - Sur</v>
      </c>
      <c r="C433" s="46" t="str">
        <f>IFERROR(__xludf.DUMMYFUNCTION("""COMPUTED_VALUE"""),"Apartamento en conjunto")</f>
        <v>Apartamento en conjunto</v>
      </c>
      <c r="D433" s="46"/>
      <c r="E433" s="46" t="str">
        <f>IFERROR(__xludf.DUMMYFUNCTION("""COMPUTED_VALUE"""),"Conjunto Condominio Residencial Bosques de Baviera")</f>
        <v>Conjunto Condominio Residencial Bosques de Baviera</v>
      </c>
      <c r="F433" s="90">
        <f>IFERROR(__xludf.DUMMYFUNCTION("""COMPUTED_VALUE"""),3.0E8)</f>
        <v>300000000</v>
      </c>
      <c r="G433" s="46" t="str">
        <f>IFERROR(__xludf.DUMMYFUNCTION("""COMPUTED_VALUE"""),"$300'000.000 a $400'000.000")</f>
        <v>$300'000.000 a $400'000.000</v>
      </c>
      <c r="H433" s="46"/>
      <c r="I433" s="46"/>
      <c r="J433" s="46" t="str">
        <f>IFERROR(__xludf.DUMMYFUNCTION("""COMPUTED_VALUE"""),"Sur")</f>
        <v>Sur</v>
      </c>
      <c r="K433" s="87"/>
      <c r="L433" s="46">
        <f>IFERROR(__xludf.DUMMYFUNCTION("""COMPUTED_VALUE"""),3.0)</f>
        <v>3</v>
      </c>
      <c r="M433" s="46"/>
      <c r="N433" s="46">
        <f>IFERROR(__xludf.DUMMYFUNCTION("""COMPUTED_VALUE"""),2.0)</f>
        <v>2</v>
      </c>
      <c r="O433" s="46">
        <f>IFERROR(__xludf.DUMMYFUNCTION("""COMPUTED_VALUE"""),1.0)</f>
        <v>1</v>
      </c>
      <c r="P433" s="46">
        <f>IFERROR(__xludf.DUMMYFUNCTION("""COMPUTED_VALUE"""),6.0)</f>
        <v>6</v>
      </c>
      <c r="Q433" s="92">
        <f>IFERROR(__xludf.DUMMYFUNCTION("""COMPUTED_VALUE"""),0.0)</f>
        <v>0</v>
      </c>
      <c r="R433" s="92">
        <f>IFERROR(__xludf.DUMMYFUNCTION("""COMPUTED_VALUE"""),0.0)</f>
        <v>0</v>
      </c>
      <c r="S433" s="87" t="str">
        <f>IFERROR(__xludf.DUMMYFUNCTION("""COMPUTED_VALUE""")," ")</f>
        <v> </v>
      </c>
      <c r="T433" s="46" t="str">
        <f>IFERROR(__xludf.DUMMYFUNCTION("""COMPUTED_VALUE"""),"Neiva")</f>
        <v>Neiva</v>
      </c>
      <c r="U433" s="87" t="str">
        <f>IFERROR(__xludf.DUMMYFUNCTION("""COMPUTED_VALUE"""),"3")</f>
        <v>3</v>
      </c>
      <c r="V433" s="46" t="str">
        <f>IFERROR(__xludf.DUMMYFUNCTION("""COMPUTED_VALUE"""),"6to.")</f>
        <v>6to.</v>
      </c>
      <c r="W433" s="46"/>
      <c r="X433" s="46">
        <f>IFERROR(__xludf.DUMMYFUNCTION("""COMPUTED_VALUE"""),3.0)</f>
        <v>3</v>
      </c>
      <c r="Y433" s="46" t="str">
        <f>IFERROR(__xludf.DUMMYFUNCTION("""COMPUTED_VALUE"""),"Social")</f>
        <v>Social</v>
      </c>
      <c r="Z433" s="90">
        <f>IFERROR(__xludf.DUMMYFUNCTION("""COMPUTED_VALUE"""),356400.0)</f>
        <v>356400</v>
      </c>
      <c r="AA433" s="33" t="str">
        <f>IFERROR(__xludf.DUMMYFUNCTION("""COMPUTED_VALUE"""),"No aplica")</f>
        <v>No aplica</v>
      </c>
      <c r="AB433" s="96" t="str">
        <f>IFERROR(__xludf.DUMMYFUNCTION("""COMPUTED_VALUE"""),"https://photos.app.goo.gl/cbZJCZnFXtSCUa3B9")</f>
        <v>https://photos.app.goo.gl/cbZJCZnFXtSCUa3B9</v>
      </c>
      <c r="AC433" s="46" t="str">
        <f>IFERROR(__xludf.DUMMYFUNCTION("""COMPUTED_VALUE"""),"Este moderno apartamento destaca por sus excelentes acabados y una distribución funcional pensada para la comodidad familiar. Al ingresar, se aprecia una iluminada área de sala-comedor revestida con pisos en porcelanato de alto brillo, muros estucados en "&amp;"blanco y una elegante pared decorativa con acabado texturizado tipo estuco veneciano, además de nichos empotrados en la pared. El inmueble cuenta con 3 habitaciones equipadas con armarios empotrados en madera clara, incluyendo la alcoba principal que disp"&amp;"one de baño privado y balcón propio, además de un baño social y una zona de lavandería independiente. La cocina integral está completamente equipada con un diseño contemporáneo en tonos blancos y gabinetes superiores en un vibrante color naranja, compleme"&amp;"ntada con encimeras y salpicaderos en granito oscuro, estufa empotrada, horno, campana extractora y un filtro de agua integrado. Adicionalmente, la propiedad incluye un parqueadero privado cubierto y un depósito para almacenamiento extra.")</f>
        <v>Este moderno apartamento destaca por sus excelentes acabados y una distribución funcional pensada para la comodidad familiar. Al ingresar, se aprecia una iluminada área de sala-comedor revestida con pisos en porcelanato de alto brillo, muros estucados en blanco y una elegante pared decorativa con acabado texturizado tipo estuco veneciano, además de nichos empotrados en la pared. El inmueble cuenta con 3 habitaciones equipadas con armarios empotrados en madera clara, incluyendo la alcoba principal que dispone de baño privado y balcón propio, además de un baño social y una zona de lavandería independiente. La cocina integral está completamente equipada con un diseño contemporáneo en tonos blancos y gabinetes superiores en un vibrante color naranja, complementada con encimeras y salpicaderos en granito oscuro, estufa empotrada, horno, campana extractora y un filtro de agua integrado. Adicionalmente, la propiedad incluye un parqueadero privado cubierto y un depósito para almacenamiento extra.</v>
      </c>
      <c r="AD433" s="46" t="str">
        <f>IFERROR(__xludf.DUMMYFUNCTION("""COMPUTED_VALUE"""),"Esta propiedad representa una oportunidad de inversión excepcional gracias a sus atributos únicos que garantizan una alta calidad de vida y el deseo de compra inmediata. La presencia de dos balcones independientes —uno en el área social y otro exclusivo e"&amp;"n la habitación principal— asegura una ventilación cruzada perfecta y una luminosidad natural inigualable durante todo el día. El diseño moderno de la cocina con toques de color vivos y el práctico filtro de agua añaden un valor funcional y estético super"&amp;"ior, mientras que el parqueadero cubierto resguarda el vehículo del sol y la lluvia. Con espacios listos para habitar, acabados impecables y un depósito privado que soluciona cualquier necesidad de organización, este apartamento es la elección definitiva "&amp;"para quienes buscan exclusividad, confort y seguridad en un solo lugar.")</f>
        <v>Esta propiedad representa una oportunidad de inversión excepcional gracias a sus atributos únicos que garantizan una alta calidad de vida y el deseo de compra inmediata. La presencia de dos balcones independientes —uno en el área social y otro exclusivo en la habitación principal— asegura una ventilación cruzada perfecta y una luminosidad natural inigualable durante todo el día. El diseño moderno de la cocina con toques de color vivos y el práctico filtro de agua añaden un valor funcional y estético superior, mientras que el parqueadero cubierto resguarda el vehículo del sol y la lluvia. Con espacios listos para habitar, acabados impecables y un depósito privado que soluciona cualquier necesidad de organización, este apartamento es la elección definitiva para quienes buscan exclusividad, confort y seguridad en un solo lugar.</v>
      </c>
      <c r="AE433" s="46"/>
      <c r="AF433" s="46" t="str">
        <f>IFERROR(__xludf.DUMMYFUNCTION("""COMPUTED_VALUE"""),"integral")</f>
        <v>integral</v>
      </c>
      <c r="AG433" s="46"/>
      <c r="AH433" s="46" t="str">
        <f>IFERROR(__xludf.DUMMYFUNCTION("""COMPUTED_VALUE"""),"Aliado")</f>
        <v>Aliado</v>
      </c>
      <c r="AI433" s="92" t="str">
        <f>IFERROR(__xludf.DUMMYFUNCTION("""COMPUTED_VALUE"""),"https://lh3.googleusercontent.com/pw/AP1GczMDegm3tsbHIObEvOYnOYDuwB__IOnybg9aKwXUL6OUwFgmFaqOtSp9z0pcf7D8CWxQL1RHltRTm1oSIEv0ii_lpf6aKwJ39yz_t3FqLkjWH0Ain_FU=w1200|https://lh3.googleusercontent.com/pw/AP1GczPKGaiuzmsDYWplLZqJiO4jD79s0Ez8wckaac-6A-K12o-6rH"&amp;"75gz8jPhP061syrBSuHCyRvMeaPwm9cuW1UZ8PSrQnf1ImmXntogv5OdBMixgZUe73=w1200|https://lh3.googleusercontent.com/pw/AP1GczPhVsM2A6iaExZrD2CNzggyKI8nfahu-Dq_dmoZJozzP_RsS_zeYW0guuSxgk-yR16yb4TfRhwamcV6oCB61bsD90GSLQPdHtk3LtgbPS3-udK8qQZl=w1200|https://lh3.google"&amp;"usercontent.com/pw/AP1GczO1RM9CYIE8UFHbeBeNpCctXB4uoQeZKEYmMe6z30jx9tLV1xUbl0XSPv57K-MUegid9CVQRE0P1r1rWNTtmBRi-uNyaMxtcRTSAp9PFkXtrBiuvajp=w1200|https://lh3.googleusercontent.com/pw/AP1GczM6KHvFeHr7seF3GTlw6Bnp2wACRAiH04fZcw05fG6SYVhTsNc9748TjT2e2VI1AOxJ"&amp;"Pd_BaQlaJNnQsSsLZY9MWXJWyrzqETD-Rudo9HjdfPyIqI_f=w1200|https://lh3.googleusercontent.com/pw/AP1GczNP5yfgRj5YILEhGLn-mqDijTZ2JUKvwFrZDI2i3-VbSe57WLQNSmwd-V3-hQi_DAXfnt0NkXJ8vKiRgWpIchN_D68GaqtRROwwuY1sbCc5Dvnz61HT=w1200|https://lh3.googleusercontent.com/pw"&amp;"/AP1GczNJQKz0xWndaqK8SQ6J4xvmyEMhiZU9PWKm0FbOB_Fi_Uf3tBZ-RqBld3gU9K4KvL1uFQ1m5-3xpP7C6erq_nv52CizbZifBAhgLBatFbiUtCj3ZYtp=w1200|https://lh3.googleusercontent.com/pw/AP1GczPdg0UAbYVn_r-F1S2mD2NcXg4KoH1dFrDzK8HNY39VaLILb-dSkI5mklICjSk_JjkMUKI74BHOyapB1mF4VL"&amp;"xCLghzF-D_2TA80OALKaz2Ri2Jf4ro=w1200|https://lh3.googleusercontent.com/pw/AP1GczNXU7D-DAWgq_d0jfdFlkZEZjXq51_S6NjT1PdveFiqAoJKdvrrh70AehEnHyK-Chw8qtdRk-pibg0DWHeQzTbW2rKMxLVp-J95SBLBGPCniabN-N1n=w1200|https://lh3.googleusercontent.com/pw/AP1GczPrP1hbDtsRV"&amp;"pdjSfaWwVbbb3Bozig0kEnElwX2tXIzSf1gtXR10hHsurIg-wXNd5CX1FJnxbE2-PpLRdeQ0_JYGH1lI3hujLGVUhAmKATei0B6VE_8=w1200|https://lh3.googleusercontent.com/pw/AP1GczNUbNd1CgS2QZLwSgTAG2JI1_cAcgSNE6yx1zgub0Acx9JFm7pvLPLEfvuawFOyUCy3EK_YYGqAR_aEeWqE0AaUUQfAri6edXxdR0jV"&amp;"zsH8ilmY54AC=w1200|https://lh3.googleusercontent.com/pw/AP1GczMp9mhaAuSEerCfaucUsvIEa4MsG0GuQiawkTjsLzxRQyncR0FNA8nMgfyYiw0vHQ5xc1W5K6B5KCvLcWV-t_FS9UegsiJPloJW35Q3jMt1FTy0HpvW=w1200|https://lh3.googleusercontent.com/pw/AP1GczMGgxJKkp7ffX7k516nm7Z4dmcQ4NA"&amp;"AfWOC5SgrNWDQ5sYsvapuAjmBO4GYG4D-SzaWwPOyUWD5yp24fAWYRRPC4rNhaAENoVw7KjNN8N5jl0SR_j7s=w1200|https://lh3.googleusercontent.com/pw/AP1GczNNncrP9YRDJEW2YcAq5mqqDLujVV-Xy9tO3GkYFGWzxD3qzAVk90Cdypy_WcBvoggiqHba0VYxzPYVwdhjBMUDvEeASCW2ibIv6-NIOyvfRX6tmV3a=w1200"&amp;"|https://lh3.googleusercontent.com/pw/AP1GczNY8Do0rPqS8DHNDLNpqcXs9rnhK_u3jToAgKXz50BBGxJJ78MWGyL2_8kLuWIRBUd03njVqT-tQrQ0HedgdyAH7U9Js8egsfMFb6uT4wI6iiJ8_tmm=w1200|https://lh3.googleusercontent.com/pw/AP1GczPDJ4kCnLBkG-Me8IHEhY-_j6PRQWciF3AZd7VN_ITf_Z8UR"&amp;"ZQTKZd1nwYjdkpo6ks2gAGNXsstyl48Z7HtEnEH8i2wDbPKFsrpHX-FtBVbn3f_cwkb=w1200|https://lh3.googleusercontent.com/pw/AP1GczPFPBTi21hJu-7BLipSJU2bm2jkWWdZkrwq7ybEIm4WgTa2cegVlRTjLD0IoKHumft_IIizwkab4CbSwxSPma-KKA7ZbZbPN0T-DzlK5qJ_l02s7ghn=w1200")</f>
        <v>https://lh3.googleusercontent.com/pw/AP1GczMDegm3tsbHIObEvOYnOYDuwB__IOnybg9aKwXUL6OUwFgmFaqOtSp9z0pcf7D8CWxQL1RHltRTm1oSIEv0ii_lpf6aKwJ39yz_t3FqLkjWH0Ain_FU=w1200|https://lh3.googleusercontent.com/pw/AP1GczPKGaiuzmsDYWplLZqJiO4jD79s0Ez8wckaac-6A-K12o-6rH75gz8jPhP061syrBSuHCyRvMeaPwm9cuW1UZ8PSrQnf1ImmXntogv5OdBMixgZUe73=w1200|https://lh3.googleusercontent.com/pw/AP1GczPhVsM2A6iaExZrD2CNzggyKI8nfahu-Dq_dmoZJozzP_RsS_zeYW0guuSxgk-yR16yb4TfRhwamcV6oCB61bsD90GSLQPdHtk3LtgbPS3-udK8qQZl=w1200|https://lh3.googleusercontent.com/pw/AP1GczO1RM9CYIE8UFHbeBeNpCctXB4uoQeZKEYmMe6z30jx9tLV1xUbl0XSPv57K-MUegid9CVQRE0P1r1rWNTtmBRi-uNyaMxtcRTSAp9PFkXtrBiuvajp=w1200|https://lh3.googleusercontent.com/pw/AP1GczM6KHvFeHr7seF3GTlw6Bnp2wACRAiH04fZcw05fG6SYVhTsNc9748TjT2e2VI1AOxJPd_BaQlaJNnQsSsLZY9MWXJWyrzqETD-Rudo9HjdfPyIqI_f=w1200|https://lh3.googleusercontent.com/pw/AP1GczNP5yfgRj5YILEhGLn-mqDijTZ2JUKvwFrZDI2i3-VbSe57WLQNSmwd-V3-hQi_DAXfnt0NkXJ8vKiRgWpIchN_D68GaqtRROwwuY1sbCc5Dvnz61HT=w1200|https://lh3.googleusercontent.com/pw/AP1GczNJQKz0xWndaqK8SQ6J4xvmyEMhiZU9PWKm0FbOB_Fi_Uf3tBZ-RqBld3gU9K4KvL1uFQ1m5-3xpP7C6erq_nv52CizbZifBAhgLBatFbiUtCj3ZYtp=w1200|https://lh3.googleusercontent.com/pw/AP1GczPdg0UAbYVn_r-F1S2mD2NcXg4KoH1dFrDzK8HNY39VaLILb-dSkI5mklICjSk_JjkMUKI74BHOyapB1mF4VLxCLghzF-D_2TA80OALKaz2Ri2Jf4ro=w1200|https://lh3.googleusercontent.com/pw/AP1GczNXU7D-DAWgq_d0jfdFlkZEZjXq51_S6NjT1PdveFiqAoJKdvrrh70AehEnHyK-Chw8qtdRk-pibg0DWHeQzTbW2rKMxLVp-J95SBLBGPCniabN-N1n=w1200|https://lh3.googleusercontent.com/pw/AP1GczPrP1hbDtsRVpdjSfaWwVbbb3Bozig0kEnElwX2tXIzSf1gtXR10hHsurIg-wXNd5CX1FJnxbE2-PpLRdeQ0_JYGH1lI3hujLGVUhAmKATei0B6VE_8=w1200|https://lh3.googleusercontent.com/pw/AP1GczNUbNd1CgS2QZLwSgTAG2JI1_cAcgSNE6yx1zgub0Acx9JFm7pvLPLEfvuawFOyUCy3EK_YYGqAR_aEeWqE0AaUUQfAri6edXxdR0jVzsH8ilmY54AC=w1200|https://lh3.googleusercontent.com/pw/AP1GczMp9mhaAuSEerCfaucUsvIEa4MsG0GuQiawkTjsLzxRQyncR0FNA8nMgfyYiw0vHQ5xc1W5K6B5KCvLcWV-t_FS9UegsiJPloJW35Q3jMt1FTy0HpvW=w1200|https://lh3.googleusercontent.com/pw/AP1GczMGgxJKkp7ffX7k516nm7Z4dmcQ4NAAfWOC5SgrNWDQ5sYsvapuAjmBO4GYG4D-SzaWwPOyUWD5yp24fAWYRRPC4rNhaAENoVw7KjNN8N5jl0SR_j7s=w1200|https://lh3.googleusercontent.com/pw/AP1GczNNncrP9YRDJEW2YcAq5mqqDLujVV-Xy9tO3GkYFGWzxD3qzAVk90Cdypy_WcBvoggiqHba0VYxzPYVwdhjBMUDvEeASCW2ibIv6-NIOyvfRX6tmV3a=w1200|https://lh3.googleusercontent.com/pw/AP1GczNY8Do0rPqS8DHNDLNpqcXs9rnhK_u3jToAgKXz50BBGxJJ78MWGyL2_8kLuWIRBUd03njVqT-tQrQ0HedgdyAH7U9Js8egsfMFb6uT4wI6iiJ8_tmm=w1200|https://lh3.googleusercontent.com/pw/AP1GczPDJ4kCnLBkG-Me8IHEhY-_j6PRQWciF3AZd7VN_ITf_Z8URZQTKZd1nwYjdkpo6ks2gAGNXsstyl48Z7HtEnEH8i2wDbPKFsrpHX-FtBVbn3f_cwkb=w1200|https://lh3.googleusercontent.com/pw/AP1GczPFPBTi21hJu-7BLipSJU2bm2jkWWdZkrwq7ybEIm4WgTa2cegVlRTjLD0IoKHumft_IIizwkab4CbSwxSPma-KKA7ZbZbPN0T-DzlK5qJ_l02s7ghn=w1200</v>
      </c>
      <c r="AJ433" s="46"/>
      <c r="AK433" s="46"/>
      <c r="AL433" s="46"/>
      <c r="AM433" s="46"/>
      <c r="AN433" s="46"/>
      <c r="AO433" s="46"/>
      <c r="AP433" s="46"/>
      <c r="AQ433" s="46"/>
      <c r="AR433" s="46"/>
      <c r="AS433" s="46"/>
      <c r="AT433" s="46"/>
      <c r="AU433" s="46"/>
      <c r="AV433" s="46"/>
      <c r="AW433" s="46"/>
      <c r="AX433" s="46"/>
      <c r="AY433" s="46"/>
      <c r="AZ433" s="46"/>
      <c r="BA433" s="46"/>
      <c r="BB433" s="46"/>
      <c r="BC433" s="46"/>
      <c r="BD433" s="46"/>
      <c r="BE433" s="46"/>
      <c r="BF433" s="46"/>
      <c r="BG433" s="46"/>
      <c r="BH433" s="46"/>
      <c r="BI433" s="46"/>
      <c r="BJ433" s="46"/>
      <c r="BK433" s="46"/>
      <c r="BL433" s="46"/>
      <c r="BM433" s="46"/>
      <c r="BN433" s="46"/>
      <c r="BO433" s="46"/>
      <c r="BP433" s="46"/>
      <c r="BQ433" s="46"/>
      <c r="BR433" s="46"/>
      <c r="BS433" s="46"/>
      <c r="BT433" s="46"/>
      <c r="BU433" s="46"/>
      <c r="BV433" s="46"/>
      <c r="BW433" s="46"/>
      <c r="BX433" s="46"/>
      <c r="BY433" s="46"/>
      <c r="BZ433" s="46"/>
      <c r="CA433" s="46"/>
      <c r="CB433" s="46"/>
      <c r="CC433" s="46"/>
    </row>
    <row r="434">
      <c r="A434" s="87" t="str">
        <f>IFERROR(__xludf.DUMMYFUNCTION("""COMPUTED_VALUE"""),"4682")</f>
        <v>4682</v>
      </c>
      <c r="B434" s="46" t="str">
        <f>IFERROR(__xludf.DUMMYFUNCTION("""COMPUTED_VALUE"""),"Casa en barrio Alamos Norte - Norte")</f>
        <v>Casa en barrio Alamos Norte - Norte</v>
      </c>
      <c r="C434" s="46" t="str">
        <f>IFERROR(__xludf.DUMMYFUNCTION("""COMPUTED_VALUE"""),"Casa")</f>
        <v>Casa</v>
      </c>
      <c r="D434" s="46" t="str">
        <f>IFERROR(__xludf.DUMMYFUNCTION("""COMPUTED_VALUE"""),"Alamos norte")</f>
        <v>Alamos norte</v>
      </c>
      <c r="E434" s="46"/>
      <c r="F434" s="90">
        <f>IFERROR(__xludf.DUMMYFUNCTION("""COMPUTED_VALUE"""),2.8E8)</f>
        <v>280000000</v>
      </c>
      <c r="G434" s="46" t="str">
        <f>IFERROR(__xludf.DUMMYFUNCTION("""COMPUTED_VALUE"""),"$200'000.000 a $300'000.000")</f>
        <v>$200'000.000 a $300'000.000</v>
      </c>
      <c r="H434" s="46"/>
      <c r="I434" s="46"/>
      <c r="J434" s="46" t="str">
        <f>IFERROR(__xludf.DUMMYFUNCTION("""COMPUTED_VALUE"""),"Norte")</f>
        <v>Norte</v>
      </c>
      <c r="K434" s="87" t="str">
        <f>IFERROR(__xludf.DUMMYFUNCTION("""COMPUTED_VALUE"""),"2")</f>
        <v>2</v>
      </c>
      <c r="L434" s="46">
        <f>IFERROR(__xludf.DUMMYFUNCTION("""COMPUTED_VALUE"""),4.0)</f>
        <v>4</v>
      </c>
      <c r="M434" s="46"/>
      <c r="N434" s="46">
        <f>IFERROR(__xludf.DUMMYFUNCTION("""COMPUTED_VALUE"""),3.0)</f>
        <v>3</v>
      </c>
      <c r="O434" s="46">
        <f>IFERROR(__xludf.DUMMYFUNCTION("""COMPUTED_VALUE"""),1.0)</f>
        <v>1</v>
      </c>
      <c r="P434" s="46">
        <f>IFERROR(__xludf.DUMMYFUNCTION("""COMPUTED_VALUE"""),2.0)</f>
        <v>2</v>
      </c>
      <c r="Q434" s="92">
        <f>IFERROR(__xludf.DUMMYFUNCTION("""COMPUTED_VALUE"""),0.0)</f>
        <v>0</v>
      </c>
      <c r="R434" s="92">
        <f>IFERROR(__xludf.DUMMYFUNCTION("""COMPUTED_VALUE"""),0.0)</f>
        <v>0</v>
      </c>
      <c r="S434" s="87" t="str">
        <f>IFERROR(__xludf.DUMMYFUNCTION("""COMPUTED_VALUE""")," ")</f>
        <v> </v>
      </c>
      <c r="T434" s="46" t="str">
        <f>IFERROR(__xludf.DUMMYFUNCTION("""COMPUTED_VALUE"""),"Neiva")</f>
        <v>Neiva</v>
      </c>
      <c r="U434" s="87" t="str">
        <f>IFERROR(__xludf.DUMMYFUNCTION("""COMPUTED_VALUE"""),"2")</f>
        <v>2</v>
      </c>
      <c r="V434" s="46" t="str">
        <f>IFERROR(__xludf.DUMMYFUNCTION("""COMPUTED_VALUE"""),"Medianera")</f>
        <v>Medianera</v>
      </c>
      <c r="W434" s="46"/>
      <c r="X434" s="46">
        <f>IFERROR(__xludf.DUMMYFUNCTION("""COMPUTED_VALUE"""),3.0)</f>
        <v>3</v>
      </c>
      <c r="Y434" s="46" t="str">
        <f>IFERROR(__xludf.DUMMYFUNCTION("""COMPUTED_VALUE"""),"No tiene")</f>
        <v>No tiene</v>
      </c>
      <c r="Z434" s="90" t="str">
        <f>IFERROR(__xludf.DUMMYFUNCTION("""COMPUTED_VALUE"""),"No aplica")</f>
        <v>No aplica</v>
      </c>
      <c r="AA434" s="33" t="str">
        <f>IFERROR(__xludf.DUMMYFUNCTION("""COMPUTED_VALUE"""),"No aplica")</f>
        <v>No aplica</v>
      </c>
      <c r="AB434" s="96" t="str">
        <f>IFERROR(__xludf.DUMMYFUNCTION("""COMPUTED_VALUE"""),"https://photos.app.goo.gl/axDgxi9tthBSne2y9")</f>
        <v>https://photos.app.goo.gl/axDgxi9tthBSne2y9</v>
      </c>
      <c r="AC434" s="46" t="str">
        <f>IFERROR(__xludf.DUMMYFUNCTION("""COMPUTED_VALUE"""),"La propiedad cuenta con una distribución funcional que incluye parqueadero para carro, sala comedor, cocina semi integral, dos baños sociales, una habitación en el primer piso, tres habitaciones en el segundo piso y patio de ropas, ofreciendo espacios prá"&amp;"cticos y bien aprovechados.")</f>
        <v>La propiedad cuenta con una distribución funcional que incluye parqueadero para carro, sala comedor, cocina semi integral, dos baños sociales, una habitación en el primer piso, tres habitaciones en el segundo piso y patio de ropas, ofreciendo espacios prácticos y bien aprovechados.</v>
      </c>
      <c r="AD434" s="46" t="str">
        <f>IFERROR(__xludf.DUMMYFUNCTION("""COMPUTED_VALUE"""),"Casa de dos pisos ubicada en el sector Álamos Norte, al norte de Neiva, más arriba de Homecenter, en una zona residencial de fácil acceso y excelente conectividad, ideal para familias que buscan comodidad y buena ubicación.")</f>
        <v>Casa de dos pisos ubicada en el sector Álamos Norte, al norte de Neiva, más arriba de Homecenter, en una zona residencial de fácil acceso y excelente conectividad, ideal para familias que buscan comodidad y buena ubicación.</v>
      </c>
      <c r="AE434" s="46"/>
      <c r="AF434" s="46" t="str">
        <f>IFERROR(__xludf.DUMMYFUNCTION("""COMPUTED_VALUE"""),"semi-integral")</f>
        <v>semi-integral</v>
      </c>
      <c r="AG434" s="46"/>
      <c r="AH434" s="46" t="str">
        <f>IFERROR(__xludf.DUMMYFUNCTION("""COMPUTED_VALUE"""),"Aliado")</f>
        <v>Aliado</v>
      </c>
      <c r="AI434" s="92" t="str">
        <f>IFERROR(__xludf.DUMMYFUNCTION("""COMPUTED_VALUE"""),"https://lh3.googleusercontent.com/pw/AP1GczNVd5pXSLoKDC6jfZ5xVKE6lZH3BA9Ev3_xM7iTgUjZeynYkU5eESLtWKxArFBXDWpo0vbPxr9wSxl-oQPglPjKLqPbx2O_u-Tt31BbBrO-cORFesDx=w1200|https://lh3.googleusercontent.com/pw/AP1GczOEK9J5uwSfRprjXdeiOcBr7SGDlXorppLyJxYBNf3t4pVbzA"&amp;"J3KLV25UzWn3-NMPwRFOls0CBj2sNK328BQwyXKCK0y2Ok-t4h_wp1gDYk9D2sv2rS=w1200|https://lh3.googleusercontent.com/pw/AP1GczMaVYBmfdtgDv4VvAWV77eXpECvNdrCdB1HG0YClflB1-IcGXjkuE6KTOcGyxKShAw3yk82IkfwdV2yVOnJ5xXoSV8D1bcNhLk0qKA3czFjzM5z9fdU=w1200|https://lh3.google"&amp;"usercontent.com/pw/AP1GczM04ViGRT3sbzqb-acK7BGwlYHXvR4lsPs7TkqxulXwRVwsYfxBjD_T3Ig1E8OcsX00PHcE0y-454g19goguTL2POxQHcCbCy-td6X8UAWfpDUkwASh=w1200|https://lh3.googleusercontent.com/pw/AP1GczNzrSp1QXaDt0Iu22VPijXMkT5NnZabTd3DZ8CL2lLaZPGltT9TiRN1b4iCRAihxIyy"&amp;"3MDo8iSbv4BBI3HMXcvXFRRNjnFH-_k9gYftdNsFOZP44uLo=w1200|https://lh3.googleusercontent.com/pw/AP1GczMzLTEVBnRLyc-zEBBvJsZJWQW_hItK9Fqha18KhM4m1wZHzjw6XKs4NKGNA2vPLzayTyDUJIl6uyF2XthcJtcglGAGoceva3UpxdTUZn4wi_Cw0jkK=w1200|https://lh3.googleusercontent.com/pw"&amp;"/AP1GczPsp5TfoCYAQ3yhwQ6nvzqRvdPEmMDlxdke0ewHLeIZW_Wo4s-cuCp1LXUEKPHEST5P4WqEpk2WhYdskyU7595NeEr0LmpFcWM9ei17zMYL0HQJFOXU=w1200|https://lh3.googleusercontent.com/pw/AP1GczPAI0mrXvK_Uep1FtZbJPd1W_KyP38JhAY9CkB_vLQxxudcdlFCvLF75rAHEFFHaTiDFrBpOBQa5tZCNdQ03g"&amp;"AAOsHUZIgaEiBtHP1mVghh_aj3l22G=w1200|https://lh3.googleusercontent.com/pw/AP1GczMe6YztGCT4Fj4ScZqLja3ew6PHA4cBQCPMuHfVFubBwztX5xa2FeWzbjHx0xQLAJ4sTq8Wf8HJwWJLpyPO18mc7NEWFqxCVtpY0RWEZco6i54C8HHs=w1200")</f>
        <v>https://lh3.googleusercontent.com/pw/AP1GczNVd5pXSLoKDC6jfZ5xVKE6lZH3BA9Ev3_xM7iTgUjZeynYkU5eESLtWKxArFBXDWpo0vbPxr9wSxl-oQPglPjKLqPbx2O_u-Tt31BbBrO-cORFesDx=w1200|https://lh3.googleusercontent.com/pw/AP1GczOEK9J5uwSfRprjXdeiOcBr7SGDlXorppLyJxYBNf3t4pVbzAJ3KLV25UzWn3-NMPwRFOls0CBj2sNK328BQwyXKCK0y2Ok-t4h_wp1gDYk9D2sv2rS=w1200|https://lh3.googleusercontent.com/pw/AP1GczMaVYBmfdtgDv4VvAWV77eXpECvNdrCdB1HG0YClflB1-IcGXjkuE6KTOcGyxKShAw3yk82IkfwdV2yVOnJ5xXoSV8D1bcNhLk0qKA3czFjzM5z9fdU=w1200|https://lh3.googleusercontent.com/pw/AP1GczM04ViGRT3sbzqb-acK7BGwlYHXvR4lsPs7TkqxulXwRVwsYfxBjD_T3Ig1E8OcsX00PHcE0y-454g19goguTL2POxQHcCbCy-td6X8UAWfpDUkwASh=w1200|https://lh3.googleusercontent.com/pw/AP1GczNzrSp1QXaDt0Iu22VPijXMkT5NnZabTd3DZ8CL2lLaZPGltT9TiRN1b4iCRAihxIyy3MDo8iSbv4BBI3HMXcvXFRRNjnFH-_k9gYftdNsFOZP44uLo=w1200|https://lh3.googleusercontent.com/pw/AP1GczMzLTEVBnRLyc-zEBBvJsZJWQW_hItK9Fqha18KhM4m1wZHzjw6XKs4NKGNA2vPLzayTyDUJIl6uyF2XthcJtcglGAGoceva3UpxdTUZn4wi_Cw0jkK=w1200|https://lh3.googleusercontent.com/pw/AP1GczPsp5TfoCYAQ3yhwQ6nvzqRvdPEmMDlxdke0ewHLeIZW_Wo4s-cuCp1LXUEKPHEST5P4WqEpk2WhYdskyU7595NeEr0LmpFcWM9ei17zMYL0HQJFOXU=w1200|https://lh3.googleusercontent.com/pw/AP1GczPAI0mrXvK_Uep1FtZbJPd1W_KyP38JhAY9CkB_vLQxxudcdlFCvLF75rAHEFFHaTiDFrBpOBQa5tZCNdQ03gAAOsHUZIgaEiBtHP1mVghh_aj3l22G=w1200|https://lh3.googleusercontent.com/pw/AP1GczMe6YztGCT4Fj4ScZqLja3ew6PHA4cBQCPMuHfVFubBwztX5xa2FeWzbjHx0xQLAJ4sTq8Wf8HJwWJLpyPO18mc7NEWFqxCVtpY0RWEZco6i54C8HHs=w1200</v>
      </c>
      <c r="AJ434" s="46"/>
      <c r="AK434" s="46"/>
      <c r="AL434" s="46"/>
      <c r="AM434" s="46"/>
      <c r="AN434" s="46"/>
      <c r="AO434" s="46"/>
      <c r="AP434" s="46"/>
      <c r="AQ434" s="46"/>
      <c r="AR434" s="46"/>
      <c r="AS434" s="46"/>
      <c r="AT434" s="46"/>
      <c r="AU434" s="46"/>
      <c r="AV434" s="46"/>
      <c r="AW434" s="46"/>
      <c r="AX434" s="46"/>
      <c r="AY434" s="46"/>
      <c r="AZ434" s="46"/>
      <c r="BA434" s="46"/>
      <c r="BB434" s="46"/>
      <c r="BC434" s="46"/>
      <c r="BD434" s="46"/>
      <c r="BE434" s="46"/>
      <c r="BF434" s="46"/>
      <c r="BG434" s="46"/>
      <c r="BH434" s="46"/>
      <c r="BI434" s="46"/>
      <c r="BJ434" s="46"/>
      <c r="BK434" s="46"/>
      <c r="BL434" s="46"/>
      <c r="BM434" s="46"/>
      <c r="BN434" s="46"/>
      <c r="BO434" s="46"/>
      <c r="BP434" s="46"/>
      <c r="BQ434" s="46"/>
      <c r="BR434" s="46"/>
      <c r="BS434" s="46"/>
      <c r="BT434" s="46"/>
      <c r="BU434" s="46"/>
      <c r="BV434" s="46"/>
      <c r="BW434" s="46"/>
      <c r="BX434" s="46"/>
      <c r="BY434" s="46"/>
      <c r="BZ434" s="46"/>
      <c r="CA434" s="46"/>
      <c r="CB434" s="46"/>
      <c r="CC434" s="46"/>
    </row>
    <row r="435">
      <c r="A435" s="87" t="str">
        <f>IFERROR(__xludf.DUMMYFUNCTION("""COMPUTED_VALUE"""),"6472")</f>
        <v>6472</v>
      </c>
      <c r="B435" s="46" t="str">
        <f>IFERROR(__xludf.DUMMYFUNCTION("""COMPUTED_VALUE"""),"Casa en barrio Solo Verde - Oriente")</f>
        <v>Casa en barrio Solo Verde - Oriente</v>
      </c>
      <c r="C435" s="46" t="str">
        <f>IFERROR(__xludf.DUMMYFUNCTION("""COMPUTED_VALUE"""),"Casa")</f>
        <v>Casa</v>
      </c>
      <c r="D435" s="46" t="str">
        <f>IFERROR(__xludf.DUMMYFUNCTION("""COMPUTED_VALUE"""),"Solo Verde")</f>
        <v>Solo Verde</v>
      </c>
      <c r="E435" s="46"/>
      <c r="F435" s="90">
        <f>IFERROR(__xludf.DUMMYFUNCTION("""COMPUTED_VALUE"""),2.65E8)</f>
        <v>265000000</v>
      </c>
      <c r="G435" s="46" t="str">
        <f>IFERROR(__xludf.DUMMYFUNCTION("""COMPUTED_VALUE"""),"$200'000.000 a $300'000.000")</f>
        <v>$200'000.000 a $300'000.000</v>
      </c>
      <c r="H435" s="46"/>
      <c r="I435" s="46"/>
      <c r="J435" s="46" t="str">
        <f>IFERROR(__xludf.DUMMYFUNCTION("""COMPUTED_VALUE"""),"Oriente")</f>
        <v>Oriente</v>
      </c>
      <c r="K435" s="87" t="str">
        <f>IFERROR(__xludf.DUMMYFUNCTION("""COMPUTED_VALUE"""),"10")</f>
        <v>10</v>
      </c>
      <c r="L435" s="46">
        <f>IFERROR(__xludf.DUMMYFUNCTION("""COMPUTED_VALUE"""),3.0)</f>
        <v>3</v>
      </c>
      <c r="M435" s="46"/>
      <c r="N435" s="46">
        <f>IFERROR(__xludf.DUMMYFUNCTION("""COMPUTED_VALUE"""),2.0)</f>
        <v>2</v>
      </c>
      <c r="O435" s="46">
        <f>IFERROR(__xludf.DUMMYFUNCTION("""COMPUTED_VALUE"""),1.0)</f>
        <v>1</v>
      </c>
      <c r="P435" s="46">
        <f>IFERROR(__xludf.DUMMYFUNCTION("""COMPUTED_VALUE"""),1.0)</f>
        <v>1</v>
      </c>
      <c r="Q435" s="92">
        <f>IFERROR(__xludf.DUMMYFUNCTION("""COMPUTED_VALUE"""),90.0)</f>
        <v>90</v>
      </c>
      <c r="R435" s="92">
        <f>IFERROR(__xludf.DUMMYFUNCTION("""COMPUTED_VALUE"""),90.0)</f>
        <v>90</v>
      </c>
      <c r="S435" s="87" t="str">
        <f>IFERROR(__xludf.DUMMYFUNCTION("""COMPUTED_VALUE""")," ")</f>
        <v> </v>
      </c>
      <c r="T435" s="46" t="str">
        <f>IFERROR(__xludf.DUMMYFUNCTION("""COMPUTED_VALUE"""),"Neiva")</f>
        <v>Neiva</v>
      </c>
      <c r="U435" s="87" t="str">
        <f>IFERROR(__xludf.DUMMYFUNCTION("""COMPUTED_VALUE"""),"2")</f>
        <v>2</v>
      </c>
      <c r="V435" s="46" t="str">
        <f>IFERROR(__xludf.DUMMYFUNCTION("""COMPUTED_VALUE"""),"Medianera")</f>
        <v>Medianera</v>
      </c>
      <c r="W435" s="46"/>
      <c r="X435" s="46">
        <f>IFERROR(__xludf.DUMMYFUNCTION("""COMPUTED_VALUE"""),3.0)</f>
        <v>3</v>
      </c>
      <c r="Y435" s="46" t="str">
        <f>IFERROR(__xludf.DUMMYFUNCTION("""COMPUTED_VALUE"""),"No tiene")</f>
        <v>No tiene</v>
      </c>
      <c r="Z435" s="90" t="str">
        <f>IFERROR(__xludf.DUMMYFUNCTION("""COMPUTED_VALUE"""),"No aplica")</f>
        <v>No aplica</v>
      </c>
      <c r="AA435" s="33" t="str">
        <f>IFERROR(__xludf.DUMMYFUNCTION("""COMPUTED_VALUE"""),"No aplica")</f>
        <v>No aplica</v>
      </c>
      <c r="AB435" s="96" t="str">
        <f>IFERROR(__xludf.DUMMYFUNCTION("""COMPUTED_VALUE"""),"https://photos.app.goo.gl/FPXwmQ4UszZDH8sp8")</f>
        <v>https://photos.app.goo.gl/FPXwmQ4UszZDH8sp8</v>
      </c>
      <c r="AC435" s="46" t="str">
        <f>IFERROR(__xludf.DUMMYFUNCTION("""COMPUTED_VALUE"""),"Esta hermosa casa de estrato 2, ubicada en el barrio Solo Verde de Neiva, cuenta con un área privada de 90 m² e interiores caracterizados por acabados modernos. Al ingresar, se despliega una cómoda sala-comedor revestida con pisos en cerámica clara de alt"&amp;"o brillo y muros estucados en blanco, complementada por una elegante pared decorativa con enchape tipo piedra y techos con molduras de yeso. La distribución interna comprende una cocina integral equipada con encimeras de granito oscuro, estufa empotrada, "&amp;"horno, extractor y gabinetes en tono madera natural; una zona de descanso con tres habitaciones provistas de clósets empotrados —incluyendo la alcoba principal con baño privado—, además de un baño social con divisiones en vidrio templado y un patio de rop"&amp;"as independiente con recubrimiento cerámico en paredes. Adicionalmente, el inmueble ofrece comodidad y seguridad con un garaje para carro totalmente techado, protegido con rejas metálicas y piso en piedra pulida.")</f>
        <v>Esta hermosa casa de estrato 2, ubicada en el barrio Solo Verde de Neiva, cuenta con un área privada de 90 m² e interiores caracterizados por acabados modernos. Al ingresar, se despliega una cómoda sala-comedor revestida con pisos en cerámica clara de alto brillo y muros estucados en blanco, complementada por una elegante pared decorativa con enchape tipo piedra y techos con molduras de yeso. La distribución interna comprende una cocina integral equipada con encimeras de granito oscuro, estufa empotrada, horno, extractor y gabinetes en tono madera natural; una zona de descanso con tres habitaciones provistas de clósets empotrados —incluyendo la alcoba principal con baño privado—, además de un baño social con divisiones en vidrio templado y un patio de ropas independiente con recubrimiento cerámico en paredes. Adicionalmente, el inmueble ofrece comodidad y seguridad con un garaje para carro totalmente techado, protegido con rejas metálicas y piso en piedra pulida.</v>
      </c>
      <c r="AD435" s="46" t="str">
        <f>IFERROR(__xludf.DUMMYFUNCTION("""COMPUTED_VALUE"""),"La propiedad se perfila como una inigualable oportunidad de compra gracias a su ubicación estratégica en una zona residencial tranquila, a tan solo dos cuadras del Conjunto Residencial Avichente. Uno de sus mayores atractivos y factores de valorización a "&amp;"futuro es que cuenta con plancha lista para la construcción de un segundo piso, permitiendo ampliar la vivienda según las necesidades de la familia. La total independencia de su zona de lavandería, el excelente estado de sus clósets de madera y el diseño "&amp;"contemporáneo de la cocina integral garantizan un estilo de vida cómodo y funcional desde el primer momento. Con espacios amplios, techados y completamente protegidos, esta casa es la elección definitiva para quienes buscan seguridad, bienestar y una inve"&amp;"rsión inteligente en la ciudad")</f>
        <v>La propiedad se perfila como una inigualable oportunidad de compra gracias a su ubicación estratégica en una zona residencial tranquila, a tan solo dos cuadras del Conjunto Residencial Avichente. Uno de sus mayores atractivos y factores de valorización a futuro es que cuenta con plancha lista para la construcción de un segundo piso, permitiendo ampliar la vivienda según las necesidades de la familia. La total independencia de su zona de lavandería, el excelente estado de sus clósets de madera y el diseño contemporáneo de la cocina integral garantizan un estilo de vida cómodo y funcional desde el primer momento. Con espacios amplios, techados y completamente protegidos, esta casa es la elección definitiva para quienes buscan seguridad, bienestar y una inversión inteligente en la ciudad</v>
      </c>
      <c r="AE435" s="46"/>
      <c r="AF435" s="46" t="str">
        <f>IFERROR(__xludf.DUMMYFUNCTION("""COMPUTED_VALUE"""),"integral")</f>
        <v>integral</v>
      </c>
      <c r="AG435" s="46"/>
      <c r="AH435" s="46" t="str">
        <f>IFERROR(__xludf.DUMMYFUNCTION("""COMPUTED_VALUE"""),"Aliado")</f>
        <v>Aliado</v>
      </c>
      <c r="AI435" s="92" t="str">
        <f>IFERROR(__xludf.DUMMYFUNCTION("""COMPUTED_VALUE"""),"https://lh3.googleusercontent.com/pw/AP1GczO__uA2kXPfptyyUPTrmRl1Tl6-Qypfs1f2bRicaoQS7ibbE1j9GCiHV8DQ1vt5Ti_8EymnKapLCmuJqQgTP902kPUwfmQ3w2eg-glzPHLXP6GHRwKG=w1200|https://lh3.googleusercontent.com/pw/AP1GczN2VdcB9IcYXOkSiGBmB5Cy8eLwqdU7nZnd2t9fbcTumr98bT"&amp;"0mLVjW4jFh0fmX9A9mTLU9ibwAAXyqOW7yV2MEzlTWwxqCELTQDIQRhH7eSa3pmNcB=w1200|https://lh3.googleusercontent.com/pw/AP1GczPeRH4CoD8OdwS5rQ9VNV669pi9FQS20mHp2rmkOhYEhuXRheFMtcoz5VyGvkxKEISShh0ikySMFsy17HkeahQNAqr0s0mjxPMHVC8P81mUb5f6bkbu=w1200|https://lh3.google"&amp;"usercontent.com/pw/AP1GczOubkwhn604H3M44n4-cbcSD-J_xVrseLABtK8Sek6ayUnjwRXEfi8tBnYNd8a0M2qi0zVWZrXsu2sgI_wJ1gkAZY6glZ0Pjr4ch4gw7ArswvvHMr2C=w1200|https://lh3.googleusercontent.com/pw/AP1GczOGFXq12D6hXMnhIvPo-hUDot18PSjdYa--CPK_gsa_epTQuVFzQn9O0K7in0Kj-KkF"&amp;"H25vYZliJ6ENsma1QUGbV-7siK3IRAP3gVsNYeEW5LDatVzB=w1200|https://lh3.googleusercontent.com/pw/AP1GczNqaX_mwieYYy7Tt7arDQeKjpqO7I5IQRIOfLP0rypyync4fdFAz3QMy0pN_w55h_-2N0GH2f51SGZPlKSx9ULLYAK8JVsAynoQxYIE0YakW9rP0980=w1200|https://lh3.googleusercontent.com/pw"&amp;"/AP1GczOEbRo0jz9tsBsWpSYrPnctO3vin6ZO51TOYNtFwD6ca7eeCCBzvlfV64sgdlvOJV5taD9DiA0a3EFeJRMEpBRJPBKKNGq92CNWjyQfN4_hetm-k-G6=w1200|https://lh3.googleusercontent.com/pw/AP1GczNGkwKcsnGDgcIMH9FvliVdE-Vi73PNAOP9e8eptIDWl89_LjX915GGOdnYqUgw_PvIX8J3LJsp239w9h-XjB"&amp;"XH9_h_o--PtLqCS_6qzRZG0ZIvoHt2=w1200|https://lh3.googleusercontent.com/pw/AP1GczOLpK8h7kL3UMqGMUglzmsVN_pX_bssciuhQ9bS698PBXK9kFTqPJYtEULEkPMj9Sf9eklgDKD6-GuUI1076tGT8rM87xzCeGWjNQp_hMAD10g_3vIc=w1200|https://lh3.googleusercontent.com/pw/AP1GczOi63zYFL_Q7"&amp;"TF9tOe-INJ_5tEcsJK42YrPrxKOxQUqHNAnnfgD4N8_DYzTkbd5es9uD4fK9YvAXboDOwoETSvRaFRbvxei0teiIl50kx7tOlJnTkov=w1200|https://lh3.googleusercontent.com/pw/AP1GczO3cmBTnaNNTCae2nOqRT1tHMEBGAItNxIZE1HX9qAjNp1EEhyjBCDC7IRZNy_hdvUUK79tp-z_jRjnkAYslSuZHzZlNy4y4HDyuBvz"&amp;"xFbElG6QdyFx=w1200")</f>
        <v>https://lh3.googleusercontent.com/pw/AP1GczO__uA2kXPfptyyUPTrmRl1Tl6-Qypfs1f2bRicaoQS7ibbE1j9GCiHV8DQ1vt5Ti_8EymnKapLCmuJqQgTP902kPUwfmQ3w2eg-glzPHLXP6GHRwKG=w1200|https://lh3.googleusercontent.com/pw/AP1GczN2VdcB9IcYXOkSiGBmB5Cy8eLwqdU7nZnd2t9fbcTumr98bT0mLVjW4jFh0fmX9A9mTLU9ibwAAXyqOW7yV2MEzlTWwxqCELTQDIQRhH7eSa3pmNcB=w1200|https://lh3.googleusercontent.com/pw/AP1GczPeRH4CoD8OdwS5rQ9VNV669pi9FQS20mHp2rmkOhYEhuXRheFMtcoz5VyGvkxKEISShh0ikySMFsy17HkeahQNAqr0s0mjxPMHVC8P81mUb5f6bkbu=w1200|https://lh3.googleusercontent.com/pw/AP1GczOubkwhn604H3M44n4-cbcSD-J_xVrseLABtK8Sek6ayUnjwRXEfi8tBnYNd8a0M2qi0zVWZrXsu2sgI_wJ1gkAZY6glZ0Pjr4ch4gw7ArswvvHMr2C=w1200|https://lh3.googleusercontent.com/pw/AP1GczOGFXq12D6hXMnhIvPo-hUDot18PSjdYa--CPK_gsa_epTQuVFzQn9O0K7in0Kj-KkFH25vYZliJ6ENsma1QUGbV-7siK3IRAP3gVsNYeEW5LDatVzB=w1200|https://lh3.googleusercontent.com/pw/AP1GczNqaX_mwieYYy7Tt7arDQeKjpqO7I5IQRIOfLP0rypyync4fdFAz3QMy0pN_w55h_-2N0GH2f51SGZPlKSx9ULLYAK8JVsAynoQxYIE0YakW9rP0980=w1200|https://lh3.googleusercontent.com/pw/AP1GczOEbRo0jz9tsBsWpSYrPnctO3vin6ZO51TOYNtFwD6ca7eeCCBzvlfV64sgdlvOJV5taD9DiA0a3EFeJRMEpBRJPBKKNGq92CNWjyQfN4_hetm-k-G6=w1200|https://lh3.googleusercontent.com/pw/AP1GczNGkwKcsnGDgcIMH9FvliVdE-Vi73PNAOP9e8eptIDWl89_LjX915GGOdnYqUgw_PvIX8J3LJsp239w9h-XjBXH9_h_o--PtLqCS_6qzRZG0ZIvoHt2=w1200|https://lh3.googleusercontent.com/pw/AP1GczOLpK8h7kL3UMqGMUglzmsVN_pX_bssciuhQ9bS698PBXK9kFTqPJYtEULEkPMj9Sf9eklgDKD6-GuUI1076tGT8rM87xzCeGWjNQp_hMAD10g_3vIc=w1200|https://lh3.googleusercontent.com/pw/AP1GczOi63zYFL_Q7TF9tOe-INJ_5tEcsJK42YrPrxKOxQUqHNAnnfgD4N8_DYzTkbd5es9uD4fK9YvAXboDOwoETSvRaFRbvxei0teiIl50kx7tOlJnTkov=w1200|https://lh3.googleusercontent.com/pw/AP1GczO3cmBTnaNNTCae2nOqRT1tHMEBGAItNxIZE1HX9qAjNp1EEhyjBCDC7IRZNy_hdvUUK79tp-z_jRjnkAYslSuZHzZlNy4y4HDyuBvzxFbElG6QdyFx=w1200</v>
      </c>
      <c r="AJ435" s="46"/>
      <c r="AK435" s="46"/>
      <c r="AL435" s="46"/>
      <c r="AM435" s="46"/>
      <c r="AN435" s="46"/>
      <c r="AO435" s="46"/>
      <c r="AP435" s="46"/>
      <c r="AQ435" s="46"/>
      <c r="AR435" s="46"/>
      <c r="AS435" s="46"/>
      <c r="AT435" s="46"/>
      <c r="AU435" s="46"/>
      <c r="AV435" s="46"/>
      <c r="AW435" s="46"/>
      <c r="AX435" s="46"/>
      <c r="AY435" s="46"/>
      <c r="AZ435" s="46"/>
      <c r="BA435" s="46"/>
      <c r="BB435" s="46"/>
      <c r="BC435" s="46"/>
      <c r="BD435" s="46"/>
      <c r="BE435" s="46"/>
      <c r="BF435" s="46"/>
      <c r="BG435" s="46"/>
      <c r="BH435" s="46"/>
      <c r="BI435" s="46"/>
      <c r="BJ435" s="46"/>
      <c r="BK435" s="46"/>
      <c r="BL435" s="46"/>
      <c r="BM435" s="46"/>
      <c r="BN435" s="46"/>
      <c r="BO435" s="46"/>
      <c r="BP435" s="46"/>
      <c r="BQ435" s="46"/>
      <c r="BR435" s="46"/>
      <c r="BS435" s="46"/>
      <c r="BT435" s="46"/>
      <c r="BU435" s="46"/>
      <c r="BV435" s="46"/>
      <c r="BW435" s="46"/>
      <c r="BX435" s="46"/>
      <c r="BY435" s="46"/>
      <c r="BZ435" s="46"/>
      <c r="CA435" s="46"/>
      <c r="CB435" s="46"/>
      <c r="CC435" s="46"/>
    </row>
    <row r="436">
      <c r="A436" s="87" t="str">
        <f>IFERROR(__xludf.DUMMYFUNCTION("""COMPUTED_VALUE"""),"6314")</f>
        <v>6314</v>
      </c>
      <c r="B436" s="46" t="str">
        <f>IFERROR(__xludf.DUMMYFUNCTION("""COMPUTED_VALUE"""),"Casa en barrio Primavera de Buganviles - Oriente")</f>
        <v>Casa en barrio Primavera de Buganviles - Oriente</v>
      </c>
      <c r="C436" s="46" t="str">
        <f>IFERROR(__xludf.DUMMYFUNCTION("""COMPUTED_VALUE"""),"Casa")</f>
        <v>Casa</v>
      </c>
      <c r="D436" s="46" t="str">
        <f>IFERROR(__xludf.DUMMYFUNCTION("""COMPUTED_VALUE"""),"Primavera de Buganviles")</f>
        <v>Primavera de Buganviles</v>
      </c>
      <c r="E436" s="46"/>
      <c r="F436" s="90">
        <f>IFERROR(__xludf.DUMMYFUNCTION("""COMPUTED_VALUE"""),2.65E8)</f>
        <v>265000000</v>
      </c>
      <c r="G436" s="46" t="str">
        <f>IFERROR(__xludf.DUMMYFUNCTION("""COMPUTED_VALUE"""),"$200'000.000 a $300'000.000")</f>
        <v>$200'000.000 a $300'000.000</v>
      </c>
      <c r="H436" s="46"/>
      <c r="I436" s="46"/>
      <c r="J436" s="46" t="str">
        <f>IFERROR(__xludf.DUMMYFUNCTION("""COMPUTED_VALUE"""),"Oriente")</f>
        <v>Oriente</v>
      </c>
      <c r="K436" s="87" t="str">
        <f>IFERROR(__xludf.DUMMYFUNCTION("""COMPUTED_VALUE"""),"5")</f>
        <v>5</v>
      </c>
      <c r="L436" s="46">
        <f>IFERROR(__xludf.DUMMYFUNCTION("""COMPUTED_VALUE"""),3.0)</f>
        <v>3</v>
      </c>
      <c r="M436" s="46"/>
      <c r="N436" s="46">
        <f>IFERROR(__xludf.DUMMYFUNCTION("""COMPUTED_VALUE"""),2.0)</f>
        <v>2</v>
      </c>
      <c r="O436" s="46">
        <f>IFERROR(__xludf.DUMMYFUNCTION("""COMPUTED_VALUE"""),1.0)</f>
        <v>1</v>
      </c>
      <c r="P436" s="46">
        <f>IFERROR(__xludf.DUMMYFUNCTION("""COMPUTED_VALUE"""),1.0)</f>
        <v>1</v>
      </c>
      <c r="Q436" s="92">
        <f>IFERROR(__xludf.DUMMYFUNCTION("""COMPUTED_VALUE"""),101.25)</f>
        <v>101.25</v>
      </c>
      <c r="R436" s="92">
        <f>IFERROR(__xludf.DUMMYFUNCTION("""COMPUTED_VALUE"""),102.25)</f>
        <v>102.25</v>
      </c>
      <c r="S436" s="87" t="str">
        <f>IFERROR(__xludf.DUMMYFUNCTION("""COMPUTED_VALUE""")," ")</f>
        <v> </v>
      </c>
      <c r="T436" s="46" t="str">
        <f>IFERROR(__xludf.DUMMYFUNCTION("""COMPUTED_VALUE"""),"Neiva")</f>
        <v>Neiva</v>
      </c>
      <c r="U436" s="87" t="str">
        <f>IFERROR(__xludf.DUMMYFUNCTION("""COMPUTED_VALUE"""),"3")</f>
        <v>3</v>
      </c>
      <c r="V436" s="46" t="str">
        <f>IFERROR(__xludf.DUMMYFUNCTION("""COMPUTED_VALUE"""),"Medianera")</f>
        <v>Medianera</v>
      </c>
      <c r="W436" s="46"/>
      <c r="X436" s="46">
        <f>IFERROR(__xludf.DUMMYFUNCTION("""COMPUTED_VALUE"""),3.0)</f>
        <v>3</v>
      </c>
      <c r="Y436" s="46" t="str">
        <f>IFERROR(__xludf.DUMMYFUNCTION("""COMPUTED_VALUE"""),"No tiene")</f>
        <v>No tiene</v>
      </c>
      <c r="Z436" s="90" t="str">
        <f>IFERROR(__xludf.DUMMYFUNCTION("""COMPUTED_VALUE"""),"No aplica")</f>
        <v>No aplica</v>
      </c>
      <c r="AA436" s="33" t="str">
        <f>IFERROR(__xludf.DUMMYFUNCTION("""COMPUTED_VALUE"""),"No aplica")</f>
        <v>No aplica</v>
      </c>
      <c r="AB436" s="96" t="str">
        <f>IFERROR(__xludf.DUMMYFUNCTION("""COMPUTED_VALUE"""),"https://photos.app.goo.gl/HE5KKb8q6sLYm8FH9")</f>
        <v>https://photos.app.goo.gl/HE5KKb8q6sLYm8FH9</v>
      </c>
      <c r="AC436" s="46" t="str">
        <f>IFERROR(__xludf.DUMMYFUNCTION("""COMPUTED_VALUE"""),"Esta espectacular casa para estrenar, con un área construida de 101.25 m², ofrece un diseño moderno y acabados de lujo cuidadosamente seleccionados. Al ingresar, se encuentra una amplia sala-comedor revestida con pisos en porcelanato gris claro de alto br"&amp;"illo y muros estucados en blanco, realzada por una imponente pared con diseño de listones de madera verticales, luces empotradas y repisas flotantes a juego. La distribución interna comprende tres habitaciones equipadas con sus respectivos closets —destac"&amp;"ando la principal con baño privado—, una cocina integral totalmente dotada, un baño social con modernos acabados enchapados, lavamanos tipo vasija sobre mueble flotante de madera y división de ducha en vidrio templado. Adicionalmente, cuenta con una espec"&amp;"tacular y ventilada zona de lavandería independiente enchapada con azulejos rústicos tipo piedra, gabinetes flotantes y un imponente muro decorativo de acento oscuro con iluminación bidireccional, además de un parqueadero privado para carro.")</f>
        <v>Esta espectacular casa para estrenar, con un área construida de 101.25 m², ofrece un diseño moderno y acabados de lujo cuidadosamente seleccionados. Al ingresar, se encuentra una amplia sala-comedor revestida con pisos en porcelanato gris claro de alto brillo y muros estucados en blanco, realzada por una imponente pared con diseño de listones de madera verticales, luces empotradas y repisas flotantes a juego. La distribución interna comprende tres habitaciones equipadas con sus respectivos closets —destacando la principal con baño privado—, una cocina integral totalmente dotada, un baño social con modernos acabados enchapados, lavamanos tipo vasija sobre mueble flotante de madera y división de ducha en vidrio templado. Adicionalmente, cuenta con una espectacular y ventilada zona de lavandería independiente enchapada con azulejos rústicos tipo piedra, gabinetes flotantes y un imponente muro decorativo de acento oscuro con iluminación bidireccional, además de un parqueadero privado para carro.</v>
      </c>
      <c r="AD436" s="46" t="str">
        <f>IFERROR(__xludf.DUMMYFUNCTION("""COMPUTED_VALUE"""),"Ubicada en el codiciado sector de Primavera de Buganviles, en el oriente de Neiva, esta propiedad se consolida como una excelente oportunidad de compra inmediata gracias a sus características de alta valorización y exclusividad. El hecho de ser una vivien"&amp;"da completamente nueva y lista para estrenar elimina cualquier preocupación por remodelaciones, garantizando que el comprador pueda mudarse de inmediato a disfrutar de sus lujosos detalles de iluminación LED indirecta y acabados arquitectónicos de vanguar"&amp;"dia. Su diseño funcional equilibra a la perfección el confort de los espacios privados con zonas de entretenimiento integradas, convirtiéndola en la opción ideal para familias modernas que buscan un hogar seguro, estético y con una iluminación natural env"&amp;"idiable en una de las mejores zonas residenciales de la ciudad.")</f>
        <v>Ubicada en el codiciado sector de Primavera de Buganviles, en el oriente de Neiva, esta propiedad se consolida como una excelente oportunidad de compra inmediata gracias a sus características de alta valorización y exclusividad. El hecho de ser una vivienda completamente nueva y lista para estrenar elimina cualquier preocupación por remodelaciones, garantizando que el comprador pueda mudarse de inmediato a disfrutar de sus lujosos detalles de iluminación LED indirecta y acabados arquitectónicos de vanguardia. Su diseño funcional equilibra a la perfección el confort de los espacios privados con zonas de entretenimiento integradas, convirtiéndola en la opción ideal para familias modernas que buscan un hogar seguro, estético y con una iluminación natural envidiable en una de las mejores zonas residenciales de la ciudad.</v>
      </c>
      <c r="AE436" s="46"/>
      <c r="AF436" s="46" t="str">
        <f>IFERROR(__xludf.DUMMYFUNCTION("""COMPUTED_VALUE"""),"integral")</f>
        <v>integral</v>
      </c>
      <c r="AG436" s="46"/>
      <c r="AH436" s="46" t="str">
        <f>IFERROR(__xludf.DUMMYFUNCTION("""COMPUTED_VALUE"""),"Aliado")</f>
        <v>Aliado</v>
      </c>
      <c r="AI436" s="92" t="str">
        <f>IFERROR(__xludf.DUMMYFUNCTION("""COMPUTED_VALUE"""),"https://lh3.googleusercontent.com/pw/AP1GczPyDrjKiMGQCqr3C3e8SY4p0nP83-Yg3RaiWIEwVK_rM_4myBhMqJHObectfl-0sB6z7hNMvj8oKtPCwtVAhBk4lHjn49QvD9XKoRa9bWDW1N-3gloG=w1200|https://lh3.googleusercontent.com/pw/AP1GczNh7KBYc36GuS7qXK6hGU04BIVm7r_QlDCgfxtOXoBeYeCXwF"&amp;"LOqimWsMivxQa0Hb532Mep7VCTlG31RWZ8bOnKVaCGSiNBX8bm1i3qRFQvURb46n2o=w1200|https://lh3.googleusercontent.com/pw/AP1GczM__nLltb6KFPE50YMNa8ef1Qc-UpW_1Ps5B_fdhqd-wioY4fTz5jcfkDoqqtTdHKegqo8-cUGyZ-_SKrVu9yB34z2XB8MALPYShbYF2py4J-I2i5dj=w1200|https://lh3.google"&amp;"usercontent.com/pw/AP1GczP2CGkCVJzGgN-TH_yN29Ax8g7fDWL5tZZT5l2F1Ne5JuJbraa7steNc0zuwi3RD434P2iT0O8bqUTDxQzes1IZWd8lKBObkKdidT-4vDitnaubkggl=w1200|https://lh3.googleusercontent.com/pw/AP1GczMMAPjnRnxulgXoG80EmLyo4dG63GfX8U3_pl8Zv6WzB46omA85aoe7No2bQYWri_Am"&amp;"wUE9mdg02btVK3xkd66235s2T_zoVX3RmhXj6OTKbExNDceF=w1200")</f>
        <v>https://lh3.googleusercontent.com/pw/AP1GczPyDrjKiMGQCqr3C3e8SY4p0nP83-Yg3RaiWIEwVK_rM_4myBhMqJHObectfl-0sB6z7hNMvj8oKtPCwtVAhBk4lHjn49QvD9XKoRa9bWDW1N-3gloG=w1200|https://lh3.googleusercontent.com/pw/AP1GczNh7KBYc36GuS7qXK6hGU04BIVm7r_QlDCgfxtOXoBeYeCXwFLOqimWsMivxQa0Hb532Mep7VCTlG31RWZ8bOnKVaCGSiNBX8bm1i3qRFQvURb46n2o=w1200|https://lh3.googleusercontent.com/pw/AP1GczM__nLltb6KFPE50YMNa8ef1Qc-UpW_1Ps5B_fdhqd-wioY4fTz5jcfkDoqqtTdHKegqo8-cUGyZ-_SKrVu9yB34z2XB8MALPYShbYF2py4J-I2i5dj=w1200|https://lh3.googleusercontent.com/pw/AP1GczP2CGkCVJzGgN-TH_yN29Ax8g7fDWL5tZZT5l2F1Ne5JuJbraa7steNc0zuwi3RD434P2iT0O8bqUTDxQzes1IZWd8lKBObkKdidT-4vDitnaubkggl=w1200|https://lh3.googleusercontent.com/pw/AP1GczMMAPjnRnxulgXoG80EmLyo4dG63GfX8U3_pl8Zv6WzB46omA85aoe7No2bQYWri_AmwUE9mdg02btVK3xkd66235s2T_zoVX3RmhXj6OTKbExNDceF=w1200</v>
      </c>
      <c r="AJ436" s="46"/>
      <c r="AK436" s="46"/>
      <c r="AL436" s="46"/>
      <c r="AM436" s="46"/>
      <c r="AN436" s="46"/>
      <c r="AO436" s="46"/>
      <c r="AP436" s="46"/>
      <c r="AQ436" s="46"/>
      <c r="AR436" s="46"/>
      <c r="AS436" s="46"/>
      <c r="AT436" s="46"/>
      <c r="AU436" s="46"/>
      <c r="AV436" s="46"/>
      <c r="AW436" s="46"/>
      <c r="AX436" s="46"/>
      <c r="AY436" s="46"/>
      <c r="AZ436" s="46"/>
      <c r="BA436" s="46"/>
      <c r="BB436" s="46"/>
      <c r="BC436" s="46"/>
      <c r="BD436" s="46"/>
      <c r="BE436" s="46"/>
      <c r="BF436" s="46"/>
      <c r="BG436" s="46"/>
      <c r="BH436" s="46"/>
      <c r="BI436" s="46"/>
      <c r="BJ436" s="46"/>
      <c r="BK436" s="46"/>
      <c r="BL436" s="46"/>
      <c r="BM436" s="46"/>
      <c r="BN436" s="46"/>
      <c r="BO436" s="46"/>
      <c r="BP436" s="46"/>
      <c r="BQ436" s="46"/>
      <c r="BR436" s="46"/>
      <c r="BS436" s="46"/>
      <c r="BT436" s="46"/>
      <c r="BU436" s="46"/>
      <c r="BV436" s="46"/>
      <c r="BW436" s="46"/>
      <c r="BX436" s="46"/>
      <c r="BY436" s="46"/>
      <c r="BZ436" s="46"/>
      <c r="CA436" s="46"/>
      <c r="CB436" s="46"/>
      <c r="CC436" s="46"/>
    </row>
    <row r="437">
      <c r="A437" s="87" t="str">
        <f>IFERROR(__xludf.DUMMYFUNCTION("""COMPUTED_VALUE"""),"6484")</f>
        <v>6484</v>
      </c>
      <c r="B437" s="46" t="str">
        <f>IFERROR(__xludf.DUMMYFUNCTION("""COMPUTED_VALUE"""),"Casa en barrio El Tesoro - Oriente")</f>
        <v>Casa en barrio El Tesoro - Oriente</v>
      </c>
      <c r="C437" s="46" t="str">
        <f>IFERROR(__xludf.DUMMYFUNCTION("""COMPUTED_VALUE"""),"Casa")</f>
        <v>Casa</v>
      </c>
      <c r="D437" s="46" t="str">
        <f>IFERROR(__xludf.DUMMYFUNCTION("""COMPUTED_VALUE"""),"El Tesoro")</f>
        <v>El Tesoro</v>
      </c>
      <c r="E437" s="46"/>
      <c r="F437" s="90">
        <f>IFERROR(__xludf.DUMMYFUNCTION("""COMPUTED_VALUE"""),2.5E8)</f>
        <v>250000000</v>
      </c>
      <c r="G437" s="46" t="str">
        <f>IFERROR(__xludf.DUMMYFUNCTION("""COMPUTED_VALUE"""),"$200'000.000 a $300'000.000")</f>
        <v>$200'000.000 a $300'000.000</v>
      </c>
      <c r="H437" s="46"/>
      <c r="I437" s="46"/>
      <c r="J437" s="46" t="str">
        <f>IFERROR(__xludf.DUMMYFUNCTION("""COMPUTED_VALUE"""),"Oriente")</f>
        <v>Oriente</v>
      </c>
      <c r="K437" s="87" t="str">
        <f>IFERROR(__xludf.DUMMYFUNCTION("""COMPUTED_VALUE"""),"10")</f>
        <v>10</v>
      </c>
      <c r="L437" s="46">
        <f>IFERROR(__xludf.DUMMYFUNCTION("""COMPUTED_VALUE"""),3.0)</f>
        <v>3</v>
      </c>
      <c r="M437" s="46"/>
      <c r="N437" s="46">
        <f>IFERROR(__xludf.DUMMYFUNCTION("""COMPUTED_VALUE"""),2.0)</f>
        <v>2</v>
      </c>
      <c r="O437" s="46">
        <f>IFERROR(__xludf.DUMMYFUNCTION("""COMPUTED_VALUE"""),1.0)</f>
        <v>1</v>
      </c>
      <c r="P437" s="46">
        <f>IFERROR(__xludf.DUMMYFUNCTION("""COMPUTED_VALUE"""),1.0)</f>
        <v>1</v>
      </c>
      <c r="Q437" s="92">
        <f>IFERROR(__xludf.DUMMYFUNCTION("""COMPUTED_VALUE"""),0.0)</f>
        <v>0</v>
      </c>
      <c r="R437" s="92">
        <f>IFERROR(__xludf.DUMMYFUNCTION("""COMPUTED_VALUE"""),0.0)</f>
        <v>0</v>
      </c>
      <c r="S437" s="87" t="str">
        <f>IFERROR(__xludf.DUMMYFUNCTION("""COMPUTED_VALUE""")," ")</f>
        <v> </v>
      </c>
      <c r="T437" s="46" t="str">
        <f>IFERROR(__xludf.DUMMYFUNCTION("""COMPUTED_VALUE"""),"Neiva")</f>
        <v>Neiva</v>
      </c>
      <c r="U437" s="87" t="str">
        <f>IFERROR(__xludf.DUMMYFUNCTION("""COMPUTED_VALUE"""),"3")</f>
        <v>3</v>
      </c>
      <c r="V437" s="46" t="str">
        <f>IFERROR(__xludf.DUMMYFUNCTION("""COMPUTED_VALUE"""),"Medianera")</f>
        <v>Medianera</v>
      </c>
      <c r="W437" s="46"/>
      <c r="X437" s="46">
        <f>IFERROR(__xludf.DUMMYFUNCTION("""COMPUTED_VALUE"""),3.0)</f>
        <v>3</v>
      </c>
      <c r="Y437" s="46" t="str">
        <f>IFERROR(__xludf.DUMMYFUNCTION("""COMPUTED_VALUE"""),"No tiene")</f>
        <v>No tiene</v>
      </c>
      <c r="Z437" s="90" t="str">
        <f>IFERROR(__xludf.DUMMYFUNCTION("""COMPUTED_VALUE"""),"No aplica")</f>
        <v>No aplica</v>
      </c>
      <c r="AA437" s="33" t="str">
        <f>IFERROR(__xludf.DUMMYFUNCTION("""COMPUTED_VALUE"""),"No aplica")</f>
        <v>No aplica</v>
      </c>
      <c r="AB437" s="96" t="str">
        <f>IFERROR(__xludf.DUMMYFUNCTION("""COMPUTED_VALUE"""),"https://photos.app.goo.gl/QH9vpDHkR8Lm5qUn7")</f>
        <v>https://photos.app.goo.gl/QH9vpDHkR8Lm5qUn7</v>
      </c>
      <c r="AC437" s="46" t="str">
        <f>IFERROR(__xludf.DUMMYFUNCTION("""COMPUTED_VALUE"""),"Esta amplia y cómoda casa de un piso ubicada en el barrio El Tesoro de Neiva destaca por sus excelentes acabados y una distribución funcional bien planificada. El área social ofrece una espaciosa sala-comedor revestida con pisos de cerámica brillante con "&amp;"elegantes motivos decorativos y muros perfectamente estucados en blanco, integrada de manera armónica a una moderna cocina integral con barra americana, mesón oscuro, estufa empotrada con extractor y muebles organizadores en una sofisticada combinación de"&amp;" madera natural y blanco. La zona íntima está compuesta por tres cómodas habitaciones equipadas con clósets empotrados de piso a techo y dos baños con acabados modernos. Adicionalmente, la vivienda dispone de un patio interior que maximiza la claridad, un"&amp;" garaje privado cubierto para un carro protegido con reja de seguridad y un práctico patio exterior enchapado con cerámica rústica, dotado de alberca tradicional e instalación lista para lavadora.")</f>
        <v>Esta amplia y cómoda casa de un piso ubicada en el barrio El Tesoro de Neiva destaca por sus excelentes acabados y una distribución funcional bien planificada. El área social ofrece una espaciosa sala-comedor revestida con pisos de cerámica brillante con elegantes motivos decorativos y muros perfectamente estucados en blanco, integrada de manera armónica a una moderna cocina integral con barra americana, mesón oscuro, estufa empotrada con extractor y muebles organizadores en una sofisticada combinación de madera natural y blanco. La zona íntima está compuesta por tres cómodas habitaciones equipadas con clósets empotrados de piso a techo y dos baños con acabados modernos. Adicionalmente, la vivienda dispone de un patio interior que maximiza la claridad, un garaje privado cubierto para un carro protegido con reja de seguridad y un práctico patio exterior enchapado con cerámica rústica, dotado de alberca tradicional e instalación lista para lavadora.</v>
      </c>
      <c r="AD437" s="46" t="str">
        <f>IFERROR(__xludf.DUMMYFUNCTION("""COMPUTED_VALUE"""),"Esta propiedad representa una oportunidad de inversión excepcional para familias que buscan confort inmediato, seguridad y una ubicación verdaderamente estratégica en la ciudad. Al tratarse de una vivienda de un solo piso, garantiza una accesibilidad inig"&amp;"ualable y una comodidad absoluta para el día a día, eliminando el esfuerzo de las escaleras. El gran atractivo de contar con doble patio —uno interior que asegura una ventilación cruzada perfecta y luminosidad natural constante, junto a un patio de ropas "&amp;"independiente y funcional— aporta una frescura única al hogar. Con sus sistemas de protección ya instalados para su total tranquilidad y un garaje techado que resguarda su vehículo de la intemperie, esta casa lista para habitar es la elección definitiva p"&amp;"ara quienes desean consolidar su patrimonio en un entorno residencial seguro y de alta calidad.")</f>
        <v>Esta propiedad representa una oportunidad de inversión excepcional para familias que buscan confort inmediato, seguridad y una ubicación verdaderamente estratégica en la ciudad. Al tratarse de una vivienda de un solo piso, garantiza una accesibilidad inigualable y una comodidad absoluta para el día a día, eliminando el esfuerzo de las escaleras. El gran atractivo de contar con doble patio —uno interior que asegura una ventilación cruzada perfecta y luminosidad natural constante, junto a un patio de ropas independiente y funcional— aporta una frescura única al hogar. Con sus sistemas de protección ya instalados para su total tranquilidad y un garaje techado que resguarda su vehículo de la intemperie, esta casa lista para habitar es la elección definitiva para quienes desean consolidar su patrimonio en un entorno residencial seguro y de alta calidad.</v>
      </c>
      <c r="AE437" s="46"/>
      <c r="AF437" s="46" t="str">
        <f>IFERROR(__xludf.DUMMYFUNCTION("""COMPUTED_VALUE"""),"integral")</f>
        <v>integral</v>
      </c>
      <c r="AG437" s="46"/>
      <c r="AH437" s="46" t="str">
        <f>IFERROR(__xludf.DUMMYFUNCTION("""COMPUTED_VALUE"""),"Aliado")</f>
        <v>Aliado</v>
      </c>
      <c r="AI437" s="92" t="str">
        <f>IFERROR(__xludf.DUMMYFUNCTION("""COMPUTED_VALUE"""),"https://lh3.googleusercontent.com/pw/AP1GczMXIzPnnCcliAWog24C2Vh-0L0f3Mckliu-4DF4IfTvvFMYpTFa1GdTdVlfqf6QKraiUEl4EcG1V5Cy7Ceks3UiOkiYtZFW6Gc3hnREEe_5Asq872XR=w1200|https://lh3.googleusercontent.com/pw/AP1GczMH24cDv8GPU5W8nQCvm9bOwPJaeX5BMioUu3E7P8aDnh32Wh"&amp;"zs6T4iz5y-62WfXoQ52zA-fSKtI7d3rbLaqAwhLCSgQ_qoEZwfoNNiDUIN_THT3LRO=w1200|https://lh3.googleusercontent.com/pw/AP1GczNlcsp78-ciB1VEMvxn8QlQ5WnnM5JskIbv6WnozFeKp-_3bHdXdzspLvlGJkpjCkP2-XVbM7KVwq4KJoM1J6R26oaZIxfCgx0Al9KXZa_Q8aWusLSQ=w1200|https://lh3.google"&amp;"usercontent.com/pw/AP1GczPEMlJg-LK5RF_Yn5iiufazj3s22gF9-nvzKEjTpnN6_f2elK_X34yhriBEXnSDKPl5QC25eSYplX8UKj4asLpBhkmPUpdAXntTBR7gfNBEYJysDniL=w1200|https://lh3.googleusercontent.com/pw/AP1GczPJz4Z_GLn3gWDA7XCf0rUkO9L1WW1gRfhcmeXMyuX_lS0aeQv3RzNZ5jFt9RGGhxnN"&amp;"7a-gXp73mNdYlBCqP5wcMpd2QrmJwf8czgjX2QgIcVHTdl6r=w1200|https://lh3.googleusercontent.com/pw/AP1GczPOB8UwfAmqVvBf0I0F800kPHjc39sEtwTEqdB_9XV12r4yrXwQwAMDSlvZaIrqwAUxs_XDmcpjXSis_AA1Dg7NRRP8sC3QUu_94PFQSfGzoi-_BYTG=w1200")</f>
        <v>https://lh3.googleusercontent.com/pw/AP1GczMXIzPnnCcliAWog24C2Vh-0L0f3Mckliu-4DF4IfTvvFMYpTFa1GdTdVlfqf6QKraiUEl4EcG1V5Cy7Ceks3UiOkiYtZFW6Gc3hnREEe_5Asq872XR=w1200|https://lh3.googleusercontent.com/pw/AP1GczMH24cDv8GPU5W8nQCvm9bOwPJaeX5BMioUu3E7P8aDnh32Whzs6T4iz5y-62WfXoQ52zA-fSKtI7d3rbLaqAwhLCSgQ_qoEZwfoNNiDUIN_THT3LRO=w1200|https://lh3.googleusercontent.com/pw/AP1GczNlcsp78-ciB1VEMvxn8QlQ5WnnM5JskIbv6WnozFeKp-_3bHdXdzspLvlGJkpjCkP2-XVbM7KVwq4KJoM1J6R26oaZIxfCgx0Al9KXZa_Q8aWusLSQ=w1200|https://lh3.googleusercontent.com/pw/AP1GczPEMlJg-LK5RF_Yn5iiufazj3s22gF9-nvzKEjTpnN6_f2elK_X34yhriBEXnSDKPl5QC25eSYplX8UKj4asLpBhkmPUpdAXntTBR7gfNBEYJysDniL=w1200|https://lh3.googleusercontent.com/pw/AP1GczPJz4Z_GLn3gWDA7XCf0rUkO9L1WW1gRfhcmeXMyuX_lS0aeQv3RzNZ5jFt9RGGhxnN7a-gXp73mNdYlBCqP5wcMpd2QrmJwf8czgjX2QgIcVHTdl6r=w1200|https://lh3.googleusercontent.com/pw/AP1GczPOB8UwfAmqVvBf0I0F800kPHjc39sEtwTEqdB_9XV12r4yrXwQwAMDSlvZaIrqwAUxs_XDmcpjXSis_AA1Dg7NRRP8sC3QUu_94PFQSfGzoi-_BYTG=w1200</v>
      </c>
      <c r="AJ437" s="46"/>
      <c r="AK437" s="46"/>
      <c r="AL437" s="46"/>
      <c r="AM437" s="46"/>
      <c r="AN437" s="46"/>
      <c r="AO437" s="46"/>
      <c r="AP437" s="46"/>
      <c r="AQ437" s="46"/>
      <c r="AR437" s="46"/>
      <c r="AS437" s="46"/>
      <c r="AT437" s="46"/>
      <c r="AU437" s="46"/>
      <c r="AV437" s="46"/>
      <c r="AW437" s="46"/>
      <c r="AX437" s="46"/>
      <c r="AY437" s="46"/>
      <c r="AZ437" s="46"/>
      <c r="BA437" s="46"/>
      <c r="BB437" s="46"/>
      <c r="BC437" s="46"/>
      <c r="BD437" s="46"/>
      <c r="BE437" s="46"/>
      <c r="BF437" s="46"/>
      <c r="BG437" s="46"/>
      <c r="BH437" s="46"/>
      <c r="BI437" s="46"/>
      <c r="BJ437" s="46"/>
      <c r="BK437" s="46"/>
      <c r="BL437" s="46"/>
      <c r="BM437" s="46"/>
      <c r="BN437" s="46"/>
      <c r="BO437" s="46"/>
      <c r="BP437" s="46"/>
      <c r="BQ437" s="46"/>
      <c r="BR437" s="46"/>
      <c r="BS437" s="46"/>
      <c r="BT437" s="46"/>
      <c r="BU437" s="46"/>
      <c r="BV437" s="46"/>
      <c r="BW437" s="46"/>
      <c r="BX437" s="46"/>
      <c r="BY437" s="46"/>
      <c r="BZ437" s="46"/>
      <c r="CA437" s="46"/>
      <c r="CB437" s="46"/>
      <c r="CC437" s="46"/>
    </row>
    <row r="438">
      <c r="A438" s="87" t="str">
        <f>IFERROR(__xludf.DUMMYFUNCTION("""COMPUTED_VALUE"""),"6331")</f>
        <v>6331</v>
      </c>
      <c r="B438" s="46" t="str">
        <f>IFERROR(__xludf.DUMMYFUNCTION("""COMPUTED_VALUE"""),"Casa en conjunto San Valentin - Sur")</f>
        <v>Casa en conjunto San Valentin - Sur</v>
      </c>
      <c r="C438" s="46" t="str">
        <f>IFERROR(__xludf.DUMMYFUNCTION("""COMPUTED_VALUE"""),"Casa en conjunto")</f>
        <v>Casa en conjunto</v>
      </c>
      <c r="D438" s="46"/>
      <c r="E438" s="46" t="str">
        <f>IFERROR(__xludf.DUMMYFUNCTION("""COMPUTED_VALUE"""),"Conjunto San Valentín")</f>
        <v>Conjunto San Valentín</v>
      </c>
      <c r="F438" s="90">
        <f>IFERROR(__xludf.DUMMYFUNCTION("""COMPUTED_VALUE"""),2.5E8)</f>
        <v>250000000</v>
      </c>
      <c r="G438" s="46" t="str">
        <f>IFERROR(__xludf.DUMMYFUNCTION("""COMPUTED_VALUE"""),"$200'000.000 a $300'000.000")</f>
        <v>$200'000.000 a $300'000.000</v>
      </c>
      <c r="H438" s="46"/>
      <c r="I438" s="46"/>
      <c r="J438" s="46" t="str">
        <f>IFERROR(__xludf.DUMMYFUNCTION("""COMPUTED_VALUE"""),"Sur")</f>
        <v>Sur</v>
      </c>
      <c r="K438" s="87"/>
      <c r="L438" s="46">
        <f>IFERROR(__xludf.DUMMYFUNCTION("""COMPUTED_VALUE"""),3.0)</f>
        <v>3</v>
      </c>
      <c r="M438" s="46"/>
      <c r="N438" s="46">
        <f>IFERROR(__xludf.DUMMYFUNCTION("""COMPUTED_VALUE"""),2.0)</f>
        <v>2</v>
      </c>
      <c r="O438" s="46">
        <f>IFERROR(__xludf.DUMMYFUNCTION("""COMPUTED_VALUE"""),1.0)</f>
        <v>1</v>
      </c>
      <c r="P438" s="46">
        <f>IFERROR(__xludf.DUMMYFUNCTION("""COMPUTED_VALUE"""),2.0)</f>
        <v>2</v>
      </c>
      <c r="Q438" s="92">
        <f>IFERROR(__xludf.DUMMYFUNCTION("""COMPUTED_VALUE"""),0.0)</f>
        <v>0</v>
      </c>
      <c r="R438" s="92">
        <f>IFERROR(__xludf.DUMMYFUNCTION("""COMPUTED_VALUE"""),0.0)</f>
        <v>0</v>
      </c>
      <c r="S438" s="87" t="str">
        <f>IFERROR(__xludf.DUMMYFUNCTION("""COMPUTED_VALUE""")," ")</f>
        <v> </v>
      </c>
      <c r="T438" s="46" t="str">
        <f>IFERROR(__xludf.DUMMYFUNCTION("""COMPUTED_VALUE"""),"Neiva")</f>
        <v>Neiva</v>
      </c>
      <c r="U438" s="87" t="str">
        <f>IFERROR(__xludf.DUMMYFUNCTION("""COMPUTED_VALUE"""),"2")</f>
        <v>2</v>
      </c>
      <c r="V438" s="46" t="str">
        <f>IFERROR(__xludf.DUMMYFUNCTION("""COMPUTED_VALUE"""),"Medianera")</f>
        <v>Medianera</v>
      </c>
      <c r="W438" s="46"/>
      <c r="X438" s="46">
        <f>IFERROR(__xludf.DUMMYFUNCTION("""COMPUTED_VALUE"""),3.0)</f>
        <v>3</v>
      </c>
      <c r="Y438" s="46" t="str">
        <f>IFERROR(__xludf.DUMMYFUNCTION("""COMPUTED_VALUE"""),"No tiene")</f>
        <v>No tiene</v>
      </c>
      <c r="Z438" s="90" t="str">
        <f>IFERROR(__xludf.DUMMYFUNCTION("""COMPUTED_VALUE"""),"No aplica")</f>
        <v>No aplica</v>
      </c>
      <c r="AA438" s="33" t="str">
        <f>IFERROR(__xludf.DUMMYFUNCTION("""COMPUTED_VALUE"""),"No aplica")</f>
        <v>No aplica</v>
      </c>
      <c r="AB438" s="96" t="str">
        <f>IFERROR(__xludf.DUMMYFUNCTION("""COMPUTED_VALUE"""),"https://photos.app.goo.gl/DiiN9hCkNm56KKLz6")</f>
        <v>https://photos.app.goo.gl/DiiN9hCkNm56KKLz6</v>
      </c>
      <c r="AC438" s="46" t="str">
        <f>IFERROR(__xludf.DUMMYFUNCTION("""COMPUTED_VALUE"""),"Esta excelente casa de dos pisos ofrece una distribución cómoda y funcional, ideal para el bienestar de toda la familia. Al ingresar al primer nivel, se encuentra una amplia sala-comedor revestida con pisos en cerámica clara de alto brillo y muros estucad"&amp;"os en tonos claros, complementada por un baño social. La cocina integral destaca por su diseño con barra americana enchapada en porcelanato tipo mármol oscuro, gabinetes superiores en tono madera rojiza e inferiores combinados, estufa empotrada y un salpi"&amp;"cadero decorativo en mosaico texturizado. En el segundo piso se ubican tres confortables habitaciones equipadas con amplios clósets empotrados en madera oscura de piso a techo y puertas de paso a juego, junto con un baño social completo para esta zona ínt"&amp;"ima. Adicionalmente, la vivienda dispone de una práctica zona de lavandería y un parqueadero privado para carro.")</f>
        <v>Esta excelente casa de dos pisos ofrece una distribución cómoda y funcional, ideal para el bienestar de toda la familia. Al ingresar al primer nivel, se encuentra una amplia sala-comedor revestida con pisos en cerámica clara de alto brillo y muros estucados en tonos claros, complementada por un baño social. La cocina integral destaca por su diseño con barra americana enchapada en porcelanato tipo mármol oscuro, gabinetes superiores en tono madera rojiza e inferiores combinados, estufa empotrada y un salpicadero decorativo en mosaico texturizado. En el segundo piso se ubican tres confortables habitaciones equipadas con amplios clósets empotrados en madera oscura de piso a techo y puertas de paso a juego, junto con un baño social completo para esta zona íntima. Adicionalmente, la vivienda dispone de una práctica zona de lavandería y un parqueadero privado para carro.</v>
      </c>
      <c r="AD438" s="46" t="str">
        <f>IFERROR(__xludf.DUMMYFUNCTION("""COMPUTED_VALUE"""),"La propiedad se perfila como una magnífica oportunidad de compra gracias a su ubicación estratégica en un entorno residencial cerrado que garantiza total tranquilidad, privacidad y seguridad. Situada de manera privilegiada en el sur de Neiva, sobre la Ave"&amp;"nida Max Duque y de forma diagonal al supermercado Popular, ofrece un acceso inmediato a transporte, comercio y servicios esenciales, facilitando el día a día. Los acabados modernos y listos para habitar, sumados a la excelente distribución que independiz"&amp;"a el área social de los dormitorios, hacen de esta casa la opción definitiva para quienes buscan comodidad, orden y una inversión segura en un sector con alta calidad de vida.")</f>
        <v>La propiedad se perfila como una magnífica oportunidad de compra gracias a su ubicación estratégica en un entorno residencial cerrado que garantiza total tranquilidad, privacidad y seguridad. Situada de manera privilegiada en el sur de Neiva, sobre la Avenida Max Duque y de forma diagonal al supermercado Popular, ofrece un acceso inmediato a transporte, comercio y servicios esenciales, facilitando el día a día. Los acabados modernos y listos para habitar, sumados a la excelente distribución que independiza el área social de los dormitorios, hacen de esta casa la opción definitiva para quienes buscan comodidad, orden y una inversión segura en un sector con alta calidad de vida.</v>
      </c>
      <c r="AE438" s="46"/>
      <c r="AF438" s="46" t="str">
        <f>IFERROR(__xludf.DUMMYFUNCTION("""COMPUTED_VALUE"""),"integral")</f>
        <v>integral</v>
      </c>
      <c r="AG438" s="46"/>
      <c r="AH438" s="46" t="str">
        <f>IFERROR(__xludf.DUMMYFUNCTION("""COMPUTED_VALUE"""),"Aliado")</f>
        <v>Aliado</v>
      </c>
      <c r="AI438" s="92" t="str">
        <f>IFERROR(__xludf.DUMMYFUNCTION("""COMPUTED_VALUE"""),"https://lh3.googleusercontent.com/pw/AP1GczM5jRPp5QG97ZMT1W676T-IeHRm3KBeUChkmYhhA9fYSTsm-cYNp75xWYA4JWFDvSDV1F7-yycWMQWyyuUGIXHoWGwEx3vEvR6efQQzTe_XDzAlGbXy=w1200|https://lh3.googleusercontent.com/pw/AP1GczNKoISvM1RUuO_ymKCbZbJrz7mu-W731P4XtcW4Ve_y5WzHue"&amp;"DcyyWrBjai77a5N6BpkdkjW5sln1XIYFmQdddbEJFMLccm0-k1dJRVOkNK1NLr2Mgd=w1200|https://lh3.googleusercontent.com/pw/AP1GczOkL6IUKaJR3IkA4WwEg42QdqAurT0jbRdU63go2bzu-mB3Bkwdwa_aBZJtcSh4nWTpp7EH7wbXa65s5KksOElSt8dPuYlyyNnPd8qVLv5D5n6rpB5E=w1200|https://lh3.google"&amp;"usercontent.com/pw/AP1GczOWqmgzk8rpr6hsq1ytHT66ho_dar8GAXnSbzT94kTfHl5xjyaSOzEo4Q9qpg5rhwoEHqCDck1Lz5IdH9eS9TkdOG95_PUe1sYRa523hoFgg3aZDNkt=w1200|https://lh3.googleusercontent.com/pw/AP1GczPUkFnAx1UJw-ORIS6kfsDwPm2NmOm_26g5z2tcnFly3Rb9KOpPNk1qcuAPL2Bg_j3Q"&amp;"_Fs6pZn0WlxqLH0DeVIKon8Fwy4kxGonzmRGDDYhRPURz0Xk=w1200|https://lh3.googleusercontent.com/pw/AP1GczOFPv5Gj-t_if4N-4aG6sDhD3Fy-khOL1WK5j0hveclUiAfkya2jHI0Ci1pFWu8F6TcyRbAI3PDFYKK2QvmLhTylOUC6-IkcnuzanaZJBJVVma7FB6S=w1200|https://lh3.googleusercontent.com/pw"&amp;"/AP1GczOW2xleYO2Fv-HfESEduM6SNvCZ3GxaLCTohP3w9foyw4gFlbV1R-fe4-als3STyGNpLvwzOG-viogV-lVF0IT0yA92dPTd-lYMQplH3xG39TYUcNAd=w1200|https://lh3.googleusercontent.com/pw/AP1GczMsseZsKPMatbExpJfF9jDx6xF4N5GOr0p-Ampyn5Lishww8uoUqdHBqSAre6W1R7VDpIG6M0ol_WKQIQEhVn"&amp;"waSEI_EpLhBndvl6JqkVdC8vnTdp82=w1200|https://lh3.googleusercontent.com/pw/AP1GczMwPQEUJrsX4tUYsjwec7gn5bRyOPzYIc1bVt1RI5-GLPEMMXn7Z_yJQ1ac_ZY0Jsx5LJf9X2mqQvtlfbQk4ce7XwnUS0k_tlEitVwZF5XCh8dkJ9ET=w1200|https://lh3.googleusercontent.com/pw/AP1GczNzgVJncNq5g"&amp;"ITBY3AHZpdlshWdg-tkeqgYu5EgFTwj4WlqtkHg59dmLcrnA90D91Qj7_ZInHFBtWJo7XIIYfiK-ePYkvweVgXb-GKfDz26bOvFEKic=w1200|https://lh3.googleusercontent.com/pw/AP1GczNBGDYXg5h9y7hlIOzegCKxVjw8PO5FN1CAOiKQfGihV28XAzQ9uZzSzi6qapqxcfAJiEhvH0E5Yl4e9WCEEzYU4avj2p2f_dQD_yGI"&amp;"semWi80zoMxe=w1200|https://lh3.googleusercontent.com/pw/AP1GczObrsc9eTzzehL0ca3wyVQRkmnMYPg81sNhK-hYLFKuZJAyrg5zdTzP-9PCbPoFBu1RpGjZKutGnNiZJZxr-qxjbDK1FswNBvOM7thY3K_IfOkKPGW_=w1200|https://lh3.googleusercontent.com/pw/AP1GczPdDrh8rxtar5SoLmw8BtE1b3mKBgV"&amp;"PpX805Qa3IH9SPtFnKL5pEdqOUGGg4sGLA-MPnDn5kkpk7rrELw3pmZqU8dUQUl2T1oWv2-abqY8KhBbbsBph=w1200|https://lh3.googleusercontent.com/pw/AP1GczMcO2Cit7QDXt4JxoXcLoBwKP64xJyxmtUKSJXTCtXGexdHRvhbRbTcT2_KZOLtZtcDzz099xvReUe9X8zkpoRAHRxIFYCjKU2cR4Z8nv1G9qQkl7Ei=w1200")</f>
        <v>https://lh3.googleusercontent.com/pw/AP1GczM5jRPp5QG97ZMT1W676T-IeHRm3KBeUChkmYhhA9fYSTsm-cYNp75xWYA4JWFDvSDV1F7-yycWMQWyyuUGIXHoWGwEx3vEvR6efQQzTe_XDzAlGbXy=w1200|https://lh3.googleusercontent.com/pw/AP1GczNKoISvM1RUuO_ymKCbZbJrz7mu-W731P4XtcW4Ve_y5WzHueDcyyWrBjai77a5N6BpkdkjW5sln1XIYFmQdddbEJFMLccm0-k1dJRVOkNK1NLr2Mgd=w1200|https://lh3.googleusercontent.com/pw/AP1GczOkL6IUKaJR3IkA4WwEg42QdqAurT0jbRdU63go2bzu-mB3Bkwdwa_aBZJtcSh4nWTpp7EH7wbXa65s5KksOElSt8dPuYlyyNnPd8qVLv5D5n6rpB5E=w1200|https://lh3.googleusercontent.com/pw/AP1GczOWqmgzk8rpr6hsq1ytHT66ho_dar8GAXnSbzT94kTfHl5xjyaSOzEo4Q9qpg5rhwoEHqCDck1Lz5IdH9eS9TkdOG95_PUe1sYRa523hoFgg3aZDNkt=w1200|https://lh3.googleusercontent.com/pw/AP1GczPUkFnAx1UJw-ORIS6kfsDwPm2NmOm_26g5z2tcnFly3Rb9KOpPNk1qcuAPL2Bg_j3Q_Fs6pZn0WlxqLH0DeVIKon8Fwy4kxGonzmRGDDYhRPURz0Xk=w1200|https://lh3.googleusercontent.com/pw/AP1GczOFPv5Gj-t_if4N-4aG6sDhD3Fy-khOL1WK5j0hveclUiAfkya2jHI0Ci1pFWu8F6TcyRbAI3PDFYKK2QvmLhTylOUC6-IkcnuzanaZJBJVVma7FB6S=w1200|https://lh3.googleusercontent.com/pw/AP1GczOW2xleYO2Fv-HfESEduM6SNvCZ3GxaLCTohP3w9foyw4gFlbV1R-fe4-als3STyGNpLvwzOG-viogV-lVF0IT0yA92dPTd-lYMQplH3xG39TYUcNAd=w1200|https://lh3.googleusercontent.com/pw/AP1GczMsseZsKPMatbExpJfF9jDx6xF4N5GOr0p-Ampyn5Lishww8uoUqdHBqSAre6W1R7VDpIG6M0ol_WKQIQEhVnwaSEI_EpLhBndvl6JqkVdC8vnTdp82=w1200|https://lh3.googleusercontent.com/pw/AP1GczMwPQEUJrsX4tUYsjwec7gn5bRyOPzYIc1bVt1RI5-GLPEMMXn7Z_yJQ1ac_ZY0Jsx5LJf9X2mqQvtlfbQk4ce7XwnUS0k_tlEitVwZF5XCh8dkJ9ET=w1200|https://lh3.googleusercontent.com/pw/AP1GczNzgVJncNq5gITBY3AHZpdlshWdg-tkeqgYu5EgFTwj4WlqtkHg59dmLcrnA90D91Qj7_ZInHFBtWJo7XIIYfiK-ePYkvweVgXb-GKfDz26bOvFEKic=w1200|https://lh3.googleusercontent.com/pw/AP1GczNBGDYXg5h9y7hlIOzegCKxVjw8PO5FN1CAOiKQfGihV28XAzQ9uZzSzi6qapqxcfAJiEhvH0E5Yl4e9WCEEzYU4avj2p2f_dQD_yGIsemWi80zoMxe=w1200|https://lh3.googleusercontent.com/pw/AP1GczObrsc9eTzzehL0ca3wyVQRkmnMYPg81sNhK-hYLFKuZJAyrg5zdTzP-9PCbPoFBu1RpGjZKutGnNiZJZxr-qxjbDK1FswNBvOM7thY3K_IfOkKPGW_=w1200|https://lh3.googleusercontent.com/pw/AP1GczPdDrh8rxtar5SoLmw8BtE1b3mKBgVPpX805Qa3IH9SPtFnKL5pEdqOUGGg4sGLA-MPnDn5kkpk7rrELw3pmZqU8dUQUl2T1oWv2-abqY8KhBbbsBph=w1200|https://lh3.googleusercontent.com/pw/AP1GczMcO2Cit7QDXt4JxoXcLoBwKP64xJyxmtUKSJXTCtXGexdHRvhbRbTcT2_KZOLtZtcDzz099xvReUe9X8zkpoRAHRxIFYCjKU2cR4Z8nv1G9qQkl7Ei=w1200</v>
      </c>
      <c r="AJ438" s="46"/>
      <c r="AK438" s="46"/>
      <c r="AL438" s="46"/>
      <c r="AM438" s="46"/>
      <c r="AN438" s="46"/>
      <c r="AO438" s="46"/>
      <c r="AP438" s="46"/>
      <c r="AQ438" s="46"/>
      <c r="AR438" s="46"/>
      <c r="AS438" s="46"/>
      <c r="AT438" s="46"/>
      <c r="AU438" s="46"/>
      <c r="AV438" s="46"/>
      <c r="AW438" s="46"/>
      <c r="AX438" s="46"/>
      <c r="AY438" s="46"/>
      <c r="AZ438" s="46"/>
      <c r="BA438" s="46"/>
      <c r="BB438" s="46"/>
      <c r="BC438" s="46"/>
      <c r="BD438" s="46"/>
      <c r="BE438" s="46"/>
      <c r="BF438" s="46"/>
      <c r="BG438" s="46"/>
      <c r="BH438" s="46"/>
      <c r="BI438" s="46"/>
      <c r="BJ438" s="46"/>
      <c r="BK438" s="46"/>
      <c r="BL438" s="46"/>
      <c r="BM438" s="46"/>
      <c r="BN438" s="46"/>
      <c r="BO438" s="46"/>
      <c r="BP438" s="46"/>
      <c r="BQ438" s="46"/>
      <c r="BR438" s="46"/>
      <c r="BS438" s="46"/>
      <c r="BT438" s="46"/>
      <c r="BU438" s="46"/>
      <c r="BV438" s="46"/>
      <c r="BW438" s="46"/>
      <c r="BX438" s="46"/>
      <c r="BY438" s="46"/>
      <c r="BZ438" s="46"/>
      <c r="CA438" s="46"/>
      <c r="CB438" s="46"/>
      <c r="CC438" s="46"/>
    </row>
    <row r="439">
      <c r="A439" s="87" t="str">
        <f>IFERROR(__xludf.DUMMYFUNCTION("""COMPUTED_VALUE"""),"4972")</f>
        <v>4972</v>
      </c>
      <c r="B439" s="46" t="str">
        <f>IFERROR(__xludf.DUMMYFUNCTION("""COMPUTED_VALUE"""),"Casa en conjunto La Coruña de Berdez - Norte")</f>
        <v>Casa en conjunto La Coruña de Berdez - Norte</v>
      </c>
      <c r="C439" s="46" t="str">
        <f>IFERROR(__xludf.DUMMYFUNCTION("""COMPUTED_VALUE"""),"Casa en conjunto")</f>
        <v>Casa en conjunto</v>
      </c>
      <c r="D439" s="46"/>
      <c r="E439" s="90" t="str">
        <f>IFERROR(__xludf.DUMMYFUNCTION("""COMPUTED_VALUE"""),"Conjunto La Coruña de Berdez")</f>
        <v>Conjunto La Coruña de Berdez</v>
      </c>
      <c r="F439" s="90">
        <f>IFERROR(__xludf.DUMMYFUNCTION("""COMPUTED_VALUE"""),2.45E8)</f>
        <v>245000000</v>
      </c>
      <c r="G439" s="46" t="str">
        <f>IFERROR(__xludf.DUMMYFUNCTION("""COMPUTED_VALUE"""),"$200'000.000 a $300'000.000")</f>
        <v>$200'000.000 a $300'000.000</v>
      </c>
      <c r="H439" s="46"/>
      <c r="I439" s="46"/>
      <c r="J439" s="46" t="str">
        <f>IFERROR(__xludf.DUMMYFUNCTION("""COMPUTED_VALUE"""),"Norte")</f>
        <v>Norte</v>
      </c>
      <c r="K439" s="87"/>
      <c r="L439" s="46">
        <f>IFERROR(__xludf.DUMMYFUNCTION("""COMPUTED_VALUE"""),3.0)</f>
        <v>3</v>
      </c>
      <c r="M439" s="46"/>
      <c r="N439" s="46">
        <f>IFERROR(__xludf.DUMMYFUNCTION("""COMPUTED_VALUE"""),3.0)</f>
        <v>3</v>
      </c>
      <c r="O439" s="46">
        <f>IFERROR(__xludf.DUMMYFUNCTION("""COMPUTED_VALUE"""),1.0)</f>
        <v>1</v>
      </c>
      <c r="P439" s="46">
        <f>IFERROR(__xludf.DUMMYFUNCTION("""COMPUTED_VALUE"""),2.0)</f>
        <v>2</v>
      </c>
      <c r="Q439" s="92"/>
      <c r="R439" s="92">
        <f>IFERROR(__xludf.DUMMYFUNCTION("""COMPUTED_VALUE"""),104.0)</f>
        <v>104</v>
      </c>
      <c r="S439" s="87" t="str">
        <f>IFERROR(__xludf.DUMMYFUNCTION("""COMPUTED_VALUE""")," ")</f>
        <v> </v>
      </c>
      <c r="T439" s="46" t="str">
        <f>IFERROR(__xludf.DUMMYFUNCTION("""COMPUTED_VALUE"""),"Neiva")</f>
        <v>Neiva</v>
      </c>
      <c r="U439" s="87" t="str">
        <f>IFERROR(__xludf.DUMMYFUNCTION("""COMPUTED_VALUE"""),"3")</f>
        <v>3</v>
      </c>
      <c r="V439" s="46" t="str">
        <f>IFERROR(__xludf.DUMMYFUNCTION("""COMPUTED_VALUE"""),"Medianera")</f>
        <v>Medianera</v>
      </c>
      <c r="W439" s="46"/>
      <c r="X439" s="46">
        <f>IFERROR(__xludf.DUMMYFUNCTION("""COMPUTED_VALUE"""),3.0)</f>
        <v>3</v>
      </c>
      <c r="Y439" s="46" t="str">
        <f>IFERROR(__xludf.DUMMYFUNCTION("""COMPUTED_VALUE"""),"Social")</f>
        <v>Social</v>
      </c>
      <c r="Z439" s="90">
        <f>IFERROR(__xludf.DUMMYFUNCTION("""COMPUTED_VALUE"""),85000.0)</f>
        <v>85000</v>
      </c>
      <c r="AA439" s="33"/>
      <c r="AB439" s="144" t="str">
        <f>IFERROR(__xludf.DUMMYFUNCTION("""COMPUTED_VALUE"""),"https://photos.app.goo.gl/qkZ5yPYAgAAXLRoNA")</f>
        <v>https://photos.app.goo.gl/qkZ5yPYAgAAXLRoNA</v>
      </c>
      <c r="AC439" s="46" t="str">
        <f>IFERROR(__xludf.DUMMYFUNCTION("""COMPUTED_VALUE"""),"Casa en conjunto la coruña de Berdez norte de Neiva. consta de: habitación principal con baño privado y clóset, 2 habitaciones auxiliares con clóset y balcón, sala comedor, cocina integral, 2 baños sociales, zona de lavandería y parqueadero para carro.")</f>
        <v>Casa en conjunto la coruña de Berdez norte de Neiva. consta de: habitación principal con baño privado y clóset, 2 habitaciones auxiliares con clóset y balcón, sala comedor, cocina integral, 2 baños sociales, zona de lavandería y parqueadero para carro.</v>
      </c>
      <c r="AD439" s="46" t="str">
        <f>IFERROR(__xludf.DUMMYFUNCTION("""COMPUTED_VALUE"""),"El conjunto cuenta con piscina, canchas de microfútbol, zona social, capilla y vigilancia/seguridad.")</f>
        <v>El conjunto cuenta con piscina, canchas de microfútbol, zona social, capilla y vigilancia/seguridad.</v>
      </c>
      <c r="AE439" s="46"/>
      <c r="AF439" s="46" t="str">
        <f>IFERROR(__xludf.DUMMYFUNCTION("""COMPUTED_VALUE"""),"integral")</f>
        <v>integral</v>
      </c>
      <c r="AG439" s="46"/>
      <c r="AH439" s="46" t="str">
        <f>IFERROR(__xludf.DUMMYFUNCTION("""COMPUTED_VALUE"""),"Aliado")</f>
        <v>Aliado</v>
      </c>
      <c r="AI439" s="92" t="str">
        <f>IFERROR(__xludf.DUMMYFUNCTION("""COMPUTED_VALUE"""),"https://lh3.googleusercontent.com/pw/AP1GczPeKejLIgqnEcp65_ipjCCeV_AfiKRd27vttqxbmoM0q2EzrDx4cZYNBrrhSGrpAFlPldmouVC53dWQPy2lWbv_GW4UF5P4_Ly9kMYfWY8km8_XE0Ry=w1200|https://lh3.googleusercontent.com/pw/AP1GczPqFgz4-qWH4IYXZWW0nS8NYxXSfSjg1lYFEzzVqEbGfox3CH"&amp;"Ljhq0d9fCdNHiwIxJrB_zn5XL2VdIH7eoKFqKkj012ZQyR2UXHuB27Br6gFtyl0wMl=w1200|https://lh3.googleusercontent.com/pw/AP1GczO0YqMk68l3RtUUQRFhEhw3p509F9cTyAnUduXFlSHxlqVAk96VzJKkkSqYGH_q-GeGsR3NIzH9LI4XfqGHye6QoZBNHY1ZGIUbMc_7TEdq86-7er5N=w1200|https://lh3.google"&amp;"usercontent.com/pw/AP1GczPH6LQECJ0UBiyZr-_O-xnJZkGlfDrfElxzBY0jksIqopOxhxFzjbGyockAysnaqUW0Q6pN8tn3_meDqzxZh4jTcz2EZfedWBWD-Qa1jC_7LS4c5PAr=w1200|https://lh3.googleusercontent.com/pw/AP1GczO8EXAVBPZisI4X1Q7ZuEdj6BdG8bMhLl2W2IlkY0PPm5qcq2porUBOzRCNLQ6iyGKv"&amp;"ElFgpbU4JqHYpaVIKbayvqVZ1XwG2HlF43cn4iL6c65GnAvc=w1200|https://lh3.googleusercontent.com/pw/AP1GczPKTPlttj58a-6V1paYntXYq2bit9XOiTczRgyLCUEZ_G2Z4MjQLc58GWMS9fKPvLrgv80nCyM-5lp2cthQrj-6-_H3AollOnifDsymo1qcFlcheXPU=w1200|https://lh3.googleusercontent.com/pw"&amp;"/AP1GczMxVdEWOJZWL_CZ9tPQmMHoiEkYPfrmY_wSCgtjY8Z96EfOLhUmQshK1j46BVeZrNu-rBFtll-uruoN-hfXAf-msImwv-Rm_clJo7c1XYdoC9zySGvL=w1200|https://lh3.googleusercontent.com/pw/AP1GczOlSGZsQOY9mGvkevZ1vCj_AHVT7KLvdqs3SdJORTqvkK98X929fs73AJ7U4O3ib-9IZ5E9iUcdCub8WW2rgL"&amp;"KyPidxkZr6RrP8sSUYQ-GfcCyL6df3=w1200|https://lh3.googleusercontent.com/pw/AP1GczPpTt6Z_cKyc62BKofu1G5jTQX9qRjK5oJa4-vqA6Yn6WAxmEr3tAEj40G99LYXJeSWj6qW41eAkR4oOohTLPSIUgTkKx_V4TXYZ1z_4uwsd2nlCLP6=w1200|https://lh3.googleusercontent.com/pw/AP1GczMuGmr6giyl3"&amp;"uSonXKO3OPkHsDdXXlXzTc3yZpMjAt68E62v2ibHXRcYmNV_p_sKgj6dcWSTyghzf8eHK4s6_I6c560emP_eyDQ4teb7cl0CLJFw3YY=w1200|https://lh3.googleusercontent.com/pw/AP1GczNU0APJMuQCjXH8CKnAxoYrBsloJnCOlIbGgP4vli5_E4mZBZ6LKYxzCtPqzHAQbuvNyf9b5XiED3CrIe1PSJrQyYlGb0huJPtEXxOn"&amp;"TYsWZHkS8AKX=w1200|https://lh3.googleusercontent.com/pw/AP1GczNx-Jnf75EyLM8XIYvWe11-cRm75a9e0LrJwcuilvzH3lBhXE4CUJ7HzP6F_L4qGZbcBdUocgUL2cDub77Bq7LAdV8BUnDw-qWyeYhFXmgwaMYBlf4n=w1200|https://lh3.googleusercontent.com/pw/AP1GczPJgfDahWDHqHE8eVP0DJl2asotMIE"&amp;"pfvIjMimCBWw_njINUqNUnDRRQAwhWbOs4NkQ2WS-wIHMYTjlW-2ZoJPKNqlbKMNMW2gp_V6bcwI_EZc5Zgdt=w1200|https://lh3.googleusercontent.com/pw/AP1GczNaZWz4GfakhhRvD34sBHaZIEtvin2xODzbKKLf3gwADsheYQhKbDYtPWiL4PVxQL8mTiI_Er-dk7M7LH49yV5hmniwue02tDQ65Xts9oyRVfKNtTvC=w1200")</f>
        <v>https://lh3.googleusercontent.com/pw/AP1GczPeKejLIgqnEcp65_ipjCCeV_AfiKRd27vttqxbmoM0q2EzrDx4cZYNBrrhSGrpAFlPldmouVC53dWQPy2lWbv_GW4UF5P4_Ly9kMYfWY8km8_XE0Ry=w1200|https://lh3.googleusercontent.com/pw/AP1GczPqFgz4-qWH4IYXZWW0nS8NYxXSfSjg1lYFEzzVqEbGfox3CHLjhq0d9fCdNHiwIxJrB_zn5XL2VdIH7eoKFqKkj012ZQyR2UXHuB27Br6gFtyl0wMl=w1200|https://lh3.googleusercontent.com/pw/AP1GczO0YqMk68l3RtUUQRFhEhw3p509F9cTyAnUduXFlSHxlqVAk96VzJKkkSqYGH_q-GeGsR3NIzH9LI4XfqGHye6QoZBNHY1ZGIUbMc_7TEdq86-7er5N=w1200|https://lh3.googleusercontent.com/pw/AP1GczPH6LQECJ0UBiyZr-_O-xnJZkGlfDrfElxzBY0jksIqopOxhxFzjbGyockAysnaqUW0Q6pN8tn3_meDqzxZh4jTcz2EZfedWBWD-Qa1jC_7LS4c5PAr=w1200|https://lh3.googleusercontent.com/pw/AP1GczO8EXAVBPZisI4X1Q7ZuEdj6BdG8bMhLl2W2IlkY0PPm5qcq2porUBOzRCNLQ6iyGKvElFgpbU4JqHYpaVIKbayvqVZ1XwG2HlF43cn4iL6c65GnAvc=w1200|https://lh3.googleusercontent.com/pw/AP1GczPKTPlttj58a-6V1paYntXYq2bit9XOiTczRgyLCUEZ_G2Z4MjQLc58GWMS9fKPvLrgv80nCyM-5lp2cthQrj-6-_H3AollOnifDsymo1qcFlcheXPU=w1200|https://lh3.googleusercontent.com/pw/AP1GczMxVdEWOJZWL_CZ9tPQmMHoiEkYPfrmY_wSCgtjY8Z96EfOLhUmQshK1j46BVeZrNu-rBFtll-uruoN-hfXAf-msImwv-Rm_clJo7c1XYdoC9zySGvL=w1200|https://lh3.googleusercontent.com/pw/AP1GczOlSGZsQOY9mGvkevZ1vCj_AHVT7KLvdqs3SdJORTqvkK98X929fs73AJ7U4O3ib-9IZ5E9iUcdCub8WW2rgLKyPidxkZr6RrP8sSUYQ-GfcCyL6df3=w1200|https://lh3.googleusercontent.com/pw/AP1GczPpTt6Z_cKyc62BKofu1G5jTQX9qRjK5oJa4-vqA6Yn6WAxmEr3tAEj40G99LYXJeSWj6qW41eAkR4oOohTLPSIUgTkKx_V4TXYZ1z_4uwsd2nlCLP6=w1200|https://lh3.googleusercontent.com/pw/AP1GczMuGmr6giyl3uSonXKO3OPkHsDdXXlXzTc3yZpMjAt68E62v2ibHXRcYmNV_p_sKgj6dcWSTyghzf8eHK4s6_I6c560emP_eyDQ4teb7cl0CLJFw3YY=w1200|https://lh3.googleusercontent.com/pw/AP1GczNU0APJMuQCjXH8CKnAxoYrBsloJnCOlIbGgP4vli5_E4mZBZ6LKYxzCtPqzHAQbuvNyf9b5XiED3CrIe1PSJrQyYlGb0huJPtEXxOnTYsWZHkS8AKX=w1200|https://lh3.googleusercontent.com/pw/AP1GczNx-Jnf75EyLM8XIYvWe11-cRm75a9e0LrJwcuilvzH3lBhXE4CUJ7HzP6F_L4qGZbcBdUocgUL2cDub77Bq7LAdV8BUnDw-qWyeYhFXmgwaMYBlf4n=w1200|https://lh3.googleusercontent.com/pw/AP1GczPJgfDahWDHqHE8eVP0DJl2asotMIEpfvIjMimCBWw_njINUqNUnDRRQAwhWbOs4NkQ2WS-wIHMYTjlW-2ZoJPKNqlbKMNMW2gp_V6bcwI_EZc5Zgdt=w1200|https://lh3.googleusercontent.com/pw/AP1GczNaZWz4GfakhhRvD34sBHaZIEtvin2xODzbKKLf3gwADsheYQhKbDYtPWiL4PVxQL8mTiI_Er-dk7M7LH49yV5hmniwue02tDQ65Xts9oyRVfKNtTvC=w1200</v>
      </c>
      <c r="AJ439" s="46"/>
      <c r="AK439" s="46"/>
      <c r="AL439" s="46"/>
      <c r="AM439" s="46"/>
      <c r="AN439" s="46"/>
      <c r="AO439" s="46"/>
      <c r="AP439" s="46"/>
      <c r="AQ439" s="46"/>
      <c r="AR439" s="46"/>
      <c r="AS439" s="46"/>
      <c r="AT439" s="46"/>
      <c r="AU439" s="46"/>
      <c r="AV439" s="46"/>
      <c r="AW439" s="46"/>
      <c r="AX439" s="46"/>
      <c r="AY439" s="46"/>
      <c r="AZ439" s="46"/>
      <c r="BA439" s="46"/>
      <c r="BB439" s="46"/>
      <c r="BC439" s="46"/>
      <c r="BD439" s="46"/>
      <c r="BE439" s="46"/>
      <c r="BF439" s="46"/>
      <c r="BG439" s="46"/>
      <c r="BH439" s="46"/>
      <c r="BI439" s="46"/>
      <c r="BJ439" s="46"/>
      <c r="BK439" s="46"/>
      <c r="BL439" s="46"/>
      <c r="BM439" s="46"/>
      <c r="BN439" s="46"/>
      <c r="BO439" s="46"/>
      <c r="BP439" s="46"/>
      <c r="BQ439" s="46"/>
      <c r="BR439" s="46"/>
      <c r="BS439" s="46"/>
      <c r="BT439" s="46"/>
      <c r="BU439" s="46"/>
      <c r="BV439" s="46"/>
      <c r="BW439" s="46"/>
      <c r="BX439" s="46"/>
      <c r="BY439" s="46"/>
      <c r="BZ439" s="46"/>
      <c r="CA439" s="46"/>
      <c r="CB439" s="46"/>
      <c r="CC439" s="46"/>
    </row>
    <row r="440">
      <c r="A440" s="87" t="str">
        <f>IFERROR(__xludf.DUMMYFUNCTION("""COMPUTED_VALUE"""),"6420")</f>
        <v>6420</v>
      </c>
      <c r="B440" s="46" t="str">
        <f>IFERROR(__xludf.DUMMYFUNCTION("""COMPUTED_VALUE"""),"Casa en barrio Manzanares - Sur")</f>
        <v>Casa en barrio Manzanares - Sur</v>
      </c>
      <c r="C440" s="46" t="str">
        <f>IFERROR(__xludf.DUMMYFUNCTION("""COMPUTED_VALUE"""),"Casa")</f>
        <v>Casa</v>
      </c>
      <c r="D440" s="46" t="str">
        <f>IFERROR(__xludf.DUMMYFUNCTION("""COMPUTED_VALUE"""),"Manzanares")</f>
        <v>Manzanares</v>
      </c>
      <c r="E440" s="46"/>
      <c r="F440" s="90">
        <f>IFERROR(__xludf.DUMMYFUNCTION("""COMPUTED_VALUE"""),2.4E8)</f>
        <v>240000000</v>
      </c>
      <c r="G440" s="46" t="str">
        <f>IFERROR(__xludf.DUMMYFUNCTION("""COMPUTED_VALUE"""),"$200'000.000 a $300'000.000")</f>
        <v>$200'000.000 a $300'000.000</v>
      </c>
      <c r="H440" s="46"/>
      <c r="I440" s="46"/>
      <c r="J440" s="46" t="str">
        <f>IFERROR(__xludf.DUMMYFUNCTION("""COMPUTED_VALUE"""),"Sur")</f>
        <v>Sur</v>
      </c>
      <c r="K440" s="87" t="str">
        <f>IFERROR(__xludf.DUMMYFUNCTION("""COMPUTED_VALUE"""),"6")</f>
        <v>6</v>
      </c>
      <c r="L440" s="46">
        <f>IFERROR(__xludf.DUMMYFUNCTION("""COMPUTED_VALUE"""),3.0)</f>
        <v>3</v>
      </c>
      <c r="M440" s="46"/>
      <c r="N440" s="46">
        <f>IFERROR(__xludf.DUMMYFUNCTION("""COMPUTED_VALUE"""),3.0)</f>
        <v>3</v>
      </c>
      <c r="O440" s="46">
        <f>IFERROR(__xludf.DUMMYFUNCTION("""COMPUTED_VALUE"""),1.0)</f>
        <v>1</v>
      </c>
      <c r="P440" s="46">
        <f>IFERROR(__xludf.DUMMYFUNCTION("""COMPUTED_VALUE"""),2.0)</f>
        <v>2</v>
      </c>
      <c r="Q440" s="92">
        <f>IFERROR(__xludf.DUMMYFUNCTION("""COMPUTED_VALUE"""),0.0)</f>
        <v>0</v>
      </c>
      <c r="R440" s="92">
        <f>IFERROR(__xludf.DUMMYFUNCTION("""COMPUTED_VALUE"""),0.0)</f>
        <v>0</v>
      </c>
      <c r="S440" s="87" t="str">
        <f>IFERROR(__xludf.DUMMYFUNCTION("""COMPUTED_VALUE""")," ")</f>
        <v> </v>
      </c>
      <c r="T440" s="46" t="str">
        <f>IFERROR(__xludf.DUMMYFUNCTION("""COMPUTED_VALUE"""),"Neiva")</f>
        <v>Neiva</v>
      </c>
      <c r="U440" s="87" t="str">
        <f>IFERROR(__xludf.DUMMYFUNCTION("""COMPUTED_VALUE"""),"2")</f>
        <v>2</v>
      </c>
      <c r="V440" s="46" t="str">
        <f>IFERROR(__xludf.DUMMYFUNCTION("""COMPUTED_VALUE"""),"Medianera")</f>
        <v>Medianera</v>
      </c>
      <c r="W440" s="46"/>
      <c r="X440" s="46">
        <f>IFERROR(__xludf.DUMMYFUNCTION("""COMPUTED_VALUE"""),3.0)</f>
        <v>3</v>
      </c>
      <c r="Y440" s="46" t="str">
        <f>IFERROR(__xludf.DUMMYFUNCTION("""COMPUTED_VALUE"""),"No tiene")</f>
        <v>No tiene</v>
      </c>
      <c r="Z440" s="90" t="str">
        <f>IFERROR(__xludf.DUMMYFUNCTION("""COMPUTED_VALUE"""),"No aplica")</f>
        <v>No aplica</v>
      </c>
      <c r="AA440" s="33" t="str">
        <f>IFERROR(__xludf.DUMMYFUNCTION("""COMPUTED_VALUE"""),"No aplica")</f>
        <v>No aplica</v>
      </c>
      <c r="AB440" s="96" t="str">
        <f>IFERROR(__xludf.DUMMYFUNCTION("""COMPUTED_VALUE"""),"https://photos.app.goo.gl/HQXtXtWDUfzL5dfU9")</f>
        <v>https://photos.app.goo.gl/HQXtXtWDUfzL5dfU9</v>
      </c>
      <c r="AC440" s="46" t="str">
        <f>IFERROR(__xludf.DUMMYFUNCTION("""COMPUTED_VALUE"""),"Esta hermosa casa de dos pisos, ubicada en el barrio Manzanares, destaca por su funcional distribución y espacios interiores revestidos con pisos de cerámica clara y muros estucados en tono blanco. El primer nivel acoge una cómoda sala-comedor, un baño so"&amp;"cial y una cocina integral equipada con llamativos muebles modulares en color rojo, estufa empotrada y horno. En la parte posterior se despliega un generoso patio abierto con zona de lavandería, lavadero tradicional enchapado y una pared de acento en ladr"&amp;"illo a la vista. El área de descanso ofrece un segundo baño social y tres habitaciones con clósets empotrados en madera, destacando la alcoba principal por disponer de aire acondicionado y baño privado, además de contar con un parqueadero propio bastante "&amp;"amplio.")</f>
        <v>Esta hermosa casa de dos pisos, ubicada en el barrio Manzanares, destaca por su funcional distribución y espacios interiores revestidos con pisos de cerámica clara y muros estucados en tono blanco. El primer nivel acoge una cómoda sala-comedor, un baño social y una cocina integral equipada con llamativos muebles modulares en color rojo, estufa empotrada y horno. En la parte posterior se despliega un generoso patio abierto con zona de lavandería, lavadero tradicional enchapado y una pared de acento en ladrillo a la vista. El área de descanso ofrece un segundo baño social y tres habitaciones con clósets empotrados en madera, destacando la alcoba principal por disponer de aire acondicionado y baño privado, además de contar con un parqueadero propio bastante amplio.</v>
      </c>
      <c r="AD440" s="46" t="str">
        <f>IFERROR(__xludf.DUMMYFUNCTION("""COMPUTED_VALUE"""),"La propiedad se consolida como una oportunidad única de inversión gracias a sus extraordinarios atributos de confort y protección, diseñados para el bienestar familiar inmediato. Su principal factor de atracción es el sistema de seguridad integrado que in"&amp;"cluye cuatro cámaras instaladas, lo que aporta una enorme tranquilidad y privacidad a los residentes. El confort térmico que brinda el aire acondicionado en la habitación principal y la amplitud de su patio interior —ideal para reuniones, mascotas o espar"&amp;"cimiento— marcan una notable diferencia frente a otras opciones del mercado. Todo esto, sumado a su excelente ubicación en un sector residencial seguro y de fácil acceso, la convierte en la elección definitiva para familias que buscan un hogar listo para "&amp;"habitar.")</f>
        <v>La propiedad se consolida como una oportunidad única de inversión gracias a sus extraordinarios atributos de confort y protección, diseñados para el bienestar familiar inmediato. Su principal factor de atracción es el sistema de seguridad integrado que incluye cuatro cámaras instaladas, lo que aporta una enorme tranquilidad y privacidad a los residentes. El confort térmico que brinda el aire acondicionado en la habitación principal y la amplitud de su patio interior —ideal para reuniones, mascotas o esparcimiento— marcan una notable diferencia frente a otras opciones del mercado. Todo esto, sumado a su excelente ubicación en un sector residencial seguro y de fácil acceso, la convierte en la elección definitiva para familias que buscan un hogar listo para habitar.</v>
      </c>
      <c r="AE440" s="46"/>
      <c r="AF440" s="46" t="str">
        <f>IFERROR(__xludf.DUMMYFUNCTION("""COMPUTED_VALUE"""),"integral")</f>
        <v>integral</v>
      </c>
      <c r="AG440" s="46"/>
      <c r="AH440" s="46" t="str">
        <f>IFERROR(__xludf.DUMMYFUNCTION("""COMPUTED_VALUE"""),"Aliado")</f>
        <v>Aliado</v>
      </c>
      <c r="AI440" s="92" t="str">
        <f>IFERROR(__xludf.DUMMYFUNCTION("""COMPUTED_VALUE"""),"https://lh3.googleusercontent.com/pw/AP1GczP7yvlihYsUpAfjVEh6_cQUA_vYSmxZYdZF5icJ-hHP-LXUW1afjaLl_F-k0ziCgkBFbBmRNorVV-C0vzheWEOyhmgcGd5jXfLec9gE8PAwzZ5VqGxs=w1200|https://lh3.googleusercontent.com/pw/AP1GczPBHbp4l6ynN9c1eDjGz_Ynx7Vg37rUpftkyLhLapsmSWMLOJ"&amp;"0das-2_ycU_BN5O7PPAbp8xB51jQcVZuUOVqBv23vkSuPrWvHsN-HSITk4iYU6_kD7=w1200|https://lh3.googleusercontent.com/pw/AP1GczNejjtXVDh32DwWbACVrGphic6cxXjt8bk0TRIamBaM0jzA8wzCgeuLoyFtz4SdmZhOtsdgkqXbB02oEXAJigcQmvesq71_a28tqOD0ffz5cHFFVRTQ=w1200|https://lh3.google"&amp;"usercontent.com/pw/AP1GczMqsRQplF1qGqid3BO93hx_O4TWZRLAYnNPgXvdpgOaZ_cNnkX1jok7dfJ9OeTfgrjfChYVY4jx-6RwfsaEEUlIjcm-tQnnQvAdycGwtC9zwGiwGvTF=w1200|https://lh3.googleusercontent.com/pw/AP1GczNdGXPWel4tH--TG4XBp1gNIvc0fCNhify_1SCJkDb1PwwJCK7RlFtoNpS6HqmGI-v2"&amp;"-5t79ylTbHc6Db_TihD7FFjsdt1T2wdSduMvhqmM57ugQyxK=w1200|https://lh3.googleusercontent.com/pw/AP1GczNsiaDvP7dt1hf-ydSVdaV_kcvnKAp9znkEj90pWgdqoh0XwcVqDxPJdE1UXO6Wh-nl3dd0YFotcPsYmXR6vojcyFJPFO15Zqd1yvdx1xI93bKKXBG1=w1200|https://lh3.googleusercontent.com/pw"&amp;"/AP1GczPs9PAWB7LO4SCXW-MnDxgXYzMrxBmEf7VNu_MojN4ZGzP3xDq4lIPSm_GY_MqWRcFlISdMcLYcSFQUS3LKt2Ls54nUjFxP3cbS9Vmvz_X3gZXQEQFO=w1200|https://lh3.googleusercontent.com/pw/AP1GczMTxEGmwCeW5N8RBot6h_6EoHtB40lu9QRKI1bNIWJSJeNr2SvEsdy_ocbSnz0uygt-CYCu0OixRUyQcf6xxH"&amp;"o-JLryNUypudvORGbA242JpQ-D1PwF=w1200|https://lh3.googleusercontent.com/pw/AP1GczM_MhGg_oPr_hTDEh6GPb6-o30rN7eH9yuLHR2vKz5xljDq8bfE2sXTE6JUXTw7e2CTe4LpZGJePceME48Ohs-4tvpqg5Qtu0NNdBXiaTLHfEPHEPy3=w1200|https://lh3.googleusercontent.com/pw/AP1GczO5-hiBnfr--"&amp;"bBarDVOC8XUYR53P54-4wzVY0xJDhlslPFwDAnPrQYwlWFcTFmg-ulE6BK2UEn7eWbA_EOAbqTeIzFc-Or6vFnvR8JH5qzSJUfM9tpu=w1200|https://lh3.googleusercontent.com/pw/AP1GczN9ohNaSHVY9iiXh4Pmv3Zy-6neDe6NKDryx6CUrvMqFrAUtm6vKrn-azAUam3-3gWW_bTCMZOARZepRO_kcRY_qPex79zlpIb0nGdj"&amp;"aSklVlH_xAq0=w1200|https://lh3.googleusercontent.com/pw/AP1GczPeJITGEgJKlmSu2H9QdhUk4OC_FfG5O9FsdW2ur4PhXiJarzZ5DYIFNluSq5zAKwHLQUpKlsz5KZSTgTGktH1i_O7AXdg_TiYufbSs7FM5geqmMyxe=w1200")</f>
        <v>https://lh3.googleusercontent.com/pw/AP1GczP7yvlihYsUpAfjVEh6_cQUA_vYSmxZYdZF5icJ-hHP-LXUW1afjaLl_F-k0ziCgkBFbBmRNorVV-C0vzheWEOyhmgcGd5jXfLec9gE8PAwzZ5VqGxs=w1200|https://lh3.googleusercontent.com/pw/AP1GczPBHbp4l6ynN9c1eDjGz_Ynx7Vg37rUpftkyLhLapsmSWMLOJ0das-2_ycU_BN5O7PPAbp8xB51jQcVZuUOVqBv23vkSuPrWvHsN-HSITk4iYU6_kD7=w1200|https://lh3.googleusercontent.com/pw/AP1GczNejjtXVDh32DwWbACVrGphic6cxXjt8bk0TRIamBaM0jzA8wzCgeuLoyFtz4SdmZhOtsdgkqXbB02oEXAJigcQmvesq71_a28tqOD0ffz5cHFFVRTQ=w1200|https://lh3.googleusercontent.com/pw/AP1GczMqsRQplF1qGqid3BO93hx_O4TWZRLAYnNPgXvdpgOaZ_cNnkX1jok7dfJ9OeTfgrjfChYVY4jx-6RwfsaEEUlIjcm-tQnnQvAdycGwtC9zwGiwGvTF=w1200|https://lh3.googleusercontent.com/pw/AP1GczNdGXPWel4tH--TG4XBp1gNIvc0fCNhify_1SCJkDb1PwwJCK7RlFtoNpS6HqmGI-v2-5t79ylTbHc6Db_TihD7FFjsdt1T2wdSduMvhqmM57ugQyxK=w1200|https://lh3.googleusercontent.com/pw/AP1GczNsiaDvP7dt1hf-ydSVdaV_kcvnKAp9znkEj90pWgdqoh0XwcVqDxPJdE1UXO6Wh-nl3dd0YFotcPsYmXR6vojcyFJPFO15Zqd1yvdx1xI93bKKXBG1=w1200|https://lh3.googleusercontent.com/pw/AP1GczPs9PAWB7LO4SCXW-MnDxgXYzMrxBmEf7VNu_MojN4ZGzP3xDq4lIPSm_GY_MqWRcFlISdMcLYcSFQUS3LKt2Ls54nUjFxP3cbS9Vmvz_X3gZXQEQFO=w1200|https://lh3.googleusercontent.com/pw/AP1GczMTxEGmwCeW5N8RBot6h_6EoHtB40lu9QRKI1bNIWJSJeNr2SvEsdy_ocbSnz0uygt-CYCu0OixRUyQcf6xxHo-JLryNUypudvORGbA242JpQ-D1PwF=w1200|https://lh3.googleusercontent.com/pw/AP1GczM_MhGg_oPr_hTDEh6GPb6-o30rN7eH9yuLHR2vKz5xljDq8bfE2sXTE6JUXTw7e2CTe4LpZGJePceME48Ohs-4tvpqg5Qtu0NNdBXiaTLHfEPHEPy3=w1200|https://lh3.googleusercontent.com/pw/AP1GczO5-hiBnfr--bBarDVOC8XUYR53P54-4wzVY0xJDhlslPFwDAnPrQYwlWFcTFmg-ulE6BK2UEn7eWbA_EOAbqTeIzFc-Or6vFnvR8JH5qzSJUfM9tpu=w1200|https://lh3.googleusercontent.com/pw/AP1GczN9ohNaSHVY9iiXh4Pmv3Zy-6neDe6NKDryx6CUrvMqFrAUtm6vKrn-azAUam3-3gWW_bTCMZOARZepRO_kcRY_qPex79zlpIb0nGdjaSklVlH_xAq0=w1200|https://lh3.googleusercontent.com/pw/AP1GczPeJITGEgJKlmSu2H9QdhUk4OC_FfG5O9FsdW2ur4PhXiJarzZ5DYIFNluSq5zAKwHLQUpKlsz5KZSTgTGktH1i_O7AXdg_TiYufbSs7FM5geqmMyxe=w1200</v>
      </c>
      <c r="AJ440" s="46"/>
      <c r="AK440" s="46"/>
      <c r="AL440" s="46"/>
      <c r="AM440" s="46"/>
      <c r="AN440" s="46"/>
      <c r="AO440" s="46"/>
      <c r="AP440" s="46"/>
      <c r="AQ440" s="46"/>
      <c r="AR440" s="46"/>
      <c r="AS440" s="46"/>
      <c r="AT440" s="46"/>
      <c r="AU440" s="46"/>
      <c r="AV440" s="46"/>
      <c r="AW440" s="46"/>
      <c r="AX440" s="46"/>
      <c r="AY440" s="46"/>
      <c r="AZ440" s="46"/>
      <c r="BA440" s="46"/>
      <c r="BB440" s="46"/>
      <c r="BC440" s="46"/>
      <c r="BD440" s="46"/>
      <c r="BE440" s="46"/>
      <c r="BF440" s="46"/>
      <c r="BG440" s="46"/>
      <c r="BH440" s="46"/>
      <c r="BI440" s="46"/>
      <c r="BJ440" s="46"/>
      <c r="BK440" s="46"/>
      <c r="BL440" s="46"/>
      <c r="BM440" s="46"/>
      <c r="BN440" s="46"/>
      <c r="BO440" s="46"/>
      <c r="BP440" s="46"/>
      <c r="BQ440" s="46"/>
      <c r="BR440" s="46"/>
      <c r="BS440" s="46"/>
      <c r="BT440" s="46"/>
      <c r="BU440" s="46"/>
      <c r="BV440" s="46"/>
      <c r="BW440" s="46"/>
      <c r="BX440" s="46"/>
      <c r="BY440" s="46"/>
      <c r="BZ440" s="46"/>
      <c r="CA440" s="46"/>
      <c r="CB440" s="46"/>
      <c r="CC440" s="46"/>
    </row>
    <row r="441">
      <c r="A441" s="87" t="str">
        <f>IFERROR(__xludf.DUMMYFUNCTION("""COMPUTED_VALUE"""),"6293")</f>
        <v>6293</v>
      </c>
      <c r="B441" s="46" t="str">
        <f>IFERROR(__xludf.DUMMYFUNCTION("""COMPUTED_VALUE"""),"Casa en barrio Los Andaquíes - Rivera")</f>
        <v>Casa en barrio Los Andaquíes - Rivera</v>
      </c>
      <c r="C441" s="46" t="str">
        <f>IFERROR(__xludf.DUMMYFUNCTION("""COMPUTED_VALUE"""),"Casa")</f>
        <v>Casa</v>
      </c>
      <c r="D441" s="46" t="str">
        <f>IFERROR(__xludf.DUMMYFUNCTION("""COMPUTED_VALUE"""),"Los Andaquíes")</f>
        <v>Los Andaquíes</v>
      </c>
      <c r="E441" s="46"/>
      <c r="F441" s="90">
        <f>IFERROR(__xludf.DUMMYFUNCTION("""COMPUTED_VALUE"""),2.39E8)</f>
        <v>239000000</v>
      </c>
      <c r="G441" s="46" t="str">
        <f>IFERROR(__xludf.DUMMYFUNCTION("""COMPUTED_VALUE"""),"$200'000.000 a $300'000.000")</f>
        <v>$200'000.000 a $300'000.000</v>
      </c>
      <c r="H441" s="46"/>
      <c r="I441" s="46"/>
      <c r="J441" s="46" t="str">
        <f>IFERROR(__xludf.DUMMYFUNCTION("""COMPUTED_VALUE"""),"Centro")</f>
        <v>Centro</v>
      </c>
      <c r="K441" s="87"/>
      <c r="L441" s="46">
        <f>IFERROR(__xludf.DUMMYFUNCTION("""COMPUTED_VALUE"""),3.0)</f>
        <v>3</v>
      </c>
      <c r="M441" s="46"/>
      <c r="N441" s="46">
        <f>IFERROR(__xludf.DUMMYFUNCTION("""COMPUTED_VALUE"""),2.0)</f>
        <v>2</v>
      </c>
      <c r="O441" s="46">
        <f>IFERROR(__xludf.DUMMYFUNCTION("""COMPUTED_VALUE"""),2.0)</f>
        <v>2</v>
      </c>
      <c r="P441" s="46">
        <f>IFERROR(__xludf.DUMMYFUNCTION("""COMPUTED_VALUE"""),1.0)</f>
        <v>1</v>
      </c>
      <c r="Q441" s="92">
        <f>IFERROR(__xludf.DUMMYFUNCTION("""COMPUTED_VALUE"""),130.0)</f>
        <v>130</v>
      </c>
      <c r="R441" s="92">
        <f>IFERROR(__xludf.DUMMYFUNCTION("""COMPUTED_VALUE"""),130.0)</f>
        <v>130</v>
      </c>
      <c r="S441" s="87" t="str">
        <f>IFERROR(__xludf.DUMMYFUNCTION("""COMPUTED_VALUE""")," ")</f>
        <v> </v>
      </c>
      <c r="T441" s="46" t="str">
        <f>IFERROR(__xludf.DUMMYFUNCTION("""COMPUTED_VALUE"""),"Rivera")</f>
        <v>Rivera</v>
      </c>
      <c r="U441" s="87" t="str">
        <f>IFERROR(__xludf.DUMMYFUNCTION("""COMPUTED_VALUE"""),"2")</f>
        <v>2</v>
      </c>
      <c r="V441" s="46" t="str">
        <f>IFERROR(__xludf.DUMMYFUNCTION("""COMPUTED_VALUE"""),"Medianera")</f>
        <v>Medianera</v>
      </c>
      <c r="W441" s="46"/>
      <c r="X441" s="46">
        <f>IFERROR(__xludf.DUMMYFUNCTION("""COMPUTED_VALUE"""),3.0)</f>
        <v>3</v>
      </c>
      <c r="Y441" s="46" t="str">
        <f>IFERROR(__xludf.DUMMYFUNCTION("""COMPUTED_VALUE"""),"No tiene")</f>
        <v>No tiene</v>
      </c>
      <c r="Z441" s="90" t="str">
        <f>IFERROR(__xludf.DUMMYFUNCTION("""COMPUTED_VALUE"""),"No aplica")</f>
        <v>No aplica</v>
      </c>
      <c r="AA441" s="33" t="str">
        <f>IFERROR(__xludf.DUMMYFUNCTION("""COMPUTED_VALUE"""),"No aplica")</f>
        <v>No aplica</v>
      </c>
      <c r="AB441" s="96" t="str">
        <f>IFERROR(__xludf.DUMMYFUNCTION("""COMPUTED_VALUE"""),"https://photos.app.goo.gl/DiAs87km1yarPKgB8")</f>
        <v>https://photos.app.goo.gl/DiAs87km1yarPKgB8</v>
      </c>
      <c r="AC441" s="46" t="str">
        <f>IFERROR(__xludf.DUMMYFUNCTION("""COMPUTED_VALUE"""),"Esta hermosa casa nueva de estrato 2, ubicada en el Barrio Los Andaquies en Rivera, Huila, cuenta con 130 metros cuadrados construidos sobre un terreno de 7.5 metros de frente por 17 metros de fondo. Al ingresar, se destaca una amplia sala-comedor equipad"&amp;"a con un mueble para TV de madera y techos con un espectacular diseño de paneles de yeso con iluminación LED indirecta integrada. La distribución interior se compone de tres habitaciones con amplios closets empotrados, dos baños modernos con divisiones de"&amp;" vidrio templado, lavamanos tipo vasija y muebles inferiores, además de un patio de ropas independiente con alberca, terraza y tanque de reserva de agua. La cocina integral presenta un diseño abierto contemporáneo con encimeras y una imponente isla con ac"&amp;"abados tipo mármol blanco, equipada con estufa empotrada, horno y campana extractora de acero inoxidable. Adicionalmente, la vivienda ofrece comodidad vehicular con sus dos amplios parqueaderos protegidos por una reja corrediza.")</f>
        <v>Esta hermosa casa nueva de estrato 2, ubicada en el Barrio Los Andaquies en Rivera, Huila, cuenta con 130 metros cuadrados construidos sobre un terreno de 7.5 metros de frente por 17 metros de fondo. Al ingresar, se destaca una amplia sala-comedor equipada con un mueble para TV de madera y techos con un espectacular diseño de paneles de yeso con iluminación LED indirecta integrada. La distribución interior se compone de tres habitaciones con amplios closets empotrados, dos baños modernos con divisiones de vidrio templado, lavamanos tipo vasija y muebles inferiores, además de un patio de ropas independiente con alberca, terraza y tanque de reserva de agua. La cocina integral presenta un diseño abierto contemporáneo con encimeras y una imponente isla con acabados tipo mármol blanco, equipada con estufa empotrada, horno y campana extractora de acero inoxidable. Adicionalmente, la vivienda ofrece comodidad vehicular con sus dos amplios parqueaderos protegidos por una reja corrediza.</v>
      </c>
      <c r="AD441" s="46" t="str">
        <f>IFERROR(__xludf.DUMMYFUNCTION("""COMPUTED_VALUE"""),"La propiedad representa una oportunidad de inversión inigualable al tratarse de un inmueble completamente a estrenar, diseñado con acabados de lujo que garantizan el máximo confort y elegancia. Una de sus mayores ventajas competitivas es su estratégica fu"&amp;"ncionalidad de entrada por dos calles diferentes, brindando una versatilidad y accesibilidad únicas en la zona. Además, su ubicación privilegiada cerca de una zona comercial de alta valorización asegura un crecimiento constante del patrimonio en un entorn"&amp;"o tranquilo y residencial. Con escrituras y licencia de construcción totalmente al día, esta casa es la opción perfecta para familias que buscan seguridad jurídica, modernidad y una vida cómoda lista para disfrutar desde el primer momento.")</f>
        <v>La propiedad representa una oportunidad de inversión inigualable al tratarse de un inmueble completamente a estrenar, diseñado con acabados de lujo que garantizan el máximo confort y elegancia. Una de sus mayores ventajas competitivas es su estratégica funcionalidad de entrada por dos calles diferentes, brindando una versatilidad y accesibilidad únicas en la zona. Además, su ubicación privilegiada cerca de una zona comercial de alta valorización asegura un crecimiento constante del patrimonio en un entorno tranquilo y residencial. Con escrituras y licencia de construcción totalmente al día, esta casa es la opción perfecta para familias que buscan seguridad jurídica, modernidad y una vida cómoda lista para disfrutar desde el primer momento.</v>
      </c>
      <c r="AE441" s="46"/>
      <c r="AF441" s="46" t="str">
        <f>IFERROR(__xludf.DUMMYFUNCTION("""COMPUTED_VALUE"""),"integral")</f>
        <v>integral</v>
      </c>
      <c r="AG441" s="46"/>
      <c r="AH441" s="46" t="str">
        <f>IFERROR(__xludf.DUMMYFUNCTION("""COMPUTED_VALUE"""),"Aliado")</f>
        <v>Aliado</v>
      </c>
      <c r="AI441" s="92" t="str">
        <f>IFERROR(__xludf.DUMMYFUNCTION("""COMPUTED_VALUE"""),"https://lh3.googleusercontent.com/pw/AP1GczN02Wg6XMX4fzVDc4FZGKwrOylLY0yJ85lOswk6ySqjyn0LYrUS_RxBHCv25T_eVUkj-rNwvmmu_zOfqYyU-4QsembIc7UH7nd2eYlTZvn4qqSpXj_T=w1200|https://lh3.googleusercontent.com/pw/AP1GczO9frfeeWY1krWS8dcxrA1KPAD8CBgW59kHn1gHyB2szfPXPv"&amp;"5KLvA2nGfvoemAi2X04-2PQWopmfGoty82RcO-6eziiB8zbOoVHCvFLVRxWWLWj4IK=w1200|https://lh3.googleusercontent.com/pw/AP1GczNTOcvPiFnA16JGlaMjcBL6ZyYmNJv7H20vFF0nYsmGEHSHp1HPFSrGB2tDF8I20jPFjaiNvK4K3v-8cYy_BYSwCeSG3q8gXS9oPRZrXu3uQLgcrWao=w1200|https://lh3.google"&amp;"usercontent.com/pw/AP1GczPIRgkVpl0RxnAzGrP_ObX-Su4cRlf13P1qKK_6uwXVwv5VibXaWqllu75zzfPTCo68B5SlPC4O2pH9ZO_xPBCyM8Kma9JkOnCoALyL9Zzwd5HK6VMJ=w1200|https://lh3.googleusercontent.com/pw/AP1GczMHj9neu4aj2AYgzNGUBkAqSBI6J-b0Yx8S2CWWUKP9m0kWcjgFWYkg-o8MFi4ak2aZ"&amp;"E6zWn8ELaV1_CGm4NLRNqB569SKOyugivSiSLbiopCBjKSGj=w1200|https://lh3.googleusercontent.com/pw/AP1GczPfGyx8cZya7yfeeunjO6KjxahqDYFyGcODO1NfuSwpKHVE1A7nGPV7YabSVzO1rsXPUiNI4LEUe2M_JN-2inAgkbgF2IHkX7WCi_uDfqkahPLwKpdy=w1200")</f>
        <v>https://lh3.googleusercontent.com/pw/AP1GczN02Wg6XMX4fzVDc4FZGKwrOylLY0yJ85lOswk6ySqjyn0LYrUS_RxBHCv25T_eVUkj-rNwvmmu_zOfqYyU-4QsembIc7UH7nd2eYlTZvn4qqSpXj_T=w1200|https://lh3.googleusercontent.com/pw/AP1GczO9frfeeWY1krWS8dcxrA1KPAD8CBgW59kHn1gHyB2szfPXPv5KLvA2nGfvoemAi2X04-2PQWopmfGoty82RcO-6eziiB8zbOoVHCvFLVRxWWLWj4IK=w1200|https://lh3.googleusercontent.com/pw/AP1GczNTOcvPiFnA16JGlaMjcBL6ZyYmNJv7H20vFF0nYsmGEHSHp1HPFSrGB2tDF8I20jPFjaiNvK4K3v-8cYy_BYSwCeSG3q8gXS9oPRZrXu3uQLgcrWao=w1200|https://lh3.googleusercontent.com/pw/AP1GczPIRgkVpl0RxnAzGrP_ObX-Su4cRlf13P1qKK_6uwXVwv5VibXaWqllu75zzfPTCo68B5SlPC4O2pH9ZO_xPBCyM8Kma9JkOnCoALyL9Zzwd5HK6VMJ=w1200|https://lh3.googleusercontent.com/pw/AP1GczMHj9neu4aj2AYgzNGUBkAqSBI6J-b0Yx8S2CWWUKP9m0kWcjgFWYkg-o8MFi4ak2aZE6zWn8ELaV1_CGm4NLRNqB569SKOyugivSiSLbiopCBjKSGj=w1200|https://lh3.googleusercontent.com/pw/AP1GczPfGyx8cZya7yfeeunjO6KjxahqDYFyGcODO1NfuSwpKHVE1A7nGPV7YabSVzO1rsXPUiNI4LEUe2M_JN-2inAgkbgF2IHkX7WCi_uDfqkahPLwKpdy=w1200</v>
      </c>
      <c r="AJ441" s="46"/>
      <c r="AK441" s="46"/>
      <c r="AL441" s="46"/>
      <c r="AM441" s="46"/>
      <c r="AN441" s="46"/>
      <c r="AO441" s="46"/>
      <c r="AP441" s="46"/>
      <c r="AQ441" s="46"/>
      <c r="AR441" s="46"/>
      <c r="AS441" s="46"/>
      <c r="AT441" s="46"/>
      <c r="AU441" s="46"/>
      <c r="AV441" s="46"/>
      <c r="AW441" s="46"/>
      <c r="AX441" s="46"/>
      <c r="AY441" s="46"/>
      <c r="AZ441" s="46"/>
      <c r="BA441" s="46"/>
      <c r="BB441" s="46"/>
      <c r="BC441" s="46"/>
      <c r="BD441" s="46"/>
      <c r="BE441" s="46"/>
      <c r="BF441" s="46"/>
      <c r="BG441" s="46"/>
      <c r="BH441" s="46"/>
      <c r="BI441" s="46"/>
      <c r="BJ441" s="46"/>
      <c r="BK441" s="46"/>
      <c r="BL441" s="46"/>
      <c r="BM441" s="46"/>
      <c r="BN441" s="46"/>
      <c r="BO441" s="46"/>
      <c r="BP441" s="46"/>
      <c r="BQ441" s="46"/>
      <c r="BR441" s="46"/>
      <c r="BS441" s="46"/>
      <c r="BT441" s="46"/>
      <c r="BU441" s="46"/>
      <c r="BV441" s="46"/>
      <c r="BW441" s="46"/>
      <c r="BX441" s="46"/>
      <c r="BY441" s="46"/>
      <c r="BZ441" s="46"/>
      <c r="CA441" s="46"/>
      <c r="CB441" s="46"/>
      <c r="CC441" s="46"/>
    </row>
    <row r="442">
      <c r="A442" s="87" t="str">
        <f>IFERROR(__xludf.DUMMYFUNCTION("""COMPUTED_VALUE"""),"6466")</f>
        <v>6466</v>
      </c>
      <c r="B442" s="46" t="str">
        <f>IFERROR(__xludf.DUMMYFUNCTION("""COMPUTED_VALUE"""),"Lote en conjunto Condominio Campestre Miralagos - Vía Santa Clara - Palermo")</f>
        <v>Lote en conjunto Condominio Campestre Miralagos - Vía Santa Clara - Palermo</v>
      </c>
      <c r="C442" s="46" t="str">
        <f>IFERROR(__xludf.DUMMYFUNCTION("""COMPUTED_VALUE"""),"Lote en conjunto")</f>
        <v>Lote en conjunto</v>
      </c>
      <c r="D442" s="46"/>
      <c r="E442" s="46" t="str">
        <f>IFERROR(__xludf.DUMMYFUNCTION("""COMPUTED_VALUE"""),"Condominio Campestre Miralagos ")</f>
        <v>Condominio Campestre Miralagos </v>
      </c>
      <c r="F442" s="90">
        <f>IFERROR(__xludf.DUMMYFUNCTION("""COMPUTED_VALUE"""),2.35E8)</f>
        <v>235000000</v>
      </c>
      <c r="G442" s="46" t="str">
        <f>IFERROR(__xludf.DUMMYFUNCTION("""COMPUTED_VALUE"""),"$200'000.000 a $300'000.000")</f>
        <v>$200'000.000 a $300'000.000</v>
      </c>
      <c r="H442" s="46"/>
      <c r="I442" s="46"/>
      <c r="J442" s="46"/>
      <c r="K442" s="87"/>
      <c r="L442" s="46">
        <f>IFERROR(__xludf.DUMMYFUNCTION("""COMPUTED_VALUE"""),0.0)</f>
        <v>0</v>
      </c>
      <c r="M442" s="46"/>
      <c r="N442" s="46">
        <f>IFERROR(__xludf.DUMMYFUNCTION("""COMPUTED_VALUE"""),0.0)</f>
        <v>0</v>
      </c>
      <c r="O442" s="46">
        <f>IFERROR(__xludf.DUMMYFUNCTION("""COMPUTED_VALUE"""),0.0)</f>
        <v>0</v>
      </c>
      <c r="P442" s="46">
        <f>IFERROR(__xludf.DUMMYFUNCTION("""COMPUTED_VALUE"""),0.0)</f>
        <v>0</v>
      </c>
      <c r="Q442" s="92">
        <f>IFERROR(__xludf.DUMMYFUNCTION("""COMPUTED_VALUE"""),0.0)</f>
        <v>0</v>
      </c>
      <c r="R442" s="92">
        <f>IFERROR(__xludf.DUMMYFUNCTION("""COMPUTED_VALUE"""),0.0)</f>
        <v>0</v>
      </c>
      <c r="S442" s="87" t="str">
        <f>IFERROR(__xludf.DUMMYFUNCTION("""COMPUTED_VALUE""")," ")</f>
        <v> </v>
      </c>
      <c r="T442" s="46" t="str">
        <f>IFERROR(__xludf.DUMMYFUNCTION("""COMPUTED_VALUE"""),"Palermo")</f>
        <v>Palermo</v>
      </c>
      <c r="U442" s="87"/>
      <c r="V442" s="46" t="str">
        <f>IFERROR(__xludf.DUMMYFUNCTION("""COMPUTED_VALUE"""),"Medianera")</f>
        <v>Medianera</v>
      </c>
      <c r="W442" s="46"/>
      <c r="X442" s="46">
        <f>IFERROR(__xludf.DUMMYFUNCTION("""COMPUTED_VALUE"""),0.0)</f>
        <v>0</v>
      </c>
      <c r="Y442" s="46" t="str">
        <f>IFERROR(__xludf.DUMMYFUNCTION("""COMPUTED_VALUE"""),"Social")</f>
        <v>Social</v>
      </c>
      <c r="Z442" s="90" t="str">
        <f>IFERROR(__xludf.DUMMYFUNCTION("""COMPUTED_VALUE"""),"No aplica")</f>
        <v>No aplica</v>
      </c>
      <c r="AA442" s="33" t="str">
        <f>IFERROR(__xludf.DUMMYFUNCTION("""COMPUTED_VALUE"""),"No aplica")</f>
        <v>No aplica</v>
      </c>
      <c r="AB442" s="96" t="str">
        <f>IFERROR(__xludf.DUMMYFUNCTION("""COMPUTED_VALUE"""),"https://photos.app.goo.gl/zWRM34wPStAnKZKL8")</f>
        <v>https://photos.app.goo.gl/zWRM34wPStAnKZKL8</v>
      </c>
      <c r="AC442" s="46" t="str">
        <f>IFERROR(__xludf.DUMMYFUNCTION("""COMPUTED_VALUE"""),"Este amplio lote campestre, ubicado a las afueras de la ciudad de Neiva dentro del exclusivo Condominio Campestre Miralago, cuenta con una generosa área total de 702 m². El terreno está identificado técnicamente como un lote medianero bajo la nomenclatura"&amp;" B17 y goza de una ubicación privilegiada y estratégica dentro del diseño urbanístico del complejo. Adicionalmente, cuenta con la enorme ventaja de disponer de la infraestructura lista con todos los servicios públicos esenciales, lo que facilita y agiliza"&amp;" el inicio inmediato de cualquier proyecto de construcción residencial.")</f>
        <v>Este amplio lote campestre, ubicado a las afueras de la ciudad de Neiva dentro del exclusivo Condominio Campestre Miralago, cuenta con una generosa área total de 702 m². El terreno está identificado técnicamente como un lote medianero bajo la nomenclatura B17 y goza de una ubicación privilegiada y estratégica dentro del diseño urbanístico del complejo. Adicionalmente, cuenta con la enorme ventaja de disponer de la infraestructura lista con todos los servicios públicos esenciales, lo que facilita y agiliza el inicio inmediato de cualquier proyecto de construcción residencial.</v>
      </c>
      <c r="AD442" s="46" t="str">
        <f>IFERROR(__xludf.DUMMYFUNCTION("""COMPUTED_VALUE"""),"La propiedad representa la oportunidad perfecta para materializar una vivienda vacacional o de descanso en un entorno natural exclusivo y con un altísimo potencial de valorización. El condominio ofrece un estilo de vida superior gracias a sus inigualables"&amp;" zonas comunes tipo club, que incluyen cuatro lagos naturales, un imponente malecón con 100 metros de playa y deck, piscina infinita semiolímpica con fondo tipo playa, tres jacuzzis y una cafetería frente a la playa. Además, la oferta recreativa se comple"&amp;"menta con senderos ecológicos en bosque nativo, deportes acuáticos sin motor, zonas BBQ, canchas de fútbol y de tenis, todo protegido bajo un estricto esquema de vigilancia privada 24/7 para garantizar la máxima tranquilidad familiar.")</f>
        <v>La propiedad representa la oportunidad perfecta para materializar una vivienda vacacional o de descanso en un entorno natural exclusivo y con un altísimo potencial de valorización. El condominio ofrece un estilo de vida superior gracias a sus inigualables zonas comunes tipo club, que incluyen cuatro lagos naturales, un imponente malecón con 100 metros de playa y deck, piscina infinita semiolímpica con fondo tipo playa, tres jacuzzis y una cafetería frente a la playa. Además, la oferta recreativa se complementa con senderos ecológicos en bosque nativo, deportes acuáticos sin motor, zonas BBQ, canchas de fútbol y de tenis, todo protegido bajo un estricto esquema de vigilancia privada 24/7 para garantizar la máxima tranquilidad familiar.</v>
      </c>
      <c r="AE442" s="46"/>
      <c r="AF442" s="46">
        <f>IFERROR(__xludf.DUMMYFUNCTION("""COMPUTED_VALUE"""),0.0)</f>
        <v>0</v>
      </c>
      <c r="AG442" s="46"/>
      <c r="AH442" s="46" t="str">
        <f>IFERROR(__xludf.DUMMYFUNCTION("""COMPUTED_VALUE"""),"Aliado")</f>
        <v>Aliado</v>
      </c>
      <c r="AI442" s="92" t="str">
        <f>IFERROR(__xludf.DUMMYFUNCTION("""COMPUTED_VALUE"""),"https://lh3.googleusercontent.com/pw/AP1GczMvF25Q1W8rRaKqm_e3c7y4YuuNGpQJCEiajeVndrg0bbV3jmyPEKADJJd_PnXSDqmqoM6kZXMR6MPrPDYIsJaYP8IThVzPnTolkTPBugKgmaevEn6N=w1200|https://lh3.googleusercontent.com/pw/AP1GczMhkPpmToLRwvXrXkGwtBlpPFbiygFVAe2tDMo-Llyj5hBR-V"&amp;"IA9SYoqMBh44q9C6DWM7YI6ld_pQvzz3EWq8eD5aLoa8wzYk-AFPwycLUP4opEXcUJ=w1200|https://lh3.googleusercontent.com/pw/AP1GczOd3ioRWGwWVJLy-KOF2exUzeUclwFWV22ALVPedlvhmSxBvLpbRvQm5wV1xUDAK7G_KCyNbUxUCGEFc0ZudE4-JVmhK5bdclVzjnm_h63vmnJgxpHQ=w1200|https://lh3.google"&amp;"usercontent.com/pw/AP1GczO0U_0eR_RjwdlHjowTNOWgN9ghqFbM6JAt-D8Sfk-OoMS1IVxjbk62NsWcGmzPLr_bjxad88wNgBXz3E9bVe2d4c54Ex4khuFrzyeLMPawkbNtSf4l=w1200")</f>
        <v>https://lh3.googleusercontent.com/pw/AP1GczMvF25Q1W8rRaKqm_e3c7y4YuuNGpQJCEiajeVndrg0bbV3jmyPEKADJJd_PnXSDqmqoM6kZXMR6MPrPDYIsJaYP8IThVzPnTolkTPBugKgmaevEn6N=w1200|https://lh3.googleusercontent.com/pw/AP1GczMhkPpmToLRwvXrXkGwtBlpPFbiygFVAe2tDMo-Llyj5hBR-VIA9SYoqMBh44q9C6DWM7YI6ld_pQvzz3EWq8eD5aLoa8wzYk-AFPwycLUP4opEXcUJ=w1200|https://lh3.googleusercontent.com/pw/AP1GczOd3ioRWGwWVJLy-KOF2exUzeUclwFWV22ALVPedlvhmSxBvLpbRvQm5wV1xUDAK7G_KCyNbUxUCGEFc0ZudE4-JVmhK5bdclVzjnm_h63vmnJgxpHQ=w1200|https://lh3.googleusercontent.com/pw/AP1GczO0U_0eR_RjwdlHjowTNOWgN9ghqFbM6JAt-D8Sfk-OoMS1IVxjbk62NsWcGmzPLr_bjxad88wNgBXz3E9bVe2d4c54Ex4khuFrzyeLMPawkbNtSf4l=w1200</v>
      </c>
      <c r="AJ442" s="46"/>
      <c r="AK442" s="46"/>
      <c r="AL442" s="46"/>
      <c r="AM442" s="46"/>
      <c r="AN442" s="46"/>
      <c r="AO442" s="46"/>
      <c r="AP442" s="46"/>
      <c r="AQ442" s="46"/>
      <c r="AR442" s="46"/>
      <c r="AS442" s="46"/>
      <c r="AT442" s="46"/>
      <c r="AU442" s="46"/>
      <c r="AV442" s="46"/>
      <c r="AW442" s="46"/>
      <c r="AX442" s="46"/>
      <c r="AY442" s="46"/>
      <c r="AZ442" s="46"/>
      <c r="BA442" s="46"/>
      <c r="BB442" s="46"/>
      <c r="BC442" s="46"/>
      <c r="BD442" s="46"/>
      <c r="BE442" s="46"/>
      <c r="BF442" s="46"/>
      <c r="BG442" s="46"/>
      <c r="BH442" s="46"/>
      <c r="BI442" s="46"/>
      <c r="BJ442" s="46"/>
      <c r="BK442" s="46"/>
      <c r="BL442" s="46"/>
      <c r="BM442" s="46"/>
      <c r="BN442" s="46"/>
      <c r="BO442" s="46"/>
      <c r="BP442" s="46"/>
      <c r="BQ442" s="46"/>
      <c r="BR442" s="46"/>
      <c r="BS442" s="46"/>
      <c r="BT442" s="46"/>
      <c r="BU442" s="46"/>
      <c r="BV442" s="46"/>
      <c r="BW442" s="46"/>
      <c r="BX442" s="46"/>
      <c r="BY442" s="46"/>
      <c r="BZ442" s="46"/>
      <c r="CA442" s="46"/>
      <c r="CB442" s="46"/>
      <c r="CC442" s="46"/>
    </row>
    <row r="443">
      <c r="A443" s="87" t="str">
        <f>IFERROR(__xludf.DUMMYFUNCTION("""COMPUTED_VALUE"""),"6888")</f>
        <v>6888</v>
      </c>
      <c r="B443" s="46" t="str">
        <f>IFERROR(__xludf.DUMMYFUNCTION("""COMPUTED_VALUE"""),"Apartamento en conjunto Reserva Botánica Montemadero - Sur")</f>
        <v>Apartamento en conjunto Reserva Botánica Montemadero - Sur</v>
      </c>
      <c r="C443" s="46" t="str">
        <f>IFERROR(__xludf.DUMMYFUNCTION("""COMPUTED_VALUE"""),"Apartamento en conjunto")</f>
        <v>Apartamento en conjunto</v>
      </c>
      <c r="D443" s="46"/>
      <c r="E443" s="46" t="str">
        <f>IFERROR(__xludf.DUMMYFUNCTION("""COMPUTED_VALUE"""),"Conjunto Reserva Botánica Montemadero")</f>
        <v>Conjunto Reserva Botánica Montemadero</v>
      </c>
      <c r="F443" s="90">
        <f>IFERROR(__xludf.DUMMYFUNCTION("""COMPUTED_VALUE"""),2.25E8)</f>
        <v>225000000</v>
      </c>
      <c r="G443" s="46" t="str">
        <f>IFERROR(__xludf.DUMMYFUNCTION("""COMPUTED_VALUE"""),"$200'000.000 a $300'000.000")</f>
        <v>$200'000.000 a $300'000.000</v>
      </c>
      <c r="H443" s="46"/>
      <c r="I443" s="46"/>
      <c r="J443" s="46" t="str">
        <f>IFERROR(__xludf.DUMMYFUNCTION("""COMPUTED_VALUE"""),"Sur")</f>
        <v>Sur</v>
      </c>
      <c r="K443" s="87" t="str">
        <f>IFERROR(__xludf.DUMMYFUNCTION("""COMPUTED_VALUE"""),"6")</f>
        <v>6</v>
      </c>
      <c r="L443" s="46">
        <f>IFERROR(__xludf.DUMMYFUNCTION("""COMPUTED_VALUE"""),3.0)</f>
        <v>3</v>
      </c>
      <c r="M443" s="46"/>
      <c r="N443" s="46">
        <f>IFERROR(__xludf.DUMMYFUNCTION("""COMPUTED_VALUE"""),2.0)</f>
        <v>2</v>
      </c>
      <c r="O443" s="46">
        <f>IFERROR(__xludf.DUMMYFUNCTION("""COMPUTED_VALUE"""),1.0)</f>
        <v>1</v>
      </c>
      <c r="P443" s="46">
        <f>IFERROR(__xludf.DUMMYFUNCTION("""COMPUTED_VALUE"""),8.0)</f>
        <v>8</v>
      </c>
      <c r="Q443" s="92">
        <f>IFERROR(__xludf.DUMMYFUNCTION("""COMPUTED_VALUE"""),95.75)</f>
        <v>95.75</v>
      </c>
      <c r="R443" s="92">
        <f>IFERROR(__xludf.DUMMYFUNCTION("""COMPUTED_VALUE"""),104.6)</f>
        <v>104.6</v>
      </c>
      <c r="S443" s="87" t="str">
        <f>IFERROR(__xludf.DUMMYFUNCTION("""COMPUTED_VALUE""")," ")</f>
        <v> </v>
      </c>
      <c r="T443" s="46" t="str">
        <f>IFERROR(__xludf.DUMMYFUNCTION("""COMPUTED_VALUE"""),"Neiva")</f>
        <v>Neiva</v>
      </c>
      <c r="U443" s="87" t="str">
        <f>IFERROR(__xludf.DUMMYFUNCTION("""COMPUTED_VALUE"""),"3")</f>
        <v>3</v>
      </c>
      <c r="V443" s="46" t="str">
        <f>IFERROR(__xludf.DUMMYFUNCTION("""COMPUTED_VALUE"""),"8o.")</f>
        <v>8o.</v>
      </c>
      <c r="W443" s="46"/>
      <c r="X443" s="46">
        <f>IFERROR(__xludf.DUMMYFUNCTION("""COMPUTED_VALUE"""),3.0)</f>
        <v>3</v>
      </c>
      <c r="Y443" s="46" t="str">
        <f>IFERROR(__xludf.DUMMYFUNCTION("""COMPUTED_VALUE"""),"Social")</f>
        <v>Social</v>
      </c>
      <c r="Z443" s="90"/>
      <c r="AA443" s="33" t="str">
        <f>IFERROR(__xludf.DUMMYFUNCTION("""COMPUTED_VALUE"""),"No aplica")</f>
        <v>No aplica</v>
      </c>
      <c r="AB443" s="96" t="str">
        <f>IFERROR(__xludf.DUMMYFUNCTION("""COMPUTED_VALUE"""),"https://photos.app.goo.gl/epKaWddRaULSt7W46")</f>
        <v>https://photos.app.goo.gl/epKaWddRaULSt7W46</v>
      </c>
      <c r="AC443" s="46" t="str">
        <f>IFERROR(__xludf.DUMMYFUNCTION("""COMPUTED_VALUE"""),"Este moderno apartamento, ubicado en el octavo piso con acceso por ascensor en el Conjunto Reserva Botánica Montemadero al sur de Neiva, ofrece una distribución funcional con excelentes acabados contemporáneos. Al ingresar, se aprecia una iluminada sala-c"&amp;"omedor revestida con pisos en cerámica gris de formato grande, paredes estucadas en blanco y una elegante pared de acento decorada con papel tapiz de diseño urbano. El inmueble cuenta con una cocina integral de concepto abierto equipada con barra american"&amp;"a, mesón de granito oscuro, estufa empotrada, horno y modernos muebles modulares en tono wengué o negro; además, dispone de una zona de lavandería independiente y un balcón social con ventanales de piso a techo. El área privada se compone de dos habitacio"&amp;"nes con clóset —destacando la alcoba principal por incluir su propio baño privado y un segundo balcón independiente—, un estudio independiente amoblado con un amplio escritorio en L con cajoneras y aire acondicionado instalado, un baño social completo y u"&amp;"n parqueadero privado para carro.")</f>
        <v>Este moderno apartamento, ubicado en el octavo piso con acceso por ascensor en el Conjunto Reserva Botánica Montemadero al sur de Neiva, ofrece una distribución funcional con excelentes acabados contemporáneos. Al ingresar, se aprecia una iluminada sala-comedor revestida con pisos en cerámica gris de formato grande, paredes estucadas en blanco y una elegante pared de acento decorada con papel tapiz de diseño urbano. El inmueble cuenta con una cocina integral de concepto abierto equipada con barra americana, mesón de granito oscuro, estufa empotrada, horno y modernos muebles modulares en tono wengué o negro; además, dispone de una zona de lavandería independiente y un balcón social con ventanales de piso a techo. El área privada se compone de dos habitaciones con clóset —destacando la alcoba principal por incluir su propio baño privado y un segundo balcón independiente—, un estudio independiente amoblado con un amplio escritorio en L con cajoneras y aire acondicionado instalado, un baño social completo y un parqueadero privado para carro.</v>
      </c>
      <c r="AD443" s="46" t="str">
        <f>IFERROR(__xludf.DUMMYFUNCTION("""COMPUTED_VALUE"""),"La propiedad se destaca como una excelente oportunidad de compra inmediata debido a sus puntos clave que garantizan una alta calidad de vida y confort. Al estar situado en un piso octavo, el apartamento goza de una espectacular vista exterior panorámica h"&amp;"acia la naturaleza y los paisajes de la región, asegurando además una envidiable iluminación y ventilación natural en todos sus ambientes. La inclusión de un aire acondicionado en su estudio independiente optimiza el espacio para el teletrabajo o el desca"&amp;"nso bajo un clima ideal. Asimismo, el conjunto residencial ofrece un entorno seguro con vigilancia privada y completas zonas de esparcimiento tipo club, que incluyen piscina, parque infantil, zona social, cancha de baloncesto y cancha sintética de fútbol,"&amp;" consolidándose como la opción perfecta para familias modernas que buscan bienestar, exclusividad y tranquilidad.")</f>
        <v>La propiedad se destaca como una excelente oportunidad de compra inmediata debido a sus puntos clave que garantizan una alta calidad de vida y confort. Al estar situado en un piso octavo, el apartamento goza de una espectacular vista exterior panorámica hacia la naturaleza y los paisajes de la región, asegurando además una envidiable iluminación y ventilación natural en todos sus ambientes. La inclusión de un aire acondicionado en su estudio independiente optimiza el espacio para el teletrabajo o el descanso bajo un clima ideal. Asimismo, el conjunto residencial ofrece un entorno seguro con vigilancia privada y completas zonas de esparcimiento tipo club, que incluyen piscina, parque infantil, zona social, cancha de baloncesto y cancha sintética de fútbol, consolidándose como la opción perfecta para familias modernas que buscan bienestar, exclusividad y tranquilidad.</v>
      </c>
      <c r="AE443" s="46"/>
      <c r="AF443" s="46" t="str">
        <f>IFERROR(__xludf.DUMMYFUNCTION("""COMPUTED_VALUE"""),"integral")</f>
        <v>integral</v>
      </c>
      <c r="AG443" s="46"/>
      <c r="AH443" s="46" t="str">
        <f>IFERROR(__xludf.DUMMYFUNCTION("""COMPUTED_VALUE"""),"Aliado")</f>
        <v>Aliado</v>
      </c>
      <c r="AI443" s="92" t="str">
        <f>IFERROR(__xludf.DUMMYFUNCTION("""COMPUTED_VALUE"""),"https://lh3.googleusercontent.com/pw/AP1GczN9f89dxEcY4Fi_mUKGlIAiq_riB6wQcFwDo13eewX5PxTFwDetcoN7GUiA8d4X-SkxRxamwcENNM7GlWaZqk0F8Iq1tlRnNXnQ_5FtYJ5unBziu9WV=w1200|https://lh3.googleusercontent.com/pw/AP1GczPQTToGJHGyF8fsiSk7U4VK2fwnbu2cGTJN19HSL5lmSKUKFl"&amp;"07Ey2P2dkeu9B--MDK08pcW-afLiRw46P2j3XJsd-__yG_z4Hm5iHPZ3i78Cusox14=w1200|https://lh3.googleusercontent.com/pw/AP1GczOFyHOzbSTE2PhJNEJSm6xu0YmV9P6U9XyDg0dreieGz5fByuT9PvQr8PrnTr-jXTIQNILysHT36PHAVZmrHANlk1hQqw1VyXJSCJppTV4ShGgnpBty=w1200|https://lh3.google"&amp;"usercontent.com/pw/AP1GczPY9ahxlq1652ibJHR3ju0g7OEZA-Yq4ihsKp8KKvj05AtcCfoHS7LxRFCtAZivk3dAfe419Vs3yMxjMkqM6NweV2Cxg4WyzFB04S6WvpfsFzzRf-rr=w1200|https://lh3.googleusercontent.com/pw/AP1GczOcAcrtwhb8uuvlaLlNKbiWxjuD3z9xYnnMDf7CbfCn_T4Hu24RjXRP1oot3wFiJ9ON"&amp;"7wriZHKfvbuxWIIviL-X5p9Ui5qaZ9cXYNk8QJNBoMbH2RGM=w1200|https://lh3.googleusercontent.com/pw/AP1GczPUdkar-QZtzCu_9FdQORpkUsEa4336n-_zwssvanskoeNAHToDTM6Ztq9U4YSaOLSnTsNKm4uHz_NISYFcvkJtsM5N3Fdu1RcWgZjwa4tbFe3bZT-e=w1200|https://lh3.googleusercontent.com/pw"&amp;"/AP1GczM02oOMLK470Flw9TrGx9sZSteg2uYo0hlzaD964AHW2mrSBKN0FiFz5jKtYWmbMBK9m1KWSBnqw20SGpBb-FbKMgD0UkRd4eKt7c9zBBjN9LPX3i03=w1200|https://lh3.googleusercontent.com/pw/AP1GczO3BcJGyRpo41a6bOB5RocIT8shEDYj-qCQ9AgnhHctCgGmba4sUy68-n-R-GIJ5yIkKni0_8wmFMtAAbj_Fq"&amp;"snzK0GYuirGQkq2B5x4_IQGbz1D04O=w1200|https://lh3.googleusercontent.com/pw/AP1GczPfFWjOlyM_Az1peoBtxSW7_uxO40RBjn3xTBN6qqiCGemr7XcDbo_nANbyEGPbYFVw0aFo9_96GVqbMEkmU84cVS5Da1gaDqNUpsb2h5RtPLvs6SEx=w1200|https://lh3.googleusercontent.com/pw/AP1GczM2t9yzNGtg2"&amp;"N00_eZcbj8PoyVVBUW3BW101fPpECk142vHjfX-DYf3nKcTIF2-LeH0HZ8tD-uQFEiQ6v7wQHazZvKh2J4sh_5t1DWZxXY3Z15bzaKz=w1200|https://lh3.googleusercontent.com/pw/AP1GczOz8-LlnO6QqxqRPNPaAJQ6Du2DAmkSy_e2sWND3ZByne_NUIbgAwQxu5kAlBlMYPOzBrgM1Ysi0Y5tdPRm3TX3or4OM2BNWdHkkDym"&amp;"p2e29a1wI22Y=w1200|https://lh3.googleusercontent.com/pw/AP1GczOM7FimlaKLFmkOI1JQhj15Tjo7Mug-6MHagRXNk6uRfWiMVpwi89CbkAh4NQ-lG7uzF7lK1HMKSSdfb5Iiw_jECpYmRG-_isxtO70xc2HOP9ZgXt_B=w1200|https://lh3.googleusercontent.com/pw/AP1GczMIgjQ219UO__76TTymvtzeF84xz1Z"&amp;"rDMwmbi7Sda16ednAMkvQJKs3TZ_3AgKjqIeNjELKgzkrLEECyU7Y_mLfvLMPUxhl4OVgCCs907Z4d8WQsgG-=w1200|https://lh3.googleusercontent.com/pw/AP1GczPZaNJGY01uboVFxoJo6X8vVe7NkW6LxFXbznmjs5UHgehERCqsfJScFichX8Vsd96JPf7Wtl5CNnsXkbVF4cEwWjhSEmYv3b_r4qFb15VebWD1Ikjm=w1200"&amp;"|https://lh3.googleusercontent.com/pw/AP1GczOVn_7WgdoD_7z4-Kbk0nw3iAKFPgTeMrWEVLxEP89mggIdQkO6uTCWdZvKIUYo3--S51Kt4pl21vhYzSCS1MN2W8p9DBTTAk7IV3ipZnVncDZU_sab=w1200|https://lh3.googleusercontent.com/pw/AP1GczMfiojMQWGsvVw8BovV4BKYLu3fVO7eR7rf4PCsA-qx7VHZ6"&amp;"RN8CFur0UyL1zSnoRkNMmdPPdwjcmhA4OZKc1kSaE0QaiEJwNjZH6LK_HNx4iqvMjtL=w1200|https://lh3.googleusercontent.com/pw/AP1GczNQrJaMNn4fkVJj7WYhl7PY93ApLhWVUjK8ov0FT5jIvvxlCOJbz4KU-LigkCoUw0XfdSZlsYqzhjVJw5wyecHA_wyZR_3LfhJuUHq-w61-_7_CIiNh=w1200|https://lh3.googl"&amp;"eusercontent.com/pw/AP1GczMoeY4Po4K0FrsEzyaMH_3E-JJWNyLEX-2Yx2DOF_IEEnXNlkvOLfaHKGYBilYiuXQ7kT93UDoKez4LopLm-pqmtCXy8LML8mDPN4cMk8NqwtPCPTKX=w1200|https://lh3.googleusercontent.com/pw/AP1GczMVYDwiiOXkIyKOqiOtN5kVLHJJkLk65sWsuthIbTjUMsEsKpXF6P3XX7hrlPSYXNJ"&amp;"wQMJ0fRcdYKcI0YoreuT-Wq4VKKZHkOFnnxDDY-81iBnAb1JN=w1200|https://lh3.googleusercontent.com/pw/AP1GczMKY-ChnaIppLyuazx0OD_s_kouaXuu2FPQkQ32T_Q9hT3NyXIuLSvKxwH5JXwDgbCcZx2LhaFSOgOM9aeGEcHDEGo42NJNrecUVHa6Yla4Z8mVkGQe=w1200|https://lh3.googleusercontent.com/p"&amp;"w/AP1GczMUUDjODb1Ca5Dgs8JUteF6Pse4FKhSzN9fDYsTdwA3NkN7xDnZCA1V-yV7gFWGFiPnBfOI2qHw8g5ra2koyQ6eQeMvxtvk_p2JBoKRtPpSqDOyVj4X=w1200|https://lh3.googleusercontent.com/pw/AP1GczOgZ7d1-ouW0RfL1R9eUGQ9k99UYb3x4RGbg8U1O2KBHAEmaOVP1gO8DE67IPhhEl9ks2Udle2GCCWUxpLh5"&amp;"G6kJCjmPfe8mxwyZ4WKRr92JwWvGpRY=w1200")</f>
        <v>https://lh3.googleusercontent.com/pw/AP1GczN9f89dxEcY4Fi_mUKGlIAiq_riB6wQcFwDo13eewX5PxTFwDetcoN7GUiA8d4X-SkxRxamwcENNM7GlWaZqk0F8Iq1tlRnNXnQ_5FtYJ5unBziu9WV=w1200|https://lh3.googleusercontent.com/pw/AP1GczPQTToGJHGyF8fsiSk7U4VK2fwnbu2cGTJN19HSL5lmSKUKFl07Ey2P2dkeu9B--MDK08pcW-afLiRw46P2j3XJsd-__yG_z4Hm5iHPZ3i78Cusox14=w1200|https://lh3.googleusercontent.com/pw/AP1GczOFyHOzbSTE2PhJNEJSm6xu0YmV9P6U9XyDg0dreieGz5fByuT9PvQr8PrnTr-jXTIQNILysHT36PHAVZmrHANlk1hQqw1VyXJSCJppTV4ShGgnpBty=w1200|https://lh3.googleusercontent.com/pw/AP1GczPY9ahxlq1652ibJHR3ju0g7OEZA-Yq4ihsKp8KKvj05AtcCfoHS7LxRFCtAZivk3dAfe419Vs3yMxjMkqM6NweV2Cxg4WyzFB04S6WvpfsFzzRf-rr=w1200|https://lh3.googleusercontent.com/pw/AP1GczOcAcrtwhb8uuvlaLlNKbiWxjuD3z9xYnnMDf7CbfCn_T4Hu24RjXRP1oot3wFiJ9ON7wriZHKfvbuxWIIviL-X5p9Ui5qaZ9cXYNk8QJNBoMbH2RGM=w1200|https://lh3.googleusercontent.com/pw/AP1GczPUdkar-QZtzCu_9FdQORpkUsEa4336n-_zwssvanskoeNAHToDTM6Ztq9U4YSaOLSnTsNKm4uHz_NISYFcvkJtsM5N3Fdu1RcWgZjwa4tbFe3bZT-e=w1200|https://lh3.googleusercontent.com/pw/AP1GczM02oOMLK470Flw9TrGx9sZSteg2uYo0hlzaD964AHW2mrSBKN0FiFz5jKtYWmbMBK9m1KWSBnqw20SGpBb-FbKMgD0UkRd4eKt7c9zBBjN9LPX3i03=w1200|https://lh3.googleusercontent.com/pw/AP1GczO3BcJGyRpo41a6bOB5RocIT8shEDYj-qCQ9AgnhHctCgGmba4sUy68-n-R-GIJ5yIkKni0_8wmFMtAAbj_FqsnzK0GYuirGQkq2B5x4_IQGbz1D04O=w1200|https://lh3.googleusercontent.com/pw/AP1GczPfFWjOlyM_Az1peoBtxSW7_uxO40RBjn3xTBN6qqiCGemr7XcDbo_nANbyEGPbYFVw0aFo9_96GVqbMEkmU84cVS5Da1gaDqNUpsb2h5RtPLvs6SEx=w1200|https://lh3.googleusercontent.com/pw/AP1GczM2t9yzNGtg2N00_eZcbj8PoyVVBUW3BW101fPpECk142vHjfX-DYf3nKcTIF2-LeH0HZ8tD-uQFEiQ6v7wQHazZvKh2J4sh_5t1DWZxXY3Z15bzaKz=w1200|https://lh3.googleusercontent.com/pw/AP1GczOz8-LlnO6QqxqRPNPaAJQ6Du2DAmkSy_e2sWND3ZByne_NUIbgAwQxu5kAlBlMYPOzBrgM1Ysi0Y5tdPRm3TX3or4OM2BNWdHkkDymp2e29a1wI22Y=w1200|https://lh3.googleusercontent.com/pw/AP1GczOM7FimlaKLFmkOI1JQhj15Tjo7Mug-6MHagRXNk6uRfWiMVpwi89CbkAh4NQ-lG7uzF7lK1HMKSSdfb5Iiw_jECpYmRG-_isxtO70xc2HOP9ZgXt_B=w1200|https://lh3.googleusercontent.com/pw/AP1GczMIgjQ219UO__76TTymvtzeF84xz1ZrDMwmbi7Sda16ednAMkvQJKs3TZ_3AgKjqIeNjELKgzkrLEECyU7Y_mLfvLMPUxhl4OVgCCs907Z4d8WQsgG-=w1200|https://lh3.googleusercontent.com/pw/AP1GczPZaNJGY01uboVFxoJo6X8vVe7NkW6LxFXbznmjs5UHgehERCqsfJScFichX8Vsd96JPf7Wtl5CNnsXkbVF4cEwWjhSEmYv3b_r4qFb15VebWD1Ikjm=w1200|https://lh3.googleusercontent.com/pw/AP1GczOVn_7WgdoD_7z4-Kbk0nw3iAKFPgTeMrWEVLxEP89mggIdQkO6uTCWdZvKIUYo3--S51Kt4pl21vhYzSCS1MN2W8p9DBTTAk7IV3ipZnVncDZU_sab=w1200|https://lh3.googleusercontent.com/pw/AP1GczMfiojMQWGsvVw8BovV4BKYLu3fVO7eR7rf4PCsA-qx7VHZ6RN8CFur0UyL1zSnoRkNMmdPPdwjcmhA4OZKc1kSaE0QaiEJwNjZH6LK_HNx4iqvMjtL=w1200|https://lh3.googleusercontent.com/pw/AP1GczNQrJaMNn4fkVJj7WYhl7PY93ApLhWVUjK8ov0FT5jIvvxlCOJbz4KU-LigkCoUw0XfdSZlsYqzhjVJw5wyecHA_wyZR_3LfhJuUHq-w61-_7_CIiNh=w1200|https://lh3.googleusercontent.com/pw/AP1GczMoeY4Po4K0FrsEzyaMH_3E-JJWNyLEX-2Yx2DOF_IEEnXNlkvOLfaHKGYBilYiuXQ7kT93UDoKez4LopLm-pqmtCXy8LML8mDPN4cMk8NqwtPCPTKX=w1200|https://lh3.googleusercontent.com/pw/AP1GczMVYDwiiOXkIyKOqiOtN5kVLHJJkLk65sWsuthIbTjUMsEsKpXF6P3XX7hrlPSYXNJwQMJ0fRcdYKcI0YoreuT-Wq4VKKZHkOFnnxDDY-81iBnAb1JN=w1200|https://lh3.googleusercontent.com/pw/AP1GczMKY-ChnaIppLyuazx0OD_s_kouaXuu2FPQkQ32T_Q9hT3NyXIuLSvKxwH5JXwDgbCcZx2LhaFSOgOM9aeGEcHDEGo42NJNrecUVHa6Yla4Z8mVkGQe=w1200|https://lh3.googleusercontent.com/pw/AP1GczMUUDjODb1Ca5Dgs8JUteF6Pse4FKhSzN9fDYsTdwA3NkN7xDnZCA1V-yV7gFWGFiPnBfOI2qHw8g5ra2koyQ6eQeMvxtvk_p2JBoKRtPpSqDOyVj4X=w1200|https://lh3.googleusercontent.com/pw/AP1GczOgZ7d1-ouW0RfL1R9eUGQ9k99UYb3x4RGbg8U1O2KBHAEmaOVP1gO8DE67IPhhEl9ks2Udle2GCCWUxpLh5G6kJCjmPfe8mxwyZ4WKRr92JwWvGpRY=w1200</v>
      </c>
      <c r="AJ443" s="46"/>
      <c r="AK443" s="46"/>
      <c r="AL443" s="46"/>
      <c r="AM443" s="46"/>
      <c r="AN443" s="46"/>
      <c r="AO443" s="46"/>
      <c r="AP443" s="46"/>
      <c r="AQ443" s="46"/>
      <c r="AR443" s="46"/>
      <c r="AS443" s="46"/>
      <c r="AT443" s="46"/>
      <c r="AU443" s="46"/>
      <c r="AV443" s="46"/>
      <c r="AW443" s="46"/>
      <c r="AX443" s="46"/>
      <c r="AY443" s="46"/>
      <c r="AZ443" s="46"/>
      <c r="BA443" s="46"/>
      <c r="BB443" s="46"/>
      <c r="BC443" s="46"/>
      <c r="BD443" s="46"/>
      <c r="BE443" s="46"/>
      <c r="BF443" s="46"/>
      <c r="BG443" s="46"/>
      <c r="BH443" s="46"/>
      <c r="BI443" s="46"/>
      <c r="BJ443" s="46"/>
      <c r="BK443" s="46"/>
      <c r="BL443" s="46"/>
      <c r="BM443" s="46"/>
      <c r="BN443" s="46"/>
      <c r="BO443" s="46"/>
      <c r="BP443" s="46"/>
      <c r="BQ443" s="46"/>
      <c r="BR443" s="46"/>
      <c r="BS443" s="46"/>
      <c r="BT443" s="46"/>
      <c r="BU443" s="46"/>
      <c r="BV443" s="46"/>
      <c r="BW443" s="46"/>
      <c r="BX443" s="46"/>
      <c r="BY443" s="46"/>
      <c r="BZ443" s="46"/>
      <c r="CA443" s="46"/>
      <c r="CB443" s="46"/>
      <c r="CC443" s="46"/>
    </row>
    <row r="444">
      <c r="A444" s="87" t="str">
        <f>IFERROR(__xludf.DUMMYFUNCTION("""COMPUTED_VALUE"""),"6439")</f>
        <v>6439</v>
      </c>
      <c r="B444" s="46" t="str">
        <f>IFERROR(__xludf.DUMMYFUNCTION("""COMPUTED_VALUE"""),"Casa en Rivera - Sur")</f>
        <v>Casa en Rivera - Sur</v>
      </c>
      <c r="C444" s="46" t="str">
        <f>IFERROR(__xludf.DUMMYFUNCTION("""COMPUTED_VALUE"""),"Casa")</f>
        <v>Casa</v>
      </c>
      <c r="D444" s="46"/>
      <c r="E444" s="46"/>
      <c r="F444" s="90">
        <f>IFERROR(__xludf.DUMMYFUNCTION("""COMPUTED_VALUE"""),2.25E8)</f>
        <v>225000000</v>
      </c>
      <c r="G444" s="46" t="str">
        <f>IFERROR(__xludf.DUMMYFUNCTION("""COMPUTED_VALUE"""),"$200'000.000 a $300'000.000")</f>
        <v>$200'000.000 a $300'000.000</v>
      </c>
      <c r="H444" s="46"/>
      <c r="I444" s="46"/>
      <c r="J444" s="46" t="str">
        <f>IFERROR(__xludf.DUMMYFUNCTION("""COMPUTED_VALUE"""),"Sur")</f>
        <v>Sur</v>
      </c>
      <c r="K444" s="87"/>
      <c r="L444" s="46">
        <f>IFERROR(__xludf.DUMMYFUNCTION("""COMPUTED_VALUE"""),3.0)</f>
        <v>3</v>
      </c>
      <c r="M444" s="46"/>
      <c r="N444" s="46">
        <f>IFERROR(__xludf.DUMMYFUNCTION("""COMPUTED_VALUE"""),2.0)</f>
        <v>2</v>
      </c>
      <c r="O444" s="46">
        <f>IFERROR(__xludf.DUMMYFUNCTION("""COMPUTED_VALUE"""),1.0)</f>
        <v>1</v>
      </c>
      <c r="P444" s="46">
        <f>IFERROR(__xludf.DUMMYFUNCTION("""COMPUTED_VALUE"""),1.0)</f>
        <v>1</v>
      </c>
      <c r="Q444" s="92">
        <f>IFERROR(__xludf.DUMMYFUNCTION("""COMPUTED_VALUE"""),97.5)</f>
        <v>97.5</v>
      </c>
      <c r="R444" s="92">
        <f>IFERROR(__xludf.DUMMYFUNCTION("""COMPUTED_VALUE"""),97.5)</f>
        <v>97.5</v>
      </c>
      <c r="S444" s="87" t="str">
        <f>IFERROR(__xludf.DUMMYFUNCTION("""COMPUTED_VALUE""")," ")</f>
        <v> </v>
      </c>
      <c r="T444" s="46" t="str">
        <f>IFERROR(__xludf.DUMMYFUNCTION("""COMPUTED_VALUE"""),"Neiva")</f>
        <v>Neiva</v>
      </c>
      <c r="U444" s="87"/>
      <c r="V444" s="46" t="str">
        <f>IFERROR(__xludf.DUMMYFUNCTION("""COMPUTED_VALUE"""),"Medianera")</f>
        <v>Medianera</v>
      </c>
      <c r="W444" s="46"/>
      <c r="X444" s="46">
        <f>IFERROR(__xludf.DUMMYFUNCTION("""COMPUTED_VALUE"""),3.0)</f>
        <v>3</v>
      </c>
      <c r="Y444" s="46" t="str">
        <f>IFERROR(__xludf.DUMMYFUNCTION("""COMPUTED_VALUE"""),"No tiene")</f>
        <v>No tiene</v>
      </c>
      <c r="Z444" s="90" t="str">
        <f>IFERROR(__xludf.DUMMYFUNCTION("""COMPUTED_VALUE"""),"No aplica")</f>
        <v>No aplica</v>
      </c>
      <c r="AA444" s="33" t="str">
        <f>IFERROR(__xludf.DUMMYFUNCTION("""COMPUTED_VALUE"""),"No aplica")</f>
        <v>No aplica</v>
      </c>
      <c r="AB444" s="96" t="str">
        <f>IFERROR(__xludf.DUMMYFUNCTION("""COMPUTED_VALUE"""),"https://photos.app.goo.gl/Khyb8MMU89mFKBiY8")</f>
        <v>https://photos.app.goo.gl/Khyb8MMU89mFKBiY8</v>
      </c>
      <c r="AC444" s="46" t="str">
        <f>IFERROR(__xludf.DUMMYFUNCTION("""COMPUTED_VALUE"""),"Esta espectacular casa para estrenar en Rivera, Huila, cuenta con un área de 97.5 m² y acabados de vanguardia de alta calidad. Su distribución interior ofrece una amplia sala-comedor revestida con pisos de porcelanato gris brillante, paredes estucadas en "&amp;"color blanco y un moderno techo de PVC con iluminación LED indirecta y paneles empotrados. Dispone de una cocina integral de concepto abierto con una elegante barra americana en granito jaspeado oscuro, muebles modulares en tono gris plomo y salpicadero t"&amp;"ipo mármol. El área privada alberga tres habitaciones equipadas con clóset, un baño privado en la alcoba principal y un baño social, ambos con modernos sanitarios y lavamanos sobre muebles flotantes de madera. Adicionalmente, la vivienda cuenta con garaje"&amp;" interno y un patio de ropas independiente con cubierta traslúcida que garantiza una óptima ventilación.")</f>
        <v>Esta espectacular casa para estrenar en Rivera, Huila, cuenta con un área de 97.5 m² y acabados de vanguardia de alta calidad. Su distribución interior ofrece una amplia sala-comedor revestida con pisos de porcelanato gris brillante, paredes estucadas en color blanco y un moderno techo de PVC con iluminación LED indirecta y paneles empotrados. Dispone de una cocina integral de concepto abierto con una elegante barra americana en granito jaspeado oscuro, muebles modulares en tono gris plomo y salpicadero tipo mármol. El área privada alberga tres habitaciones equipadas con clóset, un baño privado en la alcoba principal y un baño social, ambos con modernos sanitarios y lavamanos sobre muebles flotantes de madera. Adicionalmente, la vivienda cuenta con garaje interno y un patio de ropas independiente con cubierta traslúcida que garantiza una óptima ventilación.</v>
      </c>
      <c r="AD444" s="46" t="str">
        <f>IFERROR(__xludf.DUMMYFUNCTION("""COMPUTED_VALUE"""),"La propiedad se destaca como una oportunidad de compra inmediata gracias al atractivo único de ser un inmueble totalmente nuevo y listo para habitar, lo que evita gastos adicionales en remodelaciones. Los lujosos detalles de diseño arquitectónico, como lo"&amp;"s nichos decorativos iluminados en los muros y los sofisticados acabados en techos y pisos, brindan un ambiente elegante y de estatus superior. La amplitud e independencia de sus espacios, sumada a la comodidad del garaje interno y una cocina moderna alta"&amp;"mente funcional, hacen de esta casa la elección definitiva para familias que buscan confort, exclusividad y una alta valorización en un entorno residencial privilegiado.")</f>
        <v>La propiedad se destaca como una oportunidad de compra inmediata gracias al atractivo único de ser un inmueble totalmente nuevo y listo para habitar, lo que evita gastos adicionales en remodelaciones. Los lujosos detalles de diseño arquitectónico, como los nichos decorativos iluminados en los muros y los sofisticados acabados en techos y pisos, brindan un ambiente elegante y de estatus superior. La amplitud e independencia de sus espacios, sumada a la comodidad del garaje interno y una cocina moderna altamente funcional, hacen de esta casa la elección definitiva para familias que buscan confort, exclusividad y una alta valorización en un entorno residencial privilegiado.</v>
      </c>
      <c r="AE444" s="46"/>
      <c r="AF444" s="46" t="str">
        <f>IFERROR(__xludf.DUMMYFUNCTION("""COMPUTED_VALUE"""),"integral")</f>
        <v>integral</v>
      </c>
      <c r="AG444" s="46"/>
      <c r="AH444" s="46" t="str">
        <f>IFERROR(__xludf.DUMMYFUNCTION("""COMPUTED_VALUE"""),"Aliado")</f>
        <v>Aliado</v>
      </c>
      <c r="AI444" s="92" t="str">
        <f>IFERROR(__xludf.DUMMYFUNCTION("""COMPUTED_VALUE"""),"https://lh3.googleusercontent.com/pw/AP1GczMmAdWcddV4BUxHNwHu9RISZvjzNymDmRQylmlYk-NmUkeU3luOHvec0cRtU_YY8RG57-0R8U7cKLKNXMOfepVMumvixfZrQUdEBHa3SsJCkOSCYpV-=w1200|https://lh3.googleusercontent.com/pw/AP1GczPTn9TDA8WK052T2gDlUXhw_xUVnm4sKoAM-fF_hFUQtk5zHc"&amp;"QIa8_ttw8ndoTobKaisbE7Rr6WSiqJme0p3RRQ2Fj0LsQ_igCRWUaQD60HxiOK1plC=w1200|https://lh3.googleusercontent.com/pw/AP1GczM8YNYAJ-6OL3yyOXwIOszA2h4U009p_mED5Gh3IzDrX9igD_Mgidrmb2FOHyIrpgYmzIzKeTmrSd7WkrmrhWXI3-IX4WWYyPnruLJOhD4YQJ9WbKlQ=w1200|https://lh3.google"&amp;"usercontent.com/pw/AP1GczNENkJeVpCMOAxw9rduqJXo-h1oTIk0wA2ls5Z2jlvX_Vm9H0CBBGRDcsNKgAx6PlgsItP8knG31IlCcABM5aaiKOiT5AUJhJ0RYJaGNARViewPxSxO=w1200|https://lh3.googleusercontent.com/pw/AP1GczOujuLSsyzloJ6K3fwjvYU61Qe_8UPscaAoOS4BJ4yvB4sEym8USEPDYuzagjUIVeV_"&amp;"Qkxy2M_ygQHmODerunbzOavYqKk-qmboMZd_W8UExeZh9XiH=w1200|https://lh3.googleusercontent.com/pw/AP1GczMCJE18-WL_SIYKDVW0DDXabtZe4T9hrrnyL5m9EJNfsNJmtOS81UMAjEyE-iCB3MItCwzmn-HO7a3wI6fy8L96bZaq1uPm9LO3Izf4-afoG1bn5t9o=w1200|https://lh3.googleusercontent.com/pw"&amp;"/AP1GczOltwVx8TS_fsK1bc9Uq25ehRZS36EUXoIikrDSYQW8wTRrQ2gnnNE34sucBN_gInq1-5GzVGL5e5Pfu3HowAmshG_cazfWo_Y6nHMrcv3fXo96kV6V=w1200|https://lh3.googleusercontent.com/pw/AP1GczPBRsgk0Drku4XhyG-qZJ4bjhtXC73zUcMTHmAA2eed_j14hC8qD2G-AGan4MLKZCiboYouk3HEbtimRN4cz5"&amp;"y6LhuftrXH9LGksz7G864GiMjvLezU=w1200|https://lh3.googleusercontent.com/pw/AP1GczMLdqx11hDOYugEPA8Gt5bSvFZotWMmaGmYgo20Sk2PFqDb_MKb5HATVe6jj4eKN0-jlZsv6NhPAZ4PyZy8kC7h61JB5r1mTjnqd7zv26ETy_39u09S=w1200|https://lh3.googleusercontent.com/pw/AP1GczM5d6hYmrD7K"&amp;"2B13OC5lO4gwL7e18hm-gVMVwf7MzFCM2ZLKA56reCpgXqjN8gwTTFtx0UDqXO4BeHy0D4K0mYlpiU12JGGcZIE-HIzDnruH9QqMSI8=w1200|https://lh3.googleusercontent.com/pw/AP1GczNaQh9-pY3bGMcdB--A6M-KGP25LBfbpLfr1XB4E2cB8NlTIROUhzoKakFE1Yl1h9GoRd7TSVvM3FvqlihTGyXBe9VKBxe5rGWeUA37"&amp;"9jjS217t6QgY=w1200|https://lh3.googleusercontent.com/pw/AP1GczMIstB-wUu4nKb7dEwiTM1bWCh5vhMCySB7Blm0GQsnX6o2qxe1lBsTYxxTiNJf04ClB7CK9EkTP9Z65UgPybHIU-L70D0lhHQJA0wWbK_KSXvjQ14W=w1200|https://lh3.googleusercontent.com/pw/AP1GczPpRJaXvExFi-FY9dXZ2Oc00ToqsgJ"&amp;"UhKsVQzajpjQhNELRJUZWqCDY9PZAMRKH0FBZ9dyOKNiiktZRLovdemtqOvf5GOHXZq0RdbbXsyNIcqvTuwrQ=w1200|https://lh3.googleusercontent.com/pw/AP1GczNBLFFIlOpoUORN_N04CGfzdRafHsJBXRfREztrqBS5okgSlHhqfw2dkALma8gUSrh1KhG13bTCZypzYt2ZA_VQbBbX1lj2AjU81CfRFt2j2VSNiVY8=w1200"&amp;"|https://lh3.googleusercontent.com/pw/AP1GczOqftNevd-lTIoPm4k0UNveG1Jjbg8KxLq83ArgE88_doHuTmarcTC3Camr9iHquX1ZjXWo1iI8AX615Cr0ZKK5k-HXPCt-wKK0z015ipCzSoTUs4ih=w1200|https://lh3.googleusercontent.com/pw/AP1GczPQxjwUqFRTttj5WLVlk5bIz6Dtx_v3GuIFeZPwaUWlJezdW"&amp;"CkqbeK99kXHeXwaNK6uONUf5IOet3R_eMNkaeFItWVnW7Kv_zoBgOJuSpG-FzwNzH6d=w1200|https://lh3.googleusercontent.com/pw/AP1GczOBpwO8Fs63HGSI1tN8ewmDxRlYZgf38GMzExgrbhOaXLfPFM15aXnZTFKAfBzMcR0G2VUDlg4B9HYfhG5ZicRy0DE7O_WwxnWr8wstQtpFnL5emPa2=w1200")</f>
        <v>https://lh3.googleusercontent.com/pw/AP1GczMmAdWcddV4BUxHNwHu9RISZvjzNymDmRQylmlYk-NmUkeU3luOHvec0cRtU_YY8RG57-0R8U7cKLKNXMOfepVMumvixfZrQUdEBHa3SsJCkOSCYpV-=w1200|https://lh3.googleusercontent.com/pw/AP1GczPTn9TDA8WK052T2gDlUXhw_xUVnm4sKoAM-fF_hFUQtk5zHcQIa8_ttw8ndoTobKaisbE7Rr6WSiqJme0p3RRQ2Fj0LsQ_igCRWUaQD60HxiOK1plC=w1200|https://lh3.googleusercontent.com/pw/AP1GczM8YNYAJ-6OL3yyOXwIOszA2h4U009p_mED5Gh3IzDrX9igD_Mgidrmb2FOHyIrpgYmzIzKeTmrSd7WkrmrhWXI3-IX4WWYyPnruLJOhD4YQJ9WbKlQ=w1200|https://lh3.googleusercontent.com/pw/AP1GczNENkJeVpCMOAxw9rduqJXo-h1oTIk0wA2ls5Z2jlvX_Vm9H0CBBGRDcsNKgAx6PlgsItP8knG31IlCcABM5aaiKOiT5AUJhJ0RYJaGNARViewPxSxO=w1200|https://lh3.googleusercontent.com/pw/AP1GczOujuLSsyzloJ6K3fwjvYU61Qe_8UPscaAoOS4BJ4yvB4sEym8USEPDYuzagjUIVeV_Qkxy2M_ygQHmODerunbzOavYqKk-qmboMZd_W8UExeZh9XiH=w1200|https://lh3.googleusercontent.com/pw/AP1GczMCJE18-WL_SIYKDVW0DDXabtZe4T9hrrnyL5m9EJNfsNJmtOS81UMAjEyE-iCB3MItCwzmn-HO7a3wI6fy8L96bZaq1uPm9LO3Izf4-afoG1bn5t9o=w1200|https://lh3.googleusercontent.com/pw/AP1GczOltwVx8TS_fsK1bc9Uq25ehRZS36EUXoIikrDSYQW8wTRrQ2gnnNE34sucBN_gInq1-5GzVGL5e5Pfu3HowAmshG_cazfWo_Y6nHMrcv3fXo96kV6V=w1200|https://lh3.googleusercontent.com/pw/AP1GczPBRsgk0Drku4XhyG-qZJ4bjhtXC73zUcMTHmAA2eed_j14hC8qD2G-AGan4MLKZCiboYouk3HEbtimRN4cz5y6LhuftrXH9LGksz7G864GiMjvLezU=w1200|https://lh3.googleusercontent.com/pw/AP1GczMLdqx11hDOYugEPA8Gt5bSvFZotWMmaGmYgo20Sk2PFqDb_MKb5HATVe6jj4eKN0-jlZsv6NhPAZ4PyZy8kC7h61JB5r1mTjnqd7zv26ETy_39u09S=w1200|https://lh3.googleusercontent.com/pw/AP1GczM5d6hYmrD7K2B13OC5lO4gwL7e18hm-gVMVwf7MzFCM2ZLKA56reCpgXqjN8gwTTFtx0UDqXO4BeHy0D4K0mYlpiU12JGGcZIE-HIzDnruH9QqMSI8=w1200|https://lh3.googleusercontent.com/pw/AP1GczNaQh9-pY3bGMcdB--A6M-KGP25LBfbpLfr1XB4E2cB8NlTIROUhzoKakFE1Yl1h9GoRd7TSVvM3FvqlihTGyXBe9VKBxe5rGWeUA379jjS217t6QgY=w1200|https://lh3.googleusercontent.com/pw/AP1GczMIstB-wUu4nKb7dEwiTM1bWCh5vhMCySB7Blm0GQsnX6o2qxe1lBsTYxxTiNJf04ClB7CK9EkTP9Z65UgPybHIU-L70D0lhHQJA0wWbK_KSXvjQ14W=w1200|https://lh3.googleusercontent.com/pw/AP1GczPpRJaXvExFi-FY9dXZ2Oc00ToqsgJUhKsVQzajpjQhNELRJUZWqCDY9PZAMRKH0FBZ9dyOKNiiktZRLovdemtqOvf5GOHXZq0RdbbXsyNIcqvTuwrQ=w1200|https://lh3.googleusercontent.com/pw/AP1GczNBLFFIlOpoUORN_N04CGfzdRafHsJBXRfREztrqBS5okgSlHhqfw2dkALma8gUSrh1KhG13bTCZypzYt2ZA_VQbBbX1lj2AjU81CfRFt2j2VSNiVY8=w1200|https://lh3.googleusercontent.com/pw/AP1GczOqftNevd-lTIoPm4k0UNveG1Jjbg8KxLq83ArgE88_doHuTmarcTC3Camr9iHquX1ZjXWo1iI8AX615Cr0ZKK5k-HXPCt-wKK0z015ipCzSoTUs4ih=w1200|https://lh3.googleusercontent.com/pw/AP1GczPQxjwUqFRTttj5WLVlk5bIz6Dtx_v3GuIFeZPwaUWlJezdWCkqbeK99kXHeXwaNK6uONUf5IOet3R_eMNkaeFItWVnW7Kv_zoBgOJuSpG-FzwNzH6d=w1200|https://lh3.googleusercontent.com/pw/AP1GczOBpwO8Fs63HGSI1tN8ewmDxRlYZgf38GMzExgrbhOaXLfPFM15aXnZTFKAfBzMcR0G2VUDlg4B9HYfhG5ZicRy0DE7O_WwxnWr8wstQtpFnL5emPa2=w1200</v>
      </c>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c r="BF444" s="46"/>
      <c r="BG444" s="46"/>
      <c r="BH444" s="46"/>
      <c r="BI444" s="46"/>
      <c r="BJ444" s="46"/>
      <c r="BK444" s="46"/>
      <c r="BL444" s="46"/>
      <c r="BM444" s="46"/>
      <c r="BN444" s="46"/>
      <c r="BO444" s="46"/>
      <c r="BP444" s="46"/>
      <c r="BQ444" s="46"/>
      <c r="BR444" s="46"/>
      <c r="BS444" s="46"/>
      <c r="BT444" s="46"/>
      <c r="BU444" s="46"/>
      <c r="BV444" s="46"/>
      <c r="BW444" s="46"/>
      <c r="BX444" s="46"/>
      <c r="BY444" s="46"/>
      <c r="BZ444" s="46"/>
      <c r="CA444" s="46"/>
      <c r="CB444" s="46"/>
      <c r="CC444" s="46"/>
    </row>
    <row r="445">
      <c r="A445" s="87" t="str">
        <f>IFERROR(__xludf.DUMMYFUNCTION("""COMPUTED_VALUE"""),"4552")</f>
        <v>4552</v>
      </c>
      <c r="B445" s="46" t="str">
        <f>IFERROR(__xludf.DUMMYFUNCTION("""COMPUTED_VALUE"""),"Apartamento en edificio Terrazas del Norte")</f>
        <v>Apartamento en edificio Terrazas del Norte</v>
      </c>
      <c r="C445" s="46" t="str">
        <f>IFERROR(__xludf.DUMMYFUNCTION("""COMPUTED_VALUE"""),"Apartamento")</f>
        <v>Apartamento</v>
      </c>
      <c r="D445" s="46" t="str">
        <f>IFERROR(__xludf.DUMMYFUNCTION("""COMPUTED_VALUE"""),"Alamos Norte")</f>
        <v>Alamos Norte</v>
      </c>
      <c r="E445" s="46" t="str">
        <f>IFERROR(__xludf.DUMMYFUNCTION("""COMPUTED_VALUE"""),"Terrazas del Norte")</f>
        <v>Terrazas del Norte</v>
      </c>
      <c r="F445" s="90">
        <f>IFERROR(__xludf.DUMMYFUNCTION("""COMPUTED_VALUE"""),2.1E8)</f>
        <v>210000000</v>
      </c>
      <c r="G445" s="46" t="str">
        <f>IFERROR(__xludf.DUMMYFUNCTION("""COMPUTED_VALUE"""),"$200'000.000 a $300'000.000")</f>
        <v>$200'000.000 a $300'000.000</v>
      </c>
      <c r="H445" s="46"/>
      <c r="I445" s="46"/>
      <c r="J445" s="46" t="str">
        <f>IFERROR(__xludf.DUMMYFUNCTION("""COMPUTED_VALUE"""),"Norte")</f>
        <v>Norte</v>
      </c>
      <c r="K445" s="87"/>
      <c r="L445" s="46">
        <f>IFERROR(__xludf.DUMMYFUNCTION("""COMPUTED_VALUE"""),3.0)</f>
        <v>3</v>
      </c>
      <c r="M445" s="46"/>
      <c r="N445" s="46">
        <f>IFERROR(__xludf.DUMMYFUNCTION("""COMPUTED_VALUE"""),2.0)</f>
        <v>2</v>
      </c>
      <c r="O445" s="46">
        <f>IFERROR(__xludf.DUMMYFUNCTION("""COMPUTED_VALUE"""),1.0)</f>
        <v>1</v>
      </c>
      <c r="P445" s="46">
        <f>IFERROR(__xludf.DUMMYFUNCTION("""COMPUTED_VALUE"""),3.0)</f>
        <v>3</v>
      </c>
      <c r="Q445" s="92">
        <f>IFERROR(__xludf.DUMMYFUNCTION("""COMPUTED_VALUE"""),73.2)</f>
        <v>73.2</v>
      </c>
      <c r="R445" s="92">
        <f>IFERROR(__xludf.DUMMYFUNCTION("""COMPUTED_VALUE"""),73.2)</f>
        <v>73.2</v>
      </c>
      <c r="S445" s="87" t="str">
        <f>IFERROR(__xludf.DUMMYFUNCTION("""COMPUTED_VALUE""")," ")</f>
        <v> </v>
      </c>
      <c r="T445" s="46" t="str">
        <f>IFERROR(__xludf.DUMMYFUNCTION("""COMPUTED_VALUE"""),"Neiva")</f>
        <v>Neiva</v>
      </c>
      <c r="U445" s="87" t="str">
        <f>IFERROR(__xludf.DUMMYFUNCTION("""COMPUTED_VALUE"""),"2")</f>
        <v>2</v>
      </c>
      <c r="V445" s="46" t="str">
        <f>IFERROR(__xludf.DUMMYFUNCTION("""COMPUTED_VALUE"""),"3er.")</f>
        <v>3er.</v>
      </c>
      <c r="W445" s="46"/>
      <c r="X445" s="46">
        <f>IFERROR(__xludf.DUMMYFUNCTION("""COMPUTED_VALUE"""),3.0)</f>
        <v>3</v>
      </c>
      <c r="Y445" s="46" t="str">
        <f>IFERROR(__xludf.DUMMYFUNCTION("""COMPUTED_VALUE"""),"Social")</f>
        <v>Social</v>
      </c>
      <c r="Z445" s="90">
        <f>IFERROR(__xludf.DUMMYFUNCTION("""COMPUTED_VALUE"""),0.0)</f>
        <v>0</v>
      </c>
      <c r="AA445" s="33" t="str">
        <f>IFERROR(__xludf.DUMMYFUNCTION("""COMPUTED_VALUE"""),"No aplica")</f>
        <v>No aplica</v>
      </c>
      <c r="AB445" s="144" t="str">
        <f>IFERROR(__xludf.DUMMYFUNCTION("""COMPUTED_VALUE"""),"https://photos.app.goo.gl/ToJQa25Ce93oFiMy6")</f>
        <v>https://photos.app.goo.gl/ToJQa25Ce93oFiMy6</v>
      </c>
      <c r="AC445" s="46" t="str">
        <f>IFERROR(__xludf.DUMMYFUNCTION("""COMPUTED_VALUE"""),"Apartamento ubicado en el condominio terrazas del norte, sector Alamos norte, piso 3. Area 73.2 m2, estrato 2. Consta de: balcón, sala-comedor, cocina integral, 3 habitaciones con closet, 1 baño social y 1 baño privado, zona de lavandería. Parqueadero sub"&amp;"terraneo, tanque subterraneo de agua, ascensor, recepción, zona de jacuzzi, terraza con baños para dama y caballero, bbq, depósito.")</f>
        <v>Apartamento ubicado en el condominio terrazas del norte, sector Alamos norte, piso 3. Area 73.2 m2, estrato 2. Consta de: balcón, sala-comedor, cocina integral, 3 habitaciones con closet, 1 baño social y 1 baño privado, zona de lavandería. Parqueadero subterraneo, tanque subterraneo de agua, ascensor, recepción, zona de jacuzzi, terraza con baños para dama y caballero, bbq, depósito.</v>
      </c>
      <c r="AD445" s="46" t="str">
        <f>IFERROR(__xludf.DUMMYFUNCTION("""COMPUTED_VALUE"""),"Apartamento bien ubicado.")</f>
        <v>Apartamento bien ubicado.</v>
      </c>
      <c r="AE445" s="46"/>
      <c r="AF445" s="46" t="str">
        <f>IFERROR(__xludf.DUMMYFUNCTION("""COMPUTED_VALUE"""),"integral")</f>
        <v>integral</v>
      </c>
      <c r="AG445" s="46"/>
      <c r="AH445" s="46" t="str">
        <f>IFERROR(__xludf.DUMMYFUNCTION("""COMPUTED_VALUE"""),"Aliado")</f>
        <v>Aliado</v>
      </c>
      <c r="AI445" s="92" t="str">
        <f>IFERROR(__xludf.DUMMYFUNCTION("""COMPUTED_VALUE"""),"https://lh3.googleusercontent.com/pw/AP1GczPBBIoguMc2yfCFhK-7eHmukFDnTPY0rPFu0ZgsmuyWRPF-1G7x_NXdU6aWjb1lydLVaLPpOkewXcGOEDdAiuUx006gJFCw1VQQjwrlQsJX1QKKi-Mc=w1200|https://lh3.googleusercontent.com/pw/AP1GczNP7E4WXC5Ozyam3WUxRTOh1W__eAsfcfYve-918bf7UbdkVZ"&amp;"VGCTeTngGz6wkLmbWcweVHnR8Ahg9z4JbKhwtgRKgJn6xOATDpKcQBCte9LO6t3Bd9=w1200|https://lh3.googleusercontent.com/pw/AP1GczNmcDmrB4PVJdAXll-nsX1b8ENm2wTsKZwTA9Eg3LN_hCDW_U09ukq2n_CnHU5Ez3DVE5pEJ6YUDBPuRlaHqu9-us_Uv62CjmmYGzPIQAPV-rgAEJPA=w1200|https://lh3.google"&amp;"usercontent.com/pw/AP1GczNxu5MAzUvwsDphOf3axmwTviXva5UAcNhII9BYTZ1Jx-QcLcrwZ1138XXnO6h04qS3nMZpfrYI0ZJxxLcXCSCCxePKGB3x0siC6c8cCFPnycGEs_9Z=w1200|https://lh3.googleusercontent.com/pw/AP1GczNiOhimtsnjwni4Vm2bVfQDS_lqgcqn8qr4tAwZOV0t9xu3Ina2u3gIhRhlDtOue0Gv"&amp;"wn49GMmcMJt-z2WdAxOeaqM-cxlQWq5IMDjF3PGGIblQ28hj=w1200|https://lh3.googleusercontent.com/pw/AP1GczP839rBJ9svBqUm5NeM2I5hRbbUs4cnx4OMeMqKOYucWU0akVF7fSRmK3n3X6TkSLYeXYW9E38dPVWtt7fcLGHTLuwWmnZacUzIjmqRUUUOEuXfh2Ce=w1200|https://lh3.googleusercontent.com/pw"&amp;"/AP1GczMUAr4WwMllaqWGXY9s1tIwBCSCdcgLFmt5esOzI8c_2TTApONmn4N0mywCLuHLqxeEDFV42fmIX59-FYtYHIXINWCdQlNDHSuIKSTK1QiWCnIGjX1q=w1200|https://lh3.googleusercontent.com/pw/AP1GczPOFQrK98CUd3PCJEp5oiCdV6vjwRDB-Q0aLPGTxEk-9sQ-CcIr1HS55EmZxWud5NMNRc8wsFDRaTTxcSf5xG"&amp;"JX8EGq9Jy2Lhi7dPz8eeqUT_wtIu4C=w1200|https://lh3.googleusercontent.com/pw/AP1GczMTPCtYXe5qOLg_m34_fpCA3c4SuroLJNOzJtnStJG7-SWmdBu_AQMu5xVa583hjm3HDE2SMCaRa41NzMD7dSmRQMd6UzNRKDFVt0vfrWpB12DxQUkX=w1200")</f>
        <v>https://lh3.googleusercontent.com/pw/AP1GczPBBIoguMc2yfCFhK-7eHmukFDnTPY0rPFu0ZgsmuyWRPF-1G7x_NXdU6aWjb1lydLVaLPpOkewXcGOEDdAiuUx006gJFCw1VQQjwrlQsJX1QKKi-Mc=w1200|https://lh3.googleusercontent.com/pw/AP1GczNP7E4WXC5Ozyam3WUxRTOh1W__eAsfcfYve-918bf7UbdkVZVGCTeTngGz6wkLmbWcweVHnR8Ahg9z4JbKhwtgRKgJn6xOATDpKcQBCte9LO6t3Bd9=w1200|https://lh3.googleusercontent.com/pw/AP1GczNmcDmrB4PVJdAXll-nsX1b8ENm2wTsKZwTA9Eg3LN_hCDW_U09ukq2n_CnHU5Ez3DVE5pEJ6YUDBPuRlaHqu9-us_Uv62CjmmYGzPIQAPV-rgAEJPA=w1200|https://lh3.googleusercontent.com/pw/AP1GczNxu5MAzUvwsDphOf3axmwTviXva5UAcNhII9BYTZ1Jx-QcLcrwZ1138XXnO6h04qS3nMZpfrYI0ZJxxLcXCSCCxePKGB3x0siC6c8cCFPnycGEs_9Z=w1200|https://lh3.googleusercontent.com/pw/AP1GczNiOhimtsnjwni4Vm2bVfQDS_lqgcqn8qr4tAwZOV0t9xu3Ina2u3gIhRhlDtOue0Gvwn49GMmcMJt-z2WdAxOeaqM-cxlQWq5IMDjF3PGGIblQ28hj=w1200|https://lh3.googleusercontent.com/pw/AP1GczP839rBJ9svBqUm5NeM2I5hRbbUs4cnx4OMeMqKOYucWU0akVF7fSRmK3n3X6TkSLYeXYW9E38dPVWtt7fcLGHTLuwWmnZacUzIjmqRUUUOEuXfh2Ce=w1200|https://lh3.googleusercontent.com/pw/AP1GczMUAr4WwMllaqWGXY9s1tIwBCSCdcgLFmt5esOzI8c_2TTApONmn4N0mywCLuHLqxeEDFV42fmIX59-FYtYHIXINWCdQlNDHSuIKSTK1QiWCnIGjX1q=w1200|https://lh3.googleusercontent.com/pw/AP1GczPOFQrK98CUd3PCJEp5oiCdV6vjwRDB-Q0aLPGTxEk-9sQ-CcIr1HS55EmZxWud5NMNRc8wsFDRaTTxcSf5xGJX8EGq9Jy2Lhi7dPz8eeqUT_wtIu4C=w1200|https://lh3.googleusercontent.com/pw/AP1GczMTPCtYXe5qOLg_m34_fpCA3c4SuroLJNOzJtnStJG7-SWmdBu_AQMu5xVa583hjm3HDE2SMCaRa41NzMD7dSmRQMd6UzNRKDFVt0vfrWpB12DxQUkX=w1200</v>
      </c>
      <c r="AJ445" s="46"/>
      <c r="AK445" s="46"/>
      <c r="AL445" s="46"/>
      <c r="AM445" s="46"/>
      <c r="AN445" s="46"/>
      <c r="AO445" s="46"/>
      <c r="AP445" s="46"/>
      <c r="AQ445" s="46"/>
      <c r="AR445" s="46"/>
      <c r="AS445" s="46"/>
      <c r="AT445" s="46"/>
      <c r="AU445" s="46"/>
      <c r="AV445" s="46"/>
      <c r="AW445" s="46"/>
      <c r="AX445" s="46"/>
      <c r="AY445" s="46"/>
      <c r="AZ445" s="46"/>
      <c r="BA445" s="46"/>
      <c r="BB445" s="46"/>
      <c r="BC445" s="46"/>
      <c r="BD445" s="46"/>
      <c r="BE445" s="46"/>
      <c r="BF445" s="46"/>
      <c r="BG445" s="46"/>
      <c r="BH445" s="46"/>
      <c r="BI445" s="46"/>
      <c r="BJ445" s="46"/>
      <c r="BK445" s="46"/>
      <c r="BL445" s="46"/>
      <c r="BM445" s="46"/>
      <c r="BN445" s="46"/>
      <c r="BO445" s="46"/>
      <c r="BP445" s="46"/>
      <c r="BQ445" s="46"/>
      <c r="BR445" s="46"/>
      <c r="BS445" s="46"/>
      <c r="BT445" s="46"/>
      <c r="BU445" s="46"/>
      <c r="BV445" s="46"/>
      <c r="BW445" s="46"/>
      <c r="BX445" s="46"/>
      <c r="BY445" s="46"/>
      <c r="BZ445" s="46"/>
      <c r="CA445" s="46"/>
      <c r="CB445" s="46"/>
      <c r="CC445" s="46"/>
    </row>
    <row r="446">
      <c r="A446" s="87" t="str">
        <f>IFERROR(__xludf.DUMMYFUNCTION("""COMPUTED_VALUE"""),"6042")</f>
        <v>6042</v>
      </c>
      <c r="B446" s="46" t="str">
        <f>IFERROR(__xludf.DUMMYFUNCTION("""COMPUTED_VALUE"""),"Apartamento en conjunto Residencial Mirador Los Algarrobos - Norte")</f>
        <v>Apartamento en conjunto Residencial Mirador Los Algarrobos - Norte</v>
      </c>
      <c r="C446" s="46" t="str">
        <f>IFERROR(__xludf.DUMMYFUNCTION("""COMPUTED_VALUE"""),"Apartamento en conjunto")</f>
        <v>Apartamento en conjunto</v>
      </c>
      <c r="D446" s="46"/>
      <c r="E446" s="46" t="str">
        <f>IFERROR(__xludf.DUMMYFUNCTION("""COMPUTED_VALUE"""),"Conjunto Residencial Mirador Los Algarrobos")</f>
        <v>Conjunto Residencial Mirador Los Algarrobos</v>
      </c>
      <c r="F446" s="90">
        <f>IFERROR(__xludf.DUMMYFUNCTION("""COMPUTED_VALUE"""),2.05E8)</f>
        <v>205000000</v>
      </c>
      <c r="G446" s="46" t="str">
        <f>IFERROR(__xludf.DUMMYFUNCTION("""COMPUTED_VALUE"""),"$200'000.000 a $300'000.000")</f>
        <v>$200'000.000 a $300'000.000</v>
      </c>
      <c r="H446" s="46"/>
      <c r="I446" s="46"/>
      <c r="J446" s="46" t="str">
        <f>IFERROR(__xludf.DUMMYFUNCTION("""COMPUTED_VALUE"""),"Norte")</f>
        <v>Norte</v>
      </c>
      <c r="K446" s="87"/>
      <c r="L446" s="46">
        <f>IFERROR(__xludf.DUMMYFUNCTION("""COMPUTED_VALUE"""),3.0)</f>
        <v>3</v>
      </c>
      <c r="M446" s="46"/>
      <c r="N446" s="46">
        <f>IFERROR(__xludf.DUMMYFUNCTION("""COMPUTED_VALUE"""),2.0)</f>
        <v>2</v>
      </c>
      <c r="O446" s="46" t="str">
        <f>IFERROR(__xludf.DUMMYFUNCTION("""COMPUTED_VALUE"""),"Comunal")</f>
        <v>Comunal</v>
      </c>
      <c r="P446" s="46">
        <f>IFERROR(__xludf.DUMMYFUNCTION("""COMPUTED_VALUE"""),2.0)</f>
        <v>2</v>
      </c>
      <c r="Q446" s="92">
        <f>IFERROR(__xludf.DUMMYFUNCTION("""COMPUTED_VALUE"""),60.66)</f>
        <v>60.66</v>
      </c>
      <c r="R446" s="92">
        <f>IFERROR(__xludf.DUMMYFUNCTION("""COMPUTED_VALUE"""),60.66)</f>
        <v>60.66</v>
      </c>
      <c r="S446" s="87" t="str">
        <f>IFERROR(__xludf.DUMMYFUNCTION("""COMPUTED_VALUE""")," ")</f>
        <v> </v>
      </c>
      <c r="T446" s="46" t="str">
        <f>IFERROR(__xludf.DUMMYFUNCTION("""COMPUTED_VALUE"""),"Neiva")</f>
        <v>Neiva</v>
      </c>
      <c r="U446" s="87" t="str">
        <f>IFERROR(__xludf.DUMMYFUNCTION("""COMPUTED_VALUE"""),"3")</f>
        <v>3</v>
      </c>
      <c r="V446" s="46" t="str">
        <f>IFERROR(__xludf.DUMMYFUNCTION("""COMPUTED_VALUE"""),"2do.")</f>
        <v>2do.</v>
      </c>
      <c r="W446" s="46"/>
      <c r="X446" s="46">
        <f>IFERROR(__xludf.DUMMYFUNCTION("""COMPUTED_VALUE"""),3.0)</f>
        <v>3</v>
      </c>
      <c r="Y446" s="46" t="str">
        <f>IFERROR(__xludf.DUMMYFUNCTION("""COMPUTED_VALUE"""),"Social")</f>
        <v>Social</v>
      </c>
      <c r="Z446" s="90">
        <f>IFERROR(__xludf.DUMMYFUNCTION("""COMPUTED_VALUE"""),163000.0)</f>
        <v>163000</v>
      </c>
      <c r="AA446" s="33" t="str">
        <f>IFERROR(__xludf.DUMMYFUNCTION("""COMPUTED_VALUE"""),"No aplica")</f>
        <v>No aplica</v>
      </c>
      <c r="AB446" s="96" t="str">
        <f>IFERROR(__xludf.DUMMYFUNCTION("""COMPUTED_VALUE"""),"https://photos.app.goo.gl/mkyskaTZKxBGUb9W6")</f>
        <v>https://photos.app.goo.gl/mkyskaTZKxBGUb9W6</v>
      </c>
      <c r="AC446" s="46" t="str">
        <f>IFERROR(__xludf.DUMMYFUNCTION("""COMPUTED_VALUE"""),"Este espectacular apartamento para estrenar de estrato 3, ubicado en el segundo piso de un edificio con ascensor en el norte de Neiva, ofrece un área privada de 60.66 m² con impecables acabados listos para habitar. Su distribución interior, cuenta con una"&amp;" luminosa sala-comedor revestida con pisos en cerámica brillante de color claro y muros estucados en blanco, la cual conecta directamente a un balcón privado a través de un ventanal corredizo de aluminio. El inmueble dispone de tres cómodas habitaciones i"&amp;"ndependientes distribuidas a lo largo de un pasillo central, un baño privado en la alcoba principal, un baño social completo y una zona de lavandería. Por su parte, la cocina semi-integral cuenta con un mueble inferior en madera texturizada de tono oscuro"&amp;", encimera de acero inoxidable con estufa empotrada de cuatro hornillas y un salpicadero enchapado en baldosa blanca para facilitar su limpieza. Adicionalmente, el apartamento incluye el derecho al uso de un parqueadero comunal.")</f>
        <v>Este espectacular apartamento para estrenar de estrato 3, ubicado en el segundo piso de un edificio con ascensor en el norte de Neiva, ofrece un área privada de 60.66 m² con impecables acabados listos para habitar. Su distribución interior, cuenta con una luminosa sala-comedor revestida con pisos en cerámica brillante de color claro y muros estucados en blanco, la cual conecta directamente a un balcón privado a través de un ventanal corredizo de aluminio. El inmueble dispone de tres cómodas habitaciones independientes distribuidas a lo largo de un pasillo central, un baño privado en la alcoba principal, un baño social completo y una zona de lavandería. Por su parte, la cocina semi-integral cuenta con un mueble inferior en madera texturizada de tono oscuro, encimera de acero inoxidable con estufa empotrada de cuatro hornillas y un salpicadero enchapado en baldosa blanca para facilitar su limpieza. Adicionalmente, el apartamento incluye el derecho al uso de un parqueadero comunal.</v>
      </c>
      <c r="AD446" s="46" t="str">
        <f>IFERROR(__xludf.DUMMYFUNCTION("""COMPUTED_VALUE"""),"Esta propiedad representa la oportunidad perfecta de inversión en el norte de la ciudad, destacándose principalmente por ser un inmueble totalmente nuevo y listo para que usted y su familia lo estrenen. Su ubicación estratégica en el segundo piso, complem"&amp;"entada con la comodidad de un ascensor y un agradable balcón, garantiza una excelente iluminación natural, frescura y una vista privilegiada hacia las zonas exteriores. La distribución inteligente optimiza cada metro cuadrado, separando a la perfección el"&amp;" área social de las habitaciones para brindar la máxima privacidad y confort diario. Con toda la documentación al día y acabados modernos que no requieren de costosas remodelaciones adicionales, este apartamento es una opción atractiva y segura para quien"&amp;"es buscan un hogar funcional con la tranquilidad y el respaldo de vivir en un conjunto residencial cerrado.")</f>
        <v>Esta propiedad representa la oportunidad perfecta de inversión en el norte de la ciudad, destacándose principalmente por ser un inmueble totalmente nuevo y listo para que usted y su familia lo estrenen. Su ubicación estratégica en el segundo piso, complementada con la comodidad de un ascensor y un agradable balcón, garantiza una excelente iluminación natural, frescura y una vista privilegiada hacia las zonas exteriores. La distribución inteligente optimiza cada metro cuadrado, separando a la perfección el área social de las habitaciones para brindar la máxima privacidad y confort diario. Con toda la documentación al día y acabados modernos que no requieren de costosas remodelaciones adicionales, este apartamento es una opción atractiva y segura para quienes buscan un hogar funcional con la tranquilidad y el respaldo de vivir en un conjunto residencial cerrado.</v>
      </c>
      <c r="AE446" s="46"/>
      <c r="AF446" s="46" t="str">
        <f>IFERROR(__xludf.DUMMYFUNCTION("""COMPUTED_VALUE"""),"integral")</f>
        <v>integral</v>
      </c>
      <c r="AG446" s="46"/>
      <c r="AH446" s="46" t="str">
        <f>IFERROR(__xludf.DUMMYFUNCTION("""COMPUTED_VALUE"""),"Aliado")</f>
        <v>Aliado</v>
      </c>
      <c r="AI446" s="92" t="str">
        <f>IFERROR(__xludf.DUMMYFUNCTION("""COMPUTED_VALUE"""),"https://lh3.googleusercontent.com/pw/AP1GczMAyhVxDnM6l8yRlHFoO93c9zLSL6I0vmQh5o9K5EscwDC9VAOp5k9sC5Hqq39j0pP_Sa4sEDn2qULP2GBsugoqilH6he6wkydGXoJDRcyzXTVzgAOw=w1200|https://lh3.googleusercontent.com/pw/AP1GczNcLhRjTKaLPfcUXkVunfNpYoi073YgfZRSD376F8c1CYSsuz"&amp;"3ZclWE-dv9waxaHaP83kJ1v2bXFrbPI93TX2gGo1O0lPZp2-XvaRgjDK_fSJoyJzQK=w1200|https://lh3.googleusercontent.com/pw/AP1GczNAs7_8CX2yyceGobkJDeqqhEltX87snQD74ezpi30TGzIYssfKDEggPe1coGKCFIS5bD33eQGdfJ8OqnuSuVmjPYY5jOqB3l9WhFT0TQIXkRrb3heN=w1200|https://lh3.google"&amp;"usercontent.com/pw/AP1GczOPX3wXyfVAWNO2JgGfGHCUHXv6vSBeuHcsito5gPhFlR8sGbCwvy6-LXegsbqoT6Tw86G9dkmwrdadUn1dF9a0HTUVj4o3-fZ6bg6gtuYxaUPkTeNh=w1200|https://lh3.googleusercontent.com/pw/AP1GczPz8gc_mJlERSHKS4b1jOphZ4PPaHxBTosobwk3N1fF4HcdFuas2HJW45LZz1-pJS-U"&amp;"4YTXI9NjIX9I4e0sh7baJeYk91yuHMiRikJSoZtnq6HK22xF=w1200|https://lh3.googleusercontent.com/pw/AP1GczNu5U6zN9uZLQOVDaMHV2-JnxYIaASfJwe6KPnzNMZrKSaF8hvJaCteOFksfitZLdro1bOCemqJ8yAZhL4RS-Y6Y7M5eJ_OE3OUkdwGI63LKrhbBuBD=w1200|https://lh3.googleusercontent.com/pw"&amp;"/AP1GczPcfIioh4EsbbxIOyZQDP_8buD0id1qyA5cWY4jfAd_ygRuJj51YgQtqM4vRDWl2fcWU6clAZGVWLnUeBrFsqHOK5fCiO-WhbQGwbF7I_1iDT8c1wK_=w1200|https://lh3.googleusercontent.com/pw/AP1GczPzXoFcHfqphboB3kqKHx9_xm_s6nTf958eoE5Y5FoT7M-_fIu0nzLqbptrjTo7GWut7CUcorOsQPZr7f-2ay"&amp;"Kj_qeiKIS7XfKR4XrkKuKTQYLbQ7jf=w1200|https://lh3.googleusercontent.com/pw/AP1GczM9Xkq8ZpPPMnsIru7JmqxQ2EwRnYJl1inixvMlq9Yza96NrYiGN3Y5W9jMydAmvYARvIPAMFbOKZxhJuBvR2lEJv_JkFolnK_mMx8v2qqbQwYS4Dpo=w1200|https://lh3.googleusercontent.com/pw/AP1GczNkGvzextpNh"&amp;"8TO3IG6jblxo6XSzyNl5PgJDLNr907u9V6u6DYKvSuDs-vR5uS4WICgf74pu9_1kAnJJE_D1049WUuzn67AcH4Wnj-DUPd6SwG43ZPB=w1200|https://lh3.googleusercontent.com/pw/AP1GczMHvZiReliN_PjuKhrBKyEF4MuuviOtmnsDdyW2uBJBqUZ9GA_rNb93TQszUEqgh0ysKWrfpLES1UIeUvPN6sQtTJUGGotqtHx-Qahh"&amp;"MddwvoO-MjO9=w1200|https://lh3.googleusercontent.com/pw/AP1GczOvTk-rM-iSZmg3IEgqpUiwpBgWuYxyOAZjTTNz3MFXqkwHq1XibzssLXW1XPqeD0DUfl0kf9YyIw4GbLBDc9MGOIMmGBk_iIg0LZNPShMeDIZlg0yw=w1200|https://lh3.googleusercontent.com/pw/AP1GczNK22r0XcUpNjfFCsvuB7j_1LvsHrM"&amp;"HtFPuZzuD_XaoTebDTEIovlQJtLG-AvSOZGKi0Eu4At7JKlasIXD2iYavf0qGBOj5lh6OS0l5jyobMT7D2EBb=w1200|https://lh3.googleusercontent.com/pw/AP1GczOM8Cn2R0o9xrkDKTGkbIvTLgujjVN2y7wdhNjyvDguIo7uJELd0QYYwjBC0sdyt78f3SO8GLUZ0jIgVbEw7Lax-i4bypgr9ghMgG6GZ6sFBNUKo2hC=w1200")</f>
        <v>https://lh3.googleusercontent.com/pw/AP1GczMAyhVxDnM6l8yRlHFoO93c9zLSL6I0vmQh5o9K5EscwDC9VAOp5k9sC5Hqq39j0pP_Sa4sEDn2qULP2GBsugoqilH6he6wkydGXoJDRcyzXTVzgAOw=w1200|https://lh3.googleusercontent.com/pw/AP1GczNcLhRjTKaLPfcUXkVunfNpYoi073YgfZRSD376F8c1CYSsuz3ZclWE-dv9waxaHaP83kJ1v2bXFrbPI93TX2gGo1O0lPZp2-XvaRgjDK_fSJoyJzQK=w1200|https://lh3.googleusercontent.com/pw/AP1GczNAs7_8CX2yyceGobkJDeqqhEltX87snQD74ezpi30TGzIYssfKDEggPe1coGKCFIS5bD33eQGdfJ8OqnuSuVmjPYY5jOqB3l9WhFT0TQIXkRrb3heN=w1200|https://lh3.googleusercontent.com/pw/AP1GczOPX3wXyfVAWNO2JgGfGHCUHXv6vSBeuHcsito5gPhFlR8sGbCwvy6-LXegsbqoT6Tw86G9dkmwrdadUn1dF9a0HTUVj4o3-fZ6bg6gtuYxaUPkTeNh=w1200|https://lh3.googleusercontent.com/pw/AP1GczPz8gc_mJlERSHKS4b1jOphZ4PPaHxBTosobwk3N1fF4HcdFuas2HJW45LZz1-pJS-U4YTXI9NjIX9I4e0sh7baJeYk91yuHMiRikJSoZtnq6HK22xF=w1200|https://lh3.googleusercontent.com/pw/AP1GczNu5U6zN9uZLQOVDaMHV2-JnxYIaASfJwe6KPnzNMZrKSaF8hvJaCteOFksfitZLdro1bOCemqJ8yAZhL4RS-Y6Y7M5eJ_OE3OUkdwGI63LKrhbBuBD=w1200|https://lh3.googleusercontent.com/pw/AP1GczPcfIioh4EsbbxIOyZQDP_8buD0id1qyA5cWY4jfAd_ygRuJj51YgQtqM4vRDWl2fcWU6clAZGVWLnUeBrFsqHOK5fCiO-WhbQGwbF7I_1iDT8c1wK_=w1200|https://lh3.googleusercontent.com/pw/AP1GczPzXoFcHfqphboB3kqKHx9_xm_s6nTf958eoE5Y5FoT7M-_fIu0nzLqbptrjTo7GWut7CUcorOsQPZr7f-2ayKj_qeiKIS7XfKR4XrkKuKTQYLbQ7jf=w1200|https://lh3.googleusercontent.com/pw/AP1GczM9Xkq8ZpPPMnsIru7JmqxQ2EwRnYJl1inixvMlq9Yza96NrYiGN3Y5W9jMydAmvYARvIPAMFbOKZxhJuBvR2lEJv_JkFolnK_mMx8v2qqbQwYS4Dpo=w1200|https://lh3.googleusercontent.com/pw/AP1GczNkGvzextpNh8TO3IG6jblxo6XSzyNl5PgJDLNr907u9V6u6DYKvSuDs-vR5uS4WICgf74pu9_1kAnJJE_D1049WUuzn67AcH4Wnj-DUPd6SwG43ZPB=w1200|https://lh3.googleusercontent.com/pw/AP1GczMHvZiReliN_PjuKhrBKyEF4MuuviOtmnsDdyW2uBJBqUZ9GA_rNb93TQszUEqgh0ysKWrfpLES1UIeUvPN6sQtTJUGGotqtHx-QahhMddwvoO-MjO9=w1200|https://lh3.googleusercontent.com/pw/AP1GczOvTk-rM-iSZmg3IEgqpUiwpBgWuYxyOAZjTTNz3MFXqkwHq1XibzssLXW1XPqeD0DUfl0kf9YyIw4GbLBDc9MGOIMmGBk_iIg0LZNPShMeDIZlg0yw=w1200|https://lh3.googleusercontent.com/pw/AP1GczNK22r0XcUpNjfFCsvuB7j_1LvsHrMHtFPuZzuD_XaoTebDTEIovlQJtLG-AvSOZGKi0Eu4At7JKlasIXD2iYavf0qGBOj5lh6OS0l5jyobMT7D2EBb=w1200|https://lh3.googleusercontent.com/pw/AP1GczOM8Cn2R0o9xrkDKTGkbIvTLgujjVN2y7wdhNjyvDguIo7uJELd0QYYwjBC0sdyt78f3SO8GLUZ0jIgVbEw7Lax-i4bypgr9ghMgG6GZ6sFBNUKo2hC=w1200</v>
      </c>
      <c r="AJ446" s="46"/>
      <c r="AK446" s="46"/>
      <c r="AL446" s="46"/>
      <c r="AM446" s="46"/>
      <c r="AN446" s="46"/>
      <c r="AO446" s="46"/>
      <c r="AP446" s="46"/>
      <c r="AQ446" s="46"/>
      <c r="AR446" s="46"/>
      <c r="AS446" s="46"/>
      <c r="AT446" s="46"/>
      <c r="AU446" s="46"/>
      <c r="AV446" s="46"/>
      <c r="AW446" s="46"/>
      <c r="AX446" s="46"/>
      <c r="AY446" s="46"/>
      <c r="AZ446" s="46"/>
      <c r="BA446" s="46"/>
      <c r="BB446" s="46"/>
      <c r="BC446" s="46"/>
      <c r="BD446" s="46"/>
      <c r="BE446" s="46"/>
      <c r="BF446" s="46"/>
      <c r="BG446" s="46"/>
      <c r="BH446" s="46"/>
      <c r="BI446" s="46"/>
      <c r="BJ446" s="46"/>
      <c r="BK446" s="46"/>
      <c r="BL446" s="46"/>
      <c r="BM446" s="46"/>
      <c r="BN446" s="46"/>
      <c r="BO446" s="46"/>
      <c r="BP446" s="46"/>
      <c r="BQ446" s="46"/>
      <c r="BR446" s="46"/>
      <c r="BS446" s="46"/>
      <c r="BT446" s="46"/>
      <c r="BU446" s="46"/>
      <c r="BV446" s="46"/>
      <c r="BW446" s="46"/>
      <c r="BX446" s="46"/>
      <c r="BY446" s="46"/>
      <c r="BZ446" s="46"/>
      <c r="CA446" s="46"/>
      <c r="CB446" s="46"/>
      <c r="CC446" s="46"/>
    </row>
    <row r="447">
      <c r="A447" s="87" t="str">
        <f>IFERROR(__xludf.DUMMYFUNCTION("""COMPUTED_VALUE"""),"6411")</f>
        <v>6411</v>
      </c>
      <c r="B447" s="46" t="str">
        <f>IFERROR(__xludf.DUMMYFUNCTION("""COMPUTED_VALUE"""),"Apartamento en conjunto Caminos de la Primavera - Norte")</f>
        <v>Apartamento en conjunto Caminos de la Primavera - Norte</v>
      </c>
      <c r="C447" s="46" t="str">
        <f>IFERROR(__xludf.DUMMYFUNCTION("""COMPUTED_VALUE"""),"Apartamento en conjunto")</f>
        <v>Apartamento en conjunto</v>
      </c>
      <c r="D447" s="46"/>
      <c r="E447" s="46" t="str">
        <f>IFERROR(__xludf.DUMMYFUNCTION("""COMPUTED_VALUE"""),"Conjunto Caminos de la Primavera ")</f>
        <v>Conjunto Caminos de la Primavera </v>
      </c>
      <c r="F447" s="90">
        <f>IFERROR(__xludf.DUMMYFUNCTION("""COMPUTED_VALUE"""),1.7E8)</f>
        <v>170000000</v>
      </c>
      <c r="G447" s="46" t="str">
        <f>IFERROR(__xludf.DUMMYFUNCTION("""COMPUTED_VALUE"""),"$100'000.000 a $200'000.000")</f>
        <v>$100'000.000 a $200'000.000</v>
      </c>
      <c r="H447" s="46"/>
      <c r="I447" s="46"/>
      <c r="J447" s="46" t="str">
        <f>IFERROR(__xludf.DUMMYFUNCTION("""COMPUTED_VALUE"""),"Norte")</f>
        <v>Norte</v>
      </c>
      <c r="K447" s="87"/>
      <c r="L447" s="46">
        <f>IFERROR(__xludf.DUMMYFUNCTION("""COMPUTED_VALUE"""),3.0)</f>
        <v>3</v>
      </c>
      <c r="M447" s="46"/>
      <c r="N447" s="46">
        <f>IFERROR(__xludf.DUMMYFUNCTION("""COMPUTED_VALUE"""),1.0)</f>
        <v>1</v>
      </c>
      <c r="O447" s="46" t="str">
        <f>IFERROR(__xludf.DUMMYFUNCTION("""COMPUTED_VALUE"""),"Comunal")</f>
        <v>Comunal</v>
      </c>
      <c r="P447" s="46">
        <f>IFERROR(__xludf.DUMMYFUNCTION("""COMPUTED_VALUE"""),11.0)</f>
        <v>11</v>
      </c>
      <c r="Q447" s="92">
        <f>IFERROR(__xludf.DUMMYFUNCTION("""COMPUTED_VALUE"""),54.0)</f>
        <v>54</v>
      </c>
      <c r="R447" s="92">
        <f>IFERROR(__xludf.DUMMYFUNCTION("""COMPUTED_VALUE"""),54.0)</f>
        <v>54</v>
      </c>
      <c r="S447" s="87" t="str">
        <f>IFERROR(__xludf.DUMMYFUNCTION("""COMPUTED_VALUE""")," ")</f>
        <v> </v>
      </c>
      <c r="T447" s="46" t="str">
        <f>IFERROR(__xludf.DUMMYFUNCTION("""COMPUTED_VALUE"""),"Neiva")</f>
        <v>Neiva</v>
      </c>
      <c r="U447" s="87" t="str">
        <f>IFERROR(__xludf.DUMMYFUNCTION("""COMPUTED_VALUE"""),"3")</f>
        <v>3</v>
      </c>
      <c r="V447" s="46" t="str">
        <f>IFERROR(__xludf.DUMMYFUNCTION("""COMPUTED_VALUE"""),"11o.")</f>
        <v>11o.</v>
      </c>
      <c r="W447" s="46"/>
      <c r="X447" s="46">
        <f>IFERROR(__xludf.DUMMYFUNCTION("""COMPUTED_VALUE"""),3.0)</f>
        <v>3</v>
      </c>
      <c r="Y447" s="46" t="str">
        <f>IFERROR(__xludf.DUMMYFUNCTION("""COMPUTED_VALUE"""),"Social")</f>
        <v>Social</v>
      </c>
      <c r="Z447" s="90">
        <f>IFERROR(__xludf.DUMMYFUNCTION("""COMPUTED_VALUE"""),152000.0)</f>
        <v>152000</v>
      </c>
      <c r="AA447" s="33" t="str">
        <f>IFERROR(__xludf.DUMMYFUNCTION("""COMPUTED_VALUE"""),"No aplica")</f>
        <v>No aplica</v>
      </c>
      <c r="AB447" s="96" t="str">
        <f>IFERROR(__xludf.DUMMYFUNCTION("""COMPUTED_VALUE"""),"https://photos.app.goo.gl/axWfdjCJk2gSxK17A")</f>
        <v>https://photos.app.goo.gl/axWfdjCJk2gSxK17A</v>
      </c>
      <c r="AC447" s="46" t="str">
        <f>IFERROR(__xludf.DUMMYFUNCTION("""COMPUTED_VALUE"""),"Este acogedor apartamento cuenta con un área privada de 54 m² optimizada con una distribución funcional y acabados listos para habitar. Al ingresar, se observa una cómoda sala-comedor revestida con pisos en cerámica clara de tono beige y muros perfectamen"&amp;"te estucados en blanco, que comunican directamente con un agradable balcón exterior mediante un ventanal corredizo. La zona íntima está conformada por tres habitaciones independientes distribuidas a lo largo de un pasillo central, donde la alcoba principa"&amp;"l dispone de su propio baño privado, complementándose con un baño social adicional para el resto del hogar. Por su parte, la cocina de estilo semi-integral viene equipada con muebles superiores e inferiores en un moderno tono oscuro, encimera de acero ino"&amp;"xidable con estufa empotrada y campana extractora, conectando discretamente con el área de ropas. Adicionalmente, el apartamento se encuentra en el piso 11 y cuenta con derecho a un parqueadero comunitario.")</f>
        <v>Este acogedor apartamento cuenta con un área privada de 54 m² optimizada con una distribución funcional y acabados listos para habitar. Al ingresar, se observa una cómoda sala-comedor revestida con pisos en cerámica clara de tono beige y muros perfectamente estucados en blanco, que comunican directamente con un agradable balcón exterior mediante un ventanal corredizo. La zona íntima está conformada por tres habitaciones independientes distribuidas a lo largo de un pasillo central, donde la alcoba principal dispone de su propio baño privado, complementándose con un baño social adicional para el resto del hogar. Por su parte, la cocina de estilo semi-integral viene equipada con muebles superiores e inferiores en un moderno tono oscuro, encimera de acero inoxidable con estufa empotrada y campana extractora, conectando discretamente con el área de ropas. Adicionalmente, el apartamento se encuentra en el piso 11 y cuenta con derecho a un parqueadero comunitario.</v>
      </c>
      <c r="AD447" s="46" t="str">
        <f>IFERROR(__xludf.DUMMYFUNCTION("""COMPUTED_VALUE"""),"La propiedad representa una oportunidad de inversión ideal por su inigualable frescura y una vista panorámica privilegiada desde las alturas de su undécimo piso. Su ubicación dentro del conjunto residencial Caminos de la Primavera asegura un estilo de vid"&amp;"a tipo club lleno de entretenimiento y bienestar, ya que los residentes disfrutan de acceso exclusivo a una piscina, gimnasio completamente dotado, cancha sintética de fútbol, zona BBQ para reuniones familiares y parques infantiles. Con todos sus espacios"&amp;" perfectamente iluminados de forma natural, una excelente distribución que separa el área social de los dormitorios y áreas recreativas completas, este apartamento se consolida como la opción definitiva para quienes buscan tranquilidad, confort y alta val"&amp;"orización en un solo lugar.")</f>
        <v>La propiedad representa una oportunidad de inversión ideal por su inigualable frescura y una vista panorámica privilegiada desde las alturas de su undécimo piso. Su ubicación dentro del conjunto residencial Caminos de la Primavera asegura un estilo de vida tipo club lleno de entretenimiento y bienestar, ya que los residentes disfrutan de acceso exclusivo a una piscina, gimnasio completamente dotado, cancha sintética de fútbol, zona BBQ para reuniones familiares y parques infantiles. Con todos sus espacios perfectamente iluminados de forma natural, una excelente distribución que separa el área social de los dormitorios y áreas recreativas completas, este apartamento se consolida como la opción definitiva para quienes buscan tranquilidad, confort y alta valorización en un solo lugar.</v>
      </c>
      <c r="AE447" s="46"/>
      <c r="AF447" s="46" t="str">
        <f>IFERROR(__xludf.DUMMYFUNCTION("""COMPUTED_VALUE"""),"integral")</f>
        <v>integral</v>
      </c>
      <c r="AG447" s="46"/>
      <c r="AH447" s="46" t="str">
        <f>IFERROR(__xludf.DUMMYFUNCTION("""COMPUTED_VALUE"""),"Aliado")</f>
        <v>Aliado</v>
      </c>
      <c r="AI447" s="92" t="str">
        <f>IFERROR(__xludf.DUMMYFUNCTION("""COMPUTED_VALUE"""),"https://lh3.googleusercontent.com/pw/AP1GczO0KxVwn3VOOAEr-WnOSQYD2rblTgPTS6S6XZKGEnH4x-tv6BphzESvvhipA-iA9RNrfM1lLECo_lgUTl6HBY4Ls86GdsbEIZghKeYyVrY-M6dwiOcZ=w1200|https://lh3.googleusercontent.com/pw/AP1GczN7px6iLrRMDO9629LOCLWJRP_gT_OPbEjrJqw2Z5Z-e1f2ul"&amp;"KuDu1740XXAAu1GbH0I9iaCNbvsNsRzoieTEHUbWGOPXzAA9_3T7mcOcsW163x0sFE=w1200|https://lh3.googleusercontent.com/pw/AP1GczPzjs7QXbw31UFO-HcY37zNS7adSf1wLl3mpeIKkAukEYT7fkHw8cUdntdRTw8CFEkdGgRtZaaSkdV03tYf0aTkGw4QAOeoHy3EDgUnqTuIga-jd7w4=w1200|https://lh3.google"&amp;"usercontent.com/pw/AP1GczMWOpWf8HModFD4lJOQl7zaRc9G91K_SP0meWFbF9JBc_hx5Na11vGelFX7qDeME-4CF2syW3Ijwan1-thy2jO0QifvdDn18xOGPnzAuGZ8I504hICa=w1200|https://lh3.googleusercontent.com/pw/AP1GczOHqDwsGemnvSB4ouv1WO9y9uNzW8d0sad_RZie2sdCYu7KTWUpkztsmOBc5Y71WDVl"&amp;"U02I2EwR8P7PT_hYDY_J2uUUwiJ9KxEvp88fYAsHeQaX0nOa=w1200|https://lh3.googleusercontent.com/pw/AP1GczPsLdrm8Qc2Kp_pcoiHdXZfqCkv1d80cbk7AyiXaukjymNOZb0fuCw-xT_vN8kMLp-ND7Tn0vJlm5U_eVN6H6vXgocP_6mQAzZ9xqUpt-oNZf2ExEQ2=w1200|https://lh3.googleusercontent.com/pw"&amp;"/AP1GczOcxTbu-28JTYizEoqKz4YoYQgy3BLouGfNpesQ5UU5M4OsEsUS3MF76agqsvwVFUAW6GDmk-90Jpnu9_cyOcz5rb3-j0rop3PlezORN95f77Wt80Wz=w1200")</f>
        <v>https://lh3.googleusercontent.com/pw/AP1GczO0KxVwn3VOOAEr-WnOSQYD2rblTgPTS6S6XZKGEnH4x-tv6BphzESvvhipA-iA9RNrfM1lLECo_lgUTl6HBY4Ls86GdsbEIZghKeYyVrY-M6dwiOcZ=w1200|https://lh3.googleusercontent.com/pw/AP1GczN7px6iLrRMDO9629LOCLWJRP_gT_OPbEjrJqw2Z5Z-e1f2ulKuDu1740XXAAu1GbH0I9iaCNbvsNsRzoieTEHUbWGOPXzAA9_3T7mcOcsW163x0sFE=w1200|https://lh3.googleusercontent.com/pw/AP1GczPzjs7QXbw31UFO-HcY37zNS7adSf1wLl3mpeIKkAukEYT7fkHw8cUdntdRTw8CFEkdGgRtZaaSkdV03tYf0aTkGw4QAOeoHy3EDgUnqTuIga-jd7w4=w1200|https://lh3.googleusercontent.com/pw/AP1GczMWOpWf8HModFD4lJOQl7zaRc9G91K_SP0meWFbF9JBc_hx5Na11vGelFX7qDeME-4CF2syW3Ijwan1-thy2jO0QifvdDn18xOGPnzAuGZ8I504hICa=w1200|https://lh3.googleusercontent.com/pw/AP1GczOHqDwsGemnvSB4ouv1WO9y9uNzW8d0sad_RZie2sdCYu7KTWUpkztsmOBc5Y71WDVlU02I2EwR8P7PT_hYDY_J2uUUwiJ9KxEvp88fYAsHeQaX0nOa=w1200|https://lh3.googleusercontent.com/pw/AP1GczPsLdrm8Qc2Kp_pcoiHdXZfqCkv1d80cbk7AyiXaukjymNOZb0fuCw-xT_vN8kMLp-ND7Tn0vJlm5U_eVN6H6vXgocP_6mQAzZ9xqUpt-oNZf2ExEQ2=w1200|https://lh3.googleusercontent.com/pw/AP1GczOcxTbu-28JTYizEoqKz4YoYQgy3BLouGfNpesQ5UU5M4OsEsUS3MF76agqsvwVFUAW6GDmk-90Jpnu9_cyOcz5rb3-j0rop3PlezORN95f77Wt80Wz=w1200</v>
      </c>
      <c r="AJ447" s="46"/>
      <c r="AK447" s="46"/>
      <c r="AL447" s="46"/>
      <c r="AM447" s="46"/>
      <c r="AN447" s="46"/>
      <c r="AO447" s="46"/>
      <c r="AP447" s="46"/>
      <c r="AQ447" s="46"/>
      <c r="AR447" s="46"/>
      <c r="AS447" s="46"/>
      <c r="AT447" s="46"/>
      <c r="AU447" s="46"/>
      <c r="AV447" s="46"/>
      <c r="AW447" s="46"/>
      <c r="AX447" s="46"/>
      <c r="AY447" s="46"/>
      <c r="AZ447" s="46"/>
      <c r="BA447" s="46"/>
      <c r="BB447" s="46"/>
      <c r="BC447" s="46"/>
      <c r="BD447" s="46"/>
      <c r="BE447" s="46"/>
      <c r="BF447" s="46"/>
      <c r="BG447" s="46"/>
      <c r="BH447" s="46"/>
      <c r="BI447" s="46"/>
      <c r="BJ447" s="46"/>
      <c r="BK447" s="46"/>
      <c r="BL447" s="46"/>
      <c r="BM447" s="46"/>
      <c r="BN447" s="46"/>
      <c r="BO447" s="46"/>
      <c r="BP447" s="46"/>
      <c r="BQ447" s="46"/>
      <c r="BR447" s="46"/>
      <c r="BS447" s="46"/>
      <c r="BT447" s="46"/>
      <c r="BU447" s="46"/>
      <c r="BV447" s="46"/>
      <c r="BW447" s="46"/>
      <c r="BX447" s="46"/>
      <c r="BY447" s="46"/>
      <c r="BZ447" s="46"/>
      <c r="CA447" s="46"/>
      <c r="CB447" s="46"/>
      <c r="CC447" s="46"/>
    </row>
    <row r="448">
      <c r="A448" s="87" t="str">
        <f>IFERROR(__xludf.DUMMYFUNCTION("""COMPUTED_VALUE"""),"4597")</f>
        <v>4597</v>
      </c>
      <c r="B448" s="46" t="str">
        <f>IFERROR(__xludf.DUMMYFUNCTION("""COMPUTED_VALUE"""),"Apartamento en Conjunto Torres de San Telmo - Sur")</f>
        <v>Apartamento en Conjunto Torres de San Telmo - Sur</v>
      </c>
      <c r="C448" s="46" t="str">
        <f>IFERROR(__xludf.DUMMYFUNCTION("""COMPUTED_VALUE"""),"Apartamento en conjunto")</f>
        <v>Apartamento en conjunto</v>
      </c>
      <c r="D448" s="90" t="str">
        <f>IFERROR(__xludf.DUMMYFUNCTION("""COMPUTED_VALUE"""),"Canaima")</f>
        <v>Canaima</v>
      </c>
      <c r="E448" s="46" t="str">
        <f>IFERROR(__xludf.DUMMYFUNCTION("""COMPUTED_VALUE"""),"San Telmo")</f>
        <v>San Telmo</v>
      </c>
      <c r="F448" s="90">
        <f>IFERROR(__xludf.DUMMYFUNCTION("""COMPUTED_VALUE"""),1.55E8)</f>
        <v>155000000</v>
      </c>
      <c r="G448" s="46" t="str">
        <f>IFERROR(__xludf.DUMMYFUNCTION("""COMPUTED_VALUE"""),"$100'000.000 a $200'000.000")</f>
        <v>$100'000.000 a $200'000.000</v>
      </c>
      <c r="H448" s="46"/>
      <c r="I448" s="46"/>
      <c r="J448" s="46" t="str">
        <f>IFERROR(__xludf.DUMMYFUNCTION("""COMPUTED_VALUE"""),"Sur")</f>
        <v>Sur</v>
      </c>
      <c r="K448" s="87"/>
      <c r="L448" s="46">
        <f>IFERROR(__xludf.DUMMYFUNCTION("""COMPUTED_VALUE"""),3.0)</f>
        <v>3</v>
      </c>
      <c r="M448" s="46"/>
      <c r="N448" s="46">
        <f>IFERROR(__xludf.DUMMYFUNCTION("""COMPUTED_VALUE"""),2.0)</f>
        <v>2</v>
      </c>
      <c r="O448" s="46">
        <f>IFERROR(__xludf.DUMMYFUNCTION("""COMPUTED_VALUE"""),0.0)</f>
        <v>0</v>
      </c>
      <c r="P448" s="46">
        <f>IFERROR(__xludf.DUMMYFUNCTION("""COMPUTED_VALUE"""),3.0)</f>
        <v>3</v>
      </c>
      <c r="Q448" s="92">
        <f>IFERROR(__xludf.DUMMYFUNCTION("""COMPUTED_VALUE"""),62.0)</f>
        <v>62</v>
      </c>
      <c r="R448" s="92">
        <f>IFERROR(__xludf.DUMMYFUNCTION("""COMPUTED_VALUE"""),62.0)</f>
        <v>62</v>
      </c>
      <c r="S448" s="87" t="str">
        <f>IFERROR(__xludf.DUMMYFUNCTION("""COMPUTED_VALUE""")," ")</f>
        <v> </v>
      </c>
      <c r="T448" s="46" t="str">
        <f>IFERROR(__xludf.DUMMYFUNCTION("""COMPUTED_VALUE"""),"Neiva")</f>
        <v>Neiva</v>
      </c>
      <c r="U448" s="87" t="str">
        <f>IFERROR(__xludf.DUMMYFUNCTION("""COMPUTED_VALUE"""),"2")</f>
        <v>2</v>
      </c>
      <c r="V448" s="46" t="str">
        <f>IFERROR(__xludf.DUMMYFUNCTION("""COMPUTED_VALUE"""),"3er.")</f>
        <v>3er.</v>
      </c>
      <c r="W448" s="46"/>
      <c r="X448" s="46">
        <f>IFERROR(__xludf.DUMMYFUNCTION("""COMPUTED_VALUE"""),3.0)</f>
        <v>3</v>
      </c>
      <c r="Y448" s="46" t="str">
        <f>IFERROR(__xludf.DUMMYFUNCTION("""COMPUTED_VALUE"""),"Social")</f>
        <v>Social</v>
      </c>
      <c r="Z448" s="90" t="str">
        <f>IFERROR(__xludf.DUMMYFUNCTION("""COMPUTED_VALUE"""),"No aplica")</f>
        <v>No aplica</v>
      </c>
      <c r="AA448" s="33" t="str">
        <f>IFERROR(__xludf.DUMMYFUNCTION("""COMPUTED_VALUE"""),"No aplica")</f>
        <v>No aplica</v>
      </c>
      <c r="AB448" s="144" t="str">
        <f>IFERROR(__xludf.DUMMYFUNCTION("""COMPUTED_VALUE"""),"https://photos.app.goo.gl/BTnK4JJmK8CPEyfX6")</f>
        <v>https://photos.app.goo.gl/BTnK4JJmK8CPEyfX6</v>
      </c>
      <c r="AC448" s="46" t="str">
        <f>IFERROR(__xludf.DUMMYFUNCTION("""COMPUTED_VALUE"""),"Apartamento en el conjunto residencial san Telmo, sur de Neiva. Tercer piso, tiene ascensor. consta de: sala comedor, 3 habitaciones con closet, cocina integral, 2 baños, zona de lavandería, parqueadero comunal.")</f>
        <v>Apartamento en el conjunto residencial san Telmo, sur de Neiva. Tercer piso, tiene ascensor. consta de: sala comedor, 3 habitaciones con closet, cocina integral, 2 baños, zona de lavandería, parqueadero comunal.</v>
      </c>
      <c r="AD448" s="46" t="str">
        <f>IFERROR(__xludf.DUMMYFUNCTION("""COMPUTED_VALUE"""),"Buena ubicación.")</f>
        <v>Buena ubicación.</v>
      </c>
      <c r="AE448" s="46"/>
      <c r="AF448" s="46" t="str">
        <f>IFERROR(__xludf.DUMMYFUNCTION("""COMPUTED_VALUE"""),"integral")</f>
        <v>integral</v>
      </c>
      <c r="AG448" s="46"/>
      <c r="AH448" s="46" t="str">
        <f>IFERROR(__xludf.DUMMYFUNCTION("""COMPUTED_VALUE"""),"Aliado")</f>
        <v>Aliado</v>
      </c>
      <c r="AI448" s="92" t="str">
        <f>IFERROR(__xludf.DUMMYFUNCTION("""COMPUTED_VALUE"""),"https://lh3.googleusercontent.com/pw/AP1GczNwQbPhZGWKzVOMtjLNNevjMvVnoW4J8ZF2sCTuV3yOq_VLXkQAVzM9gGcniKjKttdRWRxCYpimr8lfnsYyO2zIC9tXa4zer796AQU3sQzQgor8Zc-T=w1200|https://lh3.googleusercontent.com/pw/AP1GczNm7sSD22iBy5qdmQh-i5_8lGdMaKwB7K059DyqsjldkpEnDr"&amp;"xN4G0eczyQ-gSZwhoQA4i398eNyCpsJHB11kUJdPTjjQl_9mRQc6lHAQDNg18xwCQS=w1200|https://lh3.googleusercontent.com/pw/AP1GczOVWS_WgerMW993tDlx6YDJwhppCy3KYch-scQ68-xYQKiyBXfr8V2bDh90txAm79ZY8cUAuSdzMAinGEazUGwoAMS4LGCqbKYBOs3n6Xl2ur08OgZp=w1200|https://lh3.google"&amp;"usercontent.com/pw/AP1GczMBMaf-ir28pNy5mNS_DY-Rm-ke50p3r7Ji4IfgBF66KnEJI_RxeEk8WzbDHo0LZzk0XfCbTR4y9SmClw9rxP85TiikDeg6-HbxUssJtOD45acjNIoA=w1200|https://lh3.googleusercontent.com/pw/AP1GczMFBL9WFiq_-i5naCwIcWEArj8lsFILUNMO1InpPVzVpGx3q0CuomgRL86cd6cgGM_-"&amp;"y6JgVxoUYiiMw6oeoGMobBB-toVx8XZHEbMJdy5NtjNYrzTG=w1200|https://lh3.googleusercontent.com/pw/AP1GczO-74EYBj_oDYeAeMa6idWXGRo5tEsc4hNpaQ3Iw_Pm8TZGxW1Y1qTYpCRkWdGSXVpfUk0fwv0yR1oRQSnzS_AArk_DtQ_969yXN8iCc2UaLX2Ya8ZC=w1200|https://lh3.googleusercontent.com/pw"&amp;"/AP1GczP8FObdAw7HpnUz1IrAJUTQZ_HQDWf8wuBzUOin7oOK63zuOdMYXmxf7t0zBHWvKsb1LtiBR31BvgJMdbKngQFiQ_6oBLr891tpLMy4v_Bv53LclU6b=w1200|https://lh3.googleusercontent.com/pw/AP1GczOhlisgPDRlgqEEwlsxSQg1irqfycEdXg4Ygp8H9AOwwJXC1wBE9hhNy73noBEDfzrp8PzS6xKkhqsaO36lJj"&amp;"jw2Ny-ot_jdCP_kWJI3GXGl5YiPNy8=w1200|https://lh3.googleusercontent.com/pw/AP1GczP-wVousn3DNUbTrQIEgsBeMLOQxDFOXyeRWBPzHNaBya1PSDOevnxjvwPao5Eh0muIXd5Pe-8Erl5rtB36j4dZOHIGjnr3ZCkLbwK4WDT2Ap3Ym-hJ=w1200|https://lh3.googleusercontent.com/pw/AP1GczNVaeRbS_X22"&amp;"_z4zlAVbc_Nm8DCSN6CgL4e_hj3yXTKU6q8Ymgv71IgVjGr83AFYf9wqmxhslKKhMpa2rTrwrUjcGyXS0PXfHOsTe54gAUk_xTOOYMw=w1200|https://lh3.googleusercontent.com/pw/AP1GczMnA71CcTBPmvwFELb2o-1EG5B6_if-uXTucpYIbe82LqrP4-mLTZQOabV6TgyOiXI9tpluoqZ8UUhTpEY0SsZ70oKNH2GBlcuEJ01R"&amp;"C49GNJi1sEtj=w1200|https://lh3.googleusercontent.com/pw/AP1GczPorkaP_YbIwNdqEhVO-9_LKPhLQKa7Mu-RbFPDItGWnr3uLizoOzQV8v7NZODT6uV7kQZXoQuURds0uF6v6FXw2iP6UwwNgcBwpHff8L4o4jWnZMG6=w1200|https://lh3.googleusercontent.com/pw/AP1GczND82ad_eIkMV8ueEs_BJAbapiLOoT"&amp;"yKVGVzAP0vYdMLPjvkDHvOwQTOcEGAsPNGYT9Fi2pS3uAZ6jlWZiijtMzNu8xhkU9ZPPWrDSVJnP1rGrWxRs_=w1200|https://lh3.googleusercontent.com/pw/AP1GczML4bNlqb34DZ2gefOvHEWjzkpZT6c-FHroJaZm2kJhXM0hLRfodMDuT6ivwYwHbOcieyCSU6f5vsG9toFTNLEysGHz1zix0PNDK-8Inq2iDeXgQ6XU=w1200"&amp;"|https://lh3.googleusercontent.com/pw/AP1GczPC8m3HI3DsbkE4TrVzYYwgeVUw_NBqhlzohTqD-aBKgse94EKPRH2Tg9cYq92VodR_izlU5Vv1IgWW10ScWXPV4wH6pZUIZtExsie_KfMUAMVhVZxI=w1200")</f>
        <v>https://lh3.googleusercontent.com/pw/AP1GczNwQbPhZGWKzVOMtjLNNevjMvVnoW4J8ZF2sCTuV3yOq_VLXkQAVzM9gGcniKjKttdRWRxCYpimr8lfnsYyO2zIC9tXa4zer796AQU3sQzQgor8Zc-T=w1200|https://lh3.googleusercontent.com/pw/AP1GczNm7sSD22iBy5qdmQh-i5_8lGdMaKwB7K059DyqsjldkpEnDrxN4G0eczyQ-gSZwhoQA4i398eNyCpsJHB11kUJdPTjjQl_9mRQc6lHAQDNg18xwCQS=w1200|https://lh3.googleusercontent.com/pw/AP1GczOVWS_WgerMW993tDlx6YDJwhppCy3KYch-scQ68-xYQKiyBXfr8V2bDh90txAm79ZY8cUAuSdzMAinGEazUGwoAMS4LGCqbKYBOs3n6Xl2ur08OgZp=w1200|https://lh3.googleusercontent.com/pw/AP1GczMBMaf-ir28pNy5mNS_DY-Rm-ke50p3r7Ji4IfgBF66KnEJI_RxeEk8WzbDHo0LZzk0XfCbTR4y9SmClw9rxP85TiikDeg6-HbxUssJtOD45acjNIoA=w1200|https://lh3.googleusercontent.com/pw/AP1GczMFBL9WFiq_-i5naCwIcWEArj8lsFILUNMO1InpPVzVpGx3q0CuomgRL86cd6cgGM_-y6JgVxoUYiiMw6oeoGMobBB-toVx8XZHEbMJdy5NtjNYrzTG=w1200|https://lh3.googleusercontent.com/pw/AP1GczO-74EYBj_oDYeAeMa6idWXGRo5tEsc4hNpaQ3Iw_Pm8TZGxW1Y1qTYpCRkWdGSXVpfUk0fwv0yR1oRQSnzS_AArk_DtQ_969yXN8iCc2UaLX2Ya8ZC=w1200|https://lh3.googleusercontent.com/pw/AP1GczP8FObdAw7HpnUz1IrAJUTQZ_HQDWf8wuBzUOin7oOK63zuOdMYXmxf7t0zBHWvKsb1LtiBR31BvgJMdbKngQFiQ_6oBLr891tpLMy4v_Bv53LclU6b=w1200|https://lh3.googleusercontent.com/pw/AP1GczOhlisgPDRlgqEEwlsxSQg1irqfycEdXg4Ygp8H9AOwwJXC1wBE9hhNy73noBEDfzrp8PzS6xKkhqsaO36lJjjw2Ny-ot_jdCP_kWJI3GXGl5YiPNy8=w1200|https://lh3.googleusercontent.com/pw/AP1GczP-wVousn3DNUbTrQIEgsBeMLOQxDFOXyeRWBPzHNaBya1PSDOevnxjvwPao5Eh0muIXd5Pe-8Erl5rtB36j4dZOHIGjnr3ZCkLbwK4WDT2Ap3Ym-hJ=w1200|https://lh3.googleusercontent.com/pw/AP1GczNVaeRbS_X22_z4zlAVbc_Nm8DCSN6CgL4e_hj3yXTKU6q8Ymgv71IgVjGr83AFYf9wqmxhslKKhMpa2rTrwrUjcGyXS0PXfHOsTe54gAUk_xTOOYMw=w1200|https://lh3.googleusercontent.com/pw/AP1GczMnA71CcTBPmvwFELb2o-1EG5B6_if-uXTucpYIbe82LqrP4-mLTZQOabV6TgyOiXI9tpluoqZ8UUhTpEY0SsZ70oKNH2GBlcuEJ01RC49GNJi1sEtj=w1200|https://lh3.googleusercontent.com/pw/AP1GczPorkaP_YbIwNdqEhVO-9_LKPhLQKa7Mu-RbFPDItGWnr3uLizoOzQV8v7NZODT6uV7kQZXoQuURds0uF6v6FXw2iP6UwwNgcBwpHff8L4o4jWnZMG6=w1200|https://lh3.googleusercontent.com/pw/AP1GczND82ad_eIkMV8ueEs_BJAbapiLOoTyKVGVzAP0vYdMLPjvkDHvOwQTOcEGAsPNGYT9Fi2pS3uAZ6jlWZiijtMzNu8xhkU9ZPPWrDSVJnP1rGrWxRs_=w1200|https://lh3.googleusercontent.com/pw/AP1GczML4bNlqb34DZ2gefOvHEWjzkpZT6c-FHroJaZm2kJhXM0hLRfodMDuT6ivwYwHbOcieyCSU6f5vsG9toFTNLEysGHz1zix0PNDK-8Inq2iDeXgQ6XU=w1200|https://lh3.googleusercontent.com/pw/AP1GczPC8m3HI3DsbkE4TrVzYYwgeVUw_NBqhlzohTqD-aBKgse94EKPRH2Tg9cYq92VodR_izlU5Vv1IgWW10ScWXPV4wH6pZUIZtExsie_KfMUAMVhVZxI=w1200</v>
      </c>
      <c r="AJ448" s="46"/>
      <c r="AK448" s="46"/>
      <c r="AL448" s="46"/>
      <c r="AM448" s="46"/>
      <c r="AN448" s="46"/>
      <c r="AO448" s="46"/>
      <c r="AP448" s="46"/>
      <c r="AQ448" s="46"/>
      <c r="AR448" s="46"/>
      <c r="AS448" s="46"/>
      <c r="AT448" s="46"/>
      <c r="AU448" s="46"/>
      <c r="AV448" s="46"/>
      <c r="AW448" s="46"/>
      <c r="AX448" s="46"/>
      <c r="AY448" s="46"/>
      <c r="AZ448" s="46"/>
      <c r="BA448" s="46"/>
      <c r="BB448" s="46"/>
      <c r="BC448" s="46"/>
      <c r="BD448" s="46"/>
      <c r="BE448" s="46"/>
      <c r="BF448" s="46"/>
      <c r="BG448" s="46"/>
      <c r="BH448" s="46"/>
      <c r="BI448" s="46"/>
      <c r="BJ448" s="46"/>
      <c r="BK448" s="46"/>
      <c r="BL448" s="46"/>
      <c r="BM448" s="46"/>
      <c r="BN448" s="46"/>
      <c r="BO448" s="46"/>
      <c r="BP448" s="46"/>
      <c r="BQ448" s="46"/>
      <c r="BR448" s="46"/>
      <c r="BS448" s="46"/>
      <c r="BT448" s="46"/>
      <c r="BU448" s="46"/>
      <c r="BV448" s="46"/>
      <c r="BW448" s="46"/>
      <c r="BX448" s="46"/>
      <c r="BY448" s="46"/>
      <c r="BZ448" s="46"/>
      <c r="CA448" s="46"/>
      <c r="CB448" s="46"/>
      <c r="CC448" s="46"/>
    </row>
    <row r="449">
      <c r="A449" s="87" t="str">
        <f>IFERROR(__xludf.DUMMYFUNCTION("""COMPUTED_VALUE"""),"4733")</f>
        <v>4733</v>
      </c>
      <c r="B449" s="46" t="str">
        <f>IFERROR(__xludf.DUMMYFUNCTION("""COMPUTED_VALUE"""),"Casa en barrio Alto del Limonar")</f>
        <v>Casa en barrio Alto del Limonar</v>
      </c>
      <c r="C449" s="46" t="str">
        <f>IFERROR(__xludf.DUMMYFUNCTION("""COMPUTED_VALUE"""),"Casa")</f>
        <v>Casa</v>
      </c>
      <c r="D449" s="46" t="str">
        <f>IFERROR(__xludf.DUMMYFUNCTION("""COMPUTED_VALUE"""),"Altos del Limonar")</f>
        <v>Altos del Limonar</v>
      </c>
      <c r="E449" s="46"/>
      <c r="F449" s="90">
        <f>IFERROR(__xludf.DUMMYFUNCTION("""COMPUTED_VALUE"""),1.4E8)</f>
        <v>140000000</v>
      </c>
      <c r="G449" s="46" t="str">
        <f>IFERROR(__xludf.DUMMYFUNCTION("""COMPUTED_VALUE"""),"$100'000.000 a $200'000.000")</f>
        <v>$100'000.000 a $200'000.000</v>
      </c>
      <c r="H449" s="46"/>
      <c r="I449" s="46"/>
      <c r="J449" s="46" t="str">
        <f>IFERROR(__xludf.DUMMYFUNCTION("""COMPUTED_VALUE"""),"Sur")</f>
        <v>Sur</v>
      </c>
      <c r="K449" s="87"/>
      <c r="L449" s="46">
        <f>IFERROR(__xludf.DUMMYFUNCTION("""COMPUTED_VALUE"""),3.0)</f>
        <v>3</v>
      </c>
      <c r="M449" s="46"/>
      <c r="N449" s="46">
        <f>IFERROR(__xludf.DUMMYFUNCTION("""COMPUTED_VALUE"""),1.0)</f>
        <v>1</v>
      </c>
      <c r="O449" s="46">
        <f>IFERROR(__xludf.DUMMYFUNCTION("""COMPUTED_VALUE"""),0.0)</f>
        <v>0</v>
      </c>
      <c r="P449" s="46">
        <f>IFERROR(__xludf.DUMMYFUNCTION("""COMPUTED_VALUE"""),1.0)</f>
        <v>1</v>
      </c>
      <c r="Q449" s="92">
        <f>IFERROR(__xludf.DUMMYFUNCTION("""COMPUTED_VALUE"""),90.0)</f>
        <v>90</v>
      </c>
      <c r="R449" s="92">
        <f>IFERROR(__xludf.DUMMYFUNCTION("""COMPUTED_VALUE"""),90.0)</f>
        <v>90</v>
      </c>
      <c r="S449" s="87" t="str">
        <f>IFERROR(__xludf.DUMMYFUNCTION("""COMPUTED_VALUE""")," ")</f>
        <v> </v>
      </c>
      <c r="T449" s="46" t="str">
        <f>IFERROR(__xludf.DUMMYFUNCTION("""COMPUTED_VALUE"""),"Neiva")</f>
        <v>Neiva</v>
      </c>
      <c r="U449" s="87" t="str">
        <f>IFERROR(__xludf.DUMMYFUNCTION("""COMPUTED_VALUE"""),"2")</f>
        <v>2</v>
      </c>
      <c r="V449" s="46" t="str">
        <f>IFERROR(__xludf.DUMMYFUNCTION("""COMPUTED_VALUE"""),"Medianera")</f>
        <v>Medianera</v>
      </c>
      <c r="W449" s="46"/>
      <c r="X449" s="46">
        <f>IFERROR(__xludf.DUMMYFUNCTION("""COMPUTED_VALUE"""),1.0)</f>
        <v>1</v>
      </c>
      <c r="Y449" s="46" t="str">
        <f>IFERROR(__xludf.DUMMYFUNCTION("""COMPUTED_VALUE"""),"No tiene")</f>
        <v>No tiene</v>
      </c>
      <c r="Z449" s="90" t="str">
        <f>IFERROR(__xludf.DUMMYFUNCTION("""COMPUTED_VALUE"""),"No aplica")</f>
        <v>No aplica</v>
      </c>
      <c r="AA449" s="33" t="str">
        <f>IFERROR(__xludf.DUMMYFUNCTION("""COMPUTED_VALUE"""),"No aplica")</f>
        <v>No aplica</v>
      </c>
      <c r="AB449" s="144" t="str">
        <f>IFERROR(__xludf.DUMMYFUNCTION("""COMPUTED_VALUE"""),"https://photos.app.goo.gl/zuTdKA9eTzQqJSVcA")</f>
        <v>https://photos.app.goo.gl/zuTdKA9eTzQqJSVcA</v>
      </c>
      <c r="AC449" s="46" t="str">
        <f>IFERROR(__xludf.DUMMYFUNCTION("""COMPUTED_VALUE"""),"Casa en el barrio altos del limonar sur de Neiva, cerca de la iglesia divino niño. Consta de: sala comedor, 1 habitación con baño privado, 3 habitaciones, cocina, baño social, zona de lavandería, enrejada el antejardin, patio de ropas.")</f>
        <v>Casa en el barrio altos del limonar sur de Neiva, cerca de la iglesia divino niño. Consta de: sala comedor, 1 habitación con baño privado, 3 habitaciones, cocina, baño social, zona de lavandería, enrejada el antejardin, patio de ropas.</v>
      </c>
      <c r="AD449" s="46" t="str">
        <f>IFERROR(__xludf.DUMMYFUNCTION("""COMPUTED_VALUE"""),"Buena ubicación.")</f>
        <v>Buena ubicación.</v>
      </c>
      <c r="AE449" s="46"/>
      <c r="AF449" s="46" t="str">
        <f>IFERROR(__xludf.DUMMYFUNCTION("""COMPUTED_VALUE"""),"básica")</f>
        <v>básica</v>
      </c>
      <c r="AG449" s="46"/>
      <c r="AH449" s="46" t="str">
        <f>IFERROR(__xludf.DUMMYFUNCTION("""COMPUTED_VALUE"""),"Aliado")</f>
        <v>Aliado</v>
      </c>
      <c r="AI449" s="92" t="str">
        <f>IFERROR(__xludf.DUMMYFUNCTION("""COMPUTED_VALUE"""),"https://lh3.googleusercontent.com/pw/AP1GczNWWLe5FpfjCz6w-sjTPauC5c3HXzhjRxNk1cbH9ob_zcfOz2oMeeiZDdaKveZre7MGViWJt0RkPPvXWvKyYs_nlr_P-w82lSVos9oTER_agL3FNhSi=w1200|https://lh3.googleusercontent.com/pw/AP1GczNq6a_yN2ll_gQbSjqr3KkuphDVQI75KH1_KdTUOjpOlNugHr"&amp;"LwfQJPWlZ6i8SQyzGiYA6vlUg9mEWz21u-MgmM05Bx5hNwYhQvz77A3lxLX23vQVEK=w1200|https://lh3.googleusercontent.com/pw/AP1GczPAAk8oBzHU6JD03wdCeqg1jKpaVukCLgFKoa8dV4z743YNfIzPZIcWMG-zNh-qlF4Py4ZXTLoN7LHAQ-0nWTiNIri5XMo43ekzkx9s0yIgasASegSa=w1200|https://lh3.google"&amp;"usercontent.com/pw/AP1GczOFDqeB54mFp6rnBynFA62xaKWVeO9XRArPh4biLfQg36eiAw3Rh8rjh7plXOQCLyCCekyWG_EeAxUTMYjw_qqpxEEuZppIQoJ4p8ixFAU8NfRtwPz_=w1200|https://lh3.googleusercontent.com/pw/AP1GczOGHN-8YkQMD9kn66nCl28Pi3B1NYyr-01PQIh1gtNpq1EIGSmD2pJcq4hr3KmzgA0f"&amp;"KVwUmkqqk2pSGe7q2qXuyN7f-M7zHPkDLzfJHmu1JPJG2kWZ=w1200|https://lh3.googleusercontent.com/pw/AP1GczPbTLB-ewKNl3aNJNJRyziiUFaQlzWHSj1Xk_IId3xMa3aIvzFqXPIvG4mOgV5svU9cGvBFAjCGT-tBWWcr0pn4yFSL03oWjouvQ2ZS8l_Om9DVp6-D=w1200|https://lh3.googleusercontent.com/pw"&amp;"/AP1GczPGqv6OH6HoHj_S6P88p0Q5SuXKxUuhxGl1DwtZBTCoto2GWO0ogZldYzSXHw8vUhm1IHttg7K-zimSxfmKRgQv3Y4OSX_EHkqoEZWE0JkuwqeYlqq1=w1200|https://lh3.googleusercontent.com/pw/AP1GczOrpJdu4ieU80A0CwO7XtSD7NGkfJ92qB7NLCHMMaLCnHVDBflk8E1H2CQtGjKLk_qc4Xi6I_E2KVHVXSPHQk"&amp;"QofpjKLt2M_jZ4zeLysvqrr9z_8ZQv=w1200|https://lh3.googleusercontent.com/pw/AP1GczPWbvOgSfdslEGJ77xwcx85giNvyDBfoUwcOl8j5nbFqMNhYuM24eFsn3ZwsnqqPY1PAjDRJpNQXRM7zADyczpQpmV_jnBidQ2K-Z7k7Xj0KdHLUETo=w1200|https://lh3.googleusercontent.com/pw/AP1GczMAETL-Ik1KA"&amp;"tnO7lTTBx1m2-sJM-4CEy-cCl6dDuFnI7VmDE7KWgoXCWQzxP0IzlP33jTtbF2nYo8Q1W6jpVodSxMRv2oWoyjrTGke7evIgQD857Ba=w1200|https://lh3.googleusercontent.com/pw/AP1GczMK2mNxDJgWvOZMFOC3GN47zDk364XOqdLjyoRwWtFHWtPO4xnBEv604AN7ZMjJHl3SIv1dpixffMxlArpAXaQNPZI77JrFshNaDqZy"&amp;"UQeaKD2T_aYQ=w1200")</f>
        <v>https://lh3.googleusercontent.com/pw/AP1GczNWWLe5FpfjCz6w-sjTPauC5c3HXzhjRxNk1cbH9ob_zcfOz2oMeeiZDdaKveZre7MGViWJt0RkPPvXWvKyYs_nlr_P-w82lSVos9oTER_agL3FNhSi=w1200|https://lh3.googleusercontent.com/pw/AP1GczNq6a_yN2ll_gQbSjqr3KkuphDVQI75KH1_KdTUOjpOlNugHrLwfQJPWlZ6i8SQyzGiYA6vlUg9mEWz21u-MgmM05Bx5hNwYhQvz77A3lxLX23vQVEK=w1200|https://lh3.googleusercontent.com/pw/AP1GczPAAk8oBzHU6JD03wdCeqg1jKpaVukCLgFKoa8dV4z743YNfIzPZIcWMG-zNh-qlF4Py4ZXTLoN7LHAQ-0nWTiNIri5XMo43ekzkx9s0yIgasASegSa=w1200|https://lh3.googleusercontent.com/pw/AP1GczOFDqeB54mFp6rnBynFA62xaKWVeO9XRArPh4biLfQg36eiAw3Rh8rjh7plXOQCLyCCekyWG_EeAxUTMYjw_qqpxEEuZppIQoJ4p8ixFAU8NfRtwPz_=w1200|https://lh3.googleusercontent.com/pw/AP1GczOGHN-8YkQMD9kn66nCl28Pi3B1NYyr-01PQIh1gtNpq1EIGSmD2pJcq4hr3KmzgA0fKVwUmkqqk2pSGe7q2qXuyN7f-M7zHPkDLzfJHmu1JPJG2kWZ=w1200|https://lh3.googleusercontent.com/pw/AP1GczPbTLB-ewKNl3aNJNJRyziiUFaQlzWHSj1Xk_IId3xMa3aIvzFqXPIvG4mOgV5svU9cGvBFAjCGT-tBWWcr0pn4yFSL03oWjouvQ2ZS8l_Om9DVp6-D=w1200|https://lh3.googleusercontent.com/pw/AP1GczPGqv6OH6HoHj_S6P88p0Q5SuXKxUuhxGl1DwtZBTCoto2GWO0ogZldYzSXHw8vUhm1IHttg7K-zimSxfmKRgQv3Y4OSX_EHkqoEZWE0JkuwqeYlqq1=w1200|https://lh3.googleusercontent.com/pw/AP1GczOrpJdu4ieU80A0CwO7XtSD7NGkfJ92qB7NLCHMMaLCnHVDBflk8E1H2CQtGjKLk_qc4Xi6I_E2KVHVXSPHQkQofpjKLt2M_jZ4zeLysvqrr9z_8ZQv=w1200|https://lh3.googleusercontent.com/pw/AP1GczPWbvOgSfdslEGJ77xwcx85giNvyDBfoUwcOl8j5nbFqMNhYuM24eFsn3ZwsnqqPY1PAjDRJpNQXRM7zADyczpQpmV_jnBidQ2K-Z7k7Xj0KdHLUETo=w1200|https://lh3.googleusercontent.com/pw/AP1GczMAETL-Ik1KAtnO7lTTBx1m2-sJM-4CEy-cCl6dDuFnI7VmDE7KWgoXCWQzxP0IzlP33jTtbF2nYo8Q1W6jpVodSxMRv2oWoyjrTGke7evIgQD857Ba=w1200|https://lh3.googleusercontent.com/pw/AP1GczMK2mNxDJgWvOZMFOC3GN47zDk364XOqdLjyoRwWtFHWtPO4xnBEv604AN7ZMjJHl3SIv1dpixffMxlArpAXaQNPZI77JrFshNaDqZyUQeaKD2T_aYQ=w1200</v>
      </c>
      <c r="AJ449" s="46"/>
      <c r="AK449" s="46"/>
      <c r="AL449" s="46"/>
      <c r="AM449" s="46"/>
      <c r="AN449" s="46"/>
      <c r="AO449" s="46"/>
      <c r="AP449" s="46"/>
      <c r="AQ449" s="46"/>
      <c r="AR449" s="46"/>
      <c r="AS449" s="46"/>
      <c r="AT449" s="46"/>
      <c r="AU449" s="46"/>
      <c r="AV449" s="46"/>
      <c r="AW449" s="46"/>
      <c r="AX449" s="46"/>
      <c r="AY449" s="46"/>
      <c r="AZ449" s="46"/>
      <c r="BA449" s="46"/>
      <c r="BB449" s="46"/>
      <c r="BC449" s="46"/>
      <c r="BD449" s="46"/>
      <c r="BE449" s="46"/>
      <c r="BF449" s="46"/>
      <c r="BG449" s="46"/>
      <c r="BH449" s="46"/>
      <c r="BI449" s="46"/>
      <c r="BJ449" s="46"/>
      <c r="BK449" s="46"/>
      <c r="BL449" s="46"/>
      <c r="BM449" s="46"/>
      <c r="BN449" s="46"/>
      <c r="BO449" s="46"/>
      <c r="BP449" s="46"/>
      <c r="BQ449" s="46"/>
      <c r="BR449" s="46"/>
      <c r="BS449" s="46"/>
      <c r="BT449" s="46"/>
      <c r="BU449" s="46"/>
      <c r="BV449" s="46"/>
      <c r="BW449" s="46"/>
      <c r="BX449" s="46"/>
      <c r="BY449" s="46"/>
      <c r="BZ449" s="46"/>
      <c r="CA449" s="46"/>
      <c r="CB449" s="46"/>
      <c r="CC449" s="46"/>
    </row>
    <row r="450">
      <c r="A450" s="87" t="str">
        <f>IFERROR(__xludf.DUMMYFUNCTION("""COMPUTED_VALUE"""),"5342")</f>
        <v>5342</v>
      </c>
      <c r="B450" s="46" t="str">
        <f>IFERROR(__xludf.DUMMYFUNCTION("""COMPUTED_VALUE"""),"Lote campestre en conjunto Condominio Altos de la Sabana - Palermo - Z. Industrial")</f>
        <v>Lote campestre en conjunto Condominio Altos de la Sabana - Palermo - Z. Industrial</v>
      </c>
      <c r="C450" s="46" t="str">
        <f>IFERROR(__xludf.DUMMYFUNCTION("""COMPUTED_VALUE"""),"Lote campestre en conjunto")</f>
        <v>Lote campestre en conjunto</v>
      </c>
      <c r="D450" s="46"/>
      <c r="E450" s="46" t="str">
        <f>IFERROR(__xludf.DUMMYFUNCTION("""COMPUTED_VALUE"""),"Condominio Altos de la Sabana")</f>
        <v>Condominio Altos de la Sabana</v>
      </c>
      <c r="F450" s="90">
        <f>IFERROR(__xludf.DUMMYFUNCTION("""COMPUTED_VALUE"""),1.2E8)</f>
        <v>120000000</v>
      </c>
      <c r="G450" s="46" t="str">
        <f>IFERROR(__xludf.DUMMYFUNCTION("""COMPUTED_VALUE"""),"$100'000.000 a $200'000.000")</f>
        <v>$100'000.000 a $200'000.000</v>
      </c>
      <c r="H450" s="46"/>
      <c r="I450" s="46"/>
      <c r="J450" s="46" t="str">
        <f>IFERROR(__xludf.DUMMYFUNCTION("""COMPUTED_VALUE"""),"Sur")</f>
        <v>Sur</v>
      </c>
      <c r="K450" s="87"/>
      <c r="L450" s="46">
        <f>IFERROR(__xludf.DUMMYFUNCTION("""COMPUTED_VALUE"""),0.0)</f>
        <v>0</v>
      </c>
      <c r="M450" s="46"/>
      <c r="N450" s="46">
        <f>IFERROR(__xludf.DUMMYFUNCTION("""COMPUTED_VALUE"""),0.0)</f>
        <v>0</v>
      </c>
      <c r="O450" s="46">
        <f>IFERROR(__xludf.DUMMYFUNCTION("""COMPUTED_VALUE"""),0.0)</f>
        <v>0</v>
      </c>
      <c r="P450" s="46">
        <f>IFERROR(__xludf.DUMMYFUNCTION("""COMPUTED_VALUE"""),0.0)</f>
        <v>0</v>
      </c>
      <c r="Q450" s="92">
        <f>IFERROR(__xludf.DUMMYFUNCTION("""COMPUTED_VALUE"""),0.0)</f>
        <v>0</v>
      </c>
      <c r="R450" s="92">
        <f>IFERROR(__xludf.DUMMYFUNCTION("""COMPUTED_VALUE"""),501.0)</f>
        <v>501</v>
      </c>
      <c r="S450" s="87" t="str">
        <f>IFERROR(__xludf.DUMMYFUNCTION("""COMPUTED_VALUE""")," ")</f>
        <v> </v>
      </c>
      <c r="T450" s="46" t="str">
        <f>IFERROR(__xludf.DUMMYFUNCTION("""COMPUTED_VALUE"""),"Palermo")</f>
        <v>Palermo</v>
      </c>
      <c r="U450" s="87"/>
      <c r="V450" s="46" t="str">
        <f>IFERROR(__xludf.DUMMYFUNCTION("""COMPUTED_VALUE"""),"Medianera")</f>
        <v>Medianera</v>
      </c>
      <c r="W450" s="46"/>
      <c r="X450" s="46">
        <f>IFERROR(__xludf.DUMMYFUNCTION("""COMPUTED_VALUE"""),0.0)</f>
        <v>0</v>
      </c>
      <c r="Y450" s="46" t="str">
        <f>IFERROR(__xludf.DUMMYFUNCTION("""COMPUTED_VALUE"""),"Social")</f>
        <v>Social</v>
      </c>
      <c r="Z450" s="90">
        <f>IFERROR(__xludf.DUMMYFUNCTION("""COMPUTED_VALUE"""),214000.0)</f>
        <v>214000</v>
      </c>
      <c r="AA450" s="33" t="str">
        <f>IFERROR(__xludf.DUMMYFUNCTION("""COMPUTED_VALUE"""),"No aplica")</f>
        <v>No aplica</v>
      </c>
      <c r="AB450" s="96" t="str">
        <f>IFERROR(__xludf.DUMMYFUNCTION("""COMPUTED_VALUE"""),"https://photos.app.goo.gl/PNki4Yrxnk1ptCVC7")</f>
        <v>https://photos.app.goo.gl/PNki4Yrxnk1ptCVC7</v>
      </c>
      <c r="AC450" s="46" t="str">
        <f>IFERROR(__xludf.DUMMYFUNCTION("""COMPUTED_VALUE"""),"El lote cuenta con un área de 501.0 m², con infraestructura completa: redes eléctricas subterráneas, servicio de agua y alcantarillado con planta de tratamiento propia (PTAR y PTAP), garantizando sostenibilidad y comodidad.")</f>
        <v>El lote cuenta con un área de 501.0 m², con infraestructura completa: redes eléctricas subterráneas, servicio de agua y alcantarillado con planta de tratamiento propia (PTAR y PTAP), garantizando sostenibilidad y comodidad.</v>
      </c>
      <c r="AD450" s="46"/>
      <c r="AE450" s="46"/>
      <c r="AF450" s="46"/>
      <c r="AG450" s="46"/>
      <c r="AH450" s="46" t="str">
        <f>IFERROR(__xludf.DUMMYFUNCTION("""COMPUTED_VALUE"""),"Aliado")</f>
        <v>Aliado</v>
      </c>
      <c r="AI450" s="92" t="str">
        <f>IFERROR(__xludf.DUMMYFUNCTION("""COMPUTED_VALUE"""),"https://lh3.googleusercontent.com/pw/AP1GczNENiFURP8Ujit5QsH9GpfK70Zvi0ftQ39CeRR_EhAHcPIKmf5pInA9T1WMa7XNX8xPQ7h4rTl0Tz9JNGGXIJmQUeR_pnx_00CIOnp3iTzwp8SiBAby=w1200|https://lh3.googleusercontent.com/pw/AP1GczNrVFj7h54_EzmLSnPOO2-BrrL8Oql5qreMI2Cz3gbm9I0EDi"&amp;"26IyQ6k7M3tkhI8mJnkdXbi0aTQ2Te7JJdbqInYloW6W1krL2VUESuiiRQ7UDmDTjE=w1200|https://lh3.googleusercontent.com/pw/AP1GczOgLslnJin00d9-UOcB5NHLf7av9UuyiKRz_94ZzOlPCvDpA26M1K8Pj5zhyNquZmW6hPFLTCw9-9C-lStftmrn7A2ZtnFjUtJfwbxL4Lr2bCXnS45I=w1200|https://lh3.google"&amp;"usercontent.com/pw/AP1GczOU4zqX30b2vuEpTAiIqfOHVxtcLU_pyl1q42_QPRR7dAo0n_rCaqkFrRNTSTuMnEQ4r8-cuPfijczftAXVaECJboTOkz6uwEg83jwKdZ19AcqxzCm1=w1200|https://lh3.googleusercontent.com/pw/AP1GczNoCymDdi67f6XbwGVxiPHkpSPOQoCzs1N_7VoewuJoYTEIkkRFXH4rYXk1zDKdIVC2"&amp;"Z0yueAhT_ypBPZz1Y6tTez05gvVdfNe-oRcaPbj4oXNAF5H5=w1200|https://lh3.googleusercontent.com/pw/AP1GczMFRGlGq_H1AAyHie1itDVgUbYk9YAseu2LbzlFZ0-AminkcqmiO2mQDm3uF5W67EJijLZVJZkfMbUbu7o7KMvi-gvGnHSZhC3BQHKMwwFDZy97Gaw1=w1200|https://lh3.googleusercontent.com/pw"&amp;"/AP1GczOyWdaJhCCqTzBA1z3Pa07M0-36-jJY8zPOjcwOE06J_YT3cW9I6XnFvPLuI_p0P9rGuvJNNLbZ4XaLGOXG4-XlcDhhhkwYOP3dgZ1ptW-djNYoJ-Iw=w1200|https://lh3.googleusercontent.com/pw/AP1GczNp7SPjb8GU46Xa2d4GFI9QZk-whs1EFcwGTryfhkFtaspOzWFNeKytL26IEgkHQv40I-VrKPXxDh5im_W_Gd"&amp;"yRk6OgCm1CFs3bXC9YFBuOIXi5nWD2=w1200")</f>
        <v>https://lh3.googleusercontent.com/pw/AP1GczNENiFURP8Ujit5QsH9GpfK70Zvi0ftQ39CeRR_EhAHcPIKmf5pInA9T1WMa7XNX8xPQ7h4rTl0Tz9JNGGXIJmQUeR_pnx_00CIOnp3iTzwp8SiBAby=w1200|https://lh3.googleusercontent.com/pw/AP1GczNrVFj7h54_EzmLSnPOO2-BrrL8Oql5qreMI2Cz3gbm9I0EDi26IyQ6k7M3tkhI8mJnkdXbi0aTQ2Te7JJdbqInYloW6W1krL2VUESuiiRQ7UDmDTjE=w1200|https://lh3.googleusercontent.com/pw/AP1GczOgLslnJin00d9-UOcB5NHLf7av9UuyiKRz_94ZzOlPCvDpA26M1K8Pj5zhyNquZmW6hPFLTCw9-9C-lStftmrn7A2ZtnFjUtJfwbxL4Lr2bCXnS45I=w1200|https://lh3.googleusercontent.com/pw/AP1GczOU4zqX30b2vuEpTAiIqfOHVxtcLU_pyl1q42_QPRR7dAo0n_rCaqkFrRNTSTuMnEQ4r8-cuPfijczftAXVaECJboTOkz6uwEg83jwKdZ19AcqxzCm1=w1200|https://lh3.googleusercontent.com/pw/AP1GczNoCymDdi67f6XbwGVxiPHkpSPOQoCzs1N_7VoewuJoYTEIkkRFXH4rYXk1zDKdIVC2Z0yueAhT_ypBPZz1Y6tTez05gvVdfNe-oRcaPbj4oXNAF5H5=w1200|https://lh3.googleusercontent.com/pw/AP1GczMFRGlGq_H1AAyHie1itDVgUbYk9YAseu2LbzlFZ0-AminkcqmiO2mQDm3uF5W67EJijLZVJZkfMbUbu7o7KMvi-gvGnHSZhC3BQHKMwwFDZy97Gaw1=w1200|https://lh3.googleusercontent.com/pw/AP1GczOyWdaJhCCqTzBA1z3Pa07M0-36-jJY8zPOjcwOE06J_YT3cW9I6XnFvPLuI_p0P9rGuvJNNLbZ4XaLGOXG4-XlcDhhhkwYOP3dgZ1ptW-djNYoJ-Iw=w1200|https://lh3.googleusercontent.com/pw/AP1GczNp7SPjb8GU46Xa2d4GFI9QZk-whs1EFcwGTryfhkFtaspOzWFNeKytL26IEgkHQv40I-VrKPXxDh5im_W_GdyRk6OgCm1CFs3bXC9YFBuOIXi5nWD2=w1200</v>
      </c>
      <c r="AJ450" s="46"/>
      <c r="AK450" s="46"/>
      <c r="AL450" s="46"/>
      <c r="AM450" s="46"/>
      <c r="AN450" s="46"/>
      <c r="AO450" s="46"/>
      <c r="AP450" s="46"/>
      <c r="AQ450" s="46"/>
      <c r="AR450" s="46"/>
      <c r="AS450" s="46"/>
      <c r="AT450" s="46"/>
      <c r="AU450" s="46"/>
      <c r="AV450" s="46"/>
      <c r="AW450" s="46"/>
      <c r="AX450" s="46"/>
      <c r="AY450" s="46"/>
      <c r="AZ450" s="46"/>
      <c r="BA450" s="46"/>
      <c r="BB450" s="46"/>
      <c r="BC450" s="46"/>
      <c r="BD450" s="46"/>
      <c r="BE450" s="46"/>
      <c r="BF450" s="46"/>
      <c r="BG450" s="46"/>
      <c r="BH450" s="46"/>
      <c r="BI450" s="46"/>
      <c r="BJ450" s="46"/>
      <c r="BK450" s="46"/>
      <c r="BL450" s="46"/>
      <c r="BM450" s="46"/>
      <c r="BN450" s="46"/>
      <c r="BO450" s="46"/>
      <c r="BP450" s="46"/>
      <c r="BQ450" s="46"/>
      <c r="BR450" s="46"/>
      <c r="BS450" s="46"/>
      <c r="BT450" s="46"/>
      <c r="BU450" s="46"/>
      <c r="BV450" s="46"/>
      <c r="BW450" s="46"/>
      <c r="BX450" s="46"/>
      <c r="BY450" s="46"/>
      <c r="BZ450" s="46"/>
      <c r="CA450" s="46"/>
      <c r="CB450" s="46"/>
      <c r="CC450" s="46"/>
    </row>
    <row r="451">
      <c r="A451" s="87" t="str">
        <f>IFERROR(__xludf.DUMMYFUNCTION("""COMPUTED_VALUE"""),"5145")</f>
        <v>5145</v>
      </c>
      <c r="B451" s="46" t="str">
        <f>IFERROR(__xludf.DUMMYFUNCTION("""COMPUTED_VALUE"""),"Casa en barrio Los Manzanos Sur")</f>
        <v>Casa en barrio Los Manzanos Sur</v>
      </c>
      <c r="C451" s="46" t="str">
        <f>IFERROR(__xludf.DUMMYFUNCTION("""COMPUTED_VALUE"""),"Casa")</f>
        <v>Casa</v>
      </c>
      <c r="D451" s="46" t="str">
        <f>IFERROR(__xludf.DUMMYFUNCTION("""COMPUTED_VALUE"""),"Los Manzanos")</f>
        <v>Los Manzanos</v>
      </c>
      <c r="E451" s="46"/>
      <c r="F451" s="90">
        <f>IFERROR(__xludf.DUMMYFUNCTION("""COMPUTED_VALUE"""),3.0E8)</f>
        <v>300000000</v>
      </c>
      <c r="G451" s="46" t="str">
        <f>IFERROR(__xludf.DUMMYFUNCTION("""COMPUTED_VALUE"""),"$300'000.000 a $400'000.000")</f>
        <v>$300'000.000 a $400'000.000</v>
      </c>
      <c r="H451" s="46"/>
      <c r="I451" s="46"/>
      <c r="J451" s="46" t="str">
        <f>IFERROR(__xludf.DUMMYFUNCTION("""COMPUTED_VALUE"""),"Sur")</f>
        <v>Sur</v>
      </c>
      <c r="K451" s="87" t="str">
        <f>IFERROR(__xludf.DUMMYFUNCTION("""COMPUTED_VALUE"""),"6")</f>
        <v>6</v>
      </c>
      <c r="L451" s="46">
        <f>IFERROR(__xludf.DUMMYFUNCTION("""COMPUTED_VALUE"""),4.0)</f>
        <v>4</v>
      </c>
      <c r="M451" s="46"/>
      <c r="N451" s="46">
        <f>IFERROR(__xludf.DUMMYFUNCTION("""COMPUTED_VALUE"""),3.0)</f>
        <v>3</v>
      </c>
      <c r="O451" s="46">
        <f>IFERROR(__xludf.DUMMYFUNCTION("""COMPUTED_VALUE"""),1.0)</f>
        <v>1</v>
      </c>
      <c r="P451" s="46">
        <f>IFERROR(__xludf.DUMMYFUNCTION("""COMPUTED_VALUE"""),3.0)</f>
        <v>3</v>
      </c>
      <c r="Q451" s="92">
        <f>IFERROR(__xludf.DUMMYFUNCTION("""COMPUTED_VALUE"""),240.0)</f>
        <v>240</v>
      </c>
      <c r="R451" s="92">
        <f>IFERROR(__xludf.DUMMYFUNCTION("""COMPUTED_VALUE"""),75.0)</f>
        <v>75</v>
      </c>
      <c r="S451" s="87" t="str">
        <f>IFERROR(__xludf.DUMMYFUNCTION("""COMPUTED_VALUE""")," ")</f>
        <v> </v>
      </c>
      <c r="T451" s="46" t="str">
        <f>IFERROR(__xludf.DUMMYFUNCTION("""COMPUTED_VALUE"""),"Neiva")</f>
        <v>Neiva</v>
      </c>
      <c r="U451" s="87" t="str">
        <f>IFERROR(__xludf.DUMMYFUNCTION("""COMPUTED_VALUE"""),"3")</f>
        <v>3</v>
      </c>
      <c r="V451" s="46" t="str">
        <f>IFERROR(__xludf.DUMMYFUNCTION("""COMPUTED_VALUE"""),"Medianera")</f>
        <v>Medianera</v>
      </c>
      <c r="W451" s="46"/>
      <c r="X451" s="46">
        <f>IFERROR(__xludf.DUMMYFUNCTION("""COMPUTED_VALUE"""),3.0)</f>
        <v>3</v>
      </c>
      <c r="Y451" s="46" t="str">
        <f>IFERROR(__xludf.DUMMYFUNCTION("""COMPUTED_VALUE"""),"No tiene")</f>
        <v>No tiene</v>
      </c>
      <c r="Z451" s="90" t="str">
        <f>IFERROR(__xludf.DUMMYFUNCTION("""COMPUTED_VALUE"""),"No aplica")</f>
        <v>No aplica</v>
      </c>
      <c r="AA451" s="33" t="str">
        <f>IFERROR(__xludf.DUMMYFUNCTION("""COMPUTED_VALUE"""),"No aplica")</f>
        <v>No aplica</v>
      </c>
      <c r="AB451" s="144" t="str">
        <f>IFERROR(__xludf.DUMMYFUNCTION("""COMPUTED_VALUE"""),"https://photos.app.goo.gl/HHJ2VAt6v6kDqcgd6")</f>
        <v>https://photos.app.goo.gl/HHJ2VAt6v6kDqcgd6</v>
      </c>
      <c r="AC451" s="46" t="str">
        <f>IFERROR(__xludf.DUMMYFUNCTION("""COMPUTED_VALUE"""),"Casa de 3 pisos en la urbanización los manzanos sur de Neiva, cerca de supermercados y centros comerciales. Consta de: primer piso: parqueadero para carro, sala comedor amplia, zona independiente de estudio con baño privado, 2 baños sociales, cocina integ"&amp;"ral, zona de lavandería. Segundo piso: habitación principal con walking closet, baño privado y balcón amplio, 2 habitaciones auxiliares con closet y baños privados. Tercer piso: terraza amplia de 75m2.")</f>
        <v>Casa de 3 pisos en la urbanización los manzanos sur de Neiva, cerca de supermercados y centros comerciales. Consta de: primer piso: parqueadero para carro, sala comedor amplia, zona independiente de estudio con baño privado, 2 baños sociales, cocina integral, zona de lavandería. Segundo piso: habitación principal con walking closet, baño privado y balcón amplio, 2 habitaciones auxiliares con closet y baños privados. Tercer piso: terraza amplia de 75m2.</v>
      </c>
      <c r="AD451" s="46" t="str">
        <f>IFERROR(__xludf.DUMMYFUNCTION("""COMPUTED_VALUE"""),"Casa bien ubicada.")</f>
        <v>Casa bien ubicada.</v>
      </c>
      <c r="AE451" s="46"/>
      <c r="AF451" s="46" t="str">
        <f>IFERROR(__xludf.DUMMYFUNCTION("""COMPUTED_VALUE"""),"integral")</f>
        <v>integral</v>
      </c>
      <c r="AG451" s="46"/>
      <c r="AH451" s="46" t="str">
        <f>IFERROR(__xludf.DUMMYFUNCTION("""COMPUTED_VALUE"""),"Aliado")</f>
        <v>Aliado</v>
      </c>
      <c r="AI451" s="92" t="str">
        <f>IFERROR(__xludf.DUMMYFUNCTION("""COMPUTED_VALUE"""),"https://lh3.googleusercontent.com/pw/AP1GczME3QnGhFematsg6_3VAJmIpL3AxTWExNyLnanqidj1GVvOCI6KpisXLtls_aFwGbnJHrsi64ds9SBYNPq5EJpk_CjsC0Sdu7fmUg8yfjqwq4IB3x9P=w1200|https://lh3.googleusercontent.com/pw/AP1GczMZXmqHhxaXvX3wApzOTPyQ9USNNwwfKi-nhAN_z-B-XxkdEi"&amp;"UO5zCZQxTNIYaDYUb9dz88giQNgJSVZ8GmSVwziaiWUZ_oFK6jZLVAOYFvkzFyXy3D=w1200|https://lh3.googleusercontent.com/pw/AP1GczN57vUwXqkpGkaDOH9vyDVXCzF8EoRDCO7pquf6EDUIA3XdzjtR7rCLlLeuDAhliSGk0wDQk24j-HewtvUg_zBgqFj1lcoBjM1SV9ywcUmW290hOHbR=w1200|https://lh3.google"&amp;"usercontent.com/pw/AP1GczPNBkvV0_wMvg2XsXkzFkbXVbndMYtz-WqQe7zt0r3vepltbsgaGOJlBLY7PwsPhD_LyebIsrC-TeVjFvvbiqUQjUn-tubnSHWXqFZYbdRoxEzjzKpX=w1200|https://lh3.googleusercontent.com/pw/AP1GczMCgEJ6Y8Zsm8qmFM19jBlLWl-vqr-lfFEShR8HGkAg_7D290CtgL8NUhphMyvfrnu_"&amp;"G4DR6SMIz5Hxn2zH55YOXdWH612bIbCe_lbM5myjY5LKn-YK=w1200|https://lh3.googleusercontent.com/pw/AP1GczO05aB2-kTcV6C4kNZ4sTBE20PJUxak9yxjwZM2iQcdHKp3RYnagxbDk24rO_vNkmK4SVj2xs6p4uKi19ZSy8nJUby8lu0dQopLmhgOlbf_AKnHift0=w1200|https://lh3.googleusercontent.com/pw"&amp;"/AP1GczPvtqp6oznXZDKyuivrEte7OvtYP4WRfwZbqKrFWM79kqJgkV5RwQSPwI1dTIL4ovwtgpZwmQxkxzkw_xj1s2MWIXJtmp1ltI6tsxVusANj63rXPqUF=w1200|https://lh3.googleusercontent.com/pw/AP1GczMuJUG0PKDvvWoaxCLnmfJv7TdFReYFLoZGLdSNxOmqNGM-sNjO-KPNBz8uFpHvUDs4w7zxKLQqwtYc8enzH2"&amp;"yoXiAspnZotZ-_fPBXUn0VsmNDHGk4=w1200|https://lh3.googleusercontent.com/pw/AP1GczOQ6TeEFRk3jRS5AY5engZVjPW5aVoUzcOpyj-hoUb5TX7uzbuVytHYZ5xHpCHGWSMl42j9hjBgLI1BzQTa19qVx8C2WTq2-e5lWWw7ZS2QkQRAb3lV=w1200|https://lh3.googleusercontent.com/pw/AP1GczMU8PUyIkIFz"&amp;"e6O2-RuJvhCjZUuS35YwMVRIHzCq-aFmiEtNhMa5S477ms6g0_rRXb1-GZ7EeDhSfxWtvE1rpxpCnehKuwbNuJ9HRVEiYe14T9-xBGa=w1200|https://lh3.googleusercontent.com/pw/AP1GczMUc4mBsfVKGvQNFBoUe-I1Oz-qgKeW4P6tig14TiIWpXh3yRrQwxqZri9oyr26vEq5pM0kemI1LDgn-IxonnEAhjF7Y19BTPi0kZql"&amp;"qHLt7nJb1AiX=w1200|https://lh3.googleusercontent.com/pw/AP1GczO2L9MovVt_YdEt4OJHn9BdN_TNJMsQXti_eRVn3kt9Mw3siKI_ES1G1-Y8i3_ZtjiG0RxqwgYk6CzYsfCZX6-NIQzx05vi55-oqGnTvJJQVbJ4rCyt=w1200|https://lh3.googleusercontent.com/pw/AP1GczMJRVwELonYTdFMKNj2LEr0joCSdDK"&amp;"gnQ_Vv2U9hfknkEfVD1hmYioDpmJO7-FpjlWRy3OoNGYfm-qe1i19JyGVVRUfamNcGpsSBeYv5VqajvObGecB=w1200|https://lh3.googleusercontent.com/pw/AP1GczMUMubNtAZSdtipgki9MkFq_guJUOjKZPKz-sTxKHVRatZBRc69MKw_pxJRxWaPsMtHW-9Kf7bE--ks2sDfawX9ygKD4oQd2kV3Y_W8Y6Wo71ap8BcZ=w1200"&amp;"|https://lh3.googleusercontent.com/pw/AP1GczPgy9vO00VV_qBk5XZ3KQK9q8i7GHbYNmDbCX5Fp-CebNzfLywZFlRfKl3pyQ4ZFL8eIzxw-F-RrOs3_8btKEG0uQa6BvNTVcbHFsFdQOf05PKZbjzV=w1200|https://lh3.googleusercontent.com/pw/AP1GczOdtmdWbSK-v2sl9BrfWXUQrXVBiZTWnQ7As-LuJtDRTX54e"&amp;"rjspmLrpy2Bb20f2UeoTO2LubeZdBosZHxPcUP9TTSh3Ho7kgCcdTRFYwaDoWa9Ot60=w1200|https://lh3.googleusercontent.com/pw/AP1GczMLkTWE_L6BoIKcoM-dXZYZtkHkUTtkB-ypoihgKmSfekE3blW4yvJd6UA-OchHSITDEmvw8-4CmZioHBSPZvU9ltiLLgYS-gjthfJAsC_1d6MiOwrq=w1200|https://lh3.googl"&amp;"eusercontent.com/pw/AP1GczNcW0rZg7Td4I8qSQDoeRUE5zNCdcUjUchDwdqXmG8V6o2y-MS3J2-UZuwWfQpZcM4DLLEAUICMW2XYbQagVBNKZKtPzncqjDGqNkJK8k8k4El9BSCp=w1200|https://lh3.googleusercontent.com/pw/AP1GczMHJcL1oNplxFq8QadfYk1dK24F5tYBdgYveZvZ-XnkbvkBSUdIDdi8U6pF-dcCvnh"&amp;"4ctzsWTDvOlZmbz8n97ZBPUF29P2vmCHjpu5hWjrzn5Wq8JyU=w1200|https://lh3.googleusercontent.com/pw/AP1GczMBw_AEsIjymQXqMUR_6TnR7WL1gnaGFvQYfoye6cOC9eSUdiG8nVqyDaCDy-0iUJ9jmwBm8O0DpfuPvIc_cBOhKc_uKbjnraH1ExXbJ75TT2Yzqrbk=w1200|https://lh3.googleusercontent.com/p"&amp;"w/AP1GczO2p63PTjqJWFIepW_Bx-QxX5PmJuwR0hazzd62L0AfUJjiARcZ8GDw7fD6KeUqz9s1hlntM2_6uBvif-Dg4H1XkgBrRGlQBAL_t50cbFidZk4vrFbg=w1200|https://lh3.googleusercontent.com/pw/AP1GczNb6CSimXAS5ndRdrsApm2dMMUtbj3LLRl66ZKxrTPhPNKpeLLCErh9Xlg0pzPSBMOvmzxDwNrmpXAlUKjAm"&amp;"t8at65ws7-116crH7pTltoHhDAGuRzU=w1200|https://lh3.googleusercontent.com/pw/AP1GczP6bGDPcrYp6jGrcA8_Pc2hVCsgLWAzwNcTrAOOyHj13Z9jTcuCXUDuUbFjLNXK0JulZae4yrVWdlhFlukU-qsBKn3-aym2B7YkaB7o1yNB8B95ulPh=w1200|https://lh3.googleusercontent.com/pw/AP1GczPtxCEwyqQ-"&amp;"9MTXH8CjeyVsMmInpFXg6cl3Jvmu7QrCmZr1jqW2E8TEAL49mCRYl5qM9ru14ktFy4NWXFhOPOEUUyAu7ezXpfsLR-No-uYIwi2sSXYl=w1200|https://lh3.googleusercontent.com/pw/AP1GczO1dyXey0qd6qx9prR3bx4BXrDNiTJaU91uGgDyjjdw3kN5u9iaIx2KwsZKpVEV_0C_c-LWTh3sxnwUaGhX8If8bu33wyOSYWKjsKb"&amp;"TLAnXwqZMcYUH=w1200|https://lh3.googleusercontent.com/pw/AP1GczP-Nt7pHApUa_Ab_PK42LYTEO5cNOLC2lnrpXlrfeOU0yOsUzho5pRrCyAYIRmLZCqml7hPNUh4jiv73LZfCRl0kTJ-kI4e_SixwQ4F-W-_cY7afEpE=w1200|https://lh3.googleusercontent.com/pw/AP1GczP5GEGVNb5OEO8190c7_Ky4izjIwx"&amp;"A2XF4gg8Uc9UISq0JbayrJ3lEHHfR5gwLNRARMZQcCKzXvCgKVB0SNiTaVC7nF2kkH6HKQERUEyzK1LfwJOyiD=w1200|https://lh3.googleusercontent.com/pw/AP1GczP_2719NmjKsunfU2C2rjsFOXz67j1y1mrqdHvprmZWbUKlPBngp_HKRlTIak-WuC9M7FkEdq7Ay3FC2RDEYNyIyIYgePAOEnXyCXlyd5tEiVoRemlg=w120"&amp;"0|https://lh3.googleusercontent.com/pw/AP1GczN3DqxO_Bh5mPa5OSeOch5wftxnjf_Qr4_xL6x_v7QBYjoDn3FIKLe8bvbY_vTMODmqzl3KFLZX6JQkOuaN5DAZYwOlk8EYjUSq3ugATk2M3OhkdFMR=w1200|https://lh3.googleusercontent.com/pw/AP1GczPWSwj_VqNntrsxTlhmQoFCcRlniJQ0gWrYtmhCKuhD3P0h"&amp;"Bx9HJbj7j0OWQYaRrynUN4Xvzn6gfL2NPTzUcDBpYVAY34N9OGAjt6H2apSfcX1ISA8h=w1200|https://lh3.googleusercontent.com/pw/AP1GczMK2nqOt1Uczyk3iuWed8ZU--nKtJfmYufFhmg4s_pN48wHZE0IhRumOPgTSPZ7nqmPyLJxq6vul6i3yJQ-9T6vvSwwVi_ZiPexJse8YbOabkOZs6aD=w1200|https://lh3.goog"&amp;"leusercontent.com/pw/AP1GczP-4FfORBC3BEk_OzY8Uiz7L4DfwGe51TrRDXYe9XODEc_5k6w6jTaFFZxiIbKIuu7ayZ3HadQpTX7lJc4kEinYuR6oiwcTq62J5KB-RqyW2LP4FGTR=w1200|https://lh3.googleusercontent.com/pw/AP1GczNi8JzElXuCttSbdMFC3xr5gaXOEZ1l72UaDBJUiv3Mimsm05u3bXkESnU7hj5md1"&amp;"ggHP9t8FwZwu3IkltgS5gmTuNnWAOaFtn5bpz-x7lHHP9p5mEw=w1200|https://lh3.googleusercontent.com/pw/AP1GczNLNZbz_eS7SCiA2NT9qJqDn7c_zF8vngT2r2SChNxtaYIFhDlRDP1AyGEaIjXTKnjysUs6omwCWxztPdm6c3jL9wEPSS_aKfT7Lw2pwh9k0UPEqy3g=w1200|https://lh3.googleusercontent.com/"&amp;"pw/AP1GczOLm5eFzxhlmgTYbmy47bbCKn0cRt74pCRYtaretBPnECXgBYYFRjaTw7O223uOO-1rIqv5dkfhQ_q6ib4jGA9qbOarVNB4K1en0H8w5BA_qt_Rt4zV=w1200|https://lh3.googleusercontent.com/pw/AP1GczNk0A8nxfo8-ChFm-Tv6n6i8V5xuZtWFdn4JyeywTrlywNb2KkluW4YrCvLMa0UxwL0c8R87m6Pig46i8wJ"&amp;"_w5ikOUfbye8ghaFDkqJF9Z-BlGd_XVK=w1200|https://lh3.googleusercontent.com/pw/AP1GczM6_fkWjlJzes20or55DF06dgxQ_-p6WF1fTSkglqanMpf-qcPJS1ZGmNB-dZnHsAXlHv_maytdG4ToJhAIme0hONEbzwMbxzLAb0cg8BwCW8SJlJ3j=w1200|https://lh3.googleusercontent.com/pw/AP1GczMha1Qr_uX"&amp;"X8cfMvjcgfwvQwMnxMwvOktZoAOj83orMkfvDtVkmF5z9FnyiWUjWEpebnsGLS1_uH0D__Z4rlfoWjQ2ZCGhGOFYL65Y45HAUrr9wjgLs=w1200|https://lh3.googleusercontent.com/pw/AP1GczOuceMYpuBh_ZxHYXRcTmFBX9C7jiQ6pnIJNN6PJfXS61FIN2Wd3PSCfbAsfOAH_Nd9GOVpIE_mN4YwDFm8hevTCSnJo6qw6r_d8u"&amp;"nOl-zT46kKHzvb=w1200|https://lh3.googleusercontent.com/pw/AP1GczOSGHY1ABsauFurCNDJTfjkx2ej1RfIR7SiPb46Z0OEuDu4ZWyoN1bMu7KugP6CT0gUuXsnq48HNqkDqra0Z11LbSrZ-KErRfYcQuBkl90m9mT96HDg=w1200|https://lh3.googleusercontent.com/pw/AP1GczNrLtea1tAZPmv1Dfz5MzRWbY4aj"&amp;"Y8iiNLhqSYn0fcOKINQolsuTBlLhBZTSpbNsKlQiLlvFmJGJKmvtL_6t8QwTUm0r3Nl8xFz8dxKdorf9zx3IJGo=w1200|https://lh3.googleusercontent.com/pw/AP1GczMUN3Z8UfuR2s6-PfZhDnaRGCjZMWNyGIOzBcJ7zkxY_R_xf1PwEHYPgemvaJ1IFyZGqO2aIFaPmMuEe6Nz8ZNaGN9R-4XM902pxpsLxKZPHapTJ4eJ=w12"&amp;"00|https://lh3.googleusercontent.com/pw/AP1GczMutmg5wWhPMSgwVElWEUYnlfcHFXzadX4bbjJugd2oEP_rR7j8vUhzlpkPN3TBl6YlrArxM4o5zdR0uSUZCRcY7X8FvW7w9pQAKuSPtu5QTbCDjfDG=w1200")</f>
        <v>https://lh3.googleusercontent.com/pw/AP1GczME3QnGhFematsg6_3VAJmIpL3AxTWExNyLnanqidj1GVvOCI6KpisXLtls_aFwGbnJHrsi64ds9SBYNPq5EJpk_CjsC0Sdu7fmUg8yfjqwq4IB3x9P=w1200|https://lh3.googleusercontent.com/pw/AP1GczMZXmqHhxaXvX3wApzOTPyQ9USNNwwfKi-nhAN_z-B-XxkdEiUO5zCZQxTNIYaDYUb9dz88giQNgJSVZ8GmSVwziaiWUZ_oFK6jZLVAOYFvkzFyXy3D=w1200|https://lh3.googleusercontent.com/pw/AP1GczN57vUwXqkpGkaDOH9vyDVXCzF8EoRDCO7pquf6EDUIA3XdzjtR7rCLlLeuDAhliSGk0wDQk24j-HewtvUg_zBgqFj1lcoBjM1SV9ywcUmW290hOHbR=w1200|https://lh3.googleusercontent.com/pw/AP1GczPNBkvV0_wMvg2XsXkzFkbXVbndMYtz-WqQe7zt0r3vepltbsgaGOJlBLY7PwsPhD_LyebIsrC-TeVjFvvbiqUQjUn-tubnSHWXqFZYbdRoxEzjzKpX=w1200|https://lh3.googleusercontent.com/pw/AP1GczMCgEJ6Y8Zsm8qmFM19jBlLWl-vqr-lfFEShR8HGkAg_7D290CtgL8NUhphMyvfrnu_G4DR6SMIz5Hxn2zH55YOXdWH612bIbCe_lbM5myjY5LKn-YK=w1200|https://lh3.googleusercontent.com/pw/AP1GczO05aB2-kTcV6C4kNZ4sTBE20PJUxak9yxjwZM2iQcdHKp3RYnagxbDk24rO_vNkmK4SVj2xs6p4uKi19ZSy8nJUby8lu0dQopLmhgOlbf_AKnHift0=w1200|https://lh3.googleusercontent.com/pw/AP1GczPvtqp6oznXZDKyuivrEte7OvtYP4WRfwZbqKrFWM79kqJgkV5RwQSPwI1dTIL4ovwtgpZwmQxkxzkw_xj1s2MWIXJtmp1ltI6tsxVusANj63rXPqUF=w1200|https://lh3.googleusercontent.com/pw/AP1GczMuJUG0PKDvvWoaxCLnmfJv7TdFReYFLoZGLdSNxOmqNGM-sNjO-KPNBz8uFpHvUDs4w7zxKLQqwtYc8enzH2yoXiAspnZotZ-_fPBXUn0VsmNDHGk4=w1200|https://lh3.googleusercontent.com/pw/AP1GczOQ6TeEFRk3jRS5AY5engZVjPW5aVoUzcOpyj-hoUb5TX7uzbuVytHYZ5xHpCHGWSMl42j9hjBgLI1BzQTa19qVx8C2WTq2-e5lWWw7ZS2QkQRAb3lV=w1200|https://lh3.googleusercontent.com/pw/AP1GczMU8PUyIkIFze6O2-RuJvhCjZUuS35YwMVRIHzCq-aFmiEtNhMa5S477ms6g0_rRXb1-GZ7EeDhSfxWtvE1rpxpCnehKuwbNuJ9HRVEiYe14T9-xBGa=w1200|https://lh3.googleusercontent.com/pw/AP1GczMUc4mBsfVKGvQNFBoUe-I1Oz-qgKeW4P6tig14TiIWpXh3yRrQwxqZri9oyr26vEq5pM0kemI1LDgn-IxonnEAhjF7Y19BTPi0kZqlqHLt7nJb1AiX=w1200|https://lh3.googleusercontent.com/pw/AP1GczO2L9MovVt_YdEt4OJHn9BdN_TNJMsQXti_eRVn3kt9Mw3siKI_ES1G1-Y8i3_ZtjiG0RxqwgYk6CzYsfCZX6-NIQzx05vi55-oqGnTvJJQVbJ4rCyt=w1200|https://lh3.googleusercontent.com/pw/AP1GczMJRVwELonYTdFMKNj2LEr0joCSdDKgnQ_Vv2U9hfknkEfVD1hmYioDpmJO7-FpjlWRy3OoNGYfm-qe1i19JyGVVRUfamNcGpsSBeYv5VqajvObGecB=w1200|https://lh3.googleusercontent.com/pw/AP1GczMUMubNtAZSdtipgki9MkFq_guJUOjKZPKz-sTxKHVRatZBRc69MKw_pxJRxWaPsMtHW-9Kf7bE--ks2sDfawX9ygKD4oQd2kV3Y_W8Y6Wo71ap8BcZ=w1200|https://lh3.googleusercontent.com/pw/AP1GczPgy9vO00VV_qBk5XZ3KQK9q8i7GHbYNmDbCX5Fp-CebNzfLywZFlRfKl3pyQ4ZFL8eIzxw-F-RrOs3_8btKEG0uQa6BvNTVcbHFsFdQOf05PKZbjzV=w1200|https://lh3.googleusercontent.com/pw/AP1GczOdtmdWbSK-v2sl9BrfWXUQrXVBiZTWnQ7As-LuJtDRTX54erjspmLrpy2Bb20f2UeoTO2LubeZdBosZHxPcUP9TTSh3Ho7kgCcdTRFYwaDoWa9Ot60=w1200|https://lh3.googleusercontent.com/pw/AP1GczMLkTWE_L6BoIKcoM-dXZYZtkHkUTtkB-ypoihgKmSfekE3blW4yvJd6UA-OchHSITDEmvw8-4CmZioHBSPZvU9ltiLLgYS-gjthfJAsC_1d6MiOwrq=w1200|https://lh3.googleusercontent.com/pw/AP1GczNcW0rZg7Td4I8qSQDoeRUE5zNCdcUjUchDwdqXmG8V6o2y-MS3J2-UZuwWfQpZcM4DLLEAUICMW2XYbQagVBNKZKtPzncqjDGqNkJK8k8k4El9BSCp=w1200|https://lh3.googleusercontent.com/pw/AP1GczMHJcL1oNplxFq8QadfYk1dK24F5tYBdgYveZvZ-XnkbvkBSUdIDdi8U6pF-dcCvnh4ctzsWTDvOlZmbz8n97ZBPUF29P2vmCHjpu5hWjrzn5Wq8JyU=w1200|https://lh3.googleusercontent.com/pw/AP1GczMBw_AEsIjymQXqMUR_6TnR7WL1gnaGFvQYfoye6cOC9eSUdiG8nVqyDaCDy-0iUJ9jmwBm8O0DpfuPvIc_cBOhKc_uKbjnraH1ExXbJ75TT2Yzqrbk=w1200|https://lh3.googleusercontent.com/pw/AP1GczO2p63PTjqJWFIepW_Bx-QxX5PmJuwR0hazzd62L0AfUJjiARcZ8GDw7fD6KeUqz9s1hlntM2_6uBvif-Dg4H1XkgBrRGlQBAL_t50cbFidZk4vrFbg=w1200|https://lh3.googleusercontent.com/pw/AP1GczNb6CSimXAS5ndRdrsApm2dMMUtbj3LLRl66ZKxrTPhPNKpeLLCErh9Xlg0pzPSBMOvmzxDwNrmpXAlUKjAmt8at65ws7-116crH7pTltoHhDAGuRzU=w1200|https://lh3.googleusercontent.com/pw/AP1GczP6bGDPcrYp6jGrcA8_Pc2hVCsgLWAzwNcTrAOOyHj13Z9jTcuCXUDuUbFjLNXK0JulZae4yrVWdlhFlukU-qsBKn3-aym2B7YkaB7o1yNB8B95ulPh=w1200|https://lh3.googleusercontent.com/pw/AP1GczPtxCEwyqQ-9MTXH8CjeyVsMmInpFXg6cl3Jvmu7QrCmZr1jqW2E8TEAL49mCRYl5qM9ru14ktFy4NWXFhOPOEUUyAu7ezXpfsLR-No-uYIwi2sSXYl=w1200|https://lh3.googleusercontent.com/pw/AP1GczO1dyXey0qd6qx9prR3bx4BXrDNiTJaU91uGgDyjjdw3kN5u9iaIx2KwsZKpVEV_0C_c-LWTh3sxnwUaGhX8If8bu33wyOSYWKjsKbTLAnXwqZMcYUH=w1200|https://lh3.googleusercontent.com/pw/AP1GczP-Nt7pHApUa_Ab_PK42LYTEO5cNOLC2lnrpXlrfeOU0yOsUzho5pRrCyAYIRmLZCqml7hPNUh4jiv73LZfCRl0kTJ-kI4e_SixwQ4F-W-_cY7afEpE=w1200|https://lh3.googleusercontent.com/pw/AP1GczP5GEGVNb5OEO8190c7_Ky4izjIwxA2XF4gg8Uc9UISq0JbayrJ3lEHHfR5gwLNRARMZQcCKzXvCgKVB0SNiTaVC7nF2kkH6HKQERUEyzK1LfwJOyiD=w1200|https://lh3.googleusercontent.com/pw/AP1GczP_2719NmjKsunfU2C2rjsFOXz67j1y1mrqdHvprmZWbUKlPBngp_HKRlTIak-WuC9M7FkEdq7Ay3FC2RDEYNyIyIYgePAOEnXyCXlyd5tEiVoRemlg=w1200|https://lh3.googleusercontent.com/pw/AP1GczN3DqxO_Bh5mPa5OSeOch5wftxnjf_Qr4_xL6x_v7QBYjoDn3FIKLe8bvbY_vTMODmqzl3KFLZX6JQkOuaN5DAZYwOlk8EYjUSq3ugATk2M3OhkdFMR=w1200|https://lh3.googleusercontent.com/pw/AP1GczPWSwj_VqNntrsxTlhmQoFCcRlniJQ0gWrYtmhCKuhD3P0hBx9HJbj7j0OWQYaRrynUN4Xvzn6gfL2NPTzUcDBpYVAY34N9OGAjt6H2apSfcX1ISA8h=w1200|https://lh3.googleusercontent.com/pw/AP1GczMK2nqOt1Uczyk3iuWed8ZU--nKtJfmYufFhmg4s_pN48wHZE0IhRumOPgTSPZ7nqmPyLJxq6vul6i3yJQ-9T6vvSwwVi_ZiPexJse8YbOabkOZs6aD=w1200|https://lh3.googleusercontent.com/pw/AP1GczP-4FfORBC3BEk_OzY8Uiz7L4DfwGe51TrRDXYe9XODEc_5k6w6jTaFFZxiIbKIuu7ayZ3HadQpTX7lJc4kEinYuR6oiwcTq62J5KB-RqyW2LP4FGTR=w1200|https://lh3.googleusercontent.com/pw/AP1GczNi8JzElXuCttSbdMFC3xr5gaXOEZ1l72UaDBJUiv3Mimsm05u3bXkESnU7hj5md1ggHP9t8FwZwu3IkltgS5gmTuNnWAOaFtn5bpz-x7lHHP9p5mEw=w1200|https://lh3.googleusercontent.com/pw/AP1GczNLNZbz_eS7SCiA2NT9qJqDn7c_zF8vngT2r2SChNxtaYIFhDlRDP1AyGEaIjXTKnjysUs6omwCWxztPdm6c3jL9wEPSS_aKfT7Lw2pwh9k0UPEqy3g=w1200|https://lh3.googleusercontent.com/pw/AP1GczOLm5eFzxhlmgTYbmy47bbCKn0cRt74pCRYtaretBPnECXgBYYFRjaTw7O223uOO-1rIqv5dkfhQ_q6ib4jGA9qbOarVNB4K1en0H8w5BA_qt_Rt4zV=w1200|https://lh3.googleusercontent.com/pw/AP1GczNk0A8nxfo8-ChFm-Tv6n6i8V5xuZtWFdn4JyeywTrlywNb2KkluW4YrCvLMa0UxwL0c8R87m6Pig46i8wJ_w5ikOUfbye8ghaFDkqJF9Z-BlGd_XVK=w1200|https://lh3.googleusercontent.com/pw/AP1GczM6_fkWjlJzes20or55DF06dgxQ_-p6WF1fTSkglqanMpf-qcPJS1ZGmNB-dZnHsAXlHv_maytdG4ToJhAIme0hONEbzwMbxzLAb0cg8BwCW8SJlJ3j=w1200|https://lh3.googleusercontent.com/pw/AP1GczMha1Qr_uXX8cfMvjcgfwvQwMnxMwvOktZoAOj83orMkfvDtVkmF5z9FnyiWUjWEpebnsGLS1_uH0D__Z4rlfoWjQ2ZCGhGOFYL65Y45HAUrr9wjgLs=w1200|https://lh3.googleusercontent.com/pw/AP1GczOuceMYpuBh_ZxHYXRcTmFBX9C7jiQ6pnIJNN6PJfXS61FIN2Wd3PSCfbAsfOAH_Nd9GOVpIE_mN4YwDFm8hevTCSnJo6qw6r_d8unOl-zT46kKHzvb=w1200|https://lh3.googleusercontent.com/pw/AP1GczOSGHY1ABsauFurCNDJTfjkx2ej1RfIR7SiPb46Z0OEuDu4ZWyoN1bMu7KugP6CT0gUuXsnq48HNqkDqra0Z11LbSrZ-KErRfYcQuBkl90m9mT96HDg=w1200|https://lh3.googleusercontent.com/pw/AP1GczNrLtea1tAZPmv1Dfz5MzRWbY4ajY8iiNLhqSYn0fcOKINQolsuTBlLhBZTSpbNsKlQiLlvFmJGJKmvtL_6t8QwTUm0r3Nl8xFz8dxKdorf9zx3IJGo=w1200|https://lh3.googleusercontent.com/pw/AP1GczMUN3Z8UfuR2s6-PfZhDnaRGCjZMWNyGIOzBcJ7zkxY_R_xf1PwEHYPgemvaJ1IFyZGqO2aIFaPmMuEe6Nz8ZNaGN9R-4XM902pxpsLxKZPHapTJ4eJ=w1200|https://lh3.googleusercontent.com/pw/AP1GczMutmg5wWhPMSgwVElWEUYnlfcHFXzadX4bbjJugd2oEP_rR7j8vUhzlpkPN3TBl6YlrArxM4o5zdR0uSUZCRcY7X8FvW7w9pQAKuSPtu5QTbCDjfDG=w1200</v>
      </c>
      <c r="AJ451" s="46"/>
      <c r="AK451" s="46"/>
      <c r="AL451" s="46"/>
      <c r="AM451" s="46"/>
      <c r="AN451" s="46"/>
      <c r="AO451" s="46"/>
      <c r="AP451" s="46"/>
      <c r="AQ451" s="46"/>
      <c r="AR451" s="46"/>
      <c r="AS451" s="46"/>
      <c r="AT451" s="46"/>
      <c r="AU451" s="46"/>
      <c r="AV451" s="46"/>
      <c r="AW451" s="46"/>
      <c r="AX451" s="46"/>
      <c r="AY451" s="46"/>
      <c r="AZ451" s="46"/>
      <c r="BA451" s="46"/>
      <c r="BB451" s="46"/>
      <c r="BC451" s="46"/>
      <c r="BD451" s="46"/>
      <c r="BE451" s="46"/>
      <c r="BF451" s="46"/>
      <c r="BG451" s="46"/>
      <c r="BH451" s="46"/>
      <c r="BI451" s="46"/>
      <c r="BJ451" s="46"/>
      <c r="BK451" s="46"/>
      <c r="BL451" s="46"/>
      <c r="BM451" s="46"/>
      <c r="BN451" s="46"/>
      <c r="BO451" s="46"/>
      <c r="BP451" s="46"/>
      <c r="BQ451" s="46"/>
      <c r="BR451" s="46"/>
      <c r="BS451" s="46"/>
      <c r="BT451" s="46"/>
      <c r="BU451" s="46"/>
      <c r="BV451" s="46"/>
      <c r="BW451" s="46"/>
      <c r="BX451" s="46"/>
      <c r="BY451" s="46"/>
      <c r="BZ451" s="46"/>
      <c r="CA451" s="46"/>
      <c r="CB451" s="46"/>
      <c r="CC451" s="46"/>
    </row>
    <row r="452">
      <c r="A452" s="87" t="str">
        <f>IFERROR(__xludf.DUMMYFUNCTION("""COMPUTED_VALUE"""),"409")</f>
        <v>409</v>
      </c>
      <c r="B452" s="46" t="str">
        <f>IFERROR(__xludf.DUMMYFUNCTION("""COMPUTED_VALUE"""),"Casa campestre  - Rivera")</f>
        <v>Casa campestre  - Rivera</v>
      </c>
      <c r="C452" s="46" t="str">
        <f>IFERROR(__xludf.DUMMYFUNCTION("""COMPUTED_VALUE"""),"Casa campestre")</f>
        <v>Casa campestre</v>
      </c>
      <c r="D452" s="46"/>
      <c r="E452" s="46"/>
      <c r="F452" s="90">
        <f>IFERROR(__xludf.DUMMYFUNCTION("""COMPUTED_VALUE"""),1.6E9)</f>
        <v>1600000000</v>
      </c>
      <c r="G452" s="46" t="str">
        <f>IFERROR(__xludf.DUMMYFUNCTION("""COMPUTED_VALUE"""),"Más de $1.000'000.000")</f>
        <v>Más de $1.000'000.000</v>
      </c>
      <c r="H452" s="46"/>
      <c r="I452" s="46"/>
      <c r="J452" s="46" t="str">
        <f>IFERROR(__xludf.DUMMYFUNCTION("""COMPUTED_VALUE"""),"Sur")</f>
        <v>Sur</v>
      </c>
      <c r="K452" s="87"/>
      <c r="L452" s="46">
        <f>IFERROR(__xludf.DUMMYFUNCTION("""COMPUTED_VALUE"""),6.0)</f>
        <v>6</v>
      </c>
      <c r="M452" s="46"/>
      <c r="N452" s="46">
        <f>IFERROR(__xludf.DUMMYFUNCTION("""COMPUTED_VALUE"""),6.0)</f>
        <v>6</v>
      </c>
      <c r="O452" s="46"/>
      <c r="P452" s="46">
        <f>IFERROR(__xludf.DUMMYFUNCTION("""COMPUTED_VALUE"""),1.0)</f>
        <v>1</v>
      </c>
      <c r="Q452" s="92">
        <f>IFERROR(__xludf.DUMMYFUNCTION("""COMPUTED_VALUE"""),2400.0)</f>
        <v>2400</v>
      </c>
      <c r="R452" s="92">
        <f>IFERROR(__xludf.DUMMYFUNCTION("""COMPUTED_VALUE"""),3400.0)</f>
        <v>3400</v>
      </c>
      <c r="S452" s="87" t="str">
        <f>IFERROR(__xludf.DUMMYFUNCTION("""COMPUTED_VALUE""")," ")</f>
        <v> </v>
      </c>
      <c r="T452" s="46" t="str">
        <f>IFERROR(__xludf.DUMMYFUNCTION("""COMPUTED_VALUE"""),"Rivera")</f>
        <v>Rivera</v>
      </c>
      <c r="U452" s="87"/>
      <c r="V452" s="46"/>
      <c r="W452" s="46"/>
      <c r="X452" s="46">
        <f>IFERROR(__xludf.DUMMYFUNCTION("""COMPUTED_VALUE"""),4.0)</f>
        <v>4</v>
      </c>
      <c r="Y452" s="46" t="str">
        <f>IFERROR(__xludf.DUMMYFUNCTION("""COMPUTED_VALUE"""),"Privada")</f>
        <v>Privada</v>
      </c>
      <c r="Z452" s="90" t="str">
        <f>IFERROR(__xludf.DUMMYFUNCTION("""COMPUTED_VALUE"""),"No aplica")</f>
        <v>No aplica</v>
      </c>
      <c r="AA452" s="33" t="str">
        <f>IFERROR(__xludf.DUMMYFUNCTION("""COMPUTED_VALUE"""),"No aplica")</f>
        <v>No aplica</v>
      </c>
      <c r="AB452" s="96" t="str">
        <f>IFERROR(__xludf.DUMMYFUNCTION("""COMPUTED_VALUE"""),"https://photos.app.goo.gl/hZmj175wYShJufoy7")</f>
        <v>https://photos.app.goo.gl/hZmj175wYShJufoy7</v>
      </c>
      <c r="AC452" s="46" t="str">
        <f>IFERROR(__xludf.DUMMYFUNCTION("""COMPUTED_VALUE"""),"Esta espectacular e imponente propiedad campestre en Rivera se distribuye sobre un extraordinario lote de 3.400 m² con 2.400 m² construidos, diseñada con una infraestructura ideal para la alta hotelería o el alquiler recreacional de primer nivel. Su distr"&amp;"ibución arquitectónica consta de una casa principal con 4 habitaciones (cada una con baño privado) y una cabaña independiente de habitación amplia también con baño privado, sumando un total de 6 habitaciones con capacidad para hospedar cómodamente entre 2"&amp;"0 y 25 personas. Los interiores destacan por sus pisos en cerámica clara de alto tráfico, pasillos con zócalos decorativos enchapados en ladrillo a la vista, puertas en madera maciza y áreas comunes sumamente frescas que conectan de forma fluida con los j"&amp;"ardines externos.")</f>
        <v>Esta espectacular e imponente propiedad campestre en Rivera se distribuye sobre un extraordinario lote de 3.400 m² con 2.400 m² construidos, diseñada con una infraestructura ideal para la alta hotelería o el alquiler recreacional de primer nivel. Su distribución arquitectónica consta de una casa principal con 4 habitaciones (cada una con baño privado) y una cabaña independiente de habitación amplia también con baño privado, sumando un total de 6 habitaciones con capacidad para hospedar cómodamente entre 20 y 25 personas. Los interiores destacan por sus pisos en cerámica clara de alto tráfico, pasillos con zócalos decorativos enchapados en ladrillo a la vista, puertas en madera maciza y áreas comunes sumamente frescas que conectan de forma fluida con los jardines externos.</v>
      </c>
      <c r="AD452" s="46" t="str">
        <f>IFERROR(__xludf.DUMMYFUNCTION("""COMPUTED_VALUE"""),"La verdadera joya de esta inversión de ICDE radica en sus incomparables zonas de entretenimiento y su altísimo potencial de retorno financiero inmediato. El complejo cuenta con una piscina privada protegida por seguridad perimetral, un jacuzzi perfecto pa"&amp;"ra el descanso, zona de BBQ y 2 amplios salones sociales rodeados de senderos empedrados, palmeras y exuberantes zonas verdes. Adicionalmente, dispone de una generosa zona de parqueo y terrazas cubiertas con techos termoacústicos ideales para la instalaci"&amp;"ón de hamacas. Todo esto la convierte en el modelo de negocio perfecto para un hotel campestre exclusivo o eventos corporativos en la zona de mayor valorización de la región.")</f>
        <v>La verdadera joya de esta inversión de ICDE radica en sus incomparables zonas de entretenimiento y su altísimo potencial de retorno financiero inmediato. El complejo cuenta con una piscina privada protegida por seguridad perimetral, un jacuzzi perfecto para el descanso, zona de BBQ y 2 amplios salones sociales rodeados de senderos empedrados, palmeras y exuberantes zonas verdes. Adicionalmente, dispone de una generosa zona de parqueo y terrazas cubiertas con techos termoacústicos ideales para la instalación de hamacas. Todo esto la convierte en el modelo de negocio perfecto para un hotel campestre exclusivo o eventos corporativos en la zona de mayor valorización de la región.</v>
      </c>
      <c r="AE452" s="46"/>
      <c r="AF452" s="46" t="str">
        <f>IFERROR(__xludf.DUMMYFUNCTION("""COMPUTED_VALUE"""),"integral")</f>
        <v>integral</v>
      </c>
      <c r="AG452" s="46"/>
      <c r="AH452" s="46" t="str">
        <f>IFERROR(__xludf.DUMMYFUNCTION("""COMPUTED_VALUE"""),"Aliado")</f>
        <v>Aliado</v>
      </c>
      <c r="AI452" s="92" t="str">
        <f>IFERROR(__xludf.DUMMYFUNCTION("""COMPUTED_VALUE"""),"https://lh3.googleusercontent.com/pw/AP1GczOIISw-uFyH-FsYUIn_IoVOlW3jUUi-yMBQ9_rwycDWheTMTmLW_qQP-GjSZiOIyizOve3SRdmjMmvlgM3Kzw4U2_va7pTk-7QxYCykl2hL-16n14Fx=w1200|https://lh3.googleusercontent.com/pw/AP1GczP1PNqO8fHavMxoQ83Bj6pACIRQXU5pkcI3FITCNihESLjCiq"&amp;"oFmHMI0n0DAIwNe7FozSG_PkUbbOIue_NuSVpY1Ul4VZFm4g6Arj_D9C1W6OiXagUT=w1200|https://lh3.googleusercontent.com/pw/AP1GczONHgGzGiHB7zPYrJUXJfrzwBapbm71nA52TLvEWfzsIPO6f28GR3nBLe7YDBuSkcoMqE6dEGlGT9o5vwUzTUbRZfqb0pEZ8gV-TDvwq67Y326-KFVE=w1200|https://lh3.google"&amp;"usercontent.com/pw/AP1GczN4bFeiRZ9y22V6GbiAJX9H5beHfVU6ORT3n6mbYtu_gx3wtjPFjojuKi7k0X6qpddMseYcCWmOkKqqGuzKHdWpFUARKF6T-oR4oAiNc3YKvClaWpQK=w1200|https://lh3.googleusercontent.com/pw/AP1GczMDdm4locpNZiKMAZaCX3J7YWaSdhrPcVWDPBKOp3cC0Jt1yNKgBOUUSqHwtzuv8mPz"&amp;"r8Wa8vMO9mhJFbCeZChmbPld7aaP4LcCwJ1HT270BtnuJTXd=w1200|https://lh3.googleusercontent.com/pw/AP1GczML5Hctbc6ye3C0CsMOQY0dPiNMIkAsYuHENtkEutExpNi_dcjSmgjiEOWsHNDvJPr6rzoKnSVT2TgkkenmUoeSnBQMS8gslCJ2-9yY5FNls5o7CDV1=w1200|https://lh3.googleusercontent.com/pw"&amp;"/AP1GczOeTOt3lG0j--NJW3FquQ9ciFWY5GfUYyVk7kwqt-n0VDxB4b_jwM2024xlgX3jXMVFOH_28sh-O8741go81xH6tbk8NDUfESg5-84C8QQs5kTTrKtm=w1200|https://lh3.googleusercontent.com/pw/AP1GczPPIEzF1pF8USuW0okiF3KrsUTbRW2rAk6psEeZVih0HmGRpNJ0aCCQHqb5lDUHYk2Lzb9lvtzefXE3-xYLCF"&amp;"KLM6sFPK3k53qBMT3CIwLMwqjkpQGV=w1200|https://lh3.googleusercontent.com/pw/AP1GczM5PlMky_NgXEwvPrr0taL5esYR-PpiiCZDO8YfJhmIir6F3fFQMM45AX9PB6RgVRXNAHxnSXJ9rAfuxD3bFkXmxBpwfUMDjQEvHmeY-X5LxDzWX42P=w1200|https://lh3.googleusercontent.com/pw/AP1GczMUOD96rEPNC"&amp;"ejYTJgqQMkBRxxMCI0GSCC7TUryBGhcOskBwTOx0HygQopkSjT7DqbyR-r_9sJocoEhR6eY9CGcmTChQOeC0dSAPy7pfZ4RsSUfPSpq=w1200")</f>
        <v>https://lh3.googleusercontent.com/pw/AP1GczOIISw-uFyH-FsYUIn_IoVOlW3jUUi-yMBQ9_rwycDWheTMTmLW_qQP-GjSZiOIyizOve3SRdmjMmvlgM3Kzw4U2_va7pTk-7QxYCykl2hL-16n14Fx=w1200|https://lh3.googleusercontent.com/pw/AP1GczP1PNqO8fHavMxoQ83Bj6pACIRQXU5pkcI3FITCNihESLjCiqoFmHMI0n0DAIwNe7FozSG_PkUbbOIue_NuSVpY1Ul4VZFm4g6Arj_D9C1W6OiXagUT=w1200|https://lh3.googleusercontent.com/pw/AP1GczONHgGzGiHB7zPYrJUXJfrzwBapbm71nA52TLvEWfzsIPO6f28GR3nBLe7YDBuSkcoMqE6dEGlGT9o5vwUzTUbRZfqb0pEZ8gV-TDvwq67Y326-KFVE=w1200|https://lh3.googleusercontent.com/pw/AP1GczN4bFeiRZ9y22V6GbiAJX9H5beHfVU6ORT3n6mbYtu_gx3wtjPFjojuKi7k0X6qpddMseYcCWmOkKqqGuzKHdWpFUARKF6T-oR4oAiNc3YKvClaWpQK=w1200|https://lh3.googleusercontent.com/pw/AP1GczMDdm4locpNZiKMAZaCX3J7YWaSdhrPcVWDPBKOp3cC0Jt1yNKgBOUUSqHwtzuv8mPzr8Wa8vMO9mhJFbCeZChmbPld7aaP4LcCwJ1HT270BtnuJTXd=w1200|https://lh3.googleusercontent.com/pw/AP1GczML5Hctbc6ye3C0CsMOQY0dPiNMIkAsYuHENtkEutExpNi_dcjSmgjiEOWsHNDvJPr6rzoKnSVT2TgkkenmUoeSnBQMS8gslCJ2-9yY5FNls5o7CDV1=w1200|https://lh3.googleusercontent.com/pw/AP1GczOeTOt3lG0j--NJW3FquQ9ciFWY5GfUYyVk7kwqt-n0VDxB4b_jwM2024xlgX3jXMVFOH_28sh-O8741go81xH6tbk8NDUfESg5-84C8QQs5kTTrKtm=w1200|https://lh3.googleusercontent.com/pw/AP1GczPPIEzF1pF8USuW0okiF3KrsUTbRW2rAk6psEeZVih0HmGRpNJ0aCCQHqb5lDUHYk2Lzb9lvtzefXE3-xYLCFKLM6sFPK3k53qBMT3CIwLMwqjkpQGV=w1200|https://lh3.googleusercontent.com/pw/AP1GczM5PlMky_NgXEwvPrr0taL5esYR-PpiiCZDO8YfJhmIir6F3fFQMM45AX9PB6RgVRXNAHxnSXJ9rAfuxD3bFkXmxBpwfUMDjQEvHmeY-X5LxDzWX42P=w1200|https://lh3.googleusercontent.com/pw/AP1GczMUOD96rEPNCejYTJgqQMkBRxxMCI0GSCC7TUryBGhcOskBwTOx0HygQopkSjT7DqbyR-r_9sJocoEhR6eY9CGcmTChQOeC0dSAPy7pfZ4RsSUfPSpq=w1200</v>
      </c>
      <c r="AJ452" s="46"/>
      <c r="AK452" s="46"/>
      <c r="AL452" s="46"/>
      <c r="AM452" s="46"/>
      <c r="AN452" s="46"/>
      <c r="AO452" s="46"/>
      <c r="AP452" s="46"/>
      <c r="AQ452" s="46"/>
      <c r="AR452" s="46"/>
      <c r="AS452" s="46"/>
      <c r="AT452" s="46"/>
      <c r="AU452" s="46"/>
      <c r="AV452" s="46"/>
      <c r="AW452" s="46"/>
      <c r="AX452" s="46"/>
      <c r="AY452" s="46"/>
      <c r="AZ452" s="46"/>
      <c r="BA452" s="46"/>
      <c r="BB452" s="46"/>
      <c r="BC452" s="46"/>
      <c r="BD452" s="46"/>
      <c r="BE452" s="46"/>
      <c r="BF452" s="46"/>
      <c r="BG452" s="46"/>
      <c r="BH452" s="46"/>
      <c r="BI452" s="46"/>
      <c r="BJ452" s="46"/>
      <c r="BK452" s="46"/>
      <c r="BL452" s="46"/>
      <c r="BM452" s="46"/>
      <c r="BN452" s="46"/>
      <c r="BO452" s="46"/>
      <c r="BP452" s="46"/>
      <c r="BQ452" s="46"/>
      <c r="BR452" s="46"/>
      <c r="BS452" s="46"/>
      <c r="BT452" s="46"/>
      <c r="BU452" s="46"/>
      <c r="BV452" s="46"/>
      <c r="BW452" s="46"/>
      <c r="BX452" s="46"/>
      <c r="BY452" s="46"/>
      <c r="BZ452" s="46"/>
      <c r="CA452" s="46"/>
      <c r="CB452" s="46"/>
      <c r="CC452" s="46"/>
    </row>
    <row r="453">
      <c r="A453" s="87" t="str">
        <f>IFERROR(__xludf.DUMMYFUNCTION("""COMPUTED_VALUE"""),"859")</f>
        <v>859</v>
      </c>
      <c r="B453" s="46" t="str">
        <f>IFERROR(__xludf.DUMMYFUNCTION("""COMPUTED_VALUE"""),"Apartamento duplex  en edificio - La Toma")</f>
        <v>Apartamento duplex  en edificio - La Toma</v>
      </c>
      <c r="C453" s="46" t="str">
        <f>IFERROR(__xludf.DUMMYFUNCTION("""COMPUTED_VALUE"""),"Apartamento")</f>
        <v>Apartamento</v>
      </c>
      <c r="D453" s="46" t="str">
        <f>IFERROR(__xludf.DUMMYFUNCTION("""COMPUTED_VALUE"""),"La Toma")</f>
        <v>La Toma</v>
      </c>
      <c r="E453" s="46"/>
      <c r="F453" s="90">
        <f>IFERROR(__xludf.DUMMYFUNCTION("""COMPUTED_VALUE"""),1.4E9)</f>
        <v>1400000000</v>
      </c>
      <c r="G453" s="46" t="str">
        <f>IFERROR(__xludf.DUMMYFUNCTION("""COMPUTED_VALUE"""),"Más de $1.000'000.000")</f>
        <v>Más de $1.000'000.000</v>
      </c>
      <c r="H453" s="46"/>
      <c r="I453" s="46"/>
      <c r="J453" s="46" t="str">
        <f>IFERROR(__xludf.DUMMYFUNCTION("""COMPUTED_VALUE"""),"Centro")</f>
        <v>Centro</v>
      </c>
      <c r="K453" s="87" t="str">
        <f>IFERROR(__xludf.DUMMYFUNCTION("""COMPUTED_VALUE"""),"3")</f>
        <v>3</v>
      </c>
      <c r="L453" s="46">
        <f>IFERROR(__xludf.DUMMYFUNCTION("""COMPUTED_VALUE"""),5.0)</f>
        <v>5</v>
      </c>
      <c r="M453" s="46"/>
      <c r="N453" s="46">
        <f>IFERROR(__xludf.DUMMYFUNCTION("""COMPUTED_VALUE"""),7.0)</f>
        <v>7</v>
      </c>
      <c r="O453" s="46">
        <f>IFERROR(__xludf.DUMMYFUNCTION("""COMPUTED_VALUE"""),2.0)</f>
        <v>2</v>
      </c>
      <c r="P453" s="46">
        <f>IFERROR(__xludf.DUMMYFUNCTION("""COMPUTED_VALUE"""),12.0)</f>
        <v>12</v>
      </c>
      <c r="Q453" s="92">
        <f>IFERROR(__xludf.DUMMYFUNCTION("""COMPUTED_VALUE"""),321.0)</f>
        <v>321</v>
      </c>
      <c r="R453" s="92">
        <f>IFERROR(__xludf.DUMMYFUNCTION("""COMPUTED_VALUE"""),321.0)</f>
        <v>321</v>
      </c>
      <c r="S453" s="87" t="str">
        <f>IFERROR(__xludf.DUMMYFUNCTION("""COMPUTED_VALUE""")," ")</f>
        <v> </v>
      </c>
      <c r="T453" s="46" t="str">
        <f>IFERROR(__xludf.DUMMYFUNCTION("""COMPUTED_VALUE"""),"Neiva")</f>
        <v>Neiva</v>
      </c>
      <c r="U453" s="87" t="str">
        <f>IFERROR(__xludf.DUMMYFUNCTION("""COMPUTED_VALUE"""),"5")</f>
        <v>5</v>
      </c>
      <c r="V453" s="46" t="str">
        <f>IFERROR(__xludf.DUMMYFUNCTION("""COMPUTED_VALUE"""),"12o.")</f>
        <v>12o.</v>
      </c>
      <c r="W453" s="46"/>
      <c r="X453" s="46">
        <f>IFERROR(__xludf.DUMMYFUNCTION("""COMPUTED_VALUE"""),5.0)</f>
        <v>5</v>
      </c>
      <c r="Y453" s="46" t="str">
        <f>IFERROR(__xludf.DUMMYFUNCTION("""COMPUTED_VALUE"""),"Social")</f>
        <v>Social</v>
      </c>
      <c r="Z453" s="90"/>
      <c r="AA453" s="33" t="str">
        <f>IFERROR(__xludf.DUMMYFUNCTION("""COMPUTED_VALUE"""),"No aplica")</f>
        <v>No aplica</v>
      </c>
      <c r="AB453" s="96" t="str">
        <f>IFERROR(__xludf.DUMMYFUNCTION("""COMPUTED_VALUE"""),"https://photos.app.goo.gl/HisFuKoFCNxSUf9j7")</f>
        <v>https://photos.app.goo.gl/HisFuKoFCNxSUf9j7</v>
      </c>
      <c r="AC453" s="46" t="str">
        <f>IFERROR(__xludf.DUMMYFUNCTION("""COMPUTED_VALUE"""),"Exclusivo y lujoso apartamento de $321 \text{ m}^2$ ubicado en un piso 12 de la zona Centro (Estrato 5). Cuenta con 5 amplias habitaciones con aire acondicionado y baño privado cada una, más un cuarto de servicio con baño independiente, completando un tot"&amp;"al de 5 alcobas y 7 baños diseñados para brindar el máximo confort familiar.")</f>
        <v>Exclusivo y lujoso apartamento de $321 \text{ m}^2$ ubicado en un piso 12 de la zona Centro (Estrato 5). Cuenta con 5 amplias habitaciones con aire acondicionado y baño privado cada una, más un cuarto de servicio con baño independiente, completando un total de 5 alcobas y 7 baños diseñados para brindar el máximo confort familiar.</v>
      </c>
      <c r="AD453" s="46" t="str">
        <f>IFERROR(__xludf.DUMMYFUNCTION("""COMPUTED_VALUE"""),"¡Una propiedad de alto nivel que lo tiene todo! Destaca por su ascensor privado directo al apartamento, garaje para 2 vehículos y una espectacular sala de cine y eventos privada. Además, el edificio ofrece amenidades de lujo como piscina, sauna, zona BBQ "&amp;"y salón de fiestas, garantizando total seguridad, privacidad y entretenimiento sin salir de casa.")</f>
        <v>¡Una propiedad de alto nivel que lo tiene todo! Destaca por su ascensor privado directo al apartamento, garaje para 2 vehículos y una espectacular sala de cine y eventos privada. Además, el edificio ofrece amenidades de lujo como piscina, sauna, zona BBQ y salón de fiestas, garantizando total seguridad, privacidad y entretenimiento sin salir de casa.</v>
      </c>
      <c r="AE453" s="46"/>
      <c r="AF453" s="46" t="str">
        <f>IFERROR(__xludf.DUMMYFUNCTION("""COMPUTED_VALUE"""),"integral")</f>
        <v>integral</v>
      </c>
      <c r="AG453" s="46"/>
      <c r="AH453" s="46" t="str">
        <f>IFERROR(__xludf.DUMMYFUNCTION("""COMPUTED_VALUE"""),"Aliado")</f>
        <v>Aliado</v>
      </c>
      <c r="AI453" s="92" t="str">
        <f>IFERROR(__xludf.DUMMYFUNCTION("""COMPUTED_VALUE"""),"https://lh3.googleusercontent.com/pw/AP1GczN2khsER9pIb_ru7xvRkxG-1Iad_TXw9bLDAqZNzr_5-cFkWEopMuTwQROndIpo2IKkgnzW_OYcTlNxL0UyPxIg42kRACgJlaxJfqdIM8Xi_qFyDGxb=w1200|https://lh3.googleusercontent.com/pw/AP1GczMh1W62Mmvj9PlXDACTs1xvURKYWPhehPtcB4P6EwLaocpbE8"&amp;"0hBsDkVsFL5gij-VGuklxYj_bhkvXYUPiMrSNtCg5T285J4PYt0ssSh0990CkAigH3=w1200|https://lh3.googleusercontent.com/pw/AP1GczNLLEVsQYDgNc5qEo_z5x4LI_-OLhpANtKSOoHqHvBozM1Klr5iabkNLIbViTJAjbQ9XYFe-9OX3_TT-el5zikKdhBJgMZsx9zTbMFFCCU16xFEKDMO=w1200|https://lh3.google"&amp;"usercontent.com/pw/AP1GczOmSNu-LT6LmNxxCJMEzkMsW-GgKuYgeo1Y8yzWu3enqjV2fqS-K95Dll3t16BZpVWKlzaANhMAlf97m4MURwqp8oiBgNZiZRVZOdmmS8jpFRvflbmj=w1200|https://lh3.googleusercontent.com/pw/AP1GczNnzhamGT8oNIfH1LEF9ZjCnipvgXIY64OAzaYSW76lHUtC7i9JQSz3hHgEC-DTY3s-"&amp;"6TEu4tGoSk-NNL3pbieDlTZIZRTRtxIMpUWz9YRBz7avjDWZ=w1200|https://lh3.googleusercontent.com/pw/AP1GczN_OMIoq1peifKPeLKhTJiuISaoP3tNi8rA93tOAZzesvSCZM_nU4Te9RMQrRDA1bsU8pZDWLEb29osXXJQOwULoTKffr9ZOuLT8seIlnRkxYjr0Ku6=w1200|https://lh3.googleusercontent.com/pw"&amp;"/AP1GczNC1SIyVpZkKSENf9rxVTw_5pONr7pQsDCBjhfOUF9IfLyr4moS50p9dtOdVUd4txSj-ESp32tiUG3pbXgD-3efxotvVmidoFExvEeVmHOvxwh92xB9=w1200|https://lh3.googleusercontent.com/pw/AP1GczMi_8l7x2d7Fmd0Pkej0vCWSvYog0cyzU_-BdNSbh7A6i4dsZWP0uifoaak7U-JbPxcY4Jm030-uoQkqklMH1"&amp;"mwXwzbxCqhAsvzAczC7LFSrJQhmXfD=w1200|https://lh3.googleusercontent.com/pw/AP1GczM77Jtv63tegRi8T0r29HFUlvK_5DkE1Z0hi5MjJOZzjP3eAWjBmglnMy3rzgkxELUYV_ffVl7YjEOz0qGhizzACYW-CCBYhBJjUKL3NTOLG-vJOO2l=w1200|https://lh3.googleusercontent.com/pw/AP1GczPQUdZ-zdblg"&amp;"PGOYaoV4GYjw63tA83pgWaLNOHzMPPU35Emdaj-iusS-hwF6Zy3LsfK_Y_mDH_S7sbRqoFjGjUeAE7AgLVAUG-AoCmpQBqMbjJbaCQq=w1200")</f>
        <v>https://lh3.googleusercontent.com/pw/AP1GczN2khsER9pIb_ru7xvRkxG-1Iad_TXw9bLDAqZNzr_5-cFkWEopMuTwQROndIpo2IKkgnzW_OYcTlNxL0UyPxIg42kRACgJlaxJfqdIM8Xi_qFyDGxb=w1200|https://lh3.googleusercontent.com/pw/AP1GczMh1W62Mmvj9PlXDACTs1xvURKYWPhehPtcB4P6EwLaocpbE80hBsDkVsFL5gij-VGuklxYj_bhkvXYUPiMrSNtCg5T285J4PYt0ssSh0990CkAigH3=w1200|https://lh3.googleusercontent.com/pw/AP1GczNLLEVsQYDgNc5qEo_z5x4LI_-OLhpANtKSOoHqHvBozM1Klr5iabkNLIbViTJAjbQ9XYFe-9OX3_TT-el5zikKdhBJgMZsx9zTbMFFCCU16xFEKDMO=w1200|https://lh3.googleusercontent.com/pw/AP1GczOmSNu-LT6LmNxxCJMEzkMsW-GgKuYgeo1Y8yzWu3enqjV2fqS-K95Dll3t16BZpVWKlzaANhMAlf97m4MURwqp8oiBgNZiZRVZOdmmS8jpFRvflbmj=w1200|https://lh3.googleusercontent.com/pw/AP1GczNnzhamGT8oNIfH1LEF9ZjCnipvgXIY64OAzaYSW76lHUtC7i9JQSz3hHgEC-DTY3s-6TEu4tGoSk-NNL3pbieDlTZIZRTRtxIMpUWz9YRBz7avjDWZ=w1200|https://lh3.googleusercontent.com/pw/AP1GczN_OMIoq1peifKPeLKhTJiuISaoP3tNi8rA93tOAZzesvSCZM_nU4Te9RMQrRDA1bsU8pZDWLEb29osXXJQOwULoTKffr9ZOuLT8seIlnRkxYjr0Ku6=w1200|https://lh3.googleusercontent.com/pw/AP1GczNC1SIyVpZkKSENf9rxVTw_5pONr7pQsDCBjhfOUF9IfLyr4moS50p9dtOdVUd4txSj-ESp32tiUG3pbXgD-3efxotvVmidoFExvEeVmHOvxwh92xB9=w1200|https://lh3.googleusercontent.com/pw/AP1GczMi_8l7x2d7Fmd0Pkej0vCWSvYog0cyzU_-BdNSbh7A6i4dsZWP0uifoaak7U-JbPxcY4Jm030-uoQkqklMH1mwXwzbxCqhAsvzAczC7LFSrJQhmXfD=w1200|https://lh3.googleusercontent.com/pw/AP1GczM77Jtv63tegRi8T0r29HFUlvK_5DkE1Z0hi5MjJOZzjP3eAWjBmglnMy3rzgkxELUYV_ffVl7YjEOz0qGhizzACYW-CCBYhBJjUKL3NTOLG-vJOO2l=w1200|https://lh3.googleusercontent.com/pw/AP1GczPQUdZ-zdblgPGOYaoV4GYjw63tA83pgWaLNOHzMPPU35Emdaj-iusS-hwF6Zy3LsfK_Y_mDH_S7sbRqoFjGjUeAE7AgLVAUG-AoCmpQBqMbjJbaCQq=w1200</v>
      </c>
      <c r="AJ453" s="46"/>
      <c r="AK453" s="46"/>
      <c r="AL453" s="46"/>
      <c r="AM453" s="46"/>
      <c r="AN453" s="46"/>
      <c r="AO453" s="46"/>
      <c r="AP453" s="46"/>
      <c r="AQ453" s="46"/>
      <c r="AR453" s="46"/>
      <c r="AS453" s="46"/>
      <c r="AT453" s="46"/>
      <c r="AU453" s="46"/>
      <c r="AV453" s="46"/>
      <c r="AW453" s="46"/>
      <c r="AX453" s="46"/>
      <c r="AY453" s="46"/>
      <c r="AZ453" s="46"/>
      <c r="BA453" s="46"/>
      <c r="BB453" s="46"/>
      <c r="BC453" s="46"/>
      <c r="BD453" s="46"/>
      <c r="BE453" s="46"/>
      <c r="BF453" s="46"/>
      <c r="BG453" s="46"/>
      <c r="BH453" s="46"/>
      <c r="BI453" s="46"/>
      <c r="BJ453" s="46"/>
      <c r="BK453" s="46"/>
      <c r="BL453" s="46"/>
      <c r="BM453" s="46"/>
      <c r="BN453" s="46"/>
      <c r="BO453" s="46"/>
      <c r="BP453" s="46"/>
      <c r="BQ453" s="46"/>
      <c r="BR453" s="46"/>
      <c r="BS453" s="46"/>
      <c r="BT453" s="46"/>
      <c r="BU453" s="46"/>
      <c r="BV453" s="46"/>
      <c r="BW453" s="46"/>
      <c r="BX453" s="46"/>
      <c r="BY453" s="46"/>
      <c r="BZ453" s="46"/>
      <c r="CA453" s="46"/>
      <c r="CB453" s="46"/>
      <c r="CC453" s="46"/>
    </row>
    <row r="454">
      <c r="A454" s="87" t="str">
        <f>IFERROR(__xludf.DUMMYFUNCTION("""COMPUTED_VALUE"""),"036")</f>
        <v>036</v>
      </c>
      <c r="B454" s="46" t="str">
        <f>IFERROR(__xludf.DUMMYFUNCTION("""COMPUTED_VALUE"""),"Casa campestre en conjunto Condominio Altos de la Sabana - Palermo - Z. Industrial")</f>
        <v>Casa campestre en conjunto Condominio Altos de la Sabana - Palermo - Z. Industrial</v>
      </c>
      <c r="C454" s="46" t="str">
        <f>IFERROR(__xludf.DUMMYFUNCTION("""COMPUTED_VALUE"""),"Casa campestre en conjunto")</f>
        <v>Casa campestre en conjunto</v>
      </c>
      <c r="D454" s="46"/>
      <c r="E454" s="46" t="str">
        <f>IFERROR(__xludf.DUMMYFUNCTION("""COMPUTED_VALUE"""),"Condominio Altos de la Sabana")</f>
        <v>Condominio Altos de la Sabana</v>
      </c>
      <c r="F454" s="90">
        <f>IFERROR(__xludf.DUMMYFUNCTION("""COMPUTED_VALUE"""),1.28E9)</f>
        <v>1280000000</v>
      </c>
      <c r="G454" s="46" t="str">
        <f>IFERROR(__xludf.DUMMYFUNCTION("""COMPUTED_VALUE"""),"Más de $1.000'000.000")</f>
        <v>Más de $1.000'000.000</v>
      </c>
      <c r="H454" s="46"/>
      <c r="I454" s="46"/>
      <c r="J454" s="46" t="str">
        <f>IFERROR(__xludf.DUMMYFUNCTION("""COMPUTED_VALUE"""),"Sur")</f>
        <v>Sur</v>
      </c>
      <c r="K454" s="87"/>
      <c r="L454" s="46">
        <f>IFERROR(__xludf.DUMMYFUNCTION("""COMPUTED_VALUE"""),5.0)</f>
        <v>5</v>
      </c>
      <c r="M454" s="46"/>
      <c r="N454" s="46">
        <f>IFERROR(__xludf.DUMMYFUNCTION("""COMPUTED_VALUE"""),4.0)</f>
        <v>4</v>
      </c>
      <c r="O454" s="46">
        <f>IFERROR(__xludf.DUMMYFUNCTION("""COMPUTED_VALUE"""),2.0)</f>
        <v>2</v>
      </c>
      <c r="P454" s="46">
        <f>IFERROR(__xludf.DUMMYFUNCTION("""COMPUTED_VALUE"""),2.0)</f>
        <v>2</v>
      </c>
      <c r="Q454" s="92">
        <f>IFERROR(__xludf.DUMMYFUNCTION("""COMPUTED_VALUE"""),360.0)</f>
        <v>360</v>
      </c>
      <c r="R454" s="92">
        <f>IFERROR(__xludf.DUMMYFUNCTION("""COMPUTED_VALUE"""),528.0)</f>
        <v>528</v>
      </c>
      <c r="S454" s="87" t="str">
        <f>IFERROR(__xludf.DUMMYFUNCTION("""COMPUTED_VALUE""")," ")</f>
        <v> </v>
      </c>
      <c r="T454" s="46" t="str">
        <f>IFERROR(__xludf.DUMMYFUNCTION("""COMPUTED_VALUE"""),"Palermo")</f>
        <v>Palermo</v>
      </c>
      <c r="U454" s="87" t="str">
        <f>IFERROR(__xludf.DUMMYFUNCTION("""COMPUTED_VALUE"""),"2")</f>
        <v>2</v>
      </c>
      <c r="V454" s="46" t="str">
        <f>IFERROR(__xludf.DUMMYFUNCTION("""COMPUTED_VALUE"""),"Medianera")</f>
        <v>Medianera</v>
      </c>
      <c r="W454" s="46"/>
      <c r="X454" s="46">
        <f>IFERROR(__xludf.DUMMYFUNCTION("""COMPUTED_VALUE"""),5.0)</f>
        <v>5</v>
      </c>
      <c r="Y454" s="46" t="str">
        <f>IFERROR(__xludf.DUMMYFUNCTION("""COMPUTED_VALUE"""),"Privada")</f>
        <v>Privada</v>
      </c>
      <c r="Z454" s="46">
        <f>IFERROR(__xludf.DUMMYFUNCTION("""COMPUTED_VALUE"""),272000.0)</f>
        <v>272000</v>
      </c>
      <c r="AA454" s="33" t="str">
        <f>IFERROR(__xludf.DUMMYFUNCTION("""COMPUTED_VALUE"""),"No aplica")</f>
        <v>No aplica</v>
      </c>
      <c r="AB454" s="96" t="str">
        <f>IFERROR(__xludf.DUMMYFUNCTION("""COMPUTED_VALUE"""),"https://photos.app.goo.gl/iNDB7oPPEH4k9SzXA")</f>
        <v>https://photos.app.goo.gl/iNDB7oPPEH4k9SzXA</v>
      </c>
      <c r="AC454" s="46" t="str">
        <f>IFERROR(__xludf.DUMMYFUNCTION("""COMPUTED_VALUE"""),"Esta lujosa casa campestre de diseño moderno se distribuye en 360 m² construidos sobre un lote de 528 m², ubicada en el exclusivo Condominio Altos de la Sabana en la zona norte de la periferia de Neiva (Palermo). La zona social impacta con una sala comedo"&amp;"r de doble altura inundada de excelente iluminación natural gracias a sus imponentes ventanales de piso a techo, pisos en porcelanato blanco de alto brillo y una elegante escalera flotante. Su cocina integral vanguardista destaca por una espectacular isla"&amp;" central en mármol negro absoluto con estufa empotrada y campana de extracción de alta gama, conectando de forma fluida con el comedor principal. En su distribución privada, el inmueble ofrece 5 habitaciones confortables más 1 alcoba de servicio y 4 baños"&amp;" con acabados premium, garantizando una ventilación funcional y un confort absoluto en un entorno tranquilo de estrato 2.")</f>
        <v>Esta lujosa casa campestre de diseño moderno se distribuye en 360 m² construidos sobre un lote de 528 m², ubicada en el exclusivo Condominio Altos de la Sabana en la zona norte de la periferia de Neiva (Palermo). La zona social impacta con una sala comedor de doble altura inundada de excelente iluminación natural gracias a sus imponentes ventanales de piso a techo, pisos en porcelanato blanco de alto brillo y una elegante escalera flotante. Su cocina integral vanguardista destaca por una espectacular isla central en mármol negro absoluto con estufa empotrada y campana de extracción de alta gama, conectando de forma fluida con el comedor principal. En su distribución privada, el inmueble ofrece 5 habitaciones confortables más 1 alcoba de servicio y 4 baños con acabados premium, garantizando una ventilación funcional y un confort absoluto en un entorno tranquilo de estrato 2.</v>
      </c>
      <c r="AD454" s="46" t="str">
        <f>IFERROR(__xludf.DUMMYFUNCTION("""COMPUTED_VALUE"""),"La verdadera exclusividad de esta propiedad de ICDE radica en sus amenidades tipo resort y el sofisticado estilo de vida que ofrece para entrega inmediata. Las zonas de entretenimiento privado incluyen una espectacular piscina propia ($7\text{ m} \times 3"&amp;"\text{ m}$) con playas integradas y un moderno módulo de BBQ exterior de acero inoxidable empotrado en mesones cerámicos, ideal para reuniones sociales con total privacidad. Además, el condominio brinda un club house sin precedentes: piscina infinita, can"&amp;"chas de tenis y múltiples sintéticas (fútbol, vóley, básquet), salón social, oratorio, vías en cemento y total autonomía con plantas de tratamiento PTAP y PTAR. Es la inversión perfecta para compradores exigentes que buscan el balance ideal entre el lujo "&amp;"contemporáneo, la naturaleza y una altísima valorización en el norte de la ciudad.")</f>
        <v>La verdadera exclusividad de esta propiedad de ICDE radica en sus amenidades tipo resort y el sofisticado estilo de vida que ofrece para entrega inmediata. Las zonas de entretenimiento privado incluyen una espectacular piscina propia ($7\text{ m} \times 3\text{ m}$) con playas integradas y un moderno módulo de BBQ exterior de acero inoxidable empotrado en mesones cerámicos, ideal para reuniones sociales con total privacidad. Además, el condominio brinda un club house sin precedentes: piscina infinita, canchas de tenis y múltiples sintéticas (fútbol, vóley, básquet), salón social, oratorio, vías en cemento y total autonomía con plantas de tratamiento PTAP y PTAR. Es la inversión perfecta para compradores exigentes que buscan el balance ideal entre el lujo contemporáneo, la naturaleza y una altísima valorización en el norte de la ciudad.</v>
      </c>
      <c r="AE454" s="46"/>
      <c r="AF454" s="46" t="str">
        <f>IFERROR(__xludf.DUMMYFUNCTION("""COMPUTED_VALUE"""),"integral")</f>
        <v>integral</v>
      </c>
      <c r="AG454" s="46"/>
      <c r="AH454" s="46" t="str">
        <f>IFERROR(__xludf.DUMMYFUNCTION("""COMPUTED_VALUE"""),"Aliado")</f>
        <v>Aliado</v>
      </c>
      <c r="AI454" s="92" t="str">
        <f>IFERROR(__xludf.DUMMYFUNCTION("""COMPUTED_VALUE"""),"https://lh3.googleusercontent.com/pw/AP1GczNavVEqtyLE4pDcwgWkmTNseGDRdjwEI4yZhjH2ERjN-_e4QC2GPgIKIJTtWqnYV-3oL-8YDMTYT7nuy7b7w4fa8d56Bhsm_ucP1vp0MhpzNqKD5Jv-=w1200|https://lh3.googleusercontent.com/pw/AP1GczNNdgNUziQ8Py2RaGbFt1fdITJZMoV5Uu6gulCkJaHa_vsHGV"&amp;"jjM_McGv_S18_v5Q_oXMySuSKbqAadindOSjy8_U2nzQ4E4noN8eUqsE_fUsS56Lje=w1200|https://lh3.googleusercontent.com/pw/AP1GczP_ncYqtY9acgh6X1evMD6eVt0LauqNHIxszk-TMu4xwFVQCHwZ2t_8a-9qoz_wgI7QmbFBHW9Am4SL0CA6rcFR6_6fe31sEfNPD5ZhaPlTwmgG87QZ=w1200|https://lh3.google"&amp;"usercontent.com/pw/AP1GczM8rrXetQTJe3kDk9cnfPE5f4DwLQsmHTrulm_Sl0a8MgCcnc1YjFr1QXBzw5j3R0i0xGTEACKGY7qywRpzvZOGH_4v5lcvAiLE4jDl8KLKtZ2go3vo=w1200|https://lh3.googleusercontent.com/pw/AP1GczOkKDCegTU8Mn4QgiHQJLk1S98MlPuIAwsMcXFjaOebFWK7lITxQ-UNMHg4grGa-mJT"&amp;"K1HMLSLyRsRqXzKAnxAmCeSMVsSZwFhQ_dTk8zvH0AnxhOyQ=w1200|https://lh3.googleusercontent.com/pw/AP1GczN8b-7Ok-AUhk-C0kIwCZEfVq4BajnSNulWvsEDYFxHSdEuUnQ4BvYEEVze4OuB5y3Ogp2848CqZKFZgXqXx6zVhAiA7b0eSfK3ecCEzld38BR-6Pus=w1200|https://lh3.googleusercontent.com/pw"&amp;"/AP1GczPzcCulR4JSZsWFiL99YlSvrx4Pf613ZBnLUhb_2gzFpo1u9NxxKUFrjCzJtGo_rI-F33DTNO3VgsQkTv5PNIg8N2GrmWCjcsadf289Ovq5iG3LbU1_=w1200|https://lh3.googleusercontent.com/pw/AP1GczOftc2ZVDL9pzZ4DRSAgUOUq31PuHk639mQwdxOL28dzXYn1NZeWxTVhEZ3xAsLaddQoK3SK9KXwr2UbwjSTd"&amp;"h1HL6EB216SwEFx5o6uVwNcrEQ1lQc=w1200")</f>
        <v>https://lh3.googleusercontent.com/pw/AP1GczNavVEqtyLE4pDcwgWkmTNseGDRdjwEI4yZhjH2ERjN-_e4QC2GPgIKIJTtWqnYV-3oL-8YDMTYT7nuy7b7w4fa8d56Bhsm_ucP1vp0MhpzNqKD5Jv-=w1200|https://lh3.googleusercontent.com/pw/AP1GczNNdgNUziQ8Py2RaGbFt1fdITJZMoV5Uu6gulCkJaHa_vsHGVjjM_McGv_S18_v5Q_oXMySuSKbqAadindOSjy8_U2nzQ4E4noN8eUqsE_fUsS56Lje=w1200|https://lh3.googleusercontent.com/pw/AP1GczP_ncYqtY9acgh6X1evMD6eVt0LauqNHIxszk-TMu4xwFVQCHwZ2t_8a-9qoz_wgI7QmbFBHW9Am4SL0CA6rcFR6_6fe31sEfNPD5ZhaPlTwmgG87QZ=w1200|https://lh3.googleusercontent.com/pw/AP1GczM8rrXetQTJe3kDk9cnfPE5f4DwLQsmHTrulm_Sl0a8MgCcnc1YjFr1QXBzw5j3R0i0xGTEACKGY7qywRpzvZOGH_4v5lcvAiLE4jDl8KLKtZ2go3vo=w1200|https://lh3.googleusercontent.com/pw/AP1GczOkKDCegTU8Mn4QgiHQJLk1S98MlPuIAwsMcXFjaOebFWK7lITxQ-UNMHg4grGa-mJTK1HMLSLyRsRqXzKAnxAmCeSMVsSZwFhQ_dTk8zvH0AnxhOyQ=w1200|https://lh3.googleusercontent.com/pw/AP1GczN8b-7Ok-AUhk-C0kIwCZEfVq4BajnSNulWvsEDYFxHSdEuUnQ4BvYEEVze4OuB5y3Ogp2848CqZKFZgXqXx6zVhAiA7b0eSfK3ecCEzld38BR-6Pus=w1200|https://lh3.googleusercontent.com/pw/AP1GczPzcCulR4JSZsWFiL99YlSvrx4Pf613ZBnLUhb_2gzFpo1u9NxxKUFrjCzJtGo_rI-F33DTNO3VgsQkTv5PNIg8N2GrmWCjcsadf289Ovq5iG3LbU1_=w1200|https://lh3.googleusercontent.com/pw/AP1GczOftc2ZVDL9pzZ4DRSAgUOUq31PuHk639mQwdxOL28dzXYn1NZeWxTVhEZ3xAsLaddQoK3SK9KXwr2UbwjSTdh1HL6EB216SwEFx5o6uVwNcrEQ1lQc=w1200</v>
      </c>
      <c r="AJ454" s="46"/>
      <c r="AK454" s="46"/>
      <c r="AL454" s="46"/>
      <c r="AM454" s="46"/>
      <c r="AN454" s="46"/>
      <c r="AO454" s="46"/>
      <c r="AP454" s="46"/>
      <c r="AQ454" s="46"/>
      <c r="AR454" s="46"/>
      <c r="AS454" s="46"/>
      <c r="AT454" s="46"/>
      <c r="AU454" s="46"/>
      <c r="AV454" s="46"/>
      <c r="AW454" s="46"/>
      <c r="AX454" s="46"/>
      <c r="AY454" s="46"/>
      <c r="AZ454" s="46"/>
      <c r="BA454" s="46"/>
      <c r="BB454" s="46"/>
      <c r="BC454" s="46"/>
      <c r="BD454" s="46"/>
      <c r="BE454" s="46"/>
      <c r="BF454" s="46"/>
      <c r="BG454" s="46"/>
      <c r="BH454" s="46"/>
      <c r="BI454" s="46"/>
      <c r="BJ454" s="46"/>
      <c r="BK454" s="46"/>
      <c r="BL454" s="46"/>
      <c r="BM454" s="46"/>
      <c r="BN454" s="46"/>
      <c r="BO454" s="46"/>
      <c r="BP454" s="46"/>
      <c r="BQ454" s="46"/>
      <c r="BR454" s="46"/>
      <c r="BS454" s="46"/>
      <c r="BT454" s="46"/>
      <c r="BU454" s="46"/>
      <c r="BV454" s="46"/>
      <c r="BW454" s="46"/>
      <c r="BX454" s="46"/>
      <c r="BY454" s="46"/>
      <c r="BZ454" s="46"/>
      <c r="CA454" s="46"/>
      <c r="CB454" s="46"/>
      <c r="CC454" s="46"/>
    </row>
    <row r="455">
      <c r="A455" s="87" t="str">
        <f>IFERROR(__xludf.DUMMYFUNCTION("""COMPUTED_VALUE"""),"529")</f>
        <v>529</v>
      </c>
      <c r="B455" s="46" t="str">
        <f>IFERROR(__xludf.DUMMYFUNCTION("""COMPUTED_VALUE"""),"Casa campestre en conjunto Valle de la Rivera - Rivera")</f>
        <v>Casa campestre en conjunto Valle de la Rivera - Rivera</v>
      </c>
      <c r="C455" s="46" t="str">
        <f>IFERROR(__xludf.DUMMYFUNCTION("""COMPUTED_VALUE"""),"Casa campestre en conjunto")</f>
        <v>Casa campestre en conjunto</v>
      </c>
      <c r="D455" s="46"/>
      <c r="E455" s="46" t="str">
        <f>IFERROR(__xludf.DUMMYFUNCTION("""COMPUTED_VALUE"""),"Conjunto Valle de la Rivera")</f>
        <v>Conjunto Valle de la Rivera</v>
      </c>
      <c r="F455" s="90">
        <f>IFERROR(__xludf.DUMMYFUNCTION("""COMPUTED_VALUE"""),1.2E9)</f>
        <v>1200000000</v>
      </c>
      <c r="G455" s="46" t="str">
        <f>IFERROR(__xludf.DUMMYFUNCTION("""COMPUTED_VALUE"""),"Más de $1.000'000.000")</f>
        <v>Más de $1.000'000.000</v>
      </c>
      <c r="H455" s="46"/>
      <c r="I455" s="46"/>
      <c r="J455" s="46" t="str">
        <f>IFERROR(__xludf.DUMMYFUNCTION("""COMPUTED_VALUE"""),"Sur")</f>
        <v>Sur</v>
      </c>
      <c r="K455" s="87"/>
      <c r="L455" s="46">
        <f>IFERROR(__xludf.DUMMYFUNCTION("""COMPUTED_VALUE"""),6.0)</f>
        <v>6</v>
      </c>
      <c r="M455" s="46"/>
      <c r="N455" s="46">
        <f>IFERROR(__xludf.DUMMYFUNCTION("""COMPUTED_VALUE"""),6.0)</f>
        <v>6</v>
      </c>
      <c r="O455" s="46">
        <f>IFERROR(__xludf.DUMMYFUNCTION("""COMPUTED_VALUE"""),2.0)</f>
        <v>2</v>
      </c>
      <c r="P455" s="46">
        <f>IFERROR(__xludf.DUMMYFUNCTION("""COMPUTED_VALUE"""),1.0)</f>
        <v>1</v>
      </c>
      <c r="Q455" s="92">
        <f>IFERROR(__xludf.DUMMYFUNCTION("""COMPUTED_VALUE"""),750.0)</f>
        <v>750</v>
      </c>
      <c r="R455" s="92">
        <f>IFERROR(__xludf.DUMMYFUNCTION("""COMPUTED_VALUE"""),2500.0)</f>
        <v>2500</v>
      </c>
      <c r="S455" s="87" t="str">
        <f>IFERROR(__xludf.DUMMYFUNCTION("""COMPUTED_VALUE""")," ")</f>
        <v> </v>
      </c>
      <c r="T455" s="46" t="str">
        <f>IFERROR(__xludf.DUMMYFUNCTION("""COMPUTED_VALUE"""),"Rivera")</f>
        <v>Rivera</v>
      </c>
      <c r="U455" s="87"/>
      <c r="V455" s="46" t="str">
        <f>IFERROR(__xludf.DUMMYFUNCTION("""COMPUTED_VALUE"""),"Medianera")</f>
        <v>Medianera</v>
      </c>
      <c r="W455" s="46"/>
      <c r="X455" s="46">
        <f>IFERROR(__xludf.DUMMYFUNCTION("""COMPUTED_VALUE"""),6.0)</f>
        <v>6</v>
      </c>
      <c r="Y455" s="46" t="str">
        <f>IFERROR(__xludf.DUMMYFUNCTION("""COMPUTED_VALUE"""),"Privada")</f>
        <v>Privada</v>
      </c>
      <c r="Z455" s="90"/>
      <c r="AA455" s="33" t="str">
        <f>IFERROR(__xludf.DUMMYFUNCTION("""COMPUTED_VALUE"""),"No aplica")</f>
        <v>No aplica</v>
      </c>
      <c r="AB455" s="96" t="str">
        <f>IFERROR(__xludf.DUMMYFUNCTION("""COMPUTED_VALUE"""),"https://photos.app.goo.gl/DXahLWJjjFh9RAMEA")</f>
        <v>https://photos.app.goo.gl/DXahLWJjjFh9RAMEA</v>
      </c>
      <c r="AC455" s="46" t="str">
        <f>IFERROR(__xludf.DUMMYFUNCTION("""COMPUTED_VALUE"""),"Esta espectacular casa campestre moderna de tan solo 5 años de construida, ubicada en un exclusivo conjunto cerrado en Rivereña/Rivera, Huila, ofrece un estilo de vida inigualable que combina lujo, confort y un entorno natural privilegiado. Con un imponen"&amp;"te lote de $2.500\text{ m}^2$ y $750\text{ m}^2$ de impecable construcción, la propiedad destaca por sus amplios y luminosos espacios interiores de concepto abierto. Cuenta con 6 cómodas alcobas, 6 baños, una moderna cocina integral con isla central, un e"&amp;"legante comedor con ventanales de piso a techo y habitaciones climatizadas con aire acondicionado y acabados de primera calidad.")</f>
        <v>Esta espectacular casa campestre moderna de tan solo 5 años de construida, ubicada en un exclusivo conjunto cerrado en Rivereña/Rivera, Huila, ofrece un estilo de vida inigualable que combina lujo, confort y un entorno natural privilegiado. Con un imponente lote de $2.500\text{ m}^2$ y $750\text{ m}^2$ de impecable construcción, la propiedad destaca por sus amplios y luminosos espacios interiores de concepto abierto. Cuenta con 6 cómodas alcobas, 6 baños, una moderna cocina integral con isla central, un elegante comedor con ventanales de piso a techo y habitaciones climatizadas con aire acondicionado y acabados de primera calidad.</v>
      </c>
      <c r="AD455" s="46" t="str">
        <f>IFERROR(__xludf.DUMMYFUNCTION("""COMPUTED_VALUE"""),"El área exterior es un verdadero oasis privado diseñado para el entretenimiento y el descanso familiar al aire libre. Dispone de una fantástica piscina privada con fuentes integradas e iluminación nocturna, una espaciosa zona de bar y quiosco techado idea"&amp;"l para eventos sociales, hermosos jardines ornamentales con buganvilias y un amplio parqueadero cubierto. Protegida por un cerramiento perimetral completo y un imponente portón privado dentro de la seguridad del conjunto cerrado, esta residencia represent"&amp;"a la oportunidad perfecta de inversión en una de las zonas campestres de mayor valorización de la región.")</f>
        <v>El área exterior es un verdadero oasis privado diseñado para el entretenimiento y el descanso familiar al aire libre. Dispone de una fantástica piscina privada con fuentes integradas e iluminación nocturna, una espaciosa zona de bar y quiosco techado ideal para eventos sociales, hermosos jardines ornamentales con buganvilias y un amplio parqueadero cubierto. Protegida por un cerramiento perimetral completo y un imponente portón privado dentro de la seguridad del conjunto cerrado, esta residencia representa la oportunidad perfecta de inversión en una de las zonas campestres de mayor valorización de la región.</v>
      </c>
      <c r="AE455" s="46"/>
      <c r="AF455" s="46" t="str">
        <f>IFERROR(__xludf.DUMMYFUNCTION("""COMPUTED_VALUE"""),"integral")</f>
        <v>integral</v>
      </c>
      <c r="AG455" s="46"/>
      <c r="AH455" s="46" t="str">
        <f>IFERROR(__xludf.DUMMYFUNCTION("""COMPUTED_VALUE"""),"Aliado")</f>
        <v>Aliado</v>
      </c>
      <c r="AI455" s="92" t="str">
        <f>IFERROR(__xludf.DUMMYFUNCTION("""COMPUTED_VALUE"""),"https://lh3.googleusercontent.com/pw/AP1GczO0yEMAmIVC4Cso1ZNQXoPueX7d4CaLoaxYEHg7z79KbxNNs03JlfqI_Fm9GIFjOLacDcDpFAdhn5wGRtaoWZkgvTTnAe_-7dbDE33x88tDF6AqKCl-=w1200|https://lh3.googleusercontent.com/pw/AP1GczMLyff6whbJlf75_-4EmfVA_O5KeoGP86KjvkFtmYAAT00N_u"&amp;"oS_sLyXWkwGwjhU0WW-5sJtmKWVBLKs5taV5iZUIK_Dc0FH-GTfswgewGCw5vVLGS8=w1200|https://lh3.googleusercontent.com/pw/AP1GczPgCyJJxoNnlCeiFPKQId3P9iYPCtPROXkLyFrAlWPdrJ6KZ0ocMEE79-bdYdtIakPKRP7N4L8PvL5XffiEE3I60ixYDTlylYBdYEapoHZQj4JvkG0c=w1200|https://lh3.google"&amp;"usercontent.com/pw/AP1GczNMBbZL4Q5aUvKMKOD_gcYtKZFKHPR7XXBsuIoABpaP_8Z7vn1lWUib5dpM_JybNWpYOhfdKAuSCJigrHbpphiQ_E0JMz2dAIm0sJbi8-KIL0NeTab2=w1200|https://lh3.googleusercontent.com/pw/AP1GczMLlQx3fIelu_J5dLkZWvGGsFY8n0rSEj0xrTfbcsJKKm-xe4wJKPuOdTlWib0ZuypU"&amp;"Pnox2bw9q5liYLnrsAusZbnLljr-vkPQ-SXDi-wOnaNflCgI=w1200|https://lh3.googleusercontent.com/pw/AP1GczNC8sHPyjhXjGrdd8IUGvgqnCxclI82abbESdKLBCLJKydd6jZL7gNCoGUbx631E0HpfKn9akGKNdauRTrAfp_3gechpcsPlVE4ALov9kBeL4hloTOa=w1200|https://lh3.googleusercontent.com/pw"&amp;"/AP1GczNlm8nbYw42yqIhgGhUuKKgtW00XsJeXbRaM_wuHyiDHQ4zH69kTKSuVvuEbMqbrDbbiJ3_3k4P8tHXa3nlDpBwoHvEqa8xbEbHoKBkfIeR2ySQOsy4=w1200|https://lh3.googleusercontent.com/pw/AP1GczPa0IGaiT5n2xyJtDb73nUxXfYhQu-7Btz24Sasgz0J_QRVpsVe95YZs88xj1oBNL8EhFc-UHEBCPrniEwNh9"&amp;"d_GPlJ2zRJRWrcaWKyY6S_cAXf2q1e=w1200|https://lh3.googleusercontent.com/pw/AP1GczNYSIBPRLussDUjB_yu3ABPOH25v0OhBQfHNwqkKkY-wXpUlElpL6PS_f53s7JpHhfmhR7ID9kDc_rh11WjdhstJ0OO81UTZOJsVPkVhasC8lhf4BLv=w1200|https://lh3.googleusercontent.com/pw/AP1GczN6nT5umS4l_"&amp;"KGGglRlMofg3k89zfh3zazp0zuv12s5cYpQ8h3CgMdAOw1g1h6bjThadxWxcbK8EaLtQuK150iI7HSZBJQ_gif2z00z69EYjImu9AX9=w1200")</f>
        <v>https://lh3.googleusercontent.com/pw/AP1GczO0yEMAmIVC4Cso1ZNQXoPueX7d4CaLoaxYEHg7z79KbxNNs03JlfqI_Fm9GIFjOLacDcDpFAdhn5wGRtaoWZkgvTTnAe_-7dbDE33x88tDF6AqKCl-=w1200|https://lh3.googleusercontent.com/pw/AP1GczMLyff6whbJlf75_-4EmfVA_O5KeoGP86KjvkFtmYAAT00N_uoS_sLyXWkwGwjhU0WW-5sJtmKWVBLKs5taV5iZUIK_Dc0FH-GTfswgewGCw5vVLGS8=w1200|https://lh3.googleusercontent.com/pw/AP1GczPgCyJJxoNnlCeiFPKQId3P9iYPCtPROXkLyFrAlWPdrJ6KZ0ocMEE79-bdYdtIakPKRP7N4L8PvL5XffiEE3I60ixYDTlylYBdYEapoHZQj4JvkG0c=w1200|https://lh3.googleusercontent.com/pw/AP1GczNMBbZL4Q5aUvKMKOD_gcYtKZFKHPR7XXBsuIoABpaP_8Z7vn1lWUib5dpM_JybNWpYOhfdKAuSCJigrHbpphiQ_E0JMz2dAIm0sJbi8-KIL0NeTab2=w1200|https://lh3.googleusercontent.com/pw/AP1GczMLlQx3fIelu_J5dLkZWvGGsFY8n0rSEj0xrTfbcsJKKm-xe4wJKPuOdTlWib0ZuypUPnox2bw9q5liYLnrsAusZbnLljr-vkPQ-SXDi-wOnaNflCgI=w1200|https://lh3.googleusercontent.com/pw/AP1GczNC8sHPyjhXjGrdd8IUGvgqnCxclI82abbESdKLBCLJKydd6jZL7gNCoGUbx631E0HpfKn9akGKNdauRTrAfp_3gechpcsPlVE4ALov9kBeL4hloTOa=w1200|https://lh3.googleusercontent.com/pw/AP1GczNlm8nbYw42yqIhgGhUuKKgtW00XsJeXbRaM_wuHyiDHQ4zH69kTKSuVvuEbMqbrDbbiJ3_3k4P8tHXa3nlDpBwoHvEqa8xbEbHoKBkfIeR2ySQOsy4=w1200|https://lh3.googleusercontent.com/pw/AP1GczPa0IGaiT5n2xyJtDb73nUxXfYhQu-7Btz24Sasgz0J_QRVpsVe95YZs88xj1oBNL8EhFc-UHEBCPrniEwNh9d_GPlJ2zRJRWrcaWKyY6S_cAXf2q1e=w1200|https://lh3.googleusercontent.com/pw/AP1GczNYSIBPRLussDUjB_yu3ABPOH25v0OhBQfHNwqkKkY-wXpUlElpL6PS_f53s7JpHhfmhR7ID9kDc_rh11WjdhstJ0OO81UTZOJsVPkVhasC8lhf4BLv=w1200|https://lh3.googleusercontent.com/pw/AP1GczN6nT5umS4l_KGGglRlMofg3k89zfh3zazp0zuv12s5cYpQ8h3CgMdAOw1g1h6bjThadxWxcbK8EaLtQuK150iI7HSZBJQ_gif2z00z69EYjImu9AX9=w1200</v>
      </c>
      <c r="AJ455" s="46"/>
      <c r="AK455" s="46"/>
      <c r="AL455" s="46"/>
      <c r="AM455" s="46"/>
      <c r="AN455" s="46"/>
      <c r="AO455" s="46"/>
      <c r="AP455" s="46"/>
      <c r="AQ455" s="46"/>
      <c r="AR455" s="46"/>
      <c r="AS455" s="46"/>
      <c r="AT455" s="46"/>
      <c r="AU455" s="46"/>
      <c r="AV455" s="46"/>
      <c r="AW455" s="46"/>
      <c r="AX455" s="46"/>
      <c r="AY455" s="46"/>
      <c r="AZ455" s="46"/>
      <c r="BA455" s="46"/>
      <c r="BB455" s="46"/>
      <c r="BC455" s="46"/>
      <c r="BD455" s="46"/>
      <c r="BE455" s="46"/>
      <c r="BF455" s="46"/>
      <c r="BG455" s="46"/>
      <c r="BH455" s="46"/>
      <c r="BI455" s="46"/>
      <c r="BJ455" s="46"/>
      <c r="BK455" s="46"/>
      <c r="BL455" s="46"/>
      <c r="BM455" s="46"/>
      <c r="BN455" s="46"/>
      <c r="BO455" s="46"/>
      <c r="BP455" s="46"/>
      <c r="BQ455" s="46"/>
      <c r="BR455" s="46"/>
      <c r="BS455" s="46"/>
      <c r="BT455" s="46"/>
      <c r="BU455" s="46"/>
      <c r="BV455" s="46"/>
      <c r="BW455" s="46"/>
      <c r="BX455" s="46"/>
      <c r="BY455" s="46"/>
      <c r="BZ455" s="46"/>
      <c r="CA455" s="46"/>
      <c r="CB455" s="46"/>
      <c r="CC455" s="46"/>
    </row>
    <row r="456">
      <c r="A456" s="87" t="str">
        <f>IFERROR(__xludf.DUMMYFUNCTION("""COMPUTED_VALUE"""),"078")</f>
        <v>078</v>
      </c>
      <c r="B456" s="46" t="str">
        <f>IFERROR(__xludf.DUMMYFUNCTION("""COMPUTED_VALUE"""),"Casa en conjunto  Condominio Quintas de Oriente")</f>
        <v>Casa en conjunto  Condominio Quintas de Oriente</v>
      </c>
      <c r="C456" s="46" t="str">
        <f>IFERROR(__xludf.DUMMYFUNCTION("""COMPUTED_VALUE"""),"Casa en conjunto")</f>
        <v>Casa en conjunto</v>
      </c>
      <c r="D456" s="46" t="str">
        <f>IFERROR(__xludf.DUMMYFUNCTION("""COMPUTED_VALUE"""),"Ipanema")</f>
        <v>Ipanema</v>
      </c>
      <c r="E456" s="46" t="str">
        <f>IFERROR(__xludf.DUMMYFUNCTION("""COMPUTED_VALUE""")," Condominio Quintas de Oriente")</f>
        <v> Condominio Quintas de Oriente</v>
      </c>
      <c r="F456" s="90">
        <f>IFERROR(__xludf.DUMMYFUNCTION("""COMPUTED_VALUE"""),9.0E8)</f>
        <v>900000000</v>
      </c>
      <c r="G456" s="46" t="str">
        <f>IFERROR(__xludf.DUMMYFUNCTION("""COMPUTED_VALUE"""),"$500'000.000 a $1.000'000.000")</f>
        <v>$500'000.000 a $1.000'000.000</v>
      </c>
      <c r="H456" s="46"/>
      <c r="I456" s="46"/>
      <c r="J456" s="46" t="str">
        <f>IFERROR(__xludf.DUMMYFUNCTION("""COMPUTED_VALUE"""),"Oriente")</f>
        <v>Oriente</v>
      </c>
      <c r="K456" s="87" t="str">
        <f>IFERROR(__xludf.DUMMYFUNCTION("""COMPUTED_VALUE"""),"7")</f>
        <v>7</v>
      </c>
      <c r="L456" s="46">
        <f>IFERROR(__xludf.DUMMYFUNCTION("""COMPUTED_VALUE"""),3.0)</f>
        <v>3</v>
      </c>
      <c r="M456" s="46"/>
      <c r="N456" s="46">
        <f>IFERROR(__xludf.DUMMYFUNCTION("""COMPUTED_VALUE"""),3.0)</f>
        <v>3</v>
      </c>
      <c r="O456" s="46">
        <f>IFERROR(__xludf.DUMMYFUNCTION("""COMPUTED_VALUE"""),2.0)</f>
        <v>2</v>
      </c>
      <c r="P456" s="46">
        <f>IFERROR(__xludf.DUMMYFUNCTION("""COMPUTED_VALUE"""),1.0)</f>
        <v>1</v>
      </c>
      <c r="Q456" s="92">
        <f>IFERROR(__xludf.DUMMYFUNCTION("""COMPUTED_VALUE"""),261.0)</f>
        <v>261</v>
      </c>
      <c r="R456" s="92">
        <f>IFERROR(__xludf.DUMMYFUNCTION("""COMPUTED_VALUE"""),300.0)</f>
        <v>300</v>
      </c>
      <c r="S456" s="87"/>
      <c r="T456" s="46" t="str">
        <f>IFERROR(__xludf.DUMMYFUNCTION("""COMPUTED_VALUE"""),"Neiva")</f>
        <v>Neiva</v>
      </c>
      <c r="U456" s="87" t="str">
        <f>IFERROR(__xludf.DUMMYFUNCTION("""COMPUTED_VALUE"""),"5")</f>
        <v>5</v>
      </c>
      <c r="V456" s="46" t="str">
        <f>IFERROR(__xludf.DUMMYFUNCTION("""COMPUTED_VALUE"""),"Medianera")</f>
        <v>Medianera</v>
      </c>
      <c r="W456" s="46"/>
      <c r="X456" s="46">
        <f>IFERROR(__xludf.DUMMYFUNCTION("""COMPUTED_VALUE"""),3.0)</f>
        <v>3</v>
      </c>
      <c r="Y456" s="46" t="str">
        <f>IFERROR(__xludf.DUMMYFUNCTION("""COMPUTED_VALUE"""),"Social")</f>
        <v>Social</v>
      </c>
      <c r="Z456" s="90">
        <f>IFERROR(__xludf.DUMMYFUNCTION("""COMPUTED_VALUE"""),740000.0)</f>
        <v>740000</v>
      </c>
      <c r="AA456" s="33" t="str">
        <f>IFERROR(__xludf.DUMMYFUNCTION("""COMPUTED_VALUE"""),"No aplica")</f>
        <v>No aplica</v>
      </c>
      <c r="AB456" s="96" t="str">
        <f>IFERROR(__xludf.DUMMYFUNCTION("""COMPUTED_VALUE"""),"https://photos.app.goo.gl/FvFBiH8kQWb99SmK8")</f>
        <v>https://photos.app.goo.gl/FvFBiH8kQWb99SmK8</v>
      </c>
      <c r="AC456" s="46" t="str">
        <f>IFERROR(__xludf.DUMMYFUNCTION("""COMPUTED_VALUE"""),"Esta imponente casa de un solo nivel en estrato 5 cuenta con un área total de 300 m² (261 m² construidos), caracterizada por elegantes pisos de porcelanato brillante y muros blancos con sofisticados techos escalonados. La distribución incluye 2 amplias sa"&amp;"las, comedor independiente, cocina integral, 2 estudios ideales para oficina, zona de lavandería con lavadero grande y 2 parqueaderos. En su zona privada dispone de 3 alcobas con ventiladores y aire acondicionado (la principal con vestier y baño privado),"&amp;" 3 baños en total con divisiones de vidrio y 2 patios interiores que inundan la propiedad de luz y frescura natural.")</f>
        <v>Esta imponente casa de un solo nivel en estrato 5 cuenta con un área total de 300 m² (261 m² construidos), caracterizada por elegantes pisos de porcelanato brillante y muros blancos con sofisticados techos escalonados. La distribución incluye 2 amplias salas, comedor independiente, cocina integral, 2 estudios ideales para oficina, zona de lavandería con lavadero grande y 2 parqueaderos. En su zona privada dispone de 3 alcobas con ventiladores y aire acondicionado (la principal con vestier y baño privado), 3 baños en total con divisiones de vidrio y 2 patios interiores que inundan la propiedad de luz y frescura natural.</v>
      </c>
      <c r="AD456" s="46" t="str">
        <f>IFERROR(__xludf.DUMMYFUNCTION("""COMPUTED_VALUE"""),"Ubicada en el exclusivo Condominio «Quintas de Oriente» en la zona oriente de Neiva, esta residencia ofrece el máximo estatus, privacidad y confort sin la molestia de las escaleras. Vivir aquí le garantiza seguridad privada 24/7 y acceso a zonas comunes c"&amp;"ompletas con piscinas, parque infantil, cancha múltiple, salón social y zona BBQ. Además, su ubicación estratégica a pocos minutos del Centro Comercial Santa Lucía Plaza, universidades y restaurantes asegura una alta valorización y comodidad absoluta, con"&amp;"virtiéndola en una oportunidad única para compradores exigentes")</f>
        <v>Ubicada en el exclusivo Condominio «Quintas de Oriente» en la zona oriente de Neiva, esta residencia ofrece el máximo estatus, privacidad y confort sin la molestia de las escaleras. Vivir aquí le garantiza seguridad privada 24/7 y acceso a zonas comunes completas con piscinas, parque infantil, cancha múltiple, salón social y zona BBQ. Además, su ubicación estratégica a pocos minutos del Centro Comercial Santa Lucía Plaza, universidades y restaurantes asegura una alta valorización y comodidad absoluta, convirtiéndola en una oportunidad única para compradores exigentes</v>
      </c>
      <c r="AE456" s="46"/>
      <c r="AF456" s="46" t="str">
        <f>IFERROR(__xludf.DUMMYFUNCTION("""COMPUTED_VALUE"""),"integral")</f>
        <v>integral</v>
      </c>
      <c r="AG456" s="46"/>
      <c r="AH456" s="46" t="str">
        <f>IFERROR(__xludf.DUMMYFUNCTION("""COMPUTED_VALUE"""),"Aliado")</f>
        <v>Aliado</v>
      </c>
      <c r="AI456" s="92" t="str">
        <f>IFERROR(__xludf.DUMMYFUNCTION("""COMPUTED_VALUE"""),"https://lh3.googleusercontent.com/pw/AP1GczOwe4ASsLRc9S3LCRRwoPj0Uske8H2KRFdPV8moiJdZYB4yRgBzzDsgiRKjem9aeloYxfmEB5SjFI1ST84HmuQUPKqKKqhHDdPQLLkfkPmEa4YbNSCQ=w1200|https://lh3.googleusercontent.com/pw/AP1GczO4lRApzU_-TbL9oNpuXue49dw11CGRyZdC14GdG8seavkKqw"&amp;"xfEicS9SPM5Vhv_17I6JNrCoeF05HW0UX97J-kTpCiGp1oScmwsnqtHVUHtVH9tMS_=w1200|https://lh3.googleusercontent.com/pw/AP1GczMJMGxQmtmITMtmL-wUMvOlgPQ0tVZmEWmvju8Q9mpeVHMcgCvIDv9l6cdEvJy2Cq9ZRh6zNTTI9nh-t_aaAMSmQ14WkapmRno-HlTpAMc0We43t5px=w1200|https://lh3.google"&amp;"usercontent.com/pw/AP1GczMiFP6x-aJl_6jSvdYAPXohsf_Ucz_A0iui4wxS_lD05dGL23GlQXbzT9Pi3k7nElcXomRgMSXx4hELpGunD5QniBsh8Ks9JRdv6dsxnTMVqSKjL6Q5=w1200|https://lh3.googleusercontent.com/pw/AP1GczM88aV8VaNmD9P0xXH-RcBjy2LVR9s_7NyYVtpxINcpe7Pgvj3siWYrfg4gPuca-S1C"&amp;"zLGsu1js8ZrmbQ3sJJIUwu5Zlk6UNHCcy0QyLRHPyl75Rgu0=w1200|https://lh3.googleusercontent.com/pw/AP1GczPK1lFtukScGrvgPRqU3VaIP3m7DIGSdjdZqxz7xDqQr2fnmRtJ3x93VVg7qvq39VnRlsmJWsYXldtFqDDra6xbKNTUtdT7cXM0MQQ448qJvHl1deoL=w1200|https://lh3.googleusercontent.com/pw"&amp;"/AP1GczPufUrSYNmjc83XXp_MDYychDJ6cX-wyL-lpCQlqvImhn4bCk9gNqOGWJPPxVf2d9eDqVn-Gls5bRvEaq4ef9pF_Ew-vAuCXSL-0XBNBclah5_tA5Tw=w1200|https://lh3.googleusercontent.com/pw/AP1GczNSeUK9ReZffY29ij4zcOSav5pE0dTplFdw3KiGPWwasOkS5b84EW5TY92dEGIuQHy0KdvUbAhMH0SHW7mHzX"&amp;"mpQXcp8VYjqNA-3_6GbmMjuf6ymV6p=w1200|https://lh3.googleusercontent.com/pw/AP1GczMrlRSUCtc0RKbhyDyDmtImIMvOmwmWkZPtPwp6-I0cAO5kUMUfrncGvx_3fE1cmbzQuvvpqIldJjAqHKIYVT9wM8xxXAc84TAwhFWOi_WaXjp_M8bh=w1200")</f>
        <v>https://lh3.googleusercontent.com/pw/AP1GczOwe4ASsLRc9S3LCRRwoPj0Uske8H2KRFdPV8moiJdZYB4yRgBzzDsgiRKjem9aeloYxfmEB5SjFI1ST84HmuQUPKqKKqhHDdPQLLkfkPmEa4YbNSCQ=w1200|https://lh3.googleusercontent.com/pw/AP1GczO4lRApzU_-TbL9oNpuXue49dw11CGRyZdC14GdG8seavkKqwxfEicS9SPM5Vhv_17I6JNrCoeF05HW0UX97J-kTpCiGp1oScmwsnqtHVUHtVH9tMS_=w1200|https://lh3.googleusercontent.com/pw/AP1GczMJMGxQmtmITMtmL-wUMvOlgPQ0tVZmEWmvju8Q9mpeVHMcgCvIDv9l6cdEvJy2Cq9ZRh6zNTTI9nh-t_aaAMSmQ14WkapmRno-HlTpAMc0We43t5px=w1200|https://lh3.googleusercontent.com/pw/AP1GczMiFP6x-aJl_6jSvdYAPXohsf_Ucz_A0iui4wxS_lD05dGL23GlQXbzT9Pi3k7nElcXomRgMSXx4hELpGunD5QniBsh8Ks9JRdv6dsxnTMVqSKjL6Q5=w1200|https://lh3.googleusercontent.com/pw/AP1GczM88aV8VaNmD9P0xXH-RcBjy2LVR9s_7NyYVtpxINcpe7Pgvj3siWYrfg4gPuca-S1CzLGsu1js8ZrmbQ3sJJIUwu5Zlk6UNHCcy0QyLRHPyl75Rgu0=w1200|https://lh3.googleusercontent.com/pw/AP1GczPK1lFtukScGrvgPRqU3VaIP3m7DIGSdjdZqxz7xDqQr2fnmRtJ3x93VVg7qvq39VnRlsmJWsYXldtFqDDra6xbKNTUtdT7cXM0MQQ448qJvHl1deoL=w1200|https://lh3.googleusercontent.com/pw/AP1GczPufUrSYNmjc83XXp_MDYychDJ6cX-wyL-lpCQlqvImhn4bCk9gNqOGWJPPxVf2d9eDqVn-Gls5bRvEaq4ef9pF_Ew-vAuCXSL-0XBNBclah5_tA5Tw=w1200|https://lh3.googleusercontent.com/pw/AP1GczNSeUK9ReZffY29ij4zcOSav5pE0dTplFdw3KiGPWwasOkS5b84EW5TY92dEGIuQHy0KdvUbAhMH0SHW7mHzXmpQXcp8VYjqNA-3_6GbmMjuf6ymV6p=w1200|https://lh3.googleusercontent.com/pw/AP1GczMrlRSUCtc0RKbhyDyDmtImIMvOmwmWkZPtPwp6-I0cAO5kUMUfrncGvx_3fE1cmbzQuvvpqIldJjAqHKIYVT9wM8xxXAc84TAwhFWOi_WaXjp_M8bh=w1200</v>
      </c>
      <c r="AJ456" s="46"/>
      <c r="AK456" s="46"/>
      <c r="AL456" s="46"/>
      <c r="AM456" s="46"/>
      <c r="AN456" s="46"/>
      <c r="AO456" s="46"/>
      <c r="AP456" s="46"/>
      <c r="AQ456" s="46"/>
      <c r="AR456" s="46"/>
      <c r="AS456" s="46"/>
      <c r="AT456" s="46"/>
      <c r="AU456" s="46"/>
      <c r="AV456" s="46"/>
      <c r="AW456" s="46"/>
      <c r="AX456" s="46"/>
      <c r="AY456" s="46"/>
      <c r="AZ456" s="46"/>
      <c r="BA456" s="46"/>
      <c r="BB456" s="46"/>
      <c r="BC456" s="46"/>
      <c r="BD456" s="46"/>
      <c r="BE456" s="46"/>
      <c r="BF456" s="46"/>
      <c r="BG456" s="46"/>
      <c r="BH456" s="46"/>
      <c r="BI456" s="46"/>
      <c r="BJ456" s="46"/>
      <c r="BK456" s="46"/>
      <c r="BL456" s="46"/>
      <c r="BM456" s="46"/>
      <c r="BN456" s="46"/>
      <c r="BO456" s="46"/>
      <c r="BP456" s="46"/>
      <c r="BQ456" s="46"/>
      <c r="BR456" s="46"/>
      <c r="BS456" s="46"/>
      <c r="BT456" s="46"/>
      <c r="BU456" s="46"/>
      <c r="BV456" s="46"/>
      <c r="BW456" s="46"/>
      <c r="BX456" s="46"/>
      <c r="BY456" s="46"/>
      <c r="BZ456" s="46"/>
      <c r="CA456" s="46"/>
      <c r="CB456" s="46"/>
      <c r="CC456" s="46"/>
    </row>
    <row r="457">
      <c r="A457" s="87" t="str">
        <f>IFERROR(__xludf.DUMMYFUNCTION("""COMPUTED_VALUE"""),"168")</f>
        <v>168</v>
      </c>
      <c r="B457" s="46" t="str">
        <f>IFERROR(__xludf.DUMMYFUNCTION("""COMPUTED_VALUE"""),"Casa en conjunto - Ipanema - Oriente")</f>
        <v>Casa en conjunto - Ipanema - Oriente</v>
      </c>
      <c r="C457" s="46" t="str">
        <f>IFERROR(__xludf.DUMMYFUNCTION("""COMPUTED_VALUE"""),"Casa en conjunto")</f>
        <v>Casa en conjunto</v>
      </c>
      <c r="D457" s="46" t="str">
        <f>IFERROR(__xludf.DUMMYFUNCTION("""COMPUTED_VALUE"""),"Ipanema")</f>
        <v>Ipanema</v>
      </c>
      <c r="E457" s="46"/>
      <c r="F457" s="90">
        <f>IFERROR(__xludf.DUMMYFUNCTION("""COMPUTED_VALUE"""),8.55E8)</f>
        <v>855000000</v>
      </c>
      <c r="G457" s="46" t="str">
        <f>IFERROR(__xludf.DUMMYFUNCTION("""COMPUTED_VALUE"""),"$500'000.000 a $1.000'000.000")</f>
        <v>$500'000.000 a $1.000'000.000</v>
      </c>
      <c r="H457" s="46"/>
      <c r="I457" s="46"/>
      <c r="J457" s="46" t="str">
        <f>IFERROR(__xludf.DUMMYFUNCTION("""COMPUTED_VALUE"""),"Oriente")</f>
        <v>Oriente</v>
      </c>
      <c r="K457" s="87" t="str">
        <f>IFERROR(__xludf.DUMMYFUNCTION("""COMPUTED_VALUE"""),"7")</f>
        <v>7</v>
      </c>
      <c r="L457" s="46">
        <f>IFERROR(__xludf.DUMMYFUNCTION("""COMPUTED_VALUE"""),4.0)</f>
        <v>4</v>
      </c>
      <c r="M457" s="46"/>
      <c r="N457" s="46">
        <f>IFERROR(__xludf.DUMMYFUNCTION("""COMPUTED_VALUE"""),3.0)</f>
        <v>3</v>
      </c>
      <c r="O457" s="46">
        <f>IFERROR(__xludf.DUMMYFUNCTION("""COMPUTED_VALUE"""),2.0)</f>
        <v>2</v>
      </c>
      <c r="P457" s="46">
        <f>IFERROR(__xludf.DUMMYFUNCTION("""COMPUTED_VALUE"""),1.0)</f>
        <v>1</v>
      </c>
      <c r="Q457" s="92">
        <f>IFERROR(__xludf.DUMMYFUNCTION("""COMPUTED_VALUE"""),0.0)</f>
        <v>0</v>
      </c>
      <c r="R457" s="92">
        <f>IFERROR(__xludf.DUMMYFUNCTION("""COMPUTED_VALUE"""),0.0)</f>
        <v>0</v>
      </c>
      <c r="S457" s="87" t="str">
        <f>IFERROR(__xludf.DUMMYFUNCTION("""COMPUTED_VALUE""")," ")</f>
        <v> </v>
      </c>
      <c r="T457" s="46" t="str">
        <f>IFERROR(__xludf.DUMMYFUNCTION("""COMPUTED_VALUE"""),"Neiva")</f>
        <v>Neiva</v>
      </c>
      <c r="U457" s="87" t="str">
        <f>IFERROR(__xludf.DUMMYFUNCTION("""COMPUTED_VALUE"""),"5")</f>
        <v>5</v>
      </c>
      <c r="V457" s="46" t="str">
        <f>IFERROR(__xludf.DUMMYFUNCTION("""COMPUTED_VALUE"""),"Medianera")</f>
        <v>Medianera</v>
      </c>
      <c r="W457" s="46"/>
      <c r="X457" s="46">
        <f>IFERROR(__xludf.DUMMYFUNCTION("""COMPUTED_VALUE"""),4.0)</f>
        <v>4</v>
      </c>
      <c r="Y457" s="46" t="str">
        <f>IFERROR(__xludf.DUMMYFUNCTION("""COMPUTED_VALUE"""),"Social")</f>
        <v>Social</v>
      </c>
      <c r="Z457" s="90"/>
      <c r="AA457" s="33" t="str">
        <f>IFERROR(__xludf.DUMMYFUNCTION("""COMPUTED_VALUE"""),"No aplica")</f>
        <v>No aplica</v>
      </c>
      <c r="AB457" s="96" t="str">
        <f>IFERROR(__xludf.DUMMYFUNCTION("""COMPUTED_VALUE"""),"https://photos.app.goo.gl/cYE8YcdXwVsfKhY56")</f>
        <v>https://photos.app.goo.gl/cYE8YcdXwVsfKhY56</v>
      </c>
      <c r="AC457" s="46" t="str">
        <f>IFERROR(__xludf.DUMMYFUNCTION("""COMPUTED_VALUE"""),"Esta exclusiva casa de 1 piso, ubicada en un condominio residencial de estrato 5 en el privilegiado sector de Ipanema, al oriente de Neiva, destaca por su diseño de lujo y acabados de alta calidad. La zona privada está perfectamente distribuida en 4 alcob"&amp;"as, incluyendo una espectacular habitación principal equipada con doble vestier y baño privado, además de 3 habitaciones auxiliares conectadas por un patio interno y un hall de alcobas. En total, la propiedad dispone de 3 baños completos, un medio baño so"&amp;"cial y una espectacular cocina integral de concepto abierto con isla central, mesones de granito, campana extractora y alacena independiente. El área social ofrece una sala de TV, un elegante comedor con muebles empotrados y balcón, complementándose con u"&amp;"n patio de ropas independiente, un zarzo o guardilla amplio de 12 $\text{m}^2$ para almacenamiento y espacio de parqueadero para 2 vehículos con área adicional al frente.")</f>
        <v>Esta exclusiva casa de 1 piso, ubicada en un condominio residencial de estrato 5 en el privilegiado sector de Ipanema, al oriente de Neiva, destaca por su diseño de lujo y acabados de alta calidad. La zona privada está perfectamente distribuida en 4 alcobas, incluyendo una espectacular habitación principal equipada con doble vestier y baño privado, además de 3 habitaciones auxiliares conectadas por un patio interno y un hall de alcobas. En total, la propiedad dispone de 3 baños completos, un medio baño social y una espectacular cocina integral de concepto abierto con isla central, mesones de granito, campana extractora y alacena independiente. El área social ofrece una sala de TV, un elegante comedor con muebles empotrados y balcón, complementándose con un patio de ropas independiente, un zarzo o guardilla amplio de 12 $\text{m}^2$ para almacenamiento y espacio de parqueadero para 2 vehículos con área adicional al frente.</v>
      </c>
      <c r="AD457" s="46" t="str">
        <f>IFERROR(__xludf.DUMMYFUNCTION("""COMPUTED_VALUE"""),"La oportunidad de invertir de inmediato en este inmueble radica en sus exclusivas comodidades de bienestar, entre las que sobresale un sauna privado completamente enchapado en madera fina dentro de la propiedad, un verdadero lujo diseñado para la relajaci"&amp;"ón total. Adicionalmente, el condominio ofrece un estilo de vida inigualable y máxima seguridad con portería, piscina, sede social, cancha múltiple, parqueadero de visitantes y una tienda interna para su comodidad. Su ubicación estratégica en el oriente d"&amp;"e la ciudad garantiza una alta valorización y tranquilidad, convirtiendo a esta casa lista para habitar en la opción ideal para familias exigentes que buscan confort, privacidad y un entorno de estatus superior.")</f>
        <v>La oportunidad de invertir de inmediato en este inmueble radica en sus exclusivas comodidades de bienestar, entre las que sobresale un sauna privado completamente enchapado en madera fina dentro de la propiedad, un verdadero lujo diseñado para la relajación total. Adicionalmente, el condominio ofrece un estilo de vida inigualable y máxima seguridad con portería, piscina, sede social, cancha múltiple, parqueadero de visitantes y una tienda interna para su comodidad. Su ubicación estratégica en el oriente de la ciudad garantiza una alta valorización y tranquilidad, convirtiendo a esta casa lista para habitar en la opción ideal para familias exigentes que buscan confort, privacidad y un entorno de estatus superior.</v>
      </c>
      <c r="AE457" s="46"/>
      <c r="AF457" s="46" t="str">
        <f>IFERROR(__xludf.DUMMYFUNCTION("""COMPUTED_VALUE"""),"integral")</f>
        <v>integral</v>
      </c>
      <c r="AG457" s="46"/>
      <c r="AH457" s="46" t="str">
        <f>IFERROR(__xludf.DUMMYFUNCTION("""COMPUTED_VALUE"""),"Aliado")</f>
        <v>Aliado</v>
      </c>
      <c r="AI457" s="92" t="str">
        <f>IFERROR(__xludf.DUMMYFUNCTION("""COMPUTED_VALUE"""),"https://lh3.googleusercontent.com/pw/AP1GczO032plPD0V6WVdD8Eljp7iACw9526WZQ2_505uHhmo6zSfWAYYQJzG5C_M1DRZu1ylOsU7WjDTD0VBXrcPiPmxfAnPTJupAB3X_fvj3uQVzZYstCPp=w1200|https://lh3.googleusercontent.com/pw/AP1GczNfvffmBgXZCfXjZuMeq5CyIlGONfzUsYrai8304yoDv051F4"&amp;"ugA_ZfuD7vQAZI_9lgMB2rEKkzVrHXx1WRbrxTRBhlGtJBVpKsZpqGbD_HytOOqshC=w1200|https://lh3.googleusercontent.com/pw/AP1GczPZ7K_k-wm12CAACEMSTxjJcmDw8d2HmyjDFH9E-DSaj2jmp-ErGT14JjZq8Mgp1JtBWCz9o0UlayozeR9llEd6jGmbyVf58r8bwcRXflbWyOOqkg1h=w1200|https://lh3.google"&amp;"usercontent.com/pw/AP1GczPj9iUri_aRatvdXSLsXgyA8NTM-7459r3RECxL_fiep_a3Jtc0OGBLIqjCYZdIMcfxrB7mF2l5vPTMuLeH4Yb03XhsROIslx75vJNycZJtK-MTIehu=w1200|https://lh3.googleusercontent.com/pw/AP1GczP-FwC84fFTdattdVQ6Xp5Zr8-lYxP9K9mdxPMAm96B5aCUxdCXfcOSUNA1AlBaSf2Q"&amp;"LnRCLkx7ir_eEiDFlv4zvU2jvLteiCajXhhbJWd3A5t3f1ze=w1200|https://lh3.googleusercontent.com/pw/AP1GczNt9zNNUzqtuaduk9e5ZXA0qThwWTShCeFWe_4hLc52C6OhyFHf4D7K-7iM9448L794GHcMgta9MvfUXO9qtG03MuOa8dvq40sG4j3dpsNGJU9PxqQq=w1200|https://lh3.googleusercontent.com/pw"&amp;"/AP1GczM-3ef5wdmMNwiMmXRUmM6THp3FW85TtYA2KDruggYQRuq_8jDw9jbZoVXr5d40_g7J6zIfRCR7piSaXasEJKn2zx7UG3dg4QMwjL-VHiZqgAG-o2B3=w1200|https://lh3.googleusercontent.com/pw/AP1GczPKzRfQWDWAU_g8K0ilO0Pm_icFFc6vdfieU4fowdjE2sPUlHmoEcqMq69nft7Qo2uSwv00W4bUc78aUUT9tJ"&amp;"FEpnZxPe-0EKofwU5GCi1KWcoO7qR7=w1200|https://lh3.googleusercontent.com/pw/AP1GczONmCqTybnogMu7HhqTjF1XREETnzHrlJM0nyYTDvjMq4bDF9jw2mONAXEUVlC1vkENYOFmT4iVDorJlkSO7wwfC-gls-5LQQTWzYaC0lZ2Ufts6j4K=w1200|https://lh3.googleusercontent.com/pw/AP1GczPRnarsyBeWa"&amp;"5ZlSBOgiCw5-7BxXXvAl77XbXklRs9PL8AFzozKaT0uwCskWSWbk9tJvDqtSsm1X5xg2C48N2phYyoYx4t-YJOeHbWoseNNn9VI2g1d=w1200")</f>
        <v>https://lh3.googleusercontent.com/pw/AP1GczO032plPD0V6WVdD8Eljp7iACw9526WZQ2_505uHhmo6zSfWAYYQJzG5C_M1DRZu1ylOsU7WjDTD0VBXrcPiPmxfAnPTJupAB3X_fvj3uQVzZYstCPp=w1200|https://lh3.googleusercontent.com/pw/AP1GczNfvffmBgXZCfXjZuMeq5CyIlGONfzUsYrai8304yoDv051F4ugA_ZfuD7vQAZI_9lgMB2rEKkzVrHXx1WRbrxTRBhlGtJBVpKsZpqGbD_HytOOqshC=w1200|https://lh3.googleusercontent.com/pw/AP1GczPZ7K_k-wm12CAACEMSTxjJcmDw8d2HmyjDFH9E-DSaj2jmp-ErGT14JjZq8Mgp1JtBWCz9o0UlayozeR9llEd6jGmbyVf58r8bwcRXflbWyOOqkg1h=w1200|https://lh3.googleusercontent.com/pw/AP1GczPj9iUri_aRatvdXSLsXgyA8NTM-7459r3RECxL_fiep_a3Jtc0OGBLIqjCYZdIMcfxrB7mF2l5vPTMuLeH4Yb03XhsROIslx75vJNycZJtK-MTIehu=w1200|https://lh3.googleusercontent.com/pw/AP1GczP-FwC84fFTdattdVQ6Xp5Zr8-lYxP9K9mdxPMAm96B5aCUxdCXfcOSUNA1AlBaSf2QLnRCLkx7ir_eEiDFlv4zvU2jvLteiCajXhhbJWd3A5t3f1ze=w1200|https://lh3.googleusercontent.com/pw/AP1GczNt9zNNUzqtuaduk9e5ZXA0qThwWTShCeFWe_4hLc52C6OhyFHf4D7K-7iM9448L794GHcMgta9MvfUXO9qtG03MuOa8dvq40sG4j3dpsNGJU9PxqQq=w1200|https://lh3.googleusercontent.com/pw/AP1GczM-3ef5wdmMNwiMmXRUmM6THp3FW85TtYA2KDruggYQRuq_8jDw9jbZoVXr5d40_g7J6zIfRCR7piSaXasEJKn2zx7UG3dg4QMwjL-VHiZqgAG-o2B3=w1200|https://lh3.googleusercontent.com/pw/AP1GczPKzRfQWDWAU_g8K0ilO0Pm_icFFc6vdfieU4fowdjE2sPUlHmoEcqMq69nft7Qo2uSwv00W4bUc78aUUT9tJFEpnZxPe-0EKofwU5GCi1KWcoO7qR7=w1200|https://lh3.googleusercontent.com/pw/AP1GczONmCqTybnogMu7HhqTjF1XREETnzHrlJM0nyYTDvjMq4bDF9jw2mONAXEUVlC1vkENYOFmT4iVDorJlkSO7wwfC-gls-5LQQTWzYaC0lZ2Ufts6j4K=w1200|https://lh3.googleusercontent.com/pw/AP1GczPRnarsyBeWa5ZlSBOgiCw5-7BxXXvAl77XbXklRs9PL8AFzozKaT0uwCskWSWbk9tJvDqtSsm1X5xg2C48N2phYyoYx4t-YJOeHbWoseNNn9VI2g1d=w1200</v>
      </c>
      <c r="AJ457" s="46"/>
      <c r="AK457" s="46"/>
      <c r="AL457" s="46"/>
      <c r="AM457" s="46"/>
      <c r="AN457" s="46"/>
      <c r="AO457" s="46"/>
      <c r="AP457" s="46"/>
      <c r="AQ457" s="46"/>
      <c r="AR457" s="46"/>
      <c r="AS457" s="46"/>
      <c r="AT457" s="46"/>
      <c r="AU457" s="46"/>
      <c r="AV457" s="46"/>
      <c r="AW457" s="46"/>
      <c r="AX457" s="46"/>
      <c r="AY457" s="46"/>
      <c r="AZ457" s="46"/>
      <c r="BA457" s="46"/>
      <c r="BB457" s="46"/>
      <c r="BC457" s="46"/>
      <c r="BD457" s="46"/>
      <c r="BE457" s="46"/>
      <c r="BF457" s="46"/>
      <c r="BG457" s="46"/>
      <c r="BH457" s="46"/>
      <c r="BI457" s="46"/>
      <c r="BJ457" s="46"/>
      <c r="BK457" s="46"/>
      <c r="BL457" s="46"/>
      <c r="BM457" s="46"/>
      <c r="BN457" s="46"/>
      <c r="BO457" s="46"/>
      <c r="BP457" s="46"/>
      <c r="BQ457" s="46"/>
      <c r="BR457" s="46"/>
      <c r="BS457" s="46"/>
      <c r="BT457" s="46"/>
      <c r="BU457" s="46"/>
      <c r="BV457" s="46"/>
      <c r="BW457" s="46"/>
      <c r="BX457" s="46"/>
      <c r="BY457" s="46"/>
      <c r="BZ457" s="46"/>
      <c r="CA457" s="46"/>
      <c r="CB457" s="46"/>
      <c r="CC457" s="46"/>
    </row>
    <row r="458">
      <c r="A458" s="87" t="str">
        <f>IFERROR(__xludf.DUMMYFUNCTION("""COMPUTED_VALUE"""),"325")</f>
        <v>325</v>
      </c>
      <c r="B458" s="46" t="str">
        <f>IFERROR(__xludf.DUMMYFUNCTION("""COMPUTED_VALUE"""),"Casa en conjunto Condominio Portal del Campo - Oriente")</f>
        <v>Casa en conjunto Condominio Portal del Campo - Oriente</v>
      </c>
      <c r="C458" s="46" t="str">
        <f>IFERROR(__xludf.DUMMYFUNCTION("""COMPUTED_VALUE"""),"Casa en conjunto")</f>
        <v>Casa en conjunto</v>
      </c>
      <c r="D458" s="46" t="str">
        <f>IFERROR(__xludf.DUMMYFUNCTION("""COMPUTED_VALUE"""),"Ipanema")</f>
        <v>Ipanema</v>
      </c>
      <c r="E458" s="46" t="str">
        <f>IFERROR(__xludf.DUMMYFUNCTION("""COMPUTED_VALUE"""),"Condominio Portal del Campo")</f>
        <v>Condominio Portal del Campo</v>
      </c>
      <c r="F458" s="90">
        <f>IFERROR(__xludf.DUMMYFUNCTION("""COMPUTED_VALUE"""),8.5E8)</f>
        <v>850000000</v>
      </c>
      <c r="G458" s="46" t="str">
        <f>IFERROR(__xludf.DUMMYFUNCTION("""COMPUTED_VALUE"""),"$500'000.000 a $1.000'000.000")</f>
        <v>$500'000.000 a $1.000'000.000</v>
      </c>
      <c r="H458" s="46"/>
      <c r="I458" s="46"/>
      <c r="J458" s="46" t="str">
        <f>IFERROR(__xludf.DUMMYFUNCTION("""COMPUTED_VALUE"""),"Oriente")</f>
        <v>Oriente</v>
      </c>
      <c r="K458" s="87" t="str">
        <f>IFERROR(__xludf.DUMMYFUNCTION("""COMPUTED_VALUE"""),"7")</f>
        <v>7</v>
      </c>
      <c r="L458" s="46">
        <f>IFERROR(__xludf.DUMMYFUNCTION("""COMPUTED_VALUE"""),4.0)</f>
        <v>4</v>
      </c>
      <c r="M458" s="46"/>
      <c r="N458" s="46">
        <f>IFERROR(__xludf.DUMMYFUNCTION("""COMPUTED_VALUE"""),3.0)</f>
        <v>3</v>
      </c>
      <c r="O458" s="46">
        <f>IFERROR(__xludf.DUMMYFUNCTION("""COMPUTED_VALUE"""),2.0)</f>
        <v>2</v>
      </c>
      <c r="P458" s="46">
        <f>IFERROR(__xludf.DUMMYFUNCTION("""COMPUTED_VALUE"""),1.0)</f>
        <v>1</v>
      </c>
      <c r="Q458" s="92">
        <f>IFERROR(__xludf.DUMMYFUNCTION("""COMPUTED_VALUE"""),243.0)</f>
        <v>243</v>
      </c>
      <c r="R458" s="92">
        <f>IFERROR(__xludf.DUMMYFUNCTION("""COMPUTED_VALUE"""),243.0)</f>
        <v>243</v>
      </c>
      <c r="S458" s="87" t="str">
        <f>IFERROR(__xludf.DUMMYFUNCTION("""COMPUTED_VALUE""")," ")</f>
        <v> </v>
      </c>
      <c r="T458" s="46" t="str">
        <f>IFERROR(__xludf.DUMMYFUNCTION("""COMPUTED_VALUE"""),"Neiva")</f>
        <v>Neiva</v>
      </c>
      <c r="U458" s="87" t="str">
        <f>IFERROR(__xludf.DUMMYFUNCTION("""COMPUTED_VALUE"""),"5")</f>
        <v>5</v>
      </c>
      <c r="V458" s="46" t="str">
        <f>IFERROR(__xludf.DUMMYFUNCTION("""COMPUTED_VALUE"""),"Medianera")</f>
        <v>Medianera</v>
      </c>
      <c r="W458" s="46"/>
      <c r="X458" s="46">
        <f>IFERROR(__xludf.DUMMYFUNCTION("""COMPUTED_VALUE"""),4.0)</f>
        <v>4</v>
      </c>
      <c r="Y458" s="46" t="str">
        <f>IFERROR(__xludf.DUMMYFUNCTION("""COMPUTED_VALUE"""),"Social")</f>
        <v>Social</v>
      </c>
      <c r="Z458" s="90"/>
      <c r="AA458" s="33" t="str">
        <f>IFERROR(__xludf.DUMMYFUNCTION("""COMPUTED_VALUE"""),"No aplica")</f>
        <v>No aplica</v>
      </c>
      <c r="AB458" s="96" t="str">
        <f>IFERROR(__xludf.DUMMYFUNCTION("""COMPUTED_VALUE"""),"https://photos.app.goo.gl/jHjiVbdun4VCW4KM8")</f>
        <v>https://photos.app.goo.gl/jHjiVbdun4VCW4KM8</v>
      </c>
      <c r="AC458" s="46" t="str">
        <f>IFERROR(__xludf.DUMMYFUNCTION("""COMPUTED_VALUE"""),"Esta imponente y fresca residencia de un solo nivel destaca por su sofisticada arquitectura y sus generosos 243 $M^2$ de área privada en estrato 5. La propiedad cuenta con pisos cerámicos de alta resistencia en tonos neutros y muros con acabados impecable"&amp;"s en blanco que maximizan la luminosidad de cada espacio. Su distribución perfectamente planificada incluye una amplia sala-comedor excelentemente ventilada, una moderna cocina funcional de concepto abierto con una elegante barra americana en tono oscuro,"&amp;" estudio ideal para el teletrabajo, cuarto de ropas independiente y un espectacular patio interior social con una hermosa fuente decorativa de piedra. En la zona de descanso se disponen 4 cómodas habitaciones y 3 baños en total, resaltando la alcoba princ"&amp;"ipal por poseer baño privado, doble clóset y acceso directo al jardín interno. Adicionalmente, cuenta con un parqueadero privado con capacidad para 2 vehículos.")</f>
        <v>Esta imponente y fresca residencia de un solo nivel destaca por su sofisticada arquitectura y sus generosos 243 $M^2$ de área privada en estrato 5. La propiedad cuenta con pisos cerámicos de alta resistencia en tonos neutros y muros con acabados impecables en blanco que maximizan la luminosidad de cada espacio. Su distribución perfectamente planificada incluye una amplia sala-comedor excelentemente ventilada, una moderna cocina funcional de concepto abierto con una elegante barra americana en tono oscuro, estudio ideal para el teletrabajo, cuarto de ropas independiente y un espectacular patio interior social con una hermosa fuente decorativa de piedra. En la zona de descanso se disponen 4 cómodas habitaciones y 3 baños en total, resaltando la alcoba principal por poseer baño privado, doble clóset y acceso directo al jardín interno. Adicionalmente, cuenta con un parqueadero privado con capacidad para 2 vehículos.</v>
      </c>
      <c r="AD458" s="46" t="str">
        <f>IFERROR(__xludf.DUMMYFUNCTION("""COMPUTED_VALUE"""),"Ubicada en el exclusivo e idílico Condominio Portal del Campo, en la cotizada Zona Oriente, esta propiedad ofrece un estilo de vida privilegiado que combina la máxima privacidad con el contacto directo con la naturaleza. Vivir en este entorno seguro y tra"&amp;"nquilo le da acceso inmediato a un club privado sin salir de casa, gracias a sus completas zonas comunes equipadas con piscina para adultos y niños, parque infantil, canchas deportivas, salón social, zona BBQ para reuniones familiares y parqueadero para v"&amp;"isitantes. La ventaja competitiva de ser una casa de un solo nivel garantiza una comodidad y accesibilidad inigualable a largo plazo para todos los miembros de la familia, convirtiéndola en una oportunidad única de inversión con alta valorización y el con"&amp;"fort que siempre ha soñado.")</f>
        <v>Ubicada en el exclusivo e idílico Condominio Portal del Campo, en la cotizada Zona Oriente, esta propiedad ofrece un estilo de vida privilegiado que combina la máxima privacidad con el contacto directo con la naturaleza. Vivir en este entorno seguro y tranquilo le da acceso inmediato a un club privado sin salir de casa, gracias a sus completas zonas comunes equipadas con piscina para adultos y niños, parque infantil, canchas deportivas, salón social, zona BBQ para reuniones familiares y parqueadero para visitantes. La ventaja competitiva de ser una casa de un solo nivel garantiza una comodidad y accesibilidad inigualable a largo plazo para todos los miembros de la familia, convirtiéndola en una oportunidad única de inversión con alta valorización y el confort que siempre ha soñado.</v>
      </c>
      <c r="AE458" s="46"/>
      <c r="AF458" s="46" t="str">
        <f>IFERROR(__xludf.DUMMYFUNCTION("""COMPUTED_VALUE"""),"integral")</f>
        <v>integral</v>
      </c>
      <c r="AG458" s="46"/>
      <c r="AH458" s="46" t="str">
        <f>IFERROR(__xludf.DUMMYFUNCTION("""COMPUTED_VALUE"""),"Aliado")</f>
        <v>Aliado</v>
      </c>
      <c r="AI458" s="92" t="str">
        <f>IFERROR(__xludf.DUMMYFUNCTION("""COMPUTED_VALUE"""),"https://lh3.googleusercontent.com/pw/AP1GczP3Eeog6zVE8KRrKR6eP8UTMIQdYqVtBNnxreH8I4nZCJFVYEA5zPGTHDMNbuHZAYEQBy0I35hHKGoUfjDyMlIUgRLOZDNgYVQJgZYxZZyt5mK-cKSp=w1200|https://lh3.googleusercontent.com/pw/AP1GczPkqpg5EwPG38u7g8wks2Qfy9ZRJxCBg9qAexozHThy4kSAYO"&amp;"7NzUit2nkChZi6q-7fvpovZj5R_pIWZ20qv_OAHGxaJ9odPcKRlh7SPm-SUv4OAp3y=w1200|https://lh3.googleusercontent.com/pw/AP1GczMu6qUPdteQIiCUAKmDLB39nntz1zvLAmQq9aXqAap8zi6MNktIbhaXf-cT5CIB316U4q3kQgQm_ObgKBhUySRPbMH_4aN9OY5VKoRKTr_nPy2etTGi=w1200|https://lh3.google"&amp;"usercontent.com/pw/AP1GczMW9MCRINkeY6em221jhzd9OAmzGlA8VNTwqW2JLOUH-L5KECiQoVpZ-qbvPtommLYtli48n0vRI-QWdfI9fH5D9rcAZQHWo_HNqkzpVqAlJYYtLYRa=w1200|https://lh3.googleusercontent.com/pw/AP1GczN69hC1dvZVJIyewshDnSjl28lRF9zekaz8KmJZ1xz92J_B2aYfCrqVK72-RReTz-Gc"&amp;"biaGehUoBKGAJVGt2lM86XpoVpSc0F_4dK8aMXCq1NrMof0K=w1200|https://lh3.googleusercontent.com/pw/AP1GczOGZYxSpcXrhxRKDwEin5VWcAliGs5PZ_jdIA80eGUwoQH8QSzom73BSCMcmQQ7wftxC0B0zrfl7H0K78qfQHoNbpB7NCe7W0shD3qoYGZy9R7E_MRx=w1200|https://lh3.googleusercontent.com/pw"&amp;"/AP1GczNEtZo9LYsXLXHnj0yfsbZvNXED3Tt0x1iYU4w9knNF9gHwj4-yhLLeLdvnqG_htTzBVC6TTkWdTK9kbBSG_19yS9oLi_Sbd-OR64mV1zBIVRB7QE2n=w1200|https://lh3.googleusercontent.com/pw/AP1GczObW29WCZortcKgTluFPO4livwVpLCIwaOL3mRCFrzMN0VyaGwnvmTwEn-4TTy9JVxEVa2K_3sFYpEG6CNOwI"&amp;"1tJmCHTJGPF9wrWYAoVkD2VXfg9XID=w1200|https://lh3.googleusercontent.com/pw/AP1GczO7bPkozGJTMJ07aByj5F6jqw5MdqqSx7blVc56z-7d4eX00-HGvTu-r2kmLgVoMZUYxnYFowWR5nnoAyYwMnrt_PY5YbVuWwGls5FJueRODbwQ2W34=w1200|https://lh3.googleusercontent.com/pw/AP1GczPTcSWAtCtTQ"&amp;"RC23cGvSSEZ5h6uJUzDK_si3CBxI2wpTRktSivoGKG_Wqg083341YUyQuJ1uyulXMdk9Nth225URvn8zVTUAJmK_kp13YhbGne9Z98X=w1200")</f>
        <v>https://lh3.googleusercontent.com/pw/AP1GczP3Eeog6zVE8KRrKR6eP8UTMIQdYqVtBNnxreH8I4nZCJFVYEA5zPGTHDMNbuHZAYEQBy0I35hHKGoUfjDyMlIUgRLOZDNgYVQJgZYxZZyt5mK-cKSp=w1200|https://lh3.googleusercontent.com/pw/AP1GczPkqpg5EwPG38u7g8wks2Qfy9ZRJxCBg9qAexozHThy4kSAYO7NzUit2nkChZi6q-7fvpovZj5R_pIWZ20qv_OAHGxaJ9odPcKRlh7SPm-SUv4OAp3y=w1200|https://lh3.googleusercontent.com/pw/AP1GczMu6qUPdteQIiCUAKmDLB39nntz1zvLAmQq9aXqAap8zi6MNktIbhaXf-cT5CIB316U4q3kQgQm_ObgKBhUySRPbMH_4aN9OY5VKoRKTr_nPy2etTGi=w1200|https://lh3.googleusercontent.com/pw/AP1GczMW9MCRINkeY6em221jhzd9OAmzGlA8VNTwqW2JLOUH-L5KECiQoVpZ-qbvPtommLYtli48n0vRI-QWdfI9fH5D9rcAZQHWo_HNqkzpVqAlJYYtLYRa=w1200|https://lh3.googleusercontent.com/pw/AP1GczN69hC1dvZVJIyewshDnSjl28lRF9zekaz8KmJZ1xz92J_B2aYfCrqVK72-RReTz-GcbiaGehUoBKGAJVGt2lM86XpoVpSc0F_4dK8aMXCq1NrMof0K=w1200|https://lh3.googleusercontent.com/pw/AP1GczOGZYxSpcXrhxRKDwEin5VWcAliGs5PZ_jdIA80eGUwoQH8QSzom73BSCMcmQQ7wftxC0B0zrfl7H0K78qfQHoNbpB7NCe7W0shD3qoYGZy9R7E_MRx=w1200|https://lh3.googleusercontent.com/pw/AP1GczNEtZo9LYsXLXHnj0yfsbZvNXED3Tt0x1iYU4w9knNF9gHwj4-yhLLeLdvnqG_htTzBVC6TTkWdTK9kbBSG_19yS9oLi_Sbd-OR64mV1zBIVRB7QE2n=w1200|https://lh3.googleusercontent.com/pw/AP1GczObW29WCZortcKgTluFPO4livwVpLCIwaOL3mRCFrzMN0VyaGwnvmTwEn-4TTy9JVxEVa2K_3sFYpEG6CNOwI1tJmCHTJGPF9wrWYAoVkD2VXfg9XID=w1200|https://lh3.googleusercontent.com/pw/AP1GczO7bPkozGJTMJ07aByj5F6jqw5MdqqSx7blVc56z-7d4eX00-HGvTu-r2kmLgVoMZUYxnYFowWR5nnoAyYwMnrt_PY5YbVuWwGls5FJueRODbwQ2W34=w1200|https://lh3.googleusercontent.com/pw/AP1GczPTcSWAtCtTQRC23cGvSSEZ5h6uJUzDK_si3CBxI2wpTRktSivoGKG_Wqg083341YUyQuJ1uyulXMdk9Nth225URvn8zVTUAJmK_kp13YhbGne9Z98X=w1200</v>
      </c>
      <c r="AJ458" s="46"/>
      <c r="AK458" s="46"/>
      <c r="AL458" s="46"/>
      <c r="AM458" s="46"/>
      <c r="AN458" s="46"/>
      <c r="AO458" s="46"/>
      <c r="AP458" s="46"/>
      <c r="AQ458" s="46"/>
      <c r="AR458" s="46"/>
      <c r="AS458" s="46"/>
      <c r="AT458" s="46"/>
      <c r="AU458" s="46"/>
      <c r="AV458" s="46"/>
      <c r="AW458" s="46"/>
      <c r="AX458" s="46"/>
      <c r="AY458" s="46"/>
      <c r="AZ458" s="46"/>
      <c r="BA458" s="46"/>
      <c r="BB458" s="46"/>
      <c r="BC458" s="46"/>
      <c r="BD458" s="46"/>
      <c r="BE458" s="46"/>
      <c r="BF458" s="46"/>
      <c r="BG458" s="46"/>
      <c r="BH458" s="46"/>
      <c r="BI458" s="46"/>
      <c r="BJ458" s="46"/>
      <c r="BK458" s="46"/>
      <c r="BL458" s="46"/>
      <c r="BM458" s="46"/>
      <c r="BN458" s="46"/>
      <c r="BO458" s="46"/>
      <c r="BP458" s="46"/>
      <c r="BQ458" s="46"/>
      <c r="BR458" s="46"/>
      <c r="BS458" s="46"/>
      <c r="BT458" s="46"/>
      <c r="BU458" s="46"/>
      <c r="BV458" s="46"/>
      <c r="BW458" s="46"/>
      <c r="BX458" s="46"/>
      <c r="BY458" s="46"/>
      <c r="BZ458" s="46"/>
      <c r="CA458" s="46"/>
      <c r="CB458" s="46"/>
      <c r="CC458" s="46"/>
    </row>
    <row r="459">
      <c r="A459" s="87" t="str">
        <f>IFERROR(__xludf.DUMMYFUNCTION("""COMPUTED_VALUE"""),"887")</f>
        <v>887</v>
      </c>
      <c r="B459" s="46" t="str">
        <f>IFERROR(__xludf.DUMMYFUNCTION("""COMPUTED_VALUE"""),"Apartamento en conjunto Condominio Reserva de la Sierra - Oriente")</f>
        <v>Apartamento en conjunto Condominio Reserva de la Sierra - Oriente</v>
      </c>
      <c r="C459" s="46" t="str">
        <f>IFERROR(__xludf.DUMMYFUNCTION("""COMPUTED_VALUE"""),"Apartamento en conjunto")</f>
        <v>Apartamento en conjunto</v>
      </c>
      <c r="D459" s="46"/>
      <c r="E459" s="90" t="str">
        <f>IFERROR(__xludf.DUMMYFUNCTION("""COMPUTED_VALUE"""),"Conjunto Condominio Reserva de la Sierra")</f>
        <v>Conjunto Condominio Reserva de la Sierra</v>
      </c>
      <c r="F459" s="90">
        <f>IFERROR(__xludf.DUMMYFUNCTION("""COMPUTED_VALUE"""),7.8E8)</f>
        <v>780000000</v>
      </c>
      <c r="G459" s="46" t="str">
        <f>IFERROR(__xludf.DUMMYFUNCTION("""COMPUTED_VALUE"""),"$500'000.000 a $1.000'000.000")</f>
        <v>$500'000.000 a $1.000'000.000</v>
      </c>
      <c r="H459" s="46"/>
      <c r="I459" s="46"/>
      <c r="J459" s="46" t="str">
        <f>IFERROR(__xludf.DUMMYFUNCTION("""COMPUTED_VALUE"""),"Oriente")</f>
        <v>Oriente</v>
      </c>
      <c r="K459" s="87"/>
      <c r="L459" s="46">
        <f>IFERROR(__xludf.DUMMYFUNCTION("""COMPUTED_VALUE"""),4.0)</f>
        <v>4</v>
      </c>
      <c r="M459" s="46"/>
      <c r="N459" s="46">
        <f>IFERROR(__xludf.DUMMYFUNCTION("""COMPUTED_VALUE"""),4.0)</f>
        <v>4</v>
      </c>
      <c r="O459" s="46">
        <f>IFERROR(__xludf.DUMMYFUNCTION("""COMPUTED_VALUE"""),2.0)</f>
        <v>2</v>
      </c>
      <c r="P459" s="46">
        <f>IFERROR(__xludf.DUMMYFUNCTION("""COMPUTED_VALUE"""),9.0)</f>
        <v>9</v>
      </c>
      <c r="Q459" s="92">
        <f>IFERROR(__xludf.DUMMYFUNCTION("""COMPUTED_VALUE"""),138.0)</f>
        <v>138</v>
      </c>
      <c r="R459" s="92">
        <f>IFERROR(__xludf.DUMMYFUNCTION("""COMPUTED_VALUE"""),138.0)</f>
        <v>138</v>
      </c>
      <c r="S459" s="87"/>
      <c r="T459" s="46" t="str">
        <f>IFERROR(__xludf.DUMMYFUNCTION("""COMPUTED_VALUE"""),"Neiva")</f>
        <v>Neiva</v>
      </c>
      <c r="U459" s="87" t="str">
        <f>IFERROR(__xludf.DUMMYFUNCTION("""COMPUTED_VALUE"""),"5")</f>
        <v>5</v>
      </c>
      <c r="V459" s="46" t="str">
        <f>IFERROR(__xludf.DUMMYFUNCTION("""COMPUTED_VALUE"""),"9o.")</f>
        <v>9o.</v>
      </c>
      <c r="W459" s="46"/>
      <c r="X459" s="46">
        <f>IFERROR(__xludf.DUMMYFUNCTION("""COMPUTED_VALUE"""),4.0)</f>
        <v>4</v>
      </c>
      <c r="Y459" s="46" t="str">
        <f>IFERROR(__xludf.DUMMYFUNCTION("""COMPUTED_VALUE"""),"Social")</f>
        <v>Social</v>
      </c>
      <c r="Z459" s="90"/>
      <c r="AA459" s="33" t="str">
        <f>IFERROR(__xludf.DUMMYFUNCTION("""COMPUTED_VALUE"""),"No aplica")</f>
        <v>No aplica</v>
      </c>
      <c r="AB459" s="96" t="str">
        <f>IFERROR(__xludf.DUMMYFUNCTION("""COMPUTED_VALUE"""),"https://photos.app.goo.gl/ajb14WJLuippEKqn7")</f>
        <v>https://photos.app.goo.gl/ajb14WJLuippEKqn7</v>
      </c>
      <c r="AC459" s="46" t="str">
        <f>IFERROR(__xludf.DUMMYFUNCTION("""COMPUTED_VALUE"""),"Este exclusivo apartamento destaca por su impecable distribución y acabados de primera calidad en un área construida de 138,7 m². El espacio social integra una sala comedor con acceso directo a una amplia terraza con vista panorámica hacia el sur-oriente "&amp;"de la ciudad, complementada por una cocina integral de concepto abierto, baño social, estudio o sala de TV y zona de lavandería. La zona privada está compuesta por una habitación principal con baño privado, dos habitaciones auxiliares con baño compartido "&amp;"y una práctica habitación de servicio con su propio baño; todo el inmueble cuenta con acabados modernos que incluyen puerta principal blindada con chapa digital, cuatro aires acondicionados, cortinas y mobiliario.")</f>
        <v>Este exclusivo apartamento destaca por su impecable distribución y acabados de primera calidad en un área construida de 138,7 m². El espacio social integra una sala comedor con acceso directo a una amplia terraza con vista panorámica hacia el sur-oriente de la ciudad, complementada por una cocina integral de concepto abierto, baño social, estudio o sala de TV y zona de lavandería. La zona privada está compuesta por una habitación principal con baño privado, dos habitaciones auxiliares con baño compartido y una práctica habitación de servicio con su propio baño; todo el inmueble cuenta con acabados modernos que incluyen puerta principal blindada con chapa digital, cuatro aires acondicionados, cortinas y mobiliario.</v>
      </c>
      <c r="AD459" s="46" t="str">
        <f>IFERROR(__xludf.DUMMYFUNCTION("""COMPUTED_VALUE"""),"Ubicado en el piso 9 del prestigioso Conjunto Residencial Reservas de la Sierra, este inmueble representa una oportunidad inigualable de inversión en la zona de mayor valorización del oriente de Neiva. Sus principales atractivos radican en la espectacular"&amp;" terraza con vista panorámica que conecta el área social con la habitación principal, ofreciendo un estilo de vida exclusivo, seguro y confortable. Además, la propiedad brinda total comodidad al incluir dos parqueaderos privados, depósito escriturado, est"&amp;"rato 5 y un leasing activo con Davivienda que facilita el proceso de adquisición, convirtiéndolo en la opción ideal para quienes exigen amplitud y distinción de forma inmediata.")</f>
        <v>Ubicado en el piso 9 del prestigioso Conjunto Residencial Reservas de la Sierra, este inmueble representa una oportunidad inigualable de inversión en la zona de mayor valorización del oriente de Neiva. Sus principales atractivos radican en la espectacular terraza con vista panorámica que conecta el área social con la habitación principal, ofreciendo un estilo de vida exclusivo, seguro y confortable. Además, la propiedad brinda total comodidad al incluir dos parqueaderos privados, depósito escriturado, estrato 5 y un leasing activo con Davivienda que facilita el proceso de adquisición, convirtiéndolo en la opción ideal para quienes exigen amplitud y distinción de forma inmediata.</v>
      </c>
      <c r="AE459" s="46"/>
      <c r="AF459" s="46" t="str">
        <f>IFERROR(__xludf.DUMMYFUNCTION("""COMPUTED_VALUE"""),"integral")</f>
        <v>integral</v>
      </c>
      <c r="AG459" s="46"/>
      <c r="AH459" s="46" t="str">
        <f>IFERROR(__xludf.DUMMYFUNCTION("""COMPUTED_VALUE"""),"Aliado")</f>
        <v>Aliado</v>
      </c>
      <c r="AI459" s="92" t="str">
        <f>IFERROR(__xludf.DUMMYFUNCTION("""COMPUTED_VALUE"""),"https://lh3.googleusercontent.com/pw/AP1GczOU1-0o-kFQIv-fy1GysjS8xCxc481wgSdjp6QkBFxK1kAFZmqKls3qhGnD8d8TqRoJv9qZSyNhgzzJNKtcWgYqYomwNJCXzs-ZPypGMhkBkZOcedCO=w1200|https://lh3.googleusercontent.com/pw/AP1GczM-AQnqr0ADHpf5s9aIfTqJ4e975TLrfzp_K4aO5112dHAuLY"&amp;"yhAoxyTZISl9OklmnsmfQ4pbpvA07KAML1NLXLaLbd5uj7NW2uyeqoD1lgpR1dO4jW=w1200|https://lh3.googleusercontent.com/pw/AP1GczMmfANyCHPZk3_kXTN4wDP5buFU2qviV-JeYquzPMPXkOpxGAY0Eq5C63xNUrq2vDYRxHKlpwCl-hGb5DKYX_ABqo0ix71E2gx6xYjZFWjrW5wP8Npq=w1200|https://lh3.google"&amp;"usercontent.com/pw/AP1GczP1Om2lPDtVNqfG31D-BvQsR1XQHys0Dwprcv4ECEq20cE3GCvRaev-q44aIFgPi1AKEQhP0-I98asA61EUypiM7v-zy-2VUnBeoHPLfjcESDSv-5CN=w1200|https://lh3.googleusercontent.com/pw/AP1GczOfQjqgYxewP__oPbfmuzveLkFGCfaMsa3mdokCfcq9o41SNEzNxWbumX2TIT6kIpOR"&amp;"eRmBRwdFCzbbRCDAj7LDDUCT81WVADEOBrGFZok7zOj8-iok=w1200|https://lh3.googleusercontent.com/pw/AP1GczP2_0Kz4hgiZDVYIQBqD3WzjyKW61Poxv4EpxWJFeMDtub8Lomfdsf4VmCY8Nb1yLtQ_RtjL481K8INlCHJzu-Q3SwxJkQg7_NjgQKzuc4jIU0S6_da=w1200|https://lh3.googleusercontent.com/pw"&amp;"/AP1GczMC_YH4y51JSamOIBZMc79diLZJsw-NglkwZoDSe_fPBSe_zACm7NBjj9M4_bEgkkM_q_nEnn8WZkLnjJqLbZftKXbjaXauUzOLRH-T_Sivbpw0rH3_=w1200|https://lh3.googleusercontent.com/pw/AP1GczMCcQJR5mg8m4_mwjcfPQlTuth6GskpmnoZnxjTHaFCGH1obsvYwFU1bUgvYUm6jLqugYy5iMw6Q6V3HUrO9Y"&amp;"-10Tvetu0i4_fgzA6w2xvjnVZgHo45=w1200|https://lh3.googleusercontent.com/pw/AP1GczPKRWYtXBq0w_jPOqHv9EPYNd8iVzAuJpgDPYlZTkn-Wk7zpF6PPNJWdlzp5xM9O7sDLIR-L3a05pS0dUTyHx3A-BNLP9yHtutweJg330qiIC3SI3qr=w1200|https://lh3.googleusercontent.com/pw/AP1GczPIP9xOx3Jir"&amp;"SAgOx4XuvO8taOiWkthZdj1yKFphXVtC4nivq32Bscb4hwehORXtFsR9tyWgA-qJ2hYK8nk-uVq1mUg0a816f9zfe-RcFpIniHBPuDd=w1200|https://lh3.googleusercontent.com/pw/AP1GczOOObhWG4iewY59FzRVqwYIy44aLBA3tpzVP9NJxqWTclEVlcO5APO66ExXreHlz6lbpC7tzuF2GGlg9RGD70T81ZSN4AXDz0TL7PRQ"&amp;"yvyjHhU_bp6o=w1200|https://lh3.googleusercontent.com/pw/AP1GczNeB_jxZI2KOYVAVRyROVzTF5kof4DDwHlmIMlFuVaV47BPEdkhZTrRzZl7o_AftaW0DSGg__ZQW0O8CWaHaTXCQc0gf6A2CZvsk0LORQ3xrPnQ3rn1=w1200|https://lh3.googleusercontent.com/pw/AP1GczPOpgvZP88EZaVQIlYwmRvU0NNKqyd"&amp;"JelCIj9UtizNV-vIaULsmNQfBTDmaVxcSKgzkwZKWShdvSS7vCaBwrFrQxRULCoETz14P6NeqKZufJenkBmNy=w1200|https://lh3.googleusercontent.com/pw/AP1GczO-3O8oaRpeRAmUGLrMSlergoGyZDRUZvQxZMPs4YQbn7WDo_zcGkSHFaGiiIYSX8p_DBfzzYHtjygc11KFjXocYOKa_bAnwBbcteaW4ybcgSKDojHm=w1200")</f>
        <v>https://lh3.googleusercontent.com/pw/AP1GczOU1-0o-kFQIv-fy1GysjS8xCxc481wgSdjp6QkBFxK1kAFZmqKls3qhGnD8d8TqRoJv9qZSyNhgzzJNKtcWgYqYomwNJCXzs-ZPypGMhkBkZOcedCO=w1200|https://lh3.googleusercontent.com/pw/AP1GczM-AQnqr0ADHpf5s9aIfTqJ4e975TLrfzp_K4aO5112dHAuLYyhAoxyTZISl9OklmnsmfQ4pbpvA07KAML1NLXLaLbd5uj7NW2uyeqoD1lgpR1dO4jW=w1200|https://lh3.googleusercontent.com/pw/AP1GczMmfANyCHPZk3_kXTN4wDP5buFU2qviV-JeYquzPMPXkOpxGAY0Eq5C63xNUrq2vDYRxHKlpwCl-hGb5DKYX_ABqo0ix71E2gx6xYjZFWjrW5wP8Npq=w1200|https://lh3.googleusercontent.com/pw/AP1GczP1Om2lPDtVNqfG31D-BvQsR1XQHys0Dwprcv4ECEq20cE3GCvRaev-q44aIFgPi1AKEQhP0-I98asA61EUypiM7v-zy-2VUnBeoHPLfjcESDSv-5CN=w1200|https://lh3.googleusercontent.com/pw/AP1GczOfQjqgYxewP__oPbfmuzveLkFGCfaMsa3mdokCfcq9o41SNEzNxWbumX2TIT6kIpOReRmBRwdFCzbbRCDAj7LDDUCT81WVADEOBrGFZok7zOj8-iok=w1200|https://lh3.googleusercontent.com/pw/AP1GczP2_0Kz4hgiZDVYIQBqD3WzjyKW61Poxv4EpxWJFeMDtub8Lomfdsf4VmCY8Nb1yLtQ_RtjL481K8INlCHJzu-Q3SwxJkQg7_NjgQKzuc4jIU0S6_da=w1200|https://lh3.googleusercontent.com/pw/AP1GczMC_YH4y51JSamOIBZMc79diLZJsw-NglkwZoDSe_fPBSe_zACm7NBjj9M4_bEgkkM_q_nEnn8WZkLnjJqLbZftKXbjaXauUzOLRH-T_Sivbpw0rH3_=w1200|https://lh3.googleusercontent.com/pw/AP1GczMCcQJR5mg8m4_mwjcfPQlTuth6GskpmnoZnxjTHaFCGH1obsvYwFU1bUgvYUm6jLqugYy5iMw6Q6V3HUrO9Y-10Tvetu0i4_fgzA6w2xvjnVZgHo45=w1200|https://lh3.googleusercontent.com/pw/AP1GczPKRWYtXBq0w_jPOqHv9EPYNd8iVzAuJpgDPYlZTkn-Wk7zpF6PPNJWdlzp5xM9O7sDLIR-L3a05pS0dUTyHx3A-BNLP9yHtutweJg330qiIC3SI3qr=w1200|https://lh3.googleusercontent.com/pw/AP1GczPIP9xOx3JirSAgOx4XuvO8taOiWkthZdj1yKFphXVtC4nivq32Bscb4hwehORXtFsR9tyWgA-qJ2hYK8nk-uVq1mUg0a816f9zfe-RcFpIniHBPuDd=w1200|https://lh3.googleusercontent.com/pw/AP1GczOOObhWG4iewY59FzRVqwYIy44aLBA3tpzVP9NJxqWTclEVlcO5APO66ExXreHlz6lbpC7tzuF2GGlg9RGD70T81ZSN4AXDz0TL7PRQyvyjHhU_bp6o=w1200|https://lh3.googleusercontent.com/pw/AP1GczNeB_jxZI2KOYVAVRyROVzTF5kof4DDwHlmIMlFuVaV47BPEdkhZTrRzZl7o_AftaW0DSGg__ZQW0O8CWaHaTXCQc0gf6A2CZvsk0LORQ3xrPnQ3rn1=w1200|https://lh3.googleusercontent.com/pw/AP1GczPOpgvZP88EZaVQIlYwmRvU0NNKqydJelCIj9UtizNV-vIaULsmNQfBTDmaVxcSKgzkwZKWShdvSS7vCaBwrFrQxRULCoETz14P6NeqKZufJenkBmNy=w1200|https://lh3.googleusercontent.com/pw/AP1GczO-3O8oaRpeRAmUGLrMSlergoGyZDRUZvQxZMPs4YQbn7WDo_zcGkSHFaGiiIYSX8p_DBfzzYHtjygc11KFjXocYOKa_bAnwBbcteaW4ybcgSKDojHm=w1200</v>
      </c>
      <c r="AJ459" s="46"/>
      <c r="AK459" s="46"/>
      <c r="AL459" s="46"/>
      <c r="AM459" s="46"/>
      <c r="AN459" s="46"/>
      <c r="AO459" s="46"/>
      <c r="AP459" s="46"/>
      <c r="AQ459" s="46"/>
      <c r="AR459" s="46"/>
      <c r="AS459" s="46"/>
      <c r="AT459" s="46"/>
      <c r="AU459" s="46"/>
      <c r="AV459" s="46"/>
      <c r="AW459" s="46"/>
      <c r="AX459" s="46"/>
      <c r="AY459" s="46"/>
      <c r="AZ459" s="46"/>
      <c r="BA459" s="46"/>
      <c r="BB459" s="46"/>
      <c r="BC459" s="46"/>
      <c r="BD459" s="46"/>
      <c r="BE459" s="46"/>
      <c r="BF459" s="46"/>
      <c r="BG459" s="46"/>
      <c r="BH459" s="46"/>
      <c r="BI459" s="46"/>
      <c r="BJ459" s="46"/>
      <c r="BK459" s="46"/>
      <c r="BL459" s="46"/>
      <c r="BM459" s="46"/>
      <c r="BN459" s="46"/>
      <c r="BO459" s="46"/>
      <c r="BP459" s="46"/>
      <c r="BQ459" s="46"/>
      <c r="BR459" s="46"/>
      <c r="BS459" s="46"/>
      <c r="BT459" s="46"/>
      <c r="BU459" s="46"/>
      <c r="BV459" s="46"/>
      <c r="BW459" s="46"/>
      <c r="BX459" s="46"/>
      <c r="BY459" s="46"/>
      <c r="BZ459" s="46"/>
      <c r="CA459" s="46"/>
      <c r="CB459" s="46"/>
      <c r="CC459" s="46"/>
    </row>
    <row r="460">
      <c r="A460" s="87" t="str">
        <f>IFERROR(__xludf.DUMMYFUNCTION("""COMPUTED_VALUE"""),"499")</f>
        <v>499</v>
      </c>
      <c r="B460" s="46" t="str">
        <f>IFERROR(__xludf.DUMMYFUNCTION("""COMPUTED_VALUE"""),"Casa comercial en barrio Centro")</f>
        <v>Casa comercial en barrio Centro</v>
      </c>
      <c r="C460" s="46" t="str">
        <f>IFERROR(__xludf.DUMMYFUNCTION("""COMPUTED_VALUE"""),"Casa")</f>
        <v>Casa</v>
      </c>
      <c r="D460" s="46" t="str">
        <f>IFERROR(__xludf.DUMMYFUNCTION("""COMPUTED_VALUE"""),"Centro")</f>
        <v>Centro</v>
      </c>
      <c r="E460" s="46"/>
      <c r="F460" s="90">
        <f>IFERROR(__xludf.DUMMYFUNCTION("""COMPUTED_VALUE"""),7.5E8)</f>
        <v>750000000</v>
      </c>
      <c r="G460" s="46" t="str">
        <f>IFERROR(__xludf.DUMMYFUNCTION("""COMPUTED_VALUE"""),"$500'000.000 a $1.000'000.000")</f>
        <v>$500'000.000 a $1.000'000.000</v>
      </c>
      <c r="H460" s="46"/>
      <c r="I460" s="46"/>
      <c r="J460" s="46" t="str">
        <f>IFERROR(__xludf.DUMMYFUNCTION("""COMPUTED_VALUE"""),"Centro")</f>
        <v>Centro</v>
      </c>
      <c r="K460" s="87" t="str">
        <f>IFERROR(__xludf.DUMMYFUNCTION("""COMPUTED_VALUE"""),"4")</f>
        <v>4</v>
      </c>
      <c r="L460" s="46">
        <f>IFERROR(__xludf.DUMMYFUNCTION("""COMPUTED_VALUE"""),5.0)</f>
        <v>5</v>
      </c>
      <c r="M460" s="46"/>
      <c r="N460" s="46">
        <f>IFERROR(__xludf.DUMMYFUNCTION("""COMPUTED_VALUE"""),4.0)</f>
        <v>4</v>
      </c>
      <c r="O460" s="46">
        <f>IFERROR(__xludf.DUMMYFUNCTION("""COMPUTED_VALUE"""),1.0)</f>
        <v>1</v>
      </c>
      <c r="P460" s="46">
        <f>IFERROR(__xludf.DUMMYFUNCTION("""COMPUTED_VALUE"""),2.0)</f>
        <v>2</v>
      </c>
      <c r="Q460" s="92">
        <f>IFERROR(__xludf.DUMMYFUNCTION("""COMPUTED_VALUE"""),210.0)</f>
        <v>210</v>
      </c>
      <c r="R460" s="92">
        <f>IFERROR(__xludf.DUMMYFUNCTION("""COMPUTED_VALUE"""),150.0)</f>
        <v>150</v>
      </c>
      <c r="S460" s="87" t="str">
        <f>IFERROR(__xludf.DUMMYFUNCTION("""COMPUTED_VALUE""")," ")</f>
        <v> </v>
      </c>
      <c r="T460" s="46" t="str">
        <f>IFERROR(__xludf.DUMMYFUNCTION("""COMPUTED_VALUE"""),"Neiva")</f>
        <v>Neiva</v>
      </c>
      <c r="U460" s="87" t="str">
        <f>IFERROR(__xludf.DUMMYFUNCTION("""COMPUTED_VALUE"""),"4")</f>
        <v>4</v>
      </c>
      <c r="V460" s="46" t="str">
        <f>IFERROR(__xludf.DUMMYFUNCTION("""COMPUTED_VALUE"""),"Medianera")</f>
        <v>Medianera</v>
      </c>
      <c r="W460" s="46"/>
      <c r="X460" s="46">
        <f>IFERROR(__xludf.DUMMYFUNCTION("""COMPUTED_VALUE"""),4.0)</f>
        <v>4</v>
      </c>
      <c r="Y460" s="46" t="str">
        <f>IFERROR(__xludf.DUMMYFUNCTION("""COMPUTED_VALUE"""),"No tiene")</f>
        <v>No tiene</v>
      </c>
      <c r="Z460" s="90" t="str">
        <f>IFERROR(__xludf.DUMMYFUNCTION("""COMPUTED_VALUE"""),"No aplica")</f>
        <v>No aplica</v>
      </c>
      <c r="AA460" s="33" t="str">
        <f>IFERROR(__xludf.DUMMYFUNCTION("""COMPUTED_VALUE"""),"No aplica")</f>
        <v>No aplica</v>
      </c>
      <c r="AB460" s="96" t="str">
        <f>IFERROR(__xludf.DUMMYFUNCTION("""COMPUTED_VALUE"""),"https://photos.app.goo.gl/Fxg3PPhvJxxX3MiN6")</f>
        <v>https://photos.app.goo.gl/Fxg3PPhvJxxX3MiN6</v>
      </c>
      <c r="AC460" s="46" t="str">
        <f>IFERROR(__xludf.DUMMYFUNCTION("""COMPUTED_VALUE"""),"La distribución estratégica de esta casa comercial en el centro de Neiva optimiza cada espacio con 2 amplias salas-comedor, 1 garaje, 4 baños, cocina semi-integral y 2 patios internos que garantizan excelente iluminación natural y ventilación. Sus 5 alcob"&amp;"as, perfectamente adaptables como oficinas corporativas o consultorios privados, sumadas a su ubicación de estrato 4 en una zona de altísimo flujo peatonal, la convierten en la solución definitiva e inmediata para empresas de vigilancia, cooperativas, ins"&amp;"titutos, oficinas administrativas, EPS o IPS que buscan posicionamiento y visibilidad de marca.")</f>
        <v>La distribución estratégica de esta casa comercial en el centro de Neiva optimiza cada espacio con 2 amplias salas-comedor, 1 garaje, 4 baños, cocina semi-integral y 2 patios internos que garantizan excelente iluminación natural y ventilación. Sus 5 alcobas, perfectamente adaptables como oficinas corporativas o consultorios privados, sumadas a su ubicación de estrato 4 en una zona de altísimo flujo peatonal, la convierten en la solución definitiva e inmediata para empresas de vigilancia, cooperativas, institutos, oficinas administrativas, EPS o IPS que buscan posicionamiento y visibilidad de marca.</v>
      </c>
      <c r="AD460" s="46" t="str">
        <f>IFERROR(__xludf.DUMMYFUNCTION("""COMPUTED_VALUE"""),"Esta imponente propiedad de $150\text{ m}^2$ gestionada por ICDE destaca por sus acabados de estilo clásico y alta durabilidad, ideales para el uso empresarial intenso. En sus áreas principales, cocinas y pasillos resalta un robusto piso en retal de mármo"&amp;"l pulido con vetas multicolores que aporta frescura térmica y facilidad de limpieza, mientras que el salón principal exhibe un elegante cielo raso en tablilla de madera natural barnizada con ventiladores de techo y lámparas clásicas integradas. La conexió"&amp;"n al segundo nivel se realiza mediante una sólida escalera de granito pulido con perfiles antideslizantes dorados y baranda blanca, complementando una infraestructura de muros estucados en blanco y una cocina funcional con mesón de acero inoxidable, gabin"&amp;"etes modulares y paredes totalmente enchapadas en cerámica.")</f>
        <v>Esta imponente propiedad de $150\text{ m}^2$ gestionada por ICDE destaca por sus acabados de estilo clásico y alta durabilidad, ideales para el uso empresarial intenso. En sus áreas principales, cocinas y pasillos resalta un robusto piso en retal de mármol pulido con vetas multicolores que aporta frescura térmica y facilidad de limpieza, mientras que el salón principal exhibe un elegante cielo raso en tablilla de madera natural barnizada con ventiladores de techo y lámparas clásicas integradas. La conexión al segundo nivel se realiza mediante una sólida escalera de granito pulido con perfiles antideslizantes dorados y baranda blanca, complementando una infraestructura de muros estucados en blanco y una cocina funcional con mesón de acero inoxidable, gabinetes modulares y paredes totalmente enchapadas en cerámica.</v>
      </c>
      <c r="AE460" s="46"/>
      <c r="AF460" s="46" t="str">
        <f>IFERROR(__xludf.DUMMYFUNCTION("""COMPUTED_VALUE"""),"integral")</f>
        <v>integral</v>
      </c>
      <c r="AG460" s="46"/>
      <c r="AH460" s="46" t="str">
        <f>IFERROR(__xludf.DUMMYFUNCTION("""COMPUTED_VALUE"""),"Aliado")</f>
        <v>Aliado</v>
      </c>
      <c r="AI460" s="92" t="str">
        <f>IFERROR(__xludf.DUMMYFUNCTION("""COMPUTED_VALUE"""),"https://lh3.googleusercontent.com/pw/AP1GczPnBHDL2YBgE5tdO8ZmXj3p9yN0hE6Rj_hqsDBPzKVZYuW9WDZR5bfxKupE0jl8XArFWw8CBXTs3oqzApvSN-b5whZaryqVWvHb4zjT2y2OuUwPt-Pb=w1200|https://lh3.googleusercontent.com/pw/AP1GczOlGiiz4zrl84ZpsdO-JUriZbV8trU69Jv7LXewrX0ZsnnoUk"&amp;"UkVeV7QL-nYfMIY-Uqnv-QPTQxNCVVxcoTyFNXJQLPN6XNJX7USRTWXBnZmTdgc1Po=w1200|https://lh3.googleusercontent.com/pw/AP1GczMb99Dr-_pEpzsqwThtjrA2huvXgrGu2ejGKM1hhjlGkvJYIH4XcEhKCI5iABJYD3JuhBjYM2fIDupXFZ81rtA-KQjtTI51AT3CUOjeafo1vBKAdKSt=w1200|https://lh3.google"&amp;"usercontent.com/pw/AP1GczO20yZ9jKHz_jOKUSWPtTYkCcM8Zvy1HV_LQGYXtilnFYVLarcLzDfxe6iK__hk6XYkKosUtFe3DGJsiEI3C6er_RYl2uCDtx21JcgcaxQBPPJeheYN=w1200|https://lh3.googleusercontent.com/pw/AP1GczOxc1p9XieSzf-sK4qqIHi-BulOOLx7TWGMv7IT3yHDnwKo4cmiO-8k6XJ6FgnFzOnC"&amp;"Ztr3cJHegSaHIkKdqS6-o5zGYmQRaSXbn2u3bSuWvsW5Yjsz=w1200|https://lh3.googleusercontent.com/pw/AP1GczN4gIwq01pXMBcca-DyjxWOEj_S6G8VNBBzlDaYkz-8ZJC-7XgmiELjj4tQ912VY4YqPMarXVz5JgIgseaaMUYDyAPvlOVh4HooEEdws8BK0JczwOy7=w1200|https://lh3.googleusercontent.com/pw"&amp;"/AP1GczONRZ5T229lMe9ZLHbURIqcoRkV27AtmwS1-CFLx-u4lM900wh2KC5N7tE4JqnQQFj6Tl7m3xiHK_ek0bztw5aKZv-dQUvUgRFqPdFodh0kwKC4cdD4=w1200|https://lh3.googleusercontent.com/pw/AP1GczPideL1e2sAkt-cRhcFsV_yaQNxuEV5SRd3Qsa74aKlVNkUnMKDB8bMnLV7c4CguQiPe0iIiQq8GQStic6zR6"&amp;"Pm4JPC18JgU6zoq9QhOAtrtFGzUQuA=w1200|https://lh3.googleusercontent.com/pw/AP1GczOWQxin5fGC6y27DsMz8UB4UOspEnsjETmxIhK8uSgHusc4e0qOJA6faKfdmy0YuUbDrNDdLDHFgHNsPt9ZDZbGwn4R6j2PcP102LUusVbkttNyT0PH=w1200")</f>
        <v>https://lh3.googleusercontent.com/pw/AP1GczPnBHDL2YBgE5tdO8ZmXj3p9yN0hE6Rj_hqsDBPzKVZYuW9WDZR5bfxKupE0jl8XArFWw8CBXTs3oqzApvSN-b5whZaryqVWvHb4zjT2y2OuUwPt-Pb=w1200|https://lh3.googleusercontent.com/pw/AP1GczOlGiiz4zrl84ZpsdO-JUriZbV8trU69Jv7LXewrX0ZsnnoUkUkVeV7QL-nYfMIY-Uqnv-QPTQxNCVVxcoTyFNXJQLPN6XNJX7USRTWXBnZmTdgc1Po=w1200|https://lh3.googleusercontent.com/pw/AP1GczMb99Dr-_pEpzsqwThtjrA2huvXgrGu2ejGKM1hhjlGkvJYIH4XcEhKCI5iABJYD3JuhBjYM2fIDupXFZ81rtA-KQjtTI51AT3CUOjeafo1vBKAdKSt=w1200|https://lh3.googleusercontent.com/pw/AP1GczO20yZ9jKHz_jOKUSWPtTYkCcM8Zvy1HV_LQGYXtilnFYVLarcLzDfxe6iK__hk6XYkKosUtFe3DGJsiEI3C6er_RYl2uCDtx21JcgcaxQBPPJeheYN=w1200|https://lh3.googleusercontent.com/pw/AP1GczOxc1p9XieSzf-sK4qqIHi-BulOOLx7TWGMv7IT3yHDnwKo4cmiO-8k6XJ6FgnFzOnCZtr3cJHegSaHIkKdqS6-o5zGYmQRaSXbn2u3bSuWvsW5Yjsz=w1200|https://lh3.googleusercontent.com/pw/AP1GczN4gIwq01pXMBcca-DyjxWOEj_S6G8VNBBzlDaYkz-8ZJC-7XgmiELjj4tQ912VY4YqPMarXVz5JgIgseaaMUYDyAPvlOVh4HooEEdws8BK0JczwOy7=w1200|https://lh3.googleusercontent.com/pw/AP1GczONRZ5T229lMe9ZLHbURIqcoRkV27AtmwS1-CFLx-u4lM900wh2KC5N7tE4JqnQQFj6Tl7m3xiHK_ek0bztw5aKZv-dQUvUgRFqPdFodh0kwKC4cdD4=w1200|https://lh3.googleusercontent.com/pw/AP1GczPideL1e2sAkt-cRhcFsV_yaQNxuEV5SRd3Qsa74aKlVNkUnMKDB8bMnLV7c4CguQiPe0iIiQq8GQStic6zR6Pm4JPC18JgU6zoq9QhOAtrtFGzUQuA=w1200|https://lh3.googleusercontent.com/pw/AP1GczOWQxin5fGC6y27DsMz8UB4UOspEnsjETmxIhK8uSgHusc4e0qOJA6faKfdmy0YuUbDrNDdLDHFgHNsPt9ZDZbGwn4R6j2PcP102LUusVbkttNyT0PH=w1200</v>
      </c>
      <c r="AJ460" s="46"/>
      <c r="AK460" s="46"/>
      <c r="AL460" s="46"/>
      <c r="AM460" s="46"/>
      <c r="AN460" s="46"/>
      <c r="AO460" s="46"/>
      <c r="AP460" s="46"/>
      <c r="AQ460" s="46"/>
      <c r="AR460" s="46"/>
      <c r="AS460" s="46"/>
      <c r="AT460" s="46"/>
      <c r="AU460" s="46"/>
      <c r="AV460" s="46"/>
      <c r="AW460" s="46"/>
      <c r="AX460" s="46"/>
      <c r="AY460" s="46"/>
      <c r="AZ460" s="46"/>
      <c r="BA460" s="46"/>
      <c r="BB460" s="46"/>
      <c r="BC460" s="46"/>
      <c r="BD460" s="46"/>
      <c r="BE460" s="46"/>
      <c r="BF460" s="46"/>
      <c r="BG460" s="46"/>
      <c r="BH460" s="46"/>
      <c r="BI460" s="46"/>
      <c r="BJ460" s="46"/>
      <c r="BK460" s="46"/>
      <c r="BL460" s="46"/>
      <c r="BM460" s="46"/>
      <c r="BN460" s="46"/>
      <c r="BO460" s="46"/>
      <c r="BP460" s="46"/>
      <c r="BQ460" s="46"/>
      <c r="BR460" s="46"/>
      <c r="BS460" s="46"/>
      <c r="BT460" s="46"/>
      <c r="BU460" s="46"/>
      <c r="BV460" s="46"/>
      <c r="BW460" s="46"/>
      <c r="BX460" s="46"/>
      <c r="BY460" s="46"/>
      <c r="BZ460" s="46"/>
      <c r="CA460" s="46"/>
      <c r="CB460" s="46"/>
      <c r="CC460" s="46"/>
    </row>
    <row r="461">
      <c r="A461" s="87" t="str">
        <f>IFERROR(__xludf.DUMMYFUNCTION("""COMPUTED_VALUE"""),"683")</f>
        <v>683</v>
      </c>
      <c r="B461" s="46" t="str">
        <f>IFERROR(__xludf.DUMMYFUNCTION("""COMPUTED_VALUE"""),"Casa en conjunto Caminos de Oriente - Ipanema")</f>
        <v>Casa en conjunto Caminos de Oriente - Ipanema</v>
      </c>
      <c r="C461" s="46" t="str">
        <f>IFERROR(__xludf.DUMMYFUNCTION("""COMPUTED_VALUE"""),"Casa en conjunto")</f>
        <v>Casa en conjunto</v>
      </c>
      <c r="D461" s="46" t="str">
        <f>IFERROR(__xludf.DUMMYFUNCTION("""COMPUTED_VALUE"""),"Ipanema")</f>
        <v>Ipanema</v>
      </c>
      <c r="E461" s="46" t="str">
        <f>IFERROR(__xludf.DUMMYFUNCTION("""COMPUTED_VALUE"""),"Conjunto Caminos de Oriente")</f>
        <v>Conjunto Caminos de Oriente</v>
      </c>
      <c r="F461" s="90">
        <f>IFERROR(__xludf.DUMMYFUNCTION("""COMPUTED_VALUE"""),6.6E8)</f>
        <v>660000000</v>
      </c>
      <c r="G461" s="46" t="str">
        <f>IFERROR(__xludf.DUMMYFUNCTION("""COMPUTED_VALUE"""),"$500'000.000 a $1.000'000.000")</f>
        <v>$500'000.000 a $1.000'000.000</v>
      </c>
      <c r="H461" s="46"/>
      <c r="I461" s="46"/>
      <c r="J461" s="46" t="str">
        <f>IFERROR(__xludf.DUMMYFUNCTION("""COMPUTED_VALUE"""),"Oriente")</f>
        <v>Oriente</v>
      </c>
      <c r="K461" s="87" t="str">
        <f>IFERROR(__xludf.DUMMYFUNCTION("""COMPUTED_VALUE"""),"7")</f>
        <v>7</v>
      </c>
      <c r="L461" s="46">
        <f>IFERROR(__xludf.DUMMYFUNCTION("""COMPUTED_VALUE"""),3.0)</f>
        <v>3</v>
      </c>
      <c r="M461" s="46"/>
      <c r="N461" s="46">
        <f>IFERROR(__xludf.DUMMYFUNCTION("""COMPUTED_VALUE"""),2.0)</f>
        <v>2</v>
      </c>
      <c r="O461" s="46">
        <f>IFERROR(__xludf.DUMMYFUNCTION("""COMPUTED_VALUE"""),2.0)</f>
        <v>2</v>
      </c>
      <c r="P461" s="46">
        <f>IFERROR(__xludf.DUMMYFUNCTION("""COMPUTED_VALUE"""),1.0)</f>
        <v>1</v>
      </c>
      <c r="Q461" s="92">
        <f>IFERROR(__xludf.DUMMYFUNCTION("""COMPUTED_VALUE"""),155.0)</f>
        <v>155</v>
      </c>
      <c r="R461" s="92">
        <f>IFERROR(__xludf.DUMMYFUNCTION("""COMPUTED_VALUE"""),155.0)</f>
        <v>155</v>
      </c>
      <c r="S461" s="87" t="str">
        <f>IFERROR(__xludf.DUMMYFUNCTION("""COMPUTED_VALUE""")," ")</f>
        <v> </v>
      </c>
      <c r="T461" s="46" t="str">
        <f>IFERROR(__xludf.DUMMYFUNCTION("""COMPUTED_VALUE"""),"Neiva")</f>
        <v>Neiva</v>
      </c>
      <c r="U461" s="87" t="str">
        <f>IFERROR(__xludf.DUMMYFUNCTION("""COMPUTED_VALUE"""),"4")</f>
        <v>4</v>
      </c>
      <c r="V461" s="46" t="str">
        <f>IFERROR(__xludf.DUMMYFUNCTION("""COMPUTED_VALUE"""),"Esquinera")</f>
        <v>Esquinera</v>
      </c>
      <c r="W461" s="46"/>
      <c r="X461" s="46">
        <f>IFERROR(__xludf.DUMMYFUNCTION("""COMPUTED_VALUE"""),3.0)</f>
        <v>3</v>
      </c>
      <c r="Y461" s="46" t="str">
        <f>IFERROR(__xludf.DUMMYFUNCTION("""COMPUTED_VALUE"""),"Social")</f>
        <v>Social</v>
      </c>
      <c r="Z461" s="90">
        <f>IFERROR(__xludf.DUMMYFUNCTION("""COMPUTED_VALUE"""),429000.0)</f>
        <v>429000</v>
      </c>
      <c r="AA461" s="33" t="str">
        <f>IFERROR(__xludf.DUMMYFUNCTION("""COMPUTED_VALUE"""),"No aplica")</f>
        <v>No aplica</v>
      </c>
      <c r="AB461" s="96" t="str">
        <f>IFERROR(__xludf.DUMMYFUNCTION("""COMPUTED_VALUE"""),"https://photos.app.goo.gl/DztRgWe6qoxF4waQA")</f>
        <v>https://photos.app.goo.gl/DztRgWe6qoxF4waQA</v>
      </c>
      <c r="AC461" s="46" t="str">
        <f>IFERROR(__xludf.DUMMYFUNCTION("""COMPUTED_VALUE"""),"Esta exclusiva casa esquinera de un solo nivel ofrece una distribución fluida en sus amplios 155 $M^2$ de área privada en estrato 4. Destaca por sus espectaculares pisos en retal de mármol que aportan frescura natural, muros impecables en tonos claros y u"&amp;"na cocina integral clásica equipada con gabinetes superiores e inferiores, estufa y horno empotrados. El área social incluye una amplia sala-comedor excelentemente iluminada, un estudio independiente y acceso directo a un encantador jardín interior con te"&amp;"rraza ideal para el descanso familiar. La zona de descanso cuenta con 3 cómodas alcobas, resaltando la principal con su propio baño privado, además de un baño auxiliar y un cómodo parqueadero para 2 vehículos.")</f>
        <v>Esta exclusiva casa esquinera de un solo nivel ofrece una distribución fluida en sus amplios 155 $M^2$ de área privada en estrato 4. Destaca por sus espectaculares pisos en retal de mármol que aportan frescura natural, muros impecables en tonos claros y una cocina integral clásica equipada con gabinetes superiores e inferiores, estufa y horno empotrados. El área social incluye una amplia sala-comedor excelentemente iluminada, un estudio independiente y acceso directo a un encantador jardín interior con terraza ideal para el descanso familiar. La zona de descanso cuenta con 3 cómodas alcobas, resaltando la principal con su propio baño privado, además de un baño auxiliar y un cómodo parqueadero para 2 vehículos.</v>
      </c>
      <c r="AD461" s="46" t="str">
        <f>IFERROR(__xludf.DUMMYFUNCTION("""COMPUTED_VALUE"""),"Ubicada en una zona de alta valorización y absoluta tranquilidad en el Oriente de Neiva, esta propiedad esquinera destaca por estar completamente libre de todo gravamen, garantizando una transacción rápida y segura. Al encontrarse dentro de un exclusivo c"&amp;"onjunto cerrado con vigilancia privada 24/7, brinda a su familia un entorno protegido y un estilo de vida superior con acceso directo a piscinas, salón social, zona BBQ, cancha múltiple y senderos para caminatas. La gran ventaja competitiva de ser una viv"&amp;"ienda de un solo nivel, sumada a su excelente iluminación natural y privacidad, la convierten en la oportunidad perfecta de inversión inmediata en el mercado local")</f>
        <v>Ubicada en una zona de alta valorización y absoluta tranquilidad en el Oriente de Neiva, esta propiedad esquinera destaca por estar completamente libre de todo gravamen, garantizando una transacción rápida y segura. Al encontrarse dentro de un exclusivo conjunto cerrado con vigilancia privada 24/7, brinda a su familia un entorno protegido y un estilo de vida superior con acceso directo a piscinas, salón social, zona BBQ, cancha múltiple y senderos para caminatas. La gran ventaja competitiva de ser una vivienda de un solo nivel, sumada a su excelente iluminación natural y privacidad, la convierten en la oportunidad perfecta de inversión inmediata en el mercado local</v>
      </c>
      <c r="AE461" s="46"/>
      <c r="AF461" s="46" t="str">
        <f>IFERROR(__xludf.DUMMYFUNCTION("""COMPUTED_VALUE"""),"integral")</f>
        <v>integral</v>
      </c>
      <c r="AG461" s="46"/>
      <c r="AH461" s="46" t="str">
        <f>IFERROR(__xludf.DUMMYFUNCTION("""COMPUTED_VALUE"""),"Aliado")</f>
        <v>Aliado</v>
      </c>
      <c r="AI461" s="92" t="str">
        <f>IFERROR(__xludf.DUMMYFUNCTION("""COMPUTED_VALUE"""),"https://lh3.googleusercontent.com/pw/AP1GczMcMSbkOhofOpztsrmlLW90V44fwWI-RPY7CB0lFIeRc8Adp_CaiNH9iOfDlXC0hsWiSzGK3Tin4BwBZoSPOkRw72fVEDlyMGmpSD01n8cF2bBaWepR=w1200|https://lh3.googleusercontent.com/pw/AP1GczPZYYNwpVGudj4_Waco92Udq3EzO5D6T1Z6mb8AcEM4j2DTBz"&amp;"Eh_Tc0q1iKTleMLKHMh5ivlDQzVjOwnICg2NrgHy1BJuaQ5u5sYTeuYshHmKbCC5R9=w1200|https://lh3.googleusercontent.com/pw/AP1GczNddqIVbxY8t6CT_1G9XjLI8hfhWqQKLSnx08DeMDiilnXaK5wG2yv_0ndqlYtYRPBErCVKDLgOjAMH4elJD4kVDZNvagc6_-k8dhj4B6Ibj1B5iC9D=w1200|https://lh3.google"&amp;"usercontent.com/pw/AP1GczPkDElXKkx4ZirG2p0hSHwzMh17NBLb4egk6-u41BCFiUC1t9QjELg9rpJr6ltHjvc85pJxEjsco0rw_1iXOYDf7Ml5wp3kil3dnfjP_oLcMRh4TfD8=w1200|https://lh3.googleusercontent.com/pw/AP1GczNQnhYd7gS6nfWgNUUtJMnHXUccRf0GRq1DWBRZBgBZX68qSvJojThNt2yokN8ATd8o"&amp;"wsJTwH5GdB6s-h-PR_ZXlgTZ4OTyUOkyJ8CKESb1vgvqrgLd=w1200|https://lh3.googleusercontent.com/pw/AP1GczP1FN9aROh9eCZxXaQAN3bds7DHRZch1OQhPx2TfWVxp8mORrIUfsCEL-IjjNJ-BSWqxz02n8ZyjxsmI5vAz15fcoD6aA5KFAqr1dw0oBeWlE8KIuxy=w1200|https://lh3.googleusercontent.com/pw"&amp;"/AP1GczNSsV6uOiWw8WkRSnWrK_x-yWnTB33pziHSMhDiScDF2MYazkSOEsAiEly86JcbSi4CiHbOG4FaIEWKzVOfEUXh5Z7iMHRNNmg9fka0E8ZvwssZhCM9=w1200|https://lh3.googleusercontent.com/pw/AP1GczMY-OcrTN1s8j_9YlDTC7MMvkLqExgL_F0m_DXf7vdJ9GJ6b62anPsGfnTg964-fXRvL6DAavY9eWW04cfBxc"&amp;"UFJY5Cz6PpD-WqTVhWEfU1pNDls1KZ=w1200|https://lh3.googleusercontent.com/pw/AP1GczPH78kxph094UUdBIuPhN4R_OvVll6lXADm9vts0TK3Esy7VT6YTZLWMmMlkseZ5HrIuncJD06AtaYa6Q-sai6OEkmAtM19fDPtyX10bYM-FQPyQ1XV=w1200")</f>
        <v>https://lh3.googleusercontent.com/pw/AP1GczMcMSbkOhofOpztsrmlLW90V44fwWI-RPY7CB0lFIeRc8Adp_CaiNH9iOfDlXC0hsWiSzGK3Tin4BwBZoSPOkRw72fVEDlyMGmpSD01n8cF2bBaWepR=w1200|https://lh3.googleusercontent.com/pw/AP1GczPZYYNwpVGudj4_Waco92Udq3EzO5D6T1Z6mb8AcEM4j2DTBzEh_Tc0q1iKTleMLKHMh5ivlDQzVjOwnICg2NrgHy1BJuaQ5u5sYTeuYshHmKbCC5R9=w1200|https://lh3.googleusercontent.com/pw/AP1GczNddqIVbxY8t6CT_1G9XjLI8hfhWqQKLSnx08DeMDiilnXaK5wG2yv_0ndqlYtYRPBErCVKDLgOjAMH4elJD4kVDZNvagc6_-k8dhj4B6Ibj1B5iC9D=w1200|https://lh3.googleusercontent.com/pw/AP1GczPkDElXKkx4ZirG2p0hSHwzMh17NBLb4egk6-u41BCFiUC1t9QjELg9rpJr6ltHjvc85pJxEjsco0rw_1iXOYDf7Ml5wp3kil3dnfjP_oLcMRh4TfD8=w1200|https://lh3.googleusercontent.com/pw/AP1GczNQnhYd7gS6nfWgNUUtJMnHXUccRf0GRq1DWBRZBgBZX68qSvJojThNt2yokN8ATd8owsJTwH5GdB6s-h-PR_ZXlgTZ4OTyUOkyJ8CKESb1vgvqrgLd=w1200|https://lh3.googleusercontent.com/pw/AP1GczP1FN9aROh9eCZxXaQAN3bds7DHRZch1OQhPx2TfWVxp8mORrIUfsCEL-IjjNJ-BSWqxz02n8ZyjxsmI5vAz15fcoD6aA5KFAqr1dw0oBeWlE8KIuxy=w1200|https://lh3.googleusercontent.com/pw/AP1GczNSsV6uOiWw8WkRSnWrK_x-yWnTB33pziHSMhDiScDF2MYazkSOEsAiEly86JcbSi4CiHbOG4FaIEWKzVOfEUXh5Z7iMHRNNmg9fka0E8ZvwssZhCM9=w1200|https://lh3.googleusercontent.com/pw/AP1GczMY-OcrTN1s8j_9YlDTC7MMvkLqExgL_F0m_DXf7vdJ9GJ6b62anPsGfnTg964-fXRvL6DAavY9eWW04cfBxcUFJY5Cz6PpD-WqTVhWEfU1pNDls1KZ=w1200|https://lh3.googleusercontent.com/pw/AP1GczPH78kxph094UUdBIuPhN4R_OvVll6lXADm9vts0TK3Esy7VT6YTZLWMmMlkseZ5HrIuncJD06AtaYa6Q-sai6OEkmAtM19fDPtyX10bYM-FQPyQ1XV=w1200</v>
      </c>
      <c r="AJ461" s="46"/>
      <c r="AK461" s="46"/>
      <c r="AL461" s="46"/>
      <c r="AM461" s="46"/>
      <c r="AN461" s="46"/>
      <c r="AO461" s="46"/>
      <c r="AP461" s="46"/>
      <c r="AQ461" s="46"/>
      <c r="AR461" s="46"/>
      <c r="AS461" s="46"/>
      <c r="AT461" s="46"/>
      <c r="AU461" s="46"/>
      <c r="AV461" s="46"/>
      <c r="AW461" s="46"/>
      <c r="AX461" s="46"/>
      <c r="AY461" s="46"/>
      <c r="AZ461" s="46"/>
      <c r="BA461" s="46"/>
      <c r="BB461" s="46"/>
      <c r="BC461" s="46"/>
      <c r="BD461" s="46"/>
      <c r="BE461" s="46"/>
      <c r="BF461" s="46"/>
      <c r="BG461" s="46"/>
      <c r="BH461" s="46"/>
      <c r="BI461" s="46"/>
      <c r="BJ461" s="46"/>
      <c r="BK461" s="46"/>
      <c r="BL461" s="46"/>
      <c r="BM461" s="46"/>
      <c r="BN461" s="46"/>
      <c r="BO461" s="46"/>
      <c r="BP461" s="46"/>
      <c r="BQ461" s="46"/>
      <c r="BR461" s="46"/>
      <c r="BS461" s="46"/>
      <c r="BT461" s="46"/>
      <c r="BU461" s="46"/>
      <c r="BV461" s="46"/>
      <c r="BW461" s="46"/>
      <c r="BX461" s="46"/>
      <c r="BY461" s="46"/>
      <c r="BZ461" s="46"/>
      <c r="CA461" s="46"/>
      <c r="CB461" s="46"/>
      <c r="CC461" s="46"/>
    </row>
    <row r="462">
      <c r="A462" s="87" t="str">
        <f>IFERROR(__xludf.DUMMYFUNCTION("""COMPUTED_VALUE"""),"902")</f>
        <v>902</v>
      </c>
      <c r="B462" s="46" t="str">
        <f>IFERROR(__xludf.DUMMYFUNCTION("""COMPUTED_VALUE"""),"Apartamento en edificio Antares - La Toma")</f>
        <v>Apartamento en edificio Antares - La Toma</v>
      </c>
      <c r="C462" s="46" t="str">
        <f>IFERROR(__xludf.DUMMYFUNCTION("""COMPUTED_VALUE"""),"Apartamento")</f>
        <v>Apartamento</v>
      </c>
      <c r="D462" s="46"/>
      <c r="E462" s="90"/>
      <c r="F462" s="90">
        <f>IFERROR(__xludf.DUMMYFUNCTION("""COMPUTED_VALUE"""),6.0E8)</f>
        <v>600000000</v>
      </c>
      <c r="G462" s="46" t="str">
        <f>IFERROR(__xludf.DUMMYFUNCTION("""COMPUTED_VALUE"""),"$500'000.000 a $1.000'000.000")</f>
        <v>$500'000.000 a $1.000'000.000</v>
      </c>
      <c r="H462" s="46"/>
      <c r="I462" s="46"/>
      <c r="J462" s="46" t="str">
        <f>IFERROR(__xludf.DUMMYFUNCTION("""COMPUTED_VALUE"""),"Centro")</f>
        <v>Centro</v>
      </c>
      <c r="K462" s="87" t="str">
        <f>IFERROR(__xludf.DUMMYFUNCTION("""COMPUTED_VALUE"""),"3")</f>
        <v>3</v>
      </c>
      <c r="L462" s="46">
        <f>IFERROR(__xludf.DUMMYFUNCTION("""COMPUTED_VALUE"""),4.0)</f>
        <v>4</v>
      </c>
      <c r="M462" s="46"/>
      <c r="N462" s="46">
        <f>IFERROR(__xludf.DUMMYFUNCTION("""COMPUTED_VALUE"""),2.0)</f>
        <v>2</v>
      </c>
      <c r="O462" s="46">
        <f>IFERROR(__xludf.DUMMYFUNCTION("""COMPUTED_VALUE"""),2.0)</f>
        <v>2</v>
      </c>
      <c r="P462" s="46">
        <f>IFERROR(__xludf.DUMMYFUNCTION("""COMPUTED_VALUE"""),12.0)</f>
        <v>12</v>
      </c>
      <c r="Q462" s="92">
        <f>IFERROR(__xludf.DUMMYFUNCTION("""COMPUTED_VALUE"""),162.0)</f>
        <v>162</v>
      </c>
      <c r="R462" s="92">
        <f>IFERROR(__xludf.DUMMYFUNCTION("""COMPUTED_VALUE"""),162.0)</f>
        <v>162</v>
      </c>
      <c r="S462" s="87"/>
      <c r="T462" s="46" t="str">
        <f>IFERROR(__xludf.DUMMYFUNCTION("""COMPUTED_VALUE"""),"Neiva")</f>
        <v>Neiva</v>
      </c>
      <c r="U462" s="87" t="str">
        <f>IFERROR(__xludf.DUMMYFUNCTION("""COMPUTED_VALUE"""),"5")</f>
        <v>5</v>
      </c>
      <c r="V462" s="46" t="str">
        <f>IFERROR(__xludf.DUMMYFUNCTION("""COMPUTED_VALUE"""),"12o.")</f>
        <v>12o.</v>
      </c>
      <c r="W462" s="46"/>
      <c r="X462" s="46">
        <f>IFERROR(__xludf.DUMMYFUNCTION("""COMPUTED_VALUE"""),4.0)</f>
        <v>4</v>
      </c>
      <c r="Y462" s="46" t="str">
        <f>IFERROR(__xludf.DUMMYFUNCTION("""COMPUTED_VALUE"""),"Social")</f>
        <v>Social</v>
      </c>
      <c r="Z462" s="90">
        <f>IFERROR(__xludf.DUMMYFUNCTION("""COMPUTED_VALUE"""),600000.0)</f>
        <v>600000</v>
      </c>
      <c r="AA462" s="33" t="str">
        <f>IFERROR(__xludf.DUMMYFUNCTION("""COMPUTED_VALUE"""),"No aplica")</f>
        <v>No aplica</v>
      </c>
      <c r="AB462" s="96" t="str">
        <f>IFERROR(__xludf.DUMMYFUNCTION("""COMPUTED_VALUE"""),"https://photos.app.goo.gl/36B2s4ujcJqaYJ5a8")</f>
        <v>https://photos.app.goo.gl/36B2s4ujcJqaYJ5a8</v>
      </c>
      <c r="AC462" s="46" t="str">
        <f>IFERROR(__xludf.DUMMYFUNCTION("""COMPUTED_VALUE"""),"Este exclusivo apartamento de $162 m2, ubicado en el piso 12, destaca por una distribución inteligente y espacios diseñados para el máximo confort familiar. El área social ofrece una sala-comedor sumamente amplia, inundada de iluminación natural y conecta"&amp;"da a una hermosa vista panorámica hacia el centro de la ciudad, ideal para disfrutar de los mejores atardeceres. La propiedad cuenta con una cocina integral totalmente equipada, un estudio ideal para oficina o sala de televisión, cuarto de servicio y tres"&amp;" amplias habitaciones con clóset. El gran atractivo de la zona privada es su majestuosa habitación principal, un verdadero santuario de descanso que incluye vestier y un baño privado equipado con tina")</f>
        <v>Este exclusivo apartamento de $162 m2, ubicado en el piso 12, destaca por una distribución inteligente y espacios diseñados para el máximo confort familiar. El área social ofrece una sala-comedor sumamente amplia, inundada de iluminación natural y conectada a una hermosa vista panorámica hacia el centro de la ciudad, ideal para disfrutar de los mejores atardeceres. La propiedad cuenta con una cocina integral totalmente equipada, un estudio ideal para oficina o sala de televisión, cuarto de servicio y tres amplias habitaciones con clóset. El gran atractivo de la zona privada es su majestuosa habitación principal, un verdadero santuario de descanso que incluye vestier y un baño privado equipado con tina</v>
      </c>
      <c r="AD462" s="46" t="str">
        <f>IFERROR(__xludf.DUMMYFUNCTION("""COMPUTED_VALUE"""),"Ubicado estratégicamente sobre la cotizada Avenida La Toma en estrato 5, este inmueble representa una oportunidad definitiva de compra gracias a su alta valorización y conectividad total con clínicas, colegios y el comercio de Neiva. Vivir aquí le garanti"&amp;"za el estatus y la comodidad de tener todo a la mano, eliminando por completo los largos desplazamientos diarios. Además, el apartamento resuelve de forma premium las necesidades de espacio, privacidad y seguridad al incluir un depósito propio y dos parqu"&amp;"eaderos privados, convirtiéndose en la opción perfecta para familias exigentes que buscan mudarse de inmediato a un entorno seguro, exclusivo y con una ubicación insuperable.")</f>
        <v>Ubicado estratégicamente sobre la cotizada Avenida La Toma en estrato 5, este inmueble representa una oportunidad definitiva de compra gracias a su alta valorización y conectividad total con clínicas, colegios y el comercio de Neiva. Vivir aquí le garantiza el estatus y la comodidad de tener todo a la mano, eliminando por completo los largos desplazamientos diarios. Además, el apartamento resuelve de forma premium las necesidades de espacio, privacidad y seguridad al incluir un depósito propio y dos parqueaderos privados, convirtiéndose en la opción perfecta para familias exigentes que buscan mudarse de inmediato a un entorno seguro, exclusivo y con una ubicación insuperable.</v>
      </c>
      <c r="AE462" s="46"/>
      <c r="AF462" s="46" t="str">
        <f>IFERROR(__xludf.DUMMYFUNCTION("""COMPUTED_VALUE"""),"integral")</f>
        <v>integral</v>
      </c>
      <c r="AG462" s="46"/>
      <c r="AH462" s="46" t="str">
        <f>IFERROR(__xludf.DUMMYFUNCTION("""COMPUTED_VALUE"""),"Aliado")</f>
        <v>Aliado</v>
      </c>
      <c r="AI462" s="92" t="str">
        <f>IFERROR(__xludf.DUMMYFUNCTION("""COMPUTED_VALUE"""),"https://lh3.googleusercontent.com/pw/AP1GczPOzs3VUJOs8RG2JywHcRyixTQMt_NN4PWEQpFGL-6aBB-qjou1DRK5fXplw31puNUDYBTVSimE5qOEmnz6HeTcT6ojo4qyGvQE-nnvED1MvtyhWZE1=w1200|https://lh3.googleusercontent.com/pw/AP1GczMelTJ-17ronFImOeKtendGMk0rLFOSBAa32a544QsF-2wDYI"&amp;"bvTFAd1haiDJYP5KnrFyJICdmoOCX2zq8Lx1kr55XgBFD1cKZWYnu9RB0E8ZqrdmGs=w1200|https://lh3.googleusercontent.com/pw/AP1GczOc8bmObP_aR07yRMwCf54UuyVhV7GK7N9ntIA2yFyRY6YW73dusOmVo2quWKsvVV-Ux_82O3Rk9q1oWAz-VdLcl_OPX70rZrEgavR4bzfTn4RlhESK=w1200|https://lh3.google"&amp;"usercontent.com/pw/AP1GczNkZ_XzyQVxLhEoJpCQ5OCLCKui7K92yTORCgGutaiyzlNL04jMD6FeipiSxBeD1KreQH7eZ7q5SS9XFSq85J3zFM3qn_OOofOoJy8QC4UIn1XrJlr8=w1200|https://lh3.googleusercontent.com/pw/AP1GczPoYhbXiYkqmVSOVSEgReF1sy-_ovLwKKc8PKSB8anyyXH39WH7mCYgsfzei4YG2yH7"&amp;"AJCHv2djHWPGM71Ad2iMRH_hHBEevYt_oREJNpVEYSVrd1_U=w1200|https://lh3.googleusercontent.com/pw/AP1GczM6gZiyw6BJNoopwl_4L4XMnNL3MHdSmq2IBPlUPsiQ81HERXlsdv_eqDBsTCMgo1DgOjb1cpzpXP_JNtk71MjattTSsiHccNJ0G26UtcuO5gDCVxVd=w1200|https://lh3.googleusercontent.com/pw"&amp;"/AP1GczMwh34WhtRbAL-w59GW_CTr5QY9LVcpmGEdpqQgf9_DtTvKCbP7uLP9tqyE6Qvn4c6Wy5bqL3oa9xkTnvSAlqtyZVPBA0hBTS7TszBxuIAYyL8n3zi8=w1200|https://lh3.googleusercontent.com/pw/AP1GczMDcYRGtC_1F9rG97vTZ_Be3ZQUXxkWm3MI4DUUUn4TrcslNlgZq_JOcEdQ4hvttEQQcHs_S17NASWc3ZJi3t"&amp;"320a8hWVfRLD2ELookQttNT4_EDSjV=w1200")</f>
        <v>https://lh3.googleusercontent.com/pw/AP1GczPOzs3VUJOs8RG2JywHcRyixTQMt_NN4PWEQpFGL-6aBB-qjou1DRK5fXplw31puNUDYBTVSimE5qOEmnz6HeTcT6ojo4qyGvQE-nnvED1MvtyhWZE1=w1200|https://lh3.googleusercontent.com/pw/AP1GczMelTJ-17ronFImOeKtendGMk0rLFOSBAa32a544QsF-2wDYIbvTFAd1haiDJYP5KnrFyJICdmoOCX2zq8Lx1kr55XgBFD1cKZWYnu9RB0E8ZqrdmGs=w1200|https://lh3.googleusercontent.com/pw/AP1GczOc8bmObP_aR07yRMwCf54UuyVhV7GK7N9ntIA2yFyRY6YW73dusOmVo2quWKsvVV-Ux_82O3Rk9q1oWAz-VdLcl_OPX70rZrEgavR4bzfTn4RlhESK=w1200|https://lh3.googleusercontent.com/pw/AP1GczNkZ_XzyQVxLhEoJpCQ5OCLCKui7K92yTORCgGutaiyzlNL04jMD6FeipiSxBeD1KreQH7eZ7q5SS9XFSq85J3zFM3qn_OOofOoJy8QC4UIn1XrJlr8=w1200|https://lh3.googleusercontent.com/pw/AP1GczPoYhbXiYkqmVSOVSEgReF1sy-_ovLwKKc8PKSB8anyyXH39WH7mCYgsfzei4YG2yH7AJCHv2djHWPGM71Ad2iMRH_hHBEevYt_oREJNpVEYSVrd1_U=w1200|https://lh3.googleusercontent.com/pw/AP1GczM6gZiyw6BJNoopwl_4L4XMnNL3MHdSmq2IBPlUPsiQ81HERXlsdv_eqDBsTCMgo1DgOjb1cpzpXP_JNtk71MjattTSsiHccNJ0G26UtcuO5gDCVxVd=w1200|https://lh3.googleusercontent.com/pw/AP1GczMwh34WhtRbAL-w59GW_CTr5QY9LVcpmGEdpqQgf9_DtTvKCbP7uLP9tqyE6Qvn4c6Wy5bqL3oa9xkTnvSAlqtyZVPBA0hBTS7TszBxuIAYyL8n3zi8=w1200|https://lh3.googleusercontent.com/pw/AP1GczMDcYRGtC_1F9rG97vTZ_Be3ZQUXxkWm3MI4DUUUn4TrcslNlgZq_JOcEdQ4hvttEQQcHs_S17NASWc3ZJi3t320a8hWVfRLD2ELookQttNT4_EDSjV=w1200</v>
      </c>
      <c r="AJ462" s="46"/>
      <c r="AK462" s="46"/>
      <c r="AL462" s="46"/>
      <c r="AM462" s="46"/>
      <c r="AN462" s="46"/>
      <c r="AO462" s="46"/>
      <c r="AP462" s="46"/>
      <c r="AQ462" s="46"/>
      <c r="AR462" s="46"/>
      <c r="AS462" s="46"/>
      <c r="AT462" s="46"/>
      <c r="AU462" s="46"/>
      <c r="AV462" s="46"/>
      <c r="AW462" s="46"/>
      <c r="AX462" s="46"/>
      <c r="AY462" s="46"/>
      <c r="AZ462" s="46"/>
      <c r="BA462" s="46"/>
      <c r="BB462" s="46"/>
      <c r="BC462" s="46"/>
      <c r="BD462" s="46"/>
      <c r="BE462" s="46"/>
      <c r="BF462" s="46"/>
      <c r="BG462" s="46"/>
      <c r="BH462" s="46"/>
      <c r="BI462" s="46"/>
      <c r="BJ462" s="46"/>
      <c r="BK462" s="46"/>
      <c r="BL462" s="46"/>
      <c r="BM462" s="46"/>
      <c r="BN462" s="46"/>
      <c r="BO462" s="46"/>
      <c r="BP462" s="46"/>
      <c r="BQ462" s="46"/>
      <c r="BR462" s="46"/>
      <c r="BS462" s="46"/>
      <c r="BT462" s="46"/>
      <c r="BU462" s="46"/>
      <c r="BV462" s="46"/>
      <c r="BW462" s="46"/>
      <c r="BX462" s="46"/>
      <c r="BY462" s="46"/>
      <c r="BZ462" s="46"/>
      <c r="CA462" s="46"/>
      <c r="CB462" s="46"/>
      <c r="CC462" s="46"/>
    </row>
    <row r="463">
      <c r="A463" s="87" t="str">
        <f>IFERROR(__xludf.DUMMYFUNCTION("""COMPUTED_VALUE"""),"861")</f>
        <v>861</v>
      </c>
      <c r="B463" s="46" t="str">
        <f>IFERROR(__xludf.DUMMYFUNCTION("""COMPUTED_VALUE"""),"Apartamento en conjunto Residencial Altos de la Colina - Oriente")</f>
        <v>Apartamento en conjunto Residencial Altos de la Colina - Oriente</v>
      </c>
      <c r="C463" s="46" t="str">
        <f>IFERROR(__xludf.DUMMYFUNCTION("""COMPUTED_VALUE"""),"Apartamento en conjunto")</f>
        <v>Apartamento en conjunto</v>
      </c>
      <c r="D463" s="46"/>
      <c r="E463" s="46" t="str">
        <f>IFERROR(__xludf.DUMMYFUNCTION("""COMPUTED_VALUE"""),"Conjunto Residencial Altos de la Colina")</f>
        <v>Conjunto Residencial Altos de la Colina</v>
      </c>
      <c r="F463" s="90">
        <f>IFERROR(__xludf.DUMMYFUNCTION("""COMPUTED_VALUE"""),5.4E8)</f>
        <v>540000000</v>
      </c>
      <c r="G463" s="46" t="str">
        <f>IFERROR(__xludf.DUMMYFUNCTION("""COMPUTED_VALUE"""),"$500'000.000 a $1.000'000.000")</f>
        <v>$500'000.000 a $1.000'000.000</v>
      </c>
      <c r="H463" s="46"/>
      <c r="I463" s="46"/>
      <c r="J463" s="46" t="str">
        <f>IFERROR(__xludf.DUMMYFUNCTION("""COMPUTED_VALUE"""),"Oriente")</f>
        <v>Oriente</v>
      </c>
      <c r="K463" s="87"/>
      <c r="L463" s="46">
        <f>IFERROR(__xludf.DUMMYFUNCTION("""COMPUTED_VALUE"""),3.0)</f>
        <v>3</v>
      </c>
      <c r="M463" s="46"/>
      <c r="N463" s="46">
        <f>IFERROR(__xludf.DUMMYFUNCTION("""COMPUTED_VALUE"""),3.0)</f>
        <v>3</v>
      </c>
      <c r="O463" s="46">
        <f>IFERROR(__xludf.DUMMYFUNCTION("""COMPUTED_VALUE"""),1.0)</f>
        <v>1</v>
      </c>
      <c r="P463" s="46">
        <f>IFERROR(__xludf.DUMMYFUNCTION("""COMPUTED_VALUE"""),6.0)</f>
        <v>6</v>
      </c>
      <c r="Q463" s="92">
        <f>IFERROR(__xludf.DUMMYFUNCTION("""COMPUTED_VALUE"""),95.0)</f>
        <v>95</v>
      </c>
      <c r="R463" s="92">
        <f>IFERROR(__xludf.DUMMYFUNCTION("""COMPUTED_VALUE"""),104.0)</f>
        <v>104</v>
      </c>
      <c r="S463" s="87" t="str">
        <f>IFERROR(__xludf.DUMMYFUNCTION("""COMPUTED_VALUE""")," ")</f>
        <v> </v>
      </c>
      <c r="T463" s="46" t="str">
        <f>IFERROR(__xludf.DUMMYFUNCTION("""COMPUTED_VALUE"""),"Neiva")</f>
        <v>Neiva</v>
      </c>
      <c r="U463" s="87" t="str">
        <f>IFERROR(__xludf.DUMMYFUNCTION("""COMPUTED_VALUE"""),"5")</f>
        <v>5</v>
      </c>
      <c r="V463" s="46" t="str">
        <f>IFERROR(__xludf.DUMMYFUNCTION("""COMPUTED_VALUE"""),"6to.")</f>
        <v>6to.</v>
      </c>
      <c r="W463" s="46"/>
      <c r="X463" s="46">
        <f>IFERROR(__xludf.DUMMYFUNCTION("""COMPUTED_VALUE"""),3.0)</f>
        <v>3</v>
      </c>
      <c r="Y463" s="46" t="str">
        <f>IFERROR(__xludf.DUMMYFUNCTION("""COMPUTED_VALUE"""),"Social")</f>
        <v>Social</v>
      </c>
      <c r="Z463" s="90">
        <f>IFERROR(__xludf.DUMMYFUNCTION("""COMPUTED_VALUE"""),400000.0)</f>
        <v>400000</v>
      </c>
      <c r="AA463" s="33" t="str">
        <f>IFERROR(__xludf.DUMMYFUNCTION("""COMPUTED_VALUE"""),"No aplica")</f>
        <v>No aplica</v>
      </c>
      <c r="AB463" s="96" t="str">
        <f>IFERROR(__xludf.DUMMYFUNCTION("""COMPUTED_VALUE"""),"https://photos.app.goo.gl/BCBAhci9AiitbcEi6")</f>
        <v>https://photos.app.goo.gl/BCBAhci9AiitbcEi6</v>
      </c>
      <c r="AC463" s="46" t="str">
        <f>IFERROR(__xludf.DUMMYFUNCTION("""COMPUTED_VALUE"""),"Este exclusivo apartamento de 104 m² está ubicado en el piso 6 del codiciado condominio Altos de la Colina (Zona Oriente, Estrato 5). Cuenta con una distribución moderna que incluye 3 habitaciones con clóset (la principal con baño privado y balcón), un ba"&amp;"ño auxiliar, sala y comedor independientes con excelente iluminación, cocina integral, estudio para home office, zona de lavado independiente, depósito y parqueadero propio.")</f>
        <v>Este exclusivo apartamento de 104 m² está ubicado en el piso 6 del codiciado condominio Altos de la Colina (Zona Oriente, Estrato 5). Cuenta con una distribución moderna que incluye 3 habitaciones con clóset (la principal con baño privado y balcón), un baño auxiliar, sala y comedor independientes con excelente iluminación, cocina integral, estudio para home office, zona de lavado independiente, depósito y parqueadero propio.</v>
      </c>
      <c r="AD463" s="46" t="str">
        <f>IFERROR(__xludf.DUMMYFUNCTION("""COMPUTED_VALUE"""),"¡Listo para mudarse y sin gastos adicionales! El inmueble destaca por su espectacular vista abierta al sur y un paquete de mejoras de alta gama ya instaladas: sistema de cámaras de seguridad 360°, chapa de seguridad, 2 aires acondicionados, cortinas, mueb"&amp;"les de madera a medida y pintura totalmente nueva. Todo esto en un sector de alta valorización con una administración de bajo precio.")</f>
        <v>¡Listo para mudarse y sin gastos adicionales! El inmueble destaca por su espectacular vista abierta al sur y un paquete de mejoras de alta gama ya instaladas: sistema de cámaras de seguridad 360°, chapa de seguridad, 2 aires acondicionados, cortinas, muebles de madera a medida y pintura totalmente nueva. Todo esto en un sector de alta valorización con una administración de bajo precio.</v>
      </c>
      <c r="AE463" s="46"/>
      <c r="AF463" s="46" t="str">
        <f>IFERROR(__xludf.DUMMYFUNCTION("""COMPUTED_VALUE"""),"integral")</f>
        <v>integral</v>
      </c>
      <c r="AG463" s="46"/>
      <c r="AH463" s="46" t="str">
        <f>IFERROR(__xludf.DUMMYFUNCTION("""COMPUTED_VALUE"""),"Aliado")</f>
        <v>Aliado</v>
      </c>
      <c r="AI463" s="92" t="str">
        <f>IFERROR(__xludf.DUMMYFUNCTION("""COMPUTED_VALUE"""),"https://lh3.googleusercontent.com/pw/AP1GczMhENpb8Ie-VickB_uvhDojc53Nk1_pFSKyiuFAfN5BoaiU4MHV06yBR0d2TtB0f4WTWBSyM0czNX2ha-WIV_v9nl3aJufY69ig7O1icugXZoscHYLw=w1200|https://lh3.googleusercontent.com/pw/AP1GczP8ab7Y6ImoCwpn3Kavvingl0UDauVwLMcU_QLt27ofdp8tfZ"&amp;"NUvjK9c2jogwJ6qBk7eKe1NG3beiIUhgo6avw9hA1PbDGgcaBVGJqqaxeFxRqQdsn4=w1200|https://lh3.googleusercontent.com/pw/AP1GczMeMyJm6ZRCto6i1FYczkjGemD_bTFIAT6T59mwBLfhR71Jn_R3p_cCYVt5yAIKVfUdiMoyaavUfn8cwXnmYb1O1M-xeHcGYrkp24qAD5pc6ShMFUgu=w1200|https://lh3.google"&amp;"usercontent.com/pw/AP1GczPjr6tkLAhPMAyFUCUxAGdoZdsEu2l8HWEs5jrPeJQq2RjHUWV4mp5CBU1hzskoauhj2EziAYZlQKQMIhd6Ls7drqavQLP28Gq_-THsNmk8Rm8f82eA=w1200|https://lh3.googleusercontent.com/pw/AP1GczMoU3P7e0ubQG2H41s6gnxFy6qKGyGM_f_YgXzBrP-bWo-gbiQ0ErUsk_delRAXpURA"&amp;"32HYVU3SAM__TudBR_wxJhmWnjDP4bLHtxKlGAcVZCV2JiBP=w1200|https://lh3.googleusercontent.com/pw/AP1GczPTUFNiGYfaqNgQjydyaOfDE6JLhDp4uq7f0FWoaUIWc2RVUZvevCcVjBjvCz-aPL-Mvg5TisnWcgO2IBU1_EGujY5vOZ-lwa9tGyRLB-CZGYdOTc0V=w1200|https://lh3.googleusercontent.com/pw"&amp;"/AP1GczO4fjMn7hDP_n4SxtEF3YC_wW1aUFAm7Lghk3OcNboJXDPSRs5Ez39IVIkvM1Kds6H3qqhrzDFfZ3Yd4ePhnNfE9E6kMW5AoEOqfO2rlKMI_LfzB9NW=w1200|https://lh3.googleusercontent.com/pw/AP1GczP__TCTm5sjMhcL8zl775FfG2W3J1wzm7I8eVqNvjplNcONhnBZgOkf3iQqTeZcWnhaISt5eef71jSdGlqbys"&amp;"O2JWGzMRAKt3DA5ciljZfUDcI8C3LL=w1200|https://lh3.googleusercontent.com/pw/AP1GczM8reALD0UfQ6GhCZUIU_UK5On7ZgJVAil4ciKbMb-vDb649NAhOria9SJarAOptrw1TPS9syca0d37bGx1gfb-lwBBc5O44p8a6vYZbL3syIZFVLMW=w1200|https://lh3.googleusercontent.com/pw/AP1GczNWyzsB7tjBo"&amp;"s21H_B3tFdQRzsNPrPZJi87lvQdAzlzUBXboan4Voc6L75FBFxCSQZ34kitW0tlqxbVeceQJtPAGqO2PVYd40aQFWp_fWkKjye5GLeO=w1200")</f>
        <v>https://lh3.googleusercontent.com/pw/AP1GczMhENpb8Ie-VickB_uvhDojc53Nk1_pFSKyiuFAfN5BoaiU4MHV06yBR0d2TtB0f4WTWBSyM0czNX2ha-WIV_v9nl3aJufY69ig7O1icugXZoscHYLw=w1200|https://lh3.googleusercontent.com/pw/AP1GczP8ab7Y6ImoCwpn3Kavvingl0UDauVwLMcU_QLt27ofdp8tfZNUvjK9c2jogwJ6qBk7eKe1NG3beiIUhgo6avw9hA1PbDGgcaBVGJqqaxeFxRqQdsn4=w1200|https://lh3.googleusercontent.com/pw/AP1GczMeMyJm6ZRCto6i1FYczkjGemD_bTFIAT6T59mwBLfhR71Jn_R3p_cCYVt5yAIKVfUdiMoyaavUfn8cwXnmYb1O1M-xeHcGYrkp24qAD5pc6ShMFUgu=w1200|https://lh3.googleusercontent.com/pw/AP1GczPjr6tkLAhPMAyFUCUxAGdoZdsEu2l8HWEs5jrPeJQq2RjHUWV4mp5CBU1hzskoauhj2EziAYZlQKQMIhd6Ls7drqavQLP28Gq_-THsNmk8Rm8f82eA=w1200|https://lh3.googleusercontent.com/pw/AP1GczMoU3P7e0ubQG2H41s6gnxFy6qKGyGM_f_YgXzBrP-bWo-gbiQ0ErUsk_delRAXpURA32HYVU3SAM__TudBR_wxJhmWnjDP4bLHtxKlGAcVZCV2JiBP=w1200|https://lh3.googleusercontent.com/pw/AP1GczPTUFNiGYfaqNgQjydyaOfDE6JLhDp4uq7f0FWoaUIWc2RVUZvevCcVjBjvCz-aPL-Mvg5TisnWcgO2IBU1_EGujY5vOZ-lwa9tGyRLB-CZGYdOTc0V=w1200|https://lh3.googleusercontent.com/pw/AP1GczO4fjMn7hDP_n4SxtEF3YC_wW1aUFAm7Lghk3OcNboJXDPSRs5Ez39IVIkvM1Kds6H3qqhrzDFfZ3Yd4ePhnNfE9E6kMW5AoEOqfO2rlKMI_LfzB9NW=w1200|https://lh3.googleusercontent.com/pw/AP1GczP__TCTm5sjMhcL8zl775FfG2W3J1wzm7I8eVqNvjplNcONhnBZgOkf3iQqTeZcWnhaISt5eef71jSdGlqbysO2JWGzMRAKt3DA5ciljZfUDcI8C3LL=w1200|https://lh3.googleusercontent.com/pw/AP1GczM8reALD0UfQ6GhCZUIU_UK5On7ZgJVAil4ciKbMb-vDb649NAhOria9SJarAOptrw1TPS9syca0d37bGx1gfb-lwBBc5O44p8a6vYZbL3syIZFVLMW=w1200|https://lh3.googleusercontent.com/pw/AP1GczNWyzsB7tjBos21H_B3tFdQRzsNPrPZJi87lvQdAzlzUBXboan4Voc6L75FBFxCSQZ34kitW0tlqxbVeceQJtPAGqO2PVYd40aQFWp_fWkKjye5GLeO=w1200</v>
      </c>
      <c r="AJ463" s="46"/>
      <c r="AK463" s="46"/>
      <c r="AL463" s="46"/>
      <c r="AM463" s="46"/>
      <c r="AN463" s="46"/>
      <c r="AO463" s="46"/>
      <c r="AP463" s="46"/>
      <c r="AQ463" s="46"/>
      <c r="AR463" s="46"/>
      <c r="AS463" s="46"/>
      <c r="AT463" s="46"/>
      <c r="AU463" s="46"/>
      <c r="AV463" s="46"/>
      <c r="AW463" s="46"/>
      <c r="AX463" s="46"/>
      <c r="AY463" s="46"/>
      <c r="AZ463" s="46"/>
      <c r="BA463" s="46"/>
      <c r="BB463" s="46"/>
      <c r="BC463" s="46"/>
      <c r="BD463" s="46"/>
      <c r="BE463" s="46"/>
      <c r="BF463" s="46"/>
      <c r="BG463" s="46"/>
      <c r="BH463" s="46"/>
      <c r="BI463" s="46"/>
      <c r="BJ463" s="46"/>
      <c r="BK463" s="46"/>
      <c r="BL463" s="46"/>
      <c r="BM463" s="46"/>
      <c r="BN463" s="46"/>
      <c r="BO463" s="46"/>
      <c r="BP463" s="46"/>
      <c r="BQ463" s="46"/>
      <c r="BR463" s="46"/>
      <c r="BS463" s="46"/>
      <c r="BT463" s="46"/>
      <c r="BU463" s="46"/>
      <c r="BV463" s="46"/>
      <c r="BW463" s="46"/>
      <c r="BX463" s="46"/>
      <c r="BY463" s="46"/>
      <c r="BZ463" s="46"/>
      <c r="CA463" s="46"/>
      <c r="CB463" s="46"/>
      <c r="CC463" s="46"/>
    </row>
    <row r="464">
      <c r="A464" s="87" t="str">
        <f>IFERROR(__xludf.DUMMYFUNCTION("""COMPUTED_VALUE"""),"590")</f>
        <v>590</v>
      </c>
      <c r="B464" s="46" t="str">
        <f>IFERROR(__xludf.DUMMYFUNCTION("""COMPUTED_VALUE"""),"Apartamento en conjunto Condominio Altos de  Marbella - Oriente")</f>
        <v>Apartamento en conjunto Condominio Altos de  Marbella - Oriente</v>
      </c>
      <c r="C464" s="46" t="str">
        <f>IFERROR(__xludf.DUMMYFUNCTION("""COMPUTED_VALUE"""),"Apartamento en conjunto")</f>
        <v>Apartamento en conjunto</v>
      </c>
      <c r="D464" s="46"/>
      <c r="E464" s="46" t="str">
        <f>IFERROR(__xludf.DUMMYFUNCTION("""COMPUTED_VALUE"""),"Conjunto Condominio Altos de  Marbella")</f>
        <v>Conjunto Condominio Altos de  Marbella</v>
      </c>
      <c r="F464" s="90">
        <f>IFERROR(__xludf.DUMMYFUNCTION("""COMPUTED_VALUE"""),5.4E8)</f>
        <v>540000000</v>
      </c>
      <c r="G464" s="46" t="str">
        <f>IFERROR(__xludf.DUMMYFUNCTION("""COMPUTED_VALUE"""),"$500'000.000 a $1.000'000.000")</f>
        <v>$500'000.000 a $1.000'000.000</v>
      </c>
      <c r="H464" s="46"/>
      <c r="I464" s="46"/>
      <c r="J464" s="46" t="str">
        <f>IFERROR(__xludf.DUMMYFUNCTION("""COMPUTED_VALUE"""),"Oriente")</f>
        <v>Oriente</v>
      </c>
      <c r="K464" s="87" t="str">
        <f>IFERROR(__xludf.DUMMYFUNCTION("""COMPUTED_VALUE"""),"10")</f>
        <v>10</v>
      </c>
      <c r="L464" s="46">
        <f>IFERROR(__xludf.DUMMYFUNCTION("""COMPUTED_VALUE"""),3.0)</f>
        <v>3</v>
      </c>
      <c r="M464" s="46"/>
      <c r="N464" s="46">
        <f>IFERROR(__xludf.DUMMYFUNCTION("""COMPUTED_VALUE"""),2.0)</f>
        <v>2</v>
      </c>
      <c r="O464" s="46">
        <f>IFERROR(__xludf.DUMMYFUNCTION("""COMPUTED_VALUE"""),2.0)</f>
        <v>2</v>
      </c>
      <c r="P464" s="46">
        <f>IFERROR(__xludf.DUMMYFUNCTION("""COMPUTED_VALUE"""),9.0)</f>
        <v>9</v>
      </c>
      <c r="Q464" s="92">
        <f>IFERROR(__xludf.DUMMYFUNCTION("""COMPUTED_VALUE"""),95.0)</f>
        <v>95</v>
      </c>
      <c r="R464" s="92">
        <f>IFERROR(__xludf.DUMMYFUNCTION("""COMPUTED_VALUE"""),95.0)</f>
        <v>95</v>
      </c>
      <c r="S464" s="87" t="str">
        <f>IFERROR(__xludf.DUMMYFUNCTION("""COMPUTED_VALUE""")," ")</f>
        <v> </v>
      </c>
      <c r="T464" s="46" t="str">
        <f>IFERROR(__xludf.DUMMYFUNCTION("""COMPUTED_VALUE"""),"Neiva")</f>
        <v>Neiva</v>
      </c>
      <c r="U464" s="87" t="str">
        <f>IFERROR(__xludf.DUMMYFUNCTION("""COMPUTED_VALUE"""),"5")</f>
        <v>5</v>
      </c>
      <c r="V464" s="46" t="str">
        <f>IFERROR(__xludf.DUMMYFUNCTION("""COMPUTED_VALUE"""),"9o.")</f>
        <v>9o.</v>
      </c>
      <c r="W464" s="46"/>
      <c r="X464" s="46">
        <f>IFERROR(__xludf.DUMMYFUNCTION("""COMPUTED_VALUE"""),3.0)</f>
        <v>3</v>
      </c>
      <c r="Y464" s="46" t="str">
        <f>IFERROR(__xludf.DUMMYFUNCTION("""COMPUTED_VALUE"""),"Social")</f>
        <v>Social</v>
      </c>
      <c r="Z464" s="90"/>
      <c r="AA464" s="33" t="str">
        <f>IFERROR(__xludf.DUMMYFUNCTION("""COMPUTED_VALUE"""),"No aplica")</f>
        <v>No aplica</v>
      </c>
      <c r="AB464" s="96" t="str">
        <f>IFERROR(__xludf.DUMMYFUNCTION("""COMPUTED_VALUE"""),"https://photos.app.goo.gl/KXt98zinGCgBbjNs9")</f>
        <v>https://photos.app.goo.gl/KXt98zinGCgBbjNs9</v>
      </c>
      <c r="AC464" s="46" t="str">
        <f>IFERROR(__xludf.DUMMYFUNCTION("""COMPUTED_VALUE"""),"Este espectacular apartamento de 95 m², ubicado en un exclusivo noveno piso de la zona oriente, destaca por su diseño inteligente y acabados de alta calidad. La distribución incluye una amplia sala con excelente iluminación natural, un comedor elegante id"&amp;"eal para reuniones, y una cocina integral moderna, totalmente equipada y funcional; en su zona privada, cuenta con tres confortables habitaciones con clóset, destacando la alcoba principal con baño privado, además de un baño social para un total de dos ba"&amp;"ños.")</f>
        <v>Este espectacular apartamento de 95 m², ubicado en un exclusivo noveno piso de la zona oriente, destaca por su diseño inteligente y acabados de alta calidad. La distribución incluye una amplia sala con excelente iluminación natural, un comedor elegante ideal para reuniones, y una cocina integral moderna, totalmente equipada y funcional; en su zona privada, cuenta con tres confortables habitaciones con clóset, destacando la alcoba principal con baño privado, además de un baño social para un total de dos baños.</v>
      </c>
      <c r="AD464" s="46" t="str">
        <f>IFERROR(__xludf.DUMMYFUNCTION("""COMPUTED_VALUE"""),"El verdadero valor que hace de esta propiedad una oportunidad irresistible radica en sus características premium y amenidades exclusivas, diseñadas para un estilo de vida superior. A diferencia de la oferta común, dispone de dos parqueaderos privados y do"&amp;"s depósitos independientes, garantizando máxima comodidad y espacio de almacenamiento; todo esto dentro de un conjunto residencial con vigilancia 24/7, piscina para adultos y niños, parque infantil y salón social, lo que asegura una alta valorización y la"&amp;" calidad de vida que su familia merece en la zona más cotizada de la ciudad.")</f>
        <v>El verdadero valor que hace de esta propiedad una oportunidad irresistible radica en sus características premium y amenidades exclusivas, diseñadas para un estilo de vida superior. A diferencia de la oferta común, dispone de dos parqueaderos privados y dos depósitos independientes, garantizando máxima comodidad y espacio de almacenamiento; todo esto dentro de un conjunto residencial con vigilancia 24/7, piscina para adultos y niños, parque infantil y salón social, lo que asegura una alta valorización y la calidad de vida que su familia merece en la zona más cotizada de la ciudad.</v>
      </c>
      <c r="AE464" s="46"/>
      <c r="AF464" s="46" t="str">
        <f>IFERROR(__xludf.DUMMYFUNCTION("""COMPUTED_VALUE"""),"Integral")</f>
        <v>Integral</v>
      </c>
      <c r="AG464" s="46"/>
      <c r="AH464" s="46" t="str">
        <f>IFERROR(__xludf.DUMMYFUNCTION("""COMPUTED_VALUE"""),"Aliado")</f>
        <v>Aliado</v>
      </c>
      <c r="AI464" s="92" t="str">
        <f>IFERROR(__xludf.DUMMYFUNCTION("""COMPUTED_VALUE"""),"https://lh3.googleusercontent.com/pw/AP1GczNLhRX0SeCjz5fCvuhPbhERKz-nRsGWJoAmQLl9QqLiHaaUq9FeRbIt9WLHHW8ARd-m-dlQbkSTbRgKRHaQR28kbfonx0nzItfd86dZbpU1s88QOGwB=w1200|https://lh3.googleusercontent.com/pw/AP1GczPyVU8CpfW2fw-DkkvkdM_ONToFx59ZEmLyB8kohpRR-JpJ_p"&amp;"wa6fO5R4FYK_WWKtQp-FrYcS4P5QGa4E4kfxyn2i7n40tFyWKzcsjwsV30L36zknsR=w1200|https://lh3.googleusercontent.com/pw/AP1GczNPsnyxehyw-h5AVg6jJswMM2P6BoJQkxnHGSPfSrrgEJZWtp5Ar4WIHxKALsEwKSzolvfm1TnHEHi90OJz81ZNXjlqykX06c7uqS-dPcXZb0ezoFZx=w1200|https://lh3.google"&amp;"usercontent.com/pw/AP1GczM50QGe0R_GsjvkYj_8XVq359vYRhBzz7GrWlioWi0YC3RdnE_mcaAksyWVfSNishbZbwAaWw3S0f5NdbukAIc6Dqz--h-O08EI_Nx-IbOYBXISj55k=w1200|https://lh3.googleusercontent.com/pw/AP1GczPjdOaX6rKdWmr7OaxnZAWX2pRb4QMJvpoi0M4xCCKQwi6YvdurZIWYoj_RgVDQxtMw"&amp;"86C6AWj2CtKnbpsH04C_8YhJesaXGzm4abNZ1CqfdIGMkOwd=w1200|https://lh3.googleusercontent.com/pw/AP1GczOlRmDMAd0QTiE1kuG59QtHTg5XgR7rTNdVxyT9P_7qYLb6vnhhHTHHeZAy6xrm3dR6b9aYYfzyMvbv1-AUtIxULnDi5R2aSd670ULhBt5sxe-8lWtP=w1200|https://lh3.googleusercontent.com/pw"&amp;"/AP1GczNKNc8zjqJ_SCck1TpPZFi2d8ORkqRgCzWeHm0MZYszlgLPLmBDVLeQjCSdU5MeISpOlVw3HnojvSe4JmRKIkPWcxjJUo6pZ7f225XOKtOo4_xZDFpJ=w1200|https://lh3.googleusercontent.com/pw/AP1GczPWUVUUbEeURUgbUuVp5RVxMqWWZAfUkU9UFzumU4Ng0b0DtyPiGh5BX7K8HzPJXEtufAT0WyocTgDWLZjAJ4"&amp;"YP-gKWT1yNGfyd6Psiw3K0aKffj5WA=w1200|https://lh3.googleusercontent.com/pw/AP1GczOjEBmxFgvAirEbnHbpEy_JQ4_khLQF1sFEYGT11BTZ5Gys7m3Jgdi-jOVHWPXnzcKIm-hl6je23mOfv_V9FSJ9RDVNXKae2wm64BVQwiQ9kceqN41q=w1200|https://lh3.googleusercontent.com/pw/AP1GczNSXNl_KIb9F"&amp;"7_twA_Rfi_AUOHo5qKH0ZTQeI6NC_G9QnSNf4TXUHS_rlyqxP_xfdsqmcn5TK2O-qTqR4sML7k7DyfDIEQRZvERRKPOM8SLJTMia-Je=w1200")</f>
        <v>https://lh3.googleusercontent.com/pw/AP1GczNLhRX0SeCjz5fCvuhPbhERKz-nRsGWJoAmQLl9QqLiHaaUq9FeRbIt9WLHHW8ARd-m-dlQbkSTbRgKRHaQR28kbfonx0nzItfd86dZbpU1s88QOGwB=w1200|https://lh3.googleusercontent.com/pw/AP1GczPyVU8CpfW2fw-DkkvkdM_ONToFx59ZEmLyB8kohpRR-JpJ_pwa6fO5R4FYK_WWKtQp-FrYcS4P5QGa4E4kfxyn2i7n40tFyWKzcsjwsV30L36zknsR=w1200|https://lh3.googleusercontent.com/pw/AP1GczNPsnyxehyw-h5AVg6jJswMM2P6BoJQkxnHGSPfSrrgEJZWtp5Ar4WIHxKALsEwKSzolvfm1TnHEHi90OJz81ZNXjlqykX06c7uqS-dPcXZb0ezoFZx=w1200|https://lh3.googleusercontent.com/pw/AP1GczM50QGe0R_GsjvkYj_8XVq359vYRhBzz7GrWlioWi0YC3RdnE_mcaAksyWVfSNishbZbwAaWw3S0f5NdbukAIc6Dqz--h-O08EI_Nx-IbOYBXISj55k=w1200|https://lh3.googleusercontent.com/pw/AP1GczPjdOaX6rKdWmr7OaxnZAWX2pRb4QMJvpoi0M4xCCKQwi6YvdurZIWYoj_RgVDQxtMw86C6AWj2CtKnbpsH04C_8YhJesaXGzm4abNZ1CqfdIGMkOwd=w1200|https://lh3.googleusercontent.com/pw/AP1GczOlRmDMAd0QTiE1kuG59QtHTg5XgR7rTNdVxyT9P_7qYLb6vnhhHTHHeZAy6xrm3dR6b9aYYfzyMvbv1-AUtIxULnDi5R2aSd670ULhBt5sxe-8lWtP=w1200|https://lh3.googleusercontent.com/pw/AP1GczNKNc8zjqJ_SCck1TpPZFi2d8ORkqRgCzWeHm0MZYszlgLPLmBDVLeQjCSdU5MeISpOlVw3HnojvSe4JmRKIkPWcxjJUo6pZ7f225XOKtOo4_xZDFpJ=w1200|https://lh3.googleusercontent.com/pw/AP1GczPWUVUUbEeURUgbUuVp5RVxMqWWZAfUkU9UFzumU4Ng0b0DtyPiGh5BX7K8HzPJXEtufAT0WyocTgDWLZjAJ4YP-gKWT1yNGfyd6Psiw3K0aKffj5WA=w1200|https://lh3.googleusercontent.com/pw/AP1GczOjEBmxFgvAirEbnHbpEy_JQ4_khLQF1sFEYGT11BTZ5Gys7m3Jgdi-jOVHWPXnzcKIm-hl6je23mOfv_V9FSJ9RDVNXKae2wm64BVQwiQ9kceqN41q=w1200|https://lh3.googleusercontent.com/pw/AP1GczNSXNl_KIb9F7_twA_Rfi_AUOHo5qKH0ZTQeI6NC_G9QnSNf4TXUHS_rlyqxP_xfdsqmcn5TK2O-qTqR4sML7k7DyfDIEQRZvERRKPOM8SLJTMia-Je=w1200</v>
      </c>
      <c r="AJ464" s="46"/>
      <c r="AK464" s="46"/>
      <c r="AL464" s="46"/>
      <c r="AM464" s="46"/>
      <c r="AN464" s="46"/>
      <c r="AO464" s="46"/>
      <c r="AP464" s="46"/>
      <c r="AQ464" s="46"/>
      <c r="AR464" s="46"/>
      <c r="AS464" s="46"/>
      <c r="AT464" s="46"/>
      <c r="AU464" s="46"/>
      <c r="AV464" s="46"/>
      <c r="AW464" s="46"/>
      <c r="AX464" s="46"/>
      <c r="AY464" s="46"/>
      <c r="AZ464" s="46"/>
      <c r="BA464" s="46"/>
      <c r="BB464" s="46"/>
      <c r="BC464" s="46"/>
      <c r="BD464" s="46"/>
      <c r="BE464" s="46"/>
      <c r="BF464" s="46"/>
      <c r="BG464" s="46"/>
      <c r="BH464" s="46"/>
      <c r="BI464" s="46"/>
      <c r="BJ464" s="46"/>
      <c r="BK464" s="46"/>
      <c r="BL464" s="46"/>
      <c r="BM464" s="46"/>
      <c r="BN464" s="46"/>
      <c r="BO464" s="46"/>
      <c r="BP464" s="46"/>
      <c r="BQ464" s="46"/>
      <c r="BR464" s="46"/>
      <c r="BS464" s="46"/>
      <c r="BT464" s="46"/>
      <c r="BU464" s="46"/>
      <c r="BV464" s="46"/>
      <c r="BW464" s="46"/>
      <c r="BX464" s="46"/>
      <c r="BY464" s="46"/>
      <c r="BZ464" s="46"/>
      <c r="CA464" s="46"/>
      <c r="CB464" s="46"/>
      <c r="CC464" s="46"/>
    </row>
    <row r="465">
      <c r="A465" s="87" t="str">
        <f>IFERROR(__xludf.DUMMYFUNCTION("""COMPUTED_VALUE"""),"017")</f>
        <v>017</v>
      </c>
      <c r="B465" s="46" t="str">
        <f>IFERROR(__xludf.DUMMYFUNCTION("""COMPUTED_VALUE"""),"Apartamento en conjunto Reservas de la Sierra - Oriente")</f>
        <v>Apartamento en conjunto Reservas de la Sierra - Oriente</v>
      </c>
      <c r="C465" s="46" t="str">
        <f>IFERROR(__xludf.DUMMYFUNCTION("""COMPUTED_VALUE"""),"Apartamento en conjunto")</f>
        <v>Apartamento en conjunto</v>
      </c>
      <c r="D465" s="46"/>
      <c r="E465" s="46" t="str">
        <f>IFERROR(__xludf.DUMMYFUNCTION("""COMPUTED_VALUE"""),"Conjunto Reservas de la Sierra")</f>
        <v>Conjunto Reservas de la Sierra</v>
      </c>
      <c r="F465" s="90">
        <f>IFERROR(__xludf.DUMMYFUNCTION("""COMPUTED_VALUE"""),5.4E8)</f>
        <v>540000000</v>
      </c>
      <c r="G465" s="46" t="str">
        <f>IFERROR(__xludf.DUMMYFUNCTION("""COMPUTED_VALUE"""),"$500'000.000 a $1.000'000.000")</f>
        <v>$500'000.000 a $1.000'000.000</v>
      </c>
      <c r="H465" s="46"/>
      <c r="I465" s="46"/>
      <c r="J465" s="46" t="str">
        <f>IFERROR(__xludf.DUMMYFUNCTION("""COMPUTED_VALUE"""),"Oriente")</f>
        <v>Oriente</v>
      </c>
      <c r="K465" s="87" t="str">
        <f>IFERROR(__xludf.DUMMYFUNCTION("""COMPUTED_VALUE"""),"10")</f>
        <v>10</v>
      </c>
      <c r="L465" s="46">
        <f>IFERROR(__xludf.DUMMYFUNCTION("""COMPUTED_VALUE"""),2.0)</f>
        <v>2</v>
      </c>
      <c r="M465" s="46"/>
      <c r="N465" s="46">
        <f>IFERROR(__xludf.DUMMYFUNCTION("""COMPUTED_VALUE"""),2.0)</f>
        <v>2</v>
      </c>
      <c r="O465" s="46">
        <f>IFERROR(__xludf.DUMMYFUNCTION("""COMPUTED_VALUE"""),1.0)</f>
        <v>1</v>
      </c>
      <c r="P465" s="46">
        <f>IFERROR(__xludf.DUMMYFUNCTION("""COMPUTED_VALUE"""),4.0)</f>
        <v>4</v>
      </c>
      <c r="Q465" s="92">
        <f>IFERROR(__xludf.DUMMYFUNCTION("""COMPUTED_VALUE"""),93.0)</f>
        <v>93</v>
      </c>
      <c r="R465" s="92">
        <f>IFERROR(__xludf.DUMMYFUNCTION("""COMPUTED_VALUE"""),93.0)</f>
        <v>93</v>
      </c>
      <c r="S465" s="87" t="str">
        <f>IFERROR(__xludf.DUMMYFUNCTION("""COMPUTED_VALUE""")," ")</f>
        <v> </v>
      </c>
      <c r="T465" s="46" t="str">
        <f>IFERROR(__xludf.DUMMYFUNCTION("""COMPUTED_VALUE"""),"Neiva")</f>
        <v>Neiva</v>
      </c>
      <c r="U465" s="87" t="str">
        <f>IFERROR(__xludf.DUMMYFUNCTION("""COMPUTED_VALUE"""),"5")</f>
        <v>5</v>
      </c>
      <c r="V465" s="46" t="str">
        <f>IFERROR(__xludf.DUMMYFUNCTION("""COMPUTED_VALUE"""),"4to.")</f>
        <v>4to.</v>
      </c>
      <c r="W465" s="46"/>
      <c r="X465" s="46">
        <f>IFERROR(__xludf.DUMMYFUNCTION("""COMPUTED_VALUE"""),2.0)</f>
        <v>2</v>
      </c>
      <c r="Y465" s="46" t="str">
        <f>IFERROR(__xludf.DUMMYFUNCTION("""COMPUTED_VALUE"""),"Social")</f>
        <v>Social</v>
      </c>
      <c r="Z465" s="90">
        <f>IFERROR(__xludf.DUMMYFUNCTION("""COMPUTED_VALUE"""),290000.0)</f>
        <v>290000</v>
      </c>
      <c r="AA465" s="33" t="str">
        <f>IFERROR(__xludf.DUMMYFUNCTION("""COMPUTED_VALUE"""),"No aplica")</f>
        <v>No aplica</v>
      </c>
      <c r="AB465" s="96" t="str">
        <f>IFERROR(__xludf.DUMMYFUNCTION("""COMPUTED_VALUE"""),"https://photos.app.goo.gl/VfqetJvVQF4wQk5b9")</f>
        <v>https://photos.app.goo.gl/VfqetJvVQF4wQk5b9</v>
      </c>
      <c r="AC465" s="46" t="str">
        <f>IFERROR(__xludf.DUMMYFUNCTION("""COMPUTED_VALUE"""),"Este hermoso apartamento de $93\text{ Mt}^2$ en el Conjunto Reservas de la Sierra destaca por su diseño funcional y acabados de alta calidad. La distribución aprovecha al máximo la iluminación y ventilación cruzada, ofreciendo una generosa zona social que"&amp;" integra sala, comedor y un estudio o biblioteca ideal para el teletrabajo. Cuenta con una amplia cocina independiente, un baño social completo con ducha y dos habitaciones espaciosas; la principal incluye un gran vestier y baño privado, mientras que amba"&amp;"s alcobas disfrutan del privilegio de un balcón independiente que expande el área habitable hacia el entorno.")</f>
        <v>Este hermoso apartamento de $93\text{ Mt}^2$ en el Conjunto Reservas de la Sierra destaca por su diseño funcional y acabados de alta calidad. La distribución aprovecha al máximo la iluminación y ventilación cruzada, ofreciendo una generosa zona social que integra sala, comedor y un estudio o biblioteca ideal para el teletrabajo. Cuenta con una amplia cocina independiente, un baño social completo con ducha y dos habitaciones espaciosas; la principal incluye un gran vestier y baño privado, mientras que ambas alcobas disfrutan del privilegio de un balcón independiente que expande el área habitable hacia el entorno.</v>
      </c>
      <c r="AD465" s="46" t="str">
        <f>IFERROR(__xludf.DUMMYFUNCTION("""COMPUTED_VALUE"""),"El verdadero factor diferenciador de esta propiedad es su exclusividad y ubicación en el estrato 5 de la zona oriente, complementado por una doble vista panorámica inigualable: una panorámica interior hacia el golfito y la iglesia, y una espectacular vist"&amp;"a exterior que domina el lago, la piscina, las montañas y la ciudad. Vivir en el cuarto piso de este complejo garantiza tranquilidad, privacidad y un estilo de vida superior, respaldado por la comodidad de contar con un parqueadero cubierto propio y un de"&amp;"pósito independiente.")</f>
        <v>El verdadero factor diferenciador de esta propiedad es su exclusividad y ubicación en el estrato 5 de la zona oriente, complementado por una doble vista panorámica inigualable: una panorámica interior hacia el golfito y la iglesia, y una espectacular vista exterior que domina el lago, la piscina, las montañas y la ciudad. Vivir en el cuarto piso de este complejo garantiza tranquilidad, privacidad y un estilo de vida superior, respaldado por la comodidad de contar con un parqueadero cubierto propio y un depósito independiente.</v>
      </c>
      <c r="AE465" s="46"/>
      <c r="AF465" s="46" t="str">
        <f>IFERROR(__xludf.DUMMYFUNCTION("""COMPUTED_VALUE"""),"Integral")</f>
        <v>Integral</v>
      </c>
      <c r="AG465" s="46"/>
      <c r="AH465" s="46" t="str">
        <f>IFERROR(__xludf.DUMMYFUNCTION("""COMPUTED_VALUE"""),"Aliado")</f>
        <v>Aliado</v>
      </c>
      <c r="AI465" s="92" t="str">
        <f>IFERROR(__xludf.DUMMYFUNCTION("""COMPUTED_VALUE"""),"https://lh3.googleusercontent.com/pw/AP1GczN68dSqy4tR6X8l2k5CD6h1_pqBNeM4-ZC3sLgNWQFbrjOcD7aRWAxNxgJ9fS3VYJgqONdsJSg2zWF3WMG-R8d9L6R-akkmzH02-2xFU_P6036Jcyh2=w1200|https://lh3.googleusercontent.com/pw/AP1GczMO9ns3zYDW7VdPk94J_eOkmiQBzRSOrgGrBzxpzdixfPTcya"&amp;"zRc-J-6BtJgFMsb9tY669QuepxtUVxzmRLiPrTp7JVmjzgB3spfunwfZKl0M1YhCSR=w1200|https://lh3.googleusercontent.com/pw/AP1GczNP0Rmv5qVf6h4aXn0-iIYtzKL-fOL3NMcs3yUhv4OvRfJV-t73kEPctiOsHPI3s9hLNyMD6I_DGQN2z7BHyks-OleeEobeIX72H6zUOKLqj5IMQxW5=w1200|https://lh3.google"&amp;"usercontent.com/pw/AP1GczNttMKjzDRzh03zhodYmr7oRteXC2X0kEsTo_XsXLSRtkgQVuEleYttminxzix9loWNcgZmr1mOT-Zk4t3TJ2v-mwuC5Tc-yOiMeUj-Ik5QG6NTodyB=w1200|https://lh3.googleusercontent.com/pw/AP1GczPovHIBY6y1n5_B_bq3QRPWHY7JW49LMAQd9OHfgMKsrD2aMBBsZcuMwFZGAzuVQXJg"&amp;"Pm9TWg4qLC_YYwDNd65kg0MOQSsJf72rHUJhvuPq_RZTvdYO=w1200|https://lh3.googleusercontent.com/pw/AP1GczO7hHE8dWSn_oo8EKdS4YrCk7qiIH6JcWYnMajwxuAmcNBng5eJulfwCX_Y0v9iBL-P-r-9TLJAijLgnj2544l2-fLfzRCOXHQE8z6DpqwuNZW25zGG=w1200|https://lh3.googleusercontent.com/pw"&amp;"/AP1GczOk1FViV_1pCMWvTQ12ZahQ96QUQK6_Z0eMuIJIe9k8LGvHc4rqV1EoTigItCm9PsQKkWQgTKYRgTEFOyRSvVWtzGd9Altirlu_MnE9L5KlZ2VKlaKY=w1200")</f>
        <v>https://lh3.googleusercontent.com/pw/AP1GczN68dSqy4tR6X8l2k5CD6h1_pqBNeM4-ZC3sLgNWQFbrjOcD7aRWAxNxgJ9fS3VYJgqONdsJSg2zWF3WMG-R8d9L6R-akkmzH02-2xFU_P6036Jcyh2=w1200|https://lh3.googleusercontent.com/pw/AP1GczMO9ns3zYDW7VdPk94J_eOkmiQBzRSOrgGrBzxpzdixfPTcyazRc-J-6BtJgFMsb9tY669QuepxtUVxzmRLiPrTp7JVmjzgB3spfunwfZKl0M1YhCSR=w1200|https://lh3.googleusercontent.com/pw/AP1GczNP0Rmv5qVf6h4aXn0-iIYtzKL-fOL3NMcs3yUhv4OvRfJV-t73kEPctiOsHPI3s9hLNyMD6I_DGQN2z7BHyks-OleeEobeIX72H6zUOKLqj5IMQxW5=w1200|https://lh3.googleusercontent.com/pw/AP1GczNttMKjzDRzh03zhodYmr7oRteXC2X0kEsTo_XsXLSRtkgQVuEleYttminxzix9loWNcgZmr1mOT-Zk4t3TJ2v-mwuC5Tc-yOiMeUj-Ik5QG6NTodyB=w1200|https://lh3.googleusercontent.com/pw/AP1GczPovHIBY6y1n5_B_bq3QRPWHY7JW49LMAQd9OHfgMKsrD2aMBBsZcuMwFZGAzuVQXJgPm9TWg4qLC_YYwDNd65kg0MOQSsJf72rHUJhvuPq_RZTvdYO=w1200|https://lh3.googleusercontent.com/pw/AP1GczO7hHE8dWSn_oo8EKdS4YrCk7qiIH6JcWYnMajwxuAmcNBng5eJulfwCX_Y0v9iBL-P-r-9TLJAijLgnj2544l2-fLfzRCOXHQE8z6DpqwuNZW25zGG=w1200|https://lh3.googleusercontent.com/pw/AP1GczOk1FViV_1pCMWvTQ12ZahQ96QUQK6_Z0eMuIJIe9k8LGvHc4rqV1EoTigItCm9PsQKkWQgTKYRgTEFOyRSvVWtzGd9Altirlu_MnE9L5KlZ2VKlaKY=w1200</v>
      </c>
      <c r="AJ465" s="46"/>
      <c r="AK465" s="46"/>
      <c r="AL465" s="46"/>
      <c r="AM465" s="46"/>
      <c r="AN465" s="46"/>
      <c r="AO465" s="46"/>
      <c r="AP465" s="46"/>
      <c r="AQ465" s="46"/>
      <c r="AR465" s="46"/>
      <c r="AS465" s="46"/>
      <c r="AT465" s="46"/>
      <c r="AU465" s="46"/>
      <c r="AV465" s="46"/>
      <c r="AW465" s="46"/>
      <c r="AX465" s="46"/>
      <c r="AY465" s="46"/>
      <c r="AZ465" s="46"/>
      <c r="BA465" s="46"/>
      <c r="BB465" s="46"/>
      <c r="BC465" s="46"/>
      <c r="BD465" s="46"/>
      <c r="BE465" s="46"/>
      <c r="BF465" s="46"/>
      <c r="BG465" s="46"/>
      <c r="BH465" s="46"/>
      <c r="BI465" s="46"/>
      <c r="BJ465" s="46"/>
      <c r="BK465" s="46"/>
      <c r="BL465" s="46"/>
      <c r="BM465" s="46"/>
      <c r="BN465" s="46"/>
      <c r="BO465" s="46"/>
      <c r="BP465" s="46"/>
      <c r="BQ465" s="46"/>
      <c r="BR465" s="46"/>
      <c r="BS465" s="46"/>
      <c r="BT465" s="46"/>
      <c r="BU465" s="46"/>
      <c r="BV465" s="46"/>
      <c r="BW465" s="46"/>
      <c r="BX465" s="46"/>
      <c r="BY465" s="46"/>
      <c r="BZ465" s="46"/>
      <c r="CA465" s="46"/>
      <c r="CB465" s="46"/>
      <c r="CC465" s="46"/>
    </row>
    <row r="466">
      <c r="A466" s="87" t="str">
        <f>IFERROR(__xludf.DUMMYFUNCTION("""COMPUTED_VALUE"""),"125")</f>
        <v>125</v>
      </c>
      <c r="B466" s="46" t="str">
        <f>IFERROR(__xludf.DUMMYFUNCTION("""COMPUTED_VALUE"""),"Casa campestre en conjunto - Rivera")</f>
        <v>Casa campestre en conjunto - Rivera</v>
      </c>
      <c r="C466" s="46" t="str">
        <f>IFERROR(__xludf.DUMMYFUNCTION("""COMPUTED_VALUE"""),"Casa campestre en conjunto")</f>
        <v>Casa campestre en conjunto</v>
      </c>
      <c r="D466" s="46"/>
      <c r="E466" s="46"/>
      <c r="F466" s="90">
        <f>IFERROR(__xludf.DUMMYFUNCTION("""COMPUTED_VALUE"""),5.2E8)</f>
        <v>520000000</v>
      </c>
      <c r="G466" s="46" t="str">
        <f>IFERROR(__xludf.DUMMYFUNCTION("""COMPUTED_VALUE"""),"$500'000.000 a $1.000'000.000")</f>
        <v>$500'000.000 a $1.000'000.000</v>
      </c>
      <c r="H466" s="46"/>
      <c r="I466" s="46"/>
      <c r="J466" s="46" t="str">
        <f>IFERROR(__xludf.DUMMYFUNCTION("""COMPUTED_VALUE"""),"Sur")</f>
        <v>Sur</v>
      </c>
      <c r="K466" s="87"/>
      <c r="L466" s="46">
        <f>IFERROR(__xludf.DUMMYFUNCTION("""COMPUTED_VALUE"""),3.0)</f>
        <v>3</v>
      </c>
      <c r="M466" s="46"/>
      <c r="N466" s="46">
        <f>IFERROR(__xludf.DUMMYFUNCTION("""COMPUTED_VALUE"""),2.0)</f>
        <v>2</v>
      </c>
      <c r="O466" s="46">
        <f>IFERROR(__xludf.DUMMYFUNCTION("""COMPUTED_VALUE"""),4.0)</f>
        <v>4</v>
      </c>
      <c r="P466" s="46">
        <f>IFERROR(__xludf.DUMMYFUNCTION("""COMPUTED_VALUE"""),1.0)</f>
        <v>1</v>
      </c>
      <c r="Q466" s="92">
        <f>IFERROR(__xludf.DUMMYFUNCTION("""COMPUTED_VALUE"""),240.0)</f>
        <v>240</v>
      </c>
      <c r="R466" s="92">
        <f>IFERROR(__xludf.DUMMYFUNCTION("""COMPUTED_VALUE"""),1000.0)</f>
        <v>1000</v>
      </c>
      <c r="S466" s="87" t="str">
        <f>IFERROR(__xludf.DUMMYFUNCTION("""COMPUTED_VALUE""")," ")</f>
        <v> </v>
      </c>
      <c r="T466" s="46" t="str">
        <f>IFERROR(__xludf.DUMMYFUNCTION("""COMPUTED_VALUE"""),"Rivera")</f>
        <v>Rivera</v>
      </c>
      <c r="U466" s="87"/>
      <c r="V466" s="46" t="str">
        <f>IFERROR(__xludf.DUMMYFUNCTION("""COMPUTED_VALUE"""),"Medianera")</f>
        <v>Medianera</v>
      </c>
      <c r="W466" s="46"/>
      <c r="X466" s="46">
        <f>IFERROR(__xludf.DUMMYFUNCTION("""COMPUTED_VALUE"""),3.0)</f>
        <v>3</v>
      </c>
      <c r="Y466" s="46" t="str">
        <f>IFERROR(__xludf.DUMMYFUNCTION("""COMPUTED_VALUE"""),"Privada")</f>
        <v>Privada</v>
      </c>
      <c r="Z466" s="90">
        <f>IFERROR(__xludf.DUMMYFUNCTION("""COMPUTED_VALUE"""),350000.0)</f>
        <v>350000</v>
      </c>
      <c r="AA466" s="33" t="str">
        <f>IFERROR(__xludf.DUMMYFUNCTION("""COMPUTED_VALUE"""),"No aplica")</f>
        <v>No aplica</v>
      </c>
      <c r="AB466" s="96" t="str">
        <f>IFERROR(__xludf.DUMMYFUNCTION("""COMPUTED_VALUE"""),"https://photos.app.goo.gl/D9pupPaSpZULnSti7")</f>
        <v>https://photos.app.goo.gl/D9pupPaSpZULnSti7</v>
      </c>
      <c r="AC466" s="46" t="str">
        <f>IFERROR(__xludf.DUMMYFUNCTION("""COMPUTED_VALUE"""),"El área social exterior está perfectamente diseñada para el entretenimiento y la desconexión total. Cuenta con un majestuoso árbol ornamental decorado con luces y elementos colgantes, el cual incorpora en su base una barra social circular con acabados de "&amp;"piedra y cómodas sillas tipo bar, creando un ambiente mágico para reuniones diurnas o nocturnas. Junto a esta zona, la propiedad ofrece un sofisticado jacuzzi privado estructurado sobre niveles elevados con iluminación LED empotrada en sus escalones, idea"&amp;"l para relajarse bajo las estrellas en las noches de Rivera. En su sección interna, la casa dispone de una amplia sala-comedor con excelente iluminación natural, una cocina integral funcional, 3 habitaciones cómodas y 2 baños completos con acabados tradic"&amp;"ionales.")</f>
        <v>El área social exterior está perfectamente diseñada para el entretenimiento y la desconexión total. Cuenta con un majestuoso árbol ornamental decorado con luces y elementos colgantes, el cual incorpora en su base una barra social circular con acabados de piedra y cómodas sillas tipo bar, creando un ambiente mágico para reuniones diurnas o nocturnas. Junto a esta zona, la propiedad ofrece un sofisticado jacuzzi privado estructurado sobre niveles elevados con iluminación LED empotrada en sus escalones, ideal para relajarse bajo las estrellas en las noches de Rivera. En su sección interna, la casa dispone de una amplia sala-comedor con excelente iluminación natural, una cocina integral funcional, 3 habitaciones cómodas y 2 baños completos con acabados tradicionales.</v>
      </c>
      <c r="AD466" s="46" t="str">
        <f>IFERROR(__xludf.DUMMYFUNCTION("""COMPUTED_VALUE"""),"Esta espectacular casa campestre de $1.000\text{ m}^2$ de lote y $240\text{ m}^2$ construidos, ubicada en un exclusivo conjunto cerrado en el municipio de Rivera, Huila, ofrece el equilibrio perfecto entre la naturaleza, el descanso y el confort moderno. "&amp;"El ingreso a la propiedad destaca por un imponente portón metálico artesanal con detalles decorativos de hojas y texturas naturales, integrado de manera fluida con un frondoso cerco vivo. La vivienda principal cautiva a primera vista con su hermosa arquit"&amp;"ectura rústica y ecológica, construida con estructuras de guadua pulida a la vista, un amplio corredor perimetral con barandas de madera —ideal para la disposición de hamacas— y un techo de estilo colonial que aporta una gran frescura térmica y encanto tr"&amp;"adicional. El diseño exterior incluye senderos peatonales en piedra clara texturizada que guían a través de amplias zonas verdes y jardines meticulosamente cuidados.")</f>
        <v>Esta espectacular casa campestre de $1.000\text{ m}^2$ de lote y $240\text{ m}^2$ construidos, ubicada en un exclusivo conjunto cerrado en el municipio de Rivera, Huila, ofrece el equilibrio perfecto entre la naturaleza, el descanso y el confort moderno. El ingreso a la propiedad destaca por un imponente portón metálico artesanal con detalles decorativos de hojas y texturas naturales, integrado de manera fluida con un frondoso cerco vivo. La vivienda principal cautiva a primera vista con su hermosa arquitectura rústica y ecológica, construida con estructuras de guadua pulida a la vista, un amplio corredor perimetral con barandas de madera —ideal para la disposición de hamacas— y un techo de estilo colonial que aporta una gran frescura térmica y encanto tradicional. El diseño exterior incluye senderos peatonales en piedra clara texturizada que guían a través de amplias zonas verdes y jardines meticulosamente cuidados.</v>
      </c>
      <c r="AE466" s="46"/>
      <c r="AF466" s="46" t="str">
        <f>IFERROR(__xludf.DUMMYFUNCTION("""COMPUTED_VALUE"""),"semi-integral")</f>
        <v>semi-integral</v>
      </c>
      <c r="AG466" s="46"/>
      <c r="AH466" s="46" t="str">
        <f>IFERROR(__xludf.DUMMYFUNCTION("""COMPUTED_VALUE"""),"Aliado")</f>
        <v>Aliado</v>
      </c>
      <c r="AI466" s="92" t="str">
        <f>IFERROR(__xludf.DUMMYFUNCTION("""COMPUTED_VALUE"""),"https://lh3.googleusercontent.com/pw/AP1GczO39ArcAroXOsIXUTsncQ7CHqgO1-tg2CzJAChIEhITCLyF3dx9faiX5NBGI59R5JfUZPId-vx83GxQTO0fJLxijJZc9nollkqrL7L86NqJ2xqmTa4x=w1200|https://lh3.googleusercontent.com/pw/AP1GczM28Kn7AgOiCNbS0gT7s3BGyti93tXhwz6q0ab7HBlu9l9N1O"&amp;"66ChvCRVAJThXULb3bE0XIyKv8U7E27Zqw4h0j19uSkZTx9s1AfD9w9I3bHzMLavT8=w1200|https://lh3.googleusercontent.com/pw/AP1GczMTl-KES9vAaKI6_l4kmHIkT5gkAgauejqJ1748QKwwYDmg82VwEPX9h8bA_m7L4KCawIgSVVyZ4N71Gq8DOnbTFla1mjDLd19KnsJMAwY9h7rxLUyM=w1200|https://lh3.google"&amp;"usercontent.com/pw/AP1GczOmfUzJh3LpJAZjtWXUY2VjzgOP4Rfv5KRjCxb7wVUAVxnT3F1NZALmJqA4dVFBVTofkufIB9_xtsydu6iDZho9K7mIsmHKxtnXrmMfTqEKqmIixg7x=w1200|https://lh3.googleusercontent.com/pw/AP1GczPRS7_LiUWv1r3JFnGbun6cWq4oekpY5K7YerBeJbTBjVy7Eo_9HUsUFMBeChhATCdq"&amp;"esukjVHUGyAvC0iuPp9TuEfGQVhYZ1LZnVPM-qipJN4t6Da2=w1200|https://lh3.googleusercontent.com/pw/AP1GczObbiGY9369hbEE58xQP2IAZJtUcQdrgf3gHIofWveojb3SQ_I1Wfzfu8CNljm4O8ZMBuCd9LE2FdKuX-g1l-YlKfHC1XVQ_oJ7mZoPdsl5IGrClKnq=w1200|https://lh3.googleusercontent.com/pw"&amp;"/AP1GczNBHhXuysIb7hvrsSIonoTmQD9FF7TSiexYja_jzERQ2vfwq5yCctrEYF45_fllV7KdEXN4zDXCSTEgJxf2G_aq8q-87Njbg74bogcNQHJyFJc_AKlY=w1200|https://lh3.googleusercontent.com/pw/AP1GczPAAiDnCIb_V164eqtpdoCWvG7kzD9iMqkA4U0uMtt2gXsE97SZDkQcqasRW_4P8qoMpny2CL9f3UiVBkMwmH"&amp;"OF8em_nCnNRm5CkUGrCvVY6P1xVCy0=w1200|https://lh3.googleusercontent.com/pw/AP1GczNSqkFDjYJmq4OhxgX78vviCoSjnGiUQ7QyZrCPmhuGvaUvxIGX4kwxYm9Ju9RM_pm6tZAoKuzXVRIlAePd53rpH7jNritp_Je8l6Po3kylZrL-LxQA=w1200|https://lh3.googleusercontent.com/pw/AP1GczPnENW2HqtOd"&amp;"ZFtcCFjg4wUYVDPexMAgjKIe-_T8d7YsP23_6Xti9X2T1s6lCcaQ9DUtHc2B_CGIbDTuAUvTUpWvMo3FQ-qtnjLWdfOgTF8W1hCTV26=w1200")</f>
        <v>https://lh3.googleusercontent.com/pw/AP1GczO39ArcAroXOsIXUTsncQ7CHqgO1-tg2CzJAChIEhITCLyF3dx9faiX5NBGI59R5JfUZPId-vx83GxQTO0fJLxijJZc9nollkqrL7L86NqJ2xqmTa4x=w1200|https://lh3.googleusercontent.com/pw/AP1GczM28Kn7AgOiCNbS0gT7s3BGyti93tXhwz6q0ab7HBlu9l9N1O66ChvCRVAJThXULb3bE0XIyKv8U7E27Zqw4h0j19uSkZTx9s1AfD9w9I3bHzMLavT8=w1200|https://lh3.googleusercontent.com/pw/AP1GczMTl-KES9vAaKI6_l4kmHIkT5gkAgauejqJ1748QKwwYDmg82VwEPX9h8bA_m7L4KCawIgSVVyZ4N71Gq8DOnbTFla1mjDLd19KnsJMAwY9h7rxLUyM=w1200|https://lh3.googleusercontent.com/pw/AP1GczOmfUzJh3LpJAZjtWXUY2VjzgOP4Rfv5KRjCxb7wVUAVxnT3F1NZALmJqA4dVFBVTofkufIB9_xtsydu6iDZho9K7mIsmHKxtnXrmMfTqEKqmIixg7x=w1200|https://lh3.googleusercontent.com/pw/AP1GczPRS7_LiUWv1r3JFnGbun6cWq4oekpY5K7YerBeJbTBjVy7Eo_9HUsUFMBeChhATCdqesukjVHUGyAvC0iuPp9TuEfGQVhYZ1LZnVPM-qipJN4t6Da2=w1200|https://lh3.googleusercontent.com/pw/AP1GczObbiGY9369hbEE58xQP2IAZJtUcQdrgf3gHIofWveojb3SQ_I1Wfzfu8CNljm4O8ZMBuCd9LE2FdKuX-g1l-YlKfHC1XVQ_oJ7mZoPdsl5IGrClKnq=w1200|https://lh3.googleusercontent.com/pw/AP1GczNBHhXuysIb7hvrsSIonoTmQD9FF7TSiexYja_jzERQ2vfwq5yCctrEYF45_fllV7KdEXN4zDXCSTEgJxf2G_aq8q-87Njbg74bogcNQHJyFJc_AKlY=w1200|https://lh3.googleusercontent.com/pw/AP1GczPAAiDnCIb_V164eqtpdoCWvG7kzD9iMqkA4U0uMtt2gXsE97SZDkQcqasRW_4P8qoMpny2CL9f3UiVBkMwmHOF8em_nCnNRm5CkUGrCvVY6P1xVCy0=w1200|https://lh3.googleusercontent.com/pw/AP1GczNSqkFDjYJmq4OhxgX78vviCoSjnGiUQ7QyZrCPmhuGvaUvxIGX4kwxYm9Ju9RM_pm6tZAoKuzXVRIlAePd53rpH7jNritp_Je8l6Po3kylZrL-LxQA=w1200|https://lh3.googleusercontent.com/pw/AP1GczPnENW2HqtOdZFtcCFjg4wUYVDPexMAgjKIe-_T8d7YsP23_6Xti9X2T1s6lCcaQ9DUtHc2B_CGIbDTuAUvTUpWvMo3FQ-qtnjLWdfOgTF8W1hCTV26=w1200</v>
      </c>
      <c r="AJ466" s="46"/>
      <c r="AK466" s="46"/>
      <c r="AL466" s="46"/>
      <c r="AM466" s="46"/>
      <c r="AN466" s="46"/>
      <c r="AO466" s="46"/>
      <c r="AP466" s="46"/>
      <c r="AQ466" s="46"/>
      <c r="AR466" s="46"/>
      <c r="AS466" s="46"/>
      <c r="AT466" s="46"/>
      <c r="AU466" s="46"/>
      <c r="AV466" s="46"/>
      <c r="AW466" s="46"/>
      <c r="AX466" s="46"/>
      <c r="AY466" s="46"/>
      <c r="AZ466" s="46"/>
      <c r="BA466" s="46"/>
      <c r="BB466" s="46"/>
      <c r="BC466" s="46"/>
      <c r="BD466" s="46"/>
      <c r="BE466" s="46"/>
      <c r="BF466" s="46"/>
      <c r="BG466" s="46"/>
      <c r="BH466" s="46"/>
      <c r="BI466" s="46"/>
      <c r="BJ466" s="46"/>
      <c r="BK466" s="46"/>
      <c r="BL466" s="46"/>
      <c r="BM466" s="46"/>
      <c r="BN466" s="46"/>
      <c r="BO466" s="46"/>
      <c r="BP466" s="46"/>
      <c r="BQ466" s="46"/>
      <c r="BR466" s="46"/>
      <c r="BS466" s="46"/>
      <c r="BT466" s="46"/>
      <c r="BU466" s="46"/>
      <c r="BV466" s="46"/>
      <c r="BW466" s="46"/>
      <c r="BX466" s="46"/>
      <c r="BY466" s="46"/>
      <c r="BZ466" s="46"/>
      <c r="CA466" s="46"/>
      <c r="CB466" s="46"/>
      <c r="CC466" s="46"/>
    </row>
    <row r="467">
      <c r="A467" s="87" t="str">
        <f>IFERROR(__xludf.DUMMYFUNCTION("""COMPUTED_VALUE"""),"863")</f>
        <v>863</v>
      </c>
      <c r="B467" s="46" t="str">
        <f>IFERROR(__xludf.DUMMYFUNCTION("""COMPUTED_VALUE"""),"Apartamento en conjunto Amaranto Club House - Norte")</f>
        <v>Apartamento en conjunto Amaranto Club House - Norte</v>
      </c>
      <c r="C467" s="46" t="str">
        <f>IFERROR(__xludf.DUMMYFUNCTION("""COMPUTED_VALUE"""),"Apartamento en conjunto")</f>
        <v>Apartamento en conjunto</v>
      </c>
      <c r="D467" s="46" t="str">
        <f>IFERROR(__xludf.DUMMYFUNCTION("""COMPUTED_VALUE"""),"Villa Carolina")</f>
        <v>Villa Carolina</v>
      </c>
      <c r="E467" s="46" t="str">
        <f>IFERROR(__xludf.DUMMYFUNCTION("""COMPUTED_VALUE"""),"Conjunto Amaranto Club House ")</f>
        <v>Conjunto Amaranto Club House </v>
      </c>
      <c r="F467" s="90">
        <f>IFERROR(__xludf.DUMMYFUNCTION("""COMPUTED_VALUE"""),4.6E8)</f>
        <v>460000000</v>
      </c>
      <c r="G467" s="46" t="str">
        <f>IFERROR(__xludf.DUMMYFUNCTION("""COMPUTED_VALUE"""),"$400'000.000 a $500'000.000")</f>
        <v>$400'000.000 a $500'000.000</v>
      </c>
      <c r="H467" s="46"/>
      <c r="I467" s="46"/>
      <c r="J467" s="46" t="str">
        <f>IFERROR(__xludf.DUMMYFUNCTION("""COMPUTED_VALUE"""),"Norte")</f>
        <v>Norte</v>
      </c>
      <c r="K467" s="87" t="str">
        <f>IFERROR(__xludf.DUMMYFUNCTION("""COMPUTED_VALUE"""),"2")</f>
        <v>2</v>
      </c>
      <c r="L467" s="46">
        <f>IFERROR(__xludf.DUMMYFUNCTION("""COMPUTED_VALUE"""),3.0)</f>
        <v>3</v>
      </c>
      <c r="M467" s="46"/>
      <c r="N467" s="46">
        <f>IFERROR(__xludf.DUMMYFUNCTION("""COMPUTED_VALUE"""),2.0)</f>
        <v>2</v>
      </c>
      <c r="O467" s="46">
        <f>IFERROR(__xludf.DUMMYFUNCTION("""COMPUTED_VALUE"""),1.0)</f>
        <v>1</v>
      </c>
      <c r="P467" s="46">
        <f>IFERROR(__xludf.DUMMYFUNCTION("""COMPUTED_VALUE"""),2.0)</f>
        <v>2</v>
      </c>
      <c r="Q467" s="92">
        <f>IFERROR(__xludf.DUMMYFUNCTION("""COMPUTED_VALUE"""),95.0)</f>
        <v>95</v>
      </c>
      <c r="R467" s="92">
        <f>IFERROR(__xludf.DUMMYFUNCTION("""COMPUTED_VALUE"""),105.0)</f>
        <v>105</v>
      </c>
      <c r="S467" s="87" t="str">
        <f>IFERROR(__xludf.DUMMYFUNCTION("""COMPUTED_VALUE""")," ")</f>
        <v> </v>
      </c>
      <c r="T467" s="46" t="str">
        <f>IFERROR(__xludf.DUMMYFUNCTION("""COMPUTED_VALUE"""),"Neiva")</f>
        <v>Neiva</v>
      </c>
      <c r="U467" s="87" t="str">
        <f>IFERROR(__xludf.DUMMYFUNCTION("""COMPUTED_VALUE"""),"4")</f>
        <v>4</v>
      </c>
      <c r="V467" s="46" t="str">
        <f>IFERROR(__xludf.DUMMYFUNCTION("""COMPUTED_VALUE"""),"2do.")</f>
        <v>2do.</v>
      </c>
      <c r="W467" s="46"/>
      <c r="X467" s="46">
        <f>IFERROR(__xludf.DUMMYFUNCTION("""COMPUTED_VALUE"""),3.0)</f>
        <v>3</v>
      </c>
      <c r="Y467" s="46" t="str">
        <f>IFERROR(__xludf.DUMMYFUNCTION("""COMPUTED_VALUE"""),"Social")</f>
        <v>Social</v>
      </c>
      <c r="Z467" s="90">
        <f>IFERROR(__xludf.DUMMYFUNCTION("""COMPUTED_VALUE"""),380000.0)</f>
        <v>380000</v>
      </c>
      <c r="AA467" s="33" t="str">
        <f>IFERROR(__xludf.DUMMYFUNCTION("""COMPUTED_VALUE"""),"No aplica")</f>
        <v>No aplica</v>
      </c>
      <c r="AB467" s="96" t="str">
        <f>IFERROR(__xludf.DUMMYFUNCTION("""COMPUTED_VALUE"""),"https://photos.app.goo.gl/YLP6sZdKuYn23Xnr5")</f>
        <v>https://photos.app.goo.gl/YLP6sZdKuYn23Xnr5</v>
      </c>
      <c r="AC467" s="46" t="str">
        <f>IFERROR(__xludf.DUMMYFUNCTION("""COMPUTED_VALUE"""),"Exclusivo apartamento de $105\text{ m}^2$ ubicado en un segundo piso al norte de Neiva, en el reconocido conjunto Amaranto Club House. Cuenta con una excelente distribución de 3 habitaciones (la principal con baño privado y balcón), baño auxiliar, sala-co"&amp;"medor amplia con balcón, cocina integral moderna, zona de lavandería independiente, estudio ideal para home office, parqueadero privado y depósito. Su estrato es 4.")</f>
        <v>Exclusivo apartamento de $105\text{ m}^2$ ubicado en un segundo piso al norte de Neiva, en el reconocido conjunto Amaranto Club House. Cuenta con una excelente distribución de 3 habitaciones (la principal con baño privado y balcón), baño auxiliar, sala-comedor amplia con balcón, cocina integral moderna, zona de lavandería independiente, estudio ideal para home office, parqueadero privado y depósito. Su estrato es 4.</v>
      </c>
      <c r="AD467" s="46" t="str">
        <f>IFERROR(__xludf.DUMMYFUNCTION("""COMPUTED_VALUE"""),"Vivir aquí es disfrutar de un verdadero Club House sin salir de casa: cuenta con piscinas, canchas de tenis, squash y múltiple, zona BBQ, senderos verdes y hasta minimarket, pizzería y panadería internos con seguridad privada 24/7. Es la combinación perfe"&amp;"cta de confort familiar, ubicación privilegiada con vista externa y una alta valorización que garantiza que su inversión comience a ganar rentabilidad desde el primer día. ")</f>
        <v>Vivir aquí es disfrutar de un verdadero Club House sin salir de casa: cuenta con piscinas, canchas de tenis, squash y múltiple, zona BBQ, senderos verdes y hasta minimarket, pizzería y panadería internos con seguridad privada 24/7. Es la combinación perfecta de confort familiar, ubicación privilegiada con vista externa y una alta valorización que garantiza que su inversión comience a ganar rentabilidad desde el primer día. </v>
      </c>
      <c r="AE467" s="46"/>
      <c r="AF467" s="46" t="str">
        <f>IFERROR(__xludf.DUMMYFUNCTION("""COMPUTED_VALUE"""),"integral")</f>
        <v>integral</v>
      </c>
      <c r="AG467" s="46"/>
      <c r="AH467" s="46" t="str">
        <f>IFERROR(__xludf.DUMMYFUNCTION("""COMPUTED_VALUE"""),"Aliado")</f>
        <v>Aliado</v>
      </c>
      <c r="AI467" s="92" t="str">
        <f>IFERROR(__xludf.DUMMYFUNCTION("""COMPUTED_VALUE"""),"https://lh3.googleusercontent.com/pw/AP1GczOv2HACQfiKE7WQEmU_raWWroiQm-4MTAU4yStZpqhIEYNexRdJxb6lqRTIooWfdmXEF9XvAKcNiiWWuth5J7Yisl2AszvaVDyyc78hdGzaoQDIOGp-=w1200|https://lh3.googleusercontent.com/pw/AP1GczMnLDZcesvL-5vbWgLnKfvYNG29vpzTO3PrUx2BrNwR1ke0e1"&amp;"2RB8FNe490PdK6MBFOpaqrvO2asz00od5exVGG7IiND3vIZFdtTDzf36r69JL4dMCx=w1200|https://lh3.googleusercontent.com/pw/AP1GczMFHmfjGWgs9dfWEmPPDFnh6XsJZWlnp6tKMfXIWEn11qYi_55fDykTcQJLcSdwrzb0TVO7IqezYqN9tuRTkRjR54m3KM1VSkLI6DmaBfDXJNpdvdYF=w1200|https://lh3.google"&amp;"usercontent.com/pw/AP1GczPe0MSpD2QpJ6N5fKU6QwcqAk1-IOF8xK_9uoi3mMgV3euPeTxcMwn4caa8hwtkJSqELMPm2vk9k_ad3eQAqRPHX9qq3ErHIwsqLIJhqlIOkAIMy-aG=w1200|https://lh3.googleusercontent.com/pw/AP1GczNtdkkqq-ukvSr_-umSEFJKXHhpxNuZ0LIgoHwtf8zRvvS-RE7I9zgXVm9brUxI7jMR"&amp;"UvQa85xC5CsQAHBHCKje31esiazAIIFFRwFnwM0vjPJQSt-d=w1200|https://lh3.googleusercontent.com/pw/AP1GczNNxN51JtkmJm1FTy5gcA4MyJ5_brqCS9PLY6tBh9kibTVEL4ISz7LghRtfgiAo1WxTtgmgK-mA2BbnRNMfOWpiM-xbAcrz2m9QjozmsGG0xtPWAsJC=w1200|https://lh3.googleusercontent.com/pw"&amp;"/AP1GczOTA3MdUheU70KV4haYjG-a9wnjjINFHoNxI4WKcDUWl7vXVlEZyKBlXA4R4y5Pi9OASyRaHhB5vN0i5wizBH1_T0BuwJa91tPiyUP5OoD5U3ovG0uG=w1200|https://lh3.googleusercontent.com/pw/AP1GczMUJ21MIGS5dU_UiwUpyn9r8LLCkQH1TfHl2MoKjuXa1ljMIh3nfSJfjYw_wDdIxE_goAk5MYrA0z-ab3tegI"&amp;"NmPW_NkT4I1XJxjU0Av53g-Wvy5hZO=w1200|https://lh3.googleusercontent.com/pw/AP1GczM6BJ7Weg1JN_iwEc_4kzhabywdE_Nx1gygTPPzP3ORuhrLaGj47H3uGDEZCgNKm5vadUGSxg3o8F99YtI77Vk8vBfMXjE4Kdkqa1VazDmpdPLyf71S=w1200|https://lh3.googleusercontent.com/pw/AP1GczMRNxvjkF0v4"&amp;"V-XPfL9Wnp3TYT0fNH3KBJ-btIjzQG30N6jJwa9LGvfpBm4ppXm7z7sB4thTNVUc6nMiX5j__w2qyaBS2hog3qU-yqNfRXYXlXDPowB=w1200")</f>
        <v>https://lh3.googleusercontent.com/pw/AP1GczOv2HACQfiKE7WQEmU_raWWroiQm-4MTAU4yStZpqhIEYNexRdJxb6lqRTIooWfdmXEF9XvAKcNiiWWuth5J7Yisl2AszvaVDyyc78hdGzaoQDIOGp-=w1200|https://lh3.googleusercontent.com/pw/AP1GczMnLDZcesvL-5vbWgLnKfvYNG29vpzTO3PrUx2BrNwR1ke0e12RB8FNe490PdK6MBFOpaqrvO2asz00od5exVGG7IiND3vIZFdtTDzf36r69JL4dMCx=w1200|https://lh3.googleusercontent.com/pw/AP1GczMFHmfjGWgs9dfWEmPPDFnh6XsJZWlnp6tKMfXIWEn11qYi_55fDykTcQJLcSdwrzb0TVO7IqezYqN9tuRTkRjR54m3KM1VSkLI6DmaBfDXJNpdvdYF=w1200|https://lh3.googleusercontent.com/pw/AP1GczPe0MSpD2QpJ6N5fKU6QwcqAk1-IOF8xK_9uoi3mMgV3euPeTxcMwn4caa8hwtkJSqELMPm2vk9k_ad3eQAqRPHX9qq3ErHIwsqLIJhqlIOkAIMy-aG=w1200|https://lh3.googleusercontent.com/pw/AP1GczNtdkkqq-ukvSr_-umSEFJKXHhpxNuZ0LIgoHwtf8zRvvS-RE7I9zgXVm9brUxI7jMRUvQa85xC5CsQAHBHCKje31esiazAIIFFRwFnwM0vjPJQSt-d=w1200|https://lh3.googleusercontent.com/pw/AP1GczNNxN51JtkmJm1FTy5gcA4MyJ5_brqCS9PLY6tBh9kibTVEL4ISz7LghRtfgiAo1WxTtgmgK-mA2BbnRNMfOWpiM-xbAcrz2m9QjozmsGG0xtPWAsJC=w1200|https://lh3.googleusercontent.com/pw/AP1GczOTA3MdUheU70KV4haYjG-a9wnjjINFHoNxI4WKcDUWl7vXVlEZyKBlXA4R4y5Pi9OASyRaHhB5vN0i5wizBH1_T0BuwJa91tPiyUP5OoD5U3ovG0uG=w1200|https://lh3.googleusercontent.com/pw/AP1GczMUJ21MIGS5dU_UiwUpyn9r8LLCkQH1TfHl2MoKjuXa1ljMIh3nfSJfjYw_wDdIxE_goAk5MYrA0z-ab3tegINmPW_NkT4I1XJxjU0Av53g-Wvy5hZO=w1200|https://lh3.googleusercontent.com/pw/AP1GczM6BJ7Weg1JN_iwEc_4kzhabywdE_Nx1gygTPPzP3ORuhrLaGj47H3uGDEZCgNKm5vadUGSxg3o8F99YtI77Vk8vBfMXjE4Kdkqa1VazDmpdPLyf71S=w1200|https://lh3.googleusercontent.com/pw/AP1GczMRNxvjkF0v4V-XPfL9Wnp3TYT0fNH3KBJ-btIjzQG30N6jJwa9LGvfpBm4ppXm7z7sB4thTNVUc6nMiX5j__w2qyaBS2hog3qU-yqNfRXYXlXDPowB=w1200</v>
      </c>
      <c r="AJ467" s="46"/>
      <c r="AK467" s="46"/>
      <c r="AL467" s="46"/>
      <c r="AM467" s="46"/>
      <c r="AN467" s="46"/>
      <c r="AO467" s="46"/>
      <c r="AP467" s="46"/>
      <c r="AQ467" s="46"/>
      <c r="AR467" s="46"/>
      <c r="AS467" s="46"/>
      <c r="AT467" s="46"/>
      <c r="AU467" s="46"/>
      <c r="AV467" s="46"/>
      <c r="AW467" s="46"/>
      <c r="AX467" s="46"/>
      <c r="AY467" s="46"/>
      <c r="AZ467" s="46"/>
      <c r="BA467" s="46"/>
      <c r="BB467" s="46"/>
      <c r="BC467" s="46"/>
      <c r="BD467" s="46"/>
      <c r="BE467" s="46"/>
      <c r="BF467" s="46"/>
      <c r="BG467" s="46"/>
      <c r="BH467" s="46"/>
      <c r="BI467" s="46"/>
      <c r="BJ467" s="46"/>
      <c r="BK467" s="46"/>
      <c r="BL467" s="46"/>
      <c r="BM467" s="46"/>
      <c r="BN467" s="46"/>
      <c r="BO467" s="46"/>
      <c r="BP467" s="46"/>
      <c r="BQ467" s="46"/>
      <c r="BR467" s="46"/>
      <c r="BS467" s="46"/>
      <c r="BT467" s="46"/>
      <c r="BU467" s="46"/>
      <c r="BV467" s="46"/>
      <c r="BW467" s="46"/>
      <c r="BX467" s="46"/>
      <c r="BY467" s="46"/>
      <c r="BZ467" s="46"/>
      <c r="CA467" s="46"/>
      <c r="CB467" s="46"/>
      <c r="CC467" s="46"/>
    </row>
    <row r="468">
      <c r="A468" s="87" t="str">
        <f>IFERROR(__xludf.DUMMYFUNCTION("""COMPUTED_VALUE"""),"113")</f>
        <v>113</v>
      </c>
      <c r="B468" s="46" t="str">
        <f>IFERROR(__xludf.DUMMYFUNCTION("""COMPUTED_VALUE"""),"Casa en barrio El Tesoro - Oriente")</f>
        <v>Casa en barrio El Tesoro - Oriente</v>
      </c>
      <c r="C468" s="46" t="str">
        <f>IFERROR(__xludf.DUMMYFUNCTION("""COMPUTED_VALUE"""),"Casa")</f>
        <v>Casa</v>
      </c>
      <c r="D468" s="46" t="str">
        <f>IFERROR(__xludf.DUMMYFUNCTION("""COMPUTED_VALUE"""),"El Tesoro")</f>
        <v>El Tesoro</v>
      </c>
      <c r="E468" s="46"/>
      <c r="F468" s="90">
        <f>IFERROR(__xludf.DUMMYFUNCTION("""COMPUTED_VALUE"""),4.5E8)</f>
        <v>450000000</v>
      </c>
      <c r="G468" s="46" t="str">
        <f>IFERROR(__xludf.DUMMYFUNCTION("""COMPUTED_VALUE"""),"$400'000.000 a $500'000.000")</f>
        <v>$400'000.000 a $500'000.000</v>
      </c>
      <c r="H468" s="46"/>
      <c r="I468" s="46"/>
      <c r="J468" s="46" t="str">
        <f>IFERROR(__xludf.DUMMYFUNCTION("""COMPUTED_VALUE"""),"Oriente")</f>
        <v>Oriente</v>
      </c>
      <c r="K468" s="87" t="str">
        <f>IFERROR(__xludf.DUMMYFUNCTION("""COMPUTED_VALUE"""),"10")</f>
        <v>10</v>
      </c>
      <c r="L468" s="46">
        <f>IFERROR(__xludf.DUMMYFUNCTION("""COMPUTED_VALUE"""),4.0)</f>
        <v>4</v>
      </c>
      <c r="M468" s="46"/>
      <c r="N468" s="46">
        <f>IFERROR(__xludf.DUMMYFUNCTION("""COMPUTED_VALUE"""),3.0)</f>
        <v>3</v>
      </c>
      <c r="O468" s="46">
        <f>IFERROR(__xludf.DUMMYFUNCTION("""COMPUTED_VALUE"""),1.0)</f>
        <v>1</v>
      </c>
      <c r="P468" s="46">
        <f>IFERROR(__xludf.DUMMYFUNCTION("""COMPUTED_VALUE"""),2.0)</f>
        <v>2</v>
      </c>
      <c r="Q468" s="92">
        <f>IFERROR(__xludf.DUMMYFUNCTION("""COMPUTED_VALUE"""),160.0)</f>
        <v>160</v>
      </c>
      <c r="R468" s="92">
        <f>IFERROR(__xludf.DUMMYFUNCTION("""COMPUTED_VALUE"""),105.0)</f>
        <v>105</v>
      </c>
      <c r="S468" s="87" t="str">
        <f>IFERROR(__xludf.DUMMYFUNCTION("""COMPUTED_VALUE""")," ")</f>
        <v> </v>
      </c>
      <c r="T468" s="46" t="str">
        <f>IFERROR(__xludf.DUMMYFUNCTION("""COMPUTED_VALUE"""),"Neiva")</f>
        <v>Neiva</v>
      </c>
      <c r="U468" s="87" t="str">
        <f>IFERROR(__xludf.DUMMYFUNCTION("""COMPUTED_VALUE"""),"2")</f>
        <v>2</v>
      </c>
      <c r="V468" s="46" t="str">
        <f>IFERROR(__xludf.DUMMYFUNCTION("""COMPUTED_VALUE"""),"Medianera")</f>
        <v>Medianera</v>
      </c>
      <c r="W468" s="46"/>
      <c r="X468" s="46">
        <f>IFERROR(__xludf.DUMMYFUNCTION("""COMPUTED_VALUE"""),4.0)</f>
        <v>4</v>
      </c>
      <c r="Y468" s="46" t="str">
        <f>IFERROR(__xludf.DUMMYFUNCTION("""COMPUTED_VALUE"""),"No tiene")</f>
        <v>No tiene</v>
      </c>
      <c r="Z468" s="90" t="str">
        <f>IFERROR(__xludf.DUMMYFUNCTION("""COMPUTED_VALUE"""),"No aplica")</f>
        <v>No aplica</v>
      </c>
      <c r="AA468" s="33" t="str">
        <f>IFERROR(__xludf.DUMMYFUNCTION("""COMPUTED_VALUE"""),"No aplica")</f>
        <v>No aplica</v>
      </c>
      <c r="AB468" s="96" t="str">
        <f>IFERROR(__xludf.DUMMYFUNCTION("""COMPUTED_VALUE"""),"https://photos.app.goo.gl/rSC7CmwTGgbbD8Rf7")</f>
        <v>https://photos.app.goo.gl/rSC7CmwTGgbbD8Rf7</v>
      </c>
      <c r="AC468" s="46" t="str">
        <f>IFERROR(__xludf.DUMMYFUNCTION("""COMPUTED_VALUE"""),"Esta excelente alternativa de vivienda e inversión se encuentra estratégicamente ubicada sobre una calle amplia en el tradicional Barrio El Tesoro, en el dinámico sector oriente de Neiva. La propiedad sobresale por su inteligente distribución en un área d"&amp;"e 105 m², ofreciendo un parqueadero adaptado para carro y motos, 3 baños completos y una cómoda sala de TV en el segundo piso que se convierte en el lugar ideal para el descanso familiar. Además, al encontrarse en estrato 2, garantiza un notable ahorro en"&amp;" el costo de los servicios públicos sin sacrificar la comodidad de un entorno residencial tranquilo.")</f>
        <v>Esta excelente alternativa de vivienda e inversión se encuentra estratégicamente ubicada sobre una calle amplia en el tradicional Barrio El Tesoro, en el dinámico sector oriente de Neiva. La propiedad sobresale por su inteligente distribución en un área de 105 m², ofreciendo un parqueadero adaptado para carro y motos, 3 baños completos y una cómoda sala de TV en el segundo piso que se convierte en el lugar ideal para el descanso familiar. Además, al encontrarse en estrato 2, garantiza un notable ahorro en el costo de los servicios públicos sin sacrificar la comodidad de un entorno residencial tranquilo.</v>
      </c>
      <c r="AD468" s="46" t="str">
        <f>IFERROR(__xludf.DUMMYFUNCTION("""COMPUTED_VALUE"""),"Con un total de 4 alcobas bien distribuidas, la casa asegura el espacio y la privacidad que cada miembro de la familia necesita. Su ubicación privilegia una conectividad envidiable, situándose a muy poca distancia de comercios locales, transporte público "&amp;"y servicios esenciales que facilitan el día a día. Es una oportunidad única tanto para quienes buscan establecer su hogar en una zona de alta valorización como para inversionistas interesados en un inmueble versátil, central y con gran potencial.")</f>
        <v>Con un total de 4 alcobas bien distribuidas, la casa asegura el espacio y la privacidad que cada miembro de la familia necesita. Su ubicación privilegia una conectividad envidiable, situándose a muy poca distancia de comercios locales, transporte público y servicios esenciales que facilitan el día a día. Es una oportunidad única tanto para quienes buscan establecer su hogar en una zona de alta valorización como para inversionistas interesados en un inmueble versátil, central y con gran potencial.</v>
      </c>
      <c r="AE468" s="46"/>
      <c r="AF468" s="46" t="str">
        <f>IFERROR(__xludf.DUMMYFUNCTION("""COMPUTED_VALUE"""),"integral")</f>
        <v>integral</v>
      </c>
      <c r="AG468" s="46"/>
      <c r="AH468" s="46" t="str">
        <f>IFERROR(__xludf.DUMMYFUNCTION("""COMPUTED_VALUE"""),"Aliado")</f>
        <v>Aliado</v>
      </c>
      <c r="AI468" s="92" t="str">
        <f>IFERROR(__xludf.DUMMYFUNCTION("""COMPUTED_VALUE"""),"https://lh3.googleusercontent.com/pw/AP1GczMcSLNPP1opnBYYdyYXhCzkw_89lDCq4PDM8J48uCzEu4aMLcFL4wzWNxuwkQhjEsx4jZK6ogWLPG_ockr_torCwA9GLe3nwFPlUv7Lbdv09odPPrms=w1200|https://lh3.googleusercontent.com/pw/AP1GczOfo6-NkADw0La13KMOdYfsROW2PIMYQ6lLQUcKZbJzoz3mVS"&amp;"HubX3V8e15nwNL3f1lZzj7qU1ik8NkfO9nTX-EXksqCbfaZj93vN0gc2I5yGxGOzPR=w1200|https://lh3.googleusercontent.com/pw/AP1GczPo5FBfaZSg9riQEyZnlw7aiK5csetYFwC7IbrYxtXG4pFBk5bqFMt1KhEuB7Dik0LOqOhm0II1JBubyZ3sUEDRchUai43K4c3maWQTftmhhf1Gr5vW=w1200|https://lh3.google"&amp;"usercontent.com/pw/AP1GczMoiBYyt73spjcULDf8w0bGYPnd6LrkpKCLWBN7d4yuiHYTiksvWtDYomh5LlV9bLUXtBQlQgQbQqt9gxHbU9c8hgEOCX98eUku6kzDsQiK9lMrQYV1=w1200|https://lh3.googleusercontent.com/pw/AP1GczM1ya1QvdGCLQ1mffCM2OjEXZrwjCrJAas9ISqp_YVbexsYx3RaUBQR1tYCr_N-VV9s"&amp;"3fBdoOtqRdZfuysHz_Dw6wlxujh9EYlotT-tea3zbwqJQXmz=w1200|https://lh3.googleusercontent.com/pw/AP1GczPJrqTthd4Km2aGdgkjkp1ycAHHfMv7Fts3k2Jz-WvN33XITmN5z7XUdxCL4wa1BHG7NnxJ2eEN0OyVaiJ2X5fBDnyAhuWYxGOvLO8IBf2OPcWO43fD=w1200|https://lh3.googleusercontent.com/pw"&amp;"/AP1GczMO4bFN9_4CeNqwFoU-EQSWRJVYKA2GIPvwF9HVbALNIDEbf3Weyx5nMb3JLLxxJ9Tr1YjiILU5IyTeypYM5Pd7bDbFR1Iz1Ih5E-9k1ALi7AecT92m=w1200|https://lh3.googleusercontent.com/pw/AP1GczPpGCGOgKqiBeA2u91p05KDsKmJvC40ToabEl7dK-q6mga01vGiwSCxfjj4l6Aa-G-wLKaB27x07QUpB2ga1_"&amp;"16bxF5nmeFhuAxEtP0BazU3QsVrx1Q=w1200")</f>
        <v>https://lh3.googleusercontent.com/pw/AP1GczMcSLNPP1opnBYYdyYXhCzkw_89lDCq4PDM8J48uCzEu4aMLcFL4wzWNxuwkQhjEsx4jZK6ogWLPG_ockr_torCwA9GLe3nwFPlUv7Lbdv09odPPrms=w1200|https://lh3.googleusercontent.com/pw/AP1GczOfo6-NkADw0La13KMOdYfsROW2PIMYQ6lLQUcKZbJzoz3mVSHubX3V8e15nwNL3f1lZzj7qU1ik8NkfO9nTX-EXksqCbfaZj93vN0gc2I5yGxGOzPR=w1200|https://lh3.googleusercontent.com/pw/AP1GczPo5FBfaZSg9riQEyZnlw7aiK5csetYFwC7IbrYxtXG4pFBk5bqFMt1KhEuB7Dik0LOqOhm0II1JBubyZ3sUEDRchUai43K4c3maWQTftmhhf1Gr5vW=w1200|https://lh3.googleusercontent.com/pw/AP1GczMoiBYyt73spjcULDf8w0bGYPnd6LrkpKCLWBN7d4yuiHYTiksvWtDYomh5LlV9bLUXtBQlQgQbQqt9gxHbU9c8hgEOCX98eUku6kzDsQiK9lMrQYV1=w1200|https://lh3.googleusercontent.com/pw/AP1GczM1ya1QvdGCLQ1mffCM2OjEXZrwjCrJAas9ISqp_YVbexsYx3RaUBQR1tYCr_N-VV9s3fBdoOtqRdZfuysHz_Dw6wlxujh9EYlotT-tea3zbwqJQXmz=w1200|https://lh3.googleusercontent.com/pw/AP1GczPJrqTthd4Km2aGdgkjkp1ycAHHfMv7Fts3k2Jz-WvN33XITmN5z7XUdxCL4wa1BHG7NnxJ2eEN0OyVaiJ2X5fBDnyAhuWYxGOvLO8IBf2OPcWO43fD=w1200|https://lh3.googleusercontent.com/pw/AP1GczMO4bFN9_4CeNqwFoU-EQSWRJVYKA2GIPvwF9HVbALNIDEbf3Weyx5nMb3JLLxxJ9Tr1YjiILU5IyTeypYM5Pd7bDbFR1Iz1Ih5E-9k1ALi7AecT92m=w1200|https://lh3.googleusercontent.com/pw/AP1GczPpGCGOgKqiBeA2u91p05KDsKmJvC40ToabEl7dK-q6mga01vGiwSCxfjj4l6Aa-G-wLKaB27x07QUpB2ga1_16bxF5nmeFhuAxEtP0BazU3QsVrx1Q=w1200</v>
      </c>
      <c r="AJ468" s="46"/>
      <c r="AK468" s="46"/>
      <c r="AL468" s="46"/>
      <c r="AM468" s="46"/>
      <c r="AN468" s="46"/>
      <c r="AO468" s="46"/>
      <c r="AP468" s="46"/>
      <c r="AQ468" s="46"/>
      <c r="AR468" s="46"/>
      <c r="AS468" s="46"/>
      <c r="AT468" s="46"/>
      <c r="AU468" s="46"/>
      <c r="AV468" s="46"/>
      <c r="AW468" s="46"/>
      <c r="AX468" s="46"/>
      <c r="AY468" s="46"/>
      <c r="AZ468" s="46"/>
      <c r="BA468" s="46"/>
      <c r="BB468" s="46"/>
      <c r="BC468" s="46"/>
      <c r="BD468" s="46"/>
      <c r="BE468" s="46"/>
      <c r="BF468" s="46"/>
      <c r="BG468" s="46"/>
      <c r="BH468" s="46"/>
      <c r="BI468" s="46"/>
      <c r="BJ468" s="46"/>
      <c r="BK468" s="46"/>
      <c r="BL468" s="46"/>
      <c r="BM468" s="46"/>
      <c r="BN468" s="46"/>
      <c r="BO468" s="46"/>
      <c r="BP468" s="46"/>
      <c r="BQ468" s="46"/>
      <c r="BR468" s="46"/>
      <c r="BS468" s="46"/>
      <c r="BT468" s="46"/>
      <c r="BU468" s="46"/>
      <c r="BV468" s="46"/>
      <c r="BW468" s="46"/>
      <c r="BX468" s="46"/>
      <c r="BY468" s="46"/>
      <c r="BZ468" s="46"/>
      <c r="CA468" s="46"/>
      <c r="CB468" s="46"/>
      <c r="CC468" s="46"/>
    </row>
    <row r="469">
      <c r="A469" s="87" t="str">
        <f>IFERROR(__xludf.DUMMYFUNCTION("""COMPUTED_VALUE"""),"940")</f>
        <v>940</v>
      </c>
      <c r="B469" s="46" t="str">
        <f>IFERROR(__xludf.DUMMYFUNCTION("""COMPUTED_VALUE"""),"Casa en conjunto Reservas de Alcalá - Norte")</f>
        <v>Casa en conjunto Reservas de Alcalá - Norte</v>
      </c>
      <c r="C469" s="46" t="str">
        <f>IFERROR(__xludf.DUMMYFUNCTION("""COMPUTED_VALUE"""),"Casa en conjunto")</f>
        <v>Casa en conjunto</v>
      </c>
      <c r="D469" s="46"/>
      <c r="E469" s="46" t="str">
        <f>IFERROR(__xludf.DUMMYFUNCTION("""COMPUTED_VALUE"""),"Conjunto Reservas de Alcalá ")</f>
        <v>Conjunto Reservas de Alcalá </v>
      </c>
      <c r="F469" s="90">
        <f>IFERROR(__xludf.DUMMYFUNCTION("""COMPUTED_VALUE"""),4.0E8)</f>
        <v>400000000</v>
      </c>
      <c r="G469" s="46" t="str">
        <f>IFERROR(__xludf.DUMMYFUNCTION("""COMPUTED_VALUE"""),"$400'000.000 a $500'000.000")</f>
        <v>$400'000.000 a $500'000.000</v>
      </c>
      <c r="H469" s="46"/>
      <c r="I469" s="46"/>
      <c r="J469" s="46" t="str">
        <f>IFERROR(__xludf.DUMMYFUNCTION("""COMPUTED_VALUE"""),"Norte")</f>
        <v>Norte</v>
      </c>
      <c r="K469" s="87"/>
      <c r="L469" s="46">
        <f>IFERROR(__xludf.DUMMYFUNCTION("""COMPUTED_VALUE"""),3.0)</f>
        <v>3</v>
      </c>
      <c r="M469" s="46"/>
      <c r="N469" s="46">
        <f>IFERROR(__xludf.DUMMYFUNCTION("""COMPUTED_VALUE"""),3.0)</f>
        <v>3</v>
      </c>
      <c r="O469" s="46">
        <f>IFERROR(__xludf.DUMMYFUNCTION("""COMPUTED_VALUE"""),1.0)</f>
        <v>1</v>
      </c>
      <c r="P469" s="46">
        <f>IFERROR(__xludf.DUMMYFUNCTION("""COMPUTED_VALUE"""),2.0)</f>
        <v>2</v>
      </c>
      <c r="Q469" s="92">
        <f>IFERROR(__xludf.DUMMYFUNCTION("""COMPUTED_VALUE"""),210.0)</f>
        <v>210</v>
      </c>
      <c r="R469" s="92">
        <f>IFERROR(__xludf.DUMMYFUNCTION("""COMPUTED_VALUE"""),125.0)</f>
        <v>125</v>
      </c>
      <c r="S469" s="87" t="str">
        <f>IFERROR(__xludf.DUMMYFUNCTION("""COMPUTED_VALUE""")," ")</f>
        <v> </v>
      </c>
      <c r="T469" s="46" t="str">
        <f>IFERROR(__xludf.DUMMYFUNCTION("""COMPUTED_VALUE"""),"Neiva")</f>
        <v>Neiva</v>
      </c>
      <c r="U469" s="87" t="str">
        <f>IFERROR(__xludf.DUMMYFUNCTION("""COMPUTED_VALUE"""),"4")</f>
        <v>4</v>
      </c>
      <c r="V469" s="46" t="str">
        <f>IFERROR(__xludf.DUMMYFUNCTION("""COMPUTED_VALUE"""),"Medianera")</f>
        <v>Medianera</v>
      </c>
      <c r="W469" s="46"/>
      <c r="X469" s="46">
        <f>IFERROR(__xludf.DUMMYFUNCTION("""COMPUTED_VALUE"""),3.0)</f>
        <v>3</v>
      </c>
      <c r="Y469" s="46" t="str">
        <f>IFERROR(__xludf.DUMMYFUNCTION("""COMPUTED_VALUE"""),"Social")</f>
        <v>Social</v>
      </c>
      <c r="Z469" s="90">
        <f>IFERROR(__xludf.DUMMYFUNCTION("""COMPUTED_VALUE"""),125000.0)</f>
        <v>125000</v>
      </c>
      <c r="AA469" s="33" t="str">
        <f>IFERROR(__xludf.DUMMYFUNCTION("""COMPUTED_VALUE"""),"No aplica")</f>
        <v>No aplica</v>
      </c>
      <c r="AB469" s="96" t="str">
        <f>IFERROR(__xludf.DUMMYFUNCTION("""COMPUTED_VALUE"""),"https://photos.app.goo.gl/vSPxGUArAYAc45gn8")</f>
        <v>https://photos.app.goo.gl/vSPxGUArAYAc45gn8</v>
      </c>
      <c r="AC469" s="46" t="str">
        <f>IFERROR(__xludf.DUMMYFUNCTION("""COMPUTED_VALUE"""),"sta espectacular casa de 2 pisos y $125\text{ m}^2$ ubicada en el exclusivo Conjunto Residencial Reserva de Alcalá, en la zona Norte de Neiva, destaca por una distribución impecable y acabados modernos de alta calidad. En el piso 1, la propiedad cuenta co"&amp;"n 1 garaje privado, una amplia sala, un comedor independiente y un estudio ideal para teletrabajo, acompañados de 1 baño social, una moderna cocina integral equipada con barra tipo americana en granito oscuro, y un patio con zona de lavandería delimitado "&amp;"por amplios ventanales corredizos. El piso 2 alberga el área privada con 3 habitaciones equipadas con clóset, destacando la alcoba principal que incorpora vestier, 1 baño privado y un generoso balcón, además de 1 baño auxiliar para las habitaciones secund"&amp;"arias. Todo el inmueble cuenta con acabados pulidos que incluyen pisos en porcelanato de formato grande, carpintería de madera clara texturizada en clósets y baños, divisiones de ducha en vidrio templado con grifería tipo ducha de techo y persianas modern"&amp;"as que regulan perfectamente la luz natural.")</f>
        <v>sta espectacular casa de 2 pisos y $125\text{ m}^2$ ubicada en el exclusivo Conjunto Residencial Reserva de Alcalá, en la zona Norte de Neiva, destaca por una distribución impecable y acabados modernos de alta calidad. En el piso 1, la propiedad cuenta con 1 garaje privado, una amplia sala, un comedor independiente y un estudio ideal para teletrabajo, acompañados de 1 baño social, una moderna cocina integral equipada con barra tipo americana en granito oscuro, y un patio con zona de lavandería delimitado por amplios ventanales corredizos. El piso 2 alberga el área privada con 3 habitaciones equipadas con clóset, destacando la alcoba principal que incorpora vestier, 1 baño privado y un generoso balcón, además de 1 baño auxiliar para las habitaciones secundarias. Todo el inmueble cuenta con acabados pulidos que incluyen pisos en porcelanato de formato grande, carpintería de madera clara texturizada en clósets y baños, divisiones de ducha en vidrio templado con grifería tipo ducha de techo y persianas modernas que regulan perfectamente la luz natural.</v>
      </c>
      <c r="AD469" s="46" t="str">
        <f>IFERROR(__xludf.DUMMYFUNCTION("""COMPUTED_VALUE"""),"Catalogada en estrato 4, esta propiedad representa una oportunidad de inversión y vivienda insuperable gracias a su ubicación estratégica en un sector seguro, tranquilo y de altísima valorización en el norte de la ciudad, situándose a solo 5 minutos del c"&amp;"entro de Neiva y a pasos de importantes iglesias, colegios, universidades y centros comerciales. Vivir en Reserva de Alcalá le otorgará el privilegio de disfrutar de un verdadero club residencial privado sin salir de casa, con acceso inmediato a amenidade"&amp;"s premium de bienestar para toda la familia como piscina para adultos y niños, salón social, cancha múltiple, parque infantil y zonas comunes iluminadas de forma sostenible con paneles solares.  Esta casa combina amplitud, confort y cercanía a todo lo que"&amp;" necesita, convirtiéndola en la opción perfecta para quienes desean comprar de inmediato el hogar de sus sueños.")</f>
        <v>Catalogada en estrato 4, esta propiedad representa una oportunidad de inversión y vivienda insuperable gracias a su ubicación estratégica en un sector seguro, tranquilo y de altísima valorización en el norte de la ciudad, situándose a solo 5 minutos del centro de Neiva y a pasos de importantes iglesias, colegios, universidades y centros comerciales. Vivir en Reserva de Alcalá le otorgará el privilegio de disfrutar de un verdadero club residencial privado sin salir de casa, con acceso inmediato a amenidades premium de bienestar para toda la familia como piscina para adultos y niños, salón social, cancha múltiple, parque infantil y zonas comunes iluminadas de forma sostenible con paneles solares.  Esta casa combina amplitud, confort y cercanía a todo lo que necesita, convirtiéndola en la opción perfecta para quienes desean comprar de inmediato el hogar de sus sueños.</v>
      </c>
      <c r="AE469" s="46"/>
      <c r="AF469" s="46" t="str">
        <f>IFERROR(__xludf.DUMMYFUNCTION("""COMPUTED_VALUE"""),"integral")</f>
        <v>integral</v>
      </c>
      <c r="AG469" s="46"/>
      <c r="AH469" s="46" t="str">
        <f>IFERROR(__xludf.DUMMYFUNCTION("""COMPUTED_VALUE"""),"Aliado")</f>
        <v>Aliado</v>
      </c>
      <c r="AI469" s="92" t="str">
        <f>IFERROR(__xludf.DUMMYFUNCTION("""COMPUTED_VALUE"""),"https://lh3.googleusercontent.com/pw/AP1GczPCQIkVZ7w5FHeXeqYSKOGS2F8IuBmX0z8lODKp8OWpdeQ_2IbQs_RCmdF3kKh467mXAzoMcVWR8Ilx3oJmN0HKisdsKpdKc4NASvX7h-1tjajAiGOI=w1200|https://lh3.googleusercontent.com/pw/AP1GczMI3QhrwNIhFOWtC3-DglJG7yVE9TgPcM3XfCaeSJtV6oyVsp"&amp;"azMcfuKNaijsrmN5x3EhDtPgCTNQ3FihlEEuRL4zwUXI1WtwyAJHqQExdRzpHERNpu=w1200|https://lh3.googleusercontent.com/pw/AP1GczPgtI-BtgwXd0yxmlTsqj8o-8ieMimdMaGxjPfP3qOYfpohmMqvY41D9D-A2guAtkUSjOr6yKhLGzSzwaV80vV437rinuooK_XxCvOggZJag9sMgOX-=w1200|https://lh3.google"&amp;"usercontent.com/pw/AP1GczNEsU0urXG0kFehsyZ4qVHVhJyWps9jj1eAlCFUg-mP3qzBpS8od-h6-XJU2fB6WIj_mqacoLvk85M3Ya4zft8OBpNwrDq7YtEK4n7018YFcdWzEcs-=w1200|https://lh3.googleusercontent.com/pw/AP1GczOntKN-bx_u4Y9fYE5nK7KwaE0eXCiikW39D2ExqXp8iOB3UedWzppBuHh1-89oiwCX"&amp;"-ZEMJq_cAH5BvQVrsR4iWq9UuR8EaombSq74XXC83Nk2QlWq=w1200|https://lh3.googleusercontent.com/pw/AP1GczPHzjFAQi0ooWSyYhDVQogyKPmmY__gu8WMkcWG3lczHP9SLP9bKlvrY82d0QuDPyxlQ4nOu2r_Nr0sORU4HnJBwok5YVLaba9fqErpQ5ru8Xm7B8cl=w1200|https://lh3.googleusercontent.com/pw"&amp;"/AP1GczNjYJKXTOnep2F2bUimDC3kQ9iJqu-J4k93V39ayhnZO52ovt4nixKPDQZq56m6GPQevibwQezIP_Vrik5CLT8J0jVsghOsO6zWzv27FaX3OpTfRETA=w1200|https://lh3.googleusercontent.com/pw/AP1GczPm3Hdu_V3A0YNlNEq-as4S1SQlmdjcRTPbEkQ0gSKxjH0cq_7OLPESeeFZexhrhPuKTE90dLR_MciWhPzAXL"&amp;"dDzZHnvJmvVmjS6Ep0Zwjutcx7GTF4=w1200|https://lh3.googleusercontent.com/pw/AP1GczPz96dxZb0Wzd_5tTW1cFUS_s9Xzf1juqZax5eQaBjFotNjuufTI7aCBwrdDbG20u-sSjTnTzEHoetIJzwUJWEtQ4ujDm5LSqdZZqYlMyS3QTeGL_P2=w1200|https://lh3.googleusercontent.com/pw/AP1GczOrvL3C28sHx"&amp;"mqV90WOiRsX5hP4XAbtj1ZXPmhLTiKApFF44d0TslpM5B-GoKFSZdvf6zsTCA8vsYWLQR41dXDPCELsZPeESVuJZ9z2sJOOoO-pgw6p=w1200")</f>
        <v>https://lh3.googleusercontent.com/pw/AP1GczPCQIkVZ7w5FHeXeqYSKOGS2F8IuBmX0z8lODKp8OWpdeQ_2IbQs_RCmdF3kKh467mXAzoMcVWR8Ilx3oJmN0HKisdsKpdKc4NASvX7h-1tjajAiGOI=w1200|https://lh3.googleusercontent.com/pw/AP1GczMI3QhrwNIhFOWtC3-DglJG7yVE9TgPcM3XfCaeSJtV6oyVspazMcfuKNaijsrmN5x3EhDtPgCTNQ3FihlEEuRL4zwUXI1WtwyAJHqQExdRzpHERNpu=w1200|https://lh3.googleusercontent.com/pw/AP1GczPgtI-BtgwXd0yxmlTsqj8o-8ieMimdMaGxjPfP3qOYfpohmMqvY41D9D-A2guAtkUSjOr6yKhLGzSzwaV80vV437rinuooK_XxCvOggZJag9sMgOX-=w1200|https://lh3.googleusercontent.com/pw/AP1GczNEsU0urXG0kFehsyZ4qVHVhJyWps9jj1eAlCFUg-mP3qzBpS8od-h6-XJU2fB6WIj_mqacoLvk85M3Ya4zft8OBpNwrDq7YtEK4n7018YFcdWzEcs-=w1200|https://lh3.googleusercontent.com/pw/AP1GczOntKN-bx_u4Y9fYE5nK7KwaE0eXCiikW39D2ExqXp8iOB3UedWzppBuHh1-89oiwCX-ZEMJq_cAH5BvQVrsR4iWq9UuR8EaombSq74XXC83Nk2QlWq=w1200|https://lh3.googleusercontent.com/pw/AP1GczPHzjFAQi0ooWSyYhDVQogyKPmmY__gu8WMkcWG3lczHP9SLP9bKlvrY82d0QuDPyxlQ4nOu2r_Nr0sORU4HnJBwok5YVLaba9fqErpQ5ru8Xm7B8cl=w1200|https://lh3.googleusercontent.com/pw/AP1GczNjYJKXTOnep2F2bUimDC3kQ9iJqu-J4k93V39ayhnZO52ovt4nixKPDQZq56m6GPQevibwQezIP_Vrik5CLT8J0jVsghOsO6zWzv27FaX3OpTfRETA=w1200|https://lh3.googleusercontent.com/pw/AP1GczPm3Hdu_V3A0YNlNEq-as4S1SQlmdjcRTPbEkQ0gSKxjH0cq_7OLPESeeFZexhrhPuKTE90dLR_MciWhPzAXLdDzZHnvJmvVmjS6Ep0Zwjutcx7GTF4=w1200|https://lh3.googleusercontent.com/pw/AP1GczPz96dxZb0Wzd_5tTW1cFUS_s9Xzf1juqZax5eQaBjFotNjuufTI7aCBwrdDbG20u-sSjTnTzEHoetIJzwUJWEtQ4ujDm5LSqdZZqYlMyS3QTeGL_P2=w1200|https://lh3.googleusercontent.com/pw/AP1GczOrvL3C28sHxmqV90WOiRsX5hP4XAbtj1ZXPmhLTiKApFF44d0TslpM5B-GoKFSZdvf6zsTCA8vsYWLQR41dXDPCELsZPeESVuJZ9z2sJOOoO-pgw6p=w1200</v>
      </c>
      <c r="AJ469" s="46"/>
      <c r="AK469" s="46"/>
      <c r="AL469" s="46"/>
      <c r="AM469" s="46"/>
      <c r="AN469" s="46"/>
      <c r="AO469" s="46"/>
      <c r="AP469" s="46"/>
      <c r="AQ469" s="46"/>
      <c r="AR469" s="46"/>
      <c r="AS469" s="46"/>
      <c r="AT469" s="46"/>
      <c r="AU469" s="46"/>
      <c r="AV469" s="46"/>
      <c r="AW469" s="46"/>
      <c r="AX469" s="46"/>
      <c r="AY469" s="46"/>
      <c r="AZ469" s="46"/>
      <c r="BA469" s="46"/>
      <c r="BB469" s="46"/>
      <c r="BC469" s="46"/>
      <c r="BD469" s="46"/>
      <c r="BE469" s="46"/>
      <c r="BF469" s="46"/>
      <c r="BG469" s="46"/>
      <c r="BH469" s="46"/>
      <c r="BI469" s="46"/>
      <c r="BJ469" s="46"/>
      <c r="BK469" s="46"/>
      <c r="BL469" s="46"/>
      <c r="BM469" s="46"/>
      <c r="BN469" s="46"/>
      <c r="BO469" s="46"/>
      <c r="BP469" s="46"/>
      <c r="BQ469" s="46"/>
      <c r="BR469" s="46"/>
      <c r="BS469" s="46"/>
      <c r="BT469" s="46"/>
      <c r="BU469" s="46"/>
      <c r="BV469" s="46"/>
      <c r="BW469" s="46"/>
      <c r="BX469" s="46"/>
      <c r="BY469" s="46"/>
      <c r="BZ469" s="46"/>
      <c r="CA469" s="46"/>
      <c r="CB469" s="46"/>
      <c r="CC469" s="46"/>
    </row>
    <row r="470">
      <c r="A470" s="87" t="str">
        <f>IFERROR(__xludf.DUMMYFUNCTION("""COMPUTED_VALUE"""),"865")</f>
        <v>865</v>
      </c>
      <c r="B470" s="46" t="str">
        <f>IFERROR(__xludf.DUMMYFUNCTION("""COMPUTED_VALUE"""),"Apartamento en conjunto Villas del Prado - Norte")</f>
        <v>Apartamento en conjunto Villas del Prado - Norte</v>
      </c>
      <c r="C470" s="46" t="str">
        <f>IFERROR(__xludf.DUMMYFUNCTION("""COMPUTED_VALUE"""),"Apartamento en conjunto")</f>
        <v>Apartamento en conjunto</v>
      </c>
      <c r="D470" s="46" t="str">
        <f>IFERROR(__xludf.DUMMYFUNCTION("""COMPUTED_VALUE"""),"Los Pinos")</f>
        <v>Los Pinos</v>
      </c>
      <c r="E470" s="46" t="str">
        <f>IFERROR(__xludf.DUMMYFUNCTION("""COMPUTED_VALUE""")," Conjunto Villas del Prado")</f>
        <v> Conjunto Villas del Prado</v>
      </c>
      <c r="F470" s="90">
        <f>IFERROR(__xludf.DUMMYFUNCTION("""COMPUTED_VALUE"""),4.0E8)</f>
        <v>400000000</v>
      </c>
      <c r="G470" s="46" t="str">
        <f>IFERROR(__xludf.DUMMYFUNCTION("""COMPUTED_VALUE"""),"$400'000.000 a $500'000.000")</f>
        <v>$400'000.000 a $500'000.000</v>
      </c>
      <c r="H470" s="46"/>
      <c r="I470" s="46"/>
      <c r="J470" s="46" t="str">
        <f>IFERROR(__xludf.DUMMYFUNCTION("""COMPUTED_VALUE"""),"Norte")</f>
        <v>Norte</v>
      </c>
      <c r="K470" s="87" t="str">
        <f>IFERROR(__xludf.DUMMYFUNCTION("""COMPUTED_VALUE"""),"2")</f>
        <v>2</v>
      </c>
      <c r="L470" s="46">
        <f>IFERROR(__xludf.DUMMYFUNCTION("""COMPUTED_VALUE"""),3.0)</f>
        <v>3</v>
      </c>
      <c r="M470" s="46"/>
      <c r="N470" s="46">
        <f>IFERROR(__xludf.DUMMYFUNCTION("""COMPUTED_VALUE"""),2.0)</f>
        <v>2</v>
      </c>
      <c r="O470" s="46">
        <f>IFERROR(__xludf.DUMMYFUNCTION("""COMPUTED_VALUE"""),1.0)</f>
        <v>1</v>
      </c>
      <c r="P470" s="46">
        <f>IFERROR(__xludf.DUMMYFUNCTION("""COMPUTED_VALUE"""),4.0)</f>
        <v>4</v>
      </c>
      <c r="Q470" s="92">
        <f>IFERROR(__xludf.DUMMYFUNCTION("""COMPUTED_VALUE"""),96.0)</f>
        <v>96</v>
      </c>
      <c r="R470" s="92">
        <f>IFERROR(__xludf.DUMMYFUNCTION("""COMPUTED_VALUE"""),96.0)</f>
        <v>96</v>
      </c>
      <c r="S470" s="87" t="str">
        <f>IFERROR(__xludf.DUMMYFUNCTION("""COMPUTED_VALUE""")," ")</f>
        <v> </v>
      </c>
      <c r="T470" s="46" t="str">
        <f>IFERROR(__xludf.DUMMYFUNCTION("""COMPUTED_VALUE"""),"Neiva")</f>
        <v>Neiva</v>
      </c>
      <c r="U470" s="87" t="str">
        <f>IFERROR(__xludf.DUMMYFUNCTION("""COMPUTED_VALUE"""),"4")</f>
        <v>4</v>
      </c>
      <c r="V470" s="46" t="str">
        <f>IFERROR(__xludf.DUMMYFUNCTION("""COMPUTED_VALUE"""),"4to.")</f>
        <v>4to.</v>
      </c>
      <c r="W470" s="46"/>
      <c r="X470" s="46">
        <f>IFERROR(__xludf.DUMMYFUNCTION("""COMPUTED_VALUE"""),3.0)</f>
        <v>3</v>
      </c>
      <c r="Y470" s="46" t="str">
        <f>IFERROR(__xludf.DUMMYFUNCTION("""COMPUTED_VALUE"""),"Social")</f>
        <v>Social</v>
      </c>
      <c r="Z470" s="90">
        <f>IFERROR(__xludf.DUMMYFUNCTION("""COMPUTED_VALUE"""),478000.0)</f>
        <v>478000</v>
      </c>
      <c r="AA470" s="33" t="str">
        <f>IFERROR(__xludf.DUMMYFUNCTION("""COMPUTED_VALUE"""),"No aplica")</f>
        <v>No aplica</v>
      </c>
      <c r="AB470" s="96" t="str">
        <f>IFERROR(__xludf.DUMMYFUNCTION("""COMPUTED_VALUE"""),"https://photos.app.goo.gl/jrxXiNpG3pxujeqf9")</f>
        <v>https://photos.app.goo.gl/jrxXiNpG3pxujeqf9</v>
      </c>
      <c r="AC470" s="46" t="str">
        <f>IFERROR(__xludf.DUMMYFUNCTION("""COMPUTED_VALUE"""),"Hermoso y luminoso apartamento de $96\text{ m}^2$ en el exclusivo Conjunto Villas del Prado (zona norte de Neiva). Ubicado en una zona estratégica de alta valorización, cuenta con 3 habitaciones con clóset, 2 baños (el principal privado), una amplia sala-"&amp;"comedor, cocina integral con barra americana, zona de estudio ideal para teletrabajo, 2 balcones con excelente ventilación natural, depósito y parqueadero privado escriturado.")</f>
        <v>Hermoso y luminoso apartamento de $96\text{ m}^2$ en el exclusivo Conjunto Villas del Prado (zona norte de Neiva). Ubicado en una zona estratégica de alta valorización, cuenta con 3 habitaciones con clóset, 2 baños (el principal privado), una amplia sala-comedor, cocina integral con barra americana, zona de estudio ideal para teletrabajo, 2 balcones con excelente ventilación natural, depósito y parqueadero privado escriturado.</v>
      </c>
      <c r="AD470" s="46" t="str">
        <f>IFERROR(__xludf.DUMMYFUNCTION("""COMPUTED_VALUE"""),"Inversión inteligente y segura: Ubicación premium en estrato 4 con una espectacular vista al norte y la más alta proyección de valorización de la ciudad. Comodidad y estatus listos para disfrutar: Espacios perfectamente distribuidos que incluyen lujos cla"&amp;"ve como parqueadero privado con escritura independiente, depósito y doble balcón. El hogar ideal para tu familia: Un ambiente tranquilo, fresco y diseñado con todo lo necesario para vivir con el confort y la calidad de vida que mereces hoy mismo.")</f>
        <v>Inversión inteligente y segura: Ubicación premium en estrato 4 con una espectacular vista al norte y la más alta proyección de valorización de la ciudad. Comodidad y estatus listos para disfrutar: Espacios perfectamente distribuidos que incluyen lujos clave como parqueadero privado con escritura independiente, depósito y doble balcón. El hogar ideal para tu familia: Un ambiente tranquilo, fresco y diseñado con todo lo necesario para vivir con el confort y la calidad de vida que mereces hoy mismo.</v>
      </c>
      <c r="AE470" s="46"/>
      <c r="AF470" s="46" t="str">
        <f>IFERROR(__xludf.DUMMYFUNCTION("""COMPUTED_VALUE"""),"integral")</f>
        <v>integral</v>
      </c>
      <c r="AG470" s="46"/>
      <c r="AH470" s="46" t="str">
        <f>IFERROR(__xludf.DUMMYFUNCTION("""COMPUTED_VALUE"""),"Aliado")</f>
        <v>Aliado</v>
      </c>
      <c r="AI470" s="92" t="str">
        <f>IFERROR(__xludf.DUMMYFUNCTION("""COMPUTED_VALUE"""),"https://lh3.googleusercontent.com/pw/AP1GczPZPkS4CCdwfbnboR9wnoldN3Se9BdeF_BAE7NOuhHRh9A_-aDMkpM7Di1Lkyu85O_VlF8wPAfI31CuOK4YU4S6tjSoTXy8zw37fTXHkzQJ4k7PlmwD=w1200|https://lh3.googleusercontent.com/pw/AP1GczM5Ve1gO4DY3lz8dqFIEAyMH4Ua7MdFZWF4VAS_wReBc-emiM"&amp;"ris6vgDQwdtf4ZJYU_tPnxGWrjMYixYXzZUim4SMK8qsJnkLpJPag2VqQ49qc_fLAv=w1200|https://lh3.googleusercontent.com/pw/AP1GczPodCZMa6JEY-T76ZzBVUxcrfHekcsG8T-YPvFBpML8IS1dYB0nR-5ckiAu66f3oNMUpT6L0cC3Lc-FNePEHNPK8uqQNEjNfuk0U__cu_aPk_2yYJ4q=w1200|https://lh3.google"&amp;"usercontent.com/pw/AP1GczN1R3NgPpfnBHn03ASish2XHA5me4L7EmveKJJK_ffJCQ1W98qM_0YeBFP95eSmaRk-82SfMkXluCwOKQnbZd9hfFu0UQSg991zuPqWiTXfOmcs8G4L=w1200|https://lh3.googleusercontent.com/pw/AP1GczMQDraZpL2wNr83fp1MEmwBQwGyQhd0CLlxAd4PbV2z3t5_FoVhixw_vKAtPRQDmPMj"&amp;"7MgjAsc7OAd8Jq7DwGH6vIaXnwb10eYseFu5sDZ0kPiGCWXU=w1200|https://lh3.googleusercontent.com/pw/AP1GczMfOYQfCBLRLqgZeRlAuQw-lCD9CKM9XLoUXSxrcCy6cdHY8RqLuG7NO22-3Tx5Vn_Kvsv1z5725PgfHZVJ4fTItgbQBMylzwl2lNPruW_7g6jv0r4r=w1200|https://lh3.googleusercontent.com/pw"&amp;"/AP1GczPYGzuARAa-dKXGhM1BpaPOTjPAl5ia505U17LNIZMOxQCN4v9gscDilAhXAfQMA3GupkkxT308KWJ0FK5I_kmY-oXO1e1trWonRvUGDq56qiIq9b-1=w1200|https://lh3.googleusercontent.com/pw/AP1GczMZUbb82FCGcDGvINQDsz4G8Bj1HU7um457AHKuy1LorYI5o928K_KyrS4z22OluFZINmBt2NKXy1Xiqbx7Nz"&amp;"898p-9UxgSoXyv00JVcgzMXY0lJt66=w1200|https://lh3.googleusercontent.com/pw/AP1GczNJ6guXbLF7j8k5GU-Ep-7jZ8v0t_NlDBR3xNBeadY65X-ceeTRCUFw_hMoWqe9Rc7UHe9hAVl8sJq_ReTWmAQy45tXpF6np0QShLDvNH3KzjK1qNnQ=w1200|https://lh3.googleusercontent.com/pw/AP1GczOeDFozmwdQZ"&amp;"Qi1Bwf7DFNnUaTjfapRHDECdE_pqkPviCIX1bEvtv7T9gVklc76GcnDCZg-qNEe1HdxJfckXsV0BW7AdAMSje27AsicaF-jgxpBhe_G=w1200|https://lh3.googleusercontent.com/pw/AP1GczPacu4TlMqgLYO3f6ti5nm6RZWXFABiD260RYfzdSzODs8_Tv_6CRrYeYttpC0-OTGb6uq3kaTv1L42i5sXUtZAGP6oztFyNGR6suCb"&amp;"nGmL9M7t7Cf-=w1200")</f>
        <v>https://lh3.googleusercontent.com/pw/AP1GczPZPkS4CCdwfbnboR9wnoldN3Se9BdeF_BAE7NOuhHRh9A_-aDMkpM7Di1Lkyu85O_VlF8wPAfI31CuOK4YU4S6tjSoTXy8zw37fTXHkzQJ4k7PlmwD=w1200|https://lh3.googleusercontent.com/pw/AP1GczM5Ve1gO4DY3lz8dqFIEAyMH4Ua7MdFZWF4VAS_wReBc-emiMris6vgDQwdtf4ZJYU_tPnxGWrjMYixYXzZUim4SMK8qsJnkLpJPag2VqQ49qc_fLAv=w1200|https://lh3.googleusercontent.com/pw/AP1GczPodCZMa6JEY-T76ZzBVUxcrfHekcsG8T-YPvFBpML8IS1dYB0nR-5ckiAu66f3oNMUpT6L0cC3Lc-FNePEHNPK8uqQNEjNfuk0U__cu_aPk_2yYJ4q=w1200|https://lh3.googleusercontent.com/pw/AP1GczN1R3NgPpfnBHn03ASish2XHA5me4L7EmveKJJK_ffJCQ1W98qM_0YeBFP95eSmaRk-82SfMkXluCwOKQnbZd9hfFu0UQSg991zuPqWiTXfOmcs8G4L=w1200|https://lh3.googleusercontent.com/pw/AP1GczMQDraZpL2wNr83fp1MEmwBQwGyQhd0CLlxAd4PbV2z3t5_FoVhixw_vKAtPRQDmPMj7MgjAsc7OAd8Jq7DwGH6vIaXnwb10eYseFu5sDZ0kPiGCWXU=w1200|https://lh3.googleusercontent.com/pw/AP1GczMfOYQfCBLRLqgZeRlAuQw-lCD9CKM9XLoUXSxrcCy6cdHY8RqLuG7NO22-3Tx5Vn_Kvsv1z5725PgfHZVJ4fTItgbQBMylzwl2lNPruW_7g6jv0r4r=w1200|https://lh3.googleusercontent.com/pw/AP1GczPYGzuARAa-dKXGhM1BpaPOTjPAl5ia505U17LNIZMOxQCN4v9gscDilAhXAfQMA3GupkkxT308KWJ0FK5I_kmY-oXO1e1trWonRvUGDq56qiIq9b-1=w1200|https://lh3.googleusercontent.com/pw/AP1GczMZUbb82FCGcDGvINQDsz4G8Bj1HU7um457AHKuy1LorYI5o928K_KyrS4z22OluFZINmBt2NKXy1Xiqbx7Nz898p-9UxgSoXyv00JVcgzMXY0lJt66=w1200|https://lh3.googleusercontent.com/pw/AP1GczNJ6guXbLF7j8k5GU-Ep-7jZ8v0t_NlDBR3xNBeadY65X-ceeTRCUFw_hMoWqe9Rc7UHe9hAVl8sJq_ReTWmAQy45tXpF6np0QShLDvNH3KzjK1qNnQ=w1200|https://lh3.googleusercontent.com/pw/AP1GczOeDFozmwdQZQi1Bwf7DFNnUaTjfapRHDECdE_pqkPviCIX1bEvtv7T9gVklc76GcnDCZg-qNEe1HdxJfckXsV0BW7AdAMSje27AsicaF-jgxpBhe_G=w1200|https://lh3.googleusercontent.com/pw/AP1GczPacu4TlMqgLYO3f6ti5nm6RZWXFABiD260RYfzdSzODs8_Tv_6CRrYeYttpC0-OTGb6uq3kaTv1L42i5sXUtZAGP6oztFyNGR6suCbnGmL9M7t7Cf-=w1200</v>
      </c>
      <c r="AJ470" s="46"/>
      <c r="AK470" s="46"/>
      <c r="AL470" s="46"/>
      <c r="AM470" s="46"/>
      <c r="AN470" s="46"/>
      <c r="AO470" s="46"/>
      <c r="AP470" s="46"/>
      <c r="AQ470" s="46"/>
      <c r="AR470" s="46"/>
      <c r="AS470" s="46"/>
      <c r="AT470" s="46"/>
      <c r="AU470" s="46"/>
      <c r="AV470" s="46"/>
      <c r="AW470" s="46"/>
      <c r="AX470" s="46"/>
      <c r="AY470" s="46"/>
      <c r="AZ470" s="46"/>
      <c r="BA470" s="46"/>
      <c r="BB470" s="46"/>
      <c r="BC470" s="46"/>
      <c r="BD470" s="46"/>
      <c r="BE470" s="46"/>
      <c r="BF470" s="46"/>
      <c r="BG470" s="46"/>
      <c r="BH470" s="46"/>
      <c r="BI470" s="46"/>
      <c r="BJ470" s="46"/>
      <c r="BK470" s="46"/>
      <c r="BL470" s="46"/>
      <c r="BM470" s="46"/>
      <c r="BN470" s="46"/>
      <c r="BO470" s="46"/>
      <c r="BP470" s="46"/>
      <c r="BQ470" s="46"/>
      <c r="BR470" s="46"/>
      <c r="BS470" s="46"/>
      <c r="BT470" s="46"/>
      <c r="BU470" s="46"/>
      <c r="BV470" s="46"/>
      <c r="BW470" s="46"/>
      <c r="BX470" s="46"/>
      <c r="BY470" s="46"/>
      <c r="BZ470" s="46"/>
      <c r="CA470" s="46"/>
      <c r="CB470" s="46"/>
      <c r="CC470" s="46"/>
    </row>
    <row r="471">
      <c r="A471" s="87" t="str">
        <f>IFERROR(__xludf.DUMMYFUNCTION("""COMPUTED_VALUE"""),"744")</f>
        <v>744</v>
      </c>
      <c r="B471" s="46" t="str">
        <f>IFERROR(__xludf.DUMMYFUNCTION("""COMPUTED_VALUE"""),"Casa en barrio La Gaitana - Oriente")</f>
        <v>Casa en barrio La Gaitana - Oriente</v>
      </c>
      <c r="C471" s="46" t="str">
        <f>IFERROR(__xludf.DUMMYFUNCTION("""COMPUTED_VALUE"""),"Casa")</f>
        <v>Casa</v>
      </c>
      <c r="D471" s="46" t="str">
        <f>IFERROR(__xludf.DUMMYFUNCTION("""COMPUTED_VALUE"""),"La Gaitana")</f>
        <v>La Gaitana</v>
      </c>
      <c r="E471" s="46"/>
      <c r="F471" s="90">
        <f>IFERROR(__xludf.DUMMYFUNCTION("""COMPUTED_VALUE"""),4.0E8)</f>
        <v>400000000</v>
      </c>
      <c r="G471" s="46" t="str">
        <f>IFERROR(__xludf.DUMMYFUNCTION("""COMPUTED_VALUE"""),"$400'000.000 a $500'000.000")</f>
        <v>$400'000.000 a $500'000.000</v>
      </c>
      <c r="H471" s="46"/>
      <c r="I471" s="46"/>
      <c r="J471" s="46" t="str">
        <f>IFERROR(__xludf.DUMMYFUNCTION("""COMPUTED_VALUE"""),"Oriente")</f>
        <v>Oriente</v>
      </c>
      <c r="K471" s="87" t="str">
        <f>IFERROR(__xludf.DUMMYFUNCTION("""COMPUTED_VALUE"""),"7")</f>
        <v>7</v>
      </c>
      <c r="L471" s="46">
        <f>IFERROR(__xludf.DUMMYFUNCTION("""COMPUTED_VALUE"""),3.0)</f>
        <v>3</v>
      </c>
      <c r="M471" s="46"/>
      <c r="N471" s="46">
        <f>IFERROR(__xludf.DUMMYFUNCTION("""COMPUTED_VALUE"""),3.0)</f>
        <v>3</v>
      </c>
      <c r="O471" s="46">
        <f>IFERROR(__xludf.DUMMYFUNCTION("""COMPUTED_VALUE"""),1.0)</f>
        <v>1</v>
      </c>
      <c r="P471" s="46">
        <f>IFERROR(__xludf.DUMMYFUNCTION("""COMPUTED_VALUE"""),2.0)</f>
        <v>2</v>
      </c>
      <c r="Q471" s="92">
        <f>IFERROR(__xludf.DUMMYFUNCTION("""COMPUTED_VALUE"""),160.0)</f>
        <v>160</v>
      </c>
      <c r="R471" s="92">
        <f>IFERROR(__xludf.DUMMYFUNCTION("""COMPUTED_VALUE"""),0.0)</f>
        <v>0</v>
      </c>
      <c r="S471" s="87" t="str">
        <f>IFERROR(__xludf.DUMMYFUNCTION("""COMPUTED_VALUE""")," ")</f>
        <v> </v>
      </c>
      <c r="T471" s="46" t="str">
        <f>IFERROR(__xludf.DUMMYFUNCTION("""COMPUTED_VALUE"""),"Neiva")</f>
        <v>Neiva</v>
      </c>
      <c r="U471" s="87" t="str">
        <f>IFERROR(__xludf.DUMMYFUNCTION("""COMPUTED_VALUE"""),"3")</f>
        <v>3</v>
      </c>
      <c r="V471" s="46" t="str">
        <f>IFERROR(__xludf.DUMMYFUNCTION("""COMPUTED_VALUE"""),"Medianera")</f>
        <v>Medianera</v>
      </c>
      <c r="W471" s="46"/>
      <c r="X471" s="46">
        <f>IFERROR(__xludf.DUMMYFUNCTION("""COMPUTED_VALUE"""),3.0)</f>
        <v>3</v>
      </c>
      <c r="Y471" s="46" t="str">
        <f>IFERROR(__xludf.DUMMYFUNCTION("""COMPUTED_VALUE"""),"No tiene")</f>
        <v>No tiene</v>
      </c>
      <c r="Z471" s="90"/>
      <c r="AA471" s="33" t="str">
        <f>IFERROR(__xludf.DUMMYFUNCTION("""COMPUTED_VALUE"""),"No aplica")</f>
        <v>No aplica</v>
      </c>
      <c r="AB471" s="96" t="str">
        <f>IFERROR(__xludf.DUMMYFUNCTION("""COMPUTED_VALUE"""),"https://photos.app.goo.gl/Uf3iVeSVFhUS4wtg7")</f>
        <v>https://photos.app.goo.gl/Uf3iVeSVFhUS4wtg7</v>
      </c>
      <c r="AC471" s="46" t="str">
        <f>IFERROR(__xludf.DUMMYFUNCTION("""COMPUTED_VALUE"""),"Esta encantadora casa colonial de $160\text{ m}^2$ se encuentra en el apetecido barrio La Gaitana, en el Oriente de Neiva, una ubicación estratégica con fácil acceso por la Avenida Séptima. La propiedad, de estrato 3, cuenta con 3 alcobas, 3 baños y un pa"&amp;"rqueadero en el antejardín. Su diseño elevado favorece una excelente ventilación cruzada e iluminación natural, destacando en su primer piso una amplia sala-comedor con hermosos pisos de retal de mármol que se conecta de forma armoniosa con un fresco pati"&amp;"o trasero adornado con palmeras y zonas verdes. Asimismo, dispone de una cocina recién remodelada con estilo moderno en tonos blancos, equipada con estufa y extractor completamente nuevos.")</f>
        <v>Esta encantadora casa colonial de $160\text{ m}^2$ se encuentra en el apetecido barrio La Gaitana, en el Oriente de Neiva, una ubicación estratégica con fácil acceso por la Avenida Séptima. La propiedad, de estrato 3, cuenta con 3 alcobas, 3 baños y un parqueadero en el antejardín. Su diseño elevado favorece una excelente ventilación cruzada e iluminación natural, destacando en su primer piso una amplia sala-comedor con hermosos pisos de retal de mármol que se conecta de forma armoniosa con un fresco patio trasero adornado con palmeras y zonas verdes. Asimismo, dispone de una cocina recién remodelada con estilo moderno en tonos blancos, equipada con estufa y extractor completamente nuevos.</v>
      </c>
      <c r="AD471" s="46" t="str">
        <f>IFERROR(__xludf.DUMMYFUNCTION("""COMPUTED_VALUE"""),"La distribución del inmueble está pensada para brindar el máximo confort y funcionalidad a la familia. En la primera planta se ubica una habitación con baño ideal para visitas, mientras que el segundo nivel alberga dos habitaciones amplias, un baño social"&amp;" y un generoso balcón perfecto para instalar hamacas y disfrutar de tardes tranquilas. Es una propiedad impecablemente cuidada, fresca y luminosa, que representa una oportunidad magnífica para quienes buscan calidad de vida y comodidad en la ciudad.")</f>
        <v>La distribución del inmueble está pensada para brindar el máximo confort y funcionalidad a la familia. En la primera planta se ubica una habitación con baño ideal para visitas, mientras que el segundo nivel alberga dos habitaciones amplias, un baño social y un generoso balcón perfecto para instalar hamacas y disfrutar de tardes tranquilas. Es una propiedad impecablemente cuidada, fresca y luminosa, que representa una oportunidad magnífica para quienes buscan calidad de vida y comodidad en la ciudad.</v>
      </c>
      <c r="AE471" s="46"/>
      <c r="AF471" s="46" t="str">
        <f>IFERROR(__xludf.DUMMYFUNCTION("""COMPUTED_VALUE"""),"integral")</f>
        <v>integral</v>
      </c>
      <c r="AG471" s="46"/>
      <c r="AH471" s="46" t="str">
        <f>IFERROR(__xludf.DUMMYFUNCTION("""COMPUTED_VALUE"""),"Aliado")</f>
        <v>Aliado</v>
      </c>
      <c r="AI471" s="92" t="str">
        <f>IFERROR(__xludf.DUMMYFUNCTION("""COMPUTED_VALUE"""),"https://lh3.googleusercontent.com/pw/AP1GczPQn-qupGAgWp_U56t2kqhzYNWkf5CH7iWxoCf9bWJHI0spkQLGq2rS2shuRU3XK1jpT00yrVsWwf_KWnbz7A0M01oK9KIfp55ri83DNOQl6rmSu56e=w1200|https://lh3.googleusercontent.com/pw/AP1GczPCyXHGFe337LaKluG2mLijsw7nz4MrWfV9jRqdV2Rl5YrHR3"&amp;"Ta71ITTAkqhKWLWAz2u-9cBS7WY5m6sX3M4YAYthjrCdfwvID7PoQkecLykx3jvfDI=w1200|https://lh3.googleusercontent.com/pw/AP1GczNivN1R63jqMyqFlpI8cz1DHOZ47zlFw4XHnmpPL0Fj9XGtbzyWTJ2CqnZiaA3_n5TSsr-0Rkw_LhdMiGNntjcVNVoSHxqoXs3_yaExtfNthY_KbIco=w1200|https://lh3.google"&amp;"usercontent.com/pw/AP1GczOXfrQLHlV31hH12G3MYxXfYIPnbu0E4fS8eCCA8IkexJ1JNenRYBPiyFHG_b4H9AWTOHT20VYhTxfAsvClLzIvDKiydtLYJo50R2wZwqjXHAl_DYYV=w1200|https://lh3.googleusercontent.com/pw/AP1GczNCApY0dmaF5kJhnYYyY_IQGZ3BbQUBli3roHm9mzMY5NVwvGBVTmUe6rJ9eUQviQsx"&amp;"lDFk4iNGVn-Zy-_SnRgJ-FJuni7j69Y3Hv1V8AdKDS0p0DfM=w1200|https://lh3.googleusercontent.com/pw/AP1GczNCN7q2ksiXx0IIGRAh8y0G6Yi6JcCOCpn1jFa5gwA1bxNUYot70uZFVkrJSG7PbQfl9Sz3olf_lPsZXgY4GBNBI7NWLKd7Thmv4ftuSXSTxojObdMU=w1200|https://lh3.googleusercontent.com/pw"&amp;"/AP1GczNS2DQRd23fPnMiM7Ym-BWVxOOjChb09UTIGMUesanwj6I-tOFYSVZ6gsAuIrrr1VLBQw7Qy9ng_0U0RhFkaPYNXYePVCNg1NrNE57WlDBj8PFBrxDQ=w1200|https://lh3.googleusercontent.com/pw/AP1GczPYmVeQqDNCo3b64YgYjwXWQJmPHnKZOZyyN3mIeh9GuWVr06v44nz2d_E4pJn-srxkjNIE5Nmbr_niQorpDm"&amp;"3VzM0kajIYjyyVv8T0YaEp-Q6JhQ0D=w1200|https://lh3.googleusercontent.com/pw/AP1GczNiWG04n2XX0uzMC3qwHyc4GBUvROoS5ajHFvwFhJ_Hk7LcMTgqcXcNLqH5RlfQETijLtetO2jgmEUQhKna1YS9sbSaLnp8mm8lOs7cmjsS8TIWJYrQ=w1200")</f>
        <v>https://lh3.googleusercontent.com/pw/AP1GczPQn-qupGAgWp_U56t2kqhzYNWkf5CH7iWxoCf9bWJHI0spkQLGq2rS2shuRU3XK1jpT00yrVsWwf_KWnbz7A0M01oK9KIfp55ri83DNOQl6rmSu56e=w1200|https://lh3.googleusercontent.com/pw/AP1GczPCyXHGFe337LaKluG2mLijsw7nz4MrWfV9jRqdV2Rl5YrHR3Ta71ITTAkqhKWLWAz2u-9cBS7WY5m6sX3M4YAYthjrCdfwvID7PoQkecLykx3jvfDI=w1200|https://lh3.googleusercontent.com/pw/AP1GczNivN1R63jqMyqFlpI8cz1DHOZ47zlFw4XHnmpPL0Fj9XGtbzyWTJ2CqnZiaA3_n5TSsr-0Rkw_LhdMiGNntjcVNVoSHxqoXs3_yaExtfNthY_KbIco=w1200|https://lh3.googleusercontent.com/pw/AP1GczOXfrQLHlV31hH12G3MYxXfYIPnbu0E4fS8eCCA8IkexJ1JNenRYBPiyFHG_b4H9AWTOHT20VYhTxfAsvClLzIvDKiydtLYJo50R2wZwqjXHAl_DYYV=w1200|https://lh3.googleusercontent.com/pw/AP1GczNCApY0dmaF5kJhnYYyY_IQGZ3BbQUBli3roHm9mzMY5NVwvGBVTmUe6rJ9eUQviQsxlDFk4iNGVn-Zy-_SnRgJ-FJuni7j69Y3Hv1V8AdKDS0p0DfM=w1200|https://lh3.googleusercontent.com/pw/AP1GczNCN7q2ksiXx0IIGRAh8y0G6Yi6JcCOCpn1jFa5gwA1bxNUYot70uZFVkrJSG7PbQfl9Sz3olf_lPsZXgY4GBNBI7NWLKd7Thmv4ftuSXSTxojObdMU=w1200|https://lh3.googleusercontent.com/pw/AP1GczNS2DQRd23fPnMiM7Ym-BWVxOOjChb09UTIGMUesanwj6I-tOFYSVZ6gsAuIrrr1VLBQw7Qy9ng_0U0RhFkaPYNXYePVCNg1NrNE57WlDBj8PFBrxDQ=w1200|https://lh3.googleusercontent.com/pw/AP1GczPYmVeQqDNCo3b64YgYjwXWQJmPHnKZOZyyN3mIeh9GuWVr06v44nz2d_E4pJn-srxkjNIE5Nmbr_niQorpDm3VzM0kajIYjyyVv8T0YaEp-Q6JhQ0D=w1200|https://lh3.googleusercontent.com/pw/AP1GczNiWG04n2XX0uzMC3qwHyc4GBUvROoS5ajHFvwFhJ_Hk7LcMTgqcXcNLqH5RlfQETijLtetO2jgmEUQhKna1YS9sbSaLnp8mm8lOs7cmjsS8TIWJYrQ=w1200</v>
      </c>
      <c r="AJ471" s="46"/>
      <c r="AK471" s="46"/>
      <c r="AL471" s="46"/>
      <c r="AM471" s="46"/>
      <c r="AN471" s="46"/>
      <c r="AO471" s="46"/>
      <c r="AP471" s="46"/>
      <c r="AQ471" s="46"/>
      <c r="AR471" s="46"/>
      <c r="AS471" s="46"/>
      <c r="AT471" s="46"/>
      <c r="AU471" s="46"/>
      <c r="AV471" s="46"/>
      <c r="AW471" s="46"/>
      <c r="AX471" s="46"/>
      <c r="AY471" s="46"/>
      <c r="AZ471" s="46"/>
      <c r="BA471" s="46"/>
      <c r="BB471" s="46"/>
      <c r="BC471" s="46"/>
      <c r="BD471" s="46"/>
      <c r="BE471" s="46"/>
      <c r="BF471" s="46"/>
      <c r="BG471" s="46"/>
      <c r="BH471" s="46"/>
      <c r="BI471" s="46"/>
      <c r="BJ471" s="46"/>
      <c r="BK471" s="46"/>
      <c r="BL471" s="46"/>
      <c r="BM471" s="46"/>
      <c r="BN471" s="46"/>
      <c r="BO471" s="46"/>
      <c r="BP471" s="46"/>
      <c r="BQ471" s="46"/>
      <c r="BR471" s="46"/>
      <c r="BS471" s="46"/>
      <c r="BT471" s="46"/>
      <c r="BU471" s="46"/>
      <c r="BV471" s="46"/>
      <c r="BW471" s="46"/>
      <c r="BX471" s="46"/>
      <c r="BY471" s="46"/>
      <c r="BZ471" s="46"/>
      <c r="CA471" s="46"/>
      <c r="CB471" s="46"/>
      <c r="CC471" s="46"/>
    </row>
    <row r="472">
      <c r="A472" s="87" t="str">
        <f>IFERROR(__xludf.DUMMYFUNCTION("""COMPUTED_VALUE"""),"877")</f>
        <v>877</v>
      </c>
      <c r="B472" s="46" t="str">
        <f>IFERROR(__xludf.DUMMYFUNCTION("""COMPUTED_VALUE"""),"Apartamento en edificio La Fontana - Centro - La Toma")</f>
        <v>Apartamento en edificio La Fontana - Centro - La Toma</v>
      </c>
      <c r="C472" s="46" t="str">
        <f>IFERROR(__xludf.DUMMYFUNCTION("""COMPUTED_VALUE"""),"Apartamento")</f>
        <v>Apartamento</v>
      </c>
      <c r="D472" s="46" t="str">
        <f>IFERROR(__xludf.DUMMYFUNCTION("""COMPUTED_VALUE"""),"Centro")</f>
        <v>Centro</v>
      </c>
      <c r="E472" s="46"/>
      <c r="F472" s="90">
        <f>IFERROR(__xludf.DUMMYFUNCTION("""COMPUTED_VALUE"""),3.7E8)</f>
        <v>370000000</v>
      </c>
      <c r="G472" s="46" t="str">
        <f>IFERROR(__xludf.DUMMYFUNCTION("""COMPUTED_VALUE"""),"$300'000.000 a $400'000.000")</f>
        <v>$300'000.000 a $400'000.000</v>
      </c>
      <c r="H472" s="46"/>
      <c r="I472" s="46"/>
      <c r="J472" s="46" t="str">
        <f>IFERROR(__xludf.DUMMYFUNCTION("""COMPUTED_VALUE"""),"Centro")</f>
        <v>Centro</v>
      </c>
      <c r="K472" s="87" t="str">
        <f>IFERROR(__xludf.DUMMYFUNCTION("""COMPUTED_VALUE"""),"4")</f>
        <v>4</v>
      </c>
      <c r="L472" s="46">
        <f>IFERROR(__xludf.DUMMYFUNCTION("""COMPUTED_VALUE"""),3.0)</f>
        <v>3</v>
      </c>
      <c r="M472" s="46"/>
      <c r="N472" s="46">
        <f>IFERROR(__xludf.DUMMYFUNCTION("""COMPUTED_VALUE"""),2.0)</f>
        <v>2</v>
      </c>
      <c r="O472" s="46">
        <f>IFERROR(__xludf.DUMMYFUNCTION("""COMPUTED_VALUE"""),1.0)</f>
        <v>1</v>
      </c>
      <c r="P472" s="46">
        <f>IFERROR(__xludf.DUMMYFUNCTION("""COMPUTED_VALUE"""),2.0)</f>
        <v>2</v>
      </c>
      <c r="Q472" s="92">
        <f>IFERROR(__xludf.DUMMYFUNCTION("""COMPUTED_VALUE"""),110.0)</f>
        <v>110</v>
      </c>
      <c r="R472" s="92">
        <f>IFERROR(__xludf.DUMMYFUNCTION("""COMPUTED_VALUE"""),110.0)</f>
        <v>110</v>
      </c>
      <c r="S472" s="87" t="str">
        <f>IFERROR(__xludf.DUMMYFUNCTION("""COMPUTED_VALUE""")," ")</f>
        <v> </v>
      </c>
      <c r="T472" s="46" t="str">
        <f>IFERROR(__xludf.DUMMYFUNCTION("""COMPUTED_VALUE"""),"Neiva")</f>
        <v>Neiva</v>
      </c>
      <c r="U472" s="87" t="str">
        <f>IFERROR(__xludf.DUMMYFUNCTION("""COMPUTED_VALUE"""),"4")</f>
        <v>4</v>
      </c>
      <c r="V472" s="46" t="str">
        <f>IFERROR(__xludf.DUMMYFUNCTION("""COMPUTED_VALUE"""),"2o.")</f>
        <v>2o.</v>
      </c>
      <c r="W472" s="46"/>
      <c r="X472" s="46">
        <f>IFERROR(__xludf.DUMMYFUNCTION("""COMPUTED_VALUE"""),3.0)</f>
        <v>3</v>
      </c>
      <c r="Y472" s="46" t="str">
        <f>IFERROR(__xludf.DUMMYFUNCTION("""COMPUTED_VALUE"""),"Social")</f>
        <v>Social</v>
      </c>
      <c r="Z472" s="90">
        <f>IFERROR(__xludf.DUMMYFUNCTION("""COMPUTED_VALUE"""),500000.0)</f>
        <v>500000</v>
      </c>
      <c r="AA472" s="33" t="str">
        <f>IFERROR(__xludf.DUMMYFUNCTION("""COMPUTED_VALUE"""),"No aplica")</f>
        <v>No aplica</v>
      </c>
      <c r="AB472" s="96" t="str">
        <f>IFERROR(__xludf.DUMMYFUNCTION("""COMPUTED_VALUE"""),"https://photos.app.goo.gl/XUZRoXr72gQH86sv6")</f>
        <v>https://photos.app.goo.gl/XUZRoXr72gQH86sv6</v>
      </c>
      <c r="AC472" s="46" t="str">
        <f>IFERROR(__xludf.DUMMYFUNCTION("""COMPUTED_VALUE"""),"Este espectacular apartamento en segundo piso destaca por su amplitud y una distribución inteligente que maximiza el confort en sus 110 m². La zona social ofrece una generosa sala-comedor conectada a un patio interno que inunda el espacio de luz natural y"&amp;" frescura, complementada por una cocina moderna completamente remodelada, funcional y elegante, junto a una zona de lavandería independiente. El área privada cuenta con tres cómodas habitaciones, destacando la alcoba principal por su gran tamaño, closets "&amp;"de alta capacidad y baño privado, además de un baño adicional completo para el resto del hogar.")</f>
        <v>Este espectacular apartamento en segundo piso destaca por su amplitud y una distribución inteligente que maximiza el confort en sus 110 m². La zona social ofrece una generosa sala-comedor conectada a un patio interno que inunda el espacio de luz natural y frescura, complementada por una cocina moderna completamente remodelada, funcional y elegante, junto a una zona de lavandería independiente. El área privada cuenta con tres cómodas habitaciones, destacando la alcoba principal por su gran tamaño, closets de alta capacidad y baño privado, además de un baño adicional completo para el resto del hogar.</v>
      </c>
      <c r="AD472" s="46" t="str">
        <f>IFERROR(__xludf.DUMMYFUNCTION("""COMPUTED_VALUE"""),"Ubicado estratégicamente sobre la Avenida La Toma en una zona de alta valorización (Estrato 5), este inmueble ofrece el equilibrio perfecto entre conectividad urbana y absoluta privacidad, al formar parte de un edificio exclusivo de solo 12 unidades que g"&amp;"arantiza un ambiente residencial de primer nivel. Su ubicación en el primer piso asegura un acceso ágil y sin complicaciones, una ventaja única que se complementa con la comodidad de un parqueadero subterráneo escriturado y un depósito privado. Es la opor"&amp;"tunidad perfecta para familias o inversionistas que exigen estatus, comodidad inmediata y una terraza social ideal para momentos inolvidables en el corazón de Neiva.")</f>
        <v>Ubicado estratégicamente sobre la Avenida La Toma en una zona de alta valorización (Estrato 5), este inmueble ofrece el equilibrio perfecto entre conectividad urbana y absoluta privacidad, al formar parte de un edificio exclusivo de solo 12 unidades que garantiza un ambiente residencial de primer nivel. Su ubicación en el primer piso asegura un acceso ágil y sin complicaciones, una ventaja única que se complementa con la comodidad de un parqueadero subterráneo escriturado y un depósito privado. Es la oportunidad perfecta para familias o inversionistas que exigen estatus, comodidad inmediata y una terraza social ideal para momentos inolvidables en el corazón de Neiva.</v>
      </c>
      <c r="AE472" s="46"/>
      <c r="AF472" s="46" t="str">
        <f>IFERROR(__xludf.DUMMYFUNCTION("""COMPUTED_VALUE"""),"integral")</f>
        <v>integral</v>
      </c>
      <c r="AG472" s="46"/>
      <c r="AH472" s="46" t="str">
        <f>IFERROR(__xludf.DUMMYFUNCTION("""COMPUTED_VALUE"""),"Aliado")</f>
        <v>Aliado</v>
      </c>
      <c r="AI472" s="92" t="str">
        <f>IFERROR(__xludf.DUMMYFUNCTION("""COMPUTED_VALUE"""),"https://lh3.googleusercontent.com/pw/AP1GczMWYuuwXh7UJu3JZ7CtsHOIJlVFW6nUMP1FsYv8Mw-SXfkQ7O7OsSe2XOa4nqSdjZdt8K6mX53NIrt1i2zvJOPiFqaEUk3Jv48VUapZLpTlwYqLNNR2=w1200|https://lh3.googleusercontent.com/pw/AP1GczNbqHyS0CbvtqN2bPTE-01M48lrGrudVS4AHUteX90xjY3Mg5"&amp;"bki5eDB5KUfYF4TOuPcJdNZ6oywzwKxxZkxJXY74WSr6VGctl9d3oIW-N4e4W7Jfgj=w1200|https://lh3.googleusercontent.com/pw/AP1GczPzRRsKAg8jLfBre-_RGvRin_gu9p0GYrAjZfqBAVGWOp-xrsAti7o2PYHz9V1wBqT2oBExGmqtERoV4f2akcj17fbcDtW_PQ8rCldNw-24jTrH8q2m=w1200|https://lh3.google"&amp;"usercontent.com/pw/AP1GczMUvmUWr9dQcu9FiW1kyc9tawf6Kz6nKfqyrPlTOqTwC92K9C93p0LEe-S7gnL__1aXR57VFHP6YMMEg7ZZq87qtS5dPME1wuNMLxRJbb1Va4bckoMn=w1200|https://lh3.googleusercontent.com/pw/AP1GczN5_Xt_U3pf1eYtPcO0mggZkWHXQm7fEIjG23i126rQKdZcm-myP5teNrkSbRQNP3ER"&amp;"85XAj6xU4FpCYrNpAkx-31Ugjtf8Zcfpb3GpzWSHE1Ign_CP=w1200|https://lh3.googleusercontent.com/pw/AP1GczOCKTvJVP7s1nJBw8EJ5_INMt9n9cfjOf9cU1f9wpGsDCwxm5lk3qYz1am8BBufHYeRgLy90qNTH0cPu5sTEhnqhocvoIbBPERhUoB7Kmohm02AW6x4=w1200|https://lh3.googleusercontent.com/pw"&amp;"/AP1GczPRFx3u1M_5hzSKZSrNJN6AENLizmvAvOTVkTdxlp7BLfdd0UrnGJfOapP0SmGstZePYrzaQuhMq1Amd2otbXsqkdWf2ReiN-AnKlpmFojwHLToERCN=w1200|https://lh3.googleusercontent.com/pw/AP1GczM13ys7XXWYve0oVCaGX2EfMR4uVg12m-oob83_1W1gWSbU-XZU8nlSf0bXgCpkhn6--z8tgeQ2jP4fUkPtrx"&amp;"U3qyQs8t-eVzx2AWD9d4dECgbdeUNW=w1200|https://lh3.googleusercontent.com/pw/AP1GczP3UF77EjGlLVQm6-vWzFtUNenA7IuuTIxn5FFXpMQxyFPwl7OTAmuiEjVuVCUyncxNzrLvs_r32uhRYraCZwMvutnIxGbJrOqS3gXlK1xWQOyQHRl2=w1200|https://lh3.googleusercontent.com/pw/AP1GczNu697EJzNUk"&amp;"Wkh-yLLyKQ3BxURYe8OV4zlv_HnI0i5uc3vFDyzb53OwQ8K0x92d8faqBUpXPrPOZruWgb94fH2pAy0ppjXNbFhic8YzuT-DmauBq-l=w1200")</f>
        <v>https://lh3.googleusercontent.com/pw/AP1GczMWYuuwXh7UJu3JZ7CtsHOIJlVFW6nUMP1FsYv8Mw-SXfkQ7O7OsSe2XOa4nqSdjZdt8K6mX53NIrt1i2zvJOPiFqaEUk3Jv48VUapZLpTlwYqLNNR2=w1200|https://lh3.googleusercontent.com/pw/AP1GczNbqHyS0CbvtqN2bPTE-01M48lrGrudVS4AHUteX90xjY3Mg5bki5eDB5KUfYF4TOuPcJdNZ6oywzwKxxZkxJXY74WSr6VGctl9d3oIW-N4e4W7Jfgj=w1200|https://lh3.googleusercontent.com/pw/AP1GczPzRRsKAg8jLfBre-_RGvRin_gu9p0GYrAjZfqBAVGWOp-xrsAti7o2PYHz9V1wBqT2oBExGmqtERoV4f2akcj17fbcDtW_PQ8rCldNw-24jTrH8q2m=w1200|https://lh3.googleusercontent.com/pw/AP1GczMUvmUWr9dQcu9FiW1kyc9tawf6Kz6nKfqyrPlTOqTwC92K9C93p0LEe-S7gnL__1aXR57VFHP6YMMEg7ZZq87qtS5dPME1wuNMLxRJbb1Va4bckoMn=w1200|https://lh3.googleusercontent.com/pw/AP1GczN5_Xt_U3pf1eYtPcO0mggZkWHXQm7fEIjG23i126rQKdZcm-myP5teNrkSbRQNP3ER85XAj6xU4FpCYrNpAkx-31Ugjtf8Zcfpb3GpzWSHE1Ign_CP=w1200|https://lh3.googleusercontent.com/pw/AP1GczOCKTvJVP7s1nJBw8EJ5_INMt9n9cfjOf9cU1f9wpGsDCwxm5lk3qYz1am8BBufHYeRgLy90qNTH0cPu5sTEhnqhocvoIbBPERhUoB7Kmohm02AW6x4=w1200|https://lh3.googleusercontent.com/pw/AP1GczPRFx3u1M_5hzSKZSrNJN6AENLizmvAvOTVkTdxlp7BLfdd0UrnGJfOapP0SmGstZePYrzaQuhMq1Amd2otbXsqkdWf2ReiN-AnKlpmFojwHLToERCN=w1200|https://lh3.googleusercontent.com/pw/AP1GczM13ys7XXWYve0oVCaGX2EfMR4uVg12m-oob83_1W1gWSbU-XZU8nlSf0bXgCpkhn6--z8tgeQ2jP4fUkPtrxU3qyQs8t-eVzx2AWD9d4dECgbdeUNW=w1200|https://lh3.googleusercontent.com/pw/AP1GczP3UF77EjGlLVQm6-vWzFtUNenA7IuuTIxn5FFXpMQxyFPwl7OTAmuiEjVuVCUyncxNzrLvs_r32uhRYraCZwMvutnIxGbJrOqS3gXlK1xWQOyQHRl2=w1200|https://lh3.googleusercontent.com/pw/AP1GczNu697EJzNUkWkh-yLLyKQ3BxURYe8OV4zlv_HnI0i5uc3vFDyzb53OwQ8K0x92d8faqBUpXPrPOZruWgb94fH2pAy0ppjXNbFhic8YzuT-DmauBq-l=w1200</v>
      </c>
      <c r="AJ472" s="46"/>
      <c r="AK472" s="46"/>
      <c r="AL472" s="46"/>
      <c r="AM472" s="46"/>
      <c r="AN472" s="46"/>
      <c r="AO472" s="46"/>
      <c r="AP472" s="46"/>
      <c r="AQ472" s="46"/>
      <c r="AR472" s="46"/>
      <c r="AS472" s="46"/>
      <c r="AT472" s="46"/>
      <c r="AU472" s="46"/>
      <c r="AV472" s="46"/>
      <c r="AW472" s="46"/>
      <c r="AX472" s="46"/>
      <c r="AY472" s="46"/>
      <c r="AZ472" s="46"/>
      <c r="BA472" s="46"/>
      <c r="BB472" s="46"/>
      <c r="BC472" s="46"/>
      <c r="BD472" s="46"/>
      <c r="BE472" s="46"/>
      <c r="BF472" s="46"/>
      <c r="BG472" s="46"/>
      <c r="BH472" s="46"/>
      <c r="BI472" s="46"/>
      <c r="BJ472" s="46"/>
      <c r="BK472" s="46"/>
      <c r="BL472" s="46"/>
      <c r="BM472" s="46"/>
      <c r="BN472" s="46"/>
      <c r="BO472" s="46"/>
      <c r="BP472" s="46"/>
      <c r="BQ472" s="46"/>
      <c r="BR472" s="46"/>
      <c r="BS472" s="46"/>
      <c r="BT472" s="46"/>
      <c r="BU472" s="46"/>
      <c r="BV472" s="46"/>
      <c r="BW472" s="46"/>
      <c r="BX472" s="46"/>
      <c r="BY472" s="46"/>
      <c r="BZ472" s="46"/>
      <c r="CA472" s="46"/>
      <c r="CB472" s="46"/>
      <c r="CC472" s="46"/>
    </row>
    <row r="473">
      <c r="A473" s="87" t="str">
        <f>IFERROR(__xludf.DUMMYFUNCTION("""COMPUTED_VALUE"""),"443")</f>
        <v>443</v>
      </c>
      <c r="B473" s="46" t="str">
        <f>IFERROR(__xludf.DUMMYFUNCTION("""COMPUTED_VALUE"""),"Apartamento en conjunto Residencial Bambú - Sur")</f>
        <v>Apartamento en conjunto Residencial Bambú - Sur</v>
      </c>
      <c r="C473" s="46" t="str">
        <f>IFERROR(__xludf.DUMMYFUNCTION("""COMPUTED_VALUE"""),"Apartamento en conjunto")</f>
        <v>Apartamento en conjunto</v>
      </c>
      <c r="D473" s="46"/>
      <c r="E473" s="46" t="str">
        <f>IFERROR(__xludf.DUMMYFUNCTION("""COMPUTED_VALUE"""),"Conjunto Residencial Bambú ")</f>
        <v>Conjunto Residencial Bambú </v>
      </c>
      <c r="F473" s="90">
        <f>IFERROR(__xludf.DUMMYFUNCTION("""COMPUTED_VALUE"""),3.7E8)</f>
        <v>370000000</v>
      </c>
      <c r="G473" s="46" t="str">
        <f>IFERROR(__xludf.DUMMYFUNCTION("""COMPUTED_VALUE"""),"$300'000.000 a $400'000.000")</f>
        <v>$300'000.000 a $400'000.000</v>
      </c>
      <c r="H473" s="46"/>
      <c r="I473" s="46"/>
      <c r="J473" s="46" t="str">
        <f>IFERROR(__xludf.DUMMYFUNCTION("""COMPUTED_VALUE"""),"Sur")</f>
        <v>Sur</v>
      </c>
      <c r="K473" s="87"/>
      <c r="L473" s="46">
        <f>IFERROR(__xludf.DUMMYFUNCTION("""COMPUTED_VALUE"""),3.0)</f>
        <v>3</v>
      </c>
      <c r="M473" s="46"/>
      <c r="N473" s="46">
        <f>IFERROR(__xludf.DUMMYFUNCTION("""COMPUTED_VALUE"""),2.0)</f>
        <v>2</v>
      </c>
      <c r="O473" s="46">
        <f>IFERROR(__xludf.DUMMYFUNCTION("""COMPUTED_VALUE"""),1.0)</f>
        <v>1</v>
      </c>
      <c r="P473" s="46">
        <f>IFERROR(__xludf.DUMMYFUNCTION("""COMPUTED_VALUE"""),9.0)</f>
        <v>9</v>
      </c>
      <c r="Q473" s="92">
        <f>IFERROR(__xludf.DUMMYFUNCTION("""COMPUTED_VALUE"""),89.0)</f>
        <v>89</v>
      </c>
      <c r="R473" s="92">
        <f>IFERROR(__xludf.DUMMYFUNCTION("""COMPUTED_VALUE"""),89.0)</f>
        <v>89</v>
      </c>
      <c r="S473" s="87" t="str">
        <f>IFERROR(__xludf.DUMMYFUNCTION("""COMPUTED_VALUE""")," ")</f>
        <v> </v>
      </c>
      <c r="T473" s="46" t="str">
        <f>IFERROR(__xludf.DUMMYFUNCTION("""COMPUTED_VALUE"""),"neiva")</f>
        <v>neiva</v>
      </c>
      <c r="U473" s="87" t="str">
        <f>IFERROR(__xludf.DUMMYFUNCTION("""COMPUTED_VALUE"""),"4")</f>
        <v>4</v>
      </c>
      <c r="V473" s="46" t="str">
        <f>IFERROR(__xludf.DUMMYFUNCTION("""COMPUTED_VALUE"""),"9o.")</f>
        <v>9o.</v>
      </c>
      <c r="W473" s="46"/>
      <c r="X473" s="46">
        <f>IFERROR(__xludf.DUMMYFUNCTION("""COMPUTED_VALUE"""),3.0)</f>
        <v>3</v>
      </c>
      <c r="Y473" s="46" t="str">
        <f>IFERROR(__xludf.DUMMYFUNCTION("""COMPUTED_VALUE"""),"Social")</f>
        <v>Social</v>
      </c>
      <c r="Z473" s="90">
        <f>IFERROR(__xludf.DUMMYFUNCTION("""COMPUTED_VALUE"""),330000.0)</f>
        <v>330000</v>
      </c>
      <c r="AA473" s="33" t="str">
        <f>IFERROR(__xludf.DUMMYFUNCTION("""COMPUTED_VALUE"""),"No aplica")</f>
        <v>No aplica</v>
      </c>
      <c r="AB473" s="96" t="str">
        <f>IFERROR(__xludf.DUMMYFUNCTION("""COMPUTED_VALUE"""),"https://photos.app.goo.gl/pnyj4GbU9BxE1H1fA")</f>
        <v>https://photos.app.goo.gl/pnyj4GbU9BxE1H1fA</v>
      </c>
      <c r="AC473" s="46" t="str">
        <f>IFERROR(__xludf.DUMMYFUNCTION("""COMPUTED_VALUE"""),"Este moderno apartamento de 89 m² en un noveno piso destaca por su excelente iluminación natural, ventilación cruzada y una espectacular vista panorámica. Su diseño funcional y confortable distribuye perfectamente 3 amplias alcobas, 2 baños y un parqueade"&amp;"ro subterráneo privado, garantizando un ambiente familiar lleno de tranquilidad y comodidad.")</f>
        <v>Este moderno apartamento de 89 m² en un noveno piso destaca por su excelente iluminación natural, ventilación cruzada y una espectacular vista panorámica. Su diseño funcional y confortable distribuye perfectamente 3 amplias alcobas, 2 baños y un parqueadero subterráneo privado, garantizando un ambiente familiar lleno de tranquilidad y comodidad.</v>
      </c>
      <c r="AD473" s="46" t="str">
        <f>IFERROR(__xludf.DUMMYFUNCTION("""COMPUTED_VALUE"""),"Ubicado estratégicamente en la zona sur de Neiva y muy cerca de Unicentro, el inmueble se encuentra en un sector de altísima valorización y demanda. El conjunto residencial ofrece un estilo de vida exclusivo con amenidades premium que incluyen piscinas, g"&amp;"imnasio, canchas deportivas, parque infantil y zona BBQ, convirtiéndolo en la oportunidad perfecta e inmediata para vivir o invertir de forma segura.")</f>
        <v>Ubicado estratégicamente en la zona sur de Neiva y muy cerca de Unicentro, el inmueble se encuentra en un sector de altísima valorización y demanda. El conjunto residencial ofrece un estilo de vida exclusivo con amenidades premium que incluyen piscinas, gimnasio, canchas deportivas, parque infantil y zona BBQ, convirtiéndolo en la oportunidad perfecta e inmediata para vivir o invertir de forma segura.</v>
      </c>
      <c r="AE473" s="46"/>
      <c r="AF473" s="46" t="str">
        <f>IFERROR(__xludf.DUMMYFUNCTION("""COMPUTED_VALUE"""),"integral")</f>
        <v>integral</v>
      </c>
      <c r="AG473" s="46"/>
      <c r="AH473" s="46" t="str">
        <f>IFERROR(__xludf.DUMMYFUNCTION("""COMPUTED_VALUE"""),"Aliado")</f>
        <v>Aliado</v>
      </c>
      <c r="AI473" s="92" t="str">
        <f>IFERROR(__xludf.DUMMYFUNCTION("""COMPUTED_VALUE"""),"https://lh3.googleusercontent.com/pw/AP1GczMsxt3uUWHwE5esm3VfJv7IJ7JlvNT_qI9qJhs6AmsbNBJZLab-NSwTa9ViGb-U3cLMe5UcUe6NlEy9PHx9M07Tt_yIxnBXbZZDKeKR6xZphLvcZ9CT=w1200|https://lh3.googleusercontent.com/pw/AP1GczO3z_aPnU5_vP4HOmy0lNQbDnMXt5S48ji7NNvyFwh8fPTfIp"&amp;"HCjbrkBlS0b2G9gkPh6Ut5ntmahZAzdqVOwdzdfw-HWJL_8HMGjp-TulH3AmbVs_Vc=w1200|https://lh3.googleusercontent.com/pw/AP1GczN0CwVri9lG9vOkLhiW2vosaFLM0Q3Of14qUPuDFYOp6pJopyOwSN9EuKFNoTjsH2P2Tx9D_CLk6MUBPYgvPvj3YIMaUVdmejlAuxOUWKm28unqo1x9=w1200|https://lh3.google"&amp;"usercontent.com/pw/AP1GczO4EjnU9oAN8MExWuMsW8M4TKQeuT5hysG82RTduwkFJ_Qu-2hHq5lUOb5yVOBTeC1HPW9TVvyhEo93LoYtNbtPxkwLvKR6oPOh0SzL7UIxgqC8DyF4=w1200|https://lh3.googleusercontent.com/pw/AP1GczNJXOp64LpEyuOscYOFwbdrh3FYaNvXgEFnfSFtDDJZFmI8aSuoyCkpg-6COZdxScT2"&amp;"3b1qtImOLdmZLGN9DNzwA4Z1ttPKPe4hQcXVSmEPLiL6MOvo=w1200|https://lh3.googleusercontent.com/pw/AP1GczOfPles7PJU6fgks_JL7XmnQQa81V3FepKWcFBdikwF5OuDxEvns6Vkc5PSYnwGnf5gG_771yGInkzidCeey9iEaTEZbPcbsPRSctirocDvfgTjvULU=w1200|https://lh3.googleusercontent.com/pw"&amp;"/AP1GczMfwZe8gGMMW24oIUs-haTxF5X-y32MgTsvaqUjrdquHTdPx1empmrdK3n7GrWiVVbB_qFmstXT3K8FA8bTM2y-GSEobZuVb2HFgn08xDSbgYcMAaGJ=w1200|https://lh3.googleusercontent.com/pw/AP1GczO1w0b6F-zfQ6vE4PtjpQOIck8v5YeXi3TFPPQC8zXuN7tcQXiL1OAXd0LfbCgHuo-J-X6JaqXE7wNGbjgU9v"&amp;"7h2164IDA0iJVCxeca5d__PfwABBDx=w1200|https://lh3.googleusercontent.com/pw/AP1GczPUUnrUyfOpm5cr07Q-iIpiChwvSR3-7nwujzk5eyB1KyuyCxrVBpUMsbZjgOBUtuh9kfgcU6FOK6odqaOvip6frdvzDNfa-avhddYLxAdEW4fJ5Zrj=w1200|https://lh3.googleusercontent.com/pw/AP1GczNGNBg7k4r2c"&amp;"7nbH7oHX7MOe521QS1gt04GfGK2gXMhHgG9NKlY4ZHg3qjFVEHmJs1Kzwo7r3LhtJy1qww9C-1CBpo6fCUfxuRdGBx3cduSqQHTD7l0=w1200|https://lh3.googleusercontent.com/pw/AP1GczOwxL2AfowAFZvmHzaeRtDxh5hJOzHQWcx9Y6-Wb28Ypec7iZwWHiRxVZfa0G49xYEEv2HjJEZVT-2TpngQCHEvIDOLL0__Jaj8-6r7"&amp;"IkphTswzAbvt=w1200|https://lh3.googleusercontent.com/pw/AP1GczOIZdi9zUcAtBxF52WvfYjGIOejSmUV8xWh6F4lUu1Pb3JwAdjundtG2GI51NwlD0dOqLHtrezBccqeB2SYnZZPVIiv7hf5KrIPKADBPeeMobRHrJJL=w1200|https://lh3.googleusercontent.com/pw/AP1GczMWXUFvDJTHs0TslkPIUbvEAAuDu8p"&amp;"fgNSWB4r0sQnVX5_nbT7QpvLpOKn5uSFmtL8G7vJPwUJYCWzTDB-Qpr2CrEhBucP3cjgnJwv0o5PgWc0-iMa8=w1200|https://lh3.googleusercontent.com/pw/AP1GczOHFUvU5jvySFQ9oEZQ0GzaiZhIlkS5eyMo1rHM5bTZsKQSZihWHEkaY810cK6UsgsAUtuNfVcFyxnvCX8bwfKxTWnYwe_6WrxOP06-4E3NWGcLsYD3=w1200"&amp;"|https://lh3.googleusercontent.com/pw/AP1GczP0MV4_1HiGNZ1B1t3Op01SuxnIbKNr4llYqZV7cMnSt6EPtP9HkxN_0z6F8YoaFU7ilcWCKyz00f4uAd2UyHbaWUW-JTdOK2WBNINunqMLj7neYa-f=w1200|https://lh3.googleusercontent.com/pw/AP1GczMVYmj0GdoFakBCK375-2TW1gAs_MzHL4vVyGChi55rvZv6U"&amp;"lx0-qhsp32Zt6XkgGEr1gcHAuKhqqX8KnNC7_l8n31sYpwRd74lssfZiTAH0A-DVtl8=w1200|https://lh3.googleusercontent.com/pw/AP1GczOE2d4xRoP0nMJ9i1QOIgfMI2vHAKDEXnMkS1-tOEcirkVOncUSZ87loH47LEwdLjJtG1nxx9GarK8butTamcmW8G5BPZ9UJ2zX6w3S6VT6Hbw3B3Nm=w1200|https://lh3.googl"&amp;"eusercontent.com/pw/AP1GczMra3VSunXVEWSezkdg9dye8ptELicPdXELDtu6DV2a_MlIvAcz57W7QSiyelzLfAwinK8tFRE0XZKtau2SQ8sot5r_5bOMcTxBd4KQEp-3UTmQegcn=w1200")</f>
        <v>https://lh3.googleusercontent.com/pw/AP1GczMsxt3uUWHwE5esm3VfJv7IJ7JlvNT_qI9qJhs6AmsbNBJZLab-NSwTa9ViGb-U3cLMe5UcUe6NlEy9PHx9M07Tt_yIxnBXbZZDKeKR6xZphLvcZ9CT=w1200|https://lh3.googleusercontent.com/pw/AP1GczO3z_aPnU5_vP4HOmy0lNQbDnMXt5S48ji7NNvyFwh8fPTfIpHCjbrkBlS0b2G9gkPh6Ut5ntmahZAzdqVOwdzdfw-HWJL_8HMGjp-TulH3AmbVs_Vc=w1200|https://lh3.googleusercontent.com/pw/AP1GczN0CwVri9lG9vOkLhiW2vosaFLM0Q3Of14qUPuDFYOp6pJopyOwSN9EuKFNoTjsH2P2Tx9D_CLk6MUBPYgvPvj3YIMaUVdmejlAuxOUWKm28unqo1x9=w1200|https://lh3.googleusercontent.com/pw/AP1GczO4EjnU9oAN8MExWuMsW8M4TKQeuT5hysG82RTduwkFJ_Qu-2hHq5lUOb5yVOBTeC1HPW9TVvyhEo93LoYtNbtPxkwLvKR6oPOh0SzL7UIxgqC8DyF4=w1200|https://lh3.googleusercontent.com/pw/AP1GczNJXOp64LpEyuOscYOFwbdrh3FYaNvXgEFnfSFtDDJZFmI8aSuoyCkpg-6COZdxScT23b1qtImOLdmZLGN9DNzwA4Z1ttPKPe4hQcXVSmEPLiL6MOvo=w1200|https://lh3.googleusercontent.com/pw/AP1GczOfPles7PJU6fgks_JL7XmnQQa81V3FepKWcFBdikwF5OuDxEvns6Vkc5PSYnwGnf5gG_771yGInkzidCeey9iEaTEZbPcbsPRSctirocDvfgTjvULU=w1200|https://lh3.googleusercontent.com/pw/AP1GczMfwZe8gGMMW24oIUs-haTxF5X-y32MgTsvaqUjrdquHTdPx1empmrdK3n7GrWiVVbB_qFmstXT3K8FA8bTM2y-GSEobZuVb2HFgn08xDSbgYcMAaGJ=w1200|https://lh3.googleusercontent.com/pw/AP1GczO1w0b6F-zfQ6vE4PtjpQOIck8v5YeXi3TFPPQC8zXuN7tcQXiL1OAXd0LfbCgHuo-J-X6JaqXE7wNGbjgU9v7h2164IDA0iJVCxeca5d__PfwABBDx=w1200|https://lh3.googleusercontent.com/pw/AP1GczPUUnrUyfOpm5cr07Q-iIpiChwvSR3-7nwujzk5eyB1KyuyCxrVBpUMsbZjgOBUtuh9kfgcU6FOK6odqaOvip6frdvzDNfa-avhddYLxAdEW4fJ5Zrj=w1200|https://lh3.googleusercontent.com/pw/AP1GczNGNBg7k4r2c7nbH7oHX7MOe521QS1gt04GfGK2gXMhHgG9NKlY4ZHg3qjFVEHmJs1Kzwo7r3LhtJy1qww9C-1CBpo6fCUfxuRdGBx3cduSqQHTD7l0=w1200|https://lh3.googleusercontent.com/pw/AP1GczOwxL2AfowAFZvmHzaeRtDxh5hJOzHQWcx9Y6-Wb28Ypec7iZwWHiRxVZfa0G49xYEEv2HjJEZVT-2TpngQCHEvIDOLL0__Jaj8-6r7IkphTswzAbvt=w1200|https://lh3.googleusercontent.com/pw/AP1GczOIZdi9zUcAtBxF52WvfYjGIOejSmUV8xWh6F4lUu1Pb3JwAdjundtG2GI51NwlD0dOqLHtrezBccqeB2SYnZZPVIiv7hf5KrIPKADBPeeMobRHrJJL=w1200|https://lh3.googleusercontent.com/pw/AP1GczMWXUFvDJTHs0TslkPIUbvEAAuDu8pfgNSWB4r0sQnVX5_nbT7QpvLpOKn5uSFmtL8G7vJPwUJYCWzTDB-Qpr2CrEhBucP3cjgnJwv0o5PgWc0-iMa8=w1200|https://lh3.googleusercontent.com/pw/AP1GczOHFUvU5jvySFQ9oEZQ0GzaiZhIlkS5eyMo1rHM5bTZsKQSZihWHEkaY810cK6UsgsAUtuNfVcFyxnvCX8bwfKxTWnYwe_6WrxOP06-4E3NWGcLsYD3=w1200|https://lh3.googleusercontent.com/pw/AP1GczP0MV4_1HiGNZ1B1t3Op01SuxnIbKNr4llYqZV7cMnSt6EPtP9HkxN_0z6F8YoaFU7ilcWCKyz00f4uAd2UyHbaWUW-JTdOK2WBNINunqMLj7neYa-f=w1200|https://lh3.googleusercontent.com/pw/AP1GczMVYmj0GdoFakBCK375-2TW1gAs_MzHL4vVyGChi55rvZv6Ulx0-qhsp32Zt6XkgGEr1gcHAuKhqqX8KnNC7_l8n31sYpwRd74lssfZiTAH0A-DVtl8=w1200|https://lh3.googleusercontent.com/pw/AP1GczOE2d4xRoP0nMJ9i1QOIgfMI2vHAKDEXnMkS1-tOEcirkVOncUSZ87loH47LEwdLjJtG1nxx9GarK8butTamcmW8G5BPZ9UJ2zX6w3S6VT6Hbw3B3Nm=w1200|https://lh3.googleusercontent.com/pw/AP1GczMra3VSunXVEWSezkdg9dye8ptELicPdXELDtu6DV2a_MlIvAcz57W7QSiyelzLfAwinK8tFRE0XZKtau2SQ8sot5r_5bOMcTxBd4KQEp-3UTmQegcn=w1200</v>
      </c>
      <c r="AJ473" s="46"/>
      <c r="AK473" s="46"/>
      <c r="AL473" s="46"/>
      <c r="AM473" s="46"/>
      <c r="AN473" s="46"/>
      <c r="AO473" s="46"/>
      <c r="AP473" s="46"/>
      <c r="AQ473" s="46"/>
      <c r="AR473" s="46"/>
      <c r="AS473" s="46"/>
      <c r="AT473" s="46"/>
      <c r="AU473" s="46"/>
      <c r="AV473" s="46"/>
      <c r="AW473" s="46"/>
      <c r="AX473" s="46"/>
      <c r="AY473" s="46"/>
      <c r="AZ473" s="46"/>
      <c r="BA473" s="46"/>
      <c r="BB473" s="46"/>
      <c r="BC473" s="46"/>
      <c r="BD473" s="46"/>
      <c r="BE473" s="46"/>
      <c r="BF473" s="46"/>
      <c r="BG473" s="46"/>
      <c r="BH473" s="46"/>
      <c r="BI473" s="46"/>
      <c r="BJ473" s="46"/>
      <c r="BK473" s="46"/>
      <c r="BL473" s="46"/>
      <c r="BM473" s="46"/>
      <c r="BN473" s="46"/>
      <c r="BO473" s="46"/>
      <c r="BP473" s="46"/>
      <c r="BQ473" s="46"/>
      <c r="BR473" s="46"/>
      <c r="BS473" s="46"/>
      <c r="BT473" s="46"/>
      <c r="BU473" s="46"/>
      <c r="BV473" s="46"/>
      <c r="BW473" s="46"/>
      <c r="BX473" s="46"/>
      <c r="BY473" s="46"/>
      <c r="BZ473" s="46"/>
      <c r="CA473" s="46"/>
      <c r="CB473" s="46"/>
      <c r="CC473" s="46"/>
    </row>
    <row r="474">
      <c r="A474" s="87" t="str">
        <f>IFERROR(__xludf.DUMMYFUNCTION("""COMPUTED_VALUE"""),"540")</f>
        <v>540</v>
      </c>
      <c r="B474" s="46" t="str">
        <f>IFERROR(__xludf.DUMMYFUNCTION("""COMPUTED_VALUE"""),"Casa campestre en conjunto Condominio Costa Brava - Yaguará")</f>
        <v>Casa campestre en conjunto Condominio Costa Brava - Yaguará</v>
      </c>
      <c r="C474" s="46" t="str">
        <f>IFERROR(__xludf.DUMMYFUNCTION("""COMPUTED_VALUE"""),"Casa campestre en conjunto")</f>
        <v>Casa campestre en conjunto</v>
      </c>
      <c r="D474" s="46"/>
      <c r="E474" s="46" t="str">
        <f>IFERROR(__xludf.DUMMYFUNCTION("""COMPUTED_VALUE"""),"Conjunto Condominio Costa Brava")</f>
        <v>Conjunto Condominio Costa Brava</v>
      </c>
      <c r="F474" s="90">
        <f>IFERROR(__xludf.DUMMYFUNCTION("""COMPUTED_VALUE"""),3.6E8)</f>
        <v>360000000</v>
      </c>
      <c r="G474" s="46" t="str">
        <f>IFERROR(__xludf.DUMMYFUNCTION("""COMPUTED_VALUE"""),"$300'000.000 a $400'000.000")</f>
        <v>$300'000.000 a $400'000.000</v>
      </c>
      <c r="H474" s="46"/>
      <c r="I474" s="46"/>
      <c r="J474" s="46"/>
      <c r="K474" s="87"/>
      <c r="L474" s="46">
        <f>IFERROR(__xludf.DUMMYFUNCTION("""COMPUTED_VALUE"""),6.0)</f>
        <v>6</v>
      </c>
      <c r="M474" s="46"/>
      <c r="N474" s="46">
        <f>IFERROR(__xludf.DUMMYFUNCTION("""COMPUTED_VALUE"""),2.0)</f>
        <v>2</v>
      </c>
      <c r="O474" s="46"/>
      <c r="P474" s="46">
        <f>IFERROR(__xludf.DUMMYFUNCTION("""COMPUTED_VALUE"""),1.0)</f>
        <v>1</v>
      </c>
      <c r="Q474" s="92">
        <f>IFERROR(__xludf.DUMMYFUNCTION("""COMPUTED_VALUE"""),280.0)</f>
        <v>280</v>
      </c>
      <c r="R474" s="92">
        <f>IFERROR(__xludf.DUMMYFUNCTION("""COMPUTED_VALUE"""),800.0)</f>
        <v>800</v>
      </c>
      <c r="S474" s="87" t="str">
        <f>IFERROR(__xludf.DUMMYFUNCTION("""COMPUTED_VALUE""")," ")</f>
        <v> </v>
      </c>
      <c r="T474" s="46" t="str">
        <f>IFERROR(__xludf.DUMMYFUNCTION("""COMPUTED_VALUE"""),"Yaguará")</f>
        <v>Yaguará</v>
      </c>
      <c r="U474" s="87"/>
      <c r="V474" s="46"/>
      <c r="W474" s="46"/>
      <c r="X474" s="46">
        <f>IFERROR(__xludf.DUMMYFUNCTION("""COMPUTED_VALUE"""),4.0)</f>
        <v>4</v>
      </c>
      <c r="Y474" s="46" t="str">
        <f>IFERROR(__xludf.DUMMYFUNCTION("""COMPUTED_VALUE"""),"No tiene")</f>
        <v>No tiene</v>
      </c>
      <c r="Z474" s="90">
        <f>IFERROR(__xludf.DUMMYFUNCTION("""COMPUTED_VALUE"""),160000.0)</f>
        <v>160000</v>
      </c>
      <c r="AA474" s="33" t="str">
        <f>IFERROR(__xludf.DUMMYFUNCTION("""COMPUTED_VALUE"""),"No aplica")</f>
        <v>No aplica</v>
      </c>
      <c r="AB474" s="96" t="str">
        <f>IFERROR(__xludf.DUMMYFUNCTION("""COMPUTED_VALUE"""),"https://photos.app.goo.gl/biYSz7id2n835AgL9")</f>
        <v>https://photos.app.goo.gl/biYSz7id2n835AgL9</v>
      </c>
      <c r="AC474" s="46" t="str">
        <f>IFERROR(__xludf.DUMMYFUNCTION("""COMPUTED_VALUE"""),"Esta espectacular casa campestre, ubicada en el exclusivo Conjunto Costa Brava sobre la vía a Yaguará, ofrece un refugio perfecto de $280\text{ m}^2$ que combina naturaleza, confort y una excelente oportunidad de inversión a pocos minutos de la ciudad. El"&amp;" diseño de la propiedad destaca por sus ambientes frescos y techos altos con detalles en bambú, distribuidos en una amplia sala-comedor con iluminación natural, cocina integral totalmente enchapada, 6 cómodas habitaciones y 3 sistemas de aire acondicionad"&amp;"o. Al formar parte de un conjunto cerrado de solo 37 casas con calles en placa huella, la privacidad y la seguridad están completamente garantizadas para ti y tu familia.")</f>
        <v>Esta espectacular casa campestre, ubicada en el exclusivo Conjunto Costa Brava sobre la vía a Yaguará, ofrece un refugio perfecto de $280\text{ m}^2$ que combina naturaleza, confort y una excelente oportunidad de inversión a pocos minutos de la ciudad. El diseño de la propiedad destaca por sus ambientes frescos y techos altos con detalles en bambú, distribuidos en una amplia sala-comedor con iluminación natural, cocina integral totalmente enchapada, 6 cómodas habitaciones y 3 sistemas de aire acondicionado. Al formar parte de un conjunto cerrado de solo 37 casas con calles en placa huella, la privacidad y la seguridad están completamente garantizadas para ti y tu familia.</v>
      </c>
      <c r="AD474" s="46" t="str">
        <f>IFERROR(__xludf.DUMMYFUNCTION("""COMPUTED_VALUE"""),"El verdadero atractivo de esta propiedad se encuentra en sus zonas exteriores, ideales tanto para el descanso de fin de semana como para vivir de forma permanente en un entorno campestre. Cuenta con una maravillosa piscina privada y amplios corredores soc"&amp;"iales techados que se conectan directamente con una generosa zona verde privada, adornada con árboles frutales productivos de guanábana, plátano y palma de coco. Además, representa una opción altamente rentable y cómoda gracias a su gran potencial de valo"&amp;"rización y a una económica administración de $160.000 mensuales que ya incluye el servicio de agua.")</f>
        <v>El verdadero atractivo de esta propiedad se encuentra en sus zonas exteriores, ideales tanto para el descanso de fin de semana como para vivir de forma permanente en un entorno campestre. Cuenta con una maravillosa piscina privada y amplios corredores sociales techados que se conectan directamente con una generosa zona verde privada, adornada con árboles frutales productivos de guanábana, plátano y palma de coco. Además, representa una opción altamente rentable y cómoda gracias a su gran potencial de valorización y a una económica administración de $160.000 mensuales que ya incluye el servicio de agua.</v>
      </c>
      <c r="AE474" s="46"/>
      <c r="AF474" s="46" t="str">
        <f>IFERROR(__xludf.DUMMYFUNCTION("""COMPUTED_VALUE"""),"integral")</f>
        <v>integral</v>
      </c>
      <c r="AG474" s="46"/>
      <c r="AH474" s="46" t="str">
        <f>IFERROR(__xludf.DUMMYFUNCTION("""COMPUTED_VALUE"""),"Aliado")</f>
        <v>Aliado</v>
      </c>
      <c r="AI474" s="92" t="str">
        <f>IFERROR(__xludf.DUMMYFUNCTION("""COMPUTED_VALUE"""),"https://lh3.googleusercontent.com/pw/AP1GczMDEDl5nMNXzqVCSYGGhIgoksRKLzAGLE5hwCgawRbb7wHPfRmqg08DwtgJyHcavXKm4I-XR3TbE0G-c1zdgOMIbrBKpSqw8-lD9_FlasJrd5a6ld8e=w1200|https://lh3.googleusercontent.com/pw/AP1GczMqGMRNz7Xj58qs7vmkHvFdxJfC2vKiaaLYCyBdQBaIwuhvbR"&amp;"l8H7X3h9MXg5wSqYQbNGpwUnat6__rbEueHOLUFGk9wJ2SlU8p4mfOzsYkyzSOSiy3=w1200|https://lh3.googleusercontent.com/pw/AP1GczPEf4RuGtJbCpnrrg0eolnVWbjoElg-OmBvlgwRwJJe8ZfxTRkPEaN9wUfP7VQGimWsMjUG4H6E0dwC-V2yzvEuZoZgSmhV8qRoTEt3z-Smr5Dr5cw5=w1200|https://lh3.google"&amp;"usercontent.com/pw/AP1GczPqnu_NCclJx6PaoNWUy1hvgZDzUuZzGMTl5WJJfEcSSXnjT5AHkRo7y50MRcSgSBKp-v-ncQY-xb162wOjtuvOeTShtPLVQT8b5cyM2eq6AHJRd2nJ=w1200|https://lh3.googleusercontent.com/pw/AP1GczPC7cEloDQDHcD-a3VJ909WqY7KZgq9euAEJhne-Des9fzKzZ9f7-7y9VToIlghiKVU"&amp;"kdx8ORWklXlwaCM8ByS3t8TR2-byOdTogIeHifJ8gzH3NxNr=w1200|https://lh3.googleusercontent.com/pw/AP1GczMofP0GRZT40htWnRv4GLFWp2gunedT8Ro83v_GAkgEBSNp6P0LtXRR6EB25M7RWraokJScPfi7Hnf_cYKXr3zcBQxNnE8VsZNsaNrqpWrWp82xLx1J=w1200|https://lh3.googleusercontent.com/pw"&amp;"/AP1GczNplnnGSW8vjQLPBlVDpeeLlgT6A4kipw0ye5FmfInQXvr8oCxY4XZyeqHFKreWwaGldrfkZS1bnqn4XnYRtXJFXFkNk7s7bT4L8Wf11mlpkskb7leu=w1200|https://lh3.googleusercontent.com/pw/AP1GczMEFLTDGB-jHHsINypIVL_dzYy0bueA8Uzv6AqkdKimHG0g53yVUhJQa4KXBP02FiBhT1afjHTd5SySHrRLgR"&amp;"VUMaosx9Dhlul65CL6u-Xivh8UGMNl=w1200|https://lh3.googleusercontent.com/pw/AP1GczMpBx6f98MFBeT3hjX9BIKRjtUmwV2Mq5lgKiLMpDKj146hrk9XzSlYVRjEZlildhN8nY4e1d5mMkBOrUS0WW_-rGdkjmKz7oftzzXb3U1zkAJz_hch=w1200|https://lh3.googleusercontent.com/pw/AP1GczPlvhZaCHC-6"&amp;"MdUaC87VDAx0VN917YT3G-UP0dl31CPsyOdN4z3avgGS2Eqy_VlxJboYLCarTSXT7WrHTOb2siRgaubUaR5EqhKxC1acol0yKVPiosW=w1200")</f>
        <v>https://lh3.googleusercontent.com/pw/AP1GczMDEDl5nMNXzqVCSYGGhIgoksRKLzAGLE5hwCgawRbb7wHPfRmqg08DwtgJyHcavXKm4I-XR3TbE0G-c1zdgOMIbrBKpSqw8-lD9_FlasJrd5a6ld8e=w1200|https://lh3.googleusercontent.com/pw/AP1GczMqGMRNz7Xj58qs7vmkHvFdxJfC2vKiaaLYCyBdQBaIwuhvbRl8H7X3h9MXg5wSqYQbNGpwUnat6__rbEueHOLUFGk9wJ2SlU8p4mfOzsYkyzSOSiy3=w1200|https://lh3.googleusercontent.com/pw/AP1GczPEf4RuGtJbCpnrrg0eolnVWbjoElg-OmBvlgwRwJJe8ZfxTRkPEaN9wUfP7VQGimWsMjUG4H6E0dwC-V2yzvEuZoZgSmhV8qRoTEt3z-Smr5Dr5cw5=w1200|https://lh3.googleusercontent.com/pw/AP1GczPqnu_NCclJx6PaoNWUy1hvgZDzUuZzGMTl5WJJfEcSSXnjT5AHkRo7y50MRcSgSBKp-v-ncQY-xb162wOjtuvOeTShtPLVQT8b5cyM2eq6AHJRd2nJ=w1200|https://lh3.googleusercontent.com/pw/AP1GczPC7cEloDQDHcD-a3VJ909WqY7KZgq9euAEJhne-Des9fzKzZ9f7-7y9VToIlghiKVUkdx8ORWklXlwaCM8ByS3t8TR2-byOdTogIeHifJ8gzH3NxNr=w1200|https://lh3.googleusercontent.com/pw/AP1GczMofP0GRZT40htWnRv4GLFWp2gunedT8Ro83v_GAkgEBSNp6P0LtXRR6EB25M7RWraokJScPfi7Hnf_cYKXr3zcBQxNnE8VsZNsaNrqpWrWp82xLx1J=w1200|https://lh3.googleusercontent.com/pw/AP1GczNplnnGSW8vjQLPBlVDpeeLlgT6A4kipw0ye5FmfInQXvr8oCxY4XZyeqHFKreWwaGldrfkZS1bnqn4XnYRtXJFXFkNk7s7bT4L8Wf11mlpkskb7leu=w1200|https://lh3.googleusercontent.com/pw/AP1GczMEFLTDGB-jHHsINypIVL_dzYy0bueA8Uzv6AqkdKimHG0g53yVUhJQa4KXBP02FiBhT1afjHTd5SySHrRLgRVUMaosx9Dhlul65CL6u-Xivh8UGMNl=w1200|https://lh3.googleusercontent.com/pw/AP1GczMpBx6f98MFBeT3hjX9BIKRjtUmwV2Mq5lgKiLMpDKj146hrk9XzSlYVRjEZlildhN8nY4e1d5mMkBOrUS0WW_-rGdkjmKz7oftzzXb3U1zkAJz_hch=w1200|https://lh3.googleusercontent.com/pw/AP1GczPlvhZaCHC-6MdUaC87VDAx0VN917YT3G-UP0dl31CPsyOdN4z3avgGS2Eqy_VlxJboYLCarTSXT7WrHTOb2siRgaubUaR5EqhKxC1acol0yKVPiosW=w1200</v>
      </c>
      <c r="AJ474" s="46"/>
      <c r="AK474" s="46"/>
      <c r="AL474" s="46"/>
      <c r="AM474" s="46"/>
      <c r="AN474" s="46"/>
      <c r="AO474" s="46"/>
      <c r="AP474" s="46"/>
      <c r="AQ474" s="46"/>
      <c r="AR474" s="46"/>
      <c r="AS474" s="46"/>
      <c r="AT474" s="46"/>
      <c r="AU474" s="46"/>
      <c r="AV474" s="46"/>
      <c r="AW474" s="46"/>
      <c r="AX474" s="46"/>
      <c r="AY474" s="46"/>
      <c r="AZ474" s="46"/>
      <c r="BA474" s="46"/>
      <c r="BB474" s="46"/>
      <c r="BC474" s="46"/>
      <c r="BD474" s="46"/>
      <c r="BE474" s="46"/>
      <c r="BF474" s="46"/>
      <c r="BG474" s="46"/>
      <c r="BH474" s="46"/>
      <c r="BI474" s="46"/>
      <c r="BJ474" s="46"/>
      <c r="BK474" s="46"/>
      <c r="BL474" s="46"/>
      <c r="BM474" s="46"/>
      <c r="BN474" s="46"/>
      <c r="BO474" s="46"/>
      <c r="BP474" s="46"/>
      <c r="BQ474" s="46"/>
      <c r="BR474" s="46"/>
      <c r="BS474" s="46"/>
      <c r="BT474" s="46"/>
      <c r="BU474" s="46"/>
      <c r="BV474" s="46"/>
      <c r="BW474" s="46"/>
      <c r="BX474" s="46"/>
      <c r="BY474" s="46"/>
      <c r="BZ474" s="46"/>
      <c r="CA474" s="46"/>
      <c r="CB474" s="46"/>
      <c r="CC474" s="46"/>
    </row>
    <row r="475">
      <c r="A475" s="87" t="str">
        <f>IFERROR(__xludf.DUMMYFUNCTION("""COMPUTED_VALUE"""),"882")</f>
        <v>882</v>
      </c>
      <c r="B475" s="46" t="str">
        <f>IFERROR(__xludf.DUMMYFUNCTION("""COMPUTED_VALUE"""),"Apartamento en conjunto Condominio Villas del Prado - Norte")</f>
        <v>Apartamento en conjunto Condominio Villas del Prado - Norte</v>
      </c>
      <c r="C475" s="46" t="str">
        <f>IFERROR(__xludf.DUMMYFUNCTION("""COMPUTED_VALUE"""),"Apartamento en conjunto")</f>
        <v>Apartamento en conjunto</v>
      </c>
      <c r="D475" s="46"/>
      <c r="E475" s="46" t="str">
        <f>IFERROR(__xludf.DUMMYFUNCTION("""COMPUTED_VALUE"""),"Conjunto Condominio Villas del Prado")</f>
        <v>Conjunto Condominio Villas del Prado</v>
      </c>
      <c r="F475" s="90">
        <f>IFERROR(__xludf.DUMMYFUNCTION("""COMPUTED_VALUE"""),3.5E8)</f>
        <v>350000000</v>
      </c>
      <c r="G475" s="46" t="str">
        <f>IFERROR(__xludf.DUMMYFUNCTION("""COMPUTED_VALUE"""),"$300'000.000 a $400'000.000")</f>
        <v>$300'000.000 a $400'000.000</v>
      </c>
      <c r="H475" s="46"/>
      <c r="I475" s="46"/>
      <c r="J475" s="46" t="str">
        <f>IFERROR(__xludf.DUMMYFUNCTION("""COMPUTED_VALUE"""),"Norte")</f>
        <v>Norte</v>
      </c>
      <c r="K475" s="87"/>
      <c r="L475" s="46">
        <f>IFERROR(__xludf.DUMMYFUNCTION("""COMPUTED_VALUE"""),3.0)</f>
        <v>3</v>
      </c>
      <c r="M475" s="46"/>
      <c r="N475" s="46">
        <f>IFERROR(__xludf.DUMMYFUNCTION("""COMPUTED_VALUE"""),2.0)</f>
        <v>2</v>
      </c>
      <c r="O475" s="46">
        <f>IFERROR(__xludf.DUMMYFUNCTION("""COMPUTED_VALUE"""),1.0)</f>
        <v>1</v>
      </c>
      <c r="P475" s="46">
        <f>IFERROR(__xludf.DUMMYFUNCTION("""COMPUTED_VALUE"""),5.0)</f>
        <v>5</v>
      </c>
      <c r="Q475" s="92">
        <f>IFERROR(__xludf.DUMMYFUNCTION("""COMPUTED_VALUE"""),115.0)</f>
        <v>115</v>
      </c>
      <c r="R475" s="92">
        <f>IFERROR(__xludf.DUMMYFUNCTION("""COMPUTED_VALUE"""),115.0)</f>
        <v>115</v>
      </c>
      <c r="S475" s="87" t="str">
        <f>IFERROR(__xludf.DUMMYFUNCTION("""COMPUTED_VALUE""")," ")</f>
        <v> </v>
      </c>
      <c r="T475" s="46" t="str">
        <f>IFERROR(__xludf.DUMMYFUNCTION("""COMPUTED_VALUE"""),"Neiva")</f>
        <v>Neiva</v>
      </c>
      <c r="U475" s="87" t="str">
        <f>IFERROR(__xludf.DUMMYFUNCTION("""COMPUTED_VALUE"""),"4")</f>
        <v>4</v>
      </c>
      <c r="V475" s="46" t="str">
        <f>IFERROR(__xludf.DUMMYFUNCTION("""COMPUTED_VALUE"""),"5to.")</f>
        <v>5to.</v>
      </c>
      <c r="W475" s="46"/>
      <c r="X475" s="46">
        <f>IFERROR(__xludf.DUMMYFUNCTION("""COMPUTED_VALUE"""),3.0)</f>
        <v>3</v>
      </c>
      <c r="Y475" s="46" t="str">
        <f>IFERROR(__xludf.DUMMYFUNCTION("""COMPUTED_VALUE"""),"Social")</f>
        <v>Social</v>
      </c>
      <c r="Z475" s="90">
        <f>IFERROR(__xludf.DUMMYFUNCTION("""COMPUTED_VALUE"""),478000.0)</f>
        <v>478000</v>
      </c>
      <c r="AA475" s="33" t="str">
        <f>IFERROR(__xludf.DUMMYFUNCTION("""COMPUTED_VALUE"""),"No aplica")</f>
        <v>No aplica</v>
      </c>
      <c r="AB475" s="96" t="str">
        <f>IFERROR(__xludf.DUMMYFUNCTION("""COMPUTED_VALUE"""),"https://photos.app.goo.gl/SzEpXK1jg1PhM3j77")</f>
        <v>https://photos.app.goo.gl/SzEpXK1jg1PhM3j77</v>
      </c>
      <c r="AC475" s="46" t="str">
        <f>IFERROR(__xludf.DUMMYFUNCTION("""COMPUTED_VALUE"""),"Este exclusivo apartamento de 115 m², ubicado en el quinto piso del Conjunto Villas del Prado, se destaca por sus espacios generosos y una excelente ventilación natural. Su diseño incluye una amplia sala-comedor con acceso a dos balcones independientes qu"&amp;"e ofrecen una agradable vista panorámica, cocina integral equipada con barra tipo americana, una zona dedicada para estudio o biblioteca ideal para el teletrabajo, tres confortables habitaciones con clóset integrado (la principal con baño privado), un bañ"&amp;"o social completo y un parqueadero privado asignado.")</f>
        <v>Este exclusivo apartamento de 115 m², ubicado en el quinto piso del Conjunto Villas del Prado, se destaca por sus espacios generosos y una excelente ventilación natural. Su diseño incluye una amplia sala-comedor con acceso a dos balcones independientes que ofrecen una agradable vista panorámica, cocina integral equipada con barra tipo americana, una zona dedicada para estudio o biblioteca ideal para el teletrabajo, tres confortables habitaciones con clóset integrado (la principal con baño privado), un baño social completo y un parqueadero privado asignado.</v>
      </c>
      <c r="AD475" s="46" t="str">
        <f>IFERROR(__xludf.DUMMYFUNCTION("""COMPUTED_VALUE"""),"Situado en la cotizada zona norte de Neiva, dentro de un sector residencial de estrato 4, este inmueble combina confort y una excelente proyección de valorización. Su ubicación estratégica en un entorno tranquilo y seguro lo convierte en una opción de alt"&amp;"a demanda y rentabilidad garantizada, ideal tanto para familias que buscan un hogar exclusivo con amplias comodidades como para inversionistas enfocados en propiedades de primer nivel con una conectividad inigualable.")</f>
        <v>Situado en la cotizada zona norte de Neiva, dentro de un sector residencial de estrato 4, este inmueble combina confort y una excelente proyección de valorización. Su ubicación estratégica en un entorno tranquilo y seguro lo convierte en una opción de alta demanda y rentabilidad garantizada, ideal tanto para familias que buscan un hogar exclusivo con amplias comodidades como para inversionistas enfocados en propiedades de primer nivel con una conectividad inigualable.</v>
      </c>
      <c r="AE475" s="46"/>
      <c r="AF475" s="46" t="str">
        <f>IFERROR(__xludf.DUMMYFUNCTION("""COMPUTED_VALUE"""),"integral")</f>
        <v>integral</v>
      </c>
      <c r="AG475" s="46"/>
      <c r="AH475" s="46" t="str">
        <f>IFERROR(__xludf.DUMMYFUNCTION("""COMPUTED_VALUE"""),"Aliado")</f>
        <v>Aliado</v>
      </c>
      <c r="AI475" s="92" t="str">
        <f>IFERROR(__xludf.DUMMYFUNCTION("""COMPUTED_VALUE"""),"https://lh3.googleusercontent.com/pw/AP1GczN_aFV7Qdv3dSwAonQxxqLK7Ru7IPw0x6bMa5fRKWqlSykHt1uPyoAJGA9zwdAwcKbKcuaJ6Nb6laGTjoyD_vBV_wDgcn0g6vpoaW0yPGuppS3a2YgQ=w1200|https://lh3.googleusercontent.com/pw/AP1GczN7OsBF86owO6rlHBXXAPE71sJKq6JJB_RAM945qgVpL0kKmN"&amp;"SQynKelwuQa2wnURZ0NMn3ZlRZwD06w4d101CuLvjOzIEHb3AlHI_RiEYG0upWCeGG=w1200|https://lh3.googleusercontent.com/pw/AP1GczNR8StzEHw8ix7Y9zA9Tysc2ndh5UQfBK8RpyUrVHMuyrcrKsd9MwwJi7aIjCYU2SH8pnQXw2Ax5gYMvk8VTKysd6VMPPC7FEIUbyoTx8173dnRgGnk=w1200|https://lh3.google"&amp;"usercontent.com/pw/AP1GczMRJOuO_J35IBLfwVB36ChdUx9UkT5k9jEk6t_DvosDBdGUjlPDUgdnOe1bI3FQo-rUJEEnRAKLG53t3dXTAcpcUycdiXh0Bial6XBPRV-l1tUTWfPa=w1200|https://lh3.googleusercontent.com/pw/AP1GczMjW0Vy1wYs5PD5VItpPP8nzxCgkurfw-MXPbtwzvRWpu6a-qBpbewsOc3KohKbPv8L"&amp;"EH-l43nK95lJYJ8dYhZPUmbHEDmTFSPg7_82RQF0oVhgoxuV=w1200|https://lh3.googleusercontent.com/pw/AP1GczMCwEanPyYpqFjTEs5-dA2Quy3fPpNAvL9-SE3W6g82RN6BKAwPsQXOFjGS09MCTgNSwZEllP1THWZ45FAVsMaYdi2G-d0IBHBsj27RcNuRlUufxLDh=w1200|https://lh3.googleusercontent.com/pw"&amp;"/AP1GczMV5R5TegUIa4Tdx0ULwEW7zX9Swv3RpapJta3orKUWHON_iHQfVDjU7M9P61Eok_D7MeyGsmTkjP0_WbSFcGaL_cBc3Dz7VWjwQL4wQgu0ztRCtCVl=w1200")</f>
        <v>https://lh3.googleusercontent.com/pw/AP1GczN_aFV7Qdv3dSwAonQxxqLK7Ru7IPw0x6bMa5fRKWqlSykHt1uPyoAJGA9zwdAwcKbKcuaJ6Nb6laGTjoyD_vBV_wDgcn0g6vpoaW0yPGuppS3a2YgQ=w1200|https://lh3.googleusercontent.com/pw/AP1GczN7OsBF86owO6rlHBXXAPE71sJKq6JJB_RAM945qgVpL0kKmNSQynKelwuQa2wnURZ0NMn3ZlRZwD06w4d101CuLvjOzIEHb3AlHI_RiEYG0upWCeGG=w1200|https://lh3.googleusercontent.com/pw/AP1GczNR8StzEHw8ix7Y9zA9Tysc2ndh5UQfBK8RpyUrVHMuyrcrKsd9MwwJi7aIjCYU2SH8pnQXw2Ax5gYMvk8VTKysd6VMPPC7FEIUbyoTx8173dnRgGnk=w1200|https://lh3.googleusercontent.com/pw/AP1GczMRJOuO_J35IBLfwVB36ChdUx9UkT5k9jEk6t_DvosDBdGUjlPDUgdnOe1bI3FQo-rUJEEnRAKLG53t3dXTAcpcUycdiXh0Bial6XBPRV-l1tUTWfPa=w1200|https://lh3.googleusercontent.com/pw/AP1GczMjW0Vy1wYs5PD5VItpPP8nzxCgkurfw-MXPbtwzvRWpu6a-qBpbewsOc3KohKbPv8LEH-l43nK95lJYJ8dYhZPUmbHEDmTFSPg7_82RQF0oVhgoxuV=w1200|https://lh3.googleusercontent.com/pw/AP1GczMCwEanPyYpqFjTEs5-dA2Quy3fPpNAvL9-SE3W6g82RN6BKAwPsQXOFjGS09MCTgNSwZEllP1THWZ45FAVsMaYdi2G-d0IBHBsj27RcNuRlUufxLDh=w1200|https://lh3.googleusercontent.com/pw/AP1GczMV5R5TegUIa4Tdx0ULwEW7zX9Swv3RpapJta3orKUWHON_iHQfVDjU7M9P61Eok_D7MeyGsmTkjP0_WbSFcGaL_cBc3Dz7VWjwQL4wQgu0ztRCtCVl=w1200</v>
      </c>
      <c r="AJ475" s="46"/>
      <c r="AK475" s="46"/>
      <c r="AL475" s="46"/>
      <c r="AM475" s="46"/>
      <c r="AN475" s="46"/>
      <c r="AO475" s="46"/>
      <c r="AP475" s="46"/>
      <c r="AQ475" s="46"/>
      <c r="AR475" s="46"/>
      <c r="AS475" s="46"/>
      <c r="AT475" s="46"/>
      <c r="AU475" s="46"/>
      <c r="AV475" s="46"/>
      <c r="AW475" s="46"/>
      <c r="AX475" s="46"/>
      <c r="AY475" s="46"/>
      <c r="AZ475" s="46"/>
      <c r="BA475" s="46"/>
      <c r="BB475" s="46"/>
      <c r="BC475" s="46"/>
      <c r="BD475" s="46"/>
      <c r="BE475" s="46"/>
      <c r="BF475" s="46"/>
      <c r="BG475" s="46"/>
      <c r="BH475" s="46"/>
      <c r="BI475" s="46"/>
      <c r="BJ475" s="46"/>
      <c r="BK475" s="46"/>
      <c r="BL475" s="46"/>
      <c r="BM475" s="46"/>
      <c r="BN475" s="46"/>
      <c r="BO475" s="46"/>
      <c r="BP475" s="46"/>
      <c r="BQ475" s="46"/>
      <c r="BR475" s="46"/>
      <c r="BS475" s="46"/>
      <c r="BT475" s="46"/>
      <c r="BU475" s="46"/>
      <c r="BV475" s="46"/>
      <c r="BW475" s="46"/>
      <c r="BX475" s="46"/>
      <c r="BY475" s="46"/>
      <c r="BZ475" s="46"/>
      <c r="CA475" s="46"/>
      <c r="CB475" s="46"/>
      <c r="CC475" s="46"/>
    </row>
    <row r="476">
      <c r="A476" s="87" t="str">
        <f>IFERROR(__xludf.DUMMYFUNCTION("""COMPUTED_VALUE"""),"855")</f>
        <v>855</v>
      </c>
      <c r="B476" s="46" t="str">
        <f>IFERROR(__xludf.DUMMYFUNCTION("""COMPUTED_VALUE"""),"Apartamento en conjunto Residencial Reservas de Avichente - Oriente")</f>
        <v>Apartamento en conjunto Residencial Reservas de Avichente - Oriente</v>
      </c>
      <c r="C476" s="46" t="str">
        <f>IFERROR(__xludf.DUMMYFUNCTION("""COMPUTED_VALUE"""),"Apartamento en conjunto")</f>
        <v>Apartamento en conjunto</v>
      </c>
      <c r="D476" s="46"/>
      <c r="E476" s="46" t="str">
        <f>IFERROR(__xludf.DUMMYFUNCTION("""COMPUTED_VALUE"""),"Conjunto Residencial Reservas de Avichente")</f>
        <v>Conjunto Residencial Reservas de Avichente</v>
      </c>
      <c r="F476" s="90">
        <f>IFERROR(__xludf.DUMMYFUNCTION("""COMPUTED_VALUE"""),3.5E8)</f>
        <v>350000000</v>
      </c>
      <c r="G476" s="46" t="str">
        <f>IFERROR(__xludf.DUMMYFUNCTION("""COMPUTED_VALUE"""),"$300'000.000 a $400'000.000")</f>
        <v>$300'000.000 a $400'000.000</v>
      </c>
      <c r="H476" s="46"/>
      <c r="I476" s="46"/>
      <c r="J476" s="46" t="str">
        <f>IFERROR(__xludf.DUMMYFUNCTION("""COMPUTED_VALUE"""),"Oriente")</f>
        <v>Oriente</v>
      </c>
      <c r="K476" s="87"/>
      <c r="L476" s="46">
        <f>IFERROR(__xludf.DUMMYFUNCTION("""COMPUTED_VALUE"""),3.0)</f>
        <v>3</v>
      </c>
      <c r="M476" s="46"/>
      <c r="N476" s="46">
        <f>IFERROR(__xludf.DUMMYFUNCTION("""COMPUTED_VALUE"""),2.0)</f>
        <v>2</v>
      </c>
      <c r="O476" s="46">
        <f>IFERROR(__xludf.DUMMYFUNCTION("""COMPUTED_VALUE"""),1.0)</f>
        <v>1</v>
      </c>
      <c r="P476" s="46">
        <f>IFERROR(__xludf.DUMMYFUNCTION("""COMPUTED_VALUE"""),7.0)</f>
        <v>7</v>
      </c>
      <c r="Q476" s="92">
        <f>IFERROR(__xludf.DUMMYFUNCTION("""COMPUTED_VALUE"""),86.0)</f>
        <v>86</v>
      </c>
      <c r="R476" s="92">
        <f>IFERROR(__xludf.DUMMYFUNCTION("""COMPUTED_VALUE"""),86.0)</f>
        <v>86</v>
      </c>
      <c r="S476" s="87" t="str">
        <f>IFERROR(__xludf.DUMMYFUNCTION("""COMPUTED_VALUE""")," ")</f>
        <v> </v>
      </c>
      <c r="T476" s="46" t="str">
        <f>IFERROR(__xludf.DUMMYFUNCTION("""COMPUTED_VALUE"""),"Neiva")</f>
        <v>Neiva</v>
      </c>
      <c r="U476" s="87" t="str">
        <f>IFERROR(__xludf.DUMMYFUNCTION("""COMPUTED_VALUE"""),"4")</f>
        <v>4</v>
      </c>
      <c r="V476" s="46" t="str">
        <f>IFERROR(__xludf.DUMMYFUNCTION("""COMPUTED_VALUE"""),"7o.")</f>
        <v>7o.</v>
      </c>
      <c r="W476" s="46"/>
      <c r="X476" s="46">
        <f>IFERROR(__xludf.DUMMYFUNCTION("""COMPUTED_VALUE"""),3.0)</f>
        <v>3</v>
      </c>
      <c r="Y476" s="46" t="str">
        <f>IFERROR(__xludf.DUMMYFUNCTION("""COMPUTED_VALUE"""),"Social")</f>
        <v>Social</v>
      </c>
      <c r="Z476" s="90">
        <f>IFERROR(__xludf.DUMMYFUNCTION("""COMPUTED_VALUE"""),300000.0)</f>
        <v>300000</v>
      </c>
      <c r="AA476" s="33" t="str">
        <f>IFERROR(__xludf.DUMMYFUNCTION("""COMPUTED_VALUE"""),"No aplica")</f>
        <v>No aplica</v>
      </c>
      <c r="AB476" s="96" t="str">
        <f>IFERROR(__xludf.DUMMYFUNCTION("""COMPUTED_VALUE"""),"https://photos.app.goo.gl/uDJsjAwMg4rfawhX6")</f>
        <v>https://photos.app.goo.gl/uDJsjAwMg4rfawhX6</v>
      </c>
      <c r="AC476" s="46" t="str">
        <f>IFERROR(__xludf.DUMMYFUNCTION("""COMPUTED_VALUE""")," Distribución: Amplia sala y comedor, cocina integral moderna y funcional, estar de televisión, 3 cómodas habitaciones, habitación principal con closet y baño privado, zona de ropas independientes, dos balcones que brindan excelente iluminación natural, v"&amp;"entilación y una agradable vista al INTERIOR. Cuenta con excelentes acabados.")</f>
        <v> Distribución: Amplia sala y comedor, cocina integral moderna y funcional, estar de televisión, 3 cómodas habitaciones, habitación principal con closet y baño privado, zona de ropas independientes, dos balcones que brindan excelente iluminación natural, ventilación y una agradable vista al INTERIOR. Cuenta con excelentes acabados.</v>
      </c>
      <c r="AD476" s="46" t="str">
        <f>IFERROR(__xludf.DUMMYFUNCTION("""COMPUTED_VALUE"""),"Conjunto ubicado en una zona estratégica y residencial del oriente de Neiva. Estrato 3. Cuenta con un parqueadero más depósito.")</f>
        <v>Conjunto ubicado en una zona estratégica y residencial del oriente de Neiva. Estrato 3. Cuenta con un parqueadero más depósito.</v>
      </c>
      <c r="AE476" s="46"/>
      <c r="AF476" s="46" t="str">
        <f>IFERROR(__xludf.DUMMYFUNCTION("""COMPUTED_VALUE"""),"integral")</f>
        <v>integral</v>
      </c>
      <c r="AG476" s="46"/>
      <c r="AH476" s="46" t="str">
        <f>IFERROR(__xludf.DUMMYFUNCTION("""COMPUTED_VALUE"""),"Aliado")</f>
        <v>Aliado</v>
      </c>
      <c r="AI476" s="92" t="str">
        <f>IFERROR(__xludf.DUMMYFUNCTION("""COMPUTED_VALUE"""),"https://lh3.googleusercontent.com/pw/AP1GczNeeVnbGEEAzhLCKazXAOdtEaSLdNBDqKeiWgu2B-g-DNFfxWZ5bd7Wookj59GoGS3MFnIbmOtGKLeQO1uUtO0QQXWM7nq5wz7hAh5n_D9cASGLfWAX=w1200|https://lh3.googleusercontent.com/pw/AP1GczPPTCi-OToSq5OB3z7FQTQa00Fbp-fL_dRfxbJ6OyAsbYNcts"&amp;"e3kDfijfepQcUAd46GMNO3W9CHXxrkv0xkcol4WztlVRhGwuqxipE6zzgCFIypMxmK=w1200|https://lh3.googleusercontent.com/pw/AP1GczNzk7fxTJ10xpq0rh6OhY1Y5WFounPxr4RG9gar9zKZ5v7tIwqWib1CGUDBGI9L2H72ywkZePc9kfzUAqiCK6kkp9sEsTl8CniG1wb0NZw8rx7f2ra3=w1200|https://lh3.google"&amp;"usercontent.com/pw/AP1GczNe-FAhN3lB6FFGALH64lRgQIlzFpW0SUqdb-KYaDFRzB7GCAvUmUFWTihN23DWXR0VDU3PJUPb9l-rp7G2zle7KeVWbbwjyg7NB4Dja54vd7QWqI6e=w1200|https://lh3.googleusercontent.com/pw/AP1GczNo8LnIityEKAlZnsmELzItKRNqPSnp66bes5pAzO7iLhI-M7PAiK975OikTPJw7Qrt"&amp;"HnVwhlnSVQfmo6-dPaBYFnijoQ-7Zb2qXSiQ8GukDHSG0Bu9=w1200|https://lh3.googleusercontent.com/pw/AP1GczMh6s1zdLn73jFBZLfasiCJYhoTbOKSpMUElWl0pUPzQsWmE2A5EwK-8gJ_cEUwO4kye52DUf7_bQIjUkrSRGCqaZt88l8gHSkHTShyyDDVPP6jUXlD=w1200|https://lh3.googleusercontent.com/pw"&amp;"/AP1GczMQokhXyIpyS_ZShKUPgn33_x-KY4ETNgxZ1Xqh6rkHdng7_2vUvNSYDdtALIKf1dLzRqte0Tcxvvj6WXebqlO-KLL4GWjrW3LCymMiUtIdhAq2HZbF=w1200|https://lh3.googleusercontent.com/pw/AP1GczNPdaZ-fxQIGot9BARsn16rpTZxqwvUmvEdCtbL5Uwbx3kSXv3yLrshfxoV4i27a6f0regZ2gli_MOfC6b4LU"&amp;"gTLvxDnCvhGJGJKQ88l1zK-48JWpS7=w1200|https://lh3.googleusercontent.com/pw/AP1GczOy6vqYAjmoWNELIw9yYXvxzVqQ2rary__Y7TL98qVs6Ae4DjyZZ_x_umDZBckfFAzP1nzKuxza64n4xLNCJVozIag5c0TuEULhVbjIlbSaExS_BgT7=w1200|https://lh3.googleusercontent.com/pw/AP1GczNN6WaUcvzbk"&amp;"aawtIu0l3XXvSbEVJEouOKq8rxCuoEJMNYvEMXnCarrEnrOrB6cu90hBRJclt3cmSIhzz7m1YQi6E6g02d6gWFhWaJ8vkWIDALLS2pM=w1200|https://lh3.googleusercontent.com/pw/AP1GczMnBnbAS9RwHpdNAaBiBDUNoEH0QWwNUPCXW_WSwOHhFz8wl166M3_uzkFVYEfm2GN4MwwzNQhaE6qE9HKqZ-iM4K0I_VjnhY6r0-N7"&amp;"7xU5adKmznXq=w1200|https://lh3.googleusercontent.com/pw/AP1GczOaaRi7zA6Gf4aR36l2e-HPoTtyqz-iTZ7xzzWcl_KKjKz1IBvtEXJa1HpsAgppRrWmIpdtMkQLynyCylRrmc0qn56Nw5-Ss-iBKL61pS6lpRmzBRk0=w1200|https://lh3.googleusercontent.com/pw/AP1GczPYxLCTIy_iQF9ZluGGCMiHbMUhOCy"&amp;"up5_MYY8oJhK2CqUQ9RBugt8PxKnbWrsPRAsDpPMPubqzxQcJnJZ8vCab-Z2dc1yao9MrZkvKLnIn96h7rrGn=w1200|https://lh3.googleusercontent.com/pw/AP1GczOYe-6nENa_cGF1PvbF10xNR7Xmx3lSsENTngvATwtThfSwLRYAL0a9bl6MTFMnfbju09GNqVEo7nysHRFs-jhM4rInD394ZxaxQgvNeo-VUwkj9k6B=w1200"&amp;"|https://lh3.googleusercontent.com/pw/AP1GczP-cU7Vt_4VdN95KkfxkVhb-3-LBOLDl_Dl-gTUx0AxzIAlq4a6e-9UuHuE9S-Q6PvayRktzvRibMwSWdT-a3WN1q_2ymnyVo4vN5mc0Aaw0Q_flXS6=w1200")</f>
        <v>https://lh3.googleusercontent.com/pw/AP1GczNeeVnbGEEAzhLCKazXAOdtEaSLdNBDqKeiWgu2B-g-DNFfxWZ5bd7Wookj59GoGS3MFnIbmOtGKLeQO1uUtO0QQXWM7nq5wz7hAh5n_D9cASGLfWAX=w1200|https://lh3.googleusercontent.com/pw/AP1GczPPTCi-OToSq5OB3z7FQTQa00Fbp-fL_dRfxbJ6OyAsbYNctse3kDfijfepQcUAd46GMNO3W9CHXxrkv0xkcol4WztlVRhGwuqxipE6zzgCFIypMxmK=w1200|https://lh3.googleusercontent.com/pw/AP1GczNzk7fxTJ10xpq0rh6OhY1Y5WFounPxr4RG9gar9zKZ5v7tIwqWib1CGUDBGI9L2H72ywkZePc9kfzUAqiCK6kkp9sEsTl8CniG1wb0NZw8rx7f2ra3=w1200|https://lh3.googleusercontent.com/pw/AP1GczNe-FAhN3lB6FFGALH64lRgQIlzFpW0SUqdb-KYaDFRzB7GCAvUmUFWTihN23DWXR0VDU3PJUPb9l-rp7G2zle7KeVWbbwjyg7NB4Dja54vd7QWqI6e=w1200|https://lh3.googleusercontent.com/pw/AP1GczNo8LnIityEKAlZnsmELzItKRNqPSnp66bes5pAzO7iLhI-M7PAiK975OikTPJw7QrtHnVwhlnSVQfmo6-dPaBYFnijoQ-7Zb2qXSiQ8GukDHSG0Bu9=w1200|https://lh3.googleusercontent.com/pw/AP1GczMh6s1zdLn73jFBZLfasiCJYhoTbOKSpMUElWl0pUPzQsWmE2A5EwK-8gJ_cEUwO4kye52DUf7_bQIjUkrSRGCqaZt88l8gHSkHTShyyDDVPP6jUXlD=w1200|https://lh3.googleusercontent.com/pw/AP1GczMQokhXyIpyS_ZShKUPgn33_x-KY4ETNgxZ1Xqh6rkHdng7_2vUvNSYDdtALIKf1dLzRqte0Tcxvvj6WXebqlO-KLL4GWjrW3LCymMiUtIdhAq2HZbF=w1200|https://lh3.googleusercontent.com/pw/AP1GczNPdaZ-fxQIGot9BARsn16rpTZxqwvUmvEdCtbL5Uwbx3kSXv3yLrshfxoV4i27a6f0regZ2gli_MOfC6b4LUgTLvxDnCvhGJGJKQ88l1zK-48JWpS7=w1200|https://lh3.googleusercontent.com/pw/AP1GczOy6vqYAjmoWNELIw9yYXvxzVqQ2rary__Y7TL98qVs6Ae4DjyZZ_x_umDZBckfFAzP1nzKuxza64n4xLNCJVozIag5c0TuEULhVbjIlbSaExS_BgT7=w1200|https://lh3.googleusercontent.com/pw/AP1GczNN6WaUcvzbkaawtIu0l3XXvSbEVJEouOKq8rxCuoEJMNYvEMXnCarrEnrOrB6cu90hBRJclt3cmSIhzz7m1YQi6E6g02d6gWFhWaJ8vkWIDALLS2pM=w1200|https://lh3.googleusercontent.com/pw/AP1GczMnBnbAS9RwHpdNAaBiBDUNoEH0QWwNUPCXW_WSwOHhFz8wl166M3_uzkFVYEfm2GN4MwwzNQhaE6qE9HKqZ-iM4K0I_VjnhY6r0-N77xU5adKmznXq=w1200|https://lh3.googleusercontent.com/pw/AP1GczOaaRi7zA6Gf4aR36l2e-HPoTtyqz-iTZ7xzzWcl_KKjKz1IBvtEXJa1HpsAgppRrWmIpdtMkQLynyCylRrmc0qn56Nw5-Ss-iBKL61pS6lpRmzBRk0=w1200|https://lh3.googleusercontent.com/pw/AP1GczPYxLCTIy_iQF9ZluGGCMiHbMUhOCyup5_MYY8oJhK2CqUQ9RBugt8PxKnbWrsPRAsDpPMPubqzxQcJnJZ8vCab-Z2dc1yao9MrZkvKLnIn96h7rrGn=w1200|https://lh3.googleusercontent.com/pw/AP1GczOYe-6nENa_cGF1PvbF10xNR7Xmx3lSsENTngvATwtThfSwLRYAL0a9bl6MTFMnfbju09GNqVEo7nysHRFs-jhM4rInD394ZxaxQgvNeo-VUwkj9k6B=w1200|https://lh3.googleusercontent.com/pw/AP1GczP-cU7Vt_4VdN95KkfxkVhb-3-LBOLDl_Dl-gTUx0AxzIAlq4a6e-9UuHuE9S-Q6PvayRktzvRibMwSWdT-a3WN1q_2ymnyVo4vN5mc0Aaw0Q_flXS6=w1200</v>
      </c>
      <c r="AJ476" s="46"/>
      <c r="AK476" s="46"/>
      <c r="AL476" s="46"/>
      <c r="AM476" s="46"/>
      <c r="AN476" s="46"/>
      <c r="AO476" s="46"/>
      <c r="AP476" s="46"/>
      <c r="AQ476" s="46"/>
      <c r="AR476" s="46"/>
      <c r="AS476" s="46"/>
      <c r="AT476" s="46"/>
      <c r="AU476" s="46"/>
      <c r="AV476" s="46"/>
      <c r="AW476" s="46"/>
      <c r="AX476" s="46"/>
      <c r="AY476" s="46"/>
      <c r="AZ476" s="46"/>
      <c r="BA476" s="46"/>
      <c r="BB476" s="46"/>
      <c r="BC476" s="46"/>
      <c r="BD476" s="46"/>
      <c r="BE476" s="46"/>
      <c r="BF476" s="46"/>
      <c r="BG476" s="46"/>
      <c r="BH476" s="46"/>
      <c r="BI476" s="46"/>
      <c r="BJ476" s="46"/>
      <c r="BK476" s="46"/>
      <c r="BL476" s="46"/>
      <c r="BM476" s="46"/>
      <c r="BN476" s="46"/>
      <c r="BO476" s="46"/>
      <c r="BP476" s="46"/>
      <c r="BQ476" s="46"/>
      <c r="BR476" s="46"/>
      <c r="BS476" s="46"/>
      <c r="BT476" s="46"/>
      <c r="BU476" s="46"/>
      <c r="BV476" s="46"/>
      <c r="BW476" s="46"/>
      <c r="BX476" s="46"/>
      <c r="BY476" s="46"/>
      <c r="BZ476" s="46"/>
      <c r="CA476" s="46"/>
      <c r="CB476" s="46"/>
      <c r="CC476" s="46"/>
    </row>
    <row r="477">
      <c r="A477" s="87" t="str">
        <f>IFERROR(__xludf.DUMMYFUNCTION("""COMPUTED_VALUE"""),"581")</f>
        <v>581</v>
      </c>
      <c r="B477" s="46" t="str">
        <f>IFERROR(__xludf.DUMMYFUNCTION("""COMPUTED_VALUE"""),"Casa campestre en conjunto - Ulloa - Rivera")</f>
        <v>Casa campestre en conjunto - Ulloa - Rivera</v>
      </c>
      <c r="C477" s="46" t="str">
        <f>IFERROR(__xludf.DUMMYFUNCTION("""COMPUTED_VALUE"""),"Casa campestre en conjunto")</f>
        <v>Casa campestre en conjunto</v>
      </c>
      <c r="D477" s="46"/>
      <c r="E477" s="46"/>
      <c r="F477" s="90">
        <f>IFERROR(__xludf.DUMMYFUNCTION("""COMPUTED_VALUE"""),3.5E8)</f>
        <v>350000000</v>
      </c>
      <c r="G477" s="46" t="str">
        <f>IFERROR(__xludf.DUMMYFUNCTION("""COMPUTED_VALUE"""),"$300'000.000 a $400'000.000")</f>
        <v>$300'000.000 a $400'000.000</v>
      </c>
      <c r="H477" s="46"/>
      <c r="I477" s="46"/>
      <c r="J477" s="46" t="str">
        <f>IFERROR(__xludf.DUMMYFUNCTION("""COMPUTED_VALUE"""),"Sur")</f>
        <v>Sur</v>
      </c>
      <c r="K477" s="87"/>
      <c r="L477" s="46">
        <f>IFERROR(__xludf.DUMMYFUNCTION("""COMPUTED_VALUE"""),2.0)</f>
        <v>2</v>
      </c>
      <c r="M477" s="46"/>
      <c r="N477" s="46">
        <f>IFERROR(__xludf.DUMMYFUNCTION("""COMPUTED_VALUE"""),1.0)</f>
        <v>1</v>
      </c>
      <c r="O477" s="46">
        <f>IFERROR(__xludf.DUMMYFUNCTION("""COMPUTED_VALUE"""),0.0)</f>
        <v>0</v>
      </c>
      <c r="P477" s="46">
        <f>IFERROR(__xludf.DUMMYFUNCTION("""COMPUTED_VALUE"""),1.0)</f>
        <v>1</v>
      </c>
      <c r="Q477" s="92">
        <f>IFERROR(__xludf.DUMMYFUNCTION("""COMPUTED_VALUE"""),550.0)</f>
        <v>550</v>
      </c>
      <c r="R477" s="92">
        <f>IFERROR(__xludf.DUMMYFUNCTION("""COMPUTED_VALUE"""),1600.0)</f>
        <v>1600</v>
      </c>
      <c r="S477" s="87" t="str">
        <f>IFERROR(__xludf.DUMMYFUNCTION("""COMPUTED_VALUE""")," ")</f>
        <v> </v>
      </c>
      <c r="T477" s="46" t="str">
        <f>IFERROR(__xludf.DUMMYFUNCTION("""COMPUTED_VALUE"""),"La Ulloa")</f>
        <v>La Ulloa</v>
      </c>
      <c r="U477" s="87"/>
      <c r="V477" s="46"/>
      <c r="W477" s="46"/>
      <c r="X477" s="46">
        <f>IFERROR(__xludf.DUMMYFUNCTION("""COMPUTED_VALUE"""),2.0)</f>
        <v>2</v>
      </c>
      <c r="Y477" s="46" t="str">
        <f>IFERROR(__xludf.DUMMYFUNCTION("""COMPUTED_VALUE"""),"No tiene")</f>
        <v>No tiene</v>
      </c>
      <c r="Z477" s="90" t="str">
        <f>IFERROR(__xludf.DUMMYFUNCTION("""COMPUTED_VALUE"""),"No aplica")</f>
        <v>No aplica</v>
      </c>
      <c r="AA477" s="33" t="str">
        <f>IFERROR(__xludf.DUMMYFUNCTION("""COMPUTED_VALUE"""),"No aplica")</f>
        <v>No aplica</v>
      </c>
      <c r="AB477" s="96" t="str">
        <f>IFERROR(__xludf.DUMMYFUNCTION("""COMPUTED_VALUE"""),"https://photos.app.goo.gl/mpBGsqnwuFcExAtv6")</f>
        <v>https://photos.app.goo.gl/mpBGsqnwuFcExAtv6</v>
      </c>
      <c r="AC477" s="46" t="str">
        <f>IFERROR(__xludf.DUMMYFUNCTION("""COMPUTED_VALUE"""),"Esta exclusiva casa campestre de 1 solo piso se despliega sobre un imponente terreno de 1.600 m² con 550 m² construidos en el corregimiento de La Ulloa, destacando por sus acabados tradicionales de alta durabilidad y frescura. Su distribución interior int"&amp;"egra una cocina semi-integral con mesones enchapados en cerámica, una espaciosa sala comedor con pisos en baldosa terracota, 2 habitaciones confortables y 1 baño bien ubicado. El diseño combina la solidez de una estructura de vigas metálicas con la calide"&amp;"z de un cielo raso en tablilla de madera clara, complementado por una hermosa chimenea decorativa enchapada en piedra rústica y una amplia zona verde que rodea toda la propiedad.")</f>
        <v>Esta exclusiva casa campestre de 1 solo piso se despliega sobre un imponente terreno de 1.600 m² con 550 m² construidos en el corregimiento de La Ulloa, destacando por sus acabados tradicionales de alta durabilidad y frescura. Su distribución interior integra una cocina semi-integral con mesones enchapados en cerámica, una espaciosa sala comedor con pisos en baldosa terracota, 2 habitaciones confortables y 1 baño bien ubicado. El diseño combina la solidez de una estructura de vigas metálicas con la calidez de un cielo raso en tablilla de madera clara, complementado por una hermosa chimenea decorativa enchapada en piedra rústica y una amplia zona verde que rodea toda la propiedad.</v>
      </c>
      <c r="AD477" s="46" t="str">
        <f>IFERROR(__xludf.DUMMYFUNCTION("""COMPUTED_VALUE"""),"La verdadera magia de este inmueble radica en su potencial ilimitado y su ubicación estratégica, convirtiéndola en una joya de inversión con disponibilidad de todos los servicios públicos y conectividad inmediata. Con una impresionante proyección de pisci"&amp;"na ya contemplada en el lote, este espacio se transforma en el escenario perfecto para diseñar un oasis privado de descanso familiar o un proyecto de alta rentabilidad vacacional. Su generosa extensión de terreno libre y la alta demanda en la zona garanti"&amp;"zan una valorización acelerada, capturando la atención de compradores exigentes que buscan exclusividad, privacidad y el privilegio de un escape campestre único.")</f>
        <v>La verdadera magia de este inmueble radica en su potencial ilimitado y su ubicación estratégica, convirtiéndola en una joya de inversión con disponibilidad de todos los servicios públicos y conectividad inmediata. Con una impresionante proyección de piscina ya contemplada en el lote, este espacio se transforma en el escenario perfecto para diseñar un oasis privado de descanso familiar o un proyecto de alta rentabilidad vacacional. Su generosa extensión de terreno libre y la alta demanda en la zona garantizan una valorización acelerada, capturando la atención de compradores exigentes que buscan exclusividad, privacidad y el privilegio de un escape campestre único.</v>
      </c>
      <c r="AE477" s="46"/>
      <c r="AF477" s="46" t="str">
        <f>IFERROR(__xludf.DUMMYFUNCTION("""COMPUTED_VALUE"""),"integral")</f>
        <v>integral</v>
      </c>
      <c r="AG477" s="46"/>
      <c r="AH477" s="46" t="str">
        <f>IFERROR(__xludf.DUMMYFUNCTION("""COMPUTED_VALUE"""),"Aliado")</f>
        <v>Aliado</v>
      </c>
      <c r="AI477" s="92" t="str">
        <f>IFERROR(__xludf.DUMMYFUNCTION("""COMPUTED_VALUE"""),"https://lh3.googleusercontent.com/pw/AP1GczN8l3MfVqta2GZRSkKgFgCr-wq6kKscXV1Hdm-dKsYP2eydFVj9eOCiwtuOB0qELqHDA5G6OyzgJFx4enTtVMJUoH46CwZyeLFhRxR9pHcsUAjpYDVU=w1200|https://lh3.googleusercontent.com/pw/AP1GczPiPfWPV3-ecAE-gdja1K41a2bL3goXy3EG_VkBTxllx6E_ky"&amp;"Yx3yaXHnic7SM_t28BMZiGZutz-KVbY8WgDHkbHTjbNYwo9_GD2tlfj0SkzyJhNpiT=w1200|https://lh3.googleusercontent.com/pw/AP1GczPIgNPINNiZE98aCi2a45pss5-vceCyEB7dP0YvAqI_iskQ51mi1UbxnAjv6xeuFcZXc1ER3W2mfIXYqBOd7giw-kY3upVVPhCCriN00TJ4xSOadWvd=w1200|https://lh3.google"&amp;"usercontent.com/pw/AP1GczMEQT2M2u6gqGzy51lllKknO3tqEZvOUM9NCqjOewoUsAa5znPrlkeZM9G7fK3Z_tzp4tclhCqdUynxCSABclw0kP7akf_YWc4vjuVN8IH-K2ea9DRN=w1200|https://lh3.googleusercontent.com/pw/AP1GczMQacXUlOnJYL9ufFTI9p6f_smvAO4XZUo5BEnUJZMcIq7j_0cbsUQX9HJZx93jsf_G"&amp;"P3XroIp2UL6uaDzIYHTJYHvWFiK0nKLPcHah5nGHcOWC3NWX=w1200|https://lh3.googleusercontent.com/pw/AP1GczPLucBsMxeqJpkeHRucTQhJoBqOhGRU46IkMEgFk2a2RUsBd03Oj-t2_0kUo7yC4zrqBAQXPz0SYwmP6v0B4MSnxus8_rTH1JYWKpJ6rbcf0CkxVMqb=w1200|https://lh3.googleusercontent.com/pw"&amp;"/AP1GczNbfK4mFma2NrTpwc78ltBhIAnnaeVEwWNfAssV6HSukbW-qR_kmO46Jovi1qGsLbZnkyOSEte1ZdmZxMKB-p9tziUvI0zu7xwebypRi8iofwT4N1sZ=w1200|https://lh3.googleusercontent.com/pw/AP1GczM5U4y6QIpF3LKm9CNN_9_xf3l4-1ZH25m7in3pJIWe1VJFRdkA9WpZBRmIxHVnqMDxVbgk68k7Slv7ZKUO4D"&amp;"NUNFWEHxLFQx3pSckqN_g4jA0hr0HX=w1200|https://lh3.googleusercontent.com/pw/AP1GczO_8fROE6xjsXemE1USdX8x7gA_LRcd7qv7JDl7mER_fP1K5XF_e7slleb34xS1N19aGYGdFIMX-4eD-aQZ5IM_OFNbXMQK4Z1cuPt0hnOsOayVKhFe=w1200")</f>
        <v>https://lh3.googleusercontent.com/pw/AP1GczN8l3MfVqta2GZRSkKgFgCr-wq6kKscXV1Hdm-dKsYP2eydFVj9eOCiwtuOB0qELqHDA5G6OyzgJFx4enTtVMJUoH46CwZyeLFhRxR9pHcsUAjpYDVU=w1200|https://lh3.googleusercontent.com/pw/AP1GczPiPfWPV3-ecAE-gdja1K41a2bL3goXy3EG_VkBTxllx6E_kyYx3yaXHnic7SM_t28BMZiGZutz-KVbY8WgDHkbHTjbNYwo9_GD2tlfj0SkzyJhNpiT=w1200|https://lh3.googleusercontent.com/pw/AP1GczPIgNPINNiZE98aCi2a45pss5-vceCyEB7dP0YvAqI_iskQ51mi1UbxnAjv6xeuFcZXc1ER3W2mfIXYqBOd7giw-kY3upVVPhCCriN00TJ4xSOadWvd=w1200|https://lh3.googleusercontent.com/pw/AP1GczMEQT2M2u6gqGzy51lllKknO3tqEZvOUM9NCqjOewoUsAa5znPrlkeZM9G7fK3Z_tzp4tclhCqdUynxCSABclw0kP7akf_YWc4vjuVN8IH-K2ea9DRN=w1200|https://lh3.googleusercontent.com/pw/AP1GczMQacXUlOnJYL9ufFTI9p6f_smvAO4XZUo5BEnUJZMcIq7j_0cbsUQX9HJZx93jsf_GP3XroIp2UL6uaDzIYHTJYHvWFiK0nKLPcHah5nGHcOWC3NWX=w1200|https://lh3.googleusercontent.com/pw/AP1GczPLucBsMxeqJpkeHRucTQhJoBqOhGRU46IkMEgFk2a2RUsBd03Oj-t2_0kUo7yC4zrqBAQXPz0SYwmP6v0B4MSnxus8_rTH1JYWKpJ6rbcf0CkxVMqb=w1200|https://lh3.googleusercontent.com/pw/AP1GczNbfK4mFma2NrTpwc78ltBhIAnnaeVEwWNfAssV6HSukbW-qR_kmO46Jovi1qGsLbZnkyOSEte1ZdmZxMKB-p9tziUvI0zu7xwebypRi8iofwT4N1sZ=w1200|https://lh3.googleusercontent.com/pw/AP1GczM5U4y6QIpF3LKm9CNN_9_xf3l4-1ZH25m7in3pJIWe1VJFRdkA9WpZBRmIxHVnqMDxVbgk68k7Slv7ZKUO4DNUNFWEHxLFQx3pSckqN_g4jA0hr0HX=w1200|https://lh3.googleusercontent.com/pw/AP1GczO_8fROE6xjsXemE1USdX8x7gA_LRcd7qv7JDl7mER_fP1K5XF_e7slleb34xS1N19aGYGdFIMX-4eD-aQZ5IM_OFNbXMQK4Z1cuPt0hnOsOayVKhFe=w1200</v>
      </c>
      <c r="AJ477" s="46"/>
      <c r="AK477" s="46"/>
      <c r="AL477" s="46"/>
      <c r="AM477" s="46"/>
      <c r="AN477" s="46"/>
      <c r="AO477" s="46"/>
      <c r="AP477" s="46"/>
      <c r="AQ477" s="46"/>
      <c r="AR477" s="46"/>
      <c r="AS477" s="46"/>
      <c r="AT477" s="46"/>
      <c r="AU477" s="46"/>
      <c r="AV477" s="46"/>
      <c r="AW477" s="46"/>
      <c r="AX477" s="46"/>
      <c r="AY477" s="46"/>
      <c r="AZ477" s="46"/>
      <c r="BA477" s="46"/>
      <c r="BB477" s="46"/>
      <c r="BC477" s="46"/>
      <c r="BD477" s="46"/>
      <c r="BE477" s="46"/>
      <c r="BF477" s="46"/>
      <c r="BG477" s="46"/>
      <c r="BH477" s="46"/>
      <c r="BI477" s="46"/>
      <c r="BJ477" s="46"/>
      <c r="BK477" s="46"/>
      <c r="BL477" s="46"/>
      <c r="BM477" s="46"/>
      <c r="BN477" s="46"/>
      <c r="BO477" s="46"/>
      <c r="BP477" s="46"/>
      <c r="BQ477" s="46"/>
      <c r="BR477" s="46"/>
      <c r="BS477" s="46"/>
      <c r="BT477" s="46"/>
      <c r="BU477" s="46"/>
      <c r="BV477" s="46"/>
      <c r="BW477" s="46"/>
      <c r="BX477" s="46"/>
      <c r="BY477" s="46"/>
      <c r="BZ477" s="46"/>
      <c r="CA477" s="46"/>
      <c r="CB477" s="46"/>
      <c r="CC477" s="46"/>
    </row>
    <row r="478">
      <c r="A478" s="87" t="str">
        <f>IFERROR(__xludf.DUMMYFUNCTION("""COMPUTED_VALUE"""),"468")</f>
        <v>468</v>
      </c>
      <c r="B478" s="46" t="str">
        <f>IFERROR(__xludf.DUMMYFUNCTION("""COMPUTED_VALUE"""),"Casa campestre en conjunto Condominio Costa Brava - Yaguará")</f>
        <v>Casa campestre en conjunto Condominio Costa Brava - Yaguará</v>
      </c>
      <c r="C478" s="46" t="str">
        <f>IFERROR(__xludf.DUMMYFUNCTION("""COMPUTED_VALUE"""),"Casa campestre en conjunto")</f>
        <v>Casa campestre en conjunto</v>
      </c>
      <c r="D478" s="46"/>
      <c r="E478" s="46" t="str">
        <f>IFERROR(__xludf.DUMMYFUNCTION("""COMPUTED_VALUE"""),"Conjunto Condominio Costa Brava")</f>
        <v>Conjunto Condominio Costa Brava</v>
      </c>
      <c r="F478" s="90">
        <f>IFERROR(__xludf.DUMMYFUNCTION("""COMPUTED_VALUE"""),3.5E8)</f>
        <v>350000000</v>
      </c>
      <c r="G478" s="46" t="str">
        <f>IFERROR(__xludf.DUMMYFUNCTION("""COMPUTED_VALUE"""),"$300'000.000 a $400'000.000")</f>
        <v>$300'000.000 a $400'000.000</v>
      </c>
      <c r="H478" s="46"/>
      <c r="I478" s="46"/>
      <c r="J478" s="46"/>
      <c r="K478" s="87"/>
      <c r="L478" s="46">
        <f>IFERROR(__xludf.DUMMYFUNCTION("""COMPUTED_VALUE"""),6.0)</f>
        <v>6</v>
      </c>
      <c r="M478" s="46"/>
      <c r="N478" s="46">
        <f>IFERROR(__xludf.DUMMYFUNCTION("""COMPUTED_VALUE"""),3.0)</f>
        <v>3</v>
      </c>
      <c r="O478" s="46"/>
      <c r="P478" s="46">
        <f>IFERROR(__xludf.DUMMYFUNCTION("""COMPUTED_VALUE"""),1.0)</f>
        <v>1</v>
      </c>
      <c r="Q478" s="92">
        <f>IFERROR(__xludf.DUMMYFUNCTION("""COMPUTED_VALUE"""),300.0)</f>
        <v>300</v>
      </c>
      <c r="R478" s="92">
        <f>IFERROR(__xludf.DUMMYFUNCTION("""COMPUTED_VALUE"""),800.0)</f>
        <v>800</v>
      </c>
      <c r="S478" s="87" t="str">
        <f>IFERROR(__xludf.DUMMYFUNCTION("""COMPUTED_VALUE""")," ")</f>
        <v> </v>
      </c>
      <c r="T478" s="46" t="str">
        <f>IFERROR(__xludf.DUMMYFUNCTION("""COMPUTED_VALUE"""),"Yaguará")</f>
        <v>Yaguará</v>
      </c>
      <c r="U478" s="87"/>
      <c r="V478" s="46"/>
      <c r="W478" s="46"/>
      <c r="X478" s="46">
        <f>IFERROR(__xludf.DUMMYFUNCTION("""COMPUTED_VALUE"""),5.0)</f>
        <v>5</v>
      </c>
      <c r="Y478" s="46" t="str">
        <f>IFERROR(__xludf.DUMMYFUNCTION("""COMPUTED_VALUE"""),"No tiene")</f>
        <v>No tiene</v>
      </c>
      <c r="Z478" s="90">
        <f>IFERROR(__xludf.DUMMYFUNCTION("""COMPUTED_VALUE"""),160000.0)</f>
        <v>160000</v>
      </c>
      <c r="AA478" s="33" t="str">
        <f>IFERROR(__xludf.DUMMYFUNCTION("""COMPUTED_VALUE"""),"No aplica")</f>
        <v>No aplica</v>
      </c>
      <c r="AB478" s="96" t="str">
        <f>IFERROR(__xludf.DUMMYFUNCTION("""COMPUTED_VALUE"""),"https://photos.app.goo.gl/6Yo64MFgdfZ2zmvX8")</f>
        <v>https://photos.app.goo.gl/6Yo64MFgdfZ2zmvX8</v>
      </c>
      <c r="AC478" s="46" t="str">
        <f>IFERROR(__xludf.DUMMYFUNCTION("""COMPUTED_VALUE"""),"Esta hermosa casa campestre de 1 solo piso se distribuye sobre un amplio terreno con un área de 800 m², ofreciendo un diseño funcional y tradicional en el exclusivo Condominio Costa Brava del municipio de Yaguará. La distribución interior destaca por una "&amp;"amplia sala comedor iluminada de forma natural, una cocina funcional con mesones de concreto enchapados en cerámica y un piso en cerámica tipo mármol, 6 habitaciones confortables ideales para familias grandes y 3 baños bien distribuidos. La propiedad comb"&amp;"ina la solidez de sus paredes de ladrillo a la vista con la calidez de un cielo raso de madera machihembrada en su zona social, mientras que en la parte exterior se extiende una generosa terraza techada con estructuras de guadua y pisos de gres terracota,"&amp;" conectando directamente con un antejardín con espacio de parqueo para varios vehículos.")</f>
        <v>Esta hermosa casa campestre de 1 solo piso se distribuye sobre un amplio terreno con un área de 800 m², ofreciendo un diseño funcional y tradicional en el exclusivo Condominio Costa Brava del municipio de Yaguará. La distribución interior destaca por una amplia sala comedor iluminada de forma natural, una cocina funcional con mesones de concreto enchapados en cerámica y un piso en cerámica tipo mármol, 6 habitaciones confortables ideales para familias grandes y 3 baños bien distribuidos. La propiedad combina la solidez de sus paredes de ladrillo a la vista con la calidez de un cielo raso de madera machihembrada en su zona social, mientras que en la parte exterior se extiende una generosa terraza techada con estructuras de guadua y pisos de gres terracota, conectando directamente con un antejardín con espacio de parqueo para varios vehículos.</v>
      </c>
      <c r="AD478" s="46" t="str">
        <f>IFERROR(__xludf.DUMMYFUNCTION("""COMPUTED_VALUE"""),"La verdadera oportunidad de esta propiedad de ICDE radica en su ubicación estratégica a pocos minutos de la reconocida represa de Betania, consolidándose como una inversión perfecta y de alta valorización tanto para el descanso vacacional como para el tur"&amp;"ismo rural mediante plataformas tipo Airbnb. El inmueble destaca por sus espectaculares zonas verdes privadas, enriquecidas con árboles frutales de mandarina, limón, guanábana y plátano que configuran un entorno natural, tranquilo y seguro con disponibili"&amp;"dad de energía eléctrica. Es el refugio campestre ideal en una de las zonas con mayor atractivo turístico del sur de Colombia, garantizando exclusividad, confort y un retorno de inversión asegurado gracias al constante flujo de visitantes en la región.")</f>
        <v>La verdadera oportunidad de esta propiedad de ICDE radica en su ubicación estratégica a pocos minutos de la reconocida represa de Betania, consolidándose como una inversión perfecta y de alta valorización tanto para el descanso vacacional como para el turismo rural mediante plataformas tipo Airbnb. El inmueble destaca por sus espectaculares zonas verdes privadas, enriquecidas con árboles frutales de mandarina, limón, guanábana y plátano que configuran un entorno natural, tranquilo y seguro con disponibilidad de energía eléctrica. Es el refugio campestre ideal en una de las zonas con mayor atractivo turístico del sur de Colombia, garantizando exclusividad, confort y un retorno de inversión asegurado gracias al constante flujo de visitantes en la región.</v>
      </c>
      <c r="AE478" s="46"/>
      <c r="AF478" s="46" t="str">
        <f>IFERROR(__xludf.DUMMYFUNCTION("""COMPUTED_VALUE"""),"básica")</f>
        <v>básica</v>
      </c>
      <c r="AG478" s="46"/>
      <c r="AH478" s="46" t="str">
        <f>IFERROR(__xludf.DUMMYFUNCTION("""COMPUTED_VALUE"""),"Aliado")</f>
        <v>Aliado</v>
      </c>
      <c r="AI478" s="92" t="str">
        <f>IFERROR(__xludf.DUMMYFUNCTION("""COMPUTED_VALUE"""),"https://lh3.googleusercontent.com/pw/AP1GczMDEDl5nMNXzqVCSYGGhIgoksRKLzAGLE5hwCgawRbb7wHPfRmqg08DwtgJyHcavXKm4I-XR3TbE0G-c1zdgOMIbrBKpSqw8-lD9_FlasJrd5a6ld8e=w1200|https://lh3.googleusercontent.com/pw/AP1GczMqGMRNz7Xj58qs7vmkHvFdxJfC2vKiaaLYCyBdQBaIwuhvbR"&amp;"l8H7X3h9MXg5wSqYQbNGpwUnat6__rbEueHOLUFGk9wJ2SlU8p4mfOzsYkyzSOSiy3=w1200|https://lh3.googleusercontent.com/pw/AP1GczPEf4RuGtJbCpnrrg0eolnVWbjoElg-OmBvlgwRwJJe8ZfxTRkPEaN9wUfP7VQGimWsMjUG4H6E0dwC-V2yzvEuZoZgSmhV8qRoTEt3z-Smr5Dr5cw5=w1200|https://lh3.google"&amp;"usercontent.com/pw/AP1GczPqnu_NCclJx6PaoNWUy1hvgZDzUuZzGMTl5WJJfEcSSXnjT5AHkRo7y50MRcSgSBKp-v-ncQY-xb162wOjtuvOeTShtPLVQT8b5cyM2eq6AHJRd2nJ=w1200|https://lh3.googleusercontent.com/pw/AP1GczPC7cEloDQDHcD-a3VJ909WqY7KZgq9euAEJhne-Des9fzKzZ9f7-7y9VToIlghiKVU"&amp;"kdx8ORWklXlwaCM8ByS3t8TR2-byOdTogIeHifJ8gzH3NxNr=w1200|https://lh3.googleusercontent.com/pw/AP1GczMofP0GRZT40htWnRv4GLFWp2gunedT8Ro83v_GAkgEBSNp6P0LtXRR6EB25M7RWraokJScPfi7Hnf_cYKXr3zcBQxNnE8VsZNsaNrqpWrWp82xLx1J=w1200|https://lh3.googleusercontent.com/pw"&amp;"/AP1GczNplnnGSW8vjQLPBlVDpeeLlgT6A4kipw0ye5FmfInQXvr8oCxY4XZyeqHFKreWwaGldrfkZS1bnqn4XnYRtXJFXFkNk7s7bT4L8Wf11mlpkskb7leu=w1200|https://lh3.googleusercontent.com/pw/AP1GczMEFLTDGB-jHHsINypIVL_dzYy0bueA8Uzv6AqkdKimHG0g53yVUhJQa4KXBP02FiBhT1afjHTd5SySHrRLgR"&amp;"VUMaosx9Dhlul65CL6u-Xivh8UGMNl=w1200|https://lh3.googleusercontent.com/pw/AP1GczMpBx6f98MFBeT3hjX9BIKRjtUmwV2Mq5lgKiLMpDKj146hrk9XzSlYVRjEZlildhN8nY4e1d5mMkBOrUS0WW_-rGdkjmKz7oftzzXb3U1zkAJz_hch=w1200|https://lh3.googleusercontent.com/pw/AP1GczPlvhZaCHC-6"&amp;"MdUaC87VDAx0VN917YT3G-UP0dl31CPsyOdN4z3avgGS2Eqy_VlxJboYLCarTSXT7WrHTOb2siRgaubUaR5EqhKxC1acol0yKVPiosW=w1200")</f>
        <v>https://lh3.googleusercontent.com/pw/AP1GczMDEDl5nMNXzqVCSYGGhIgoksRKLzAGLE5hwCgawRbb7wHPfRmqg08DwtgJyHcavXKm4I-XR3TbE0G-c1zdgOMIbrBKpSqw8-lD9_FlasJrd5a6ld8e=w1200|https://lh3.googleusercontent.com/pw/AP1GczMqGMRNz7Xj58qs7vmkHvFdxJfC2vKiaaLYCyBdQBaIwuhvbRl8H7X3h9MXg5wSqYQbNGpwUnat6__rbEueHOLUFGk9wJ2SlU8p4mfOzsYkyzSOSiy3=w1200|https://lh3.googleusercontent.com/pw/AP1GczPEf4RuGtJbCpnrrg0eolnVWbjoElg-OmBvlgwRwJJe8ZfxTRkPEaN9wUfP7VQGimWsMjUG4H6E0dwC-V2yzvEuZoZgSmhV8qRoTEt3z-Smr5Dr5cw5=w1200|https://lh3.googleusercontent.com/pw/AP1GczPqnu_NCclJx6PaoNWUy1hvgZDzUuZzGMTl5WJJfEcSSXnjT5AHkRo7y50MRcSgSBKp-v-ncQY-xb162wOjtuvOeTShtPLVQT8b5cyM2eq6AHJRd2nJ=w1200|https://lh3.googleusercontent.com/pw/AP1GczPC7cEloDQDHcD-a3VJ909WqY7KZgq9euAEJhne-Des9fzKzZ9f7-7y9VToIlghiKVUkdx8ORWklXlwaCM8ByS3t8TR2-byOdTogIeHifJ8gzH3NxNr=w1200|https://lh3.googleusercontent.com/pw/AP1GczMofP0GRZT40htWnRv4GLFWp2gunedT8Ro83v_GAkgEBSNp6P0LtXRR6EB25M7RWraokJScPfi7Hnf_cYKXr3zcBQxNnE8VsZNsaNrqpWrWp82xLx1J=w1200|https://lh3.googleusercontent.com/pw/AP1GczNplnnGSW8vjQLPBlVDpeeLlgT6A4kipw0ye5FmfInQXvr8oCxY4XZyeqHFKreWwaGldrfkZS1bnqn4XnYRtXJFXFkNk7s7bT4L8Wf11mlpkskb7leu=w1200|https://lh3.googleusercontent.com/pw/AP1GczMEFLTDGB-jHHsINypIVL_dzYy0bueA8Uzv6AqkdKimHG0g53yVUhJQa4KXBP02FiBhT1afjHTd5SySHrRLgRVUMaosx9Dhlul65CL6u-Xivh8UGMNl=w1200|https://lh3.googleusercontent.com/pw/AP1GczMpBx6f98MFBeT3hjX9BIKRjtUmwV2Mq5lgKiLMpDKj146hrk9XzSlYVRjEZlildhN8nY4e1d5mMkBOrUS0WW_-rGdkjmKz7oftzzXb3U1zkAJz_hch=w1200|https://lh3.googleusercontent.com/pw/AP1GczPlvhZaCHC-6MdUaC87VDAx0VN917YT3G-UP0dl31CPsyOdN4z3avgGS2Eqy_VlxJboYLCarTSXT7WrHTOb2siRgaubUaR5EqhKxC1acol0yKVPiosW=w1200</v>
      </c>
      <c r="AJ478" s="46"/>
      <c r="AK478" s="46"/>
      <c r="AL478" s="46"/>
      <c r="AM478" s="46"/>
      <c r="AN478" s="46"/>
      <c r="AO478" s="46"/>
      <c r="AP478" s="46"/>
      <c r="AQ478" s="46"/>
      <c r="AR478" s="46"/>
      <c r="AS478" s="46"/>
      <c r="AT478" s="46"/>
      <c r="AU478" s="46"/>
      <c r="AV478" s="46"/>
      <c r="AW478" s="46"/>
      <c r="AX478" s="46"/>
      <c r="AY478" s="46"/>
      <c r="AZ478" s="46"/>
      <c r="BA478" s="46"/>
      <c r="BB478" s="46"/>
      <c r="BC478" s="46"/>
      <c r="BD478" s="46"/>
      <c r="BE478" s="46"/>
      <c r="BF478" s="46"/>
      <c r="BG478" s="46"/>
      <c r="BH478" s="46"/>
      <c r="BI478" s="46"/>
      <c r="BJ478" s="46"/>
      <c r="BK478" s="46"/>
      <c r="BL478" s="46"/>
      <c r="BM478" s="46"/>
      <c r="BN478" s="46"/>
      <c r="BO478" s="46"/>
      <c r="BP478" s="46"/>
      <c r="BQ478" s="46"/>
      <c r="BR478" s="46"/>
      <c r="BS478" s="46"/>
      <c r="BT478" s="46"/>
      <c r="BU478" s="46"/>
      <c r="BV478" s="46"/>
      <c r="BW478" s="46"/>
      <c r="BX478" s="46"/>
      <c r="BY478" s="46"/>
      <c r="BZ478" s="46"/>
      <c r="CA478" s="46"/>
      <c r="CB478" s="46"/>
      <c r="CC478" s="46"/>
    </row>
    <row r="479">
      <c r="A479" s="87" t="str">
        <f>IFERROR(__xludf.DUMMYFUNCTION("""COMPUTED_VALUE"""),"042")</f>
        <v>042</v>
      </c>
      <c r="B479" s="46" t="str">
        <f>IFERROR(__xludf.DUMMYFUNCTION("""COMPUTED_VALUE"""),"Apartamento en conjunto Condominio Reservas de Avichente - Oriente")</f>
        <v>Apartamento en conjunto Condominio Reservas de Avichente - Oriente</v>
      </c>
      <c r="C479" s="46" t="str">
        <f>IFERROR(__xludf.DUMMYFUNCTION("""COMPUTED_VALUE"""),"Apartamento en conjunto")</f>
        <v>Apartamento en conjunto</v>
      </c>
      <c r="D479" s="46"/>
      <c r="E479" s="46" t="str">
        <f>IFERROR(__xludf.DUMMYFUNCTION("""COMPUTED_VALUE"""),"Conjunto Condominio Reservas de Avichente")</f>
        <v>Conjunto Condominio Reservas de Avichente</v>
      </c>
      <c r="F479" s="90">
        <f>IFERROR(__xludf.DUMMYFUNCTION("""COMPUTED_VALUE"""),3.5E8)</f>
        <v>350000000</v>
      </c>
      <c r="G479" s="46" t="str">
        <f>IFERROR(__xludf.DUMMYFUNCTION("""COMPUTED_VALUE"""),"$300'000.000 a $400'000.000")</f>
        <v>$300'000.000 a $400'000.000</v>
      </c>
      <c r="H479" s="46"/>
      <c r="I479" s="46"/>
      <c r="J479" s="46" t="str">
        <f>IFERROR(__xludf.DUMMYFUNCTION("""COMPUTED_VALUE"""),"Oriente")</f>
        <v>Oriente</v>
      </c>
      <c r="K479" s="87"/>
      <c r="L479" s="46">
        <f>IFERROR(__xludf.DUMMYFUNCTION("""COMPUTED_VALUE"""),3.0)</f>
        <v>3</v>
      </c>
      <c r="M479" s="46"/>
      <c r="N479" s="46">
        <f>IFERROR(__xludf.DUMMYFUNCTION("""COMPUTED_VALUE"""),3.0)</f>
        <v>3</v>
      </c>
      <c r="O479" s="46">
        <f>IFERROR(__xludf.DUMMYFUNCTION("""COMPUTED_VALUE"""),1.0)</f>
        <v>1</v>
      </c>
      <c r="P479" s="46">
        <f>IFERROR(__xludf.DUMMYFUNCTION("""COMPUTED_VALUE"""),8.0)</f>
        <v>8</v>
      </c>
      <c r="Q479" s="92">
        <f>IFERROR(__xludf.DUMMYFUNCTION("""COMPUTED_VALUE"""),95.0)</f>
        <v>95</v>
      </c>
      <c r="R479" s="92">
        <f>IFERROR(__xludf.DUMMYFUNCTION("""COMPUTED_VALUE"""),95.0)</f>
        <v>95</v>
      </c>
      <c r="S479" s="87" t="str">
        <f>IFERROR(__xludf.DUMMYFUNCTION("""COMPUTED_VALUE""")," ")</f>
        <v> </v>
      </c>
      <c r="T479" s="46" t="str">
        <f>IFERROR(__xludf.DUMMYFUNCTION("""COMPUTED_VALUE"""),"Neiva")</f>
        <v>Neiva</v>
      </c>
      <c r="U479" s="87" t="str">
        <f>IFERROR(__xludf.DUMMYFUNCTION("""COMPUTED_VALUE"""),"3")</f>
        <v>3</v>
      </c>
      <c r="V479" s="46" t="str">
        <f>IFERROR(__xludf.DUMMYFUNCTION("""COMPUTED_VALUE"""),"8o.")</f>
        <v>8o.</v>
      </c>
      <c r="W479" s="46"/>
      <c r="X479" s="46">
        <f>IFERROR(__xludf.DUMMYFUNCTION("""COMPUTED_VALUE"""),3.0)</f>
        <v>3</v>
      </c>
      <c r="Y479" s="46" t="str">
        <f>IFERROR(__xludf.DUMMYFUNCTION("""COMPUTED_VALUE"""),"Social")</f>
        <v>Social</v>
      </c>
      <c r="Z479" s="90">
        <f>IFERROR(__xludf.DUMMYFUNCTION("""COMPUTED_VALUE"""),309000.0)</f>
        <v>309000</v>
      </c>
      <c r="AA479" s="33" t="str">
        <f>IFERROR(__xludf.DUMMYFUNCTION("""COMPUTED_VALUE"""),"No aplica")</f>
        <v>No aplica</v>
      </c>
      <c r="AB479" s="96" t="str">
        <f>IFERROR(__xludf.DUMMYFUNCTION("""COMPUTED_VALUE"""),"https://photos.app.goo.gl/tQpTcgxtVHfqDVeT9")</f>
        <v>https://photos.app.goo.gl/tQpTcgxtVHfqDVeT9</v>
      </c>
      <c r="AC479" s="46" t="str">
        <f>IFERROR(__xludf.DUMMYFUNCTION("""COMPUTED_VALUE"""),"Este espectacular apartamento de 95 m² destaca por su diseño funcional y acabados de excelente calidad, pensados para maximizar el confort de su familia. Ubicado en un octavo piso con una vista privilegiada y excelente ventilación, la propiedad ofrece un "&amp;"área social generosa que integra una sala-comedor conectada a un acogedor balcón privado, ideal para disfrutar de momentos de descanso. Cuenta con una cocina moderna, amplia y totalmente equipada, un estudio o sala de TV independiente, tres baños completo"&amp;"s y tres habitaciones con clóset, garantizando el espacio y la privacidad que cada miembro del hogar merece.")</f>
        <v>Este espectacular apartamento de 95 m² destaca por su diseño funcional y acabados de excelente calidad, pensados para maximizar el confort de su familia. Ubicado en un octavo piso con una vista privilegiada y excelente ventilación, la propiedad ofrece un área social generosa que integra una sala-comedor conectada a un acogedor balcón privado, ideal para disfrutar de momentos de descanso. Cuenta con una cocina moderna, amplia y totalmente equipada, un estudio o sala de TV independiente, tres baños completos y tres habitaciones con clóset, garantizando el espacio y la privacidad que cada miembro del hogar merece.</v>
      </c>
      <c r="AD479" s="46" t="str">
        <f>IFERROR(__xludf.DUMMYFUNCTION("""COMPUTED_VALUE"""),"Ubicado en el exclusivo sector oriente de Neiva, dentro del Condominio Reservas de Avichente, este inmueble representa la oportunidad perfecta de inversión en una zona de alta valorización y estrato 3, lo que asegura un equilibrio ideal entre comodidad y "&amp;"costo de vida. Vivir aquí es tener un club privado en casa: el condominio ofrece un estilo de vida inigualable con piscinas para adultos y niños, parque infantil, cancha sintética y de baloncesto, además de la comodidad única de contar con supermercado in"&amp;"terno y droguería. Todo lo que necesita para su bienestar y seguridad, en una ubicación estratégica y de fácil acceso.")</f>
        <v>Ubicado en el exclusivo sector oriente de Neiva, dentro del Condominio Reservas de Avichente, este inmueble representa la oportunidad perfecta de inversión en una zona de alta valorización y estrato 3, lo que asegura un equilibrio ideal entre comodidad y costo de vida. Vivir aquí es tener un club privado en casa: el condominio ofrece un estilo de vida inigualable con piscinas para adultos y niños, parque infantil, cancha sintética y de baloncesto, además de la comodidad única de contar con supermercado interno y droguería. Todo lo que necesita para su bienestar y seguridad, en una ubicación estratégica y de fácil acceso.</v>
      </c>
      <c r="AE479" s="46"/>
      <c r="AF479" s="46" t="str">
        <f>IFERROR(__xludf.DUMMYFUNCTION("""COMPUTED_VALUE"""),"Integral")</f>
        <v>Integral</v>
      </c>
      <c r="AG479" s="46"/>
      <c r="AH479" s="46" t="str">
        <f>IFERROR(__xludf.DUMMYFUNCTION("""COMPUTED_VALUE"""),"Aliado")</f>
        <v>Aliado</v>
      </c>
      <c r="AI479" s="92" t="str">
        <f>IFERROR(__xludf.DUMMYFUNCTION("""COMPUTED_VALUE"""),"https://lh3.googleusercontent.com/pw/AP1GczPO4nBnjj5oig8jgnyTCeS5Gm8nV7mfncrov7VU9poMPXOZW3oaOshrkh1bnU80F33s0ar425QE4ThPi3fxDBjpXEmxyLtYRbla1XJQ0c1cRrOYyTvY=w1200|https://lh3.googleusercontent.com/pw/AP1GczPRp5XyMA0_lV2ToVwnS3EMozs1vWK6AVcX7PHty2tv13Lm4Y"&amp;"UHbwCk8EndBxYmjy-yDoD57O4TR612UJAUcL2-J9kvMp6ZiJpIkX9Pim4icfz76UW5=w1200|https://lh3.googleusercontent.com/pw/AP1GczMITK2mNSZeXpAcuTwHUSUy1BMbXDD9TAjw5zCpJICrks-VZOBNdGx5IZPun9WClelvk5xCtv5NMJUeYk2FJyDXno59eZJIt0gEwHhNGAeKrBtE14F9=w1200|https://lh3.google"&amp;"usercontent.com/pw/AP1GczM7yjjga1KkrygDLnM9ge84VguPJ9-eYV8aP_TlwY-tHq8LCJc-r5vPe3UBjGaCu4VBQZM7IGJngxPg_r4DRxSrjnnEdL6cD4xZZbwuzQgq-f5NchSk=w1200|https://lh3.googleusercontent.com/pw/AP1GczPVbpua1V3ocEhXkfKAT2qz-LUatEfy-K-enTUpmbOcGie6R7FRBAsvPkwyGWcT8v7h"&amp;"fq3m4Gx0ueH3GQWQyzhSvgL2fjYEjXbQXMTCK2m37h5g8hr0=w1200|https://lh3.googleusercontent.com/pw/AP1GczNUGVp88RJH7zQzym5MpPiA6M9QPjA9-7hStgIX28zxC57g0PxTyfh2G4FNXdOYPfn6wmEF5pSFy-Y8vClCGT-djF0qHex_WmSyjHHPsHoHvEHO8AW9=w1200|https://lh3.googleusercontent.com/pw"&amp;"/AP1GczO9M2lKYjaHPK427wJPMLwJDENaVYJAPm5oSqbvcVlggDg6xI07lgiXOafgxT5ABuGzxv94t_p9nM_K-uNWOSa5v6vBuIp4KSu9ytNbo2uWBXs8AaM2=w1200|https://lh3.googleusercontent.com/pw/AP1GczOAevx0dZmDpj1jRBdzu-GBfZH0Fg45SCKqS5_xK3Ty6p3v6y5kcOMi1dCzGKgZJzrhU5XIry4fgDtkxaYz_X"&amp;"1s2OZqka5RYr3nLfnOiyegJ1W4RguI=w1200|https://lh3.googleusercontent.com/pw/AP1GczPRVqNrD-sODNsbM9KSDF8KSB3eQn9JyPnhCPDN9-7xtTm-RCmbdDZ68mZm9BzPN-WKO1Lxo4Z7G6z5lBWCBTOG7hheeZSSodWk4kvV8e1vDrFYtBM0=w1200|https://lh3.googleusercontent.com/pw/AP1GczOH_osqBaiUZ"&amp;"fNZResUfX8IuxcGskgpO0CyT-7Y5I3JnqmW9EwNHaezXP0HIhjFzAhJ_GYny5WhIRwPnWdLOXedZ5YB3b39kRGOOk0sbyAdQmk3cQPF=w1200|https://lh3.googleusercontent.com/pw/AP1GczPG65gsIcWzHGDYGjrNVzHE_CE9TTRNNAqedN2ve3Uh-dVtOMMf_boqbs2e89_mjhqTVQgIqqhGLA5VfntZqluJmhft9cUeH7zzOz-8"&amp;"oH2rj-aHi6JZ=w1200|https://lh3.googleusercontent.com/pw/AP1GczPyqsViv6RfcaUgdagIDDFpMhkMmPKhqblnwrkB9yjS6ZiN4wtm8Q1v1i2INuBj78_48PvD5ZMd-fwKWZLwXNjZ9_aeWhTWVuYZfdRA_wzvUUI8Dcqm=w1200|https://lh3.googleusercontent.com/pw/AP1GczNyIFMIBLBd8HjEWjQROBPKYbBQz-O"&amp;"-6WAWV8YC-qDtWb1xZIF-yeN4u0Zy22k2ilbwobKQW64OAqN7OyYkhzmh_qjsoiQRBs2kU7yTO0bXJZ85Wdld=w1200|https://lh3.googleusercontent.com/pw/AP1GczM9Y8LMdluxjYK6etF6c8YsCIFBQ_zgO20ApKgiHo0qz1p5aNPWtyDJ70gwxEUBLw9BQIlMXX4isAJTGvBQNb8epErYBF0RLxgAfwgVJgGK6ogAJqXY=w1200")</f>
        <v>https://lh3.googleusercontent.com/pw/AP1GczPO4nBnjj5oig8jgnyTCeS5Gm8nV7mfncrov7VU9poMPXOZW3oaOshrkh1bnU80F33s0ar425QE4ThPi3fxDBjpXEmxyLtYRbla1XJQ0c1cRrOYyTvY=w1200|https://lh3.googleusercontent.com/pw/AP1GczPRp5XyMA0_lV2ToVwnS3EMozs1vWK6AVcX7PHty2tv13Lm4YUHbwCk8EndBxYmjy-yDoD57O4TR612UJAUcL2-J9kvMp6ZiJpIkX9Pim4icfz76UW5=w1200|https://lh3.googleusercontent.com/pw/AP1GczMITK2mNSZeXpAcuTwHUSUy1BMbXDD9TAjw5zCpJICrks-VZOBNdGx5IZPun9WClelvk5xCtv5NMJUeYk2FJyDXno59eZJIt0gEwHhNGAeKrBtE14F9=w1200|https://lh3.googleusercontent.com/pw/AP1GczM7yjjga1KkrygDLnM9ge84VguPJ9-eYV8aP_TlwY-tHq8LCJc-r5vPe3UBjGaCu4VBQZM7IGJngxPg_r4DRxSrjnnEdL6cD4xZZbwuzQgq-f5NchSk=w1200|https://lh3.googleusercontent.com/pw/AP1GczPVbpua1V3ocEhXkfKAT2qz-LUatEfy-K-enTUpmbOcGie6R7FRBAsvPkwyGWcT8v7hfq3m4Gx0ueH3GQWQyzhSvgL2fjYEjXbQXMTCK2m37h5g8hr0=w1200|https://lh3.googleusercontent.com/pw/AP1GczNUGVp88RJH7zQzym5MpPiA6M9QPjA9-7hStgIX28zxC57g0PxTyfh2G4FNXdOYPfn6wmEF5pSFy-Y8vClCGT-djF0qHex_WmSyjHHPsHoHvEHO8AW9=w1200|https://lh3.googleusercontent.com/pw/AP1GczO9M2lKYjaHPK427wJPMLwJDENaVYJAPm5oSqbvcVlggDg6xI07lgiXOafgxT5ABuGzxv94t_p9nM_K-uNWOSa5v6vBuIp4KSu9ytNbo2uWBXs8AaM2=w1200|https://lh3.googleusercontent.com/pw/AP1GczOAevx0dZmDpj1jRBdzu-GBfZH0Fg45SCKqS5_xK3Ty6p3v6y5kcOMi1dCzGKgZJzrhU5XIry4fgDtkxaYz_X1s2OZqka5RYr3nLfnOiyegJ1W4RguI=w1200|https://lh3.googleusercontent.com/pw/AP1GczPRVqNrD-sODNsbM9KSDF8KSB3eQn9JyPnhCPDN9-7xtTm-RCmbdDZ68mZm9BzPN-WKO1Lxo4Z7G6z5lBWCBTOG7hheeZSSodWk4kvV8e1vDrFYtBM0=w1200|https://lh3.googleusercontent.com/pw/AP1GczOH_osqBaiUZfNZResUfX8IuxcGskgpO0CyT-7Y5I3JnqmW9EwNHaezXP0HIhjFzAhJ_GYny5WhIRwPnWdLOXedZ5YB3b39kRGOOk0sbyAdQmk3cQPF=w1200|https://lh3.googleusercontent.com/pw/AP1GczPG65gsIcWzHGDYGjrNVzHE_CE9TTRNNAqedN2ve3Uh-dVtOMMf_boqbs2e89_mjhqTVQgIqqhGLA5VfntZqluJmhft9cUeH7zzOz-8oH2rj-aHi6JZ=w1200|https://lh3.googleusercontent.com/pw/AP1GczPyqsViv6RfcaUgdagIDDFpMhkMmPKhqblnwrkB9yjS6ZiN4wtm8Q1v1i2INuBj78_48PvD5ZMd-fwKWZLwXNjZ9_aeWhTWVuYZfdRA_wzvUUI8Dcqm=w1200|https://lh3.googleusercontent.com/pw/AP1GczNyIFMIBLBd8HjEWjQROBPKYbBQz-O-6WAWV8YC-qDtWb1xZIF-yeN4u0Zy22k2ilbwobKQW64OAqN7OyYkhzmh_qjsoiQRBs2kU7yTO0bXJZ85Wdld=w1200|https://lh3.googleusercontent.com/pw/AP1GczM9Y8LMdluxjYK6etF6c8YsCIFBQ_zgO20ApKgiHo0qz1p5aNPWtyDJ70gwxEUBLw9BQIlMXX4isAJTGvBQNb8epErYBF0RLxgAfwgVJgGK6ogAJqXY=w1200</v>
      </c>
      <c r="AJ479" s="46"/>
      <c r="AK479" s="46"/>
      <c r="AL479" s="46"/>
      <c r="AM479" s="46"/>
      <c r="AN479" s="46"/>
      <c r="AO479" s="46"/>
      <c r="AP479" s="46"/>
      <c r="AQ479" s="46"/>
      <c r="AR479" s="46"/>
      <c r="AS479" s="46"/>
      <c r="AT479" s="46"/>
      <c r="AU479" s="46"/>
      <c r="AV479" s="46"/>
      <c r="AW479" s="46"/>
      <c r="AX479" s="46"/>
      <c r="AY479" s="46"/>
      <c r="AZ479" s="46"/>
      <c r="BA479" s="46"/>
      <c r="BB479" s="46"/>
      <c r="BC479" s="46"/>
      <c r="BD479" s="46"/>
      <c r="BE479" s="46"/>
      <c r="BF479" s="46"/>
      <c r="BG479" s="46"/>
      <c r="BH479" s="46"/>
      <c r="BI479" s="46"/>
      <c r="BJ479" s="46"/>
      <c r="BK479" s="46"/>
      <c r="BL479" s="46"/>
      <c r="BM479" s="46"/>
      <c r="BN479" s="46"/>
      <c r="BO479" s="46"/>
      <c r="BP479" s="46"/>
      <c r="BQ479" s="46"/>
      <c r="BR479" s="46"/>
      <c r="BS479" s="46"/>
      <c r="BT479" s="46"/>
      <c r="BU479" s="46"/>
      <c r="BV479" s="46"/>
      <c r="BW479" s="46"/>
      <c r="BX479" s="46"/>
      <c r="BY479" s="46"/>
      <c r="BZ479" s="46"/>
      <c r="CA479" s="46"/>
      <c r="CB479" s="46"/>
      <c r="CC479" s="46"/>
    </row>
    <row r="480">
      <c r="A480" s="87" t="str">
        <f>IFERROR(__xludf.DUMMYFUNCTION("""COMPUTED_VALUE"""),"966")</f>
        <v>966</v>
      </c>
      <c r="B480" s="46" t="str">
        <f>IFERROR(__xludf.DUMMYFUNCTION("""COMPUTED_VALUE"""),"Casa en conjunto Condominio Aposentos - Norte")</f>
        <v>Casa en conjunto Condominio Aposentos - Norte</v>
      </c>
      <c r="C480" s="46" t="str">
        <f>IFERROR(__xludf.DUMMYFUNCTION("""COMPUTED_VALUE"""),"Casa en conjunto")</f>
        <v>Casa en conjunto</v>
      </c>
      <c r="D480" s="46"/>
      <c r="E480" s="46" t="str">
        <f>IFERROR(__xludf.DUMMYFUNCTION("""COMPUTED_VALUE"""),"Condominio Aposentos")</f>
        <v>Condominio Aposentos</v>
      </c>
      <c r="F480" s="90">
        <f>IFERROR(__xludf.DUMMYFUNCTION("""COMPUTED_VALUE"""),3.4E8)</f>
        <v>340000000</v>
      </c>
      <c r="G480" s="46" t="str">
        <f>IFERROR(__xludf.DUMMYFUNCTION("""COMPUTED_VALUE"""),"$300'000.000 a $400'000.000")</f>
        <v>$300'000.000 a $400'000.000</v>
      </c>
      <c r="H480" s="46"/>
      <c r="I480" s="46"/>
      <c r="J480" s="46" t="str">
        <f>IFERROR(__xludf.DUMMYFUNCTION("""COMPUTED_VALUE"""),"Norte")</f>
        <v>Norte</v>
      </c>
      <c r="K480" s="87"/>
      <c r="L480" s="46">
        <f>IFERROR(__xludf.DUMMYFUNCTION("""COMPUTED_VALUE"""),3.0)</f>
        <v>3</v>
      </c>
      <c r="M480" s="46"/>
      <c r="N480" s="46">
        <f>IFERROR(__xludf.DUMMYFUNCTION("""COMPUTED_VALUE"""),3.0)</f>
        <v>3</v>
      </c>
      <c r="O480" s="46">
        <f>IFERROR(__xludf.DUMMYFUNCTION("""COMPUTED_VALUE"""),1.0)</f>
        <v>1</v>
      </c>
      <c r="P480" s="46">
        <f>IFERROR(__xludf.DUMMYFUNCTION("""COMPUTED_VALUE"""),3.0)</f>
        <v>3</v>
      </c>
      <c r="Q480" s="92">
        <f>IFERROR(__xludf.DUMMYFUNCTION("""COMPUTED_VALUE"""),210.0)</f>
        <v>210</v>
      </c>
      <c r="R480" s="92">
        <f>IFERROR(__xludf.DUMMYFUNCTION("""COMPUTED_VALUE"""),98.0)</f>
        <v>98</v>
      </c>
      <c r="S480" s="87" t="str">
        <f>IFERROR(__xludf.DUMMYFUNCTION("""COMPUTED_VALUE""")," ")</f>
        <v> </v>
      </c>
      <c r="T480" s="46" t="str">
        <f>IFERROR(__xludf.DUMMYFUNCTION("""COMPUTED_VALUE"""),"Neiva")</f>
        <v>Neiva</v>
      </c>
      <c r="U480" s="87" t="str">
        <f>IFERROR(__xludf.DUMMYFUNCTION("""COMPUTED_VALUE"""),"4")</f>
        <v>4</v>
      </c>
      <c r="V480" s="46" t="str">
        <f>IFERROR(__xludf.DUMMYFUNCTION("""COMPUTED_VALUE"""),"Medianera")</f>
        <v>Medianera</v>
      </c>
      <c r="W480" s="46"/>
      <c r="X480" s="46">
        <f>IFERROR(__xludf.DUMMYFUNCTION("""COMPUTED_VALUE"""),3.0)</f>
        <v>3</v>
      </c>
      <c r="Y480" s="46" t="str">
        <f>IFERROR(__xludf.DUMMYFUNCTION("""COMPUTED_VALUE"""),"Social")</f>
        <v>Social</v>
      </c>
      <c r="Z480" s="90">
        <f>IFERROR(__xludf.DUMMYFUNCTION("""COMPUTED_VALUE"""),380000.0)</f>
        <v>380000</v>
      </c>
      <c r="AA480" s="33" t="str">
        <f>IFERROR(__xludf.DUMMYFUNCTION("""COMPUTED_VALUE"""),"No aplica")</f>
        <v>No aplica</v>
      </c>
      <c r="AB480" s="96" t="str">
        <f>IFERROR(__xludf.DUMMYFUNCTION("""COMPUTED_VALUE"""),"https://photos.app.goo.gl/ZpQJgsz3LWEtW3yD9")</f>
        <v>https://photos.app.goo.gl/ZpQJgsz3LWEtW3yD9</v>
      </c>
      <c r="AC480" s="46" t="str">
        <f>IFERROR(__xludf.DUMMYFUNCTION("""COMPUTED_VALUE"""),"Esta hermosa casa de 3 niveles y 98 Mt², ubicada en el prestigioso Condominio Aposentos en la zona Norte de Neiva, cuenta con una distribución funcional y acabados modernos diseñados para la comodidad familiar. La propiedad dispone de una sala y comedor a"&amp;"cogedores, una cocina integral moderna, un patio de ropas independiente y 1 parqueadero privado. El área de descanso está compuesta por 3 habitaciones amplias y 3 baños en total, destacando la habitación principal que incluye baño privado, un sofisticado "&amp;"mueble de entretenimiento empotrado con texturas amaderadas y grandes ventanales que inundan el espacio de luz natural. Sus acabados de alta calidad sobresalen por pisos en cerámica clara, carpintería de madera texturizada en clósets empotrados a medida y"&amp;" puertas, escaleras internas con pasamanos metálicos estructurados, y baños equipados con muebles inferiores flotantes, mesón de granito, espejos decorativos y divisiones de ducha en vidrio templado.")</f>
        <v>Esta hermosa casa de 3 niveles y 98 Mt², ubicada en el prestigioso Condominio Aposentos en la zona Norte de Neiva, cuenta con una distribución funcional y acabados modernos diseñados para la comodidad familiar. La propiedad dispone de una sala y comedor acogedores, una cocina integral moderna, un patio de ropas independiente y 1 parqueadero privado. El área de descanso está compuesta por 3 habitaciones amplias y 3 baños en total, destacando la habitación principal que incluye baño privado, un sofisticado mueble de entretenimiento empotrado con texturas amaderadas y grandes ventanales que inundan el espacio de luz natural. Sus acabados de alta calidad sobresalen por pisos en cerámica clara, carpintería de madera texturizada en clósets empotrados a medida y puertas, escaleras internas con pasamanos metálicos estructurados, y baños equipados con muebles inferiores flotantes, mesón de granito, espejos decorativos y divisiones de ducha en vidrio templado.</v>
      </c>
      <c r="AD480" s="46" t="str">
        <f>IFERROR(__xludf.DUMMYFUNCTION("""COMPUTED_VALUE"""),"Ubicada en una de las zonas más seguras, tranquilas y con mayor valorización del norte de la ciudad, esta propiedad de estrato 4 representa una oportunidad de compra inmediata al entregarse completamente equipada con cortinas instaladas y un sistema de ai"&amp;"re acondicionado. Los residentes disfrutarán de un exclusivo estilo de vida tipo club gracias a las completas amenidades del condominio, que incluyen piscina para adultos y niños, cancha múltiple, parque infantil, zona BBQ para reuniones, salón social con"&amp;" aire acondicionado y portería con vigilancia 24/7. Con el respaldo profesional de ICDE, esta vivienda garantiza la combinación perfecta entre la paz que su familia merece y la cercanía a todo lo que necesita en el norte de Neiva.")</f>
        <v>Ubicada en una de las zonas más seguras, tranquilas y con mayor valorización del norte de la ciudad, esta propiedad de estrato 4 representa una oportunidad de compra inmediata al entregarse completamente equipada con cortinas instaladas y un sistema de aire acondicionado. Los residentes disfrutarán de un exclusivo estilo de vida tipo club gracias a las completas amenidades del condominio, que incluyen piscina para adultos y niños, cancha múltiple, parque infantil, zona BBQ para reuniones, salón social con aire acondicionado y portería con vigilancia 24/7. Con el respaldo profesional de ICDE, esta vivienda garantiza la combinación perfecta entre la paz que su familia merece y la cercanía a todo lo que necesita en el norte de Neiva.</v>
      </c>
      <c r="AE480" s="46"/>
      <c r="AF480" s="46" t="str">
        <f>IFERROR(__xludf.DUMMYFUNCTION("""COMPUTED_VALUE"""),"integral")</f>
        <v>integral</v>
      </c>
      <c r="AG480" s="46"/>
      <c r="AH480" s="46" t="str">
        <f>IFERROR(__xludf.DUMMYFUNCTION("""COMPUTED_VALUE"""),"Aliado")</f>
        <v>Aliado</v>
      </c>
      <c r="AI480" s="92" t="str">
        <f>IFERROR(__xludf.DUMMYFUNCTION("""COMPUTED_VALUE"""),"https://lh3.googleusercontent.com/pw/AP1GczOZ6bJdkDuj3viZtSp2JJKLSbAuWgJILBjQwrKftTIVH6gLzejdbW5ye7bSC_-FWWJHNVkwU--oIHpnEXauzi3KO9-I5cyKX5CrOzzurxD9aIZp8POk=w1200|https://lh3.googleusercontent.com/pw/AP1GczMsvNG3e8gtAdgHadzfd_NifIRSvS6wWLpQvglIUJU8WGGaBU"&amp;"1eC7vlXERhJe3ybkneo-eicXOeRL_OmTO9-hUcALHPYLEKJeuAeyPmGTIXP-Lo1Z_8=w1200|https://lh3.googleusercontent.com/pw/AP1GczPtzak1hl5ANu6nRirKe6_Ct7j0kOWZp64_ve8znVyC6uNtRdaQzOT9H3WADiB7FdxzCFiqaFdGHtvrPYpQaKpXCe6uCDgA9Dpw58x0svZS7zA6PUYh=w1200|https://lh3.google"&amp;"usercontent.com/pw/AP1GczNqkcVFBGBffIx5PeFPk0EJ6lhYTSu96KzrqW_GHZtbHmUTQ2QHItcp_UJ5moMW_iqA70KDc9BSUSCbajUYFH7k6LKwyuDRr1b8HE96oJVArGtOc0Ei=w1200|https://lh3.googleusercontent.com/pw/AP1GczPghbxcPVqdwx-aYPbY2uDzIdqwZfwaZo3X9jcw00AOxLg6kt1SKZLm98Nf4bESYAd-"&amp;"2S5Z3vh20h25aXNYKi8890SIE1n6Owx9GJLuy_pzXDqteV6l=w1200|https://lh3.googleusercontent.com/pw/AP1GczNyUfalGXWPuwwuGPOTQc1IlXrVp29asL_EDV6iM9tVhyv7xfUrH5chy4M9UOzCdSDnnsbPKIVqDMB0DRpHVWjI6zCzzoRxP2LBmsQ0Es4WeVUDzkNE=w1200|https://lh3.googleusercontent.com/pw"&amp;"/AP1GczPZ0hylReAx8-IgDUeuwycZusAJv6I_bT4ggatNsa3pywH9BaHo092Ih_KoY2t7Tq2dtOcV4ZJxuOjil7kdo-SwGqa2DCG1YF4LtOJhmUNcG--zTl1H=w1200|https://lh3.googleusercontent.com/pw/AP1GczOGMipQW0BZsMdCwOP5xFVegiw9Sso7me9PlNYrsnTJKrwr2h_uJizqonpKSfYMoiO9-Ls-hG-t3cvKObeZNO"&amp;"QBwtM3WHFJjq0h8Iv5cyce5PkTxbhX=w1200|https://lh3.googleusercontent.com/pw/AP1GczOrquI3LEt5FZgmWtQc0Pqt_bUoUX-_kMyJUlbGdmyqtuie1kL6MfhlcJlGqkdehM4RaJ4YcepN2w1LxkR2SB4ZXFseUqHptjxNDBiTuAcFKxzQKSq-=w1200|https://lh3.googleusercontent.com/pw/AP1GczMC0OeJvWeP7"&amp;"ZpoPxPOMQnS4zmjwr1coV1eeZ5x6TD_9qJvMt7RbsMSAariYxhSJoYrcRAz5aSeoqzqC_MxezxueHSOKF5Ev9o5accdo3BYRKIYWpsR=w1200")</f>
        <v>https://lh3.googleusercontent.com/pw/AP1GczOZ6bJdkDuj3viZtSp2JJKLSbAuWgJILBjQwrKftTIVH6gLzejdbW5ye7bSC_-FWWJHNVkwU--oIHpnEXauzi3KO9-I5cyKX5CrOzzurxD9aIZp8POk=w1200|https://lh3.googleusercontent.com/pw/AP1GczMsvNG3e8gtAdgHadzfd_NifIRSvS6wWLpQvglIUJU8WGGaBU1eC7vlXERhJe3ybkneo-eicXOeRL_OmTO9-hUcALHPYLEKJeuAeyPmGTIXP-Lo1Z_8=w1200|https://lh3.googleusercontent.com/pw/AP1GczPtzak1hl5ANu6nRirKe6_Ct7j0kOWZp64_ve8znVyC6uNtRdaQzOT9H3WADiB7FdxzCFiqaFdGHtvrPYpQaKpXCe6uCDgA9Dpw58x0svZS7zA6PUYh=w1200|https://lh3.googleusercontent.com/pw/AP1GczNqkcVFBGBffIx5PeFPk0EJ6lhYTSu96KzrqW_GHZtbHmUTQ2QHItcp_UJ5moMW_iqA70KDc9BSUSCbajUYFH7k6LKwyuDRr1b8HE96oJVArGtOc0Ei=w1200|https://lh3.googleusercontent.com/pw/AP1GczPghbxcPVqdwx-aYPbY2uDzIdqwZfwaZo3X9jcw00AOxLg6kt1SKZLm98Nf4bESYAd-2S5Z3vh20h25aXNYKi8890SIE1n6Owx9GJLuy_pzXDqteV6l=w1200|https://lh3.googleusercontent.com/pw/AP1GczNyUfalGXWPuwwuGPOTQc1IlXrVp29asL_EDV6iM9tVhyv7xfUrH5chy4M9UOzCdSDnnsbPKIVqDMB0DRpHVWjI6zCzzoRxP2LBmsQ0Es4WeVUDzkNE=w1200|https://lh3.googleusercontent.com/pw/AP1GczPZ0hylReAx8-IgDUeuwycZusAJv6I_bT4ggatNsa3pywH9BaHo092Ih_KoY2t7Tq2dtOcV4ZJxuOjil7kdo-SwGqa2DCG1YF4LtOJhmUNcG--zTl1H=w1200|https://lh3.googleusercontent.com/pw/AP1GczOGMipQW0BZsMdCwOP5xFVegiw9Sso7me9PlNYrsnTJKrwr2h_uJizqonpKSfYMoiO9-Ls-hG-t3cvKObeZNOQBwtM3WHFJjq0h8Iv5cyce5PkTxbhX=w1200|https://lh3.googleusercontent.com/pw/AP1GczOrquI3LEt5FZgmWtQc0Pqt_bUoUX-_kMyJUlbGdmyqtuie1kL6MfhlcJlGqkdehM4RaJ4YcepN2w1LxkR2SB4ZXFseUqHptjxNDBiTuAcFKxzQKSq-=w1200|https://lh3.googleusercontent.com/pw/AP1GczMC0OeJvWeP7ZpoPxPOMQnS4zmjwr1coV1eeZ5x6TD_9qJvMt7RbsMSAariYxhSJoYrcRAz5aSeoqzqC_MxezxueHSOKF5Ev9o5accdo3BYRKIYWpsR=w1200</v>
      </c>
      <c r="AJ480" s="46"/>
      <c r="AK480" s="46"/>
      <c r="AL480" s="46"/>
      <c r="AM480" s="46"/>
      <c r="AN480" s="46"/>
      <c r="AO480" s="46"/>
      <c r="AP480" s="46"/>
      <c r="AQ480" s="46"/>
      <c r="AR480" s="46"/>
      <c r="AS480" s="46"/>
      <c r="AT480" s="46"/>
      <c r="AU480" s="46"/>
      <c r="AV480" s="46"/>
      <c r="AW480" s="46"/>
      <c r="AX480" s="46"/>
      <c r="AY480" s="46"/>
      <c r="AZ480" s="46"/>
      <c r="BA480" s="46"/>
      <c r="BB480" s="46"/>
      <c r="BC480" s="46"/>
      <c r="BD480" s="46"/>
      <c r="BE480" s="46"/>
      <c r="BF480" s="46"/>
      <c r="BG480" s="46"/>
      <c r="BH480" s="46"/>
      <c r="BI480" s="46"/>
      <c r="BJ480" s="46"/>
      <c r="BK480" s="46"/>
      <c r="BL480" s="46"/>
      <c r="BM480" s="46"/>
      <c r="BN480" s="46"/>
      <c r="BO480" s="46"/>
      <c r="BP480" s="46"/>
      <c r="BQ480" s="46"/>
      <c r="BR480" s="46"/>
      <c r="BS480" s="46"/>
      <c r="BT480" s="46"/>
      <c r="BU480" s="46"/>
      <c r="BV480" s="46"/>
      <c r="BW480" s="46"/>
      <c r="BX480" s="46"/>
      <c r="BY480" s="46"/>
      <c r="BZ480" s="46"/>
      <c r="CA480" s="46"/>
      <c r="CB480" s="46"/>
      <c r="CC480" s="46"/>
    </row>
    <row r="481">
      <c r="A481" s="87" t="str">
        <f>IFERROR(__xludf.DUMMYFUNCTION("""COMPUTED_VALUE"""),"867")</f>
        <v>867</v>
      </c>
      <c r="B481" s="46" t="str">
        <f>IFERROR(__xludf.DUMMYFUNCTION("""COMPUTED_VALUE"""),"Apartamento en edificio Carrizal en barrio Altico")</f>
        <v>Apartamento en edificio Carrizal en barrio Altico</v>
      </c>
      <c r="C481" s="46" t="str">
        <f>IFERROR(__xludf.DUMMYFUNCTION("""COMPUTED_VALUE"""),"Apartamento")</f>
        <v>Apartamento</v>
      </c>
      <c r="D481" s="46" t="str">
        <f>IFERROR(__xludf.DUMMYFUNCTION("""COMPUTED_VALUE"""),"Altico")</f>
        <v>Altico</v>
      </c>
      <c r="E481" s="46"/>
      <c r="F481" s="90">
        <f>IFERROR(__xludf.DUMMYFUNCTION("""COMPUTED_VALUE"""),3.3E8)</f>
        <v>330000000</v>
      </c>
      <c r="G481" s="46" t="str">
        <f>IFERROR(__xludf.DUMMYFUNCTION("""COMPUTED_VALUE"""),"$300'000.000 a $400'000.000")</f>
        <v>$300'000.000 a $400'000.000</v>
      </c>
      <c r="H481" s="46"/>
      <c r="I481" s="46"/>
      <c r="J481" s="46" t="str">
        <f>IFERROR(__xludf.DUMMYFUNCTION("""COMPUTED_VALUE"""),"Centro")</f>
        <v>Centro</v>
      </c>
      <c r="K481" s="87" t="str">
        <f>IFERROR(__xludf.DUMMYFUNCTION("""COMPUTED_VALUE"""),"4")</f>
        <v>4</v>
      </c>
      <c r="L481" s="46">
        <f>IFERROR(__xludf.DUMMYFUNCTION("""COMPUTED_VALUE"""),3.0)</f>
        <v>3</v>
      </c>
      <c r="M481" s="46"/>
      <c r="N481" s="46">
        <f>IFERROR(__xludf.DUMMYFUNCTION("""COMPUTED_VALUE"""),2.0)</f>
        <v>2</v>
      </c>
      <c r="O481" s="46">
        <f>IFERROR(__xludf.DUMMYFUNCTION("""COMPUTED_VALUE"""),1.0)</f>
        <v>1</v>
      </c>
      <c r="P481" s="46">
        <f>IFERROR(__xludf.DUMMYFUNCTION("""COMPUTED_VALUE"""),3.0)</f>
        <v>3</v>
      </c>
      <c r="Q481" s="92">
        <f>IFERROR(__xludf.DUMMYFUNCTION("""COMPUTED_VALUE"""),87.0)</f>
        <v>87</v>
      </c>
      <c r="R481" s="92">
        <f>IFERROR(__xludf.DUMMYFUNCTION("""COMPUTED_VALUE"""),87.0)</f>
        <v>87</v>
      </c>
      <c r="S481" s="87" t="str">
        <f>IFERROR(__xludf.DUMMYFUNCTION("""COMPUTED_VALUE""")," ")</f>
        <v> </v>
      </c>
      <c r="T481" s="46" t="str">
        <f>IFERROR(__xludf.DUMMYFUNCTION("""COMPUTED_VALUE"""),"Neiva")</f>
        <v>Neiva</v>
      </c>
      <c r="U481" s="87" t="str">
        <f>IFERROR(__xludf.DUMMYFUNCTION("""COMPUTED_VALUE"""),"4")</f>
        <v>4</v>
      </c>
      <c r="V481" s="46" t="str">
        <f>IFERROR(__xludf.DUMMYFUNCTION("""COMPUTED_VALUE"""),"2do.")</f>
        <v>2do.</v>
      </c>
      <c r="W481" s="46"/>
      <c r="X481" s="46">
        <f>IFERROR(__xludf.DUMMYFUNCTION("""COMPUTED_VALUE"""),3.0)</f>
        <v>3</v>
      </c>
      <c r="Y481" s="46" t="str">
        <f>IFERROR(__xludf.DUMMYFUNCTION("""COMPUTED_VALUE"""),"Social")</f>
        <v>Social</v>
      </c>
      <c r="Z481" s="90">
        <f>IFERROR(__xludf.DUMMYFUNCTION("""COMPUTED_VALUE"""),308000.0)</f>
        <v>308000</v>
      </c>
      <c r="AA481" s="33" t="str">
        <f>IFERROR(__xludf.DUMMYFUNCTION("""COMPUTED_VALUE"""),"No aplica")</f>
        <v>No aplica</v>
      </c>
      <c r="AB481" s="96" t="str">
        <f>IFERROR(__xludf.DUMMYFUNCTION("""COMPUTED_VALUE"""),"https://photos.app.goo.gl/s8i6ZffZnzUjo6No7")</f>
        <v>https://photos.app.goo.gl/s8i6ZffZnzUjo6No7</v>
      </c>
      <c r="AC481" s="46" t="str">
        <f>IFERROR(__xludf.DUMMYFUNCTION("""COMPUTED_VALUE"""),"Este exclusivo apartamento de 87 m² ubicado en el Edificio Carrizal (Barrio Altico) cuenta con una distribución funcional en tercer piso con ascensor. Ofrece una amplia sala-comedor con balcón e iluminación natural, cocina integral totalmente equipada, zo"&amp;"na de lavandería independiente y 3 habitaciones con clóset, destacando la principal con balcón privado y aire acondicionado; todo complementado con 2 baños, depósito, parqueadero propio y estrato 4.")</f>
        <v>Este exclusivo apartamento de 87 m² ubicado en el Edificio Carrizal (Barrio Altico) cuenta con una distribución funcional en tercer piso con ascensor. Ofrece una amplia sala-comedor con balcón e iluminación natural, cocina integral totalmente equipada, zona de lavandería independiente y 3 habitaciones con clóset, destacando la principal con balcón privado y aire acondicionado; todo complementado con 2 baños, depósito, parqueadero propio y estrato 4.</v>
      </c>
      <c r="AD481" s="46" t="str">
        <f>IFERROR(__xludf.DUMMYFUNCTION("""COMPUTED_VALUE"""),"Su ubicación estratégica en el corazón de Neiva y a minutos de la Universidad Corhuila garantiza una altísima valorización y conectividad total. El edificio eleva la experiencia con terraza de vista panorámica, máxima seguridad electrónica y documentación"&amp;" 100% al día lista para escriturar mediante crédito hipotecario o leasing, consolidándose como una oportunidad de inversión líquida, segura y de entrega inmediata.")</f>
        <v>Su ubicación estratégica en el corazón de Neiva y a minutos de la Universidad Corhuila garantiza una altísima valorización y conectividad total. El edificio eleva la experiencia con terraza de vista panorámica, máxima seguridad electrónica y documentación 100% al día lista para escriturar mediante crédito hipotecario o leasing, consolidándose como una oportunidad de inversión líquida, segura y de entrega inmediata.</v>
      </c>
      <c r="AE481" s="46"/>
      <c r="AF481" s="46" t="str">
        <f>IFERROR(__xludf.DUMMYFUNCTION("""COMPUTED_VALUE"""),"integral")</f>
        <v>integral</v>
      </c>
      <c r="AG481" s="46"/>
      <c r="AH481" s="46" t="str">
        <f>IFERROR(__xludf.DUMMYFUNCTION("""COMPUTED_VALUE"""),"Aliado")</f>
        <v>Aliado</v>
      </c>
      <c r="AI481" s="92" t="str">
        <f>IFERROR(__xludf.DUMMYFUNCTION("""COMPUTED_VALUE"""),"https://lh3.googleusercontent.com/pw/AP1GczOk7GqL9HG9-IH_0ONmwEcryeHiZvFDc5qfZ3Nv3boRex0IvoqKygBkhdw32iCTcBCkQqu9bKRhJRv-lSOcpf1OumEhgb9zDs16G7bicsjLyfE70DdH=w1200|https://lh3.googleusercontent.com/pw/AP1GczOCndOwMJeSno9Dw5uHM9GXFUr-DH6lsu0hjfk0sARniBdIvU"&amp;"lmhzlAKSB0EA3U46Df1bVynYs3k2k_CPnf6nbtkkDBzSanLBXDYMBBOPUCk4VYo1rF=w1200|https://lh3.googleusercontent.com/pw/AP1GczPc-pdMD6Hu5Qlb7wZabGIr5PpzSgtEcn2IDy4m2xwdyj8W1-dPwTIVeJnzxtggZIOJJjXugwgR0xEuzr7qUhXan0-sYb34h4te5Tt4tr0uOyygXm2X=w1200|https://lh3.google"&amp;"usercontent.com/pw/AP1GczOukavI5L8kT8jWV_33fhsNW4PwCLF6Xe9imd1dOz_5YiciIlTk48rny2QXh3wJjXm92QL44xNVt59TQkUd_65mLpz2QYpb3meSou_AceDh0eZxXbE3=w1200|https://lh3.googleusercontent.com/pw/AP1GczN4rTNhsCyBVNexQF8TYEn4jdse9jXFY6SepfI9S5E3F03zYr67TKXj-CiQdEvleEgT"&amp;"OsqxNhrE2cKQ7MudFJbrbHeVsCbpUHq-2nWkWpPab1-IXTm-=w1200|https://lh3.googleusercontent.com/pw/AP1GczPqy2eO5Btwp6PEKoVlsNzkNgO6_WoJtUL2fy5bJOItGFGurnSELlgbE2c-Si3BqZ5qfcBLG_rl4H9QjryKDdR37i9YczV65WpG9NRhRJQe-o3riPXN=w1200|https://lh3.googleusercontent.com/pw"&amp;"/AP1GczOwmq3pxCbV46kfJFusbJAG7D27z92m0ObV-zJ20Pd5ywbar0Cag0eXey7Gqw6frkHENfUVpnbPc-q8LnBywBrJEllqoc4QDBfvb6YTbc7Gt2RCT4G_=w1200|https://lh3.googleusercontent.com/pw/AP1GczO7KAfRrzCx-Q9qcKxUanyBeDlnuQJsSqgpcgDZZ_-cycGu0UNjoiLNJaImrmJ-dsmA2Gw8pb_gsUKUuX4Y3A"&amp;"8Ktmj5EwxVVZvNxilK5Pjn9OUyBtuL=w1200|https://lh3.googleusercontent.com/pw/AP1GczPvtVt_fR0t8WjYHsYTJfwLzFrt0HrfxK-oHz-Cqy9EX84HNNy1rY5bL11aNqNUej9n92JQuxi5bOvHY1oREDkmdHGvbeUWMLUcXeqgTk0tydZc4eTH=w1200|https://lh3.googleusercontent.com/pw/AP1GczNmV8z4OGp2b"&amp;"nUeoVW4bPck6XOEX4vWK9UMC6WkPIh8dXSl0ULckkbER0HPaX3VJx-8ks4ZFzL3zijYymHjVuP5gL8hbPVCSh50SWy8ASD555rCnNGa=w1200|https://lh3.googleusercontent.com/pw/AP1GczNlkIz4wGj9H2_D0UdQxDW8BpN2zEjcy0CravAKimj5vmz9EvMH4bDVd34VqlTEtVB4a-ZVj2wdSHxv5qs9BucbXqzOn64PNpDtlv7_"&amp;"guwAijai61vk=w1200")</f>
        <v>https://lh3.googleusercontent.com/pw/AP1GczOk7GqL9HG9-IH_0ONmwEcryeHiZvFDc5qfZ3Nv3boRex0IvoqKygBkhdw32iCTcBCkQqu9bKRhJRv-lSOcpf1OumEhgb9zDs16G7bicsjLyfE70DdH=w1200|https://lh3.googleusercontent.com/pw/AP1GczOCndOwMJeSno9Dw5uHM9GXFUr-DH6lsu0hjfk0sARniBdIvUlmhzlAKSB0EA3U46Df1bVynYs3k2k_CPnf6nbtkkDBzSanLBXDYMBBOPUCk4VYo1rF=w1200|https://lh3.googleusercontent.com/pw/AP1GczPc-pdMD6Hu5Qlb7wZabGIr5PpzSgtEcn2IDy4m2xwdyj8W1-dPwTIVeJnzxtggZIOJJjXugwgR0xEuzr7qUhXan0-sYb34h4te5Tt4tr0uOyygXm2X=w1200|https://lh3.googleusercontent.com/pw/AP1GczOukavI5L8kT8jWV_33fhsNW4PwCLF6Xe9imd1dOz_5YiciIlTk48rny2QXh3wJjXm92QL44xNVt59TQkUd_65mLpz2QYpb3meSou_AceDh0eZxXbE3=w1200|https://lh3.googleusercontent.com/pw/AP1GczN4rTNhsCyBVNexQF8TYEn4jdse9jXFY6SepfI9S5E3F03zYr67TKXj-CiQdEvleEgTOsqxNhrE2cKQ7MudFJbrbHeVsCbpUHq-2nWkWpPab1-IXTm-=w1200|https://lh3.googleusercontent.com/pw/AP1GczPqy2eO5Btwp6PEKoVlsNzkNgO6_WoJtUL2fy5bJOItGFGurnSELlgbE2c-Si3BqZ5qfcBLG_rl4H9QjryKDdR37i9YczV65WpG9NRhRJQe-o3riPXN=w1200|https://lh3.googleusercontent.com/pw/AP1GczOwmq3pxCbV46kfJFusbJAG7D27z92m0ObV-zJ20Pd5ywbar0Cag0eXey7Gqw6frkHENfUVpnbPc-q8LnBywBrJEllqoc4QDBfvb6YTbc7Gt2RCT4G_=w1200|https://lh3.googleusercontent.com/pw/AP1GczO7KAfRrzCx-Q9qcKxUanyBeDlnuQJsSqgpcgDZZ_-cycGu0UNjoiLNJaImrmJ-dsmA2Gw8pb_gsUKUuX4Y3A8Ktmj5EwxVVZvNxilK5Pjn9OUyBtuL=w1200|https://lh3.googleusercontent.com/pw/AP1GczPvtVt_fR0t8WjYHsYTJfwLzFrt0HrfxK-oHz-Cqy9EX84HNNy1rY5bL11aNqNUej9n92JQuxi5bOvHY1oREDkmdHGvbeUWMLUcXeqgTk0tydZc4eTH=w1200|https://lh3.googleusercontent.com/pw/AP1GczNmV8z4OGp2bnUeoVW4bPck6XOEX4vWK9UMC6WkPIh8dXSl0ULckkbER0HPaX3VJx-8ks4ZFzL3zijYymHjVuP5gL8hbPVCSh50SWy8ASD555rCnNGa=w1200|https://lh3.googleusercontent.com/pw/AP1GczNlkIz4wGj9H2_D0UdQxDW8BpN2zEjcy0CravAKimj5vmz9EvMH4bDVd34VqlTEtVB4a-ZVj2wdSHxv5qs9BucbXqzOn64PNpDtlv7_guwAijai61vk=w1200</v>
      </c>
      <c r="AJ481" s="46"/>
      <c r="AK481" s="46"/>
      <c r="AL481" s="46"/>
      <c r="AM481" s="46"/>
      <c r="AN481" s="46"/>
      <c r="AO481" s="46"/>
      <c r="AP481" s="46"/>
      <c r="AQ481" s="46"/>
      <c r="AR481" s="46"/>
      <c r="AS481" s="46"/>
      <c r="AT481" s="46"/>
      <c r="AU481" s="46"/>
      <c r="AV481" s="46"/>
      <c r="AW481" s="46"/>
      <c r="AX481" s="46"/>
      <c r="AY481" s="46"/>
      <c r="AZ481" s="46"/>
      <c r="BA481" s="46"/>
      <c r="BB481" s="46"/>
      <c r="BC481" s="46"/>
      <c r="BD481" s="46"/>
      <c r="BE481" s="46"/>
      <c r="BF481" s="46"/>
      <c r="BG481" s="46"/>
      <c r="BH481" s="46"/>
      <c r="BI481" s="46"/>
      <c r="BJ481" s="46"/>
      <c r="BK481" s="46"/>
      <c r="BL481" s="46"/>
      <c r="BM481" s="46"/>
      <c r="BN481" s="46"/>
      <c r="BO481" s="46"/>
      <c r="BP481" s="46"/>
      <c r="BQ481" s="46"/>
      <c r="BR481" s="46"/>
      <c r="BS481" s="46"/>
      <c r="BT481" s="46"/>
      <c r="BU481" s="46"/>
      <c r="BV481" s="46"/>
      <c r="BW481" s="46"/>
      <c r="BX481" s="46"/>
      <c r="BY481" s="46"/>
      <c r="BZ481" s="46"/>
      <c r="CA481" s="46"/>
      <c r="CB481" s="46"/>
      <c r="CC481" s="46"/>
    </row>
    <row r="482">
      <c r="A482" s="87" t="str">
        <f>IFERROR(__xludf.DUMMYFUNCTION("""COMPUTED_VALUE"""),"876")</f>
        <v>876</v>
      </c>
      <c r="B482" s="46" t="str">
        <f>IFERROR(__xludf.DUMMYFUNCTION("""COMPUTED_VALUE"""),"Apartamento en conjunto  - Sector Unicentro - Sur")</f>
        <v>Apartamento en conjunto  - Sector Unicentro - Sur</v>
      </c>
      <c r="C482" s="46" t="str">
        <f>IFERROR(__xludf.DUMMYFUNCTION("""COMPUTED_VALUE"""),"Apartamento en conjunto")</f>
        <v>Apartamento en conjunto</v>
      </c>
      <c r="D482" s="46"/>
      <c r="E482" s="46"/>
      <c r="F482" s="90">
        <f>IFERROR(__xludf.DUMMYFUNCTION("""COMPUTED_VALUE"""),3.2E8)</f>
        <v>320000000</v>
      </c>
      <c r="G482" s="46" t="str">
        <f>IFERROR(__xludf.DUMMYFUNCTION("""COMPUTED_VALUE"""),"$300'000.000 a $400'000.000")</f>
        <v>$300'000.000 a $400'000.000</v>
      </c>
      <c r="H482" s="46"/>
      <c r="I482" s="46"/>
      <c r="J482" s="46" t="str">
        <f>IFERROR(__xludf.DUMMYFUNCTION("""COMPUTED_VALUE"""),"Sur")</f>
        <v>Sur</v>
      </c>
      <c r="K482" s="87"/>
      <c r="L482" s="46">
        <f>IFERROR(__xludf.DUMMYFUNCTION("""COMPUTED_VALUE"""),3.0)</f>
        <v>3</v>
      </c>
      <c r="M482" s="46"/>
      <c r="N482" s="46">
        <f>IFERROR(__xludf.DUMMYFUNCTION("""COMPUTED_VALUE"""),2.0)</f>
        <v>2</v>
      </c>
      <c r="O482" s="46">
        <f>IFERROR(__xludf.DUMMYFUNCTION("""COMPUTED_VALUE"""),1.0)</f>
        <v>1</v>
      </c>
      <c r="P482" s="46">
        <f>IFERROR(__xludf.DUMMYFUNCTION("""COMPUTED_VALUE"""),15.0)</f>
        <v>15</v>
      </c>
      <c r="Q482" s="92">
        <f>IFERROR(__xludf.DUMMYFUNCTION("""COMPUTED_VALUE"""),73.0)</f>
        <v>73</v>
      </c>
      <c r="R482" s="92">
        <f>IFERROR(__xludf.DUMMYFUNCTION("""COMPUTED_VALUE"""),73.0)</f>
        <v>73</v>
      </c>
      <c r="S482" s="87" t="str">
        <f>IFERROR(__xludf.DUMMYFUNCTION("""COMPUTED_VALUE""")," ")</f>
        <v> </v>
      </c>
      <c r="T482" s="46" t="str">
        <f>IFERROR(__xludf.DUMMYFUNCTION("""COMPUTED_VALUE"""),"Neiva")</f>
        <v>Neiva</v>
      </c>
      <c r="U482" s="87" t="str">
        <f>IFERROR(__xludf.DUMMYFUNCTION("""COMPUTED_VALUE"""),"4")</f>
        <v>4</v>
      </c>
      <c r="V482" s="46" t="str">
        <f>IFERROR(__xludf.DUMMYFUNCTION("""COMPUTED_VALUE"""),"15o.")</f>
        <v>15o.</v>
      </c>
      <c r="W482" s="46"/>
      <c r="X482" s="46">
        <f>IFERROR(__xludf.DUMMYFUNCTION("""COMPUTED_VALUE"""),3.0)</f>
        <v>3</v>
      </c>
      <c r="Y482" s="46" t="str">
        <f>IFERROR(__xludf.DUMMYFUNCTION("""COMPUTED_VALUE"""),"Social")</f>
        <v>Social</v>
      </c>
      <c r="Z482" s="90">
        <f>IFERROR(__xludf.DUMMYFUNCTION("""COMPUTED_VALUE"""),305000.0)</f>
        <v>305000</v>
      </c>
      <c r="AA482" s="33" t="str">
        <f>IFERROR(__xludf.DUMMYFUNCTION("""COMPUTED_VALUE"""),"No aplica")</f>
        <v>No aplica</v>
      </c>
      <c r="AB482" s="96" t="str">
        <f>IFERROR(__xludf.DUMMYFUNCTION("""COMPUTED_VALUE"""),"https://photos.app.goo.gl/r3Y6C8P15gTpzdxu6")</f>
        <v>https://photos.app.goo.gl/r3Y6C8P15gTpzdxu6</v>
      </c>
      <c r="AC482" s="46" t="str">
        <f>IFERROR(__xludf.DUMMYFUNCTION("""COMPUTED_VALUE"""),"Este moderno apartamento esquinero destaca por sus elegantes acabados en porcelanato y mármol, distribuidos en una luminosa sala-comedor que conecta a un balcón con espectacular vista panorámica. Cuenta con cocina integral equipada, zona de lavandería ind"&amp;"ependiente y un hall que distribuye hacia dos habitaciones auxiliares con clóset, un baño social completo y una amplia habitación principal con baño privado y walk-in closet.")</f>
        <v>Este moderno apartamento esquinero destaca por sus elegantes acabados en porcelanato y mármol, distribuidos en una luminosa sala-comedor que conecta a un balcón con espectacular vista panorámica. Cuenta con cocina integral equipada, zona de lavandería independiente y un hall que distribuye hacia dos habitaciones auxiliares con clóset, un baño social completo y una amplia habitación principal con baño privado y walk-in closet.</v>
      </c>
      <c r="AD482" s="46" t="str">
        <f>IFERROR(__xludf.DUMMYFUNCTION("""COMPUTED_VALUE"""),"Ubicado en el piso 15 de un exclusivo conjunto tipo club junto a Unicentro Neiva, este inmueble garantiza alta valorización, ventilación fresca y luz natural garantizada. Incluye parqueadero cubierto privado, depósito, doble ascensor y acceso a piscinas, "&amp;"jacuzzi y gimnasio, todo listo para traspaso inmediato con documentos al día. ¡Una oportunidad única de confort y estatus que no durará mucho en el mercado!")</f>
        <v>Ubicado en el piso 15 de un exclusivo conjunto tipo club junto a Unicentro Neiva, este inmueble garantiza alta valorización, ventilación fresca y luz natural garantizada. Incluye parqueadero cubierto privado, depósito, doble ascensor y acceso a piscinas, jacuzzi y gimnasio, todo listo para traspaso inmediato con documentos al día. ¡Una oportunidad única de confort y estatus que no durará mucho en el mercado!</v>
      </c>
      <c r="AE482" s="46"/>
      <c r="AF482" s="46" t="str">
        <f>IFERROR(__xludf.DUMMYFUNCTION("""COMPUTED_VALUE"""),"integral")</f>
        <v>integral</v>
      </c>
      <c r="AG482" s="46"/>
      <c r="AH482" s="46" t="str">
        <f>IFERROR(__xludf.DUMMYFUNCTION("""COMPUTED_VALUE"""),"Aliado")</f>
        <v>Aliado</v>
      </c>
      <c r="AI482" s="92" t="str">
        <f>IFERROR(__xludf.DUMMYFUNCTION("""COMPUTED_VALUE"""),"https://lh3.googleusercontent.com/pw/AP1GczMc9UQhjkw0kU3TvB7gi15Y0dln12u--fa-E_OO_SWThdigV55Jtc7qcRagB2tgY4NZ2eE0W2p4fT1J7AmduP00_Pj_LM_QwZ0B7CtdR_yxtODShdbu=w1200|https://lh3.googleusercontent.com/pw/AP1GczMJIz6MU5ogxZ2Ap2U5t3oKzeMZccq-0dx5ig6JQresQ5Wver"&amp;"dmzk3IdNgvDAwYAh4F3NVqAe2peq7j6zgqh5YM2hDVhMWKQVq5Dfoz42C2cWc6GYCo=w1200|https://lh3.googleusercontent.com/pw/AP1GczNtJY7VkDSsN3PMz_y6Du6lGbkRZpFxxT1rjJ-J4Wq2y6UgJp6-SdYrS2uvXziflo_q3b-vPaDSjznuuRQLc1pQ6qYDF1EJJQftnSjuSQDefk89Eh4i=w1200|https://lh3.google"&amp;"usercontent.com/pw/AP1GczOn62VbSd5f5xczq2KZJ7VLGCmYMNxPbZ8H3mnULiBzqd183XNQvV7EbKTh02gUv7J8ymvOae93F9WZjpO2u7NxDdxoSeP5qhgJ4s-n_Ed44FvMGVLu=w1200|https://lh3.googleusercontent.com/pw/AP1GczOABDLbKuV5G2I6qVlj8thu3bU1AOTiP4U4fcDf8ravVCJ8kl6yHD6QqLLUxcJhHKD0"&amp;"TdYti4UQgvl6nYjtHcjd6tonypbOD0V6FUO3pNI3KSdkFY-q=w1200|https://lh3.googleusercontent.com/pw/AP1GczPX5SaF7KoJWzzYAEtT0Sv3e3NGT9iAiUlReZo932CzRw6tAcBum9pUc9AxxXsdNOYRKwAAAfsZdMLcsPMSmg1w2j1vRryO6qchUdV1OA5TvA9BjRxf=w1200|https://lh3.googleusercontent.com/pw"&amp;"/AP1GczOky_H9hHrqvjKnugs1b5fbfr946k_apS-9VAnC_Dj2XGU_3wAnZZfMaKdsqn3-FOMCUE6coWJXsFm0vtReCj75rwPBJSRta9-Kfl0PnvlcsKEqBndU=w1200|https://lh3.googleusercontent.com/pw/AP1GczP7vo3V9oj41NnbqvgPRanANVxmQPb-knGLW7iagrep0gLDsucnOyBu9jbyW5Wek54vT0T6aa_TJFnmJ0iEyR"&amp;"EG0FtnEyn_DY3fjP7jKzUGwMX76Fmp=w1200")</f>
        <v>https://lh3.googleusercontent.com/pw/AP1GczMc9UQhjkw0kU3TvB7gi15Y0dln12u--fa-E_OO_SWThdigV55Jtc7qcRagB2tgY4NZ2eE0W2p4fT1J7AmduP00_Pj_LM_QwZ0B7CtdR_yxtODShdbu=w1200|https://lh3.googleusercontent.com/pw/AP1GczMJIz6MU5ogxZ2Ap2U5t3oKzeMZccq-0dx5ig6JQresQ5Wverdmzk3IdNgvDAwYAh4F3NVqAe2peq7j6zgqh5YM2hDVhMWKQVq5Dfoz42C2cWc6GYCo=w1200|https://lh3.googleusercontent.com/pw/AP1GczNtJY7VkDSsN3PMz_y6Du6lGbkRZpFxxT1rjJ-J4Wq2y6UgJp6-SdYrS2uvXziflo_q3b-vPaDSjznuuRQLc1pQ6qYDF1EJJQftnSjuSQDefk89Eh4i=w1200|https://lh3.googleusercontent.com/pw/AP1GczOn62VbSd5f5xczq2KZJ7VLGCmYMNxPbZ8H3mnULiBzqd183XNQvV7EbKTh02gUv7J8ymvOae93F9WZjpO2u7NxDdxoSeP5qhgJ4s-n_Ed44FvMGVLu=w1200|https://lh3.googleusercontent.com/pw/AP1GczOABDLbKuV5G2I6qVlj8thu3bU1AOTiP4U4fcDf8ravVCJ8kl6yHD6QqLLUxcJhHKD0TdYti4UQgvl6nYjtHcjd6tonypbOD0V6FUO3pNI3KSdkFY-q=w1200|https://lh3.googleusercontent.com/pw/AP1GczPX5SaF7KoJWzzYAEtT0Sv3e3NGT9iAiUlReZo932CzRw6tAcBum9pUc9AxxXsdNOYRKwAAAfsZdMLcsPMSmg1w2j1vRryO6qchUdV1OA5TvA9BjRxf=w1200|https://lh3.googleusercontent.com/pw/AP1GczOky_H9hHrqvjKnugs1b5fbfr946k_apS-9VAnC_Dj2XGU_3wAnZZfMaKdsqn3-FOMCUE6coWJXsFm0vtReCj75rwPBJSRta9-Kfl0PnvlcsKEqBndU=w1200|https://lh3.googleusercontent.com/pw/AP1GczP7vo3V9oj41NnbqvgPRanANVxmQPb-knGLW7iagrep0gLDsucnOyBu9jbyW5Wek54vT0T6aa_TJFnmJ0iEyREG0FtnEyn_DY3fjP7jKzUGwMX76Fmp=w1200</v>
      </c>
      <c r="AJ482" s="46"/>
      <c r="AK482" s="46"/>
      <c r="AL482" s="46"/>
      <c r="AM482" s="46"/>
      <c r="AN482" s="46"/>
      <c r="AO482" s="46"/>
      <c r="AP482" s="46"/>
      <c r="AQ482" s="46"/>
      <c r="AR482" s="46"/>
      <c r="AS482" s="46"/>
      <c r="AT482" s="46"/>
      <c r="AU482" s="46"/>
      <c r="AV482" s="46"/>
      <c r="AW482" s="46"/>
      <c r="AX482" s="46"/>
      <c r="AY482" s="46"/>
      <c r="AZ482" s="46"/>
      <c r="BA482" s="46"/>
      <c r="BB482" s="46"/>
      <c r="BC482" s="46"/>
      <c r="BD482" s="46"/>
      <c r="BE482" s="46"/>
      <c r="BF482" s="46"/>
      <c r="BG482" s="46"/>
      <c r="BH482" s="46"/>
      <c r="BI482" s="46"/>
      <c r="BJ482" s="46"/>
      <c r="BK482" s="46"/>
      <c r="BL482" s="46"/>
      <c r="BM482" s="46"/>
      <c r="BN482" s="46"/>
      <c r="BO482" s="46"/>
      <c r="BP482" s="46"/>
      <c r="BQ482" s="46"/>
      <c r="BR482" s="46"/>
      <c r="BS482" s="46"/>
      <c r="BT482" s="46"/>
      <c r="BU482" s="46"/>
      <c r="BV482" s="46"/>
      <c r="BW482" s="46"/>
      <c r="BX482" s="46"/>
      <c r="BY482" s="46"/>
      <c r="BZ482" s="46"/>
      <c r="CA482" s="46"/>
      <c r="CB482" s="46"/>
      <c r="CC482" s="46"/>
    </row>
    <row r="483">
      <c r="A483" s="87" t="str">
        <f>IFERROR(__xludf.DUMMYFUNCTION("""COMPUTED_VALUE"""),"854")</f>
        <v>854</v>
      </c>
      <c r="B483" s="46" t="str">
        <f>IFERROR(__xludf.DUMMYFUNCTION("""COMPUTED_VALUE"""),"Apartamento en conjunto Residencial Entre Pinos - Oriente")</f>
        <v>Apartamento en conjunto Residencial Entre Pinos - Oriente</v>
      </c>
      <c r="C483" s="46" t="str">
        <f>IFERROR(__xludf.DUMMYFUNCTION("""COMPUTED_VALUE"""),"Apartamento en conjunto")</f>
        <v>Apartamento en conjunto</v>
      </c>
      <c r="D483" s="46"/>
      <c r="E483" s="46" t="str">
        <f>IFERROR(__xludf.DUMMYFUNCTION("""COMPUTED_VALUE"""),"Conjunto Residencial Entre Pinos")</f>
        <v>Conjunto Residencial Entre Pinos</v>
      </c>
      <c r="F483" s="90">
        <f>IFERROR(__xludf.DUMMYFUNCTION("""COMPUTED_VALUE"""),3.2E8)</f>
        <v>320000000</v>
      </c>
      <c r="G483" s="46" t="str">
        <f>IFERROR(__xludf.DUMMYFUNCTION("""COMPUTED_VALUE"""),"$300'000.000 a $400'000.000")</f>
        <v>$300'000.000 a $400'000.000</v>
      </c>
      <c r="H483" s="46"/>
      <c r="I483" s="46"/>
      <c r="J483" s="46" t="str">
        <f>IFERROR(__xludf.DUMMYFUNCTION("""COMPUTED_VALUE"""),"Oriente")</f>
        <v>Oriente</v>
      </c>
      <c r="K483" s="87"/>
      <c r="L483" s="46">
        <f>IFERROR(__xludf.DUMMYFUNCTION("""COMPUTED_VALUE"""),3.0)</f>
        <v>3</v>
      </c>
      <c r="M483" s="46"/>
      <c r="N483" s="46">
        <f>IFERROR(__xludf.DUMMYFUNCTION("""COMPUTED_VALUE"""),2.0)</f>
        <v>2</v>
      </c>
      <c r="O483" s="46">
        <f>IFERROR(__xludf.DUMMYFUNCTION("""COMPUTED_VALUE"""),1.0)</f>
        <v>1</v>
      </c>
      <c r="P483" s="46">
        <f>IFERROR(__xludf.DUMMYFUNCTION("""COMPUTED_VALUE"""),7.0)</f>
        <v>7</v>
      </c>
      <c r="Q483" s="92">
        <f>IFERROR(__xludf.DUMMYFUNCTION("""COMPUTED_VALUE"""),67.0)</f>
        <v>67</v>
      </c>
      <c r="R483" s="92">
        <f>IFERROR(__xludf.DUMMYFUNCTION("""COMPUTED_VALUE"""),67.0)</f>
        <v>67</v>
      </c>
      <c r="S483" s="87" t="str">
        <f>IFERROR(__xludf.DUMMYFUNCTION("""COMPUTED_VALUE""")," ")</f>
        <v> </v>
      </c>
      <c r="T483" s="46" t="str">
        <f>IFERROR(__xludf.DUMMYFUNCTION("""COMPUTED_VALUE"""),"Neiva")</f>
        <v>Neiva</v>
      </c>
      <c r="U483" s="87" t="str">
        <f>IFERROR(__xludf.DUMMYFUNCTION("""COMPUTED_VALUE"""),"3")</f>
        <v>3</v>
      </c>
      <c r="V483" s="46" t="str">
        <f>IFERROR(__xludf.DUMMYFUNCTION("""COMPUTED_VALUE"""),"7o.")</f>
        <v>7o.</v>
      </c>
      <c r="W483" s="46"/>
      <c r="X483" s="46">
        <f>IFERROR(__xludf.DUMMYFUNCTION("""COMPUTED_VALUE"""),3.0)</f>
        <v>3</v>
      </c>
      <c r="Y483" s="46" t="str">
        <f>IFERROR(__xludf.DUMMYFUNCTION("""COMPUTED_VALUE"""),"Social")</f>
        <v>Social</v>
      </c>
      <c r="Z483" s="90">
        <f>IFERROR(__xludf.DUMMYFUNCTION("""COMPUTED_VALUE"""),180000.0)</f>
        <v>180000</v>
      </c>
      <c r="AA483" s="33" t="str">
        <f>IFERROR(__xludf.DUMMYFUNCTION("""COMPUTED_VALUE"""),"No aplica")</f>
        <v>No aplica</v>
      </c>
      <c r="AB483" s="96" t="str">
        <f>IFERROR(__xludf.DUMMYFUNCTION("""COMPUTED_VALUE"""),"https://photos.app.goo.gl/AbJuTKj3fW2Xg6eJA")</f>
        <v>https://photos.app.goo.gl/AbJuTKj3fW2Xg6eJA</v>
      </c>
      <c r="AC483" s="46" t="str">
        <f>IFERROR(__xludf.DUMMYFUNCTION("""COMPUTED_VALUE"""),"Distribución:  Sala, comedor, cocina integra, 3 habitaciones con closet una con baño privado, baño social, area de servicios. Cuenta con excelentes acabados.")</f>
        <v>Distribución:  Sala, comedor, cocina integra, 3 habitaciones con closet una con baño privado, baño social, area de servicios. Cuenta con excelentes acabados.</v>
      </c>
      <c r="AD483" s="46" t="str">
        <f>IFERROR(__xludf.DUMMYFUNCTION("""COMPUTED_VALUE"""),"Apartamento nuevo. Septiemo piso.  Parqueadero Comunal.")</f>
        <v>Apartamento nuevo. Septiemo piso.  Parqueadero Comunal.</v>
      </c>
      <c r="AE483" s="46"/>
      <c r="AF483" s="46" t="str">
        <f>IFERROR(__xludf.DUMMYFUNCTION("""COMPUTED_VALUE"""),"integral")</f>
        <v>integral</v>
      </c>
      <c r="AG483" s="46"/>
      <c r="AH483" s="46" t="str">
        <f>IFERROR(__xludf.DUMMYFUNCTION("""COMPUTED_VALUE"""),"Aliado")</f>
        <v>Aliado</v>
      </c>
      <c r="AI483" s="92" t="str">
        <f>IFERROR(__xludf.DUMMYFUNCTION("""COMPUTED_VALUE"""),"https://lh3.googleusercontent.com/pw/AP1GczM9qGedTSAyRr2aV7TJVMk9bSKYix4HyHVDvs43P5RKQQzBUD43LA4UQDnLOoA8Ers-fAx4W_rn0KuqxLxq5s4xukSinQTJhDZowXf1k0vt6ziQUZnQ=w1200|https://lh3.googleusercontent.com/pw/AP1GczP5gYIcSm-EdqW8ICr1228gUW9HNGhbe5_lihxku-4SQMc-pZ"&amp;"lntoBDTwAyv6g2-KKihyeIMKj34igW-paNYWmQYaG6tetXVyeE_uj22SDqQqziYruO=w1200|https://lh3.googleusercontent.com/pw/AP1GczPyQWCUAfM-KfZCLZ9oARfo4-Kx3wNl5qTEYx9h1ABtBfBNUmMASkndFpfVC76sCrq-zlKffvmFefS6yL67hvbdLv7UabaZMnn3_67xXdTbEV3xNcP3=w1200|https://lh3.google"&amp;"usercontent.com/pw/AP1GczOoTpkLag63h_juwQC3eP5uVLN29jM6G9gbCH5raxfLYtD10t4NZxwxKJsg-wNlKWBEQYoPFSHFqM3Uic63i5zatG07B4UPZOSjCLdlvuESXqmf504s=w1200|https://lh3.googleusercontent.com/pw/AP1GczNzFQFTvLXOmfs1xz7dU4bG6AVyk_VLyfTL1nu7zWeWJuSQEJkRZzVvVmsuXsCT56Dw"&amp;"rAE0gMPE8KaAgGxQegaDqZgn0P5i01u0HzDPhDVpQgSSjHcZ=w1200|https://lh3.googleusercontent.com/pw/AP1GczPsNUYgaf8XIZFFT4mEiPRVNhId8W4rqWcc1hJknMhdCVxpox7xH2YwbVJ5HDUNrVuSU3SOih7fyTtNnbwlv8__UPy-PaNOmj-AzF0RKtFXR4dJRKp3=w1200|https://lh3.googleusercontent.com/pw"&amp;"/AP1GczNvdrUHt-aOykYMFUslRnQN0EDhLTcyNGyX7EsyWnPkd2Uu_wwJhz1_umBsi2aghp37xE-FRo7WHoovcFIkSM2JlrAg8SJQVAqhuXcHlRzRIBZ08Swh=w1200|https://lh3.googleusercontent.com/pw/AP1GczNgSYH5KICzBHJOnJMVTx0fy6BvDVU2K9l_0K0BSCIaq9V_TVdFwwuXzNUnOmtuan6qDOjN6-cbmA77olKekt"&amp;"-dR3-qZnKOTguE1_7ObgA4oehEFtUS=w1200")</f>
        <v>https://lh3.googleusercontent.com/pw/AP1GczM9qGedTSAyRr2aV7TJVMk9bSKYix4HyHVDvs43P5RKQQzBUD43LA4UQDnLOoA8Ers-fAx4W_rn0KuqxLxq5s4xukSinQTJhDZowXf1k0vt6ziQUZnQ=w1200|https://lh3.googleusercontent.com/pw/AP1GczP5gYIcSm-EdqW8ICr1228gUW9HNGhbe5_lihxku-4SQMc-pZlntoBDTwAyv6g2-KKihyeIMKj34igW-paNYWmQYaG6tetXVyeE_uj22SDqQqziYruO=w1200|https://lh3.googleusercontent.com/pw/AP1GczPyQWCUAfM-KfZCLZ9oARfo4-Kx3wNl5qTEYx9h1ABtBfBNUmMASkndFpfVC76sCrq-zlKffvmFefS6yL67hvbdLv7UabaZMnn3_67xXdTbEV3xNcP3=w1200|https://lh3.googleusercontent.com/pw/AP1GczOoTpkLag63h_juwQC3eP5uVLN29jM6G9gbCH5raxfLYtD10t4NZxwxKJsg-wNlKWBEQYoPFSHFqM3Uic63i5zatG07B4UPZOSjCLdlvuESXqmf504s=w1200|https://lh3.googleusercontent.com/pw/AP1GczNzFQFTvLXOmfs1xz7dU4bG6AVyk_VLyfTL1nu7zWeWJuSQEJkRZzVvVmsuXsCT56DwrAE0gMPE8KaAgGxQegaDqZgn0P5i01u0HzDPhDVpQgSSjHcZ=w1200|https://lh3.googleusercontent.com/pw/AP1GczPsNUYgaf8XIZFFT4mEiPRVNhId8W4rqWcc1hJknMhdCVxpox7xH2YwbVJ5HDUNrVuSU3SOih7fyTtNnbwlv8__UPy-PaNOmj-AzF0RKtFXR4dJRKp3=w1200|https://lh3.googleusercontent.com/pw/AP1GczNvdrUHt-aOykYMFUslRnQN0EDhLTcyNGyX7EsyWnPkd2Uu_wwJhz1_umBsi2aghp37xE-FRo7WHoovcFIkSM2JlrAg8SJQVAqhuXcHlRzRIBZ08Swh=w1200|https://lh3.googleusercontent.com/pw/AP1GczNgSYH5KICzBHJOnJMVTx0fy6BvDVU2K9l_0K0BSCIaq9V_TVdFwwuXzNUnOmtuan6qDOjN6-cbmA77olKekt-dR3-qZnKOTguE1_7ObgA4oehEFtUS=w1200</v>
      </c>
      <c r="AJ483" s="46"/>
      <c r="AK483" s="46"/>
      <c r="AL483" s="46"/>
      <c r="AM483" s="46"/>
      <c r="AN483" s="46"/>
      <c r="AO483" s="46"/>
      <c r="AP483" s="46"/>
      <c r="AQ483" s="46"/>
      <c r="AR483" s="46"/>
      <c r="AS483" s="46"/>
      <c r="AT483" s="46"/>
      <c r="AU483" s="46"/>
      <c r="AV483" s="46"/>
      <c r="AW483" s="46"/>
      <c r="AX483" s="46"/>
      <c r="AY483" s="46"/>
      <c r="AZ483" s="46"/>
      <c r="BA483" s="46"/>
      <c r="BB483" s="46"/>
      <c r="BC483" s="46"/>
      <c r="BD483" s="46"/>
      <c r="BE483" s="46"/>
      <c r="BF483" s="46"/>
      <c r="BG483" s="46"/>
      <c r="BH483" s="46"/>
      <c r="BI483" s="46"/>
      <c r="BJ483" s="46"/>
      <c r="BK483" s="46"/>
      <c r="BL483" s="46"/>
      <c r="BM483" s="46"/>
      <c r="BN483" s="46"/>
      <c r="BO483" s="46"/>
      <c r="BP483" s="46"/>
      <c r="BQ483" s="46"/>
      <c r="BR483" s="46"/>
      <c r="BS483" s="46"/>
      <c r="BT483" s="46"/>
      <c r="BU483" s="46"/>
      <c r="BV483" s="46"/>
      <c r="BW483" s="46"/>
      <c r="BX483" s="46"/>
      <c r="BY483" s="46"/>
      <c r="BZ483" s="46"/>
      <c r="CA483" s="46"/>
      <c r="CB483" s="46"/>
      <c r="CC483" s="46"/>
    </row>
    <row r="484">
      <c r="A484" s="87" t="str">
        <f>IFERROR(__xludf.DUMMYFUNCTION("""COMPUTED_VALUE"""),"050")</f>
        <v>050</v>
      </c>
      <c r="B484" s="46" t="str">
        <f>IFERROR(__xludf.DUMMYFUNCTION("""COMPUTED_VALUE"""),"Apartamento en conjunto Residencial Dos Maderos - Oriente")</f>
        <v>Apartamento en conjunto Residencial Dos Maderos - Oriente</v>
      </c>
      <c r="C484" s="46" t="str">
        <f>IFERROR(__xludf.DUMMYFUNCTION("""COMPUTED_VALUE"""),"Apartamento en conjunto")</f>
        <v>Apartamento en conjunto</v>
      </c>
      <c r="D484" s="46"/>
      <c r="E484" s="90" t="str">
        <f>IFERROR(__xludf.DUMMYFUNCTION("""COMPUTED_VALUE"""),"Conjunto Residencial Dos Maderos")</f>
        <v>Conjunto Residencial Dos Maderos</v>
      </c>
      <c r="F484" s="90">
        <f>IFERROR(__xludf.DUMMYFUNCTION("""COMPUTED_VALUE"""),3.0E8)</f>
        <v>300000000</v>
      </c>
      <c r="G484" s="46" t="str">
        <f>IFERROR(__xludf.DUMMYFUNCTION("""COMPUTED_VALUE"""),"$300'000.000 a $400'000.000")</f>
        <v>$300'000.000 a $400'000.000</v>
      </c>
      <c r="H484" s="46"/>
      <c r="I484" s="46"/>
      <c r="J484" s="46" t="str">
        <f>IFERROR(__xludf.DUMMYFUNCTION("""COMPUTED_VALUE"""),"Oriente")</f>
        <v>Oriente</v>
      </c>
      <c r="K484" s="87" t="str">
        <f>IFERROR(__xludf.DUMMYFUNCTION("""COMPUTED_VALUE"""),"10")</f>
        <v>10</v>
      </c>
      <c r="L484" s="46">
        <f>IFERROR(__xludf.DUMMYFUNCTION("""COMPUTED_VALUE"""),3.0)</f>
        <v>3</v>
      </c>
      <c r="M484" s="46"/>
      <c r="N484" s="46">
        <f>IFERROR(__xludf.DUMMYFUNCTION("""COMPUTED_VALUE"""),2.0)</f>
        <v>2</v>
      </c>
      <c r="O484" s="46">
        <f>IFERROR(__xludf.DUMMYFUNCTION("""COMPUTED_VALUE"""),1.0)</f>
        <v>1</v>
      </c>
      <c r="P484" s="46">
        <f>IFERROR(__xludf.DUMMYFUNCTION("""COMPUTED_VALUE"""),3.0)</f>
        <v>3</v>
      </c>
      <c r="Q484" s="92">
        <f>IFERROR(__xludf.DUMMYFUNCTION("""COMPUTED_VALUE"""),73.0)</f>
        <v>73</v>
      </c>
      <c r="R484" s="92">
        <f>IFERROR(__xludf.DUMMYFUNCTION("""COMPUTED_VALUE"""),73.0)</f>
        <v>73</v>
      </c>
      <c r="S484" s="87"/>
      <c r="T484" s="46" t="str">
        <f>IFERROR(__xludf.DUMMYFUNCTION("""COMPUTED_VALUE"""),"Neiva")</f>
        <v>Neiva</v>
      </c>
      <c r="U484" s="87" t="str">
        <f>IFERROR(__xludf.DUMMYFUNCTION("""COMPUTED_VALUE"""),"3")</f>
        <v>3</v>
      </c>
      <c r="V484" s="46" t="str">
        <f>IFERROR(__xludf.DUMMYFUNCTION("""COMPUTED_VALUE"""),"5to")</f>
        <v>5to</v>
      </c>
      <c r="W484" s="46"/>
      <c r="X484" s="46">
        <f>IFERROR(__xludf.DUMMYFUNCTION("""COMPUTED_VALUE"""),3.0)</f>
        <v>3</v>
      </c>
      <c r="Y484" s="46" t="str">
        <f>IFERROR(__xludf.DUMMYFUNCTION("""COMPUTED_VALUE"""),"Social")</f>
        <v>Social</v>
      </c>
      <c r="Z484" s="90">
        <f>IFERROR(__xludf.DUMMYFUNCTION("""COMPUTED_VALUE"""),289000.0)</f>
        <v>289000</v>
      </c>
      <c r="AA484" s="33" t="str">
        <f>IFERROR(__xludf.DUMMYFUNCTION("""COMPUTED_VALUE"""),"No aplica")</f>
        <v>No aplica</v>
      </c>
      <c r="AB484" s="96" t="str">
        <f>IFERROR(__xludf.DUMMYFUNCTION("""COMPUTED_VALUE"""),"https://photos.app.goo.gl/TeEkWp5fcKGSTtG56")</f>
        <v>https://photos.app.goo.gl/TeEkWp5fcKGSTtG56</v>
      </c>
      <c r="AC484" s="46" t="str">
        <f>IFERROR(__xludf.DUMMYFUNCTION("""COMPUTED_VALUE"""),"Este espectacular apartamento a estrenar de 73 m², ubicado en un tercer piso en la cotizada zona oriente, destaca por una distribución inteligente y acabados modernos que maximizan el confort familiar. El área privada cuenta con tres amplias alcobas, dond"&amp;"e resalta la habitación principal equipada con un exclusivo vestier y baño privado, complementada por un segundo baño completo para las demás estancias. El diseño aprovecha de forma armónica cada metro cuadrado, ofreciendo un ambiente iluminado, cómodo y "&amp;"la enorme ventaja de contar con su propio parqueadero privado.")</f>
        <v>Este espectacular apartamento a estrenar de 73 m², ubicado en un tercer piso en la cotizada zona oriente, destaca por una distribución inteligente y acabados modernos que maximizan el confort familiar. El área privada cuenta con tres amplias alcobas, donde resalta la habitación principal equipada con un exclusivo vestier y baño privado, complementada por un segundo baño completo para las demás estancias. El diseño aprovecha de forma armónica cada metro cuadrado, ofreciendo un ambiente iluminado, cómodo y la enorme ventaja de contar con su propio parqueadero privado.</v>
      </c>
      <c r="AD484" s="46" t="str">
        <f>IFERROR(__xludf.DUMMYFUNCTION("""COMPUTED_VALUE"""),"La propiedad representa una oportunidad de inversión única por su ubicación en el Conjunto Residencial Dos Maderos, un sector tranquilo y de gran valorización. Vivir aquí eleva el estilo de vida familiar al dar acceso a excelentes zonas sociales que inclu"&amp;"yen piscina, cancha deportiva y salón de eventos, todo con los beneficios de un estrato 3. Es el espacio moderno, seguro y con proyección que los clientes buscan para mudarse de inmediato.")</f>
        <v>La propiedad representa una oportunidad de inversión única por su ubicación en el Conjunto Residencial Dos Maderos, un sector tranquilo y de gran valorización. Vivir aquí eleva el estilo de vida familiar al dar acceso a excelentes zonas sociales que incluyen piscina, cancha deportiva y salón de eventos, todo con los beneficios de un estrato 3. Es el espacio moderno, seguro y con proyección que los clientes buscan para mudarse de inmediato.</v>
      </c>
      <c r="AE484" s="46"/>
      <c r="AF484" s="46" t="str">
        <f>IFERROR(__xludf.DUMMYFUNCTION("""COMPUTED_VALUE"""),"integral")</f>
        <v>integral</v>
      </c>
      <c r="AG484" s="46"/>
      <c r="AH484" s="46" t="str">
        <f>IFERROR(__xludf.DUMMYFUNCTION("""COMPUTED_VALUE"""),"Aliado")</f>
        <v>Aliado</v>
      </c>
      <c r="AI484" s="92" t="str">
        <f>IFERROR(__xludf.DUMMYFUNCTION("""COMPUTED_VALUE"""),"https://lh3.googleusercontent.com/pw/AP1GczOi21jw05c-PeZ2wJ3EBQrHcKfBQEG7OcJaxXvwYmzau2h4prJyGzSkLcM8S4_djrEwN_FCUU8uBVzSu3LRhDE2DqJEHjPianYosB7ESjZL7nqL-gZm=w1200|https://lh3.googleusercontent.com/pw/AP1GczOmX3_JPya2zOm7Icf3-CJuJN1ey1cz-o6Che8j7QOjtEThBz"&amp;"8ippwvByDrlbKnb3FxpQ7XbTm2QqHrtA_yVy5w-ZUVTvJkwLT4DI65cgf_Psf9tK6G=w1200|https://lh3.googleusercontent.com/pw/AP1GczOGtMkLqpdIl3ad53lh3hl4JS06nRt6C2Bb_fqjyU2ezyIXAEdbWXcj_eU49fsikKF6d1d7vvHsmCgLBCbOGvInDpDLE4qu4G1ePNqAnpi4PMb-zau2=w1200|https://lh3.google"&amp;"usercontent.com/pw/AP1GczOTEaX40H4iDrlgFJtyMMHe2nK0zHm2CevdzkZOrEYTqPdFhUnCIGc1HcyDVmzfLhxXd-xV3yww9ot4B-DHipJAUlIqKSEuAGFtLxJ-1GZ-PUmRS_7Q=w1200|https://lh3.googleusercontent.com/pw/AP1GczNeMIi-Va6PsuKidJaDYbxr4WGo6xm9ijHMDkGG9wDNdwzfxpr82r8NaJLkevNBdEf4"&amp;"vt-x212Hlh7vkTPq-DDrnf0L7NgTO1ytwx2m-ezQQfhy2068=w1200|https://lh3.googleusercontent.com/pw/AP1GczNRjaXZ0ogxfXrK8RL33ZPB-q-nGGINoK9dAgDqJy_hUYw20KzXoKXVzI6PyA6qUKAafpaVAuKAkVeRiGq1JTVseHN9l9zIfUk4H2xKTQAADH5YENRz=w1200")</f>
        <v>https://lh3.googleusercontent.com/pw/AP1GczOi21jw05c-PeZ2wJ3EBQrHcKfBQEG7OcJaxXvwYmzau2h4prJyGzSkLcM8S4_djrEwN_FCUU8uBVzSu3LRhDE2DqJEHjPianYosB7ESjZL7nqL-gZm=w1200|https://lh3.googleusercontent.com/pw/AP1GczOmX3_JPya2zOm7Icf3-CJuJN1ey1cz-o6Che8j7QOjtEThBz8ippwvByDrlbKnb3FxpQ7XbTm2QqHrtA_yVy5w-ZUVTvJkwLT4DI65cgf_Psf9tK6G=w1200|https://lh3.googleusercontent.com/pw/AP1GczOGtMkLqpdIl3ad53lh3hl4JS06nRt6C2Bb_fqjyU2ezyIXAEdbWXcj_eU49fsikKF6d1d7vvHsmCgLBCbOGvInDpDLE4qu4G1ePNqAnpi4PMb-zau2=w1200|https://lh3.googleusercontent.com/pw/AP1GczOTEaX40H4iDrlgFJtyMMHe2nK0zHm2CevdzkZOrEYTqPdFhUnCIGc1HcyDVmzfLhxXd-xV3yww9ot4B-DHipJAUlIqKSEuAGFtLxJ-1GZ-PUmRS_7Q=w1200|https://lh3.googleusercontent.com/pw/AP1GczNeMIi-Va6PsuKidJaDYbxr4WGo6xm9ijHMDkGG9wDNdwzfxpr82r8NaJLkevNBdEf4vt-x212Hlh7vkTPq-DDrnf0L7NgTO1ytwx2m-ezQQfhy2068=w1200|https://lh3.googleusercontent.com/pw/AP1GczNRjaXZ0ogxfXrK8RL33ZPB-q-nGGINoK9dAgDqJy_hUYw20KzXoKXVzI6PyA6qUKAafpaVAuKAkVeRiGq1JTVseHN9l9zIfUk4H2xKTQAADH5YENRz=w1200</v>
      </c>
      <c r="AJ484" s="46"/>
      <c r="AK484" s="46"/>
      <c r="AL484" s="46"/>
      <c r="AM484" s="46"/>
      <c r="AN484" s="46"/>
      <c r="AO484" s="46"/>
      <c r="AP484" s="46"/>
      <c r="AQ484" s="46"/>
      <c r="AR484" s="46"/>
      <c r="AS484" s="46"/>
      <c r="AT484" s="46"/>
      <c r="AU484" s="46"/>
      <c r="AV484" s="46"/>
      <c r="AW484" s="46"/>
      <c r="AX484" s="46"/>
      <c r="AY484" s="46"/>
      <c r="AZ484" s="46"/>
      <c r="BA484" s="46"/>
      <c r="BB484" s="46"/>
      <c r="BC484" s="46"/>
      <c r="BD484" s="46"/>
      <c r="BE484" s="46"/>
      <c r="BF484" s="46"/>
      <c r="BG484" s="46"/>
      <c r="BH484" s="46"/>
      <c r="BI484" s="46"/>
      <c r="BJ484" s="46"/>
      <c r="BK484" s="46"/>
      <c r="BL484" s="46"/>
      <c r="BM484" s="46"/>
      <c r="BN484" s="46"/>
      <c r="BO484" s="46"/>
      <c r="BP484" s="46"/>
      <c r="BQ484" s="46"/>
      <c r="BR484" s="46"/>
      <c r="BS484" s="46"/>
      <c r="BT484" s="46"/>
      <c r="BU484" s="46"/>
      <c r="BV484" s="46"/>
      <c r="BW484" s="46"/>
      <c r="BX484" s="46"/>
      <c r="BY484" s="46"/>
      <c r="BZ484" s="46"/>
      <c r="CA484" s="46"/>
      <c r="CB484" s="46"/>
      <c r="CC484" s="46"/>
    </row>
    <row r="485">
      <c r="A485" s="87" t="str">
        <f>IFERROR(__xludf.DUMMYFUNCTION("""COMPUTED_VALUE"""),"888")</f>
        <v>888</v>
      </c>
      <c r="B485" s="46" t="str">
        <f>IFERROR(__xludf.DUMMYFUNCTION("""COMPUTED_VALUE"""),"Apartamento en conjunto Residencial Dos Maderos - Oriente")</f>
        <v>Apartamento en conjunto Residencial Dos Maderos - Oriente</v>
      </c>
      <c r="C485" s="46" t="str">
        <f>IFERROR(__xludf.DUMMYFUNCTION("""COMPUTED_VALUE"""),"Apartamento en conjunto")</f>
        <v>Apartamento en conjunto</v>
      </c>
      <c r="D485" s="46"/>
      <c r="E485" s="90" t="str">
        <f>IFERROR(__xludf.DUMMYFUNCTION("""COMPUTED_VALUE"""),"Conjunto Residencial Dos Maderos")</f>
        <v>Conjunto Residencial Dos Maderos</v>
      </c>
      <c r="F485" s="90">
        <f>IFERROR(__xludf.DUMMYFUNCTION("""COMPUTED_VALUE"""),2.9E8)</f>
        <v>290000000</v>
      </c>
      <c r="G485" s="46" t="str">
        <f>IFERROR(__xludf.DUMMYFUNCTION("""COMPUTED_VALUE"""),"$200'000.000 a $300'000.000")</f>
        <v>$200'000.000 a $300'000.000</v>
      </c>
      <c r="H485" s="46"/>
      <c r="I485" s="46"/>
      <c r="J485" s="46" t="str">
        <f>IFERROR(__xludf.DUMMYFUNCTION("""COMPUTED_VALUE"""),"Oriente")</f>
        <v>Oriente</v>
      </c>
      <c r="K485" s="87" t="str">
        <f>IFERROR(__xludf.DUMMYFUNCTION("""COMPUTED_VALUE"""),"10")</f>
        <v>10</v>
      </c>
      <c r="L485" s="46">
        <f>IFERROR(__xludf.DUMMYFUNCTION("""COMPUTED_VALUE"""),3.0)</f>
        <v>3</v>
      </c>
      <c r="M485" s="46"/>
      <c r="N485" s="46">
        <f>IFERROR(__xludf.DUMMYFUNCTION("""COMPUTED_VALUE"""),2.0)</f>
        <v>2</v>
      </c>
      <c r="O485" s="46">
        <f>IFERROR(__xludf.DUMMYFUNCTION("""COMPUTED_VALUE"""),1.0)</f>
        <v>1</v>
      </c>
      <c r="P485" s="46">
        <f>IFERROR(__xludf.DUMMYFUNCTION("""COMPUTED_VALUE"""),5.0)</f>
        <v>5</v>
      </c>
      <c r="Q485" s="92">
        <f>IFERROR(__xludf.DUMMYFUNCTION("""COMPUTED_VALUE"""),73.0)</f>
        <v>73</v>
      </c>
      <c r="R485" s="92">
        <f>IFERROR(__xludf.DUMMYFUNCTION("""COMPUTED_VALUE"""),73.0)</f>
        <v>73</v>
      </c>
      <c r="S485" s="87"/>
      <c r="T485" s="46" t="str">
        <f>IFERROR(__xludf.DUMMYFUNCTION("""COMPUTED_VALUE"""),"Neiva")</f>
        <v>Neiva</v>
      </c>
      <c r="U485" s="87" t="str">
        <f>IFERROR(__xludf.DUMMYFUNCTION("""COMPUTED_VALUE"""),"3")</f>
        <v>3</v>
      </c>
      <c r="V485" s="46" t="str">
        <f>IFERROR(__xludf.DUMMYFUNCTION("""COMPUTED_VALUE"""),"5to")</f>
        <v>5to</v>
      </c>
      <c r="W485" s="46"/>
      <c r="X485" s="46">
        <f>IFERROR(__xludf.DUMMYFUNCTION("""COMPUTED_VALUE"""),3.0)</f>
        <v>3</v>
      </c>
      <c r="Y485" s="46" t="str">
        <f>IFERROR(__xludf.DUMMYFUNCTION("""COMPUTED_VALUE"""),"Social")</f>
        <v>Social</v>
      </c>
      <c r="Z485" s="90">
        <f>IFERROR(__xludf.DUMMYFUNCTION("""COMPUTED_VALUE"""),289000.0)</f>
        <v>289000</v>
      </c>
      <c r="AA485" s="33" t="str">
        <f>IFERROR(__xludf.DUMMYFUNCTION("""COMPUTED_VALUE"""),"No aplica")</f>
        <v>No aplica</v>
      </c>
      <c r="AB485" s="96" t="str">
        <f>IFERROR(__xludf.DUMMYFUNCTION("""COMPUTED_VALUE"""),"https://photos.app.goo.gl/NVQAenVXbQK4nrom7")</f>
        <v>https://photos.app.goo.gl/NVQAenVXbQK4nrom7</v>
      </c>
      <c r="AC485" s="46" t="str">
        <f>IFERROR(__xludf.DUMMYFUNCTION("""COMPUTED_VALUE"""),"Este exclusivo apartamento para estrenar, ubicado en el quinto piso del Conjunto Residencial Dos Maderos en el oriente de Neiva, destaca por sus acabados modernos y una distribución óptima de 73 m². El diseño funcional integra una luminosa sala-comedor qu"&amp;"e conecta a un balcón con vista abierta, cocina integral abierta con barra americana (equipada con horno, estufa y extractor), zona de lavado independiente, tres amplias habitaciones (la principal con vestier y baño privado, y dos auxiliares con clóset) y"&amp;" un baño social completo, complementado con parqueadero privado cubierto y depósito")</f>
        <v>Este exclusivo apartamento para estrenar, ubicado en el quinto piso del Conjunto Residencial Dos Maderos en el oriente de Neiva, destaca por sus acabados modernos y una distribución óptima de 73 m². El diseño funcional integra una luminosa sala-comedor que conecta a un balcón con vista abierta, cocina integral abierta con barra americana (equipada con horno, estufa y extractor), zona de lavado independiente, tres amplias habitaciones (la principal con vestier y baño privado, y dos auxiliares con clóset) y un baño social completo, complementado con parqueadero privado cubierto y depósito</v>
      </c>
      <c r="AD485" s="46" t="str">
        <f>IFERROR(__xludf.DUMMYFUNCTION("""COMPUTED_VALUE"""),"Ubicado en un sector de alta valorización con excelente conectividad, este inmueble representa la oportunidad perfecta de inversión o vivienda inmediata con documentación totalmente al día y apto para crédito hipotecario. El conjunto cerrado eleva la cali"&amp;"dad de vida gracias a su seguridad 24/7, ascensor, piscina, cancha polideportiva, salón social, zona de mascotas y parqueadero de visitantes, asegurando el máximo confort, tranquilidad y estatus para su familia en una de las zonas con mayor proyección de "&amp;"la ciudad.")</f>
        <v>Ubicado en un sector de alta valorización con excelente conectividad, este inmueble representa la oportunidad perfecta de inversión o vivienda inmediata con documentación totalmente al día y apto para crédito hipotecario. El conjunto cerrado eleva la calidad de vida gracias a su seguridad 24/7, ascensor, piscina, cancha polideportiva, salón social, zona de mascotas y parqueadero de visitantes, asegurando el máximo confort, tranquilidad y estatus para su familia en una de las zonas con mayor proyección de la ciudad.</v>
      </c>
      <c r="AE485" s="46"/>
      <c r="AF485" s="46" t="str">
        <f>IFERROR(__xludf.DUMMYFUNCTION("""COMPUTED_VALUE"""),"integral")</f>
        <v>integral</v>
      </c>
      <c r="AG485" s="46"/>
      <c r="AH485" s="46" t="str">
        <f>IFERROR(__xludf.DUMMYFUNCTION("""COMPUTED_VALUE"""),"Aliado")</f>
        <v>Aliado</v>
      </c>
      <c r="AI485" s="92" t="str">
        <f>IFERROR(__xludf.DUMMYFUNCTION("""COMPUTED_VALUE"""),"https://lh3.googleusercontent.com/pw/AP1GczMpx6Pi0-wUcq9L1tW5ABhNEbnwycGxG8avW2rJ_6VyYFinmXadz5jjPy5UO7310BL5VgxwKNmgP6KBiRPvhp7R7iyKecD4nzovgUc2lhKzKgRvFc8x=w1200|https://lh3.googleusercontent.com/pw/AP1GczPqgy9Mcsp4Q5PfEzSmPkux-bxRzIAtAKJ_bxDhXTOmEXDUhH"&amp;"sqpWXH_Qzqi318B8mc55K1n7rzy6ld9UtIOMeGB1rIu31MSeXuTEY-4GRVvSn_1CR6=w1200|https://lh3.googleusercontent.com/pw/AP1GczOrmeqRh_keS2DlRbCzAkS11QA6ZzLCP4kBY4i29ZFQcOupzLZz48oQGWSERMom-KXdXj9DcXVkJOvKSrev5pJfFfXJQ6sR620aVvoawcVK_vozRTbK=w1200|https://lh3.google"&amp;"usercontent.com/pw/AP1GczNDq-i-Dq612MmQD0An-mIEauFRik0xI5OIDy96pApim8ebrvzYgPVZ3vZ2COfe7c2AY9V4Empa4IKlifZq279B0V7YEWw4IsRgwmiNa5vpQRlj3Ryj=w1200|https://lh3.googleusercontent.com/pw/AP1GczPT1IsdxFRSUfcmKYShKTVj_q2mbF1mHUmwzwz4-fA8dEqqcXPBO_4jT9py8ubp3tPy"&amp;"qmFK9vhtOqFPOtXuyyeD1lElj-9GdfIIwrm_LUiCbjsLWUWF=w1200|https://lh3.googleusercontent.com/pw/AP1GczOiVBmeSx4Jp6NHFfoYI3wHBi1O0nvzUqftNqBFPnKLwgmhxW1q4cRNBvmzk7NdnMj6Ck91AuVAYpS32P1pM5dJmLJruq_w8Rc3p7vVPS2BJPVFxXLQ=w1200|https://lh3.googleusercontent.com/pw"&amp;"/AP1GczOxe3WGzTPsCgLxOeeurWifzb4HuvE-TdYdVF7oUh6-445P5f3GormzpCjpm_elzWl5pWd8nUXidCjDHsz3Nis648A7lGlyO4OHmUUbmc9Iv9EQA4Vj=w1200|https://lh3.googleusercontent.com/pw/AP1GczO9SCnUA4u9oEby7HqvzHKvPqPoGPE56Y3IEoub7GeEmKQTIo1I85LXul8iO19vjvuxMDhI4thsab-d4r6cNV"&amp;"sxkq1Vq3NHEiB1JmL_TQ5GGGaS-j9j=w1200|https://lh3.googleusercontent.com/pw/AP1GczNNyJo2zcICR6KfqlakQmxwTChRdqlXOZPJQSY_BRspwEUU__Mggoik9CVySIgv9MJp2-HXG8-a7J8XY44_FahlWgK5moUwVIOpFq-sS4X7ZntRlrGP=w1200|https://lh3.googleusercontent.com/pw/AP1GczPqWoOkcsJMA"&amp;"_tq0lqdlDMYxEgT0LecZAi2PioQwvRYok5j7MCHN8uuggNmmezPryXogc74V290VyZi1OYAe7b9j7P0UgxxU1f4fWB8v5hjP-dhKJ4R=w1200|https://lh3.googleusercontent.com/pw/AP1GczP_RwbBEYcQmmWVgWLZ3DvTGk3tJ1WVusPlprBJuVc5CCV1h4jN5Dkz61hu_j0Xsfdw1iKSkLzsHtSLBx2KxhrJojy-kqm67Sb1tnB-"&amp;"s3ORkavRvRiX=w1200")</f>
        <v>https://lh3.googleusercontent.com/pw/AP1GczMpx6Pi0-wUcq9L1tW5ABhNEbnwycGxG8avW2rJ_6VyYFinmXadz5jjPy5UO7310BL5VgxwKNmgP6KBiRPvhp7R7iyKecD4nzovgUc2lhKzKgRvFc8x=w1200|https://lh3.googleusercontent.com/pw/AP1GczPqgy9Mcsp4Q5PfEzSmPkux-bxRzIAtAKJ_bxDhXTOmEXDUhHsqpWXH_Qzqi318B8mc55K1n7rzy6ld9UtIOMeGB1rIu31MSeXuTEY-4GRVvSn_1CR6=w1200|https://lh3.googleusercontent.com/pw/AP1GczOrmeqRh_keS2DlRbCzAkS11QA6ZzLCP4kBY4i29ZFQcOupzLZz48oQGWSERMom-KXdXj9DcXVkJOvKSrev5pJfFfXJQ6sR620aVvoawcVK_vozRTbK=w1200|https://lh3.googleusercontent.com/pw/AP1GczNDq-i-Dq612MmQD0An-mIEauFRik0xI5OIDy96pApim8ebrvzYgPVZ3vZ2COfe7c2AY9V4Empa4IKlifZq279B0V7YEWw4IsRgwmiNa5vpQRlj3Ryj=w1200|https://lh3.googleusercontent.com/pw/AP1GczPT1IsdxFRSUfcmKYShKTVj_q2mbF1mHUmwzwz4-fA8dEqqcXPBO_4jT9py8ubp3tPyqmFK9vhtOqFPOtXuyyeD1lElj-9GdfIIwrm_LUiCbjsLWUWF=w1200|https://lh3.googleusercontent.com/pw/AP1GczOiVBmeSx4Jp6NHFfoYI3wHBi1O0nvzUqftNqBFPnKLwgmhxW1q4cRNBvmzk7NdnMj6Ck91AuVAYpS32P1pM5dJmLJruq_w8Rc3p7vVPS2BJPVFxXLQ=w1200|https://lh3.googleusercontent.com/pw/AP1GczOxe3WGzTPsCgLxOeeurWifzb4HuvE-TdYdVF7oUh6-445P5f3GormzpCjpm_elzWl5pWd8nUXidCjDHsz3Nis648A7lGlyO4OHmUUbmc9Iv9EQA4Vj=w1200|https://lh3.googleusercontent.com/pw/AP1GczO9SCnUA4u9oEby7HqvzHKvPqPoGPE56Y3IEoub7GeEmKQTIo1I85LXul8iO19vjvuxMDhI4thsab-d4r6cNVsxkq1Vq3NHEiB1JmL_TQ5GGGaS-j9j=w1200|https://lh3.googleusercontent.com/pw/AP1GczNNyJo2zcICR6KfqlakQmxwTChRdqlXOZPJQSY_BRspwEUU__Mggoik9CVySIgv9MJp2-HXG8-a7J8XY44_FahlWgK5moUwVIOpFq-sS4X7ZntRlrGP=w1200|https://lh3.googleusercontent.com/pw/AP1GczPqWoOkcsJMA_tq0lqdlDMYxEgT0LecZAi2PioQwvRYok5j7MCHN8uuggNmmezPryXogc74V290VyZi1OYAe7b9j7P0UgxxU1f4fWB8v5hjP-dhKJ4R=w1200|https://lh3.googleusercontent.com/pw/AP1GczP_RwbBEYcQmmWVgWLZ3DvTGk3tJ1WVusPlprBJuVc5CCV1h4jN5Dkz61hu_j0Xsfdw1iKSkLzsHtSLBx2KxhrJojy-kqm67Sb1tnB-s3ORkavRvRiX=w1200</v>
      </c>
      <c r="AJ485" s="46"/>
      <c r="AK485" s="46"/>
      <c r="AL485" s="46"/>
      <c r="AM485" s="46"/>
      <c r="AN485" s="46"/>
      <c r="AO485" s="46"/>
      <c r="AP485" s="46"/>
      <c r="AQ485" s="46"/>
      <c r="AR485" s="46"/>
      <c r="AS485" s="46"/>
      <c r="AT485" s="46"/>
      <c r="AU485" s="46"/>
      <c r="AV485" s="46"/>
      <c r="AW485" s="46"/>
      <c r="AX485" s="46"/>
      <c r="AY485" s="46"/>
      <c r="AZ485" s="46"/>
      <c r="BA485" s="46"/>
      <c r="BB485" s="46"/>
      <c r="BC485" s="46"/>
      <c r="BD485" s="46"/>
      <c r="BE485" s="46"/>
      <c r="BF485" s="46"/>
      <c r="BG485" s="46"/>
      <c r="BH485" s="46"/>
      <c r="BI485" s="46"/>
      <c r="BJ485" s="46"/>
      <c r="BK485" s="46"/>
      <c r="BL485" s="46"/>
      <c r="BM485" s="46"/>
      <c r="BN485" s="46"/>
      <c r="BO485" s="46"/>
      <c r="BP485" s="46"/>
      <c r="BQ485" s="46"/>
      <c r="BR485" s="46"/>
      <c r="BS485" s="46"/>
      <c r="BT485" s="46"/>
      <c r="BU485" s="46"/>
      <c r="BV485" s="46"/>
      <c r="BW485" s="46"/>
      <c r="BX485" s="46"/>
      <c r="BY485" s="46"/>
      <c r="BZ485" s="46"/>
      <c r="CA485" s="46"/>
      <c r="CB485" s="46"/>
      <c r="CC485" s="46"/>
    </row>
    <row r="486">
      <c r="A486" s="87" t="str">
        <f>IFERROR(__xludf.DUMMYFUNCTION("""COMPUTED_VALUE"""),"857")</f>
        <v>857</v>
      </c>
      <c r="B486" s="46" t="str">
        <f>IFERROR(__xludf.DUMMYFUNCTION("""COMPUTED_VALUE"""),"Apartamento en conjunto Condominio Camino Real - Norte")</f>
        <v>Apartamento en conjunto Condominio Camino Real - Norte</v>
      </c>
      <c r="C486" s="46" t="str">
        <f>IFERROR(__xludf.DUMMYFUNCTION("""COMPUTED_VALUE"""),"Apartamento en conjunto")</f>
        <v>Apartamento en conjunto</v>
      </c>
      <c r="D486" s="46" t="str">
        <f>IFERROR(__xludf.DUMMYFUNCTION("""COMPUTED_VALUE"""),"Gualanday")</f>
        <v>Gualanday</v>
      </c>
      <c r="E486" s="46" t="str">
        <f>IFERROR(__xludf.DUMMYFUNCTION("""COMPUTED_VALUE"""),"Gualanday")</f>
        <v>Gualanday</v>
      </c>
      <c r="F486" s="90">
        <f>IFERROR(__xludf.DUMMYFUNCTION("""COMPUTED_VALUE"""),2.85E8)</f>
        <v>285000000</v>
      </c>
      <c r="G486" s="46" t="str">
        <f>IFERROR(__xludf.DUMMYFUNCTION("""COMPUTED_VALUE"""),"$200'000.000 a $300'000.000")</f>
        <v>$200'000.000 a $300'000.000</v>
      </c>
      <c r="H486" s="46"/>
      <c r="I486" s="46"/>
      <c r="J486" s="46" t="str">
        <f>IFERROR(__xludf.DUMMYFUNCTION("""COMPUTED_VALUE"""),"Norte")</f>
        <v>Norte</v>
      </c>
      <c r="K486" s="87" t="str">
        <f>IFERROR(__xludf.DUMMYFUNCTION("""COMPUTED_VALUE"""),"2")</f>
        <v>2</v>
      </c>
      <c r="L486" s="46">
        <f>IFERROR(__xludf.DUMMYFUNCTION("""COMPUTED_VALUE"""),3.0)</f>
        <v>3</v>
      </c>
      <c r="M486" s="46"/>
      <c r="N486" s="46">
        <f>IFERROR(__xludf.DUMMYFUNCTION("""COMPUTED_VALUE"""),2.0)</f>
        <v>2</v>
      </c>
      <c r="O486" s="46">
        <f>IFERROR(__xludf.DUMMYFUNCTION("""COMPUTED_VALUE"""),1.0)</f>
        <v>1</v>
      </c>
      <c r="P486" s="46">
        <f>IFERROR(__xludf.DUMMYFUNCTION("""COMPUTED_VALUE"""),4.0)</f>
        <v>4</v>
      </c>
      <c r="Q486" s="92">
        <f>IFERROR(__xludf.DUMMYFUNCTION("""COMPUTED_VALUE"""),87.0)</f>
        <v>87</v>
      </c>
      <c r="R486" s="92">
        <f>IFERROR(__xludf.DUMMYFUNCTION("""COMPUTED_VALUE"""),87.0)</f>
        <v>87</v>
      </c>
      <c r="S486" s="87" t="str">
        <f>IFERROR(__xludf.DUMMYFUNCTION("""COMPUTED_VALUE""")," ")</f>
        <v> </v>
      </c>
      <c r="T486" s="46" t="str">
        <f>IFERROR(__xludf.DUMMYFUNCTION("""COMPUTED_VALUE"""),"Neiva")</f>
        <v>Neiva</v>
      </c>
      <c r="U486" s="87" t="str">
        <f>IFERROR(__xludf.DUMMYFUNCTION("""COMPUTED_VALUE"""),"3")</f>
        <v>3</v>
      </c>
      <c r="V486" s="46" t="str">
        <f>IFERROR(__xludf.DUMMYFUNCTION("""COMPUTED_VALUE"""),"4to.")</f>
        <v>4to.</v>
      </c>
      <c r="W486" s="46"/>
      <c r="X486" s="46">
        <f>IFERROR(__xludf.DUMMYFUNCTION("""COMPUTED_VALUE"""),3.0)</f>
        <v>3</v>
      </c>
      <c r="Y486" s="46" t="str">
        <f>IFERROR(__xludf.DUMMYFUNCTION("""COMPUTED_VALUE"""),"Social")</f>
        <v>Social</v>
      </c>
      <c r="Z486" s="90">
        <f>IFERROR(__xludf.DUMMYFUNCTION("""COMPUTED_VALUE"""),345000.0)</f>
        <v>345000</v>
      </c>
      <c r="AA486" s="33" t="str">
        <f>IFERROR(__xludf.DUMMYFUNCTION("""COMPUTED_VALUE"""),"No aplica")</f>
        <v>No aplica</v>
      </c>
      <c r="AB486" s="96" t="str">
        <f>IFERROR(__xludf.DUMMYFUNCTION("""COMPUTED_VALUE"""),"https://photos.app.goo.gl/dLnCJLRYG6ye8hP67")</f>
        <v>https://photos.app.goo.gl/dLnCJLRYG6ye8hP67</v>
      </c>
      <c r="AC486" s="46" t="str">
        <f>IFERROR(__xludf.DUMMYFUNCTION("""COMPUTED_VALUE"""),"Este impecable apartamento dúplex de 87 m² está ubicado en el cuarto piso del Condominio Camino Real, en una zona privilegiada del nororiente de Neiva, a pocos pasos de los centros comerciales San Juan Plaza y San Pedro Plaza. El diseño de estrato 3 desta"&amp;"ca por su abundante iluminación natural, ofreciendo una sala-comedor con balcón, cocina funcional con zona de lavandería y un estudio independiente con aire acondicionado y balcón. La distribución incluye tres alcobas y dos baños; la habitación principal "&amp;"disfruta de baño privado y un balcón exclusivo, mientras que los dos dormitorios auxiliares disponen de cómodos clósets.")</f>
        <v>Este impecable apartamento dúplex de 87 m² está ubicado en el cuarto piso del Condominio Camino Real, en una zona privilegiada del nororiente de Neiva, a pocos pasos de los centros comerciales San Juan Plaza y San Pedro Plaza. El diseño de estrato 3 destaca por su abundante iluminación natural, ofreciendo una sala-comedor con balcón, cocina funcional con zona de lavandería y un estudio independiente con aire acondicionado y balcón. La distribución incluye tres alcobas y dos baños; la habitación principal disfruta de baño privado y un balcón exclusivo, mientras que los dos dormitorios auxiliares disponen de cómodos clósets.</v>
      </c>
      <c r="AD486" s="46" t="str">
        <f>IFERROR(__xludf.DUMMYFUNCTION("""COMPUTED_VALUE"""),"¡Comodidad y entretenimiento en un solo lugar! Este hogar es ideal para familias que buscan amplitud y excelente conectividad en la Zona Norte, garantizando total tranquilidad con vigilancia permanente y un parqueadero cubierto escriturado. Además, ofrece"&amp;" un estilo de vida inmejorable gracias a sus completas zonas comunes que incluyen piscina, salón social y parque infantil, convirtiéndolo en una oportunidad lista para habitar por su estado de conservación impecable.")</f>
        <v>¡Comodidad y entretenimiento en un solo lugar! Este hogar es ideal para familias que buscan amplitud y excelente conectividad en la Zona Norte, garantizando total tranquilidad con vigilancia permanente y un parqueadero cubierto escriturado. Además, ofrece un estilo de vida inmejorable gracias a sus completas zonas comunes que incluyen piscina, salón social y parque infantil, convirtiéndolo en una oportunidad lista para habitar por su estado de conservación impecable.</v>
      </c>
      <c r="AE486" s="46"/>
      <c r="AF486" s="46" t="str">
        <f>IFERROR(__xludf.DUMMYFUNCTION("""COMPUTED_VALUE"""),"integral")</f>
        <v>integral</v>
      </c>
      <c r="AG486" s="46"/>
      <c r="AH486" s="46" t="str">
        <f>IFERROR(__xludf.DUMMYFUNCTION("""COMPUTED_VALUE"""),"Aliado")</f>
        <v>Aliado</v>
      </c>
      <c r="AI486" s="92" t="str">
        <f>IFERROR(__xludf.DUMMYFUNCTION("""COMPUTED_VALUE"""),"https://lh3.googleusercontent.com/pw/AP1GczNk69E_t58STlwMM2i2A0fhZZj5tZq722cq41KI5iLia-ZXksc8Ad2tQEARW_TSCCPNoJDAC3XL4Yqi-VC_TEfNYg4qhCNCKJcxhb_yo6OpwMm6HCRl=w1200|https://lh3.googleusercontent.com/pw/AP1GczOUIFWTsUDP3V-uKEx04gMhyYH4T-rHtBzoIwgbt0FUVwxHFw"&amp;"gQioshVATVx4ycVWmQ_69nfTnbnkTqSG1izebPuYzdHIlBr8xm2LvZ6TOyny_uWhYO=w1200|https://lh3.googleusercontent.com/pw/AP1GczOhFjIE9nShAAciQOUQ9zgcsrzL_-Y6f_WUiCyD4fjTP7R4NzoLyTAsGKhCaq2XyJ76SRdT-6j6BVvokrhMkLLgKzCI-AY6Z6TwCGMq7ZxOHTuhF_gS=w1200|https://lh3.google"&amp;"usercontent.com/pw/AP1GczMFNucJ0557kjC4noXpTn9OMUQeCSoeautcbJV6aBparTHdrXhITcozpmd9Vp15OwcnHEYE0XeeKU9gW0yJYSK48AkVVyPzugoxBbXExiOg3x-umbT2=w1200|https://lh3.googleusercontent.com/pw/AP1GczPxX9O30pArZEy-olad9YygiLArJZIE6mKnx0ozEooLUHJoqK-UMYjxv6nNB6BJcFlG"&amp;"A8flgskYRsxIQkx7x50XjBQwycBxhIyVC7GhvF0DX4VduHvi=w1200|https://lh3.googleusercontent.com/pw/AP1GczOHGErrtLavISd9Mig3UOA5PDwi-X43P54Gs3zbwx_3BmE2CROytqJm4Ya5tDD_d7L8t5QQHBdUZav4-in_6dhtf9xLE8E0rYUGIWZrHwDaFob0XwOL=w1200|https://lh3.googleusercontent.com/pw"&amp;"/AP1GczOdhf_X8wLLcK019mWHFqo4oyJ4PoN-2CniAizn3A8hA-0MIb6ic8jBiTwpc2lfxoVnSNX63ON8SHV46emuYswKiAwTsmBD962bYzFoq1ZW3OF8PnRp=w1200|https://lh3.googleusercontent.com/pw/AP1GczNrzTyL0zoSU7Y_L2oASn0ErNVE0_hH5HJPuYgNskSGS8jmS8Mekz2N0KtB9iEjUBekQm3SPVdtrnJ42s1iKp"&amp;"sAdv3NIbs7yKdf-JbboLvqgOBybXkA=w1200|https://lh3.googleusercontent.com/pw/AP1GczOSzd856yEE5zoyk7D3lGHIeldTTLq0mNWAxT96I6eF3OvpPHvc1p69xbMolDsFujaS5VBOi73ud_5iG4X2vKMs7c8LPAKCOe-ldl1ApgRuQ0fKlJ6K=w1200")</f>
        <v>https://lh3.googleusercontent.com/pw/AP1GczNk69E_t58STlwMM2i2A0fhZZj5tZq722cq41KI5iLia-ZXksc8Ad2tQEARW_TSCCPNoJDAC3XL4Yqi-VC_TEfNYg4qhCNCKJcxhb_yo6OpwMm6HCRl=w1200|https://lh3.googleusercontent.com/pw/AP1GczOUIFWTsUDP3V-uKEx04gMhyYH4T-rHtBzoIwgbt0FUVwxHFwgQioshVATVx4ycVWmQ_69nfTnbnkTqSG1izebPuYzdHIlBr8xm2LvZ6TOyny_uWhYO=w1200|https://lh3.googleusercontent.com/pw/AP1GczOhFjIE9nShAAciQOUQ9zgcsrzL_-Y6f_WUiCyD4fjTP7R4NzoLyTAsGKhCaq2XyJ76SRdT-6j6BVvokrhMkLLgKzCI-AY6Z6TwCGMq7ZxOHTuhF_gS=w1200|https://lh3.googleusercontent.com/pw/AP1GczMFNucJ0557kjC4noXpTn9OMUQeCSoeautcbJV6aBparTHdrXhITcozpmd9Vp15OwcnHEYE0XeeKU9gW0yJYSK48AkVVyPzugoxBbXExiOg3x-umbT2=w1200|https://lh3.googleusercontent.com/pw/AP1GczPxX9O30pArZEy-olad9YygiLArJZIE6mKnx0ozEooLUHJoqK-UMYjxv6nNB6BJcFlGA8flgskYRsxIQkx7x50XjBQwycBxhIyVC7GhvF0DX4VduHvi=w1200|https://lh3.googleusercontent.com/pw/AP1GczOHGErrtLavISd9Mig3UOA5PDwi-X43P54Gs3zbwx_3BmE2CROytqJm4Ya5tDD_d7L8t5QQHBdUZav4-in_6dhtf9xLE8E0rYUGIWZrHwDaFob0XwOL=w1200|https://lh3.googleusercontent.com/pw/AP1GczOdhf_X8wLLcK019mWHFqo4oyJ4PoN-2CniAizn3A8hA-0MIb6ic8jBiTwpc2lfxoVnSNX63ON8SHV46emuYswKiAwTsmBD962bYzFoq1ZW3OF8PnRp=w1200|https://lh3.googleusercontent.com/pw/AP1GczNrzTyL0zoSU7Y_L2oASn0ErNVE0_hH5HJPuYgNskSGS8jmS8Mekz2N0KtB9iEjUBekQm3SPVdtrnJ42s1iKpsAdv3NIbs7yKdf-JbboLvqgOBybXkA=w1200|https://lh3.googleusercontent.com/pw/AP1GczOSzd856yEE5zoyk7D3lGHIeldTTLq0mNWAxT96I6eF3OvpPHvc1p69xbMolDsFujaS5VBOi73ud_5iG4X2vKMs7c8LPAKCOe-ldl1ApgRuQ0fKlJ6K=w1200</v>
      </c>
      <c r="AJ486" s="46"/>
      <c r="AK486" s="46"/>
      <c r="AL486" s="46"/>
      <c r="AM486" s="46"/>
      <c r="AN486" s="46"/>
      <c r="AO486" s="46"/>
      <c r="AP486" s="46"/>
      <c r="AQ486" s="46"/>
      <c r="AR486" s="46"/>
      <c r="AS486" s="46"/>
      <c r="AT486" s="46"/>
      <c r="AU486" s="46"/>
      <c r="AV486" s="46"/>
      <c r="AW486" s="46"/>
      <c r="AX486" s="46"/>
      <c r="AY486" s="46"/>
      <c r="AZ486" s="46"/>
      <c r="BA486" s="46"/>
      <c r="BB486" s="46"/>
      <c r="BC486" s="46"/>
      <c r="BD486" s="46"/>
      <c r="BE486" s="46"/>
      <c r="BF486" s="46"/>
      <c r="BG486" s="46"/>
      <c r="BH486" s="46"/>
      <c r="BI486" s="46"/>
      <c r="BJ486" s="46"/>
      <c r="BK486" s="46"/>
      <c r="BL486" s="46"/>
      <c r="BM486" s="46"/>
      <c r="BN486" s="46"/>
      <c r="BO486" s="46"/>
      <c r="BP486" s="46"/>
      <c r="BQ486" s="46"/>
      <c r="BR486" s="46"/>
      <c r="BS486" s="46"/>
      <c r="BT486" s="46"/>
      <c r="BU486" s="46"/>
      <c r="BV486" s="46"/>
      <c r="BW486" s="46"/>
      <c r="BX486" s="46"/>
      <c r="BY486" s="46"/>
      <c r="BZ486" s="46"/>
      <c r="CA486" s="46"/>
      <c r="CB486" s="46"/>
      <c r="CC486" s="46"/>
    </row>
    <row r="487">
      <c r="A487" s="87" t="str">
        <f>IFERROR(__xludf.DUMMYFUNCTION("""COMPUTED_VALUE"""),"970")</f>
        <v>970</v>
      </c>
      <c r="B487" s="46" t="str">
        <f>IFERROR(__xludf.DUMMYFUNCTION("""COMPUTED_VALUE"""),"Apartamento en  conjunto Reserva de los Tulipanes - Sur")</f>
        <v>Apartamento en  conjunto Reserva de los Tulipanes - Sur</v>
      </c>
      <c r="C487" s="46" t="str">
        <f>IFERROR(__xludf.DUMMYFUNCTION("""COMPUTED_VALUE"""),"Apartamento en conjunto")</f>
        <v>Apartamento en conjunto</v>
      </c>
      <c r="D487" s="46" t="str">
        <f>IFERROR(__xludf.DUMMYFUNCTION("""COMPUTED_VALUE"""),"Canaima")</f>
        <v>Canaima</v>
      </c>
      <c r="E487" s="46" t="str">
        <f>IFERROR(__xludf.DUMMYFUNCTION("""COMPUTED_VALUE""")," Conjunto Reserva de los Tulipanes")</f>
        <v> Conjunto Reserva de los Tulipanes</v>
      </c>
      <c r="F487" s="90">
        <f>IFERROR(__xludf.DUMMYFUNCTION("""COMPUTED_VALUE"""),2.8E8)</f>
        <v>280000000</v>
      </c>
      <c r="G487" s="46" t="str">
        <f>IFERROR(__xludf.DUMMYFUNCTION("""COMPUTED_VALUE"""),"$200'000.000 a $300'000.000")</f>
        <v>$200'000.000 a $300'000.000</v>
      </c>
      <c r="H487" s="46"/>
      <c r="I487" s="46"/>
      <c r="J487" s="46" t="str">
        <f>IFERROR(__xludf.DUMMYFUNCTION("""COMPUTED_VALUE"""),"Sur")</f>
        <v>Sur</v>
      </c>
      <c r="K487" s="87" t="str">
        <f>IFERROR(__xludf.DUMMYFUNCTION("""COMPUTED_VALUE"""),"6")</f>
        <v>6</v>
      </c>
      <c r="L487" s="46">
        <f>IFERROR(__xludf.DUMMYFUNCTION("""COMPUTED_VALUE"""),3.0)</f>
        <v>3</v>
      </c>
      <c r="M487" s="46"/>
      <c r="N487" s="46">
        <f>IFERROR(__xludf.DUMMYFUNCTION("""COMPUTED_VALUE"""),2.0)</f>
        <v>2</v>
      </c>
      <c r="O487" s="46">
        <f>IFERROR(__xludf.DUMMYFUNCTION("""COMPUTED_VALUE"""),1.0)</f>
        <v>1</v>
      </c>
      <c r="P487" s="46">
        <f>IFERROR(__xludf.DUMMYFUNCTION("""COMPUTED_VALUE"""),10.0)</f>
        <v>10</v>
      </c>
      <c r="Q487" s="92">
        <f>IFERROR(__xludf.DUMMYFUNCTION("""COMPUTED_VALUE"""),96.0)</f>
        <v>96</v>
      </c>
      <c r="R487" s="92">
        <f>IFERROR(__xludf.DUMMYFUNCTION("""COMPUTED_VALUE"""),96.0)</f>
        <v>96</v>
      </c>
      <c r="S487" s="87" t="str">
        <f>IFERROR(__xludf.DUMMYFUNCTION("""COMPUTED_VALUE""")," ")</f>
        <v> </v>
      </c>
      <c r="T487" s="46" t="str">
        <f>IFERROR(__xludf.DUMMYFUNCTION("""COMPUTED_VALUE"""),"Neiva")</f>
        <v>Neiva</v>
      </c>
      <c r="U487" s="87" t="str">
        <f>IFERROR(__xludf.DUMMYFUNCTION("""COMPUTED_VALUE"""),"4")</f>
        <v>4</v>
      </c>
      <c r="V487" s="46" t="str">
        <f>IFERROR(__xludf.DUMMYFUNCTION("""COMPUTED_VALUE"""),"10o.")</f>
        <v>10o.</v>
      </c>
      <c r="W487" s="46"/>
      <c r="X487" s="46">
        <f>IFERROR(__xludf.DUMMYFUNCTION("""COMPUTED_VALUE"""),3.0)</f>
        <v>3</v>
      </c>
      <c r="Y487" s="46" t="str">
        <f>IFERROR(__xludf.DUMMYFUNCTION("""COMPUTED_VALUE"""),"Social")</f>
        <v>Social</v>
      </c>
      <c r="Z487" s="90">
        <f>IFERROR(__xludf.DUMMYFUNCTION("""COMPUTED_VALUE"""),311000.0)</f>
        <v>311000</v>
      </c>
      <c r="AA487" s="33" t="str">
        <f>IFERROR(__xludf.DUMMYFUNCTION("""COMPUTED_VALUE"""),"No aplica")</f>
        <v>No aplica</v>
      </c>
      <c r="AB487" s="96" t="str">
        <f>IFERROR(__xludf.DUMMYFUNCTION("""COMPUTED_VALUE"""),"https://photos.app.goo.gl/a1eeEv2bixPSA7V86")</f>
        <v>https://photos.app.goo.gl/a1eeEv2bixPSA7V86</v>
      </c>
      <c r="AC487" s="46" t="str">
        <f>IFERROR(__xludf.DUMMYFUNCTION("""COMPUTED_VALUE"""),"Este amplio apartamento de 96 m² cuenta con tres habitaciones con clóset de madera (la principal con baño privado), baño auxiliar completo y una espaciosa sala-comedor. Su diseño inteligente integra una cocina integral funcional, zona de lavadero independ"&amp;"iente y un espacio ideal para estudio o home office, optimizando cada metro cuadrado para el confort diario.")</f>
        <v>Este amplio apartamento de 96 m² cuenta con tres habitaciones con clóset de madera (la principal con baño privado), baño auxiliar completo y una espaciosa sala-comedor. Su diseño inteligente integra una cocina integral funcional, zona de lavadero independiente y un espacio ideal para estudio o home office, optimizando cada metro cuadrado para el confort diario.</v>
      </c>
      <c r="AD487" s="46" t="str">
        <f>IFERROR(__xludf.DUMMYFUNCTION("""COMPUTED_VALUE"""),"Ubicado en un exclusivo décimo piso en la Zona Sur, este inmueble ofrece una ventilación natural envidiable y una vista panorámica privilegiada. Disfrute de un estilo de vida tipo resort con parqueadero cubierto, depósito y seguridad 24/7, además de compl"&amp;"etas zonas comunes con piscina, gimnasio, canchas y parques. Por su ubicación en estrato 4 y su alta demanda, es la oportunidad perfecta para mudarse de inmediato o asegurar una inversión de alta valorización y fácil arrendamiento.")</f>
        <v>Ubicado en un exclusivo décimo piso en la Zona Sur, este inmueble ofrece una ventilación natural envidiable y una vista panorámica privilegiada. Disfrute de un estilo de vida tipo resort con parqueadero cubierto, depósito y seguridad 24/7, además de completas zonas comunes con piscina, gimnasio, canchas y parques. Por su ubicación en estrato 4 y su alta demanda, es la oportunidad perfecta para mudarse de inmediato o asegurar una inversión de alta valorización y fácil arrendamiento.</v>
      </c>
      <c r="AE487" s="46"/>
      <c r="AF487" s="46" t="str">
        <f>IFERROR(__xludf.DUMMYFUNCTION("""COMPUTED_VALUE"""),"integral")</f>
        <v>integral</v>
      </c>
      <c r="AG487" s="46"/>
      <c r="AH487" s="46" t="str">
        <f>IFERROR(__xludf.DUMMYFUNCTION("""COMPUTED_VALUE"""),"Aliado")</f>
        <v>Aliado</v>
      </c>
      <c r="AI487" s="92" t="str">
        <f>IFERROR(__xludf.DUMMYFUNCTION("""COMPUTED_VALUE"""),"https://lh3.googleusercontent.com/pw/AP1GczMOgYasHnfNeAwfyu5Ll4qu6llQ2Zh0WJvg9fzp5tlONaAiW1OaO4e7-xTc1Sh_OGzr4lnZg7wEwTM_iPw1HTzHQygI5pwCQN1PqhwlYCZ8TrD5Wn4y=w1200|https://lh3.googleusercontent.com/pw/AP1GczOJOi69v1I8gtvkhgavMZXSHvf0cTIgOlmMt_Jwru3lYDG8lv"&amp;"ina0zz7_SoKe7RZIwF1JXbVzQ7jCvQxOBq9wG4fYOcCQNAUQw4C0NMtlBBaXQqrvnQ=w1200|https://lh3.googleusercontent.com/pw/AP1GczO3D1nSISph53t02yug13XR6u83KvjwvdSbhDKARGJWUXCxpl5J8y1BT7f1vzcFUjofyvq7Ro94WbFUok9VL9FEcL1_DQ0gZF_lxa921u6Mkto0U8wa=w1200|https://lh3.google"&amp;"usercontent.com/pw/AP1GczOP3VUjs811KY8zFBljxC4HAVtD__j7PwGUhu8LDuvUxH0iPZIpkQRgmNEIDVLBvyxKk8jGluN8MtzkQf12qVu1L3V52Wo3X7eecxhbiEL1rTzjY7fy=w1200|https://lh3.googleusercontent.com/pw/AP1GczNtlUkh1Cdz0OVFC0_CR8nqxsoXJFxZ9tbFyJz6_pr61rPOqhsYLyA7sIgqFhAfhGyc"&amp;"X5miStOf0lD0jIOEjQIlcPzGrInU_-uiEDzr7YTo5ST_Z12L=w1200|https://lh3.googleusercontent.com/pw/AP1GczMuYrLiXOug1r3hkYZCageWw8VoCYQqKE8mtFzGOX3UCucD21Qy-VAlMfbbKUG3m1RGL9PKnifjYDtpaJtl32LWuBwd0j1MmRGABkwVGHTVUbGjE-xi=w1200|https://lh3.googleusercontent.com/pw"&amp;"/AP1GczOZaiYhmFHf2qpgum9_hnIAPO0n_t4I5ybryYubhKMAIZJa56OwJhRYROtqCGWivi7A1GMFjVaru-tS9RmC0tfJsKSYl_SWC_uS-nHJrEPq_Go6YKpy=w1200|https://lh3.googleusercontent.com/pw/AP1GczOieRp9CEd4iZLWhH6SMwKySOyGcncX412sKhcccTtJXH18kfTQsHBacCctbYlkQjdWCy4E4p8F6_IezviUcF"&amp;"CQoG-J0cYL_Djc3JNs96CbBq8kjZuV=w1200|https://lh3.googleusercontent.com/pw/AP1GczPLyp83ql6DibglX-PCHKvO5wvNuxixECV6vui65BrH0cd6SbGDtqrE-FhaFtXbfBv4yZ61XGZ3Ar-wuaeyWc4Bq_tXsuxrQkpISNg7kHa0Htnb7vrL=w1200")</f>
        <v>https://lh3.googleusercontent.com/pw/AP1GczMOgYasHnfNeAwfyu5Ll4qu6llQ2Zh0WJvg9fzp5tlONaAiW1OaO4e7-xTc1Sh_OGzr4lnZg7wEwTM_iPw1HTzHQygI5pwCQN1PqhwlYCZ8TrD5Wn4y=w1200|https://lh3.googleusercontent.com/pw/AP1GczOJOi69v1I8gtvkhgavMZXSHvf0cTIgOlmMt_Jwru3lYDG8lvina0zz7_SoKe7RZIwF1JXbVzQ7jCvQxOBq9wG4fYOcCQNAUQw4C0NMtlBBaXQqrvnQ=w1200|https://lh3.googleusercontent.com/pw/AP1GczO3D1nSISph53t02yug13XR6u83KvjwvdSbhDKARGJWUXCxpl5J8y1BT7f1vzcFUjofyvq7Ro94WbFUok9VL9FEcL1_DQ0gZF_lxa921u6Mkto0U8wa=w1200|https://lh3.googleusercontent.com/pw/AP1GczOP3VUjs811KY8zFBljxC4HAVtD__j7PwGUhu8LDuvUxH0iPZIpkQRgmNEIDVLBvyxKk8jGluN8MtzkQf12qVu1L3V52Wo3X7eecxhbiEL1rTzjY7fy=w1200|https://lh3.googleusercontent.com/pw/AP1GczNtlUkh1Cdz0OVFC0_CR8nqxsoXJFxZ9tbFyJz6_pr61rPOqhsYLyA7sIgqFhAfhGycX5miStOf0lD0jIOEjQIlcPzGrInU_-uiEDzr7YTo5ST_Z12L=w1200|https://lh3.googleusercontent.com/pw/AP1GczMuYrLiXOug1r3hkYZCageWw8VoCYQqKE8mtFzGOX3UCucD21Qy-VAlMfbbKUG3m1RGL9PKnifjYDtpaJtl32LWuBwd0j1MmRGABkwVGHTVUbGjE-xi=w1200|https://lh3.googleusercontent.com/pw/AP1GczOZaiYhmFHf2qpgum9_hnIAPO0n_t4I5ybryYubhKMAIZJa56OwJhRYROtqCGWivi7A1GMFjVaru-tS9RmC0tfJsKSYl_SWC_uS-nHJrEPq_Go6YKpy=w1200|https://lh3.googleusercontent.com/pw/AP1GczOieRp9CEd4iZLWhH6SMwKySOyGcncX412sKhcccTtJXH18kfTQsHBacCctbYlkQjdWCy4E4p8F6_IezviUcFCQoG-J0cYL_Djc3JNs96CbBq8kjZuV=w1200|https://lh3.googleusercontent.com/pw/AP1GczPLyp83ql6DibglX-PCHKvO5wvNuxixECV6vui65BrH0cd6SbGDtqrE-FhaFtXbfBv4yZ61XGZ3Ar-wuaeyWc4Bq_tXsuxrQkpISNg7kHa0Htnb7vrL=w1200</v>
      </c>
      <c r="AJ487" s="46"/>
      <c r="AK487" s="46"/>
      <c r="AL487" s="46"/>
      <c r="AM487" s="46"/>
      <c r="AN487" s="46"/>
      <c r="AO487" s="46"/>
      <c r="AP487" s="46"/>
      <c r="AQ487" s="46"/>
      <c r="AR487" s="46"/>
      <c r="AS487" s="46"/>
      <c r="AT487" s="46"/>
      <c r="AU487" s="46"/>
      <c r="AV487" s="46"/>
      <c r="AW487" s="46"/>
      <c r="AX487" s="46"/>
      <c r="AY487" s="46"/>
      <c r="AZ487" s="46"/>
      <c r="BA487" s="46"/>
      <c r="BB487" s="46"/>
      <c r="BC487" s="46"/>
      <c r="BD487" s="46"/>
      <c r="BE487" s="46"/>
      <c r="BF487" s="46"/>
      <c r="BG487" s="46"/>
      <c r="BH487" s="46"/>
      <c r="BI487" s="46"/>
      <c r="BJ487" s="46"/>
      <c r="BK487" s="46"/>
      <c r="BL487" s="46"/>
      <c r="BM487" s="46"/>
      <c r="BN487" s="46"/>
      <c r="BO487" s="46"/>
      <c r="BP487" s="46"/>
      <c r="BQ487" s="46"/>
      <c r="BR487" s="46"/>
      <c r="BS487" s="46"/>
      <c r="BT487" s="46"/>
      <c r="BU487" s="46"/>
      <c r="BV487" s="46"/>
      <c r="BW487" s="46"/>
      <c r="BX487" s="46"/>
      <c r="BY487" s="46"/>
      <c r="BZ487" s="46"/>
      <c r="CA487" s="46"/>
      <c r="CB487" s="46"/>
      <c r="CC487" s="46"/>
    </row>
    <row r="488">
      <c r="A488" s="87" t="str">
        <f>IFERROR(__xludf.DUMMYFUNCTION("""COMPUTED_VALUE"""),"884")</f>
        <v>884</v>
      </c>
      <c r="B488" s="46" t="str">
        <f>IFERROR(__xludf.DUMMYFUNCTION("""COMPUTED_VALUE"""),"Apartamento en conjunto Villa Lucía - Norte")</f>
        <v>Apartamento en conjunto Villa Lucía - Norte</v>
      </c>
      <c r="C488" s="46" t="str">
        <f>IFERROR(__xludf.DUMMYFUNCTION("""COMPUTED_VALUE"""),"Apartamento en conjunto")</f>
        <v>Apartamento en conjunto</v>
      </c>
      <c r="D488" s="46"/>
      <c r="E488" s="46" t="str">
        <f>IFERROR(__xludf.DUMMYFUNCTION("""COMPUTED_VALUE"""),"Conjunto Villa Lucía")</f>
        <v>Conjunto Villa Lucía</v>
      </c>
      <c r="F488" s="90">
        <f>IFERROR(__xludf.DUMMYFUNCTION("""COMPUTED_VALUE"""),2.8E8)</f>
        <v>280000000</v>
      </c>
      <c r="G488" s="46" t="str">
        <f>IFERROR(__xludf.DUMMYFUNCTION("""COMPUTED_VALUE"""),"$200'000.000 a $300'000.000")</f>
        <v>$200'000.000 a $300'000.000</v>
      </c>
      <c r="H488" s="46"/>
      <c r="I488" s="46"/>
      <c r="J488" s="46" t="str">
        <f>IFERROR(__xludf.DUMMYFUNCTION("""COMPUTED_VALUE"""),"Norte")</f>
        <v>Norte</v>
      </c>
      <c r="K488" s="87"/>
      <c r="L488" s="46">
        <f>IFERROR(__xludf.DUMMYFUNCTION("""COMPUTED_VALUE"""),3.0)</f>
        <v>3</v>
      </c>
      <c r="M488" s="46"/>
      <c r="N488" s="46">
        <f>IFERROR(__xludf.DUMMYFUNCTION("""COMPUTED_VALUE"""),2.0)</f>
        <v>2</v>
      </c>
      <c r="O488" s="46">
        <f>IFERROR(__xludf.DUMMYFUNCTION("""COMPUTED_VALUE"""),1.0)</f>
        <v>1</v>
      </c>
      <c r="P488" s="46">
        <f>IFERROR(__xludf.DUMMYFUNCTION("""COMPUTED_VALUE"""),7.0)</f>
        <v>7</v>
      </c>
      <c r="Q488" s="92">
        <f>IFERROR(__xludf.DUMMYFUNCTION("""COMPUTED_VALUE"""),68.0)</f>
        <v>68</v>
      </c>
      <c r="R488" s="92">
        <f>IFERROR(__xludf.DUMMYFUNCTION("""COMPUTED_VALUE"""),68.0)</f>
        <v>68</v>
      </c>
      <c r="S488" s="87" t="str">
        <f>IFERROR(__xludf.DUMMYFUNCTION("""COMPUTED_VALUE""")," ")</f>
        <v> </v>
      </c>
      <c r="T488" s="46" t="str">
        <f>IFERROR(__xludf.DUMMYFUNCTION("""COMPUTED_VALUE"""),"Neiva")</f>
        <v>Neiva</v>
      </c>
      <c r="U488" s="87" t="str">
        <f>IFERROR(__xludf.DUMMYFUNCTION("""COMPUTED_VALUE"""),"3")</f>
        <v>3</v>
      </c>
      <c r="V488" s="46" t="str">
        <f>IFERROR(__xludf.DUMMYFUNCTION("""COMPUTED_VALUE"""),"7o.")</f>
        <v>7o.</v>
      </c>
      <c r="W488" s="46"/>
      <c r="X488" s="46">
        <f>IFERROR(__xludf.DUMMYFUNCTION("""COMPUTED_VALUE"""),3.0)</f>
        <v>3</v>
      </c>
      <c r="Y488" s="46" t="str">
        <f>IFERROR(__xludf.DUMMYFUNCTION("""COMPUTED_VALUE"""),"Social")</f>
        <v>Social</v>
      </c>
      <c r="Z488" s="90">
        <f>IFERROR(__xludf.DUMMYFUNCTION("""COMPUTED_VALUE"""),305000.0)</f>
        <v>305000</v>
      </c>
      <c r="AA488" s="33" t="str">
        <f>IFERROR(__xludf.DUMMYFUNCTION("""COMPUTED_VALUE"""),"No aplica")</f>
        <v>No aplica</v>
      </c>
      <c r="AB488" s="96" t="str">
        <f>IFERROR(__xludf.DUMMYFUNCTION("""COMPUTED_VALUE"""),"https://photos.app.goo.gl/LY5D1w3GnL9P88pMA")</f>
        <v>https://photos.app.goo.gl/LY5D1w3GnL9P88pMA</v>
      </c>
      <c r="AC488" s="46" t="str">
        <f>IFERROR(__xludf.DUMMYFUNCTION("""COMPUTED_VALUE"""),"Este iluminado apartamento de 68 m², ubicado en el séptimo piso del Conjunto Villa Lucía, destaca por sus acabados modernos y una excelente distribución del espacio. Su diseño interior ofrece una sala-comedor con amplios ventanales y vista panorámica a la"&amp;" ciudad, cocina integral totalmente equipada con gabinetes en madera, zona de ropas independiente y un espacio versátil ideal para biblioteca o estudio. Cuenta con tres habitaciones funcionales (la principal con balcón privado y baño interno) y un baño so"&amp;"cial completo; además, incluye la gran comodidad de un parqueadero privado cubierto y depósito privado en el mismo piso.")</f>
        <v>Este iluminado apartamento de 68 m², ubicado en el séptimo piso del Conjunto Villa Lucía, destaca por sus acabados modernos y una excelente distribución del espacio. Su diseño interior ofrece una sala-comedor con amplios ventanales y vista panorámica a la ciudad, cocina integral totalmente equipada con gabinetes en madera, zona de ropas independiente y un espacio versátil ideal para biblioteca o estudio. Cuenta con tres habitaciones funcionales (la principal con balcón privado y baño interno) y un baño social completo; además, incluye la gran comodidad de un parqueadero privado cubierto y depósito privado en el mismo piso.</v>
      </c>
      <c r="AD488" s="46" t="str">
        <f>IFERROR(__xludf.DUMMYFUNCTION("""COMPUTED_VALUE"""),"Ubicado en la zona norte de Neiva, un sector de estrato 3 con el mayor desarrollo y valorización de la ciudad, este inmueble ofrece un estilo de vida inigualable gracias a su cercanía estratégica a los principales centros comerciales como San Pedro Plaza,"&amp;" San Juan Plaza y Único. El conjunto residencial está diseñado para el disfrute de toda la familia, ofreciendo completas zonas comunes que incluyen piscina para adultos y niños, gimnasio equipado, cancha deportiva, zona BBQ, parque infantil, amplias zonas"&amp;" verdes y un espacio exclusivo para mascotas.")</f>
        <v>Ubicado en la zona norte de Neiva, un sector de estrato 3 con el mayor desarrollo y valorización de la ciudad, este inmueble ofrece un estilo de vida inigualable gracias a su cercanía estratégica a los principales centros comerciales como San Pedro Plaza, San Juan Plaza y Único. El conjunto residencial está diseñado para el disfrute de toda la familia, ofreciendo completas zonas comunes que incluyen piscina para adultos y niños, gimnasio equipado, cancha deportiva, zona BBQ, parque infantil, amplias zonas verdes y un espacio exclusivo para mascotas.</v>
      </c>
      <c r="AE488" s="46"/>
      <c r="AF488" s="46" t="str">
        <f>IFERROR(__xludf.DUMMYFUNCTION("""COMPUTED_VALUE"""),"integral")</f>
        <v>integral</v>
      </c>
      <c r="AG488" s="46"/>
      <c r="AH488" s="46" t="str">
        <f>IFERROR(__xludf.DUMMYFUNCTION("""COMPUTED_VALUE"""),"Aliado")</f>
        <v>Aliado</v>
      </c>
      <c r="AI488" s="92" t="str">
        <f>IFERROR(__xludf.DUMMYFUNCTION("""COMPUTED_VALUE"""),"https://lh3.googleusercontent.com/pw/AP1GczNMbqt5bfni0G6ae2k-VZws6Nqm5Vq9NwogaA7dQQr7TBHflOHRpLm5HQG9VoCZrkyZjiUgJnbbT4rJlXLTdjgOBADvjRmMIIc2Qg6LQRfzNK9jnIXx=w1200|https://lh3.googleusercontent.com/pw/AP1GczPXJGXg5muRJIBJDX1b3VtkWHVkB8UWuRyumu9kJclDDKT6XP"&amp;"9G0DQVBbsu-0PXKrkVqveWmvVspeCh7xyVu472EXYYv7S9WrK9mgtkhNlxy093j5PU=w1200|https://lh3.googleusercontent.com/pw/AP1GczOwdZtrVPv6ytFvaFkKl_UyWVgKLDcYbKFcqzdhMGsOL1LD1lyIj77sjCReNfR-q7fpxu4Fu4nvWPiG0T0RuYSuYgbl0J9uXGW8b_GESpvx6MuWKgON=w1200|https://lh3.google"&amp;"usercontent.com/pw/AP1GczP2_PKKq20DvUf0Ah1fNQkL-oyfuR-6mWy3aioGw8x0peb7hLdsxM0I0PBbirf3SAxM9T5SrdSDaPIzzEDqreFwlSicEeQxIXlLoRSQh82vNRznYo-C=w1200|https://lh3.googleusercontent.com/pw/AP1GczM7FFnyjVbjhFnh1ffMuAN3w7oyi2CEp8lod5JIXxW2Mh-lxyHVbbZodvH78-Y_StYX"&amp;"sVWCtaNjMY1ziBnTidyJgyPxkWZpyaX4TdAzBMdl-J0GyZ60=w1200|https://lh3.googleusercontent.com/pw/AP1GczPuqwQtCXcgZzJcnC6vPJ6C2cjOlVIg0Ggj8JLMOsCgriG9ekf118SJrqKk9DqIzEFFa71EX1ZGAmzECEUsiX5SDe7m-jbFwcWvlzO7WrksVYhbGuUZ=w1200|https://lh3.googleusercontent.com/pw"&amp;"/AP1GczNz1k0qiQME5a-hlaPFYnERjwAZ6PAcaRmCQlZWz0Owyh4nFW7Ls-K-4-xz3tkVyKhzWBHtYxVQWEZmqp3H0ZKG6rLSGTczIW13MMtyD7dFJRfAPKdL=w1200|https://lh3.googleusercontent.com/pw/AP1GczM8EKd9fjY2fjLqtruizMVfSbZ8eO5PXwGepsdDWttXFs5t1wH-RXI478ZY25WS3q5OV8v3nFC0OcH2kI5vAt"&amp;"c0mmrc4CDqCG5yzzc7MWALJ6aOZRJY=w1200|https://lh3.googleusercontent.com/pw/AP1GczPdRPtS51bkwka4mPK9dxyKRoEdOxBF-5Y_cwilDmvPhGUmJDfYugxnQkvMyEOfr5Re7o16DHeskjeBSXWBp5YstKqWwsjdX-lpaedlXBJ2B0zFrm_C=w1200|https://lh3.googleusercontent.com/pw/AP1GczMJtSPhgpTTJ"&amp;"REWotJHifuT0wOVr_zfsY3G6QtgsrPDf9k2WV8TwSRSs1jJlasiPGAb9lNoa6nP_2-9nbi-GNvxbxF9V-3ypWA0oBGd8cDAi8VBUgtc=w1200")</f>
        <v>https://lh3.googleusercontent.com/pw/AP1GczNMbqt5bfni0G6ae2k-VZws6Nqm5Vq9NwogaA7dQQr7TBHflOHRpLm5HQG9VoCZrkyZjiUgJnbbT4rJlXLTdjgOBADvjRmMIIc2Qg6LQRfzNK9jnIXx=w1200|https://lh3.googleusercontent.com/pw/AP1GczPXJGXg5muRJIBJDX1b3VtkWHVkB8UWuRyumu9kJclDDKT6XP9G0DQVBbsu-0PXKrkVqveWmvVspeCh7xyVu472EXYYv7S9WrK9mgtkhNlxy093j5PU=w1200|https://lh3.googleusercontent.com/pw/AP1GczOwdZtrVPv6ytFvaFkKl_UyWVgKLDcYbKFcqzdhMGsOL1LD1lyIj77sjCReNfR-q7fpxu4Fu4nvWPiG0T0RuYSuYgbl0J9uXGW8b_GESpvx6MuWKgON=w1200|https://lh3.googleusercontent.com/pw/AP1GczP2_PKKq20DvUf0Ah1fNQkL-oyfuR-6mWy3aioGw8x0peb7hLdsxM0I0PBbirf3SAxM9T5SrdSDaPIzzEDqreFwlSicEeQxIXlLoRSQh82vNRznYo-C=w1200|https://lh3.googleusercontent.com/pw/AP1GczM7FFnyjVbjhFnh1ffMuAN3w7oyi2CEp8lod5JIXxW2Mh-lxyHVbbZodvH78-Y_StYXsVWCtaNjMY1ziBnTidyJgyPxkWZpyaX4TdAzBMdl-J0GyZ60=w1200|https://lh3.googleusercontent.com/pw/AP1GczPuqwQtCXcgZzJcnC6vPJ6C2cjOlVIg0Ggj8JLMOsCgriG9ekf118SJrqKk9DqIzEFFa71EX1ZGAmzECEUsiX5SDe7m-jbFwcWvlzO7WrksVYhbGuUZ=w1200|https://lh3.googleusercontent.com/pw/AP1GczNz1k0qiQME5a-hlaPFYnERjwAZ6PAcaRmCQlZWz0Owyh4nFW7Ls-K-4-xz3tkVyKhzWBHtYxVQWEZmqp3H0ZKG6rLSGTczIW13MMtyD7dFJRfAPKdL=w1200|https://lh3.googleusercontent.com/pw/AP1GczM8EKd9fjY2fjLqtruizMVfSbZ8eO5PXwGepsdDWttXFs5t1wH-RXI478ZY25WS3q5OV8v3nFC0OcH2kI5vAtc0mmrc4CDqCG5yzzc7MWALJ6aOZRJY=w1200|https://lh3.googleusercontent.com/pw/AP1GczPdRPtS51bkwka4mPK9dxyKRoEdOxBF-5Y_cwilDmvPhGUmJDfYugxnQkvMyEOfr5Re7o16DHeskjeBSXWBp5YstKqWwsjdX-lpaedlXBJ2B0zFrm_C=w1200|https://lh3.googleusercontent.com/pw/AP1GczMJtSPhgpTTJREWotJHifuT0wOVr_zfsY3G6QtgsrPDf9k2WV8TwSRSs1jJlasiPGAb9lNoa6nP_2-9nbi-GNvxbxF9V-3ypWA0oBGd8cDAi8VBUgtc=w1200</v>
      </c>
      <c r="AJ488" s="46"/>
      <c r="AK488" s="46"/>
      <c r="AL488" s="46"/>
      <c r="AM488" s="46"/>
      <c r="AN488" s="46"/>
      <c r="AO488" s="46"/>
      <c r="AP488" s="46"/>
      <c r="AQ488" s="46"/>
      <c r="AR488" s="46"/>
      <c r="AS488" s="46"/>
      <c r="AT488" s="46"/>
      <c r="AU488" s="46"/>
      <c r="AV488" s="46"/>
      <c r="AW488" s="46"/>
      <c r="AX488" s="46"/>
      <c r="AY488" s="46"/>
      <c r="AZ488" s="46"/>
      <c r="BA488" s="46"/>
      <c r="BB488" s="46"/>
      <c r="BC488" s="46"/>
      <c r="BD488" s="46"/>
      <c r="BE488" s="46"/>
      <c r="BF488" s="46"/>
      <c r="BG488" s="46"/>
      <c r="BH488" s="46"/>
      <c r="BI488" s="46"/>
      <c r="BJ488" s="46"/>
      <c r="BK488" s="46"/>
      <c r="BL488" s="46"/>
      <c r="BM488" s="46"/>
      <c r="BN488" s="46"/>
      <c r="BO488" s="46"/>
      <c r="BP488" s="46"/>
      <c r="BQ488" s="46"/>
      <c r="BR488" s="46"/>
      <c r="BS488" s="46"/>
      <c r="BT488" s="46"/>
      <c r="BU488" s="46"/>
      <c r="BV488" s="46"/>
      <c r="BW488" s="46"/>
      <c r="BX488" s="46"/>
      <c r="BY488" s="46"/>
      <c r="BZ488" s="46"/>
      <c r="CA488" s="46"/>
      <c r="CB488" s="46"/>
      <c r="CC488" s="46"/>
    </row>
    <row r="489">
      <c r="A489" s="87" t="str">
        <f>IFERROR(__xludf.DUMMYFUNCTION("""COMPUTED_VALUE"""),"874")</f>
        <v>874</v>
      </c>
      <c r="B489" s="46" t="str">
        <f>IFERROR(__xludf.DUMMYFUNCTION("""COMPUTED_VALUE"""),"Apartamento en conjunto Condominio Multicentro - Sur")</f>
        <v>Apartamento en conjunto Condominio Multicentro - Sur</v>
      </c>
      <c r="C489" s="46" t="str">
        <f>IFERROR(__xludf.DUMMYFUNCTION("""COMPUTED_VALUE"""),"Apartamento en conjunto")</f>
        <v>Apartamento en conjunto</v>
      </c>
      <c r="D489" s="46"/>
      <c r="E489" s="46" t="str">
        <f>IFERROR(__xludf.DUMMYFUNCTION("""COMPUTED_VALUE"""),"Conjunto Condominio Multicentro")</f>
        <v>Conjunto Condominio Multicentro</v>
      </c>
      <c r="F489" s="90">
        <f>IFERROR(__xludf.DUMMYFUNCTION("""COMPUTED_VALUE"""),2.8E8)</f>
        <v>280000000</v>
      </c>
      <c r="G489" s="46" t="str">
        <f>IFERROR(__xludf.DUMMYFUNCTION("""COMPUTED_VALUE"""),"$200'000.000 a $300'000.000")</f>
        <v>$200'000.000 a $300'000.000</v>
      </c>
      <c r="H489" s="46"/>
      <c r="I489" s="46"/>
      <c r="J489" s="46" t="str">
        <f>IFERROR(__xludf.DUMMYFUNCTION("""COMPUTED_VALUE"""),"Sur")</f>
        <v>Sur</v>
      </c>
      <c r="K489" s="87"/>
      <c r="L489" s="46">
        <f>IFERROR(__xludf.DUMMYFUNCTION("""COMPUTED_VALUE"""),2.0)</f>
        <v>2</v>
      </c>
      <c r="M489" s="46"/>
      <c r="N489" s="46">
        <f>IFERROR(__xludf.DUMMYFUNCTION("""COMPUTED_VALUE"""),2.0)</f>
        <v>2</v>
      </c>
      <c r="O489" s="46">
        <f>IFERROR(__xludf.DUMMYFUNCTION("""COMPUTED_VALUE"""),1.0)</f>
        <v>1</v>
      </c>
      <c r="P489" s="46">
        <f>IFERROR(__xludf.DUMMYFUNCTION("""COMPUTED_VALUE"""),13.0)</f>
        <v>13</v>
      </c>
      <c r="Q489" s="92">
        <f>IFERROR(__xludf.DUMMYFUNCTION("""COMPUTED_VALUE"""),61.0)</f>
        <v>61</v>
      </c>
      <c r="R489" s="92">
        <f>IFERROR(__xludf.DUMMYFUNCTION("""COMPUTED_VALUE"""),61.0)</f>
        <v>61</v>
      </c>
      <c r="S489" s="87" t="str">
        <f>IFERROR(__xludf.DUMMYFUNCTION("""COMPUTED_VALUE""")," ")</f>
        <v> </v>
      </c>
      <c r="T489" s="46" t="str">
        <f>IFERROR(__xludf.DUMMYFUNCTION("""COMPUTED_VALUE"""),"Neiva")</f>
        <v>Neiva</v>
      </c>
      <c r="U489" s="87" t="str">
        <f>IFERROR(__xludf.DUMMYFUNCTION("""COMPUTED_VALUE"""),"4")</f>
        <v>4</v>
      </c>
      <c r="V489" s="46" t="str">
        <f>IFERROR(__xludf.DUMMYFUNCTION("""COMPUTED_VALUE"""),"13o.")</f>
        <v>13o.</v>
      </c>
      <c r="W489" s="46"/>
      <c r="X489" s="46">
        <f>IFERROR(__xludf.DUMMYFUNCTION("""COMPUTED_VALUE"""),2.0)</f>
        <v>2</v>
      </c>
      <c r="Y489" s="46" t="str">
        <f>IFERROR(__xludf.DUMMYFUNCTION("""COMPUTED_VALUE"""),"Social")</f>
        <v>Social</v>
      </c>
      <c r="Z489" s="90">
        <f>IFERROR(__xludf.DUMMYFUNCTION("""COMPUTED_VALUE"""),305000.0)</f>
        <v>305000</v>
      </c>
      <c r="AA489" s="33" t="str">
        <f>IFERROR(__xludf.DUMMYFUNCTION("""COMPUTED_VALUE"""),"No aplica")</f>
        <v>No aplica</v>
      </c>
      <c r="AB489" s="96" t="str">
        <f>IFERROR(__xludf.DUMMYFUNCTION("""COMPUTED_VALUE"""),"https://photos.app.goo.gl/2BGJJ57apZdM5MSh9")</f>
        <v>https://photos.app.goo.gl/2BGJJ57apZdM5MSh9</v>
      </c>
      <c r="AC489" s="46" t="str">
        <f>IFERROR(__xludf.DUMMYFUNCTION("""COMPUTED_VALUE"""),"Este moderno apartamento ofrece una distribución funcional con una amplia sala-comedor conectada a un balcón con vista abierta, un cómodo espacio de estudio con mobiliario y cocina integral totalmente equipada. La zona privada cuenta con dos habitaciones "&amp;"con aire acondicionado y clóset (la principal con baño privado), baño social completo y una práctica zona de lavandería independiente.")</f>
        <v>Este moderno apartamento ofrece una distribución funcional con una amplia sala-comedor conectada a un balcón con vista abierta, un cómodo espacio de estudio con mobiliario y cocina integral totalmente equipada. La zona privada cuenta con dos habitaciones con aire acondicionado y clóset (la principal con baño privado), baño social completo y una práctica zona de lavandería independiente.</v>
      </c>
      <c r="AD489" s="46" t="str">
        <f>IFERROR(__xludf.DUMMYFUNCTION("""COMPUTED_VALUE"""),"Ubicado en el piso 13 de la zona con mayor valorización del sur de Neiva, a pasos de Unicentro, este inmueble destaca por sus acabados de lujo, pisos en porcelanato, cortinas blackout y parqueadero cubierto escriturado. Listo para habitar y con documentac"&amp;"ión al día, ofrece un estilo de vida tipo club con piscina, jacuzzi, gimnasio y zona BBQ, asegurando una inversión de alta rentabilidad y confort inmediato.")</f>
        <v>Ubicado en el piso 13 de la zona con mayor valorización del sur de Neiva, a pasos de Unicentro, este inmueble destaca por sus acabados de lujo, pisos en porcelanato, cortinas blackout y parqueadero cubierto escriturado. Listo para habitar y con documentación al día, ofrece un estilo de vida tipo club con piscina, jacuzzi, gimnasio y zona BBQ, asegurando una inversión de alta rentabilidad y confort inmediato.</v>
      </c>
      <c r="AE489" s="46"/>
      <c r="AF489" s="46" t="str">
        <f>IFERROR(__xludf.DUMMYFUNCTION("""COMPUTED_VALUE"""),"integral")</f>
        <v>integral</v>
      </c>
      <c r="AG489" s="46"/>
      <c r="AH489" s="46" t="str">
        <f>IFERROR(__xludf.DUMMYFUNCTION("""COMPUTED_VALUE"""),"Aliado")</f>
        <v>Aliado</v>
      </c>
      <c r="AI489" s="92" t="str">
        <f>IFERROR(__xludf.DUMMYFUNCTION("""COMPUTED_VALUE"""),"https://lh3.googleusercontent.com/pw/AP1GczOwKVQpdWgZzMoFfrJ6Hb3cJREagpkB3BazHLkuh3fMN5WY0hvK85TbhQ2fbc55f0QBeTuYc3KO76-TcrNeIsOLkrtewF-KIVXOO59vg0uyWz6e4i_n=w1200|https://lh3.googleusercontent.com/pw/AP1GczPy4zVEetgFjy-QFKixumSBBqdW9KB6hkjiaXre8rEULA4ply"&amp;"F1Q2btEfU7b3Hy4iI58CnkEpCYuDrg3hMt19au-jDcQjPObt4Nqa87-nptjPBJ-jw-=w1200|https://lh3.googleusercontent.com/pw/AP1GczMjdOMzCZKiPzpFNctxMIv4xvzvh7Q6Ug_dwBvqkABPY6wsHp580xw-MmTTlJcA1fj8UBgH1XP5RAAlKl4VbSNTTACiVX9yP2ZdYvtGMaF5Yx7TtXEZ=w1200|https://lh3.google"&amp;"usercontent.com/pw/AP1GczOLNQyjqBND-3qex8Wi0TYTShDe-EL6R-4RyEmqtMbzd2lPZbzeNRZXW8SvRnFeywWpN6sO0PFW5stbdmGUp1jC42TRPUa5NylclpvL1BkP7b34A8HI=w1200|https://lh3.googleusercontent.com/pw/AP1GczM8OfS54xVJ3ZVlF9R5Q0b3q0TVNdzyaztVTrmcQCkgehlGVd0oEGokcYwmJiiKB6dT"&amp;"6v0Wkh8TDhqTnxUhARhQ5gGwg9cRcubOboQrhE4C-XCrTx10=w1200|https://lh3.googleusercontent.com/pw/AP1GczNXhVagQlGopfPsYOzuhb1_V0DPm1-Z48JQJxiPNAVzX5wVWMA6EP7EV_ZiMbY_niHgvqWlWynaarC0Savgu93rg3pHfRT7rGA6Ht60PEyNC8m0sdNv=w1200|https://lh3.googleusercontent.com/pw"&amp;"/AP1GczO56Wu7ENGHgXSdX5Erf7eoEMnqt_OcFnq5cXdL9pKXAq-Dn8mCVbL-qDQ1ddr_0H6o9kWTwSzuCccnQ1r-T3O1PeFF0F5jDfzbUDYdQB19hx5O1f_1=w1200|https://lh3.googleusercontent.com/pw/AP1GczPtP7sWsD-Zb8l4b02IVJ4hOHWF9bVjhuBBfs2yoLRvijK78XmZmhq94CnFdN8-XyUoQDT8bhoOZtg-n3EuZc"&amp;"H94yjCFDmI4a8noGMWde4IOSA-rEBI=w1200|https://lh3.googleusercontent.com/pw/AP1GczNZ87h_T3wafiG1q0wzCY9IkO5acS3EcG_pnS2xUe0e3dBTqnb0DXUMXPlJGga5_atlIuJNC-chdbXZIfHJL5zFrkw405G9gOoPTRTlrmICpMhPwgla=w1200|https://lh3.googleusercontent.com/pw/AP1GczPZ_LhRlQ84u"&amp;"dmA22Wd2HL0shhPE5pnxdp9FmcSmO7CGmO9jue98iEhJQMJvJ_DDr-iVKdFn6FurVk1P1e7thgimVjCEhBDwnLgjApmRRyztLCe3Cmv=w1200")</f>
        <v>https://lh3.googleusercontent.com/pw/AP1GczOwKVQpdWgZzMoFfrJ6Hb3cJREagpkB3BazHLkuh3fMN5WY0hvK85TbhQ2fbc55f0QBeTuYc3KO76-TcrNeIsOLkrtewF-KIVXOO59vg0uyWz6e4i_n=w1200|https://lh3.googleusercontent.com/pw/AP1GczPy4zVEetgFjy-QFKixumSBBqdW9KB6hkjiaXre8rEULA4plyF1Q2btEfU7b3Hy4iI58CnkEpCYuDrg3hMt19au-jDcQjPObt4Nqa87-nptjPBJ-jw-=w1200|https://lh3.googleusercontent.com/pw/AP1GczMjdOMzCZKiPzpFNctxMIv4xvzvh7Q6Ug_dwBvqkABPY6wsHp580xw-MmTTlJcA1fj8UBgH1XP5RAAlKl4VbSNTTACiVX9yP2ZdYvtGMaF5Yx7TtXEZ=w1200|https://lh3.googleusercontent.com/pw/AP1GczOLNQyjqBND-3qex8Wi0TYTShDe-EL6R-4RyEmqtMbzd2lPZbzeNRZXW8SvRnFeywWpN6sO0PFW5stbdmGUp1jC42TRPUa5NylclpvL1BkP7b34A8HI=w1200|https://lh3.googleusercontent.com/pw/AP1GczM8OfS54xVJ3ZVlF9R5Q0b3q0TVNdzyaztVTrmcQCkgehlGVd0oEGokcYwmJiiKB6dT6v0Wkh8TDhqTnxUhARhQ5gGwg9cRcubOboQrhE4C-XCrTx10=w1200|https://lh3.googleusercontent.com/pw/AP1GczNXhVagQlGopfPsYOzuhb1_V0DPm1-Z48JQJxiPNAVzX5wVWMA6EP7EV_ZiMbY_niHgvqWlWynaarC0Savgu93rg3pHfRT7rGA6Ht60PEyNC8m0sdNv=w1200|https://lh3.googleusercontent.com/pw/AP1GczO56Wu7ENGHgXSdX5Erf7eoEMnqt_OcFnq5cXdL9pKXAq-Dn8mCVbL-qDQ1ddr_0H6o9kWTwSzuCccnQ1r-T3O1PeFF0F5jDfzbUDYdQB19hx5O1f_1=w1200|https://lh3.googleusercontent.com/pw/AP1GczPtP7sWsD-Zb8l4b02IVJ4hOHWF9bVjhuBBfs2yoLRvijK78XmZmhq94CnFdN8-XyUoQDT8bhoOZtg-n3EuZcH94yjCFDmI4a8noGMWde4IOSA-rEBI=w1200|https://lh3.googleusercontent.com/pw/AP1GczNZ87h_T3wafiG1q0wzCY9IkO5acS3EcG_pnS2xUe0e3dBTqnb0DXUMXPlJGga5_atlIuJNC-chdbXZIfHJL5zFrkw405G9gOoPTRTlrmICpMhPwgla=w1200|https://lh3.googleusercontent.com/pw/AP1GczPZ_LhRlQ84udmA22Wd2HL0shhPE5pnxdp9FmcSmO7CGmO9jue98iEhJQMJvJ_DDr-iVKdFn6FurVk1P1e7thgimVjCEhBDwnLgjApmRRyztLCe3Cmv=w1200</v>
      </c>
      <c r="AJ489" s="46"/>
      <c r="AK489" s="46"/>
      <c r="AL489" s="46"/>
      <c r="AM489" s="46"/>
      <c r="AN489" s="46"/>
      <c r="AO489" s="46"/>
      <c r="AP489" s="46"/>
      <c r="AQ489" s="46"/>
      <c r="AR489" s="46"/>
      <c r="AS489" s="46"/>
      <c r="AT489" s="46"/>
      <c r="AU489" s="46"/>
      <c r="AV489" s="46"/>
      <c r="AW489" s="46"/>
      <c r="AX489" s="46"/>
      <c r="AY489" s="46"/>
      <c r="AZ489" s="46"/>
      <c r="BA489" s="46"/>
      <c r="BB489" s="46"/>
      <c r="BC489" s="46"/>
      <c r="BD489" s="46"/>
      <c r="BE489" s="46"/>
      <c r="BF489" s="46"/>
      <c r="BG489" s="46"/>
      <c r="BH489" s="46"/>
      <c r="BI489" s="46"/>
      <c r="BJ489" s="46"/>
      <c r="BK489" s="46"/>
      <c r="BL489" s="46"/>
      <c r="BM489" s="46"/>
      <c r="BN489" s="46"/>
      <c r="BO489" s="46"/>
      <c r="BP489" s="46"/>
      <c r="BQ489" s="46"/>
      <c r="BR489" s="46"/>
      <c r="BS489" s="46"/>
      <c r="BT489" s="46"/>
      <c r="BU489" s="46"/>
      <c r="BV489" s="46"/>
      <c r="BW489" s="46"/>
      <c r="BX489" s="46"/>
      <c r="BY489" s="46"/>
      <c r="BZ489" s="46"/>
      <c r="CA489" s="46"/>
      <c r="CB489" s="46"/>
      <c r="CC489" s="46"/>
    </row>
    <row r="490">
      <c r="A490" s="87" t="str">
        <f>IFERROR(__xludf.DUMMYFUNCTION("""COMPUTED_VALUE"""),"444")</f>
        <v>444</v>
      </c>
      <c r="B490" s="46" t="str">
        <f>IFERROR(__xludf.DUMMYFUNCTION("""COMPUTED_VALUE"""),"Apartamento en conjunto Eucalipto - Sur")</f>
        <v>Apartamento en conjunto Eucalipto - Sur</v>
      </c>
      <c r="C490" s="46" t="str">
        <f>IFERROR(__xludf.DUMMYFUNCTION("""COMPUTED_VALUE"""),"Apartamento en conjunto")</f>
        <v>Apartamento en conjunto</v>
      </c>
      <c r="D490" s="46"/>
      <c r="E490" s="90" t="str">
        <f>IFERROR(__xludf.DUMMYFUNCTION("""COMPUTED_VALUE"""),"Conjunto Eucalipto")</f>
        <v>Conjunto Eucalipto</v>
      </c>
      <c r="F490" s="90">
        <f>IFERROR(__xludf.DUMMYFUNCTION("""COMPUTED_VALUE"""),2.8E8)</f>
        <v>280000000</v>
      </c>
      <c r="G490" s="46" t="str">
        <f>IFERROR(__xludf.DUMMYFUNCTION("""COMPUTED_VALUE"""),"$200'000.000 a $300'000.000")</f>
        <v>$200'000.000 a $300'000.000</v>
      </c>
      <c r="H490" s="46"/>
      <c r="I490" s="46"/>
      <c r="J490" s="46" t="str">
        <f>IFERROR(__xludf.DUMMYFUNCTION("""COMPUTED_VALUE"""),"Sur")</f>
        <v>Sur</v>
      </c>
      <c r="K490" s="87"/>
      <c r="L490" s="46">
        <f>IFERROR(__xludf.DUMMYFUNCTION("""COMPUTED_VALUE"""),3.0)</f>
        <v>3</v>
      </c>
      <c r="M490" s="46"/>
      <c r="N490" s="46">
        <f>IFERROR(__xludf.DUMMYFUNCTION("""COMPUTED_VALUE"""),2.0)</f>
        <v>2</v>
      </c>
      <c r="O490" s="46">
        <f>IFERROR(__xludf.DUMMYFUNCTION("""COMPUTED_VALUE"""),1.0)</f>
        <v>1</v>
      </c>
      <c r="P490" s="46">
        <f>IFERROR(__xludf.DUMMYFUNCTION("""COMPUTED_VALUE"""),5.0)</f>
        <v>5</v>
      </c>
      <c r="Q490" s="92">
        <f>IFERROR(__xludf.DUMMYFUNCTION("""COMPUTED_VALUE"""),64.0)</f>
        <v>64</v>
      </c>
      <c r="R490" s="92">
        <f>IFERROR(__xludf.DUMMYFUNCTION("""COMPUTED_VALUE"""),64.0)</f>
        <v>64</v>
      </c>
      <c r="S490" s="87"/>
      <c r="T490" s="46" t="str">
        <f>IFERROR(__xludf.DUMMYFUNCTION("""COMPUTED_VALUE"""),"Neiva")</f>
        <v>Neiva</v>
      </c>
      <c r="U490" s="87" t="str">
        <f>IFERROR(__xludf.DUMMYFUNCTION("""COMPUTED_VALUE"""),"3")</f>
        <v>3</v>
      </c>
      <c r="V490" s="46" t="str">
        <f>IFERROR(__xludf.DUMMYFUNCTION("""COMPUTED_VALUE"""),"5to.")</f>
        <v>5to.</v>
      </c>
      <c r="W490" s="46"/>
      <c r="X490" s="46">
        <f>IFERROR(__xludf.DUMMYFUNCTION("""COMPUTED_VALUE"""),3.0)</f>
        <v>3</v>
      </c>
      <c r="Y490" s="46" t="str">
        <f>IFERROR(__xludf.DUMMYFUNCTION("""COMPUTED_VALUE"""),"Social")</f>
        <v>Social</v>
      </c>
      <c r="Z490" s="90">
        <f>IFERROR(__xludf.DUMMYFUNCTION("""COMPUTED_VALUE"""),250000.0)</f>
        <v>250000</v>
      </c>
      <c r="AA490" s="33" t="str">
        <f>IFERROR(__xludf.DUMMYFUNCTION("""COMPUTED_VALUE"""),"No aplica")</f>
        <v>No aplica</v>
      </c>
      <c r="AB490" s="96" t="str">
        <f>IFERROR(__xludf.DUMMYFUNCTION("""COMPUTED_VALUE"""),"https://photos.app.goo.gl/4qt895zHFFmmPvyH8")</f>
        <v>https://photos.app.goo.gl/4qt895zHFFmmPvyH8</v>
      </c>
      <c r="AC490" s="46" t="str">
        <f>IFERROR(__xludf.DUMMYFUNCTION("""COMPUTED_VALUE"""),"Este magnífico apartamento para estrenar de $64\text{ m}^2$, ubicado en un fresco quinto piso, destaca por un diseño moderno y acabados de lujo impecables que marcan la diferencia en su segmento. Su zona social se compone de una sala-comedor amplia, ilumi"&amp;"nada y muy fresca, conectada directamente a un balcón con vista panorámica ideal para el descanso. La cocina integral está completamente equipada con horno, estufa y extractor, complementada de forma exclusiva por una barra auxiliar con mueble para bebida"&amp;"s y una elegante vitrina para vinos. Dispone además de lámparas de lujo que realzan cada ambiente, zona de lavandería independiente, baño social con división en vidrio templado, dos confortables habitaciones auxiliares y una alcoba principal con su propio"&amp;" baño privado de lujo.")</f>
        <v>Este magnífico apartamento para estrenar de $64\text{ m}^2$, ubicado en un fresco quinto piso, destaca por un diseño moderno y acabados de lujo impecables que marcan la diferencia en su segmento. Su zona social se compone de una sala-comedor amplia, iluminada y muy fresca, conectada directamente a un balcón con vista panorámica ideal para el descanso. La cocina integral está completamente equipada con horno, estufa y extractor, complementada de forma exclusiva por una barra auxiliar con mueble para bebidas y una elegante vitrina para vinos. Dispone además de lámparas de lujo que realzan cada ambiente, zona de lavandería independiente, baño social con división en vidrio templado, dos confortables habitaciones auxiliares y una alcoba principal con su propio baño privado de lujo.</v>
      </c>
      <c r="AD490" s="46" t="str">
        <f>IFERROR(__xludf.DUMMYFUNCTION("""COMPUTED_VALUE"""),"Situado estratégicamente en el conjunto cerrado Eucaliptus dentro del sector Neiva La Nueva, esta propiedad es la oportunidad ideal de compra gracias a su ubicación en la zona de mayor proyección y valorización del sur de la ciudad, rodeado de naturaleza,"&amp;" colegios y centros comerciales. El conjunto ofrece un estilo de vida superior con piscina para adultos y niños, zona BBQ, salón de eventos y ciclorutas internas, garantizando un ambiente familiar seguro y exclusivo. Adicionalmente, el inmueble representa"&amp;" una inversión sin riesgos y lista para habitar ya que incluye parqueadero privado, depósito, y cuenta con documentos totalmente al día listos para escriturar.")</f>
        <v>Situado estratégicamente en el conjunto cerrado Eucaliptus dentro del sector Neiva La Nueva, esta propiedad es la oportunidad ideal de compra gracias a su ubicación en la zona de mayor proyección y valorización del sur de la ciudad, rodeado de naturaleza, colegios y centros comerciales. El conjunto ofrece un estilo de vida superior con piscina para adultos y niños, zona BBQ, salón de eventos y ciclorutas internas, garantizando un ambiente familiar seguro y exclusivo. Adicionalmente, el inmueble representa una inversión sin riesgos y lista para habitar ya que incluye parqueadero privado, depósito, y cuenta con documentos totalmente al día listos para escriturar.</v>
      </c>
      <c r="AE490" s="46"/>
      <c r="AF490" s="46" t="str">
        <f>IFERROR(__xludf.DUMMYFUNCTION("""COMPUTED_VALUE"""),"integral")</f>
        <v>integral</v>
      </c>
      <c r="AG490" s="46"/>
      <c r="AH490" s="46" t="str">
        <f>IFERROR(__xludf.DUMMYFUNCTION("""COMPUTED_VALUE"""),"Aliado")</f>
        <v>Aliado</v>
      </c>
      <c r="AI490" s="92" t="str">
        <f>IFERROR(__xludf.DUMMYFUNCTION("""COMPUTED_VALUE"""),"https://lh3.googleusercontent.com/pw/AP1GczPsMhoALq9BMvlDQA0x1m_0Snp-EDSPy8IYi556zZzCVaZvWetkTa2EagivpP_DS1Og1T7lCzeqAd7ZRU_lmLeTxH2wZr6tgtpRSiBIJ0dygA4JmHsI=w1200|https://lh3.googleusercontent.com/pw/AP1GczMptHPmnzYfgbK1f5SE8lHAZCI0OZ1OZt1FL4BQsIkw9s6RxF"&amp;"1S1gPzUeheVDSO1JeCDI8BUo7P_nRSIyz0e5Umou95u6ewv_JDBaFQ0cq6klLIIMfm=w1200|https://lh3.googleusercontent.com/pw/AP1GczOGTeDrAXaAKnMKWBV2fd-WrZrpG0S8Pe_PWtKp2VCrQg8Y5eeM_hlUaEqBu6hChEKHT45oElLpT-Au8QhLe9HhAES45DjRHK4udwHojeFuki-J_-At=w1200|https://lh3.google"&amp;"usercontent.com/pw/AP1GczN2UFa_TUXxKZym_Dvo7d1Px3Zpo5Jb31V40qopJLpreX8AHJABT2bBY1WGA1lbI68GR64vrGNSe1fAH3z6PHBAlDju04MFxshFlqnxntmmE1ToYpzM=w1200|https://lh3.googleusercontent.com/pw/AP1GczMtMs1nC3S5UVmE5Wwwu4ZQSPWq0V44OMtHOomBGFY6IXYDzMUGlsgHtmg-VYIo1qL7"&amp;"YyxjABXBV2HPuokIUk3q4Nt4KC9ujY0gB6VE7oai8rkaAcSl=w1200|https://lh3.googleusercontent.com/pw/AP1GczNh-SftFUShs3NJXQ7BXB63leEw0NzTj_uWaaUBd2wtigNJ7QR_Wvzh8MAee69fMAsACY6ens-8-dZ76AXTvIcU9qSCbo7VdDXH9h352DAsH-rE1nrk=w1200|https://lh3.googleusercontent.com/pw"&amp;"/AP1GczPrfC1Wp58h7-g87RbKqwNGm9rberfSVe2gZfiYBVB3OS6VkaU2x3ulBnHrKXW9ANgNNsYN1SmC3B2TlcXFlUJ6-Tp30A6cY51oVk7Tyl6ROtphlbPe=w1200|https://lh3.googleusercontent.com/pw/AP1GczPwmyIPA3wNTVnt3mO7f7gVXrhOS9_-74tzHlLawfTVRfQIcd_Sq1ktldwxHX6aFM8FIUmMn8SfQUx9lPF-gV"&amp;"DcWrj4stAj-Z2wi21Wrivo7zvKtjMV=w1200|https://lh3.googleusercontent.com/pw/AP1GczPYJABmX_6677w1kJjzSXupjR64Lkopo3Ig2f5Hl4cy-vvjiAda9G4ei_6eqgXuODwzmqBuCyD_sJ2ewIvgokA0oXucRtGQOQBceny9g8a8QvbxWeD2=w1200|https://lh3.googleusercontent.com/pw/AP1GczPghgtiORQ8H"&amp;"Y9Dld6m-0oEEVtUErgLpFe3qPivHFCFCoED0qyHPwfrkUVlbrSvhVVL4Ov__BbMbW9dzwg8qj7akne5erIeP1wFYmItbeu4a1HMyd8b=w1200")</f>
        <v>https://lh3.googleusercontent.com/pw/AP1GczPsMhoALq9BMvlDQA0x1m_0Snp-EDSPy8IYi556zZzCVaZvWetkTa2EagivpP_DS1Og1T7lCzeqAd7ZRU_lmLeTxH2wZr6tgtpRSiBIJ0dygA4JmHsI=w1200|https://lh3.googleusercontent.com/pw/AP1GczMptHPmnzYfgbK1f5SE8lHAZCI0OZ1OZt1FL4BQsIkw9s6RxF1S1gPzUeheVDSO1JeCDI8BUo7P_nRSIyz0e5Umou95u6ewv_JDBaFQ0cq6klLIIMfm=w1200|https://lh3.googleusercontent.com/pw/AP1GczOGTeDrAXaAKnMKWBV2fd-WrZrpG0S8Pe_PWtKp2VCrQg8Y5eeM_hlUaEqBu6hChEKHT45oElLpT-Au8QhLe9HhAES45DjRHK4udwHojeFuki-J_-At=w1200|https://lh3.googleusercontent.com/pw/AP1GczN2UFa_TUXxKZym_Dvo7d1Px3Zpo5Jb31V40qopJLpreX8AHJABT2bBY1WGA1lbI68GR64vrGNSe1fAH3z6PHBAlDju04MFxshFlqnxntmmE1ToYpzM=w1200|https://lh3.googleusercontent.com/pw/AP1GczMtMs1nC3S5UVmE5Wwwu4ZQSPWq0V44OMtHOomBGFY6IXYDzMUGlsgHtmg-VYIo1qL7YyxjABXBV2HPuokIUk3q4Nt4KC9ujY0gB6VE7oai8rkaAcSl=w1200|https://lh3.googleusercontent.com/pw/AP1GczNh-SftFUShs3NJXQ7BXB63leEw0NzTj_uWaaUBd2wtigNJ7QR_Wvzh8MAee69fMAsACY6ens-8-dZ76AXTvIcU9qSCbo7VdDXH9h352DAsH-rE1nrk=w1200|https://lh3.googleusercontent.com/pw/AP1GczPrfC1Wp58h7-g87RbKqwNGm9rberfSVe2gZfiYBVB3OS6VkaU2x3ulBnHrKXW9ANgNNsYN1SmC3B2TlcXFlUJ6-Tp30A6cY51oVk7Tyl6ROtphlbPe=w1200|https://lh3.googleusercontent.com/pw/AP1GczPwmyIPA3wNTVnt3mO7f7gVXrhOS9_-74tzHlLawfTVRfQIcd_Sq1ktldwxHX6aFM8FIUmMn8SfQUx9lPF-gVDcWrj4stAj-Z2wi21Wrivo7zvKtjMV=w1200|https://lh3.googleusercontent.com/pw/AP1GczPYJABmX_6677w1kJjzSXupjR64Lkopo3Ig2f5Hl4cy-vvjiAda9G4ei_6eqgXuODwzmqBuCyD_sJ2ewIvgokA0oXucRtGQOQBceny9g8a8QvbxWeD2=w1200|https://lh3.googleusercontent.com/pw/AP1GczPghgtiORQ8HY9Dld6m-0oEEVtUErgLpFe3qPivHFCFCoED0qyHPwfrkUVlbrSvhVVL4Ov__BbMbW9dzwg8qj7akne5erIeP1wFYmItbeu4a1HMyd8b=w1200</v>
      </c>
      <c r="AJ490" s="46"/>
      <c r="AK490" s="46"/>
      <c r="AL490" s="46"/>
      <c r="AM490" s="46"/>
      <c r="AN490" s="46"/>
      <c r="AO490" s="46"/>
      <c r="AP490" s="46"/>
      <c r="AQ490" s="46"/>
      <c r="AR490" s="46"/>
      <c r="AS490" s="46"/>
      <c r="AT490" s="46"/>
      <c r="AU490" s="46"/>
      <c r="AV490" s="46"/>
      <c r="AW490" s="46"/>
      <c r="AX490" s="46"/>
      <c r="AY490" s="46"/>
      <c r="AZ490" s="46"/>
      <c r="BA490" s="46"/>
      <c r="BB490" s="46"/>
      <c r="BC490" s="46"/>
      <c r="BD490" s="46"/>
      <c r="BE490" s="46"/>
      <c r="BF490" s="46"/>
      <c r="BG490" s="46"/>
      <c r="BH490" s="46"/>
      <c r="BI490" s="46"/>
      <c r="BJ490" s="46"/>
      <c r="BK490" s="46"/>
      <c r="BL490" s="46"/>
      <c r="BM490" s="46"/>
      <c r="BN490" s="46"/>
      <c r="BO490" s="46"/>
      <c r="BP490" s="46"/>
      <c r="BQ490" s="46"/>
      <c r="BR490" s="46"/>
      <c r="BS490" s="46"/>
      <c r="BT490" s="46"/>
      <c r="BU490" s="46"/>
      <c r="BV490" s="46"/>
      <c r="BW490" s="46"/>
      <c r="BX490" s="46"/>
      <c r="BY490" s="46"/>
      <c r="BZ490" s="46"/>
      <c r="CA490" s="46"/>
      <c r="CB490" s="46"/>
      <c r="CC490" s="46"/>
    </row>
    <row r="491">
      <c r="A491" s="87" t="str">
        <f>IFERROR(__xludf.DUMMYFUNCTION("""COMPUTED_VALUE"""),"576")</f>
        <v>576</v>
      </c>
      <c r="B491" s="46" t="str">
        <f>IFERROR(__xludf.DUMMYFUNCTION("""COMPUTED_VALUE"""),"Casa en barrio Los colores - Oriente")</f>
        <v>Casa en barrio Los colores - Oriente</v>
      </c>
      <c r="C491" s="46" t="str">
        <f>IFERROR(__xludf.DUMMYFUNCTION("""COMPUTED_VALUE"""),"Casa")</f>
        <v>Casa</v>
      </c>
      <c r="D491" s="46" t="str">
        <f>IFERROR(__xludf.DUMMYFUNCTION("""COMPUTED_VALUE"""),"Los Colore")</f>
        <v>Los Colore</v>
      </c>
      <c r="E491" s="46"/>
      <c r="F491" s="90">
        <f>IFERROR(__xludf.DUMMYFUNCTION("""COMPUTED_VALUE"""),2.6E8)</f>
        <v>260000000</v>
      </c>
      <c r="G491" s="46" t="str">
        <f>IFERROR(__xludf.DUMMYFUNCTION("""COMPUTED_VALUE"""),"$200'000.000 a $300'000.000")</f>
        <v>$200'000.000 a $300'000.000</v>
      </c>
      <c r="H491" s="46"/>
      <c r="I491" s="46"/>
      <c r="J491" s="46" t="str">
        <f>IFERROR(__xludf.DUMMYFUNCTION("""COMPUTED_VALUE"""),"Oriente")</f>
        <v>Oriente</v>
      </c>
      <c r="K491" s="87" t="str">
        <f>IFERROR(__xludf.DUMMYFUNCTION("""COMPUTED_VALUE"""),"10")</f>
        <v>10</v>
      </c>
      <c r="L491" s="46">
        <f>IFERROR(__xludf.DUMMYFUNCTION("""COMPUTED_VALUE"""),3.0)</f>
        <v>3</v>
      </c>
      <c r="M491" s="46"/>
      <c r="N491" s="46">
        <f>IFERROR(__xludf.DUMMYFUNCTION("""COMPUTED_VALUE"""),2.0)</f>
        <v>2</v>
      </c>
      <c r="O491" s="46">
        <f>IFERROR(__xludf.DUMMYFUNCTION("""COMPUTED_VALUE"""),1.0)</f>
        <v>1</v>
      </c>
      <c r="P491" s="46">
        <f>IFERROR(__xludf.DUMMYFUNCTION("""COMPUTED_VALUE"""),1.0)</f>
        <v>1</v>
      </c>
      <c r="Q491" s="92">
        <f>IFERROR(__xludf.DUMMYFUNCTION("""COMPUTED_VALUE"""),135.0)</f>
        <v>135</v>
      </c>
      <c r="R491" s="92">
        <f>IFERROR(__xludf.DUMMYFUNCTION("""COMPUTED_VALUE"""),135.0)</f>
        <v>135</v>
      </c>
      <c r="S491" s="87" t="str">
        <f>IFERROR(__xludf.DUMMYFUNCTION("""COMPUTED_VALUE""")," ")</f>
        <v> </v>
      </c>
      <c r="T491" s="46" t="str">
        <f>IFERROR(__xludf.DUMMYFUNCTION("""COMPUTED_VALUE"""),"Neiva")</f>
        <v>Neiva</v>
      </c>
      <c r="U491" s="87" t="str">
        <f>IFERROR(__xludf.DUMMYFUNCTION("""COMPUTED_VALUE"""),"3")</f>
        <v>3</v>
      </c>
      <c r="V491" s="46" t="str">
        <f>IFERROR(__xludf.DUMMYFUNCTION("""COMPUTED_VALUE"""),"Medianera")</f>
        <v>Medianera</v>
      </c>
      <c r="W491" s="46"/>
      <c r="X491" s="46">
        <f>IFERROR(__xludf.DUMMYFUNCTION("""COMPUTED_VALUE"""),3.0)</f>
        <v>3</v>
      </c>
      <c r="Y491" s="46" t="str">
        <f>IFERROR(__xludf.DUMMYFUNCTION("""COMPUTED_VALUE"""),"No tiene")</f>
        <v>No tiene</v>
      </c>
      <c r="Z491" s="90" t="str">
        <f>IFERROR(__xludf.DUMMYFUNCTION("""COMPUTED_VALUE"""),"No aplica")</f>
        <v>No aplica</v>
      </c>
      <c r="AA491" s="33" t="str">
        <f>IFERROR(__xludf.DUMMYFUNCTION("""COMPUTED_VALUE"""),"No aplica")</f>
        <v>No aplica</v>
      </c>
      <c r="AB491" s="96" t="str">
        <f>IFERROR(__xludf.DUMMYFUNCTION("""COMPUTED_VALUE"""),"https://photos.app.goo.gl/afBWUhTLbzp77CzV8")</f>
        <v>https://photos.app.goo.gl/afBWUhTLbzp77CzV8</v>
      </c>
      <c r="AC491" s="46" t="str">
        <f>IFERROR(__xludf.DUMMYFUNCTION("""COMPUTED_VALUE"""),"Esta acogedora casa de 1 solo piso con un área total de 135.0m2 lote de 9 metros de frente por 15 metros de fondo) destaca por una distribución funcional ideal para la vida familiar. Su diseño interior presenta muros completamente estucados en un impecabl"&amp;"e color blanco y un piso en cerámica brillante con sutiles vetas grises que unifica todos los espacios. La zona social se compone de una sala amplia e iluminada con un elegante techo decorativo en drywall, un comedor independiente y una cocina integral de"&amp;" concepto abierto equipada con muebles empotrados de madera en tono castaño y barra auxiliar. El área privada cuenta con 3 habitaciones provistas de clósets de madera de excelente capacidad y 2 baños en total (un baño social y un baño privado en la alcoba"&amp;" principal, la cual incluye aire acondicionado). Complementando la vivienda, se encuentra un patio de ropas independiente y 1 parqueadero privado con espacio para carro y moto.")</f>
        <v>Esta acogedora casa de 1 solo piso con un área total de 135.0m2 lote de 9 metros de frente por 15 metros de fondo) destaca por una distribución funcional ideal para la vida familiar. Su diseño interior presenta muros completamente estucados en un impecable color blanco y un piso en cerámica brillante con sutiles vetas grises que unifica todos los espacios. La zona social se compone de una sala amplia e iluminada con un elegante techo decorativo en drywall, un comedor independiente y una cocina integral de concepto abierto equipada con muebles empotrados de madera en tono castaño y barra auxiliar. El área privada cuenta con 3 habitaciones provistas de clósets de madera de excelente capacidad y 2 baños en total (un baño social y un baño privado en la alcoba principal, la cual incluye aire acondicionado). Complementando la vivienda, se encuentra un patio de ropas independiente y 1 parqueadero privado con espacio para carro y moto.</v>
      </c>
      <c r="AD491" s="46" t="str">
        <f>IFERROR(__xludf.DUMMYFUNCTION("""COMPUTED_VALUE"""),"La gran ventaja comercial que convence a cualquier comprador de invertir inmediatamente es la comodidad absoluta y accesibilidad que ofrece una propiedad de un solo nivel, una tipología altamente demandada y escasa en el mercado actual. Ubicada en el coti"&amp;"zado barrio Los Colores en la zona Oriente de Neiva, una zona de altísima valorización, esta propiedad de estrato 3 garantiza una excelente calidad de vida gracias a su cercanía estratégica al sector de La Rioja. Vivir aquí significa tener fácil acceso a "&amp;"supermercados, restaurantes, comercio local, colegios de primer nivel y transporte público, todo en un entorno residencial sumamente tranquilo. Es la oportunidad perfecta tanto para familias que buscan confort diario como para inversores inteligentes que "&amp;"desean asegurar una renta estable en un sector con alta demanda habitacional.")</f>
        <v>La gran ventaja comercial que convence a cualquier comprador de invertir inmediatamente es la comodidad absoluta y accesibilidad que ofrece una propiedad de un solo nivel, una tipología altamente demandada y escasa en el mercado actual. Ubicada en el cotizado barrio Los Colores en la zona Oriente de Neiva, una zona de altísima valorización, esta propiedad de estrato 3 garantiza una excelente calidad de vida gracias a su cercanía estratégica al sector de La Rioja. Vivir aquí significa tener fácil acceso a supermercados, restaurantes, comercio local, colegios de primer nivel y transporte público, todo en un entorno residencial sumamente tranquilo. Es la oportunidad perfecta tanto para familias que buscan confort diario como para inversores inteligentes que desean asegurar una renta estable en un sector con alta demanda habitacional.</v>
      </c>
      <c r="AE491" s="46"/>
      <c r="AF491" s="46" t="str">
        <f>IFERROR(__xludf.DUMMYFUNCTION("""COMPUTED_VALUE"""),"semi-integral")</f>
        <v>semi-integral</v>
      </c>
      <c r="AG491" s="46"/>
      <c r="AH491" s="46" t="str">
        <f>IFERROR(__xludf.DUMMYFUNCTION("""COMPUTED_VALUE"""),"Aliado")</f>
        <v>Aliado</v>
      </c>
      <c r="AI491" s="92" t="str">
        <f>IFERROR(__xludf.DUMMYFUNCTION("""COMPUTED_VALUE"""),"https://lh3.googleusercontent.com/pw/AP1GczOKcUqRAGKD7KHDIOJK7GSWq7UVzb1781O3t_He-GrlDcQu1BeUU9uNlzk5zhl7rKPqL0IeHwWoH80D06ToidaY1btdZIEQsqaY4PQR1m81dc79DI9f=w1200|https://lh3.googleusercontent.com/pw/AP1GczPU0Du7EW_O2xmqgWAKxFlqDN7gBuSjE6iGjqi_EfG1T02c0V"&amp;"vztzt1j7ZHWfUm47YmT6BSHj4KjgIhNzEOfr7XZJ1yQh2HUhfQijigaht58S-4jyzp=w1200|https://lh3.googleusercontent.com/pw/AP1GczOSz8NXnxXEoJh3D_Majk7gEMGnKm8Jr9644z8pByv-ThQNCbe8uzPil9yTCWT20bFuM78d33j1iAC9wpGCo1DhWeF8ib5akzCI2BvAvEEwpP-mz45_=w1200|https://lh3.google"&amp;"usercontent.com/pw/AP1GczNHp-novlAMQcKe8J3VRrPBr_BFMAlW5_zFhjEHE7fd34IhZlAcTnv4HgSejs66jmjYmZq0_yJLC4QAQ9RZ8t5Pg0AoQJEbzkBjNzhPN3Maiw07Nj3L=w1200|https://lh3.googleusercontent.com/pw/AP1GczO-uO14vYU3bZSSsfNNLikRjf5_hRhCxLqugsAj2rP29-eI8zn69E2KVwtSs1E08RRW"&amp;"ZKqtkMpSGpQ-lZBIc-wxAKnz1Dqj1d6zcUB9piRKbpmR-vS_=w1200|https://lh3.googleusercontent.com/pw/AP1GczMT22OQ2N2nnE3PO1FucS088rvMZRfx7av2pEqXDz7PTzbspFb5NKYy-HxMYkxAJKpdw76v6kJoKs1sVGQk0TFRlL9a5vycgP_oojC9VPIJ64jMjDkI=w1200|https://lh3.googleusercontent.com/pw"&amp;"/AP1GczMQf5kDQT3qT4J2plE_pmXtgpxhSbt6QMjbjHbSJI2Af7vDLum7ax5ttJSRc044ivXanWTfPaRyDbVhrUfI_0QljQ7e38Z5jX6NDZnOJdPVjwOMdadc=w1200|https://lh3.googleusercontent.com/pw/AP1GczNs_WD9sbW2mzNBaCypRlVbb8Qczgd6HShtPXZeP92mPtQx0gr2cE4HwYI5FkWXOndzkVU36Ht4m0MlXzreK4"&amp;"Ga9fo_TvyC-oUgnkErVOYv6Cj-nu2u=w1200")</f>
        <v>https://lh3.googleusercontent.com/pw/AP1GczOKcUqRAGKD7KHDIOJK7GSWq7UVzb1781O3t_He-GrlDcQu1BeUU9uNlzk5zhl7rKPqL0IeHwWoH80D06ToidaY1btdZIEQsqaY4PQR1m81dc79DI9f=w1200|https://lh3.googleusercontent.com/pw/AP1GczPU0Du7EW_O2xmqgWAKxFlqDN7gBuSjE6iGjqi_EfG1T02c0Vvztzt1j7ZHWfUm47YmT6BSHj4KjgIhNzEOfr7XZJ1yQh2HUhfQijigaht58S-4jyzp=w1200|https://lh3.googleusercontent.com/pw/AP1GczOSz8NXnxXEoJh3D_Majk7gEMGnKm8Jr9644z8pByv-ThQNCbe8uzPil9yTCWT20bFuM78d33j1iAC9wpGCo1DhWeF8ib5akzCI2BvAvEEwpP-mz45_=w1200|https://lh3.googleusercontent.com/pw/AP1GczNHp-novlAMQcKe8J3VRrPBr_BFMAlW5_zFhjEHE7fd34IhZlAcTnv4HgSejs66jmjYmZq0_yJLC4QAQ9RZ8t5Pg0AoQJEbzkBjNzhPN3Maiw07Nj3L=w1200|https://lh3.googleusercontent.com/pw/AP1GczO-uO14vYU3bZSSsfNNLikRjf5_hRhCxLqugsAj2rP29-eI8zn69E2KVwtSs1E08RRWZKqtkMpSGpQ-lZBIc-wxAKnz1Dqj1d6zcUB9piRKbpmR-vS_=w1200|https://lh3.googleusercontent.com/pw/AP1GczMT22OQ2N2nnE3PO1FucS088rvMZRfx7av2pEqXDz7PTzbspFb5NKYy-HxMYkxAJKpdw76v6kJoKs1sVGQk0TFRlL9a5vycgP_oojC9VPIJ64jMjDkI=w1200|https://lh3.googleusercontent.com/pw/AP1GczMQf5kDQT3qT4J2plE_pmXtgpxhSbt6QMjbjHbSJI2Af7vDLum7ax5ttJSRc044ivXanWTfPaRyDbVhrUfI_0QljQ7e38Z5jX6NDZnOJdPVjwOMdadc=w1200|https://lh3.googleusercontent.com/pw/AP1GczNs_WD9sbW2mzNBaCypRlVbb8Qczgd6HShtPXZeP92mPtQx0gr2cE4HwYI5FkWXOndzkVU36Ht4m0MlXzreK4Ga9fo_TvyC-oUgnkErVOYv6Cj-nu2u=w1200</v>
      </c>
      <c r="AJ491" s="46"/>
      <c r="AK491" s="46"/>
      <c r="AL491" s="46"/>
      <c r="AM491" s="46"/>
      <c r="AN491" s="46"/>
      <c r="AO491" s="46"/>
      <c r="AP491" s="46"/>
      <c r="AQ491" s="46"/>
      <c r="AR491" s="46"/>
      <c r="AS491" s="46"/>
      <c r="AT491" s="46"/>
      <c r="AU491" s="46"/>
      <c r="AV491" s="46"/>
      <c r="AW491" s="46"/>
      <c r="AX491" s="46"/>
      <c r="AY491" s="46"/>
      <c r="AZ491" s="46"/>
      <c r="BA491" s="46"/>
      <c r="BB491" s="46"/>
      <c r="BC491" s="46"/>
      <c r="BD491" s="46"/>
      <c r="BE491" s="46"/>
      <c r="BF491" s="46"/>
      <c r="BG491" s="46"/>
      <c r="BH491" s="46"/>
      <c r="BI491" s="46"/>
      <c r="BJ491" s="46"/>
      <c r="BK491" s="46"/>
      <c r="BL491" s="46"/>
      <c r="BM491" s="46"/>
      <c r="BN491" s="46"/>
      <c r="BO491" s="46"/>
      <c r="BP491" s="46"/>
      <c r="BQ491" s="46"/>
      <c r="BR491" s="46"/>
      <c r="BS491" s="46"/>
      <c r="BT491" s="46"/>
      <c r="BU491" s="46"/>
      <c r="BV491" s="46"/>
      <c r="BW491" s="46"/>
      <c r="BX491" s="46"/>
      <c r="BY491" s="46"/>
      <c r="BZ491" s="46"/>
      <c r="CA491" s="46"/>
      <c r="CB491" s="46"/>
      <c r="CC491" s="46"/>
    </row>
    <row r="492">
      <c r="A492" s="87" t="str">
        <f>IFERROR(__xludf.DUMMYFUNCTION("""COMPUTED_VALUE"""),"864")</f>
        <v>864</v>
      </c>
      <c r="B492" s="46" t="str">
        <f>IFERROR(__xludf.DUMMYFUNCTION("""COMPUTED_VALUE"""),"Apartamento en conjunto Bosques de Tamarindo - Norte")</f>
        <v>Apartamento en conjunto Bosques de Tamarindo - Norte</v>
      </c>
      <c r="C492" s="46" t="str">
        <f>IFERROR(__xludf.DUMMYFUNCTION("""COMPUTED_VALUE"""),"Apartamento en conjunto")</f>
        <v>Apartamento en conjunto</v>
      </c>
      <c r="D492" s="46" t="str">
        <f>IFERROR(__xludf.DUMMYFUNCTION("""COMPUTED_VALUE"""),"Las Granjas")</f>
        <v>Las Granjas</v>
      </c>
      <c r="E492" s="46" t="str">
        <f>IFERROR(__xludf.DUMMYFUNCTION("""COMPUTED_VALUE"""),"Conjunto Bosques de Tamarindo")</f>
        <v>Conjunto Bosques de Tamarindo</v>
      </c>
      <c r="F492" s="90">
        <f>IFERROR(__xludf.DUMMYFUNCTION("""COMPUTED_VALUE"""),2.5E8)</f>
        <v>250000000</v>
      </c>
      <c r="G492" s="46" t="str">
        <f>IFERROR(__xludf.DUMMYFUNCTION("""COMPUTED_VALUE"""),"$200'000.000 a $300'000.000")</f>
        <v>$200'000.000 a $300'000.000</v>
      </c>
      <c r="H492" s="46"/>
      <c r="I492" s="46"/>
      <c r="J492" s="46" t="str">
        <f>IFERROR(__xludf.DUMMYFUNCTION("""COMPUTED_VALUE"""),"Norte")</f>
        <v>Norte</v>
      </c>
      <c r="K492" s="87" t="str">
        <f>IFERROR(__xludf.DUMMYFUNCTION("""COMPUTED_VALUE"""),"2")</f>
        <v>2</v>
      </c>
      <c r="L492" s="46">
        <f>IFERROR(__xludf.DUMMYFUNCTION("""COMPUTED_VALUE"""),3.0)</f>
        <v>3</v>
      </c>
      <c r="M492" s="46"/>
      <c r="N492" s="46">
        <f>IFERROR(__xludf.DUMMYFUNCTION("""COMPUTED_VALUE"""),2.0)</f>
        <v>2</v>
      </c>
      <c r="O492" s="46">
        <f>IFERROR(__xludf.DUMMYFUNCTION("""COMPUTED_VALUE"""),1.0)</f>
        <v>1</v>
      </c>
      <c r="P492" s="46">
        <f>IFERROR(__xludf.DUMMYFUNCTION("""COMPUTED_VALUE"""),4.0)</f>
        <v>4</v>
      </c>
      <c r="Q492" s="92">
        <f>IFERROR(__xludf.DUMMYFUNCTION("""COMPUTED_VALUE"""),97.0)</f>
        <v>97</v>
      </c>
      <c r="R492" s="92">
        <f>IFERROR(__xludf.DUMMYFUNCTION("""COMPUTED_VALUE"""),97.0)</f>
        <v>97</v>
      </c>
      <c r="S492" s="87" t="str">
        <f>IFERROR(__xludf.DUMMYFUNCTION("""COMPUTED_VALUE""")," ")</f>
        <v> </v>
      </c>
      <c r="T492" s="46" t="str">
        <f>IFERROR(__xludf.DUMMYFUNCTION("""COMPUTED_VALUE"""),"Neiva")</f>
        <v>Neiva</v>
      </c>
      <c r="U492" s="87" t="str">
        <f>IFERROR(__xludf.DUMMYFUNCTION("""COMPUTED_VALUE"""),"3")</f>
        <v>3</v>
      </c>
      <c r="V492" s="46" t="str">
        <f>IFERROR(__xludf.DUMMYFUNCTION("""COMPUTED_VALUE"""),"4to.")</f>
        <v>4to.</v>
      </c>
      <c r="W492" s="46"/>
      <c r="X492" s="46">
        <f>IFERROR(__xludf.DUMMYFUNCTION("""COMPUTED_VALUE"""),3.0)</f>
        <v>3</v>
      </c>
      <c r="Y492" s="46" t="str">
        <f>IFERROR(__xludf.DUMMYFUNCTION("""COMPUTED_VALUE"""),"Social")</f>
        <v>Social</v>
      </c>
      <c r="Z492" s="90">
        <f>IFERROR(__xludf.DUMMYFUNCTION("""COMPUTED_VALUE"""),312000.0)</f>
        <v>312000</v>
      </c>
      <c r="AA492" s="33" t="str">
        <f>IFERROR(__xludf.DUMMYFUNCTION("""COMPUTED_VALUE"""),"No aplica")</f>
        <v>No aplica</v>
      </c>
      <c r="AB492" s="96" t="str">
        <f>IFERROR(__xludf.DUMMYFUNCTION("""COMPUTED_VALUE"""),"https://photos.app.goo.gl/oAjsUBP74T4MBJqc8")</f>
        <v>https://photos.app.goo.gl/oAjsUBP74T4MBJqc8</v>
      </c>
      <c r="AC492" s="46" t="str">
        <f>IFERROR(__xludf.DUMMYFUNCTION("""COMPUTED_VALUE"""),"Este exclusivo apartamento de 97 m², ubicado en el cuarto piso del Conjunto Bosques de Tamarindo (norte de Neiva), destaca por su diseño fresco y funcional. Cuenta con 3 amplias habitaciones con clóset de madera, 2 baños cabinados, cuarto de servicio y un"&amp;"a zona de estudio ideal para el teletrabajo. Su zona social integra a la perfección una sala-comedor amplia e iluminada, cocina integral con barra, balcón-terraza y zona de lavandería independiente, garantizando máxima comodidad familiar.")</f>
        <v>Este exclusivo apartamento de 97 m², ubicado en el cuarto piso del Conjunto Bosques de Tamarindo (norte de Neiva), destaca por su diseño fresco y funcional. Cuenta con 3 amplias habitaciones con clóset de madera, 2 baños cabinados, cuarto de servicio y una zona de estudio ideal para el teletrabajo. Su zona social integra a la perfección una sala-comedor amplia e iluminada, cocina integral con barra, balcón-terraza y zona de lavandería independiente, garantizando máxima comodidad familiar.</v>
      </c>
      <c r="AD492" s="46" t="str">
        <f>IFERROR(__xludf.DUMMYFUNCTION("""COMPUTED_VALUE"""),"¡Una oportunidad única de inversión en la zona de mayor valorización de Neiva! Disfrutarás de un hogar estratégico con parqueadero propio y exclusivas zonas comunes (portería, sala de espera y salón social). Su ubicación privilegia un estilo de vida sin c"&amp;"omplicaciones, ofreciendo acceso inmediato a las principales vías, colegios de primer nivel, supermercados y el mejor comercio de la ciudad. ¡Perfecto para vivir con el estatus y el confort que tu familia merece hoy mismo!")</f>
        <v>¡Una oportunidad única de inversión en la zona de mayor valorización de Neiva! Disfrutarás de un hogar estratégico con parqueadero propio y exclusivas zonas comunes (portería, sala de espera y salón social). Su ubicación privilegia un estilo de vida sin complicaciones, ofreciendo acceso inmediato a las principales vías, colegios de primer nivel, supermercados y el mejor comercio de la ciudad. ¡Perfecto para vivir con el estatus y el confort que tu familia merece hoy mismo!</v>
      </c>
      <c r="AE492" s="46"/>
      <c r="AF492" s="46" t="str">
        <f>IFERROR(__xludf.DUMMYFUNCTION("""COMPUTED_VALUE"""),"integral")</f>
        <v>integral</v>
      </c>
      <c r="AG492" s="46"/>
      <c r="AH492" s="46" t="str">
        <f>IFERROR(__xludf.DUMMYFUNCTION("""COMPUTED_VALUE"""),"Aliado")</f>
        <v>Aliado</v>
      </c>
      <c r="AI492" s="92" t="str">
        <f>IFERROR(__xludf.DUMMYFUNCTION("""COMPUTED_VALUE"""),"https://lh3.googleusercontent.com/pw/AP1GczPFsj3dS-3gJ7hOqKYyeJkkDu9xT8Q3T0gtXfqoDrgqJTyMjuy4TTAa_pneq07ISuKiApWLyez6rEEIV0tGBVYHwdzV_gXutgoutYKCwuhOh6lI9rOj=w1200|https://lh3.googleusercontent.com/pw/AP1GczNitPDDVvN7cushyCDETGSNs4Xf2htkE3otlwwAJmc1WrkyRR"&amp;"C1_AfL5dohnMOi0OirKQnjRt0WW14GcJ-7Sz5s8Cz-s8J9JJgao1nCMYVhiLL1w7KH=w1200|https://lh3.googleusercontent.com/pw/AP1GczPcu299xw2Hoq8fj-ptrEYvaYTw37rPJ_4xq3753ZrAdcp1MNajHob91LPWciUJS6Dmz39gzZgxSgk_KoMC18T6filLRpzg6a6rYNIr45CXzGtRRzrB=w1200|https://lh3.google"&amp;"usercontent.com/pw/AP1GczMUf0uBcTQlk2XytS3ySwCdS-d0SZ8wPdO16tnGY-fzYzNoEunuW9LaIzXTBn6YyhhhqoBwUYyQrrVuMIUyXZrCS0Dtb8rxoi3BXp0qbyP228Vhv1S0=w1200|https://lh3.googleusercontent.com/pw/AP1GczO25ExN2Gtw06kabYVG8abjstT69y6INy3WUtuwaivdBApqoZRJjzRMDdNsqiiu4ZqS"&amp;"x4X2yv4AcFNWsJDHZ_-JjU7ew3SYH7CuQVu696MqYhKA7dH6=w1200|https://lh3.googleusercontent.com/pw/AP1GczMrovjNrqR-_HXUbZ-XGkYRRq_nbdyIi7LZfDkXLnppuswznt7GLPeJJc1TWEv7HtKkZqbO4gIBPPx9YOpnXxm_1qjOhWYDJXT9fEc60lY1hXb25g4q=w1200|https://lh3.googleusercontent.com/pw"&amp;"/AP1GczNlX9s6JPw1V8BRsWB01P26Dr4Byq5snH9-XeA-5PSIt-H8ChLEbVEl-wtotXRykC7_KmEOfabDPpogCtrF3MFSQLHMRnJ_y8FI5HlVs0Lo0UyyLXyR=w1200|https://lh3.googleusercontent.com/pw/AP1GczMXILworgrcN5tReUfwt6q9TKu0VXeVHd0k8NmhoVBRXJH9rMUWKKMv9jSy6kxWX9xdzmspksSPDSmmaChlpb"&amp;"K78SS6CL5zeAUGZVzujyHlNyMp_NnA=w1200|https://lh3.googleusercontent.com/pw/AP1GczNGv560Tw6E_x96mkEQG7iQHVsUJdQFNjGMhy9Bm8tASKcskWwO4AGndWuR-QTk-byoM4TS1actUYuSqs6WdPEGhlZkSAvuWYZaFWU9Rj_aEK8C6BZE=w1200|https://lh3.googleusercontent.com/pw/AP1GczMi-VmHqatwL"&amp;"4Hn1K9zTx7v7IoDXt9qJePdQf6SKHEC97rKhi2HTKyRLJG1NsBlmSzA-UAufwHSAXdGNTCiQ44j-D8MqfLPmcvRGMQC58TH4YvDOTgC=w1200|https://lh3.googleusercontent.com/pw/AP1GczM64taOVoJdZqedPve3zdAp0tNggNhBJO08tLZoV8gJ5-l1vYtopthnx_F-bMCA3YqEZayv5-7ViNO9hEj2Mpdf-abz63lOpwDd33YG"&amp;"7uCbojhY13uU=w1200|https://lh3.googleusercontent.com/pw/AP1GczOxY7wVrcHPyMqGJkVGzb9mDargvfumOcgpZMXfibM5ntlpjq_dceS1JEppbWXT1m0IwcMLPbBXtUmjubEcMIDGslOLbGfozZ1SbYunTky9LSoeLwuy=w1200|https://lh3.googleusercontent.com/pw/AP1GczPNZs0vdPLRunaQQf-pr_1WJvsw8-J"&amp;"34pLD9S5VtX04tYteK4r8pf6zt26zDMpFW9gVmlbdW1l7sRsUfXiFfGODEf-fhCx05ZAFZ6zsKbf4aYzkX3xh=w1200|https://lh3.googleusercontent.com/pw/AP1GczPxBHHS7j-DyjGPFbjO-YOxkrrBxq_UOlaQyHv_y9ImshXQpP7md00pkonByWvFURxMNobkAx6qmEyqp2YnMyEH6dN1sA7mHTWta0mNFdx_CC--g0tN=w1200"&amp;"|https://lh3.googleusercontent.com/pw/AP1GczM06SH-DNsabC4sJ6B1STb9oP6Y6wLmXhvE5s4Cq_MQaMxEGFHvWCJ6_fhOC_n1glyuIOZ4fhEg78THqQ3WACowmbnf_mISDyGKopqG0h6IOgdZtWOM=w1200|https://lh3.googleusercontent.com/pw/AP1GczO8IQ3GSl5uK6Jza5qyN1h1-f6PKm1V3Kdkls2h5UyXL7vJm"&amp;"yXPOGENg3anBYwm_ug-tQS_58nQ1hhv87xQSmd0l5ODQRag-9jhUUxjVsYpUurXLrty=w1200|https://lh3.googleusercontent.com/pw/AP1GczMNfWbwI4HodLlJjE0prSwaYAaZcY-665BxDwpegnAzq_Sw0PTqMkcfaXB-nuWNIG9xiVn1XNeuzx9qOk6N1H0SZhvfzYysJVRF7MiYzuXs-RInTv78=w1200")</f>
        <v>https://lh3.googleusercontent.com/pw/AP1GczPFsj3dS-3gJ7hOqKYyeJkkDu9xT8Q3T0gtXfqoDrgqJTyMjuy4TTAa_pneq07ISuKiApWLyez6rEEIV0tGBVYHwdzV_gXutgoutYKCwuhOh6lI9rOj=w1200|https://lh3.googleusercontent.com/pw/AP1GczNitPDDVvN7cushyCDETGSNs4Xf2htkE3otlwwAJmc1WrkyRRC1_AfL5dohnMOi0OirKQnjRt0WW14GcJ-7Sz5s8Cz-s8J9JJgao1nCMYVhiLL1w7KH=w1200|https://lh3.googleusercontent.com/pw/AP1GczPcu299xw2Hoq8fj-ptrEYvaYTw37rPJ_4xq3753ZrAdcp1MNajHob91LPWciUJS6Dmz39gzZgxSgk_KoMC18T6filLRpzg6a6rYNIr45CXzGtRRzrB=w1200|https://lh3.googleusercontent.com/pw/AP1GczMUf0uBcTQlk2XytS3ySwCdS-d0SZ8wPdO16tnGY-fzYzNoEunuW9LaIzXTBn6YyhhhqoBwUYyQrrVuMIUyXZrCS0Dtb8rxoi3BXp0qbyP228Vhv1S0=w1200|https://lh3.googleusercontent.com/pw/AP1GczO25ExN2Gtw06kabYVG8abjstT69y6INy3WUtuwaivdBApqoZRJjzRMDdNsqiiu4ZqSx4X2yv4AcFNWsJDHZ_-JjU7ew3SYH7CuQVu696MqYhKA7dH6=w1200|https://lh3.googleusercontent.com/pw/AP1GczMrovjNrqR-_HXUbZ-XGkYRRq_nbdyIi7LZfDkXLnppuswznt7GLPeJJc1TWEv7HtKkZqbO4gIBPPx9YOpnXxm_1qjOhWYDJXT9fEc60lY1hXb25g4q=w1200|https://lh3.googleusercontent.com/pw/AP1GczNlX9s6JPw1V8BRsWB01P26Dr4Byq5snH9-XeA-5PSIt-H8ChLEbVEl-wtotXRykC7_KmEOfabDPpogCtrF3MFSQLHMRnJ_y8FI5HlVs0Lo0UyyLXyR=w1200|https://lh3.googleusercontent.com/pw/AP1GczMXILworgrcN5tReUfwt6q9TKu0VXeVHd0k8NmhoVBRXJH9rMUWKKMv9jSy6kxWX9xdzmspksSPDSmmaChlpbK78SS6CL5zeAUGZVzujyHlNyMp_NnA=w1200|https://lh3.googleusercontent.com/pw/AP1GczNGv560Tw6E_x96mkEQG7iQHVsUJdQFNjGMhy9Bm8tASKcskWwO4AGndWuR-QTk-byoM4TS1actUYuSqs6WdPEGhlZkSAvuWYZaFWU9Rj_aEK8C6BZE=w1200|https://lh3.googleusercontent.com/pw/AP1GczMi-VmHqatwL4Hn1K9zTx7v7IoDXt9qJePdQf6SKHEC97rKhi2HTKyRLJG1NsBlmSzA-UAufwHSAXdGNTCiQ44j-D8MqfLPmcvRGMQC58TH4YvDOTgC=w1200|https://lh3.googleusercontent.com/pw/AP1GczM64taOVoJdZqedPve3zdAp0tNggNhBJO08tLZoV8gJ5-l1vYtopthnx_F-bMCA3YqEZayv5-7ViNO9hEj2Mpdf-abz63lOpwDd33YG7uCbojhY13uU=w1200|https://lh3.googleusercontent.com/pw/AP1GczOxY7wVrcHPyMqGJkVGzb9mDargvfumOcgpZMXfibM5ntlpjq_dceS1JEppbWXT1m0IwcMLPbBXtUmjubEcMIDGslOLbGfozZ1SbYunTky9LSoeLwuy=w1200|https://lh3.googleusercontent.com/pw/AP1GczPNZs0vdPLRunaQQf-pr_1WJvsw8-J34pLD9S5VtX04tYteK4r8pf6zt26zDMpFW9gVmlbdW1l7sRsUfXiFfGODEf-fhCx05ZAFZ6zsKbf4aYzkX3xh=w1200|https://lh3.googleusercontent.com/pw/AP1GczPxBHHS7j-DyjGPFbjO-YOxkrrBxq_UOlaQyHv_y9ImshXQpP7md00pkonByWvFURxMNobkAx6qmEyqp2YnMyEH6dN1sA7mHTWta0mNFdx_CC--g0tN=w1200|https://lh3.googleusercontent.com/pw/AP1GczM06SH-DNsabC4sJ6B1STb9oP6Y6wLmXhvE5s4Cq_MQaMxEGFHvWCJ6_fhOC_n1glyuIOZ4fhEg78THqQ3WACowmbnf_mISDyGKopqG0h6IOgdZtWOM=w1200|https://lh3.googleusercontent.com/pw/AP1GczO8IQ3GSl5uK6Jza5qyN1h1-f6PKm1V3Kdkls2h5UyXL7vJmyXPOGENg3anBYwm_ug-tQS_58nQ1hhv87xQSmd0l5ODQRag-9jhUUxjVsYpUurXLrty=w1200|https://lh3.googleusercontent.com/pw/AP1GczMNfWbwI4HodLlJjE0prSwaYAaZcY-665BxDwpegnAzq_Sw0PTqMkcfaXB-nuWNIG9xiVn1XNeuzx9qOk6N1H0SZhvfzYysJVRF7MiYzuXs-RInTv78=w1200</v>
      </c>
      <c r="AJ492" s="46"/>
      <c r="AK492" s="46"/>
      <c r="AL492" s="46"/>
      <c r="AM492" s="46"/>
      <c r="AN492" s="46"/>
      <c r="AO492" s="46"/>
      <c r="AP492" s="46"/>
      <c r="AQ492" s="46"/>
      <c r="AR492" s="46"/>
      <c r="AS492" s="46"/>
      <c r="AT492" s="46"/>
      <c r="AU492" s="46"/>
      <c r="AV492" s="46"/>
      <c r="AW492" s="46"/>
      <c r="AX492" s="46"/>
      <c r="AY492" s="46"/>
      <c r="AZ492" s="46"/>
      <c r="BA492" s="46"/>
      <c r="BB492" s="46"/>
      <c r="BC492" s="46"/>
      <c r="BD492" s="46"/>
      <c r="BE492" s="46"/>
      <c r="BF492" s="46"/>
      <c r="BG492" s="46"/>
      <c r="BH492" s="46"/>
      <c r="BI492" s="46"/>
      <c r="BJ492" s="46"/>
      <c r="BK492" s="46"/>
      <c r="BL492" s="46"/>
      <c r="BM492" s="46"/>
      <c r="BN492" s="46"/>
      <c r="BO492" s="46"/>
      <c r="BP492" s="46"/>
      <c r="BQ492" s="46"/>
      <c r="BR492" s="46"/>
      <c r="BS492" s="46"/>
      <c r="BT492" s="46"/>
      <c r="BU492" s="46"/>
      <c r="BV492" s="46"/>
      <c r="BW492" s="46"/>
      <c r="BX492" s="46"/>
      <c r="BY492" s="46"/>
      <c r="BZ492" s="46"/>
      <c r="CA492" s="46"/>
      <c r="CB492" s="46"/>
      <c r="CC492" s="46"/>
    </row>
    <row r="493">
      <c r="A493" s="87" t="str">
        <f>IFERROR(__xludf.DUMMYFUNCTION("""COMPUTED_VALUE"""),"871")</f>
        <v>871</v>
      </c>
      <c r="B493" s="46" t="str">
        <f>IFERROR(__xludf.DUMMYFUNCTION("""COMPUTED_VALUE"""),"Apartamento en conjunto Residencial Palmeiras - Sur")</f>
        <v>Apartamento en conjunto Residencial Palmeiras - Sur</v>
      </c>
      <c r="C493" s="46" t="str">
        <f>IFERROR(__xludf.DUMMYFUNCTION("""COMPUTED_VALUE"""),"Apartamento en conjunto")</f>
        <v>Apartamento en conjunto</v>
      </c>
      <c r="D493" s="46" t="str">
        <f>IFERROR(__xludf.DUMMYFUNCTION("""COMPUTED_VALUE"""),"Canaima")</f>
        <v>Canaima</v>
      </c>
      <c r="E493" s="46" t="str">
        <f>IFERROR(__xludf.DUMMYFUNCTION("""COMPUTED_VALUE"""),"Conjunto Residencial Palmeiras")</f>
        <v>Conjunto Residencial Palmeiras</v>
      </c>
      <c r="F493" s="90">
        <f>IFERROR(__xludf.DUMMYFUNCTION("""COMPUTED_VALUE"""),2.4E8)</f>
        <v>240000000</v>
      </c>
      <c r="G493" s="46" t="str">
        <f>IFERROR(__xludf.DUMMYFUNCTION("""COMPUTED_VALUE"""),"$200'000.000 a $300'000.000")</f>
        <v>$200'000.000 a $300'000.000</v>
      </c>
      <c r="H493" s="46"/>
      <c r="I493" s="46"/>
      <c r="J493" s="46" t="str">
        <f>IFERROR(__xludf.DUMMYFUNCTION("""COMPUTED_VALUE"""),"Sur")</f>
        <v>Sur</v>
      </c>
      <c r="K493" s="87" t="str">
        <f>IFERROR(__xludf.DUMMYFUNCTION("""COMPUTED_VALUE"""),"6")</f>
        <v>6</v>
      </c>
      <c r="L493" s="46">
        <f>IFERROR(__xludf.DUMMYFUNCTION("""COMPUTED_VALUE"""),3.0)</f>
        <v>3</v>
      </c>
      <c r="M493" s="46"/>
      <c r="N493" s="46">
        <f>IFERROR(__xludf.DUMMYFUNCTION("""COMPUTED_VALUE"""),2.0)</f>
        <v>2</v>
      </c>
      <c r="O493" s="46">
        <f>IFERROR(__xludf.DUMMYFUNCTION("""COMPUTED_VALUE"""),1.0)</f>
        <v>1</v>
      </c>
      <c r="P493" s="46">
        <f>IFERROR(__xludf.DUMMYFUNCTION("""COMPUTED_VALUE"""),1.0)</f>
        <v>1</v>
      </c>
      <c r="Q493" s="92">
        <f>IFERROR(__xludf.DUMMYFUNCTION("""COMPUTED_VALUE"""),75.0)</f>
        <v>75</v>
      </c>
      <c r="R493" s="92">
        <f>IFERROR(__xludf.DUMMYFUNCTION("""COMPUTED_VALUE"""),75.0)</f>
        <v>75</v>
      </c>
      <c r="S493" s="87" t="str">
        <f>IFERROR(__xludf.DUMMYFUNCTION("""COMPUTED_VALUE""")," ")</f>
        <v> </v>
      </c>
      <c r="T493" s="46" t="str">
        <f>IFERROR(__xludf.DUMMYFUNCTION("""COMPUTED_VALUE"""),"Neiva")</f>
        <v>Neiva</v>
      </c>
      <c r="U493" s="87" t="str">
        <f>IFERROR(__xludf.DUMMYFUNCTION("""COMPUTED_VALUE"""),"3")</f>
        <v>3</v>
      </c>
      <c r="V493" s="46" t="str">
        <f>IFERROR(__xludf.DUMMYFUNCTION("""COMPUTED_VALUE"""),"1ro.")</f>
        <v>1ro.</v>
      </c>
      <c r="W493" s="46"/>
      <c r="X493" s="46">
        <f>IFERROR(__xludf.DUMMYFUNCTION("""COMPUTED_VALUE"""),3.0)</f>
        <v>3</v>
      </c>
      <c r="Y493" s="46" t="str">
        <f>IFERROR(__xludf.DUMMYFUNCTION("""COMPUTED_VALUE"""),"Social")</f>
        <v>Social</v>
      </c>
      <c r="Z493" s="90">
        <f>IFERROR(__xludf.DUMMYFUNCTION("""COMPUTED_VALUE"""),280000.0)</f>
        <v>280000</v>
      </c>
      <c r="AA493" s="33" t="str">
        <f>IFERROR(__xludf.DUMMYFUNCTION("""COMPUTED_VALUE"""),"No aplica")</f>
        <v>No aplica</v>
      </c>
      <c r="AB493" s="96" t="str">
        <f>IFERROR(__xludf.DUMMYFUNCTION("""COMPUTED_VALUE"""),"https://photos.app.goo.gl/N4WkvTbnvAgNh1B19")</f>
        <v>https://photos.app.goo.gl/N4WkvTbnvAgNh1B19</v>
      </c>
      <c r="AC493" s="46" t="str">
        <f>IFERROR(__xludf.DUMMYFUNCTION("""COMPUTED_VALUE"""),"Este apartamento en primer piso ($75\text{ m}^2$) ofrece una distribución funcional y abierta, destacando una amplia sala-comedor y una moderna cocina integral. Cuenta con tres habitaciones con excelente ventilación natural, incluyendo la principal con ba"&amp;"ño privado y balcón independiente, además de un segundo baño completo y parqueadero propio.")</f>
        <v>Este apartamento en primer piso ($75\text{ m}^2$) ofrece una distribución funcional y abierta, destacando una amplia sala-comedor y una moderna cocina integral. Cuenta con tres habitaciones con excelente ventilación natural, incluyendo la principal con baño privado y balcón independiente, además de un segundo baño completo y parqueadero propio.</v>
      </c>
      <c r="AD493" s="46" t="str">
        <f>IFERROR(__xludf.DUMMYFUNCTION("""COMPUTED_VALUE"""),"Ubicado estratégicamente en la zona sur, a pocas cuadras de la Fiscalía, este inmueble destaca por su frescura, gran iluminación y su entorno seguro. El conjunto ofrece un estilo de vida premium con piscina, gimnasio, salón social y parque infantil, convi"&amp;"rtiéndolo en la opción ideal de alta valorización.")</f>
        <v>Ubicado estratégicamente en la zona sur, a pocas cuadras de la Fiscalía, este inmueble destaca por su frescura, gran iluminación y su entorno seguro. El conjunto ofrece un estilo de vida premium con piscina, gimnasio, salón social y parque infantil, convirtiéndolo en la opción ideal de alta valorización.</v>
      </c>
      <c r="AE493" s="46"/>
      <c r="AF493" s="46" t="str">
        <f>IFERROR(__xludf.DUMMYFUNCTION("""COMPUTED_VALUE"""),"integral")</f>
        <v>integral</v>
      </c>
      <c r="AG493" s="46"/>
      <c r="AH493" s="46" t="str">
        <f>IFERROR(__xludf.DUMMYFUNCTION("""COMPUTED_VALUE"""),"Aliado")</f>
        <v>Aliado</v>
      </c>
      <c r="AI493" s="92" t="str">
        <f>IFERROR(__xludf.DUMMYFUNCTION("""COMPUTED_VALUE"""),"https://lh3.googleusercontent.com/pw/AP1GczMYVAUCEF7u9UZ7nblasBcY3KHxaLgJbsrAUKmA39eqMey5kIH2CtM4fWx3igpwn7RRhTe1JwcehEPDYucm0UoIXQRnXcRpWdJb9xk10A4rHBPaCadJ=w1200|https://lh3.googleusercontent.com/pw/AP1GczNFviFWAnDkS_Yy8NLCKy7c2PKkrD3E7yy8Gig5Zz106cEVV1"&amp;"FGNYrQ6hNExuCFznDz32h6vh_toM3ioijRnYOsJ-R8hMLQ6mJpkJxa2CRvKh_IcfNk=w1200|https://lh3.googleusercontent.com/pw/AP1GczPcqdcIscMIoDOu3rVJnXgYibb-T-G6yl_tFVASh4--e4A_3lLr7AANRfLMs_nDsY_lNQYtC4cB4Pr7QtE5Z-LNmaw-S9BEQoXupQUCp8ihAQOK_Ln1=w1200|https://lh3.google"&amp;"usercontent.com/pw/AP1GczPb_EJBuoJBbNvUGRxgWztMuil0cs6m1MLI6ElA5NjrdpVEGuxJs4-7j09wtV6_fR2ZrTPol0uephExKdEqovbgeXtyuwiHKzTCls_opSxddnEl82ax=w1200|https://lh3.googleusercontent.com/pw/AP1GczMWkoIYZlE7hoc6DUzuBylXEoRmleqK99F5UtXtNCkYwcdrpd4VUUg__2-jBC3ihrvt"&amp;"y36acnSeWTEtHe39m3yN9u3c2ljrrCrYphZCQ0DvY82kwpbH=w1200|https://lh3.googleusercontent.com/pw/AP1GczOFiavfFXbYvNQLjMUrrtBwLtbEZLMN3gfhBgde7vB_qBz3_PdSahhzPc3wEs9tmvmi7NE1a3hYLC8-RHa5pnrRFjxmWVq400m7jkUm5cZ-ujyPfjhQ=w1200|https://lh3.googleusercontent.com/pw"&amp;"/AP1GczNLC-hAY8eXFWM8YZTn8FXlU51U0ztwSnn0CLLmI7BMRcDx_oRiCz8GOd2a1ATcCD5ZgxFL-tkaKWJCXlfFvn8D2VtPUJoIfywuhwCAg8EVz2Xk1NBS=w1200|https://lh3.googleusercontent.com/pw/AP1GczPsdO3s_aCtfY2B__YbjWBXbO9d2LlTwKUaGddHQjLZeJ02qrvEF-1EszjVhI9mFagTDBSx_L7ZW3bm2i52k7"&amp;"pOz7wO0NMwNp272Qej7HIpfhQOX8Sy=w1200|https://lh3.googleusercontent.com/pw/AP1GczNVbp1hug112xE34RgkHxmoqqHcCMUgM-2Pa9X3ppNqmhcWpw0yQDrgbxJWf7debDGZwUGffwowmhaZuZafhw0CjvOOjSPqOUTJ6uY66Fnways5da9r=w1200|https://lh3.googleusercontent.com/pw/AP1GczP3ePZDWHYuB"&amp;"THpi54TtUl-MeS0nZtg7_V2mh9l3UgU5iFgJy3SogWHmbzo__nVC9AXf6acxMNsEPVwPNc280hmcru5CR1ouQvVEyL7dSYRVA9HoVQB=w1200")</f>
        <v>https://lh3.googleusercontent.com/pw/AP1GczMYVAUCEF7u9UZ7nblasBcY3KHxaLgJbsrAUKmA39eqMey5kIH2CtM4fWx3igpwn7RRhTe1JwcehEPDYucm0UoIXQRnXcRpWdJb9xk10A4rHBPaCadJ=w1200|https://lh3.googleusercontent.com/pw/AP1GczNFviFWAnDkS_Yy8NLCKy7c2PKkrD3E7yy8Gig5Zz106cEVV1FGNYrQ6hNExuCFznDz32h6vh_toM3ioijRnYOsJ-R8hMLQ6mJpkJxa2CRvKh_IcfNk=w1200|https://lh3.googleusercontent.com/pw/AP1GczPcqdcIscMIoDOu3rVJnXgYibb-T-G6yl_tFVASh4--e4A_3lLr7AANRfLMs_nDsY_lNQYtC4cB4Pr7QtE5Z-LNmaw-S9BEQoXupQUCp8ihAQOK_Ln1=w1200|https://lh3.googleusercontent.com/pw/AP1GczPb_EJBuoJBbNvUGRxgWztMuil0cs6m1MLI6ElA5NjrdpVEGuxJs4-7j09wtV6_fR2ZrTPol0uephExKdEqovbgeXtyuwiHKzTCls_opSxddnEl82ax=w1200|https://lh3.googleusercontent.com/pw/AP1GczMWkoIYZlE7hoc6DUzuBylXEoRmleqK99F5UtXtNCkYwcdrpd4VUUg__2-jBC3ihrvty36acnSeWTEtHe39m3yN9u3c2ljrrCrYphZCQ0DvY82kwpbH=w1200|https://lh3.googleusercontent.com/pw/AP1GczOFiavfFXbYvNQLjMUrrtBwLtbEZLMN3gfhBgde7vB_qBz3_PdSahhzPc3wEs9tmvmi7NE1a3hYLC8-RHa5pnrRFjxmWVq400m7jkUm5cZ-ujyPfjhQ=w1200|https://lh3.googleusercontent.com/pw/AP1GczNLC-hAY8eXFWM8YZTn8FXlU51U0ztwSnn0CLLmI7BMRcDx_oRiCz8GOd2a1ATcCD5ZgxFL-tkaKWJCXlfFvn8D2VtPUJoIfywuhwCAg8EVz2Xk1NBS=w1200|https://lh3.googleusercontent.com/pw/AP1GczPsdO3s_aCtfY2B__YbjWBXbO9d2LlTwKUaGddHQjLZeJ02qrvEF-1EszjVhI9mFagTDBSx_L7ZW3bm2i52k7pOz7wO0NMwNp272Qej7HIpfhQOX8Sy=w1200|https://lh3.googleusercontent.com/pw/AP1GczNVbp1hug112xE34RgkHxmoqqHcCMUgM-2Pa9X3ppNqmhcWpw0yQDrgbxJWf7debDGZwUGffwowmhaZuZafhw0CjvOOjSPqOUTJ6uY66Fnways5da9r=w1200|https://lh3.googleusercontent.com/pw/AP1GczP3ePZDWHYuBTHpi54TtUl-MeS0nZtg7_V2mh9l3UgU5iFgJy3SogWHmbzo__nVC9AXf6acxMNsEPVwPNc280hmcru5CR1ouQvVEyL7dSYRVA9HoVQB=w1200</v>
      </c>
      <c r="AJ493" s="46"/>
      <c r="AK493" s="46"/>
      <c r="AL493" s="46"/>
      <c r="AM493" s="46"/>
      <c r="AN493" s="46"/>
      <c r="AO493" s="46"/>
      <c r="AP493" s="46"/>
      <c r="AQ493" s="46"/>
      <c r="AR493" s="46"/>
      <c r="AS493" s="46"/>
      <c r="AT493" s="46"/>
      <c r="AU493" s="46"/>
      <c r="AV493" s="46"/>
      <c r="AW493" s="46"/>
      <c r="AX493" s="46"/>
      <c r="AY493" s="46"/>
      <c r="AZ493" s="46"/>
      <c r="BA493" s="46"/>
      <c r="BB493" s="46"/>
      <c r="BC493" s="46"/>
      <c r="BD493" s="46"/>
      <c r="BE493" s="46"/>
      <c r="BF493" s="46"/>
      <c r="BG493" s="46"/>
      <c r="BH493" s="46"/>
      <c r="BI493" s="46"/>
      <c r="BJ493" s="46"/>
      <c r="BK493" s="46"/>
      <c r="BL493" s="46"/>
      <c r="BM493" s="46"/>
      <c r="BN493" s="46"/>
      <c r="BO493" s="46"/>
      <c r="BP493" s="46"/>
      <c r="BQ493" s="46"/>
      <c r="BR493" s="46"/>
      <c r="BS493" s="46"/>
      <c r="BT493" s="46"/>
      <c r="BU493" s="46"/>
      <c r="BV493" s="46"/>
      <c r="BW493" s="46"/>
      <c r="BX493" s="46"/>
      <c r="BY493" s="46"/>
      <c r="BZ493" s="46"/>
      <c r="CA493" s="46"/>
      <c r="CB493" s="46"/>
      <c r="CC493" s="46"/>
    </row>
    <row r="494">
      <c r="A494" s="87" t="str">
        <f>IFERROR(__xludf.DUMMYFUNCTION("""COMPUTED_VALUE"""),"866")</f>
        <v>866</v>
      </c>
      <c r="B494" s="46" t="str">
        <f>IFERROR(__xludf.DUMMYFUNCTION("""COMPUTED_VALUE"""),"Apartamento en conjunto Condominio Camino Real - Norte")</f>
        <v>Apartamento en conjunto Condominio Camino Real - Norte</v>
      </c>
      <c r="C494" s="46" t="str">
        <f>IFERROR(__xludf.DUMMYFUNCTION("""COMPUTED_VALUE"""),"Apartamento en conjunto")</f>
        <v>Apartamento en conjunto</v>
      </c>
      <c r="D494" s="46" t="str">
        <f>IFERROR(__xludf.DUMMYFUNCTION("""COMPUTED_VALUE"""),"Gualanday")</f>
        <v>Gualanday</v>
      </c>
      <c r="E494" s="46" t="str">
        <f>IFERROR(__xludf.DUMMYFUNCTION("""COMPUTED_VALUE"""),"Conjunto Condominio Camino Real ")</f>
        <v>Conjunto Condominio Camino Real </v>
      </c>
      <c r="F494" s="90">
        <f>IFERROR(__xludf.DUMMYFUNCTION("""COMPUTED_VALUE"""),2.4E8)</f>
        <v>240000000</v>
      </c>
      <c r="G494" s="46" t="str">
        <f>IFERROR(__xludf.DUMMYFUNCTION("""COMPUTED_VALUE"""),"$200'000.000 a $300'000.000")</f>
        <v>$200'000.000 a $300'000.000</v>
      </c>
      <c r="H494" s="46"/>
      <c r="I494" s="46"/>
      <c r="J494" s="46" t="str">
        <f>IFERROR(__xludf.DUMMYFUNCTION("""COMPUTED_VALUE"""),"Norte")</f>
        <v>Norte</v>
      </c>
      <c r="K494" s="87" t="str">
        <f>IFERROR(__xludf.DUMMYFUNCTION("""COMPUTED_VALUE"""),"2")</f>
        <v>2</v>
      </c>
      <c r="L494" s="46">
        <f>IFERROR(__xludf.DUMMYFUNCTION("""COMPUTED_VALUE"""),3.0)</f>
        <v>3</v>
      </c>
      <c r="M494" s="46"/>
      <c r="N494" s="46">
        <f>IFERROR(__xludf.DUMMYFUNCTION("""COMPUTED_VALUE"""),2.0)</f>
        <v>2</v>
      </c>
      <c r="O494" s="46">
        <f>IFERROR(__xludf.DUMMYFUNCTION("""COMPUTED_VALUE"""),1.0)</f>
        <v>1</v>
      </c>
      <c r="P494" s="46">
        <f>IFERROR(__xludf.DUMMYFUNCTION("""COMPUTED_VALUE"""),4.0)</f>
        <v>4</v>
      </c>
      <c r="Q494" s="92">
        <f>IFERROR(__xludf.DUMMYFUNCTION("""COMPUTED_VALUE"""),85.0)</f>
        <v>85</v>
      </c>
      <c r="R494" s="92">
        <f>IFERROR(__xludf.DUMMYFUNCTION("""COMPUTED_VALUE"""),85.0)</f>
        <v>85</v>
      </c>
      <c r="S494" s="87" t="str">
        <f>IFERROR(__xludf.DUMMYFUNCTION("""COMPUTED_VALUE""")," ")</f>
        <v> </v>
      </c>
      <c r="T494" s="46" t="str">
        <f>IFERROR(__xludf.DUMMYFUNCTION("""COMPUTED_VALUE"""),"Neiva")</f>
        <v>Neiva</v>
      </c>
      <c r="U494" s="87" t="str">
        <f>IFERROR(__xludf.DUMMYFUNCTION("""COMPUTED_VALUE"""),"3")</f>
        <v>3</v>
      </c>
      <c r="V494" s="46" t="str">
        <f>IFERROR(__xludf.DUMMYFUNCTION("""COMPUTED_VALUE"""),"4to.")</f>
        <v>4to.</v>
      </c>
      <c r="W494" s="46"/>
      <c r="X494" s="46">
        <f>IFERROR(__xludf.DUMMYFUNCTION("""COMPUTED_VALUE"""),3.0)</f>
        <v>3</v>
      </c>
      <c r="Y494" s="46" t="str">
        <f>IFERROR(__xludf.DUMMYFUNCTION("""COMPUTED_VALUE"""),"Social")</f>
        <v>Social</v>
      </c>
      <c r="Z494" s="90">
        <f>IFERROR(__xludf.DUMMYFUNCTION("""COMPUTED_VALUE"""),314000.0)</f>
        <v>314000</v>
      </c>
      <c r="AA494" s="33" t="str">
        <f>IFERROR(__xludf.DUMMYFUNCTION("""COMPUTED_VALUE"""),"No aplica")</f>
        <v>No aplica</v>
      </c>
      <c r="AB494" s="96" t="str">
        <f>IFERROR(__xludf.DUMMYFUNCTION("""COMPUTED_VALUE"""),"https://photos.app.goo.gl/jFxLN5xei72tD3Za7")</f>
        <v>https://photos.app.goo.gl/jFxLN5xei72tD3Za7</v>
      </c>
      <c r="AC494" s="46" t="str">
        <f>IFERROR(__xludf.DUMMYFUNCTION("""COMPUTED_VALUE"""),"Este acogedor apartamento de 85 m² ubicado en el cuarto piso cuenta con una excelente iluminación natural en su sala-comedor, cocina integral y zona de lavandería independiente. Dispone de tres cómodas alcobas (la principal con baño privado), un baño auxi"&amp;"liar y un parqueadero privado, todo dentro de una propiedad libre de todo gravamen.")</f>
        <v>Este acogedor apartamento de 85 m² ubicado en el cuarto piso cuenta con una excelente iluminación natural en su sala-comedor, cocina integral y zona de lavandería independiente. Dispone de tres cómodas alcobas (la principal con baño privado), un baño auxiliar y un parqueadero privado, todo dentro de una propiedad libre de todo gravamen.</v>
      </c>
      <c r="AD494" s="46" t="str">
        <f>IFERROR(__xludf.DUMMYFUNCTION("""COMPUTED_VALUE"""),"¡Inversión estratégica con alta valorización! Disfrute de una ubicación privilegiada en el norte de Neiva, a solo minutos de los centros comerciales San Juan Plaza y San Pedro Plaza. Además, el conjunto residencial ofrece la máxima tranquilidad y confort "&amp;"para su familia con vigilancia privada 24/7, piscinas, zona BBQ y salón social, en estrato 3.")</f>
        <v>¡Inversión estratégica con alta valorización! Disfrute de una ubicación privilegiada en el norte de Neiva, a solo minutos de los centros comerciales San Juan Plaza y San Pedro Plaza. Además, el conjunto residencial ofrece la máxima tranquilidad y confort para su familia con vigilancia privada 24/7, piscinas, zona BBQ y salón social, en estrato 3.</v>
      </c>
      <c r="AE494" s="46"/>
      <c r="AF494" s="46" t="str">
        <f>IFERROR(__xludf.DUMMYFUNCTION("""COMPUTED_VALUE"""),"integral")</f>
        <v>integral</v>
      </c>
      <c r="AG494" s="46"/>
      <c r="AH494" s="46" t="str">
        <f>IFERROR(__xludf.DUMMYFUNCTION("""COMPUTED_VALUE"""),"Aliado")</f>
        <v>Aliado</v>
      </c>
      <c r="AI494" s="92" t="str">
        <f>IFERROR(__xludf.DUMMYFUNCTION("""COMPUTED_VALUE"""),"https://lh3.googleusercontent.com/pw/AP1GczP0qu6pDzdeVZFhVwUk-0GzeJXXPOhZWbCb4J-8pALUhehNCsiqSa45MK7OU2qT88XXD-5zCpe9bWi-7269RDrS5HKKXkhckXQ6hPS3juaunlBTiP2t=w1200|https://lh3.googleusercontent.com/pw/AP1GczNkE8tr3EKSSLb4KWb3VbdkU6BBXNb-7fUlgjAtXg9RHxzEEV"&amp;"eoGsNom2c3CKcEuey8Ia8WClgC7iJMBDYXfsbjkAy-6XvOp5mCStRfVRz9faaC3Uie=w1200|https://lh3.googleusercontent.com/pw/AP1GczNNZ48Vbb55GM6ZswpLlG-Q6XNqCyRenSFdUieZCAi-lPZAgDc1m2_UwGdSTPlxIQr-bVTjwOG3-p7oQT-nPKC8KT96DwXVF2a1mU2lyYoVBuYVbY_K=w1200|https://lh3.google"&amp;"usercontent.com/pw/AP1GczPL5ZmSS84E86v3mQkOLw13k0S-8kdxi3v4t_NOr4hG9wuxSe_TK7lW7eThT2LQnkn2gizRWVATs2mqzHLcbSHgalLzwABcAZRQb9kVmroOia6_lv5p=w1200|https://lh3.googleusercontent.com/pw/AP1GczM_AoLMlGsosARWwBJrqagTREnZ5TxXguHCcsnBuKCOY2LfakAZky5IS0oW9Y3JjhwJ"&amp;"Zo8Y4TVml13HRixcf6sX5oiUn4ew58rl4h9iz9MhSXbwSt-x=w1200|https://lh3.googleusercontent.com/pw/AP1GczORMtsEmLsR5bgH7kuF7SDW17De0VSR4_KpLCrVRgagmtepliKHB-sKldPJknu-edm8-vFSJpUzZ7YDYCs_C6lnh7lcpZo2dtlNoHNtx24hGvmRAsuP=w1200|https://lh3.googleusercontent.com/pw"&amp;"/AP1GczOA5WjDEqeIjc7mGgxzCebuX0AAyV3uLqFILryiGsFf3LudXgP6Ojt3jJr3CULKwj3mNf2-d-JjnAiHOt-tnAJT64woDHcNWaR5VcuqNmrEl5Q-r4yM=w1200|https://lh3.googleusercontent.com/pw/AP1GczMfbxS3R9NEZA_YeTosVlWvmu8XnLDznUIMiVGZC50mXMY2fQWPIeerHB42Lj0E56hJyZ92EdmDHTk9RLrtFA"&amp;"qw1wg4G4JjMNsMzh7UnX2lKlbVOVyG=w1200|https://lh3.googleusercontent.com/pw/AP1GczPrOWThNg40OD-sdb3WLDx8atkr56m_3boft7vr1S0WGWN6HBtKC6t2tVoUq78fAYA0IpGfDUlXa9TXtD1X-00JvdJwXCD9y8Bm2ijf2_IS_n8cU5Jv=w1200|https://lh3.googleusercontent.com/pw/AP1GczObCw5B5bDVY"&amp;"TmSbuT6j6ZEFg9fNl_ThBNfatHHe76dYeKNsu4R8az0569BMWRKtubo4Run6IaeVbiOCBrtXTZWWqsXqlMHvpSlMRFcExwQK3CbrnQN=w1200|https://lh3.googleusercontent.com/pw/AP1GczMqj_mImxPCsPYMNruXUy2pQWljZ1MRFx323Kj5bRCeK4X3icolDwLLZOkttibS6aTGULVkBvkdBlyIVYBlGa1DZOUQHNNfScPT6BB4"&amp;"__TdtUK_Bf7G=w1200|https://lh3.googleusercontent.com/pw/AP1GczOWQU9Vwz0LxTXC8OG0kjZbeaNyVXdqobFxgHchblCxJnr70G6oCwmnKNfogOicPWE6PisxzPNosgd4eyr3y3NyVBrOHoAwLjfLExalpf2bd4OAWnk_=w1200")</f>
        <v>https://lh3.googleusercontent.com/pw/AP1GczP0qu6pDzdeVZFhVwUk-0GzeJXXPOhZWbCb4J-8pALUhehNCsiqSa45MK7OU2qT88XXD-5zCpe9bWi-7269RDrS5HKKXkhckXQ6hPS3juaunlBTiP2t=w1200|https://lh3.googleusercontent.com/pw/AP1GczNkE8tr3EKSSLb4KWb3VbdkU6BBXNb-7fUlgjAtXg9RHxzEEVeoGsNom2c3CKcEuey8Ia8WClgC7iJMBDYXfsbjkAy-6XvOp5mCStRfVRz9faaC3Uie=w1200|https://lh3.googleusercontent.com/pw/AP1GczNNZ48Vbb55GM6ZswpLlG-Q6XNqCyRenSFdUieZCAi-lPZAgDc1m2_UwGdSTPlxIQr-bVTjwOG3-p7oQT-nPKC8KT96DwXVF2a1mU2lyYoVBuYVbY_K=w1200|https://lh3.googleusercontent.com/pw/AP1GczPL5ZmSS84E86v3mQkOLw13k0S-8kdxi3v4t_NOr4hG9wuxSe_TK7lW7eThT2LQnkn2gizRWVATs2mqzHLcbSHgalLzwABcAZRQb9kVmroOia6_lv5p=w1200|https://lh3.googleusercontent.com/pw/AP1GczM_AoLMlGsosARWwBJrqagTREnZ5TxXguHCcsnBuKCOY2LfakAZky5IS0oW9Y3JjhwJZo8Y4TVml13HRixcf6sX5oiUn4ew58rl4h9iz9MhSXbwSt-x=w1200|https://lh3.googleusercontent.com/pw/AP1GczORMtsEmLsR5bgH7kuF7SDW17De0VSR4_KpLCrVRgagmtepliKHB-sKldPJknu-edm8-vFSJpUzZ7YDYCs_C6lnh7lcpZo2dtlNoHNtx24hGvmRAsuP=w1200|https://lh3.googleusercontent.com/pw/AP1GczOA5WjDEqeIjc7mGgxzCebuX0AAyV3uLqFILryiGsFf3LudXgP6Ojt3jJr3CULKwj3mNf2-d-JjnAiHOt-tnAJT64woDHcNWaR5VcuqNmrEl5Q-r4yM=w1200|https://lh3.googleusercontent.com/pw/AP1GczMfbxS3R9NEZA_YeTosVlWvmu8XnLDznUIMiVGZC50mXMY2fQWPIeerHB42Lj0E56hJyZ92EdmDHTk9RLrtFAqw1wg4G4JjMNsMzh7UnX2lKlbVOVyG=w1200|https://lh3.googleusercontent.com/pw/AP1GczPrOWThNg40OD-sdb3WLDx8atkr56m_3boft7vr1S0WGWN6HBtKC6t2tVoUq78fAYA0IpGfDUlXa9TXtD1X-00JvdJwXCD9y8Bm2ijf2_IS_n8cU5Jv=w1200|https://lh3.googleusercontent.com/pw/AP1GczObCw5B5bDVYTmSbuT6j6ZEFg9fNl_ThBNfatHHe76dYeKNsu4R8az0569BMWRKtubo4Run6IaeVbiOCBrtXTZWWqsXqlMHvpSlMRFcExwQK3CbrnQN=w1200|https://lh3.googleusercontent.com/pw/AP1GczMqj_mImxPCsPYMNruXUy2pQWljZ1MRFx323Kj5bRCeK4X3icolDwLLZOkttibS6aTGULVkBvkdBlyIVYBlGa1DZOUQHNNfScPT6BB4__TdtUK_Bf7G=w1200|https://lh3.googleusercontent.com/pw/AP1GczOWQU9Vwz0LxTXC8OG0kjZbeaNyVXdqobFxgHchblCxJnr70G6oCwmnKNfogOicPWE6PisxzPNosgd4eyr3y3NyVBrOHoAwLjfLExalpf2bd4OAWnk_=w1200</v>
      </c>
      <c r="AJ494" s="46"/>
      <c r="AK494" s="46"/>
      <c r="AL494" s="46"/>
      <c r="AM494" s="46"/>
      <c r="AN494" s="46"/>
      <c r="AO494" s="46"/>
      <c r="AP494" s="46"/>
      <c r="AQ494" s="46"/>
      <c r="AR494" s="46"/>
      <c r="AS494" s="46"/>
      <c r="AT494" s="46"/>
      <c r="AU494" s="46"/>
      <c r="AV494" s="46"/>
      <c r="AW494" s="46"/>
      <c r="AX494" s="46"/>
      <c r="AY494" s="46"/>
      <c r="AZ494" s="46"/>
      <c r="BA494" s="46"/>
      <c r="BB494" s="46"/>
      <c r="BC494" s="46"/>
      <c r="BD494" s="46"/>
      <c r="BE494" s="46"/>
      <c r="BF494" s="46"/>
      <c r="BG494" s="46"/>
      <c r="BH494" s="46"/>
      <c r="BI494" s="46"/>
      <c r="BJ494" s="46"/>
      <c r="BK494" s="46"/>
      <c r="BL494" s="46"/>
      <c r="BM494" s="46"/>
      <c r="BN494" s="46"/>
      <c r="BO494" s="46"/>
      <c r="BP494" s="46"/>
      <c r="BQ494" s="46"/>
      <c r="BR494" s="46"/>
      <c r="BS494" s="46"/>
      <c r="BT494" s="46"/>
      <c r="BU494" s="46"/>
      <c r="BV494" s="46"/>
      <c r="BW494" s="46"/>
      <c r="BX494" s="46"/>
      <c r="BY494" s="46"/>
      <c r="BZ494" s="46"/>
      <c r="CA494" s="46"/>
      <c r="CB494" s="46"/>
      <c r="CC494" s="46"/>
    </row>
    <row r="495">
      <c r="A495" s="87" t="str">
        <f>IFERROR(__xludf.DUMMYFUNCTION("""COMPUTED_VALUE"""),"878")</f>
        <v>878</v>
      </c>
      <c r="B495" s="46" t="str">
        <f>IFERROR(__xludf.DUMMYFUNCTION("""COMPUTED_VALUE"""),"Apartamento en barrio Centro ")</f>
        <v>Apartamento en barrio Centro </v>
      </c>
      <c r="C495" s="46" t="str">
        <f>IFERROR(__xludf.DUMMYFUNCTION("""COMPUTED_VALUE"""),"Apartamento")</f>
        <v>Apartamento</v>
      </c>
      <c r="D495" s="46" t="str">
        <f>IFERROR(__xludf.DUMMYFUNCTION("""COMPUTED_VALUE"""),"Centro")</f>
        <v>Centro</v>
      </c>
      <c r="E495" s="46"/>
      <c r="F495" s="90">
        <f>IFERROR(__xludf.DUMMYFUNCTION("""COMPUTED_VALUE"""),2.35E8)</f>
        <v>235000000</v>
      </c>
      <c r="G495" s="46" t="str">
        <f>IFERROR(__xludf.DUMMYFUNCTION("""COMPUTED_VALUE"""),"$200'000.000 a $300'000.000")</f>
        <v>$200'000.000 a $300'000.000</v>
      </c>
      <c r="H495" s="46"/>
      <c r="I495" s="46"/>
      <c r="J495" s="46" t="str">
        <f>IFERROR(__xludf.DUMMYFUNCTION("""COMPUTED_VALUE"""),"Centro")</f>
        <v>Centro</v>
      </c>
      <c r="K495" s="87" t="str">
        <f>IFERROR(__xludf.DUMMYFUNCTION("""COMPUTED_VALUE"""),"4")</f>
        <v>4</v>
      </c>
      <c r="L495" s="46">
        <f>IFERROR(__xludf.DUMMYFUNCTION("""COMPUTED_VALUE"""),3.0)</f>
        <v>3</v>
      </c>
      <c r="M495" s="46"/>
      <c r="N495" s="46">
        <f>IFERROR(__xludf.DUMMYFUNCTION("""COMPUTED_VALUE"""),2.0)</f>
        <v>2</v>
      </c>
      <c r="O495" s="46">
        <f>IFERROR(__xludf.DUMMYFUNCTION("""COMPUTED_VALUE"""),0.0)</f>
        <v>0</v>
      </c>
      <c r="P495" s="46">
        <f>IFERROR(__xludf.DUMMYFUNCTION("""COMPUTED_VALUE"""),2.0)</f>
        <v>2</v>
      </c>
      <c r="Q495" s="92">
        <f>IFERROR(__xludf.DUMMYFUNCTION("""COMPUTED_VALUE"""),197.0)</f>
        <v>197</v>
      </c>
      <c r="R495" s="92">
        <f>IFERROR(__xludf.DUMMYFUNCTION("""COMPUTED_VALUE"""),197.0)</f>
        <v>197</v>
      </c>
      <c r="S495" s="87" t="str">
        <f>IFERROR(__xludf.DUMMYFUNCTION("""COMPUTED_VALUE""")," ")</f>
        <v> </v>
      </c>
      <c r="T495" s="46" t="str">
        <f>IFERROR(__xludf.DUMMYFUNCTION("""COMPUTED_VALUE"""),"Neiva")</f>
        <v>Neiva</v>
      </c>
      <c r="U495" s="87" t="str">
        <f>IFERROR(__xludf.DUMMYFUNCTION("""COMPUTED_VALUE"""),"4")</f>
        <v>4</v>
      </c>
      <c r="V495" s="46" t="str">
        <f>IFERROR(__xludf.DUMMYFUNCTION("""COMPUTED_VALUE"""),"2do.")</f>
        <v>2do.</v>
      </c>
      <c r="W495" s="46"/>
      <c r="X495" s="46">
        <f>IFERROR(__xludf.DUMMYFUNCTION("""COMPUTED_VALUE"""),3.0)</f>
        <v>3</v>
      </c>
      <c r="Y495" s="46" t="str">
        <f>IFERROR(__xludf.DUMMYFUNCTION("""COMPUTED_VALUE"""),"No tiene")</f>
        <v>No tiene</v>
      </c>
      <c r="Z495" s="90"/>
      <c r="AA495" s="33" t="str">
        <f>IFERROR(__xludf.DUMMYFUNCTION("""COMPUTED_VALUE"""),"No aplica")</f>
        <v>No aplica</v>
      </c>
      <c r="AB495" s="96" t="str">
        <f>IFERROR(__xludf.DUMMYFUNCTION("""COMPUTED_VALUE"""),"https://photos.app.goo.gl/DYegagJCueAhdTzQ7")</f>
        <v>https://photos.app.goo.gl/DYegagJCueAhdTzQ7</v>
      </c>
      <c r="AC495" s="46" t="str">
        <f>IFERROR(__xludf.DUMMYFUNCTION("""COMPUTED_VALUE"""),"Este amplio apartamento de 197 m² destaca por una excelente distribución funcional que maximiza cada uno de sus espacios. Ubicado en el segundo piso, cuenta con una iluminada sala-comedor, tres cómodas habitaciones (la principal con baño privado), un estu"&amp;"dio independiente ideal para el trabajo desde casa, cocina integral, zona de lavandería independiente y un práctico cuarto de servicio con baño.")</f>
        <v>Este amplio apartamento de 197 m² destaca por una excelente distribución funcional que maximiza cada uno de sus espacios. Ubicado en el segundo piso, cuenta con una iluminada sala-comedor, tres cómodas habitaciones (la principal con baño privado), un estudio independiente ideal para el trabajo desde casa, cocina integral, zona de lavandería independiente y un práctico cuarto de servicio con baño.</v>
      </c>
      <c r="AD495" s="46" t="str">
        <f>IFERROR(__xludf.DUMMYFUNCTION("""COMPUTED_VALUE"""),"Su ubicación estratégica en pleno centro de Neiva, dentro de un sector residencial de estrato 3, lo convierte en una oportunidad única de inversión ideal para proyectos de alta rentabilidad como co-living o alquiler por habitaciones. Al encontrarse a solo"&amp;" minutos de las principales universidades, entidades bancarias y el Parque Principal, garantiza una conectividad inigualable y un flujo constante de clientes potenciales listos para habitarlo.")</f>
        <v>Su ubicación estratégica en pleno centro de Neiva, dentro de un sector residencial de estrato 3, lo convierte en una oportunidad única de inversión ideal para proyectos de alta rentabilidad como co-living o alquiler por habitaciones. Al encontrarse a solo minutos de las principales universidades, entidades bancarias y el Parque Principal, garantiza una conectividad inigualable y un flujo constante de clientes potenciales listos para habitarlo.</v>
      </c>
      <c r="AE495" s="46"/>
      <c r="AF495" s="46" t="str">
        <f>IFERROR(__xludf.DUMMYFUNCTION("""COMPUTED_VALUE"""),"semi-integral")</f>
        <v>semi-integral</v>
      </c>
      <c r="AG495" s="46"/>
      <c r="AH495" s="46" t="str">
        <f>IFERROR(__xludf.DUMMYFUNCTION("""COMPUTED_VALUE"""),"Aliado")</f>
        <v>Aliado</v>
      </c>
      <c r="AI495" s="92" t="str">
        <f>IFERROR(__xludf.DUMMYFUNCTION("""COMPUTED_VALUE"""),"https://lh3.googleusercontent.com/pw/AP1GczPkXS64RjexnDOUo2dVX422fdW_7TTJ3rH4RMPiSNJeVco6XND2eIXr5VwzeW3nUCbhTg41H8o0Q7bZxcWXnnQ8GmYQsvMcuxJHzShEQ8EFWR_GjauS=w1200|https://lh3.googleusercontent.com/pw/AP1GczMGLLCGYav4nS7Wnm0q_lLBOFQXh6jQTFvDHEl5SomgeFhCKD"&amp;"MbdF0GtHTlJyWucXXLl7FcfRhUUE0cLqcht-68ntUiHG0tusdWqRQtSFfkFolrH0GF=w1200|https://lh3.googleusercontent.com/pw/AP1GczNqxY4Svic-xxi6umcdmg-BR1CNurWYnicrqpsiR0rD7Mras7zCbJ4RQzLVsye_Yn-i3LPOfbV6EERNUQbjarRywXskgEMn8jVTQZ-Lldt1c8PwKgUB=w1200|https://lh3.google"&amp;"usercontent.com/pw/AP1GczO3_yxZyA5xnRL6QSB6aPqUQtCPjmGl115WzjXoVMcHXxW2sueA0XR0ADaGy27znbCfZF9QGlE7IhxPZmD0hn0LtnQ0fEZGmAtoHFzrnol3UMsHZgq8=w1200|https://lh3.googleusercontent.com/pw/AP1GczPV16CsxH-JLZM1dJxitq-5SdgSKFEPFR1Jc_jWDXwMWEQE2bMttfE6rgxnp8Ww5QVe"&amp;"CyF5FoWucpaEqlVe8mK-UT1li0obq7V-ca-_McelpZWFuuXU=w1200|https://lh3.googleusercontent.com/pw/AP1GczPFM2BlJcjufbHfNcwBiTzmQvWxvPiFdRmt9leCXFWr4GTQwpKCGrLyR49cvibnlWJSeoPaoO5Eo7jlonyrlxlUufKQ5LqEQsFRvMQZEtX99SL6Vara=w1200|https://lh3.googleusercontent.com/pw"&amp;"/AP1GczODcZInmFbIfz4zDE_2xQLlUfQv_1AjYgWD3ZPsUZZiQhukTHR8QkP9gIYJ67rbO4EjmnfejoO7W7yv-vI8h3O3yeIT_4aYv-J7-WxfjKCmg-BykjDV=w1200|https://lh3.googleusercontent.com/pw/AP1GczNPoeCE98CXyS9p8pW8noRPd_nyiBflup6DEh3xWqpdPe0g6ovdhZCM3-2lW8aEzhdrcwDrvs8R3zJ5gu5fRo"&amp;"WV4hxy9mAC3ED766j3nOpRD4tb902Z=w1200|https://lh3.googleusercontent.com/pw/AP1GczP2cnHaMDmYH7Roekqy4vWmLaqqFhWEaGJE-Miu0DbPKLQqkiiLDaA6HCMcEMKOUn8KtzjWfwdYN7v-HYY7sOOJmFztuSQeMX9QqZ1IWXo7HHDKQWsq=w1200")</f>
        <v>https://lh3.googleusercontent.com/pw/AP1GczPkXS64RjexnDOUo2dVX422fdW_7TTJ3rH4RMPiSNJeVco6XND2eIXr5VwzeW3nUCbhTg41H8o0Q7bZxcWXnnQ8GmYQsvMcuxJHzShEQ8EFWR_GjauS=w1200|https://lh3.googleusercontent.com/pw/AP1GczMGLLCGYav4nS7Wnm0q_lLBOFQXh6jQTFvDHEl5SomgeFhCKDMbdF0GtHTlJyWucXXLl7FcfRhUUE0cLqcht-68ntUiHG0tusdWqRQtSFfkFolrH0GF=w1200|https://lh3.googleusercontent.com/pw/AP1GczNqxY4Svic-xxi6umcdmg-BR1CNurWYnicrqpsiR0rD7Mras7zCbJ4RQzLVsye_Yn-i3LPOfbV6EERNUQbjarRywXskgEMn8jVTQZ-Lldt1c8PwKgUB=w1200|https://lh3.googleusercontent.com/pw/AP1GczO3_yxZyA5xnRL6QSB6aPqUQtCPjmGl115WzjXoVMcHXxW2sueA0XR0ADaGy27znbCfZF9QGlE7IhxPZmD0hn0LtnQ0fEZGmAtoHFzrnol3UMsHZgq8=w1200|https://lh3.googleusercontent.com/pw/AP1GczPV16CsxH-JLZM1dJxitq-5SdgSKFEPFR1Jc_jWDXwMWEQE2bMttfE6rgxnp8Ww5QVeCyF5FoWucpaEqlVe8mK-UT1li0obq7V-ca-_McelpZWFuuXU=w1200|https://lh3.googleusercontent.com/pw/AP1GczPFM2BlJcjufbHfNcwBiTzmQvWxvPiFdRmt9leCXFWr4GTQwpKCGrLyR49cvibnlWJSeoPaoO5Eo7jlonyrlxlUufKQ5LqEQsFRvMQZEtX99SL6Vara=w1200|https://lh3.googleusercontent.com/pw/AP1GczODcZInmFbIfz4zDE_2xQLlUfQv_1AjYgWD3ZPsUZZiQhukTHR8QkP9gIYJ67rbO4EjmnfejoO7W7yv-vI8h3O3yeIT_4aYv-J7-WxfjKCmg-BykjDV=w1200|https://lh3.googleusercontent.com/pw/AP1GczNPoeCE98CXyS9p8pW8noRPd_nyiBflup6DEh3xWqpdPe0g6ovdhZCM3-2lW8aEzhdrcwDrvs8R3zJ5gu5fRoWV4hxy9mAC3ED766j3nOpRD4tb902Z=w1200|https://lh3.googleusercontent.com/pw/AP1GczP2cnHaMDmYH7Roekqy4vWmLaqqFhWEaGJE-Miu0DbPKLQqkiiLDaA6HCMcEMKOUn8KtzjWfwdYN7v-HYY7sOOJmFztuSQeMX9QqZ1IWXo7HHDKQWsq=w1200</v>
      </c>
      <c r="AJ495" s="46"/>
      <c r="AK495" s="46"/>
      <c r="AL495" s="46"/>
      <c r="AM495" s="46"/>
      <c r="AN495" s="46"/>
      <c r="AO495" s="46"/>
      <c r="AP495" s="46"/>
      <c r="AQ495" s="46"/>
      <c r="AR495" s="46"/>
      <c r="AS495" s="46"/>
      <c r="AT495" s="46"/>
      <c r="AU495" s="46"/>
      <c r="AV495" s="46"/>
      <c r="AW495" s="46"/>
      <c r="AX495" s="46"/>
      <c r="AY495" s="46"/>
      <c r="AZ495" s="46"/>
      <c r="BA495" s="46"/>
      <c r="BB495" s="46"/>
      <c r="BC495" s="46"/>
      <c r="BD495" s="46"/>
      <c r="BE495" s="46"/>
      <c r="BF495" s="46"/>
      <c r="BG495" s="46"/>
      <c r="BH495" s="46"/>
      <c r="BI495" s="46"/>
      <c r="BJ495" s="46"/>
      <c r="BK495" s="46"/>
      <c r="BL495" s="46"/>
      <c r="BM495" s="46"/>
      <c r="BN495" s="46"/>
      <c r="BO495" s="46"/>
      <c r="BP495" s="46"/>
      <c r="BQ495" s="46"/>
      <c r="BR495" s="46"/>
      <c r="BS495" s="46"/>
      <c r="BT495" s="46"/>
      <c r="BU495" s="46"/>
      <c r="BV495" s="46"/>
      <c r="BW495" s="46"/>
      <c r="BX495" s="46"/>
      <c r="BY495" s="46"/>
      <c r="BZ495" s="46"/>
      <c r="CA495" s="46"/>
      <c r="CB495" s="46"/>
      <c r="CC495" s="46"/>
    </row>
    <row r="496">
      <c r="A496" s="87" t="str">
        <f>IFERROR(__xludf.DUMMYFUNCTION("""COMPUTED_VALUE"""),"869")</f>
        <v>869</v>
      </c>
      <c r="B496" s="46" t="str">
        <f>IFERROR(__xludf.DUMMYFUNCTION("""COMPUTED_VALUE"""),"Apartamento en conjunto Hacienda Santa María - Norte")</f>
        <v>Apartamento en conjunto Hacienda Santa María - Norte</v>
      </c>
      <c r="C496" s="46" t="str">
        <f>IFERROR(__xludf.DUMMYFUNCTION("""COMPUTED_VALUE"""),"Apartamento en conjunto")</f>
        <v>Apartamento en conjunto</v>
      </c>
      <c r="D496" s="46" t="str">
        <f>IFERROR(__xludf.DUMMYFUNCTION("""COMPUTED_VALUE"""),"Madrigal")</f>
        <v>Madrigal</v>
      </c>
      <c r="E496" s="46" t="str">
        <f>IFERROR(__xludf.DUMMYFUNCTION("""COMPUTED_VALUE"""),"Conjunto Hacienda Santa María")</f>
        <v>Conjunto Hacienda Santa María</v>
      </c>
      <c r="F496" s="90">
        <f>IFERROR(__xludf.DUMMYFUNCTION("""COMPUTED_VALUE"""),2.35E8)</f>
        <v>235000000</v>
      </c>
      <c r="G496" s="46" t="str">
        <f>IFERROR(__xludf.DUMMYFUNCTION("""COMPUTED_VALUE"""),"$200'000.000 a $300'000.000")</f>
        <v>$200'000.000 a $300'000.000</v>
      </c>
      <c r="H496" s="46"/>
      <c r="I496" s="46"/>
      <c r="J496" s="46" t="str">
        <f>IFERROR(__xludf.DUMMYFUNCTION("""COMPUTED_VALUE"""),"Norte")</f>
        <v>Norte</v>
      </c>
      <c r="K496" s="87"/>
      <c r="L496" s="46">
        <f>IFERROR(__xludf.DUMMYFUNCTION("""COMPUTED_VALUE"""),3.0)</f>
        <v>3</v>
      </c>
      <c r="M496" s="46"/>
      <c r="N496" s="46">
        <f>IFERROR(__xludf.DUMMYFUNCTION("""COMPUTED_VALUE"""),2.0)</f>
        <v>2</v>
      </c>
      <c r="O496" s="46">
        <f>IFERROR(__xludf.DUMMYFUNCTION("""COMPUTED_VALUE"""),1.0)</f>
        <v>1</v>
      </c>
      <c r="P496" s="46">
        <f>IFERROR(__xludf.DUMMYFUNCTION("""COMPUTED_VALUE"""),6.0)</f>
        <v>6</v>
      </c>
      <c r="Q496" s="92">
        <f>IFERROR(__xludf.DUMMYFUNCTION("""COMPUTED_VALUE"""),75.0)</f>
        <v>75</v>
      </c>
      <c r="R496" s="92">
        <f>IFERROR(__xludf.DUMMYFUNCTION("""COMPUTED_VALUE"""),75.0)</f>
        <v>75</v>
      </c>
      <c r="S496" s="87" t="str">
        <f>IFERROR(__xludf.DUMMYFUNCTION("""COMPUTED_VALUE""")," ")</f>
        <v> </v>
      </c>
      <c r="T496" s="46" t="str">
        <f>IFERROR(__xludf.DUMMYFUNCTION("""COMPUTED_VALUE"""),"Neiva")</f>
        <v>Neiva</v>
      </c>
      <c r="U496" s="87" t="str">
        <f>IFERROR(__xludf.DUMMYFUNCTION("""COMPUTED_VALUE"""),"3")</f>
        <v>3</v>
      </c>
      <c r="V496" s="46" t="str">
        <f>IFERROR(__xludf.DUMMYFUNCTION("""COMPUTED_VALUE"""),"6to.")</f>
        <v>6to.</v>
      </c>
      <c r="W496" s="46"/>
      <c r="X496" s="46">
        <f>IFERROR(__xludf.DUMMYFUNCTION("""COMPUTED_VALUE"""),3.0)</f>
        <v>3</v>
      </c>
      <c r="Y496" s="46" t="str">
        <f>IFERROR(__xludf.DUMMYFUNCTION("""COMPUTED_VALUE"""),"Social")</f>
        <v>Social</v>
      </c>
      <c r="Z496" s="90">
        <f>IFERROR(__xludf.DUMMYFUNCTION("""COMPUTED_VALUE"""),295000.0)</f>
        <v>295000</v>
      </c>
      <c r="AA496" s="33" t="str">
        <f>IFERROR(__xludf.DUMMYFUNCTION("""COMPUTED_VALUE"""),"No aplica")</f>
        <v>No aplica</v>
      </c>
      <c r="AB496" s="96" t="str">
        <f>IFERROR(__xludf.DUMMYFUNCTION("""COMPUTED_VALUE"""),"https://photos.app.goo.gl/6h4pEnn4oM4JF2AV9")</f>
        <v>https://photos.app.goo.gl/6h4pEnn4oM4JF2AV9</v>
      </c>
      <c r="AC496" s="46" t="str">
        <f>IFERROR(__xludf.DUMMYFUNCTION("""COMPUTED_VALUE"""),"Moderno apartamento de 75 m² en sexto piso, optimizado para ofrecer el máximo confort familiar. Cuenta con 3 amplias alcobas, 2 baños completos, un depósito privado y la gran ventaja de un parqueadero subterráneo independiente.")</f>
        <v>Moderno apartamento de 75 m² en sexto piso, optimizado para ofrecer el máximo confort familiar. Cuenta con 3 amplias alcobas, 2 baños completos, un depósito privado y la gran ventaja de un parqueadero subterráneo independiente.</v>
      </c>
      <c r="AD496" s="46" t="str">
        <f>IFERROR(__xludf.DUMMYFUNCTION("""COMPUTED_VALUE"""),"Ubicado en el norte de Neiva (Barrio Madrigal), Hacienda Santa María garantiza alta valorización y conectividad total a minutos del Centro Comercial ÚNICO. Este condominio club-house ofrece piscinas, canchas múltiples y seguridad total, siendo la oportuni"&amp;"dad perfecta para asegurar un hogar exclusivo o una inversión de rentabilidad inmediata.")</f>
        <v>Ubicado en el norte de Neiva (Barrio Madrigal), Hacienda Santa María garantiza alta valorización y conectividad total a minutos del Centro Comercial ÚNICO. Este condominio club-house ofrece piscinas, canchas múltiples y seguridad total, siendo la oportunidad perfecta para asegurar un hogar exclusivo o una inversión de rentabilidad inmediata.</v>
      </c>
      <c r="AE496" s="46"/>
      <c r="AF496" s="46" t="str">
        <f>IFERROR(__xludf.DUMMYFUNCTION("""COMPUTED_VALUE"""),"integral")</f>
        <v>integral</v>
      </c>
      <c r="AG496" s="46"/>
      <c r="AH496" s="46" t="str">
        <f>IFERROR(__xludf.DUMMYFUNCTION("""COMPUTED_VALUE"""),"Aliado")</f>
        <v>Aliado</v>
      </c>
      <c r="AI496" s="92" t="str">
        <f>IFERROR(__xludf.DUMMYFUNCTION("""COMPUTED_VALUE"""),"https://lh3.googleusercontent.com/pw/AP1GczOvyS5d6JwnByBLG1-iGkM3obv3Z8bvP8rNXyBVwCSB7wYcDUcAYiT9mkjidcGKp37VUNClt0eQm-fHVYSLhvo-3f4jLDECUyhboLfkrtolMcnEpksp=w1200|https://lh3.googleusercontent.com/pw/AP1GczP8qkUonnfolXFsRoZ-YMv4AFEFWYWbmDT2Y9GPcLAqqhOZrY"&amp;"VdXUNu-WpyoYs0mrLRjsrrRCJ3NdUB-azAphZBBKFmx0uFTtVtY5E0PlZouAp211sJ=w1200|https://lh3.googleusercontent.com/pw/AP1GczNZTt58R8eR098MDkM6hhHQxTXqxdErllsmt0m_1ErMZRyMguZyhseNCRJCAZRVfD46Cu99UjmpENiou-SDzDquwB5BJ7-ZZACQ0AMctaxy7mZHL-zW=w1200|https://lh3.google"&amp;"usercontent.com/pw/AP1GczP9Z_T9a8HBqb4JlmsRFYr_u5Fid2I2rTMXj_r44iu73u3M9nXNlBdzzz4UujxcziKdiHwUcvFiXth6lrd7t73BHUU391508ofRco1Kl4XHYEudr2ft=w1200|https://lh3.googleusercontent.com/pw/AP1GczPTSI4JYkXUPRN2txQPH9baJDV1y9skVyERKfD0UIQTSDgQnTNyqgFeuv-DciANGH4u"&amp;"bKEk3P2y_d7S5YrHttSY-WjwhfgkNfC2Y8LeizRVa5gXMbYT=w1200|https://lh3.googleusercontent.com/pw/AP1GczMoEKQ4e6UAaKw_USa0BNKrjmxFsGMndvLBcpxtGU5zK0lkVrj4VtJRAg5vslPXrKgTkW_pICrL7UteOd6I8HFQKyf7QsIMJowGyWVlc70hSpxBbiAP=w1200|https://lh3.googleusercontent.com/pw"&amp;"/AP1GczOOu6Htu6rjKpsBErrkFDl_0ILnqAMxFLvXU0Ru_mTanHQbBi5RecQNKLk7ylAaZ2OPswCBID-0mXIn0KIb_uZV0FmHpDwMVafloEm2_N13PU9JZCJg=w1200|https://lh3.googleusercontent.com/pw/AP1GczMt5kXo113lkyqMtORiu-EHd7rwk3q3MVagHamk_ROGZ5sNMco_9SBW3M_3lPT8oEp8yk03U1EMNel6KmlUbR"&amp;"JLqSKhna1XbfQWoFm9lqoPIdhqrIGH=w1200|https://lh3.googleusercontent.com/pw/AP1GczPJfmixx18qCxuhPoIWkIMXVzKXHuDFDTCjfDzmrlmeY7E47E6-z9t3FTkHhkZjzc9U3SA1yQSn9F1kYNBzxblcojf7LLmt6jnV81Yos7jNgNbReHiL=w1200|https://lh3.googleusercontent.com/pw/AP1GczNuv1EDMou68"&amp;"nSVvTD1z5iA9aKIcOG49l0f82LFQEfi3gij9FlsgC4gkUGb2RKECKJjSIM3Mn7WOwjfG5abc0xuuWQJpPMdE-p0uP1uU4LU-e0uBWyM=w1200")</f>
        <v>https://lh3.googleusercontent.com/pw/AP1GczOvyS5d6JwnByBLG1-iGkM3obv3Z8bvP8rNXyBVwCSB7wYcDUcAYiT9mkjidcGKp37VUNClt0eQm-fHVYSLhvo-3f4jLDECUyhboLfkrtolMcnEpksp=w1200|https://lh3.googleusercontent.com/pw/AP1GczP8qkUonnfolXFsRoZ-YMv4AFEFWYWbmDT2Y9GPcLAqqhOZrYVdXUNu-WpyoYs0mrLRjsrrRCJ3NdUB-azAphZBBKFmx0uFTtVtY5E0PlZouAp211sJ=w1200|https://lh3.googleusercontent.com/pw/AP1GczNZTt58R8eR098MDkM6hhHQxTXqxdErllsmt0m_1ErMZRyMguZyhseNCRJCAZRVfD46Cu99UjmpENiou-SDzDquwB5BJ7-ZZACQ0AMctaxy7mZHL-zW=w1200|https://lh3.googleusercontent.com/pw/AP1GczP9Z_T9a8HBqb4JlmsRFYr_u5Fid2I2rTMXj_r44iu73u3M9nXNlBdzzz4UujxcziKdiHwUcvFiXth6lrd7t73BHUU391508ofRco1Kl4XHYEudr2ft=w1200|https://lh3.googleusercontent.com/pw/AP1GczPTSI4JYkXUPRN2txQPH9baJDV1y9skVyERKfD0UIQTSDgQnTNyqgFeuv-DciANGH4ubKEk3P2y_d7S5YrHttSY-WjwhfgkNfC2Y8LeizRVa5gXMbYT=w1200|https://lh3.googleusercontent.com/pw/AP1GczMoEKQ4e6UAaKw_USa0BNKrjmxFsGMndvLBcpxtGU5zK0lkVrj4VtJRAg5vslPXrKgTkW_pICrL7UteOd6I8HFQKyf7QsIMJowGyWVlc70hSpxBbiAP=w1200|https://lh3.googleusercontent.com/pw/AP1GczOOu6Htu6rjKpsBErrkFDl_0ILnqAMxFLvXU0Ru_mTanHQbBi5RecQNKLk7ylAaZ2OPswCBID-0mXIn0KIb_uZV0FmHpDwMVafloEm2_N13PU9JZCJg=w1200|https://lh3.googleusercontent.com/pw/AP1GczMt5kXo113lkyqMtORiu-EHd7rwk3q3MVagHamk_ROGZ5sNMco_9SBW3M_3lPT8oEp8yk03U1EMNel6KmlUbRJLqSKhna1XbfQWoFm9lqoPIdhqrIGH=w1200|https://lh3.googleusercontent.com/pw/AP1GczPJfmixx18qCxuhPoIWkIMXVzKXHuDFDTCjfDzmrlmeY7E47E6-z9t3FTkHhkZjzc9U3SA1yQSn9F1kYNBzxblcojf7LLmt6jnV81Yos7jNgNbReHiL=w1200|https://lh3.googleusercontent.com/pw/AP1GczNuv1EDMou68nSVvTD1z5iA9aKIcOG49l0f82LFQEfi3gij9FlsgC4gkUGb2RKECKJjSIM3Mn7WOwjfG5abc0xuuWQJpPMdE-p0uP1uU4LU-e0uBWyM=w1200</v>
      </c>
      <c r="AJ496" s="46"/>
      <c r="AK496" s="46"/>
      <c r="AL496" s="46"/>
      <c r="AM496" s="46"/>
      <c r="AN496" s="46"/>
      <c r="AO496" s="46"/>
      <c r="AP496" s="46"/>
      <c r="AQ496" s="46"/>
      <c r="AR496" s="46"/>
      <c r="AS496" s="46"/>
      <c r="AT496" s="46"/>
      <c r="AU496" s="46"/>
      <c r="AV496" s="46"/>
      <c r="AW496" s="46"/>
      <c r="AX496" s="46"/>
      <c r="AY496" s="46"/>
      <c r="AZ496" s="46"/>
      <c r="BA496" s="46"/>
      <c r="BB496" s="46"/>
      <c r="BC496" s="46"/>
      <c r="BD496" s="46"/>
      <c r="BE496" s="46"/>
      <c r="BF496" s="46"/>
      <c r="BG496" s="46"/>
      <c r="BH496" s="46"/>
      <c r="BI496" s="46"/>
      <c r="BJ496" s="46"/>
      <c r="BK496" s="46"/>
      <c r="BL496" s="46"/>
      <c r="BM496" s="46"/>
      <c r="BN496" s="46"/>
      <c r="BO496" s="46"/>
      <c r="BP496" s="46"/>
      <c r="BQ496" s="46"/>
      <c r="BR496" s="46"/>
      <c r="BS496" s="46"/>
      <c r="BT496" s="46"/>
      <c r="BU496" s="46"/>
      <c r="BV496" s="46"/>
      <c r="BW496" s="46"/>
      <c r="BX496" s="46"/>
      <c r="BY496" s="46"/>
      <c r="BZ496" s="46"/>
      <c r="CA496" s="46"/>
      <c r="CB496" s="46"/>
      <c r="CC496" s="46"/>
    </row>
    <row r="497">
      <c r="A497" s="87" t="str">
        <f>IFERROR(__xludf.DUMMYFUNCTION("""COMPUTED_VALUE"""),"879")</f>
        <v>879</v>
      </c>
      <c r="B497" s="46" t="str">
        <f>IFERROR(__xludf.DUMMYFUNCTION("""COMPUTED_VALUE"""),"Apartamento en conjunto Residencial Entre Pinos - Oriente")</f>
        <v>Apartamento en conjunto Residencial Entre Pinos - Oriente</v>
      </c>
      <c r="C497" s="46" t="str">
        <f>IFERROR(__xludf.DUMMYFUNCTION("""COMPUTED_VALUE"""),"Apartamento en conjunto")</f>
        <v>Apartamento en conjunto</v>
      </c>
      <c r="D497" s="46"/>
      <c r="E497" s="46" t="str">
        <f>IFERROR(__xludf.DUMMYFUNCTION("""COMPUTED_VALUE"""),"Conjunto Residencial Entre Pinos")</f>
        <v>Conjunto Residencial Entre Pinos</v>
      </c>
      <c r="F497" s="90">
        <f>IFERROR(__xludf.DUMMYFUNCTION("""COMPUTED_VALUE"""),2.25E8)</f>
        <v>225000000</v>
      </c>
      <c r="G497" s="46" t="str">
        <f>IFERROR(__xludf.DUMMYFUNCTION("""COMPUTED_VALUE"""),"$200'000.000 a $300'000.000")</f>
        <v>$200'000.000 a $300'000.000</v>
      </c>
      <c r="H497" s="46"/>
      <c r="I497" s="46"/>
      <c r="J497" s="46" t="str">
        <f>IFERROR(__xludf.DUMMYFUNCTION("""COMPUTED_VALUE"""),"Oriente")</f>
        <v>Oriente</v>
      </c>
      <c r="K497" s="87"/>
      <c r="L497" s="46">
        <f>IFERROR(__xludf.DUMMYFUNCTION("""COMPUTED_VALUE"""),3.0)</f>
        <v>3</v>
      </c>
      <c r="M497" s="46"/>
      <c r="N497" s="46">
        <f>IFERROR(__xludf.DUMMYFUNCTION("""COMPUTED_VALUE"""),2.0)</f>
        <v>2</v>
      </c>
      <c r="O497" s="46">
        <f>IFERROR(__xludf.DUMMYFUNCTION("""COMPUTED_VALUE"""),1.0)</f>
        <v>1</v>
      </c>
      <c r="P497" s="46">
        <f>IFERROR(__xludf.DUMMYFUNCTION("""COMPUTED_VALUE"""),9.0)</f>
        <v>9</v>
      </c>
      <c r="Q497" s="92">
        <f>IFERROR(__xludf.DUMMYFUNCTION("""COMPUTED_VALUE"""),63.0)</f>
        <v>63</v>
      </c>
      <c r="R497" s="92">
        <f>IFERROR(__xludf.DUMMYFUNCTION("""COMPUTED_VALUE"""),63.0)</f>
        <v>63</v>
      </c>
      <c r="S497" s="87" t="str">
        <f>IFERROR(__xludf.DUMMYFUNCTION("""COMPUTED_VALUE""")," ")</f>
        <v> </v>
      </c>
      <c r="T497" s="46" t="str">
        <f>IFERROR(__xludf.DUMMYFUNCTION("""COMPUTED_VALUE"""),"Neiva")</f>
        <v>Neiva</v>
      </c>
      <c r="U497" s="87" t="str">
        <f>IFERROR(__xludf.DUMMYFUNCTION("""COMPUTED_VALUE"""),"3")</f>
        <v>3</v>
      </c>
      <c r="V497" s="46" t="str">
        <f>IFERROR(__xludf.DUMMYFUNCTION("""COMPUTED_VALUE"""),"9o.")</f>
        <v>9o.</v>
      </c>
      <c r="W497" s="46"/>
      <c r="X497" s="46">
        <f>IFERROR(__xludf.DUMMYFUNCTION("""COMPUTED_VALUE"""),3.0)</f>
        <v>3</v>
      </c>
      <c r="Y497" s="46" t="str">
        <f>IFERROR(__xludf.DUMMYFUNCTION("""COMPUTED_VALUE"""),"Social")</f>
        <v>Social</v>
      </c>
      <c r="Z497" s="90">
        <f>IFERROR(__xludf.DUMMYFUNCTION("""COMPUTED_VALUE"""),180000.0)</f>
        <v>180000</v>
      </c>
      <c r="AA497" s="33" t="str">
        <f>IFERROR(__xludf.DUMMYFUNCTION("""COMPUTED_VALUE"""),"No aplica")</f>
        <v>No aplica</v>
      </c>
      <c r="AB497" s="96" t="str">
        <f>IFERROR(__xludf.DUMMYFUNCTION("""COMPUTED_VALUE"""),"https://photos.app.goo.gl/y7eWucWq7mDrFcvh6")</f>
        <v>https://photos.app.goo.gl/y7eWucWq7mDrFcvh6</v>
      </c>
      <c r="AC497" s="46" t="str">
        <f>IFERROR(__xludf.DUMMYFUNCTION("""COMPUTED_VALUE"""),"Este moderno apartamento de 63 m², ubicado en el noveno piso del Conjunto Residencial Entre Pinos, ofrece un diseño altamente funcional y completamente equipado para mudanza inmediata. Su distribución cuenta con una sala-comedor con balcón, cocina integra"&amp;"l con barra tipo americana, zona de lavandería independiente y tres acogedoras habitaciones con clóset de excelente espacio; la principal dispone de aire acondicionado y baño privado, mientras que las dos auxiliares tienen preinstalación para aire, comple"&amp;"mentándose a la perfección con un baño social completo, acabados de iluminación moderna, puerta de seguridad y cortinas blackout.  Parqueadero Comunal.")</f>
        <v>Este moderno apartamento de 63 m², ubicado en el noveno piso del Conjunto Residencial Entre Pinos, ofrece un diseño altamente funcional y completamente equipado para mudanza inmediata. Su distribución cuenta con una sala-comedor con balcón, cocina integral con barra tipo americana, zona de lavandería independiente y tres acogedoras habitaciones con clóset de excelente espacio; la principal dispone de aire acondicionado y baño privado, mientras que las dos auxiliares tienen preinstalación para aire, complementándose a la perfección con un baño social completo, acabados de iluminación moderna, puerta de seguridad y cortinas blackout.  Parqueadero Comunal.</v>
      </c>
      <c r="AD497" s="46" t="str">
        <f>IFERROR(__xludf.DUMMYFUNCTION("""COMPUTED_VALUE"""),"Situado en la exclusiva y tranquila zona oriente de Neiva, este inmueble de estrato 3 representa una magnífica oportunidad para vivienda familiar o inversión de alta demanda. El conjunto residencial brinda un estilo de vida premium con espectaculares zona"&amp;"s comunes que incluyen piscinas para adultos y niños, cancha múltiple, parque infantil, salón social y estricta seguridad 24/7 con circuito cerrado; además, cuenta con documentación totalmente al día, facilitando una compra ágil y la opción de aplicar a c"&amp;"rédito hipotecario de inmediato.")</f>
        <v>Situado en la exclusiva y tranquila zona oriente de Neiva, este inmueble de estrato 3 representa una magnífica oportunidad para vivienda familiar o inversión de alta demanda. El conjunto residencial brinda un estilo de vida premium con espectaculares zonas comunes que incluyen piscinas para adultos y niños, cancha múltiple, parque infantil, salón social y estricta seguridad 24/7 con circuito cerrado; además, cuenta con documentación totalmente al día, facilitando una compra ágil y la opción de aplicar a crédito hipotecario de inmediato.</v>
      </c>
      <c r="AE497" s="46"/>
      <c r="AF497" s="46" t="str">
        <f>IFERROR(__xludf.DUMMYFUNCTION("""COMPUTED_VALUE"""),"integral")</f>
        <v>integral</v>
      </c>
      <c r="AG497" s="46"/>
      <c r="AH497" s="46" t="str">
        <f>IFERROR(__xludf.DUMMYFUNCTION("""COMPUTED_VALUE"""),"Aliado")</f>
        <v>Aliado</v>
      </c>
      <c r="AI497" s="92" t="str">
        <f>IFERROR(__xludf.DUMMYFUNCTION("""COMPUTED_VALUE"""),"https://lh3.googleusercontent.com/pw/AP1GczMhEP02Jt-NXuzD0sttXCc_4EpAukH1Db5e4np05GcTtLyoqvvWrWxYVZ71MujI1wRCorpaBlDUlcQzUV_MHOnDdR-ER_6y-kCJPQcGGzd5jBTjB8tr=w1200|https://lh3.googleusercontent.com/pw/AP1GczPQ7plFopCl6qx-lxuK4QnLj9SgWBA737MTqcFy5Jma83Qjl3"&amp;"eTmAoiCkXl8fVG2anQtsPEQRyKUkFNWpwNUX0gOKaD_pWfn3etT_IikwVnCo7SQf4s=w1200|https://lh3.googleusercontent.com/pw/AP1GczMC-kiDi_Y4WaJVolFOtWhBaLENP7acLwxQ6N5LTfRRQitc233IHs1dFJDW0KBHIShvqImv25eDr4ZdJxkdgEodOVsJqxalPwyn2IjZsDW2RbDC6lOG=w1200|https://lh3.google"&amp;"usercontent.com/pw/AP1GczO_iA2w33hmCiXuHlx3NcWxel7fuqAmftITKJ7gMT8dpXjrgK26PXhcLNGDoyG8hy0mvNCz5rzaAltrRTY7ZK_LnROoUk7Q4Os_0psBVL5nAJdxUzNT=w1200|https://lh3.googleusercontent.com/pw/AP1GczPrpelMs_Ua7MwKZGi4yqG8RMn9-POqjzujrO_T5XhsEBoZWHDeRMCtv7_GxO3sQWSR"&amp;"VpsQ5YMyN_PyuE1HX-MVT-BLKTZ2SA8xPCKKlyUkjPITUheC=w1200|https://lh3.googleusercontent.com/pw/AP1GczOkOnz3D_gjsdnrfkL_rPv4BzciCNX5LP8D46tGnxbQnfrJQBmn5cvhdv-CX7gczt_Zuz1Fhe0a9IW5pWpbgng6y-wkfHcFo7YDv4mY1uBvx_gmB7qg=w1200|https://lh3.googleusercontent.com/pw"&amp;"/AP1GczMjH5dae1OL7I5-7_a176TKJDh6gJJdPOVK0ai03MYpveRs-LO0gS4GDV-_O3bbc5Nycms5X6dnzdxSMYHJhPmfDIDLHmwf8itY6fp6gc-6AMjdxMuy=w1200|https://lh3.googleusercontent.com/pw/AP1GczODYlFa3QTuCECyBdi96jtEDXtpFQATCBpk8RpFc0rKFKVwwubZ5GtOC939Q38HpEMsNgwNG9eepFYac8a873"&amp;"qNyGfZmsqDmnTmFmwvUjzYJgZ5KBGo=w1200|https://lh3.googleusercontent.com/pw/AP1GczMKY9_jxNg29ZGz4r-_W1qrgGCL5sZEqWWPO2nA59vgZFM-wV_5aBg4rss1cu1YzhmO-rVkylHkCBK_-jiMPrAqiJntF_R7qdYsmI1Usc4PF8JwEJBT=w1200|https://lh3.googleusercontent.com/pw/AP1GczP4cw3UB0yF5"&amp;"WYdiWRaktz3wRUMpwMC3rY9JgtqLZiVYJB55VFrClNJcgaDPcyjo0tPyEbtY0q4qMHZg7codYv0CPnq5CWOv-bz7kL2BZwQ3jSM-Z2-=w1200|https://lh3.googleusercontent.com/pw/AP1GczPI_rDBqOngvR213UN6eorxhoqbSvMQA6w-_457GXlbkYqLdQCaLK-u0clPv7HY0HpKwHjeLMpNgGdDN8Ajx24UdaAY2CH4oTJZUPGf"&amp;"Hbqtx-T0XpHe=w1200")</f>
        <v>https://lh3.googleusercontent.com/pw/AP1GczMhEP02Jt-NXuzD0sttXCc_4EpAukH1Db5e4np05GcTtLyoqvvWrWxYVZ71MujI1wRCorpaBlDUlcQzUV_MHOnDdR-ER_6y-kCJPQcGGzd5jBTjB8tr=w1200|https://lh3.googleusercontent.com/pw/AP1GczPQ7plFopCl6qx-lxuK4QnLj9SgWBA737MTqcFy5Jma83Qjl3eTmAoiCkXl8fVG2anQtsPEQRyKUkFNWpwNUX0gOKaD_pWfn3etT_IikwVnCo7SQf4s=w1200|https://lh3.googleusercontent.com/pw/AP1GczMC-kiDi_Y4WaJVolFOtWhBaLENP7acLwxQ6N5LTfRRQitc233IHs1dFJDW0KBHIShvqImv25eDr4ZdJxkdgEodOVsJqxalPwyn2IjZsDW2RbDC6lOG=w1200|https://lh3.googleusercontent.com/pw/AP1GczO_iA2w33hmCiXuHlx3NcWxel7fuqAmftITKJ7gMT8dpXjrgK26PXhcLNGDoyG8hy0mvNCz5rzaAltrRTY7ZK_LnROoUk7Q4Os_0psBVL5nAJdxUzNT=w1200|https://lh3.googleusercontent.com/pw/AP1GczPrpelMs_Ua7MwKZGi4yqG8RMn9-POqjzujrO_T5XhsEBoZWHDeRMCtv7_GxO3sQWSRVpsQ5YMyN_PyuE1HX-MVT-BLKTZ2SA8xPCKKlyUkjPITUheC=w1200|https://lh3.googleusercontent.com/pw/AP1GczOkOnz3D_gjsdnrfkL_rPv4BzciCNX5LP8D46tGnxbQnfrJQBmn5cvhdv-CX7gczt_Zuz1Fhe0a9IW5pWpbgng6y-wkfHcFo7YDv4mY1uBvx_gmB7qg=w1200|https://lh3.googleusercontent.com/pw/AP1GczMjH5dae1OL7I5-7_a176TKJDh6gJJdPOVK0ai03MYpveRs-LO0gS4GDV-_O3bbc5Nycms5X6dnzdxSMYHJhPmfDIDLHmwf8itY6fp6gc-6AMjdxMuy=w1200|https://lh3.googleusercontent.com/pw/AP1GczODYlFa3QTuCECyBdi96jtEDXtpFQATCBpk8RpFc0rKFKVwwubZ5GtOC939Q38HpEMsNgwNG9eepFYac8a873qNyGfZmsqDmnTmFmwvUjzYJgZ5KBGo=w1200|https://lh3.googleusercontent.com/pw/AP1GczMKY9_jxNg29ZGz4r-_W1qrgGCL5sZEqWWPO2nA59vgZFM-wV_5aBg4rss1cu1YzhmO-rVkylHkCBK_-jiMPrAqiJntF_R7qdYsmI1Usc4PF8JwEJBT=w1200|https://lh3.googleusercontent.com/pw/AP1GczP4cw3UB0yF5WYdiWRaktz3wRUMpwMC3rY9JgtqLZiVYJB55VFrClNJcgaDPcyjo0tPyEbtY0q4qMHZg7codYv0CPnq5CWOv-bz7kL2BZwQ3jSM-Z2-=w1200|https://lh3.googleusercontent.com/pw/AP1GczPI_rDBqOngvR213UN6eorxhoqbSvMQA6w-_457GXlbkYqLdQCaLK-u0clPv7HY0HpKwHjeLMpNgGdDN8Ajx24UdaAY2CH4oTJZUPGfHbqtx-T0XpHe=w1200</v>
      </c>
      <c r="AJ497" s="46"/>
      <c r="AK497" s="46"/>
      <c r="AL497" s="46"/>
      <c r="AM497" s="46"/>
      <c r="AN497" s="46"/>
      <c r="AO497" s="46"/>
      <c r="AP497" s="46"/>
      <c r="AQ497" s="46"/>
      <c r="AR497" s="46"/>
      <c r="AS497" s="46"/>
      <c r="AT497" s="46"/>
      <c r="AU497" s="46"/>
      <c r="AV497" s="46"/>
      <c r="AW497" s="46"/>
      <c r="AX497" s="46"/>
      <c r="AY497" s="46"/>
      <c r="AZ497" s="46"/>
      <c r="BA497" s="46"/>
      <c r="BB497" s="46"/>
      <c r="BC497" s="46"/>
      <c r="BD497" s="46"/>
      <c r="BE497" s="46"/>
      <c r="BF497" s="46"/>
      <c r="BG497" s="46"/>
      <c r="BH497" s="46"/>
      <c r="BI497" s="46"/>
      <c r="BJ497" s="46"/>
      <c r="BK497" s="46"/>
      <c r="BL497" s="46"/>
      <c r="BM497" s="46"/>
      <c r="BN497" s="46"/>
      <c r="BO497" s="46"/>
      <c r="BP497" s="46"/>
      <c r="BQ497" s="46"/>
      <c r="BR497" s="46"/>
      <c r="BS497" s="46"/>
      <c r="BT497" s="46"/>
      <c r="BU497" s="46"/>
      <c r="BV497" s="46"/>
      <c r="BW497" s="46"/>
      <c r="BX497" s="46"/>
      <c r="BY497" s="46"/>
      <c r="BZ497" s="46"/>
      <c r="CA497" s="46"/>
      <c r="CB497" s="46"/>
      <c r="CC497" s="46"/>
    </row>
    <row r="498">
      <c r="A498" s="87" t="str">
        <f>IFERROR(__xludf.DUMMYFUNCTION("""COMPUTED_VALUE"""),"872")</f>
        <v>872</v>
      </c>
      <c r="B498" s="46" t="str">
        <f>IFERROR(__xludf.DUMMYFUNCTION("""COMPUTED_VALUE"""),"Apartamento en edificio Jardín de Andaki - Oriente")</f>
        <v>Apartamento en edificio Jardín de Andaki - Oriente</v>
      </c>
      <c r="C498" s="46" t="str">
        <f>IFERROR(__xludf.DUMMYFUNCTION("""COMPUTED_VALUE"""),"Apartamento")</f>
        <v>Apartamento</v>
      </c>
      <c r="D498" s="46" t="str">
        <f>IFERROR(__xludf.DUMMYFUNCTION("""COMPUTED_VALUE"""),"Jardín")</f>
        <v>Jardín</v>
      </c>
      <c r="E498" s="46"/>
      <c r="F498" s="90">
        <f>IFERROR(__xludf.DUMMYFUNCTION("""COMPUTED_VALUE"""),1.77E8)</f>
        <v>177000000</v>
      </c>
      <c r="G498" s="46" t="str">
        <f>IFERROR(__xludf.DUMMYFUNCTION("""COMPUTED_VALUE"""),"$100'000.000 a $200'000.000")</f>
        <v>$100'000.000 a $200'000.000</v>
      </c>
      <c r="H498" s="46"/>
      <c r="I498" s="46"/>
      <c r="J498" s="46" t="str">
        <f>IFERROR(__xludf.DUMMYFUNCTION("""COMPUTED_VALUE"""),"Oriente")</f>
        <v>Oriente</v>
      </c>
      <c r="K498" s="87" t="str">
        <f>IFERROR(__xludf.DUMMYFUNCTION("""COMPUTED_VALUE"""),"5")</f>
        <v>5</v>
      </c>
      <c r="L498" s="46">
        <f>IFERROR(__xludf.DUMMYFUNCTION("""COMPUTED_VALUE"""),2.0)</f>
        <v>2</v>
      </c>
      <c r="M498" s="46"/>
      <c r="N498" s="46">
        <f>IFERROR(__xludf.DUMMYFUNCTION("""COMPUTED_VALUE"""),2.0)</f>
        <v>2</v>
      </c>
      <c r="O498" s="46">
        <f>IFERROR(__xludf.DUMMYFUNCTION("""COMPUTED_VALUE"""),1.0)</f>
        <v>1</v>
      </c>
      <c r="P498" s="46">
        <f>IFERROR(__xludf.DUMMYFUNCTION("""COMPUTED_VALUE"""),3.0)</f>
        <v>3</v>
      </c>
      <c r="Q498" s="92">
        <f>IFERROR(__xludf.DUMMYFUNCTION("""COMPUTED_VALUE"""),55.0)</f>
        <v>55</v>
      </c>
      <c r="R498" s="92">
        <f>IFERROR(__xludf.DUMMYFUNCTION("""COMPUTED_VALUE"""),55.0)</f>
        <v>55</v>
      </c>
      <c r="S498" s="87" t="str">
        <f>IFERROR(__xludf.DUMMYFUNCTION("""COMPUTED_VALUE""")," ")</f>
        <v> </v>
      </c>
      <c r="T498" s="46" t="str">
        <f>IFERROR(__xludf.DUMMYFUNCTION("""COMPUTED_VALUE"""),"Neiva")</f>
        <v>Neiva</v>
      </c>
      <c r="U498" s="87" t="str">
        <f>IFERROR(__xludf.DUMMYFUNCTION("""COMPUTED_VALUE"""),"2")</f>
        <v>2</v>
      </c>
      <c r="V498" s="46" t="str">
        <f>IFERROR(__xludf.DUMMYFUNCTION("""COMPUTED_VALUE"""),"3ro.")</f>
        <v>3ro.</v>
      </c>
      <c r="W498" s="46"/>
      <c r="X498" s="46">
        <f>IFERROR(__xludf.DUMMYFUNCTION("""COMPUTED_VALUE"""),2.0)</f>
        <v>2</v>
      </c>
      <c r="Y498" s="46" t="str">
        <f>IFERROR(__xludf.DUMMYFUNCTION("""COMPUTED_VALUE"""),"No tiene")</f>
        <v>No tiene</v>
      </c>
      <c r="Z498" s="90">
        <f>IFERROR(__xludf.DUMMYFUNCTION("""COMPUTED_VALUE"""),250000.0)</f>
        <v>250000</v>
      </c>
      <c r="AA498" s="33" t="str">
        <f>IFERROR(__xludf.DUMMYFUNCTION("""COMPUTED_VALUE"""),"No aplica")</f>
        <v>No aplica</v>
      </c>
      <c r="AB498" s="96" t="str">
        <f>IFERROR(__xludf.DUMMYFUNCTION("""COMPUTED_VALUE"""),"https://photos.app.goo.gl/kP6JF4c3K3mj8ZV88")</f>
        <v>https://photos.app.goo.gl/kP6JF4c3K3mj8ZV88</v>
      </c>
      <c r="AC498" s="46" t="str">
        <f>IFERROR(__xludf.DUMMYFUNCTION("""COMPUTED_VALUE"""),"Este acogedor apartamento en tercer piso, con acceso por ascensor, destaca por su excelente iluminación natural en el área de sala-comedor y una cocina integral perfectamente optimizada. Su distribución inteligente aprovecha al máximo sus 55 m², ofreciend"&amp;"o dos cómodas habitaciones, dos baños completos y un versátil espacio de estudio, ideal para adecuar una oficina en casa o una tercera habitación según las necesidades de tu familia.")</f>
        <v>Este acogedor apartamento en tercer piso, con acceso por ascensor, destaca por su excelente iluminación natural en el área de sala-comedor y una cocina integral perfectamente optimizada. Su distribución inteligente aprovecha al máximo sus 55 m², ofreciendo dos cómodas habitaciones, dos baños completos y un versátil espacio de estudio, ideal para adecuar una oficina en casa o una tercera habitación según las necesidades de tu familia.</v>
      </c>
      <c r="AD498" s="46" t="str">
        <f>IFERROR(__xludf.DUMMYFUNCTION("""COMPUTED_VALUE"""),"Ubicado en la cotizada zona oriente de Neiva, este inmueble representa una oportunidad de inversión inigualable gracias a su alta valorización y fácil acceso a transporte, comercio y servicios. Vivir aquí te garantiza tranquilidad absoluta con vigilancia "&amp;"privada 24/7 en un ambiente residencial seguro, con el beneficio adicional de parqueadero comunal y documentos completamente al día, listos para un traspaso rápido y sin complicaciones.")</f>
        <v>Ubicado en la cotizada zona oriente de Neiva, este inmueble representa una oportunidad de inversión inigualable gracias a su alta valorización y fácil acceso a transporte, comercio y servicios. Vivir aquí te garantiza tranquilidad absoluta con vigilancia privada 24/7 en un ambiente residencial seguro, con el beneficio adicional de parqueadero comunal y documentos completamente al día, listos para un traspaso rápido y sin complicaciones.</v>
      </c>
      <c r="AE498" s="46"/>
      <c r="AF498" s="46" t="str">
        <f>IFERROR(__xludf.DUMMYFUNCTION("""COMPUTED_VALUE"""),"integral")</f>
        <v>integral</v>
      </c>
      <c r="AG498" s="46"/>
      <c r="AH498" s="46" t="str">
        <f>IFERROR(__xludf.DUMMYFUNCTION("""COMPUTED_VALUE"""),"Aliado")</f>
        <v>Aliado</v>
      </c>
      <c r="AI498" s="92" t="str">
        <f>IFERROR(__xludf.DUMMYFUNCTION("""COMPUTED_VALUE"""),"https://lh3.googleusercontent.com/pw/AP1GczMeh74M9B6Yz4OxvAXxoPuY86tUgLFtbx4OEtYAv9z1Sd3jFxBvLhAeYEb6yYPAT8TKmjQ4locjKY85XygXxyBVg5nQQh_52BfRt_XEFjZ0lTKSu7u6=w1200|https://lh3.googleusercontent.com/pw/AP1GczMEraJG0JqD2kcHSKs_294ra6VIrvmSadZQdRqUKT46487-Tn"&amp;"mtNYnLL_Uc7V1ilO1cNBZfNMweL_H9s3eAao8kbjidS6pYfXZhlpNkK8W4T39z4Xzw=w1200|https://lh3.googleusercontent.com/pw/AP1GczPfS6yuC-rkhxaI9UYObIS3RJ5gP5B1mKx9zyQtudV6Q6G_fQ7NXgv7_xEUXiomP5gMjMQDeRrayWZjh7JmQPtfqKBSRAnIJW-VvqAcCFENdPBOLz3f=w1200|https://lh3.google"&amp;"usercontent.com/pw/AP1GczNyrx4TcFpaXikaW0IK7U4CGpTzZWj8ZbkHqIwdgfSmFM5PjtWylwp6nFpQWToNmYhHtLVEDeVbfwGEwa2bKGUmVw-gAzEMBv6SBqKjP0__9DXQHGQJ=w1200|https://lh3.googleusercontent.com/pw/AP1GczPrxTnXU9B7DhNpBOZT8f4Kt0_0Pa8eaThCEl7gDa-gZyga9J-wq3ReXxRrhpdUEKtQ"&amp;"C18UHY3c8j6eGeIY20nigAFcEKawvBzh-qqXp-hdXfDb3Bbw=w1200|https://lh3.googleusercontent.com/pw/AP1GczOA5zTvZmKRtc4WzDw1UuOj6oTkR_oZzxlFJEIyDfPue8fcfBoscxOgM-mEKKIw6dHEiGoUjN9lIxicyenhMQmdknNf2bMTbPp8BRaiU-WgCWDrYbOe=w1200|https://lh3.googleusercontent.com/pw"&amp;"/AP1GczP4amYNrN7XERG2AawJuYMA7pt7zyE1TZaM-l544PHtV7V4AJFNR6ruABxEamJYnqHXtFF3SSbu_JyHFePt4NeSwui-TunCNqkdtoxPSj-AD_2QsUwh=w1200|https://lh3.googleusercontent.com/pw/AP1GczOL57B1mw2DHlU3RDgaC76So4IMBEHwtbHFyFKR_jhQCl48yyafvpvbFdCLuAHZKOFvJfVPhKs9DUyIAPUT75"&amp;"MphKJepcud2RaevD0qgBcjFhKbaHet=w1200|https://lh3.googleusercontent.com/pw/AP1GczPDCu8FQkI9RLWXR3tCgCf0k96zYvIRXwwXHQHc4a0G4lrnilJvrzLID4qkqYcda8kiForafM0YuYY9uRZ8sUkEucV4GBFFf664ATipaSjhKPRauFK_=w1200")</f>
        <v>https://lh3.googleusercontent.com/pw/AP1GczMeh74M9B6Yz4OxvAXxoPuY86tUgLFtbx4OEtYAv9z1Sd3jFxBvLhAeYEb6yYPAT8TKmjQ4locjKY85XygXxyBVg5nQQh_52BfRt_XEFjZ0lTKSu7u6=w1200|https://lh3.googleusercontent.com/pw/AP1GczMEraJG0JqD2kcHSKs_294ra6VIrvmSadZQdRqUKT46487-TnmtNYnLL_Uc7V1ilO1cNBZfNMweL_H9s3eAao8kbjidS6pYfXZhlpNkK8W4T39z4Xzw=w1200|https://lh3.googleusercontent.com/pw/AP1GczPfS6yuC-rkhxaI9UYObIS3RJ5gP5B1mKx9zyQtudV6Q6G_fQ7NXgv7_xEUXiomP5gMjMQDeRrayWZjh7JmQPtfqKBSRAnIJW-VvqAcCFENdPBOLz3f=w1200|https://lh3.googleusercontent.com/pw/AP1GczNyrx4TcFpaXikaW0IK7U4CGpTzZWj8ZbkHqIwdgfSmFM5PjtWylwp6nFpQWToNmYhHtLVEDeVbfwGEwa2bKGUmVw-gAzEMBv6SBqKjP0__9DXQHGQJ=w1200|https://lh3.googleusercontent.com/pw/AP1GczPrxTnXU9B7DhNpBOZT8f4Kt0_0Pa8eaThCEl7gDa-gZyga9J-wq3ReXxRrhpdUEKtQC18UHY3c8j6eGeIY20nigAFcEKawvBzh-qqXp-hdXfDb3Bbw=w1200|https://lh3.googleusercontent.com/pw/AP1GczOA5zTvZmKRtc4WzDw1UuOj6oTkR_oZzxlFJEIyDfPue8fcfBoscxOgM-mEKKIw6dHEiGoUjN9lIxicyenhMQmdknNf2bMTbPp8BRaiU-WgCWDrYbOe=w1200|https://lh3.googleusercontent.com/pw/AP1GczP4amYNrN7XERG2AawJuYMA7pt7zyE1TZaM-l544PHtV7V4AJFNR6ruABxEamJYnqHXtFF3SSbu_JyHFePt4NeSwui-TunCNqkdtoxPSj-AD_2QsUwh=w1200|https://lh3.googleusercontent.com/pw/AP1GczOL57B1mw2DHlU3RDgaC76So4IMBEHwtbHFyFKR_jhQCl48yyafvpvbFdCLuAHZKOFvJfVPhKs9DUyIAPUT75MphKJepcud2RaevD0qgBcjFhKbaHet=w1200|https://lh3.googleusercontent.com/pw/AP1GczPDCu8FQkI9RLWXR3tCgCf0k96zYvIRXwwXHQHc4a0G4lrnilJvrzLID4qkqYcda8kiForafM0YuYY9uRZ8sUkEucV4GBFFf664ATipaSjhKPRauFK_=w1200</v>
      </c>
      <c r="AJ498" s="46"/>
      <c r="AK498" s="46"/>
      <c r="AL498" s="46"/>
      <c r="AM498" s="46"/>
      <c r="AN498" s="46"/>
      <c r="AO498" s="46"/>
      <c r="AP498" s="46"/>
      <c r="AQ498" s="46"/>
      <c r="AR498" s="46"/>
      <c r="AS498" s="46"/>
      <c r="AT498" s="46"/>
      <c r="AU498" s="46"/>
      <c r="AV498" s="46"/>
      <c r="AW498" s="46"/>
      <c r="AX498" s="46"/>
      <c r="AY498" s="46"/>
      <c r="AZ498" s="46"/>
      <c r="BA498" s="46"/>
      <c r="BB498" s="46"/>
      <c r="BC498" s="46"/>
      <c r="BD498" s="46"/>
      <c r="BE498" s="46"/>
      <c r="BF498" s="46"/>
      <c r="BG498" s="46"/>
      <c r="BH498" s="46"/>
      <c r="BI498" s="46"/>
      <c r="BJ498" s="46"/>
      <c r="BK498" s="46"/>
      <c r="BL498" s="46"/>
      <c r="BM498" s="46"/>
      <c r="BN498" s="46"/>
      <c r="BO498" s="46"/>
      <c r="BP498" s="46"/>
      <c r="BQ498" s="46"/>
      <c r="BR498" s="46"/>
      <c r="BS498" s="46"/>
      <c r="BT498" s="46"/>
      <c r="BU498" s="46"/>
      <c r="BV498" s="46"/>
      <c r="BW498" s="46"/>
      <c r="BX498" s="46"/>
      <c r="BY498" s="46"/>
      <c r="BZ498" s="46"/>
      <c r="CA498" s="46"/>
      <c r="CB498" s="46"/>
      <c r="CC498" s="46"/>
    </row>
    <row r="499">
      <c r="A499" s="87" t="str">
        <f>IFERROR(__xludf.DUMMYFUNCTION("""COMPUTED_VALUE"""),"868")</f>
        <v>868</v>
      </c>
      <c r="B499" s="46" t="str">
        <f>IFERROR(__xludf.DUMMYFUNCTION("""COMPUTED_VALUE"""),"Apartamento en conjunto El Tesoro II - Oriente")</f>
        <v>Apartamento en conjunto El Tesoro II - Oriente</v>
      </c>
      <c r="C499" s="46" t="str">
        <f>IFERROR(__xludf.DUMMYFUNCTION("""COMPUTED_VALUE"""),"Apartamento en conjunto")</f>
        <v>Apartamento en conjunto</v>
      </c>
      <c r="D499" s="46" t="str">
        <f>IFERROR(__xludf.DUMMYFUNCTION("""COMPUTED_VALUE"""),"El Tesoro")</f>
        <v>El Tesoro</v>
      </c>
      <c r="E499" s="46" t="str">
        <f>IFERROR(__xludf.DUMMYFUNCTION("""COMPUTED_VALUE"""),"Conjunto El Tesoro II ")</f>
        <v>Conjunto El Tesoro II </v>
      </c>
      <c r="F499" s="90">
        <f>IFERROR(__xludf.DUMMYFUNCTION("""COMPUTED_VALUE"""),1.62E8)</f>
        <v>162000000</v>
      </c>
      <c r="G499" s="46" t="str">
        <f>IFERROR(__xludf.DUMMYFUNCTION("""COMPUTED_VALUE"""),"$100'000.000 a $200'000.000")</f>
        <v>$100'000.000 a $200'000.000</v>
      </c>
      <c r="H499" s="46"/>
      <c r="I499" s="46"/>
      <c r="J499" s="46" t="str">
        <f>IFERROR(__xludf.DUMMYFUNCTION("""COMPUTED_VALUE"""),"Oriente")</f>
        <v>Oriente</v>
      </c>
      <c r="K499" s="87" t="str">
        <f>IFERROR(__xludf.DUMMYFUNCTION("""COMPUTED_VALUE"""),"10")</f>
        <v>10</v>
      </c>
      <c r="L499" s="46">
        <f>IFERROR(__xludf.DUMMYFUNCTION("""COMPUTED_VALUE"""),3.0)</f>
        <v>3</v>
      </c>
      <c r="M499" s="46"/>
      <c r="N499" s="46">
        <f>IFERROR(__xludf.DUMMYFUNCTION("""COMPUTED_VALUE"""),1.0)</f>
        <v>1</v>
      </c>
      <c r="O499" s="46">
        <f>IFERROR(__xludf.DUMMYFUNCTION("""COMPUTED_VALUE"""),1.0)</f>
        <v>1</v>
      </c>
      <c r="P499" s="46">
        <f>IFERROR(__xludf.DUMMYFUNCTION("""COMPUTED_VALUE"""),2.0)</f>
        <v>2</v>
      </c>
      <c r="Q499" s="92">
        <f>IFERROR(__xludf.DUMMYFUNCTION("""COMPUTED_VALUE"""),57.0)</f>
        <v>57</v>
      </c>
      <c r="R499" s="92">
        <f>IFERROR(__xludf.DUMMYFUNCTION("""COMPUTED_VALUE"""),57.0)</f>
        <v>57</v>
      </c>
      <c r="S499" s="87" t="str">
        <f>IFERROR(__xludf.DUMMYFUNCTION("""COMPUTED_VALUE""")," ")</f>
        <v> </v>
      </c>
      <c r="T499" s="46" t="str">
        <f>IFERROR(__xludf.DUMMYFUNCTION("""COMPUTED_VALUE"""),"Neiva")</f>
        <v>Neiva</v>
      </c>
      <c r="U499" s="87" t="str">
        <f>IFERROR(__xludf.DUMMYFUNCTION("""COMPUTED_VALUE"""),"3")</f>
        <v>3</v>
      </c>
      <c r="V499" s="46" t="str">
        <f>IFERROR(__xludf.DUMMYFUNCTION("""COMPUTED_VALUE"""),"2do.")</f>
        <v>2do.</v>
      </c>
      <c r="W499" s="46"/>
      <c r="X499" s="46">
        <f>IFERROR(__xludf.DUMMYFUNCTION("""COMPUTED_VALUE"""),3.0)</f>
        <v>3</v>
      </c>
      <c r="Y499" s="46" t="str">
        <f>IFERROR(__xludf.DUMMYFUNCTION("""COMPUTED_VALUE"""),"Social")</f>
        <v>Social</v>
      </c>
      <c r="Z499" s="90">
        <f>IFERROR(__xludf.DUMMYFUNCTION("""COMPUTED_VALUE"""),197000.0)</f>
        <v>197000</v>
      </c>
      <c r="AA499" s="33" t="str">
        <f>IFERROR(__xludf.DUMMYFUNCTION("""COMPUTED_VALUE"""),"No aplica")</f>
        <v>No aplica</v>
      </c>
      <c r="AB499" s="96" t="str">
        <f>IFERROR(__xludf.DUMMYFUNCTION("""COMPUTED_VALUE"""),"https://photos.app.goo.gl/Qir9sbyuCAH7ZMJq5")</f>
        <v>https://photos.app.goo.gl/Qir9sbyuCAH7ZMJq5</v>
      </c>
      <c r="AC499" s="46" t="str">
        <f>IFERROR(__xludf.DUMMYFUNCTION("""COMPUTED_VALUE"""),"Distribución Inteligente Ubicado en el segundo piso en la zona oriente de Neiva, este apartamento de 57 m² optimiza cada espacio. Cuenta con tres habitaciones con clóset, un baño moderno con ducha a estrenar, cocina integral y acabados en porcelanato. Su "&amp;"diseño destaca por dos balcones privados que inundan de luz y frescura la zona social.")</f>
        <v>Distribución Inteligente Ubicado en el segundo piso en la zona oriente de Neiva, este apartamento de 57 m² optimiza cada espacio. Cuenta con tres habitaciones con clóset, un baño moderno con ducha a estrenar, cocina integral y acabados en porcelanato. Su diseño destaca por dos balcones privados que inundan de luz y frescura la zona social.</v>
      </c>
      <c r="AD499" s="46" t="str">
        <f>IFERROR(__xludf.DUMMYFUNCTION("""COMPUTED_VALUE"""),"Por qué Comprar Hoy Mismo La gran joya de esta propiedad es su parqueadero propio con escrituras independientes, un beneficio exclusivo que asegura tu inversión y eleva su valorización. Situado en un condominio impecable de estrato 2 en la cotizada zona o"&amp;"riente, te ofrece la combinación perfecta de bajos costos fijos, seguridad y confort inmediato. ¡Listo para mudar o rentar!")</f>
        <v>Por qué Comprar Hoy Mismo La gran joya de esta propiedad es su parqueadero propio con escrituras independientes, un beneficio exclusivo que asegura tu inversión y eleva su valorización. Situado en un condominio impecable de estrato 2 en la cotizada zona oriente, te ofrece la combinación perfecta de bajos costos fijos, seguridad y confort inmediato. ¡Listo para mudar o rentar!</v>
      </c>
      <c r="AE499" s="46"/>
      <c r="AF499" s="46" t="str">
        <f>IFERROR(__xludf.DUMMYFUNCTION("""COMPUTED_VALUE"""),"integral")</f>
        <v>integral</v>
      </c>
      <c r="AG499" s="46"/>
      <c r="AH499" s="46" t="str">
        <f>IFERROR(__xludf.DUMMYFUNCTION("""COMPUTED_VALUE"""),"Aliado")</f>
        <v>Aliado</v>
      </c>
      <c r="AI499" s="92" t="str">
        <f>IFERROR(__xludf.DUMMYFUNCTION("""COMPUTED_VALUE"""),"https://lh3.googleusercontent.com/pw/AP1GczPucNReAs_10dpF3rYPUVGMWfIguCc1rrXGmvo1B4bZxBihlUBbo-cKxC4tWnOL9oaXUmb4_ivOCeq25Ubb3Eh_ZdfiQ1YCdt9KX04X4w28yavY21ZS=w1200|https://lh3.googleusercontent.com/pw/AP1GczN0Jvx1Ny-EJDvV9FxkbvANEyXeKDrrKBRUTjNbELNfgAXsf6"&amp;"G-yPIM7avq9ac5uJzICIdotzk1vTASvKLE6yUIN7ApH5081UOyvZWRInHzO6yuzPY6=w1200|https://lh3.googleusercontent.com/pw/AP1GczNmG9zz90Z82wiKX_bMNC27VIAfSb7eKa01iiuChZSHzfD430Shs5E3FRPgAeW_mCq_FSb3HPhbovokVLtck02UeLWY56W5Ou36VA05L7XExpkOU6xy=w1200|https://lh3.google"&amp;"usercontent.com/pw/AP1GczPvhIyhVWj1cUEp5w2cKkHR91AqyGSDkienXzhUW_4bxM5WlM7X6Da0TO7aCMybynxdgCZinCaoMDnCCZhfRLWGHLgekhSbraphLS0f3BJXBjXOrtra=w1200|https://lh3.googleusercontent.com/pw/AP1GczM2IGKfyWh00tgjIpfxcbP-bVYYdWwJHFPreuUVMdDT4riAocHhim6SUIIcZLJ_Kklo"&amp;"TbsvEDFj13xpoPJn78kyPHk-O1GrptHZi_ox1lOR7kdUp_jk=w1200|https://lh3.googleusercontent.com/pw/AP1GczPrINuYtvxT26QVGSulZwg_PrPI1K2RqXspu7upKgiksCtb05_U_ujI-TU1o9RNGCvbUHPHRrL5ywve5oFV-hCitikGFgEu8rUueoR1sAII3-68g3bb=w1200|https://lh3.googleusercontent.com/pw"&amp;"/AP1GczMZYP1yWdBDp1_4cyfvasQ582mLKhQYpJ6xs1KOVwbjeKjl6XSwBy-u0YdE6kOUyn4gZrxrzSdP6lkGFgBoPtVNUN_0rRlLx4SXDC2mpGxJ15va21Ff=w1200|https://lh3.googleusercontent.com/pw/AP1GczOuPezRHmnlzvzsSiLomlJD2_h6-hpSx2cwRuFZ79OEFGPloBOv8rdnOz90WdyNRv7WxUIMaml9q7f0_Z3EiX"&amp;"RlYydTekxauTnFxl0LtENsiRKK5Tug=w1200|https://lh3.googleusercontent.com/pw/AP1GczMYHnlz1loi9CV3Gki0OxQyw_S0J-_EdfSQWL5YPnDgMVoL_OUVS_CSzH0tQNE_WSpxl4Gbp8utpesGaC4Et6mw6XcilmO3XV-7M5hFJYrRiT_RHmaH=w1200|https://lh3.googleusercontent.com/pw/AP1GczNPtUjObUC2W"&amp;"z3qa5D07N7F-39DYmuX_karGIjs7gGkuBVCSs70X54nXUgAtr8TDNXOBvG0mFGI1aKGpfJRNnBKnkEN1MWQqmxIEJKicjdBZBq_GEF8=w1200")</f>
        <v>https://lh3.googleusercontent.com/pw/AP1GczPucNReAs_10dpF3rYPUVGMWfIguCc1rrXGmvo1B4bZxBihlUBbo-cKxC4tWnOL9oaXUmb4_ivOCeq25Ubb3Eh_ZdfiQ1YCdt9KX04X4w28yavY21ZS=w1200|https://lh3.googleusercontent.com/pw/AP1GczN0Jvx1Ny-EJDvV9FxkbvANEyXeKDrrKBRUTjNbELNfgAXsf6G-yPIM7avq9ac5uJzICIdotzk1vTASvKLE6yUIN7ApH5081UOyvZWRInHzO6yuzPY6=w1200|https://lh3.googleusercontent.com/pw/AP1GczNmG9zz90Z82wiKX_bMNC27VIAfSb7eKa01iiuChZSHzfD430Shs5E3FRPgAeW_mCq_FSb3HPhbovokVLtck02UeLWY56W5Ou36VA05L7XExpkOU6xy=w1200|https://lh3.googleusercontent.com/pw/AP1GczPvhIyhVWj1cUEp5w2cKkHR91AqyGSDkienXzhUW_4bxM5WlM7X6Da0TO7aCMybynxdgCZinCaoMDnCCZhfRLWGHLgekhSbraphLS0f3BJXBjXOrtra=w1200|https://lh3.googleusercontent.com/pw/AP1GczM2IGKfyWh00tgjIpfxcbP-bVYYdWwJHFPreuUVMdDT4riAocHhim6SUIIcZLJ_KkloTbsvEDFj13xpoPJn78kyPHk-O1GrptHZi_ox1lOR7kdUp_jk=w1200|https://lh3.googleusercontent.com/pw/AP1GczPrINuYtvxT26QVGSulZwg_PrPI1K2RqXspu7upKgiksCtb05_U_ujI-TU1o9RNGCvbUHPHRrL5ywve5oFV-hCitikGFgEu8rUueoR1sAII3-68g3bb=w1200|https://lh3.googleusercontent.com/pw/AP1GczMZYP1yWdBDp1_4cyfvasQ582mLKhQYpJ6xs1KOVwbjeKjl6XSwBy-u0YdE6kOUyn4gZrxrzSdP6lkGFgBoPtVNUN_0rRlLx4SXDC2mpGxJ15va21Ff=w1200|https://lh3.googleusercontent.com/pw/AP1GczOuPezRHmnlzvzsSiLomlJD2_h6-hpSx2cwRuFZ79OEFGPloBOv8rdnOz90WdyNRv7WxUIMaml9q7f0_Z3EiXRlYydTekxauTnFxl0LtENsiRKK5Tug=w1200|https://lh3.googleusercontent.com/pw/AP1GczMYHnlz1loi9CV3Gki0OxQyw_S0J-_EdfSQWL5YPnDgMVoL_OUVS_CSzH0tQNE_WSpxl4Gbp8utpesGaC4Et6mw6XcilmO3XV-7M5hFJYrRiT_RHmaH=w1200|https://lh3.googleusercontent.com/pw/AP1GczNPtUjObUC2Wz3qa5D07N7F-39DYmuX_karGIjs7gGkuBVCSs70X54nXUgAtr8TDNXOBvG0mFGI1aKGpfJRNnBKnkEN1MWQqmxIEJKicjdBZBq_GEF8=w1200</v>
      </c>
      <c r="AJ499" s="46"/>
      <c r="AK499" s="46"/>
      <c r="AL499" s="46"/>
      <c r="AM499" s="46"/>
      <c r="AN499" s="46"/>
      <c r="AO499" s="46"/>
      <c r="AP499" s="46"/>
      <c r="AQ499" s="46"/>
      <c r="AR499" s="46"/>
      <c r="AS499" s="46"/>
      <c r="AT499" s="46"/>
      <c r="AU499" s="46"/>
      <c r="AV499" s="46"/>
      <c r="AW499" s="46"/>
      <c r="AX499" s="46"/>
      <c r="AY499" s="46"/>
      <c r="AZ499" s="46"/>
      <c r="BA499" s="46"/>
      <c r="BB499" s="46"/>
      <c r="BC499" s="46"/>
      <c r="BD499" s="46"/>
      <c r="BE499" s="46"/>
      <c r="BF499" s="46"/>
      <c r="BG499" s="46"/>
      <c r="BH499" s="46"/>
      <c r="BI499" s="46"/>
      <c r="BJ499" s="46"/>
      <c r="BK499" s="46"/>
      <c r="BL499" s="46"/>
      <c r="BM499" s="46"/>
      <c r="BN499" s="46"/>
      <c r="BO499" s="46"/>
      <c r="BP499" s="46"/>
      <c r="BQ499" s="46"/>
      <c r="BR499" s="46"/>
      <c r="BS499" s="46"/>
      <c r="BT499" s="46"/>
      <c r="BU499" s="46"/>
      <c r="BV499" s="46"/>
      <c r="BW499" s="46"/>
      <c r="BX499" s="46"/>
      <c r="BY499" s="46"/>
      <c r="BZ499" s="46"/>
      <c r="CA499" s="46"/>
      <c r="CB499" s="46"/>
      <c r="CC499" s="46"/>
    </row>
    <row r="500">
      <c r="A500" s="87" t="str">
        <f>IFERROR(__xludf.DUMMYFUNCTION("""COMPUTED_VALUE"""),"720")</f>
        <v>720</v>
      </c>
      <c r="B500" s="46" t="str">
        <f>IFERROR(__xludf.DUMMYFUNCTION("""COMPUTED_VALUE"""),"Apartamento en conjunto Residencial El Tesoro II - Oriente")</f>
        <v>Apartamento en conjunto Residencial El Tesoro II - Oriente</v>
      </c>
      <c r="C500" s="46" t="str">
        <f>IFERROR(__xludf.DUMMYFUNCTION("""COMPUTED_VALUE"""),"Apartamento en conjunto")</f>
        <v>Apartamento en conjunto</v>
      </c>
      <c r="D500" s="46" t="str">
        <f>IFERROR(__xludf.DUMMYFUNCTION("""COMPUTED_VALUE"""),"El Tesoro")</f>
        <v>El Tesoro</v>
      </c>
      <c r="E500" s="46" t="str">
        <f>IFERROR(__xludf.DUMMYFUNCTION("""COMPUTED_VALUE"""),"Conjunto Residencial El Tesoro II")</f>
        <v>Conjunto Residencial El Tesoro II</v>
      </c>
      <c r="F500" s="90">
        <f>IFERROR(__xludf.DUMMYFUNCTION("""COMPUTED_VALUE"""),1.55E8)</f>
        <v>155000000</v>
      </c>
      <c r="G500" s="46" t="str">
        <f>IFERROR(__xludf.DUMMYFUNCTION("""COMPUTED_VALUE"""),"$100'000.000 a $200'000.000")</f>
        <v>$100'000.000 a $200'000.000</v>
      </c>
      <c r="H500" s="46"/>
      <c r="I500" s="46"/>
      <c r="J500" s="46" t="str">
        <f>IFERROR(__xludf.DUMMYFUNCTION("""COMPUTED_VALUE"""),"Oriente")</f>
        <v>Oriente</v>
      </c>
      <c r="K500" s="87" t="str">
        <f>IFERROR(__xludf.DUMMYFUNCTION("""COMPUTED_VALUE"""),"10")</f>
        <v>10</v>
      </c>
      <c r="L500" s="46">
        <f>IFERROR(__xludf.DUMMYFUNCTION("""COMPUTED_VALUE"""),3.0)</f>
        <v>3</v>
      </c>
      <c r="M500" s="46"/>
      <c r="N500" s="46">
        <f>IFERROR(__xludf.DUMMYFUNCTION("""COMPUTED_VALUE"""),1.0)</f>
        <v>1</v>
      </c>
      <c r="O500" s="46">
        <f>IFERROR(__xludf.DUMMYFUNCTION("""COMPUTED_VALUE"""),1.0)</f>
        <v>1</v>
      </c>
      <c r="P500" s="46">
        <f>IFERROR(__xludf.DUMMYFUNCTION("""COMPUTED_VALUE"""),2.0)</f>
        <v>2</v>
      </c>
      <c r="Q500" s="92">
        <f>IFERROR(__xludf.DUMMYFUNCTION("""COMPUTED_VALUE"""),57.0)</f>
        <v>57</v>
      </c>
      <c r="R500" s="92">
        <f>IFERROR(__xludf.DUMMYFUNCTION("""COMPUTED_VALUE"""),57.0)</f>
        <v>57</v>
      </c>
      <c r="S500" s="87" t="str">
        <f>IFERROR(__xludf.DUMMYFUNCTION("""COMPUTED_VALUE""")," ")</f>
        <v> </v>
      </c>
      <c r="T500" s="46" t="str">
        <f>IFERROR(__xludf.DUMMYFUNCTION("""COMPUTED_VALUE"""),"Neiva")</f>
        <v>Neiva</v>
      </c>
      <c r="U500" s="87" t="str">
        <f>IFERROR(__xludf.DUMMYFUNCTION("""COMPUTED_VALUE"""),"2")</f>
        <v>2</v>
      </c>
      <c r="V500" s="46" t="str">
        <f>IFERROR(__xludf.DUMMYFUNCTION("""COMPUTED_VALUE"""),"2do.")</f>
        <v>2do.</v>
      </c>
      <c r="W500" s="46"/>
      <c r="X500" s="46">
        <f>IFERROR(__xludf.DUMMYFUNCTION("""COMPUTED_VALUE"""),3.0)</f>
        <v>3</v>
      </c>
      <c r="Y500" s="46" t="str">
        <f>IFERROR(__xludf.DUMMYFUNCTION("""COMPUTED_VALUE"""),"Social")</f>
        <v>Social</v>
      </c>
      <c r="Z500" s="90"/>
      <c r="AA500" s="33" t="str">
        <f>IFERROR(__xludf.DUMMYFUNCTION("""COMPUTED_VALUE"""),"No aplica")</f>
        <v>No aplica</v>
      </c>
      <c r="AB500" s="96" t="str">
        <f>IFERROR(__xludf.DUMMYFUNCTION("""COMPUTED_VALUE"""),"https://photos.app.goo.gl/etjJvx624ESFS9GH8")</f>
        <v>https://photos.app.goo.gl/etjJvx624ESFS9GH8</v>
      </c>
      <c r="AC500" s="46" t="str">
        <f>IFERROR(__xludf.DUMMYFUNCTION("""COMPUTED_VALUE"""),"Este acogedor apartamento de $57\text{ Mt}^2$ en el segundo piso destaca por una distribución inteligente y acabados modernos diseñados para el máximo confort. Cuenta con tres habitaciones equipadas con clóset y cortinas blackout, resaltando la alcoba pri"&amp;"ncipal y una auxiliar por sus sistemas de aire acondicionado inverter que garantizan frescura con un óptimo ahorro de energía. El espacio se complementa con una cocina integral moderna, elegantes pisos en porcelanato, un baño funcional, excelente iluminac"&amp;"ión y ventilación natural, además de la comodidad de un parqueadero privado.")</f>
        <v>Este acogedor apartamento de $57\text{ Mt}^2$ en el segundo piso destaca por una distribución inteligente y acabados modernos diseñados para el máximo confort. Cuenta con tres habitaciones equipadas con clóset y cortinas blackout, resaltando la alcoba principal y una auxiliar por sus sistemas de aire acondicionado inverter que garantizan frescura con un óptimo ahorro de energía. El espacio se complementa con una cocina integral moderna, elegantes pisos en porcelanato, un baño funcional, excelente iluminación y ventilación natural, además de la comodidad de un parqueadero privado.</v>
      </c>
      <c r="AD500" s="46" t="str">
        <f>IFERROR(__xludf.DUMMYFUNCTION("""COMPUTED_VALUE"""),"Ubicado en el estratégico sector oriente de Neiva, dentro del Conjunto Residencial El Tesoro 2, esta propiedad representa una oportunidad de inversión inigualable en una zona de alta valorización y ambiente tranquilo. Vivir aquí significa disfrutar de la "&amp;"seguridad y el respaldo de un conjunto cerrado, con la ventaja de estar en un entorno fresco y residencial perfecto para familias. Su conectividad, sumada a detalles exclusivos como los aires acondicionados ya instalados y el parqueadero propio, lo convie"&amp;"rten en una opción lista para habitar que despierta el deseo de compra inmediata.")</f>
        <v>Ubicado en el estratégico sector oriente de Neiva, dentro del Conjunto Residencial El Tesoro 2, esta propiedad representa una oportunidad de inversión inigualable en una zona de alta valorización y ambiente tranquilo. Vivir aquí significa disfrutar de la seguridad y el respaldo de un conjunto cerrado, con la ventaja de estar en un entorno fresco y residencial perfecto para familias. Su conectividad, sumada a detalles exclusivos como los aires acondicionados ya instalados y el parqueadero propio, lo convierten en una opción lista para habitar que despierta el deseo de compra inmediata.</v>
      </c>
      <c r="AE500" s="46"/>
      <c r="AF500" s="46" t="str">
        <f>IFERROR(__xludf.DUMMYFUNCTION("""COMPUTED_VALUE"""),"semi-integral")</f>
        <v>semi-integral</v>
      </c>
      <c r="AG500" s="46"/>
      <c r="AH500" s="46" t="str">
        <f>IFERROR(__xludf.DUMMYFUNCTION("""COMPUTED_VALUE"""),"Aliado")</f>
        <v>Aliado</v>
      </c>
      <c r="AI500" s="92" t="str">
        <f>IFERROR(__xludf.DUMMYFUNCTION("""COMPUTED_VALUE"""),"https://lh3.googleusercontent.com/pw/AP1GczMUBqO0MAQ1KMZoXKBW4GwiPgayxS25Ypjhs-umz4Fq9hbxwHfP-wbXhkuz7Hp5WQQMCggYI0DUogJP_gv1G0SHy2S5xtt1wVS04WeF3KuA_Y1fQQKe=w1200|https://lh3.googleusercontent.com/pw/AP1GczO1ldM0k-2sHX4flx2H8YxCxYZoqiM8imbgfWShcgA_I6o4sh"&amp;"P58gmkee2-PYwuubCKZiFmEt-qnk2cNKwz5TFDfOWEH5nLFjfihIfJVyIE-5OgDftf=w1200|https://lh3.googleusercontent.com/pw/AP1GczMAFgwK_6vPellgmYsKGh5JSXJfBFisxkHCStscDMe2dHCW1pWQnr4ymTQYI6AfZzqCgqkT0seZnZxsQwdgJ4DO7TGbSucvd98AoOb12SWlThvkvk8P=w1200|https://lh3.google"&amp;"usercontent.com/pw/AP1GczPZ8ABDUHeb2abst5SIEInqKVMwaPIWn0tvJ032zr7loRWjjYoqY1PTTBC6XkSTS-ZJCh_Y2cYktX5oobaAksjvwtuM8wRNAcQshogaVcaZo5-Hd2lj=w1200|https://lh3.googleusercontent.com/pw/AP1GczOA7MB-DmnWPlKLYVcJzeuixmM83hxNTQ9D91rzAhAHNO4emjaRqtUJZ_EzwL-h-2nr"&amp;"P8X7t2ZdT8IOmi5IqHeJ7VLoBCniVZRZBKnNCW7Wl0FrJI9V=w1200|https://lh3.googleusercontent.com/pw/AP1GczO3cwOy7NG3PDuAQsSQcfG1J3ZUmeBcSDh5Mjeze7r-T7NCfMjD3TEx0JIamdabipQr8yDdJ30fouHM-gXE7akoKSMRMGIzG_zhKkj1qynYHAeJcfTh=w1200|https://lh3.googleusercontent.com/pw"&amp;"/AP1GczMEOYbAqudd_zMAFuTf8d4Wt5gmUSIuWU6IVEDkvRnhF8egchXGDs1A2tNDvE44BI9u8E1PdjBS4KMSXNzrRmrhVGiLj1u37fpe08F_0qM5-C3kL8yx=w1200|https://lh3.googleusercontent.com/pw/AP1GczMXaU76low0mne3rW6aTpT6qXx1-_6Ux64FgGYAYuJuC2l7P-hza-23mF2TrXiDmMFEj845tvU-fzkkWUo8hf"&amp;"HibTPqvQ6PbJKM6rF4nhbYJTqcFwAg=w1200")</f>
        <v>https://lh3.googleusercontent.com/pw/AP1GczMUBqO0MAQ1KMZoXKBW4GwiPgayxS25Ypjhs-umz4Fq9hbxwHfP-wbXhkuz7Hp5WQQMCggYI0DUogJP_gv1G0SHy2S5xtt1wVS04WeF3KuA_Y1fQQKe=w1200|https://lh3.googleusercontent.com/pw/AP1GczO1ldM0k-2sHX4flx2H8YxCxYZoqiM8imbgfWShcgA_I6o4shP58gmkee2-PYwuubCKZiFmEt-qnk2cNKwz5TFDfOWEH5nLFjfihIfJVyIE-5OgDftf=w1200|https://lh3.googleusercontent.com/pw/AP1GczMAFgwK_6vPellgmYsKGh5JSXJfBFisxkHCStscDMe2dHCW1pWQnr4ymTQYI6AfZzqCgqkT0seZnZxsQwdgJ4DO7TGbSucvd98AoOb12SWlThvkvk8P=w1200|https://lh3.googleusercontent.com/pw/AP1GczPZ8ABDUHeb2abst5SIEInqKVMwaPIWn0tvJ032zr7loRWjjYoqY1PTTBC6XkSTS-ZJCh_Y2cYktX5oobaAksjvwtuM8wRNAcQshogaVcaZo5-Hd2lj=w1200|https://lh3.googleusercontent.com/pw/AP1GczOA7MB-DmnWPlKLYVcJzeuixmM83hxNTQ9D91rzAhAHNO4emjaRqtUJZ_EzwL-h-2nrP8X7t2ZdT8IOmi5IqHeJ7VLoBCniVZRZBKnNCW7Wl0FrJI9V=w1200|https://lh3.googleusercontent.com/pw/AP1GczO3cwOy7NG3PDuAQsSQcfG1J3ZUmeBcSDh5Mjeze7r-T7NCfMjD3TEx0JIamdabipQr8yDdJ30fouHM-gXE7akoKSMRMGIzG_zhKkj1qynYHAeJcfTh=w1200|https://lh3.googleusercontent.com/pw/AP1GczMEOYbAqudd_zMAFuTf8d4Wt5gmUSIuWU6IVEDkvRnhF8egchXGDs1A2tNDvE44BI9u8E1PdjBS4KMSXNzrRmrhVGiLj1u37fpe08F_0qM5-C3kL8yx=w1200|https://lh3.googleusercontent.com/pw/AP1GczMXaU76low0mne3rW6aTpT6qXx1-_6Ux64FgGYAYuJuC2l7P-hza-23mF2TrXiDmMFEj845tvU-fzkkWUo8hfHibTPqvQ6PbJKM6rF4nhbYJTqcFwAg=w1200</v>
      </c>
      <c r="AJ500" s="46"/>
      <c r="AK500" s="46"/>
      <c r="AL500" s="46"/>
      <c r="AM500" s="46"/>
      <c r="AN500" s="46"/>
      <c r="AO500" s="46"/>
      <c r="AP500" s="46"/>
      <c r="AQ500" s="46"/>
      <c r="AR500" s="46"/>
      <c r="AS500" s="46"/>
      <c r="AT500" s="46"/>
      <c r="AU500" s="46"/>
      <c r="AV500" s="46"/>
      <c r="AW500" s="46"/>
      <c r="AX500" s="46"/>
      <c r="AY500" s="46"/>
      <c r="AZ500" s="46"/>
      <c r="BA500" s="46"/>
      <c r="BB500" s="46"/>
      <c r="BC500" s="46"/>
      <c r="BD500" s="46"/>
      <c r="BE500" s="46"/>
      <c r="BF500" s="46"/>
      <c r="BG500" s="46"/>
      <c r="BH500" s="46"/>
      <c r="BI500" s="46"/>
      <c r="BJ500" s="46"/>
      <c r="BK500" s="46"/>
      <c r="BL500" s="46"/>
      <c r="BM500" s="46"/>
      <c r="BN500" s="46"/>
      <c r="BO500" s="46"/>
      <c r="BP500" s="46"/>
      <c r="BQ500" s="46"/>
      <c r="BR500" s="46"/>
      <c r="BS500" s="46"/>
      <c r="BT500" s="46"/>
      <c r="BU500" s="46"/>
      <c r="BV500" s="46"/>
      <c r="BW500" s="46"/>
      <c r="BX500" s="46"/>
      <c r="BY500" s="46"/>
      <c r="BZ500" s="46"/>
      <c r="CA500" s="46"/>
      <c r="CB500" s="46"/>
      <c r="CC500" s="46"/>
    </row>
    <row r="501">
      <c r="A501" s="87" t="str">
        <f>IFERROR(__xludf.DUMMYFUNCTION("""COMPUTED_VALUE"""),"015")</f>
        <v>015</v>
      </c>
      <c r="B501" s="46" t="str">
        <f>IFERROR(__xludf.DUMMYFUNCTION("""COMPUTED_VALUE"""),"Casa en barrio Ipanema")</f>
        <v>Casa en barrio Ipanema</v>
      </c>
      <c r="C501" s="46" t="str">
        <f>IFERROR(__xludf.DUMMYFUNCTION("""COMPUTED_VALUE"""),"Casa")</f>
        <v>Casa</v>
      </c>
      <c r="D501" s="46" t="str">
        <f>IFERROR(__xludf.DUMMYFUNCTION("""COMPUTED_VALUE"""),"Ipanema")</f>
        <v>Ipanema</v>
      </c>
      <c r="E501" s="90" t="str">
        <f>IFERROR(__xludf.DUMMYFUNCTION("""COMPUTED_VALUE""")," ")</f>
        <v> </v>
      </c>
      <c r="F501" s="90">
        <f>IFERROR(__xludf.DUMMYFUNCTION("""COMPUTED_VALUE"""),4.7E8)</f>
        <v>470000000</v>
      </c>
      <c r="G501" s="46" t="str">
        <f>IFERROR(__xludf.DUMMYFUNCTION("""COMPUTED_VALUE"""),"$400'000.000 a $500'000.000")</f>
        <v>$400'000.000 a $500'000.000</v>
      </c>
      <c r="H501" s="46"/>
      <c r="I501" s="46"/>
      <c r="J501" s="46" t="str">
        <f>IFERROR(__xludf.DUMMYFUNCTION("""COMPUTED_VALUE"""),"Oriente")</f>
        <v>Oriente</v>
      </c>
      <c r="K501" s="87"/>
      <c r="L501" s="46">
        <f>IFERROR(__xludf.DUMMYFUNCTION("""COMPUTED_VALUE"""),4.0)</f>
        <v>4</v>
      </c>
      <c r="M501" s="46"/>
      <c r="N501" s="46">
        <f>IFERROR(__xludf.DUMMYFUNCTION("""COMPUTED_VALUE"""),3.0)</f>
        <v>3</v>
      </c>
      <c r="O501" s="46">
        <f>IFERROR(__xludf.DUMMYFUNCTION("""COMPUTED_VALUE"""),1.0)</f>
        <v>1</v>
      </c>
      <c r="P501" s="46">
        <f>IFERROR(__xludf.DUMMYFUNCTION("""COMPUTED_VALUE"""),2.0)</f>
        <v>2</v>
      </c>
      <c r="Q501" s="92" t="str">
        <f>IFERROR(__xludf.DUMMYFUNCTION("""COMPUTED_VALUE"""),"170,40")</f>
        <v>170,40</v>
      </c>
      <c r="R501" s="92" t="str">
        <f>IFERROR(__xludf.DUMMYFUNCTION("""COMPUTED_VALUE"""),"106,5")</f>
        <v>106,5</v>
      </c>
      <c r="S501" s="87" t="str">
        <f>IFERROR(__xludf.DUMMYFUNCTION("""COMPUTED_VALUE""")," ")</f>
        <v> </v>
      </c>
      <c r="T501" s="46" t="str">
        <f>IFERROR(__xludf.DUMMYFUNCTION("""COMPUTED_VALUE"""),"Neiva")</f>
        <v>Neiva</v>
      </c>
      <c r="U501" s="87" t="str">
        <f>IFERROR(__xludf.DUMMYFUNCTION("""COMPUTED_VALUE"""),"4")</f>
        <v>4</v>
      </c>
      <c r="V501" s="46" t="str">
        <f>IFERROR(__xludf.DUMMYFUNCTION("""COMPUTED_VALUE"""),"Medianera")</f>
        <v>Medianera</v>
      </c>
      <c r="W501" s="46"/>
      <c r="X501" s="46">
        <f>IFERROR(__xludf.DUMMYFUNCTION("""COMPUTED_VALUE"""),2.0)</f>
        <v>2</v>
      </c>
      <c r="Y501" s="179" t="str">
        <f>IFERROR(__xludf.DUMMYFUNCTION("""COMPUTED_VALUE"""),"No tiene")</f>
        <v>No tiene</v>
      </c>
      <c r="Z501" s="90" t="str">
        <f>IFERROR(__xludf.DUMMYFUNCTION("""COMPUTED_VALUE"""),"No aplica")</f>
        <v>No aplica</v>
      </c>
      <c r="AA501" s="33" t="str">
        <f>IFERROR(__xludf.DUMMYFUNCTION("""COMPUTED_VALUE"""),"No aplica")</f>
        <v>No aplica</v>
      </c>
      <c r="AB501" s="96" t="str">
        <f>IFERROR(__xludf.DUMMYFUNCTION("""COMPUTED_VALUE"""),"https://photos.app.goo.gl/NKBr8zHEwYcxQegC9")</f>
        <v>https://photos.app.goo.gl/NKBr8zHEwYcxQegC9</v>
      </c>
      <c r="AC501" s="46" t="str">
        <f>IFERROR(__xludf.DUMMYFUNCTION("""COMPUTED_VALUE"""),"Casa en venta en el barrio Ipanema, uno de los sectores más valorados del oriente de Neiva. Inmueble de dos pisos con 4 habitaciones, 3 baños, garaje, cocina integral y acabados de alta calidad incluyendo piso en mármol. Dimensión del lote 6.0 x 17.75 ml,"&amp;" bien ubicada en vía accesible. Ideal para familia numerosa que busca casa en venta en Neiva en zona residencial tranquila, con buena valorización y fácil acceso al centro y universidades del sector oriente.")</f>
        <v>Casa en venta en el barrio Ipanema, uno de los sectores más valorados del oriente de Neiva. Inmueble de dos pisos con 4 habitaciones, 3 baños, garaje, cocina integral y acabados de alta calidad incluyendo piso en mármol. Dimensión del lote 6.0 x 17.75 ml, bien ubicada en vía accesible. Ideal para familia numerosa que busca casa en venta en Neiva en zona residencial tranquila, con buena valorización y fácil acceso al centro y universidades del sector oriente.</v>
      </c>
      <c r="AD501" s="46" t="str">
        <f>IFERROR(__xludf.DUMMYFUNCTION("""COMPUTED_VALUE"""),"Casa en venta en barrio Ipanema Neiva, sector oriente. 4 habitaciones, 3 baños, garaje, cocina integral, 2 pisos. Lote de 106,5 m², área construida 170,40 m². Piso en mármol. Remodelada con buenos acabados. Incluye cortinas. Escritura al día. Dimensión lo"&amp;"te 6.0 x 17.75 ml.")</f>
        <v>Casa en venta en barrio Ipanema Neiva, sector oriente. 4 habitaciones, 3 baños, garaje, cocina integral, 2 pisos. Lote de 106,5 m², área construida 170,40 m². Piso en mármol. Remodelada con buenos acabados. Incluye cortinas. Escritura al día. Dimensión lote 6.0 x 17.75 ml.</v>
      </c>
      <c r="AE501" s="46"/>
      <c r="AF501" s="46" t="str">
        <f>IFERROR(__xludf.DUMMYFUNCTION("""COMPUTED_VALUE"""),"integral")</f>
        <v>integral</v>
      </c>
      <c r="AG501" s="46"/>
      <c r="AH501" s="46" t="str">
        <f>IFERROR(__xludf.DUMMYFUNCTION("""COMPUTED_VALUE"""),"Aliado")</f>
        <v>Aliado</v>
      </c>
      <c r="AI501" s="92" t="str">
        <f>IFERROR(__xludf.DUMMYFUNCTION("""COMPUTED_VALUE"""),"https://lh3.googleusercontent.com/pw/AP1GczMizkDExnWgWiMrbRW2c9SjG4U91PdCMIay1vtjSAGuCcYB1S9mijZEP9q1eidWKsAQ2u3y7N1wmOaNfY0-0DX0N6hsRbkbY-rdFlvKrTx6yXksFIZ1=w1200|https://lh3.googleusercontent.com/pw/AP1GczPu9lmn8INRp9h2aLYGfTw4YWWmuPna5xLcOVChmHHa2Rb6mk"&amp;"JrS9MFPZAjS_PBbk_wzvAVOZ86shj_qQD3uuugdXeJmQj9loQNjjOa36uZoEEN8bDA=w1200|https://lh3.googleusercontent.com/pw/AP1GczMEt1XIXf2Ouk_0L8cvE5oVbc1s6waKoFr_lnZpMjtH8lihJBAkmdT-2y3tXTxbdhZVXk8zsQNQN9gIlthAG37umOrn3DK3tl6dihfE3ORb1aply5P7=w1200|https://lh3.google"&amp;"usercontent.com/pw/AP1GczNbCSoQ9FZjftQp6rbGND7eWPILzLlUlDUEjG028VZ-18Q5rn2tJx7coNa2Cm-Xu3TctPM4Xs4G1fjIjkP5peukThotHGYd4Qe5tcDt8g3Ig4axlaTy=w1200|https://lh3.googleusercontent.com/pw/AP1GczNVB0ZMegN5cPyBB1TGS5Yub7btsS4hMmkFbdOCPhxdCQ-rKTZFIfKhA6ra3fsttQyK"&amp;"shAmPqCqyIiDWlOOBNFkyXc20KYDK1orWbg1nmg2IScgmg2w=w1200|https://lh3.googleusercontent.com/pw/AP1GczNygxSUKuaEu3Q8BN3_RuRbpLs9S7En9S87Ops7X1AuO2zU_FabOt4ENIlXn-rt6L2269jjTAjhMDFhPWRyQwKdPNOSbAlJ_cw1XSqXQBpVWyR1XAqz=w1200|https://lh3.googleusercontent.com/pw"&amp;"/AP1GczPkk1Ko8aazKYqbXYdjiW41okliSyT1pyremFXyDG0BT7cbNg0sqxSp8q4kraphkHLAj5aLpoXWGaXxTDjiL-mUDe0ZF-af_2-5cLufq0zrAVJiFcuw=w1200|https://lh3.googleusercontent.com/pw/AP1GczPzd0w8b1F-xGrQZZkN9nWXOVfb3FQcjWUV6e4kGs0rQOTStNsj5Y_uoCbYQB7PXAR1tK_n6alUiLuKBBZC-R"&amp;"jy3O2tSBLoImACxhNuiQXJbGDNfNfY=w1200|https://lh3.googleusercontent.com/pw/AP1GczPzki_8NnUijM9zCU0gEH438t2KoLoUCdDJVb7iRhp-JEuhyW36ybQ_0dgenrnRr-VPq2IJpd4xT4ud7eq7TAp-YrBuajIr5qAumwy9ZYkWGcGx-6GW=w1200|https://lh3.googleusercontent.com/pw/AP1GczMLI15JWitLe"&amp;"dj7Y3-vJQL2OunZ8XrGC5Bp6QYoJ-nXQ8OXVGj5q42xP5QDD3Ps-QVw2t0UIJv2sHxjaprs_pGvIDnLtJZgK-zIzD0ctn3fZ4Yp39tx=w1200|https://lh3.googleusercontent.com/pw/AP1GczPuxMfRYp-XXk_ZtBKcnsDB5l_hvW9Tb6SrtEtC1l9-nPd328OvmXcy3mXJLxqyMGGwLEEjo1i_Y4AjTKdReCZZXv2GRW8JoTAgzgCo"&amp;"BtzFNxqHpupo=w1200|https://lh3.googleusercontent.com/pw/AP1GczMMLOyjT8-uH3xHJJbXHQOO5lptDVnV5Qx5d7dsNVBtue-BYzy55JvmkrVJKtNYMk2VuKANZ6EzRawKXZaLl4QjFuzrxTn9IKyvvrSzlIlYb9EhP_iD=w1200|https://lh3.googleusercontent.com/pw/AP1GczMOFkJXogsSGZmYSOZHXdgdb4AO4li"&amp;"VQj6CulpSFibPB5IS3_OLud_ozdzNDtQcPtLv7BbaDSRmHv2b2hVoiApcGt2L4NdvvpSbFfM70se5ehPp0W3v=w1200|https://lh3.googleusercontent.com/pw/AP1GczOGnv1wdexvnL9-Rohwo9ruRwa3wCryTXuGpnvVIWTLKFSvMWcPQfreJiBys3kcFKLhTKNpRWuzyQ8rjNrPbkyLRNmsVR--oPH-0CMbueJbNQPEx5PL=w1200"&amp;"|https://lh3.googleusercontent.com/pw/AP1GczN0jrfDW_yyJgJrhZo7QnLTqb3MCVd9z43ArHMxwWkPAdaSPE7M_SrRgF_KkoEjDRzroiVatgfDp78J6hcWNH0TpK9gGDWZkFbWa8ls-2LcxcD3Yvhy=w1200|https://lh3.googleusercontent.com/pw/AP1GczMdRxxquivVhkLjin7VPHtlBThhepM0zCqT6hOJtEdbSthox"&amp;"dXf9SXznNKjDTohOW96sUGBBkkWjigfz7gAnKIOZfoZghfAGqDkKJ20dh9iebsWq94Z=w1200|https://lh3.googleusercontent.com/pw/AP1GczPnc2kVWsq1wg7I4WcyIoqAgzvF5c0WnqFQ7wAILw4ZT4ATdpCP9cEpjo3DAp5gJNCHU0hwswkCdu5QvcyJ8oYgvnmAFbDvjYJoFDOa4HcmlBZzZhSe=w1200|https://lh3.googl"&amp;"eusercontent.com/pw/AP1GczNsWhU7eS0H9l43yT2HON22HIoPdxtXE_aD3-ItY6J2h53BEQompTynLzL10-sXdTwt9kVwUCBI5rqEPBJmtV3gtWI5hIppNE6IZ4S5atXvN7Otj7VY=w1200")</f>
        <v>https://lh3.googleusercontent.com/pw/AP1GczMizkDExnWgWiMrbRW2c9SjG4U91PdCMIay1vtjSAGuCcYB1S9mijZEP9q1eidWKsAQ2u3y7N1wmOaNfY0-0DX0N6hsRbkbY-rdFlvKrTx6yXksFIZ1=w1200|https://lh3.googleusercontent.com/pw/AP1GczPu9lmn8INRp9h2aLYGfTw4YWWmuPna5xLcOVChmHHa2Rb6mkJrS9MFPZAjS_PBbk_wzvAVOZ86shj_qQD3uuugdXeJmQj9loQNjjOa36uZoEEN8bDA=w1200|https://lh3.googleusercontent.com/pw/AP1GczMEt1XIXf2Ouk_0L8cvE5oVbc1s6waKoFr_lnZpMjtH8lihJBAkmdT-2y3tXTxbdhZVXk8zsQNQN9gIlthAG37umOrn3DK3tl6dihfE3ORb1aply5P7=w1200|https://lh3.googleusercontent.com/pw/AP1GczNbCSoQ9FZjftQp6rbGND7eWPILzLlUlDUEjG028VZ-18Q5rn2tJx7coNa2Cm-Xu3TctPM4Xs4G1fjIjkP5peukThotHGYd4Qe5tcDt8g3Ig4axlaTy=w1200|https://lh3.googleusercontent.com/pw/AP1GczNVB0ZMegN5cPyBB1TGS5Yub7btsS4hMmkFbdOCPhxdCQ-rKTZFIfKhA6ra3fsttQyKshAmPqCqyIiDWlOOBNFkyXc20KYDK1orWbg1nmg2IScgmg2w=w1200|https://lh3.googleusercontent.com/pw/AP1GczNygxSUKuaEu3Q8BN3_RuRbpLs9S7En9S87Ops7X1AuO2zU_FabOt4ENIlXn-rt6L2269jjTAjhMDFhPWRyQwKdPNOSbAlJ_cw1XSqXQBpVWyR1XAqz=w1200|https://lh3.googleusercontent.com/pw/AP1GczPkk1Ko8aazKYqbXYdjiW41okliSyT1pyremFXyDG0BT7cbNg0sqxSp8q4kraphkHLAj5aLpoXWGaXxTDjiL-mUDe0ZF-af_2-5cLufq0zrAVJiFcuw=w1200|https://lh3.googleusercontent.com/pw/AP1GczPzd0w8b1F-xGrQZZkN9nWXOVfb3FQcjWUV6e4kGs0rQOTStNsj5Y_uoCbYQB7PXAR1tK_n6alUiLuKBBZC-Rjy3O2tSBLoImACxhNuiQXJbGDNfNfY=w1200|https://lh3.googleusercontent.com/pw/AP1GczPzki_8NnUijM9zCU0gEH438t2KoLoUCdDJVb7iRhp-JEuhyW36ybQ_0dgenrnRr-VPq2IJpd4xT4ud7eq7TAp-YrBuajIr5qAumwy9ZYkWGcGx-6GW=w1200|https://lh3.googleusercontent.com/pw/AP1GczMLI15JWitLedj7Y3-vJQL2OunZ8XrGC5Bp6QYoJ-nXQ8OXVGj5q42xP5QDD3Ps-QVw2t0UIJv2sHxjaprs_pGvIDnLtJZgK-zIzD0ctn3fZ4Yp39tx=w1200|https://lh3.googleusercontent.com/pw/AP1GczPuxMfRYp-XXk_ZtBKcnsDB5l_hvW9Tb6SrtEtC1l9-nPd328OvmXcy3mXJLxqyMGGwLEEjo1i_Y4AjTKdReCZZXv2GRW8JoTAgzgCoBtzFNxqHpupo=w1200|https://lh3.googleusercontent.com/pw/AP1GczMMLOyjT8-uH3xHJJbXHQOO5lptDVnV5Qx5d7dsNVBtue-BYzy55JvmkrVJKtNYMk2VuKANZ6EzRawKXZaLl4QjFuzrxTn9IKyvvrSzlIlYb9EhP_iD=w1200|https://lh3.googleusercontent.com/pw/AP1GczMOFkJXogsSGZmYSOZHXdgdb4AO4liVQj6CulpSFibPB5IS3_OLud_ozdzNDtQcPtLv7BbaDSRmHv2b2hVoiApcGt2L4NdvvpSbFfM70se5ehPp0W3v=w1200|https://lh3.googleusercontent.com/pw/AP1GczOGnv1wdexvnL9-Rohwo9ruRwa3wCryTXuGpnvVIWTLKFSvMWcPQfreJiBys3kcFKLhTKNpRWuzyQ8rjNrPbkyLRNmsVR--oPH-0CMbueJbNQPEx5PL=w1200|https://lh3.googleusercontent.com/pw/AP1GczN0jrfDW_yyJgJrhZo7QnLTqb3MCVd9z43ArHMxwWkPAdaSPE7M_SrRgF_KkoEjDRzroiVatgfDp78J6hcWNH0TpK9gGDWZkFbWa8ls-2LcxcD3Yvhy=w1200|https://lh3.googleusercontent.com/pw/AP1GczMdRxxquivVhkLjin7VPHtlBThhepM0zCqT6hOJtEdbSthoxdXf9SXznNKjDTohOW96sUGBBkkWjigfz7gAnKIOZfoZghfAGqDkKJ20dh9iebsWq94Z=w1200|https://lh3.googleusercontent.com/pw/AP1GczPnc2kVWsq1wg7I4WcyIoqAgzvF5c0WnqFQ7wAILw4ZT4ATdpCP9cEpjo3DAp5gJNCHU0hwswkCdu5QvcyJ8oYgvnmAFbDvjYJoFDOa4HcmlBZzZhSe=w1200|https://lh3.googleusercontent.com/pw/AP1GczNsWhU7eS0H9l43yT2HON22HIoPdxtXE_aD3-ItY6J2h53BEQompTynLzL10-sXdTwt9kVwUCBI5rqEPBJmtV3gtWI5hIppNE6IZ4S5atXvN7Otj7VY=w1200</v>
      </c>
      <c r="AJ501" s="46"/>
      <c r="AK501" s="46"/>
      <c r="AL501" s="46"/>
      <c r="AM501" s="46"/>
      <c r="AN501" s="46"/>
      <c r="AO501" s="46"/>
      <c r="AP501" s="46"/>
      <c r="AQ501" s="46"/>
      <c r="AR501" s="46"/>
      <c r="AS501" s="46"/>
      <c r="AT501" s="46"/>
      <c r="AU501" s="46"/>
      <c r="AV501" s="46"/>
      <c r="AW501" s="46"/>
      <c r="AX501" s="46"/>
      <c r="AY501" s="46"/>
      <c r="AZ501" s="46"/>
      <c r="BA501" s="46"/>
      <c r="BB501" s="46"/>
      <c r="BC501" s="46"/>
      <c r="BD501" s="46"/>
      <c r="BE501" s="46"/>
      <c r="BF501" s="46"/>
      <c r="BG501" s="46"/>
      <c r="BH501" s="46"/>
      <c r="BI501" s="46"/>
      <c r="BJ501" s="46"/>
      <c r="BK501" s="46"/>
      <c r="BL501" s="46"/>
      <c r="BM501" s="46"/>
      <c r="BN501" s="46"/>
      <c r="BO501" s="46"/>
      <c r="BP501" s="46"/>
      <c r="BQ501" s="46"/>
      <c r="BR501" s="46"/>
      <c r="BS501" s="46"/>
      <c r="BT501" s="46"/>
      <c r="BU501" s="46"/>
      <c r="BV501" s="46"/>
      <c r="BW501" s="46"/>
      <c r="BX501" s="46"/>
      <c r="BY501" s="46"/>
      <c r="BZ501" s="46"/>
      <c r="CA501" s="46"/>
      <c r="CB501" s="46"/>
      <c r="CC501" s="46"/>
    </row>
    <row r="502">
      <c r="A502" s="87" t="str">
        <f>IFERROR(__xludf.DUMMYFUNCTION("""COMPUTED_VALUE"""),"1254")</f>
        <v>1254</v>
      </c>
      <c r="B502" s="46" t="str">
        <f>IFERROR(__xludf.DUMMYFUNCTION("""COMPUTED_VALUE"""),"Apartamento en Conjunto Condominio Amaranto Club House - Norte")</f>
        <v>Apartamento en Conjunto Condominio Amaranto Club House - Norte</v>
      </c>
      <c r="C502" s="46" t="str">
        <f>IFERROR(__xludf.DUMMYFUNCTION("""COMPUTED_VALUE"""),"Apartamento en conjunto")</f>
        <v>Apartamento en conjunto</v>
      </c>
      <c r="D502" s="46" t="str">
        <f>IFERROR(__xludf.DUMMYFUNCTION("""COMPUTED_VALUE"""),"Villa Carolina")</f>
        <v>Villa Carolina</v>
      </c>
      <c r="E502" s="46" t="str">
        <f>IFERROR(__xludf.DUMMYFUNCTION("""COMPUTED_VALUE"""),"Amaranto Club House")</f>
        <v>Amaranto Club House</v>
      </c>
      <c r="F502" s="90">
        <f>IFERROR(__xludf.DUMMYFUNCTION("""COMPUTED_VALUE"""),4.0E8)</f>
        <v>400000000</v>
      </c>
      <c r="G502" s="46" t="str">
        <f>IFERROR(__xludf.DUMMYFUNCTION("""COMPUTED_VALUE"""),"$400'000.000 a $500'000.000")</f>
        <v>$400'000.000 a $500'000.000</v>
      </c>
      <c r="H502" s="46"/>
      <c r="I502" s="46"/>
      <c r="J502" s="46" t="str">
        <f>IFERROR(__xludf.DUMMYFUNCTION("""COMPUTED_VALUE"""),"Norte")</f>
        <v>Norte</v>
      </c>
      <c r="K502" s="87"/>
      <c r="L502" s="46">
        <f>IFERROR(__xludf.DUMMYFUNCTION("""COMPUTED_VALUE"""),3.0)</f>
        <v>3</v>
      </c>
      <c r="M502" s="46"/>
      <c r="N502" s="46">
        <f>IFERROR(__xludf.DUMMYFUNCTION("""COMPUTED_VALUE"""),3.0)</f>
        <v>3</v>
      </c>
      <c r="O502" s="46">
        <f>IFERROR(__xludf.DUMMYFUNCTION("""COMPUTED_VALUE"""),1.0)</f>
        <v>1</v>
      </c>
      <c r="P502" s="46">
        <f>IFERROR(__xludf.DUMMYFUNCTION("""COMPUTED_VALUE"""),10.0)</f>
        <v>10</v>
      </c>
      <c r="Q502" s="92">
        <f>IFERROR(__xludf.DUMMYFUNCTION("""COMPUTED_VALUE"""),93.0)</f>
        <v>93</v>
      </c>
      <c r="R502" s="92">
        <f>IFERROR(__xludf.DUMMYFUNCTION("""COMPUTED_VALUE"""),102.0)</f>
        <v>102</v>
      </c>
      <c r="S502" s="87" t="str">
        <f>IFERROR(__xludf.DUMMYFUNCTION("""COMPUTED_VALUE""")," ")</f>
        <v> </v>
      </c>
      <c r="T502" s="46" t="str">
        <f>IFERROR(__xludf.DUMMYFUNCTION("""COMPUTED_VALUE"""),"Neiva")</f>
        <v>Neiva</v>
      </c>
      <c r="U502" s="87" t="str">
        <f>IFERROR(__xludf.DUMMYFUNCTION("""COMPUTED_VALUE"""),"4")</f>
        <v>4</v>
      </c>
      <c r="V502" s="46" t="str">
        <f>IFERROR(__xludf.DUMMYFUNCTION("""COMPUTED_VALUE"""),"10o.")</f>
        <v>10o.</v>
      </c>
      <c r="W502" s="46"/>
      <c r="X502" s="46">
        <f>IFERROR(__xludf.DUMMYFUNCTION("""COMPUTED_VALUE"""),3.0)</f>
        <v>3</v>
      </c>
      <c r="Y502" s="46" t="str">
        <f>IFERROR(__xludf.DUMMYFUNCTION("""COMPUTED_VALUE"""),"Social")</f>
        <v>Social</v>
      </c>
      <c r="Z502" s="90">
        <f>IFERROR(__xludf.DUMMYFUNCTION("""COMPUTED_VALUE"""),380000.0)</f>
        <v>380000</v>
      </c>
      <c r="AA502" s="33" t="str">
        <f>IFERROR(__xludf.DUMMYFUNCTION("""COMPUTED_VALUE"""),"No aplica")</f>
        <v>No aplica</v>
      </c>
      <c r="AB502" s="144" t="str">
        <f>IFERROR(__xludf.DUMMYFUNCTION("""COMPUTED_VALUE"""),"https://photos.app.goo.gl/wHVAsib9XRV7S3sY7")</f>
        <v>https://photos.app.goo.gl/wHVAsib9XRV7S3sY7</v>
      </c>
      <c r="AC502" s="46" t="str">
        <f>IFERROR(__xludf.DUMMYFUNCTION("""COMPUTED_VALUE"""),"Exclusivo apartamento de 102 m² ubicado en el piso 10 de la zona norte de Neiva (Estrato 4). Cuenta con una excelente distribución de 3 amplias alcobas (la principal con espacio optimizado), 3 baños, un depósito funcional y un parqueadero privado. Un inmu"&amp;"eble diseñado a la perfección para brindar comodidad y privacidad a toda la familia.")</f>
        <v>Exclusivo apartamento de 102 m² ubicado en el piso 10 de la zona norte de Neiva (Estrato 4). Cuenta con una excelente distribución de 3 amplias alcobas (la principal con espacio optimizado), 3 baños, un depósito funcional y un parqueadero privado. Un inmueble diseñado a la perfección para brindar comodidad y privacidad a toda la familia.</v>
      </c>
      <c r="AD502" s="46" t="str">
        <f>IFERROR(__xludf.DUMMYFUNCTION("""COMPUTED_VALUE"""),"Ubicado en una zona de alta valorización y demanda, a solo minutos de los principales centros comerciales y de entretenimiento de la ciudad (San Pedro Plaza, Único, San Juan Plaza). Vivir en Amaranto Club House ofrece un estilo de vida de primer nivel con"&amp;" amenidades de lujo: piscinas, canchas deportivas, gimnasio dotado, baño turco, capilla y mini market privado. ¡La inversión perfecta que combina confort, seguridad y rentabilidad garantizada!")</f>
        <v>Ubicado en una zona de alta valorización y demanda, a solo minutos de los principales centros comerciales y de entretenimiento de la ciudad (San Pedro Plaza, Único, San Juan Plaza). Vivir en Amaranto Club House ofrece un estilo de vida de primer nivel con amenidades de lujo: piscinas, canchas deportivas, gimnasio dotado, baño turco, capilla y mini market privado. ¡La inversión perfecta que combina confort, seguridad y rentabilidad garantizada!</v>
      </c>
      <c r="AE502" s="46"/>
      <c r="AF502" s="46" t="str">
        <f>IFERROR(__xludf.DUMMYFUNCTION("""COMPUTED_VALUE"""),"integral")</f>
        <v>integral</v>
      </c>
      <c r="AG502" s="46"/>
      <c r="AH502" s="46" t="str">
        <f>IFERROR(__xludf.DUMMYFUNCTION("""COMPUTED_VALUE"""),"Aliado")</f>
        <v>Aliado</v>
      </c>
      <c r="AI502" s="92" t="str">
        <f>IFERROR(__xludf.DUMMYFUNCTION("""COMPUTED_VALUE"""),"https://lh3.googleusercontent.com/pw/AP1GczOtf_Bejnu33MwVaREiwFtycC29B3EFkd7t2znZkPtyLVNWj-vyWmpgm6VxbIj6mWdzSdBj6K8qjjz3WD1uzutc_CJQDFa930K-ZmbNYwLJ9FNnjdSx=w1200|https://lh3.googleusercontent.com/pw/AP1GczOo1VcdK64FJiNTOsK1LdNC-L8hTVeiJCFwDf_xisxwjZ0Mbz"&amp;"O0GcpxIMR5oFgr2OFiSL7V_T9acEicrrHJghWPraTLvgcOOtrcV_kjBHv-Ll_0zsQD=w1200|https://lh3.googleusercontent.com/pw/AP1GczMEh_A386vBhzYoZOJ5saG62SLllFvRCdifK8g6drYk7_W4xDQCz5EiHEKv7e4y9V4Mg94JCT1jns5xn9J9zUlQGH2vo3Q4TwjPB5uULA2yV0OAgVQ7=w1200|https://lh3.google"&amp;"usercontent.com/pw/AP1GczPRgqsNX0khMXbtSACDfOFguGkuCmknltoZ-V7QuhM8AOGa81ZQQ6FR5tH5AxrXgz2RBBcewSiezdZz9kQkdwaU_Q8KM1HxI3C0Gq6ukgY0eDSz7Fqt=w1200|https://lh3.googleusercontent.com/pw/AP1GczMEZCCn9XZrAVbpw9EShscjSnOziQM5acJTf2HyOXY1XzmT8X4ezcqQ5WzbZh_nPcvO"&amp;"0Amzvi96b865k4zZrVWDNdKcKDW_wwThQRlnMldpxas2KnF9=w1200|https://lh3.googleusercontent.com/pw/AP1GczPLkFylwJp2MiCxsoX1Ugx74P78j_pzmq16Oms7MyCvTl0bMBbPbcSYUdxd6ReuCMuy1_FQqpv6QVCWix6PKr7QCQqLRU-CtZ1J2QaFpmsOU1OdHNQ2=w1200|https://lh3.googleusercontent.com/pw"&amp;"/AP1GczOlwdQS0mlvKC0wLsSvOmJVWDM47focDWC3D7hmkVXG61pI8RWa96y1GkC3_6nFxX9FVc4EvTaTxCMpGAvG0weNcekSoxs9ba6BucPbnCFzDi71-5ii=w1200|https://lh3.googleusercontent.com/pw/AP1GczPNNi9r6qUzF0v3z4bRynkE1DWUF-F5Z6z1voD-K7LqVPQkjA2wmIIbkCU5ow0hzjeswTVVR_xufP3oA-kk7j"&amp;"xIvptWfP0ILSgZ9doXgT4kW3K8rtiL=w1200|https://lh3.googleusercontent.com/pw/AP1GczN4Ut7bJ9MIqs8US8fCkvMwsvPqoy31kZIrAcxuGsyPzzZKeT57nokfudNNvjMOUKRU43mssegHFYqB7bMfgZllMC1nBaF5jHSHKXYNKusmDt_7ID2j=w1200|https://lh3.googleusercontent.com/pw/AP1GczO7wcbY_WP10"&amp;"zn6o8gA8TTQCYHprg9IK-Pu9F9Lh-oRgQdVF_KI67g5NbWPOW3jCow-CyZuHS8OOqtgOwmx2qx5-THZtOvbkgQt0iJF2tLT8geZZoF5=w1200|https://lh3.googleusercontent.com/pw/AP1GczPUY0zV7bvK9PjzzJMyQR06gFXJRBK8qoQnz5hDcoA7SBWa-6oDmJcOuteBQZFOjUCw9flaRWW1pc6JwPzVN8D0z1GaObvDdfApwwgn"&amp;"uYP6AIxu9cq9=w1200|https://lh3.googleusercontent.com/pw/AP1GczM922v6oXj_JhXQq2XAUFhgvEDs5xlibazCPWqOu4yXKPYg1rk5WdCast6SEwsVA6Z4TZ5z2CNg-vzMlK1PG628vJv64T5gvyqhJY92KlAGcfy003PC=w1200|https://lh3.googleusercontent.com/pw/AP1GczNVBYFM2jvvF1bAQPb0Xjujim0jQ-i"&amp;"6RuYMEFmvYetT_4RX3XQqjT54apvcSU3FbM1SPGNMpC_4V24XWve9VBiwDjLxBW0wYKWW3PU_fK_r7YsmYJ9A=w1200|https://lh3.googleusercontent.com/pw/AP1GczO-lsLXQXloYHGbXTeKe2uzGqRrwRYTK-MjpHbMZ8At5f3HvrgSQhN2IDFr5ZNgR1Vw0jBtOB6RawOK6B9PCZdgyXH54Gj888Qfbb0m-ThJB-UBheXI=w1200"&amp;"|https://lh3.googleusercontent.com/pw/AP1GczNx_mknv7Lo5qIIuHp7hbmxNFlu8qL39-vIBaPygOzqCm_t6CjrIWTEDwmv7pScg1qlok98vB67o9lLw6LAmcu4XB-1JR_GiKs5CGs4sHBJMrGJ5nuZ=w1200|https://lh3.googleusercontent.com/pw/AP1GczMno0fYFIcDeUNFC_GCaotVBpTeH9xBZ83LFKzdwgkTmOnPS"&amp;"uyxts-xz5JLHNSB1VQn9efRYVrE6I-xwNb0z3-_SkPmdPrl-riZTZrTUPJPVewX_CII=w1200|https://lh3.googleusercontent.com/pw/AP1GczOj9zovZLOP7lJluK0sFMg3Dl2aDFDSbpcBnglKurSMiJjZJ0zqifX9bLF77DeHCdLGqXEVE95JeASofeJZ6OT6tJ5KIBgcbGgDJTsrA_IJ6-K0mnTR=w1200|https://lh3.googl"&amp;"eusercontent.com/pw/AP1GczNHOq9_Cre3dAiucIOLLLYAU46Ob0eYqr9pKZH4vIDvonrJjm6-FCbtAXmiLpo063-bmGPxxrnFjn0FlGyec9p7w1kvW7AIWXeZ3hxX53bvMPEoCrcb=w1200|https://lh3.googleusercontent.com/pw/AP1GczMR-kwty7zmoCdn1fjt-oRTdEasSkPCGjPeAWmi_yqYFLaHCUW0-hwBd2DWWSgbSb5"&amp;"nek4RiqHtYPCHRGaKhWhMnSsKRz-KYakM_GydW6ffyU280UOW=w1200|https://lh3.googleusercontent.com/pw/AP1GczOvFt1yYmc3DcySoYHb3rF7mdB5KGCyT0M8c5jTxZiXQwy7uDRTSZRurL4e_3CA_KWDAe51Lr3ic78efFeR0dIHU-lF5BZBlxgFsAZeUu-nBhlWv8N8=w1200|https://lh3.googleusercontent.com/p"&amp;"w/AP1GczMNXiqMfSYb4l05M6_Y7VaLGrHdVy08SlcpEi3p-QNX6NujozDxsQoF3zx2gyzYol9tdYu5V-g6rGoj27ryelc1hdpUo-5XP9ybOXQB15IqWG227BhT=w1200|https://lh3.googleusercontent.com/pw/AP1GczPFPhE-oAA6QefPK8bWh1NSm_YcHEC5K0v3ZtbRRsFdd2eA_0Jpom8VcTHWo8mhtEc_-9AGnGk8rbmnP2mC7"&amp;"qAQBcQMc1vL-3Zg523QJu8kQVfSyxDU=w1200|https://lh3.googleusercontent.com/pw/AP1GczMoNZlh2S4pspbs5eWL8qHwCsB453wDH576PTvNQqrhkweSg8LA6X0hutih36gUTyazCbfxeI0z9jzfJTw4LBj9cw8ECVYew4T06x8H7QGn7pSiBRt1=w1200|https://lh3.googleusercontent.com/pw/AP1GczMCd7vHtUgA"&amp;"2X4ENJ6DgRI0MW_udPeEeveQyXFe87VPRXZzumgFxhvN1mOU9L9OMjpJUs6W0ub4bh1DxSUw_9oq0xeRO9ClUU8K3G445m_9-9ByfN1M=w1200|https://lh3.googleusercontent.com/pw/AP1GczOui-oRLWgS_imZLz5LIcZqYCTbARuSriFTnmZTkVc2kr1_R1PZYjcYXuBWqRKJCqUNeo-v2Y7KGpPgoKyw6pV7SqXaqNQos55loar"&amp;"KKeZUSRnDWa9D=w1200")</f>
        <v>https://lh3.googleusercontent.com/pw/AP1GczOtf_Bejnu33MwVaREiwFtycC29B3EFkd7t2znZkPtyLVNWj-vyWmpgm6VxbIj6mWdzSdBj6K8qjjz3WD1uzutc_CJQDFa930K-ZmbNYwLJ9FNnjdSx=w1200|https://lh3.googleusercontent.com/pw/AP1GczOo1VcdK64FJiNTOsK1LdNC-L8hTVeiJCFwDf_xisxwjZ0MbzO0GcpxIMR5oFgr2OFiSL7V_T9acEicrrHJghWPraTLvgcOOtrcV_kjBHv-Ll_0zsQD=w1200|https://lh3.googleusercontent.com/pw/AP1GczMEh_A386vBhzYoZOJ5saG62SLllFvRCdifK8g6drYk7_W4xDQCz5EiHEKv7e4y9V4Mg94JCT1jns5xn9J9zUlQGH2vo3Q4TwjPB5uULA2yV0OAgVQ7=w1200|https://lh3.googleusercontent.com/pw/AP1GczPRgqsNX0khMXbtSACDfOFguGkuCmknltoZ-V7QuhM8AOGa81ZQQ6FR5tH5AxrXgz2RBBcewSiezdZz9kQkdwaU_Q8KM1HxI3C0Gq6ukgY0eDSz7Fqt=w1200|https://lh3.googleusercontent.com/pw/AP1GczMEZCCn9XZrAVbpw9EShscjSnOziQM5acJTf2HyOXY1XzmT8X4ezcqQ5WzbZh_nPcvO0Amzvi96b865k4zZrVWDNdKcKDW_wwThQRlnMldpxas2KnF9=w1200|https://lh3.googleusercontent.com/pw/AP1GczPLkFylwJp2MiCxsoX1Ugx74P78j_pzmq16Oms7MyCvTl0bMBbPbcSYUdxd6ReuCMuy1_FQqpv6QVCWix6PKr7QCQqLRU-CtZ1J2QaFpmsOU1OdHNQ2=w1200|https://lh3.googleusercontent.com/pw/AP1GczOlwdQS0mlvKC0wLsSvOmJVWDM47focDWC3D7hmkVXG61pI8RWa96y1GkC3_6nFxX9FVc4EvTaTxCMpGAvG0weNcekSoxs9ba6BucPbnCFzDi71-5ii=w1200|https://lh3.googleusercontent.com/pw/AP1GczPNNi9r6qUzF0v3z4bRynkE1DWUF-F5Z6z1voD-K7LqVPQkjA2wmIIbkCU5ow0hzjeswTVVR_xufP3oA-kk7jxIvptWfP0ILSgZ9doXgT4kW3K8rtiL=w1200|https://lh3.googleusercontent.com/pw/AP1GczN4Ut7bJ9MIqs8US8fCkvMwsvPqoy31kZIrAcxuGsyPzzZKeT57nokfudNNvjMOUKRU43mssegHFYqB7bMfgZllMC1nBaF5jHSHKXYNKusmDt_7ID2j=w1200|https://lh3.googleusercontent.com/pw/AP1GczO7wcbY_WP10zn6o8gA8TTQCYHprg9IK-Pu9F9Lh-oRgQdVF_KI67g5NbWPOW3jCow-CyZuHS8OOqtgOwmx2qx5-THZtOvbkgQt0iJF2tLT8geZZoF5=w1200|https://lh3.googleusercontent.com/pw/AP1GczPUY0zV7bvK9PjzzJMyQR06gFXJRBK8qoQnz5hDcoA7SBWa-6oDmJcOuteBQZFOjUCw9flaRWW1pc6JwPzVN8D0z1GaObvDdfApwwgnuYP6AIxu9cq9=w1200|https://lh3.googleusercontent.com/pw/AP1GczM922v6oXj_JhXQq2XAUFhgvEDs5xlibazCPWqOu4yXKPYg1rk5WdCast6SEwsVA6Z4TZ5z2CNg-vzMlK1PG628vJv64T5gvyqhJY92KlAGcfy003PC=w1200|https://lh3.googleusercontent.com/pw/AP1GczNVBYFM2jvvF1bAQPb0Xjujim0jQ-i6RuYMEFmvYetT_4RX3XQqjT54apvcSU3FbM1SPGNMpC_4V24XWve9VBiwDjLxBW0wYKWW3PU_fK_r7YsmYJ9A=w1200|https://lh3.googleusercontent.com/pw/AP1GczO-lsLXQXloYHGbXTeKe2uzGqRrwRYTK-MjpHbMZ8At5f3HvrgSQhN2IDFr5ZNgR1Vw0jBtOB6RawOK6B9PCZdgyXH54Gj888Qfbb0m-ThJB-UBheXI=w1200|https://lh3.googleusercontent.com/pw/AP1GczNx_mknv7Lo5qIIuHp7hbmxNFlu8qL39-vIBaPygOzqCm_t6CjrIWTEDwmv7pScg1qlok98vB67o9lLw6LAmcu4XB-1JR_GiKs5CGs4sHBJMrGJ5nuZ=w1200|https://lh3.googleusercontent.com/pw/AP1GczMno0fYFIcDeUNFC_GCaotVBpTeH9xBZ83LFKzdwgkTmOnPSuyxts-xz5JLHNSB1VQn9efRYVrE6I-xwNb0z3-_SkPmdPrl-riZTZrTUPJPVewX_CII=w1200|https://lh3.googleusercontent.com/pw/AP1GczOj9zovZLOP7lJluK0sFMg3Dl2aDFDSbpcBnglKurSMiJjZJ0zqifX9bLF77DeHCdLGqXEVE95JeASofeJZ6OT6tJ5KIBgcbGgDJTsrA_IJ6-K0mnTR=w1200|https://lh3.googleusercontent.com/pw/AP1GczNHOq9_Cre3dAiucIOLLLYAU46Ob0eYqr9pKZH4vIDvonrJjm6-FCbtAXmiLpo063-bmGPxxrnFjn0FlGyec9p7w1kvW7AIWXeZ3hxX53bvMPEoCrcb=w1200|https://lh3.googleusercontent.com/pw/AP1GczMR-kwty7zmoCdn1fjt-oRTdEasSkPCGjPeAWmi_yqYFLaHCUW0-hwBd2DWWSgbSb5nek4RiqHtYPCHRGaKhWhMnSsKRz-KYakM_GydW6ffyU280UOW=w1200|https://lh3.googleusercontent.com/pw/AP1GczOvFt1yYmc3DcySoYHb3rF7mdB5KGCyT0M8c5jTxZiXQwy7uDRTSZRurL4e_3CA_KWDAe51Lr3ic78efFeR0dIHU-lF5BZBlxgFsAZeUu-nBhlWv8N8=w1200|https://lh3.googleusercontent.com/pw/AP1GczMNXiqMfSYb4l05M6_Y7VaLGrHdVy08SlcpEi3p-QNX6NujozDxsQoF3zx2gyzYol9tdYu5V-g6rGoj27ryelc1hdpUo-5XP9ybOXQB15IqWG227BhT=w1200|https://lh3.googleusercontent.com/pw/AP1GczPFPhE-oAA6QefPK8bWh1NSm_YcHEC5K0v3ZtbRRsFdd2eA_0Jpom8VcTHWo8mhtEc_-9AGnGk8rbmnP2mC7qAQBcQMc1vL-3Zg523QJu8kQVfSyxDU=w1200|https://lh3.googleusercontent.com/pw/AP1GczMoNZlh2S4pspbs5eWL8qHwCsB453wDH576PTvNQqrhkweSg8LA6X0hutih36gUTyazCbfxeI0z9jzfJTw4LBj9cw8ECVYew4T06x8H7QGn7pSiBRt1=w1200|https://lh3.googleusercontent.com/pw/AP1GczMCd7vHtUgA2X4ENJ6DgRI0MW_udPeEeveQyXFe87VPRXZzumgFxhvN1mOU9L9OMjpJUs6W0ub4bh1DxSUw_9oq0xeRO9ClUU8K3G445m_9-9ByfN1M=w1200|https://lh3.googleusercontent.com/pw/AP1GczOui-oRLWgS_imZLz5LIcZqYCTbARuSriFTnmZTkVc2kr1_R1PZYjcYXuBWqRKJCqUNeo-v2Y7KGpPgoKyw6pV7SqXaqNQos55loarKKeZUSRnDWa9D=w1200</v>
      </c>
      <c r="AJ502" s="46"/>
      <c r="AK502" s="46"/>
      <c r="AL502" s="46"/>
      <c r="AM502" s="46"/>
      <c r="AN502" s="46"/>
      <c r="AO502" s="46"/>
      <c r="AP502" s="46"/>
      <c r="AQ502" s="46"/>
      <c r="AR502" s="46"/>
      <c r="AS502" s="46"/>
      <c r="AT502" s="46"/>
      <c r="AU502" s="46"/>
      <c r="AV502" s="46"/>
      <c r="AW502" s="46"/>
      <c r="AX502" s="46"/>
      <c r="AY502" s="46"/>
      <c r="AZ502" s="46"/>
      <c r="BA502" s="46"/>
      <c r="BB502" s="46"/>
      <c r="BC502" s="46"/>
      <c r="BD502" s="46"/>
      <c r="BE502" s="46"/>
      <c r="BF502" s="46"/>
      <c r="BG502" s="46"/>
      <c r="BH502" s="46"/>
      <c r="BI502" s="46"/>
      <c r="BJ502" s="46"/>
      <c r="BK502" s="46"/>
      <c r="BL502" s="46"/>
      <c r="BM502" s="46"/>
      <c r="BN502" s="46"/>
      <c r="BO502" s="46"/>
      <c r="BP502" s="46"/>
      <c r="BQ502" s="46"/>
      <c r="BR502" s="46"/>
      <c r="BS502" s="46"/>
      <c r="BT502" s="46"/>
      <c r="BU502" s="46"/>
      <c r="BV502" s="46"/>
      <c r="BW502" s="46"/>
      <c r="BX502" s="46"/>
      <c r="BY502" s="46"/>
      <c r="BZ502" s="46"/>
      <c r="CA502" s="46"/>
      <c r="CB502" s="46"/>
      <c r="CC502" s="46"/>
    </row>
    <row r="503">
      <c r="A503" s="87" t="str">
        <f>IFERROR(__xludf.DUMMYFUNCTION("""COMPUTED_VALUE"""),"018")</f>
        <v>018</v>
      </c>
      <c r="B503" s="46" t="str">
        <f>IFERROR(__xludf.DUMMYFUNCTION("""COMPUTED_VALUE"""),"Apartamento en Conjunto Reserva de la Sierra Club House")</f>
        <v>Apartamento en Conjunto Reserva de la Sierra Club House</v>
      </c>
      <c r="C503" s="46" t="str">
        <f>IFERROR(__xludf.DUMMYFUNCTION("""COMPUTED_VALUE"""),"Apartamento en conjunto")</f>
        <v>Apartamento en conjunto</v>
      </c>
      <c r="D503" s="46" t="str">
        <f>IFERROR(__xludf.DUMMYFUNCTION("""COMPUTED_VALUE"""),"Ipanema")</f>
        <v>Ipanema</v>
      </c>
      <c r="E503" s="46" t="str">
        <f>IFERROR(__xludf.DUMMYFUNCTION("""COMPUTED_VALUE"""),"Reserva de La Sierra")</f>
        <v>Reserva de La Sierra</v>
      </c>
      <c r="F503" s="90">
        <f>IFERROR(__xludf.DUMMYFUNCTION("""COMPUTED_VALUE"""),8.6E8)</f>
        <v>860000000</v>
      </c>
      <c r="G503" s="46" t="str">
        <f>IFERROR(__xludf.DUMMYFUNCTION("""COMPUTED_VALUE"""),"$500'000.000 a $1.000'000.000")</f>
        <v>$500'000.000 a $1.000'000.000</v>
      </c>
      <c r="H503" s="46"/>
      <c r="I503" s="46"/>
      <c r="J503" s="46" t="str">
        <f>IFERROR(__xludf.DUMMYFUNCTION("""COMPUTED_VALUE"""),"Oriente")</f>
        <v>Oriente</v>
      </c>
      <c r="K503" s="87" t="str">
        <f>IFERROR(__xludf.DUMMYFUNCTION("""COMPUTED_VALUE"""),"7")</f>
        <v>7</v>
      </c>
      <c r="L503" s="46">
        <f>IFERROR(__xludf.DUMMYFUNCTION("""COMPUTED_VALUE"""),3.0)</f>
        <v>3</v>
      </c>
      <c r="M503" s="46"/>
      <c r="N503" s="46">
        <f>IFERROR(__xludf.DUMMYFUNCTION("""COMPUTED_VALUE"""),4.0)</f>
        <v>4</v>
      </c>
      <c r="O503" s="46">
        <f>IFERROR(__xludf.DUMMYFUNCTION("""COMPUTED_VALUE"""),2.0)</f>
        <v>2</v>
      </c>
      <c r="P503" s="46">
        <f>IFERROR(__xludf.DUMMYFUNCTION("""COMPUTED_VALUE"""),1.0)</f>
        <v>1</v>
      </c>
      <c r="Q503" s="92">
        <f>IFERROR(__xludf.DUMMYFUNCTION("""COMPUTED_VALUE"""),175.0)</f>
        <v>175</v>
      </c>
      <c r="R503" s="92"/>
      <c r="S503" s="87" t="str">
        <f>IFERROR(__xludf.DUMMYFUNCTION("""COMPUTED_VALUE""")," ")</f>
        <v> </v>
      </c>
      <c r="T503" s="46" t="str">
        <f>IFERROR(__xludf.DUMMYFUNCTION("""COMPUTED_VALUE"""),"Neiva")</f>
        <v>Neiva</v>
      </c>
      <c r="U503" s="87"/>
      <c r="V503" s="46"/>
      <c r="W503" s="46"/>
      <c r="X503" s="46">
        <f>IFERROR(__xludf.DUMMYFUNCTION("""COMPUTED_VALUE"""),3.0)</f>
        <v>3</v>
      </c>
      <c r="Y503" s="46" t="str">
        <f>IFERROR(__xludf.DUMMYFUNCTION("""COMPUTED_VALUE"""),"Social")</f>
        <v>Social</v>
      </c>
      <c r="Z503" s="90"/>
      <c r="AA503" s="33" t="str">
        <f>IFERROR(__xludf.DUMMYFUNCTION("""COMPUTED_VALUE"""),"No aplica")</f>
        <v>No aplica</v>
      </c>
      <c r="AB503" s="96" t="str">
        <f>IFERROR(__xludf.DUMMYFUNCTION("""COMPUTED_VALUE"""),"https://photos.app.goo.gl/6SH7wp57moHx8fAK9")</f>
        <v>https://photos.app.goo.gl/6SH7wp57moHx8fAK9</v>
      </c>
      <c r="AC503" s="46" t="str">
        <f>IFERROR(__xludf.DUMMYFUNCTION("""COMPUTED_VALUE"""),"Este exclusivo apartamento de 175 m² destaca por su diseño sofisticado, acabados de alto nivel y una distribución impecable que prioriza la amplitud. El área privada cuenta con un estudio ideal para el teletrabajo y tres espaciosas alcobas, resaltando la "&amp;"principal con su lujoso walk-in closet; además, cada habitación disfruta de aire acondicionado y el confort de su propio baño privado. La zona social integra perfectamente una amplia sala y comedor junto a una moderna cocina integral, complementándose con"&amp;" un baño social y una zona de lavandería totalmente independiente para mayor comodidad.")</f>
        <v>Este exclusivo apartamento de 175 m² destaca por su diseño sofisticado, acabados de alto nivel y una distribución impecable que prioriza la amplitud. El área privada cuenta con un estudio ideal para el teletrabajo y tres espaciosas alcobas, resaltando la principal con su lujoso walk-in closet; además, cada habitación disfruta de aire acondicionado y el confort de su propio baño privado. La zona social integra perfectamente una amplia sala y comedor junto a una moderna cocina integral, complementándose con un baño social y una zona de lavandería totalmente independiente para mayor comodidad.</v>
      </c>
      <c r="AD503" s="46" t="str">
        <f>IFERROR(__xludf.DUMMYFUNCTION("""COMPUTED_VALUE"""),"Ubicado en el prestigioso sector oriente de Neiva, este inmueble ofrece un estilo de vida inigualable dentro de un conjunto cerrado de alta seguridad con exclusivas zonas sociales tipo clubhouse. Vivir aquí significa disfrutar de la máxima comodidad diari"&amp;"a gracias a sus dos parqueaderos independientes y un depósito privado, sumado a la gran ventaja financiera de contar con un leasing habitacional vigente con Davivienda, lo que reduce significativamente los costos de escrituración. ¡Una oportunidad única d"&amp;"e inversión lista para asegurar el estatus y bienestar que su familia merece!")</f>
        <v>Ubicado en el prestigioso sector oriente de Neiva, este inmueble ofrece un estilo de vida inigualable dentro de un conjunto cerrado de alta seguridad con exclusivas zonas sociales tipo clubhouse. Vivir aquí significa disfrutar de la máxima comodidad diaria gracias a sus dos parqueaderos independientes y un depósito privado, sumado a la gran ventaja financiera de contar con un leasing habitacional vigente con Davivienda, lo que reduce significativamente los costos de escrituración. ¡Una oportunidad única de inversión lista para asegurar el estatus y bienestar que su familia merece!</v>
      </c>
      <c r="AE503" s="46"/>
      <c r="AF503" s="46" t="str">
        <f>IFERROR(__xludf.DUMMYFUNCTION("""COMPUTED_VALUE"""),"integral")</f>
        <v>integral</v>
      </c>
      <c r="AG503" s="46"/>
      <c r="AH503" s="46" t="str">
        <f>IFERROR(__xludf.DUMMYFUNCTION("""COMPUTED_VALUE"""),"Aliado")</f>
        <v>Aliado</v>
      </c>
      <c r="AI503" s="92" t="str">
        <f>IFERROR(__xludf.DUMMYFUNCTION("""COMPUTED_VALUE"""),"https://lh3.googleusercontent.com/pw/AP1GczNe-YdJN5_83BSw8Y1oemyQtLPgoetMKIHMzhHBy370LkWCkjQzk6URf0gZ2kyVM1JTTxzDPl6evnct50AqZuJQ4dExAyKGfsp49vbZY8mGONMsBkoZ=w1200|https://lh3.googleusercontent.com/pw/AP1GczNx2DETJX8fSRKvEAReyA3BiSeuVD6us2Pq_f_c2fZhZkxLPJ"&amp;"ksNoJkRpqtaXVikvL4SJzOizCK_3y1i57hw9N9RSAfE7EB-mnzNgM3QIN5eOwvDupt=w1200|https://lh3.googleusercontent.com/pw/AP1GczM1kNvi6VZMjC1JXpefxofE6ZfGQDkpevicQkD8yUq0B9m5WPCNa2qyMFzU2CXbW28MXd9iNF9GIDHXQgWhTCBvKlw2X4oNx5GSktXMsHdJLN-eKDcY=w1200|https://lh3.google"&amp;"usercontent.com/pw/AP1GczNZ2idN-BHgg6SOq2EA7Qpyc4_zGLKaYhoS7NlMCSlEbkjz4tSVufToAAM5pQTpU8IFxNnzOu4k8uKk31qy7IfShxOqjVLBr-wnPvo-bvGt5ql51ReH=w1200|https://lh3.googleusercontent.com/pw/AP1GczOyWPUgSg4i8KOo6wH2Tnn_TRKLp7AojoKJy5K6FnsGmSLI5AUBHrNYrRE5xPRjyLIu"&amp;"GFANJZ_62PBOJ_ZRYfHH579t_PgBOpUmP6NcXHXzgpLblI1d=w1200|https://lh3.googleusercontent.com/pw/AP1GczO_bhZ3fLAn0tdDju1TNlJhMyOo7U65k03aAwaa9BYH7KeSInyJoiJWpoKEKXre46BrQyHCH2a8ImrS2s3MDXBc-YB_oNNUMj2RdGy9WxRfLGZAV1Ja=w1200|https://lh3.googleusercontent.com/pw"&amp;"/AP1GczMtcqishJmUdTlP9DUdfHru00ixD6EchdzXSQSio16o_WiITZ6Akzj_DolwMpomzw1QlHOW3xxZPGS7T6H0EJk1EZY3hGJi-4eohp2D0R2i_m3UTQYX=w1200|https://lh3.googleusercontent.com/pw/AP1GczPWlJq3mtizVhqa9aWTAofm-BG41YTHJzDrsa_qBxYYDVW2f-V4m9S8OjW0lt66BeW9DC77c0sim62DbYMVIM"&amp;"xV3dAEjlS1R4EuSOqlUNwzLDF2plwc=w1200|https://lh3.googleusercontent.com/pw/AP1GczNImcais6GYSl2fu66tJL5sGxpQJYMPqWISOXiQfiQNbNdB-rCrSc5DPzYuzFl9LMkwsfD-kCTVK__VCPoWLR2BkW-wUI7qD_W-lL5gGP_NWfu0vcvx=w1200|https://lh3.googleusercontent.com/pw/AP1GczN5tOBbeE40P"&amp;"zk0LsLukXByC_OklwzMRWsvbRzFqBsOQVeyS4ZepmHT4lTMAgRQ4wifiohN0IHv0inKS7qL1rBCt3CcR58YSQUYDnRHgIjw8G-uXd42=w1200|https://lh3.googleusercontent.com/pw/AP1GczOKQLH6lsiao_iaNkbkWWHXOULGdOVxoG8IcigP4GbXCF5LEFNF8IHP0xXQkMCPkKtn46LVkzt7bYoYuZNnRBTDj99Rmra8Mt2PwLf9"&amp;"rrFVh-E-nHYq=w1200|https://lh3.googleusercontent.com/pw/AP1GczPi62SPzopUro2rRgi5UdmWRMna4J8_RtrOMHv0pQPm3TgdEXTsK0it6U4fAlBYoafNN1Hs9lc7_-79UiWZN38vjDD3KD1hw0j4fWPSpvBKP0Ly0k6U=w1200|https://lh3.googleusercontent.com/pw/AP1GczMG9KUrsx7BAtR9eS4IThk1GSjKImT"&amp;"zazeXeyECUcreEDFS7AcBw-Uxl6_x7VCN4RAt0dr3iBdr5KfDT2yHkCL8345S625KQJMD8Bxk4_3JEDhbW3B0=w1200|https://lh3.googleusercontent.com/pw/AP1GczM6FfXCZgib7k6jB3Y6Cf9CgZ5j7JZ2kYIV2ViX6Mabna3Do265ra3mAw6wGFrg7gYs3ultlp-VMWHhGASSzqMy2sOMfTGy3OGgeuV0ibfsDo-ZsO6r=w1200"&amp;"|https://lh3.googleusercontent.com/pw/AP1GczOP1a-zPaQ2xDjXULeKe822n0-MPdu8BO1MBNy0UBow5tqvZPX1g7b7etkoGRTuFihl-Skzjz2yDpaRHN0Lsv2wA2nxQNSWWENTvZCCONEdR6B7WSa8=w1200|https://lh3.googleusercontent.com/pw/AP1GczPhYhif4olH4mo7LIT0orhExauXOWJhupGRJKa4cPNiN8jGk"&amp;"0ga6pv0b0YW_j12m588LkVgVbwLm9i4msXiMDX51-rknarYjnxGvf1Z4H2dJI9ABhQe=w1200|https://lh3.googleusercontent.com/pw/AP1GczMLZSokW1M5WG5sosQX1irs7CfoES--1ObFX9OnA6f7-q_0ppn9X0JUuEq2wV_KTvhTPxCrXJUS19Qtkt5JkSgA_zAGwYVlmTjelaNtvprYvcta7Fs5=w1200|https://lh3.googl"&amp;"eusercontent.com/pw/AP1GczMW4BW2TaoPL8_Vc1r2hqD0u_FNRxXi9HJY38Xlb8KeYtpIXlULN8btlLg__-I_FVBSt7P9kgkChwQ2FT3wOnJWij3wPHulTI8tDkFvavki96a384YI=w1200|https://lh3.googleusercontent.com/pw/AP1GczMctEKwzS128eR2QyP40OeMeQ7YzHqXOkcvGF5RqqLtPIyqdh93cbaWmqNYYdgODTx"&amp;"ZR4dJmYWBMbeOCfDmLOPKwuL8hogDBaqZi2brQKouJRfl7CKv=w1200|https://lh3.googleusercontent.com/pw/AP1GczPyalpxdypXopq0GM0DQTOVRSG6BAhEbaqyBCF3M3bZeNLNEZX3MCVR5Vk2nqdEaboJ8knNZzXLzdm3Srh8-KbBkYexkY3IjHOODQweYGCsLzCUyags=w1200|https://lh3.googleusercontent.com/p"&amp;"w/AP1GczOoHe2mkuwzGAV1tvOPQPzgyifzOFWbL1UrB-lSJgl8fzMuCRyIX66i-A_luNUxzpJU4R45OJNXspgDvIba3jarpSkOm6QyN37eD8rzVApB9YzQcpwe=w1200|https://lh3.googleusercontent.com/pw/AP1GczOlMNbLX9-2z4kXoxycajwCrSo2lComRISvjHt2N19NtzS7mATxlpcOAkSqZddw9G2gR0vLySNRNwgbbr4C8"&amp;"PoLA44kE3tqTuqsHYagKFxfJ_WwguLg=w1200|https://lh3.googleusercontent.com/pw/AP1GczOwLl5yEKV7wxoQvuQIn5wW98EgJs_O5cgPXVajuujCTrg1WVmIVgimkXFTF-u45Vj_GxOfGfYb44ABImk6ibEqyU8WA9hWTnaKSKUM2FSytMbG9ZHS=w1200|https://lh3.googleusercontent.com/pw/AP1GczNBwyVkbkGw"&amp;"G8QW4ODX3fPpq3BQ86XnJY0qacJWbB-6NDu0Ii53opUzLjodhnVA8BncgPmgiGMsOc_PKShMsGA_VT91QfhV-BRwHviQa6a8ZydMIMZ7=w1200|https://lh3.googleusercontent.com/pw/AP1GczPqwp--ZM3AJmIxG6rBLFq6_ZlIUeG14dn-9B_vxIOzdVh3hso9MAtm1SdqEyUUIJEM7atc7z6B_gptj20YC8xq2q8oSbul6slUENV"&amp;"cSmsy9aBfSbz7=w1200|https://lh3.googleusercontent.com/pw/AP1GczOV4E5vDJpccwB5Ll6aojyYlmi9Np8XSr0BpGonRJRu2PXpu9oM0cgM_VtX8fH3Jo8T156Kv9ytS34yL0ujAZ15T7JjABIGmXj2eTA24zXFP2aE2ibT=w1200")</f>
        <v>https://lh3.googleusercontent.com/pw/AP1GczNe-YdJN5_83BSw8Y1oemyQtLPgoetMKIHMzhHBy370LkWCkjQzk6URf0gZ2kyVM1JTTxzDPl6evnct50AqZuJQ4dExAyKGfsp49vbZY8mGONMsBkoZ=w1200|https://lh3.googleusercontent.com/pw/AP1GczNx2DETJX8fSRKvEAReyA3BiSeuVD6us2Pq_f_c2fZhZkxLPJksNoJkRpqtaXVikvL4SJzOizCK_3y1i57hw9N9RSAfE7EB-mnzNgM3QIN5eOwvDupt=w1200|https://lh3.googleusercontent.com/pw/AP1GczM1kNvi6VZMjC1JXpefxofE6ZfGQDkpevicQkD8yUq0B9m5WPCNa2qyMFzU2CXbW28MXd9iNF9GIDHXQgWhTCBvKlw2X4oNx5GSktXMsHdJLN-eKDcY=w1200|https://lh3.googleusercontent.com/pw/AP1GczNZ2idN-BHgg6SOq2EA7Qpyc4_zGLKaYhoS7NlMCSlEbkjz4tSVufToAAM5pQTpU8IFxNnzOu4k8uKk31qy7IfShxOqjVLBr-wnPvo-bvGt5ql51ReH=w1200|https://lh3.googleusercontent.com/pw/AP1GczOyWPUgSg4i8KOo6wH2Tnn_TRKLp7AojoKJy5K6FnsGmSLI5AUBHrNYrRE5xPRjyLIuGFANJZ_62PBOJ_ZRYfHH579t_PgBOpUmP6NcXHXzgpLblI1d=w1200|https://lh3.googleusercontent.com/pw/AP1GczO_bhZ3fLAn0tdDju1TNlJhMyOo7U65k03aAwaa9BYH7KeSInyJoiJWpoKEKXre46BrQyHCH2a8ImrS2s3MDXBc-YB_oNNUMj2RdGy9WxRfLGZAV1Ja=w1200|https://lh3.googleusercontent.com/pw/AP1GczMtcqishJmUdTlP9DUdfHru00ixD6EchdzXSQSio16o_WiITZ6Akzj_DolwMpomzw1QlHOW3xxZPGS7T6H0EJk1EZY3hGJi-4eohp2D0R2i_m3UTQYX=w1200|https://lh3.googleusercontent.com/pw/AP1GczPWlJq3mtizVhqa9aWTAofm-BG41YTHJzDrsa_qBxYYDVW2f-V4m9S8OjW0lt66BeW9DC77c0sim62DbYMVIMxV3dAEjlS1R4EuSOqlUNwzLDF2plwc=w1200|https://lh3.googleusercontent.com/pw/AP1GczNImcais6GYSl2fu66tJL5sGxpQJYMPqWISOXiQfiQNbNdB-rCrSc5DPzYuzFl9LMkwsfD-kCTVK__VCPoWLR2BkW-wUI7qD_W-lL5gGP_NWfu0vcvx=w1200|https://lh3.googleusercontent.com/pw/AP1GczN5tOBbeE40Pzk0LsLukXByC_OklwzMRWsvbRzFqBsOQVeyS4ZepmHT4lTMAgRQ4wifiohN0IHv0inKS7qL1rBCt3CcR58YSQUYDnRHgIjw8G-uXd42=w1200|https://lh3.googleusercontent.com/pw/AP1GczOKQLH6lsiao_iaNkbkWWHXOULGdOVxoG8IcigP4GbXCF5LEFNF8IHP0xXQkMCPkKtn46LVkzt7bYoYuZNnRBTDj99Rmra8Mt2PwLf9rrFVh-E-nHYq=w1200|https://lh3.googleusercontent.com/pw/AP1GczPi62SPzopUro2rRgi5UdmWRMna4J8_RtrOMHv0pQPm3TgdEXTsK0it6U4fAlBYoafNN1Hs9lc7_-79UiWZN38vjDD3KD1hw0j4fWPSpvBKP0Ly0k6U=w1200|https://lh3.googleusercontent.com/pw/AP1GczMG9KUrsx7BAtR9eS4IThk1GSjKImTzazeXeyECUcreEDFS7AcBw-Uxl6_x7VCN4RAt0dr3iBdr5KfDT2yHkCL8345S625KQJMD8Bxk4_3JEDhbW3B0=w1200|https://lh3.googleusercontent.com/pw/AP1GczM6FfXCZgib7k6jB3Y6Cf9CgZ5j7JZ2kYIV2ViX6Mabna3Do265ra3mAw6wGFrg7gYs3ultlp-VMWHhGASSzqMy2sOMfTGy3OGgeuV0ibfsDo-ZsO6r=w1200|https://lh3.googleusercontent.com/pw/AP1GczOP1a-zPaQ2xDjXULeKe822n0-MPdu8BO1MBNy0UBow5tqvZPX1g7b7etkoGRTuFihl-Skzjz2yDpaRHN0Lsv2wA2nxQNSWWENTvZCCONEdR6B7WSa8=w1200|https://lh3.googleusercontent.com/pw/AP1GczPhYhif4olH4mo7LIT0orhExauXOWJhupGRJKa4cPNiN8jGk0ga6pv0b0YW_j12m588LkVgVbwLm9i4msXiMDX51-rknarYjnxGvf1Z4H2dJI9ABhQe=w1200|https://lh3.googleusercontent.com/pw/AP1GczMLZSokW1M5WG5sosQX1irs7CfoES--1ObFX9OnA6f7-q_0ppn9X0JUuEq2wV_KTvhTPxCrXJUS19Qtkt5JkSgA_zAGwYVlmTjelaNtvprYvcta7Fs5=w1200|https://lh3.googleusercontent.com/pw/AP1GczMW4BW2TaoPL8_Vc1r2hqD0u_FNRxXi9HJY38Xlb8KeYtpIXlULN8btlLg__-I_FVBSt7P9kgkChwQ2FT3wOnJWij3wPHulTI8tDkFvavki96a384YI=w1200|https://lh3.googleusercontent.com/pw/AP1GczMctEKwzS128eR2QyP40OeMeQ7YzHqXOkcvGF5RqqLtPIyqdh93cbaWmqNYYdgODTxZR4dJmYWBMbeOCfDmLOPKwuL8hogDBaqZi2brQKouJRfl7CKv=w1200|https://lh3.googleusercontent.com/pw/AP1GczPyalpxdypXopq0GM0DQTOVRSG6BAhEbaqyBCF3M3bZeNLNEZX3MCVR5Vk2nqdEaboJ8knNZzXLzdm3Srh8-KbBkYexkY3IjHOODQweYGCsLzCUyags=w1200|https://lh3.googleusercontent.com/pw/AP1GczOoHe2mkuwzGAV1tvOPQPzgyifzOFWbL1UrB-lSJgl8fzMuCRyIX66i-A_luNUxzpJU4R45OJNXspgDvIba3jarpSkOm6QyN37eD8rzVApB9YzQcpwe=w1200|https://lh3.googleusercontent.com/pw/AP1GczOlMNbLX9-2z4kXoxycajwCrSo2lComRISvjHt2N19NtzS7mATxlpcOAkSqZddw9G2gR0vLySNRNwgbbr4C8PoLA44kE3tqTuqsHYagKFxfJ_WwguLg=w1200|https://lh3.googleusercontent.com/pw/AP1GczOwLl5yEKV7wxoQvuQIn5wW98EgJs_O5cgPXVajuujCTrg1WVmIVgimkXFTF-u45Vj_GxOfGfYb44ABImk6ibEqyU8WA9hWTnaKSKUM2FSytMbG9ZHS=w1200|https://lh3.googleusercontent.com/pw/AP1GczNBwyVkbkGwG8QW4ODX3fPpq3BQ86XnJY0qacJWbB-6NDu0Ii53opUzLjodhnVA8BncgPmgiGMsOc_PKShMsGA_VT91QfhV-BRwHviQa6a8ZydMIMZ7=w1200|https://lh3.googleusercontent.com/pw/AP1GczPqwp--ZM3AJmIxG6rBLFq6_ZlIUeG14dn-9B_vxIOzdVh3hso9MAtm1SdqEyUUIJEM7atc7z6B_gptj20YC8xq2q8oSbul6slUENVcSmsy9aBfSbz7=w1200|https://lh3.googleusercontent.com/pw/AP1GczOV4E5vDJpccwB5Ll6aojyYlmi9Np8XSr0BpGonRJRu2PXpu9oM0cgM_VtX8fH3Jo8T156Kv9ytS34yL0ujAZ15T7JjABIGmXj2eTA24zXFP2aE2ibT=w1200</v>
      </c>
      <c r="AJ503" s="46"/>
      <c r="AK503" s="46"/>
      <c r="AL503" s="46"/>
      <c r="AM503" s="46"/>
      <c r="AN503" s="46"/>
      <c r="AO503" s="46"/>
      <c r="AP503" s="46"/>
      <c r="AQ503" s="46"/>
      <c r="AR503" s="46"/>
      <c r="AS503" s="46"/>
      <c r="AT503" s="46"/>
      <c r="AU503" s="46"/>
      <c r="AV503" s="46"/>
      <c r="AW503" s="46"/>
      <c r="AX503" s="46"/>
      <c r="AY503" s="46"/>
      <c r="AZ503" s="46"/>
      <c r="BA503" s="46"/>
      <c r="BB503" s="46"/>
      <c r="BC503" s="46"/>
      <c r="BD503" s="46"/>
      <c r="BE503" s="46"/>
      <c r="BF503" s="46"/>
      <c r="BG503" s="46"/>
      <c r="BH503" s="46"/>
      <c r="BI503" s="46"/>
      <c r="BJ503" s="46"/>
      <c r="BK503" s="46"/>
      <c r="BL503" s="46"/>
      <c r="BM503" s="46"/>
      <c r="BN503" s="46"/>
      <c r="BO503" s="46"/>
      <c r="BP503" s="46"/>
      <c r="BQ503" s="46"/>
      <c r="BR503" s="46"/>
      <c r="BS503" s="46"/>
      <c r="BT503" s="46"/>
      <c r="BU503" s="46"/>
      <c r="BV503" s="46"/>
      <c r="BW503" s="46"/>
      <c r="BX503" s="46"/>
      <c r="BY503" s="46"/>
      <c r="BZ503" s="46"/>
      <c r="CA503" s="46"/>
      <c r="CB503" s="46"/>
      <c r="CC503" s="46"/>
    </row>
    <row r="504">
      <c r="A504" s="87" t="str">
        <f>IFERROR(__xludf.DUMMYFUNCTION("""COMPUTED_VALUE"""),"473")</f>
        <v>473</v>
      </c>
      <c r="B504" s="46" t="str">
        <f>IFERROR(__xludf.DUMMYFUNCTION("""COMPUTED_VALUE"""),"Local en zona industrial")</f>
        <v>Local en zona industrial</v>
      </c>
      <c r="C504" s="46" t="str">
        <f>IFERROR(__xludf.DUMMYFUNCTION("""COMPUTED_VALUE"""),"Local")</f>
        <v>Local</v>
      </c>
      <c r="D504" s="46" t="str">
        <f>IFERROR(__xludf.DUMMYFUNCTION("""COMPUTED_VALUE"""),"Zona Industrial")</f>
        <v>Zona Industrial</v>
      </c>
      <c r="E504" s="46"/>
      <c r="F504" s="90">
        <f>IFERROR(__xludf.DUMMYFUNCTION("""COMPUTED_VALUE"""),2.2E9)</f>
        <v>2200000000</v>
      </c>
      <c r="G504" s="46" t="str">
        <f>IFERROR(__xludf.DUMMYFUNCTION("""COMPUTED_VALUE"""),"Más de $1.000'000.000")</f>
        <v>Más de $1.000'000.000</v>
      </c>
      <c r="H504" s="46"/>
      <c r="I504" s="46"/>
      <c r="J504" s="46" t="str">
        <f>IFERROR(__xludf.DUMMYFUNCTION("""COMPUTED_VALUE"""),"Sur")</f>
        <v>Sur</v>
      </c>
      <c r="K504" s="87" t="str">
        <f>IFERROR(__xludf.DUMMYFUNCTION("""COMPUTED_VALUE"""),"6")</f>
        <v>6</v>
      </c>
      <c r="L504" s="46">
        <f>IFERROR(__xludf.DUMMYFUNCTION("""COMPUTED_VALUE"""),0.0)</f>
        <v>0</v>
      </c>
      <c r="M504" s="46"/>
      <c r="N504" s="46">
        <f>IFERROR(__xludf.DUMMYFUNCTION("""COMPUTED_VALUE"""),1.0)</f>
        <v>1</v>
      </c>
      <c r="O504" s="46">
        <f>IFERROR(__xludf.DUMMYFUNCTION("""COMPUTED_VALUE"""),8.0)</f>
        <v>8</v>
      </c>
      <c r="P504" s="46">
        <f>IFERROR(__xludf.DUMMYFUNCTION("""COMPUTED_VALUE"""),1.0)</f>
        <v>1</v>
      </c>
      <c r="Q504" s="92">
        <f>IFERROR(__xludf.DUMMYFUNCTION("""COMPUTED_VALUE"""),1200.0)</f>
        <v>1200</v>
      </c>
      <c r="R504" s="92">
        <f>IFERROR(__xludf.DUMMYFUNCTION("""COMPUTED_VALUE"""),1200.0)</f>
        <v>1200</v>
      </c>
      <c r="S504" s="87" t="str">
        <f>IFERROR(__xludf.DUMMYFUNCTION("""COMPUTED_VALUE"""),"Rentabilidad $15,000,000")</f>
        <v>Rentabilidad $15,000,000</v>
      </c>
      <c r="T504" s="46" t="str">
        <f>IFERROR(__xludf.DUMMYFUNCTION("""COMPUTED_VALUE"""),"Neiva")</f>
        <v>Neiva</v>
      </c>
      <c r="U504" s="87" t="str">
        <f>IFERROR(__xludf.DUMMYFUNCTION("""COMPUTED_VALUE"""),"7")</f>
        <v>7</v>
      </c>
      <c r="V504" s="46" t="str">
        <f>IFERROR(__xludf.DUMMYFUNCTION("""COMPUTED_VALUE"""),"Esquinera")</f>
        <v>Esquinera</v>
      </c>
      <c r="W504" s="46"/>
      <c r="X504" s="46">
        <f>IFERROR(__xludf.DUMMYFUNCTION("""COMPUTED_VALUE"""),0.0)</f>
        <v>0</v>
      </c>
      <c r="Y504" s="46" t="str">
        <f>IFERROR(__xludf.DUMMYFUNCTION("""COMPUTED_VALUE"""),"No tiene")</f>
        <v>No tiene</v>
      </c>
      <c r="Z504" s="90" t="str">
        <f>IFERROR(__xludf.DUMMYFUNCTION("""COMPUTED_VALUE"""),"No aplica")</f>
        <v>No aplica</v>
      </c>
      <c r="AA504" s="33" t="str">
        <f>IFERROR(__xludf.DUMMYFUNCTION("""COMPUTED_VALUE"""),"12 años")</f>
        <v>12 años</v>
      </c>
      <c r="AB504" s="144" t="str">
        <f>IFERROR(__xludf.DUMMYFUNCTION("""COMPUTED_VALUE"""),"https://photos.app.goo.gl/sPMkBr93iVdn6s6y8")</f>
        <v>https://photos.app.goo.gl/sPMkBr93iVdn6s6y8</v>
      </c>
      <c r="AC504" s="46" t="str">
        <f>IFERROR(__xludf.DUMMYFUNCTION("""COMPUTED_VALUE"""),"Bodega, recepción, cuatro oficinas abierta, oficina de gerencia con baño, baño para empleados, área para cocina con muros enchapados, parqueadero en bahía propia, 2 bodegas con altura a 4 metros. Local exterior para cafetería. El canon de Arrendamiento 15"&amp;".000.000 es mas IVA")</f>
        <v>Bodega, recepción, cuatro oficinas abierta, oficina de gerencia con baño, baño para empleados, área para cocina con muros enchapados, parqueadero en bahía propia, 2 bodegas con altura a 4 metros. Local exterior para cafetería. El canon de Arrendamiento 15.000.000 es mas IVA</v>
      </c>
      <c r="AD504" s="46"/>
      <c r="AE504" s="46"/>
      <c r="AF504" s="46" t="str">
        <f>IFERROR(__xludf.DUMMYFUNCTION("""COMPUTED_VALUE"""),"básica")</f>
        <v>básica</v>
      </c>
      <c r="AG504" s="46"/>
      <c r="AH504" s="46" t="str">
        <f>IFERROR(__xludf.DUMMYFUNCTION("""COMPUTED_VALUE"""),"Aliado")</f>
        <v>Aliado</v>
      </c>
      <c r="AI504" s="92" t="str">
        <f>IFERROR(__xludf.DUMMYFUNCTION("""COMPUTED_VALUE"""),"https://lh3.googleusercontent.com/pw/AP1GczNoYXFyyqirulLJmgifBIB0OTIiwxlEe8ZlthUVJ78_E9wKqDf9u92LuVEHXCqLQ9oCvtL3X-VPkdrv7E94KNgJT99L8ypWlPwjJql_wO1mkj9JFhZt=w1200|https://lh3.googleusercontent.com/pw/AP1GczOyLk-hyYDLB3BS71TeYq4GXcbVOzYdf7RPY5Ye_cBo3v0NLg"&amp;"E-o4nIKVAUwqgPP95HNnl9b_CbCDi4nkNH7yM58ZjD7ZAC6uaczDXrmz26LCVQ9GIT=w1200|https://lh3.googleusercontent.com/pw/AP1GczN7oH2rorVyoY72ydhp7BFqgIgGI48fPBWQAa0LZllNBF1ttn8dk7khVFWME66dD3UtAfWFQ4nC6SAKPquyGbqx5DKOA4krNL57WTEjWKN-Xrl6qcYv=w1200|https://lh3.google"&amp;"usercontent.com/pw/AP1GczO035TDsqtTBZDu8hsf3SSe9ijSxXj-hlCazl3nhe9kCFCDgnCvd2r1BQOveOLexMdZ8uHiqjKlgZTwRapGoFG-DTTZxB0oxRaZ-QkKtxcfF3AtK4Gt=w1200|https://lh3.googleusercontent.com/pw/AP1GczN0ZfGI6bEFRqaV6NxuP69WHxU7Rx7kWp6CRdJMFzVmWSwL2_EZJFPL3HSXJ-2CYNT2"&amp;"u0skzGDuGnfIGlbZw5hUSilS-3WEZqUOmn99nZloZ76oYJ5H=w1200")</f>
        <v>https://lh3.googleusercontent.com/pw/AP1GczNoYXFyyqirulLJmgifBIB0OTIiwxlEe8ZlthUVJ78_E9wKqDf9u92LuVEHXCqLQ9oCvtL3X-VPkdrv7E94KNgJT99L8ypWlPwjJql_wO1mkj9JFhZt=w1200|https://lh3.googleusercontent.com/pw/AP1GczOyLk-hyYDLB3BS71TeYq4GXcbVOzYdf7RPY5Ye_cBo3v0NLgE-o4nIKVAUwqgPP95HNnl9b_CbCDi4nkNH7yM58ZjD7ZAC6uaczDXrmz26LCVQ9GIT=w1200|https://lh3.googleusercontent.com/pw/AP1GczN7oH2rorVyoY72ydhp7BFqgIgGI48fPBWQAa0LZllNBF1ttn8dk7khVFWME66dD3UtAfWFQ4nC6SAKPquyGbqx5DKOA4krNL57WTEjWKN-Xrl6qcYv=w1200|https://lh3.googleusercontent.com/pw/AP1GczO035TDsqtTBZDu8hsf3SSe9ijSxXj-hlCazl3nhe9kCFCDgnCvd2r1BQOveOLexMdZ8uHiqjKlgZTwRapGoFG-DTTZxB0oxRaZ-QkKtxcfF3AtK4Gt=w1200|https://lh3.googleusercontent.com/pw/AP1GczN0ZfGI6bEFRqaV6NxuP69WHxU7Rx7kWp6CRdJMFzVmWSwL2_EZJFPL3HSXJ-2CYNT2u0skzGDuGnfIGlbZw5hUSilS-3WEZqUOmn99nZloZ76oYJ5H=w1200</v>
      </c>
      <c r="AJ504" s="46"/>
      <c r="AK504" s="46"/>
      <c r="AL504" s="46"/>
      <c r="AM504" s="46"/>
      <c r="AN504" s="46"/>
      <c r="AO504" s="46"/>
      <c r="AP504" s="46"/>
      <c r="AQ504" s="46"/>
      <c r="AR504" s="46"/>
      <c r="AS504" s="46"/>
      <c r="AT504" s="46"/>
      <c r="AU504" s="46"/>
      <c r="AV504" s="46"/>
      <c r="AW504" s="46"/>
      <c r="AX504" s="46"/>
      <c r="AY504" s="46"/>
      <c r="AZ504" s="46"/>
      <c r="BA504" s="46"/>
      <c r="BB504" s="46"/>
      <c r="BC504" s="46"/>
      <c r="BD504" s="46"/>
      <c r="BE504" s="46"/>
      <c r="BF504" s="46"/>
      <c r="BG504" s="46"/>
      <c r="BH504" s="46"/>
      <c r="BI504" s="46"/>
      <c r="BJ504" s="46"/>
      <c r="BK504" s="46"/>
      <c r="BL504" s="46"/>
      <c r="BM504" s="46"/>
      <c r="BN504" s="46"/>
      <c r="BO504" s="46"/>
      <c r="BP504" s="46"/>
      <c r="BQ504" s="46"/>
      <c r="BR504" s="46"/>
      <c r="BS504" s="46"/>
      <c r="BT504" s="46"/>
      <c r="BU504" s="46"/>
      <c r="BV504" s="46"/>
      <c r="BW504" s="46"/>
      <c r="BX504" s="46"/>
      <c r="BY504" s="46"/>
      <c r="BZ504" s="46"/>
      <c r="CA504" s="46"/>
      <c r="CB504" s="46"/>
      <c r="CC504" s="46"/>
    </row>
    <row r="505">
      <c r="A505" s="87" t="str">
        <f>IFERROR(__xludf.DUMMYFUNCTION("""COMPUTED_VALUE"""),"767")</f>
        <v>767</v>
      </c>
      <c r="B505" s="46" t="str">
        <f>IFERROR(__xludf.DUMMYFUNCTION("""COMPUTED_VALUE"""),"Casa campestre en conjunto Bosques de Cantabria - Oriente - Ipanema")</f>
        <v>Casa campestre en conjunto Bosques de Cantabria - Oriente - Ipanema</v>
      </c>
      <c r="C505" s="46" t="str">
        <f>IFERROR(__xludf.DUMMYFUNCTION("""COMPUTED_VALUE"""),"Casa campestre en conjunto")</f>
        <v>Casa campestre en conjunto</v>
      </c>
      <c r="D505" s="46" t="str">
        <f>IFERROR(__xludf.DUMMYFUNCTION("""COMPUTED_VALUE"""),"El Faro")</f>
        <v>El Faro</v>
      </c>
      <c r="E505" s="90" t="str">
        <f>IFERROR(__xludf.DUMMYFUNCTION("""COMPUTED_VALUE"""),"Conjunto campestre Bosques de Cantabria")</f>
        <v>Conjunto campestre Bosques de Cantabria</v>
      </c>
      <c r="F505" s="90">
        <f>IFERROR(__xludf.DUMMYFUNCTION("""COMPUTED_VALUE"""),1.9E9)</f>
        <v>1900000000</v>
      </c>
      <c r="G505" s="46" t="str">
        <f>IFERROR(__xludf.DUMMYFUNCTION("""COMPUTED_VALUE"""),"Más de $1.000'000.000")</f>
        <v>Más de $1.000'000.000</v>
      </c>
      <c r="H505" s="46"/>
      <c r="I505" s="46"/>
      <c r="J505" s="46" t="str">
        <f>IFERROR(__xludf.DUMMYFUNCTION("""COMPUTED_VALUE"""),"Oriente")</f>
        <v>Oriente</v>
      </c>
      <c r="K505" s="87" t="str">
        <f>IFERROR(__xludf.DUMMYFUNCTION("""COMPUTED_VALUE"""),"8")</f>
        <v>8</v>
      </c>
      <c r="L505" s="46">
        <f>IFERROR(__xludf.DUMMYFUNCTION("""COMPUTED_VALUE"""),4.0)</f>
        <v>4</v>
      </c>
      <c r="M505" s="46"/>
      <c r="N505" s="46">
        <f>IFERROR(__xludf.DUMMYFUNCTION("""COMPUTED_VALUE"""),5.0)</f>
        <v>5</v>
      </c>
      <c r="O505" s="46">
        <f>IFERROR(__xludf.DUMMYFUNCTION("""COMPUTED_VALUE"""),3.0)</f>
        <v>3</v>
      </c>
      <c r="P505" s="46">
        <f>IFERROR(__xludf.DUMMYFUNCTION("""COMPUTED_VALUE"""),1.0)</f>
        <v>1</v>
      </c>
      <c r="Q505" s="92">
        <f>IFERROR(__xludf.DUMMYFUNCTION("""COMPUTED_VALUE"""),300.0)</f>
        <v>300</v>
      </c>
      <c r="R505" s="92">
        <f>IFERROR(__xludf.DUMMYFUNCTION("""COMPUTED_VALUE"""),600.0)</f>
        <v>600</v>
      </c>
      <c r="S505" s="87" t="str">
        <f>IFERROR(__xludf.DUMMYFUNCTION("""COMPUTED_VALUE""")," ")</f>
        <v> </v>
      </c>
      <c r="T505" s="46" t="str">
        <f>IFERROR(__xludf.DUMMYFUNCTION("""COMPUTED_VALUE"""),"Neiva")</f>
        <v>Neiva</v>
      </c>
      <c r="U505" s="87"/>
      <c r="V505" s="46"/>
      <c r="W505" s="46"/>
      <c r="X505" s="46">
        <f>IFERROR(__xludf.DUMMYFUNCTION("""COMPUTED_VALUE"""),4.0)</f>
        <v>4</v>
      </c>
      <c r="Y505" s="46" t="str">
        <f>IFERROR(__xludf.DUMMYFUNCTION("""COMPUTED_VALUE"""),"Privada")</f>
        <v>Privada</v>
      </c>
      <c r="Z505" s="90"/>
      <c r="AA505" s="33" t="str">
        <f>IFERROR(__xludf.DUMMYFUNCTION("""COMPUTED_VALUE"""),"No aplica")</f>
        <v>No aplica</v>
      </c>
      <c r="AB505" s="96" t="str">
        <f>IFERROR(__xludf.DUMMYFUNCTION("""COMPUTED_VALUE"""),"https://photos.app.goo.gl/myepAuqjokcAAcmW6")</f>
        <v>https://photos.app.goo.gl/myepAuqjokcAAcmW6</v>
      </c>
      <c r="AC505" s="46" t="str">
        <f>IFERROR(__xludf.DUMMYFUNCTION("""COMPUTED_VALUE"""),"Exclusiva casa campestre de un solo piso en el oriente de la ciudad, Viva la experiencia de confort y bienestar en esta elegante propiedad diseñada para el disfrute familiar. Cuenta con parqueadero cubierto para dos vehículos, amplios y luminosos espacios"&amp;" de sala y comedor, piscina privada y una sofisticada zona BBQ, perfectas para crear momentos inolvidables en familia.Dispone de cuatro alcobas, cada una con clóset y baño privado, garantizando privacidad, comodidad y descanso para todos los miembros del "&amp;"hogar.")</f>
        <v>Exclusiva casa campestre de un solo piso en el oriente de la ciudad, Viva la experiencia de confort y bienestar en esta elegante propiedad diseñada para el disfrute familiar. Cuenta con parqueadero cubierto para dos vehículos, amplios y luminosos espacios de sala y comedor, piscina privada y una sofisticada zona BBQ, perfectas para crear momentos inolvidables en familia.Dispone de cuatro alcobas, cada una con clóset y baño privado, garantizando privacidad, comodidad y descanso para todos los miembros del hogar.</v>
      </c>
      <c r="AD505" s="46" t="str">
        <f>IFERROR(__xludf.DUMMYFUNCTION("""COMPUTED_VALUE"""),"Ubicada en exclusivo conjunto residencial con vigilancia 24 horas, senderos naturales, salón social, canchas múltiples y piscina, en un entorno seguro, tranquilo y rodeado de naturaleza, ideal para una vida familiar con estilo y calidad")</f>
        <v>Ubicada en exclusivo conjunto residencial con vigilancia 24 horas, senderos naturales, salón social, canchas múltiples y piscina, en un entorno seguro, tranquilo y rodeado de naturaleza, ideal para una vida familiar con estilo y calidad</v>
      </c>
      <c r="AE505" s="46"/>
      <c r="AF505" s="46" t="str">
        <f>IFERROR(__xludf.DUMMYFUNCTION("""COMPUTED_VALUE"""),"integral")</f>
        <v>integral</v>
      </c>
      <c r="AG505" s="46"/>
      <c r="AH505" s="46" t="str">
        <f>IFERROR(__xludf.DUMMYFUNCTION("""COMPUTED_VALUE"""),"Aliado")</f>
        <v>Aliado</v>
      </c>
      <c r="AI505" s="92" t="str">
        <f>IFERROR(__xludf.DUMMYFUNCTION("""COMPUTED_VALUE"""),"https://lh3.googleusercontent.com/pw/AP1GczM0CLthr259tqNxdiKv1VftrDeIMujilnsCI9AsjMXJWN2K8qD2skHXxx2uGYqIwYkWMbU8uEURnqqDvLbC_P_aAz1RlEF3lc3TR2aP7bk3aFfDmto1=w1200|https://lh3.googleusercontent.com/pw/AP1GczNPEeAE6A2loM4TTErezkkVG0iIE8xMTs9U8BVJ7THL8Afx6m"&amp;"NY5zrCyiB7FDUbjEsLCcP0nWH3AGfOkyC1UXGzzZMRnWq5Z26RpUFINAukR-VhqXC4=w1200|https://lh3.googleusercontent.com/pw/AP1GczOIVRNnaFZfi9q5atp-9hs3pjuF_3h-QyW_5JkCkUVp1vq2d3tGK-4FdubFbVlo6NBI218NCsGVny930wI7hVN1ax_HatH7DndW-xirbkjXEFSj6gwt=w1200|https://lh3.google"&amp;"usercontent.com/pw/AP1GczPl8Ex_KQBnkOTdWZ2T0NiOLpViBU8RkL7nfgRfKy1UfXvh-uLw4NDf92OsHKAhP2g08mUksDmChcQ5mY-BXvuU1CU2qdp6j2r1jHLwpVFmdFHRZqQ4=w1200|https://lh3.googleusercontent.com/pw/AP1GczNniZQ7lzFepWfAMqCqk3KTYrhHPTX4syeSVRpUQXWSQPxrUHVXjwN2hnqoqvgk5aIC"&amp;"IQsnsh5_JmZz2_oN2ZK7B7D-1do-9d66xUFFTJYZ91UlHPBT=w1200|https://lh3.googleusercontent.com/pw/AP1GczPeJ39XjgIg4VgNNKDEFYQgJovu3fkWPKyq08zPmbuZ01cup19FAPTOrqGBM0Z4jG_9nFYC3-4RN-ds2wL0zbBPrHnOnBg90MgYQ6yu5_Udib4P-KfH=w1200|https://lh3.googleusercontent.com/pw"&amp;"/AP1GczOTHhtQpeDKOVkkXVpOo4ZYDYj1mVG6Ug-_2hku4ilmulj8aNNMU_VxAenB2BA-y05UzjsjNDJzApKfWYil0W5ceLC4PadVq_mUzS22C5JnGwOt5zPz=w1200|https://lh3.googleusercontent.com/pw/AP1GczNTZjNoRGGahCntCSgA328upMOq7fIUmlGzH9TqW7b8vDffe3NYTvBO3uuOxhPZ5rnMSu9u4suzhz1BfNP12-"&amp;"DwrlS6nxBSRiK0Lhrmq3n8dtvpybr6=w1200|https://lh3.googleusercontent.com/pw/AP1GczOLGiRXO3q3E6I2NgJEFk_6TOQk9JjwJoOedJDQTDKFgw92QwWLIAP4YmMGxHwsiQWsVeN_dfZ6fAMoQtxn7-2rLI9kF22tIItHSO-h878kQ5FvaTMe=w1200|https://lh3.googleusercontent.com/pw/AP1GczPjd1wri91PX"&amp;"V9qs4FVXgekhWOsLxrS2-t7riGCD1kIfRLBD2DK6KkgaLi4cRdNusSeGge23EBfsqiuxsemWiQYQbY3BuBW_sQG7Yywq5fewAGwnaln=w1200|https://lh3.googleusercontent.com/pw/AP1GczPcoaAb4-8QJ421yfVJAlE2R20t51XIYLB7EkI65B3YuJt_OY6dh4S_BtkBkJPUZc-2lq6JiW1UVuFxnVuPxOA8yrFmzohn3bRaOG29"&amp;"1kmTWeITjxsn=w1200|https://lh3.googleusercontent.com/pw/AP1GczP341qE5Bijn5bbwduldc0__fHKNghuFQadYh7O9q5JMNLWKkEvIj09VQrkPOrbRpG1za83qLnMZo87yke7xTP-AzqWQ-cirN5MHt-rdAcN0hFV4mhI=w1200|https://lh3.googleusercontent.com/pw/AP1GczOiJwSA3eLtRg6P2y6j2sfwpL5p4L8"&amp;"JCvuhAsir484a9duqB4GgwTLLga4biy-AvMK-n-RCeN4jRtnGCHlIqSx74VGeCxFbylip5MhR3ptPs6q-ylw9=w1200|https://lh3.googleusercontent.com/pw/AP1GczOAU-riPiyetVs9GmbRv9N41kLvpBQpY1yeYiMGk0UwfSwfvLfUWKx6z_Wz13CuDWUsHDhu4oHRgl0pbJ0qziJWd_AFBq4Y07JjKkeNMCSYz5uhS-2i=w1200"&amp;"|https://lh3.googleusercontent.com/pw/AP1GczPjh-teHDZpkLAJys39Hkk9AKhq9oHSheZyTfKtcieKf6jm2hfeuBJUC-Ea3GTjhEskxKce9xoDl6pa_29hbj-Gtkz_fgoc5aknT7XnZC7glJaLcSeN=w1200|https://lh3.googleusercontent.com/pw/AP1GczP3pIWNQzYs6D3-yKyvVnZ60KafcOTPIoJq6i48Av0-g56UW"&amp;"4jYWIgebPf_3rvz9xV95KtqUuDho9WMMcujw4PyC3j0ktsogp_ZXqpFOHMDeJu1PFBn=w1200|https://lh3.googleusercontent.com/pw/AP1GczPjG45zTAh0UzAnoUA1m7VMdg9NhxWd5nuxcM4MRMA7I8lT5l-lLdU_byWvU5tzH7WUKI6CcaxOhZZWhCzG5YUSBSKa2zkwOhLGbJxP-Nna_KZVdsxt=w1200|https://lh3.googl"&amp;"eusercontent.com/pw/AP1GczPskcgceTfJeY1F3-8zEKPpX9SfxHQCXFyATAXwsEQQ5bBbX3TJsV_9MMfW8C8BSDfRLh22ARXZiw4e2wmXSh703vn1taQAKhtU9S9_yNtoL0sM0zCw=w1200|https://lh3.googleusercontent.com/pw/AP1GczNhAWg0VvltCDt_ZpnLrJv82egrjg8D2a6tLl4HQj9adkaNVHTwedsIWbv0hLKep9T"&amp;"p_KaH1XchjWf3prPQw6srtppjGOjFIlURolDKS3pL1Kb7Yub7=w1200|https://lh3.googleusercontent.com/pw/AP1GczNSbNOXsoq02AXIlVViFSlGo-3yT1S9GgkhwB-iWhNKpmlzziMMvbJBfo8TE3WD246IwSh9a1OjEPzy6rSNzOHemnPorV4Itdu0VgEW_kNHmqTbDa5f=w1200|https://lh3.googleusercontent.com/p"&amp;"w/AP1GczP1Gv3Lle8mh-L6YR7LKuzoTw8Em9yH-1PprdGab5v5BCJZdMFAH5tBDxeFHPtVF0wgsiv8aAqpBvPjDkJOhqLmVN1hPomu5LVBwCdK9HpALujllr6_=w1200")</f>
        <v>https://lh3.googleusercontent.com/pw/AP1GczM0CLthr259tqNxdiKv1VftrDeIMujilnsCI9AsjMXJWN2K8qD2skHXxx2uGYqIwYkWMbU8uEURnqqDvLbC_P_aAz1RlEF3lc3TR2aP7bk3aFfDmto1=w1200|https://lh3.googleusercontent.com/pw/AP1GczNPEeAE6A2loM4TTErezkkVG0iIE8xMTs9U8BVJ7THL8Afx6mNY5zrCyiB7FDUbjEsLCcP0nWH3AGfOkyC1UXGzzZMRnWq5Z26RpUFINAukR-VhqXC4=w1200|https://lh3.googleusercontent.com/pw/AP1GczOIVRNnaFZfi9q5atp-9hs3pjuF_3h-QyW_5JkCkUVp1vq2d3tGK-4FdubFbVlo6NBI218NCsGVny930wI7hVN1ax_HatH7DndW-xirbkjXEFSj6gwt=w1200|https://lh3.googleusercontent.com/pw/AP1GczPl8Ex_KQBnkOTdWZ2T0NiOLpViBU8RkL7nfgRfKy1UfXvh-uLw4NDf92OsHKAhP2g08mUksDmChcQ5mY-BXvuU1CU2qdp6j2r1jHLwpVFmdFHRZqQ4=w1200|https://lh3.googleusercontent.com/pw/AP1GczNniZQ7lzFepWfAMqCqk3KTYrhHPTX4syeSVRpUQXWSQPxrUHVXjwN2hnqoqvgk5aICIQsnsh5_JmZz2_oN2ZK7B7D-1do-9d66xUFFTJYZ91UlHPBT=w1200|https://lh3.googleusercontent.com/pw/AP1GczPeJ39XjgIg4VgNNKDEFYQgJovu3fkWPKyq08zPmbuZ01cup19FAPTOrqGBM0Z4jG_9nFYC3-4RN-ds2wL0zbBPrHnOnBg90MgYQ6yu5_Udib4P-KfH=w1200|https://lh3.googleusercontent.com/pw/AP1GczOTHhtQpeDKOVkkXVpOo4ZYDYj1mVG6Ug-_2hku4ilmulj8aNNMU_VxAenB2BA-y05UzjsjNDJzApKfWYil0W5ceLC4PadVq_mUzS22C5JnGwOt5zPz=w1200|https://lh3.googleusercontent.com/pw/AP1GczNTZjNoRGGahCntCSgA328upMOq7fIUmlGzH9TqW7b8vDffe3NYTvBO3uuOxhPZ5rnMSu9u4suzhz1BfNP12-DwrlS6nxBSRiK0Lhrmq3n8dtvpybr6=w1200|https://lh3.googleusercontent.com/pw/AP1GczOLGiRXO3q3E6I2NgJEFk_6TOQk9JjwJoOedJDQTDKFgw92QwWLIAP4YmMGxHwsiQWsVeN_dfZ6fAMoQtxn7-2rLI9kF22tIItHSO-h878kQ5FvaTMe=w1200|https://lh3.googleusercontent.com/pw/AP1GczPjd1wri91PXV9qs4FVXgekhWOsLxrS2-t7riGCD1kIfRLBD2DK6KkgaLi4cRdNusSeGge23EBfsqiuxsemWiQYQbY3BuBW_sQG7Yywq5fewAGwnaln=w1200|https://lh3.googleusercontent.com/pw/AP1GczPcoaAb4-8QJ421yfVJAlE2R20t51XIYLB7EkI65B3YuJt_OY6dh4S_BtkBkJPUZc-2lq6JiW1UVuFxnVuPxOA8yrFmzohn3bRaOG291kmTWeITjxsn=w1200|https://lh3.googleusercontent.com/pw/AP1GczP341qE5Bijn5bbwduldc0__fHKNghuFQadYh7O9q5JMNLWKkEvIj09VQrkPOrbRpG1za83qLnMZo87yke7xTP-AzqWQ-cirN5MHt-rdAcN0hFV4mhI=w1200|https://lh3.googleusercontent.com/pw/AP1GczOiJwSA3eLtRg6P2y6j2sfwpL5p4L8JCvuhAsir484a9duqB4GgwTLLga4biy-AvMK-n-RCeN4jRtnGCHlIqSx74VGeCxFbylip5MhR3ptPs6q-ylw9=w1200|https://lh3.googleusercontent.com/pw/AP1GczOAU-riPiyetVs9GmbRv9N41kLvpBQpY1yeYiMGk0UwfSwfvLfUWKx6z_Wz13CuDWUsHDhu4oHRgl0pbJ0qziJWd_AFBq4Y07JjKkeNMCSYz5uhS-2i=w1200|https://lh3.googleusercontent.com/pw/AP1GczPjh-teHDZpkLAJys39Hkk9AKhq9oHSheZyTfKtcieKf6jm2hfeuBJUC-Ea3GTjhEskxKce9xoDl6pa_29hbj-Gtkz_fgoc5aknT7XnZC7glJaLcSeN=w1200|https://lh3.googleusercontent.com/pw/AP1GczP3pIWNQzYs6D3-yKyvVnZ60KafcOTPIoJq6i48Av0-g56UW4jYWIgebPf_3rvz9xV95KtqUuDho9WMMcujw4PyC3j0ktsogp_ZXqpFOHMDeJu1PFBn=w1200|https://lh3.googleusercontent.com/pw/AP1GczPjG45zTAh0UzAnoUA1m7VMdg9NhxWd5nuxcM4MRMA7I8lT5l-lLdU_byWvU5tzH7WUKI6CcaxOhZZWhCzG5YUSBSKa2zkwOhLGbJxP-Nna_KZVdsxt=w1200|https://lh3.googleusercontent.com/pw/AP1GczPskcgceTfJeY1F3-8zEKPpX9SfxHQCXFyATAXwsEQQ5bBbX3TJsV_9MMfW8C8BSDfRLh22ARXZiw4e2wmXSh703vn1taQAKhtU9S9_yNtoL0sM0zCw=w1200|https://lh3.googleusercontent.com/pw/AP1GczNhAWg0VvltCDt_ZpnLrJv82egrjg8D2a6tLl4HQj9adkaNVHTwedsIWbv0hLKep9Tp_KaH1XchjWf3prPQw6srtppjGOjFIlURolDKS3pL1Kb7Yub7=w1200|https://lh3.googleusercontent.com/pw/AP1GczNSbNOXsoq02AXIlVViFSlGo-3yT1S9GgkhwB-iWhNKpmlzziMMvbJBfo8TE3WD246IwSh9a1OjEPzy6rSNzOHemnPorV4Itdu0VgEW_kNHmqTbDa5f=w1200|https://lh3.googleusercontent.com/pw/AP1GczP1Gv3Lle8mh-L6YR7LKuzoTw8Em9yH-1PprdGab5v5BCJZdMFAH5tBDxeFHPtVF0wgsiv8aAqpBvPjDkJOhqLmVN1hPomu5LVBwCdK9HpALujllr6_=w1200</v>
      </c>
      <c r="AJ505" s="46"/>
      <c r="AK505" s="46"/>
      <c r="AL505" s="46"/>
      <c r="AM505" s="46"/>
      <c r="AN505" s="46"/>
      <c r="AO505" s="46"/>
      <c r="AP505" s="46"/>
      <c r="AQ505" s="46"/>
      <c r="AR505" s="46"/>
      <c r="AS505" s="46"/>
      <c r="AT505" s="46"/>
      <c r="AU505" s="46"/>
      <c r="AV505" s="46"/>
      <c r="AW505" s="46"/>
      <c r="AX505" s="46"/>
      <c r="AY505" s="46"/>
      <c r="AZ505" s="46"/>
      <c r="BA505" s="46"/>
      <c r="BB505" s="46"/>
      <c r="BC505" s="46"/>
      <c r="BD505" s="46"/>
      <c r="BE505" s="46"/>
      <c r="BF505" s="46"/>
      <c r="BG505" s="46"/>
      <c r="BH505" s="46"/>
      <c r="BI505" s="46"/>
      <c r="BJ505" s="46"/>
      <c r="BK505" s="46"/>
      <c r="BL505" s="46"/>
      <c r="BM505" s="46"/>
      <c r="BN505" s="46"/>
      <c r="BO505" s="46"/>
      <c r="BP505" s="46"/>
      <c r="BQ505" s="46"/>
      <c r="BR505" s="46"/>
      <c r="BS505" s="46"/>
      <c r="BT505" s="46"/>
      <c r="BU505" s="46"/>
      <c r="BV505" s="46"/>
      <c r="BW505" s="46"/>
      <c r="BX505" s="46"/>
      <c r="BY505" s="46"/>
      <c r="BZ505" s="46"/>
      <c r="CA505" s="46"/>
      <c r="CB505" s="46"/>
      <c r="CC505" s="46"/>
    </row>
    <row r="506">
      <c r="A506" s="87" t="str">
        <f>IFERROR(__xludf.DUMMYFUNCTION("""COMPUTED_VALUE"""),"469")</f>
        <v>469</v>
      </c>
      <c r="B506" s="46" t="str">
        <f>IFERROR(__xludf.DUMMYFUNCTION("""COMPUTED_VALUE"""),"Lote en barrio Chicalá - Norte")</f>
        <v>Lote en barrio Chicalá - Norte</v>
      </c>
      <c r="C506" s="46" t="str">
        <f>IFERROR(__xludf.DUMMYFUNCTION("""COMPUTED_VALUE"""),"Lote")</f>
        <v>Lote</v>
      </c>
      <c r="D506" s="46" t="str">
        <f>IFERROR(__xludf.DUMMYFUNCTION("""COMPUTED_VALUE"""),"Chicalá")</f>
        <v>Chicalá</v>
      </c>
      <c r="E506" s="46"/>
      <c r="F506" s="90">
        <f>IFERROR(__xludf.DUMMYFUNCTION("""COMPUTED_VALUE"""),1.5E9)</f>
        <v>1500000000</v>
      </c>
      <c r="G506" s="46" t="str">
        <f>IFERROR(__xludf.DUMMYFUNCTION("""COMPUTED_VALUE"""),"Más de $1.000'000.000")</f>
        <v>Más de $1.000'000.000</v>
      </c>
      <c r="H506" s="46"/>
      <c r="I506" s="46"/>
      <c r="J506" s="46" t="str">
        <f>IFERROR(__xludf.DUMMYFUNCTION("""COMPUTED_VALUE"""),"Norte")</f>
        <v>Norte</v>
      </c>
      <c r="K506" s="87" t="str">
        <f>IFERROR(__xludf.DUMMYFUNCTION("""COMPUTED_VALUE"""),"1")</f>
        <v>1</v>
      </c>
      <c r="L506" s="46">
        <f>IFERROR(__xludf.DUMMYFUNCTION("""COMPUTED_VALUE"""),0.0)</f>
        <v>0</v>
      </c>
      <c r="M506" s="46"/>
      <c r="N506" s="46">
        <f>IFERROR(__xludf.DUMMYFUNCTION("""COMPUTED_VALUE"""),0.0)</f>
        <v>0</v>
      </c>
      <c r="O506" s="46"/>
      <c r="P506" s="46"/>
      <c r="Q506" s="92"/>
      <c r="R506" s="92">
        <f>IFERROR(__xludf.DUMMYFUNCTION("""COMPUTED_VALUE"""),5540.0)</f>
        <v>5540</v>
      </c>
      <c r="S506" s="87" t="str">
        <f>IFERROR(__xludf.DUMMYFUNCTION("""COMPUTED_VALUE""")," ")</f>
        <v> </v>
      </c>
      <c r="T506" s="46" t="str">
        <f>IFERROR(__xludf.DUMMYFUNCTION("""COMPUTED_VALUE"""),"Neiva")</f>
        <v>Neiva</v>
      </c>
      <c r="U506" s="87" t="str">
        <f>IFERROR(__xludf.DUMMYFUNCTION("""COMPUTED_VALUE"""),"2")</f>
        <v>2</v>
      </c>
      <c r="V506" s="46"/>
      <c r="W506" s="46"/>
      <c r="X506" s="46">
        <f>IFERROR(__xludf.DUMMYFUNCTION("""COMPUTED_VALUE"""),0.0)</f>
        <v>0</v>
      </c>
      <c r="Y506" s="46" t="str">
        <f>IFERROR(__xludf.DUMMYFUNCTION("""COMPUTED_VALUE"""),"No tiene")</f>
        <v>No tiene</v>
      </c>
      <c r="Z506" s="90"/>
      <c r="AA506" s="33"/>
      <c r="AB506" s="144" t="str">
        <f>IFERROR(__xludf.DUMMYFUNCTION("""COMPUTED_VALUE"""),"https://photos.app.goo.gl/ueZzPr7mgKREj9te9")</f>
        <v>https://photos.app.goo.gl/ueZzPr7mgKREj9te9</v>
      </c>
      <c r="AC506" s="46" t="str">
        <f>IFERROR(__xludf.DUMMYFUNCTION("""COMPUTED_VALUE"""),"Lote Urbano en venta en el Barrio Chicala Ideal para uso institucional, perfecto para la construcción de colegios de primaria, bachillerato o sedes universitarias. Este lote goza de una excelente ubicación, con vías de acceso amplias y en óptimas condicio"&amp;"nes, facilitando la movilidad y el transporte. Ubicado en el Barrio Chicala, se encuentra a pocos minutos del Centro Comercial Único, lo que lo convierte en una opción estratégica y conveniente para instituciones educativas que buscan establecerse en una "&amp;"zona de alta conectividad y fácil acceso para estudiantes y personal.")</f>
        <v>Lote Urbano en venta en el Barrio Chicala Ideal para uso institucional, perfecto para la construcción de colegios de primaria, bachillerato o sedes universitarias. Este lote goza de una excelente ubicación, con vías de acceso amplias y en óptimas condiciones, facilitando la movilidad y el transporte. Ubicado en el Barrio Chicala, se encuentra a pocos minutos del Centro Comercial Único, lo que lo convierte en una opción estratégica y conveniente para instituciones educativas que buscan establecerse en una zona de alta conectividad y fácil acceso para estudiantes y personal.</v>
      </c>
      <c r="AD506" s="46"/>
      <c r="AE506" s="46"/>
      <c r="AF506" s="46"/>
      <c r="AG506" s="46"/>
      <c r="AH506" s="46" t="str">
        <f>IFERROR(__xludf.DUMMYFUNCTION("""COMPUTED_VALUE"""),"Aliado")</f>
        <v>Aliado</v>
      </c>
      <c r="AI506" s="92" t="str">
        <f>IFERROR(__xludf.DUMMYFUNCTION("""COMPUTED_VALUE"""),"https://lh3.googleusercontent.com/pw/AP1GczNWVTsryDuAE3Vyk3U12w6EvACcrwmli2ec_u7MZ1hXjxxSZyxb6RHecyqK8eJ3uoGqpwVoO60vgnlGJIruFNwBftzVey1e8GcIQj1lJcYj7_G-U9oX=w1200|https://lh3.googleusercontent.com/pw/AP1GczNhVuQ7fgKpPNUOTFBqVyJWzraBh3UA7PN7agBS-Riy-q1IBl"&amp;"4zKcDlyuEHrP8Ev7gO4j55zFO6KkTgTW4UvCIMTXYuPcLWFsslGnS9dSkM3FA7iZ7m=w1200|https://lh3.googleusercontent.com/pw/AP1GczP-V96No3ZNalPanp7FdXgQ9TtXZp0aYclLSAjyH7IQQJn6UU6V9GbW7YU_o1zC5zXQHIpm7KoqaP2k5NJB8qYRo6a2Lz5ckgETmjWDo520-PQasHBX=w1200|https://lh3.google"&amp;"usercontent.com/pw/AP1GczOJ-LlMepLbc-Cx0u9KbQEupoudyDYPScssw6v9rrxWr-yPuQF25b4-LEraqgKI_c2wSN2OvWPSdZ5QnJCrlYcYLpS-3eK2pSJGwwuDfU5TCXfH9rQc=w1200|https://lh3.googleusercontent.com/pw/AP1GczO6yDc3h3nrvRtvkRDEjPRckeMhZ3yJDoHjIiy_GLkL5SMneSSrA3T4Az-sQUX-rD69"&amp;"XnH0Bb3uZWd7DK-vmwK0US7FiSMiYMKuZaBWOp-uwPMbKc1g=w1200")</f>
        <v>https://lh3.googleusercontent.com/pw/AP1GczNWVTsryDuAE3Vyk3U12w6EvACcrwmli2ec_u7MZ1hXjxxSZyxb6RHecyqK8eJ3uoGqpwVoO60vgnlGJIruFNwBftzVey1e8GcIQj1lJcYj7_G-U9oX=w1200|https://lh3.googleusercontent.com/pw/AP1GczNhVuQ7fgKpPNUOTFBqVyJWzraBh3UA7PN7agBS-Riy-q1IBl4zKcDlyuEHrP8Ev7gO4j55zFO6KkTgTW4UvCIMTXYuPcLWFsslGnS9dSkM3FA7iZ7m=w1200|https://lh3.googleusercontent.com/pw/AP1GczP-V96No3ZNalPanp7FdXgQ9TtXZp0aYclLSAjyH7IQQJn6UU6V9GbW7YU_o1zC5zXQHIpm7KoqaP2k5NJB8qYRo6a2Lz5ckgETmjWDo520-PQasHBX=w1200|https://lh3.googleusercontent.com/pw/AP1GczOJ-LlMepLbc-Cx0u9KbQEupoudyDYPScssw6v9rrxWr-yPuQF25b4-LEraqgKI_c2wSN2OvWPSdZ5QnJCrlYcYLpS-3eK2pSJGwwuDfU5TCXfH9rQc=w1200|https://lh3.googleusercontent.com/pw/AP1GczO6yDc3h3nrvRtvkRDEjPRckeMhZ3yJDoHjIiy_GLkL5SMneSSrA3T4Az-sQUX-rD69XnH0Bb3uZWd7DK-vmwK0US7FiSMiYMKuZaBWOp-uwPMbKc1g=w1200</v>
      </c>
      <c r="AJ506" s="46"/>
      <c r="AK506" s="46"/>
      <c r="AL506" s="46"/>
      <c r="AM506" s="46"/>
      <c r="AN506" s="46"/>
      <c r="AO506" s="46"/>
      <c r="AP506" s="46"/>
      <c r="AQ506" s="46"/>
      <c r="AR506" s="46"/>
      <c r="AS506" s="46"/>
      <c r="AT506" s="46"/>
      <c r="AU506" s="46"/>
      <c r="AV506" s="46"/>
      <c r="AW506" s="46"/>
      <c r="AX506" s="46"/>
      <c r="AY506" s="46"/>
      <c r="AZ506" s="46"/>
      <c r="BA506" s="46"/>
      <c r="BB506" s="46"/>
      <c r="BC506" s="46"/>
      <c r="BD506" s="46"/>
      <c r="BE506" s="46"/>
      <c r="BF506" s="46"/>
      <c r="BG506" s="46"/>
      <c r="BH506" s="46"/>
      <c r="BI506" s="46"/>
      <c r="BJ506" s="46"/>
      <c r="BK506" s="46"/>
      <c r="BL506" s="46"/>
      <c r="BM506" s="46"/>
      <c r="BN506" s="46"/>
      <c r="BO506" s="46"/>
      <c r="BP506" s="46"/>
      <c r="BQ506" s="46"/>
      <c r="BR506" s="46"/>
      <c r="BS506" s="46"/>
      <c r="BT506" s="46"/>
      <c r="BU506" s="46"/>
      <c r="BV506" s="46"/>
      <c r="BW506" s="46"/>
      <c r="BX506" s="46"/>
      <c r="BY506" s="46"/>
      <c r="BZ506" s="46"/>
      <c r="CA506" s="46"/>
      <c r="CB506" s="46"/>
      <c r="CC506" s="46"/>
    </row>
    <row r="507">
      <c r="A507" s="87" t="str">
        <f>IFERROR(__xludf.DUMMYFUNCTION("""COMPUTED_VALUE"""),"775")</f>
        <v>775</v>
      </c>
      <c r="B507" s="46" t="str">
        <f>IFERROR(__xludf.DUMMYFUNCTION("""COMPUTED_VALUE"""),"Casa campestre para eventos en Prado Alto - Oriente")</f>
        <v>Casa campestre para eventos en Prado Alto - Oriente</v>
      </c>
      <c r="C507" s="46" t="str">
        <f>IFERROR(__xludf.DUMMYFUNCTION("""COMPUTED_VALUE"""),"Casa campestre")</f>
        <v>Casa campestre</v>
      </c>
      <c r="D507" s="46" t="str">
        <f>IFERROR(__xludf.DUMMYFUNCTION("""COMPUTED_VALUE"""),"Prado Alto")</f>
        <v>Prado Alto</v>
      </c>
      <c r="E507" s="90"/>
      <c r="F507" s="90">
        <f>IFERROR(__xludf.DUMMYFUNCTION("""COMPUTED_VALUE"""),9.0E8)</f>
        <v>900000000</v>
      </c>
      <c r="G507" s="46" t="str">
        <f>IFERROR(__xludf.DUMMYFUNCTION("""COMPUTED_VALUE"""),"$500'000.000 a $1.000'000.000")</f>
        <v>$500'000.000 a $1.000'000.000</v>
      </c>
      <c r="H507" s="46"/>
      <c r="I507" s="46"/>
      <c r="J507" s="46" t="str">
        <f>IFERROR(__xludf.DUMMYFUNCTION("""COMPUTED_VALUE"""),"Oriente")</f>
        <v>Oriente</v>
      </c>
      <c r="K507" s="87" t="str">
        <f>IFERROR(__xludf.DUMMYFUNCTION("""COMPUTED_VALUE"""),"7")</f>
        <v>7</v>
      </c>
      <c r="L507" s="46">
        <f>IFERROR(__xludf.DUMMYFUNCTION("""COMPUTED_VALUE"""),4.0)</f>
        <v>4</v>
      </c>
      <c r="M507" s="46"/>
      <c r="N507" s="46">
        <f>IFERROR(__xludf.DUMMYFUNCTION("""COMPUTED_VALUE"""),6.0)</f>
        <v>6</v>
      </c>
      <c r="O507" s="46"/>
      <c r="P507" s="46">
        <f>IFERROR(__xludf.DUMMYFUNCTION("""COMPUTED_VALUE"""),1.0)</f>
        <v>1</v>
      </c>
      <c r="Q507" s="92">
        <f>IFERROR(__xludf.DUMMYFUNCTION("""COMPUTED_VALUE"""),400.0)</f>
        <v>400</v>
      </c>
      <c r="R507" s="92">
        <f>IFERROR(__xludf.DUMMYFUNCTION("""COMPUTED_VALUE"""),4800.0)</f>
        <v>4800</v>
      </c>
      <c r="S507" s="87" t="str">
        <f>IFERROR(__xludf.DUMMYFUNCTION("""COMPUTED_VALUE""")," ")</f>
        <v> </v>
      </c>
      <c r="T507" s="46" t="str">
        <f>IFERROR(__xludf.DUMMYFUNCTION("""COMPUTED_VALUE"""),"Neiva")</f>
        <v>Neiva</v>
      </c>
      <c r="U507" s="87"/>
      <c r="V507" s="46"/>
      <c r="W507" s="46"/>
      <c r="X507" s="46">
        <f>IFERROR(__xludf.DUMMYFUNCTION("""COMPUTED_VALUE"""),0.0)</f>
        <v>0</v>
      </c>
      <c r="Y507" s="46" t="str">
        <f>IFERROR(__xludf.DUMMYFUNCTION("""COMPUTED_VALUE"""),"No tiene")</f>
        <v>No tiene</v>
      </c>
      <c r="Z507" s="90" t="str">
        <f>IFERROR(__xludf.DUMMYFUNCTION("""COMPUTED_VALUE"""),"No aplica")</f>
        <v>No aplica</v>
      </c>
      <c r="AA507" s="33" t="str">
        <f>IFERROR(__xludf.DUMMYFUNCTION("""COMPUTED_VALUE"""),"No aplica")</f>
        <v>No aplica</v>
      </c>
      <c r="AB507" s="96" t="str">
        <f>IFERROR(__xludf.DUMMYFUNCTION("""COMPUTED_VALUE"""),"https://photos.app.goo.gl/wFnGftfaEQwDyy87A")</f>
        <v>https://photos.app.goo.gl/wFnGftfaEQwDyy87A</v>
      </c>
      <c r="AC507" s="46" t="str">
        <f>IFERROR(__xludf.DUMMYFUNCTION("""COMPUTED_VALUE"""),"Casa campestre para eventos, sobre la vía que de Neiva conduce a Vegalarga, cuenta con casa con un gran salón para eventos, área de cocinas, baños para dama y caballeros, casa para mayordomo. Tiene cerramiento en cerca viva, árboles frutales.")</f>
        <v>Casa campestre para eventos, sobre la vía que de Neiva conduce a Vegalarga, cuenta con casa con un gran salón para eventos, área de cocinas, baños para dama y caballeros, casa para mayordomo. Tiene cerramiento en cerca viva, árboles frutales.</v>
      </c>
      <c r="AD507" s="46" t="str">
        <f>IFERROR(__xludf.DUMMYFUNCTION("""COMPUTED_VALUE"""),"Casa sobre la vía es ideal para sede campestre para colegio de preescolar o primaria, sedes para restaurantes campestres Cuenta con servicios de agua, veredal y aljibe, Energía eléctrica.")</f>
        <v>Casa sobre la vía es ideal para sede campestre para colegio de preescolar o primaria, sedes para restaurantes campestres Cuenta con servicios de agua, veredal y aljibe, Energía eléctrica.</v>
      </c>
      <c r="AE507" s="46"/>
      <c r="AF507" s="46" t="str">
        <f>IFERROR(__xludf.DUMMYFUNCTION("""COMPUTED_VALUE"""),"integral")</f>
        <v>integral</v>
      </c>
      <c r="AG507" s="46"/>
      <c r="AH507" s="46" t="str">
        <f>IFERROR(__xludf.DUMMYFUNCTION("""COMPUTED_VALUE"""),"Aliado")</f>
        <v>Aliado</v>
      </c>
      <c r="AI507" s="92" t="str">
        <f>IFERROR(__xludf.DUMMYFUNCTION("""COMPUTED_VALUE"""),"https://lh3.googleusercontent.com/pw/AP1GczM0L98EiH-jo13i0nApoWU3jCM9XSYJ4Zxl0fk2DaSyyvOQm34LOztSSuS-lpQcQ6ULeEeHQU1NdBC8kgEn91u-F24Ut5l_cKkwEt_ItSVkbc7U3ZeA=w1200|https://lh3.googleusercontent.com/pw/AP1GczMvnupTdR1ryeE70keayrSM2V975PrpEnRLkGLD6Z7g74YPUB"&amp;"wgbUh-MJ3hRGZEw9xMpzUqgBZelPKvVuIfUGhb6JvTWkVcl8Mwp8Ywa3g57t3KiG-b=w1200")</f>
        <v>https://lh3.googleusercontent.com/pw/AP1GczM0L98EiH-jo13i0nApoWU3jCM9XSYJ4Zxl0fk2DaSyyvOQm34LOztSSuS-lpQcQ6ULeEeHQU1NdBC8kgEn91u-F24Ut5l_cKkwEt_ItSVkbc7U3ZeA=w1200|https://lh3.googleusercontent.com/pw/AP1GczMvnupTdR1ryeE70keayrSM2V975PrpEnRLkGLD6Z7g74YPUBwgbUh-MJ3hRGZEw9xMpzUqgBZelPKvVuIfUGhb6JvTWkVcl8Mwp8Ywa3g57t3KiG-b=w1200</v>
      </c>
      <c r="AJ507" s="46"/>
      <c r="AK507" s="46"/>
      <c r="AL507" s="46"/>
      <c r="AM507" s="46"/>
      <c r="AN507" s="46"/>
      <c r="AO507" s="46"/>
      <c r="AP507" s="46"/>
      <c r="AQ507" s="46"/>
      <c r="AR507" s="46"/>
      <c r="AS507" s="46"/>
      <c r="AT507" s="46"/>
      <c r="AU507" s="46"/>
      <c r="AV507" s="46"/>
      <c r="AW507" s="46"/>
      <c r="AX507" s="46"/>
      <c r="AY507" s="46"/>
      <c r="AZ507" s="46"/>
      <c r="BA507" s="46"/>
      <c r="BB507" s="46"/>
      <c r="BC507" s="46"/>
      <c r="BD507" s="46"/>
      <c r="BE507" s="46"/>
      <c r="BF507" s="46"/>
      <c r="BG507" s="46"/>
      <c r="BH507" s="46"/>
      <c r="BI507" s="46"/>
      <c r="BJ507" s="46"/>
      <c r="BK507" s="46"/>
      <c r="BL507" s="46"/>
      <c r="BM507" s="46"/>
      <c r="BN507" s="46"/>
      <c r="BO507" s="46"/>
      <c r="BP507" s="46"/>
      <c r="BQ507" s="46"/>
      <c r="BR507" s="46"/>
      <c r="BS507" s="46"/>
      <c r="BT507" s="46"/>
      <c r="BU507" s="46"/>
      <c r="BV507" s="46"/>
      <c r="BW507" s="46"/>
      <c r="BX507" s="46"/>
      <c r="BY507" s="46"/>
      <c r="BZ507" s="46"/>
      <c r="CA507" s="46"/>
      <c r="CB507" s="46"/>
      <c r="CC507" s="46"/>
    </row>
    <row r="508">
      <c r="A508" s="87" t="str">
        <f>IFERROR(__xludf.DUMMYFUNCTION("""COMPUTED_VALUE"""),"478")</f>
        <v>478</v>
      </c>
      <c r="B508" s="46" t="str">
        <f>IFERROR(__xludf.DUMMYFUNCTION("""COMPUTED_VALUE"""),"Local tipo bodega en barrio Cándido")</f>
        <v>Local tipo bodega en barrio Cándido</v>
      </c>
      <c r="C508" s="46" t="str">
        <f>IFERROR(__xludf.DUMMYFUNCTION("""COMPUTED_VALUE"""),"Local")</f>
        <v>Local</v>
      </c>
      <c r="D508" s="46" t="str">
        <f>IFERROR(__xludf.DUMMYFUNCTION("""COMPUTED_VALUE"""),"Cándido Leguízamo")</f>
        <v>Cándido Leguízamo</v>
      </c>
      <c r="E508" s="46"/>
      <c r="F508" s="90">
        <f>IFERROR(__xludf.DUMMYFUNCTION("""COMPUTED_VALUE"""),9.0E8)</f>
        <v>900000000</v>
      </c>
      <c r="G508" s="46" t="str">
        <f>IFERROR(__xludf.DUMMYFUNCTION("""COMPUTED_VALUE"""),"$500'000.000 a $1.000'000.000")</f>
        <v>$500'000.000 a $1.000'000.000</v>
      </c>
      <c r="H508" s="46"/>
      <c r="I508" s="46"/>
      <c r="J508" s="46" t="str">
        <f>IFERROR(__xludf.DUMMYFUNCTION("""COMPUTED_VALUE"""),"Norte")</f>
        <v>Norte</v>
      </c>
      <c r="K508" s="87" t="str">
        <f>IFERROR(__xludf.DUMMYFUNCTION("""COMPUTED_VALUE"""),"1")</f>
        <v>1</v>
      </c>
      <c r="L508" s="46">
        <f>IFERROR(__xludf.DUMMYFUNCTION("""COMPUTED_VALUE"""),0.0)</f>
        <v>0</v>
      </c>
      <c r="M508" s="46"/>
      <c r="N508" s="46">
        <f>IFERROR(__xludf.DUMMYFUNCTION("""COMPUTED_VALUE"""),10.0)</f>
        <v>10</v>
      </c>
      <c r="O508" s="46">
        <f>IFERROR(__xludf.DUMMYFUNCTION("""COMPUTED_VALUE"""),5.0)</f>
        <v>5</v>
      </c>
      <c r="P508" s="46">
        <f>IFERROR(__xludf.DUMMYFUNCTION("""COMPUTED_VALUE"""),2.0)</f>
        <v>2</v>
      </c>
      <c r="Q508" s="92">
        <f>IFERROR(__xludf.DUMMYFUNCTION("""COMPUTED_VALUE"""),350.0)</f>
        <v>350</v>
      </c>
      <c r="R508" s="92">
        <f>IFERROR(__xludf.DUMMYFUNCTION("""COMPUTED_VALUE"""),350.0)</f>
        <v>350</v>
      </c>
      <c r="S508" s="87" t="str">
        <f>IFERROR(__xludf.DUMMYFUNCTION("""COMPUTED_VALUE""")," ")</f>
        <v> </v>
      </c>
      <c r="T508" s="46" t="str">
        <f>IFERROR(__xludf.DUMMYFUNCTION("""COMPUTED_VALUE"""),"Neiva")</f>
        <v>Neiva</v>
      </c>
      <c r="U508" s="87" t="str">
        <f>IFERROR(__xludf.DUMMYFUNCTION("""COMPUTED_VALUE"""),"5")</f>
        <v>5</v>
      </c>
      <c r="V508" s="46" t="str">
        <f>IFERROR(__xludf.DUMMYFUNCTION("""COMPUTED_VALUE"""),"Medianera")</f>
        <v>Medianera</v>
      </c>
      <c r="W508" s="46"/>
      <c r="X508" s="46">
        <f>IFERROR(__xludf.DUMMYFUNCTION("""COMPUTED_VALUE"""),0.0)</f>
        <v>0</v>
      </c>
      <c r="Y508" s="46" t="str">
        <f>IFERROR(__xludf.DUMMYFUNCTION("""COMPUTED_VALUE"""),"No tiene")</f>
        <v>No tiene</v>
      </c>
      <c r="Z508" s="90"/>
      <c r="AA508" s="33" t="str">
        <f>IFERROR(__xludf.DUMMYFUNCTION("""COMPUTED_VALUE"""),"No aplica")</f>
        <v>No aplica</v>
      </c>
      <c r="AB508" s="144" t="str">
        <f>IFERROR(__xludf.DUMMYFUNCTION("""COMPUTED_VALUE"""),"https://photos.app.goo.gl/HvawkibQRNuHpf14A")</f>
        <v>https://photos.app.goo.gl/HvawkibQRNuHpf14A</v>
      </c>
      <c r="AC508" s="46" t="str">
        <f>IFERROR(__xludf.DUMMYFUNCTION("""COMPUTED_VALUE"""),"Local tipo bodega, gran salón, área de baños para empleados, cocineta, área de aseo, cuarto de equipos. Inmueble ubicado sobre avenida principal, cercano a iglesia, universidades.")</f>
        <v>Local tipo bodega, gran salón, área de baños para empleados, cocineta, área de aseo, cuarto de equipos. Inmueble ubicado sobre avenida principal, cercano a iglesia, universidades.</v>
      </c>
      <c r="AD508" s="46"/>
      <c r="AE508" s="46"/>
      <c r="AF508" s="46" t="str">
        <f>IFERROR(__xludf.DUMMYFUNCTION("""COMPUTED_VALUE"""),"básica")</f>
        <v>básica</v>
      </c>
      <c r="AG508" s="46"/>
      <c r="AH508" s="46" t="str">
        <f>IFERROR(__xludf.DUMMYFUNCTION("""COMPUTED_VALUE"""),"Aliado")</f>
        <v>Aliado</v>
      </c>
      <c r="AI508" s="92" t="str">
        <f>IFERROR(__xludf.DUMMYFUNCTION("""COMPUTED_VALUE"""),"https://lh3.googleusercontent.com/pw/AP1GczMuDFmw8-GgVIsy65t7WuJnXXWoS6tVORSpiiD5ChopTKOSDHHIHiYczcP8aYBvsjYdmu4LBl7HJghDItV_0GjZssknum32NaEusMDmF6MXlx0lK0J1=w1200|https://lh3.googleusercontent.com/pw/AP1GczN7uD9IvVVkeAL7Gf71odmeaDb-CpanzaHLXgwUsJYce-qDG1"&amp;"I4oM2ePDAktHIOd4VDgZqASARgNuXoDrVtUsyQdyFvdCXWI6wjzMdDWlhEzH9ZATQD=w1200|https://lh3.googleusercontent.com/pw/AP1GczNGUslQCrKgurWHBN5bn0md6R6FKQJr7bq8NzFlSdUf1x7eOyXS7VndT8WGLkYKzcDnj9f6CnoABvfP3mNhr-8n8jA3YnRFKos27RWJI5SY5eYKY3ma=w1200|https://lh3.google"&amp;"usercontent.com/pw/AP1GczNUQjN0gh58YYG7DbT_Yw6kX38xAs2ETNwx14dpql_UdvZSxTCzzE4SVOWL4BoLgzrvLaZ6MPpYv9dlapScG-2xotwtYKST986bN1bHMnScNLpjiwLj=w1200|https://lh3.googleusercontent.com/pw/AP1GczMSfIkkWKd477mGRzsS0mWsHfJC_dH8C4BmbUU1Aur8xDHojsmKf6hJ66OeuzoHTjvH"&amp;"ejYTRdlEVXkmuNFsjJ1DerRTFFGwXievJCmBRpIJxM2R0faF=w1200|https://lh3.googleusercontent.com/pw/AP1GczO-8WGDG0mAfSG-u-mb_eH2DQQOyAjW4yCekRvse4LHgG2MYOywUKJGU_t9i1QLs8ISEnkXx9n78cttM7ILzjweT7IIiQzEKtaD5QnggHn_h56Gqo5n=w1200")</f>
        <v>https://lh3.googleusercontent.com/pw/AP1GczMuDFmw8-GgVIsy65t7WuJnXXWoS6tVORSpiiD5ChopTKOSDHHIHiYczcP8aYBvsjYdmu4LBl7HJghDItV_0GjZssknum32NaEusMDmF6MXlx0lK0J1=w1200|https://lh3.googleusercontent.com/pw/AP1GczN7uD9IvVVkeAL7Gf71odmeaDb-CpanzaHLXgwUsJYce-qDG1I4oM2ePDAktHIOd4VDgZqASARgNuXoDrVtUsyQdyFvdCXWI6wjzMdDWlhEzH9ZATQD=w1200|https://lh3.googleusercontent.com/pw/AP1GczNGUslQCrKgurWHBN5bn0md6R6FKQJr7bq8NzFlSdUf1x7eOyXS7VndT8WGLkYKzcDnj9f6CnoABvfP3mNhr-8n8jA3YnRFKos27RWJI5SY5eYKY3ma=w1200|https://lh3.googleusercontent.com/pw/AP1GczNUQjN0gh58YYG7DbT_Yw6kX38xAs2ETNwx14dpql_UdvZSxTCzzE4SVOWL4BoLgzrvLaZ6MPpYv9dlapScG-2xotwtYKST986bN1bHMnScNLpjiwLj=w1200|https://lh3.googleusercontent.com/pw/AP1GczMSfIkkWKd477mGRzsS0mWsHfJC_dH8C4BmbUU1Aur8xDHojsmKf6hJ66OeuzoHTjvHejYTRdlEVXkmuNFsjJ1DerRTFFGwXievJCmBRpIJxM2R0faF=w1200|https://lh3.googleusercontent.com/pw/AP1GczO-8WGDG0mAfSG-u-mb_eH2DQQOyAjW4yCekRvse4LHgG2MYOywUKJGU_t9i1QLs8ISEnkXx9n78cttM7ILzjweT7IIiQzEKtaD5QnggHn_h56Gqo5n=w1200</v>
      </c>
      <c r="AJ508" s="46"/>
      <c r="AK508" s="46"/>
      <c r="AL508" s="46"/>
      <c r="AM508" s="46"/>
      <c r="AN508" s="46"/>
      <c r="AO508" s="46"/>
      <c r="AP508" s="46"/>
      <c r="AQ508" s="46"/>
      <c r="AR508" s="46"/>
      <c r="AS508" s="46"/>
      <c r="AT508" s="46"/>
      <c r="AU508" s="46"/>
      <c r="AV508" s="46"/>
      <c r="AW508" s="46"/>
      <c r="AX508" s="46"/>
      <c r="AY508" s="46"/>
      <c r="AZ508" s="46"/>
      <c r="BA508" s="46"/>
      <c r="BB508" s="46"/>
      <c r="BC508" s="46"/>
      <c r="BD508" s="46"/>
      <c r="BE508" s="46"/>
      <c r="BF508" s="46"/>
      <c r="BG508" s="46"/>
      <c r="BH508" s="46"/>
      <c r="BI508" s="46"/>
      <c r="BJ508" s="46"/>
      <c r="BK508" s="46"/>
      <c r="BL508" s="46"/>
      <c r="BM508" s="46"/>
      <c r="BN508" s="46"/>
      <c r="BO508" s="46"/>
      <c r="BP508" s="46"/>
      <c r="BQ508" s="46"/>
      <c r="BR508" s="46"/>
      <c r="BS508" s="46"/>
      <c r="BT508" s="46"/>
      <c r="BU508" s="46"/>
      <c r="BV508" s="46"/>
      <c r="BW508" s="46"/>
      <c r="BX508" s="46"/>
      <c r="BY508" s="46"/>
      <c r="BZ508" s="46"/>
      <c r="CA508" s="46"/>
      <c r="CB508" s="46"/>
      <c r="CC508" s="46"/>
    </row>
    <row r="509">
      <c r="A509" s="87" t="str">
        <f>IFERROR(__xludf.DUMMYFUNCTION("""COMPUTED_VALUE"""),"678")</f>
        <v>678</v>
      </c>
      <c r="B509" s="46" t="str">
        <f>IFERROR(__xludf.DUMMYFUNCTION("""COMPUTED_VALUE"""),"Casa en conjunto Santorini - Ipanema - Oriente")</f>
        <v>Casa en conjunto Santorini - Ipanema - Oriente</v>
      </c>
      <c r="C509" s="46" t="str">
        <f>IFERROR(__xludf.DUMMYFUNCTION("""COMPUTED_VALUE"""),"Casa en conjunto")</f>
        <v>Casa en conjunto</v>
      </c>
      <c r="D509" s="46" t="str">
        <f>IFERROR(__xludf.DUMMYFUNCTION("""COMPUTED_VALUE"""),"Ipanema")</f>
        <v>Ipanema</v>
      </c>
      <c r="E509" s="90" t="str">
        <f>IFERROR(__xludf.DUMMYFUNCTION("""COMPUTED_VALUE"""),"Conjunto Santorini")</f>
        <v>Conjunto Santorini</v>
      </c>
      <c r="F509" s="90">
        <f>IFERROR(__xludf.DUMMYFUNCTION("""COMPUTED_VALUE"""),7.5E8)</f>
        <v>750000000</v>
      </c>
      <c r="G509" s="46" t="str">
        <f>IFERROR(__xludf.DUMMYFUNCTION("""COMPUTED_VALUE"""),"$500'000.000 a $1.000'000.000")</f>
        <v>$500'000.000 a $1.000'000.000</v>
      </c>
      <c r="H509" s="46"/>
      <c r="I509" s="46"/>
      <c r="J509" s="46" t="str">
        <f>IFERROR(__xludf.DUMMYFUNCTION("""COMPUTED_VALUE"""),"Oriente")</f>
        <v>Oriente</v>
      </c>
      <c r="K509" s="87" t="str">
        <f>IFERROR(__xludf.DUMMYFUNCTION("""COMPUTED_VALUE"""),"7")</f>
        <v>7</v>
      </c>
      <c r="L509" s="46">
        <f>IFERROR(__xludf.DUMMYFUNCTION("""COMPUTED_VALUE"""),3.0)</f>
        <v>3</v>
      </c>
      <c r="M509" s="46"/>
      <c r="N509" s="46">
        <f>IFERROR(__xludf.DUMMYFUNCTION("""COMPUTED_VALUE"""),3.0)</f>
        <v>3</v>
      </c>
      <c r="O509" s="46">
        <f>IFERROR(__xludf.DUMMYFUNCTION("""COMPUTED_VALUE"""),1.0)</f>
        <v>1</v>
      </c>
      <c r="P509" s="46">
        <f>IFERROR(__xludf.DUMMYFUNCTION("""COMPUTED_VALUE"""),2.0)</f>
        <v>2</v>
      </c>
      <c r="Q509" s="92">
        <f>IFERROR(__xludf.DUMMYFUNCTION("""COMPUTED_VALUE"""),164.0)</f>
        <v>164</v>
      </c>
      <c r="R509" s="92">
        <f>IFERROR(__xludf.DUMMYFUNCTION("""COMPUTED_VALUE"""),130.0)</f>
        <v>130</v>
      </c>
      <c r="S509" s="87" t="str">
        <f>IFERROR(__xludf.DUMMYFUNCTION("""COMPUTED_VALUE""")," ")</f>
        <v> </v>
      </c>
      <c r="T509" s="46" t="str">
        <f>IFERROR(__xludf.DUMMYFUNCTION("""COMPUTED_VALUE"""),"Neiva")</f>
        <v>Neiva</v>
      </c>
      <c r="U509" s="87" t="str">
        <f>IFERROR(__xludf.DUMMYFUNCTION("""COMPUTED_VALUE"""),"4")</f>
        <v>4</v>
      </c>
      <c r="V509" s="46" t="str">
        <f>IFERROR(__xludf.DUMMYFUNCTION("""COMPUTED_VALUE"""),"Medianera")</f>
        <v>Medianera</v>
      </c>
      <c r="W509" s="46"/>
      <c r="X509" s="46">
        <f>IFERROR(__xludf.DUMMYFUNCTION("""COMPUTED_VALUE"""),3.0)</f>
        <v>3</v>
      </c>
      <c r="Y509" s="46" t="str">
        <f>IFERROR(__xludf.DUMMYFUNCTION("""COMPUTED_VALUE"""),"Social")</f>
        <v>Social</v>
      </c>
      <c r="Z509" s="90">
        <f>IFERROR(__xludf.DUMMYFUNCTION("""COMPUTED_VALUE"""),520000.0)</f>
        <v>520000</v>
      </c>
      <c r="AA509" s="33" t="str">
        <f>IFERROR(__xludf.DUMMYFUNCTION("""COMPUTED_VALUE"""),"No aplica")</f>
        <v>No aplica</v>
      </c>
      <c r="AB509" s="96" t="str">
        <f>IFERROR(__xludf.DUMMYFUNCTION("""COMPUTED_VALUE"""),"https://photos.app.goo.gl/FHdWFRTHHxT7Xbey7")</f>
        <v>https://photos.app.goo.gl/FHdWFRTHHxT7Xbey7</v>
      </c>
      <c r="AC509" s="46" t="str">
        <f>IFERROR(__xludf.DUMMYFUNCTION("""COMPUTED_VALUE"""),"Conjunto Santorini, al oriente de Neiva, distribuida en sala, comedor, cocina integral abierta, patio jardín con BBq Cuenta con 3 alcobas con closet, una con baño privado.                   ")</f>
        <v>Conjunto Santorini, al oriente de Neiva, distribuida en sala, comedor, cocina integral abierta, patio jardín con BBq Cuenta con 3 alcobas con closet, una con baño privado.                   </v>
      </c>
      <c r="AD509" s="46" t="str">
        <f>IFERROR(__xludf.DUMMYFUNCTION("""COMPUTED_VALUE"""),"Conjunto bien ubicado. Sector oriental.")</f>
        <v>Conjunto bien ubicado. Sector oriental.</v>
      </c>
      <c r="AE509" s="46"/>
      <c r="AF509" s="46" t="str">
        <f>IFERROR(__xludf.DUMMYFUNCTION("""COMPUTED_VALUE"""),"integral")</f>
        <v>integral</v>
      </c>
      <c r="AG509" s="46"/>
      <c r="AH509" s="46" t="str">
        <f>IFERROR(__xludf.DUMMYFUNCTION("""COMPUTED_VALUE"""),"Aliado")</f>
        <v>Aliado</v>
      </c>
      <c r="AI509" s="92" t="str">
        <f>IFERROR(__xludf.DUMMYFUNCTION("""COMPUTED_VALUE"""),"https://lh3.googleusercontent.com/pw/AP1GczPeNcF_DAAqyF2beSL0dhhpznK7LdzL6woDj_HJYDb7oVlkuPPMEymyunQZmUWHwTQeAF7kpFS2o8zO3hmuxeCseRtzWiBHeRuswLfMYgMdY-LIRF8T=w1200|https://lh3.googleusercontent.com/pw/AP1GczMNkcTKG3qS-LD7MFGaHVpiP_BHc8JVqIeBnfzYHTtuj1Jp9i"&amp;"rhni3-sbxL0THj_NySvmudt277wvYck3Xr4YlnbF1ivWbOsrfZTWlgZsvG4z0lVLZE=w1200|https://lh3.googleusercontent.com/pw/AP1GczOil8hS0TmJhNVsVAy2qrbtrICzY2C2k3GpMKgZf-d1eHIn_ZyNM7yP11c5FSfN_ztK1xgPQcUQrSFDZcddVfsH-ATkPTzubBj_GY5ngslXOIWbOC2p=w1200|https://lh3.google"&amp;"usercontent.com/pw/AP1GczOcLD2UnPCEaKI4tqwktJGbG6cWpUeVjntherUJYkcGw59wiRGw-6HhO4jEAVEed4lZMjfakgnVv8ZPoK2DJHrYMJtj8TV4qgQ_86JQUcx7rsChNMH6=w1200|https://lh3.googleusercontent.com/pw/AP1GczMvfUOEa7UrJ4AiegQP5rCsuiiDpNb78-j9A6Sf81kIS2Cw56dcP3NGUDRyD-ghc9N5"&amp;"xqu41auL5yKpYOgz6heMRhp8sJceZr4bTJGPcU-fOrv60olZ=w1200|https://lh3.googleusercontent.com/pw/AP1GczM11zQiTQddpF9DgdiB_zWKvSFFjaIXkX9uGEWQHSFmT1HiLe8xv4m3LqogzpZ_g5OThbMRQblmTtoQcnnUSaUF40dGIySMNy9tV6gvmpAou2Sm0Y24=w1200|https://lh3.googleusercontent.com/pw"&amp;"/AP1GczOnSxs7oWYfOAbPxs0GpapV8Op0xfyAqm37JaQkKgZVSl3y9ec5uKzzenluh0AdV898ceGEkaPKLt5lEwYf9JJs8jlvGlnGN0KqMW39XXuvYyzYyRpI=w1200|https://lh3.googleusercontent.com/pw/AP1GczOopSpC9sIDr5jdrKbfyizvwmyleHPsEqV0JS0iJ_489lppciN1aAiHpnLWpy3rdtmfvrt0SIprI4U-eIzDev"&amp;"2ti-b18blumFTtm-tDiCMFwyDcpIbT=w1200|https://lh3.googleusercontent.com/pw/AP1GczNF2BJhFs4KclAZ9L9kwnSMf2XUpSRqBIeSywATlh3riNxr3lYN65iG7SNeypv4orj8V8Uf9NP1OqJMJLSdKmO-9NMBxgxCDwFOSDJKpgudN1pubqpy=w1200|https://lh3.googleusercontent.com/pw/AP1GczMQzbeMWXYuQ"&amp;"v8iXswHuKqo6WJdQMQNLdBW74S8yaCC3C06rtZ-0OkNOoEdAvxAmywdBDcnFj3iFIxGfaXWzRgO950cxgR8-VCG1mJLyh-mlBepJG6_=w1200|https://lh3.googleusercontent.com/pw/AP1GczOX3tiyk_Lot_eQJvPuwh9AIgTFD1JmK9WoVT-OEBsIXp3tArA_0t-SnnO7uXxojsFhblIe_hR3zO91cCP0CRnO1fM8bFks552EnGFr"&amp;"3xAN7WVUrf-l=w1200|https://lh3.googleusercontent.com/pw/AP1GczNUUxHMr7VFdO6JtaCjmfm--8Q14mTPdu5aA_stlhLy3XV8rQ1SZjkx8pRPPcLWeF30L302oXE4coRojtzHItFW-LrkBlbKcjy9Nw2YM0i5DhzCg7H4=w1200|https://lh3.googleusercontent.com/pw/AP1GczMJrNtZzq7kmfMLAX4DcATzy4Jsd86"&amp;"Gqj4Mpgo-byo8IEALJW4Hn_aLIO2WVqMuOOdRIXTXLim7Xt01R7_CoW1N1RW4rgkMya2g31NvDoSYEYnUvRcX=w1200|https://lh3.googleusercontent.com/pw/AP1GczMRJOGBXyCLS9BKd6LDh_2r5AC_DmI0RlzeM5V0Kl3gOY3-C6CnePkslFJnBfWA4_I3eTtdpR8i1t4OTMKKbVQrOBenfamg10RNIQLXB6dcilv73jES=w1200"&amp;"|https://lh3.googleusercontent.com/pw/AP1GczNsQ4eDUGpJGQwJ8e6haht9uzjwWJFc7ooc-AgWpcDFEauV3GC6hJtNmuNjGBhKeTDwFF7mioi7NC0ptUW8H1TuZn79IUFx-OiyIs5RQViCLRZlpoLy=w1200")</f>
        <v>https://lh3.googleusercontent.com/pw/AP1GczPeNcF_DAAqyF2beSL0dhhpznK7LdzL6woDj_HJYDb7oVlkuPPMEymyunQZmUWHwTQeAF7kpFS2o8zO3hmuxeCseRtzWiBHeRuswLfMYgMdY-LIRF8T=w1200|https://lh3.googleusercontent.com/pw/AP1GczMNkcTKG3qS-LD7MFGaHVpiP_BHc8JVqIeBnfzYHTtuj1Jp9irhni3-sbxL0THj_NySvmudt277wvYck3Xr4YlnbF1ivWbOsrfZTWlgZsvG4z0lVLZE=w1200|https://lh3.googleusercontent.com/pw/AP1GczOil8hS0TmJhNVsVAy2qrbtrICzY2C2k3GpMKgZf-d1eHIn_ZyNM7yP11c5FSfN_ztK1xgPQcUQrSFDZcddVfsH-ATkPTzubBj_GY5ngslXOIWbOC2p=w1200|https://lh3.googleusercontent.com/pw/AP1GczOcLD2UnPCEaKI4tqwktJGbG6cWpUeVjntherUJYkcGw59wiRGw-6HhO4jEAVEed4lZMjfakgnVv8ZPoK2DJHrYMJtj8TV4qgQ_86JQUcx7rsChNMH6=w1200|https://lh3.googleusercontent.com/pw/AP1GczMvfUOEa7UrJ4AiegQP5rCsuiiDpNb78-j9A6Sf81kIS2Cw56dcP3NGUDRyD-ghc9N5xqu41auL5yKpYOgz6heMRhp8sJceZr4bTJGPcU-fOrv60olZ=w1200|https://lh3.googleusercontent.com/pw/AP1GczM11zQiTQddpF9DgdiB_zWKvSFFjaIXkX9uGEWQHSFmT1HiLe8xv4m3LqogzpZ_g5OThbMRQblmTtoQcnnUSaUF40dGIySMNy9tV6gvmpAou2Sm0Y24=w1200|https://lh3.googleusercontent.com/pw/AP1GczOnSxs7oWYfOAbPxs0GpapV8Op0xfyAqm37JaQkKgZVSl3y9ec5uKzzenluh0AdV898ceGEkaPKLt5lEwYf9JJs8jlvGlnGN0KqMW39XXuvYyzYyRpI=w1200|https://lh3.googleusercontent.com/pw/AP1GczOopSpC9sIDr5jdrKbfyizvwmyleHPsEqV0JS0iJ_489lppciN1aAiHpnLWpy3rdtmfvrt0SIprI4U-eIzDev2ti-b18blumFTtm-tDiCMFwyDcpIbT=w1200|https://lh3.googleusercontent.com/pw/AP1GczNF2BJhFs4KclAZ9L9kwnSMf2XUpSRqBIeSywATlh3riNxr3lYN65iG7SNeypv4orj8V8Uf9NP1OqJMJLSdKmO-9NMBxgxCDwFOSDJKpgudN1pubqpy=w1200|https://lh3.googleusercontent.com/pw/AP1GczMQzbeMWXYuQv8iXswHuKqo6WJdQMQNLdBW74S8yaCC3C06rtZ-0OkNOoEdAvxAmywdBDcnFj3iFIxGfaXWzRgO950cxgR8-VCG1mJLyh-mlBepJG6_=w1200|https://lh3.googleusercontent.com/pw/AP1GczOX3tiyk_Lot_eQJvPuwh9AIgTFD1JmK9WoVT-OEBsIXp3tArA_0t-SnnO7uXxojsFhblIe_hR3zO91cCP0CRnO1fM8bFks552EnGFr3xAN7WVUrf-l=w1200|https://lh3.googleusercontent.com/pw/AP1GczNUUxHMr7VFdO6JtaCjmfm--8Q14mTPdu5aA_stlhLy3XV8rQ1SZjkx8pRPPcLWeF30L302oXE4coRojtzHItFW-LrkBlbKcjy9Nw2YM0i5DhzCg7H4=w1200|https://lh3.googleusercontent.com/pw/AP1GczMJrNtZzq7kmfMLAX4DcATzy4Jsd86Gqj4Mpgo-byo8IEALJW4Hn_aLIO2WVqMuOOdRIXTXLim7Xt01R7_CoW1N1RW4rgkMya2g31NvDoSYEYnUvRcX=w1200|https://lh3.googleusercontent.com/pw/AP1GczMRJOGBXyCLS9BKd6LDh_2r5AC_DmI0RlzeM5V0Kl3gOY3-C6CnePkslFJnBfWA4_I3eTtdpR8i1t4OTMKKbVQrOBenfamg10RNIQLXB6dcilv73jES=w1200|https://lh3.googleusercontent.com/pw/AP1GczNsQ4eDUGpJGQwJ8e6haht9uzjwWJFc7ooc-AgWpcDFEauV3GC6hJtNmuNjGBhKeTDwFF7mioi7NC0ptUW8H1TuZn79IUFx-OiyIs5RQViCLRZlpoLy=w1200</v>
      </c>
      <c r="AJ509" s="46"/>
      <c r="AK509" s="46"/>
      <c r="AL509" s="46"/>
      <c r="AM509" s="46"/>
      <c r="AN509" s="46"/>
      <c r="AO509" s="46"/>
      <c r="AP509" s="46"/>
      <c r="AQ509" s="46"/>
      <c r="AR509" s="46"/>
      <c r="AS509" s="46"/>
      <c r="AT509" s="46"/>
      <c r="AU509" s="46"/>
      <c r="AV509" s="46"/>
      <c r="AW509" s="46"/>
      <c r="AX509" s="46"/>
      <c r="AY509" s="46"/>
      <c r="AZ509" s="46"/>
      <c r="BA509" s="46"/>
      <c r="BB509" s="46"/>
      <c r="BC509" s="46"/>
      <c r="BD509" s="46"/>
      <c r="BE509" s="46"/>
      <c r="BF509" s="46"/>
      <c r="BG509" s="46"/>
      <c r="BH509" s="46"/>
      <c r="BI509" s="46"/>
      <c r="BJ509" s="46"/>
      <c r="BK509" s="46"/>
      <c r="BL509" s="46"/>
      <c r="BM509" s="46"/>
      <c r="BN509" s="46"/>
      <c r="BO509" s="46"/>
      <c r="BP509" s="46"/>
      <c r="BQ509" s="46"/>
      <c r="BR509" s="46"/>
      <c r="BS509" s="46"/>
      <c r="BT509" s="46"/>
      <c r="BU509" s="46"/>
      <c r="BV509" s="46"/>
      <c r="BW509" s="46"/>
      <c r="BX509" s="46"/>
      <c r="BY509" s="46"/>
      <c r="BZ509" s="46"/>
      <c r="CA509" s="46"/>
      <c r="CB509" s="46"/>
      <c r="CC509" s="46"/>
    </row>
    <row r="510">
      <c r="A510" s="87" t="str">
        <f>IFERROR(__xludf.DUMMYFUNCTION("""COMPUTED_VALUE"""),"764")</f>
        <v>764</v>
      </c>
      <c r="B510" s="46" t="str">
        <f>IFERROR(__xludf.DUMMYFUNCTION("""COMPUTED_VALUE"""),"Bodega (2 locales + Apartamento) en barrio San Pedro - Centro")</f>
        <v>Bodega (2 locales + Apartamento) en barrio San Pedro - Centro</v>
      </c>
      <c r="C510" s="46" t="str">
        <f>IFERROR(__xludf.DUMMYFUNCTION("""COMPUTED_VALUE"""),"Local")</f>
        <v>Local</v>
      </c>
      <c r="D510" s="46" t="str">
        <f>IFERROR(__xludf.DUMMYFUNCTION("""COMPUTED_VALUE"""),"San Pedro")</f>
        <v>San Pedro</v>
      </c>
      <c r="E510" s="90"/>
      <c r="F510" s="90">
        <f>IFERROR(__xludf.DUMMYFUNCTION("""COMPUTED_VALUE"""),6.5E8)</f>
        <v>650000000</v>
      </c>
      <c r="G510" s="46" t="str">
        <f>IFERROR(__xludf.DUMMYFUNCTION("""COMPUTED_VALUE"""),"$500'000.000 a $1.000'000.000")</f>
        <v>$500'000.000 a $1.000'000.000</v>
      </c>
      <c r="H510" s="46"/>
      <c r="I510" s="46"/>
      <c r="J510" s="46" t="str">
        <f>IFERROR(__xludf.DUMMYFUNCTION("""COMPUTED_VALUE"""),"Centro")</f>
        <v>Centro</v>
      </c>
      <c r="K510" s="87" t="str">
        <f>IFERROR(__xludf.DUMMYFUNCTION("""COMPUTED_VALUE"""),"4")</f>
        <v>4</v>
      </c>
      <c r="L510" s="46">
        <f>IFERROR(__xludf.DUMMYFUNCTION("""COMPUTED_VALUE"""),2.0)</f>
        <v>2</v>
      </c>
      <c r="M510" s="46"/>
      <c r="N510" s="46">
        <f>IFERROR(__xludf.DUMMYFUNCTION("""COMPUTED_VALUE"""),3.0)</f>
        <v>3</v>
      </c>
      <c r="O510" s="46">
        <f>IFERROR(__xludf.DUMMYFUNCTION("""COMPUTED_VALUE"""),1.0)</f>
        <v>1</v>
      </c>
      <c r="P510" s="46">
        <f>IFERROR(__xludf.DUMMYFUNCTION("""COMPUTED_VALUE"""),2.0)</f>
        <v>2</v>
      </c>
      <c r="Q510" s="92"/>
      <c r="R510" s="92">
        <f>IFERROR(__xludf.DUMMYFUNCTION("""COMPUTED_VALUE"""),165.42)</f>
        <v>165.42</v>
      </c>
      <c r="S510" s="87" t="str">
        <f>IFERROR(__xludf.DUMMYFUNCTION("""COMPUTED_VALUE""")," ")</f>
        <v> </v>
      </c>
      <c r="T510" s="46" t="str">
        <f>IFERROR(__xludf.DUMMYFUNCTION("""COMPUTED_VALUE"""),"Neiva")</f>
        <v>Neiva</v>
      </c>
      <c r="U510" s="87" t="str">
        <f>IFERROR(__xludf.DUMMYFUNCTION("""COMPUTED_VALUE"""),"7")</f>
        <v>7</v>
      </c>
      <c r="V510" s="46" t="str">
        <f>IFERROR(__xludf.DUMMYFUNCTION("""COMPUTED_VALUE"""),"Medianera")</f>
        <v>Medianera</v>
      </c>
      <c r="W510" s="46"/>
      <c r="X510" s="46">
        <f>IFERROR(__xludf.DUMMYFUNCTION("""COMPUTED_VALUE"""),0.0)</f>
        <v>0</v>
      </c>
      <c r="Y510" s="46" t="str">
        <f>IFERROR(__xludf.DUMMYFUNCTION("""COMPUTED_VALUE"""),"No tiene")</f>
        <v>No tiene</v>
      </c>
      <c r="Z510" s="90" t="str">
        <f>IFERROR(__xludf.DUMMYFUNCTION("""COMPUTED_VALUE"""),"No aplica")</f>
        <v>No aplica</v>
      </c>
      <c r="AA510" s="33" t="str">
        <f>IFERROR(__xludf.DUMMYFUNCTION("""COMPUTED_VALUE"""),"No aplica")</f>
        <v>No aplica</v>
      </c>
      <c r="AB510" s="96" t="str">
        <f>IFERROR(__xludf.DUMMYFUNCTION("""COMPUTED_VALUE"""),"https://photos.app.goo.gl/4Hq4XARDkBBL4V927")</f>
        <v>https://photos.app.goo.gl/4Hq4XARDkBBL4V927</v>
      </c>
      <c r="AC510" s="46" t="str">
        <f>IFERROR(__xludf.DUMMYFUNCTION("""COMPUTED_VALUE"""),"Ubicado en el barrio San Pedro, una zona de alto flujo comercial. La propiedad se encuentra dividida en dos unidades con total independencia de servicios un amplio local comercial con excelente frente y profundidad, actualmente apto para actividades como "&amp;"mecánica, repuestos o comercio especializado, el cual genera una renta aproximada de $1.300.000 mensuales, y una vivienda que en primer piso cuenta con un espacio apto para actividad comercial en segundo nivel que cuenta con espacios funcionales, sala, ha"&amp;"bitaciones, cocina, baño y balcón, ideal para habitar o arrendar de manera independiente.")</f>
        <v>Ubicado en el barrio San Pedro, una zona de alto flujo comercial. La propiedad se encuentra dividida en dos unidades con total independencia de servicios un amplio local comercial con excelente frente y profundidad, actualmente apto para actividades como mecánica, repuestos o comercio especializado, el cual genera una renta aproximada de $1.300.000 mensuales, y una vivienda que en primer piso cuenta con un espacio apto para actividad comercial en segundo nivel que cuenta con espacios funcionales, sala, habitaciones, cocina, baño y balcón, ideal para habitar o arrendar de manera independiente.</v>
      </c>
      <c r="AD510" s="46" t="str">
        <f>IFERROR(__xludf.DUMMYFUNCTION("""COMPUTED_VALUE"""),"Una opción versátil que combina rentabilidad inmediata y uso residencial en un solo inmueble, cerca de Ferreteria Depósito Trujillo, Estadio Urdaneta Arbelaéz, Supermercado San Pedro Plaza, Papelería Medellín, Estacion De Servicio Primax Cra 51G, Parque P"&amp;"rincipal Santander de Neiva, Gobernación del Huila, Metropolitano Centro Comercial.")</f>
        <v>Una opción versátil que combina rentabilidad inmediata y uso residencial en un solo inmueble, cerca de Ferreteria Depósito Trujillo, Estadio Urdaneta Arbelaéz, Supermercado San Pedro Plaza, Papelería Medellín, Estacion De Servicio Primax Cra 51G, Parque Principal Santander de Neiva, Gobernación del Huila, Metropolitano Centro Comercial.</v>
      </c>
      <c r="AE510" s="46"/>
      <c r="AF510" s="46" t="str">
        <f>IFERROR(__xludf.DUMMYFUNCTION("""COMPUTED_VALUE"""),"semi-integral")</f>
        <v>semi-integral</v>
      </c>
      <c r="AG510" s="46"/>
      <c r="AH510" s="46" t="str">
        <f>IFERROR(__xludf.DUMMYFUNCTION("""COMPUTED_VALUE"""),"Aliado")</f>
        <v>Aliado</v>
      </c>
      <c r="AI510" s="92" t="str">
        <f>IFERROR(__xludf.DUMMYFUNCTION("""COMPUTED_VALUE"""),"https://lh3.googleusercontent.com/pw/AP1GczMHNAXUVCULg2y8dPPBz21F6g7wT5MywJZxU2DHf1rj__gyzG-8meGHVTjcLzl3iFKRxztYjq8pOoZUDwE-2ym_n2tpZ-_FFH7v7Iq-CPf-kdFsYs8b=w1200|https://lh3.googleusercontent.com/pw/AP1GczOUIVn2S5VzaGuifYu_4sveVw3D7dFSFInTR6kOcotqhOISU6"&amp;"FqFOSYMUuHSTQBKMKviwuQ4FKbrPQPeCvKyo5QrmoV_djRG5JQivda6-59YvumPXEf=w1200|https://lh3.googleusercontent.com/pw/AP1GczMzvOMrqT6xRA9Bt6SCnvMCz8g2in0Vf5omTARUpFGVQC9Hl5VXNhNbX3Xm8JNQHcGuK1_Qywb5OG0tsPZVltlYfWws_oL4VTkwjifj-fcMTlMOLtQD=w1200|https://lh3.google"&amp;"usercontent.com/pw/AP1GczPTyD0ED4gxPadQMraJFL1C3j8dpFMDnToI_Zlp3IleyR-BBYHvuXTcJNYf4iTa-3PsbrBuAuKYCVgEEWi_cotvWCkWzZAI54QYdJcnLHfqsOtgQ5W-=w1200|https://lh3.googleusercontent.com/pw/AP1GczPMv0Qz4zydN80bxDZapyKdf6bjq0_bO-5niAbeH3UdDwrLjGoGTJiabnjkg9Qo4Uk6"&amp;"qzWZ2_O0iUZFfFVfgDbyrqHXVTyQRUyLLATo-_5PABynVe95=w1200|https://lh3.googleusercontent.com/pw/AP1GczP57_tu-Nc3bspYSf358BANwZJ2mXlZctrFmR2cL2Fe5QhieI6bkgj48mBnvQjFv9MFd-nQphkeMoxjhjhSw6f3inY-bHwKME303V7tOw0gQ1iAEDn2=w1200|https://lh3.googleusercontent.com/pw"&amp;"/AP1GczPDWMBgQtEh4ge7Q5ia88ao53brMwiCGmnr430aig4LBc6Ji8s9HKVBZbLq_OV5PQa13SZ0TCE-0dYFTZYQi8cyFhxrealx8rIEzy5_80UA_yhGG3zt=w1200|https://lh3.googleusercontent.com/pw/AP1GczPs4BAwlShQxLesauPTCPSQCBbG-JjQVd3DjXtTSV8vfX3w7xA1YggLm4KdYMFlZLQiFXz4y5RzTQRzDBF5FI"&amp;"_qn8XjlXytUbd0la-hMqpq0eQgnmtW=w1200|https://lh3.googleusercontent.com/pw/AP1GczOUypahmnXLfh_lqP9B4BRwZcNaXmmL_eikOJ3jZSVld4H6d4rEfV8imXOmBpiXWlQ1-8fVQrLjMs4sq7Oih-q3HKi-37-KRTmImijj6e4Sbn4AqpMN=w1200|https://lh3.googleusercontent.com/pw/AP1GczNkAEVjaDhI_"&amp;"4mImhIsnm7lZHCc02fsqkd5dhqMoOPTLckOwpBh6RzB4mnb1DRaeFkStJoXUn1NJNdrVeDHzxGSr387j5tscunCndU-988-nWRrDXrI=w1200|https://lh3.googleusercontent.com/pw/AP1GczOS7H0tgp2P9dpexcrJFdxQyAqDzUgc83CRRC1yFk7kzLFxe1ldGTiV0tDpsYeUIBbetMvL3-sOKO_9a1KMvCb89m7BvaUARiWVFOyM"&amp;"023buyJiwoF2=w1200|https://lh3.googleusercontent.com/pw/AP1GczOnXjk6xq_oXuwmMnrwGHqkoj4PbNmWrL2I-ZNVx0JFUTFCEfi5Sts6Fr-h9ip7_cI3GpLfQWaMoWl5dlOCHqTV4rQgfbkK9gfEImccviVje6fBu8pT=w1200|https://lh3.googleusercontent.com/pw/AP1GczMyYxhzAqpWT3O3IQRxfEmGJkulqef"&amp;"52TQI76EZTiOFsxcgsCY45QdkHnfdLJg-A80mG9QiidfkfOxHPF5R__G4AInr_lhHnUjHcesA4glxIOjYrmcL=w1200|https://lh3.googleusercontent.com/pw/AP1GczNZfYWTmzNxNuFBAo-HGf5GT_FEUchf7d1lf-sJjZtRz_vdmAsezBpM3Z83SesQnVVSTjVhz7fKUey8cI5zpMaeMMEQsvBGB_-O1c_GkLcnp7leMrlo=w1200")</f>
        <v>https://lh3.googleusercontent.com/pw/AP1GczMHNAXUVCULg2y8dPPBz21F6g7wT5MywJZxU2DHf1rj__gyzG-8meGHVTjcLzl3iFKRxztYjq8pOoZUDwE-2ym_n2tpZ-_FFH7v7Iq-CPf-kdFsYs8b=w1200|https://lh3.googleusercontent.com/pw/AP1GczOUIVn2S5VzaGuifYu_4sveVw3D7dFSFInTR6kOcotqhOISU6FqFOSYMUuHSTQBKMKviwuQ4FKbrPQPeCvKyo5QrmoV_djRG5JQivda6-59YvumPXEf=w1200|https://lh3.googleusercontent.com/pw/AP1GczMzvOMrqT6xRA9Bt6SCnvMCz8g2in0Vf5omTARUpFGVQC9Hl5VXNhNbX3Xm8JNQHcGuK1_Qywb5OG0tsPZVltlYfWws_oL4VTkwjifj-fcMTlMOLtQD=w1200|https://lh3.googleusercontent.com/pw/AP1GczPTyD0ED4gxPadQMraJFL1C3j8dpFMDnToI_Zlp3IleyR-BBYHvuXTcJNYf4iTa-3PsbrBuAuKYCVgEEWi_cotvWCkWzZAI54QYdJcnLHfqsOtgQ5W-=w1200|https://lh3.googleusercontent.com/pw/AP1GczPMv0Qz4zydN80bxDZapyKdf6bjq0_bO-5niAbeH3UdDwrLjGoGTJiabnjkg9Qo4Uk6qzWZ2_O0iUZFfFVfgDbyrqHXVTyQRUyLLATo-_5PABynVe95=w1200|https://lh3.googleusercontent.com/pw/AP1GczP57_tu-Nc3bspYSf358BANwZJ2mXlZctrFmR2cL2Fe5QhieI6bkgj48mBnvQjFv9MFd-nQphkeMoxjhjhSw6f3inY-bHwKME303V7tOw0gQ1iAEDn2=w1200|https://lh3.googleusercontent.com/pw/AP1GczPDWMBgQtEh4ge7Q5ia88ao53brMwiCGmnr430aig4LBc6Ji8s9HKVBZbLq_OV5PQa13SZ0TCE-0dYFTZYQi8cyFhxrealx8rIEzy5_80UA_yhGG3zt=w1200|https://lh3.googleusercontent.com/pw/AP1GczPs4BAwlShQxLesauPTCPSQCBbG-JjQVd3DjXtTSV8vfX3w7xA1YggLm4KdYMFlZLQiFXz4y5RzTQRzDBF5FI_qn8XjlXytUbd0la-hMqpq0eQgnmtW=w1200|https://lh3.googleusercontent.com/pw/AP1GczOUypahmnXLfh_lqP9B4BRwZcNaXmmL_eikOJ3jZSVld4H6d4rEfV8imXOmBpiXWlQ1-8fVQrLjMs4sq7Oih-q3HKi-37-KRTmImijj6e4Sbn4AqpMN=w1200|https://lh3.googleusercontent.com/pw/AP1GczNkAEVjaDhI_4mImhIsnm7lZHCc02fsqkd5dhqMoOPTLckOwpBh6RzB4mnb1DRaeFkStJoXUn1NJNdrVeDHzxGSr387j5tscunCndU-988-nWRrDXrI=w1200|https://lh3.googleusercontent.com/pw/AP1GczOS7H0tgp2P9dpexcrJFdxQyAqDzUgc83CRRC1yFk7kzLFxe1ldGTiV0tDpsYeUIBbetMvL3-sOKO_9a1KMvCb89m7BvaUARiWVFOyM023buyJiwoF2=w1200|https://lh3.googleusercontent.com/pw/AP1GczOnXjk6xq_oXuwmMnrwGHqkoj4PbNmWrL2I-ZNVx0JFUTFCEfi5Sts6Fr-h9ip7_cI3GpLfQWaMoWl5dlOCHqTV4rQgfbkK9gfEImccviVje6fBu8pT=w1200|https://lh3.googleusercontent.com/pw/AP1GczMyYxhzAqpWT3O3IQRxfEmGJkulqef52TQI76EZTiOFsxcgsCY45QdkHnfdLJg-A80mG9QiidfkfOxHPF5R__G4AInr_lhHnUjHcesA4glxIOjYrmcL=w1200|https://lh3.googleusercontent.com/pw/AP1GczNZfYWTmzNxNuFBAo-HGf5GT_FEUchf7d1lf-sJjZtRz_vdmAsezBpM3Z83SesQnVVSTjVhz7fKUey8cI5zpMaeMMEQsvBGB_-O1c_GkLcnp7leMrlo=w1200</v>
      </c>
      <c r="AJ510" s="46"/>
      <c r="AK510" s="46"/>
      <c r="AL510" s="46"/>
      <c r="AM510" s="46"/>
      <c r="AN510" s="46"/>
      <c r="AO510" s="46"/>
      <c r="AP510" s="46"/>
      <c r="AQ510" s="46"/>
      <c r="AR510" s="46"/>
      <c r="AS510" s="46"/>
      <c r="AT510" s="46"/>
      <c r="AU510" s="46"/>
      <c r="AV510" s="46"/>
      <c r="AW510" s="46"/>
      <c r="AX510" s="46"/>
      <c r="AY510" s="46"/>
      <c r="AZ510" s="46"/>
      <c r="BA510" s="46"/>
      <c r="BB510" s="46"/>
      <c r="BC510" s="46"/>
      <c r="BD510" s="46"/>
      <c r="BE510" s="46"/>
      <c r="BF510" s="46"/>
      <c r="BG510" s="46"/>
      <c r="BH510" s="46"/>
      <c r="BI510" s="46"/>
      <c r="BJ510" s="46"/>
      <c r="BK510" s="46"/>
      <c r="BL510" s="46"/>
      <c r="BM510" s="46"/>
      <c r="BN510" s="46"/>
      <c r="BO510" s="46"/>
      <c r="BP510" s="46"/>
      <c r="BQ510" s="46"/>
      <c r="BR510" s="46"/>
      <c r="BS510" s="46"/>
      <c r="BT510" s="46"/>
      <c r="BU510" s="46"/>
      <c r="BV510" s="46"/>
      <c r="BW510" s="46"/>
      <c r="BX510" s="46"/>
      <c r="BY510" s="46"/>
      <c r="BZ510" s="46"/>
      <c r="CA510" s="46"/>
      <c r="CB510" s="46"/>
      <c r="CC510" s="46"/>
    </row>
    <row r="511">
      <c r="A511" s="87" t="str">
        <f>IFERROR(__xludf.DUMMYFUNCTION("""COMPUTED_VALUE"""),"773")</f>
        <v>773</v>
      </c>
      <c r="B511" s="46" t="str">
        <f>IFERROR(__xludf.DUMMYFUNCTION("""COMPUTED_VALUE"""),"Lote urbano esquinero en barrio Prado Alto - Oriente")</f>
        <v>Lote urbano esquinero en barrio Prado Alto - Oriente</v>
      </c>
      <c r="C511" s="46" t="str">
        <f>IFERROR(__xludf.DUMMYFUNCTION("""COMPUTED_VALUE"""),"Lote")</f>
        <v>Lote</v>
      </c>
      <c r="D511" s="46" t="str">
        <f>IFERROR(__xludf.DUMMYFUNCTION("""COMPUTED_VALUE"""),"Prado Alto")</f>
        <v>Prado Alto</v>
      </c>
      <c r="E511" s="90"/>
      <c r="F511" s="90">
        <f>IFERROR(__xludf.DUMMYFUNCTION("""COMPUTED_VALUE"""),6.0E8)</f>
        <v>600000000</v>
      </c>
      <c r="G511" s="46" t="str">
        <f>IFERROR(__xludf.DUMMYFUNCTION("""COMPUTED_VALUE"""),"$500'000.000 a $1.000'000.000")</f>
        <v>$500'000.000 a $1.000'000.000</v>
      </c>
      <c r="H511" s="46"/>
      <c r="I511" s="46"/>
      <c r="J511" s="46" t="str">
        <f>IFERROR(__xludf.DUMMYFUNCTION("""COMPUTED_VALUE"""),"Oriente")</f>
        <v>Oriente</v>
      </c>
      <c r="K511" s="87" t="str">
        <f>IFERROR(__xludf.DUMMYFUNCTION("""COMPUTED_VALUE"""),"7")</f>
        <v>7</v>
      </c>
      <c r="L511" s="46">
        <f>IFERROR(__xludf.DUMMYFUNCTION("""COMPUTED_VALUE"""),0.0)</f>
        <v>0</v>
      </c>
      <c r="M511" s="46"/>
      <c r="N511" s="46">
        <f>IFERROR(__xludf.DUMMYFUNCTION("""COMPUTED_VALUE"""),0.0)</f>
        <v>0</v>
      </c>
      <c r="O511" s="46">
        <f>IFERROR(__xludf.DUMMYFUNCTION("""COMPUTED_VALUE"""),0.0)</f>
        <v>0</v>
      </c>
      <c r="P511" s="46">
        <f>IFERROR(__xludf.DUMMYFUNCTION("""COMPUTED_VALUE"""),0.0)</f>
        <v>0</v>
      </c>
      <c r="Q511" s="92">
        <f>IFERROR(__xludf.DUMMYFUNCTION("""COMPUTED_VALUE"""),0.0)</f>
        <v>0</v>
      </c>
      <c r="R511" s="92">
        <f>IFERROR(__xludf.DUMMYFUNCTION("""COMPUTED_VALUE"""),450.0)</f>
        <v>450</v>
      </c>
      <c r="S511" s="87"/>
      <c r="T511" s="46" t="str">
        <f>IFERROR(__xludf.DUMMYFUNCTION("""COMPUTED_VALUE"""),"Neiva")</f>
        <v>Neiva</v>
      </c>
      <c r="U511" s="87"/>
      <c r="V511" s="46" t="str">
        <f>IFERROR(__xludf.DUMMYFUNCTION("""COMPUTED_VALUE"""),"Esquinera")</f>
        <v>Esquinera</v>
      </c>
      <c r="W511" s="46"/>
      <c r="X511" s="46">
        <f>IFERROR(__xludf.DUMMYFUNCTION("""COMPUTED_VALUE"""),0.0)</f>
        <v>0</v>
      </c>
      <c r="Y511" s="46" t="str">
        <f>IFERROR(__xludf.DUMMYFUNCTION("""COMPUTED_VALUE"""),"No tiene")</f>
        <v>No tiene</v>
      </c>
      <c r="Z511" s="90" t="str">
        <f>IFERROR(__xludf.DUMMYFUNCTION("""COMPUTED_VALUE"""),"No aplica")</f>
        <v>No aplica</v>
      </c>
      <c r="AA511" s="33" t="str">
        <f>IFERROR(__xludf.DUMMYFUNCTION("""COMPUTED_VALUE"""),"No aplica")</f>
        <v>No aplica</v>
      </c>
      <c r="AB511" s="96" t="str">
        <f>IFERROR(__xludf.DUMMYFUNCTION("""COMPUTED_VALUE"""),"https://photos.app.goo.gl/6fY18Zo7XeSMMa659")</f>
        <v>https://photos.app.goo.gl/6fY18Zo7XeSMMa659</v>
      </c>
      <c r="AC511" s="46" t="str">
        <f>IFERROR(__xludf.DUMMYFUNCTION("""COMPUTED_VALUE"""),"Lote esquinero en el barrio Prado Alto. Excelente oportunidad de inversión. Lote esquinero ubicado sobre vía principal, con excelente visibilidad y alto flujo vehicular y peatonal. Ideal para desarrollar proyecto mixto con local comercial y vivienda.")</f>
        <v>Lote esquinero en el barrio Prado Alto. Excelente oportunidad de inversión. Lote esquinero ubicado sobre vía principal, con excelente visibilidad y alto flujo vehicular y peatonal. Ideal para desarrollar proyecto mixto con local comercial y vivienda.</v>
      </c>
      <c r="AD511" s="46" t="str">
        <f>IFERROR(__xludf.DUMMYFUNCTION("""COMPUTED_VALUE"""),"Su ubicación estratégica, en el barrio Prado Alto, lo hace muy atractivo por su cercanía a universidades, hospitales, transporte público y zonas residenciales consolidadas. Una opción perfecta para constructores o inversionistas que buscan rentabilidad y "&amp;"valorización garantizada.")</f>
        <v>Su ubicación estratégica, en el barrio Prado Alto, lo hace muy atractivo por su cercanía a universidades, hospitales, transporte público y zonas residenciales consolidadas. Una opción perfecta para constructores o inversionistas que buscan rentabilidad y valorización garantizada.</v>
      </c>
      <c r="AE511" s="46"/>
      <c r="AF511" s="46">
        <f>IFERROR(__xludf.DUMMYFUNCTION("""COMPUTED_VALUE"""),0.0)</f>
        <v>0</v>
      </c>
      <c r="AG511" s="46"/>
      <c r="AH511" s="46" t="str">
        <f>IFERROR(__xludf.DUMMYFUNCTION("""COMPUTED_VALUE"""),"Aliado")</f>
        <v>Aliado</v>
      </c>
      <c r="AI511" s="92" t="str">
        <f>IFERROR(__xludf.DUMMYFUNCTION("""COMPUTED_VALUE"""),"https://lh3.googleusercontent.com/pw/AP1GczMkiOXSGB3xSmGuHowfGGm_bDBq_0D4jO44pnPXLtgrWjsBXEiJ_uh9J-dlwjqV4OCdMfEJnbZR84StNFQaOGfHNp_45aTg4Tw-3rV69iGQCdcv5HTy=w1200|https://lh3.googleusercontent.com/pw/AP1GczMdj7htjFNxbXBVUgeFLmhLfUUL5vkrSRnC8pOfgcpoQ568er"&amp;"nnCImKHSSUu4jEm8VNjHblCr0rC6s4T3U-ks6kURPRMrveC9FCAowG9IDxyEiHLKTV=w1200|https://lh3.googleusercontent.com/pw/AP1GczMZJOj2bVNtnVLQwSZwL56LAJRq4Yne2W7xhuEM7paf-e37ibG6k_RG-xa9z1vgSRVBv1xytJXEKaWsh9MfOQPT8S534h9GswAo1StmYIOKA7mYVEmR=w1200")</f>
        <v>https://lh3.googleusercontent.com/pw/AP1GczMkiOXSGB3xSmGuHowfGGm_bDBq_0D4jO44pnPXLtgrWjsBXEiJ_uh9J-dlwjqV4OCdMfEJnbZR84StNFQaOGfHNp_45aTg4Tw-3rV69iGQCdcv5HTy=w1200|https://lh3.googleusercontent.com/pw/AP1GczMdj7htjFNxbXBVUgeFLmhLfUUL5vkrSRnC8pOfgcpoQ568ernnCImKHSSUu4jEm8VNjHblCr0rC6s4T3U-ks6kURPRMrveC9FCAowG9IDxyEiHLKTV=w1200|https://lh3.googleusercontent.com/pw/AP1GczMZJOj2bVNtnVLQwSZwL56LAJRq4Yne2W7xhuEM7paf-e37ibG6k_RG-xa9z1vgSRVBv1xytJXEKaWsh9MfOQPT8S534h9GswAo1StmYIOKA7mYVEmR=w1200</v>
      </c>
      <c r="AJ511" s="46"/>
      <c r="AK511" s="46"/>
      <c r="AL511" s="46"/>
      <c r="AM511" s="46"/>
      <c r="AN511" s="46"/>
      <c r="AO511" s="46"/>
      <c r="AP511" s="46"/>
      <c r="AQ511" s="46"/>
      <c r="AR511" s="46"/>
      <c r="AS511" s="46"/>
      <c r="AT511" s="46"/>
      <c r="AU511" s="46"/>
      <c r="AV511" s="46"/>
      <c r="AW511" s="46"/>
      <c r="AX511" s="46"/>
      <c r="AY511" s="46"/>
      <c r="AZ511" s="46"/>
      <c r="BA511" s="46"/>
      <c r="BB511" s="46"/>
      <c r="BC511" s="46"/>
      <c r="BD511" s="46"/>
      <c r="BE511" s="46"/>
      <c r="BF511" s="46"/>
      <c r="BG511" s="46"/>
      <c r="BH511" s="46"/>
      <c r="BI511" s="46"/>
      <c r="BJ511" s="46"/>
      <c r="BK511" s="46"/>
      <c r="BL511" s="46"/>
      <c r="BM511" s="46"/>
      <c r="BN511" s="46"/>
      <c r="BO511" s="46"/>
      <c r="BP511" s="46"/>
      <c r="BQ511" s="46"/>
      <c r="BR511" s="46"/>
      <c r="BS511" s="46"/>
      <c r="BT511" s="46"/>
      <c r="BU511" s="46"/>
      <c r="BV511" s="46"/>
      <c r="BW511" s="46"/>
      <c r="BX511" s="46"/>
      <c r="BY511" s="46"/>
      <c r="BZ511" s="46"/>
      <c r="CA511" s="46"/>
      <c r="CB511" s="46"/>
      <c r="CC511" s="46"/>
    </row>
    <row r="512">
      <c r="A512" s="87" t="str">
        <f>IFERROR(__xludf.DUMMYFUNCTION("""COMPUTED_VALUE"""),"466")</f>
        <v>466</v>
      </c>
      <c r="B512" s="46" t="str">
        <f>IFERROR(__xludf.DUMMYFUNCTION("""COMPUTED_VALUE"""),"Casa en barrio Villa Carolina")</f>
        <v>Casa en barrio Villa Carolina</v>
      </c>
      <c r="C512" s="46" t="str">
        <f>IFERROR(__xludf.DUMMYFUNCTION("""COMPUTED_VALUE"""),"Casa")</f>
        <v>Casa</v>
      </c>
      <c r="D512" s="90" t="str">
        <f>IFERROR(__xludf.DUMMYFUNCTION("""COMPUTED_VALUE"""),"Villa Carolina")</f>
        <v>Villa Carolina</v>
      </c>
      <c r="E512" s="46"/>
      <c r="F512" s="90">
        <f>IFERROR(__xludf.DUMMYFUNCTION("""COMPUTED_VALUE"""),4.8E8)</f>
        <v>480000000</v>
      </c>
      <c r="G512" s="46" t="str">
        <f>IFERROR(__xludf.DUMMYFUNCTION("""COMPUTED_VALUE"""),"$400'000.000 a $500'000.000")</f>
        <v>$400'000.000 a $500'000.000</v>
      </c>
      <c r="H512" s="46"/>
      <c r="I512" s="46"/>
      <c r="J512" s="46" t="str">
        <f>IFERROR(__xludf.DUMMYFUNCTION("""COMPUTED_VALUE"""),"Norte")</f>
        <v>Norte</v>
      </c>
      <c r="K512" s="87" t="str">
        <f>IFERROR(__xludf.DUMMYFUNCTION("""COMPUTED_VALUE"""),"2")</f>
        <v>2</v>
      </c>
      <c r="L512" s="46">
        <f>IFERROR(__xludf.DUMMYFUNCTION("""COMPUTED_VALUE"""),3.0)</f>
        <v>3</v>
      </c>
      <c r="M512" s="46"/>
      <c r="N512" s="46">
        <f>IFERROR(__xludf.DUMMYFUNCTION("""COMPUTED_VALUE"""),4.0)</f>
        <v>4</v>
      </c>
      <c r="O512" s="46">
        <f>IFERROR(__xludf.DUMMYFUNCTION("""COMPUTED_VALUE"""),2.0)</f>
        <v>2</v>
      </c>
      <c r="P512" s="46">
        <f>IFERROR(__xludf.DUMMYFUNCTION("""COMPUTED_VALUE"""),2.0)</f>
        <v>2</v>
      </c>
      <c r="Q512" s="92">
        <f>IFERROR(__xludf.DUMMYFUNCTION("""COMPUTED_VALUE"""),210.0)</f>
        <v>210</v>
      </c>
      <c r="R512" s="92">
        <f>IFERROR(__xludf.DUMMYFUNCTION("""COMPUTED_VALUE"""),110.0)</f>
        <v>110</v>
      </c>
      <c r="S512" s="87" t="str">
        <f>IFERROR(__xludf.DUMMYFUNCTION("""COMPUTED_VALUE""")," ")</f>
        <v> </v>
      </c>
      <c r="T512" s="46" t="str">
        <f>IFERROR(__xludf.DUMMYFUNCTION("""COMPUTED_VALUE"""),"Neiva")</f>
        <v>Neiva</v>
      </c>
      <c r="U512" s="87" t="str">
        <f>IFERROR(__xludf.DUMMYFUNCTION("""COMPUTED_VALUE"""),"3")</f>
        <v>3</v>
      </c>
      <c r="V512" s="46" t="str">
        <f>IFERROR(__xludf.DUMMYFUNCTION("""COMPUTED_VALUE"""),"Medianera")</f>
        <v>Medianera</v>
      </c>
      <c r="W512" s="46"/>
      <c r="X512" s="46">
        <f>IFERROR(__xludf.DUMMYFUNCTION("""COMPUTED_VALUE"""),3.0)</f>
        <v>3</v>
      </c>
      <c r="Y512" s="46" t="str">
        <f>IFERROR(__xludf.DUMMYFUNCTION("""COMPUTED_VALUE"""),"No tiene")</f>
        <v>No tiene</v>
      </c>
      <c r="Z512" s="90" t="str">
        <f>IFERROR(__xludf.DUMMYFUNCTION("""COMPUTED_VALUE"""),"No aplica")</f>
        <v>No aplica</v>
      </c>
      <c r="AA512" s="33"/>
      <c r="AB512" s="144" t="str">
        <f>IFERROR(__xludf.DUMMYFUNCTION("""COMPUTED_VALUE"""),"https://photos.app.goo.gl/qakqYnaLQUYHN7Co9")</f>
        <v>https://photos.app.goo.gl/qakqYnaLQUYHN7Co9</v>
      </c>
      <c r="AC512" s="46" t="str">
        <f>IFERROR(__xludf.DUMMYFUNCTION("""COMPUTED_VALUE"""),"Casa de dos pisos en el el Barrio Villa Carolina consta de antejardín enrejado, sala y comedor, cocina integral patio de ropas, estudio con salida independiente. En el segundo piso tres habitaciones con closet principal con baño y baño para alcobas auxili"&amp;"ares, sala de televisión con salida a balón. Este inmueble se encuentra a pocos minutos de centros comerciales de la ciudad, cercano a Iglesias colegios Privados y centros de salud .")</f>
        <v>Casa de dos pisos en el el Barrio Villa Carolina consta de antejardín enrejado, sala y comedor, cocina integral patio de ropas, estudio con salida independiente. En el segundo piso tres habitaciones con closet principal con baño y baño para alcobas auxiliares, sala de televisión con salida a balón. Este inmueble se encuentra a pocos minutos de centros comerciales de la ciudad, cercano a Iglesias colegios Privados y centros de salud .</v>
      </c>
      <c r="AD512" s="46"/>
      <c r="AE512" s="46"/>
      <c r="AF512" s="46" t="str">
        <f>IFERROR(__xludf.DUMMYFUNCTION("""COMPUTED_VALUE"""),"integral")</f>
        <v>integral</v>
      </c>
      <c r="AG512" s="46"/>
      <c r="AH512" s="46" t="str">
        <f>IFERROR(__xludf.DUMMYFUNCTION("""COMPUTED_VALUE"""),"Aliado")</f>
        <v>Aliado</v>
      </c>
      <c r="AI512" s="92" t="str">
        <f>IFERROR(__xludf.DUMMYFUNCTION("""COMPUTED_VALUE"""),"https://lh3.googleusercontent.com/pw/AP1GczOhL03B542QClrh0IdlAslFcqVWdOFeqWH8kAdLo9wTY-5k2wej80wfrLF2yt3PuCJE6F6nW86f1qkyvRPllF_ldc6P-NagWaatsKiDbLHYmDYWE7Qt=w1200|https://lh3.googleusercontent.com/pw/AP1GczMzu9dAT_cO1Ee0LgHw_4QepLPjguxn5VyYHmHtjU0nfTqTUb"&amp;"fEoG62yjrjCxba2lgRR8fbLzzQLU0q9aLXxXefLpC-LYWiqKcZ3LtExve_CuGEzsn0=w1200|https://lh3.googleusercontent.com/pw/AP1GczOxVs99NEVOmEtBfKX8Xgbpf4fhur9qGAZJRWktyKTn40NvyS7eBq-nipJJYUUL_Rt5tyJwrUtmNYCix01Vr1hoDVagkCMkbPiuRgHNRaaU56q5QLry=w1200|https://lh3.google"&amp;"usercontent.com/pw/AP1GczN2EEEKqKrZFr4UNIoRwl6kEWqOTxm8fdNtMmWabk0UfvZguO3WoBGJ9w615dw9XLQe90Oxg0LHCut1nVmZI-YpYaXBzGGsTL57UTPcgbf7bxhftrHh=w1200|https://lh3.googleusercontent.com/pw/AP1GczNX17-D7K8bW5cWINOhG68Tt-8GUhy0DErjkQVnT9WHPaCXoR3m7wJBcr9f0RA1FLjc"&amp;"WodMTir006J9St8r9-XSrNqvZsHC6WpZ0NpQQCyJpcEv2X-C=w1200|https://lh3.googleusercontent.com/pw/AP1GczMwFY83Dg2ns2EeEpqN0ai6deSyXpAfHnoDNzdi6f4WyZl1a-TKJjMA7LbRT-xAg8jPOhGyVpfhVUEWUtsN3mHaqWKd5C_c7rpKKelGvmYi0HjToUSj=w1200|https://lh3.googleusercontent.com/pw"&amp;"/AP1GczOtFYqBbf5tO79fs0Sl5kazLabg48t_2EhXllv4M3bnhdmjKtACr_M-7OKCJHH4g5UK0M_RsDKW2G7jHxWwoOjlQbM7Veb1IAbMcyQOBsVp0L8GetIc=w1200|https://lh3.googleusercontent.com/pw/AP1GczM7lTw1cWR1tAGLyo-L3mEaK_8GbbvyZCyDbH394G0ioKjc0vVcZtxnIwvFZB9YCtw16wvypZdDkKDyyUYJiX"&amp;"BYyjWOXJBkWj1VBF_j5MYVYJc-4V1t=w1200|https://lh3.googleusercontent.com/pw/AP1GczP4jSYkzXEC4nJnqY9kkPuWWfxChHzSryWcEVisCajvQineE-qxO3xmxTRoPsCKaJSwP_lGPgsBMPxUFSVx2bMLSi0irHxhlI2iL0IVdc69VfdTanxy=w1200|https://lh3.googleusercontent.com/pw/AP1GczMb1dwtTY5AO"&amp;"A2hktKFbvt2leTBLT40bVE4o6Q9hjCLgFi0HQp6jgIeBvAbEZRHzvDEGqKIBj73CuNsyYJYH357tKa15HzlZZ-rJCBuPZzWLb4HoL10=w1200|https://lh3.googleusercontent.com/pw/AP1GczMUDj-2qaIf6b1rXrOz3iQHaZObL-1N3qDGKh7bTs41hShztV3f0-0xALzhm4AFKppCJwH0Lo0MIGLJ63_zSwIOwvfXyTVrLqGcg9IR"&amp;"7Rh_WjeT5A8D=w1200|https://lh3.googleusercontent.com/pw/AP1GczMM_HgzMbgHIeE8lrbYDNmUuKN7ehJm6bJhe3nTZf24NLogJZ2XGipv1u7OK-gFlhNDKwTWeWYQaoLTublWMcgNA3ZmziLp4Y4eoRDv2GA8g-BT06eg=w1200")</f>
        <v>https://lh3.googleusercontent.com/pw/AP1GczOhL03B542QClrh0IdlAslFcqVWdOFeqWH8kAdLo9wTY-5k2wej80wfrLF2yt3PuCJE6F6nW86f1qkyvRPllF_ldc6P-NagWaatsKiDbLHYmDYWE7Qt=w1200|https://lh3.googleusercontent.com/pw/AP1GczMzu9dAT_cO1Ee0LgHw_4QepLPjguxn5VyYHmHtjU0nfTqTUbfEoG62yjrjCxba2lgRR8fbLzzQLU0q9aLXxXefLpC-LYWiqKcZ3LtExve_CuGEzsn0=w1200|https://lh3.googleusercontent.com/pw/AP1GczOxVs99NEVOmEtBfKX8Xgbpf4fhur9qGAZJRWktyKTn40NvyS7eBq-nipJJYUUL_Rt5tyJwrUtmNYCix01Vr1hoDVagkCMkbPiuRgHNRaaU56q5QLry=w1200|https://lh3.googleusercontent.com/pw/AP1GczN2EEEKqKrZFr4UNIoRwl6kEWqOTxm8fdNtMmWabk0UfvZguO3WoBGJ9w615dw9XLQe90Oxg0LHCut1nVmZI-YpYaXBzGGsTL57UTPcgbf7bxhftrHh=w1200|https://lh3.googleusercontent.com/pw/AP1GczNX17-D7K8bW5cWINOhG68Tt-8GUhy0DErjkQVnT9WHPaCXoR3m7wJBcr9f0RA1FLjcWodMTir006J9St8r9-XSrNqvZsHC6WpZ0NpQQCyJpcEv2X-C=w1200|https://lh3.googleusercontent.com/pw/AP1GczMwFY83Dg2ns2EeEpqN0ai6deSyXpAfHnoDNzdi6f4WyZl1a-TKJjMA7LbRT-xAg8jPOhGyVpfhVUEWUtsN3mHaqWKd5C_c7rpKKelGvmYi0HjToUSj=w1200|https://lh3.googleusercontent.com/pw/AP1GczOtFYqBbf5tO79fs0Sl5kazLabg48t_2EhXllv4M3bnhdmjKtACr_M-7OKCJHH4g5UK0M_RsDKW2G7jHxWwoOjlQbM7Veb1IAbMcyQOBsVp0L8GetIc=w1200|https://lh3.googleusercontent.com/pw/AP1GczM7lTw1cWR1tAGLyo-L3mEaK_8GbbvyZCyDbH394G0ioKjc0vVcZtxnIwvFZB9YCtw16wvypZdDkKDyyUYJiXBYyjWOXJBkWj1VBF_j5MYVYJc-4V1t=w1200|https://lh3.googleusercontent.com/pw/AP1GczP4jSYkzXEC4nJnqY9kkPuWWfxChHzSryWcEVisCajvQineE-qxO3xmxTRoPsCKaJSwP_lGPgsBMPxUFSVx2bMLSi0irHxhlI2iL0IVdc69VfdTanxy=w1200|https://lh3.googleusercontent.com/pw/AP1GczMb1dwtTY5AOA2hktKFbvt2leTBLT40bVE4o6Q9hjCLgFi0HQp6jgIeBvAbEZRHzvDEGqKIBj73CuNsyYJYH357tKa15HzlZZ-rJCBuPZzWLb4HoL10=w1200|https://lh3.googleusercontent.com/pw/AP1GczMUDj-2qaIf6b1rXrOz3iQHaZObL-1N3qDGKh7bTs41hShztV3f0-0xALzhm4AFKppCJwH0Lo0MIGLJ63_zSwIOwvfXyTVrLqGcg9IR7Rh_WjeT5A8D=w1200|https://lh3.googleusercontent.com/pw/AP1GczMM_HgzMbgHIeE8lrbYDNmUuKN7ehJm6bJhe3nTZf24NLogJZ2XGipv1u7OK-gFlhNDKwTWeWYQaoLTublWMcgNA3ZmziLp4Y4eoRDv2GA8g-BT06eg=w1200</v>
      </c>
      <c r="AJ512" s="46"/>
      <c r="AK512" s="46"/>
      <c r="AL512" s="46"/>
      <c r="AM512" s="46"/>
      <c r="AN512" s="46"/>
      <c r="AO512" s="46"/>
      <c r="AP512" s="46"/>
      <c r="AQ512" s="46"/>
      <c r="AR512" s="46"/>
      <c r="AS512" s="46"/>
      <c r="AT512" s="46"/>
      <c r="AU512" s="46"/>
      <c r="AV512" s="46"/>
      <c r="AW512" s="46"/>
      <c r="AX512" s="46"/>
      <c r="AY512" s="46"/>
      <c r="AZ512" s="46"/>
      <c r="BA512" s="46"/>
      <c r="BB512" s="46"/>
      <c r="BC512" s="46"/>
      <c r="BD512" s="46"/>
      <c r="BE512" s="46"/>
      <c r="BF512" s="46"/>
      <c r="BG512" s="46"/>
      <c r="BH512" s="46"/>
      <c r="BI512" s="46"/>
      <c r="BJ512" s="46"/>
      <c r="BK512" s="46"/>
      <c r="BL512" s="46"/>
      <c r="BM512" s="46"/>
      <c r="BN512" s="46"/>
      <c r="BO512" s="46"/>
      <c r="BP512" s="46"/>
      <c r="BQ512" s="46"/>
      <c r="BR512" s="46"/>
      <c r="BS512" s="46"/>
      <c r="BT512" s="46"/>
      <c r="BU512" s="46"/>
      <c r="BV512" s="46"/>
      <c r="BW512" s="46"/>
      <c r="BX512" s="46"/>
      <c r="BY512" s="46"/>
      <c r="BZ512" s="46"/>
      <c r="CA512" s="46"/>
      <c r="CB512" s="46"/>
      <c r="CC512" s="46"/>
    </row>
    <row r="513">
      <c r="A513" s="87" t="str">
        <f>IFERROR(__xludf.DUMMYFUNCTION("""COMPUTED_VALUE"""),"836")</f>
        <v>836</v>
      </c>
      <c r="B513" s="46" t="str">
        <f>IFERROR(__xludf.DUMMYFUNCTION("""COMPUTED_VALUE"""),"Apartamento en conjunto Residencial Altos de la Colina - Oriente")</f>
        <v>Apartamento en conjunto Residencial Altos de la Colina - Oriente</v>
      </c>
      <c r="C513" s="46" t="str">
        <f>IFERROR(__xludf.DUMMYFUNCTION("""COMPUTED_VALUE"""),"Apartamento en conjunto")</f>
        <v>Apartamento en conjunto</v>
      </c>
      <c r="D513" s="46"/>
      <c r="E513" s="46" t="str">
        <f>IFERROR(__xludf.DUMMYFUNCTION("""COMPUTED_VALUE"""),"Conjunto Residencial Altos de la Colina")</f>
        <v>Conjunto Residencial Altos de la Colina</v>
      </c>
      <c r="F513" s="90">
        <f>IFERROR(__xludf.DUMMYFUNCTION("""COMPUTED_VALUE"""),4.5E8)</f>
        <v>450000000</v>
      </c>
      <c r="G513" s="46" t="str">
        <f>IFERROR(__xludf.DUMMYFUNCTION("""COMPUTED_VALUE"""),"$400'000.000 a $500'000.000")</f>
        <v>$400'000.000 a $500'000.000</v>
      </c>
      <c r="H513" s="46"/>
      <c r="I513" s="46"/>
      <c r="J513" s="46" t="str">
        <f>IFERROR(__xludf.DUMMYFUNCTION("""COMPUTED_VALUE"""),"Oriente")</f>
        <v>Oriente</v>
      </c>
      <c r="K513" s="87" t="str">
        <f>IFERROR(__xludf.DUMMYFUNCTION("""COMPUTED_VALUE"""),"5")</f>
        <v>5</v>
      </c>
      <c r="L513" s="46">
        <f>IFERROR(__xludf.DUMMYFUNCTION("""COMPUTED_VALUE"""),3.0)</f>
        <v>3</v>
      </c>
      <c r="M513" s="46"/>
      <c r="N513" s="46">
        <f>IFERROR(__xludf.DUMMYFUNCTION("""COMPUTED_VALUE"""),2.0)</f>
        <v>2</v>
      </c>
      <c r="O513" s="46">
        <f>IFERROR(__xludf.DUMMYFUNCTION("""COMPUTED_VALUE"""),1.0)</f>
        <v>1</v>
      </c>
      <c r="P513" s="46">
        <f>IFERROR(__xludf.DUMMYFUNCTION("""COMPUTED_VALUE"""),5.0)</f>
        <v>5</v>
      </c>
      <c r="Q513" s="92">
        <f>IFERROR(__xludf.DUMMYFUNCTION("""COMPUTED_VALUE"""),85.0)</f>
        <v>85</v>
      </c>
      <c r="R513" s="92">
        <f>IFERROR(__xludf.DUMMYFUNCTION("""COMPUTED_VALUE"""),88.0)</f>
        <v>88</v>
      </c>
      <c r="S513" s="87" t="str">
        <f>IFERROR(__xludf.DUMMYFUNCTION("""COMPUTED_VALUE""")," ")</f>
        <v> </v>
      </c>
      <c r="T513" s="46" t="str">
        <f>IFERROR(__xludf.DUMMYFUNCTION("""COMPUTED_VALUE"""),"Neiva")</f>
        <v>Neiva</v>
      </c>
      <c r="U513" s="87" t="str">
        <f>IFERROR(__xludf.DUMMYFUNCTION("""COMPUTED_VALUE"""),"5")</f>
        <v>5</v>
      </c>
      <c r="V513" s="46" t="str">
        <f>IFERROR(__xludf.DUMMYFUNCTION("""COMPUTED_VALUE"""),"5to.")</f>
        <v>5to.</v>
      </c>
      <c r="W513" s="46"/>
      <c r="X513" s="46">
        <f>IFERROR(__xludf.DUMMYFUNCTION("""COMPUTED_VALUE"""),3.0)</f>
        <v>3</v>
      </c>
      <c r="Y513" s="46" t="str">
        <f>IFERROR(__xludf.DUMMYFUNCTION("""COMPUTED_VALUE"""),"Social")</f>
        <v>Social</v>
      </c>
      <c r="Z513" s="90">
        <f>IFERROR(__xludf.DUMMYFUNCTION("""COMPUTED_VALUE"""),513500.0)</f>
        <v>513500</v>
      </c>
      <c r="AA513" s="33" t="str">
        <f>IFERROR(__xludf.DUMMYFUNCTION("""COMPUTED_VALUE"""),"No aplica")</f>
        <v>No aplica</v>
      </c>
      <c r="AB513" s="96" t="str">
        <f>IFERROR(__xludf.DUMMYFUNCTION("""COMPUTED_VALUE"""),"https://photos.app.goo.gl/tqngk5eCuvLxzNaJ8")</f>
        <v>https://photos.app.goo.gl/tqngk5eCuvLxzNaJ8</v>
      </c>
      <c r="AC513" s="46" t="str">
        <f>IFERROR(__xludf.DUMMYFUNCTION("""COMPUTED_VALUE"""),"Apartamento de tres alcobas con closet, principal con baño privado, baño social, cocina tipo americano semiintegral, área de lavandería, balcón, deposito y parqueadero.")</f>
        <v>Apartamento de tres alcobas con closet, principal con baño privado, baño social, cocina tipo americano semiintegral, área de lavandería, balcón, deposito y parqueadero.</v>
      </c>
      <c r="AD513" s="46" t="str">
        <f>IFERROR(__xludf.DUMMYFUNCTION("""COMPUTED_VALUE"""),"Áreas sociales, piscina, parque para niños, salón social, gym, vigilancia. Cercano a Colegios privados, centro comercial, Clínica Belo Horizonte.")</f>
        <v>Áreas sociales, piscina, parque para niños, salón social, gym, vigilancia. Cercano a Colegios privados, centro comercial, Clínica Belo Horizonte.</v>
      </c>
      <c r="AE513" s="46"/>
      <c r="AF513" s="46" t="str">
        <f>IFERROR(__xludf.DUMMYFUNCTION("""COMPUTED_VALUE"""),"integral")</f>
        <v>integral</v>
      </c>
      <c r="AG513" s="46"/>
      <c r="AH513" s="46" t="str">
        <f>IFERROR(__xludf.DUMMYFUNCTION("""COMPUTED_VALUE"""),"Aliado")</f>
        <v>Aliado</v>
      </c>
      <c r="AI513" s="92" t="str">
        <f>IFERROR(__xludf.DUMMYFUNCTION("""COMPUTED_VALUE"""),"https://lh3.googleusercontent.com/pw/AP1GczMdlcQIn5abnOn6VtrX802yg4TWYkhHcamqUhkxvWd4eQwD04niLub0izcjySNbTH15fvJqlyTYbC8Q8GBNwoBJ6DOofR1qgTC1gmo80PSVoPZpO55M=w1200|https://lh3.googleusercontent.com/pw/AP1GczNzFjudyEyb1IaHdjkxFEO2fC8c5KW4230e28BSqK9jAIYqHL"&amp;"M-r3Kodab4g5Xmc9dN0SUTXxP-veNqqePqwck6JHq9lAHPaoW4FEyqWZcJXeLIbGIk=w1200|https://lh3.googleusercontent.com/pw/AP1GczMELbcQC1pl6LN4h2nudJ7MXEgzB5dekEn1gGgh0WkUQYJterWtBsU5WdLjCvt_PRvrut9eOfHWqHN94Dgv8ieYAM6BK27VgV0NbmK1iKP65vt3x7dc=w1200|https://lh3.google"&amp;"usercontent.com/pw/AP1GczPBhX4yo1ptILVb98Eg894Nz1p8hXpNqdexb3JuqQgZbsoXJTCTSuz9tnfgfvSYX85sFMziPmy0tV_TbKxbndgE2BMg953447lZ2sOJ7oq6RXETJ7Bw=w1200|https://lh3.googleusercontent.com/pw/AP1GczO8aWfcavKcXe_8RKIwpdKy5cjOH_iQF5wZu1apuIrW01I5KX2sNqDGu7Q09Rh0Bbtc"&amp;"zSfbdVgeB3iZo3IU5UmqBRWmvdMk_nsyV1TUt37TPB9HROwO=w1200|https://lh3.googleusercontent.com/pw/AP1GczNwzrlN5hr0EgMiggFlHSKQSUvtS0dDl-DFRJRU7kLxZtydHGAlLuY_y0U-e3IwI7Relnuxl4AI78O5QvDFA7EpsyIhZXcslD4nxsBlNlSEyW4pa9M2=w1200|https://lh3.googleusercontent.com/pw"&amp;"/AP1GczNf1NQ-sg1a-_lXjVDAddKjcMEgJAxr9dn9MtOlz1kmhSiQ8zpUWWW9mE5RDRVxU7K-Gj9CmY56u02YJYlHoPdG6EdTGAk7xh4MrD48uJA30bVZM2_Y=w1200|https://lh3.googleusercontent.com/pw/AP1GczOF5bd5xpbbPX5iVnj_Br-9AuveFoRwk_fktdhStG-pzWCn_icPI2auWgFUbeZ0v8IBvBrGavfLMz-FjmuZmw"&amp;"iFa7CfLY-DJ3lx1wiOLRdYXxZ6MUt7=w1200|https://lh3.googleusercontent.com/pw/AP1GczOnrn5J6LkIgtjM6CieK08Z7uK3TRrKxSY3bH4YgC8iDxRUTFwdbsNRYuyhA9aoj7oTcCyzG1ro3CS_GLFwaHCJWkE_WsOK0uwKOFWE_QENS-9fP3_8=w1200|https://lh3.googleusercontent.com/pw/AP1GczM46rP_G84uk"&amp;"B3URq6eWj4r68lil6KOyCydIKM1SgozuyCNXZfcw_jr3isw-QcGBUyrL4v2WCd9wIo_1PrfZDiX4s8JgP0g9yfWjObxLao75oMSUVG2=w1200")</f>
        <v>https://lh3.googleusercontent.com/pw/AP1GczMdlcQIn5abnOn6VtrX802yg4TWYkhHcamqUhkxvWd4eQwD04niLub0izcjySNbTH15fvJqlyTYbC8Q8GBNwoBJ6DOofR1qgTC1gmo80PSVoPZpO55M=w1200|https://lh3.googleusercontent.com/pw/AP1GczNzFjudyEyb1IaHdjkxFEO2fC8c5KW4230e28BSqK9jAIYqHLM-r3Kodab4g5Xmc9dN0SUTXxP-veNqqePqwck6JHq9lAHPaoW4FEyqWZcJXeLIbGIk=w1200|https://lh3.googleusercontent.com/pw/AP1GczMELbcQC1pl6LN4h2nudJ7MXEgzB5dekEn1gGgh0WkUQYJterWtBsU5WdLjCvt_PRvrut9eOfHWqHN94Dgv8ieYAM6BK27VgV0NbmK1iKP65vt3x7dc=w1200|https://lh3.googleusercontent.com/pw/AP1GczPBhX4yo1ptILVb98Eg894Nz1p8hXpNqdexb3JuqQgZbsoXJTCTSuz9tnfgfvSYX85sFMziPmy0tV_TbKxbndgE2BMg953447lZ2sOJ7oq6RXETJ7Bw=w1200|https://lh3.googleusercontent.com/pw/AP1GczO8aWfcavKcXe_8RKIwpdKy5cjOH_iQF5wZu1apuIrW01I5KX2sNqDGu7Q09Rh0BbtczSfbdVgeB3iZo3IU5UmqBRWmvdMk_nsyV1TUt37TPB9HROwO=w1200|https://lh3.googleusercontent.com/pw/AP1GczNwzrlN5hr0EgMiggFlHSKQSUvtS0dDl-DFRJRU7kLxZtydHGAlLuY_y0U-e3IwI7Relnuxl4AI78O5QvDFA7EpsyIhZXcslD4nxsBlNlSEyW4pa9M2=w1200|https://lh3.googleusercontent.com/pw/AP1GczNf1NQ-sg1a-_lXjVDAddKjcMEgJAxr9dn9MtOlz1kmhSiQ8zpUWWW9mE5RDRVxU7K-Gj9CmY56u02YJYlHoPdG6EdTGAk7xh4MrD48uJA30bVZM2_Y=w1200|https://lh3.googleusercontent.com/pw/AP1GczOF5bd5xpbbPX5iVnj_Br-9AuveFoRwk_fktdhStG-pzWCn_icPI2auWgFUbeZ0v8IBvBrGavfLMz-FjmuZmwiFa7CfLY-DJ3lx1wiOLRdYXxZ6MUt7=w1200|https://lh3.googleusercontent.com/pw/AP1GczOnrn5J6LkIgtjM6CieK08Z7uK3TRrKxSY3bH4YgC8iDxRUTFwdbsNRYuyhA9aoj7oTcCyzG1ro3CS_GLFwaHCJWkE_WsOK0uwKOFWE_QENS-9fP3_8=w1200|https://lh3.googleusercontent.com/pw/AP1GczM46rP_G84ukB3URq6eWj4r68lil6KOyCydIKM1SgozuyCNXZfcw_jr3isw-QcGBUyrL4v2WCd9wIo_1PrfZDiX4s8JgP0g9yfWjObxLao75oMSUVG2=w1200</v>
      </c>
      <c r="AJ513" s="46"/>
      <c r="AK513" s="46"/>
      <c r="AL513" s="46"/>
      <c r="AM513" s="46"/>
      <c r="AN513" s="46"/>
      <c r="AO513" s="46"/>
      <c r="AP513" s="46"/>
      <c r="AQ513" s="46"/>
      <c r="AR513" s="46"/>
      <c r="AS513" s="46"/>
      <c r="AT513" s="46"/>
      <c r="AU513" s="46"/>
      <c r="AV513" s="46"/>
      <c r="AW513" s="46"/>
      <c r="AX513" s="46"/>
      <c r="AY513" s="46"/>
      <c r="AZ513" s="46"/>
      <c r="BA513" s="46"/>
      <c r="BB513" s="46"/>
      <c r="BC513" s="46"/>
      <c r="BD513" s="46"/>
      <c r="BE513" s="46"/>
      <c r="BF513" s="46"/>
      <c r="BG513" s="46"/>
      <c r="BH513" s="46"/>
      <c r="BI513" s="46"/>
      <c r="BJ513" s="46"/>
      <c r="BK513" s="46"/>
      <c r="BL513" s="46"/>
      <c r="BM513" s="46"/>
      <c r="BN513" s="46"/>
      <c r="BO513" s="46"/>
      <c r="BP513" s="46"/>
      <c r="BQ513" s="46"/>
      <c r="BR513" s="46"/>
      <c r="BS513" s="46"/>
      <c r="BT513" s="46"/>
      <c r="BU513" s="46"/>
      <c r="BV513" s="46"/>
      <c r="BW513" s="46"/>
      <c r="BX513" s="46"/>
      <c r="BY513" s="46"/>
      <c r="BZ513" s="46"/>
      <c r="CA513" s="46"/>
      <c r="CB513" s="46"/>
      <c r="CC513" s="46"/>
    </row>
    <row r="514">
      <c r="A514" s="46">
        <f>IFERROR(__xludf.DUMMYFUNCTION("""COMPUTED_VALUE"""),832.0)</f>
        <v>832</v>
      </c>
      <c r="B514" s="46" t="str">
        <f>IFERROR(__xludf.DUMMYFUNCTION("""COMPUTED_VALUE"""),"Casa con local y 2 apartaestudios en barrio Las Brisas")</f>
        <v>Casa con local y 2 apartaestudios en barrio Las Brisas</v>
      </c>
      <c r="C514" s="46" t="str">
        <f>IFERROR(__xludf.DUMMYFUNCTION("""COMPUTED_VALUE"""),"Casa rentable")</f>
        <v>Casa rentable</v>
      </c>
      <c r="D514" s="46" t="str">
        <f>IFERROR(__xludf.DUMMYFUNCTION("""COMPUTED_VALUE"""),"Las Brisas")</f>
        <v>Las Brisas</v>
      </c>
      <c r="E514" s="46"/>
      <c r="F514" s="90">
        <f>IFERROR(__xludf.DUMMYFUNCTION("""COMPUTED_VALUE"""),4.5E8)</f>
        <v>450000000</v>
      </c>
      <c r="G514" s="46" t="str">
        <f>IFERROR(__xludf.DUMMYFUNCTION("""COMPUTED_VALUE"""),"$400'000.000 a $500'000.000")</f>
        <v>$400'000.000 a $500'000.000</v>
      </c>
      <c r="H514" s="46"/>
      <c r="I514" s="46"/>
      <c r="J514" s="46" t="str">
        <f>IFERROR(__xludf.DUMMYFUNCTION("""COMPUTED_VALUE"""),"Oriente")</f>
        <v>Oriente</v>
      </c>
      <c r="K514" s="46">
        <f>IFERROR(__xludf.DUMMYFUNCTION("""COMPUTED_VALUE"""),7.0)</f>
        <v>7</v>
      </c>
      <c r="L514" s="46">
        <f>IFERROR(__xludf.DUMMYFUNCTION("""COMPUTED_VALUE"""),6.0)</f>
        <v>6</v>
      </c>
      <c r="M514" s="46"/>
      <c r="N514" s="46">
        <f>IFERROR(__xludf.DUMMYFUNCTION("""COMPUTED_VALUE"""),8.0)</f>
        <v>8</v>
      </c>
      <c r="O514" s="46">
        <f>IFERROR(__xludf.DUMMYFUNCTION("""COMPUTED_VALUE"""),2.0)</f>
        <v>2</v>
      </c>
      <c r="P514" s="46">
        <f>IFERROR(__xludf.DUMMYFUNCTION("""COMPUTED_VALUE"""),3.0)</f>
        <v>3</v>
      </c>
      <c r="Q514" s="92">
        <f>IFERROR(__xludf.DUMMYFUNCTION("""COMPUTED_VALUE"""),349.0)</f>
        <v>349</v>
      </c>
      <c r="R514" s="92">
        <f>IFERROR(__xludf.DUMMYFUNCTION("""COMPUTED_VALUE"""),146.23)</f>
        <v>146.23</v>
      </c>
      <c r="S514" s="46"/>
      <c r="T514" s="46" t="str">
        <f>IFERROR(__xludf.DUMMYFUNCTION("""COMPUTED_VALUE"""),"Neiva")</f>
        <v>Neiva</v>
      </c>
      <c r="U514" s="46">
        <f>IFERROR(__xludf.DUMMYFUNCTION("""COMPUTED_VALUE"""),4.0)</f>
        <v>4</v>
      </c>
      <c r="V514" s="46" t="str">
        <f>IFERROR(__xludf.DUMMYFUNCTION("""COMPUTED_VALUE"""),"Esquinera")</f>
        <v>Esquinera</v>
      </c>
      <c r="W514" s="46"/>
      <c r="X514" s="46">
        <f>IFERROR(__xludf.DUMMYFUNCTION("""COMPUTED_VALUE"""),1.0)</f>
        <v>1</v>
      </c>
      <c r="Y514" s="46" t="str">
        <f>IFERROR(__xludf.DUMMYFUNCTION("""COMPUTED_VALUE"""),"No tiene")</f>
        <v>No tiene</v>
      </c>
      <c r="Z514" s="46"/>
      <c r="AA514" s="33" t="str">
        <f>IFERROR(__xludf.DUMMYFUNCTION("""COMPUTED_VALUE"""),"No aplica")</f>
        <v>No aplica</v>
      </c>
      <c r="AB514" s="96" t="str">
        <f>IFERROR(__xludf.DUMMYFUNCTION("""COMPUTED_VALUE"""),"https://photos.app.goo.gl/uuKPYwknuxkH182j9")</f>
        <v>https://photos.app.goo.gl/uuKPYwknuxkH182j9</v>
      </c>
      <c r="AC514" s="46" t="str">
        <f>IFERROR(__xludf.DUMMYFUNCTION("""COMPUTED_VALUE"""),"Casa comercial en el oriente de Neiva, barrio las Brisas ideal para inversionistas que buscan rentabilidad y ubicación estratégica. La vivienda principal ofrece sala, cocina y en el segundo nivel cuatro habitaciones, la principal con clóset y baño privado"&amp;" con tina, además de baño social en el tercer piso disfruta de amplia terraza, baño, bodega y zona de lavado. En el primer nivel cuenta con local comercial independiente, garaje para dos vehículos y dos apartaestudios, uno terminado y otro en obra gris. C"&amp;"erca de la Universidad Corhuila, colegios y a solo 10 minutos del centro, cerca a Condominio Punta Del Este, institución Educativa Escuela Normal Superior de Neiva, Corporación Universitaria del Huila - Sede Prado Alto, Frupys Express, Agencia Nacional de"&amp;" Tierras - UGT Huila, TORRE 8-34, Centro Comercial Zaragoza, CAI de Ipanema comuna 7.")</f>
        <v>Casa comercial en el oriente de Neiva, barrio las Brisas ideal para inversionistas que buscan rentabilidad y ubicación estratégica. La vivienda principal ofrece sala, cocina y en el segundo nivel cuatro habitaciones, la principal con clóset y baño privado con tina, además de baño social en el tercer piso disfruta de amplia terraza, baño, bodega y zona de lavado. En el primer nivel cuenta con local comercial independiente, garaje para dos vehículos y dos apartaestudios, uno terminado y otro en obra gris. Cerca de la Universidad Corhuila, colegios y a solo 10 minutos del centro, cerca a Condominio Punta Del Este, institución Educativa Escuela Normal Superior de Neiva, Corporación Universitaria del Huila - Sede Prado Alto, Frupys Express, Agencia Nacional de Tierras - UGT Huila, TORRE 8-34, Centro Comercial Zaragoza, CAI de Ipanema comuna 7.</v>
      </c>
      <c r="AD514" s="46" t="str">
        <f>IFERROR(__xludf.DUMMYFUNCTION("""COMPUTED_VALUE"""),"Casa con terraza, local y 2 apartaestudios en barrio Las Brisas, diseñada para inversionistas que deseen poner a producir el dinero.")</f>
        <v>Casa con terraza, local y 2 apartaestudios en barrio Las Brisas, diseñada para inversionistas que deseen poner a producir el dinero.</v>
      </c>
      <c r="AE514" s="46"/>
      <c r="AF514" s="46" t="str">
        <f>IFERROR(__xludf.DUMMYFUNCTION("""COMPUTED_VALUE"""),"semi-integral")</f>
        <v>semi-integral</v>
      </c>
      <c r="AG514" s="46"/>
      <c r="AH514" s="46" t="str">
        <f>IFERROR(__xludf.DUMMYFUNCTION("""COMPUTED_VALUE"""),"Aliado")</f>
        <v>Aliado</v>
      </c>
      <c r="AI514" s="46" t="str">
        <f>IFERROR(__xludf.DUMMYFUNCTION("""COMPUTED_VALUE"""),"https://lh3.googleusercontent.com/pw/AP1GczOrBcuIDvVnMoONI0iAfg4S-3h7mumiVEZJxBqKMQ6V6tu8_jnBPJO2k7yLHIGFKajl_JJTrjsAnWtcUugU-ekCGnftklOKy7tfLTU7jr4tLQOT2u_2=w1200|https://lh3.googleusercontent.com/pw/AP1GczOmi1e-SKnITT-iJi6D-XLpGzB_VnXbDh7ufaKfdD3psUVHRy"&amp;"ROdv-eFSjd_rqxs7Asq22jkeAomIdU_CwujL8HThJQmv6L_j2AXfq4GwZOR4PPr6uV=w1200|https://lh3.googleusercontent.com/pw/AP1GczMXsaZAA4OhGhZ58U4V0D5d-6Z9XJF4znuxKLqQKCC4IV4TjVGJEZ2FWkX5IIJmRWKwtrhcZBy0MxanwSVQeDXq5svNz4KI7zqZC_h81v-l1KgCbu6B=w1200|https://lh3.google"&amp;"usercontent.com/pw/AP1GczN1V6B6ClVL3T8YbK1_mEW8TpktmyA93xk8UZlNtcgngpIKDo9DlMZT_SMcfo6ihSP1rf5zRyHIpSxOTN3OdA0whQoGcJhs4gqKawKnBThSY2k-BYjd=w1200|https://lh3.googleusercontent.com/pw/AP1GczN27OW8DVqDR3i-JYw1OiRLzX67unU09VaXU_36dXftIyJdIspzl7-pXq_O3rwrKgBc"&amp;"-73RwDctfZ6zt_isJlab9XoFnAy_MUuQItuC2gqGROpEdMYq=w1200|https://lh3.googleusercontent.com/pw/AP1GczPbuyeYOfghHZHLXQ0LHcCgr-i-QJcxHO4cl36Js6ufRG-mqnC7mN2ooCPtXUT6b33eTM9TtJHxTS_s_2vSnTjFIj2esWrfk503zlmtB0S6mbOhU8QM=w1200|https://lh3.googleusercontent.com/pw"&amp;"/AP1GczOGT0f94eiZQu48C01iYPc9vPjgiS5PGogueregi61xHMFPJgXZ9L_mu7D8_Zu0y1hTb9rn6VpGbS7dra-gEM7KF9-y6F7PGJyxdh2dedIIRCiwco1_=w1200|https://lh3.googleusercontent.com/pw/AP1GczNsosDl9_mPcOxCdS1MilUUB5mwwgzEnx4WHfZxY94bQJO3kzaBMVnt8aQfxluYnGuc32dU9AOurG4dW0uJrx"&amp;"CUvhyzMwg8ksFi_nsQoIWYGm5XOcXF=w1200|https://lh3.googleusercontent.com/pw/AP1GczMtsSP7aehEwSdzZq4x7l8qszaPiql6QWNryN7VKR8eTZ3imvKoISbpam2xvUTSz71-__4P7VTVT_aPuxX_HRzLsLYTp41PacwsmCF6POqQA4hO9bua=w1200|https://lh3.googleusercontent.com/pw/AP1GczM_sApSoN4iP"&amp;"7siybw5VVgOTIfqBAcgKShmAMyHmp31rMSL6kw31EtrQ5Z4F33PBTpJZq1wKudlbMrlq45CwCYxhUD7nt5VqrpfsOxfa9tItBD8SHG0=w1200|https://lh3.googleusercontent.com/pw/AP1GczMqSE08fqn4_El-ekxDFD1M_RZBY4c6htKWmu7R5PwdS8Mla9cgGGSCBOJ3oDWwrarkgn85aH5f-C8Cegwy1rk4RteZ5lfsvxkia8jo"&amp;"52G7E2R0J-tM=w1200|https://lh3.googleusercontent.com/pw/AP1GczMaPANXpj56um_yzta8Kx6YfDNXkNGTH2NGNlWNUgyIA77Bb0orE1x8Uu7oD7d5JPd16avriFqkKSkBBY2j59pL54xNQkhWXouUZd-OVbyM4rlmJTFU=w1200|https://lh3.googleusercontent.com/pw/AP1GczOcEW4UWZ3WSRM0JOexjXXROoGhTPD"&amp;"jUsLxHLsnU65jJ5Nkbl-xjhfbuL4m-RteYCTdX8GxMDX5o48CH965Bo9jfeG-TcF4w8i6mRb6nJNhBUg8r213=w1200|https://lh3.googleusercontent.com/pw/AP1GczNQrtWPFrU3oNxRr5dkBXvuDsXIPWOskMJ5cdvyg0UDUxTYd31Kr38X34zaZ6GSIW_qRDYuqUoBwemJTMrjZI7l_Y1vX6RT5JJrNewV8yze4DbZAa4s=w1200"&amp;"|https://lh3.googleusercontent.com/pw/AP1GczNM3I9bi04qC4P98gZGigKaMky9MYQEdZyE1sAeBAd3reqG5MCj80PEWe4iReAPpMuGvda09-goNA4rO7b5RY5nXyDx1269v2i5BUj6Xh3ciJc0vBcE=w1200|https://lh3.googleusercontent.com/pw/AP1GczNvB2Y_fNLZ5GsrxcM3ZT5zN9vqWO37Z6D44K9WCwzMlaHn6"&amp;"NlUPsyZkpcy6M1D6ZdvKdYcxUnMZoHnILB9h_NzB9yYjCKEIitSSVafQJSI4G0KP4Jh=w1200|https://lh3.googleusercontent.com/pw/AP1GczM-ywi90YBdJO1deqocTVB1vD3FXXIWk4LvX9MpXa1-88-hpP6DhQ2LYJ0atUFMm7n9aS6aGxEn2RtF0zpS64ogWuDrCDVcbCNrnTDzHiYNCsG_QtuX=w1200|https://lh3.googl"&amp;"eusercontent.com/pw/AP1GczMPk33Z-Fqm125TrG5JHM2m60hd53ZESSnfPrF9DuOo6u-5qjitlS_alxbRSccEThycKJTRUxDl90358_FWUdVcGX2CKGQB2qUsICmjm4aPIRIZ7Ie0=w1200|https://lh3.googleusercontent.com/pw/AP1GczMpNjcWp5oFA5CZrJTXVjBaYDMuam6otPE-L7suRIzM53Qku5xPXvjeFcI0tsuHcgC"&amp;"fljRLEQi9UKEI-8vGaya9VubyYyBpka1yP-DJTQi18rL6FDd3=w1200")</f>
        <v>https://lh3.googleusercontent.com/pw/AP1GczOrBcuIDvVnMoONI0iAfg4S-3h7mumiVEZJxBqKMQ6V6tu8_jnBPJO2k7yLHIGFKajl_JJTrjsAnWtcUugU-ekCGnftklOKy7tfLTU7jr4tLQOT2u_2=w1200|https://lh3.googleusercontent.com/pw/AP1GczOmi1e-SKnITT-iJi6D-XLpGzB_VnXbDh7ufaKfdD3psUVHRyROdv-eFSjd_rqxs7Asq22jkeAomIdU_CwujL8HThJQmv6L_j2AXfq4GwZOR4PPr6uV=w1200|https://lh3.googleusercontent.com/pw/AP1GczMXsaZAA4OhGhZ58U4V0D5d-6Z9XJF4znuxKLqQKCC4IV4TjVGJEZ2FWkX5IIJmRWKwtrhcZBy0MxanwSVQeDXq5svNz4KI7zqZC_h81v-l1KgCbu6B=w1200|https://lh3.googleusercontent.com/pw/AP1GczN1V6B6ClVL3T8YbK1_mEW8TpktmyA93xk8UZlNtcgngpIKDo9DlMZT_SMcfo6ihSP1rf5zRyHIpSxOTN3OdA0whQoGcJhs4gqKawKnBThSY2k-BYjd=w1200|https://lh3.googleusercontent.com/pw/AP1GczN27OW8DVqDR3i-JYw1OiRLzX67unU09VaXU_36dXftIyJdIspzl7-pXq_O3rwrKgBc-73RwDctfZ6zt_isJlab9XoFnAy_MUuQItuC2gqGROpEdMYq=w1200|https://lh3.googleusercontent.com/pw/AP1GczPbuyeYOfghHZHLXQ0LHcCgr-i-QJcxHO4cl36Js6ufRG-mqnC7mN2ooCPtXUT6b33eTM9TtJHxTS_s_2vSnTjFIj2esWrfk503zlmtB0S6mbOhU8QM=w1200|https://lh3.googleusercontent.com/pw/AP1GczOGT0f94eiZQu48C01iYPc9vPjgiS5PGogueregi61xHMFPJgXZ9L_mu7D8_Zu0y1hTb9rn6VpGbS7dra-gEM7KF9-y6F7PGJyxdh2dedIIRCiwco1_=w1200|https://lh3.googleusercontent.com/pw/AP1GczNsosDl9_mPcOxCdS1MilUUB5mwwgzEnx4WHfZxY94bQJO3kzaBMVnt8aQfxluYnGuc32dU9AOurG4dW0uJrxCUvhyzMwg8ksFi_nsQoIWYGm5XOcXF=w1200|https://lh3.googleusercontent.com/pw/AP1GczMtsSP7aehEwSdzZq4x7l8qszaPiql6QWNryN7VKR8eTZ3imvKoISbpam2xvUTSz71-__4P7VTVT_aPuxX_HRzLsLYTp41PacwsmCF6POqQA4hO9bua=w1200|https://lh3.googleusercontent.com/pw/AP1GczM_sApSoN4iP7siybw5VVgOTIfqBAcgKShmAMyHmp31rMSL6kw31EtrQ5Z4F33PBTpJZq1wKudlbMrlq45CwCYxhUD7nt5VqrpfsOxfa9tItBD8SHG0=w1200|https://lh3.googleusercontent.com/pw/AP1GczMqSE08fqn4_El-ekxDFD1M_RZBY4c6htKWmu7R5PwdS8Mla9cgGGSCBOJ3oDWwrarkgn85aH5f-C8Cegwy1rk4RteZ5lfsvxkia8jo52G7E2R0J-tM=w1200|https://lh3.googleusercontent.com/pw/AP1GczMaPANXpj56um_yzta8Kx6YfDNXkNGTH2NGNlWNUgyIA77Bb0orE1x8Uu7oD7d5JPd16avriFqkKSkBBY2j59pL54xNQkhWXouUZd-OVbyM4rlmJTFU=w1200|https://lh3.googleusercontent.com/pw/AP1GczOcEW4UWZ3WSRM0JOexjXXROoGhTPDjUsLxHLsnU65jJ5Nkbl-xjhfbuL4m-RteYCTdX8GxMDX5o48CH965Bo9jfeG-TcF4w8i6mRb6nJNhBUg8r213=w1200|https://lh3.googleusercontent.com/pw/AP1GczNQrtWPFrU3oNxRr5dkBXvuDsXIPWOskMJ5cdvyg0UDUxTYd31Kr38X34zaZ6GSIW_qRDYuqUoBwemJTMrjZI7l_Y1vX6RT5JJrNewV8yze4DbZAa4s=w1200|https://lh3.googleusercontent.com/pw/AP1GczNM3I9bi04qC4P98gZGigKaMky9MYQEdZyE1sAeBAd3reqG5MCj80PEWe4iReAPpMuGvda09-goNA4rO7b5RY5nXyDx1269v2i5BUj6Xh3ciJc0vBcE=w1200|https://lh3.googleusercontent.com/pw/AP1GczNvB2Y_fNLZ5GsrxcM3ZT5zN9vqWO37Z6D44K9WCwzMlaHn6NlUPsyZkpcy6M1D6ZdvKdYcxUnMZoHnILB9h_NzB9yYjCKEIitSSVafQJSI4G0KP4Jh=w1200|https://lh3.googleusercontent.com/pw/AP1GczM-ywi90YBdJO1deqocTVB1vD3FXXIWk4LvX9MpXa1-88-hpP6DhQ2LYJ0atUFMm7n9aS6aGxEn2RtF0zpS64ogWuDrCDVcbCNrnTDzHiYNCsG_QtuX=w1200|https://lh3.googleusercontent.com/pw/AP1GczMPk33Z-Fqm125TrG5JHM2m60hd53ZESSnfPrF9DuOo6u-5qjitlS_alxbRSccEThycKJTRUxDl90358_FWUdVcGX2CKGQB2qUsICmjm4aPIRIZ7Ie0=w1200|https://lh3.googleusercontent.com/pw/AP1GczMpNjcWp5oFA5CZrJTXVjBaYDMuam6otPE-L7suRIzM53Qku5xPXvjeFcI0tsuHcgCfljRLEQi9UKEI-8vGaya9VubyYyBpka1yP-DJTQi18rL6FDd3=w1200</v>
      </c>
      <c r="AJ514" s="46"/>
      <c r="AK514" s="46"/>
      <c r="AL514" s="46"/>
      <c r="AM514" s="46"/>
      <c r="AN514" s="46"/>
      <c r="AO514" s="46"/>
      <c r="AP514" s="46"/>
      <c r="AQ514" s="46"/>
      <c r="AR514" s="46"/>
      <c r="AS514" s="46"/>
      <c r="AT514" s="46"/>
      <c r="AU514" s="46"/>
      <c r="AV514" s="46"/>
      <c r="AW514" s="46"/>
      <c r="AX514" s="46"/>
      <c r="AY514" s="46"/>
      <c r="AZ514" s="46"/>
      <c r="BA514" s="46"/>
      <c r="BB514" s="46"/>
      <c r="BC514" s="46"/>
      <c r="BD514" s="46"/>
      <c r="BE514" s="46"/>
      <c r="BF514" s="46"/>
      <c r="BG514" s="46"/>
      <c r="BH514" s="46"/>
      <c r="BI514" s="46"/>
      <c r="BJ514" s="46"/>
      <c r="BK514" s="46"/>
      <c r="BL514" s="46"/>
      <c r="BM514" s="46"/>
      <c r="BN514" s="46"/>
      <c r="BO514" s="46"/>
      <c r="BP514" s="46"/>
      <c r="BQ514" s="46"/>
      <c r="BR514" s="46"/>
      <c r="BS514" s="46"/>
      <c r="BT514" s="46"/>
      <c r="BU514" s="46"/>
      <c r="BV514" s="46"/>
      <c r="BW514" s="46"/>
      <c r="BX514" s="46"/>
      <c r="BY514" s="46"/>
      <c r="BZ514" s="46"/>
      <c r="CA514" s="46"/>
      <c r="CB514" s="46"/>
      <c r="CC514" s="46"/>
    </row>
    <row r="515">
      <c r="A515" s="87" t="str">
        <f>IFERROR(__xludf.DUMMYFUNCTION("""COMPUTED_VALUE"""),"741")</f>
        <v>741</v>
      </c>
      <c r="B515" s="46" t="str">
        <f>IFERROR(__xludf.DUMMYFUNCTION("""COMPUTED_VALUE"""),"Apartamento en conjunto Condominio Residencial Mediterraneo - Norte")</f>
        <v>Apartamento en conjunto Condominio Residencial Mediterraneo - Norte</v>
      </c>
      <c r="C515" s="46" t="str">
        <f>IFERROR(__xludf.DUMMYFUNCTION("""COMPUTED_VALUE"""),"Apartamento en conjunto")</f>
        <v>Apartamento en conjunto</v>
      </c>
      <c r="D515" s="46"/>
      <c r="E515" s="46" t="str">
        <f>IFERROR(__xludf.DUMMYFUNCTION("""COMPUTED_VALUE""")," Condominio Residencial Mediterraneo")</f>
        <v> Condominio Residencial Mediterraneo</v>
      </c>
      <c r="F515" s="90">
        <f>IFERROR(__xludf.DUMMYFUNCTION("""COMPUTED_VALUE"""),4.2E8)</f>
        <v>420000000</v>
      </c>
      <c r="G515" s="46" t="str">
        <f>IFERROR(__xludf.DUMMYFUNCTION("""COMPUTED_VALUE"""),"$400'000.000 a $500'000.000")</f>
        <v>$400'000.000 a $500'000.000</v>
      </c>
      <c r="H515" s="46"/>
      <c r="I515" s="46"/>
      <c r="J515" s="46" t="str">
        <f>IFERROR(__xludf.DUMMYFUNCTION("""COMPUTED_VALUE"""),"Norte")</f>
        <v>Norte</v>
      </c>
      <c r="K515" s="87"/>
      <c r="L515" s="46">
        <f>IFERROR(__xludf.DUMMYFUNCTION("""COMPUTED_VALUE"""),3.0)</f>
        <v>3</v>
      </c>
      <c r="M515" s="46"/>
      <c r="N515" s="46">
        <f>IFERROR(__xludf.DUMMYFUNCTION("""COMPUTED_VALUE"""),2.0)</f>
        <v>2</v>
      </c>
      <c r="O515" s="46">
        <f>IFERROR(__xludf.DUMMYFUNCTION("""COMPUTED_VALUE"""),1.0)</f>
        <v>1</v>
      </c>
      <c r="P515" s="46">
        <f>IFERROR(__xludf.DUMMYFUNCTION("""COMPUTED_VALUE"""),7.0)</f>
        <v>7</v>
      </c>
      <c r="Q515" s="92">
        <f>IFERROR(__xludf.DUMMYFUNCTION("""COMPUTED_VALUE"""),100.0)</f>
        <v>100</v>
      </c>
      <c r="R515" s="92">
        <f>IFERROR(__xludf.DUMMYFUNCTION("""COMPUTED_VALUE"""),113.0)</f>
        <v>113</v>
      </c>
      <c r="S515" s="87" t="str">
        <f>IFERROR(__xludf.DUMMYFUNCTION("""COMPUTED_VALUE""")," ")</f>
        <v> </v>
      </c>
      <c r="T515" s="46" t="str">
        <f>IFERROR(__xludf.DUMMYFUNCTION("""COMPUTED_VALUE"""),"Neiva")</f>
        <v>Neiva</v>
      </c>
      <c r="U515" s="87" t="str">
        <f>IFERROR(__xludf.DUMMYFUNCTION("""COMPUTED_VALUE"""),"4")</f>
        <v>4</v>
      </c>
      <c r="V515" s="46" t="str">
        <f>IFERROR(__xludf.DUMMYFUNCTION("""COMPUTED_VALUE"""),"7o.")</f>
        <v>7o.</v>
      </c>
      <c r="W515" s="46"/>
      <c r="X515" s="46">
        <f>IFERROR(__xludf.DUMMYFUNCTION("""COMPUTED_VALUE"""),3.0)</f>
        <v>3</v>
      </c>
      <c r="Y515" s="46" t="str">
        <f>IFERROR(__xludf.DUMMYFUNCTION("""COMPUTED_VALUE"""),"Social")</f>
        <v>Social</v>
      </c>
      <c r="Z515" s="90">
        <f>IFERROR(__xludf.DUMMYFUNCTION("""COMPUTED_VALUE"""),375000.0)</f>
        <v>375000</v>
      </c>
      <c r="AA515" s="33" t="str">
        <f>IFERROR(__xludf.DUMMYFUNCTION("""COMPUTED_VALUE"""),"No aplica")</f>
        <v>No aplica</v>
      </c>
      <c r="AB515" s="96" t="str">
        <f>IFERROR(__xludf.DUMMYFUNCTION("""COMPUTED_VALUE"""),"https://photos.app.goo.gl/MaM2SsmLnftzNu8EA")</f>
        <v>https://photos.app.goo.gl/MaM2SsmLnftzNu8EA</v>
      </c>
      <c r="AC515" s="46" t="str">
        <f>IFERROR(__xludf.DUMMYFUNCTION("""COMPUTED_VALUE"""),"Sus amplios espacios incluyen tres alcobas con clóset, la principal con walk-in closet, cocina integral, zona de lavandería y balcón con vista panorámica, además de parqueadero cubierto y depósito.")</f>
        <v>Sus amplios espacios incluyen tres alcobas con clóset, la principal con walk-in closet, cocina integral, zona de lavandería y balcón con vista panorámica, además de parqueadero cubierto y depósito.</v>
      </c>
      <c r="AD515" s="46" t="str">
        <f>IFERROR(__xludf.DUMMYFUNCTION("""COMPUTED_VALUE"""),"Este exclusivo apartamento en el Condominio Residencial Mediterráneo, ubicado en el estratégico sector norte de Neiva junto al Malecón del río Las Ceibas, ofrece un diseño moderno con acabados de alta calidad y pisos en porcelanato.  El conjunto brinda un"&amp;"a experiencia tipo club house con piscina, gimnasio, jacuzzi y vigilancia privada.")</f>
        <v>Este exclusivo apartamento en el Condominio Residencial Mediterráneo, ubicado en el estratégico sector norte de Neiva junto al Malecón del río Las Ceibas, ofrece un diseño moderno con acabados de alta calidad y pisos en porcelanato.  El conjunto brinda una experiencia tipo club house con piscina, gimnasio, jacuzzi y vigilancia privada.</v>
      </c>
      <c r="AE515" s="46"/>
      <c r="AF515" s="46" t="str">
        <f>IFERROR(__xludf.DUMMYFUNCTION("""COMPUTED_VALUE"""),"integral")</f>
        <v>integral</v>
      </c>
      <c r="AG515" s="46"/>
      <c r="AH515" s="46" t="str">
        <f>IFERROR(__xludf.DUMMYFUNCTION("""COMPUTED_VALUE"""),"Aliado")</f>
        <v>Aliado</v>
      </c>
      <c r="AI515" s="92" t="str">
        <f>IFERROR(__xludf.DUMMYFUNCTION("""COMPUTED_VALUE"""),"https://lh3.googleusercontent.com/pw/AP1GczOaeKglIPI6Mn6bKz58dH0rpO0wa6fpt5Ix75VmmWa2ZM7WS-EEgqSZBGqiu_h8Xuzt2yx0b0rj1Gvmtux8ZEY3vn4hl3lLAYtgutR33Nfs_A-m2zzH=w1200|https://lh3.googleusercontent.com/pw/AP1GczMAi2lWrKs1TLU2GVTRHIijGkH4Rg3RKfq9HXdJiUt58i-xiL"&amp;"EPRS4chsRg6mJQDxZqCYZ-fBJmO8WMMbvNfrEW3hbcTzTtFzCfLbBIz_x7s_utpXDp=w1200|https://lh3.googleusercontent.com/pw/AP1GczM6zVTtmzKDkG_8JEKhWt9NNsMVzB6beI8rkN0OkU5yRHp6_nc_XzCm8dSDcrhUU_TfGi2huWm4ec4Sv0p8gBnCECuOvC5NrJL51wiTxH54EXqS2vTS=w1200|https://lh3.google"&amp;"usercontent.com/pw/AP1GczOe2jWSeQars2qn86YBxMncpgL02ga5xCQdaCJLnTRpn31HEfLZjeGM-N7pZbr4jmnRvd4HZykh35uUIBGAIP_1zqpi-RbyjSstHNkk5vF00C3MyLqY=w1200|https://lh3.googleusercontent.com/pw/AP1GczOR9twwB3H0i6UHBH_0wLrzbS9VsBPSsBiF95ZgJHV1cLYFKGuVpfwGsTEKtJGtnQ0O"&amp;"8cLwdjqVza4hGKj-1p-6edTWZAzn_--rfAvh_fERZWMzHW53=w1200|https://lh3.googleusercontent.com/pw/AP1GczPB9PzTXTFU00034ymOoD7T1c8fkIuYEbDPRS0xa1tGoePJF3bb2vf13atd5-nkmPg_ttUg5Q2sfsST49ixrBUHGfYYrwVn51NOGeiKC3GNO-imiaD7=w1200|https://lh3.googleusercontent.com/pw"&amp;"/AP1GczPHJPZ9bT7cVGHRCBMzWDMsubjrDV9XKYOvgEgW1jNpaJp0JtuyZfHshsO52ucpw32-ggDnWz_IFZUzFTprvdfcD-kdYPaI8m7C0CptLF0r4XowN5F8=w1200|https://lh3.googleusercontent.com/pw/AP1GczMTOjMXYyYOSSDsR-2Zo6Ntm7dR4D4joVZDqhiTHPDB1cGtj_xk2G_D6Jb8bWutPgIYDakExG_1U6TQmNQ8BG"&amp;"MccEkj0Ih3i_0wkkfJpQ4t-6OTVUE_=w1200|https://lh3.googleusercontent.com/pw/AP1GczMFFN5ZbVb_UrSsQToHnZd6S416Maa71yIstzAURQU-bL-AhYT1kG_dS7eDXnkYQB3f4blFh2BsUzsXhQUbE76H7ekCm9PvFADz9d6vIqOi1vM6OUuK=w1200|https://lh3.googleusercontent.com/pw/AP1GczPHZ5x1armba"&amp;"va0U7-V51dUdBkh3NekBao6unTFkimTxU7xQ6Lm7ZB1sthlIO1f2vglIlbf4zZdP1mfe2fQ8RX5N-FW1v0EiLiRl2cOv7BI0o8bQ8lw=w1200|https://lh3.googleusercontent.com/pw/AP1GczOwS_F3jB8c_7qawJbFP8BgTZ5I1oXeyTFTstbfCJ0rKio1vMtP95ExzxeWh_gubUjPYY_XbxaoowttT64XIjP47vE9kwuTTxyk2I9O"&amp;"TubYgtcC5HXw=w1200|https://lh3.googleusercontent.com/pw/AP1GczPh0mhI_qS-plLxipOk6jPFmu8Bn6ieVBVdks6-Vpw7gjJ5xBoipHqbLMaqyMyilmft9x1LFXeq8noIB7szzxRMoYRlhQUDzWf5DcRcIuqhukAfOGcY=w1200|https://lh3.googleusercontent.com/pw/AP1GczNckxZkoaSeMD8ymiqMdIbhBy_Ik0r"&amp;"nUkQObExE_PRoOPfws2XFx8P23IBfUvvWEZbBJbkzp6urygYRaoIgMaXv51HwazXdqQ095-4HCKOySqDy_-lm=w1200|https://lh3.googleusercontent.com/pw/AP1GczOFTaKe-yv1PEMnXIBpuRaWbY7jmNcEGH8pv4gqae0f7VqwTCmPR9Jvjbg14mD35Lu3qVryTiPql4c6otBSQqbOG0i7MN3VvtU7qCFpqTzIYagsa6wj=w1200"&amp;"|https://lh3.googleusercontent.com/pw/AP1GczMfFjRWOld4or8qHWpcb4YXqvhnmufsuqfcu_Awu8ytJNLm_ML4-zFFXjq7imjvTuUWo1kxa5eu0dBvJDyOSoAN0Qp0NVRVSrGzg2TEKMiBCwrDNUUa=w1200|https://lh3.googleusercontent.com/pw/AP1GczNWChXEDl5iHLCNyawsLlFhbVNYAa8Va-tci6oLs_YxJhl2f"&amp;"GshJt1klv7ZFhF4MW67lKzdiiDAwsh8Vg_cUWqflu_ccVn49KsWNaNL7xKermlwXXga=w1200|https://lh3.googleusercontent.com/pw/AP1GczP3-kFfKtZxxsTgiTLihlcwPSGIbzMNYu4DpoTljDr1efrQ0U9sv_vL26UrpBPgewu4aKzWy4buOLzMv24nVYtpD8xjHu44iWS2W14GQmylVO5L9i5m=w1200|https://lh3.googl"&amp;"eusercontent.com/pw/AP1GczMGSf5GTSmv8rIRAxhA3l1QTS7l9_eMJZh150sj4n9Y6Qyrxy8-VNaVjgFm_9RtNkA4Mos7Bq1sH8NlMdJVdIsoVzufR5GQaNJFf-BJkrH4qDxnuTl6=w1200")</f>
        <v>https://lh3.googleusercontent.com/pw/AP1GczOaeKglIPI6Mn6bKz58dH0rpO0wa6fpt5Ix75VmmWa2ZM7WS-EEgqSZBGqiu_h8Xuzt2yx0b0rj1Gvmtux8ZEY3vn4hl3lLAYtgutR33Nfs_A-m2zzH=w1200|https://lh3.googleusercontent.com/pw/AP1GczMAi2lWrKs1TLU2GVTRHIijGkH4Rg3RKfq9HXdJiUt58i-xiLEPRS4chsRg6mJQDxZqCYZ-fBJmO8WMMbvNfrEW3hbcTzTtFzCfLbBIz_x7s_utpXDp=w1200|https://lh3.googleusercontent.com/pw/AP1GczM6zVTtmzKDkG_8JEKhWt9NNsMVzB6beI8rkN0OkU5yRHp6_nc_XzCm8dSDcrhUU_TfGi2huWm4ec4Sv0p8gBnCECuOvC5NrJL51wiTxH54EXqS2vTS=w1200|https://lh3.googleusercontent.com/pw/AP1GczOe2jWSeQars2qn86YBxMncpgL02ga5xCQdaCJLnTRpn31HEfLZjeGM-N7pZbr4jmnRvd4HZykh35uUIBGAIP_1zqpi-RbyjSstHNkk5vF00C3MyLqY=w1200|https://lh3.googleusercontent.com/pw/AP1GczOR9twwB3H0i6UHBH_0wLrzbS9VsBPSsBiF95ZgJHV1cLYFKGuVpfwGsTEKtJGtnQ0O8cLwdjqVza4hGKj-1p-6edTWZAzn_--rfAvh_fERZWMzHW53=w1200|https://lh3.googleusercontent.com/pw/AP1GczPB9PzTXTFU00034ymOoD7T1c8fkIuYEbDPRS0xa1tGoePJF3bb2vf13atd5-nkmPg_ttUg5Q2sfsST49ixrBUHGfYYrwVn51NOGeiKC3GNO-imiaD7=w1200|https://lh3.googleusercontent.com/pw/AP1GczPHJPZ9bT7cVGHRCBMzWDMsubjrDV9XKYOvgEgW1jNpaJp0JtuyZfHshsO52ucpw32-ggDnWz_IFZUzFTprvdfcD-kdYPaI8m7C0CptLF0r4XowN5F8=w1200|https://lh3.googleusercontent.com/pw/AP1GczMTOjMXYyYOSSDsR-2Zo6Ntm7dR4D4joVZDqhiTHPDB1cGtj_xk2G_D6Jb8bWutPgIYDakExG_1U6TQmNQ8BGMccEkj0Ih3i_0wkkfJpQ4t-6OTVUE_=w1200|https://lh3.googleusercontent.com/pw/AP1GczMFFN5ZbVb_UrSsQToHnZd6S416Maa71yIstzAURQU-bL-AhYT1kG_dS7eDXnkYQB3f4blFh2BsUzsXhQUbE76H7ekCm9PvFADz9d6vIqOi1vM6OUuK=w1200|https://lh3.googleusercontent.com/pw/AP1GczPHZ5x1armbava0U7-V51dUdBkh3NekBao6unTFkimTxU7xQ6Lm7ZB1sthlIO1f2vglIlbf4zZdP1mfe2fQ8RX5N-FW1v0EiLiRl2cOv7BI0o8bQ8lw=w1200|https://lh3.googleusercontent.com/pw/AP1GczOwS_F3jB8c_7qawJbFP8BgTZ5I1oXeyTFTstbfCJ0rKio1vMtP95ExzxeWh_gubUjPYY_XbxaoowttT64XIjP47vE9kwuTTxyk2I9OTubYgtcC5HXw=w1200|https://lh3.googleusercontent.com/pw/AP1GczPh0mhI_qS-plLxipOk6jPFmu8Bn6ieVBVdks6-Vpw7gjJ5xBoipHqbLMaqyMyilmft9x1LFXeq8noIB7szzxRMoYRlhQUDzWf5DcRcIuqhukAfOGcY=w1200|https://lh3.googleusercontent.com/pw/AP1GczNckxZkoaSeMD8ymiqMdIbhBy_Ik0rnUkQObExE_PRoOPfws2XFx8P23IBfUvvWEZbBJbkzp6urygYRaoIgMaXv51HwazXdqQ095-4HCKOySqDy_-lm=w1200|https://lh3.googleusercontent.com/pw/AP1GczOFTaKe-yv1PEMnXIBpuRaWbY7jmNcEGH8pv4gqae0f7VqwTCmPR9Jvjbg14mD35Lu3qVryTiPql4c6otBSQqbOG0i7MN3VvtU7qCFpqTzIYagsa6wj=w1200|https://lh3.googleusercontent.com/pw/AP1GczMfFjRWOld4or8qHWpcb4YXqvhnmufsuqfcu_Awu8ytJNLm_ML4-zFFXjq7imjvTuUWo1kxa5eu0dBvJDyOSoAN0Qp0NVRVSrGzg2TEKMiBCwrDNUUa=w1200|https://lh3.googleusercontent.com/pw/AP1GczNWChXEDl5iHLCNyawsLlFhbVNYAa8Va-tci6oLs_YxJhl2fGshJt1klv7ZFhF4MW67lKzdiiDAwsh8Vg_cUWqflu_ccVn49KsWNaNL7xKermlwXXga=w1200|https://lh3.googleusercontent.com/pw/AP1GczP3-kFfKtZxxsTgiTLihlcwPSGIbzMNYu4DpoTljDr1efrQ0U9sv_vL26UrpBPgewu4aKzWy4buOLzMv24nVYtpD8xjHu44iWS2W14GQmylVO5L9i5m=w1200|https://lh3.googleusercontent.com/pw/AP1GczMGSf5GTSmv8rIRAxhA3l1QTS7l9_eMJZh150sj4n9Y6Qyrxy8-VNaVjgFm_9RtNkA4Mos7Bq1sH8NlMdJVdIsoVzufR5GQaNJFf-BJkrH4qDxnuTl6=w1200</v>
      </c>
      <c r="AJ515" s="46"/>
      <c r="AK515" s="46"/>
      <c r="AL515" s="46"/>
      <c r="AM515" s="46"/>
      <c r="AN515" s="46"/>
      <c r="AO515" s="46"/>
      <c r="AP515" s="46"/>
      <c r="AQ515" s="46"/>
      <c r="AR515" s="46"/>
      <c r="AS515" s="46"/>
      <c r="AT515" s="46"/>
      <c r="AU515" s="46"/>
      <c r="AV515" s="46"/>
      <c r="AW515" s="46"/>
      <c r="AX515" s="46"/>
      <c r="AY515" s="46"/>
      <c r="AZ515" s="46"/>
      <c r="BA515" s="46"/>
      <c r="BB515" s="46"/>
      <c r="BC515" s="46"/>
      <c r="BD515" s="46"/>
      <c r="BE515" s="46"/>
      <c r="BF515" s="46"/>
      <c r="BG515" s="46"/>
      <c r="BH515" s="46"/>
      <c r="BI515" s="46"/>
      <c r="BJ515" s="46"/>
      <c r="BK515" s="46"/>
      <c r="BL515" s="46"/>
      <c r="BM515" s="46"/>
      <c r="BN515" s="46"/>
      <c r="BO515" s="46"/>
      <c r="BP515" s="46"/>
      <c r="BQ515" s="46"/>
      <c r="BR515" s="46"/>
      <c r="BS515" s="46"/>
      <c r="BT515" s="46"/>
      <c r="BU515" s="46"/>
      <c r="BV515" s="46"/>
      <c r="BW515" s="46"/>
      <c r="BX515" s="46"/>
      <c r="BY515" s="46"/>
      <c r="BZ515" s="46"/>
      <c r="CA515" s="46"/>
      <c r="CB515" s="46"/>
      <c r="CC515" s="46"/>
    </row>
    <row r="516">
      <c r="A516" s="87" t="str">
        <f>IFERROR(__xludf.DUMMYFUNCTION("""COMPUTED_VALUE"""),"491")</f>
        <v>491</v>
      </c>
      <c r="B516" s="46" t="str">
        <f>IFERROR(__xludf.DUMMYFUNCTION("""COMPUTED_VALUE"""),"Casa en barrio El Jardín")</f>
        <v>Casa en barrio El Jardín</v>
      </c>
      <c r="C516" s="46" t="str">
        <f>IFERROR(__xludf.DUMMYFUNCTION("""COMPUTED_VALUE"""),"Casa")</f>
        <v>Casa</v>
      </c>
      <c r="D516" s="90" t="str">
        <f>IFERROR(__xludf.DUMMYFUNCTION("""COMPUTED_VALUE"""),"El Jardín")</f>
        <v>El Jardín</v>
      </c>
      <c r="E516" s="46"/>
      <c r="F516" s="90">
        <f>IFERROR(__xludf.DUMMYFUNCTION("""COMPUTED_VALUE"""),3.85E8)</f>
        <v>385000000</v>
      </c>
      <c r="G516" s="46" t="str">
        <f>IFERROR(__xludf.DUMMYFUNCTION("""COMPUTED_VALUE"""),"$300'000.000 a $400'000.000")</f>
        <v>$300'000.000 a $400'000.000</v>
      </c>
      <c r="H516" s="46"/>
      <c r="I516" s="46"/>
      <c r="J516" s="46" t="str">
        <f>IFERROR(__xludf.DUMMYFUNCTION("""COMPUTED_VALUE"""),"Oriente")</f>
        <v>Oriente</v>
      </c>
      <c r="K516" s="87" t="str">
        <f>IFERROR(__xludf.DUMMYFUNCTION("""COMPUTED_VALUE"""),"5")</f>
        <v>5</v>
      </c>
      <c r="L516" s="46">
        <f>IFERROR(__xludf.DUMMYFUNCTION("""COMPUTED_VALUE"""),5.0)</f>
        <v>5</v>
      </c>
      <c r="M516" s="46"/>
      <c r="N516" s="46">
        <f>IFERROR(__xludf.DUMMYFUNCTION("""COMPUTED_VALUE"""),5.0)</f>
        <v>5</v>
      </c>
      <c r="O516" s="46">
        <f>IFERROR(__xludf.DUMMYFUNCTION("""COMPUTED_VALUE"""),2.0)</f>
        <v>2</v>
      </c>
      <c r="P516" s="46">
        <f>IFERROR(__xludf.DUMMYFUNCTION("""COMPUTED_VALUE"""),3.0)</f>
        <v>3</v>
      </c>
      <c r="Q516" s="92">
        <f>IFERROR(__xludf.DUMMYFUNCTION("""COMPUTED_VALUE"""),450.0)</f>
        <v>450</v>
      </c>
      <c r="R516" s="92">
        <f>IFERROR(__xludf.DUMMYFUNCTION("""COMPUTED_VALUE"""),200.0)</f>
        <v>200</v>
      </c>
      <c r="S516" s="87" t="str">
        <f>IFERROR(__xludf.DUMMYFUNCTION("""COMPUTED_VALUE""")," ")</f>
        <v> </v>
      </c>
      <c r="T516" s="46" t="str">
        <f>IFERROR(__xludf.DUMMYFUNCTION("""COMPUTED_VALUE"""),"Neiva")</f>
        <v>Neiva</v>
      </c>
      <c r="U516" s="87" t="str">
        <f>IFERROR(__xludf.DUMMYFUNCTION("""COMPUTED_VALUE"""),"5")</f>
        <v>5</v>
      </c>
      <c r="V516" s="46" t="str">
        <f>IFERROR(__xludf.DUMMYFUNCTION("""COMPUTED_VALUE"""),"Medianera")</f>
        <v>Medianera</v>
      </c>
      <c r="W516" s="46"/>
      <c r="X516" s="46">
        <f>IFERROR(__xludf.DUMMYFUNCTION("""COMPUTED_VALUE"""),5.0)</f>
        <v>5</v>
      </c>
      <c r="Y516" s="46" t="str">
        <f>IFERROR(__xludf.DUMMYFUNCTION("""COMPUTED_VALUE"""),"No tiene")</f>
        <v>No tiene</v>
      </c>
      <c r="Z516" s="90" t="str">
        <f>IFERROR(__xludf.DUMMYFUNCTION("""COMPUTED_VALUE"""),"No aplica")</f>
        <v>No aplica</v>
      </c>
      <c r="AA516" s="33" t="str">
        <f>IFERROR(__xludf.DUMMYFUNCTION("""COMPUTED_VALUE"""),"No aplica")</f>
        <v>No aplica</v>
      </c>
      <c r="AB516" s="144" t="str">
        <f>IFERROR(__xludf.DUMMYFUNCTION("""COMPUTED_VALUE"""),"https://photos.app.goo.gl/DpreRXDmubp79Hob7")</f>
        <v>https://photos.app.goo.gl/DpreRXDmubp79Hob7</v>
      </c>
      <c r="AC516" s="46" t="str">
        <f>IFERROR(__xludf.DUMMYFUNCTION("""COMPUTED_VALUE"""),"Casa de dos pisos con terraza cubierta, Primer nivel sala, comedor, cocina integral, baño social, parqueadero, patio, alcoba de servicio con baño, segundo piso con cuatro alcobas y baños, baño social , balcón . Terraza con cubierta, BBQ, alcoba con baño. "&amp;"Cercano a colegios, Universidad Antonio Nariño, Supermercado Popular, ARA")</f>
        <v>Casa de dos pisos con terraza cubierta, Primer nivel sala, comedor, cocina integral, baño social, parqueadero, patio, alcoba de servicio con baño, segundo piso con cuatro alcobas y baños, baño social , balcón . Terraza con cubierta, BBQ, alcoba con baño. Cercano a colegios, Universidad Antonio Nariño, Supermercado Popular, ARA</v>
      </c>
      <c r="AD516" s="46"/>
      <c r="AE516" s="46"/>
      <c r="AF516" s="46" t="str">
        <f>IFERROR(__xludf.DUMMYFUNCTION("""COMPUTED_VALUE"""),"integral")</f>
        <v>integral</v>
      </c>
      <c r="AG516" s="46"/>
      <c r="AH516" s="46" t="str">
        <f>IFERROR(__xludf.DUMMYFUNCTION("""COMPUTED_VALUE"""),"Aliado")</f>
        <v>Aliado</v>
      </c>
      <c r="AI516" s="92" t="str">
        <f>IFERROR(__xludf.DUMMYFUNCTION("""COMPUTED_VALUE"""),"https://lh3.googleusercontent.com/pw/AP1GczMCLavUi5D40rrekaCY484y4Kd7B-0EU8XcrNh9OrdDca3J3CMd-65MPxf4lQc_O0EKeggK73IXSxkUQaDCYSFikM6TAw8VXVVz5YmNqF2OXKnAac_e=w1200|https://lh3.googleusercontent.com/pw/AP1GczMtxWdcQ8WusVtL-LBTrCukVugZwClcWE7Rvu4HP8uMvGOj90"&amp;"-oVw6EKl8MlGZ8cUt-MTQXlphCSnbrordVoyp3MIxbWZH0YZalq5oRciVbcsEGNxlM=w1200|https://lh3.googleusercontent.com/pw/AP1GczNIyJt_qqjBzRZY2zq7iXXRm7wcJGDIY9fA4ftXQmK1D8e-uUCxHykDhLEz5aLCwfylcjzhBJpwZmrY7Qe4t0u9IiYHIfK-YSyVUNydFQHwupd4IXau=w1200|https://lh3.google"&amp;"usercontent.com/pw/AP1GczODyN4u6BKdBg1cxcy__qsUyfLYHe_ipKrin-opNp8kk8kYOFcQNnVvcZ8DB1RADyln6behvRDL9U-GwD-O1TlMugrtY5kyaqN25HD8o54aD1zKfXWV=w1200|https://lh3.googleusercontent.com/pw/AP1GczNGiVKZn7L5yf1O0Mxg0Sd371PwtAr6DQhQiw0f956mn9tYACVoLNVk18uYIItbeEff"&amp;"RV_pTarwvz67XYGmE1irPGwBUvgmaKCllG04U-C49-8GXl99=w1200|https://lh3.googleusercontent.com/pw/AP1GczPLojMW45OiGsk7S9HmEu8xyOMwPzsinkcUDkmrDmMMca-8DVutYO1SVvqGmhOC0Rey37jAsrfCIEhKLcrlUDVRwWs-mVDAaTgNlYDLN357j78jPBm8=w1200|https://lh3.googleusercontent.com/pw"&amp;"/AP1GczPlUDiflgc_nXhrkLB3xIanimFwHgFMvGvC6ngr2DUTeo7u18o7Pa5P3vL0VT_7WdGZo1TVBEKUNZv8r1N2pDPwnmASa1ugubchJNHoI7AlsgIYSTrG=w1200|https://lh3.googleusercontent.com/pw/AP1GczOvPVQH_cSi21UoYEgL9R9g9eB_X3BIL39naxBSdrSbxqQEGzJBug6G-mKIyhqMoxeB-RJPmRtMBXsel8t2Y5"&amp;"kyEotgUCK-P7crmbDmqRw0X8HePSPl=w1200|https://lh3.googleusercontent.com/pw/AP1GczP4XJCaGduCPvORoyha7hfpq0MjYVol3WdDwQduWP9N9EYdbejzRQtcNuQ089Rh2JQ1yL05ObOMede7vXinCke7iTlpn1dA48ioB3KRq1loc0CsdLnn=w1200|https://lh3.googleusercontent.com/pw/AP1GczOMK8PqNBP8d"&amp;"YrvZxMQBydDdIaxdCM9ZI1LKCHng3XqJJ3U7869b_0PXbGAm3AHBEUYw9WKCo22yYoPHqY4uZzNwE2j_s4yrlQKc20ebY7aMAh-1A12=w1200|https://lh3.googleusercontent.com/pw/AP1GczPXlZBjGd-INCXNAZf2TWuofrFAQ_nICjkLpJSD8L8G1VBNopfhDa2DRv7rwiLTB_DNWuFds-AUIR6yA_sprrO4_ilm_mjZIBYQ-CJU"&amp;"qoxz_3iGbiMN=w1200|https://lh3.googleusercontent.com/pw/AP1GczP7FjwXfNDdREitJw05cmkjGC7VzZMyOuKq-c2yjrD0wHPXiUuJxnMRZyip4WSGF-bms1SFP2gPKSg4TbSPBLPUjawga9RiPF8MKiSQBqpw-wMm3Rlp=w1200|https://lh3.googleusercontent.com/pw/AP1GczMdCvQHEibWLzjWO_3AnE2FfkSmTex"&amp;"vIXthLJf47KDv8pAWQohWCW2sxCmxEo0dMtXd8AuJF8sxRjoJOU__CPG9JUIl1fDYYveJJPGkFxWHE4NTxIOY=w1200|https://lh3.googleusercontent.com/pw/AP1GczMx9qYfXxY1Nk_jOZxGIDR7mfLlevHcquuyhBTAc8sxYinb7J4th99hdyBmbTeZ1csKrK2ISYmStOlNyzyBixc7oK_yrG9BC-MzcdSzfhJoQ5b5gp77=w1200")</f>
        <v>https://lh3.googleusercontent.com/pw/AP1GczMCLavUi5D40rrekaCY484y4Kd7B-0EU8XcrNh9OrdDca3J3CMd-65MPxf4lQc_O0EKeggK73IXSxkUQaDCYSFikM6TAw8VXVVz5YmNqF2OXKnAac_e=w1200|https://lh3.googleusercontent.com/pw/AP1GczMtxWdcQ8WusVtL-LBTrCukVugZwClcWE7Rvu4HP8uMvGOj90-oVw6EKl8MlGZ8cUt-MTQXlphCSnbrordVoyp3MIxbWZH0YZalq5oRciVbcsEGNxlM=w1200|https://lh3.googleusercontent.com/pw/AP1GczNIyJt_qqjBzRZY2zq7iXXRm7wcJGDIY9fA4ftXQmK1D8e-uUCxHykDhLEz5aLCwfylcjzhBJpwZmrY7Qe4t0u9IiYHIfK-YSyVUNydFQHwupd4IXau=w1200|https://lh3.googleusercontent.com/pw/AP1GczODyN4u6BKdBg1cxcy__qsUyfLYHe_ipKrin-opNp8kk8kYOFcQNnVvcZ8DB1RADyln6behvRDL9U-GwD-O1TlMugrtY5kyaqN25HD8o54aD1zKfXWV=w1200|https://lh3.googleusercontent.com/pw/AP1GczNGiVKZn7L5yf1O0Mxg0Sd371PwtAr6DQhQiw0f956mn9tYACVoLNVk18uYIItbeEffRV_pTarwvz67XYGmE1irPGwBUvgmaKCllG04U-C49-8GXl99=w1200|https://lh3.googleusercontent.com/pw/AP1GczPLojMW45OiGsk7S9HmEu8xyOMwPzsinkcUDkmrDmMMca-8DVutYO1SVvqGmhOC0Rey37jAsrfCIEhKLcrlUDVRwWs-mVDAaTgNlYDLN357j78jPBm8=w1200|https://lh3.googleusercontent.com/pw/AP1GczPlUDiflgc_nXhrkLB3xIanimFwHgFMvGvC6ngr2DUTeo7u18o7Pa5P3vL0VT_7WdGZo1TVBEKUNZv8r1N2pDPwnmASa1ugubchJNHoI7AlsgIYSTrG=w1200|https://lh3.googleusercontent.com/pw/AP1GczOvPVQH_cSi21UoYEgL9R9g9eB_X3BIL39naxBSdrSbxqQEGzJBug6G-mKIyhqMoxeB-RJPmRtMBXsel8t2Y5kyEotgUCK-P7crmbDmqRw0X8HePSPl=w1200|https://lh3.googleusercontent.com/pw/AP1GczP4XJCaGduCPvORoyha7hfpq0MjYVol3WdDwQduWP9N9EYdbejzRQtcNuQ089Rh2JQ1yL05ObOMede7vXinCke7iTlpn1dA48ioB3KRq1loc0CsdLnn=w1200|https://lh3.googleusercontent.com/pw/AP1GczOMK8PqNBP8dYrvZxMQBydDdIaxdCM9ZI1LKCHng3XqJJ3U7869b_0PXbGAm3AHBEUYw9WKCo22yYoPHqY4uZzNwE2j_s4yrlQKc20ebY7aMAh-1A12=w1200|https://lh3.googleusercontent.com/pw/AP1GczPXlZBjGd-INCXNAZf2TWuofrFAQ_nICjkLpJSD8L8G1VBNopfhDa2DRv7rwiLTB_DNWuFds-AUIR6yA_sprrO4_ilm_mjZIBYQ-CJUqoxz_3iGbiMN=w1200|https://lh3.googleusercontent.com/pw/AP1GczP7FjwXfNDdREitJw05cmkjGC7VzZMyOuKq-c2yjrD0wHPXiUuJxnMRZyip4WSGF-bms1SFP2gPKSg4TbSPBLPUjawga9RiPF8MKiSQBqpw-wMm3Rlp=w1200|https://lh3.googleusercontent.com/pw/AP1GczMdCvQHEibWLzjWO_3AnE2FfkSmTexvIXthLJf47KDv8pAWQohWCW2sxCmxEo0dMtXd8AuJF8sxRjoJOU__CPG9JUIl1fDYYveJJPGkFxWHE4NTxIOY=w1200|https://lh3.googleusercontent.com/pw/AP1GczMx9qYfXxY1Nk_jOZxGIDR7mfLlevHcquuyhBTAc8sxYinb7J4th99hdyBmbTeZ1csKrK2ISYmStOlNyzyBixc7oK_yrG9BC-MzcdSzfhJoQ5b5gp77=w1200</v>
      </c>
      <c r="AJ516" s="46"/>
      <c r="AK516" s="46"/>
      <c r="AL516" s="46"/>
      <c r="AM516" s="46"/>
      <c r="AN516" s="46"/>
      <c r="AO516" s="46"/>
      <c r="AP516" s="46"/>
      <c r="AQ516" s="46"/>
      <c r="AR516" s="46"/>
      <c r="AS516" s="46"/>
      <c r="AT516" s="46"/>
      <c r="AU516" s="46"/>
      <c r="AV516" s="46"/>
      <c r="AW516" s="46"/>
      <c r="AX516" s="46"/>
      <c r="AY516" s="46"/>
      <c r="AZ516" s="46"/>
      <c r="BA516" s="46"/>
      <c r="BB516" s="46"/>
      <c r="BC516" s="46"/>
      <c r="BD516" s="46"/>
      <c r="BE516" s="46"/>
      <c r="BF516" s="46"/>
      <c r="BG516" s="46"/>
      <c r="BH516" s="46"/>
      <c r="BI516" s="46"/>
      <c r="BJ516" s="46"/>
      <c r="BK516" s="46"/>
      <c r="BL516" s="46"/>
      <c r="BM516" s="46"/>
      <c r="BN516" s="46"/>
      <c r="BO516" s="46"/>
      <c r="BP516" s="46"/>
      <c r="BQ516" s="46"/>
      <c r="BR516" s="46"/>
      <c r="BS516" s="46"/>
      <c r="BT516" s="46"/>
      <c r="BU516" s="46"/>
      <c r="BV516" s="46"/>
      <c r="BW516" s="46"/>
      <c r="BX516" s="46"/>
      <c r="BY516" s="46"/>
      <c r="BZ516" s="46"/>
      <c r="CA516" s="46"/>
      <c r="CB516" s="46"/>
      <c r="CC516" s="46"/>
    </row>
    <row r="517">
      <c r="A517" s="87" t="str">
        <f>IFERROR(__xludf.DUMMYFUNCTION("""COMPUTED_VALUE"""),"634")</f>
        <v>634</v>
      </c>
      <c r="B517" s="46" t="str">
        <f>IFERROR(__xludf.DUMMYFUNCTION("""COMPUTED_VALUE"""),"Casa en barrio La Gaitana - Oriente")</f>
        <v>Casa en barrio La Gaitana - Oriente</v>
      </c>
      <c r="C517" s="46" t="str">
        <f>IFERROR(__xludf.DUMMYFUNCTION("""COMPUTED_VALUE"""),"Casa")</f>
        <v>Casa</v>
      </c>
      <c r="D517" s="46" t="str">
        <f>IFERROR(__xludf.DUMMYFUNCTION("""COMPUTED_VALUE"""),"Preado alto")</f>
        <v>Preado alto</v>
      </c>
      <c r="E517" s="46"/>
      <c r="F517" s="90">
        <f>IFERROR(__xludf.DUMMYFUNCTION("""COMPUTED_VALUE"""),3.8E8)</f>
        <v>380000000</v>
      </c>
      <c r="G517" s="46" t="str">
        <f>IFERROR(__xludf.DUMMYFUNCTION("""COMPUTED_VALUE"""),"$300'000.000 a $400'000.000")</f>
        <v>$300'000.000 a $400'000.000</v>
      </c>
      <c r="H517" s="46"/>
      <c r="I517" s="46"/>
      <c r="J517" s="46" t="str">
        <f>IFERROR(__xludf.DUMMYFUNCTION("""COMPUTED_VALUE"""),"Oriente")</f>
        <v>Oriente</v>
      </c>
      <c r="K517" s="87" t="str">
        <f>IFERROR(__xludf.DUMMYFUNCTION("""COMPUTED_VALUE"""),"7")</f>
        <v>7</v>
      </c>
      <c r="L517" s="46">
        <f>IFERROR(__xludf.DUMMYFUNCTION("""COMPUTED_VALUE"""),4.0)</f>
        <v>4</v>
      </c>
      <c r="M517" s="46"/>
      <c r="N517" s="46">
        <f>IFERROR(__xludf.DUMMYFUNCTION("""COMPUTED_VALUE"""),3.0)</f>
        <v>3</v>
      </c>
      <c r="O517" s="46">
        <f>IFERROR(__xludf.DUMMYFUNCTION("""COMPUTED_VALUE"""),1.0)</f>
        <v>1</v>
      </c>
      <c r="P517" s="46">
        <f>IFERROR(__xludf.DUMMYFUNCTION("""COMPUTED_VALUE"""),2.0)</f>
        <v>2</v>
      </c>
      <c r="Q517" s="92">
        <f>IFERROR(__xludf.DUMMYFUNCTION("""COMPUTED_VALUE"""),144.0)</f>
        <v>144</v>
      </c>
      <c r="R517" s="92">
        <f>IFERROR(__xludf.DUMMYFUNCTION("""COMPUTED_VALUE"""),105.0)</f>
        <v>105</v>
      </c>
      <c r="S517" s="87" t="str">
        <f>IFERROR(__xludf.DUMMYFUNCTION("""COMPUTED_VALUE""")," ")</f>
        <v> </v>
      </c>
      <c r="T517" s="46" t="str">
        <f>IFERROR(__xludf.DUMMYFUNCTION("""COMPUTED_VALUE"""),"Neiva")</f>
        <v>Neiva</v>
      </c>
      <c r="U517" s="87" t="str">
        <f>IFERROR(__xludf.DUMMYFUNCTION("""COMPUTED_VALUE"""),"4")</f>
        <v>4</v>
      </c>
      <c r="V517" s="46" t="str">
        <f>IFERROR(__xludf.DUMMYFUNCTION("""COMPUTED_VALUE"""),"Medianera")</f>
        <v>Medianera</v>
      </c>
      <c r="W517" s="46"/>
      <c r="X517" s="46">
        <f>IFERROR(__xludf.DUMMYFUNCTION("""COMPUTED_VALUE"""),4.0)</f>
        <v>4</v>
      </c>
      <c r="Y517" s="46" t="str">
        <f>IFERROR(__xludf.DUMMYFUNCTION("""COMPUTED_VALUE"""),"No tiene")</f>
        <v>No tiene</v>
      </c>
      <c r="Z517" s="90" t="str">
        <f>IFERROR(__xludf.DUMMYFUNCTION("""COMPUTED_VALUE"""),"No aplica")</f>
        <v>No aplica</v>
      </c>
      <c r="AA517" s="33" t="str">
        <f>IFERROR(__xludf.DUMMYFUNCTION("""COMPUTED_VALUE"""),"No aplica")</f>
        <v>No aplica</v>
      </c>
      <c r="AB517" s="144" t="str">
        <f>IFERROR(__xludf.DUMMYFUNCTION("""COMPUTED_VALUE"""),"https://photos.app.goo.gl/U6iyfzUdHCM4rLBC8")</f>
        <v>https://photos.app.goo.gl/U6iyfzUdHCM4rLBC8</v>
      </c>
      <c r="AC517" s="46" t="str">
        <f>IFERROR(__xludf.DUMMYFUNCTION("""COMPUTED_VALUE"""),"Casa de dos pisos ubicada en el barrio Prado alto. antejardin con reja sala comedor, cocina semi-integral, patio de ropas, baño social, cuatro alcobas todas con closet, una en primer nivel alcoba principal con baño privado.")</f>
        <v>Casa de dos pisos ubicada en el barrio Prado alto. antejardin con reja sala comedor, cocina semi-integral, patio de ropas, baño social, cuatro alcobas todas con closet, una en primer nivel alcoba principal con baño privado.</v>
      </c>
      <c r="AD517" s="46" t="str">
        <f>IFERROR(__xludf.DUMMYFUNCTION("""COMPUTED_VALUE"""),"Inmueble con muy buena ubicación con excelentes vías de ingreso, cercano a la universidad Coahuila, supermercados, hospitales etc.")</f>
        <v>Inmueble con muy buena ubicación con excelentes vías de ingreso, cercano a la universidad Coahuila, supermercados, hospitales etc.</v>
      </c>
      <c r="AE517" s="46"/>
      <c r="AF517" s="46" t="str">
        <f>IFERROR(__xludf.DUMMYFUNCTION("""COMPUTED_VALUE"""),"semi-integral")</f>
        <v>semi-integral</v>
      </c>
      <c r="AG517" s="46"/>
      <c r="AH517" s="46" t="str">
        <f>IFERROR(__xludf.DUMMYFUNCTION("""COMPUTED_VALUE"""),"Aliado")</f>
        <v>Aliado</v>
      </c>
      <c r="AI517" s="92" t="str">
        <f>IFERROR(__xludf.DUMMYFUNCTION("""COMPUTED_VALUE"""),"https://lh3.googleusercontent.com/pw/AP1GczPGnhmylV8HLhDZf4XWiiW329hSuOLNg6dTAmaAKqHnzVi3jgXfTn5_AEHoZUKEAFM27h1DhuORgdJdRsBrndpQv9W8ggQF_6NP4gS5sMIe2hdjZqeI=w1200|https://lh3.googleusercontent.com/pw/AP1GczMoS2bF9kf_85PdxWgwN5YE-i8l8jiqEH_zInzGjrhn5JDuN3"&amp;"BzD4_oNlW1hZxp5qqE-aa5DS94ZYfjGY2buWVWg7l3He8KZoFHbBdHwMSa-9IGJnHj=w1200|https://lh3.googleusercontent.com/pw/AP1GczOBzv-As-d-pozUFK173bVGPvJGyuk6EIaiSAYjSantuceTblXzZgNEsvuvtqzJme9nWySNBg_Uzhhi21cb0FFisYBiBICkNzuNderjQikdw0v8S2SV=w1200|https://lh3.google"&amp;"usercontent.com/pw/AP1GczOqF7RHGwwvQr4-jgjj6yMJATwLljSltsNQrv7fLAoddf1GmwV1V3M1c-7hhA02QUso2WvtsJSdXzdMOI7h4FBgQCWNoAba95kB3dH9aNPWeY1Lchzc=w1200|https://lh3.googleusercontent.com/pw/AP1GczOwtzxh8vUoaXK5b17kNO8vqjPLgivlbWLqL8PfvVasW_Cmp7ZWgKTWejrAMgCrA5Cv"&amp;"LQqSnEaami39Fdr_8pFig8Utz5_9ScRVPwcjyLO0cQDVOg2w=w1200|https://lh3.googleusercontent.com/pw/AP1GczM4U0ldqAg3gas3keyvTJ2wlYqdNbylescpLBMA4tPYqcBsbhYVpto3ABmyMMS7x36ErWtiaVyTXkneS-kIW2aeCp_0pccp6bCNqg7c_h113s4aUJoi=w1200|https://lh3.googleusercontent.com/pw"&amp;"/AP1GczO9QtojhA-RFVvzulF8U3-y9fepn6EPhAeESE7_w1p-CQjlKYQWI6BNfnJ3O5r2ZoDzozpk-IrbyiBctfP1BZ4IgIRN7wWZ1NShk3Da2i78iNhnX-EM=w1200|https://lh3.googleusercontent.com/pw/AP1GczO2wnY4N0SUkD6iMZqDjO7LSj3hOdMSi9SDTuFv-PwaKgxxMWh9-ziR5z4yqd_9YBWXxhg0prod6spuoyvhSP"&amp;"MKve_iSwfWV8tNDWSpdiNhMNdIOycs=w1200|https://lh3.googleusercontent.com/pw/AP1GczP7q_iO21wU-oHgxYTz26pp2hHIHE95P6JgLNVCic6Y0jPD-BSKuLGXLHe-QOKxFka68XiVAbm1LcG4KxJCLKX6JyYOBjnYUem0D6RoK4qlTvicH4Rd=w1200|https://lh3.googleusercontent.com/pw/AP1GczMw-iObmOZuD"&amp;"xiqScu033X1jhOOJyZuRuWjICJtX3cGoWMtwtHRkTq-KTIAnW6heQJnWqU2U5klG6sqMTTBz9KMQJ4tFRGe8dNPKR6GVp7EioLOX7XQ=w1200|https://lh3.googleusercontent.com/pw/AP1GczMUcA5-36cHzAw9MsLWs4bS-ZTr_xPm7dimgMtiJ_kd5fjffrd2Nn6BiA_oNPZt0CtewYgyf5XVL_uelkwSMyKgmuemL6EAnE4zruE4"&amp;"-gV0tkuMo62u=w1200")</f>
        <v>https://lh3.googleusercontent.com/pw/AP1GczPGnhmylV8HLhDZf4XWiiW329hSuOLNg6dTAmaAKqHnzVi3jgXfTn5_AEHoZUKEAFM27h1DhuORgdJdRsBrndpQv9W8ggQF_6NP4gS5sMIe2hdjZqeI=w1200|https://lh3.googleusercontent.com/pw/AP1GczMoS2bF9kf_85PdxWgwN5YE-i8l8jiqEH_zInzGjrhn5JDuN3BzD4_oNlW1hZxp5qqE-aa5DS94ZYfjGY2buWVWg7l3He8KZoFHbBdHwMSa-9IGJnHj=w1200|https://lh3.googleusercontent.com/pw/AP1GczOBzv-As-d-pozUFK173bVGPvJGyuk6EIaiSAYjSantuceTblXzZgNEsvuvtqzJme9nWySNBg_Uzhhi21cb0FFisYBiBICkNzuNderjQikdw0v8S2SV=w1200|https://lh3.googleusercontent.com/pw/AP1GczOqF7RHGwwvQr4-jgjj6yMJATwLljSltsNQrv7fLAoddf1GmwV1V3M1c-7hhA02QUso2WvtsJSdXzdMOI7h4FBgQCWNoAba95kB3dH9aNPWeY1Lchzc=w1200|https://lh3.googleusercontent.com/pw/AP1GczOwtzxh8vUoaXK5b17kNO8vqjPLgivlbWLqL8PfvVasW_Cmp7ZWgKTWejrAMgCrA5CvLQqSnEaami39Fdr_8pFig8Utz5_9ScRVPwcjyLO0cQDVOg2w=w1200|https://lh3.googleusercontent.com/pw/AP1GczM4U0ldqAg3gas3keyvTJ2wlYqdNbylescpLBMA4tPYqcBsbhYVpto3ABmyMMS7x36ErWtiaVyTXkneS-kIW2aeCp_0pccp6bCNqg7c_h113s4aUJoi=w1200|https://lh3.googleusercontent.com/pw/AP1GczO9QtojhA-RFVvzulF8U3-y9fepn6EPhAeESE7_w1p-CQjlKYQWI6BNfnJ3O5r2ZoDzozpk-IrbyiBctfP1BZ4IgIRN7wWZ1NShk3Da2i78iNhnX-EM=w1200|https://lh3.googleusercontent.com/pw/AP1GczO2wnY4N0SUkD6iMZqDjO7LSj3hOdMSi9SDTuFv-PwaKgxxMWh9-ziR5z4yqd_9YBWXxhg0prod6spuoyvhSPMKve_iSwfWV8tNDWSpdiNhMNdIOycs=w1200|https://lh3.googleusercontent.com/pw/AP1GczP7q_iO21wU-oHgxYTz26pp2hHIHE95P6JgLNVCic6Y0jPD-BSKuLGXLHe-QOKxFka68XiVAbm1LcG4KxJCLKX6JyYOBjnYUem0D6RoK4qlTvicH4Rd=w1200|https://lh3.googleusercontent.com/pw/AP1GczMw-iObmOZuDxiqScu033X1jhOOJyZuRuWjICJtX3cGoWMtwtHRkTq-KTIAnW6heQJnWqU2U5klG6sqMTTBz9KMQJ4tFRGe8dNPKR6GVp7EioLOX7XQ=w1200|https://lh3.googleusercontent.com/pw/AP1GczMUcA5-36cHzAw9MsLWs4bS-ZTr_xPm7dimgMtiJ_kd5fjffrd2Nn6BiA_oNPZt0CtewYgyf5XVL_uelkwSMyKgmuemL6EAnE4zruE4-gV0tkuMo62u=w1200</v>
      </c>
      <c r="AJ517" s="46"/>
      <c r="AK517" s="46"/>
      <c r="AL517" s="46"/>
      <c r="AM517" s="46"/>
      <c r="AN517" s="46"/>
      <c r="AO517" s="46"/>
      <c r="AP517" s="46"/>
      <c r="AQ517" s="46"/>
      <c r="AR517" s="46"/>
      <c r="AS517" s="46"/>
      <c r="AT517" s="46"/>
      <c r="AU517" s="46"/>
      <c r="AV517" s="46"/>
      <c r="AW517" s="46"/>
      <c r="AX517" s="46"/>
      <c r="AY517" s="46"/>
      <c r="AZ517" s="46"/>
      <c r="BA517" s="46"/>
      <c r="BB517" s="46"/>
      <c r="BC517" s="46"/>
      <c r="BD517" s="46"/>
      <c r="BE517" s="46"/>
      <c r="BF517" s="46"/>
      <c r="BG517" s="46"/>
      <c r="BH517" s="46"/>
      <c r="BI517" s="46"/>
      <c r="BJ517" s="46"/>
      <c r="BK517" s="46"/>
      <c r="BL517" s="46"/>
      <c r="BM517" s="46"/>
      <c r="BN517" s="46"/>
      <c r="BO517" s="46"/>
      <c r="BP517" s="46"/>
      <c r="BQ517" s="46"/>
      <c r="BR517" s="46"/>
      <c r="BS517" s="46"/>
      <c r="BT517" s="46"/>
      <c r="BU517" s="46"/>
      <c r="BV517" s="46"/>
      <c r="BW517" s="46"/>
      <c r="BX517" s="46"/>
      <c r="BY517" s="46"/>
      <c r="BZ517" s="46"/>
      <c r="CA517" s="46"/>
      <c r="CB517" s="46"/>
      <c r="CC517" s="46"/>
    </row>
    <row r="518">
      <c r="A518" s="87" t="str">
        <f>IFERROR(__xludf.DUMMYFUNCTION("""COMPUTED_VALUE"""),"830")</f>
        <v>830</v>
      </c>
      <c r="B518" s="46" t="str">
        <f>IFERROR(__xludf.DUMMYFUNCTION("""COMPUTED_VALUE"""),"Casa en conjunto Carrado Los Rosales - Norte")</f>
        <v>Casa en conjunto Carrado Los Rosales - Norte</v>
      </c>
      <c r="C518" s="46" t="str">
        <f>IFERROR(__xludf.DUMMYFUNCTION("""COMPUTED_VALUE"""),"Casa en conjunto")</f>
        <v>Casa en conjunto</v>
      </c>
      <c r="D518" s="46" t="str">
        <f>IFERROR(__xludf.DUMMYFUNCTION("""COMPUTED_VALUE"""),"Tercer Milenio")</f>
        <v>Tercer Milenio</v>
      </c>
      <c r="E518" s="46" t="str">
        <f>IFERROR(__xludf.DUMMYFUNCTION("""COMPUTED_VALUE"""),"Conjunto cerrado Los Rosales")</f>
        <v>Conjunto cerrado Los Rosales</v>
      </c>
      <c r="F518" s="90">
        <f>IFERROR(__xludf.DUMMYFUNCTION("""COMPUTED_VALUE"""),3.6E8)</f>
        <v>360000000</v>
      </c>
      <c r="G518" s="46" t="str">
        <f>IFERROR(__xludf.DUMMYFUNCTION("""COMPUTED_VALUE"""),"$300'000.000 a $400'000.000")</f>
        <v>$300'000.000 a $400'000.000</v>
      </c>
      <c r="H518" s="46"/>
      <c r="I518" s="46"/>
      <c r="J518" s="46" t="str">
        <f>IFERROR(__xludf.DUMMYFUNCTION("""COMPUTED_VALUE"""),"Norte")</f>
        <v>Norte</v>
      </c>
      <c r="K518" s="87" t="str">
        <f>IFERROR(__xludf.DUMMYFUNCTION("""COMPUTED_VALUE"""),"6")</f>
        <v>6</v>
      </c>
      <c r="L518" s="46">
        <f>IFERROR(__xludf.DUMMYFUNCTION("""COMPUTED_VALUE"""),3.0)</f>
        <v>3</v>
      </c>
      <c r="M518" s="46"/>
      <c r="N518" s="46">
        <f>IFERROR(__xludf.DUMMYFUNCTION("""COMPUTED_VALUE"""),3.0)</f>
        <v>3</v>
      </c>
      <c r="O518" s="46">
        <f>IFERROR(__xludf.DUMMYFUNCTION("""COMPUTED_VALUE"""),1.0)</f>
        <v>1</v>
      </c>
      <c r="P518" s="46">
        <f>IFERROR(__xludf.DUMMYFUNCTION("""COMPUTED_VALUE"""),2.0)</f>
        <v>2</v>
      </c>
      <c r="Q518" s="92">
        <f>IFERROR(__xludf.DUMMYFUNCTION("""COMPUTED_VALUE"""),170.0)</f>
        <v>170</v>
      </c>
      <c r="R518" s="92">
        <f>IFERROR(__xludf.DUMMYFUNCTION("""COMPUTED_VALUE"""),105.0)</f>
        <v>105</v>
      </c>
      <c r="S518" s="87" t="str">
        <f>IFERROR(__xludf.DUMMYFUNCTION("""COMPUTED_VALUE""")," ")</f>
        <v> </v>
      </c>
      <c r="T518" s="46" t="str">
        <f>IFERROR(__xludf.DUMMYFUNCTION("""COMPUTED_VALUE"""),"Neiva")</f>
        <v>Neiva</v>
      </c>
      <c r="U518" s="87" t="str">
        <f>IFERROR(__xludf.DUMMYFUNCTION("""COMPUTED_VALUE"""),"4")</f>
        <v>4</v>
      </c>
      <c r="V518" s="46" t="str">
        <f>IFERROR(__xludf.DUMMYFUNCTION("""COMPUTED_VALUE"""),"Medianera")</f>
        <v>Medianera</v>
      </c>
      <c r="W518" s="46"/>
      <c r="X518" s="46">
        <f>IFERROR(__xludf.DUMMYFUNCTION("""COMPUTED_VALUE"""),3.0)</f>
        <v>3</v>
      </c>
      <c r="Y518" s="46" t="str">
        <f>IFERROR(__xludf.DUMMYFUNCTION("""COMPUTED_VALUE"""),"Social")</f>
        <v>Social</v>
      </c>
      <c r="Z518" s="90">
        <f>IFERROR(__xludf.DUMMYFUNCTION("""COMPUTED_VALUE"""),360000.0)</f>
        <v>360000</v>
      </c>
      <c r="AA518" s="33" t="str">
        <f>IFERROR(__xludf.DUMMYFUNCTION("""COMPUTED_VALUE"""),"No aplica")</f>
        <v>No aplica</v>
      </c>
      <c r="AB518" s="96" t="str">
        <f>IFERROR(__xludf.DUMMYFUNCTION("""COMPUTED_VALUE"""),"https://photos.app.goo.gl/M36yyHfWwJKpWiGZ7")</f>
        <v>https://photos.app.goo.gl/M36yyHfWwJKpWiGZ7</v>
      </c>
      <c r="AC518" s="46" t="str">
        <f>IFERROR(__xludf.DUMMYFUNCTION("""COMPUTED_VALUE"""),"Distribución: El primer piso cuenta con sala con vista a jardín privado, comedor, cocina integral tipo americano, baño social y habitación principal con baño privado. En el segundo nivel se encuentran dos habitaciones auxiliares con clósets y baño complet"&amp;"o")</f>
        <v>Distribución: El primer piso cuenta con sala con vista a jardín privado, comedor, cocina integral tipo americano, baño social y habitación principal con baño privado. En el segundo nivel se encuentran dos habitaciones auxiliares con clósets y baño completo</v>
      </c>
      <c r="AD518" s="46" t="str">
        <f>IFERROR(__xludf.DUMMYFUNCTION("""COMPUTED_VALUE"""),"Esta atractiva casa de dos niveles en el Conjunto Cerrado Los Rosales, al norte de Neiva, destaca por su ubicación estratégica cerca del centro comercial Único. estrato 4. La propiedad incluye parqueadero y acceso a excelentes zonas comunes con piscina, s"&amp;"alón social, juegos infantiles y vigilancia 247")</f>
        <v>Esta atractiva casa de dos niveles en el Conjunto Cerrado Los Rosales, al norte de Neiva, destaca por su ubicación estratégica cerca del centro comercial Único. estrato 4. La propiedad incluye parqueadero y acceso a excelentes zonas comunes con piscina, salón social, juegos infantiles y vigilancia 247</v>
      </c>
      <c r="AE518" s="46"/>
      <c r="AF518" s="46" t="str">
        <f>IFERROR(__xludf.DUMMYFUNCTION("""COMPUTED_VALUE"""),"integral")</f>
        <v>integral</v>
      </c>
      <c r="AG518" s="46"/>
      <c r="AH518" s="46" t="str">
        <f>IFERROR(__xludf.DUMMYFUNCTION("""COMPUTED_VALUE"""),"Aliado")</f>
        <v>Aliado</v>
      </c>
      <c r="AI518" s="92" t="str">
        <f>IFERROR(__xludf.DUMMYFUNCTION("""COMPUTED_VALUE"""),"https://lh3.googleusercontent.com/pw/AP1GczOwrkO3ZJLP8VR5ctWvm4621JPQsVg6LALgQO36SkJz-atg4iVr7F6RXYG25pLiA_tQrBBp6sUYPaWu_tmrcpckZ2rg1L3h_Gcc3bznNBnBrJE43raq=w1200|https://lh3.googleusercontent.com/pw/AP1GczPRJmgG0Kutv0x_-sTB5iwjkKBMF_fE8uIvJOKDi16l5xgpKl"&amp;"qvT9mrc6iyRK7jC0J5sLOktUcz1cqCQDK4hm0jlAfxTCONzKnB28KqrMcJRBVg9nv9=w1200|https://lh3.googleusercontent.com/pw/AP1GczOBr-cLYmZoKiNMVTJoGbWmClCs67S-SLkGxD8gTu0ztYJtGsBBCXFDi1Sogu5x-zxJ-iDsWjvJOcmA2zEOsdkUQwrOAnCmMc7_Vukmb4bVDaffopsb=w1200|https://lh3.google"&amp;"usercontent.com/pw/AP1GczMVI0lOYRPMkW8AqTCMYPXn2E6VmrmS6TLfq20d7yCWqCQ8Fsb6HCDLnocg3R3t0dmipw-YJylRbUNL1UKLsV535e4FxrQyz9nZNTRxWrOkm2KKDBLs=w1200|https://lh3.googleusercontent.com/pw/AP1GczO_Kxdt2S8hf0haafwWuWm49o7OSZGE2H36xo-n9ydLbGK9xVJPs0VF9AICRzencb4i"&amp;"R7E32Vob_3oKWp-9Z_qixNsU6M6V2JZL6OP6O76mIZ9y36gp=w1200|https://lh3.googleusercontent.com/pw/AP1GczPw1faEQnbliAewXBOtIvVnHjN5phQOU_u1VxZ5H5pwp79uMmE0aP1V172tGvDO2XT9g_XJLssKa7FwxT_hiBSlpNFass2WMfx7EiFkCM-EKiKbww0z=w1200|https://lh3.googleusercontent.com/pw"&amp;"/AP1GczPgsR85rJtC0HJVRAVsCpuhP2MNoQhaXtd7PhzHY5AeQOaXvWAhl-iKmGRskP8GQcpdDE6Fl-6fKucICEOmFhee6aVXRMmd9AoAkASsVxpzkmC9xw2W=w1200|https://lh3.googleusercontent.com/pw/AP1GczNbVex9yj-bKdNfMpW8A9uK7g6Z-Ps4MxQkP0r2ZcJI8f6U-6bDV4SbYT8TiwsUVW09B0xQDHxCdmBwei0Jtd"&amp;"FdXE2pvPvZke1TOVK7P1xip8jjjldD=w1200|https://lh3.googleusercontent.com/pw/AP1GczPrUtXYpnJk59pF6oCc-SsfW5rv4pSt5WlW_RaCgmAu22Te79daiehxXLfIw2K0w55bsND3FEyUinkZNSAELj2MVXps6xXR5iGoC-AcW-VT9OtCu_Ch=w1200|https://lh3.googleusercontent.com/pw/AP1GczMPD1yZ0WgZm"&amp;"OD-LCBcHnEda5V38ZEl0eWo88BQ0RXy3Fq4FeUXsS88FsdAkRn0CJgdbdTE2BszJaSqwQiwin0pXON4H2lQ9HE3lFP5NAIhMfmkvktc=w1200|https://lh3.googleusercontent.com/pw/AP1GczPUCZM7k7PEe3Fvwz_-p8rHFlp5Rwe-s7Eueu4e30lKSPRx-3uRoAgOqn329BZc9gKJJAYabfaCCIAdLg1gYtSFkbcjbW4XHusp_Mvr"&amp;"mdGwxsH5a0lC=w1200|https://lh3.googleusercontent.com/pw/AP1GczP39C5oxW_RnfmheDQXkcLTS_J72bAWgkPuzDwchiDexGM4CgUiR4t9Egy8dr9BSrs-zFTkx9yq9lXh5Z9OzsEqssSHE2vN_Mzc8k19nWNI194J_paN=w1200|https://lh3.googleusercontent.com/pw/AP1GczO2akCyFt30tens7KXNH-xbz3y8Cwd"&amp;"6aXOQ7DAyXBLZxjYcjKj4ush0niQ-nmo404qWqdfow2JrSB6nl2hBPgdbVb58dRkMq49HTi6R9hrUVl5Kmf65=w1200|https://lh3.googleusercontent.com/pw/AP1GczP5cALB6kwXa5p9BJIeDbW0Hy0wlXWDyJjBE8cJzDHK2ENHdf80JNR_NBaJAWBqMoLEeSgeiQdGJ236zgHF_bzGoaHSVNnsZncJaibnYhLWuvqxskND=w1200"&amp;"|https://lh3.googleusercontent.com/pw/AP1GczPIXZK_r-GDCDLj3rtpiy0xQHVLLT74qTETdFuQ1pi1XBpCB6hr7VLjOT1hc8SLYfoqKBtOSHVNUC8tvViyPtm_sw1mIuznu_90YJFgJsjEst2oYCYQ=w1200|https://lh3.googleusercontent.com/pw/AP1GczPJV_DVquKO4oB1d-Iw0BlvcOVCZnXNKZ36Ci8QaZKgceqSB"&amp;"mS-2y4sYifRntm1YGFY9VId9E_7kSFXBbl7aAew5OFfp0GsCP2_s4eVmHiO0B0_8Rgw=w1200|https://lh3.googleusercontent.com/pw/AP1GczM6yqxVk1-NztL4ydmv44McfTxHfQ2iU1RhcNuiT7kCioy3n5cYGgcbVcTKhyQFCpXw0G_SF31jhlw_Nf0NWT1mkV-zJ1R1jL73gg9OVkzliCKxvQ9E=w1200|https://lh3.googl"&amp;"eusercontent.com/pw/AP1GczNq0YN6JmYjSLM5hFHsT137RHWUzZzE7kRR_9jeeYaNFUL9ji81j9KM1PepbxCg8XntYYYEocBf6bSC2OLWl7QcOIzmWppRtVewMyI7rb3AfjelHLrU=w1200|https://lh3.googleusercontent.com/pw/AP1GczMSGjlkgnnIToALSswOd_U4lDAZInDlEtncjURH2u90bdCrMUHKWRB2Rr_dbe9b3c4"&amp;"ozJZpV8dePMgm_UI2w1lufBv0SNs0oefWR_rt_XGjV88lFNHQ=w1200|https://lh3.googleusercontent.com/pw/AP1GczMUi-rnIzwhApFFYnmcb8ltAyd6gw_sPY9WjFLmYMQ6pfs57BfKysGxhDpnfOtHjgd_dqFnzfFNCQJFS2CoU3az85brcC2g9uu_WuuKB0ayzrPN6W1p=w1200|https://lh3.googleusercontent.com/p"&amp;"w/AP1GczOkbfmf_1HBKvGGCGqIbhtRoeDGLMbOZLVL9KKceNoLQAcpUKh1oPeVIhs1Q7wTYe55y4kAptdrcpU03kBOcj2KmKLT3vvIbWXxQHZJryEbx-XV8kM0=w1200|https://lh3.googleusercontent.com/pw/AP1GczNWa7f4oBJ544C0hv0HODh0B9QkkmJ3sPB18gR6dRLC-GpFEb5v-aeBspzV4tKIzhewFCxIV93omimoydIgs"&amp;"8ZnL7UZmhDCxM4L3_5Dfg34vRu-sVQ4=w1200|https://lh3.googleusercontent.com/pw/AP1GczOinEY2KiUZK6WvE3scRvqr7TUD1FQ8n_MIfVwOj2HH7CDoBxwpp-B6BnYheZMgvKGyXnsqOLjbBT_Ss2cJvsl6qCPlLyYOr_8SbJspYZHs0wfERXYC=w1200")</f>
        <v>https://lh3.googleusercontent.com/pw/AP1GczOwrkO3ZJLP8VR5ctWvm4621JPQsVg6LALgQO36SkJz-atg4iVr7F6RXYG25pLiA_tQrBBp6sUYPaWu_tmrcpckZ2rg1L3h_Gcc3bznNBnBrJE43raq=w1200|https://lh3.googleusercontent.com/pw/AP1GczPRJmgG0Kutv0x_-sTB5iwjkKBMF_fE8uIvJOKDi16l5xgpKlqvT9mrc6iyRK7jC0J5sLOktUcz1cqCQDK4hm0jlAfxTCONzKnB28KqrMcJRBVg9nv9=w1200|https://lh3.googleusercontent.com/pw/AP1GczOBr-cLYmZoKiNMVTJoGbWmClCs67S-SLkGxD8gTu0ztYJtGsBBCXFDi1Sogu5x-zxJ-iDsWjvJOcmA2zEOsdkUQwrOAnCmMc7_Vukmb4bVDaffopsb=w1200|https://lh3.googleusercontent.com/pw/AP1GczMVI0lOYRPMkW8AqTCMYPXn2E6VmrmS6TLfq20d7yCWqCQ8Fsb6HCDLnocg3R3t0dmipw-YJylRbUNL1UKLsV535e4FxrQyz9nZNTRxWrOkm2KKDBLs=w1200|https://lh3.googleusercontent.com/pw/AP1GczO_Kxdt2S8hf0haafwWuWm49o7OSZGE2H36xo-n9ydLbGK9xVJPs0VF9AICRzencb4iR7E32Vob_3oKWp-9Z_qixNsU6M6V2JZL6OP6O76mIZ9y36gp=w1200|https://lh3.googleusercontent.com/pw/AP1GczPw1faEQnbliAewXBOtIvVnHjN5phQOU_u1VxZ5H5pwp79uMmE0aP1V172tGvDO2XT9g_XJLssKa7FwxT_hiBSlpNFass2WMfx7EiFkCM-EKiKbww0z=w1200|https://lh3.googleusercontent.com/pw/AP1GczPgsR85rJtC0HJVRAVsCpuhP2MNoQhaXtd7PhzHY5AeQOaXvWAhl-iKmGRskP8GQcpdDE6Fl-6fKucICEOmFhee6aVXRMmd9AoAkASsVxpzkmC9xw2W=w1200|https://lh3.googleusercontent.com/pw/AP1GczNbVex9yj-bKdNfMpW8A9uK7g6Z-Ps4MxQkP0r2ZcJI8f6U-6bDV4SbYT8TiwsUVW09B0xQDHxCdmBwei0JtdFdXE2pvPvZke1TOVK7P1xip8jjjldD=w1200|https://lh3.googleusercontent.com/pw/AP1GczPrUtXYpnJk59pF6oCc-SsfW5rv4pSt5WlW_RaCgmAu22Te79daiehxXLfIw2K0w55bsND3FEyUinkZNSAELj2MVXps6xXR5iGoC-AcW-VT9OtCu_Ch=w1200|https://lh3.googleusercontent.com/pw/AP1GczMPD1yZ0WgZmOD-LCBcHnEda5V38ZEl0eWo88BQ0RXy3Fq4FeUXsS88FsdAkRn0CJgdbdTE2BszJaSqwQiwin0pXON4H2lQ9HE3lFP5NAIhMfmkvktc=w1200|https://lh3.googleusercontent.com/pw/AP1GczPUCZM7k7PEe3Fvwz_-p8rHFlp5Rwe-s7Eueu4e30lKSPRx-3uRoAgOqn329BZc9gKJJAYabfaCCIAdLg1gYtSFkbcjbW4XHusp_MvrmdGwxsH5a0lC=w1200|https://lh3.googleusercontent.com/pw/AP1GczP39C5oxW_RnfmheDQXkcLTS_J72bAWgkPuzDwchiDexGM4CgUiR4t9Egy8dr9BSrs-zFTkx9yq9lXh5Z9OzsEqssSHE2vN_Mzc8k19nWNI194J_paN=w1200|https://lh3.googleusercontent.com/pw/AP1GczO2akCyFt30tens7KXNH-xbz3y8Cwd6aXOQ7DAyXBLZxjYcjKj4ush0niQ-nmo404qWqdfow2JrSB6nl2hBPgdbVb58dRkMq49HTi6R9hrUVl5Kmf65=w1200|https://lh3.googleusercontent.com/pw/AP1GczP5cALB6kwXa5p9BJIeDbW0Hy0wlXWDyJjBE8cJzDHK2ENHdf80JNR_NBaJAWBqMoLEeSgeiQdGJ236zgHF_bzGoaHSVNnsZncJaibnYhLWuvqxskND=w1200|https://lh3.googleusercontent.com/pw/AP1GczPIXZK_r-GDCDLj3rtpiy0xQHVLLT74qTETdFuQ1pi1XBpCB6hr7VLjOT1hc8SLYfoqKBtOSHVNUC8tvViyPtm_sw1mIuznu_90YJFgJsjEst2oYCYQ=w1200|https://lh3.googleusercontent.com/pw/AP1GczPJV_DVquKO4oB1d-Iw0BlvcOVCZnXNKZ36Ci8QaZKgceqSBmS-2y4sYifRntm1YGFY9VId9E_7kSFXBbl7aAew5OFfp0GsCP2_s4eVmHiO0B0_8Rgw=w1200|https://lh3.googleusercontent.com/pw/AP1GczM6yqxVk1-NztL4ydmv44McfTxHfQ2iU1RhcNuiT7kCioy3n5cYGgcbVcTKhyQFCpXw0G_SF31jhlw_Nf0NWT1mkV-zJ1R1jL73gg9OVkzliCKxvQ9E=w1200|https://lh3.googleusercontent.com/pw/AP1GczNq0YN6JmYjSLM5hFHsT137RHWUzZzE7kRR_9jeeYaNFUL9ji81j9KM1PepbxCg8XntYYYEocBf6bSC2OLWl7QcOIzmWppRtVewMyI7rb3AfjelHLrU=w1200|https://lh3.googleusercontent.com/pw/AP1GczMSGjlkgnnIToALSswOd_U4lDAZInDlEtncjURH2u90bdCrMUHKWRB2Rr_dbe9b3c4ozJZpV8dePMgm_UI2w1lufBv0SNs0oefWR_rt_XGjV88lFNHQ=w1200|https://lh3.googleusercontent.com/pw/AP1GczMUi-rnIzwhApFFYnmcb8ltAyd6gw_sPY9WjFLmYMQ6pfs57BfKysGxhDpnfOtHjgd_dqFnzfFNCQJFS2CoU3az85brcC2g9uu_WuuKB0ayzrPN6W1p=w1200|https://lh3.googleusercontent.com/pw/AP1GczOkbfmf_1HBKvGGCGqIbhtRoeDGLMbOZLVL9KKceNoLQAcpUKh1oPeVIhs1Q7wTYe55y4kAptdrcpU03kBOcj2KmKLT3vvIbWXxQHZJryEbx-XV8kM0=w1200|https://lh3.googleusercontent.com/pw/AP1GczNWa7f4oBJ544C0hv0HODh0B9QkkmJ3sPB18gR6dRLC-GpFEb5v-aeBspzV4tKIzhewFCxIV93omimoydIgs8ZnL7UZmhDCxM4L3_5Dfg34vRu-sVQ4=w1200|https://lh3.googleusercontent.com/pw/AP1GczOinEY2KiUZK6WvE3scRvqr7TUD1FQ8n_MIfVwOj2HH7CDoBxwpp-B6BnYheZMgvKGyXnsqOLjbBT_Ss2cJvsl6qCPlLyYOr_8SbJspYZHs0wfERXYC=w1200</v>
      </c>
      <c r="AJ518" s="46"/>
      <c r="AK518" s="46"/>
      <c r="AL518" s="46"/>
      <c r="AM518" s="46"/>
      <c r="AN518" s="46"/>
      <c r="AO518" s="46"/>
      <c r="AP518" s="46"/>
      <c r="AQ518" s="46"/>
      <c r="AR518" s="46"/>
      <c r="AS518" s="46"/>
      <c r="AT518" s="46"/>
      <c r="AU518" s="46"/>
      <c r="AV518" s="46"/>
      <c r="AW518" s="46"/>
      <c r="AX518" s="46"/>
      <c r="AY518" s="46"/>
      <c r="AZ518" s="46"/>
      <c r="BA518" s="46"/>
      <c r="BB518" s="46"/>
      <c r="BC518" s="46"/>
      <c r="BD518" s="46"/>
      <c r="BE518" s="46"/>
      <c r="BF518" s="46"/>
      <c r="BG518" s="46"/>
      <c r="BH518" s="46"/>
      <c r="BI518" s="46"/>
      <c r="BJ518" s="46"/>
      <c r="BK518" s="46"/>
      <c r="BL518" s="46"/>
      <c r="BM518" s="46"/>
      <c r="BN518" s="46"/>
      <c r="BO518" s="46"/>
      <c r="BP518" s="46"/>
      <c r="BQ518" s="46"/>
      <c r="BR518" s="46"/>
      <c r="BS518" s="46"/>
      <c r="BT518" s="46"/>
      <c r="BU518" s="46"/>
      <c r="BV518" s="46"/>
      <c r="BW518" s="46"/>
      <c r="BX518" s="46"/>
      <c r="BY518" s="46"/>
      <c r="BZ518" s="46"/>
      <c r="CA518" s="46"/>
      <c r="CB518" s="46"/>
      <c r="CC518" s="46"/>
    </row>
    <row r="519">
      <c r="A519" s="87" t="str">
        <f>IFERROR(__xludf.DUMMYFUNCTION("""COMPUTED_VALUE"""),"357")</f>
        <v>357</v>
      </c>
      <c r="B519" s="46" t="str">
        <f>IFERROR(__xludf.DUMMYFUNCTION("""COMPUTED_VALUE"""),"Casa lote en barrio Chapinero - Centro")</f>
        <v>Casa lote en barrio Chapinero - Centro</v>
      </c>
      <c r="C519" s="46" t="str">
        <f>IFERROR(__xludf.DUMMYFUNCTION("""COMPUTED_VALUE"""),"Casa lote")</f>
        <v>Casa lote</v>
      </c>
      <c r="D519" s="46" t="str">
        <f>IFERROR(__xludf.DUMMYFUNCTION("""COMPUTED_VALUE"""),"Chapinero")</f>
        <v>Chapinero</v>
      </c>
      <c r="E519" s="46"/>
      <c r="F519" s="90">
        <f>IFERROR(__xludf.DUMMYFUNCTION("""COMPUTED_VALUE"""),3.6E8)</f>
        <v>360000000</v>
      </c>
      <c r="G519" s="46" t="str">
        <f>IFERROR(__xludf.DUMMYFUNCTION("""COMPUTED_VALUE"""),"$300'000.000 a $400'000.000")</f>
        <v>$300'000.000 a $400'000.000</v>
      </c>
      <c r="H519" s="46"/>
      <c r="I519" s="46"/>
      <c r="J519" s="46" t="str">
        <f>IFERROR(__xludf.DUMMYFUNCTION("""COMPUTED_VALUE"""),"Centro")</f>
        <v>Centro</v>
      </c>
      <c r="K519" s="87"/>
      <c r="L519" s="46">
        <f>IFERROR(__xludf.DUMMYFUNCTION("""COMPUTED_VALUE"""),2.0)</f>
        <v>2</v>
      </c>
      <c r="M519" s="46"/>
      <c r="N519" s="46">
        <f>IFERROR(__xludf.DUMMYFUNCTION("""COMPUTED_VALUE"""),2.0)</f>
        <v>2</v>
      </c>
      <c r="O519" s="46">
        <f>IFERROR(__xludf.DUMMYFUNCTION("""COMPUTED_VALUE"""),0.0)</f>
        <v>0</v>
      </c>
      <c r="P519" s="46">
        <f>IFERROR(__xludf.DUMMYFUNCTION("""COMPUTED_VALUE"""),1.0)</f>
        <v>1</v>
      </c>
      <c r="Q519" s="92">
        <f>IFERROR(__xludf.DUMMYFUNCTION("""COMPUTED_VALUE"""),96.0)</f>
        <v>96</v>
      </c>
      <c r="R519" s="92">
        <f>IFERROR(__xludf.DUMMYFUNCTION("""COMPUTED_VALUE"""),105.0)</f>
        <v>105</v>
      </c>
      <c r="S519" s="87" t="str">
        <f>IFERROR(__xludf.DUMMYFUNCTION("""COMPUTED_VALUE""")," ")</f>
        <v> </v>
      </c>
      <c r="T519" s="46" t="str">
        <f>IFERROR(__xludf.DUMMYFUNCTION("""COMPUTED_VALUE"""),"Neiva")</f>
        <v>Neiva</v>
      </c>
      <c r="U519" s="87" t="str">
        <f>IFERROR(__xludf.DUMMYFUNCTION("""COMPUTED_VALUE"""),"2")</f>
        <v>2</v>
      </c>
      <c r="V519" s="46" t="str">
        <f>IFERROR(__xludf.DUMMYFUNCTION("""COMPUTED_VALUE"""),"Medianera")</f>
        <v>Medianera</v>
      </c>
      <c r="W519" s="46"/>
      <c r="X519" s="46">
        <f>IFERROR(__xludf.DUMMYFUNCTION("""COMPUTED_VALUE"""),0.0)</f>
        <v>0</v>
      </c>
      <c r="Y519" s="46" t="str">
        <f>IFERROR(__xludf.DUMMYFUNCTION("""COMPUTED_VALUE"""),"No tiene")</f>
        <v>No tiene</v>
      </c>
      <c r="Z519" s="90" t="str">
        <f>IFERROR(__xludf.DUMMYFUNCTION("""COMPUTED_VALUE"""),"No aplica")</f>
        <v>No aplica</v>
      </c>
      <c r="AA519" s="33" t="str">
        <f>IFERROR(__xludf.DUMMYFUNCTION("""COMPUTED_VALUE"""),"No aplica")</f>
        <v>No aplica</v>
      </c>
      <c r="AB519" s="96" t="str">
        <f>IFERROR(__xludf.DUMMYFUNCTION("""COMPUTED_VALUE"""),"https://photos.app.goo.gl/i9jzihSSdyDgcVwj9")</f>
        <v>https://photos.app.goo.gl/i9jzihSSdyDgcVwj9</v>
      </c>
      <c r="AC519" s="46" t="str">
        <f>IFERROR(__xludf.DUMMYFUNCTION("""COMPUTED_VALUE"""),"Cerca de la Tienda Ara Tenerife Chapinero, diagonal al Supermercado Popular Chapinero, en su entorno cercano está el Comando De Policía Metropolitana de Neiva, la I.E. CEINAR - sede renaciendo, Batallón De Servicios ASPC No. 9, la Institución Educativa Na"&amp;"cional Santa Librada, el Parque Campo Nuñez, la Iglesia de Campo Núñez Altísimo, la Parroquia Nuestra Señora del Perpetuo Socorro, la Fundación Universitaria María Cano Neiva. Lo que la convierte en una oportunidad con gran proyección.")</f>
        <v>Cerca de la Tienda Ara Tenerife Chapinero, diagonal al Supermercado Popular Chapinero, en su entorno cercano está el Comando De Policía Metropolitana de Neiva, la I.E. CEINAR - sede renaciendo, Batallón De Servicios ASPC No. 9, la Institución Educativa Nacional Santa Librada, el Parque Campo Nuñez, la Iglesia de Campo Núñez Altísimo, la Parroquia Nuestra Señora del Perpetuo Socorro, la Fundación Universitaria María Cano Neiva. Lo que la convierte en una oportunidad con gran proyección.</v>
      </c>
      <c r="AD519" s="46" t="str">
        <f>IFERROR(__xludf.DUMMYFUNCTION("""COMPUTED_VALUE"""),"Casa lote en venta sobre vía principal de Neiva, ideal para remodelar o desarrollar un proyecto comercial y de servicios gracias a su estratégica ubicación en zona urbana de alto flujo. Cuenta con 105 metros cuadrados, 2 habitaciones, 2 baños, cocina abie"&amp;"rta, gas natural, todos los servicios públicos.")</f>
        <v>Casa lote en venta sobre vía principal de Neiva, ideal para remodelar o desarrollar un proyecto comercial y de servicios gracias a su estratégica ubicación en zona urbana de alto flujo. Cuenta con 105 metros cuadrados, 2 habitaciones, 2 baños, cocina abierta, gas natural, todos los servicios públicos.</v>
      </c>
      <c r="AE519" s="46"/>
      <c r="AF519" s="46">
        <f>IFERROR(__xludf.DUMMYFUNCTION("""COMPUTED_VALUE"""),0.0)</f>
        <v>0</v>
      </c>
      <c r="AG519" s="46"/>
      <c r="AH519" s="46" t="str">
        <f>IFERROR(__xludf.DUMMYFUNCTION("""COMPUTED_VALUE"""),"Aliado")</f>
        <v>Aliado</v>
      </c>
      <c r="AI519" s="92" t="str">
        <f>IFERROR(__xludf.DUMMYFUNCTION("""COMPUTED_VALUE"""),"https://lh3.googleusercontent.com/pw/AP1GczM2NNOpDiw3cOQeLlMkJaPmb5XbX2JX4VYOXPfsvE4mt3kkwCavdW-iuSxFpfNF9tagiHV5m5-7MjsZI-VVqF28orG2V4_57zgmg89RFyNHub_cSl6H=w1200|https://lh3.googleusercontent.com/pw/AP1GczPAaiC5SPvd452rcuEra25gL02CQpn6YJKD5fMgRKFGmdMfhy"&amp;"nCHtuobjRbK9gbgbmif_ItGowB3X721Vw-eHwiZsrxolejhD9b3TIt2Uf7yqrER1Am=w1200|https://lh3.googleusercontent.com/pw/AP1GczO8fbA_ZTaSv1L1xbHVUgUfDdF9mkR3hSJnt712jiV_C0LrXfRD7YaVUbVWi4UVIFjcQDvH5jKBWVwbKpEOWxKpDiFe8t9Rm4ajToqw2xTunAuSyRfi=w1200|https://lh3.google"&amp;"usercontent.com/pw/AP1GczM_960oO4qNEWCdWc_5ARuKKNaDFwxRkY4jN6FigNa8YyMuDhAgv17syCmeeHXARyxhCySGyQSGzvsAYsm4bZnStCaTtVotn3WfpqvAsrRsK3oFvFA-=w1200|https://lh3.googleusercontent.com/pw/AP1GczPTlSCRj8bUIj8yGoWYrKej_HB4fi-q8jD4Jp5A143I_5rLO64BwgC0-sowOrmNzBf0"&amp;"x1h3wpCkXNGjhLtWSqEJiJz_8HSIEhk9Ti2hs4usrdu6GJa5=w1200|https://lh3.googleusercontent.com/pw/AP1GczPEOie14n41_zrILeesDl3dhMtNa_zuH2b3TFisn3Tng0b3oeXdimD9iGe5My59_Lj_2IPOUv0nkoAkS8pbHpxy9rD2ki80BIWu2cFCLC6_-vNEqLQx=w1200|https://lh3.googleusercontent.com/pw"&amp;"/AP1GczO3tEUJA5Mk_0Pt236UPpPSwEXEcwqIhzNftqIk-IipVfORueLZSTwBx4N4dap2o_a7Dpk6TeJFXtcL8Lg28wJABjxN7qjO5j_d7SqvYAtC5GlBAlRf=w1200")</f>
        <v>https://lh3.googleusercontent.com/pw/AP1GczM2NNOpDiw3cOQeLlMkJaPmb5XbX2JX4VYOXPfsvE4mt3kkwCavdW-iuSxFpfNF9tagiHV5m5-7MjsZI-VVqF28orG2V4_57zgmg89RFyNHub_cSl6H=w1200|https://lh3.googleusercontent.com/pw/AP1GczPAaiC5SPvd452rcuEra25gL02CQpn6YJKD5fMgRKFGmdMfhynCHtuobjRbK9gbgbmif_ItGowB3X721Vw-eHwiZsrxolejhD9b3TIt2Uf7yqrER1Am=w1200|https://lh3.googleusercontent.com/pw/AP1GczO8fbA_ZTaSv1L1xbHVUgUfDdF9mkR3hSJnt712jiV_C0LrXfRD7YaVUbVWi4UVIFjcQDvH5jKBWVwbKpEOWxKpDiFe8t9Rm4ajToqw2xTunAuSyRfi=w1200|https://lh3.googleusercontent.com/pw/AP1GczM_960oO4qNEWCdWc_5ARuKKNaDFwxRkY4jN6FigNa8YyMuDhAgv17syCmeeHXARyxhCySGyQSGzvsAYsm4bZnStCaTtVotn3WfpqvAsrRsK3oFvFA-=w1200|https://lh3.googleusercontent.com/pw/AP1GczPTlSCRj8bUIj8yGoWYrKej_HB4fi-q8jD4Jp5A143I_5rLO64BwgC0-sowOrmNzBf0x1h3wpCkXNGjhLtWSqEJiJz_8HSIEhk9Ti2hs4usrdu6GJa5=w1200|https://lh3.googleusercontent.com/pw/AP1GczPEOie14n41_zrILeesDl3dhMtNa_zuH2b3TFisn3Tng0b3oeXdimD9iGe5My59_Lj_2IPOUv0nkoAkS8pbHpxy9rD2ki80BIWu2cFCLC6_-vNEqLQx=w1200|https://lh3.googleusercontent.com/pw/AP1GczO3tEUJA5Mk_0Pt236UPpPSwEXEcwqIhzNftqIk-IipVfORueLZSTwBx4N4dap2o_a7Dpk6TeJFXtcL8Lg28wJABjxN7qjO5j_d7SqvYAtC5GlBAlRf=w1200</v>
      </c>
      <c r="AJ519" s="46"/>
      <c r="AK519" s="46"/>
      <c r="AL519" s="46"/>
      <c r="AM519" s="46"/>
      <c r="AN519" s="46"/>
      <c r="AO519" s="46"/>
      <c r="AP519" s="46"/>
      <c r="AQ519" s="46"/>
      <c r="AR519" s="46"/>
      <c r="AS519" s="46"/>
      <c r="AT519" s="46"/>
      <c r="AU519" s="46"/>
      <c r="AV519" s="46"/>
      <c r="AW519" s="46"/>
      <c r="AX519" s="46"/>
      <c r="AY519" s="46"/>
      <c r="AZ519" s="46"/>
      <c r="BA519" s="46"/>
      <c r="BB519" s="46"/>
      <c r="BC519" s="46"/>
      <c r="BD519" s="46"/>
      <c r="BE519" s="46"/>
      <c r="BF519" s="46"/>
      <c r="BG519" s="46"/>
      <c r="BH519" s="46"/>
      <c r="BI519" s="46"/>
      <c r="BJ519" s="46"/>
      <c r="BK519" s="46"/>
      <c r="BL519" s="46"/>
      <c r="BM519" s="46"/>
      <c r="BN519" s="46"/>
      <c r="BO519" s="46"/>
      <c r="BP519" s="46"/>
      <c r="BQ519" s="46"/>
      <c r="BR519" s="46"/>
      <c r="BS519" s="46"/>
      <c r="BT519" s="46"/>
      <c r="BU519" s="46"/>
      <c r="BV519" s="46"/>
      <c r="BW519" s="46"/>
      <c r="BX519" s="46"/>
      <c r="BY519" s="46"/>
      <c r="BZ519" s="46"/>
      <c r="CA519" s="46"/>
      <c r="CB519" s="46"/>
      <c r="CC519" s="46"/>
    </row>
    <row r="520">
      <c r="A520" s="46">
        <f>IFERROR(__xludf.DUMMYFUNCTION("""COMPUTED_VALUE"""),843.0)</f>
        <v>843</v>
      </c>
      <c r="B520" s="46" t="str">
        <f>IFERROR(__xludf.DUMMYFUNCTION("""COMPUTED_VALUE"""),"Casa en barrio Candido Leguizamo")</f>
        <v>Casa en barrio Candido Leguizamo</v>
      </c>
      <c r="C520" s="46" t="str">
        <f>IFERROR(__xludf.DUMMYFUNCTION("""COMPUTED_VALUE"""),"Casa")</f>
        <v>Casa</v>
      </c>
      <c r="D520" s="46" t="str">
        <f>IFERROR(__xludf.DUMMYFUNCTION("""COMPUTED_VALUE"""),"Cándido")</f>
        <v>Cándido</v>
      </c>
      <c r="E520" s="46"/>
      <c r="F520" s="90">
        <f>IFERROR(__xludf.DUMMYFUNCTION("""COMPUTED_VALUE"""),3.45E8)</f>
        <v>345000000</v>
      </c>
      <c r="G520" s="46" t="str">
        <f>IFERROR(__xludf.DUMMYFUNCTION("""COMPUTED_VALUE"""),"$300'000.000 a $400'000.000")</f>
        <v>$300'000.000 a $400'000.000</v>
      </c>
      <c r="H520" s="46"/>
      <c r="I520" s="46"/>
      <c r="J520" s="46" t="str">
        <f>IFERROR(__xludf.DUMMYFUNCTION("""COMPUTED_VALUE"""),"Norte")</f>
        <v>Norte</v>
      </c>
      <c r="K520" s="46">
        <f>IFERROR(__xludf.DUMMYFUNCTION("""COMPUTED_VALUE"""),1.0)</f>
        <v>1</v>
      </c>
      <c r="L520" s="46">
        <f>IFERROR(__xludf.DUMMYFUNCTION("""COMPUTED_VALUE"""),3.0)</f>
        <v>3</v>
      </c>
      <c r="M520" s="46"/>
      <c r="N520" s="46">
        <f>IFERROR(__xludf.DUMMYFUNCTION("""COMPUTED_VALUE"""),2.0)</f>
        <v>2</v>
      </c>
      <c r="O520" s="46">
        <f>IFERROR(__xludf.DUMMYFUNCTION("""COMPUTED_VALUE"""),1.0)</f>
        <v>1</v>
      </c>
      <c r="P520" s="46">
        <f>IFERROR(__xludf.DUMMYFUNCTION("""COMPUTED_VALUE"""),1.0)</f>
        <v>1</v>
      </c>
      <c r="Q520" s="92">
        <f>IFERROR(__xludf.DUMMYFUNCTION("""COMPUTED_VALUE"""),170.0)</f>
        <v>170</v>
      </c>
      <c r="R520" s="92">
        <f>IFERROR(__xludf.DUMMYFUNCTION("""COMPUTED_VALUE"""),170.0)</f>
        <v>170</v>
      </c>
      <c r="S520" s="46"/>
      <c r="T520" s="46" t="str">
        <f>IFERROR(__xludf.DUMMYFUNCTION("""COMPUTED_VALUE"""),"Neiva")</f>
        <v>Neiva</v>
      </c>
      <c r="U520" s="46">
        <f>IFERROR(__xludf.DUMMYFUNCTION("""COMPUTED_VALUE"""),2.0)</f>
        <v>2</v>
      </c>
      <c r="V520" s="46" t="str">
        <f>IFERROR(__xludf.DUMMYFUNCTION("""COMPUTED_VALUE"""),"Medianera")</f>
        <v>Medianera</v>
      </c>
      <c r="W520" s="46"/>
      <c r="X520" s="46">
        <f>IFERROR(__xludf.DUMMYFUNCTION("""COMPUTED_VALUE"""),1.0)</f>
        <v>1</v>
      </c>
      <c r="Y520" s="46"/>
      <c r="Z520" s="46"/>
      <c r="AA520" s="33" t="str">
        <f>IFERROR(__xludf.DUMMYFUNCTION("""COMPUTED_VALUE"""),"No aplica")</f>
        <v>No aplica</v>
      </c>
      <c r="AB520" s="96" t="str">
        <f>IFERROR(__xludf.DUMMYFUNCTION("""COMPUTED_VALUE"""),"https://photos.app.goo.gl/DtEiqKxciueMycZQ8")</f>
        <v>https://photos.app.goo.gl/DtEiqKxciueMycZQ8</v>
      </c>
      <c r="AC520" s="46" t="str">
        <f>IFERROR(__xludf.DUMMYFUNCTION("""COMPUTED_VALUE"""),"Casa completamente remodelada, lista para habitar. Toda la propiedad fue remodelada, incluyendo techo y sistema de alcantarillado totalmente nuevos, brindando mayor seguridad, tranquilidad y valorización a largo plazo. Cuenta con 3 habitaciones, la princi"&amp;"pal con baño privado y clóset, amplios y acogedores espacios de sala y comedor, sala de televisión independiente, moderna cocina semi-integral nueva, patio de ropas, baño social y garaje con capacidad para dos vehículos. Ubicada en un sector estratégico d"&amp;"el barrio Cándido, cerca de universidades, colegios, centros comerciales, restaurantes y el aeropuerto. Además, goza de fácil acceso a transporte público y principales vías.")</f>
        <v>Casa completamente remodelada, lista para habitar. Toda la propiedad fue remodelada, incluyendo techo y sistema de alcantarillado totalmente nuevos, brindando mayor seguridad, tranquilidad y valorización a largo plazo. Cuenta con 3 habitaciones, la principal con baño privado y clóset, amplios y acogedores espacios de sala y comedor, sala de televisión independiente, moderna cocina semi-integral nueva, patio de ropas, baño social y garaje con capacidad para dos vehículos. Ubicada en un sector estratégico del barrio Cándido, cerca de universidades, colegios, centros comerciales, restaurantes y el aeropuerto. Además, goza de fácil acceso a transporte público y principales vías.</v>
      </c>
      <c r="AD520" s="46"/>
      <c r="AE520" s="46"/>
      <c r="AF520" s="46" t="str">
        <f>IFERROR(__xludf.DUMMYFUNCTION("""COMPUTED_VALUE"""),"integral")</f>
        <v>integral</v>
      </c>
      <c r="AG520" s="46"/>
      <c r="AH520" s="46" t="str">
        <f>IFERROR(__xludf.DUMMYFUNCTION("""COMPUTED_VALUE"""),"Aliado")</f>
        <v>Aliado</v>
      </c>
      <c r="AI520" s="46" t="str">
        <f>IFERROR(__xludf.DUMMYFUNCTION("""COMPUTED_VALUE"""),"https://lh3.googleusercontent.com/pw/AP1GczONDEF6DvM86JfvCgqiljTypl0u8TtNzF9xWUaWj0Vp2BdWERdPC5UsGX-ONvWXmmzTlicx_YLGrotBOrJsFgfvomnA_limeoYPJcVeNdqnHB1Sd-vF=w1200|https://lh3.googleusercontent.com/pw/AP1GczOkc0RIn2waFoww08ZlhYbEHklSlLRXGoRSar5t6r9QoB3FI7"&amp;"5RB3Ro3fIQFNqdFCzrwJxqcjdHXIQywUY3mWJXPCGi4poE7EcpXKRjEX4MqGGhNIxm=w1200|https://lh3.googleusercontent.com/pw/AP1GczMwtGE4m57b9uOeV2cyQJieMjrM6hClDppwn5GLgTMDA-pLOoXeqxem0xhjrhE_xuKsah2u3HRVg2jr8ZEKkVl3htTBL5VogaRpm4GYwA9pnfk1WsQ0=w1200|https://lh3.google"&amp;"usercontent.com/pw/AP1GczM7j0J01rLoBWO4Qv8SovEd4a0w7qcmZpV3KXckwOeK4JlHP1rTZFqgcsw-LgC_kulAfqITquKJJsbnWwEiyyHj-eFf1XRjzXic5fT610RoN-3nGhTv=w1200|https://lh3.googleusercontent.com/pw/AP1GczM6-9PZtD8JvdjrA5MyaYPrWUNGLPgUp1aGcHJNMPRB_DJDKoL1J3UAjCv_5Gu7koBJ"&amp;"xtnKysFCYF_PEteyzY69vvOnRl-mUvsKrC_iGYhVCv6Gh3uf=w1200|https://lh3.googleusercontent.com/pw/AP1GczNzfufD8D8y2gwegNrx3WhSsaLYGdgKcUNYg1NNs0U3njsiGkNYCWXRDWzrVjJLMs6ec2WGNuazeZZOYginFTaaTyiGF6nZimWYhUXsTxzKr7-SQ54b=w1200|https://lh3.googleusercontent.com/pw"&amp;"/AP1GczPOo8MtGyzcKOLzgml6ixNzhvWO5btS2Q_6-t9QxSBcAEEvT50iFinOxg-cQyz-Tqb-sqSpQsRfjXJYGkyY_K6c6E93npEsLjrOLmSc0AUbEAbbcDx-=w1200|https://lh3.googleusercontent.com/pw/AP1GczMVawOKxN1w-k_HHyeCnQOxqXMiu-G-nNjpXzjRXL2ngGRsVnoe1eIx0m8_8yf9X_Ehgx7nZvFXlph8Ty57Q8"&amp;"lHJxgenTakizjSTyurd7Rwu_iEB92h=w1200|https://lh3.googleusercontent.com/pw/AP1GczN1iDSwqMbBb8FOOuaqB1svhgDjfyT4aOYj0mltD17I3MY7j7a-3pqyL9DEipNUgU7a4DNYij9yA2GWm7R_LbcSvo8Is6j3gkwGLj1216x-eBL-fFmu=w1200|https://lh3.googleusercontent.com/pw/AP1GczOYShY-IxSr8"&amp;"-prhGPEmgyQOS8qiq6-lJ2Hj9_XPmlA6gZ26u0watBmwEsKBDoS4WIWwVyK3vnmwh1oLSDPWon29laDzaa7ZHulSG07K1Iw_EzrEQ2H=w1200|https://lh3.googleusercontent.com/pw/AP1GczOX-ATl7IL1PhJfU6IJbQ0V8UZha7w4ReSLZesUH0VWZg5N3DMmk_UBpqUQwp3zNF7a__g7kzgqAQrOpZTd_jmg0XGQe7M-72ZsUdoF"&amp;"sWafGmLOAxCA=w1200|https://lh3.googleusercontent.com/pw/AP1GczNx8Pc9RcOFlhnDbQV1CzKGjqe0YSjkCb7RHNDeDsuF9wu1QTWVB8XOAnYV0pCa3wIkQLLtd7i0AUqJXIiH1O5IbZP-lNaPJr9VkMS1vRVCxEMGJhLK=w1200|https://lh3.googleusercontent.com/pw/AP1GczOVcZDisj_zpBcTVLO38bzFjKju04o"&amp;"o1uDHjW0lko0XZH5MmumM2iYylbPG0kjk2iq6vvi4uYSB8MqyxvMvelK7k6aE1Qqj8lSReOQuhVQkBdevQcNY=w1200")</f>
        <v>https://lh3.googleusercontent.com/pw/AP1GczONDEF6DvM86JfvCgqiljTypl0u8TtNzF9xWUaWj0Vp2BdWERdPC5UsGX-ONvWXmmzTlicx_YLGrotBOrJsFgfvomnA_limeoYPJcVeNdqnHB1Sd-vF=w1200|https://lh3.googleusercontent.com/pw/AP1GczOkc0RIn2waFoww08ZlhYbEHklSlLRXGoRSar5t6r9QoB3FI75RB3Ro3fIQFNqdFCzrwJxqcjdHXIQywUY3mWJXPCGi4poE7EcpXKRjEX4MqGGhNIxm=w1200|https://lh3.googleusercontent.com/pw/AP1GczMwtGE4m57b9uOeV2cyQJieMjrM6hClDppwn5GLgTMDA-pLOoXeqxem0xhjrhE_xuKsah2u3HRVg2jr8ZEKkVl3htTBL5VogaRpm4GYwA9pnfk1WsQ0=w1200|https://lh3.googleusercontent.com/pw/AP1GczM7j0J01rLoBWO4Qv8SovEd4a0w7qcmZpV3KXckwOeK4JlHP1rTZFqgcsw-LgC_kulAfqITquKJJsbnWwEiyyHj-eFf1XRjzXic5fT610RoN-3nGhTv=w1200|https://lh3.googleusercontent.com/pw/AP1GczM6-9PZtD8JvdjrA5MyaYPrWUNGLPgUp1aGcHJNMPRB_DJDKoL1J3UAjCv_5Gu7koBJxtnKysFCYF_PEteyzY69vvOnRl-mUvsKrC_iGYhVCv6Gh3uf=w1200|https://lh3.googleusercontent.com/pw/AP1GczNzfufD8D8y2gwegNrx3WhSsaLYGdgKcUNYg1NNs0U3njsiGkNYCWXRDWzrVjJLMs6ec2WGNuazeZZOYginFTaaTyiGF6nZimWYhUXsTxzKr7-SQ54b=w1200|https://lh3.googleusercontent.com/pw/AP1GczPOo8MtGyzcKOLzgml6ixNzhvWO5btS2Q_6-t9QxSBcAEEvT50iFinOxg-cQyz-Tqb-sqSpQsRfjXJYGkyY_K6c6E93npEsLjrOLmSc0AUbEAbbcDx-=w1200|https://lh3.googleusercontent.com/pw/AP1GczMVawOKxN1w-k_HHyeCnQOxqXMiu-G-nNjpXzjRXL2ngGRsVnoe1eIx0m8_8yf9X_Ehgx7nZvFXlph8Ty57Q8lHJxgenTakizjSTyurd7Rwu_iEB92h=w1200|https://lh3.googleusercontent.com/pw/AP1GczN1iDSwqMbBb8FOOuaqB1svhgDjfyT4aOYj0mltD17I3MY7j7a-3pqyL9DEipNUgU7a4DNYij9yA2GWm7R_LbcSvo8Is6j3gkwGLj1216x-eBL-fFmu=w1200|https://lh3.googleusercontent.com/pw/AP1GczOYShY-IxSr8-prhGPEmgyQOS8qiq6-lJ2Hj9_XPmlA6gZ26u0watBmwEsKBDoS4WIWwVyK3vnmwh1oLSDPWon29laDzaa7ZHulSG07K1Iw_EzrEQ2H=w1200|https://lh3.googleusercontent.com/pw/AP1GczOX-ATl7IL1PhJfU6IJbQ0V8UZha7w4ReSLZesUH0VWZg5N3DMmk_UBpqUQwp3zNF7a__g7kzgqAQrOpZTd_jmg0XGQe7M-72ZsUdoFsWafGmLOAxCA=w1200|https://lh3.googleusercontent.com/pw/AP1GczNx8Pc9RcOFlhnDbQV1CzKGjqe0YSjkCb7RHNDeDsuF9wu1QTWVB8XOAnYV0pCa3wIkQLLtd7i0AUqJXIiH1O5IbZP-lNaPJr9VkMS1vRVCxEMGJhLK=w1200|https://lh3.googleusercontent.com/pw/AP1GczOVcZDisj_zpBcTVLO38bzFjKju04oo1uDHjW0lko0XZH5MmumM2iYylbPG0kjk2iq6vvi4uYSB8MqyxvMvelK7k6aE1Qqj8lSReOQuhVQkBdevQcNY=w1200</v>
      </c>
      <c r="AJ520" s="46"/>
      <c r="AK520" s="46"/>
      <c r="AL520" s="46"/>
      <c r="AM520" s="46"/>
      <c r="AN520" s="46"/>
      <c r="AO520" s="46"/>
      <c r="AP520" s="46"/>
      <c r="AQ520" s="46"/>
      <c r="AR520" s="46"/>
      <c r="AS520" s="46"/>
      <c r="AT520" s="46"/>
      <c r="AU520" s="46"/>
      <c r="AV520" s="46"/>
      <c r="AW520" s="46"/>
      <c r="AX520" s="46"/>
      <c r="AY520" s="46"/>
      <c r="AZ520" s="46"/>
      <c r="BA520" s="46"/>
      <c r="BB520" s="46"/>
      <c r="BC520" s="46"/>
      <c r="BD520" s="46"/>
      <c r="BE520" s="46"/>
      <c r="BF520" s="46"/>
      <c r="BG520" s="46"/>
      <c r="BH520" s="46"/>
      <c r="BI520" s="46"/>
      <c r="BJ520" s="46"/>
      <c r="BK520" s="46"/>
      <c r="BL520" s="46"/>
      <c r="BM520" s="46"/>
      <c r="BN520" s="46"/>
      <c r="BO520" s="46"/>
      <c r="BP520" s="46"/>
      <c r="BQ520" s="46"/>
      <c r="BR520" s="46"/>
      <c r="BS520" s="46"/>
      <c r="BT520" s="46"/>
      <c r="BU520" s="46"/>
      <c r="BV520" s="46"/>
      <c r="BW520" s="46"/>
      <c r="BX520" s="46"/>
      <c r="BY520" s="46"/>
      <c r="BZ520" s="46"/>
      <c r="CA520" s="46"/>
      <c r="CB520" s="46"/>
      <c r="CC520" s="46"/>
    </row>
    <row r="521">
      <c r="A521" s="87" t="str">
        <f>IFERROR(__xludf.DUMMYFUNCTION("""COMPUTED_VALUE"""),"475")</f>
        <v>475</v>
      </c>
      <c r="B521" s="46" t="str">
        <f>IFERROR(__xludf.DUMMYFUNCTION("""COMPUTED_VALUE"""),"Casa en Conjunto Montemadero")</f>
        <v>Casa en Conjunto Montemadero</v>
      </c>
      <c r="C521" s="46" t="str">
        <f>IFERROR(__xludf.DUMMYFUNCTION("""COMPUTED_VALUE"""),"Casa en conjunto")</f>
        <v>Casa en conjunto</v>
      </c>
      <c r="D521" s="90" t="str">
        <f>IFERROR(__xludf.DUMMYFUNCTION("""COMPUTED_VALUE"""),"Canaima")</f>
        <v>Canaima</v>
      </c>
      <c r="E521" s="46" t="str">
        <f>IFERROR(__xludf.DUMMYFUNCTION("""COMPUTED_VALUE"""),"Montemadero")</f>
        <v>Montemadero</v>
      </c>
      <c r="F521" s="90">
        <f>IFERROR(__xludf.DUMMYFUNCTION("""COMPUTED_VALUE"""),3.4E8)</f>
        <v>340000000</v>
      </c>
      <c r="G521" s="46" t="str">
        <f>IFERROR(__xludf.DUMMYFUNCTION("""COMPUTED_VALUE"""),"$300'000.000 a $400'000.000")</f>
        <v>$300'000.000 a $400'000.000</v>
      </c>
      <c r="H521" s="46"/>
      <c r="I521" s="46"/>
      <c r="J521" s="46" t="str">
        <f>IFERROR(__xludf.DUMMYFUNCTION("""COMPUTED_VALUE"""),"Sur")</f>
        <v>Sur</v>
      </c>
      <c r="K521" s="87" t="str">
        <f>IFERROR(__xludf.DUMMYFUNCTION("""COMPUTED_VALUE"""),"6")</f>
        <v>6</v>
      </c>
      <c r="L521" s="46">
        <f>IFERROR(__xludf.DUMMYFUNCTION("""COMPUTED_VALUE"""),3.0)</f>
        <v>3</v>
      </c>
      <c r="M521" s="46"/>
      <c r="N521" s="46">
        <f>IFERROR(__xludf.DUMMYFUNCTION("""COMPUTED_VALUE"""),4.0)</f>
        <v>4</v>
      </c>
      <c r="O521" s="46">
        <f>IFERROR(__xludf.DUMMYFUNCTION("""COMPUTED_VALUE"""),1.0)</f>
        <v>1</v>
      </c>
      <c r="P521" s="46">
        <f>IFERROR(__xludf.DUMMYFUNCTION("""COMPUTED_VALUE"""),2.0)</f>
        <v>2</v>
      </c>
      <c r="Q521" s="92">
        <f>IFERROR(__xludf.DUMMYFUNCTION("""COMPUTED_VALUE"""),120.0)</f>
        <v>120</v>
      </c>
      <c r="R521" s="92">
        <f>IFERROR(__xludf.DUMMYFUNCTION("""COMPUTED_VALUE"""),120.0)</f>
        <v>120</v>
      </c>
      <c r="S521" s="87" t="str">
        <f>IFERROR(__xludf.DUMMYFUNCTION("""COMPUTED_VALUE""")," ")</f>
        <v> </v>
      </c>
      <c r="T521" s="46" t="str">
        <f>IFERROR(__xludf.DUMMYFUNCTION("""COMPUTED_VALUE"""),"Neiva")</f>
        <v>Neiva</v>
      </c>
      <c r="U521" s="87" t="str">
        <f>IFERROR(__xludf.DUMMYFUNCTION("""COMPUTED_VALUE"""),"3")</f>
        <v>3</v>
      </c>
      <c r="V521" s="46" t="str">
        <f>IFERROR(__xludf.DUMMYFUNCTION("""COMPUTED_VALUE"""),"Medianera")</f>
        <v>Medianera</v>
      </c>
      <c r="W521" s="46"/>
      <c r="X521" s="46">
        <f>IFERROR(__xludf.DUMMYFUNCTION("""COMPUTED_VALUE"""),3.0)</f>
        <v>3</v>
      </c>
      <c r="Y521" s="46" t="str">
        <f>IFERROR(__xludf.DUMMYFUNCTION("""COMPUTED_VALUE"""),"Social")</f>
        <v>Social</v>
      </c>
      <c r="Z521" s="90"/>
      <c r="AA521" s="33" t="str">
        <f>IFERROR(__xludf.DUMMYFUNCTION("""COMPUTED_VALUE"""),"No aplica")</f>
        <v>No aplica</v>
      </c>
      <c r="AB521" s="144" t="str">
        <f>IFERROR(__xludf.DUMMYFUNCTION("""COMPUTED_VALUE"""),"https://photos.app.goo.gl/BJrnN9NVnkPwwxuT6")</f>
        <v>https://photos.app.goo.gl/BJrnN9NVnkPwwxuT6</v>
      </c>
      <c r="AC521" s="46" t="str">
        <f>IFERROR(__xludf.DUMMYFUNCTION("""COMPUTED_VALUE"""),"Casa de de dos pisos, área de parqueo, deposito, sala comedor, cocina semi integral, patio, baño social. Segundo piso : tres (3) alcobas con closet principal con baño y balcón, baño social El conjunto cuenta con vigilancia 24 H, cancha múltiple, piscina, "&amp;"área BBQ. Cercano a Fiscalía, Policlínica, Edificio Prohuila,")</f>
        <v>Casa de de dos pisos, área de parqueo, deposito, sala comedor, cocina semi integral, patio, baño social. Segundo piso : tres (3) alcobas con closet principal con baño y balcón, baño social El conjunto cuenta con vigilancia 24 H, cancha múltiple, piscina, área BBQ. Cercano a Fiscalía, Policlínica, Edificio Prohuila,</v>
      </c>
      <c r="AD521" s="46"/>
      <c r="AE521" s="46"/>
      <c r="AF521" s="46" t="str">
        <f>IFERROR(__xludf.DUMMYFUNCTION("""COMPUTED_VALUE"""),"semi-integral")</f>
        <v>semi-integral</v>
      </c>
      <c r="AG521" s="46"/>
      <c r="AH521" s="46" t="str">
        <f>IFERROR(__xludf.DUMMYFUNCTION("""COMPUTED_VALUE"""),"Aliado")</f>
        <v>Aliado</v>
      </c>
      <c r="AI521" s="92" t="str">
        <f>IFERROR(__xludf.DUMMYFUNCTION("""COMPUTED_VALUE"""),"https://lh3.googleusercontent.com/pw/AP1GczOwsBTsu1U1RHJLqYcejdzN_Afd69-Ibvec52ZMRXuUXcxnogHRq3UbqMkCzwFX_0uXPufW-7k6X76o17tVF3YRT4CZLbO7NxCl6zd_DVC_R4SXx62d=w1200|https://lh3.googleusercontent.com/pw/AP1GczP2RC8b3lD7wG4eHL6E1iKYRuCXZBIBdwIiCj5v_8LsVJ8ZO6"&amp;"RQd9hNjbPWkES0s1mXy5C8xYm46xRV6Ce1kLbvZdNFclPTRjKsV1QVeSsdLKBzLKia=w1200|https://lh3.googleusercontent.com/pw/AP1GczOdNsUEyvwgutGrnQC-vxt0kIaWXwSzW0GUWAv8vyw4QZqGsqe2G32COHgzSNlGWVzQbniOpgHBH0ljeUWf_oEKd2dk9UK87ypXPLUkp7fzR3TEAHnN=w1200|https://lh3.google"&amp;"usercontent.com/pw/AP1GczMn6-aCr4YXYW4p4fXrSmkKlq_fxpicVh_AC1kvTP07d31v0ncw4bZSfsI7WlBZ-ZCY5uh1rfBYmKMHwTQfFMOW9FWzY_NeAL6QVn4FGypCuxDgqjqn=w1200|https://lh3.googleusercontent.com/pw/AP1GczM15pSLdBHf8VlBud46QF74ePnZXqHCc-CxA2bdAXsIk0pwT4ecPXgk82lNGXhlZBuz"&amp;"QijyxT-OSqyd2Sb88GcnCLPk8SjSFMpVWvC0M5iGpjkvOHkd=w1200|https://lh3.googleusercontent.com/pw/AP1GczM3oaioI97JBEIR7VfHjh8DxO46lS1GULqKzB7viENc1enh0PBeZeqkZ3q1a4eOXeksv1qQq-drpEMz7cPXA2zObUOgVxT8gkZavfK4eVrBvhpVPRkg=w1200|https://lh3.googleusercontent.com/pw"&amp;"/AP1GczNw3WuNEB9wiPZ4XdbrVUM-EYggn6m8nrjQEY5gwsB3GSHezG0_gAR_neGegwcZIBfLHKhOhBYY1z-7lm94OHFzPDzpL4ERQzGursjHcZsHSOxd684l=w1200|https://lh3.googleusercontent.com/pw/AP1GczNETZ3wDiK6wrVVoG42ZjungGzkaCM_Tdb5fYXO7-4HiOQyUY4XYeNyytPEIcwjD8zbEfw9mr9mJ0vorNHVdl"&amp;"Ec_8HWgEB2I-1LBepWZ4JQK2aa3nIA=w1200|https://lh3.googleusercontent.com/pw/AP1GczNm1iH3wFmC5s5Dp4CD2In1ACdZSF_muoSLx8KT-wKlviGrhyD4-_XkeVfBPdcKACL1OCg2k6iAAgSYW1J1bn_flC8gMbSj7x1Qkw-JT40UPoacB5Dr=w1200|https://lh3.googleusercontent.com/pw/AP1GczPLUgtXsaH2q"&amp;"cH_BcHg3sABTxRzxSos_xgNGjUM3lVEw_cU7Nb5HVezXNCHa6pKrlXnC8RyMOq7sd6XngoKeidJ0oPd5dI9A7qar-SYb6vKtMjiT0Je=w1200")</f>
        <v>https://lh3.googleusercontent.com/pw/AP1GczOwsBTsu1U1RHJLqYcejdzN_Afd69-Ibvec52ZMRXuUXcxnogHRq3UbqMkCzwFX_0uXPufW-7k6X76o17tVF3YRT4CZLbO7NxCl6zd_DVC_R4SXx62d=w1200|https://lh3.googleusercontent.com/pw/AP1GczP2RC8b3lD7wG4eHL6E1iKYRuCXZBIBdwIiCj5v_8LsVJ8ZO6RQd9hNjbPWkES0s1mXy5C8xYm46xRV6Ce1kLbvZdNFclPTRjKsV1QVeSsdLKBzLKia=w1200|https://lh3.googleusercontent.com/pw/AP1GczOdNsUEyvwgutGrnQC-vxt0kIaWXwSzW0GUWAv8vyw4QZqGsqe2G32COHgzSNlGWVzQbniOpgHBH0ljeUWf_oEKd2dk9UK87ypXPLUkp7fzR3TEAHnN=w1200|https://lh3.googleusercontent.com/pw/AP1GczMn6-aCr4YXYW4p4fXrSmkKlq_fxpicVh_AC1kvTP07d31v0ncw4bZSfsI7WlBZ-ZCY5uh1rfBYmKMHwTQfFMOW9FWzY_NeAL6QVn4FGypCuxDgqjqn=w1200|https://lh3.googleusercontent.com/pw/AP1GczM15pSLdBHf8VlBud46QF74ePnZXqHCc-CxA2bdAXsIk0pwT4ecPXgk82lNGXhlZBuzQijyxT-OSqyd2Sb88GcnCLPk8SjSFMpVWvC0M5iGpjkvOHkd=w1200|https://lh3.googleusercontent.com/pw/AP1GczM3oaioI97JBEIR7VfHjh8DxO46lS1GULqKzB7viENc1enh0PBeZeqkZ3q1a4eOXeksv1qQq-drpEMz7cPXA2zObUOgVxT8gkZavfK4eVrBvhpVPRkg=w1200|https://lh3.googleusercontent.com/pw/AP1GczNw3WuNEB9wiPZ4XdbrVUM-EYggn6m8nrjQEY5gwsB3GSHezG0_gAR_neGegwcZIBfLHKhOhBYY1z-7lm94OHFzPDzpL4ERQzGursjHcZsHSOxd684l=w1200|https://lh3.googleusercontent.com/pw/AP1GczNETZ3wDiK6wrVVoG42ZjungGzkaCM_Tdb5fYXO7-4HiOQyUY4XYeNyytPEIcwjD8zbEfw9mr9mJ0vorNHVdlEc_8HWgEB2I-1LBepWZ4JQK2aa3nIA=w1200|https://lh3.googleusercontent.com/pw/AP1GczNm1iH3wFmC5s5Dp4CD2In1ACdZSF_muoSLx8KT-wKlviGrhyD4-_XkeVfBPdcKACL1OCg2k6iAAgSYW1J1bn_flC8gMbSj7x1Qkw-JT40UPoacB5Dr=w1200|https://lh3.googleusercontent.com/pw/AP1GczPLUgtXsaH2qcH_BcHg3sABTxRzxSos_xgNGjUM3lVEw_cU7Nb5HVezXNCHa6pKrlXnC8RyMOq7sd6XngoKeidJ0oPd5dI9A7qar-SYb6vKtMjiT0Je=w1200</v>
      </c>
      <c r="AJ521" s="46"/>
      <c r="AK521" s="46"/>
      <c r="AL521" s="46"/>
      <c r="AM521" s="46"/>
      <c r="AN521" s="46"/>
      <c r="AO521" s="46"/>
      <c r="AP521" s="46"/>
      <c r="AQ521" s="46"/>
      <c r="AR521" s="46"/>
      <c r="AS521" s="46"/>
      <c r="AT521" s="46"/>
      <c r="AU521" s="46"/>
      <c r="AV521" s="46"/>
      <c r="AW521" s="46"/>
      <c r="AX521" s="46"/>
      <c r="AY521" s="46"/>
      <c r="AZ521" s="46"/>
      <c r="BA521" s="46"/>
      <c r="BB521" s="46"/>
      <c r="BC521" s="46"/>
      <c r="BD521" s="46"/>
      <c r="BE521" s="46"/>
      <c r="BF521" s="46"/>
      <c r="BG521" s="46"/>
      <c r="BH521" s="46"/>
      <c r="BI521" s="46"/>
      <c r="BJ521" s="46"/>
      <c r="BK521" s="46"/>
      <c r="BL521" s="46"/>
      <c r="BM521" s="46"/>
      <c r="BN521" s="46"/>
      <c r="BO521" s="46"/>
      <c r="BP521" s="46"/>
      <c r="BQ521" s="46"/>
      <c r="BR521" s="46"/>
      <c r="BS521" s="46"/>
      <c r="BT521" s="46"/>
      <c r="BU521" s="46"/>
      <c r="BV521" s="46"/>
      <c r="BW521" s="46"/>
      <c r="BX521" s="46"/>
      <c r="BY521" s="46"/>
      <c r="BZ521" s="46"/>
      <c r="CA521" s="46"/>
      <c r="CB521" s="46"/>
      <c r="CC521" s="46"/>
    </row>
    <row r="522">
      <c r="A522" s="87" t="str">
        <f>IFERROR(__xludf.DUMMYFUNCTION("""COMPUTED_VALUE"""),"463")</f>
        <v>463</v>
      </c>
      <c r="B522" s="46" t="str">
        <f>IFERROR(__xludf.DUMMYFUNCTION("""COMPUTED_VALUE"""),"Apartamento en Conjunto Los Nogales")</f>
        <v>Apartamento en Conjunto Los Nogales</v>
      </c>
      <c r="C522" s="46" t="str">
        <f>IFERROR(__xludf.DUMMYFUNCTION("""COMPUTED_VALUE"""),"Apartamento en conjunto")</f>
        <v>Apartamento en conjunto</v>
      </c>
      <c r="D522" s="90" t="str">
        <f>IFERROR(__xludf.DUMMYFUNCTION("""COMPUTED_VALUE"""),"Canaima")</f>
        <v>Canaima</v>
      </c>
      <c r="E522" s="46" t="str">
        <f>IFERROR(__xludf.DUMMYFUNCTION("""COMPUTED_VALUE"""),"Los Nogales")</f>
        <v>Los Nogales</v>
      </c>
      <c r="F522" s="90">
        <f>IFERROR(__xludf.DUMMYFUNCTION("""COMPUTED_VALUE"""),3.25E8)</f>
        <v>325000000</v>
      </c>
      <c r="G522" s="46" t="str">
        <f>IFERROR(__xludf.DUMMYFUNCTION("""COMPUTED_VALUE"""),"$300'000.000 a $400'000.000")</f>
        <v>$300'000.000 a $400'000.000</v>
      </c>
      <c r="H522" s="46"/>
      <c r="I522" s="46"/>
      <c r="J522" s="46" t="str">
        <f>IFERROR(__xludf.DUMMYFUNCTION("""COMPUTED_VALUE"""),"Sur")</f>
        <v>Sur</v>
      </c>
      <c r="K522" s="87" t="str">
        <f>IFERROR(__xludf.DUMMYFUNCTION("""COMPUTED_VALUE"""),"6")</f>
        <v>6</v>
      </c>
      <c r="L522" s="46">
        <f>IFERROR(__xludf.DUMMYFUNCTION("""COMPUTED_VALUE"""),3.0)</f>
        <v>3</v>
      </c>
      <c r="M522" s="46"/>
      <c r="N522" s="46">
        <f>IFERROR(__xludf.DUMMYFUNCTION("""COMPUTED_VALUE"""),2.0)</f>
        <v>2</v>
      </c>
      <c r="O522" s="46">
        <f>IFERROR(__xludf.DUMMYFUNCTION("""COMPUTED_VALUE"""),1.0)</f>
        <v>1</v>
      </c>
      <c r="P522" s="46">
        <f>IFERROR(__xludf.DUMMYFUNCTION("""COMPUTED_VALUE"""),1.0)</f>
        <v>1</v>
      </c>
      <c r="Q522" s="92">
        <f>IFERROR(__xludf.DUMMYFUNCTION("""COMPUTED_VALUE"""),95.0)</f>
        <v>95</v>
      </c>
      <c r="R522" s="92">
        <f>IFERROR(__xludf.DUMMYFUNCTION("""COMPUTED_VALUE"""),95.0)</f>
        <v>95</v>
      </c>
      <c r="S522" s="87" t="str">
        <f>IFERROR(__xludf.DUMMYFUNCTION("""COMPUTED_VALUE""")," ")</f>
        <v> </v>
      </c>
      <c r="T522" s="46" t="str">
        <f>IFERROR(__xludf.DUMMYFUNCTION("""COMPUTED_VALUE"""),"Neiva")</f>
        <v>Neiva</v>
      </c>
      <c r="U522" s="87" t="str">
        <f>IFERROR(__xludf.DUMMYFUNCTION("""COMPUTED_VALUE"""),"3")</f>
        <v>3</v>
      </c>
      <c r="V522" s="46" t="str">
        <f>IFERROR(__xludf.DUMMYFUNCTION("""COMPUTED_VALUE"""),"1ro.")</f>
        <v>1ro.</v>
      </c>
      <c r="W522" s="46"/>
      <c r="X522" s="46">
        <f>IFERROR(__xludf.DUMMYFUNCTION("""COMPUTED_VALUE"""),3.0)</f>
        <v>3</v>
      </c>
      <c r="Y522" s="46" t="str">
        <f>IFERROR(__xludf.DUMMYFUNCTION("""COMPUTED_VALUE"""),"Social")</f>
        <v>Social</v>
      </c>
      <c r="Z522" s="90">
        <f>IFERROR(__xludf.DUMMYFUNCTION("""COMPUTED_VALUE"""),359000.0)</f>
        <v>359000</v>
      </c>
      <c r="AA522" s="33" t="str">
        <f>IFERROR(__xludf.DUMMYFUNCTION("""COMPUTED_VALUE"""),"No aplica")</f>
        <v>No aplica</v>
      </c>
      <c r="AB522" s="144" t="str">
        <f>IFERROR(__xludf.DUMMYFUNCTION("""COMPUTED_VALUE"""),"https://photos.app.goo.gl/ZCMmSrQSfyeDXnPt9")</f>
        <v>https://photos.app.goo.gl/ZCMmSrQSfyeDXnPt9</v>
      </c>
      <c r="AC522" s="46" t="str">
        <f>IFERROR(__xludf.DUMMYFUNCTION("""COMPUTED_VALUE"""),"Apartamento en Conjunto Los Nogales - Neiva, estrato 3, en primer piso, área de 95 m. Cuenta con 3 alcobas con clóset, 2 baños, sala comedor, hall y biblioteca. Cocina semi-integral con muebles superiores e inferiores, lavandería independiente y patio. In"&amp;"cluye parqueadero cubierto propio. El conjunto ofrece vigilancia 24 h, citófono, circuito cerrado, salón comunal, piscina, cancha múltiple, asador y zonas verdes. Excelente ubicación sobre vía principal, cerca a supermercados, centros comerciales, colegio"&amp;"s, hospitales y rutas de transporte público.")</f>
        <v>Apartamento en Conjunto Los Nogales - Neiva, estrato 3, en primer piso, área de 95 m. Cuenta con 3 alcobas con clóset, 2 baños, sala comedor, hall y biblioteca. Cocina semi-integral con muebles superiores e inferiores, lavandería independiente y patio. Incluye parqueadero cubierto propio. El conjunto ofrece vigilancia 24 h, citófono, circuito cerrado, salón comunal, piscina, cancha múltiple, asador y zonas verdes. Excelente ubicación sobre vía principal, cerca a supermercados, centros comerciales, colegios, hospitales y rutas de transporte público.</v>
      </c>
      <c r="AD522" s="46"/>
      <c r="AE522" s="46"/>
      <c r="AF522" s="46" t="str">
        <f>IFERROR(__xludf.DUMMYFUNCTION("""COMPUTED_VALUE"""),"integral")</f>
        <v>integral</v>
      </c>
      <c r="AG522" s="46"/>
      <c r="AH522" s="46" t="str">
        <f>IFERROR(__xludf.DUMMYFUNCTION("""COMPUTED_VALUE"""),"Aliado")</f>
        <v>Aliado</v>
      </c>
      <c r="AI522" s="92" t="str">
        <f>IFERROR(__xludf.DUMMYFUNCTION("""COMPUTED_VALUE"""),"https://lh3.googleusercontent.com/pw/AP1GczML3DxPcAG6xs_V6qEnH5kxnymbK6Zw3LOn2Z0SYWEaNgu6W6LuMwZ5S_GoBP62L6NnyfM9KVIIkK9MMiRqo73OYAzxrLKs2D9hZYmsQujvABDRgrws=w1200|https://lh3.googleusercontent.com/pw/AP1GczNYQYdB6fAXCZh6ZwKA_0wcpV6DQ57q0Zg3IXi3sd6_25T8HD"&amp;"8Meql-1XylydBe1sxYnnsTUCmTaiTnXLi7e6mII9AEefjUQvNAxNPnUFZ8l3cePMHQ=w1200|https://lh3.googleusercontent.com/pw/AP1GczMrmHD4EkKGotnM_zgDE38NcOfLK02_huZGJwUGDOUujC0Glz4dsUAGuH1Sb8o9VT0qsxkkGTm4BDVddT_uUIrAlvcyMuxsspdlYZ7oiJOGDOEviKXs=w1200|https://lh3.google"&amp;"usercontent.com/pw/AP1GczMJk2j17OQIu5J1LI08dcRUHeQ_mVuYm4g8I82WcEMDTjjRsz4H-Hegx3MP66Xiz9ntnd2SSB77iQmQX3knbyl-dCC4uKHHo0M6LxvHCWPNNUvIWrXy=w1200|https://lh3.googleusercontent.com/pw/AP1GczNCKVLO4JjvysUwndMCMtyLlYSfxAxBtargJYB_4vsVFnuzAbzehTg9wwDQv0G8T4Ea"&amp;"UiNjOdeOiVchEu6Kw8-270oSoerdf-kIQM3-e-Em2EWWO6kN=w1200|https://lh3.googleusercontent.com/pw/AP1GczMPH33lLdL1fpMZW1qI1wtGi7r5T7R05E2ayfd-Cbau8d1iV5i6xkcywRQWfHIJhXdsxv8HJ916S-ur4Bo2-VGNYJQYA8S2cUC-b3XSF1IEyqTtrT9h=w1200|https://lh3.googleusercontent.com/pw"&amp;"/AP1GczPZrdfwti1cxJK8eJm76VO1fZ5E7Y3G5N6aznNiLS0TZyoQh7dU1K9cgxLB1r7-bm2bkRZEXjxZsgM1yVZbE5xhM7b-JLgnkwDBD7JLBtZpouN-BiKY=w1200")</f>
        <v>https://lh3.googleusercontent.com/pw/AP1GczML3DxPcAG6xs_V6qEnH5kxnymbK6Zw3LOn2Z0SYWEaNgu6W6LuMwZ5S_GoBP62L6NnyfM9KVIIkK9MMiRqo73OYAzxrLKs2D9hZYmsQujvABDRgrws=w1200|https://lh3.googleusercontent.com/pw/AP1GczNYQYdB6fAXCZh6ZwKA_0wcpV6DQ57q0Zg3IXi3sd6_25T8HD8Meql-1XylydBe1sxYnnsTUCmTaiTnXLi7e6mII9AEefjUQvNAxNPnUFZ8l3cePMHQ=w1200|https://lh3.googleusercontent.com/pw/AP1GczMrmHD4EkKGotnM_zgDE38NcOfLK02_huZGJwUGDOUujC0Glz4dsUAGuH1Sb8o9VT0qsxkkGTm4BDVddT_uUIrAlvcyMuxsspdlYZ7oiJOGDOEviKXs=w1200|https://lh3.googleusercontent.com/pw/AP1GczMJk2j17OQIu5J1LI08dcRUHeQ_mVuYm4g8I82WcEMDTjjRsz4H-Hegx3MP66Xiz9ntnd2SSB77iQmQX3knbyl-dCC4uKHHo0M6LxvHCWPNNUvIWrXy=w1200|https://lh3.googleusercontent.com/pw/AP1GczNCKVLO4JjvysUwndMCMtyLlYSfxAxBtargJYB_4vsVFnuzAbzehTg9wwDQv0G8T4EaUiNjOdeOiVchEu6Kw8-270oSoerdf-kIQM3-e-Em2EWWO6kN=w1200|https://lh3.googleusercontent.com/pw/AP1GczMPH33lLdL1fpMZW1qI1wtGi7r5T7R05E2ayfd-Cbau8d1iV5i6xkcywRQWfHIJhXdsxv8HJ916S-ur4Bo2-VGNYJQYA8S2cUC-b3XSF1IEyqTtrT9h=w1200|https://lh3.googleusercontent.com/pw/AP1GczPZrdfwti1cxJK8eJm76VO1fZ5E7Y3G5N6aznNiLS0TZyoQh7dU1K9cgxLB1r7-bm2bkRZEXjxZsgM1yVZbE5xhM7b-JLgnkwDBD7JLBtZpouN-BiKY=w1200</v>
      </c>
      <c r="AJ522" s="46"/>
      <c r="AK522" s="46"/>
      <c r="AL522" s="46"/>
      <c r="AM522" s="46"/>
      <c r="AN522" s="46"/>
      <c r="AO522" s="46"/>
      <c r="AP522" s="46"/>
      <c r="AQ522" s="46"/>
      <c r="AR522" s="46"/>
      <c r="AS522" s="46"/>
      <c r="AT522" s="46"/>
      <c r="AU522" s="46"/>
      <c r="AV522" s="46"/>
      <c r="AW522" s="46"/>
      <c r="AX522" s="46"/>
      <c r="AY522" s="46"/>
      <c r="AZ522" s="46"/>
      <c r="BA522" s="46"/>
      <c r="BB522" s="46"/>
      <c r="BC522" s="46"/>
      <c r="BD522" s="46"/>
      <c r="BE522" s="46"/>
      <c r="BF522" s="46"/>
      <c r="BG522" s="46"/>
      <c r="BH522" s="46"/>
      <c r="BI522" s="46"/>
      <c r="BJ522" s="46"/>
      <c r="BK522" s="46"/>
      <c r="BL522" s="46"/>
      <c r="BM522" s="46"/>
      <c r="BN522" s="46"/>
      <c r="BO522" s="46"/>
      <c r="BP522" s="46"/>
      <c r="BQ522" s="46"/>
      <c r="BR522" s="46"/>
      <c r="BS522" s="46"/>
      <c r="BT522" s="46"/>
      <c r="BU522" s="46"/>
      <c r="BV522" s="46"/>
      <c r="BW522" s="46"/>
      <c r="BX522" s="46"/>
      <c r="BY522" s="46"/>
      <c r="BZ522" s="46"/>
      <c r="CA522" s="46"/>
      <c r="CB522" s="46"/>
      <c r="CC522" s="46"/>
    </row>
    <row r="523">
      <c r="A523" s="87" t="str">
        <f>IFERROR(__xludf.DUMMYFUNCTION("""COMPUTED_VALUE"""),"760")</f>
        <v>760</v>
      </c>
      <c r="B523" s="46" t="str">
        <f>IFERROR(__xludf.DUMMYFUNCTION("""COMPUTED_VALUE"""),"Casa en barrio Colmenar - Norte")</f>
        <v>Casa en barrio Colmenar - Norte</v>
      </c>
      <c r="C523" s="46" t="str">
        <f>IFERROR(__xludf.DUMMYFUNCTION("""COMPUTED_VALUE"""),"Casa")</f>
        <v>Casa</v>
      </c>
      <c r="D523" s="46" t="str">
        <f>IFERROR(__xludf.DUMMYFUNCTION("""COMPUTED_VALUE"""),"Colmenar")</f>
        <v>Colmenar</v>
      </c>
      <c r="E523" s="90"/>
      <c r="F523" s="90">
        <f>IFERROR(__xludf.DUMMYFUNCTION("""COMPUTED_VALUE"""),3.2E8)</f>
        <v>320000000</v>
      </c>
      <c r="G523" s="46" t="str">
        <f>IFERROR(__xludf.DUMMYFUNCTION("""COMPUTED_VALUE"""),"$300'000.000 a $400'000.000")</f>
        <v>$300'000.000 a $400'000.000</v>
      </c>
      <c r="H523" s="46"/>
      <c r="I523" s="46"/>
      <c r="J523" s="46" t="str">
        <f>IFERROR(__xludf.DUMMYFUNCTION("""COMPUTED_VALUE"""),"Norte")</f>
        <v>Norte</v>
      </c>
      <c r="K523" s="87" t="str">
        <f>IFERROR(__xludf.DUMMYFUNCTION("""COMPUTED_VALUE"""),"1")</f>
        <v>1</v>
      </c>
      <c r="L523" s="46">
        <f>IFERROR(__xludf.DUMMYFUNCTION("""COMPUTED_VALUE"""),3.0)</f>
        <v>3</v>
      </c>
      <c r="M523" s="46"/>
      <c r="N523" s="46">
        <f>IFERROR(__xludf.DUMMYFUNCTION("""COMPUTED_VALUE"""),2.0)</f>
        <v>2</v>
      </c>
      <c r="O523" s="46">
        <f>IFERROR(__xludf.DUMMYFUNCTION("""COMPUTED_VALUE"""),2.0)</f>
        <v>2</v>
      </c>
      <c r="P523" s="46">
        <f>IFERROR(__xludf.DUMMYFUNCTION("""COMPUTED_VALUE"""),2.0)</f>
        <v>2</v>
      </c>
      <c r="Q523" s="92">
        <f>IFERROR(__xludf.DUMMYFUNCTION("""COMPUTED_VALUE"""),112.0)</f>
        <v>112</v>
      </c>
      <c r="R523" s="92">
        <f>IFERROR(__xludf.DUMMYFUNCTION("""COMPUTED_VALUE"""),107.0)</f>
        <v>107</v>
      </c>
      <c r="S523" s="87" t="str">
        <f>IFERROR(__xludf.DUMMYFUNCTION("""COMPUTED_VALUE""")," ")</f>
        <v> </v>
      </c>
      <c r="T523" s="46" t="str">
        <f>IFERROR(__xludf.DUMMYFUNCTION("""COMPUTED_VALUE"""),"Neiva")</f>
        <v>Neiva</v>
      </c>
      <c r="U523" s="87" t="str">
        <f>IFERROR(__xludf.DUMMYFUNCTION("""COMPUTED_VALUE"""),"2")</f>
        <v>2</v>
      </c>
      <c r="V523" s="46" t="str">
        <f>IFERROR(__xludf.DUMMYFUNCTION("""COMPUTED_VALUE"""),"Medianera")</f>
        <v>Medianera</v>
      </c>
      <c r="W523" s="46"/>
      <c r="X523" s="46">
        <f>IFERROR(__xludf.DUMMYFUNCTION("""COMPUTED_VALUE"""),3.0)</f>
        <v>3</v>
      </c>
      <c r="Y523" s="46" t="str">
        <f>IFERROR(__xludf.DUMMYFUNCTION("""COMPUTED_VALUE"""),"No tiene")</f>
        <v>No tiene</v>
      </c>
      <c r="Z523" s="90" t="str">
        <f>IFERROR(__xludf.DUMMYFUNCTION("""COMPUTED_VALUE"""),"No aplica")</f>
        <v>No aplica</v>
      </c>
      <c r="AA523" s="33" t="str">
        <f>IFERROR(__xludf.DUMMYFUNCTION("""COMPUTED_VALUE"""),"No aplica")</f>
        <v>No aplica</v>
      </c>
      <c r="AB523" s="96" t="str">
        <f>IFERROR(__xludf.DUMMYFUNCTION("""COMPUTED_VALUE"""),"https://photos.app.goo.gl/utPiVoAvLEYsgmjVA")</f>
        <v>https://photos.app.goo.gl/utPiVoAvLEYsgmjVA</v>
      </c>
      <c r="AC523" s="46" t="str">
        <f>IFERROR(__xludf.DUMMYFUNCTION("""COMPUTED_VALUE"""),"Casa ubicada en el barrio Colmenar, con amplios espacios iluminados y pisos en porcelanato. Cuenta con sala-comedor acogedora, cocina integral moderna con barra tipo americana, habitaciones con clóset y ventilación natural, baños remodelados con división "&amp;"en vidrio templado. Disfruta de un gran área de antejardín cubierta, ideal para reuniones, patio amplio con zona de ropas y área de lavado independiente. ")</f>
        <v>Casa ubicada en el barrio Colmenar, con amplios espacios iluminados y pisos en porcelanato. Cuenta con sala-comedor acogedora, cocina integral moderna con barra tipo americana, habitaciones con clóset y ventilación natural, baños remodelados con división en vidrio templado. Disfruta de un gran área de antejardín cubierta, ideal para reuniones, patio amplio con zona de ropas y área de lavado independiente. </v>
      </c>
      <c r="AD523" s="46" t="str">
        <f>IFERROR(__xludf.DUMMYFUNCTION("""COMPUTED_VALUE"""),"Casa con equipamientos cerca, como: Supermercado Cinco Menos Calamarí, Polideportivo Virgilio Barco, EDS Terpel Chicala, Parroquia del Espíritu Santo, Centro Comercial UNICO Outlet Neiva")</f>
        <v>Casa con equipamientos cerca, como: Supermercado Cinco Menos Calamarí, Polideportivo Virgilio Barco, EDS Terpel Chicala, Parroquia del Espíritu Santo, Centro Comercial UNICO Outlet Neiva</v>
      </c>
      <c r="AE523" s="46"/>
      <c r="AF523" s="46" t="str">
        <f>IFERROR(__xludf.DUMMYFUNCTION("""COMPUTED_VALUE"""),"integral")</f>
        <v>integral</v>
      </c>
      <c r="AG523" s="46"/>
      <c r="AH523" s="46" t="str">
        <f>IFERROR(__xludf.DUMMYFUNCTION("""COMPUTED_VALUE"""),"Aliado")</f>
        <v>Aliado</v>
      </c>
      <c r="AI523" s="92" t="str">
        <f>IFERROR(__xludf.DUMMYFUNCTION("""COMPUTED_VALUE"""),"https://lh3.googleusercontent.com/pw/AP1GczNoQTQmcR3Yq53kUAdCUQf-dLIUGKbPpZv434FnQFML5uAF2pYA9lj3qTI6h1iqmmHchtW0y9bwrsbz-JzrO6l5-XYEp1vx17Icg9TU-ng5nghq7a-b=w1200|https://lh3.googleusercontent.com/pw/AP1GczO1DuUb4EN0VY0YCF6jx01nJ7KUhJh6bOPlCeOHojvEIW7LvL"&amp;"U8CvirwpTQzVeGA4PBbL9qiu6mAc78wea8PwmmGbHpW0g6ijWJLz3ZcvhePMUCrEP7=w1200|https://lh3.googleusercontent.com/pw/AP1GczP0ahAjx17KZnLumyO43J7_b1EsKn-9aXHjMLBpfyAlmGnvXMpNG6zz1-c8ahiEAYxeAbZXzCyxKG44nfSsUpef3do-WIyrSZ1bkiORrOw30dVDvkYY=w1200|https://lh3.google"&amp;"usercontent.com/pw/AP1GczOD4YEe9xgQ6ZF1oQn_kfr7y2GL590v7gy9N_JHbEtlUvUTyfwgeaEvxR5uoy6j_Qh4Ll8Cn6yGoC14ihlG5Qwiod8z35LvwBMHplkqQToMQqdu4CEs=w1200|https://lh3.googleusercontent.com/pw/AP1GczNOVNJPovOfd7mNAh0IK_zFREbpLljE5eAauDA66WC02tYQEs0y-i_xfCtxUekpOW20"&amp;"zSSwkzqCS1XRKAnXkSMQug2ggj3pZtub1WvQgxb4SIazywBh=w1200|https://lh3.googleusercontent.com/pw/AP1GczM2Uz7PaKQ5tBilVsDUjn2_tN9MUzdDi4AXcqPs0CxdNc9PcwlXA7iosNj1GhC2qoF7HzS0dNqP2DApnfnmxsS4YnXJnvDnDeOxpoJzf1zOs05tE6SL=w1200|https://lh3.googleusercontent.com/pw"&amp;"/AP1GczNsd2naWMAY5wNgGGpDuuwcmyzEbL-LW4EVizl545QvJmstc-ooO7iFFZKe6Mr-uudMdTkQfizMVjKkQW8m1j6q03dJrokkKXW8ZhE9XoDvbyjuf2cw=w1200|https://lh3.googleusercontent.com/pw/AP1GczOzCHHUYhFHEwWU4qpJuqJcXBD1HY145kxuqDVlIuvmE5SSkclCSrvPZV7WWbdclZLmOAAbdjVPimSs6S8yb9"&amp;"1vwl2H4cr0FfJHUj7YynVaOYL1gDZY=w1200|https://lh3.googleusercontent.com/pw/AP1GczOzEVxm_GznSsrpJcfEr9NjVUufm5rabSzJikyNLwrugCgEgmRdS6XYw9ldqPrZmEjJzSvmncoUW4YcxRAc87NNbIkdDQ8LaaM_0fi0Ed28MPcguxR0=w1200|https://lh3.googleusercontent.com/pw/AP1GczPeCy_i0UbI5"&amp;"5FjDrHGk1Y4WyITP_jnTe_wlK-Bsuzjm_UqSr4_oXRWwvis7gP9Y14v0Mo4uCiPn8yYgv5sIe8hsD0nns0-5MntdihocII5-qkpkwSR=w1200|https://lh3.googleusercontent.com/pw/AP1GczMw5gmRMPrx6gkuhCDoTr-7I-qVjS4ug-I3W0X0hbyrxvrQ2YYdtPJe77PQyDXwB03scwLonn7xeLZ802rpRA2fjLwa4XxxIFNYogwd"&amp;"IjmQWmApNyFp=w1200|https://lh3.googleusercontent.com/pw/AP1GczNMA5kl394wgaSfnbJjRAKRwcRfPacOE5-GlFWqhi2U-LXnX7l7sXyEoFRu_0AdqCmnRKnhfQmwEk4_QrTh1wfEFnyx_LvibcC7h1TjgjIk0wD5ROoj=w1200")</f>
        <v>https://lh3.googleusercontent.com/pw/AP1GczNoQTQmcR3Yq53kUAdCUQf-dLIUGKbPpZv434FnQFML5uAF2pYA9lj3qTI6h1iqmmHchtW0y9bwrsbz-JzrO6l5-XYEp1vx17Icg9TU-ng5nghq7a-b=w1200|https://lh3.googleusercontent.com/pw/AP1GczO1DuUb4EN0VY0YCF6jx01nJ7KUhJh6bOPlCeOHojvEIW7LvLU8CvirwpTQzVeGA4PBbL9qiu6mAc78wea8PwmmGbHpW0g6ijWJLz3ZcvhePMUCrEP7=w1200|https://lh3.googleusercontent.com/pw/AP1GczP0ahAjx17KZnLumyO43J7_b1EsKn-9aXHjMLBpfyAlmGnvXMpNG6zz1-c8ahiEAYxeAbZXzCyxKG44nfSsUpef3do-WIyrSZ1bkiORrOw30dVDvkYY=w1200|https://lh3.googleusercontent.com/pw/AP1GczOD4YEe9xgQ6ZF1oQn_kfr7y2GL590v7gy9N_JHbEtlUvUTyfwgeaEvxR5uoy6j_Qh4Ll8Cn6yGoC14ihlG5Qwiod8z35LvwBMHplkqQToMQqdu4CEs=w1200|https://lh3.googleusercontent.com/pw/AP1GczNOVNJPovOfd7mNAh0IK_zFREbpLljE5eAauDA66WC02tYQEs0y-i_xfCtxUekpOW20zSSwkzqCS1XRKAnXkSMQug2ggj3pZtub1WvQgxb4SIazywBh=w1200|https://lh3.googleusercontent.com/pw/AP1GczM2Uz7PaKQ5tBilVsDUjn2_tN9MUzdDi4AXcqPs0CxdNc9PcwlXA7iosNj1GhC2qoF7HzS0dNqP2DApnfnmxsS4YnXJnvDnDeOxpoJzf1zOs05tE6SL=w1200|https://lh3.googleusercontent.com/pw/AP1GczNsd2naWMAY5wNgGGpDuuwcmyzEbL-LW4EVizl545QvJmstc-ooO7iFFZKe6Mr-uudMdTkQfizMVjKkQW8m1j6q03dJrokkKXW8ZhE9XoDvbyjuf2cw=w1200|https://lh3.googleusercontent.com/pw/AP1GczOzCHHUYhFHEwWU4qpJuqJcXBD1HY145kxuqDVlIuvmE5SSkclCSrvPZV7WWbdclZLmOAAbdjVPimSs6S8yb91vwl2H4cr0FfJHUj7YynVaOYL1gDZY=w1200|https://lh3.googleusercontent.com/pw/AP1GczOzEVxm_GznSsrpJcfEr9NjVUufm5rabSzJikyNLwrugCgEgmRdS6XYw9ldqPrZmEjJzSvmncoUW4YcxRAc87NNbIkdDQ8LaaM_0fi0Ed28MPcguxR0=w1200|https://lh3.googleusercontent.com/pw/AP1GczPeCy_i0UbI55FjDrHGk1Y4WyITP_jnTe_wlK-Bsuzjm_UqSr4_oXRWwvis7gP9Y14v0Mo4uCiPn8yYgv5sIe8hsD0nns0-5MntdihocII5-qkpkwSR=w1200|https://lh3.googleusercontent.com/pw/AP1GczMw5gmRMPrx6gkuhCDoTr-7I-qVjS4ug-I3W0X0hbyrxvrQ2YYdtPJe77PQyDXwB03scwLonn7xeLZ802rpRA2fjLwa4XxxIFNYogwdIjmQWmApNyFp=w1200|https://lh3.googleusercontent.com/pw/AP1GczNMA5kl394wgaSfnbJjRAKRwcRfPacOE5-GlFWqhi2U-LXnX7l7sXyEoFRu_0AdqCmnRKnhfQmwEk4_QrTh1wfEFnyx_LvibcC7h1TjgjIk0wD5ROoj=w1200</v>
      </c>
      <c r="AJ523" s="46"/>
      <c r="AK523" s="46"/>
      <c r="AL523" s="46"/>
      <c r="AM523" s="46"/>
      <c r="AN523" s="46"/>
      <c r="AO523" s="46"/>
      <c r="AP523" s="46"/>
      <c r="AQ523" s="46"/>
      <c r="AR523" s="46"/>
      <c r="AS523" s="46"/>
      <c r="AT523" s="46"/>
      <c r="AU523" s="46"/>
      <c r="AV523" s="46"/>
      <c r="AW523" s="46"/>
      <c r="AX523" s="46"/>
      <c r="AY523" s="46"/>
      <c r="AZ523" s="46"/>
      <c r="BA523" s="46"/>
      <c r="BB523" s="46"/>
      <c r="BC523" s="46"/>
      <c r="BD523" s="46"/>
      <c r="BE523" s="46"/>
      <c r="BF523" s="46"/>
      <c r="BG523" s="46"/>
      <c r="BH523" s="46"/>
      <c r="BI523" s="46"/>
      <c r="BJ523" s="46"/>
      <c r="BK523" s="46"/>
      <c r="BL523" s="46"/>
      <c r="BM523" s="46"/>
      <c r="BN523" s="46"/>
      <c r="BO523" s="46"/>
      <c r="BP523" s="46"/>
      <c r="BQ523" s="46"/>
      <c r="BR523" s="46"/>
      <c r="BS523" s="46"/>
      <c r="BT523" s="46"/>
      <c r="BU523" s="46"/>
      <c r="BV523" s="46"/>
      <c r="BW523" s="46"/>
      <c r="BX523" s="46"/>
      <c r="BY523" s="46"/>
      <c r="BZ523" s="46"/>
      <c r="CA523" s="46"/>
      <c r="CB523" s="46"/>
      <c r="CC523" s="46"/>
    </row>
    <row r="524">
      <c r="A524" s="87" t="str">
        <f>IFERROR(__xludf.DUMMYFUNCTION("""COMPUTED_VALUE"""),"111")</f>
        <v>111</v>
      </c>
      <c r="B524" s="46" t="str">
        <f>IFERROR(__xludf.DUMMYFUNCTION("""COMPUTED_VALUE"""),"Casa en Conjunto La Manguita")</f>
        <v>Casa en Conjunto La Manguita</v>
      </c>
      <c r="C524" s="46" t="str">
        <f>IFERROR(__xludf.DUMMYFUNCTION("""COMPUTED_VALUE"""),"Casa en conjunto")</f>
        <v>Casa en conjunto</v>
      </c>
      <c r="D524" s="90" t="str">
        <f>IFERROR(__xludf.DUMMYFUNCTION("""COMPUTED_VALUE"""),"Calamari")</f>
        <v>Calamari</v>
      </c>
      <c r="E524" s="46" t="str">
        <f>IFERROR(__xludf.DUMMYFUNCTION("""COMPUTED_VALUE"""),"La Manguita")</f>
        <v>La Manguita</v>
      </c>
      <c r="F524" s="90">
        <f>IFERROR(__xludf.DUMMYFUNCTION("""COMPUTED_VALUE"""),3.2E8)</f>
        <v>320000000</v>
      </c>
      <c r="G524" s="46" t="str">
        <f>IFERROR(__xludf.DUMMYFUNCTION("""COMPUTED_VALUE"""),"$300'000.000 a $400'000.000")</f>
        <v>$300'000.000 a $400'000.000</v>
      </c>
      <c r="H524" s="46"/>
      <c r="I524" s="46"/>
      <c r="J524" s="46" t="str">
        <f>IFERROR(__xludf.DUMMYFUNCTION("""COMPUTED_VALUE"""),"Norte")</f>
        <v>Norte</v>
      </c>
      <c r="K524" s="87" t="str">
        <f>IFERROR(__xludf.DUMMYFUNCTION("""COMPUTED_VALUE"""),"9")</f>
        <v>9</v>
      </c>
      <c r="L524" s="46">
        <f>IFERROR(__xludf.DUMMYFUNCTION("""COMPUTED_VALUE"""),4.0)</f>
        <v>4</v>
      </c>
      <c r="M524" s="46"/>
      <c r="N524" s="46">
        <f>IFERROR(__xludf.DUMMYFUNCTION("""COMPUTED_VALUE"""),3.0)</f>
        <v>3</v>
      </c>
      <c r="O524" s="46">
        <f>IFERROR(__xludf.DUMMYFUNCTION("""COMPUTED_VALUE"""),1.0)</f>
        <v>1</v>
      </c>
      <c r="P524" s="46">
        <f>IFERROR(__xludf.DUMMYFUNCTION("""COMPUTED_VALUE"""),2.0)</f>
        <v>2</v>
      </c>
      <c r="Q524" s="92">
        <f>IFERROR(__xludf.DUMMYFUNCTION("""COMPUTED_VALUE"""),101.5)</f>
        <v>101.5</v>
      </c>
      <c r="R524" s="92">
        <f>IFERROR(__xludf.DUMMYFUNCTION("""COMPUTED_VALUE"""),50.0)</f>
        <v>50</v>
      </c>
      <c r="S524" s="87" t="str">
        <f>IFERROR(__xludf.DUMMYFUNCTION("""COMPUTED_VALUE""")," ")</f>
        <v> </v>
      </c>
      <c r="T524" s="46" t="str">
        <f>IFERROR(__xludf.DUMMYFUNCTION("""COMPUTED_VALUE"""),"Neiva")</f>
        <v>Neiva</v>
      </c>
      <c r="U524" s="87" t="str">
        <f>IFERROR(__xludf.DUMMYFUNCTION("""COMPUTED_VALUE"""),"3")</f>
        <v>3</v>
      </c>
      <c r="V524" s="46" t="str">
        <f>IFERROR(__xludf.DUMMYFUNCTION("""COMPUTED_VALUE"""),"Medianera")</f>
        <v>Medianera</v>
      </c>
      <c r="W524" s="46"/>
      <c r="X524" s="46">
        <f>IFERROR(__xludf.DUMMYFUNCTION("""COMPUTED_VALUE"""),4.0)</f>
        <v>4</v>
      </c>
      <c r="Y524" s="46" t="str">
        <f>IFERROR(__xludf.DUMMYFUNCTION("""COMPUTED_VALUE"""),"Social")</f>
        <v>Social</v>
      </c>
      <c r="Z524" s="90"/>
      <c r="AA524" s="33" t="str">
        <f>IFERROR(__xludf.DUMMYFUNCTION("""COMPUTED_VALUE"""),"No aplica")</f>
        <v>No aplica</v>
      </c>
      <c r="AB524" s="144" t="str">
        <f>IFERROR(__xludf.DUMMYFUNCTION("""COMPUTED_VALUE"""),"https://photos.app.goo.gl/jXEi15WknpqBBsYS8")</f>
        <v>https://photos.app.goo.gl/jXEi15WknpqBBsYS8</v>
      </c>
      <c r="AC524" s="46" t="str">
        <f>IFERROR(__xludf.DUMMYFUNCTION("""COMPUTED_VALUE"""),"Inmueble ubicado en el Conjunto Residencial La Manguita, al norte de la ciudad de Neiva. La casa está distribuida de la siguiente manera: Primer piso: sala-comedor, cocina semiintegral, una alcoba con clóset, baño social y patio de ropas. Segundo piso: tr"&amp;"es alcobas con clóset, la principal con baño privado y balcón. El conjunto residencial dispone de piscina, cancha múltiple, salón social y zona de juegos infantiles. Cada unidad habitacional cuenta con parqueadero cubierto de uso exclusivo.")</f>
        <v>Inmueble ubicado en el Conjunto Residencial La Manguita, al norte de la ciudad de Neiva. La casa está distribuida de la siguiente manera: Primer piso: sala-comedor, cocina semiintegral, una alcoba con clóset, baño social y patio de ropas. Segundo piso: tres alcobas con clóset, la principal con baño privado y balcón. El conjunto residencial dispone de piscina, cancha múltiple, salón social y zona de juegos infantiles. Cada unidad habitacional cuenta con parqueadero cubierto de uso exclusivo.</v>
      </c>
      <c r="AD524" s="46"/>
      <c r="AE524" s="46"/>
      <c r="AF524" s="46" t="str">
        <f>IFERROR(__xludf.DUMMYFUNCTION("""COMPUTED_VALUE"""),"semi-integral")</f>
        <v>semi-integral</v>
      </c>
      <c r="AG524" s="46"/>
      <c r="AH524" s="46" t="str">
        <f>IFERROR(__xludf.DUMMYFUNCTION("""COMPUTED_VALUE"""),"Aliado")</f>
        <v>Aliado</v>
      </c>
      <c r="AI524" s="92" t="str">
        <f>IFERROR(__xludf.DUMMYFUNCTION("""COMPUTED_VALUE"""),"https://lh3.googleusercontent.com/pw/AP1GczO6B4dXBOAkQEqmvQ52_60jW4NSI8JJIxdouUdiko81h81uddPbOMCsLJxP6e_wvU0pobGpEv1-zsxbrPQ8v9MarbKc_b39OtTjfpef_RlPd06rtiIp=w1200|https://lh3.googleusercontent.com/pw/AP1GczM0vJuaX2rCe0oeLDg4Rx50OzLd1zZ8MsBgmD_42Av4C8XQvB"&amp;"djHAKDhP-JwnPriylwAxpbs0rKj2LXnFHb7yLezz4HMwoYY-0XnjmD7vnjTjFD3Y_8=w1200|https://lh3.googleusercontent.com/pw/AP1GczNXsBpcwJwPsEV3BFgRD9z3BMKezl58ZzKux4iBly6UbIWCUjgPubEQPvNa9VhPitNhOJeTPfXJ6zHGs5lv0pIkZDT3EcVt-dWjv3ztJ677PITWysu3=w1200|https://lh3.google"&amp;"usercontent.com/pw/AP1GczNzvBtFgx9gW_v-DhIk702XkaxDmnFG0j4jirSgoakJeVohvLwg9EvBB1oJMPQKVbpHU6Xi0sRQYmZd8Ztp7fB2GjNlbeKdGxUJh-A-mftKhiqXxbEN=w1200|https://lh3.googleusercontent.com/pw/AP1GczO6Zd8W3DIjG-GxIwSECv1MhCBPPBesua2uH8pKUGn77wssLuCJwDWEcSGYjv_2kZsS"&amp;"eaKu_hUjTF_Pn56n6JDv_lYvrTMiwGU5dbXZhzYJkchgnqkp=w1200|https://lh3.googleusercontent.com/pw/AP1GczM-Pflb5HNX9AxjA_V9_dCOGobBijoGwGqUROp_VlVFdTDgIZkeWoQ4nSDEX-FqiU5IprOP34jGk-IBQRqGOB2bBUudNgt_BIDCPseT7wH2Ml3MKlQ8=w1200|https://lh3.googleusercontent.com/pw"&amp;"/AP1GczMAaxwWor0ISo9wXzj0eTHL8TpC5ddNkZu8b9W6HkyCF8eg8DJGg0SCcC13KjLu96pnytos_DlavCqLKS8MZXv6cgpSRqOff9FgB7SOepVL2zqTPp87=w1200|https://lh3.googleusercontent.com/pw/AP1GczN83DPYeksD4J9S_LR4qy9_CiVIsPMEmAe1AGJ0P2pOdYLysxUVYaQPw0Y5ukE_a1E_PN1JOQGdKJcny2Qk4Y"&amp;"c9P0OB8gY0OGXpqssr6TQAAWhm_E87=w1200|https://lh3.googleusercontent.com/pw/AP1GczNCUHPv-d6076-EcZZjyBIbFUMN6mLhxmf2iUUXVBHRfeZaqBJs7ufvcmTTIP9ckSNGHKygOfbF-wLz5Jlr-O875RxKTMMA3ub4QUphdAtrGffYhKy-=w1200|https://lh3.googleusercontent.com/pw/AP1GczMcr4RW3ZCAF"&amp;"dMd84koptwF8cxSRG7f7K96siu7y21PcaAo3x3oxh8R01Dauv9UDNVC7U4Slq_xRr7tKzvH01Zavxk8iyq3t3mS_BeaQhqwm294qv63=w1200")</f>
        <v>https://lh3.googleusercontent.com/pw/AP1GczO6B4dXBOAkQEqmvQ52_60jW4NSI8JJIxdouUdiko81h81uddPbOMCsLJxP6e_wvU0pobGpEv1-zsxbrPQ8v9MarbKc_b39OtTjfpef_RlPd06rtiIp=w1200|https://lh3.googleusercontent.com/pw/AP1GczM0vJuaX2rCe0oeLDg4Rx50OzLd1zZ8MsBgmD_42Av4C8XQvBdjHAKDhP-JwnPriylwAxpbs0rKj2LXnFHb7yLezz4HMwoYY-0XnjmD7vnjTjFD3Y_8=w1200|https://lh3.googleusercontent.com/pw/AP1GczNXsBpcwJwPsEV3BFgRD9z3BMKezl58ZzKux4iBly6UbIWCUjgPubEQPvNa9VhPitNhOJeTPfXJ6zHGs5lv0pIkZDT3EcVt-dWjv3ztJ677PITWysu3=w1200|https://lh3.googleusercontent.com/pw/AP1GczNzvBtFgx9gW_v-DhIk702XkaxDmnFG0j4jirSgoakJeVohvLwg9EvBB1oJMPQKVbpHU6Xi0sRQYmZd8Ztp7fB2GjNlbeKdGxUJh-A-mftKhiqXxbEN=w1200|https://lh3.googleusercontent.com/pw/AP1GczO6Zd8W3DIjG-GxIwSECv1MhCBPPBesua2uH8pKUGn77wssLuCJwDWEcSGYjv_2kZsSeaKu_hUjTF_Pn56n6JDv_lYvrTMiwGU5dbXZhzYJkchgnqkp=w1200|https://lh3.googleusercontent.com/pw/AP1GczM-Pflb5HNX9AxjA_V9_dCOGobBijoGwGqUROp_VlVFdTDgIZkeWoQ4nSDEX-FqiU5IprOP34jGk-IBQRqGOB2bBUudNgt_BIDCPseT7wH2Ml3MKlQ8=w1200|https://lh3.googleusercontent.com/pw/AP1GczMAaxwWor0ISo9wXzj0eTHL8TpC5ddNkZu8b9W6HkyCF8eg8DJGg0SCcC13KjLu96pnytos_DlavCqLKS8MZXv6cgpSRqOff9FgB7SOepVL2zqTPp87=w1200|https://lh3.googleusercontent.com/pw/AP1GczN83DPYeksD4J9S_LR4qy9_CiVIsPMEmAe1AGJ0P2pOdYLysxUVYaQPw0Y5ukE_a1E_PN1JOQGdKJcny2Qk4Yc9P0OB8gY0OGXpqssr6TQAAWhm_E87=w1200|https://lh3.googleusercontent.com/pw/AP1GczNCUHPv-d6076-EcZZjyBIbFUMN6mLhxmf2iUUXVBHRfeZaqBJs7ufvcmTTIP9ckSNGHKygOfbF-wLz5Jlr-O875RxKTMMA3ub4QUphdAtrGffYhKy-=w1200|https://lh3.googleusercontent.com/pw/AP1GczMcr4RW3ZCAFdMd84koptwF8cxSRG7f7K96siu7y21PcaAo3x3oxh8R01Dauv9UDNVC7U4Slq_xRr7tKzvH01Zavxk8iyq3t3mS_BeaQhqwm294qv63=w1200</v>
      </c>
      <c r="AJ524" s="46"/>
      <c r="AK524" s="46"/>
      <c r="AL524" s="46"/>
      <c r="AM524" s="46"/>
      <c r="AN524" s="46"/>
      <c r="AO524" s="46"/>
      <c r="AP524" s="46"/>
      <c r="AQ524" s="46"/>
      <c r="AR524" s="46"/>
      <c r="AS524" s="46"/>
      <c r="AT524" s="46"/>
      <c r="AU524" s="46"/>
      <c r="AV524" s="46"/>
      <c r="AW524" s="46"/>
      <c r="AX524" s="46"/>
      <c r="AY524" s="46"/>
      <c r="AZ524" s="46"/>
      <c r="BA524" s="46"/>
      <c r="BB524" s="46"/>
      <c r="BC524" s="46"/>
      <c r="BD524" s="46"/>
      <c r="BE524" s="46"/>
      <c r="BF524" s="46"/>
      <c r="BG524" s="46"/>
      <c r="BH524" s="46"/>
      <c r="BI524" s="46"/>
      <c r="BJ524" s="46"/>
      <c r="BK524" s="46"/>
      <c r="BL524" s="46"/>
      <c r="BM524" s="46"/>
      <c r="BN524" s="46"/>
      <c r="BO524" s="46"/>
      <c r="BP524" s="46"/>
      <c r="BQ524" s="46"/>
      <c r="BR524" s="46"/>
      <c r="BS524" s="46"/>
      <c r="BT524" s="46"/>
      <c r="BU524" s="46"/>
      <c r="BV524" s="46"/>
      <c r="BW524" s="46"/>
      <c r="BX524" s="46"/>
      <c r="BY524" s="46"/>
      <c r="BZ524" s="46"/>
      <c r="CA524" s="46"/>
      <c r="CB524" s="46"/>
      <c r="CC524" s="46"/>
    </row>
    <row r="525">
      <c r="A525" s="87" t="str">
        <f>IFERROR(__xludf.DUMMYFUNCTION("""COMPUTED_VALUE"""),"761")</f>
        <v>761</v>
      </c>
      <c r="B525" s="46" t="str">
        <f>IFERROR(__xludf.DUMMYFUNCTION("""COMPUTED_VALUE"""),"Apartamento en edificio esquinero en barrio  Prado Alto - Las Brisas - Oriente")</f>
        <v>Apartamento en edificio esquinero en barrio  Prado Alto - Las Brisas - Oriente</v>
      </c>
      <c r="C525" s="46" t="str">
        <f>IFERROR(__xludf.DUMMYFUNCTION("""COMPUTED_VALUE"""),"Apartamento")</f>
        <v>Apartamento</v>
      </c>
      <c r="D525" s="46" t="str">
        <f>IFERROR(__xludf.DUMMYFUNCTION("""COMPUTED_VALUE"""),"Las Brisas")</f>
        <v>Las Brisas</v>
      </c>
      <c r="E525" s="90"/>
      <c r="F525" s="90">
        <f>IFERROR(__xludf.DUMMYFUNCTION("""COMPUTED_VALUE"""),2.8E8)</f>
        <v>280000000</v>
      </c>
      <c r="G525" s="46" t="str">
        <f>IFERROR(__xludf.DUMMYFUNCTION("""COMPUTED_VALUE"""),"$200'000.000 a $300'000.000")</f>
        <v>$200'000.000 a $300'000.000</v>
      </c>
      <c r="H525" s="46"/>
      <c r="I525" s="46"/>
      <c r="J525" s="46" t="str">
        <f>IFERROR(__xludf.DUMMYFUNCTION("""COMPUTED_VALUE"""),"Oriente")</f>
        <v>Oriente</v>
      </c>
      <c r="K525" s="87" t="str">
        <f>IFERROR(__xludf.DUMMYFUNCTION("""COMPUTED_VALUE"""),"7")</f>
        <v>7</v>
      </c>
      <c r="L525" s="46">
        <f>IFERROR(__xludf.DUMMYFUNCTION("""COMPUTED_VALUE"""),3.0)</f>
        <v>3</v>
      </c>
      <c r="M525" s="46"/>
      <c r="N525" s="46">
        <f>IFERROR(__xludf.DUMMYFUNCTION("""COMPUTED_VALUE"""),2.0)</f>
        <v>2</v>
      </c>
      <c r="O525" s="46">
        <f>IFERROR(__xludf.DUMMYFUNCTION("""COMPUTED_VALUE"""),1.0)</f>
        <v>1</v>
      </c>
      <c r="P525" s="46">
        <f>IFERROR(__xludf.DUMMYFUNCTION("""COMPUTED_VALUE"""),2.0)</f>
        <v>2</v>
      </c>
      <c r="Q525" s="92">
        <f>IFERROR(__xludf.DUMMYFUNCTION("""COMPUTED_VALUE"""),87.21)</f>
        <v>87.21</v>
      </c>
      <c r="R525" s="92">
        <f>IFERROR(__xludf.DUMMYFUNCTION("""COMPUTED_VALUE"""),79.83)</f>
        <v>79.83</v>
      </c>
      <c r="S525" s="87" t="str">
        <f>IFERROR(__xludf.DUMMYFUNCTION("""COMPUTED_VALUE""")," ")</f>
        <v> </v>
      </c>
      <c r="T525" s="46" t="str">
        <f>IFERROR(__xludf.DUMMYFUNCTION("""COMPUTED_VALUE"""),"Neiva")</f>
        <v>Neiva</v>
      </c>
      <c r="U525" s="87" t="str">
        <f>IFERROR(__xludf.DUMMYFUNCTION("""COMPUTED_VALUE"""),"4")</f>
        <v>4</v>
      </c>
      <c r="V525" s="46" t="str">
        <f>IFERROR(__xludf.DUMMYFUNCTION("""COMPUTED_VALUE"""),"2do.")</f>
        <v>2do.</v>
      </c>
      <c r="W525" s="46"/>
      <c r="X525" s="46">
        <f>IFERROR(__xludf.DUMMYFUNCTION("""COMPUTED_VALUE"""),3.0)</f>
        <v>3</v>
      </c>
      <c r="Y525" s="46" t="str">
        <f>IFERROR(__xludf.DUMMYFUNCTION("""COMPUTED_VALUE"""),"No tiene")</f>
        <v>No tiene</v>
      </c>
      <c r="Z525" s="90">
        <f>IFERROR(__xludf.DUMMYFUNCTION("""COMPUTED_VALUE"""),130000.0)</f>
        <v>130000</v>
      </c>
      <c r="AA525" s="33" t="str">
        <f>IFERROR(__xludf.DUMMYFUNCTION("""COMPUTED_VALUE"""),"No aplica")</f>
        <v>No aplica</v>
      </c>
      <c r="AB525" s="96" t="str">
        <f>IFERROR(__xludf.DUMMYFUNCTION("""COMPUTED_VALUE"""),"https://photos.app.goo.gl/DoQBHoXVYjhrz4We6")</f>
        <v>https://photos.app.goo.gl/DoQBHoXVYjhrz4We6</v>
      </c>
      <c r="AC525" s="46" t="str">
        <f>IFERROR(__xludf.DUMMYFUNCTION("""COMPUTED_VALUE"""),"En Prado Alto, Edificio moderno, apartamento esquinero en segundo piso con ascensor y parqueadero privado. Sala-comedor iluminada, con balcón y malla de seguridad, cocina integral abierta con mesón en granito, zona de ropas, 3 alcobas con clósets y 2 baño"&amp;"s con división en vidrio uno en la habitación principal.")</f>
        <v>En Prado Alto, Edificio moderno, apartamento esquinero en segundo piso con ascensor y parqueadero privado. Sala-comedor iluminada, con balcón y malla de seguridad, cocina integral abierta con mesón en granito, zona de ropas, 3 alcobas con clósets y 2 baños con división en vidrio uno en la habitación principal.</v>
      </c>
      <c r="AD525" s="46" t="str">
        <f>IFERROR(__xludf.DUMMYFUNCTION("""COMPUTED_VALUE"""),"Sector residencial tranquilo, cerca de de CORHUILA Sede Prado Alto, Heladería y restaurante Frupys, Tostana Prado Alto, Agencia Nacional de Tierras - UGT Huila, institución Educativa Escuela Normal Superior de Neiva, Centro Comercial Zaragoza, Supertienda"&amp;" Olímpica ipanema Neiva, Zona Comercial del Oriente, Centro Comercial Santa Lucia Plaza.")</f>
        <v>Sector residencial tranquilo, cerca de de CORHUILA Sede Prado Alto, Heladería y restaurante Frupys, Tostana Prado Alto, Agencia Nacional de Tierras - UGT Huila, institución Educativa Escuela Normal Superior de Neiva, Centro Comercial Zaragoza, Supertienda Olímpica ipanema Neiva, Zona Comercial del Oriente, Centro Comercial Santa Lucia Plaza.</v>
      </c>
      <c r="AE525" s="46"/>
      <c r="AF525" s="46" t="str">
        <f>IFERROR(__xludf.DUMMYFUNCTION("""COMPUTED_VALUE"""),"integral")</f>
        <v>integral</v>
      </c>
      <c r="AG525" s="46"/>
      <c r="AH525" s="46" t="str">
        <f>IFERROR(__xludf.DUMMYFUNCTION("""COMPUTED_VALUE"""),"Aliado")</f>
        <v>Aliado</v>
      </c>
      <c r="AI525" s="92" t="str">
        <f>IFERROR(__xludf.DUMMYFUNCTION("""COMPUTED_VALUE"""),"https://lh3.googleusercontent.com/pw/AP1GczOo9r2kYkuAn0ia5r2B0fZnZf0Ymlp5Rn0EwAGCZ9BcTIYqYKyVZmGCV_gf-rgDh8yr1aA6AgQBEk6qKgjmDhPxJAikgVDVwgMdIb-kgZuADRgo1AMn=w1200|https://lh3.googleusercontent.com/pw/AP1GczPHRmEED1C5_JO-jpwt0O6AAdlYofPokCeuRSWSZ9YaEz0PjF"&amp;"9LHc-FSRgJccQQN6crWuc47k_crRQH8n88R46RObFVRfgeGO7FujTnm6tQsTctp4B4=w1200|https://lh3.googleusercontent.com/pw/AP1GczP44Bvxg9TjzKwjUWTcYhMtfG-yK4GAbM2bKyAQ-iN9zl2mVdNwdswNainwpKnjiUwUWudzhBgciu1Qjio9bckK-7_TBQ8g6sp-c3c0sdccytcUcbvO=w1200|https://lh3.google"&amp;"usercontent.com/pw/AP1GczOdNPs6d_87IOk5CA-2lwdX4gi-ozADWZG5EV9bmZ-iYpg2FdOB8LasxN-gBYrQrpZ893VVQf08lDIPNiqJ5xILuskpJToewjsSjSAPRV19-TGyenUL=w1200|https://lh3.googleusercontent.com/pw/AP1GczN9vjI8xJsuPANr6rQk0941Zrb8yLb2uYOf2s1eWZPDQTX7ie_54SwSL-1BMAhVw5BG"&amp;"gu6mUXQLEndx6p25jzwxTLwlsAWsq9gc9IGYYx0NaDq6XQqi=w1200|https://lh3.googleusercontent.com/pw/AP1GczMHzUA5KRlvo0P-pMrSRLx_7XdhWWGoT6rruMrnDvxWalMqcjnRsPQcZ5NLmtBgktqykx8kLxfJoE3tTj89TR0Gnni-FbD3xVolzORaD3OBrUhwqoT4=w1200|https://lh3.googleusercontent.com/pw"&amp;"/AP1GczNEEmnv_aZ9-lnYsBQKxoLJYab1vYM0a3F281g7arA5HIF3oX8bKAxZvyAd7T04Ff2Bp0ohz7j_cDUaI91X8W8Tu3sl-MFv-CVBwQ7hWJl73lyr6_G7=w1200|https://lh3.googleusercontent.com/pw/AP1GczPVUUHKSGnYdA13Q40QRY5VBKiXG9_hokfuepIEIZjdJCuuPM-yURCI_9OHA3dCj13j-Ec3ghFgoMQc4SMO1e"&amp;"oBpEXr5KT-B2bXcUS5yjHzrONuUdr9=w1200|https://lh3.googleusercontent.com/pw/AP1GczPm7YZvH9TtzL3a76bbZvTqraMKGWfFgYazXSXnbsurbT2DMaWdZrHJw_82cOt7EVVwxuz5SHnPTOi13LDKCssXS9st9XiSRNpe8LUNdzO5ocwkA01E=w1200|https://lh3.googleusercontent.com/pw/AP1GczPqbNSnVXtcd"&amp;"ZlwHck7Cj83VRshwtfVgK3yxly-zsNFkdmHr4NTgTBatfKWMq7Wj-BW-IJkUdbBD104rnohSVuTvkhbIoV9UTfrKF7kDZGLMnKxFDKU=w1200|https://lh3.googleusercontent.com/pw/AP1GczOpAtciPucEbq8lO3Klv9WF4A2-XkuQtuUWIB4dhew7DaKLfdiVOm3lQ2XYDPZ0EgIYydKMNaJmXqmEIaqoMCsBEKhXpK0KDKi6h0JN"&amp;"Dl97-ewMf4Kp=w1200|https://lh3.googleusercontent.com/pw/AP1GczM2Ghp4fBSFVSe4JScYYKSUk-fojplEvCYRqUBJC4zdHuCKbkkRDZYr5UcWwA_UnkOo__lWArGsJbdTF_gx3ainbTWhvCaBZpd6ivTOQIl_AQk1gg_h=w1200|https://lh3.googleusercontent.com/pw/AP1GczOaWB1darFg0I4d1noF996D49IrBZ2"&amp;"7VH05ysrD2ANTqUlk6dRcC5KJ7Gg17z6Of04W3cAguhybOZW0ZjnnV9AMJeZ1A6AkbUBsE9DGFH_SYebu1k5k=w1200")</f>
        <v>https://lh3.googleusercontent.com/pw/AP1GczOo9r2kYkuAn0ia5r2B0fZnZf0Ymlp5Rn0EwAGCZ9BcTIYqYKyVZmGCV_gf-rgDh8yr1aA6AgQBEk6qKgjmDhPxJAikgVDVwgMdIb-kgZuADRgo1AMn=w1200|https://lh3.googleusercontent.com/pw/AP1GczPHRmEED1C5_JO-jpwt0O6AAdlYofPokCeuRSWSZ9YaEz0PjF9LHc-FSRgJccQQN6crWuc47k_crRQH8n88R46RObFVRfgeGO7FujTnm6tQsTctp4B4=w1200|https://lh3.googleusercontent.com/pw/AP1GczP44Bvxg9TjzKwjUWTcYhMtfG-yK4GAbM2bKyAQ-iN9zl2mVdNwdswNainwpKnjiUwUWudzhBgciu1Qjio9bckK-7_TBQ8g6sp-c3c0sdccytcUcbvO=w1200|https://lh3.googleusercontent.com/pw/AP1GczOdNPs6d_87IOk5CA-2lwdX4gi-ozADWZG5EV9bmZ-iYpg2FdOB8LasxN-gBYrQrpZ893VVQf08lDIPNiqJ5xILuskpJToewjsSjSAPRV19-TGyenUL=w1200|https://lh3.googleusercontent.com/pw/AP1GczN9vjI8xJsuPANr6rQk0941Zrb8yLb2uYOf2s1eWZPDQTX7ie_54SwSL-1BMAhVw5BGgu6mUXQLEndx6p25jzwxTLwlsAWsq9gc9IGYYx0NaDq6XQqi=w1200|https://lh3.googleusercontent.com/pw/AP1GczMHzUA5KRlvo0P-pMrSRLx_7XdhWWGoT6rruMrnDvxWalMqcjnRsPQcZ5NLmtBgktqykx8kLxfJoE3tTj89TR0Gnni-FbD3xVolzORaD3OBrUhwqoT4=w1200|https://lh3.googleusercontent.com/pw/AP1GczNEEmnv_aZ9-lnYsBQKxoLJYab1vYM0a3F281g7arA5HIF3oX8bKAxZvyAd7T04Ff2Bp0ohz7j_cDUaI91X8W8Tu3sl-MFv-CVBwQ7hWJl73lyr6_G7=w1200|https://lh3.googleusercontent.com/pw/AP1GczPVUUHKSGnYdA13Q40QRY5VBKiXG9_hokfuepIEIZjdJCuuPM-yURCI_9OHA3dCj13j-Ec3ghFgoMQc4SMO1eoBpEXr5KT-B2bXcUS5yjHzrONuUdr9=w1200|https://lh3.googleusercontent.com/pw/AP1GczPm7YZvH9TtzL3a76bbZvTqraMKGWfFgYazXSXnbsurbT2DMaWdZrHJw_82cOt7EVVwxuz5SHnPTOi13LDKCssXS9st9XiSRNpe8LUNdzO5ocwkA01E=w1200|https://lh3.googleusercontent.com/pw/AP1GczPqbNSnVXtcdZlwHck7Cj83VRshwtfVgK3yxly-zsNFkdmHr4NTgTBatfKWMq7Wj-BW-IJkUdbBD104rnohSVuTvkhbIoV9UTfrKF7kDZGLMnKxFDKU=w1200|https://lh3.googleusercontent.com/pw/AP1GczOpAtciPucEbq8lO3Klv9WF4A2-XkuQtuUWIB4dhew7DaKLfdiVOm3lQ2XYDPZ0EgIYydKMNaJmXqmEIaqoMCsBEKhXpK0KDKi6h0JNDl97-ewMf4Kp=w1200|https://lh3.googleusercontent.com/pw/AP1GczM2Ghp4fBSFVSe4JScYYKSUk-fojplEvCYRqUBJC4zdHuCKbkkRDZYr5UcWwA_UnkOo__lWArGsJbdTF_gx3ainbTWhvCaBZpd6ivTOQIl_AQk1gg_h=w1200|https://lh3.googleusercontent.com/pw/AP1GczOaWB1darFg0I4d1noF996D49IrBZ27VH05ysrD2ANTqUlk6dRcC5KJ7Gg17z6Of04W3cAguhybOZW0ZjnnV9AMJeZ1A6AkbUBsE9DGFH_SYebu1k5k=w1200</v>
      </c>
      <c r="AJ525" s="46"/>
      <c r="AK525" s="46"/>
      <c r="AL525" s="46"/>
      <c r="AM525" s="46"/>
      <c r="AN525" s="46"/>
      <c r="AO525" s="46"/>
      <c r="AP525" s="46"/>
      <c r="AQ525" s="46"/>
      <c r="AR525" s="46"/>
      <c r="AS525" s="46"/>
      <c r="AT525" s="46"/>
      <c r="AU525" s="46"/>
      <c r="AV525" s="46"/>
      <c r="AW525" s="46"/>
      <c r="AX525" s="46"/>
      <c r="AY525" s="46"/>
      <c r="AZ525" s="46"/>
      <c r="BA525" s="46"/>
      <c r="BB525" s="46"/>
      <c r="BC525" s="46"/>
      <c r="BD525" s="46"/>
      <c r="BE525" s="46"/>
      <c r="BF525" s="46"/>
      <c r="BG525" s="46"/>
      <c r="BH525" s="46"/>
      <c r="BI525" s="46"/>
      <c r="BJ525" s="46"/>
      <c r="BK525" s="46"/>
      <c r="BL525" s="46"/>
      <c r="BM525" s="46"/>
      <c r="BN525" s="46"/>
      <c r="BO525" s="46"/>
      <c r="BP525" s="46"/>
      <c r="BQ525" s="46"/>
      <c r="BR525" s="46"/>
      <c r="BS525" s="46"/>
      <c r="BT525" s="46"/>
      <c r="BU525" s="46"/>
      <c r="BV525" s="46"/>
      <c r="BW525" s="46"/>
      <c r="BX525" s="46"/>
      <c r="BY525" s="46"/>
      <c r="BZ525" s="46"/>
      <c r="CA525" s="46"/>
      <c r="CB525" s="46"/>
      <c r="CC525" s="46"/>
    </row>
    <row r="526">
      <c r="A526" s="87" t="str">
        <f>IFERROR(__xludf.DUMMYFUNCTION("""COMPUTED_VALUE"""),"467")</f>
        <v>467</v>
      </c>
      <c r="B526" s="46" t="str">
        <f>IFERROR(__xludf.DUMMYFUNCTION("""COMPUTED_VALUE"""),"Casa en barrio Villa Café")</f>
        <v>Casa en barrio Villa Café</v>
      </c>
      <c r="C526" s="46" t="str">
        <f>IFERROR(__xludf.DUMMYFUNCTION("""COMPUTED_VALUE"""),"Casa")</f>
        <v>Casa</v>
      </c>
      <c r="D526" s="46" t="str">
        <f>IFERROR(__xludf.DUMMYFUNCTION("""COMPUTED_VALUE"""),"Villa Café")</f>
        <v>Villa Café</v>
      </c>
      <c r="E526" s="46"/>
      <c r="F526" s="90">
        <f>IFERROR(__xludf.DUMMYFUNCTION("""COMPUTED_VALUE"""),2.7E8)</f>
        <v>270000000</v>
      </c>
      <c r="G526" s="46" t="str">
        <f>IFERROR(__xludf.DUMMYFUNCTION("""COMPUTED_VALUE"""),"$200'000.000 a $300'000.000")</f>
        <v>$200'000.000 a $300'000.000</v>
      </c>
      <c r="H526" s="46"/>
      <c r="I526" s="46"/>
      <c r="J526" s="46" t="str">
        <f>IFERROR(__xludf.DUMMYFUNCTION("""COMPUTED_VALUE"""),"Oriente")</f>
        <v>Oriente</v>
      </c>
      <c r="K526" s="87" t="str">
        <f>IFERROR(__xludf.DUMMYFUNCTION("""COMPUTED_VALUE"""),"7")</f>
        <v>7</v>
      </c>
      <c r="L526" s="46">
        <f>IFERROR(__xludf.DUMMYFUNCTION("""COMPUTED_VALUE"""),3.0)</f>
        <v>3</v>
      </c>
      <c r="M526" s="46"/>
      <c r="N526" s="46">
        <f>IFERROR(__xludf.DUMMYFUNCTION("""COMPUTED_VALUE"""),3.0)</f>
        <v>3</v>
      </c>
      <c r="O526" s="46">
        <f>IFERROR(__xludf.DUMMYFUNCTION("""COMPUTED_VALUE"""),1.0)</f>
        <v>1</v>
      </c>
      <c r="P526" s="46">
        <f>IFERROR(__xludf.DUMMYFUNCTION("""COMPUTED_VALUE"""),2.0)</f>
        <v>2</v>
      </c>
      <c r="Q526" s="92">
        <f>IFERROR(__xludf.DUMMYFUNCTION("""COMPUTED_VALUE"""),120.0)</f>
        <v>120</v>
      </c>
      <c r="R526" s="92">
        <f>IFERROR(__xludf.DUMMYFUNCTION("""COMPUTED_VALUE"""),80.0)</f>
        <v>80</v>
      </c>
      <c r="S526" s="87" t="str">
        <f>IFERROR(__xludf.DUMMYFUNCTION("""COMPUTED_VALUE""")," ")</f>
        <v> </v>
      </c>
      <c r="T526" s="46" t="str">
        <f>IFERROR(__xludf.DUMMYFUNCTION("""COMPUTED_VALUE"""),"Neiva")</f>
        <v>Neiva</v>
      </c>
      <c r="U526" s="87" t="str">
        <f>IFERROR(__xludf.DUMMYFUNCTION("""COMPUTED_VALUE"""),"3")</f>
        <v>3</v>
      </c>
      <c r="V526" s="46" t="str">
        <f>IFERROR(__xludf.DUMMYFUNCTION("""COMPUTED_VALUE"""),"Medianera")</f>
        <v>Medianera</v>
      </c>
      <c r="W526" s="46"/>
      <c r="X526" s="46">
        <f>IFERROR(__xludf.DUMMYFUNCTION("""COMPUTED_VALUE"""),3.0)</f>
        <v>3</v>
      </c>
      <c r="Y526" s="46" t="str">
        <f>IFERROR(__xludf.DUMMYFUNCTION("""COMPUTED_VALUE"""),"No tiene")</f>
        <v>No tiene</v>
      </c>
      <c r="Z526" s="90" t="str">
        <f>IFERROR(__xludf.DUMMYFUNCTION("""COMPUTED_VALUE"""),"No aplica")</f>
        <v>No aplica</v>
      </c>
      <c r="AA526" s="33"/>
      <c r="AB526" s="144" t="str">
        <f>IFERROR(__xludf.DUMMYFUNCTION("""COMPUTED_VALUE"""),"https://photos.app.goo.gl/YU6k8NdPK3X3immz8")</f>
        <v>https://photos.app.goo.gl/YU6k8NdPK3X3immz8</v>
      </c>
      <c r="AC526" s="46" t="str">
        <f>IFERROR(__xludf.DUMMYFUNCTION("""COMPUTED_VALUE"""),"Casa ubicada en el Oriente de Neiva , cuenta en primer piso con antejardin, dos salas, comedor, cocina semiintegral, baño social patio, tres habitaciones con closet una con baño pincipal con baño.")</f>
        <v>Casa ubicada en el Oriente de Neiva , cuenta en primer piso con antejardin, dos salas, comedor, cocina semiintegral, baño social patio, tres habitaciones con closet una con baño pincipal con baño.</v>
      </c>
      <c r="AD526" s="46"/>
      <c r="AE526" s="46"/>
      <c r="AF526" s="46" t="str">
        <f>IFERROR(__xludf.DUMMYFUNCTION("""COMPUTED_VALUE"""),"semi-integral")</f>
        <v>semi-integral</v>
      </c>
      <c r="AG526" s="46"/>
      <c r="AH526" s="46" t="str">
        <f>IFERROR(__xludf.DUMMYFUNCTION("""COMPUTED_VALUE"""),"Aliado")</f>
        <v>Aliado</v>
      </c>
      <c r="AI526" s="92" t="str">
        <f>IFERROR(__xludf.DUMMYFUNCTION("""COMPUTED_VALUE"""),"https://lh3.googleusercontent.com/pw/AP1GczPcvDo-UOhnjluKD3qI1XYgrjPAa1-fZG3dV3GxhGzjThLM3xSWpKtcgiwouoV0qECLY2FUpASoYUiiosw-GMzdms6bNoP4MVmekUVKjAIzeQXsKODg=w1200|https://lh3.googleusercontent.com/pw/AP1GczNrmBYlsG1x_42kpmeNpC9dS9_4dL66Q-DyB4PrIZ2wi7EQb1"&amp;"C2ODg6l0aI4Mw4ImN6ZmvmFoEjwx0eD1eTNyjqLJwum3LktDdoBf2Z8_Pa1mIVfzTl=w1200|https://lh3.googleusercontent.com/pw/AP1GczPkoZ1S_3q_j0aKuHcwYiQpJlVUKN4XjZu6sU_9qUifekzl4c5_ovjEWrGGz4DgjV2qU5i69sK5h_L79tF5ShU3bJRUAU5V_-DzSxSq2gReFyUvimhz=w1200|https://lh3.google"&amp;"usercontent.com/pw/AP1GczO4fvOI2vc8Of9ymbVGqN7s9mr_yBOJSRs28j8crglxJ2JPZmgovUAHE2gi5w_cHbXAC1IWGvO1T_s1x_pmcGwqdh0bEbUeBhqipHIe_lfBi_8Sg3xq=w1200|https://lh3.googleusercontent.com/pw/AP1GczOutfbOzMDpdO8Z5EXs9-ztv6197ynNNM9VPCHxibziYSZ4r-aOFu7FwuC03kI9ii7Q"&amp;"uDHTKuxzEZPcVOEFPBNkMB3qhFqqxciQMrZiFG5ExopVQccH=w1200|https://lh3.googleusercontent.com/pw/AP1GczM8gtFqx7YZHVa4IIm4xZn4bZ2V9ZFXGxryqmkssdejJuurymP5na6dZE8N6vltnfMz3o6kbsaNzMQYxCZxm4v4W9dRZkT6M9nPlkRwbxqSy0zu4IXo=w1200|https://lh3.googleusercontent.com/pw"&amp;"/AP1GczNSYQhDRtuAugH6FSKLuLYRNyXST-YIkqzb0d9TdInPkPmyDt1BSLBnsA5Cq_oYKbMlTXChYuHE9N470iSNp5zUifTX5gOdfb81kmXVxKQauMJlRkOi=w1200|https://lh3.googleusercontent.com/pw/AP1GczPZ7t8ufSjMI-_ftOGPwgN8Ct_Kd861ALns0uF1hteTUKIshjwBxJFrWqsmpYB_vHNICh_qBTXtL1d3CnDCJf"&amp;"-J3nAkHl1_gXchAPtyjtPmYK9hKflT=w1200|https://lh3.googleusercontent.com/pw/AP1GczPY4CgObxcaGILkpXeFOGyKaz9U5khHUTcs31qnYPLQibNdKHDaTWndrC3OVntw3LEC14wsM5_SDNv1droLI-mZqJBF-h8fsvhKUsx4NBtMX1XfiId0=w1200|https://lh3.googleusercontent.com/pw/AP1GczMGOirqCwbsl"&amp;"x_bLbjY0sHCaJMry9eQCqYsDWZbLKdzTaYVHWtjhn2q58Q010Fg-M2Q0jrFGxlXQP54BrQ7Zr1RihhA0ciiTQG_12mJMTRsy9a_i8H1=w1200|https://lh3.googleusercontent.com/pw/AP1GczP1hQxoS1XtPDuxTXq06RvOxaCuzic9N4843lrb5G-Iv1IqwSptH0MvXm6bPtsJvXnKji5YMvLaInscxwg8nr81s06WYfY5iaspBo8f"&amp;"cf99-JByfNGZ=w1200")</f>
        <v>https://lh3.googleusercontent.com/pw/AP1GczPcvDo-UOhnjluKD3qI1XYgrjPAa1-fZG3dV3GxhGzjThLM3xSWpKtcgiwouoV0qECLY2FUpASoYUiiosw-GMzdms6bNoP4MVmekUVKjAIzeQXsKODg=w1200|https://lh3.googleusercontent.com/pw/AP1GczNrmBYlsG1x_42kpmeNpC9dS9_4dL66Q-DyB4PrIZ2wi7EQb1C2ODg6l0aI4Mw4ImN6ZmvmFoEjwx0eD1eTNyjqLJwum3LktDdoBf2Z8_Pa1mIVfzTl=w1200|https://lh3.googleusercontent.com/pw/AP1GczPkoZ1S_3q_j0aKuHcwYiQpJlVUKN4XjZu6sU_9qUifekzl4c5_ovjEWrGGz4DgjV2qU5i69sK5h_L79tF5ShU3bJRUAU5V_-DzSxSq2gReFyUvimhz=w1200|https://lh3.googleusercontent.com/pw/AP1GczO4fvOI2vc8Of9ymbVGqN7s9mr_yBOJSRs28j8crglxJ2JPZmgovUAHE2gi5w_cHbXAC1IWGvO1T_s1x_pmcGwqdh0bEbUeBhqipHIe_lfBi_8Sg3xq=w1200|https://lh3.googleusercontent.com/pw/AP1GczOutfbOzMDpdO8Z5EXs9-ztv6197ynNNM9VPCHxibziYSZ4r-aOFu7FwuC03kI9ii7QuDHTKuxzEZPcVOEFPBNkMB3qhFqqxciQMrZiFG5ExopVQccH=w1200|https://lh3.googleusercontent.com/pw/AP1GczM8gtFqx7YZHVa4IIm4xZn4bZ2V9ZFXGxryqmkssdejJuurymP5na6dZE8N6vltnfMz3o6kbsaNzMQYxCZxm4v4W9dRZkT6M9nPlkRwbxqSy0zu4IXo=w1200|https://lh3.googleusercontent.com/pw/AP1GczNSYQhDRtuAugH6FSKLuLYRNyXST-YIkqzb0d9TdInPkPmyDt1BSLBnsA5Cq_oYKbMlTXChYuHE9N470iSNp5zUifTX5gOdfb81kmXVxKQauMJlRkOi=w1200|https://lh3.googleusercontent.com/pw/AP1GczPZ7t8ufSjMI-_ftOGPwgN8Ct_Kd861ALns0uF1hteTUKIshjwBxJFrWqsmpYB_vHNICh_qBTXtL1d3CnDCJf-J3nAkHl1_gXchAPtyjtPmYK9hKflT=w1200|https://lh3.googleusercontent.com/pw/AP1GczPY4CgObxcaGILkpXeFOGyKaz9U5khHUTcs31qnYPLQibNdKHDaTWndrC3OVntw3LEC14wsM5_SDNv1droLI-mZqJBF-h8fsvhKUsx4NBtMX1XfiId0=w1200|https://lh3.googleusercontent.com/pw/AP1GczMGOirqCwbslx_bLbjY0sHCaJMry9eQCqYsDWZbLKdzTaYVHWtjhn2q58Q010Fg-M2Q0jrFGxlXQP54BrQ7Zr1RihhA0ciiTQG_12mJMTRsy9a_i8H1=w1200|https://lh3.googleusercontent.com/pw/AP1GczP1hQxoS1XtPDuxTXq06RvOxaCuzic9N4843lrb5G-Iv1IqwSptH0MvXm6bPtsJvXnKji5YMvLaInscxwg8nr81s06WYfY5iaspBo8fcf99-JByfNGZ=w1200</v>
      </c>
      <c r="AJ526" s="46"/>
      <c r="AK526" s="46"/>
      <c r="AL526" s="46"/>
      <c r="AM526" s="46"/>
      <c r="AN526" s="46"/>
      <c r="AO526" s="46"/>
      <c r="AP526" s="46"/>
      <c r="AQ526" s="46"/>
      <c r="AR526" s="46"/>
      <c r="AS526" s="46"/>
      <c r="AT526" s="46"/>
      <c r="AU526" s="46"/>
      <c r="AV526" s="46"/>
      <c r="AW526" s="46"/>
      <c r="AX526" s="46"/>
      <c r="AY526" s="46"/>
      <c r="AZ526" s="46"/>
      <c r="BA526" s="46"/>
      <c r="BB526" s="46"/>
      <c r="BC526" s="46"/>
      <c r="BD526" s="46"/>
      <c r="BE526" s="46"/>
      <c r="BF526" s="46"/>
      <c r="BG526" s="46"/>
      <c r="BH526" s="46"/>
      <c r="BI526" s="46"/>
      <c r="BJ526" s="46"/>
      <c r="BK526" s="46"/>
      <c r="BL526" s="46"/>
      <c r="BM526" s="46"/>
      <c r="BN526" s="46"/>
      <c r="BO526" s="46"/>
      <c r="BP526" s="46"/>
      <c r="BQ526" s="46"/>
      <c r="BR526" s="46"/>
      <c r="BS526" s="46"/>
      <c r="BT526" s="46"/>
      <c r="BU526" s="46"/>
      <c r="BV526" s="46"/>
      <c r="BW526" s="46"/>
      <c r="BX526" s="46"/>
      <c r="BY526" s="46"/>
      <c r="BZ526" s="46"/>
      <c r="CA526" s="46"/>
      <c r="CB526" s="46"/>
      <c r="CC526" s="46"/>
    </row>
    <row r="527">
      <c r="A527" s="87" t="str">
        <f>IFERROR(__xludf.DUMMYFUNCTION("""COMPUTED_VALUE"""),"772")</f>
        <v>772</v>
      </c>
      <c r="B527" s="46" t="str">
        <f>IFERROR(__xludf.DUMMYFUNCTION("""COMPUTED_VALUE"""),"Casa en conjunto Coruña de Berdez - Palermo")</f>
        <v>Casa en conjunto Coruña de Berdez - Palermo</v>
      </c>
      <c r="C527" s="46" t="str">
        <f>IFERROR(__xludf.DUMMYFUNCTION("""COMPUTED_VALUE"""),"Casa en conjunto")</f>
        <v>Casa en conjunto</v>
      </c>
      <c r="D527" s="46" t="str">
        <f>IFERROR(__xludf.DUMMYFUNCTION("""COMPUTED_VALUE"""),"Praderas de Amborco")</f>
        <v>Praderas de Amborco</v>
      </c>
      <c r="E527" s="90" t="str">
        <f>IFERROR(__xludf.DUMMYFUNCTION("""COMPUTED_VALUE"""),"Conjunto Coruña de Berdez")</f>
        <v>Conjunto Coruña de Berdez</v>
      </c>
      <c r="F527" s="90">
        <f>IFERROR(__xludf.DUMMYFUNCTION("""COMPUTED_VALUE"""),2.5E8)</f>
        <v>250000000</v>
      </c>
      <c r="G527" s="46" t="str">
        <f>IFERROR(__xludf.DUMMYFUNCTION("""COMPUTED_VALUE"""),"$200'000.000 a $300'000.000")</f>
        <v>$200'000.000 a $300'000.000</v>
      </c>
      <c r="H527" s="46"/>
      <c r="I527" s="46"/>
      <c r="J527" s="46" t="str">
        <f>IFERROR(__xludf.DUMMYFUNCTION("""COMPUTED_VALUE"""),"Occidente")</f>
        <v>Occidente</v>
      </c>
      <c r="K527" s="87"/>
      <c r="L527" s="46">
        <f>IFERROR(__xludf.DUMMYFUNCTION("""COMPUTED_VALUE"""),3.0)</f>
        <v>3</v>
      </c>
      <c r="M527" s="46"/>
      <c r="N527" s="46">
        <f>IFERROR(__xludf.DUMMYFUNCTION("""COMPUTED_VALUE"""),3.0)</f>
        <v>3</v>
      </c>
      <c r="O527" s="46">
        <f>IFERROR(__xludf.DUMMYFUNCTION("""COMPUTED_VALUE"""),1.0)</f>
        <v>1</v>
      </c>
      <c r="P527" s="46">
        <f>IFERROR(__xludf.DUMMYFUNCTION("""COMPUTED_VALUE"""),2.0)</f>
        <v>2</v>
      </c>
      <c r="Q527" s="92">
        <f>IFERROR(__xludf.DUMMYFUNCTION("""COMPUTED_VALUE"""),120.0)</f>
        <v>120</v>
      </c>
      <c r="R527" s="92"/>
      <c r="S527" s="87"/>
      <c r="T527" s="46" t="str">
        <f>IFERROR(__xludf.DUMMYFUNCTION("""COMPUTED_VALUE"""),"Palermo")</f>
        <v>Palermo</v>
      </c>
      <c r="U527" s="87"/>
      <c r="V527" s="46" t="str">
        <f>IFERROR(__xludf.DUMMYFUNCTION("""COMPUTED_VALUE"""),"Esquinera")</f>
        <v>Esquinera</v>
      </c>
      <c r="W527" s="46"/>
      <c r="X527" s="46">
        <f>IFERROR(__xludf.DUMMYFUNCTION("""COMPUTED_VALUE"""),3.0)</f>
        <v>3</v>
      </c>
      <c r="Y527" s="46" t="str">
        <f>IFERROR(__xludf.DUMMYFUNCTION("""COMPUTED_VALUE"""),"Social")</f>
        <v>Social</v>
      </c>
      <c r="Z527" s="90"/>
      <c r="AA527" s="33" t="str">
        <f>IFERROR(__xludf.DUMMYFUNCTION("""COMPUTED_VALUE"""),"No aplica")</f>
        <v>No aplica</v>
      </c>
      <c r="AB527" s="96" t="str">
        <f>IFERROR(__xludf.DUMMYFUNCTION("""COMPUTED_VALUE"""),"https://photos.app.goo.gl/gdxcshDTRR95qRzC6")</f>
        <v>https://photos.app.goo.gl/gdxcshDTRR95qRzC6</v>
      </c>
      <c r="AC527" s="46" t="str">
        <f>IFERROR(__xludf.DUMMYFUNCTION("""COMPUTED_VALUE"""),"Vive a solo cinco minutos de Neiva en un entorno tranquilo, seguro y lleno de comodidad! Esta acogedora casa ubicada en el Conjunto Cerrado Coruña de Berdez es la oportunidad perfecta para disfrutar de la mejor calidad de vida. Cuenta con amplia sala-come"&amp;"dor, cocina con mueble inferior, tres alcobas bien distribuidas, incluida una alcoba principal con baño privado, además de baño social y baño auxiliar para las habitaciones adicionales.")</f>
        <v>Vive a solo cinco minutos de Neiva en un entorno tranquilo, seguro y lleno de comodidad! Esta acogedora casa ubicada en el Conjunto Cerrado Coruña de Berdez es la oportunidad perfecta para disfrutar de la mejor calidad de vida. Cuenta con amplia sala-comedor, cocina con mueble inferior, tres alcobas bien distribuidas, incluida una alcoba principal con baño privado, además de baño social y baño auxiliar para las habitaciones adicionales.</v>
      </c>
      <c r="AD527" s="46" t="str">
        <f>IFERROR(__xludf.DUMMYFUNCTION("""COMPUTED_VALUE"""),"El conjunto ofrece excelentes espacios para el disfrute familiar: piscina, cancha múltiple, áreas verdes y vigilancia 24 horas para tu tranquilidad. Su ubicación es inmejorable: cerca de la Universidad Surcolombiana, Clínica Mediláser sede norte y con acc"&amp;"eso rápido a la salida hacia Bogotá. Un lugar ideal para vivir o invertir. ")</f>
        <v>El conjunto ofrece excelentes espacios para el disfrute familiar: piscina, cancha múltiple, áreas verdes y vigilancia 24 horas para tu tranquilidad. Su ubicación es inmejorable: cerca de la Universidad Surcolombiana, Clínica Mediláser sede norte y con acceso rápido a la salida hacia Bogotá. Un lugar ideal para vivir o invertir. </v>
      </c>
      <c r="AE527" s="46"/>
      <c r="AF527" s="46" t="str">
        <f>IFERROR(__xludf.DUMMYFUNCTION("""COMPUTED_VALUE"""),"integral")</f>
        <v>integral</v>
      </c>
      <c r="AG527" s="46"/>
      <c r="AH527" s="46" t="str">
        <f>IFERROR(__xludf.DUMMYFUNCTION("""COMPUTED_VALUE"""),"Aliado")</f>
        <v>Aliado</v>
      </c>
      <c r="AI527" s="92" t="str">
        <f>IFERROR(__xludf.DUMMYFUNCTION("""COMPUTED_VALUE"""),"https://lh3.googleusercontent.com/pw/AP1GczMeVmtOuERpdnEb2bfXJJkKaNXfi5WnYZBZ6q-pdilqM4gJO7kxmhGg12TSm7zf9C9cI9f1WvSoRHDFMhBSqIkwTZ77GmF15dmUXY2M-jYTlDWbNKc7=w1200|https://lh3.googleusercontent.com/pw/AP1GczM_LzOSdyOPQElCyEN_qZJL4ZbHCI7ylnNjEJQk2vrdIOJKaX"&amp;"9ySlr6zGfkxb_E2Z3SzaJtdMZSd1bce0I7qZko2_1anj0fV8jOjNFjLskLfF7mHZB-=w1200|https://lh3.googleusercontent.com/pw/AP1GczMlr7Tprnv3Br_7MVwJntwlXlTc6oeINO_0_Kn0RtGk1-ohdPm3P-b1qZxeTfOFmnNpV9d6wxyw5SmePIHlHYRkG550gBmrycRSoEXMXMzQNiezg5PA=w1200|https://lh3.google"&amp;"usercontent.com/pw/AP1GczOsk3ZioL0wdzbOA5B2vpY9pOtp6IjD7wOv4InRiIQ0Sv-nOEK-8V2h-Rk1ZNTajCN64jncNVuZSnAVQJdfasgFkaPLa3xOm8rB-Nk16epshppUBvbc=w1200|https://lh3.googleusercontent.com/pw/AP1GczO-b8fTRF2CJ-sdotsEyEr9w0BEO-yq9RtoZjTRyagNwlr3k24dUFkyPf6lHTrBreR5"&amp;"TBBsuJnrNRTEgwE6da2L2_npeHMJOP-CxT9edwVI_SlgIrZE=w1200")</f>
        <v>https://lh3.googleusercontent.com/pw/AP1GczMeVmtOuERpdnEb2bfXJJkKaNXfi5WnYZBZ6q-pdilqM4gJO7kxmhGg12TSm7zf9C9cI9f1WvSoRHDFMhBSqIkwTZ77GmF15dmUXY2M-jYTlDWbNKc7=w1200|https://lh3.googleusercontent.com/pw/AP1GczM_LzOSdyOPQElCyEN_qZJL4ZbHCI7ylnNjEJQk2vrdIOJKaX9ySlr6zGfkxb_E2Z3SzaJtdMZSd1bce0I7qZko2_1anj0fV8jOjNFjLskLfF7mHZB-=w1200|https://lh3.googleusercontent.com/pw/AP1GczMlr7Tprnv3Br_7MVwJntwlXlTc6oeINO_0_Kn0RtGk1-ohdPm3P-b1qZxeTfOFmnNpV9d6wxyw5SmePIHlHYRkG550gBmrycRSoEXMXMzQNiezg5PA=w1200|https://lh3.googleusercontent.com/pw/AP1GczOsk3ZioL0wdzbOA5B2vpY9pOtp6IjD7wOv4InRiIQ0Sv-nOEK-8V2h-Rk1ZNTajCN64jncNVuZSnAVQJdfasgFkaPLa3xOm8rB-Nk16epshppUBvbc=w1200|https://lh3.googleusercontent.com/pw/AP1GczO-b8fTRF2CJ-sdotsEyEr9w0BEO-yq9RtoZjTRyagNwlr3k24dUFkyPf6lHTrBreR5TBBsuJnrNRTEgwE6da2L2_npeHMJOP-CxT9edwVI_SlgIrZE=w1200</v>
      </c>
      <c r="AJ527" s="46"/>
      <c r="AK527" s="46"/>
      <c r="AL527" s="46"/>
      <c r="AM527" s="46"/>
      <c r="AN527" s="46"/>
      <c r="AO527" s="46"/>
      <c r="AP527" s="46"/>
      <c r="AQ527" s="46"/>
      <c r="AR527" s="46"/>
      <c r="AS527" s="46"/>
      <c r="AT527" s="46"/>
      <c r="AU527" s="46"/>
      <c r="AV527" s="46"/>
      <c r="AW527" s="46"/>
      <c r="AX527" s="46"/>
      <c r="AY527" s="46"/>
      <c r="AZ527" s="46"/>
      <c r="BA527" s="46"/>
      <c r="BB527" s="46"/>
      <c r="BC527" s="46"/>
      <c r="BD527" s="46"/>
      <c r="BE527" s="46"/>
      <c r="BF527" s="46"/>
      <c r="BG527" s="46"/>
      <c r="BH527" s="46"/>
      <c r="BI527" s="46"/>
      <c r="BJ527" s="46"/>
      <c r="BK527" s="46"/>
      <c r="BL527" s="46"/>
      <c r="BM527" s="46"/>
      <c r="BN527" s="46"/>
      <c r="BO527" s="46"/>
      <c r="BP527" s="46"/>
      <c r="BQ527" s="46"/>
      <c r="BR527" s="46"/>
      <c r="BS527" s="46"/>
      <c r="BT527" s="46"/>
      <c r="BU527" s="46"/>
      <c r="BV527" s="46"/>
      <c r="BW527" s="46"/>
      <c r="BX527" s="46"/>
      <c r="BY527" s="46"/>
      <c r="BZ527" s="46"/>
      <c r="CA527" s="46"/>
      <c r="CB527" s="46"/>
      <c r="CC527" s="46"/>
    </row>
    <row r="528">
      <c r="A528" s="87" t="str">
        <f>IFERROR(__xludf.DUMMYFUNCTION("""COMPUTED_VALUE"""),"486")</f>
        <v>486</v>
      </c>
      <c r="B528" s="46" t="str">
        <f>IFERROR(__xludf.DUMMYFUNCTION("""COMPUTED_VALUE"""),"Casa en centro de Rivera")</f>
        <v>Casa en centro de Rivera</v>
      </c>
      <c r="C528" s="46" t="str">
        <f>IFERROR(__xludf.DUMMYFUNCTION("""COMPUTED_VALUE"""),"Casa")</f>
        <v>Casa</v>
      </c>
      <c r="D528" s="46" t="str">
        <f>IFERROR(__xludf.DUMMYFUNCTION("""COMPUTED_VALUE"""),"Centro")</f>
        <v>Centro</v>
      </c>
      <c r="E528" s="46"/>
      <c r="F528" s="90">
        <f>IFERROR(__xludf.DUMMYFUNCTION("""COMPUTED_VALUE"""),2.2E8)</f>
        <v>220000000</v>
      </c>
      <c r="G528" s="46" t="str">
        <f>IFERROR(__xludf.DUMMYFUNCTION("""COMPUTED_VALUE"""),"$200'000.000 a $300'000.000")</f>
        <v>$200'000.000 a $300'000.000</v>
      </c>
      <c r="H528" s="46"/>
      <c r="I528" s="46"/>
      <c r="J528" s="46" t="str">
        <f>IFERROR(__xludf.DUMMYFUNCTION("""COMPUTED_VALUE"""),"Centro")</f>
        <v>Centro</v>
      </c>
      <c r="K528" s="87"/>
      <c r="L528" s="46">
        <f>IFERROR(__xludf.DUMMYFUNCTION("""COMPUTED_VALUE"""),4.0)</f>
        <v>4</v>
      </c>
      <c r="M528" s="46"/>
      <c r="N528" s="46">
        <f>IFERROR(__xludf.DUMMYFUNCTION("""COMPUTED_VALUE"""),2.0)</f>
        <v>2</v>
      </c>
      <c r="O528" s="46">
        <f>IFERROR(__xludf.DUMMYFUNCTION("""COMPUTED_VALUE"""),4.0)</f>
        <v>4</v>
      </c>
      <c r="P528" s="46">
        <f>IFERROR(__xludf.DUMMYFUNCTION("""COMPUTED_VALUE"""),1.0)</f>
        <v>1</v>
      </c>
      <c r="Q528" s="92">
        <f>IFERROR(__xludf.DUMMYFUNCTION("""COMPUTED_VALUE"""),120.0)</f>
        <v>120</v>
      </c>
      <c r="R528" s="92">
        <f>IFERROR(__xludf.DUMMYFUNCTION("""COMPUTED_VALUE"""),120.0)</f>
        <v>120</v>
      </c>
      <c r="S528" s="87" t="str">
        <f>IFERROR(__xludf.DUMMYFUNCTION("""COMPUTED_VALUE""")," ")</f>
        <v> </v>
      </c>
      <c r="T528" s="46" t="str">
        <f>IFERROR(__xludf.DUMMYFUNCTION("""COMPUTED_VALUE"""),"Rivera")</f>
        <v>Rivera</v>
      </c>
      <c r="U528" s="87" t="str">
        <f>IFERROR(__xludf.DUMMYFUNCTION("""COMPUTED_VALUE"""),"1")</f>
        <v>1</v>
      </c>
      <c r="V528" s="46" t="str">
        <f>IFERROR(__xludf.DUMMYFUNCTION("""COMPUTED_VALUE"""),"Medianera")</f>
        <v>Medianera</v>
      </c>
      <c r="W528" s="46"/>
      <c r="X528" s="46">
        <f>IFERROR(__xludf.DUMMYFUNCTION("""COMPUTED_VALUE"""),0.0)</f>
        <v>0</v>
      </c>
      <c r="Y528" s="46" t="str">
        <f>IFERROR(__xludf.DUMMYFUNCTION("""COMPUTED_VALUE"""),"No tiene")</f>
        <v>No tiene</v>
      </c>
      <c r="Z528" s="90" t="str">
        <f>IFERROR(__xludf.DUMMYFUNCTION("""COMPUTED_VALUE"""),"No aplica")</f>
        <v>No aplica</v>
      </c>
      <c r="AA528" s="33"/>
      <c r="AB528" s="144" t="str">
        <f>IFERROR(__xludf.DUMMYFUNCTION("""COMPUTED_VALUE"""),"https://photos.app.goo.gl/DogAw3njzrrKf5hM6")</f>
        <v>https://photos.app.goo.gl/DogAw3njzrrKf5hM6</v>
      </c>
      <c r="AC528" s="46" t="str">
        <f>IFERROR(__xludf.DUMMYFUNCTION("""COMPUTED_VALUE"""),"Casa de un piso, antejardín con reja, sala comedor, cocina sencilla, patio con cubierta, habitaciones cuatro, una con baño privado . Se recibe permuta en población cercana a Bogotá")</f>
        <v>Casa de un piso, antejardín con reja, sala comedor, cocina sencilla, patio con cubierta, habitaciones cuatro, una con baño privado . Se recibe permuta en población cercana a Bogotá</v>
      </c>
      <c r="AD528" s="46"/>
      <c r="AE528" s="46"/>
      <c r="AF528" s="46" t="str">
        <f>IFERROR(__xludf.DUMMYFUNCTION("""COMPUTED_VALUE"""),"básica")</f>
        <v>básica</v>
      </c>
      <c r="AG528" s="46"/>
      <c r="AH528" s="46" t="str">
        <f>IFERROR(__xludf.DUMMYFUNCTION("""COMPUTED_VALUE"""),"Aliado")</f>
        <v>Aliado</v>
      </c>
      <c r="AI528" s="92" t="str">
        <f>IFERROR(__xludf.DUMMYFUNCTION("""COMPUTED_VALUE"""),"https://lh3.googleusercontent.com/pw/AP1GczObbvucNzkafQcg8Q2h9yx_DwgpZv0klv-ghFIzdiK_kjjHKS_8xz8a-RV36R19kg5quQOiip-eb92OcXNCCUYPkMiNTvJkByXVI7125_9Os98OpIth=w1200|https://lh3.googleusercontent.com/pw/AP1GczPRDktYhu_MfW73tbrBuQJZNPXhdF31LMy_NuO2ui0fIOpMtZ"&amp;"R3jjW9ShQc3h16fWtMC5W1Ec4iQ_EEBj2qHGkihKAKYeWYCVBLZPzRTLgVLdx6MVEA=w1200|https://lh3.googleusercontent.com/pw/AP1GczNDodAA90ya7wkGx9UVEzcDS3F7ib0JQiyQBIku-PCrsiEA6SMokRAkTM0k7PcK-2ysbqmOStob3cDD3km2LHNvCHkkxE0YNOb4H5ADMyfCzwQksiBb=w1200|https://lh3.google"&amp;"usercontent.com/pw/AP1GczMMaMTKx8FL9PmjK5NMKcV-nJ0cLqc3i76Sf_E4ObWFqaMah6UIOI1xh5bS50q8nRPEcGRV1mCQ9NFzrwp0IqDjveuJ4X4L83JHDkp-9kFb4hthgI-f=w1200|https://lh3.googleusercontent.com/pw/AP1GczPiaSZLGi8FmGoe_6ZvFVZIl9XIsCA_HFmj1SgAbtSr5JrznRexIfnhzqcvsvUVGokc"&amp;"nfEkCtkDfCcuakdD20-oR5bX9YsUFgmeg9QW-tP8t5bQ_8U6=w1200|https://lh3.googleusercontent.com/pw/AP1GczMvygVTL3AuNIjF2rIS3htb-IsurRdAlEkmcbYocHfx60Dzz4v6XwIFBTwBymHIDlF4WqbUREbp1y5z5uahC08i11NT-NzsfK41CYEP-niPAVptA6vX=w1200|https://lh3.googleusercontent.com/pw"&amp;"/AP1GczO9qnDe_jllyjeGFbjb1VJdJxVWZnSIMOrsh-y-d0L0pNv87pzzhRfD1aqOApuiBXSX4pl5TWqSHEBCeLbfMpfeUBARv79IenPWULO3ye3p2KxszZWC=w1200")</f>
        <v>https://lh3.googleusercontent.com/pw/AP1GczObbvucNzkafQcg8Q2h9yx_DwgpZv0klv-ghFIzdiK_kjjHKS_8xz8a-RV36R19kg5quQOiip-eb92OcXNCCUYPkMiNTvJkByXVI7125_9Os98OpIth=w1200|https://lh3.googleusercontent.com/pw/AP1GczPRDktYhu_MfW73tbrBuQJZNPXhdF31LMy_NuO2ui0fIOpMtZR3jjW9ShQc3h16fWtMC5W1Ec4iQ_EEBj2qHGkihKAKYeWYCVBLZPzRTLgVLdx6MVEA=w1200|https://lh3.googleusercontent.com/pw/AP1GczNDodAA90ya7wkGx9UVEzcDS3F7ib0JQiyQBIku-PCrsiEA6SMokRAkTM0k7PcK-2ysbqmOStob3cDD3km2LHNvCHkkxE0YNOb4H5ADMyfCzwQksiBb=w1200|https://lh3.googleusercontent.com/pw/AP1GczMMaMTKx8FL9PmjK5NMKcV-nJ0cLqc3i76Sf_E4ObWFqaMah6UIOI1xh5bS50q8nRPEcGRV1mCQ9NFzrwp0IqDjveuJ4X4L83JHDkp-9kFb4hthgI-f=w1200|https://lh3.googleusercontent.com/pw/AP1GczPiaSZLGi8FmGoe_6ZvFVZIl9XIsCA_HFmj1SgAbtSr5JrznRexIfnhzqcvsvUVGokcnfEkCtkDfCcuakdD20-oR5bX9YsUFgmeg9QW-tP8t5bQ_8U6=w1200|https://lh3.googleusercontent.com/pw/AP1GczMvygVTL3AuNIjF2rIS3htb-IsurRdAlEkmcbYocHfx60Dzz4v6XwIFBTwBymHIDlF4WqbUREbp1y5z5uahC08i11NT-NzsfK41CYEP-niPAVptA6vX=w1200|https://lh3.googleusercontent.com/pw/AP1GczO9qnDe_jllyjeGFbjb1VJdJxVWZnSIMOrsh-y-d0L0pNv87pzzhRfD1aqOApuiBXSX4pl5TWqSHEBCeLbfMpfeUBARv79IenPWULO3ye3p2KxszZWC=w1200</v>
      </c>
      <c r="AJ528" s="46"/>
      <c r="AK528" s="46"/>
      <c r="AL528" s="46"/>
      <c r="AM528" s="46"/>
      <c r="AN528" s="46"/>
      <c r="AO528" s="46"/>
      <c r="AP528" s="46"/>
      <c r="AQ528" s="46"/>
      <c r="AR528" s="46"/>
      <c r="AS528" s="46"/>
      <c r="AT528" s="46"/>
      <c r="AU528" s="46"/>
      <c r="AV528" s="46"/>
      <c r="AW528" s="46"/>
      <c r="AX528" s="46"/>
      <c r="AY528" s="46"/>
      <c r="AZ528" s="46"/>
      <c r="BA528" s="46"/>
      <c r="BB528" s="46"/>
      <c r="BC528" s="46"/>
      <c r="BD528" s="46"/>
      <c r="BE528" s="46"/>
      <c r="BF528" s="46"/>
      <c r="BG528" s="46"/>
      <c r="BH528" s="46"/>
      <c r="BI528" s="46"/>
      <c r="BJ528" s="46"/>
      <c r="BK528" s="46"/>
      <c r="BL528" s="46"/>
      <c r="BM528" s="46"/>
      <c r="BN528" s="46"/>
      <c r="BO528" s="46"/>
      <c r="BP528" s="46"/>
      <c r="BQ528" s="46"/>
      <c r="BR528" s="46"/>
      <c r="BS528" s="46"/>
      <c r="BT528" s="46"/>
      <c r="BU528" s="46"/>
      <c r="BV528" s="46"/>
      <c r="BW528" s="46"/>
      <c r="BX528" s="46"/>
      <c r="BY528" s="46"/>
      <c r="BZ528" s="46"/>
      <c r="CA528" s="46"/>
      <c r="CB528" s="46"/>
      <c r="CC528" s="46"/>
    </row>
    <row r="529">
      <c r="A529" s="87" t="str">
        <f>IFERROR(__xludf.DUMMYFUNCTION("""COMPUTED_VALUE"""),"100")</f>
        <v>100</v>
      </c>
      <c r="B529" s="46" t="str">
        <f>IFERROR(__xludf.DUMMYFUNCTION("""COMPUTED_VALUE"""),"Casa en barrio San José")</f>
        <v>Casa en barrio San José</v>
      </c>
      <c r="C529" s="46" t="str">
        <f>IFERROR(__xludf.DUMMYFUNCTION("""COMPUTED_VALUE"""),"Casa")</f>
        <v>Casa</v>
      </c>
      <c r="D529" s="90" t="str">
        <f>IFERROR(__xludf.DUMMYFUNCTION("""COMPUTED_VALUE"""),"San José")</f>
        <v>San José</v>
      </c>
      <c r="E529" s="46"/>
      <c r="F529" s="90">
        <f>IFERROR(__xludf.DUMMYFUNCTION("""COMPUTED_VALUE"""),2.0E8)</f>
        <v>200000000</v>
      </c>
      <c r="G529" s="46" t="str">
        <f>IFERROR(__xludf.DUMMYFUNCTION("""COMPUTED_VALUE"""),"$200'000.000 a $300'000.000")</f>
        <v>$200'000.000 a $300'000.000</v>
      </c>
      <c r="H529" s="46"/>
      <c r="I529" s="46"/>
      <c r="J529" s="46" t="str">
        <f>IFERROR(__xludf.DUMMYFUNCTION("""COMPUTED_VALUE"""),"Centro")</f>
        <v>Centro</v>
      </c>
      <c r="K529" s="87" t="str">
        <f>IFERROR(__xludf.DUMMYFUNCTION("""COMPUTED_VALUE"""),"4")</f>
        <v>4</v>
      </c>
      <c r="L529" s="46">
        <f>IFERROR(__xludf.DUMMYFUNCTION("""COMPUTED_VALUE"""),4.0)</f>
        <v>4</v>
      </c>
      <c r="M529" s="46"/>
      <c r="N529" s="46">
        <f>IFERROR(__xludf.DUMMYFUNCTION("""COMPUTED_VALUE"""),3.0)</f>
        <v>3</v>
      </c>
      <c r="O529" s="46">
        <f>IFERROR(__xludf.DUMMYFUNCTION("""COMPUTED_VALUE"""),2.0)</f>
        <v>2</v>
      </c>
      <c r="P529" s="46">
        <f>IFERROR(__xludf.DUMMYFUNCTION("""COMPUTED_VALUE"""),1.0)</f>
        <v>1</v>
      </c>
      <c r="Q529" s="92">
        <f>IFERROR(__xludf.DUMMYFUNCTION("""COMPUTED_VALUE"""),120.0)</f>
        <v>120</v>
      </c>
      <c r="R529" s="92">
        <f>IFERROR(__xludf.DUMMYFUNCTION("""COMPUTED_VALUE"""),90.0)</f>
        <v>90</v>
      </c>
      <c r="S529" s="87" t="str">
        <f>IFERROR(__xludf.DUMMYFUNCTION("""COMPUTED_VALUE""")," ")</f>
        <v> </v>
      </c>
      <c r="T529" s="46" t="str">
        <f>IFERROR(__xludf.DUMMYFUNCTION("""COMPUTED_VALUE"""),"Neiva")</f>
        <v>Neiva</v>
      </c>
      <c r="U529" s="87" t="str">
        <f>IFERROR(__xludf.DUMMYFUNCTION("""COMPUTED_VALUE"""),"2")</f>
        <v>2</v>
      </c>
      <c r="V529" s="46" t="str">
        <f>IFERROR(__xludf.DUMMYFUNCTION("""COMPUTED_VALUE"""),"Esquinera")</f>
        <v>Esquinera</v>
      </c>
      <c r="W529" s="46"/>
      <c r="X529" s="46">
        <f>IFERROR(__xludf.DUMMYFUNCTION("""COMPUTED_VALUE"""),4.0)</f>
        <v>4</v>
      </c>
      <c r="Y529" s="46" t="str">
        <f>IFERROR(__xludf.DUMMYFUNCTION("""COMPUTED_VALUE"""),"No tiene")</f>
        <v>No tiene</v>
      </c>
      <c r="Z529" s="90" t="str">
        <f>IFERROR(__xludf.DUMMYFUNCTION("""COMPUTED_VALUE"""),"No aplica")</f>
        <v>No aplica</v>
      </c>
      <c r="AA529" s="33" t="str">
        <f>IFERROR(__xludf.DUMMYFUNCTION("""COMPUTED_VALUE"""),"No aplica")</f>
        <v>No aplica</v>
      </c>
      <c r="AB529" s="144" t="str">
        <f>IFERROR(__xludf.DUMMYFUNCTION("""COMPUTED_VALUE"""),"https://photos.app.goo.gl/MKm76my6taGycyQj9")</f>
        <v>https://photos.app.goo.gl/MKm76my6taGycyQj9</v>
      </c>
      <c r="AC529" s="46" t="str">
        <f>IFERROR(__xludf.DUMMYFUNCTION("""COMPUTED_VALUE"""),"Casa de esquinera de una planta, con reja externa, cuatro habitaciones con closet dos con baño privado, patio de ropas. Cercano a Colegios, Centro de la ciudad, Hospital General.")</f>
        <v>Casa de esquinera de una planta, con reja externa, cuatro habitaciones con closet dos con baño privado, patio de ropas. Cercano a Colegios, Centro de la ciudad, Hospital General.</v>
      </c>
      <c r="AD529" s="46"/>
      <c r="AE529" s="46"/>
      <c r="AF529" s="46" t="str">
        <f>IFERROR(__xludf.DUMMYFUNCTION("""COMPUTED_VALUE"""),"básica")</f>
        <v>básica</v>
      </c>
      <c r="AG529" s="46"/>
      <c r="AH529" s="46" t="str">
        <f>IFERROR(__xludf.DUMMYFUNCTION("""COMPUTED_VALUE"""),"Aliado")</f>
        <v>Aliado</v>
      </c>
      <c r="AI529" s="92" t="str">
        <f>IFERROR(__xludf.DUMMYFUNCTION("""COMPUTED_VALUE"""),"https://lh3.googleusercontent.com/pw/AP1GczNkHffk1tzfHWo9cRTHlySz1wCueGFEMckM6xz8tlM-sH5g2Vdk6qj4Y-Xe8cQPiGNwJUVTnmRKbVRL2Qxj2tgwQbPU_mLpGoPqfspLLg3exiGdp5Yk=w1200|https://lh3.googleusercontent.com/pw/AP1GczN-LLQ4SqCxgzgcjFXW35EwOAwrJNX7JPIJEoljEuUUv5FRh8"&amp;"MpqRFoNOwFPfDMUcJhL5CEKxL78vYbI4pKyMe7Iq-oXcGT9jp5XVzpt7Q_JrAqZbUF=w1200|https://lh3.googleusercontent.com/pw/AP1GczMmXtEk9Sz7v3kIhuo0PpIbKWqAptA_bw1TPnaNwjWdEO8TR4tXmDmfaBX9_fzmbF_iGu7cikcrAPcRDauRkRvK82xGCgdQgyu9chQhh_Ai10EWCaxl=w1200|https://lh3.google"&amp;"usercontent.com/pw/AP1GczOx1slFPpcyMEFFIxx-7O3DQbcKxkI8AMuUatqWTpk6ksdr4JOmh7PnK60tvw6uq6JEhLe9R7y8X6pnUeZgIMoJ66I3jieHrbgJeHtgJe7gSm0zqjXt=w1200|https://lh3.googleusercontent.com/pw/AP1GczNveAB1Q8ybfmbPmq66u8sQgHxCemEfGJtTJRk12-4UDbtGBhJHOQKMtNxpdL7yhguA"&amp;"MJ8RRozCD0SYBOTkiZQMCsLHvkPc_4TaJgCj1mcyZ1EBmDp3=w1200|https://lh3.googleusercontent.com/pw/AP1GczNGSPAZ-nqEVkrxeGf4Ayy4o4qbXZkF3SufpoWEUGEc3HYDuFVuMK2h_-ttVJP6AH2r1OrA9SjFNIDIvveYFSyR1I4-IE1SLC2rfiYcpjtRthkWaPgL=w1200|https://lh3.googleusercontent.com/pw"&amp;"/AP1GczOvPtt0et2s0OrUBNQ0V9e-TLWw3ssEnymzlLUSVr8dt83b1i9Yac5ls3EG22-bk09oYy2-CPDjO-4fneHIEOVXpCFpWpMcVsW5kBHKPoxoXTAZX3Hx=w1200|https://lh3.googleusercontent.com/pw/AP1GczNKKwBPnFZapC3VI1DLdqXJ0Rv2KG_CPJL2ALUTAc4q06oFPjTSNimguFcYurB0UnOGQXqyG1lgkDJpsOQ8y8"&amp;"EFoMXvY0ah5wceGsCOMQ2azn1oMgT3=w1200|https://lh3.googleusercontent.com/pw/AP1GczPHlicmXU7HsnPh5Am-eOIFyD_E1Ygo07b_Rkza1gXl-Ou_UOQmSGDBdhfS4nfkLpu2xiRX-e_Kpznd4b-iWue2v2KUIIMGa91auq2PHOLv6EUzT0i3=w1200|https://lh3.googleusercontent.com/pw/AP1GczPEnwHlkKLc5"&amp;"mgdlh2cpSk5TnDgYDCL__1Qfh7XqSVewKStjoNkJm_U2NIpteur1T_rDq1ogNjTtJApt6SXqMjfiIp158vMnj9ELEaWfB8zGQFWVv8E=w1200|https://lh3.googleusercontent.com/pw/AP1GczNn00Q11AxfG7es1ZekA0znFtU3Jr_Aq3PhlNDPVerNpQxYeXdat4x3qBR3sEaj5sNmfEruXorwd3wLgJ824U7td9kKVQ8DlYPH0906"&amp;"EWZG2Rf9RfSA=w1200")</f>
        <v>https://lh3.googleusercontent.com/pw/AP1GczNkHffk1tzfHWo9cRTHlySz1wCueGFEMckM6xz8tlM-sH5g2Vdk6qj4Y-Xe8cQPiGNwJUVTnmRKbVRL2Qxj2tgwQbPU_mLpGoPqfspLLg3exiGdp5Yk=w1200|https://lh3.googleusercontent.com/pw/AP1GczN-LLQ4SqCxgzgcjFXW35EwOAwrJNX7JPIJEoljEuUUv5FRh8MpqRFoNOwFPfDMUcJhL5CEKxL78vYbI4pKyMe7Iq-oXcGT9jp5XVzpt7Q_JrAqZbUF=w1200|https://lh3.googleusercontent.com/pw/AP1GczMmXtEk9Sz7v3kIhuo0PpIbKWqAptA_bw1TPnaNwjWdEO8TR4tXmDmfaBX9_fzmbF_iGu7cikcrAPcRDauRkRvK82xGCgdQgyu9chQhh_Ai10EWCaxl=w1200|https://lh3.googleusercontent.com/pw/AP1GczOx1slFPpcyMEFFIxx-7O3DQbcKxkI8AMuUatqWTpk6ksdr4JOmh7PnK60tvw6uq6JEhLe9R7y8X6pnUeZgIMoJ66I3jieHrbgJeHtgJe7gSm0zqjXt=w1200|https://lh3.googleusercontent.com/pw/AP1GczNveAB1Q8ybfmbPmq66u8sQgHxCemEfGJtTJRk12-4UDbtGBhJHOQKMtNxpdL7yhguAMJ8RRozCD0SYBOTkiZQMCsLHvkPc_4TaJgCj1mcyZ1EBmDp3=w1200|https://lh3.googleusercontent.com/pw/AP1GczNGSPAZ-nqEVkrxeGf4Ayy4o4qbXZkF3SufpoWEUGEc3HYDuFVuMK2h_-ttVJP6AH2r1OrA9SjFNIDIvveYFSyR1I4-IE1SLC2rfiYcpjtRthkWaPgL=w1200|https://lh3.googleusercontent.com/pw/AP1GczOvPtt0et2s0OrUBNQ0V9e-TLWw3ssEnymzlLUSVr8dt83b1i9Yac5ls3EG22-bk09oYy2-CPDjO-4fneHIEOVXpCFpWpMcVsW5kBHKPoxoXTAZX3Hx=w1200|https://lh3.googleusercontent.com/pw/AP1GczNKKwBPnFZapC3VI1DLdqXJ0Rv2KG_CPJL2ALUTAc4q06oFPjTSNimguFcYurB0UnOGQXqyG1lgkDJpsOQ8y8EFoMXvY0ah5wceGsCOMQ2azn1oMgT3=w1200|https://lh3.googleusercontent.com/pw/AP1GczPHlicmXU7HsnPh5Am-eOIFyD_E1Ygo07b_Rkza1gXl-Ou_UOQmSGDBdhfS4nfkLpu2xiRX-e_Kpznd4b-iWue2v2KUIIMGa91auq2PHOLv6EUzT0i3=w1200|https://lh3.googleusercontent.com/pw/AP1GczPEnwHlkKLc5mgdlh2cpSk5TnDgYDCL__1Qfh7XqSVewKStjoNkJm_U2NIpteur1T_rDq1ogNjTtJApt6SXqMjfiIp158vMnj9ELEaWfB8zGQFWVv8E=w1200|https://lh3.googleusercontent.com/pw/AP1GczNn00Q11AxfG7es1ZekA0znFtU3Jr_Aq3PhlNDPVerNpQxYeXdat4x3qBR3sEaj5sNmfEruXorwd3wLgJ824U7td9kKVQ8DlYPH0906EWZG2Rf9RfSA=w1200</v>
      </c>
      <c r="AJ529" s="46"/>
      <c r="AK529" s="46"/>
      <c r="AL529" s="46"/>
      <c r="AM529" s="46"/>
      <c r="AN529" s="46"/>
      <c r="AO529" s="46"/>
      <c r="AP529" s="46"/>
      <c r="AQ529" s="46"/>
      <c r="AR529" s="46"/>
      <c r="AS529" s="46"/>
      <c r="AT529" s="46"/>
      <c r="AU529" s="46"/>
      <c r="AV529" s="46"/>
      <c r="AW529" s="46"/>
      <c r="AX529" s="46"/>
      <c r="AY529" s="46"/>
      <c r="AZ529" s="46"/>
      <c r="BA529" s="46"/>
      <c r="BB529" s="46"/>
      <c r="BC529" s="46"/>
      <c r="BD529" s="46"/>
      <c r="BE529" s="46"/>
      <c r="BF529" s="46"/>
      <c r="BG529" s="46"/>
      <c r="BH529" s="46"/>
      <c r="BI529" s="46"/>
      <c r="BJ529" s="46"/>
      <c r="BK529" s="46"/>
      <c r="BL529" s="46"/>
      <c r="BM529" s="46"/>
      <c r="BN529" s="46"/>
      <c r="BO529" s="46"/>
      <c r="BP529" s="46"/>
      <c r="BQ529" s="46"/>
      <c r="BR529" s="46"/>
      <c r="BS529" s="46"/>
      <c r="BT529" s="46"/>
      <c r="BU529" s="46"/>
      <c r="BV529" s="46"/>
      <c r="BW529" s="46"/>
      <c r="BX529" s="46"/>
      <c r="BY529" s="46"/>
      <c r="BZ529" s="46"/>
      <c r="CA529" s="46"/>
      <c r="CB529" s="46"/>
      <c r="CC529" s="46"/>
    </row>
    <row r="530">
      <c r="A530" s="87" t="str">
        <f>IFERROR(__xludf.DUMMYFUNCTION("""COMPUTED_VALUE"""),"495")</f>
        <v>495</v>
      </c>
      <c r="B530" s="46" t="str">
        <f>IFERROR(__xludf.DUMMYFUNCTION("""COMPUTED_VALUE"""),"Apartamento en Conjunto Encenillo")</f>
        <v>Apartamento en Conjunto Encenillo</v>
      </c>
      <c r="C530" s="46" t="str">
        <f>IFERROR(__xludf.DUMMYFUNCTION("""COMPUTED_VALUE"""),"Apartamento en conjunto")</f>
        <v>Apartamento en conjunto</v>
      </c>
      <c r="D530" s="90" t="str">
        <f>IFERROR(__xludf.DUMMYFUNCTION("""COMPUTED_VALUE"""),"Canaima")</f>
        <v>Canaima</v>
      </c>
      <c r="E530" s="46" t="str">
        <f>IFERROR(__xludf.DUMMYFUNCTION("""COMPUTED_VALUE"""),"Encenillo")</f>
        <v>Encenillo</v>
      </c>
      <c r="F530" s="90">
        <f>IFERROR(__xludf.DUMMYFUNCTION("""COMPUTED_VALUE"""),1.9E8)</f>
        <v>190000000</v>
      </c>
      <c r="G530" s="46" t="str">
        <f>IFERROR(__xludf.DUMMYFUNCTION("""COMPUTED_VALUE"""),"$100'000.000 a $200'000.000")</f>
        <v>$100'000.000 a $200'000.000</v>
      </c>
      <c r="H530" s="46"/>
      <c r="I530" s="46"/>
      <c r="J530" s="46" t="str">
        <f>IFERROR(__xludf.DUMMYFUNCTION("""COMPUTED_VALUE"""),"Sur")</f>
        <v>Sur</v>
      </c>
      <c r="K530" s="87" t="str">
        <f>IFERROR(__xludf.DUMMYFUNCTION("""COMPUTED_VALUE"""),"3")</f>
        <v>3</v>
      </c>
      <c r="L530" s="46">
        <f>IFERROR(__xludf.DUMMYFUNCTION("""COMPUTED_VALUE"""),3.0)</f>
        <v>3</v>
      </c>
      <c r="M530" s="46"/>
      <c r="N530" s="46">
        <f>IFERROR(__xludf.DUMMYFUNCTION("""COMPUTED_VALUE"""),2.0)</f>
        <v>2</v>
      </c>
      <c r="O530" s="46">
        <f>IFERROR(__xludf.DUMMYFUNCTION("""COMPUTED_VALUE"""),1.0)</f>
        <v>1</v>
      </c>
      <c r="P530" s="46">
        <f>IFERROR(__xludf.DUMMYFUNCTION("""COMPUTED_VALUE"""),1.0)</f>
        <v>1</v>
      </c>
      <c r="Q530" s="92">
        <f>IFERROR(__xludf.DUMMYFUNCTION("""COMPUTED_VALUE"""),70.15)</f>
        <v>70.15</v>
      </c>
      <c r="R530" s="92">
        <f>IFERROR(__xludf.DUMMYFUNCTION("""COMPUTED_VALUE"""),62.3)</f>
        <v>62.3</v>
      </c>
      <c r="S530" s="87" t="str">
        <f>IFERROR(__xludf.DUMMYFUNCTION("""COMPUTED_VALUE""")," ")</f>
        <v> </v>
      </c>
      <c r="T530" s="46" t="str">
        <f>IFERROR(__xludf.DUMMYFUNCTION("""COMPUTED_VALUE"""),"Neiva")</f>
        <v>Neiva</v>
      </c>
      <c r="U530" s="87" t="str">
        <f>IFERROR(__xludf.DUMMYFUNCTION("""COMPUTED_VALUE"""),"3")</f>
        <v>3</v>
      </c>
      <c r="V530" s="46" t="str">
        <f>IFERROR(__xludf.DUMMYFUNCTION("""COMPUTED_VALUE"""),"1ro.")</f>
        <v>1ro.</v>
      </c>
      <c r="W530" s="46"/>
      <c r="X530" s="46">
        <f>IFERROR(__xludf.DUMMYFUNCTION("""COMPUTED_VALUE"""),3.0)</f>
        <v>3</v>
      </c>
      <c r="Y530" s="46" t="str">
        <f>IFERROR(__xludf.DUMMYFUNCTION("""COMPUTED_VALUE"""),"Social")</f>
        <v>Social</v>
      </c>
      <c r="Z530" s="90"/>
      <c r="AA530" s="33"/>
      <c r="AB530" s="144" t="str">
        <f>IFERROR(__xludf.DUMMYFUNCTION("""COMPUTED_VALUE"""),"https://photos.app.goo.gl/2tCf5tqV6HyPUqAU8")</f>
        <v>https://photos.app.goo.gl/2tCf5tqV6HyPUqAU8</v>
      </c>
      <c r="AC530" s="46" t="str">
        <f>IFERROR(__xludf.DUMMYFUNCTION("""COMPUTED_VALUE"""),"Apto en primer piso, sala comedor, cocina semiintegral, patio de ropas, tres alcobas con closet, principal con baño privado, el conjunto cuenta con piscina para adultos y niños, parque infantil, salón social, vigilancia 24 H .")</f>
        <v>Apto en primer piso, sala comedor, cocina semiintegral, patio de ropas, tres alcobas con closet, principal con baño privado, el conjunto cuenta con piscina para adultos y niños, parque infantil, salón social, vigilancia 24 H .</v>
      </c>
      <c r="AD530" s="46"/>
      <c r="AE530" s="46"/>
      <c r="AF530" s="46" t="str">
        <f>IFERROR(__xludf.DUMMYFUNCTION("""COMPUTED_VALUE"""),"semi-integral")</f>
        <v>semi-integral</v>
      </c>
      <c r="AG530" s="46"/>
      <c r="AH530" s="46" t="str">
        <f>IFERROR(__xludf.DUMMYFUNCTION("""COMPUTED_VALUE"""),"Aliado")</f>
        <v>Aliado</v>
      </c>
      <c r="AI530" s="92" t="str">
        <f>IFERROR(__xludf.DUMMYFUNCTION("""COMPUTED_VALUE"""),"https://lh3.googleusercontent.com/pw/AP1GczPAdLMCMR74K05jtvLvSLT1n3sOOe6CPRU4Ybzj4ZrgqYIOhdDiwntI33KB9X_o-5dEZSLsKFBwqX-g9Hdc9Yk-ZkxRG2Q-4OcL4QmCCdZqfcxEvxeX=w1200|https://lh3.googleusercontent.com/pw/AP1GczPZY8IqGmKlZL9NsRbwVKN629b9Ku9z59YmHbre64YQ2PnR2S"&amp;"_Tf_UXhUra1Qs0HMxqLdTOtR8R2o2vyHE52hsTXk3DQQ-BAqvEN2P32RbaDC0b2gTt=w1200|https://lh3.googleusercontent.com/pw/AP1GczPSsn2pV0PhQ38UGXhXxbaHtfpOfOaQJTKQjOCjwE3YiPzX3RxyhliaqbiMVQSi2oHO7XMmssMMPAIan4JxfGzrPg7Dafc28L_D-LmEv2di0ao7qpEO=w1200|https://lh3.google"&amp;"usercontent.com/pw/AP1GczMLzkxL2q-DVtLbx7XA6OV88Q6--5r-SwEMXdjMLNUTCxQ6M6t6k9-HSp1lwZNntdr3WFuSKzXQPixG_AHEsBmpZI0qbU6PCMxv0Sfx3v2nZt6wvluy=w1200|https://lh3.googleusercontent.com/pw/AP1GczPSucCSNIqz-0oXQhjd0ia2Z_AkBbq5IeCAxWX8OmN8Pt3oTagbQr-AjTxuSIuWI4fl"&amp;"b0zKWE-lSyqBigbd1MFsrJL8UgcEq2o-iosTo4uhd8v3Qi81=w1200|https://lh3.googleusercontent.com/pw/AP1GczMC88NyZ10od5TluOFucMBs34hKj0A6zgA_yU1ahPaV5x1z9bIEfWctbxmVnaepXehbjSRutdcmAK13pimDS4oQwvWzlw_h8GtwyrIbWN9PoFP_kVCF=w1200|https://lh3.googleusercontent.com/pw"&amp;"/AP1GczOP34zCGs-gVok1y56134cPHO9ceISxGr0IAHpQLo8AS06P7JZbhF9VzbNBNLNFUT-6zlPFU_Dgf1cX8TA78HTyrybIycfqswPWEVYH6DuYSCKEfA6g=w1200|https://lh3.googleusercontent.com/pw/AP1GczOin7doUTeFu8QXaKYYEpwD4h7q0_K59BXzEuxXUcex7Kdds2MtxuLuJWiPDsW5CAFIwvqOVOBYVaSsAo7-UY"&amp;"-sN9J4Dxmktrrpgx_OGfTxmljy63r_=w1200|https://lh3.googleusercontent.com/pw/AP1GczOwzFYyjrkxpLtWPfs8BYE-9lsSy5kblE63RezgJP3VkkVOdhx2bxlrJ1clFalsTez-YZbTdniUK4zYpCC661Rrs-zfvS2VTgdsQynedM8GPvpW-CpH=w1200|https://lh3.googleusercontent.com/pw/AP1GczPqawckAD--f"&amp;"2529Zux9uRX_1XFoFyCB46My38IyFCCnbr2f3ZCC6Y5DywJsROn0b1Mq1xT4lTo2ynbgtTPihug_0BAeC-BA257S_1aPPJGgg_hNn7A=w1200|https://lh3.googleusercontent.com/pw/AP1GczM3iQWocxdXgGAIwiBPuLtKDb-E7Godl6LXAi-AWbcr7tgABgWmIpQhs6v4zw1pkl9RSVQI9ltRfBxOVtMd35hLvW1XQWl8gjfemULW"&amp;"SIQxCKbGGTvt=w1200|https://lh3.googleusercontent.com/pw/AP1GczMRyUfOK351LswCJNswi4RhPazV2c-bVQf1qxIcGwsuU0DvsrL18MtpTMcP_vt0WHS7mjvb4edI9YICBrVTofTwPh5cVBPMRXYwLJt9UzaXlylSvXEZ=w1200|https://lh3.googleusercontent.com/pw/AP1GczOZQ4aAVhnTSgVRQ94-p7DMYwIB6e3"&amp;"735Fxm58f2E8zZKDhxIV0ZVEUOcFgrYMQO0jcvmXDi21M7fzKfp58MUK5vO6e0e2jprUqvo6gmcw1HK-DeLvG=w1200|https://lh3.googleusercontent.com/pw/AP1GczP4nbqoqkNw3elFJ_Ad_35hXMxK2E0FIzeP4lQXt0NKIrzcucRjGSO8s9M9G3ce-u_-rKbzhVmxsstqOLrmrpDrFVHGPV0J0phbPLGQoTcLMXMH64rx=w1200"&amp;"|https://lh3.googleusercontent.com/pw/AP1GczMpIHlwoP690qQelnCScwcp7qx6NlOXZmYBr8AJNkDSye1rbtVO4D7IaEEknVJSRFiopN2wNw-rr1WoU_mGlj-_1Vj-q6hEYof74NrFQNsgDPNzV6PN=w1200|https://lh3.googleusercontent.com/pw/AP1GczOQMwOrMB3o_u9W5RDoisfSUcq-IqFL0na4MrxzXMWYlm896"&amp;"UvwxH8m2nCoHLzPliNQAUJ9U-AO0EJfMKwnnzfSsvRbNHzhJ_KWGWO9chU8fGrtXOPi=w1200|https://lh3.googleusercontent.com/pw/AP1GczMpsqwwJ8VHpeZWek9vCB5PvlONRfrrNWHUB_2jEy56Hwwaw3xdGIm42RbvNxZ7xtOZRICP3UE5G6cWe-dzfJNw2_pekLB4g8uuZZ3bMuyTlxwRijwN=w1200|https://lh3.googl"&amp;"eusercontent.com/pw/AP1GczMJxvk7K2nMfHAaNeywX_IBjkD1bLwOab_aDcf5xGChl8RtHBFCmHwzbTt6dJ4ziOgvuJB4PM7KmGLItaXzTcd0CQM6txuQX2S6XSCggGY4PvtD51pg=w1200")</f>
        <v>https://lh3.googleusercontent.com/pw/AP1GczPAdLMCMR74K05jtvLvSLT1n3sOOe6CPRU4Ybzj4ZrgqYIOhdDiwntI33KB9X_o-5dEZSLsKFBwqX-g9Hdc9Yk-ZkxRG2Q-4OcL4QmCCdZqfcxEvxeX=w1200|https://lh3.googleusercontent.com/pw/AP1GczPZY8IqGmKlZL9NsRbwVKN629b9Ku9z59YmHbre64YQ2PnR2S_Tf_UXhUra1Qs0HMxqLdTOtR8R2o2vyHE52hsTXk3DQQ-BAqvEN2P32RbaDC0b2gTt=w1200|https://lh3.googleusercontent.com/pw/AP1GczPSsn2pV0PhQ38UGXhXxbaHtfpOfOaQJTKQjOCjwE3YiPzX3RxyhliaqbiMVQSi2oHO7XMmssMMPAIan4JxfGzrPg7Dafc28L_D-LmEv2di0ao7qpEO=w1200|https://lh3.googleusercontent.com/pw/AP1GczMLzkxL2q-DVtLbx7XA6OV88Q6--5r-SwEMXdjMLNUTCxQ6M6t6k9-HSp1lwZNntdr3WFuSKzXQPixG_AHEsBmpZI0qbU6PCMxv0Sfx3v2nZt6wvluy=w1200|https://lh3.googleusercontent.com/pw/AP1GczPSucCSNIqz-0oXQhjd0ia2Z_AkBbq5IeCAxWX8OmN8Pt3oTagbQr-AjTxuSIuWI4flb0zKWE-lSyqBigbd1MFsrJL8UgcEq2o-iosTo4uhd8v3Qi81=w1200|https://lh3.googleusercontent.com/pw/AP1GczMC88NyZ10od5TluOFucMBs34hKj0A6zgA_yU1ahPaV5x1z9bIEfWctbxmVnaepXehbjSRutdcmAK13pimDS4oQwvWzlw_h8GtwyrIbWN9PoFP_kVCF=w1200|https://lh3.googleusercontent.com/pw/AP1GczOP34zCGs-gVok1y56134cPHO9ceISxGr0IAHpQLo8AS06P7JZbhF9VzbNBNLNFUT-6zlPFU_Dgf1cX8TA78HTyrybIycfqswPWEVYH6DuYSCKEfA6g=w1200|https://lh3.googleusercontent.com/pw/AP1GczOin7doUTeFu8QXaKYYEpwD4h7q0_K59BXzEuxXUcex7Kdds2MtxuLuJWiPDsW5CAFIwvqOVOBYVaSsAo7-UY-sN9J4Dxmktrrpgx_OGfTxmljy63r_=w1200|https://lh3.googleusercontent.com/pw/AP1GczOwzFYyjrkxpLtWPfs8BYE-9lsSy5kblE63RezgJP3VkkVOdhx2bxlrJ1clFalsTez-YZbTdniUK4zYpCC661Rrs-zfvS2VTgdsQynedM8GPvpW-CpH=w1200|https://lh3.googleusercontent.com/pw/AP1GczPqawckAD--f2529Zux9uRX_1XFoFyCB46My38IyFCCnbr2f3ZCC6Y5DywJsROn0b1Mq1xT4lTo2ynbgtTPihug_0BAeC-BA257S_1aPPJGgg_hNn7A=w1200|https://lh3.googleusercontent.com/pw/AP1GczM3iQWocxdXgGAIwiBPuLtKDb-E7Godl6LXAi-AWbcr7tgABgWmIpQhs6v4zw1pkl9RSVQI9ltRfBxOVtMd35hLvW1XQWl8gjfemULWSIQxCKbGGTvt=w1200|https://lh3.googleusercontent.com/pw/AP1GczMRyUfOK351LswCJNswi4RhPazV2c-bVQf1qxIcGwsuU0DvsrL18MtpTMcP_vt0WHS7mjvb4edI9YICBrVTofTwPh5cVBPMRXYwLJt9UzaXlylSvXEZ=w1200|https://lh3.googleusercontent.com/pw/AP1GczOZQ4aAVhnTSgVRQ94-p7DMYwIB6e3735Fxm58f2E8zZKDhxIV0ZVEUOcFgrYMQO0jcvmXDi21M7fzKfp58MUK5vO6e0e2jprUqvo6gmcw1HK-DeLvG=w1200|https://lh3.googleusercontent.com/pw/AP1GczP4nbqoqkNw3elFJ_Ad_35hXMxK2E0FIzeP4lQXt0NKIrzcucRjGSO8s9M9G3ce-u_-rKbzhVmxsstqOLrmrpDrFVHGPV0J0phbPLGQoTcLMXMH64rx=w1200|https://lh3.googleusercontent.com/pw/AP1GczMpIHlwoP690qQelnCScwcp7qx6NlOXZmYBr8AJNkDSye1rbtVO4D7IaEEknVJSRFiopN2wNw-rr1WoU_mGlj-_1Vj-q6hEYof74NrFQNsgDPNzV6PN=w1200|https://lh3.googleusercontent.com/pw/AP1GczOQMwOrMB3o_u9W5RDoisfSUcq-IqFL0na4MrxzXMWYlm896UvwxH8m2nCoHLzPliNQAUJ9U-AO0EJfMKwnnzfSsvRbNHzhJ_KWGWO9chU8fGrtXOPi=w1200|https://lh3.googleusercontent.com/pw/AP1GczMpsqwwJ8VHpeZWek9vCB5PvlONRfrrNWHUB_2jEy56Hwwaw3xdGIm42RbvNxZ7xtOZRICP3UE5G6cWe-dzfJNw2_pekLB4g8uuZZ3bMuyTlxwRijwN=w1200|https://lh3.googleusercontent.com/pw/AP1GczMJxvk7K2nMfHAaNeywX_IBjkD1bLwOab_aDcf5xGChl8RtHBFCmHwzbTt6dJ4ziOgvuJB4PM7KmGLItaXzTcd0CQM6txuQX2S6XSCggGY4PvtD51pg=w1200</v>
      </c>
      <c r="AJ530" s="46"/>
      <c r="AK530" s="46"/>
      <c r="AL530" s="46"/>
      <c r="AM530" s="46"/>
      <c r="AN530" s="46"/>
      <c r="AO530" s="46"/>
      <c r="AP530" s="46"/>
      <c r="AQ530" s="46"/>
      <c r="AR530" s="46"/>
      <c r="AS530" s="46"/>
      <c r="AT530" s="46"/>
      <c r="AU530" s="46"/>
      <c r="AV530" s="46"/>
      <c r="AW530" s="46"/>
      <c r="AX530" s="46"/>
      <c r="AY530" s="46"/>
      <c r="AZ530" s="46"/>
      <c r="BA530" s="46"/>
      <c r="BB530" s="46"/>
      <c r="BC530" s="46"/>
      <c r="BD530" s="46"/>
      <c r="BE530" s="46"/>
      <c r="BF530" s="46"/>
      <c r="BG530" s="46"/>
      <c r="BH530" s="46"/>
      <c r="BI530" s="46"/>
      <c r="BJ530" s="46"/>
      <c r="BK530" s="46"/>
      <c r="BL530" s="46"/>
      <c r="BM530" s="46"/>
      <c r="BN530" s="46"/>
      <c r="BO530" s="46"/>
      <c r="BP530" s="46"/>
      <c r="BQ530" s="46"/>
      <c r="BR530" s="46"/>
      <c r="BS530" s="46"/>
      <c r="BT530" s="46"/>
      <c r="BU530" s="46"/>
      <c r="BV530" s="46"/>
      <c r="BW530" s="46"/>
      <c r="BX530" s="46"/>
      <c r="BY530" s="46"/>
      <c r="BZ530" s="46"/>
      <c r="CA530" s="46"/>
      <c r="CB530" s="46"/>
      <c r="CC530" s="46"/>
    </row>
    <row r="531">
      <c r="A531" s="87" t="str">
        <f>IFERROR(__xludf.DUMMYFUNCTION("""COMPUTED_VALUE"""),"136")</f>
        <v>136</v>
      </c>
      <c r="B531" s="46" t="str">
        <f>IFERROR(__xludf.DUMMYFUNCTION("""COMPUTED_VALUE"""),"Casa en barrio Las Acacias - Sur")</f>
        <v>Casa en barrio Las Acacias - Sur</v>
      </c>
      <c r="C531" s="46" t="str">
        <f>IFERROR(__xludf.DUMMYFUNCTION("""COMPUTED_VALUE"""),"Casa")</f>
        <v>Casa</v>
      </c>
      <c r="D531" s="46" t="str">
        <f>IFERROR(__xludf.DUMMYFUNCTION("""COMPUTED_VALUE"""),"Las Acacias")</f>
        <v>Las Acacias</v>
      </c>
      <c r="E531" s="46"/>
      <c r="F531" s="90">
        <f>IFERROR(__xludf.DUMMYFUNCTION("""COMPUTED_VALUE"""),1.8E8)</f>
        <v>180000000</v>
      </c>
      <c r="G531" s="46" t="str">
        <f>IFERROR(__xludf.DUMMYFUNCTION("""COMPUTED_VALUE"""),"$100'000.000 a $200'000.000")</f>
        <v>$100'000.000 a $200'000.000</v>
      </c>
      <c r="H531" s="46"/>
      <c r="I531" s="46"/>
      <c r="J531" s="46" t="str">
        <f>IFERROR(__xludf.DUMMYFUNCTION("""COMPUTED_VALUE"""),"Sur")</f>
        <v>Sur</v>
      </c>
      <c r="K531" s="87" t="str">
        <f>IFERROR(__xludf.DUMMYFUNCTION("""COMPUTED_VALUE"""),"10")</f>
        <v>10</v>
      </c>
      <c r="L531" s="46">
        <f>IFERROR(__xludf.DUMMYFUNCTION("""COMPUTED_VALUE"""),4.0)</f>
        <v>4</v>
      </c>
      <c r="M531" s="46"/>
      <c r="N531" s="46">
        <f>IFERROR(__xludf.DUMMYFUNCTION("""COMPUTED_VALUE"""),1.0)</f>
        <v>1</v>
      </c>
      <c r="O531" s="46">
        <f>IFERROR(__xludf.DUMMYFUNCTION("""COMPUTED_VALUE"""),1.0)</f>
        <v>1</v>
      </c>
      <c r="P531" s="46">
        <f>IFERROR(__xludf.DUMMYFUNCTION("""COMPUTED_VALUE"""),1.0)</f>
        <v>1</v>
      </c>
      <c r="Q531" s="92">
        <f>IFERROR(__xludf.DUMMYFUNCTION("""COMPUTED_VALUE"""),108.0)</f>
        <v>108</v>
      </c>
      <c r="R531" s="92">
        <f>IFERROR(__xludf.DUMMYFUNCTION("""COMPUTED_VALUE"""),108.0)</f>
        <v>108</v>
      </c>
      <c r="S531" s="87" t="str">
        <f>IFERROR(__xludf.DUMMYFUNCTION("""COMPUTED_VALUE""")," ")</f>
        <v> </v>
      </c>
      <c r="T531" s="46" t="str">
        <f>IFERROR(__xludf.DUMMYFUNCTION("""COMPUTED_VALUE"""),"Neiva")</f>
        <v>Neiva</v>
      </c>
      <c r="U531" s="87" t="str">
        <f>IFERROR(__xludf.DUMMYFUNCTION("""COMPUTED_VALUE"""),"2")</f>
        <v>2</v>
      </c>
      <c r="V531" s="46" t="str">
        <f>IFERROR(__xludf.DUMMYFUNCTION("""COMPUTED_VALUE"""),"Medianera")</f>
        <v>Medianera</v>
      </c>
      <c r="W531" s="46"/>
      <c r="X531" s="46">
        <f>IFERROR(__xludf.DUMMYFUNCTION("""COMPUTED_VALUE"""),1.0)</f>
        <v>1</v>
      </c>
      <c r="Y531" s="46" t="str">
        <f>IFERROR(__xludf.DUMMYFUNCTION("""COMPUTED_VALUE"""),"No tiene")</f>
        <v>No tiene</v>
      </c>
      <c r="Z531" s="90" t="str">
        <f>IFERROR(__xludf.DUMMYFUNCTION("""COMPUTED_VALUE"""),"No aplica")</f>
        <v>No aplica</v>
      </c>
      <c r="AA531" s="33" t="str">
        <f>IFERROR(__xludf.DUMMYFUNCTION("""COMPUTED_VALUE"""),"No aplica")</f>
        <v>No aplica</v>
      </c>
      <c r="AB531" s="96" t="str">
        <f>IFERROR(__xludf.DUMMYFUNCTION("""COMPUTED_VALUE"""),"https://photos.app.goo.gl/h4fpCUagexBVamzA6")</f>
        <v>https://photos.app.goo.gl/h4fpCUagexBVamzA6</v>
      </c>
      <c r="AC531" s="46" t="str">
        <f>IFERROR(__xludf.DUMMYFUNCTION("""COMPUTED_VALUE"""),"Cuenta con cuatro amplias alcobas, sala comedor integrada y cocina con mueble. El inmueble dispone de baño, área de lavandería independiente, patio que aporta frescura y garaje privado.")</f>
        <v>Cuenta con cuatro amplias alcobas, sala comedor integrada y cocina con mueble. El inmueble dispone de baño, área de lavandería independiente, patio que aporta frescura y garaje privado.</v>
      </c>
      <c r="AD531" s="46" t="str">
        <f>IFERROR(__xludf.DUMMYFUNCTION("""COMPUTED_VALUE"""),"Esta acogedora casa de un piso en el barrio Las Acacias, al sur de Neiva, destaca por su excelente distribución y ubicación estratégica. Su cercanía a la Escuela de Carabineros, colegios y supermercados. Excelente conectividad en el sector sur de la ciuda"&amp;"d.")</f>
        <v>Esta acogedora casa de un piso en el barrio Las Acacias, al sur de Neiva, destaca por su excelente distribución y ubicación estratégica. Su cercanía a la Escuela de Carabineros, colegios y supermercados. Excelente conectividad en el sector sur de la ciudad.</v>
      </c>
      <c r="AE531" s="46"/>
      <c r="AF531" s="46" t="str">
        <f>IFERROR(__xludf.DUMMYFUNCTION("""COMPUTED_VALUE"""),"básica")</f>
        <v>básica</v>
      </c>
      <c r="AG531" s="46"/>
      <c r="AH531" s="46" t="str">
        <f>IFERROR(__xludf.DUMMYFUNCTION("""COMPUTED_VALUE"""),"Aliado")</f>
        <v>Aliado</v>
      </c>
      <c r="AI531" s="92" t="str">
        <f>IFERROR(__xludf.DUMMYFUNCTION("""COMPUTED_VALUE"""),"https://lh3.googleusercontent.com/pw/AP1GczPZiBVJlUrq4D-7RmmkIRhi50XxHDsdxn03LMOgAnfd_smjN0OjZow0cEHGsxUkRn931z5tSzOSYDUYryaKmANzh_ZOEqEg0KhguHVkL6pH0WKnTyGC=w1200|https://lh3.googleusercontent.com/pw/AP1GczMb3ZmGPUGpxnmm-J3zNVDRAr3ewziDx3Ip5N046fZT6u55we"&amp;"AEDe8CP6zGtpUQcBtiCPKMGD2enQ5NOcorcIEww2Wjxv2OWsoU7J2uLrraGnFL2Ocv=w1200|https://lh3.googleusercontent.com/pw/AP1GczOexxIerg9PJBUhVXuuMZ4V1y-rONmqKmuWy_D_6yNuOhPi0FsBqI_Ci3T4fzPALcu2Qj1eLItxqVdV53dKG3jqylnRxOjlojajxmTN_7OXE2d6O1Ea=w1200|https://lh3.google"&amp;"usercontent.com/pw/AP1GczN9ZRyEyH9bpOLB1S0Ij6QyOArmOn0WqeJJSJlOh8XXyR4b-6e5fKFK5jg9jEDqCmM16IYJkTo0aaxwf_ad-5Q8Eh_bKIHdZMlLcealbhBL4hLfxwep=w1200|https://lh3.googleusercontent.com/pw/AP1GczNzJ7ilCHXsklRRulgn6z62gn4RgIwqK2Fb8AdqMGDx8TziUQy6poQhOMRBICVEfFyo"&amp;"k4f98w_1iEr81FsVx0iIE5ozjy7eO5p4mFz_-m_o_YGNhf6x=w1200|https://lh3.googleusercontent.com/pw/AP1GczMhi3u8_yQY9dyopeTMJqXhCOVnw1gZLNfXyMPc6eFfF_9RhnBOnD56IojQI-Y6d9CzjLkVpo8kF7CC2yIAdcVZUl9OamPmskTXEYxg--7EH3LYSPnm=w1200|https://lh3.googleusercontent.com/pw"&amp;"/AP1GczNyoMGxKh36s6_4gslld4pqfoxCYMdVmrWNIbpcjwSBfxqeMvoOLJZzc9W4CpfxoRNnccqnwWIsbTBTNpuW0Uz0-PAF_vcwe55US-4CoxHqEWO1uP8j=w1200|https://lh3.googleusercontent.com/pw/AP1GczOgANraQImZ51LsTMcw2TJfr7ACzVitbGjVti2z1zJyuL40cZdfaxq-bHvoYOqGk4kpSa70c7m1ZyQjQhW7x5"&amp;"ux6lRMW2XvmmvnSHUF3Gphrhue9Rre=w1200|https://lh3.googleusercontent.com/pw/AP1GczN25Gdho1KNEywHEurUhVlBtp4ncezS-QfaK73bFbXuMzMeJ-XdikGsTO6iqofDtmsEgIPeTmjqV2pjJ7_zwiS0rGLNc2FGlktFdRZEnk43E2t0JRDD=w1200")</f>
        <v>https://lh3.googleusercontent.com/pw/AP1GczPZiBVJlUrq4D-7RmmkIRhi50XxHDsdxn03LMOgAnfd_smjN0OjZow0cEHGsxUkRn931z5tSzOSYDUYryaKmANzh_ZOEqEg0KhguHVkL6pH0WKnTyGC=w1200|https://lh3.googleusercontent.com/pw/AP1GczMb3ZmGPUGpxnmm-J3zNVDRAr3ewziDx3Ip5N046fZT6u55weAEDe8CP6zGtpUQcBtiCPKMGD2enQ5NOcorcIEww2Wjxv2OWsoU7J2uLrraGnFL2Ocv=w1200|https://lh3.googleusercontent.com/pw/AP1GczOexxIerg9PJBUhVXuuMZ4V1y-rONmqKmuWy_D_6yNuOhPi0FsBqI_Ci3T4fzPALcu2Qj1eLItxqVdV53dKG3jqylnRxOjlojajxmTN_7OXE2d6O1Ea=w1200|https://lh3.googleusercontent.com/pw/AP1GczN9ZRyEyH9bpOLB1S0Ij6QyOArmOn0WqeJJSJlOh8XXyR4b-6e5fKFK5jg9jEDqCmM16IYJkTo0aaxwf_ad-5Q8Eh_bKIHdZMlLcealbhBL4hLfxwep=w1200|https://lh3.googleusercontent.com/pw/AP1GczNzJ7ilCHXsklRRulgn6z62gn4RgIwqK2Fb8AdqMGDx8TziUQy6poQhOMRBICVEfFyok4f98w_1iEr81FsVx0iIE5ozjy7eO5p4mFz_-m_o_YGNhf6x=w1200|https://lh3.googleusercontent.com/pw/AP1GczMhi3u8_yQY9dyopeTMJqXhCOVnw1gZLNfXyMPc6eFfF_9RhnBOnD56IojQI-Y6d9CzjLkVpo8kF7CC2yIAdcVZUl9OamPmskTXEYxg--7EH3LYSPnm=w1200|https://lh3.googleusercontent.com/pw/AP1GczNyoMGxKh36s6_4gslld4pqfoxCYMdVmrWNIbpcjwSBfxqeMvoOLJZzc9W4CpfxoRNnccqnwWIsbTBTNpuW0Uz0-PAF_vcwe55US-4CoxHqEWO1uP8j=w1200|https://lh3.googleusercontent.com/pw/AP1GczOgANraQImZ51LsTMcw2TJfr7ACzVitbGjVti2z1zJyuL40cZdfaxq-bHvoYOqGk4kpSa70c7m1ZyQjQhW7x5ux6lRMW2XvmmvnSHUF3Gphrhue9Rre=w1200|https://lh3.googleusercontent.com/pw/AP1GczN25Gdho1KNEywHEurUhVlBtp4ncezS-QfaK73bFbXuMzMeJ-XdikGsTO6iqofDtmsEgIPeTmjqV2pjJ7_zwiS0rGLNc2FGlktFdRZEnk43E2t0JRDD=w1200</v>
      </c>
      <c r="AJ531" s="46"/>
      <c r="AK531" s="46"/>
      <c r="AL531" s="46"/>
      <c r="AM531" s="46"/>
      <c r="AN531" s="46"/>
      <c r="AO531" s="46"/>
      <c r="AP531" s="46"/>
      <c r="AQ531" s="46"/>
      <c r="AR531" s="46"/>
      <c r="AS531" s="46"/>
      <c r="AT531" s="46"/>
      <c r="AU531" s="46"/>
      <c r="AV531" s="46"/>
      <c r="AW531" s="46"/>
      <c r="AX531" s="46"/>
      <c r="AY531" s="46"/>
      <c r="AZ531" s="46"/>
      <c r="BA531" s="46"/>
      <c r="BB531" s="46"/>
      <c r="BC531" s="46"/>
      <c r="BD531" s="46"/>
      <c r="BE531" s="46"/>
      <c r="BF531" s="46"/>
      <c r="BG531" s="46"/>
      <c r="BH531" s="46"/>
      <c r="BI531" s="46"/>
      <c r="BJ531" s="46"/>
      <c r="BK531" s="46"/>
      <c r="BL531" s="46"/>
      <c r="BM531" s="46"/>
      <c r="BN531" s="46"/>
      <c r="BO531" s="46"/>
      <c r="BP531" s="46"/>
      <c r="BQ531" s="46"/>
      <c r="BR531" s="46"/>
      <c r="BS531" s="46"/>
      <c r="BT531" s="46"/>
      <c r="BU531" s="46"/>
      <c r="BV531" s="46"/>
      <c r="BW531" s="46"/>
      <c r="BX531" s="46"/>
      <c r="BY531" s="46"/>
      <c r="BZ531" s="46"/>
      <c r="CA531" s="46"/>
      <c r="CB531" s="46"/>
      <c r="CC531" s="46"/>
    </row>
    <row r="532">
      <c r="A532" s="87" t="str">
        <f>IFERROR(__xludf.DUMMYFUNCTION("""COMPUTED_VALUE"""),"262")</f>
        <v>262</v>
      </c>
      <c r="B532" s="46" t="str">
        <f>IFERROR(__xludf.DUMMYFUNCTION("""COMPUTED_VALUE"""),"Casa en barrio Santa Inés - Norte")</f>
        <v>Casa en barrio Santa Inés - Norte</v>
      </c>
      <c r="C532" s="46" t="str">
        <f>IFERROR(__xludf.DUMMYFUNCTION("""COMPUTED_VALUE"""),"Casa")</f>
        <v>Casa</v>
      </c>
      <c r="D532" s="46" t="str">
        <f>IFERROR(__xludf.DUMMYFUNCTION("""COMPUTED_VALUE"""),"Cándido Leguizamo")</f>
        <v>Cándido Leguizamo</v>
      </c>
      <c r="E532" s="90"/>
      <c r="F532" s="90">
        <f>IFERROR(__xludf.DUMMYFUNCTION("""COMPUTED_VALUE"""),1.7E8)</f>
        <v>170000000</v>
      </c>
      <c r="G532" s="46" t="str">
        <f>IFERROR(__xludf.DUMMYFUNCTION("""COMPUTED_VALUE"""),"$100'000.000 a $200'000.000")</f>
        <v>$100'000.000 a $200'000.000</v>
      </c>
      <c r="H532" s="46"/>
      <c r="I532" s="46"/>
      <c r="J532" s="46" t="str">
        <f>IFERROR(__xludf.DUMMYFUNCTION("""COMPUTED_VALUE"""),"Norte")</f>
        <v>Norte</v>
      </c>
      <c r="K532" s="87"/>
      <c r="L532" s="46">
        <f>IFERROR(__xludf.DUMMYFUNCTION("""COMPUTED_VALUE"""),3.0)</f>
        <v>3</v>
      </c>
      <c r="M532" s="46"/>
      <c r="N532" s="46">
        <f>IFERROR(__xludf.DUMMYFUNCTION("""COMPUTED_VALUE"""),1.0)</f>
        <v>1</v>
      </c>
      <c r="O532" s="46">
        <f>IFERROR(__xludf.DUMMYFUNCTION("""COMPUTED_VALUE"""),0.0)</f>
        <v>0</v>
      </c>
      <c r="P532" s="46">
        <f>IFERROR(__xludf.DUMMYFUNCTION("""COMPUTED_VALUE"""),1.0)</f>
        <v>1</v>
      </c>
      <c r="Q532" s="92">
        <f>IFERROR(__xludf.DUMMYFUNCTION("""COMPUTED_VALUE"""),90.0)</f>
        <v>90</v>
      </c>
      <c r="R532" s="92">
        <f>IFERROR(__xludf.DUMMYFUNCTION("""COMPUTED_VALUE"""),100.0)</f>
        <v>100</v>
      </c>
      <c r="S532" s="87" t="str">
        <f>IFERROR(__xludf.DUMMYFUNCTION("""COMPUTED_VALUE""")," ")</f>
        <v> </v>
      </c>
      <c r="T532" s="46" t="str">
        <f>IFERROR(__xludf.DUMMYFUNCTION("""COMPUTED_VALUE"""),"Neiva")</f>
        <v>Neiva</v>
      </c>
      <c r="U532" s="87" t="str">
        <f>IFERROR(__xludf.DUMMYFUNCTION("""COMPUTED_VALUE"""),"2")</f>
        <v>2</v>
      </c>
      <c r="V532" s="46" t="str">
        <f>IFERROR(__xludf.DUMMYFUNCTION("""COMPUTED_VALUE"""),"Medianera")</f>
        <v>Medianera</v>
      </c>
      <c r="W532" s="46"/>
      <c r="X532" s="46">
        <f>IFERROR(__xludf.DUMMYFUNCTION("""COMPUTED_VALUE"""),1.0)</f>
        <v>1</v>
      </c>
      <c r="Y532" s="46" t="str">
        <f>IFERROR(__xludf.DUMMYFUNCTION("""COMPUTED_VALUE"""),"No tiene")</f>
        <v>No tiene</v>
      </c>
      <c r="Z532" s="90" t="str">
        <f>IFERROR(__xludf.DUMMYFUNCTION("""COMPUTED_VALUE"""),"No aplica")</f>
        <v>No aplica</v>
      </c>
      <c r="AA532" s="33" t="str">
        <f>IFERROR(__xludf.DUMMYFUNCTION("""COMPUTED_VALUE"""),"No aplica")</f>
        <v>No aplica</v>
      </c>
      <c r="AB532" s="96" t="str">
        <f>IFERROR(__xludf.DUMMYFUNCTION("""COMPUTED_VALUE"""),"https://photos.app.goo.gl/nysNqnNqxr4Q1FMNA")</f>
        <v>https://photos.app.goo.gl/nysNqnNqxr4Q1FMNA</v>
      </c>
      <c r="AC532" s="46" t="str">
        <f>IFERROR(__xludf.DUMMYFUNCTION("""COMPUTED_VALUE"""),"Casa de un piso, en el Barrio Santa Ines antejardín con reja, tres habitaciones un closet, salacomedor, patio, area de lavanderia y baño, cocina sencilla .Casa medianera, con piso en cerámica, cielo raso en machembre,")</f>
        <v>Casa de un piso, en el Barrio Santa Ines antejardín con reja, tres habitaciones un closet, salacomedor, patio, area de lavanderia y baño, cocina sencilla .Casa medianera, con piso en cerámica, cielo raso en machembre,</v>
      </c>
      <c r="AD532" s="46" t="str">
        <f>IFERROR(__xludf.DUMMYFUNCTION("""COMPUTED_VALUE"""),"Cercano a la Universidad Surcolombiana, Clínica Medilaser sede Norte, Colegios Departamental y Liceo, excelentes vías de ingreso")</f>
        <v>Cercano a la Universidad Surcolombiana, Clínica Medilaser sede Norte, Colegios Departamental y Liceo, excelentes vías de ingreso</v>
      </c>
      <c r="AE532" s="46"/>
      <c r="AF532" s="46" t="str">
        <f>IFERROR(__xludf.DUMMYFUNCTION("""COMPUTED_VALUE"""),"básica")</f>
        <v>básica</v>
      </c>
      <c r="AG532" s="46"/>
      <c r="AH532" s="46" t="str">
        <f>IFERROR(__xludf.DUMMYFUNCTION("""COMPUTED_VALUE"""),"Aliado")</f>
        <v>Aliado</v>
      </c>
      <c r="AI532" s="92" t="str">
        <f>IFERROR(__xludf.DUMMYFUNCTION("""COMPUTED_VALUE"""),"https://lh3.googleusercontent.com/pw/AP1GczPF8AXHltDDXaE3H_mnWVV3goHm36-nrzfEfoAfmyS34G9kwz8S3VA59e98rqhmH2nmwZNunJYGvZ86zH7yXiSP0dZawWHdbw0-JkcC8DNKyt9hyEmn=w1200|https://lh3.googleusercontent.com/pw/AP1GczOBGg13WbS_jNKJ8fX2snoXwFjrs8Iu5jBV2EbnmZeN0qeg2h"&amp;"S_CJ7LDKeD5IcCsUtsXLge2ntkmtN_TojBmJ63oP1Dn6XfGScxusl33hN3RVMvbZuX=w1200|https://lh3.googleusercontent.com/pw/AP1GczM7c_ru5zUqovHIwMCuekX-mbLzTBsEq7v2gVNiGmx4D7BU-Le_vmyBMWAstmKH4od_1koB5pbR1yVkhYtumthxfWXMnRe5tRr_fhJsJAIc7aqW_ufx=w1200|https://lh3.google"&amp;"usercontent.com/pw/AP1GczMZqf9vbfBojOkmBdUwrGb8cZFSeRpCQzBF4GUtgVlbi_-EQpxnkOX3sZbFVuGvRpqNLpWAc_z28RkaTJRusbzo4NZxzNJAfex8hXf019nFK0hEyDn8=w1200|https://lh3.googleusercontent.com/pw/AP1GczNnUWaR4rdC5TQ_NFBnieZHmwB7OMMQ5DO4gej2AaKHoWG3A05Kx3K2BVS19HKDdFPj"&amp;"hdf-ZuPVIWMZxtrCrUBXG4n2R1Ck-SusNjLMp2NQGRDbirYW=w1200|https://lh3.googleusercontent.com/pw/AP1GczPRmeixOXRUfgJuakw_H8ebcG5naSX25S5scSxY6kuBodTfJm6ZenX-edY2qSadbWr5tHo6NcsAUL3aSKhCfxA3nA59JLq8dbJA8fM8P5PE_mqYTkrf=w1200|https://lh3.googleusercontent.com/pw"&amp;"/AP1GczPb7-UgrZkQeSPVQkxvmjXUACHPxM9wbEmqNu5aQHtqz4xyorwsexLM3TGvuRQrck0cXlz0HvOZD8d2rAOYJMiWn9XBMgMsqVMTofDQOUennsKW1kRp=w1200|https://lh3.googleusercontent.com/pw/AP1GczMgY_EoR2-9T_I_66p9eOn-Ywe14jfZUz3Wz99en8wLRwM4p_uIcCbDWp4fy1mX5_oBZmhu_XvInK576bAiq1"&amp;"9D_6C8yDOUWdHrfjPfNQ1SGPmV3vYi=w1200")</f>
        <v>https://lh3.googleusercontent.com/pw/AP1GczPF8AXHltDDXaE3H_mnWVV3goHm36-nrzfEfoAfmyS34G9kwz8S3VA59e98rqhmH2nmwZNunJYGvZ86zH7yXiSP0dZawWHdbw0-JkcC8DNKyt9hyEmn=w1200|https://lh3.googleusercontent.com/pw/AP1GczOBGg13WbS_jNKJ8fX2snoXwFjrs8Iu5jBV2EbnmZeN0qeg2hS_CJ7LDKeD5IcCsUtsXLge2ntkmtN_TojBmJ63oP1Dn6XfGScxusl33hN3RVMvbZuX=w1200|https://lh3.googleusercontent.com/pw/AP1GczM7c_ru5zUqovHIwMCuekX-mbLzTBsEq7v2gVNiGmx4D7BU-Le_vmyBMWAstmKH4od_1koB5pbR1yVkhYtumthxfWXMnRe5tRr_fhJsJAIc7aqW_ufx=w1200|https://lh3.googleusercontent.com/pw/AP1GczMZqf9vbfBojOkmBdUwrGb8cZFSeRpCQzBF4GUtgVlbi_-EQpxnkOX3sZbFVuGvRpqNLpWAc_z28RkaTJRusbzo4NZxzNJAfex8hXf019nFK0hEyDn8=w1200|https://lh3.googleusercontent.com/pw/AP1GczNnUWaR4rdC5TQ_NFBnieZHmwB7OMMQ5DO4gej2AaKHoWG3A05Kx3K2BVS19HKDdFPjhdf-ZuPVIWMZxtrCrUBXG4n2R1Ck-SusNjLMp2NQGRDbirYW=w1200|https://lh3.googleusercontent.com/pw/AP1GczPRmeixOXRUfgJuakw_H8ebcG5naSX25S5scSxY6kuBodTfJm6ZenX-edY2qSadbWr5tHo6NcsAUL3aSKhCfxA3nA59JLq8dbJA8fM8P5PE_mqYTkrf=w1200|https://lh3.googleusercontent.com/pw/AP1GczPb7-UgrZkQeSPVQkxvmjXUACHPxM9wbEmqNu5aQHtqz4xyorwsexLM3TGvuRQrck0cXlz0HvOZD8d2rAOYJMiWn9XBMgMsqVMTofDQOUennsKW1kRp=w1200|https://lh3.googleusercontent.com/pw/AP1GczMgY_EoR2-9T_I_66p9eOn-Ywe14jfZUz3Wz99en8wLRwM4p_uIcCbDWp4fy1mX5_oBZmhu_XvInK576bAiq19D_6C8yDOUWdHrfjPfNQ1SGPmV3vYi=w1200</v>
      </c>
      <c r="AJ532" s="46"/>
      <c r="AK532" s="46"/>
      <c r="AL532" s="46"/>
      <c r="AM532" s="46"/>
      <c r="AN532" s="46"/>
      <c r="AO532" s="46"/>
      <c r="AP532" s="46"/>
      <c r="AQ532" s="46"/>
      <c r="AR532" s="46"/>
      <c r="AS532" s="46"/>
      <c r="AT532" s="46"/>
      <c r="AU532" s="46"/>
      <c r="AV532" s="46"/>
      <c r="AW532" s="46"/>
      <c r="AX532" s="46"/>
      <c r="AY532" s="46"/>
      <c r="AZ532" s="46"/>
      <c r="BA532" s="46"/>
      <c r="BB532" s="46"/>
      <c r="BC532" s="46"/>
      <c r="BD532" s="46"/>
      <c r="BE532" s="46"/>
      <c r="BF532" s="46"/>
      <c r="BG532" s="46"/>
      <c r="BH532" s="46"/>
      <c r="BI532" s="46"/>
      <c r="BJ532" s="46"/>
      <c r="BK532" s="46"/>
      <c r="BL532" s="46"/>
      <c r="BM532" s="46"/>
      <c r="BN532" s="46"/>
      <c r="BO532" s="46"/>
      <c r="BP532" s="46"/>
      <c r="BQ532" s="46"/>
      <c r="BR532" s="46"/>
      <c r="BS532" s="46"/>
      <c r="BT532" s="46"/>
      <c r="BU532" s="46"/>
      <c r="BV532" s="46"/>
      <c r="BW532" s="46"/>
      <c r="BX532" s="46"/>
      <c r="BY532" s="46"/>
      <c r="BZ532" s="46"/>
      <c r="CA532" s="46"/>
      <c r="CB532" s="46"/>
      <c r="CC532" s="46"/>
    </row>
    <row r="533">
      <c r="A533" s="87" t="str">
        <f>IFERROR(__xludf.DUMMYFUNCTION("""COMPUTED_VALUE"""),"105")</f>
        <v>105</v>
      </c>
      <c r="B533" s="46" t="str">
        <f>IFERROR(__xludf.DUMMYFUNCTION("""COMPUTED_VALUE"""),"Apartamento en Conjunto Caminos de la Primavera")</f>
        <v>Apartamento en Conjunto Caminos de la Primavera</v>
      </c>
      <c r="C533" s="46" t="str">
        <f>IFERROR(__xludf.DUMMYFUNCTION("""COMPUTED_VALUE"""),"Apartamento en conjunto")</f>
        <v>Apartamento en conjunto</v>
      </c>
      <c r="D533" s="46" t="str">
        <f>IFERROR(__xludf.DUMMYFUNCTION("""COMPUTED_VALUE"""),"Virgilio Barco")</f>
        <v>Virgilio Barco</v>
      </c>
      <c r="E533" s="46" t="str">
        <f>IFERROR(__xludf.DUMMYFUNCTION("""COMPUTED_VALUE"""),"Caminos de la Primavera")</f>
        <v>Caminos de la Primavera</v>
      </c>
      <c r="F533" s="90">
        <f>IFERROR(__xludf.DUMMYFUNCTION("""COMPUTED_VALUE"""),1.6E8)</f>
        <v>160000000</v>
      </c>
      <c r="G533" s="46" t="str">
        <f>IFERROR(__xludf.DUMMYFUNCTION("""COMPUTED_VALUE"""),"$100'000.000 a $200'000.000")</f>
        <v>$100'000.000 a $200'000.000</v>
      </c>
      <c r="H533" s="46"/>
      <c r="I533" s="46"/>
      <c r="J533" s="46" t="str">
        <f>IFERROR(__xludf.DUMMYFUNCTION("""COMPUTED_VALUE"""),"Norte")</f>
        <v>Norte</v>
      </c>
      <c r="K533" s="87" t="str">
        <f>IFERROR(__xludf.DUMMYFUNCTION("""COMPUTED_VALUE"""),"9")</f>
        <v>9</v>
      </c>
      <c r="L533" s="46">
        <f>IFERROR(__xludf.DUMMYFUNCTION("""COMPUTED_VALUE"""),2.0)</f>
        <v>2</v>
      </c>
      <c r="M533" s="46"/>
      <c r="N533" s="46">
        <f>IFERROR(__xludf.DUMMYFUNCTION("""COMPUTED_VALUE"""),2.0)</f>
        <v>2</v>
      </c>
      <c r="O533" s="46">
        <f>IFERROR(__xludf.DUMMYFUNCTION("""COMPUTED_VALUE"""),1.0)</f>
        <v>1</v>
      </c>
      <c r="P533" s="46">
        <f>IFERROR(__xludf.DUMMYFUNCTION("""COMPUTED_VALUE"""),1.0)</f>
        <v>1</v>
      </c>
      <c r="Q533" s="92">
        <f>IFERROR(__xludf.DUMMYFUNCTION("""COMPUTED_VALUE"""),52.0)</f>
        <v>52</v>
      </c>
      <c r="R533" s="92">
        <f>IFERROR(__xludf.DUMMYFUNCTION("""COMPUTED_VALUE"""),52.0)</f>
        <v>52</v>
      </c>
      <c r="S533" s="87" t="str">
        <f>IFERROR(__xludf.DUMMYFUNCTION("""COMPUTED_VALUE""")," ")</f>
        <v> </v>
      </c>
      <c r="T533" s="46" t="str">
        <f>IFERROR(__xludf.DUMMYFUNCTION("""COMPUTED_VALUE"""),"Neiva")</f>
        <v>Neiva</v>
      </c>
      <c r="U533" s="87" t="str">
        <f>IFERROR(__xludf.DUMMYFUNCTION("""COMPUTED_VALUE"""),"2")</f>
        <v>2</v>
      </c>
      <c r="V533" s="46"/>
      <c r="W533" s="46"/>
      <c r="X533" s="46">
        <f>IFERROR(__xludf.DUMMYFUNCTION("""COMPUTED_VALUE"""),2.0)</f>
        <v>2</v>
      </c>
      <c r="Y533" s="46" t="str">
        <f>IFERROR(__xludf.DUMMYFUNCTION("""COMPUTED_VALUE"""),"Social")</f>
        <v>Social</v>
      </c>
      <c r="Z533" s="90">
        <f>IFERROR(__xludf.DUMMYFUNCTION("""COMPUTED_VALUE"""),152000.0)</f>
        <v>152000</v>
      </c>
      <c r="AA533" s="33"/>
      <c r="AB533" s="144" t="str">
        <f>IFERROR(__xludf.DUMMYFUNCTION("""COMPUTED_VALUE"""),"https://photos.app.goo.gl/Q1vJXT2VSsEycUp1A")</f>
        <v>https://photos.app.goo.gl/Q1vJXT2VSsEycUp1A</v>
      </c>
      <c r="AC533" s="46" t="str">
        <f>IFERROR(__xludf.DUMMYFUNCTION("""COMPUTED_VALUE"""),"Sala comedor, cocina semi integral, cuenta con dos alcobas con closet, estudio, baño privado, baño social, área de lavandería. En ares comunes piscina, vigilancia 24h,salón social, BBQ, parqueadero comunal, cercano a Centro Comercial, Hospital.")</f>
        <v>Sala comedor, cocina semi integral, cuenta con dos alcobas con closet, estudio, baño privado, baño social, área de lavandería. En ares comunes piscina, vigilancia 24h,salón social, BBQ, parqueadero comunal, cercano a Centro Comercial, Hospital.</v>
      </c>
      <c r="AD533" s="46"/>
      <c r="AE533" s="46"/>
      <c r="AF533" s="46" t="str">
        <f>IFERROR(__xludf.DUMMYFUNCTION("""COMPUTED_VALUE"""),"semi-integral")</f>
        <v>semi-integral</v>
      </c>
      <c r="AG533" s="46"/>
      <c r="AH533" s="46" t="str">
        <f>IFERROR(__xludf.DUMMYFUNCTION("""COMPUTED_VALUE"""),"Aliado")</f>
        <v>Aliado</v>
      </c>
      <c r="AI533" s="92" t="str">
        <f>IFERROR(__xludf.DUMMYFUNCTION("""COMPUTED_VALUE"""),"https://lh3.googleusercontent.com/pw/AP1GczOsJXucavxgzs0FBmoBzXu8SEruo87-JEzo5R19Z4LYqqdX6AmgaS-ia1uNoMCdrdVKg2MYpNcw0vWVBa9ZUFmO2XeXwhP3U-NJFtNkr6zIjE0dYwtZ=w1200|https://lh3.googleusercontent.com/pw/AP1GczNIV95HMbHiBdLNIXV2JMR9rfJioIkhkoJWKCUhmQ7LfBynTz"&amp;"CPpE_KDaP-TilxzepDkIxrV6dyz-Kgq2iJregSt3yiD90-x-owOQHjT_jpsR5XLyHr=w1200|https://lh3.googleusercontent.com/pw/AP1GczMJTOGC2NUwrFHoG4GqtM015Io0xXCTRqxJ8-9ykWSO7fL8lkFvhivoK4dyijEFAJRHWieQAfW4pzmnVXEWSdNMK2uTGbF3IpxHk0cgALh3tF-HR48D=w1200|https://lh3.google"&amp;"usercontent.com/pw/AP1GczPtatCZQ3J9IX30GRHZXaMKBQ3V9nBMA7FZnhCSPUv7RHA8RwYIE2tHp46T07W3LTxzkW3UDfg2A1C7rjZAHuSuFhbyAhDCk5K57QcxqgT6NUp62SBM=w1200|https://lh3.googleusercontent.com/pw/AP1GczPZUXKoYvnRYhdALQ_e9yzU5DU2tB1ekVs3gyemyRwfu0pvgqPDGXfIpxNKUejtEu7Q"&amp;"m-NDvyubQSXI6PDpIt4HZ5EiT493VS1uoknDOve3ftt7VfML=w1200|https://lh3.googleusercontent.com/pw/AP1GczOCv7uyT1yOr6i-ROzqtdL_AWvN4auAD6B0Owq55L4ROpbg_nBGEhXDbJLrn7QULxQu0Ro-VIIzCpsH9JDFseGcsssySCjiC_TMi74f3wEk9CylSc13=w1200|https://lh3.googleusercontent.com/pw"&amp;"/AP1GczNbZZHQyuS4i8qdgu2gu1tRj_dfQ1Cqwj7PgRO4RnPTBSRM4pRSV_rmJZpL2PIHupka_QbHow9x1guYN7j3RMSb8o4X1O9TIitbUAV8YDrGPajKNDoG=w1200|https://lh3.googleusercontent.com/pw/AP1GczM3uCvC4bKWHPh8d3ltY6X-PAC9Hvum6_pYTCTSR86-BNG7vpObfcPjV_-fTadZ4YsEJfrSEDlJ91isBFaMWq"&amp;"WasHHeF2EM-X2UC0GVw8YGk7p9iseq=w1200|https://lh3.googleusercontent.com/pw/AP1GczPbeWvwRZ0hjTbg4TVsCPztGZrAfD2akbojcjuE7SAzKFAI4ghKkf4SP-bu_a2U8VNp5LBd7vKDxM-8nHXGKO1-oYti3goaQn_yxMRBPEvzYPnBxs26=w1200|https://lh3.googleusercontent.com/pw/AP1GczMsRln-SUN5P"&amp;"niMj5wrmtvPBPmd6SUb8-XsoRvFKgoisJYSSD7EDTJZ0rcWey_MWtx4scXfZpn8zyMp8ilctGtzGN7w5xVCHdylSbsinDMln_gy0pLs=w1200|https://lh3.googleusercontent.com/pw/AP1GczNcJKzawQSFQSe9yzoX9nRQrB5_Y77AN6YZtDinVsU32PX_bQ_4EmjcOzCzTSi6jBgYVx0l8tilM_PM1GBW3UublcVnEPYAtS0Psvdh"&amp;"07A9s5y9cJcx=w1200")</f>
        <v>https://lh3.googleusercontent.com/pw/AP1GczOsJXucavxgzs0FBmoBzXu8SEruo87-JEzo5R19Z4LYqqdX6AmgaS-ia1uNoMCdrdVKg2MYpNcw0vWVBa9ZUFmO2XeXwhP3U-NJFtNkr6zIjE0dYwtZ=w1200|https://lh3.googleusercontent.com/pw/AP1GczNIV95HMbHiBdLNIXV2JMR9rfJioIkhkoJWKCUhmQ7LfBynTzCPpE_KDaP-TilxzepDkIxrV6dyz-Kgq2iJregSt3yiD90-x-owOQHjT_jpsR5XLyHr=w1200|https://lh3.googleusercontent.com/pw/AP1GczMJTOGC2NUwrFHoG4GqtM015Io0xXCTRqxJ8-9ykWSO7fL8lkFvhivoK4dyijEFAJRHWieQAfW4pzmnVXEWSdNMK2uTGbF3IpxHk0cgALh3tF-HR48D=w1200|https://lh3.googleusercontent.com/pw/AP1GczPtatCZQ3J9IX30GRHZXaMKBQ3V9nBMA7FZnhCSPUv7RHA8RwYIE2tHp46T07W3LTxzkW3UDfg2A1C7rjZAHuSuFhbyAhDCk5K57QcxqgT6NUp62SBM=w1200|https://lh3.googleusercontent.com/pw/AP1GczPZUXKoYvnRYhdALQ_e9yzU5DU2tB1ekVs3gyemyRwfu0pvgqPDGXfIpxNKUejtEu7Qm-NDvyubQSXI6PDpIt4HZ5EiT493VS1uoknDOve3ftt7VfML=w1200|https://lh3.googleusercontent.com/pw/AP1GczOCv7uyT1yOr6i-ROzqtdL_AWvN4auAD6B0Owq55L4ROpbg_nBGEhXDbJLrn7QULxQu0Ro-VIIzCpsH9JDFseGcsssySCjiC_TMi74f3wEk9CylSc13=w1200|https://lh3.googleusercontent.com/pw/AP1GczNbZZHQyuS4i8qdgu2gu1tRj_dfQ1Cqwj7PgRO4RnPTBSRM4pRSV_rmJZpL2PIHupka_QbHow9x1guYN7j3RMSb8o4X1O9TIitbUAV8YDrGPajKNDoG=w1200|https://lh3.googleusercontent.com/pw/AP1GczM3uCvC4bKWHPh8d3ltY6X-PAC9Hvum6_pYTCTSR86-BNG7vpObfcPjV_-fTadZ4YsEJfrSEDlJ91isBFaMWqWasHHeF2EM-X2UC0GVw8YGk7p9iseq=w1200|https://lh3.googleusercontent.com/pw/AP1GczPbeWvwRZ0hjTbg4TVsCPztGZrAfD2akbojcjuE7SAzKFAI4ghKkf4SP-bu_a2U8VNp5LBd7vKDxM-8nHXGKO1-oYti3goaQn_yxMRBPEvzYPnBxs26=w1200|https://lh3.googleusercontent.com/pw/AP1GczMsRln-SUN5PniMj5wrmtvPBPmd6SUb8-XsoRvFKgoisJYSSD7EDTJZ0rcWey_MWtx4scXfZpn8zyMp8ilctGtzGN7w5xVCHdylSbsinDMln_gy0pLs=w1200|https://lh3.googleusercontent.com/pw/AP1GczNcJKzawQSFQSe9yzoX9nRQrB5_Y77AN6YZtDinVsU32PX_bQ_4EmjcOzCzTSi6jBgYVx0l8tilM_PM1GBW3UublcVnEPYAtS0Psvdh07A9s5y9cJcx=w1200</v>
      </c>
      <c r="AJ533" s="46"/>
      <c r="AK533" s="46"/>
      <c r="AL533" s="46"/>
      <c r="AM533" s="46"/>
      <c r="AN533" s="46"/>
      <c r="AO533" s="46"/>
      <c r="AP533" s="46"/>
      <c r="AQ533" s="46"/>
      <c r="AR533" s="46"/>
      <c r="AS533" s="46"/>
      <c r="AT533" s="46"/>
      <c r="AU533" s="46"/>
      <c r="AV533" s="46"/>
      <c r="AW533" s="46"/>
      <c r="AX533" s="46"/>
      <c r="AY533" s="46"/>
      <c r="AZ533" s="46"/>
      <c r="BA533" s="46"/>
      <c r="BB533" s="46"/>
      <c r="BC533" s="46"/>
      <c r="BD533" s="46"/>
      <c r="BE533" s="46"/>
      <c r="BF533" s="46"/>
      <c r="BG533" s="46"/>
      <c r="BH533" s="46"/>
      <c r="BI533" s="46"/>
      <c r="BJ533" s="46"/>
      <c r="BK533" s="46"/>
      <c r="BL533" s="46"/>
      <c r="BM533" s="46"/>
      <c r="BN533" s="46"/>
      <c r="BO533" s="46"/>
      <c r="BP533" s="46"/>
      <c r="BQ533" s="46"/>
      <c r="BR533" s="46"/>
      <c r="BS533" s="46"/>
      <c r="BT533" s="46"/>
      <c r="BU533" s="46"/>
      <c r="BV533" s="46"/>
      <c r="BW533" s="46"/>
      <c r="BX533" s="46"/>
      <c r="BY533" s="46"/>
      <c r="BZ533" s="46"/>
      <c r="CA533" s="46"/>
      <c r="CB533" s="46"/>
      <c r="CC533" s="46"/>
    </row>
    <row r="534">
      <c r="A534" s="87" t="str">
        <f>IFERROR(__xludf.DUMMYFUNCTION("""COMPUTED_VALUE"""),"489")</f>
        <v>489</v>
      </c>
      <c r="B534" s="46" t="str">
        <f>IFERROR(__xludf.DUMMYFUNCTION("""COMPUTED_VALUE"""),"Apartamento en conjunto Residencial El Tesoro - Oriente")</f>
        <v>Apartamento en conjunto Residencial El Tesoro - Oriente</v>
      </c>
      <c r="C534" s="46" t="str">
        <f>IFERROR(__xludf.DUMMYFUNCTION("""COMPUTED_VALUE"""),"Apartamento en conjunto")</f>
        <v>Apartamento en conjunto</v>
      </c>
      <c r="D534" s="46" t="str">
        <f>IFERROR(__xludf.DUMMYFUNCTION("""COMPUTED_VALUE"""),"Tesoro")</f>
        <v>Tesoro</v>
      </c>
      <c r="E534" s="46"/>
      <c r="F534" s="90">
        <f>IFERROR(__xludf.DUMMYFUNCTION("""COMPUTED_VALUE"""),1.4E8)</f>
        <v>140000000</v>
      </c>
      <c r="G534" s="46" t="str">
        <f>IFERROR(__xludf.DUMMYFUNCTION("""COMPUTED_VALUE"""),"$100'000.000 a $200'000.000")</f>
        <v>$100'000.000 a $200'000.000</v>
      </c>
      <c r="H534" s="46"/>
      <c r="I534" s="46"/>
      <c r="J534" s="46" t="str">
        <f>IFERROR(__xludf.DUMMYFUNCTION("""COMPUTED_VALUE"""),"Oriente")</f>
        <v>Oriente</v>
      </c>
      <c r="K534" s="87" t="str">
        <f>IFERROR(__xludf.DUMMYFUNCTION("""COMPUTED_VALUE"""),"5")</f>
        <v>5</v>
      </c>
      <c r="L534" s="46">
        <f>IFERROR(__xludf.DUMMYFUNCTION("""COMPUTED_VALUE"""),3.0)</f>
        <v>3</v>
      </c>
      <c r="M534" s="46"/>
      <c r="N534" s="46">
        <f>IFERROR(__xludf.DUMMYFUNCTION("""COMPUTED_VALUE"""),2.0)</f>
        <v>2</v>
      </c>
      <c r="O534" s="46">
        <f>IFERROR(__xludf.DUMMYFUNCTION("""COMPUTED_VALUE"""),1.0)</f>
        <v>1</v>
      </c>
      <c r="P534" s="46">
        <f>IFERROR(__xludf.DUMMYFUNCTION("""COMPUTED_VALUE"""),4.0)</f>
        <v>4</v>
      </c>
      <c r="Q534" s="92">
        <f>IFERROR(__xludf.DUMMYFUNCTION("""COMPUTED_VALUE"""),56.0)</f>
        <v>56</v>
      </c>
      <c r="R534" s="92">
        <f>IFERROR(__xludf.DUMMYFUNCTION("""COMPUTED_VALUE"""),56.0)</f>
        <v>56</v>
      </c>
      <c r="S534" s="87" t="str">
        <f>IFERROR(__xludf.DUMMYFUNCTION("""COMPUTED_VALUE""")," ")</f>
        <v> </v>
      </c>
      <c r="T534" s="46" t="str">
        <f>IFERROR(__xludf.DUMMYFUNCTION("""COMPUTED_VALUE"""),"Neiva")</f>
        <v>Neiva</v>
      </c>
      <c r="U534" s="87" t="str">
        <f>IFERROR(__xludf.DUMMYFUNCTION("""COMPUTED_VALUE"""),"3")</f>
        <v>3</v>
      </c>
      <c r="V534" s="46" t="str">
        <f>IFERROR(__xludf.DUMMYFUNCTION("""COMPUTED_VALUE"""),"4to.")</f>
        <v>4to.</v>
      </c>
      <c r="W534" s="46"/>
      <c r="X534" s="46">
        <f>IFERROR(__xludf.DUMMYFUNCTION("""COMPUTED_VALUE"""),1.0)</f>
        <v>1</v>
      </c>
      <c r="Y534" s="46" t="str">
        <f>IFERROR(__xludf.DUMMYFUNCTION("""COMPUTED_VALUE"""),"Social")</f>
        <v>Social</v>
      </c>
      <c r="Z534" s="90">
        <f>IFERROR(__xludf.DUMMYFUNCTION("""COMPUTED_VALUE"""),197000.0)</f>
        <v>197000</v>
      </c>
      <c r="AA534" s="33" t="str">
        <f>IFERROR(__xludf.DUMMYFUNCTION("""COMPUTED_VALUE"""),"No aplica")</f>
        <v>No aplica</v>
      </c>
      <c r="AB534" s="96" t="str">
        <f>IFERROR(__xludf.DUMMYFUNCTION("""COMPUTED_VALUE"""),"https://photos.app.goo.gl/eUPN9wVY9MHVnJWr6")</f>
        <v>https://photos.app.goo.gl/eUPN9wVY9MHVnJWr6</v>
      </c>
      <c r="AC534" s="46" t="str">
        <f>IFERROR(__xludf.DUMMYFUNCTION("""COMPUTED_VALUE"""),"El Apartamento, consta de 3 habitaciones con closet, baño privado y balcón en habitación principal, baño social, sala comedor, cocina integral, parqueadero privado.")</f>
        <v>El Apartamento, consta de 3 habitaciones con closet, baño privado y balcón en habitación principal, baño social, sala comedor, cocina integral, parqueadero privado.</v>
      </c>
      <c r="AD534" s="46" t="str">
        <f>IFERROR(__xludf.DUMMYFUNCTION("""COMPUTED_VALUE"""),"Apartamento en conjunto residencial el tesoro ubicado en el oriente de la ciudad. El conjunto cuenta con salón comunal, parque infantil, piscina y vigilancia 24/7.")</f>
        <v>Apartamento en conjunto residencial el tesoro ubicado en el oriente de la ciudad. El conjunto cuenta con salón comunal, parque infantil, piscina y vigilancia 24/7.</v>
      </c>
      <c r="AE534" s="46"/>
      <c r="AF534" s="46" t="str">
        <f>IFERROR(__xludf.DUMMYFUNCTION("""COMPUTED_VALUE"""),"semi-integral")</f>
        <v>semi-integral</v>
      </c>
      <c r="AG534" s="46"/>
      <c r="AH534" s="46" t="str">
        <f>IFERROR(__xludf.DUMMYFUNCTION("""COMPUTED_VALUE"""),"Aliado")</f>
        <v>Aliado</v>
      </c>
      <c r="AI534" s="92" t="str">
        <f>IFERROR(__xludf.DUMMYFUNCTION("""COMPUTED_VALUE"""),"https://lh3.googleusercontent.com/pw/AP1GczM13g91tekGrjA497b8Gmg_FBDl-BjsY-tEHveBn4xgy6zzXbgKnCZ1l4lHh77ffJckhs5OTbSgOX8maats83M-hYoCBS2pC_1B6VjdLH0UVB4tAb4G=w1200|https://lh3.googleusercontent.com/pw/AP1GczNAwD5hoSEeeSKRPryc887EzU8FsBYaGCLMdFuBJZQexg5U1c"&amp;"7b74Zy20BDjPE7Axub3mpNVfEmATYyk-lwM38LJ7AjaprEquXjTG0FClRpxLxOKqwS=w1200|https://lh3.googleusercontent.com/pw/AP1GczNHjkXOW4q4kwGhEYPcd-7_aVqdxlYjA6Y9uFWzySZAu9lJCb5lCXOVe4aAQQwtZCeYdYBr4w6ZkJGpqUIs_vnk2ATDnfLv61-ShFw9hfGSrICWOSV9=w1200|https://lh3.google"&amp;"usercontent.com/pw/AP1GczOB2_za3RDiLUwURfq1VmVrDvx-cisJyJYR_KHL-ZmmF8sbFa8oMhKnlDbEu58Bo5KKu3CDi1zIr5bnWyC4UvpUj95u6Lki6Kzo9xe1p2s33XHlbBKS=w1200|https://lh3.googleusercontent.com/pw/AP1GczP3Fmrl7KZm3EBE8HyhTwksLIZN1-8d-p9Davewok9TtgvDuXrSNPlGSH46KTBpq6cg"&amp;"Bf99ivV-vrGqqpBHAuJT8lc_v3V79sD9Wt4IkSjWeAHUnhkc=w1200")</f>
        <v>https://lh3.googleusercontent.com/pw/AP1GczM13g91tekGrjA497b8Gmg_FBDl-BjsY-tEHveBn4xgy6zzXbgKnCZ1l4lHh77ffJckhs5OTbSgOX8maats83M-hYoCBS2pC_1B6VjdLH0UVB4tAb4G=w1200|https://lh3.googleusercontent.com/pw/AP1GczNAwD5hoSEeeSKRPryc887EzU8FsBYaGCLMdFuBJZQexg5U1c7b74Zy20BDjPE7Axub3mpNVfEmATYyk-lwM38LJ7AjaprEquXjTG0FClRpxLxOKqwS=w1200|https://lh3.googleusercontent.com/pw/AP1GczNHjkXOW4q4kwGhEYPcd-7_aVqdxlYjA6Y9uFWzySZAu9lJCb5lCXOVe4aAQQwtZCeYdYBr4w6ZkJGpqUIs_vnk2ATDnfLv61-ShFw9hfGSrICWOSV9=w1200|https://lh3.googleusercontent.com/pw/AP1GczOB2_za3RDiLUwURfq1VmVrDvx-cisJyJYR_KHL-ZmmF8sbFa8oMhKnlDbEu58Bo5KKu3CDi1zIr5bnWyC4UvpUj95u6Lki6Kzo9xe1p2s33XHlbBKS=w1200|https://lh3.googleusercontent.com/pw/AP1GczP3Fmrl7KZm3EBE8HyhTwksLIZN1-8d-p9Davewok9TtgvDuXrSNPlGSH46KTBpq6cgBf99ivV-vrGqqpBHAuJT8lc_v3V79sD9Wt4IkSjWeAHUnhkc=w1200</v>
      </c>
      <c r="AJ534" s="46"/>
      <c r="AK534" s="46"/>
      <c r="AL534" s="46"/>
      <c r="AM534" s="46"/>
      <c r="AN534" s="46"/>
      <c r="AO534" s="46"/>
      <c r="AP534" s="46"/>
      <c r="AQ534" s="46"/>
      <c r="AR534" s="46"/>
      <c r="AS534" s="46"/>
      <c r="AT534" s="46"/>
      <c r="AU534" s="46"/>
      <c r="AV534" s="46"/>
      <c r="AW534" s="46"/>
      <c r="AX534" s="46"/>
      <c r="AY534" s="46"/>
      <c r="AZ534" s="46"/>
      <c r="BA534" s="46"/>
      <c r="BB534" s="46"/>
      <c r="BC534" s="46"/>
      <c r="BD534" s="46"/>
      <c r="BE534" s="46"/>
      <c r="BF534" s="46"/>
      <c r="BG534" s="46"/>
      <c r="BH534" s="46"/>
      <c r="BI534" s="46"/>
      <c r="BJ534" s="46"/>
      <c r="BK534" s="46"/>
      <c r="BL534" s="46"/>
      <c r="BM534" s="46"/>
      <c r="BN534" s="46"/>
      <c r="BO534" s="46"/>
      <c r="BP534" s="46"/>
      <c r="BQ534" s="46"/>
      <c r="BR534" s="46"/>
      <c r="BS534" s="46"/>
      <c r="BT534" s="46"/>
      <c r="BU534" s="46"/>
      <c r="BV534" s="46"/>
      <c r="BW534" s="46"/>
      <c r="BX534" s="46"/>
      <c r="BY534" s="46"/>
      <c r="BZ534" s="46"/>
      <c r="CA534" s="46"/>
      <c r="CB534" s="46"/>
      <c r="CC534" s="46"/>
    </row>
    <row r="535">
      <c r="A535" s="87" t="str">
        <f>IFERROR(__xludf.DUMMYFUNCTION("""COMPUTED_VALUE"""),"661")</f>
        <v>661</v>
      </c>
      <c r="B535" s="46" t="str">
        <f>IFERROR(__xludf.DUMMYFUNCTION("""COMPUTED_VALUE"""),"Casa en conjunto San Sebastian")</f>
        <v>Casa en conjunto San Sebastian</v>
      </c>
      <c r="C535" s="46" t="str">
        <f>IFERROR(__xludf.DUMMYFUNCTION("""COMPUTED_VALUE"""),"Casa en conjunto")</f>
        <v>Casa en conjunto</v>
      </c>
      <c r="D535" s="46"/>
      <c r="E535" s="46" t="str">
        <f>IFERROR(__xludf.DUMMYFUNCTION("""COMPUTED_VALUE"""),"San Sebastian")</f>
        <v>San Sebastian</v>
      </c>
      <c r="F535" s="90">
        <f>IFERROR(__xludf.DUMMYFUNCTION("""COMPUTED_VALUE"""),1.35E9)</f>
        <v>1350000000</v>
      </c>
      <c r="G535" s="46" t="str">
        <f>IFERROR(__xludf.DUMMYFUNCTION("""COMPUTED_VALUE"""),"Más de $1.000'000.000")</f>
        <v>Más de $1.000'000.000</v>
      </c>
      <c r="H535" s="46"/>
      <c r="I535" s="46"/>
      <c r="J535" s="46"/>
      <c r="K535" s="87"/>
      <c r="L535" s="46">
        <f>IFERROR(__xludf.DUMMYFUNCTION("""COMPUTED_VALUE"""),4.0)</f>
        <v>4</v>
      </c>
      <c r="M535" s="46"/>
      <c r="N535" s="46">
        <f>IFERROR(__xludf.DUMMYFUNCTION("""COMPUTED_VALUE"""),4.0)</f>
        <v>4</v>
      </c>
      <c r="O535" s="46">
        <f>IFERROR(__xludf.DUMMYFUNCTION("""COMPUTED_VALUE"""),2.0)</f>
        <v>2</v>
      </c>
      <c r="P535" s="46">
        <f>IFERROR(__xludf.DUMMYFUNCTION("""COMPUTED_VALUE"""),1.0)</f>
        <v>1</v>
      </c>
      <c r="Q535" s="92">
        <f>IFERROR(__xludf.DUMMYFUNCTION("""COMPUTED_VALUE"""),0.0)</f>
        <v>0</v>
      </c>
      <c r="R535" s="92">
        <f>IFERROR(__xludf.DUMMYFUNCTION("""COMPUTED_VALUE"""),2033.0)</f>
        <v>2033</v>
      </c>
      <c r="S535" s="87" t="str">
        <f>IFERROR(__xludf.DUMMYFUNCTION("""COMPUTED_VALUE""")," ")</f>
        <v> </v>
      </c>
      <c r="T535" s="46" t="str">
        <f>IFERROR(__xludf.DUMMYFUNCTION("""COMPUTED_VALUE"""),"Palermo")</f>
        <v>Palermo</v>
      </c>
      <c r="U535" s="87" t="str">
        <f>IFERROR(__xludf.DUMMYFUNCTION("""COMPUTED_VALUE"""),"Rural")</f>
        <v>Rural</v>
      </c>
      <c r="V535" s="46" t="str">
        <f>IFERROR(__xludf.DUMMYFUNCTION("""COMPUTED_VALUE"""),"Medianera")</f>
        <v>Medianera</v>
      </c>
      <c r="W535" s="46"/>
      <c r="X535" s="46">
        <f>IFERROR(__xludf.DUMMYFUNCTION("""COMPUTED_VALUE"""),4.0)</f>
        <v>4</v>
      </c>
      <c r="Y535" s="46" t="str">
        <f>IFERROR(__xludf.DUMMYFUNCTION("""COMPUTED_VALUE"""),"Privada")</f>
        <v>Privada</v>
      </c>
      <c r="Z535" s="90"/>
      <c r="AA535" s="33"/>
      <c r="AB535" s="96" t="str">
        <f>IFERROR(__xludf.DUMMYFUNCTION("""COMPUTED_VALUE"""),"https://photos.app.goo.gl/D51FAtTcqjMxCmM37")</f>
        <v>https://photos.app.goo.gl/D51FAtTcqjMxCmM37</v>
      </c>
      <c r="AC535" s="46" t="str">
        <f>IFERROR(__xludf.DUMMYFUNCTION("""COMPUTED_VALUE"""),"Condominio Campestre San Sebastian. ingreso por el Parque Industrial Palermo. área lote 2.033 M2, casa campestre con piscina y acabados modernos. Portería 24 horas, polideportivo, gimnasio dotado, salón social, capilla, lago de pesca deportiva, pista de m"&amp;"otocross, parque infantil, zonas verdes, iluminación de las zonas sociales es paneles solares, acueducto propio para zonas verdes, senderos peatonales, para los lotes con acueducto de Palermo")</f>
        <v>Condominio Campestre San Sebastian. ingreso por el Parque Industrial Palermo. área lote 2.033 M2, casa campestre con piscina y acabados modernos. Portería 24 horas, polideportivo, gimnasio dotado, salón social, capilla, lago de pesca deportiva, pista de motocross, parque infantil, zonas verdes, iluminación de las zonas sociales es paneles solares, acueducto propio para zonas verdes, senderos peatonales, para los lotes con acueducto de Palermo</v>
      </c>
      <c r="AD535" s="46"/>
      <c r="AE535" s="46"/>
      <c r="AF535" s="46" t="str">
        <f>IFERROR(__xludf.DUMMYFUNCTION("""COMPUTED_VALUE"""),"integral")</f>
        <v>integral</v>
      </c>
      <c r="AG535" s="46"/>
      <c r="AH535" s="46" t="str">
        <f>IFERROR(__xludf.DUMMYFUNCTION("""COMPUTED_VALUE"""),"Aliado")</f>
        <v>Aliado</v>
      </c>
      <c r="AI535" s="92" t="str">
        <f>IFERROR(__xludf.DUMMYFUNCTION("""COMPUTED_VALUE"""),"https://lh3.googleusercontent.com/pw/AP1GczNuMM_kiPjVwXfn-di_rUiRQDf171WU2nh0Ly0-L343C5ouW_pm08R1jt2UbgAx8stILHf1wlYlRXrlMP-w2OTsIIBZ_2FiPiABQ-ho3M-SiGIdBHY8=w1200|https://lh3.googleusercontent.com/pw/AP1GczNai0LWGfv-nqJH4jDfWskRMQ0XXfKaJuuY8iSh0dnF_cLm6d"&amp;"gXdarGyHyZ0lF6WmxZ4Lp4fgX5Xcu1jHdSyPdn3rwpd44-876tzbpTKmWetH5GC0kc=w1200|https://lh3.googleusercontent.com/pw/AP1GczPFscrYDS04K8pOZ_G2GQRaRoWMHn70JXhsj51hQyIcwM-5E7cv99NFKVvmgUtniFwTlmvmpsjOu2j3tlHcVMbo4RMmZmnfRmSG6dfOjW55FOwhgJyB=w1200|https://lh3.google"&amp;"usercontent.com/pw/AP1GczOBK3xOScBX9TTJOAQumVi_DxWXkvr7q54kQYwxZc5XkUXpc7xkQg2UL5QSUQFFHVJkBcEs7vTtVA-ZyDvNKVHrj370KOf3T9shYjBuvPiEngXGOCzf=w1200|https://lh3.googleusercontent.com/pw/AP1GczPDAHpKvr59e7bYNPafxZ8T6N9SX8iAfJrWxbfFOOsY1vcplzrxkEVq6YATqjLwcmo1"&amp;"LCr9A7NGA2uJ0LVy8h0jLUW1BENJMKpgA1_pCMgbd1G2Uz2r=w1200|https://lh3.googleusercontent.com/pw/AP1GczN5MfzizwCBgSW5oQIDGy7mT8JJF82IB3OsuZRsSuT31VcMNNYY6jOYW67hpEhlg8AHhpntLISZQkpebs4sirk5y7OcOw0n2IvhIzykoLIGTMp8FyXy=w1200|https://lh3.googleusercontent.com/pw"&amp;"/AP1GczOiEpBiAyUXZylODgTXvLCHO02oT-4FlfS95Cf9AZYjwL7cCbDHoDF7X10ENSCj1Y5yg-qdayKjTvqhiYeYshNqtleu66VvLTy7JbwrPpn9sONM9l8e=w1200|https://lh3.googleusercontent.com/pw/AP1GczPzYdynKvFPOD2FNgwt1Q3RN8XZ-Nofd__pD-qBMj8e2eEG4R-F77tTLiZvHLl_PCjPPG_Pl7EFU7IcFMuDXX"&amp;"TLvHTithU8qnycRJWcKTvAr_rIrGEd=w1200|https://lh3.googleusercontent.com/pw/AP1GczPnclIdRPK-S81TsQitCqmq43vmFxujkxvLZCLlj5jsSH5a1hGYz6FgsVoGuaSH0W5SS7gVHF3Zzdvuy1g9oSQihw7SQQjRRLb-UNf6tqeRPCU4b8iD=w1200|https://lh3.googleusercontent.com/pw/AP1GczOlrBil7F3Uw"&amp;"BJLJvbEASjzFldctlXE-KUBKwh5RRt0NbE31Dqzg0HozdJozkhsNp1agzO_iKXK5x7mnWOLfS5pnJ6dxWTmMaQrBomR45GnUt2AOOLy=w1200|https://lh3.googleusercontent.com/pw/AP1GczO6s3QOe1JzbyAHbsTSY_sb-c8lbado1CgMkqbHDdMDt-p5MuLTL68K2bYYOxFqFcvmZRkTki9Uq5VYIwLQnfgs1r6Pcqk2iAQzOATs"&amp;"zY_P1CS1LJHo=w1200|https://lh3.googleusercontent.com/pw/AP1GczPLVuXQWsOpm8dHAnGxgy9NUJcZiNwbX27eR9_xYCA0RuyayARCwyftL0Y_HDyHwfsV60Gq3D8MihG7AWB7OfBnj3IcfiPSP1Wo8-BjGEPH09uIoNRO=w1200|https://lh3.googleusercontent.com/pw/AP1GczNaeQqtqjg6jO8xzQCHJRIP_k2zpfw"&amp;"k2kZPs5gWTjgez5q9ZbpsjNrvSptkezWmuKxkoJk-Pn35kVzTZ6mteILVhZgY4tKRhQGHPt8s7kgTIHoPFstK=w1200|https://lh3.googleusercontent.com/pw/AP1GczP5cX_WFt2XSbHzKoF_uUIeZ2KQWs9Ed35_2rXLZJw0M7Lcqm8KCKj7v4oIXOJmSHBwPrm-ixP9w1J0IEg2lS6qR6AO7OgeKTkEHVRwkgg5v05Vh1BS=w1200"&amp;"|https://lh3.googleusercontent.com/pw/AP1GczPJ1cGF10F5emnD9uis0XDRhUlq_BtPJnq_mCXXwU34g_8joOyPszl6J260MSf-ifm_k3UDGpyCRCI_Dpeu_XKQuzAsZuyipwvj2XshEbx0m_5-IQWN=w1200|https://lh3.googleusercontent.com/pw/AP1GczMOgcMBdB34DDmP_6iABsQ8zVZuFwxrOu7W4ojQ6GvF5w3sF"&amp;"6vpoPqZDg0JGKoFPXFyOBaHTuH6toH6r0_Okz5c-cNpT7QWbfD46biGRe2vS3IbSaKd=w1200|https://lh3.googleusercontent.com/pw/AP1GczPIEq3uAVpxDpfucpPfo6k-VtpaOYKzR1qCwr3TzbMzKMWcZ3aQAXWr__LtHCL0TtHeJH82mwaRdylxhbtX0sz0Gw2egNIkszyEKai6nO5u6Z1MjxFJ=w1200|https://lh3.googl"&amp;"eusercontent.com/pw/AP1GczPf6iPnlOkbW-wGW_LJPmdqeSlYSGH6ZaS4PUhthnbG4-X8PrdmNzP9AMihtzfRnxvNS_VsHYkCoxJedsRGp__g_kwLnhZl72X1q5uGk0psLMcctsih=w1200|https://lh3.googleusercontent.com/pw/AP1GczN_6AR1TC7D7aeWejXywsZVBMQK0IMPHqHX4nYzImeWGtGmzjjs-gjkzT-0zuwhNK6"&amp;"KZsx6f6zHvgDctWi2IsKRm674IUEEM5pJpyy1bC4Rk3kJ76i7=w1200|https://lh3.googleusercontent.com/pw/AP1GczOd3UuSdrV7RnEiDubJe57k5lv8jTdDWtOfn-exxS-IDY6S2fJsXOR0qwBViNwOM5IYnWWA3TT7VE57SLikDx9RmOxirUgoRzWoAHmV57mvPA6oDwWC=w1200|https://lh3.googleusercontent.com/p"&amp;"w/AP1GczNjPuWvzU4CPiGly6cIY4DBOz9LdH1ovKBiKCU9DxS80faP92qA-DaNVv0p9WJ9Eg_XLd1C9_Z_fZzGO0MK977074NEftKkuz-dtOMCaGhdH7lqqOWc=w1200|https://lh3.googleusercontent.com/pw/AP1GczOQTFKqMNvA-i3hRrO_8cbYO5I06mit5upq4wA4WtzrHeAHfBoXuVofiSdO6CVPbjhJ80Ck7MLVFAQRBs6uJ"&amp;"iLDsIFNS2H4UXI8_41tWNnbkaaMRKj5=w1200")</f>
        <v>https://lh3.googleusercontent.com/pw/AP1GczNuMM_kiPjVwXfn-di_rUiRQDf171WU2nh0Ly0-L343C5ouW_pm08R1jt2UbgAx8stILHf1wlYlRXrlMP-w2OTsIIBZ_2FiPiABQ-ho3M-SiGIdBHY8=w1200|https://lh3.googleusercontent.com/pw/AP1GczNai0LWGfv-nqJH4jDfWskRMQ0XXfKaJuuY8iSh0dnF_cLm6dgXdarGyHyZ0lF6WmxZ4Lp4fgX5Xcu1jHdSyPdn3rwpd44-876tzbpTKmWetH5GC0kc=w1200|https://lh3.googleusercontent.com/pw/AP1GczPFscrYDS04K8pOZ_G2GQRaRoWMHn70JXhsj51hQyIcwM-5E7cv99NFKVvmgUtniFwTlmvmpsjOu2j3tlHcVMbo4RMmZmnfRmSG6dfOjW55FOwhgJyB=w1200|https://lh3.googleusercontent.com/pw/AP1GczOBK3xOScBX9TTJOAQumVi_DxWXkvr7q54kQYwxZc5XkUXpc7xkQg2UL5QSUQFFHVJkBcEs7vTtVA-ZyDvNKVHrj370KOf3T9shYjBuvPiEngXGOCzf=w1200|https://lh3.googleusercontent.com/pw/AP1GczPDAHpKvr59e7bYNPafxZ8T6N9SX8iAfJrWxbfFOOsY1vcplzrxkEVq6YATqjLwcmo1LCr9A7NGA2uJ0LVy8h0jLUW1BENJMKpgA1_pCMgbd1G2Uz2r=w1200|https://lh3.googleusercontent.com/pw/AP1GczN5MfzizwCBgSW5oQIDGy7mT8JJF82IB3OsuZRsSuT31VcMNNYY6jOYW67hpEhlg8AHhpntLISZQkpebs4sirk5y7OcOw0n2IvhIzykoLIGTMp8FyXy=w1200|https://lh3.googleusercontent.com/pw/AP1GczOiEpBiAyUXZylODgTXvLCHO02oT-4FlfS95Cf9AZYjwL7cCbDHoDF7X10ENSCj1Y5yg-qdayKjTvqhiYeYshNqtleu66VvLTy7JbwrPpn9sONM9l8e=w1200|https://lh3.googleusercontent.com/pw/AP1GczPzYdynKvFPOD2FNgwt1Q3RN8XZ-Nofd__pD-qBMj8e2eEG4R-F77tTLiZvHLl_PCjPPG_Pl7EFU7IcFMuDXXTLvHTithU8qnycRJWcKTvAr_rIrGEd=w1200|https://lh3.googleusercontent.com/pw/AP1GczPnclIdRPK-S81TsQitCqmq43vmFxujkxvLZCLlj5jsSH5a1hGYz6FgsVoGuaSH0W5SS7gVHF3Zzdvuy1g9oSQihw7SQQjRRLb-UNf6tqeRPCU4b8iD=w1200|https://lh3.googleusercontent.com/pw/AP1GczOlrBil7F3UwBJLJvbEASjzFldctlXE-KUBKwh5RRt0NbE31Dqzg0HozdJozkhsNp1agzO_iKXK5x7mnWOLfS5pnJ6dxWTmMaQrBomR45GnUt2AOOLy=w1200|https://lh3.googleusercontent.com/pw/AP1GczO6s3QOe1JzbyAHbsTSY_sb-c8lbado1CgMkqbHDdMDt-p5MuLTL68K2bYYOxFqFcvmZRkTki9Uq5VYIwLQnfgs1r6Pcqk2iAQzOATszY_P1CS1LJHo=w1200|https://lh3.googleusercontent.com/pw/AP1GczPLVuXQWsOpm8dHAnGxgy9NUJcZiNwbX27eR9_xYCA0RuyayARCwyftL0Y_HDyHwfsV60Gq3D8MihG7AWB7OfBnj3IcfiPSP1Wo8-BjGEPH09uIoNRO=w1200|https://lh3.googleusercontent.com/pw/AP1GczNaeQqtqjg6jO8xzQCHJRIP_k2zpfwk2kZPs5gWTjgez5q9ZbpsjNrvSptkezWmuKxkoJk-Pn35kVzTZ6mteILVhZgY4tKRhQGHPt8s7kgTIHoPFstK=w1200|https://lh3.googleusercontent.com/pw/AP1GczP5cX_WFt2XSbHzKoF_uUIeZ2KQWs9Ed35_2rXLZJw0M7Lcqm8KCKj7v4oIXOJmSHBwPrm-ixP9w1J0IEg2lS6qR6AO7OgeKTkEHVRwkgg5v05Vh1BS=w1200|https://lh3.googleusercontent.com/pw/AP1GczPJ1cGF10F5emnD9uis0XDRhUlq_BtPJnq_mCXXwU34g_8joOyPszl6J260MSf-ifm_k3UDGpyCRCI_Dpeu_XKQuzAsZuyipwvj2XshEbx0m_5-IQWN=w1200|https://lh3.googleusercontent.com/pw/AP1GczMOgcMBdB34DDmP_6iABsQ8zVZuFwxrOu7W4ojQ6GvF5w3sF6vpoPqZDg0JGKoFPXFyOBaHTuH6toH6r0_Okz5c-cNpT7QWbfD46biGRe2vS3IbSaKd=w1200|https://lh3.googleusercontent.com/pw/AP1GczPIEq3uAVpxDpfucpPfo6k-VtpaOYKzR1qCwr3TzbMzKMWcZ3aQAXWr__LtHCL0TtHeJH82mwaRdylxhbtX0sz0Gw2egNIkszyEKai6nO5u6Z1MjxFJ=w1200|https://lh3.googleusercontent.com/pw/AP1GczPf6iPnlOkbW-wGW_LJPmdqeSlYSGH6ZaS4PUhthnbG4-X8PrdmNzP9AMihtzfRnxvNS_VsHYkCoxJedsRGp__g_kwLnhZl72X1q5uGk0psLMcctsih=w1200|https://lh3.googleusercontent.com/pw/AP1GczN_6AR1TC7D7aeWejXywsZVBMQK0IMPHqHX4nYzImeWGtGmzjjs-gjkzT-0zuwhNK6KZsx6f6zHvgDctWi2IsKRm674IUEEM5pJpyy1bC4Rk3kJ76i7=w1200|https://lh3.googleusercontent.com/pw/AP1GczOd3UuSdrV7RnEiDubJe57k5lv8jTdDWtOfn-exxS-IDY6S2fJsXOR0qwBViNwOM5IYnWWA3TT7VE57SLikDx9RmOxirUgoRzWoAHmV57mvPA6oDwWC=w1200|https://lh3.googleusercontent.com/pw/AP1GczNjPuWvzU4CPiGly6cIY4DBOz9LdH1ovKBiKCU9DxS80faP92qA-DaNVv0p9WJ9Eg_XLd1C9_Z_fZzGO0MK977074NEftKkuz-dtOMCaGhdH7lqqOWc=w1200|https://lh3.googleusercontent.com/pw/AP1GczOQTFKqMNvA-i3hRrO_8cbYO5I06mit5upq4wA4WtzrHeAHfBoXuVofiSdO6CVPbjhJ80Ck7MLVFAQRBs6uJiLDsIFNS2H4UXI8_41tWNnbkaaMRKj5=w1200</v>
      </c>
      <c r="AJ535" s="46"/>
      <c r="AK535" s="46"/>
      <c r="AL535" s="46"/>
      <c r="AM535" s="46"/>
      <c r="AN535" s="46"/>
      <c r="AO535" s="46"/>
      <c r="AP535" s="46"/>
      <c r="AQ535" s="46"/>
      <c r="AR535" s="46"/>
      <c r="AS535" s="46"/>
      <c r="AT535" s="46"/>
      <c r="AU535" s="46"/>
      <c r="AV535" s="46"/>
      <c r="AW535" s="46"/>
      <c r="AX535" s="46"/>
      <c r="AY535" s="46"/>
      <c r="AZ535" s="46"/>
      <c r="BA535" s="46"/>
      <c r="BB535" s="46"/>
      <c r="BC535" s="46"/>
      <c r="BD535" s="46"/>
      <c r="BE535" s="46"/>
      <c r="BF535" s="46"/>
      <c r="BG535" s="46"/>
      <c r="BH535" s="46"/>
      <c r="BI535" s="46"/>
      <c r="BJ535" s="46"/>
      <c r="BK535" s="46"/>
      <c r="BL535" s="46"/>
      <c r="BM535" s="46"/>
      <c r="BN535" s="46"/>
      <c r="BO535" s="46"/>
      <c r="BP535" s="46"/>
      <c r="BQ535" s="46"/>
      <c r="BR535" s="46"/>
      <c r="BS535" s="46"/>
      <c r="BT535" s="46"/>
      <c r="BU535" s="46"/>
      <c r="BV535" s="46"/>
      <c r="BW535" s="46"/>
      <c r="BX535" s="46"/>
      <c r="BY535" s="46"/>
      <c r="BZ535" s="46"/>
      <c r="CA535" s="46"/>
      <c r="CB535" s="46"/>
      <c r="CC535" s="46"/>
    </row>
    <row r="536">
      <c r="A536" s="87" t="str">
        <f>IFERROR(__xludf.DUMMYFUNCTION("""COMPUTED_VALUE"""),"567")</f>
        <v>567</v>
      </c>
      <c r="B536" s="46" t="str">
        <f>IFERROR(__xludf.DUMMYFUNCTION("""COMPUTED_VALUE"""),"Casa en Condominio Altos de la Pradera")</f>
        <v>Casa en Condominio Altos de la Pradera</v>
      </c>
      <c r="C536" s="46" t="str">
        <f>IFERROR(__xludf.DUMMYFUNCTION("""COMPUTED_VALUE"""),"Casa en conjunto")</f>
        <v>Casa en conjunto</v>
      </c>
      <c r="D536" s="90" t="str">
        <f>IFERROR(__xludf.DUMMYFUNCTION("""COMPUTED_VALUE"""),"Ipanema")</f>
        <v>Ipanema</v>
      </c>
      <c r="E536" s="46" t="str">
        <f>IFERROR(__xludf.DUMMYFUNCTION("""COMPUTED_VALUE"""),"Altos de La Pradera")</f>
        <v>Altos de La Pradera</v>
      </c>
      <c r="F536" s="90">
        <f>IFERROR(__xludf.DUMMYFUNCTION("""COMPUTED_VALUE"""),1.1E9)</f>
        <v>1100000000</v>
      </c>
      <c r="G536" s="46" t="str">
        <f>IFERROR(__xludf.DUMMYFUNCTION("""COMPUTED_VALUE"""),"Más de $1.000'000.000")</f>
        <v>Más de $1.000'000.000</v>
      </c>
      <c r="H536" s="46"/>
      <c r="I536" s="46"/>
      <c r="J536" s="46" t="str">
        <f>IFERROR(__xludf.DUMMYFUNCTION("""COMPUTED_VALUE"""),"Oriente")</f>
        <v>Oriente</v>
      </c>
      <c r="K536" s="87"/>
      <c r="L536" s="46">
        <f>IFERROR(__xludf.DUMMYFUNCTION("""COMPUTED_VALUE"""),3.0)</f>
        <v>3</v>
      </c>
      <c r="M536" s="46"/>
      <c r="N536" s="46">
        <f>IFERROR(__xludf.DUMMYFUNCTION("""COMPUTED_VALUE"""),4.0)</f>
        <v>4</v>
      </c>
      <c r="O536" s="46">
        <f>IFERROR(__xludf.DUMMYFUNCTION("""COMPUTED_VALUE"""),2.0)</f>
        <v>2</v>
      </c>
      <c r="P536" s="46">
        <f>IFERROR(__xludf.DUMMYFUNCTION("""COMPUTED_VALUE"""),1.0)</f>
        <v>1</v>
      </c>
      <c r="Q536" s="92">
        <f>IFERROR(__xludf.DUMMYFUNCTION("""COMPUTED_VALUE"""),400.0)</f>
        <v>400</v>
      </c>
      <c r="R536" s="92">
        <f>IFERROR(__xludf.DUMMYFUNCTION("""COMPUTED_VALUE"""),1077.0)</f>
        <v>1077</v>
      </c>
      <c r="S536" s="87" t="str">
        <f>IFERROR(__xludf.DUMMYFUNCTION("""COMPUTED_VALUE""")," ")</f>
        <v> </v>
      </c>
      <c r="T536" s="46" t="str">
        <f>IFERROR(__xludf.DUMMYFUNCTION("""COMPUTED_VALUE"""),"Neiva")</f>
        <v>Neiva</v>
      </c>
      <c r="U536" s="87" t="str">
        <f>IFERROR(__xludf.DUMMYFUNCTION("""COMPUTED_VALUE"""),"3")</f>
        <v>3</v>
      </c>
      <c r="V536" s="46"/>
      <c r="W536" s="46"/>
      <c r="X536" s="46">
        <f>IFERROR(__xludf.DUMMYFUNCTION("""COMPUTED_VALUE"""),3.0)</f>
        <v>3</v>
      </c>
      <c r="Y536" s="46" t="str">
        <f>IFERROR(__xludf.DUMMYFUNCTION("""COMPUTED_VALUE"""),"Social")</f>
        <v>Social</v>
      </c>
      <c r="Z536" s="90">
        <f>IFERROR(__xludf.DUMMYFUNCTION("""COMPUTED_VALUE"""),325000.0)</f>
        <v>325000</v>
      </c>
      <c r="AA536" s="33" t="str">
        <f>IFERROR(__xludf.DUMMYFUNCTION("""COMPUTED_VALUE"""),"No aplica")</f>
        <v>No aplica</v>
      </c>
      <c r="AB536" s="144" t="str">
        <f>IFERROR(__xludf.DUMMYFUNCTION("""COMPUTED_VALUE"""),"https://photos.app.goo.gl/UBVv7bHxP4w5esw4A")</f>
        <v>https://photos.app.goo.gl/UBVv7bHxP4w5esw4A</v>
      </c>
      <c r="AC536" s="46" t="str">
        <f>IFERROR(__xludf.DUMMYFUNCTION("""COMPUTED_VALUE"""),"CASA UBICADA CONDOMINIO ALTOS DE LA PRADERA. Área 1,077 M2, construidas 400 M2, Portería 24 horas, zona verdes, tres piscinas, cancha de tenis, cancha de volleyplaya, cancha de baloncesto, cancha de microfutbol, tres salones comunales, horno de barro, tre"&amp;"s BBQ. La casa consta de: cerca viva, amplio jardín exterior, garaje para dos vehiculos, estudio con mueble en madera, baño auxiliar, sala, comedor, tres alcobas con closet y baño cada una, y aire acondicionado, cocina integral tipo isla, calentador en to"&amp;"da la casa, patio interior con árboles frutales, alcoba del servicio con baño, zona de lavandería. Motobomba para el agua. Estrato 3 rural administraciòn $325.000 incluido el agua, recolecciòn de basuras")</f>
        <v>CASA UBICADA CONDOMINIO ALTOS DE LA PRADERA. Área 1,077 M2, construidas 400 M2, Portería 24 horas, zona verdes, tres piscinas, cancha de tenis, cancha de volleyplaya, cancha de baloncesto, cancha de microfutbol, tres salones comunales, horno de barro, tres BBQ. La casa consta de: cerca viva, amplio jardín exterior, garaje para dos vehiculos, estudio con mueble en madera, baño auxiliar, sala, comedor, tres alcobas con closet y baño cada una, y aire acondicionado, cocina integral tipo isla, calentador en toda la casa, patio interior con árboles frutales, alcoba del servicio con baño, zona de lavandería. Motobomba para el agua. Estrato 3 rural administraciòn $325.000 incluido el agua, recolecciòn de basuras</v>
      </c>
      <c r="AD536" s="46"/>
      <c r="AE536" s="46"/>
      <c r="AF536" s="46" t="str">
        <f>IFERROR(__xludf.DUMMYFUNCTION("""COMPUTED_VALUE"""),"integral")</f>
        <v>integral</v>
      </c>
      <c r="AG536" s="46"/>
      <c r="AH536" s="46" t="str">
        <f>IFERROR(__xludf.DUMMYFUNCTION("""COMPUTED_VALUE"""),"Aliado")</f>
        <v>Aliado</v>
      </c>
      <c r="AI536" s="92" t="str">
        <f>IFERROR(__xludf.DUMMYFUNCTION("""COMPUTED_VALUE"""),"https://lh3.googleusercontent.com/pw/AP1GczMT6e218bRtHqRDDYbkL7X6zc2oyvSmmHSXvXr433-Wp6uTYPsZbxha1ttlmbD3Pm7EaI0oR1fq1yq0mYNnPX2QtyGQmZqPiJp3-fQo4yVMEwvVF3Im=w1200|https://lh3.googleusercontent.com/pw/AP1GczMyKHdjZYANtoXcvAZh7k-FamOkyx0-7lx-r6dKneK8E8D7WJ"&amp;"gMZN-qGw-XX8XykOHSbI75bod8yDxVn2XznZyFKIcFbNlsylwNFXBuHW2w5ZndWZta=w1200|https://lh3.googleusercontent.com/pw/AP1GczNpRqLb0v95Wu_zHLJQrytH8k3hG9ZCof9etOoQrTL1hRoNRA6raHhrpBZPf6H2NhEzOZekdazMmm9qm7a0VFjVV9SQOekXd9BiHf-Mgzw_yMApLmkJ=w1200|https://lh3.google"&amp;"usercontent.com/pw/AP1GczPkOVoySmR0Bt_bcnXtlfvCGHPgCwt9m2lx8LJYZnmooFlAFhdEuFJaqXZu2zsXeWrhWZwiIEEI7PuEQYzsFmEMBPd_sKpI7zx8EYMyyIBRjlOrZzGK=w1200|https://lh3.googleusercontent.com/pw/AP1GczMTPwh5bv3DziWCfChR3PkqZqoMzx9L3syG_-6uLM7bfGWUf4b48GC1MPbAlMAutAm1"&amp;"YCuuY98UYye8_eXVozLYbZcmDKwHRsSZkqp8gDksldV_HVoZ=w1200|https://lh3.googleusercontent.com/pw/AP1GczOQOhHBoK5FM02NerXgwYQHYphcy1A35Zu2XNi27v2h8TcBoc4cJuoV7bn7GL0Ihawi6Cs9-o2HfxcxSxeC5jsMSb2YF7p3o6F_GLl67nl7GScLuklP=w1200|https://lh3.googleusercontent.com/pw"&amp;"/AP1GczPqj5G0KUIgufaCTrtGIa_OvjKjaDsc36ZFHVncmXh2PG0DpMu2khMjTrK4BlRKogEkZ-V2PPth_9h4RoRMFydUTs_yZRzJ-RNomx1wk7GZ-OA5QCM6=w1200|https://lh3.googleusercontent.com/pw/AP1GczPt_cdne4GJGRV0GRmLl0M_oyEVXgLqwKsLPQbZxEumvmecZwxsLlkGNfgZGlhmbMswvrbPBIK90Smf8Zj7Lt"&amp;"hJzrKiFG-DWp0v2C7kOg3UKIIoSLhE=w1200|https://lh3.googleusercontent.com/pw/AP1GczMwrSnRC-hjq5gxfUSHXjUY_QWUd-RdpjuscOW0OwBdate288aSHZjArXn_o5BufgRezpNeOFj70j8ib0FVLrp30SdFEDE5QSeQqTfzXla7LmBjdtlF=w1200|https://lh3.googleusercontent.com/pw/AP1GczOFCuU2HH_u7"&amp;"-t8WKho8Nhj1YtPshYwZfarh3P6SKYWQozk7gI3mU2oHnpbsCTu8TDyLd4gmu-6sMzS-caLX9hQYbM6mA1Pad7umc6x0ufgJ4sl1FYa=w1200|https://lh3.googleusercontent.com/pw/AP1GczPbw93U247LXJ_EZMnD4DHi1WZu62hWsKaSbsX0ae1n67CN-ChoKz8bK0kcP5CUqrMQHvwanPF34qJQrOceDOFlVS08lCaKpv-YpkVI"&amp;"1ySRhiNuYciS=w1200|https://lh3.googleusercontent.com/pw/AP1GczNiOHnbuzAoMZb9kRFVisC8ioo-K2nn7YjrF4MW365mc9ghccU-AlkGfAw84fWtm11GY_TRi1OgjaLN5jh3Ux2u52B6k3XLfX7eNpegnfMPYyqbfC-l=w1200|https://lh3.googleusercontent.com/pw/AP1GczOcjvwhD-3ExgoGyPcSgkc6TJPmcI8"&amp;"2zPfWQzvMXRKclKZQfoYTXpzQGMW133BE19lN5Ggcy7ZmuBVZxRCahK_Z9zQuZ9vJSlxV9BL0mNoFj3FLS0mp=w1200|https://lh3.googleusercontent.com/pw/AP1GczNXS4utoJlx4_7GoKqC7CO9Wbq37DVZQifVAp-n6NxRPk_ZCb89yQ-lA9xUWLxkLpI0wO24S2Ghdm-d5O8AGwHL5Td8LjbNo4LjOwc5fRNN6ic47HAg=w1200"&amp;"|https://lh3.googleusercontent.com/pw/AP1GczMa4DR2XVPvWzOWysHKfnzDi8BqpaOBTYtga1TplRv7tHSC82ylT4rP_vTI62-RJbKpko4kGxuQ2thdZNIqwaHgYaIaJ5SN6l4Pc1EhfLVUn5ZlOihd=w1200|https://lh3.googleusercontent.com/pw/AP1GczM3mY6blYS8jTGrtfIbBLjyDhtp3S-IovanEpvytdZA20lLi"&amp;"H4wJKGbAUVuCGsfoj04697BTI3ZHIucmlOZZXswF8ocAZZ3jJG2X384f5REtpsB2Vva=w1200|https://lh3.googleusercontent.com/pw/AP1GczNY7SrFW_wMm8etD6Uu_-iXzcnDtyuQqioe8TH4U_iKjI20nGDRr8KdFDRRewt3hGFayK1ul7BMbS486WTcEWfoxVHvPfkbWoGrcBTj4D4YPvNjNSJu=w1200|https://lh3.googl"&amp;"eusercontent.com/pw/AP1GczNa4aNTvPjlKNG6N6_Nfs4OB-KD19DcLeTbjs0w6EfS0gx61yTK1nvlVRtFqoLVbUiz7_NGp40q7xk88AMMVIgbE5aYiXaBucVD8KriqMhv_XmtGRHw=w1200|https://lh3.googleusercontent.com/pw/AP1GczPTpYoUX3tsg9idhyD4d5fB6_c5mcFkS5mjc7RieyG8PbfEh0d_NuHgE-1z_nsUDKk"&amp;"oBGKLJ1_XPuhbN_JQioWLJY1ubem02BjCGM-s1LbvRsZcpmUQ=w1200|https://lh3.googleusercontent.com/pw/AP1GczM6lmuoa0gLaxZOiGEFLyON-Z_z0kzUETA7RsigIOVQzBQFZIh0l64dJwj7u4ClXFBBKOYCQGsmHnh3MBzDxuXx3qbFJSfjCWgRnEuDzO5JUQkcAveQ=w1200|https://lh3.googleusercontent.com/p"&amp;"w/AP1GczMhQpoOv0SRd61zUoOE0ux09z9kuEt09qjhgfYIAsUclJeSBSCzE37Q0CxR4gnE_Q02P_vrDMAP4m2PVzdIiyKQUfVGyESuE4dqm55v8Yy3y9cmQObu=w1200|https://lh3.googleusercontent.com/pw/AP1GczOsWR9Y6oT4NctiLrzfXtOTXU8qKVlXAymwAE5Sy083wmTNjjY_R4Gu4apkyiHKuF1hP3L79NDR0rnH0Dza_"&amp;"CR4JOyueQ3O9Rx8-NE4Y6-OxGw99xde=w1200|https://lh3.googleusercontent.com/pw/AP1GczMyBv9OxYPUMu6rIHWa41j8cFqyZ3bVceSNfhvrTSzFmjswyZR-g1s6h-ZNRFj3NAmJNQXJdOJlqoK8rM-bZammYtJIDSLUKN-INh6gyHb9Z84FejWk=w1200|https://lh3.googleusercontent.com/pw/AP1GczO6npkOYgP5"&amp;"79RnhpK7WZN_ccgH6ko0CSgOnYx7Niukq6CV4AZE2w0j9yDAeMUAjr7bvMgfudvoqxOfMXdcz1xRDzG2TzN24hlHgnAFGqbbOHyeufgr=w1200|https://lh3.googleusercontent.com/pw/AP1GczM7lhs4cMXRC2feLAOqVIUMJpNgWV7H7wotITW7pFgxW93-anEhE5zaT3C7BeH7EjQUN0p4vzP7-5NTSOFurVmEkLqURR4yZHWEPzB"&amp;"jjWvKgtxKYbKA=w1200|https://lh3.googleusercontent.com/pw/AP1GczOfCuinx3zFk8zktHBYR0GNiZRlomp84R-sGjOcJFDNAp7YaR4CSYRRvjUe-Bz0wjR7f5Agu9Mu_vCGs3EJCgeiyV-Fd2cOaEqiqQs3J2ALBbCTq705=w1200|https://lh3.googleusercontent.com/pw/AP1GczNIvBm_7qXu23jNh6EXTeL5ZolLPu"&amp;"YcEIzHnETL5zOBIMNU1Tywud_5NWuqiIANxTLreHd_DlGIk8pOBoHK25TPn0rvvfzG8cNAb5kWhSyAo31EAkzx=w1200|https://lh3.googleusercontent.com/pw/AP1GczNLoOHAsdEOK8Jg57n_e4d90rueZAfUIwg3alEw9n8OBRRyNkNpZkfmu3-X9q-KRaHVEwbhFCE5NaRhw7cATAY6gyL_MjRWYt3mc8qZzn7ZalUcYQFn=w120"&amp;"0|https://lh3.googleusercontent.com/pw/AP1GczMn9mlDJS6W39Qv8iBSnjui6XiDjEQe_D1F2CuosMybDJS96E5Ajw5XGW6k5-UtWZ-b8zUbEEqiULvJQr5tTKUa7nTnWwB9A5M89qJf0p9omjpuZg9u=w1200|https://lh3.googleusercontent.com/pw/AP1GczOQ1mJaQFAnd12NOSHMxPwQcxolSNN4NEywvyKJw145BQfs"&amp;"FS2bLCFTy1pLBb_mvMriG-TQCh3OwXrJ2ohW3aDcTIebcx83pJfJX8ucLzIFKJ7nBZjU=w1200|https://lh3.googleusercontent.com/pw/AP1GczN4AQY5WhLoES2c7FGUoXLPkhu0OSqTrvPZjEAkSHJw5pv_MuBXOZOSSK5F2dDYOyF-mZbo3pr2VWCoRst64_6zvDa_bW8Y9Xmw1Tp7QKZNIJQc9if7=w1200|https://lh3.goog"&amp;"leusercontent.com/pw/AP1GczPnApRnn-e4GIXamJK8Yynzvnp9pR8aquvM-ipnwrzA4bB1BwF71d_lYPK1MxuhqK5e88kO_eN3FsJ3NjDIPxKZn47gpjnN41ejeTWvJ86m8nZ5npy8=w1200|https://lh3.googleusercontent.com/pw/AP1GczMggIxSG2_Y2c-vmi4VPU25Rkwj-rvL2pJhC7SgiL5JcWPRcjP9sf9cvFqjLqChLB"&amp;"1STUYqI8Ew_r1oghHo3YRGYMYO4DoSJP9B57ka42OrF2thdwf_=w1200|https://lh3.googleusercontent.com/pw/AP1GczO_UG_oqbrhS0yUCmqEwmCsJeQowTn-1GNLnK_V15ZDH23IZu2oP4KtHeMOVRO_f09goN2xmzFtKckCqjU7K_6thUyc5vdOLhiP2-9OohsCjWHm0jSE=w1200|https://lh3.googleusercontent.com/"&amp;"pw/AP1GczNGdPW2Wpke8nX6DX2Gq-sFTZ1Z63ixmcgQvtKNM1CSK3AH0MK2XltSep1kIi2S6kx7Y4ccJT6VZq8kVX2Y3wYPsRp1HuV72b7qzCucoIKMmt_w18_L=w1200|https://lh3.googleusercontent.com/pw/AP1GczNHgaHv_LqhfGuTsK2AeucwKAzHWWoQfGw4yi3rph-UBC0soDzhJEHUxIz6-hobQLVK6TLT7ZF5CsROor_E"&amp;"nkQg_Dh4cs-im0QS71c4SxRgcFzsHx04=w1200|https://lh3.googleusercontent.com/pw/AP1GczNduvyt0LycZyvc1_bcjF53QrvacYlWiIlgZyRlmdvUfYGRRUG_h8Ew_TE9a_SWt0OqCuMfNq71tFdTLUjR_7AB0PDx_CmSUx9S8JqrBGgNPP81Ow7G=w1200|https://lh3.googleusercontent.com/pw/AP1GczPtFbhCbkE"&amp;"lILz2W72wSTa208c_Px1-4SmnAvYzXWPFJghw7aX2YoqH3iaigo3i9uPcsZKHy_KXPcSTIwGrAs9btyy51jbVrCTAGZk9nsZfOJDwwqaa=w1200|https://lh3.googleusercontent.com/pw/AP1GczOTLLwiBq1Mn5VGbBiWFjz4vralYwEmZKWwPI2Wu74mYiJop6dvHXwfa3VvpyQWrnRoMmgWQl3gEG7xUwg_Im32LHnOg6WzCtIGPH"&amp;"ojolOKKLpfQchb=w1200|https://lh3.googleusercontent.com/pw/AP1GczOF4TlXVueQMxRo0y0WE76tkizOnjysf5k7QIL2tl4KmXtwk3bcITge7PePWZ74m_AV7PDPzPMJnZMSFv5XKuHaWJeIJdXRFZtIO0T53sZBtM3UmH5h=w1200|https://lh3.googleusercontent.com/pw/AP1GczNsCK9uyA42PzdoyJjwDH6jTLQ5f"&amp;"EKl4bq8cBiZebK3gK_Ho3Ss1yA64pEjnfI5orEGJY2aXG171yc0xHOeIM6qA6v4EfMPZS56HgiXTN0TE7iR0emF=w1200|https://lh3.googleusercontent.com/pw/AP1GczNZti0o-fP50GKpi--LALAuXEThvMcfK5ZzjhQaiHY28F_1E7zLlB17CELehVBIkjcal2DxgRmbCl9I60tRZqtKM-5K7Glx8sUUYAbWMmD37SalZzzs=w12"&amp;"00|https://lh3.googleusercontent.com/pw/AP1GczNbt9bPVrjUpYtrA6bVXj-x3RMN1P37Q5corc6k5gr7ThtJiVDI5dBV3f-S9AmNXA6k7VnV6Cw-3ewAlcLUjihexcKu62Ensmo05gJ591C8MQx3wY8s=w1200|https://lh3.googleusercontent.com/pw/AP1GczNdZGdX32PLv5j5_ZFUQTzUZiDcWrN8rxILEf2Bnv9pdHD"&amp;"tSanrLeQbclnXNdNtvU1omDAqtrGr46dN4Q1nClQEIEuFSrtPXwiUhpzmGpEEaVSwCMtU=w1200|https://lh3.googleusercontent.com/pw/AP1GczMk5EnkDIvcKKqdUKcNCUgoFDqfZcKVnHVgw7KpKErIbBytngiiqs0Nx7X1ZXQmSquKnY6SmaiqTQIbRNzWLgDISDzZdmIAO-ZEez41KDrKex-6BARY=w1200|https://lh3.goo"&amp;"gleusercontent.com/pw/AP1GczPRpgZzuqJP_FLBfDbe9YVHQmeruNlvgyfTSl4OY2rhlVZmBnK8HkV5y1yJDFSHfP0tHWHmj4Vdzbn83Gc7_-XjYIw4BR1Wn1eBCc4GGoQxjJiqx30B=w1200|https://lh3.googleusercontent.com/pw/AP1GczO66raXmzOfVhqQRrpSjRsai_5wnrC8migr1fZUtfQuwxtnbcTmyJAV2J4Z6whM-"&amp;"RDOtlroiGoYMUWmGX1VRCyHSo48CozrWmJFHMFuP_70rGdyQptj=w1200|https://lh3.googleusercontent.com/pw/AP1GczNLvSuytzUjawKPXE4JsnShA97iLhDI6VYqNzRqOWmT2nFpNjWGoON_bKofY4S8dx4Y3qE51G44nwGd1H5uxqefb_ij3osNvA-M2yZdAB_UadnBFDki=w1200|https://lh3.googleusercontent.com"&amp;"/pw/AP1GczOl2oQcfb-ePRiviQtM4n5jHvrxyVQTbqfjr8ZDeBdf1OvvcSmoHaZBYH3YprX_I2HDCTiJBeCRbL2TD9yxjSe4qoFsYDQPeUQojc1BCNJjE5CdpVYx=w1200")</f>
        <v>https://lh3.googleusercontent.com/pw/AP1GczMT6e218bRtHqRDDYbkL7X6zc2oyvSmmHSXvXr433-Wp6uTYPsZbxha1ttlmbD3Pm7EaI0oR1fq1yq0mYNnPX2QtyGQmZqPiJp3-fQo4yVMEwvVF3Im=w1200|https://lh3.googleusercontent.com/pw/AP1GczMyKHdjZYANtoXcvAZh7k-FamOkyx0-7lx-r6dKneK8E8D7WJgMZN-qGw-XX8XykOHSbI75bod8yDxVn2XznZyFKIcFbNlsylwNFXBuHW2w5ZndWZta=w1200|https://lh3.googleusercontent.com/pw/AP1GczNpRqLb0v95Wu_zHLJQrytH8k3hG9ZCof9etOoQrTL1hRoNRA6raHhrpBZPf6H2NhEzOZekdazMmm9qm7a0VFjVV9SQOekXd9BiHf-Mgzw_yMApLmkJ=w1200|https://lh3.googleusercontent.com/pw/AP1GczPkOVoySmR0Bt_bcnXtlfvCGHPgCwt9m2lx8LJYZnmooFlAFhdEuFJaqXZu2zsXeWrhWZwiIEEI7PuEQYzsFmEMBPd_sKpI7zx8EYMyyIBRjlOrZzGK=w1200|https://lh3.googleusercontent.com/pw/AP1GczMTPwh5bv3DziWCfChR3PkqZqoMzx9L3syG_-6uLM7bfGWUf4b48GC1MPbAlMAutAm1YCuuY98UYye8_eXVozLYbZcmDKwHRsSZkqp8gDksldV_HVoZ=w1200|https://lh3.googleusercontent.com/pw/AP1GczOQOhHBoK5FM02NerXgwYQHYphcy1A35Zu2XNi27v2h8TcBoc4cJuoV7bn7GL0Ihawi6Cs9-o2HfxcxSxeC5jsMSb2YF7p3o6F_GLl67nl7GScLuklP=w1200|https://lh3.googleusercontent.com/pw/AP1GczPqj5G0KUIgufaCTrtGIa_OvjKjaDsc36ZFHVncmXh2PG0DpMu2khMjTrK4BlRKogEkZ-V2PPth_9h4RoRMFydUTs_yZRzJ-RNomx1wk7GZ-OA5QCM6=w1200|https://lh3.googleusercontent.com/pw/AP1GczPt_cdne4GJGRV0GRmLl0M_oyEVXgLqwKsLPQbZxEumvmecZwxsLlkGNfgZGlhmbMswvrbPBIK90Smf8Zj7LthJzrKiFG-DWp0v2C7kOg3UKIIoSLhE=w1200|https://lh3.googleusercontent.com/pw/AP1GczMwrSnRC-hjq5gxfUSHXjUY_QWUd-RdpjuscOW0OwBdate288aSHZjArXn_o5BufgRezpNeOFj70j8ib0FVLrp30SdFEDE5QSeQqTfzXla7LmBjdtlF=w1200|https://lh3.googleusercontent.com/pw/AP1GczOFCuU2HH_u7-t8WKho8Nhj1YtPshYwZfarh3P6SKYWQozk7gI3mU2oHnpbsCTu8TDyLd4gmu-6sMzS-caLX9hQYbM6mA1Pad7umc6x0ufgJ4sl1FYa=w1200|https://lh3.googleusercontent.com/pw/AP1GczPbw93U247LXJ_EZMnD4DHi1WZu62hWsKaSbsX0ae1n67CN-ChoKz8bK0kcP5CUqrMQHvwanPF34qJQrOceDOFlVS08lCaKpv-YpkVI1ySRhiNuYciS=w1200|https://lh3.googleusercontent.com/pw/AP1GczNiOHnbuzAoMZb9kRFVisC8ioo-K2nn7YjrF4MW365mc9ghccU-AlkGfAw84fWtm11GY_TRi1OgjaLN5jh3Ux2u52B6k3XLfX7eNpegnfMPYyqbfC-l=w1200|https://lh3.googleusercontent.com/pw/AP1GczOcjvwhD-3ExgoGyPcSgkc6TJPmcI82zPfWQzvMXRKclKZQfoYTXpzQGMW133BE19lN5Ggcy7ZmuBVZxRCahK_Z9zQuZ9vJSlxV9BL0mNoFj3FLS0mp=w1200|https://lh3.googleusercontent.com/pw/AP1GczNXS4utoJlx4_7GoKqC7CO9Wbq37DVZQifVAp-n6NxRPk_ZCb89yQ-lA9xUWLxkLpI0wO24S2Ghdm-d5O8AGwHL5Td8LjbNo4LjOwc5fRNN6ic47HAg=w1200|https://lh3.googleusercontent.com/pw/AP1GczMa4DR2XVPvWzOWysHKfnzDi8BqpaOBTYtga1TplRv7tHSC82ylT4rP_vTI62-RJbKpko4kGxuQ2thdZNIqwaHgYaIaJ5SN6l4Pc1EhfLVUn5ZlOihd=w1200|https://lh3.googleusercontent.com/pw/AP1GczM3mY6blYS8jTGrtfIbBLjyDhtp3S-IovanEpvytdZA20lLiH4wJKGbAUVuCGsfoj04697BTI3ZHIucmlOZZXswF8ocAZZ3jJG2X384f5REtpsB2Vva=w1200|https://lh3.googleusercontent.com/pw/AP1GczNY7SrFW_wMm8etD6Uu_-iXzcnDtyuQqioe8TH4U_iKjI20nGDRr8KdFDRRewt3hGFayK1ul7BMbS486WTcEWfoxVHvPfkbWoGrcBTj4D4YPvNjNSJu=w1200|https://lh3.googleusercontent.com/pw/AP1GczNa4aNTvPjlKNG6N6_Nfs4OB-KD19DcLeTbjs0w6EfS0gx61yTK1nvlVRtFqoLVbUiz7_NGp40q7xk88AMMVIgbE5aYiXaBucVD8KriqMhv_XmtGRHw=w1200|https://lh3.googleusercontent.com/pw/AP1GczPTpYoUX3tsg9idhyD4d5fB6_c5mcFkS5mjc7RieyG8PbfEh0d_NuHgE-1z_nsUDKkoBGKLJ1_XPuhbN_JQioWLJY1ubem02BjCGM-s1LbvRsZcpmUQ=w1200|https://lh3.googleusercontent.com/pw/AP1GczM6lmuoa0gLaxZOiGEFLyON-Z_z0kzUETA7RsigIOVQzBQFZIh0l64dJwj7u4ClXFBBKOYCQGsmHnh3MBzDxuXx3qbFJSfjCWgRnEuDzO5JUQkcAveQ=w1200|https://lh3.googleusercontent.com/pw/AP1GczMhQpoOv0SRd61zUoOE0ux09z9kuEt09qjhgfYIAsUclJeSBSCzE37Q0CxR4gnE_Q02P_vrDMAP4m2PVzdIiyKQUfVGyESuE4dqm55v8Yy3y9cmQObu=w1200|https://lh3.googleusercontent.com/pw/AP1GczOsWR9Y6oT4NctiLrzfXtOTXU8qKVlXAymwAE5Sy083wmTNjjY_R4Gu4apkyiHKuF1hP3L79NDR0rnH0Dza_CR4JOyueQ3O9Rx8-NE4Y6-OxGw99xde=w1200|https://lh3.googleusercontent.com/pw/AP1GczMyBv9OxYPUMu6rIHWa41j8cFqyZ3bVceSNfhvrTSzFmjswyZR-g1s6h-ZNRFj3NAmJNQXJdOJlqoK8rM-bZammYtJIDSLUKN-INh6gyHb9Z84FejWk=w1200|https://lh3.googleusercontent.com/pw/AP1GczO6npkOYgP579RnhpK7WZN_ccgH6ko0CSgOnYx7Niukq6CV4AZE2w0j9yDAeMUAjr7bvMgfudvoqxOfMXdcz1xRDzG2TzN24hlHgnAFGqbbOHyeufgr=w1200|https://lh3.googleusercontent.com/pw/AP1GczM7lhs4cMXRC2feLAOqVIUMJpNgWV7H7wotITW7pFgxW93-anEhE5zaT3C7BeH7EjQUN0p4vzP7-5NTSOFurVmEkLqURR4yZHWEPzBjjWvKgtxKYbKA=w1200|https://lh3.googleusercontent.com/pw/AP1GczOfCuinx3zFk8zktHBYR0GNiZRlomp84R-sGjOcJFDNAp7YaR4CSYRRvjUe-Bz0wjR7f5Agu9Mu_vCGs3EJCgeiyV-Fd2cOaEqiqQs3J2ALBbCTq705=w1200|https://lh3.googleusercontent.com/pw/AP1GczNIvBm_7qXu23jNh6EXTeL5ZolLPuYcEIzHnETL5zOBIMNU1Tywud_5NWuqiIANxTLreHd_DlGIk8pOBoHK25TPn0rvvfzG8cNAb5kWhSyAo31EAkzx=w1200|https://lh3.googleusercontent.com/pw/AP1GczNLoOHAsdEOK8Jg57n_e4d90rueZAfUIwg3alEw9n8OBRRyNkNpZkfmu3-X9q-KRaHVEwbhFCE5NaRhw7cATAY6gyL_MjRWYt3mc8qZzn7ZalUcYQFn=w1200|https://lh3.googleusercontent.com/pw/AP1GczMn9mlDJS6W39Qv8iBSnjui6XiDjEQe_D1F2CuosMybDJS96E5Ajw5XGW6k5-UtWZ-b8zUbEEqiULvJQr5tTKUa7nTnWwB9A5M89qJf0p9omjpuZg9u=w1200|https://lh3.googleusercontent.com/pw/AP1GczOQ1mJaQFAnd12NOSHMxPwQcxolSNN4NEywvyKJw145BQfsFS2bLCFTy1pLBb_mvMriG-TQCh3OwXrJ2ohW3aDcTIebcx83pJfJX8ucLzIFKJ7nBZjU=w1200|https://lh3.googleusercontent.com/pw/AP1GczN4AQY5WhLoES2c7FGUoXLPkhu0OSqTrvPZjEAkSHJw5pv_MuBXOZOSSK5F2dDYOyF-mZbo3pr2VWCoRst64_6zvDa_bW8Y9Xmw1Tp7QKZNIJQc9if7=w1200|https://lh3.googleusercontent.com/pw/AP1GczPnApRnn-e4GIXamJK8Yynzvnp9pR8aquvM-ipnwrzA4bB1BwF71d_lYPK1MxuhqK5e88kO_eN3FsJ3NjDIPxKZn47gpjnN41ejeTWvJ86m8nZ5npy8=w1200|https://lh3.googleusercontent.com/pw/AP1GczMggIxSG2_Y2c-vmi4VPU25Rkwj-rvL2pJhC7SgiL5JcWPRcjP9sf9cvFqjLqChLB1STUYqI8Ew_r1oghHo3YRGYMYO4DoSJP9B57ka42OrF2thdwf_=w1200|https://lh3.googleusercontent.com/pw/AP1GczO_UG_oqbrhS0yUCmqEwmCsJeQowTn-1GNLnK_V15ZDH23IZu2oP4KtHeMOVRO_f09goN2xmzFtKckCqjU7K_6thUyc5vdOLhiP2-9OohsCjWHm0jSE=w1200|https://lh3.googleusercontent.com/pw/AP1GczNGdPW2Wpke8nX6DX2Gq-sFTZ1Z63ixmcgQvtKNM1CSK3AH0MK2XltSep1kIi2S6kx7Y4ccJT6VZq8kVX2Y3wYPsRp1HuV72b7qzCucoIKMmt_w18_L=w1200|https://lh3.googleusercontent.com/pw/AP1GczNHgaHv_LqhfGuTsK2AeucwKAzHWWoQfGw4yi3rph-UBC0soDzhJEHUxIz6-hobQLVK6TLT7ZF5CsROor_EnkQg_Dh4cs-im0QS71c4SxRgcFzsHx04=w1200|https://lh3.googleusercontent.com/pw/AP1GczNduvyt0LycZyvc1_bcjF53QrvacYlWiIlgZyRlmdvUfYGRRUG_h8Ew_TE9a_SWt0OqCuMfNq71tFdTLUjR_7AB0PDx_CmSUx9S8JqrBGgNPP81Ow7G=w1200|https://lh3.googleusercontent.com/pw/AP1GczPtFbhCbkElILz2W72wSTa208c_Px1-4SmnAvYzXWPFJghw7aX2YoqH3iaigo3i9uPcsZKHy_KXPcSTIwGrAs9btyy51jbVrCTAGZk9nsZfOJDwwqaa=w1200|https://lh3.googleusercontent.com/pw/AP1GczOTLLwiBq1Mn5VGbBiWFjz4vralYwEmZKWwPI2Wu74mYiJop6dvHXwfa3VvpyQWrnRoMmgWQl3gEG7xUwg_Im32LHnOg6WzCtIGPHojolOKKLpfQchb=w1200|https://lh3.googleusercontent.com/pw/AP1GczOF4TlXVueQMxRo0y0WE76tkizOnjysf5k7QIL2tl4KmXtwk3bcITge7PePWZ74m_AV7PDPzPMJnZMSFv5XKuHaWJeIJdXRFZtIO0T53sZBtM3UmH5h=w1200|https://lh3.googleusercontent.com/pw/AP1GczNsCK9uyA42PzdoyJjwDH6jTLQ5fEKl4bq8cBiZebK3gK_Ho3Ss1yA64pEjnfI5orEGJY2aXG171yc0xHOeIM6qA6v4EfMPZS56HgiXTN0TE7iR0emF=w1200|https://lh3.googleusercontent.com/pw/AP1GczNZti0o-fP50GKpi--LALAuXEThvMcfK5ZzjhQaiHY28F_1E7zLlB17CELehVBIkjcal2DxgRmbCl9I60tRZqtKM-5K7Glx8sUUYAbWMmD37SalZzzs=w1200|https://lh3.googleusercontent.com/pw/AP1GczNbt9bPVrjUpYtrA6bVXj-x3RMN1P37Q5corc6k5gr7ThtJiVDI5dBV3f-S9AmNXA6k7VnV6Cw-3ewAlcLUjihexcKu62Ensmo05gJ591C8MQx3wY8s=w1200|https://lh3.googleusercontent.com/pw/AP1GczNdZGdX32PLv5j5_ZFUQTzUZiDcWrN8rxILEf2Bnv9pdHDtSanrLeQbclnXNdNtvU1omDAqtrGr46dN4Q1nClQEIEuFSrtPXwiUhpzmGpEEaVSwCMtU=w1200|https://lh3.googleusercontent.com/pw/AP1GczMk5EnkDIvcKKqdUKcNCUgoFDqfZcKVnHVgw7KpKErIbBytngiiqs0Nx7X1ZXQmSquKnY6SmaiqTQIbRNzWLgDISDzZdmIAO-ZEez41KDrKex-6BARY=w1200|https://lh3.googleusercontent.com/pw/AP1GczPRpgZzuqJP_FLBfDbe9YVHQmeruNlvgyfTSl4OY2rhlVZmBnK8HkV5y1yJDFSHfP0tHWHmj4Vdzbn83Gc7_-XjYIw4BR1Wn1eBCc4GGoQxjJiqx30B=w1200|https://lh3.googleusercontent.com/pw/AP1GczO66raXmzOfVhqQRrpSjRsai_5wnrC8migr1fZUtfQuwxtnbcTmyJAV2J4Z6whM-RDOtlroiGoYMUWmGX1VRCyHSo48CozrWmJFHMFuP_70rGdyQptj=w1200|https://lh3.googleusercontent.com/pw/AP1GczNLvSuytzUjawKPXE4JsnShA97iLhDI6VYqNzRqOWmT2nFpNjWGoON_bKofY4S8dx4Y3qE51G44nwGd1H5uxqefb_ij3osNvA-M2yZdAB_UadnBFDki=w1200|https://lh3.googleusercontent.com/pw/AP1GczOl2oQcfb-ePRiviQtM4n5jHvrxyVQTbqfjr8ZDeBdf1OvvcSmoHaZBYH3YprX_I2HDCTiJBeCRbL2TD9yxjSe4qoFsYDQPeUQojc1BCNJjE5CdpVYx=w1200</v>
      </c>
      <c r="AJ536" s="46"/>
      <c r="AK536" s="46"/>
      <c r="AL536" s="46"/>
      <c r="AM536" s="46"/>
      <c r="AN536" s="46"/>
      <c r="AO536" s="46"/>
      <c r="AP536" s="46"/>
      <c r="AQ536" s="46"/>
      <c r="AR536" s="46"/>
      <c r="AS536" s="46"/>
      <c r="AT536" s="46"/>
      <c r="AU536" s="46"/>
      <c r="AV536" s="46"/>
      <c r="AW536" s="46"/>
      <c r="AX536" s="46"/>
      <c r="AY536" s="46"/>
      <c r="AZ536" s="46"/>
      <c r="BA536" s="46"/>
      <c r="BB536" s="46"/>
      <c r="BC536" s="46"/>
      <c r="BD536" s="46"/>
      <c r="BE536" s="46"/>
      <c r="BF536" s="46"/>
      <c r="BG536" s="46"/>
      <c r="BH536" s="46"/>
      <c r="BI536" s="46"/>
      <c r="BJ536" s="46"/>
      <c r="BK536" s="46"/>
      <c r="BL536" s="46"/>
      <c r="BM536" s="46"/>
      <c r="BN536" s="46"/>
      <c r="BO536" s="46"/>
      <c r="BP536" s="46"/>
      <c r="BQ536" s="46"/>
      <c r="BR536" s="46"/>
      <c r="BS536" s="46"/>
      <c r="BT536" s="46"/>
      <c r="BU536" s="46"/>
      <c r="BV536" s="46"/>
      <c r="BW536" s="46"/>
      <c r="BX536" s="46"/>
      <c r="BY536" s="46"/>
      <c r="BZ536" s="46"/>
      <c r="CA536" s="46"/>
      <c r="CB536" s="46"/>
      <c r="CC536" s="46"/>
    </row>
    <row r="537">
      <c r="A537" s="87" t="str">
        <f>IFERROR(__xludf.DUMMYFUNCTION("""COMPUTED_VALUE"""),"679")</f>
        <v>679</v>
      </c>
      <c r="B537" s="46" t="str">
        <f>IFERROR(__xludf.DUMMYFUNCTION("""COMPUTED_VALUE"""),"Casa en conjunto Santorini II - Ipanema - Oriente")</f>
        <v>Casa en conjunto Santorini II - Ipanema - Oriente</v>
      </c>
      <c r="C537" s="46" t="str">
        <f>IFERROR(__xludf.DUMMYFUNCTION("""COMPUTED_VALUE"""),"Casa en conjunto")</f>
        <v>Casa en conjunto</v>
      </c>
      <c r="D537" s="46" t="str">
        <f>IFERROR(__xludf.DUMMYFUNCTION("""COMPUTED_VALUE"""),"Ipanema")</f>
        <v>Ipanema</v>
      </c>
      <c r="E537" s="46" t="str">
        <f>IFERROR(__xludf.DUMMYFUNCTION("""COMPUTED_VALUE"""),"Santorini II")</f>
        <v>Santorini II</v>
      </c>
      <c r="F537" s="90">
        <f>IFERROR(__xludf.DUMMYFUNCTION("""COMPUTED_VALUE"""),7.8E8)</f>
        <v>780000000</v>
      </c>
      <c r="G537" s="46" t="str">
        <f>IFERROR(__xludf.DUMMYFUNCTION("""COMPUTED_VALUE"""),"$500'000.000 a $1.000'000.000")</f>
        <v>$500'000.000 a $1.000'000.000</v>
      </c>
      <c r="H537" s="46"/>
      <c r="I537" s="46"/>
      <c r="J537" s="46" t="str">
        <f>IFERROR(__xludf.DUMMYFUNCTION("""COMPUTED_VALUE"""),"Oriente")</f>
        <v>Oriente</v>
      </c>
      <c r="K537" s="87" t="str">
        <f>IFERROR(__xludf.DUMMYFUNCTION("""COMPUTED_VALUE"""),"7")</f>
        <v>7</v>
      </c>
      <c r="L537" s="46">
        <f>IFERROR(__xludf.DUMMYFUNCTION("""COMPUTED_VALUE"""),3.0)</f>
        <v>3</v>
      </c>
      <c r="M537" s="46"/>
      <c r="N537" s="46">
        <f>IFERROR(__xludf.DUMMYFUNCTION("""COMPUTED_VALUE"""),3.0)</f>
        <v>3</v>
      </c>
      <c r="O537" s="46">
        <f>IFERROR(__xludf.DUMMYFUNCTION("""COMPUTED_VALUE"""),2.0)</f>
        <v>2</v>
      </c>
      <c r="P537" s="46">
        <f>IFERROR(__xludf.DUMMYFUNCTION("""COMPUTED_VALUE"""),2.0)</f>
        <v>2</v>
      </c>
      <c r="Q537" s="92">
        <f>IFERROR(__xludf.DUMMYFUNCTION("""COMPUTED_VALUE"""),154.29)</f>
        <v>154.29</v>
      </c>
      <c r="R537" s="92">
        <f>IFERROR(__xludf.DUMMYFUNCTION("""COMPUTED_VALUE"""),152.1)</f>
        <v>152.1</v>
      </c>
      <c r="S537" s="87" t="str">
        <f>IFERROR(__xludf.DUMMYFUNCTION("""COMPUTED_VALUE""")," ")</f>
        <v> </v>
      </c>
      <c r="T537" s="46" t="str">
        <f>IFERROR(__xludf.DUMMYFUNCTION("""COMPUTED_VALUE"""),"Neiva")</f>
        <v>Neiva</v>
      </c>
      <c r="U537" s="87" t="str">
        <f>IFERROR(__xludf.DUMMYFUNCTION("""COMPUTED_VALUE"""),"5")</f>
        <v>5</v>
      </c>
      <c r="V537" s="46" t="str">
        <f>IFERROR(__xludf.DUMMYFUNCTION("""COMPUTED_VALUE"""),"Esquinera")</f>
        <v>Esquinera</v>
      </c>
      <c r="W537" s="46"/>
      <c r="X537" s="46">
        <f>IFERROR(__xludf.DUMMYFUNCTION("""COMPUTED_VALUE"""),3.0)</f>
        <v>3</v>
      </c>
      <c r="Y537" s="46" t="str">
        <f>IFERROR(__xludf.DUMMYFUNCTION("""COMPUTED_VALUE"""),"Social")</f>
        <v>Social</v>
      </c>
      <c r="Z537" s="90">
        <f>IFERROR(__xludf.DUMMYFUNCTION("""COMPUTED_VALUE"""),530000.0)</f>
        <v>530000</v>
      </c>
      <c r="AA537" s="33" t="str">
        <f>IFERROR(__xludf.DUMMYFUNCTION("""COMPUTED_VALUE"""),"No aplica")</f>
        <v>No aplica</v>
      </c>
      <c r="AB537" s="144" t="str">
        <f>IFERROR(__xludf.DUMMYFUNCTION("""COMPUTED_VALUE"""),"https://photos.app.goo.gl/mgnjoNSbpQmhwobf8")</f>
        <v>https://photos.app.goo.gl/mgnjoNSbpQmhwobf8</v>
      </c>
      <c r="AC537" s="46" t="str">
        <f>IFERROR(__xludf.DUMMYFUNCTION("""COMPUTED_VALUE"""),"Área 152,10 M2, Construida 154,29 m2, Portería 24 horas, sala de espera, cuatro piscinas (2 para adultos, 2 para niños), dos parques infantiles, polideportivo, tres salones comunales, zonas verdes. La casa consta de: esquinera. Primer piso: garaje para 2 "&amp;"vahiculos cubierto amplio y techado, hall de entrada, Sala amplia con ventilador de techo, comedor independiente, baño social con mueble, cocina integral abierta, depósito, sala adicional techada por el lado del patio, cuarto de estudio con mueble bibliot"&amp;"eca. Segundo piso: Tres alcobas amplias con aire acondicionado, una alcoba con acceso a terraza, alcoba principal con baño y vestier, baño auxiliar, balcón que comunica con alcoba auxiliar, pisos en porcelanato. cortinas en toda la casa. Estrato 5")</f>
        <v>Área 152,10 M2, Construida 154,29 m2, Portería 24 horas, sala de espera, cuatro piscinas (2 para adultos, 2 para niños), dos parques infantiles, polideportivo, tres salones comunales, zonas verdes. La casa consta de: esquinera. Primer piso: garaje para 2 vahiculos cubierto amplio y techado, hall de entrada, Sala amplia con ventilador de techo, comedor independiente, baño social con mueble, cocina integral abierta, depósito, sala adicional techada por el lado del patio, cuarto de estudio con mueble biblioteca. Segundo piso: Tres alcobas amplias con aire acondicionado, una alcoba con acceso a terraza, alcoba principal con baño y vestier, baño auxiliar, balcón que comunica con alcoba auxiliar, pisos en porcelanato. cortinas en toda la casa. Estrato 5</v>
      </c>
      <c r="AD537" s="46" t="str">
        <f>IFERROR(__xludf.DUMMYFUNCTION("""COMPUTED_VALUE"""),"Esquinera")</f>
        <v>Esquinera</v>
      </c>
      <c r="AE537" s="46"/>
      <c r="AF537" s="46" t="str">
        <f>IFERROR(__xludf.DUMMYFUNCTION("""COMPUTED_VALUE"""),"integral")</f>
        <v>integral</v>
      </c>
      <c r="AG537" s="46"/>
      <c r="AH537" s="46" t="str">
        <f>IFERROR(__xludf.DUMMYFUNCTION("""COMPUTED_VALUE"""),"Aliado")</f>
        <v>Aliado</v>
      </c>
      <c r="AI537" s="92" t="str">
        <f>IFERROR(__xludf.DUMMYFUNCTION("""COMPUTED_VALUE"""),"https://lh3.googleusercontent.com/pw/AP1GczO7BzdIR2zBgzcSkaMg5QidmbPoIYa9V9KEvCRQTtG6G1aCKvehL6zqAobpu3mV_tP5WCSvbDo7oj_CnXWv3hJwCz2IdYfs9kVR0crR3nhnpBPnjtDo=w1200|https://lh3.googleusercontent.com/pw/AP1GczPE4WNIAxy-joP_KnQ0xHCy0adkdXy6tjfvvmOe1IMyfitit_"&amp;"VNLmc32VGLdf6DrttxYIs1BPrOlBqFVdCz8dBCYsaxqtxx0d5YnvTOdzbGRoDpy7hD=w1200|https://lh3.googleusercontent.com/pw/AP1GczN_oEu42mzNCdum8DdE1SwOcUlQ0xYxVnLQVkagOoPYoBkKOaltG611aTjvNZmMUtMQIE1y6Gghq6dX-4miBVd90-Yfrc_VE8yUTgH1VvnHxjIc2LhK=w1200|https://lh3.google"&amp;"usercontent.com/pw/AP1GczPlIQY9gv7E_ys1AxWBC2iCMUYA6yg6Sfx7okHx1OVdPbSmqq3OzBDo_AMU1WfU3D-grzavqAhkrTzGWIaoOnq5z4OGoxcxLl4-W3GsU46WEZhzQC8h=w1200|https://lh3.googleusercontent.com/pw/AP1GczPZBSjBq3kUNPabVXQOLD9gY1fvL80BFkSTbrThn9i7OXExDE_l_PK0G_kcqxC820CE"&amp;"lu9Ip3t6ob6OKbLu_jqPsvYCHibwaV9aerrW5V8bDDOuEFeJ=w1200|https://lh3.googleusercontent.com/pw/AP1GczPgI696n1PAddu-dYUVVufReaq03i84g8evI_eZfWjm8ZEm-ZEo6OsmHMIrbUn1CmglZcGdQ8XIlXRv-nf8IstcujrF1XyazKsJGdJdhoRXY5SZER6i=w1200|https://lh3.googleusercontent.com/pw"&amp;"/AP1GczP_wPaZdvuTg1djQeVed317UY-0QroBFE0vp8dl539_1t0CYNgrTs9oxhcej2ZdryOKCx1jpdfFb0FdstJf4Z1H8ZBjVDFXx78lII0tB8OcCNuuhJPV=w1200|https://lh3.googleusercontent.com/pw/AP1GczO5dzDVSan8Sr7LB_8X-1-PQL_a8TuFh7B4ImyhWLoSJiYDhSlMYHUYddhJbvITlb2Lcz5Xg68zCkqn8NxviG"&amp;"4B1hg2bAwm0GEAmNmBCPW54UnyRLfS=w1200|https://lh3.googleusercontent.com/pw/AP1GczOqndS6ysgqUOAtCN8yH_nGmFHv17JQAva4FmRLZI6yzNovaHTxn0aq8Hviex5YbCkrRDtXReYToKok8d1Cp9ouExnUMqj0LqHwbQZiDAgMOUX3wJ1T=w1200|https://lh3.googleusercontent.com/pw/AP1GczNezHV41q8lC"&amp;"RZuUls0SypTAM0Y8vKriVAaVNLjPAXDPsgCvaYrh5IkZKCdMAdBbGTs9XWoxMx4hy1TTQovrJ9AkzOCuEOLf3d_DVLWxzc-0SAeKXaK=w1200|https://lh3.googleusercontent.com/pw/AP1GczMIeh5hJzaG7DJ7IZH_fq0neV2SUUkuwMehxzIzWgYDjdQ9SXwvvGe_hfVfbpHorIYPotlOt8T7uVisaIKMCkYWUevJQY2to7Q7IhzT"&amp;"gsEeB42dzOaK=w1200|https://lh3.googleusercontent.com/pw/AP1GczP9KgN3vkrhPFV004ixYtjgu5nDt3jSkqlUn0V1xlmQkci8bef4xRsX8tgtu9oFKFf83ygS2G4fZcKvo7lRYRpVMCio4cgX3SmexgeTr7B7V-Q00hFn=w1200|https://lh3.googleusercontent.com/pw/AP1GczNygK9IwWeRpO4QqfyGV7e-OTGGAL_"&amp;"y2haloqtX66321lp1KFYdkODtp531cAQJNIm85F66A_OPgfkzcv1q0CLZv3RjLkp00zvVyHkVL8IFybGq6geJ=w1200|https://lh3.googleusercontent.com/pw/AP1GczNLaBkFopgYb0C4PO9YgTJSoYmmnHOCQRzNodgR4UOAhdwGnoEnvcgr05ED_oFmc0EV5Sdbpax2XArGn4_Z1Hjw-_PVvfU9L0UcHh4FQJ3mBUWIS9er=w1200"&amp;"|https://lh3.googleusercontent.com/pw/AP1GczM-3rSvgWh7z__XMDvp8IaYymB-oqy8NMWg-Gz6RHcRE9igOdEWZuR_Q2dn99t12tiHf9wqFvHiyveIWGeBk0osqTr0a5CjKtzYbeexK6oOKuGpzkW1=w1200|https://lh3.googleusercontent.com/pw/AP1GczNMIlMcSUPJC-750O7M272WKZedZINLzn46skWWrl_nCzVrM"&amp;"34BlrFPVN9hp8s0xSFGI7Fl6SRVk7SCXeN_qUhq97fP_-rXDI9eSMy1jWXonsVaMR66=w1200|https://lh3.googleusercontent.com/pw/AP1GczMusjtwq9jKFMRYxh1VeURT3lEvRdHg7c52ah4tXoCkWuTwpPaL2P3T8-xAHyp3HnTqVcHJjHZ2BnwLMOVydFlY0iOkjqf2a01XgzihfmUxfbS3PutV=w1200|https://lh3.googl"&amp;"eusercontent.com/pw/AP1GczMN_p3d8riN9iCpd5IzY8yzq78_zPJo364aDnnUeHlSeJbi5F-jDho6sibZmFHbI8jzFG5y4ATkQZs-xpuff-bK8YLGdL_pgNVOVJiG7gCE0fzaqpeA=w1200|https://lh3.googleusercontent.com/pw/AP1GczN0awQwWZpWkNUmyE6cK3td8bmIgEsvqn8WK_9wea5AWX5QfOzeNyOBwG_9U70Isc_"&amp;"r8GHG1B-UN7yRxwLbgkd1xTXaoDGH54GGxcxVqvdjWZxjrkV6=w1200|https://lh3.googleusercontent.com/pw/AP1GczNHi1kqkjOR7Wji5qUpzgHfVgVPSg6TxY2A7qX3BHIYJKUNSdI0izUQje6WV5RvI3qfbY2qgQZe1RK0G-GRK_VIs8s4cVX8cDIhi1aD1L2bMutX7BRN=w1200|https://lh3.googleusercontent.com/p"&amp;"w/AP1GczNUsADXC9tsdPUyrlY8DeNHWCHGsy477MT68MF83_y7rutSRbalLGMttVivDLmRhvVzQANus8OMiTTvzzphp2YJvihA6xX_3Td9O1VbsrlKp4-Id0IQ=w1200|https://lh3.googleusercontent.com/pw/AP1GczOElocMeyByHIvfOowyuc1dpAi97NeUHcfkaxYC34gjhE9PXgohe4Fv54tnHGJOW9Y7ZfGkTRXghwhNIDwtI"&amp;"PLwhCRFfqN073Xk8MPKVUBrkjfLH_kB=w1200|https://lh3.googleusercontent.com/pw/AP1GczN5O3-8oPl1GQe8zIOnZdvVeySnZZuuDuI5C16DITRb8DFHr9tv0coiQJwBE-G3Whr65pXKOAXGLDJApw_JvZ0UILUSF3O885AG7pNYWmiKKgkosOY6=w1200|https://lh3.googleusercontent.com/pw/AP1GczM7ThWcYYEr"&amp;"VBP_NgOn29jx7TzsKUOf4B2lPs3nDRoIyCPrtKGAukzPvKMj5c-j9VzH2hSaWkdHiiSd-DRYvp4BZDjJOqhwOVWGO607bR_uUty06svv=w1200|https://lh3.googleusercontent.com/pw/AP1GczOWId9eO7hYNmC2zj9nAcBRThZuFfqgc3nv7XnZIX82HPuUglRVailFjnH24A3GEnQ6p8jBxJN3-26HcHUQ3BUdjiJZuXyPw7pgEx1"&amp;"9XJQoCGTo25nB=w1200|https://lh3.googleusercontent.com/pw/AP1GczO19ZZMdkrm_JbdArdeLkx5wBHPXji__knZ8BMRUEYjRTqGTyoagmcJE42ENKhRDEPn9Khjl-hjqt35ATBuuSjUy9N8HbWsJrTmbKnCstkBO3xxxMoq=w1200|https://lh3.googleusercontent.com/pw/AP1GczNshT6QvwtkTq-5Bv3jaL0JXHpw0J"&amp;"mUdVgKfJ_eJ04Bpq6dCLFMwgT6f2zeHe-eFOOJ9Mtyt9RLsXvHwKx7LfT5mkN_0sM5XUmzbLKisKrcE6dWq571=w1200|https://lh3.googleusercontent.com/pw/AP1GczPRs05yrnvIdonGUc-DPBnoaxLqFjFUf_ep3V2M1vuoNJ59YfBbEw4JdCFGgFUPrv5-XnpwgjzrvXwkZ4l8enbjxxIYN1oraUdSDt93tEaDNSBcljx8=w120"&amp;"0|https://lh3.googleusercontent.com/pw/AP1GczMFjAqDMVXhzRygD2K24WA4KemqVkD9ERs4vulImnXm9KGiwwVePQR6D3Mk3kBgXuQOMZ5uzijjcJ-Zq8OcmrmEMQ3uHx_ZYjQM6YY7v01SaQnUEssh=w1200|https://lh3.googleusercontent.com/pw/AP1GczPS6ru5qZi61z-XKB0p10NdeoR_tZyQkGpXyrI23i8R6MDw"&amp;"AjUsrr7FbBPvPu3BlREXGUxMhXnpgvhUIKNLYaREmeUAC4ZO1FO_-f5nQALw64iEAnkE=w1200|https://lh3.googleusercontent.com/pw/AP1GczPpvG5W6wPtsjNjrA3SKrjMhyq3_vFzteK15XjolZIO1hRZ8lddAN1Z_wkg6uieIYcyD2KlknI2CbFkYA33n4-XtHzREirvPyyZ9r3kIhA1E1sT93oF=w1200|https://lh3.goog"&amp;"leusercontent.com/pw/AP1GczOmHMlsEuX6hSGGlKGURW7xazcuRFPj4HW-p6uTHVVmAJIDc0zUBc3OV4CvtwrpBMQoFnpfCxJfLevMlq7ingNlqywGXeAuQWgyRjOrleV1KkUKEMUI=w1200|https://lh3.googleusercontent.com/pw/AP1GczOfjcHVKVfiP-v6J2Ju_ToJznDmO2NlbqJZaHfxw2NaLL5dY9SyDBrmnHOoNoX07-"&amp;"xrVVsFNMR3FxSnAfb8ZPTFZKzhy5lFwntu8ie-o4MX3eLZdSDQ=w1200|https://lh3.googleusercontent.com/pw/AP1GczPFoE1xf3LpVSYNn0P5270e7gdVEqBdnMBTLbsJHIvGzdv_lMH3djDmtGiesVfWejo7dKUCpbs_ihCYt0zvC247FcHe0DSoDQO9NNLoLeKcCb9-FUz-=w1200|https://lh3.googleusercontent.com/"&amp;"pw/AP1GczMoRr0u_v5vkPJsZEdiXWS4Cenvnxk7_CkDeozgN4GHYQ7_H9COYm2WRyhyAECxdRINXAmx2wP1XbTX4MrdxLcSVHqreNoO256AItupI7l8Fb0cxotF=w1200|https://lh3.googleusercontent.com/pw/AP1GczNUbpSKz6RExTKLDjTTjbKdNY_JxA-M_PmgqLDQdr8IdvjG5dKLWcsQIHyRKvb0IiXc0A8YnC_JqItu9IDp"&amp;"PzXUPRB6t2P2YGiy-sORAEKK7O_3MijT=w1200|https://lh3.googleusercontent.com/pw/AP1GczO3zvYiC7AKAxE4fOCBUcI3YC1jLd0zS76mTzpyLBX9VhZ34hTdvoDFZ_7Cc4uZAxO1cYNOk3gzJtFFFXHIeTab28_SGPph0I5CDdKZD1u5Fu7gHQxO=w1200|https://lh3.googleusercontent.com/pw/AP1GczPQMjZ6c_a"&amp;"6xhLYYQqC29c1_AQJJ0-0bTRwSoPF8O8-h4MZbaNO9AjBsYzIsgu1Ts8Y7tz6tNg_aMo5LTRB1Y78gmWtVza30ND4u8AHiObNPt2lHxA2=w1200|https://lh3.googleusercontent.com/pw/AP1GczPIANy8ZDfm1TQOEfO1_aT9yDo72QYkzHNPFqFEcJFIV2YWeWjAcueuNsnpDWBFK6Ud02ySxYg7zjj1ukWyzlrppTRk7IWU_82MtO"&amp;"nBM3XO-UQHFEVO=w1200|https://lh3.googleusercontent.com/pw/AP1GczM-hmp0QumLNF_l8tXFjFcuoSggEfLStmKUKlqzl152yllOFf7R3aWNS-NhER4lu8xrGO79gU3b02wK6dltZYGSzxlQlkampa5sW5vNhovPpwi6eSVV=w1200|https://lh3.googleusercontent.com/pw/AP1GczPWCExRygHBrdKaKPuWIcPT-xMFR"&amp;"28QOW-T5A-VfG-g-3swMOuPivzEclhfIGEWYNtdL1iVnCHSuLc8xTscqCUjW_MGjLNYI6qHCD928HVxG05ilN0j=w1200|https://lh3.googleusercontent.com/pw/AP1GczOZTFXNTPK_7iukUtc5yZ_UgeMHpS3HVr303JhNksLUs2yiR0KN6HGBfn22cBXH7jd_bOorGCfuBETY_9-yAmg3RC4FRfVOy5lELAzzhZQpyrZqf_4Q=w12"&amp;"00|https://lh3.googleusercontent.com/pw/AP1GczN9p3J2SjVfH2al1XDz7roF0YM17RcqdwO6gW832eGzCegneXOrddxBcOboTtWySTcpxjdrnhoHhAD9T1jpk3THq2pXWbPHhx1fBdB5Rg1DMoaatxms=w1200|https://lh3.googleusercontent.com/pw/AP1GczOq3mQWL9uVEPHc1vk_2wEZjHOlaMEmDHFMO_mjcjdfiOf"&amp;"RZMHof_P7lM0G4MIEtNZnkFQN3rxRBfB4hJSgXTFkgJ69FP-qdBgUrc14kcVQYmEWNMX-=w1200|https://lh3.googleusercontent.com/pw/AP1GczMfXESXwCQ-Iubj-EpaqMOZW5yzV7CtotlfGvbB_WwDHzu1cwfloLnWwfinQJZwpjlAZYthyemqh8ay4iJHOl1YCvIfbfmXVAXCLUP2tpObXtu-mfQF=w1200|https://lh3.goo"&amp;"gleusercontent.com/pw/AP1GczM1Jzu9cOyVkwSKHNHrRN38v-ajqWVHd0yVrG3gVWWSacZYNYZYDkeOlytuRHbg0BMXHreMOYtUf4caQtj8rZwYyGPBIc5iDsHhdgV4EkcPSj6Q9_AB=w1200|https://lh3.googleusercontent.com/pw/AP1GczPx5Rd__wHLbMNk6ZPwhIeaLmXZFUVXO6a27-F2--K5Y5rwyradZl35UkHxFEpwK"&amp;"HJtsX1YNd8XNPe6vgeb6_YfXlKOVe86RN2SfACKfJZqw0Be9CgT=w1200|https://lh3.googleusercontent.com/pw/AP1GczM1hbdcxxwptoCL8MRGT7IX-_5E8ux9CWv-xKsqT8_nkC7MH1lsttz6k3mqFKqtb1LekhkFOrxbXBZIo-B_nCJtMVP_gT7XerTWeTd8nhoe84wcK8Ys=w1200|https://lh3.googleusercontent.com"&amp;"/pw/AP1GczOSqix_gJK-M3EbsPaLoSzd1Mp5Rhf7nXMhpAWpLq5STI19WFrDEh4HYr29CtbOCCRP7jGHhbilCHe42vHlgvelHUtr6vXr8nFllTcw_XxGGVyZciXj=w1200|https://lh3.googleusercontent.com/pw/AP1GczPTqWwKFTBNumjVeV4W5G9YSdlGkU5XqTzUKDWpEh5uxQV_J-DrsXkTonrYRwLkIgLrdt-XkAeNoeeRn07"&amp;"mY74dwONmQDlY9coX1c1HXfzL7TOLoLgT=w1200|https://lh3.googleusercontent.com/pw/AP1GczN7vpGGx8KSg3oR6vPdsqzl4Pjyc81y4jo5qnnI2T67CIiGvN7dY0K6c3tbi4KqHkkHMBq0NdcDmcYs29LtAWAwdQz8xAY8AWeWZ9uhXlFGx7ImkMg6=w1200|https://lh3.googleusercontent.com/pw/AP1GczP3fWS_A3"&amp;"r8LSFokwg9etBi-Xmivg5daxyOGi-OKv87INLcNJibKEeD--Dggewu7JcpjFtPyvVv-iJUuEQVLw-2-mHF3VS-XYcAMUO_8eAQUwoX3wU3=w1200|https://lh3.googleusercontent.com/pw/AP1GczNXuVumV5_DvP21Ac2KjxpvkYr8uwQ7fsCQKOAhnXBUbBLuL-y3rSPXn8SEk4-4sm9WfncVTM_Hk23eb_Sv2yrD5uWzBMUdOteOs"&amp;"5uk-DrvTYQR2fXm=w1200|https://lh3.googleusercontent.com/pw/AP1GczPFwsCPE3HkC4qHh6byvZM18KCIdP_7K03rj3Lome3F0Zt_WC9HfvkEYrRx9Kpz6tzGYl6qJNmMXgMvD9gtesdRK_1Nv4c80orPbvy9zKQho84rOnkW=w1200")</f>
        <v>https://lh3.googleusercontent.com/pw/AP1GczO7BzdIR2zBgzcSkaMg5QidmbPoIYa9V9KEvCRQTtG6G1aCKvehL6zqAobpu3mV_tP5WCSvbDo7oj_CnXWv3hJwCz2IdYfs9kVR0crR3nhnpBPnjtDo=w1200|https://lh3.googleusercontent.com/pw/AP1GczPE4WNIAxy-joP_KnQ0xHCy0adkdXy6tjfvvmOe1IMyfitit_VNLmc32VGLdf6DrttxYIs1BPrOlBqFVdCz8dBCYsaxqtxx0d5YnvTOdzbGRoDpy7hD=w1200|https://lh3.googleusercontent.com/pw/AP1GczN_oEu42mzNCdum8DdE1SwOcUlQ0xYxVnLQVkagOoPYoBkKOaltG611aTjvNZmMUtMQIE1y6Gghq6dX-4miBVd90-Yfrc_VE8yUTgH1VvnHxjIc2LhK=w1200|https://lh3.googleusercontent.com/pw/AP1GczPlIQY9gv7E_ys1AxWBC2iCMUYA6yg6Sfx7okHx1OVdPbSmqq3OzBDo_AMU1WfU3D-grzavqAhkrTzGWIaoOnq5z4OGoxcxLl4-W3GsU46WEZhzQC8h=w1200|https://lh3.googleusercontent.com/pw/AP1GczPZBSjBq3kUNPabVXQOLD9gY1fvL80BFkSTbrThn9i7OXExDE_l_PK0G_kcqxC820CElu9Ip3t6ob6OKbLu_jqPsvYCHibwaV9aerrW5V8bDDOuEFeJ=w1200|https://lh3.googleusercontent.com/pw/AP1GczPgI696n1PAddu-dYUVVufReaq03i84g8evI_eZfWjm8ZEm-ZEo6OsmHMIrbUn1CmglZcGdQ8XIlXRv-nf8IstcujrF1XyazKsJGdJdhoRXY5SZER6i=w1200|https://lh3.googleusercontent.com/pw/AP1GczP_wPaZdvuTg1djQeVed317UY-0QroBFE0vp8dl539_1t0CYNgrTs9oxhcej2ZdryOKCx1jpdfFb0FdstJf4Z1H8ZBjVDFXx78lII0tB8OcCNuuhJPV=w1200|https://lh3.googleusercontent.com/pw/AP1GczO5dzDVSan8Sr7LB_8X-1-PQL_a8TuFh7B4ImyhWLoSJiYDhSlMYHUYddhJbvITlb2Lcz5Xg68zCkqn8NxviG4B1hg2bAwm0GEAmNmBCPW54UnyRLfS=w1200|https://lh3.googleusercontent.com/pw/AP1GczOqndS6ysgqUOAtCN8yH_nGmFHv17JQAva4FmRLZI6yzNovaHTxn0aq8Hviex5YbCkrRDtXReYToKok8d1Cp9ouExnUMqj0LqHwbQZiDAgMOUX3wJ1T=w1200|https://lh3.googleusercontent.com/pw/AP1GczNezHV41q8lCRZuUls0SypTAM0Y8vKriVAaVNLjPAXDPsgCvaYrh5IkZKCdMAdBbGTs9XWoxMx4hy1TTQovrJ9AkzOCuEOLf3d_DVLWxzc-0SAeKXaK=w1200|https://lh3.googleusercontent.com/pw/AP1GczMIeh5hJzaG7DJ7IZH_fq0neV2SUUkuwMehxzIzWgYDjdQ9SXwvvGe_hfVfbpHorIYPotlOt8T7uVisaIKMCkYWUevJQY2to7Q7IhzTgsEeB42dzOaK=w1200|https://lh3.googleusercontent.com/pw/AP1GczP9KgN3vkrhPFV004ixYtjgu5nDt3jSkqlUn0V1xlmQkci8bef4xRsX8tgtu9oFKFf83ygS2G4fZcKvo7lRYRpVMCio4cgX3SmexgeTr7B7V-Q00hFn=w1200|https://lh3.googleusercontent.com/pw/AP1GczNygK9IwWeRpO4QqfyGV7e-OTGGAL_y2haloqtX66321lp1KFYdkODtp531cAQJNIm85F66A_OPgfkzcv1q0CLZv3RjLkp00zvVyHkVL8IFybGq6geJ=w1200|https://lh3.googleusercontent.com/pw/AP1GczNLaBkFopgYb0C4PO9YgTJSoYmmnHOCQRzNodgR4UOAhdwGnoEnvcgr05ED_oFmc0EV5Sdbpax2XArGn4_Z1Hjw-_PVvfU9L0UcHh4FQJ3mBUWIS9er=w1200|https://lh3.googleusercontent.com/pw/AP1GczM-3rSvgWh7z__XMDvp8IaYymB-oqy8NMWg-Gz6RHcRE9igOdEWZuR_Q2dn99t12tiHf9wqFvHiyveIWGeBk0osqTr0a5CjKtzYbeexK6oOKuGpzkW1=w1200|https://lh3.googleusercontent.com/pw/AP1GczNMIlMcSUPJC-750O7M272WKZedZINLzn46skWWrl_nCzVrM34BlrFPVN9hp8s0xSFGI7Fl6SRVk7SCXeN_qUhq97fP_-rXDI9eSMy1jWXonsVaMR66=w1200|https://lh3.googleusercontent.com/pw/AP1GczMusjtwq9jKFMRYxh1VeURT3lEvRdHg7c52ah4tXoCkWuTwpPaL2P3T8-xAHyp3HnTqVcHJjHZ2BnwLMOVydFlY0iOkjqf2a01XgzihfmUxfbS3PutV=w1200|https://lh3.googleusercontent.com/pw/AP1GczMN_p3d8riN9iCpd5IzY8yzq78_zPJo364aDnnUeHlSeJbi5F-jDho6sibZmFHbI8jzFG5y4ATkQZs-xpuff-bK8YLGdL_pgNVOVJiG7gCE0fzaqpeA=w1200|https://lh3.googleusercontent.com/pw/AP1GczN0awQwWZpWkNUmyE6cK3td8bmIgEsvqn8WK_9wea5AWX5QfOzeNyOBwG_9U70Isc_r8GHG1B-UN7yRxwLbgkd1xTXaoDGH54GGxcxVqvdjWZxjrkV6=w1200|https://lh3.googleusercontent.com/pw/AP1GczNHi1kqkjOR7Wji5qUpzgHfVgVPSg6TxY2A7qX3BHIYJKUNSdI0izUQje6WV5RvI3qfbY2qgQZe1RK0G-GRK_VIs8s4cVX8cDIhi1aD1L2bMutX7BRN=w1200|https://lh3.googleusercontent.com/pw/AP1GczNUsADXC9tsdPUyrlY8DeNHWCHGsy477MT68MF83_y7rutSRbalLGMttVivDLmRhvVzQANus8OMiTTvzzphp2YJvihA6xX_3Td9O1VbsrlKp4-Id0IQ=w1200|https://lh3.googleusercontent.com/pw/AP1GczOElocMeyByHIvfOowyuc1dpAi97NeUHcfkaxYC34gjhE9PXgohe4Fv54tnHGJOW9Y7ZfGkTRXghwhNIDwtIPLwhCRFfqN073Xk8MPKVUBrkjfLH_kB=w1200|https://lh3.googleusercontent.com/pw/AP1GczN5O3-8oPl1GQe8zIOnZdvVeySnZZuuDuI5C16DITRb8DFHr9tv0coiQJwBE-G3Whr65pXKOAXGLDJApw_JvZ0UILUSF3O885AG7pNYWmiKKgkosOY6=w1200|https://lh3.googleusercontent.com/pw/AP1GczM7ThWcYYErVBP_NgOn29jx7TzsKUOf4B2lPs3nDRoIyCPrtKGAukzPvKMj5c-j9VzH2hSaWkdHiiSd-DRYvp4BZDjJOqhwOVWGO607bR_uUty06svv=w1200|https://lh3.googleusercontent.com/pw/AP1GczOWId9eO7hYNmC2zj9nAcBRThZuFfqgc3nv7XnZIX82HPuUglRVailFjnH24A3GEnQ6p8jBxJN3-26HcHUQ3BUdjiJZuXyPw7pgEx19XJQoCGTo25nB=w1200|https://lh3.googleusercontent.com/pw/AP1GczO19ZZMdkrm_JbdArdeLkx5wBHPXji__knZ8BMRUEYjRTqGTyoagmcJE42ENKhRDEPn9Khjl-hjqt35ATBuuSjUy9N8HbWsJrTmbKnCstkBO3xxxMoq=w1200|https://lh3.googleusercontent.com/pw/AP1GczNshT6QvwtkTq-5Bv3jaL0JXHpw0JmUdVgKfJ_eJ04Bpq6dCLFMwgT6f2zeHe-eFOOJ9Mtyt9RLsXvHwKx7LfT5mkN_0sM5XUmzbLKisKrcE6dWq571=w1200|https://lh3.googleusercontent.com/pw/AP1GczPRs05yrnvIdonGUc-DPBnoaxLqFjFUf_ep3V2M1vuoNJ59YfBbEw4JdCFGgFUPrv5-XnpwgjzrvXwkZ4l8enbjxxIYN1oraUdSDt93tEaDNSBcljx8=w1200|https://lh3.googleusercontent.com/pw/AP1GczMFjAqDMVXhzRygD2K24WA4KemqVkD9ERs4vulImnXm9KGiwwVePQR6D3Mk3kBgXuQOMZ5uzijjcJ-Zq8OcmrmEMQ3uHx_ZYjQM6YY7v01SaQnUEssh=w1200|https://lh3.googleusercontent.com/pw/AP1GczPS6ru5qZi61z-XKB0p10NdeoR_tZyQkGpXyrI23i8R6MDwAjUsrr7FbBPvPu3BlREXGUxMhXnpgvhUIKNLYaREmeUAC4ZO1FO_-f5nQALw64iEAnkE=w1200|https://lh3.googleusercontent.com/pw/AP1GczPpvG5W6wPtsjNjrA3SKrjMhyq3_vFzteK15XjolZIO1hRZ8lddAN1Z_wkg6uieIYcyD2KlknI2CbFkYA33n4-XtHzREirvPyyZ9r3kIhA1E1sT93oF=w1200|https://lh3.googleusercontent.com/pw/AP1GczOmHMlsEuX6hSGGlKGURW7xazcuRFPj4HW-p6uTHVVmAJIDc0zUBc3OV4CvtwrpBMQoFnpfCxJfLevMlq7ingNlqywGXeAuQWgyRjOrleV1KkUKEMUI=w1200|https://lh3.googleusercontent.com/pw/AP1GczOfjcHVKVfiP-v6J2Ju_ToJznDmO2NlbqJZaHfxw2NaLL5dY9SyDBrmnHOoNoX07-xrVVsFNMR3FxSnAfb8ZPTFZKzhy5lFwntu8ie-o4MX3eLZdSDQ=w1200|https://lh3.googleusercontent.com/pw/AP1GczPFoE1xf3LpVSYNn0P5270e7gdVEqBdnMBTLbsJHIvGzdv_lMH3djDmtGiesVfWejo7dKUCpbs_ihCYt0zvC247FcHe0DSoDQO9NNLoLeKcCb9-FUz-=w1200|https://lh3.googleusercontent.com/pw/AP1GczMoRr0u_v5vkPJsZEdiXWS4Cenvnxk7_CkDeozgN4GHYQ7_H9COYm2WRyhyAECxdRINXAmx2wP1XbTX4MrdxLcSVHqreNoO256AItupI7l8Fb0cxotF=w1200|https://lh3.googleusercontent.com/pw/AP1GczNUbpSKz6RExTKLDjTTjbKdNY_JxA-M_PmgqLDQdr8IdvjG5dKLWcsQIHyRKvb0IiXc0A8YnC_JqItu9IDpPzXUPRB6t2P2YGiy-sORAEKK7O_3MijT=w1200|https://lh3.googleusercontent.com/pw/AP1GczO3zvYiC7AKAxE4fOCBUcI3YC1jLd0zS76mTzpyLBX9VhZ34hTdvoDFZ_7Cc4uZAxO1cYNOk3gzJtFFFXHIeTab28_SGPph0I5CDdKZD1u5Fu7gHQxO=w1200|https://lh3.googleusercontent.com/pw/AP1GczPQMjZ6c_a6xhLYYQqC29c1_AQJJ0-0bTRwSoPF8O8-h4MZbaNO9AjBsYzIsgu1Ts8Y7tz6tNg_aMo5LTRB1Y78gmWtVza30ND4u8AHiObNPt2lHxA2=w1200|https://lh3.googleusercontent.com/pw/AP1GczPIANy8ZDfm1TQOEfO1_aT9yDo72QYkzHNPFqFEcJFIV2YWeWjAcueuNsnpDWBFK6Ud02ySxYg7zjj1ukWyzlrppTRk7IWU_82MtOnBM3XO-UQHFEVO=w1200|https://lh3.googleusercontent.com/pw/AP1GczM-hmp0QumLNF_l8tXFjFcuoSggEfLStmKUKlqzl152yllOFf7R3aWNS-NhER4lu8xrGO79gU3b02wK6dltZYGSzxlQlkampa5sW5vNhovPpwi6eSVV=w1200|https://lh3.googleusercontent.com/pw/AP1GczPWCExRygHBrdKaKPuWIcPT-xMFR28QOW-T5A-VfG-g-3swMOuPivzEclhfIGEWYNtdL1iVnCHSuLc8xTscqCUjW_MGjLNYI6qHCD928HVxG05ilN0j=w1200|https://lh3.googleusercontent.com/pw/AP1GczOZTFXNTPK_7iukUtc5yZ_UgeMHpS3HVr303JhNksLUs2yiR0KN6HGBfn22cBXH7jd_bOorGCfuBETY_9-yAmg3RC4FRfVOy5lELAzzhZQpyrZqf_4Q=w1200|https://lh3.googleusercontent.com/pw/AP1GczN9p3J2SjVfH2al1XDz7roF0YM17RcqdwO6gW832eGzCegneXOrddxBcOboTtWySTcpxjdrnhoHhAD9T1jpk3THq2pXWbPHhx1fBdB5Rg1DMoaatxms=w1200|https://lh3.googleusercontent.com/pw/AP1GczOq3mQWL9uVEPHc1vk_2wEZjHOlaMEmDHFMO_mjcjdfiOfRZMHof_P7lM0G4MIEtNZnkFQN3rxRBfB4hJSgXTFkgJ69FP-qdBgUrc14kcVQYmEWNMX-=w1200|https://lh3.googleusercontent.com/pw/AP1GczMfXESXwCQ-Iubj-EpaqMOZW5yzV7CtotlfGvbB_WwDHzu1cwfloLnWwfinQJZwpjlAZYthyemqh8ay4iJHOl1YCvIfbfmXVAXCLUP2tpObXtu-mfQF=w1200|https://lh3.googleusercontent.com/pw/AP1GczM1Jzu9cOyVkwSKHNHrRN38v-ajqWVHd0yVrG3gVWWSacZYNYZYDkeOlytuRHbg0BMXHreMOYtUf4caQtj8rZwYyGPBIc5iDsHhdgV4EkcPSj6Q9_AB=w1200|https://lh3.googleusercontent.com/pw/AP1GczPx5Rd__wHLbMNk6ZPwhIeaLmXZFUVXO6a27-F2--K5Y5rwyradZl35UkHxFEpwKHJtsX1YNd8XNPe6vgeb6_YfXlKOVe86RN2SfACKfJZqw0Be9CgT=w1200|https://lh3.googleusercontent.com/pw/AP1GczM1hbdcxxwptoCL8MRGT7IX-_5E8ux9CWv-xKsqT8_nkC7MH1lsttz6k3mqFKqtb1LekhkFOrxbXBZIo-B_nCJtMVP_gT7XerTWeTd8nhoe84wcK8Ys=w1200|https://lh3.googleusercontent.com/pw/AP1GczOSqix_gJK-M3EbsPaLoSzd1Mp5Rhf7nXMhpAWpLq5STI19WFrDEh4HYr29CtbOCCRP7jGHhbilCHe42vHlgvelHUtr6vXr8nFllTcw_XxGGVyZciXj=w1200|https://lh3.googleusercontent.com/pw/AP1GczPTqWwKFTBNumjVeV4W5G9YSdlGkU5XqTzUKDWpEh5uxQV_J-DrsXkTonrYRwLkIgLrdt-XkAeNoeeRn07mY74dwONmQDlY9coX1c1HXfzL7TOLoLgT=w1200|https://lh3.googleusercontent.com/pw/AP1GczN7vpGGx8KSg3oR6vPdsqzl4Pjyc81y4jo5qnnI2T67CIiGvN7dY0K6c3tbi4KqHkkHMBq0NdcDmcYs29LtAWAwdQz8xAY8AWeWZ9uhXlFGx7ImkMg6=w1200|https://lh3.googleusercontent.com/pw/AP1GczP3fWS_A3r8LSFokwg9etBi-Xmivg5daxyOGi-OKv87INLcNJibKEeD--Dggewu7JcpjFtPyvVv-iJUuEQVLw-2-mHF3VS-XYcAMUO_8eAQUwoX3wU3=w1200|https://lh3.googleusercontent.com/pw/AP1GczNXuVumV5_DvP21Ac2KjxpvkYr8uwQ7fsCQKOAhnXBUbBLuL-y3rSPXn8SEk4-4sm9WfncVTM_Hk23eb_Sv2yrD5uWzBMUdOteOs5uk-DrvTYQR2fXm=w1200|https://lh3.googleusercontent.com/pw/AP1GczPFwsCPE3HkC4qHh6byvZM18KCIdP_7K03rj3Lome3F0Zt_WC9HfvkEYrRx9Kpz6tzGYl6qJNmMXgMvD9gtesdRK_1Nv4c80orPbvy9zKQho84rOnkW=w1200</v>
      </c>
      <c r="AJ537" s="46"/>
      <c r="AK537" s="46"/>
      <c r="AL537" s="46"/>
      <c r="AM537" s="46"/>
      <c r="AN537" s="46"/>
      <c r="AO537" s="46"/>
      <c r="AP537" s="46"/>
      <c r="AQ537" s="46"/>
      <c r="AR537" s="46"/>
      <c r="AS537" s="46"/>
      <c r="AT537" s="46"/>
      <c r="AU537" s="46"/>
      <c r="AV537" s="46"/>
      <c r="AW537" s="46"/>
      <c r="AX537" s="46"/>
      <c r="AY537" s="46"/>
      <c r="AZ537" s="46"/>
      <c r="BA537" s="46"/>
      <c r="BB537" s="46"/>
      <c r="BC537" s="46"/>
      <c r="BD537" s="46"/>
      <c r="BE537" s="46"/>
      <c r="BF537" s="46"/>
      <c r="BG537" s="46"/>
      <c r="BH537" s="46"/>
      <c r="BI537" s="46"/>
      <c r="BJ537" s="46"/>
      <c r="BK537" s="46"/>
      <c r="BL537" s="46"/>
      <c r="BM537" s="46"/>
      <c r="BN537" s="46"/>
      <c r="BO537" s="46"/>
      <c r="BP537" s="46"/>
      <c r="BQ537" s="46"/>
      <c r="BR537" s="46"/>
      <c r="BS537" s="46"/>
      <c r="BT537" s="46"/>
      <c r="BU537" s="46"/>
      <c r="BV537" s="46"/>
      <c r="BW537" s="46"/>
      <c r="BX537" s="46"/>
      <c r="BY537" s="46"/>
      <c r="BZ537" s="46"/>
      <c r="CA537" s="46"/>
      <c r="CB537" s="46"/>
      <c r="CC537" s="46"/>
    </row>
    <row r="538">
      <c r="A538" s="87" t="str">
        <f>IFERROR(__xludf.DUMMYFUNCTION("""COMPUTED_VALUE"""),"698")</f>
        <v>698</v>
      </c>
      <c r="B538" s="46" t="str">
        <f>IFERROR(__xludf.DUMMYFUNCTION("""COMPUTED_VALUE"""),"Casa en conjunto Santorini I - Ipanema - Oriental")</f>
        <v>Casa en conjunto Santorini I - Ipanema - Oriental</v>
      </c>
      <c r="C538" s="46" t="str">
        <f>IFERROR(__xludf.DUMMYFUNCTION("""COMPUTED_VALUE"""),"Casa en conjunto")</f>
        <v>Casa en conjunto</v>
      </c>
      <c r="D538" s="46" t="str">
        <f>IFERROR(__xludf.DUMMYFUNCTION("""COMPUTED_VALUE"""),"Ipanema")</f>
        <v>Ipanema</v>
      </c>
      <c r="E538" s="46" t="str">
        <f>IFERROR(__xludf.DUMMYFUNCTION("""COMPUTED_VALUE"""),"Santorini I")</f>
        <v>Santorini I</v>
      </c>
      <c r="F538" s="90">
        <f>IFERROR(__xludf.DUMMYFUNCTION("""COMPUTED_VALUE"""),7.0E8)</f>
        <v>700000000</v>
      </c>
      <c r="G538" s="46" t="str">
        <f>IFERROR(__xludf.DUMMYFUNCTION("""COMPUTED_VALUE"""),"$500'000.000 a $1.000'000.000")</f>
        <v>$500'000.000 a $1.000'000.000</v>
      </c>
      <c r="H538" s="46"/>
      <c r="I538" s="46"/>
      <c r="J538" s="46" t="str">
        <f>IFERROR(__xludf.DUMMYFUNCTION("""COMPUTED_VALUE"""),"Oriente")</f>
        <v>Oriente</v>
      </c>
      <c r="K538" s="87" t="str">
        <f>IFERROR(__xludf.DUMMYFUNCTION("""COMPUTED_VALUE"""),"7")</f>
        <v>7</v>
      </c>
      <c r="L538" s="46">
        <f>IFERROR(__xludf.DUMMYFUNCTION("""COMPUTED_VALUE"""),3.0)</f>
        <v>3</v>
      </c>
      <c r="M538" s="46"/>
      <c r="N538" s="46">
        <f>IFERROR(__xludf.DUMMYFUNCTION("""COMPUTED_VALUE"""),2.0)</f>
        <v>2</v>
      </c>
      <c r="O538" s="46">
        <f>IFERROR(__xludf.DUMMYFUNCTION("""COMPUTED_VALUE"""),2.0)</f>
        <v>2</v>
      </c>
      <c r="P538" s="46">
        <f>IFERROR(__xludf.DUMMYFUNCTION("""COMPUTED_VALUE"""),2.0)</f>
        <v>2</v>
      </c>
      <c r="Q538" s="92">
        <f>IFERROR(__xludf.DUMMYFUNCTION("""COMPUTED_VALUE"""),157.82)</f>
        <v>157.82</v>
      </c>
      <c r="R538" s="92">
        <f>IFERROR(__xludf.DUMMYFUNCTION("""COMPUTED_VALUE"""),164.0)</f>
        <v>164</v>
      </c>
      <c r="S538" s="87" t="str">
        <f>IFERROR(__xludf.DUMMYFUNCTION("""COMPUTED_VALUE""")," ")</f>
        <v> </v>
      </c>
      <c r="T538" s="46" t="str">
        <f>IFERROR(__xludf.DUMMYFUNCTION("""COMPUTED_VALUE"""),"Neiva")</f>
        <v>Neiva</v>
      </c>
      <c r="U538" s="87" t="str">
        <f>IFERROR(__xludf.DUMMYFUNCTION("""COMPUTED_VALUE"""),"4")</f>
        <v>4</v>
      </c>
      <c r="V538" s="46" t="str">
        <f>IFERROR(__xludf.DUMMYFUNCTION("""COMPUTED_VALUE"""),"Esquinera")</f>
        <v>Esquinera</v>
      </c>
      <c r="W538" s="46"/>
      <c r="X538" s="46">
        <f>IFERROR(__xludf.DUMMYFUNCTION("""COMPUTED_VALUE"""),3.0)</f>
        <v>3</v>
      </c>
      <c r="Y538" s="46" t="str">
        <f>IFERROR(__xludf.DUMMYFUNCTION("""COMPUTED_VALUE"""),"Social")</f>
        <v>Social</v>
      </c>
      <c r="Z538" s="90">
        <f>IFERROR(__xludf.DUMMYFUNCTION("""COMPUTED_VALUE"""),520000.0)</f>
        <v>520000</v>
      </c>
      <c r="AA538" s="33" t="str">
        <f>IFERROR(__xludf.DUMMYFUNCTION("""COMPUTED_VALUE"""),"No aplica")</f>
        <v>No aplica</v>
      </c>
      <c r="AB538" s="144" t="str">
        <f>IFERROR(__xludf.DUMMYFUNCTION("""COMPUTED_VALUE"""),"https://photos.app.goo.gl/JjoGmPa4S5W1AjTZ7")</f>
        <v>https://photos.app.goo.gl/JjoGmPa4S5W1AjTZ7</v>
      </c>
      <c r="AC538" s="46" t="str">
        <f>IFERROR(__xludf.DUMMYFUNCTION("""COMPUTED_VALUE"""),"Área 333 M2, construidos 157.82 M2, portería 24 horas, salón social, piscinas, parque para niños, parqueadero para visitantes, senderos, casa de 2 pisos esquinera, Primer piso: garaje para 2 vehiculos, antejardin amplio, garaje al lado de la casa, patio a"&amp;"mplio, arboles frutales, entrada con puerta amplia, sala comedor, ventanal amplio que va hacia el patio, cocina integral tipo isla, sala adicional, baño social. Segundo piso: alcoba amplia con closet, alcoba adicional con acceso a terraza.")</f>
        <v>Área 333 M2, construidos 157.82 M2, portería 24 horas, salón social, piscinas, parque para niños, parqueadero para visitantes, senderos, casa de 2 pisos esquinera, Primer piso: garaje para 2 vehiculos, antejardin amplio, garaje al lado de la casa, patio amplio, arboles frutales, entrada con puerta amplia, sala comedor, ventanal amplio que va hacia el patio, cocina integral tipo isla, sala adicional, baño social. Segundo piso: alcoba amplia con closet, alcoba adicional con acceso a terraza.</v>
      </c>
      <c r="AD538" s="46" t="str">
        <f>IFERROR(__xludf.DUMMYFUNCTION("""COMPUTED_VALUE"""),"Esquinera")</f>
        <v>Esquinera</v>
      </c>
      <c r="AE538" s="46"/>
      <c r="AF538" s="46" t="str">
        <f>IFERROR(__xludf.DUMMYFUNCTION("""COMPUTED_VALUE"""),"integral")</f>
        <v>integral</v>
      </c>
      <c r="AG538" s="46"/>
      <c r="AH538" s="46" t="str">
        <f>IFERROR(__xludf.DUMMYFUNCTION("""COMPUTED_VALUE"""),"Aliado")</f>
        <v>Aliado</v>
      </c>
      <c r="AI538" s="92" t="str">
        <f>IFERROR(__xludf.DUMMYFUNCTION("""COMPUTED_VALUE"""),"https://lh3.googleusercontent.com/pw/AP1GczMDeZEGQQpq6ZERXbbcZ9EPKVjgy-3EZxxG0qzuy0DNJte4IAkYqXSzOjChWpl39pdkQGxKCUqt8i_yQTsXrI8GbjuQvUk_Ir3ysGB-IFznjKG61foo=w1200|https://lh3.googleusercontent.com/pw/AP1GczOAtC6WxvXUaxcyV4sfToHiwwbpg-BAOgrJM6is5RNWEWRy3C"&amp;"szHGXlAzDxGCGGVZ3Hto0jWEEgTYcE0AEia45uOY9C6xq1szkL-8LiV2grpUIw3TjJ=w1200|https://lh3.googleusercontent.com/pw/AP1GczPkV1ZhT_dhJSNl_8snc22J9dzhdKFX4Q95qhy5_X3aOP1Ilju5jYpD0RfCNzGrHIEqjOfUbuSkZa1t5uWeJVWUufV9TQLjiMAhfKrikN61_MglxqqG=w1200|https://lh3.google"&amp;"usercontent.com/pw/AP1GczOn2Hiri3JX9fGOFDjek1vdX0LQQuhJWMW9_bvbLfLI7s8Zy5Gq0GBcfRDRl_rmgUboIjgjAdZaiO-j2RStRbJcjRecyxqrtUXNyUc1BfxtmMwnEA1O=w1200|https://lh3.googleusercontent.com/pw/AP1GczPp_nzz0bkQpUb1uPi3dMlFEAhcfqfNgf1rsMUm_xD0yXVKvNKdNaywsLmRpx9u_YiN"&amp;"qBUOkHXsb0iEcd2FlFGWPWCsZqi3wEMZAe4W0xzgZMmWYG2m=w1200|https://lh3.googleusercontent.com/pw/AP1GczPMl5BYAUig8DY-rPmOXKl_ioZBQAsX4kny60SF9T1VwGEzq76cSzlisEGthsMUAky3xzrdkNRCQCfO6MgADUZK1Asd7W3ecqjRWjPURfsSgk6X2Kb-=w1200|https://lh3.googleusercontent.com/pw"&amp;"/AP1GczMVYN-IhSNPHfdz0a-s0QYzqQ9xxzNizSP7WGCudjmYML6nKMsoRlV3kOJUoFkliJpbhNL1FhZSKMvr1UmBI6hCb2Lp9n5fh_erd4rbRZN-79wqSYpw=w1200|https://lh3.googleusercontent.com/pw/AP1GczPu7krQbZXeyWtWllnMMrLOSNMKiVeg9H8T2WBtbipTf6q6fg6VfS2vkCHnbqzcACgUa11xRtT6r4IgGVAk-_"&amp;"YqKtIRmMyMJPiQwdbnvmUBt4V2uYLn=w1200|https://lh3.googleusercontent.com/pw/AP1GczPRqA6Zp4VSx2tq7w3J7czwNKxP3d5n3sYfAimT2WTe8OwURS3nUBHnYas68jdXGTPUu_gSBjXmG49jwCx6GkqTYYlMRGoKgS_LT-zUsdN6aTSmHhPz=w1200|https://lh3.googleusercontent.com/pw/AP1GczNFJpEH0pvz9"&amp;"_ji5fF0CGDt5y25mTsGYf-vrsgUqTEQdTlKg_ctOWVWC3jnUHzwxZR-MaQhuja3r6haC8HHS4y-_xQV10p6AtsTwD85t3DNidu1lmNb=w1200|https://lh3.googleusercontent.com/pw/AP1GczPjZb0zDrFyWeOlyedsYZ-QV1PcDGAsstonVaGPgWSQsDOAwXS0hbHpgx7myl9JEChkssOXrZkb1Y9q66mvYXXk3enZ5ysc5T8JagE3"&amp;"EPKif1FO-ySu=w1200|https://lh3.googleusercontent.com/pw/AP1GczOOEzP2nKRL8p6aCoz9d43C3jbWEB4bg82IpZ7wIdb5RuPnVpdrfBp1TCXYui_UISiFgbrELjVRMd1zqT5Z7UnruVdJd7HAmeCUV5qjl0ZezikIqgej=w1200|https://lh3.googleusercontent.com/pw/AP1GczOLOiAfP-ZM0YSlcyp220Ip1N9vqDn"&amp;"HOeO-VqyjMtSHHCQfCu9Uxj4rKv_zS4TBScTntU4LmU1Sgb3cEFF9T76e5hC2TMQ08-n-BoSzJ77hm5r-A_mf=w1200|https://lh3.googleusercontent.com/pw/AP1GczNaW8620cO7ZoAQJQlb4NN3FTapUAf6CuctJ9qADQqeoi27jIzOuaGNQLqIeTCyhLe2QsxUzij10M2xppd0Rmcx7zX3vBdBGRtOOOK-fGZdBuNwJ7gx=w1200"&amp;"|https://lh3.googleusercontent.com/pw/AP1GczMjviHasEEqKoh9mAT2Arxyrwzdyv1DxiTu102DLKYA01XvNASbpmpIsLCsvze7CtjkiJ8922UO60Txl0QKxkiodBIt1n7Erd42W8KV0XHr6twXhHSG=w1200|https://lh3.googleusercontent.com/pw/AP1GczNS3_7nF4Wq8MjQsbMW6xixSnx-qgkFYgGROAvPg5Ey8mc_G"&amp;"p0D-i9fbHLMl2j4zwAlzAFCEx1M_mdYJ2SnLZbvlsLjR-QqX67PMM80dOgCrPLhFZLw=w1200|https://lh3.googleusercontent.com/pw/AP1GczMnWflNdjxVAngVtlNh7xERY_dBZYJR9tjpUFuKZevAeWgHM3_ivBzHx8tTBZPu_KV9H_zgqzzSrulWR6GoUIgKws7CJj8EHKR6w_7A8B-B0wGv_EQj=w1200|https://lh3.googl"&amp;"eusercontent.com/pw/AP1GczNkQqzSe9MsyVV356XByyQAJHAeEAngEq1xT8qF22_c_58m0M0An2IuMJCciveuglBcyyOKp9ei-C1RY_ouxpdF4FNJ2ijYpCOUG_rVGqNLGWMOG45h=w1200")</f>
        <v>https://lh3.googleusercontent.com/pw/AP1GczMDeZEGQQpq6ZERXbbcZ9EPKVjgy-3EZxxG0qzuy0DNJte4IAkYqXSzOjChWpl39pdkQGxKCUqt8i_yQTsXrI8GbjuQvUk_Ir3ysGB-IFznjKG61foo=w1200|https://lh3.googleusercontent.com/pw/AP1GczOAtC6WxvXUaxcyV4sfToHiwwbpg-BAOgrJM6is5RNWEWRy3CszHGXlAzDxGCGGVZ3Hto0jWEEgTYcE0AEia45uOY9C6xq1szkL-8LiV2grpUIw3TjJ=w1200|https://lh3.googleusercontent.com/pw/AP1GczPkV1ZhT_dhJSNl_8snc22J9dzhdKFX4Q95qhy5_X3aOP1Ilju5jYpD0RfCNzGrHIEqjOfUbuSkZa1t5uWeJVWUufV9TQLjiMAhfKrikN61_MglxqqG=w1200|https://lh3.googleusercontent.com/pw/AP1GczOn2Hiri3JX9fGOFDjek1vdX0LQQuhJWMW9_bvbLfLI7s8Zy5Gq0GBcfRDRl_rmgUboIjgjAdZaiO-j2RStRbJcjRecyxqrtUXNyUc1BfxtmMwnEA1O=w1200|https://lh3.googleusercontent.com/pw/AP1GczPp_nzz0bkQpUb1uPi3dMlFEAhcfqfNgf1rsMUm_xD0yXVKvNKdNaywsLmRpx9u_YiNqBUOkHXsb0iEcd2FlFGWPWCsZqi3wEMZAe4W0xzgZMmWYG2m=w1200|https://lh3.googleusercontent.com/pw/AP1GczPMl5BYAUig8DY-rPmOXKl_ioZBQAsX4kny60SF9T1VwGEzq76cSzlisEGthsMUAky3xzrdkNRCQCfO6MgADUZK1Asd7W3ecqjRWjPURfsSgk6X2Kb-=w1200|https://lh3.googleusercontent.com/pw/AP1GczMVYN-IhSNPHfdz0a-s0QYzqQ9xxzNizSP7WGCudjmYML6nKMsoRlV3kOJUoFkliJpbhNL1FhZSKMvr1UmBI6hCb2Lp9n5fh_erd4rbRZN-79wqSYpw=w1200|https://lh3.googleusercontent.com/pw/AP1GczPu7krQbZXeyWtWllnMMrLOSNMKiVeg9H8T2WBtbipTf6q6fg6VfS2vkCHnbqzcACgUa11xRtT6r4IgGVAk-_YqKtIRmMyMJPiQwdbnvmUBt4V2uYLn=w1200|https://lh3.googleusercontent.com/pw/AP1GczPRqA6Zp4VSx2tq7w3J7czwNKxP3d5n3sYfAimT2WTe8OwURS3nUBHnYas68jdXGTPUu_gSBjXmG49jwCx6GkqTYYlMRGoKgS_LT-zUsdN6aTSmHhPz=w1200|https://lh3.googleusercontent.com/pw/AP1GczNFJpEH0pvz9_ji5fF0CGDt5y25mTsGYf-vrsgUqTEQdTlKg_ctOWVWC3jnUHzwxZR-MaQhuja3r6haC8HHS4y-_xQV10p6AtsTwD85t3DNidu1lmNb=w1200|https://lh3.googleusercontent.com/pw/AP1GczPjZb0zDrFyWeOlyedsYZ-QV1PcDGAsstonVaGPgWSQsDOAwXS0hbHpgx7myl9JEChkssOXrZkb1Y9q66mvYXXk3enZ5ysc5T8JagE3EPKif1FO-ySu=w1200|https://lh3.googleusercontent.com/pw/AP1GczOOEzP2nKRL8p6aCoz9d43C3jbWEB4bg82IpZ7wIdb5RuPnVpdrfBp1TCXYui_UISiFgbrELjVRMd1zqT5Z7UnruVdJd7HAmeCUV5qjl0ZezikIqgej=w1200|https://lh3.googleusercontent.com/pw/AP1GczOLOiAfP-ZM0YSlcyp220Ip1N9vqDnHOeO-VqyjMtSHHCQfCu9Uxj4rKv_zS4TBScTntU4LmU1Sgb3cEFF9T76e5hC2TMQ08-n-BoSzJ77hm5r-A_mf=w1200|https://lh3.googleusercontent.com/pw/AP1GczNaW8620cO7ZoAQJQlb4NN3FTapUAf6CuctJ9qADQqeoi27jIzOuaGNQLqIeTCyhLe2QsxUzij10M2xppd0Rmcx7zX3vBdBGRtOOOK-fGZdBuNwJ7gx=w1200|https://lh3.googleusercontent.com/pw/AP1GczMjviHasEEqKoh9mAT2Arxyrwzdyv1DxiTu102DLKYA01XvNASbpmpIsLCsvze7CtjkiJ8922UO60Txl0QKxkiodBIt1n7Erd42W8KV0XHr6twXhHSG=w1200|https://lh3.googleusercontent.com/pw/AP1GczNS3_7nF4Wq8MjQsbMW6xixSnx-qgkFYgGROAvPg5Ey8mc_Gp0D-i9fbHLMl2j4zwAlzAFCEx1M_mdYJ2SnLZbvlsLjR-QqX67PMM80dOgCrPLhFZLw=w1200|https://lh3.googleusercontent.com/pw/AP1GczMnWflNdjxVAngVtlNh7xERY_dBZYJR9tjpUFuKZevAeWgHM3_ivBzHx8tTBZPu_KV9H_zgqzzSrulWR6GoUIgKws7CJj8EHKR6w_7A8B-B0wGv_EQj=w1200|https://lh3.googleusercontent.com/pw/AP1GczNkQqzSe9MsyVV356XByyQAJHAeEAngEq1xT8qF22_c_58m0M0An2IuMJCciveuglBcyyOKp9ei-C1RY_ouxpdF4FNJ2ijYpCOUG_rVGqNLGWMOG45h=w1200</v>
      </c>
      <c r="AJ538" s="46"/>
      <c r="AK538" s="46"/>
      <c r="AL538" s="46"/>
      <c r="AM538" s="46"/>
      <c r="AN538" s="46"/>
      <c r="AO538" s="46"/>
      <c r="AP538" s="46"/>
      <c r="AQ538" s="46"/>
      <c r="AR538" s="46"/>
      <c r="AS538" s="46"/>
      <c r="AT538" s="46"/>
      <c r="AU538" s="46"/>
      <c r="AV538" s="46"/>
      <c r="AW538" s="46"/>
      <c r="AX538" s="46"/>
      <c r="AY538" s="46"/>
      <c r="AZ538" s="46"/>
      <c r="BA538" s="46"/>
      <c r="BB538" s="46"/>
      <c r="BC538" s="46"/>
      <c r="BD538" s="46"/>
      <c r="BE538" s="46"/>
      <c r="BF538" s="46"/>
      <c r="BG538" s="46"/>
      <c r="BH538" s="46"/>
      <c r="BI538" s="46"/>
      <c r="BJ538" s="46"/>
      <c r="BK538" s="46"/>
      <c r="BL538" s="46"/>
      <c r="BM538" s="46"/>
      <c r="BN538" s="46"/>
      <c r="BO538" s="46"/>
      <c r="BP538" s="46"/>
      <c r="BQ538" s="46"/>
      <c r="BR538" s="46"/>
      <c r="BS538" s="46"/>
      <c r="BT538" s="46"/>
      <c r="BU538" s="46"/>
      <c r="BV538" s="46"/>
      <c r="BW538" s="46"/>
      <c r="BX538" s="46"/>
      <c r="BY538" s="46"/>
      <c r="BZ538" s="46"/>
      <c r="CA538" s="46"/>
      <c r="CB538" s="46"/>
      <c r="CC538" s="46"/>
    </row>
    <row r="539">
      <c r="A539" s="87" t="str">
        <f>IFERROR(__xludf.DUMMYFUNCTION("""COMPUTED_VALUE"""),"714")</f>
        <v>714</v>
      </c>
      <c r="B539" s="46" t="str">
        <f>IFERROR(__xludf.DUMMYFUNCTION("""COMPUTED_VALUE"""),"Casa en conjunto Santorini II - Ipanema - Oriente")</f>
        <v>Casa en conjunto Santorini II - Ipanema - Oriente</v>
      </c>
      <c r="C539" s="46" t="str">
        <f>IFERROR(__xludf.DUMMYFUNCTION("""COMPUTED_VALUE"""),"Casa en conjunto")</f>
        <v>Casa en conjunto</v>
      </c>
      <c r="D539" s="46" t="str">
        <f>IFERROR(__xludf.DUMMYFUNCTION("""COMPUTED_VALUE"""),"Ipanema")</f>
        <v>Ipanema</v>
      </c>
      <c r="E539" s="46" t="str">
        <f>IFERROR(__xludf.DUMMYFUNCTION("""COMPUTED_VALUE"""),"Santorini II")</f>
        <v>Santorini II</v>
      </c>
      <c r="F539" s="90">
        <f>IFERROR(__xludf.DUMMYFUNCTION("""COMPUTED_VALUE"""),6.5E8)</f>
        <v>650000000</v>
      </c>
      <c r="G539" s="46" t="str">
        <f>IFERROR(__xludf.DUMMYFUNCTION("""COMPUTED_VALUE"""),"$500'000.000 a $1.000'000.000")</f>
        <v>$500'000.000 a $1.000'000.000</v>
      </c>
      <c r="H539" s="46"/>
      <c r="I539" s="46"/>
      <c r="J539" s="46" t="str">
        <f>IFERROR(__xludf.DUMMYFUNCTION("""COMPUTED_VALUE"""),"Oriente")</f>
        <v>Oriente</v>
      </c>
      <c r="K539" s="87" t="str">
        <f>IFERROR(__xludf.DUMMYFUNCTION("""COMPUTED_VALUE"""),"7")</f>
        <v>7</v>
      </c>
      <c r="L539" s="46">
        <f>IFERROR(__xludf.DUMMYFUNCTION("""COMPUTED_VALUE"""),3.0)</f>
        <v>3</v>
      </c>
      <c r="M539" s="46"/>
      <c r="N539" s="46">
        <f>IFERROR(__xludf.DUMMYFUNCTION("""COMPUTED_VALUE"""),3.0)</f>
        <v>3</v>
      </c>
      <c r="O539" s="46">
        <f>IFERROR(__xludf.DUMMYFUNCTION("""COMPUTED_VALUE"""),2.0)</f>
        <v>2</v>
      </c>
      <c r="P539" s="46">
        <f>IFERROR(__xludf.DUMMYFUNCTION("""COMPUTED_VALUE"""),2.0)</f>
        <v>2</v>
      </c>
      <c r="Q539" s="92">
        <f>IFERROR(__xludf.DUMMYFUNCTION("""COMPUTED_VALUE"""),0.0)</f>
        <v>0</v>
      </c>
      <c r="R539" s="92">
        <f>IFERROR(__xludf.DUMMYFUNCTION("""COMPUTED_VALUE"""),172.0)</f>
        <v>172</v>
      </c>
      <c r="S539" s="87" t="str">
        <f>IFERROR(__xludf.DUMMYFUNCTION("""COMPUTED_VALUE""")," ")</f>
        <v> </v>
      </c>
      <c r="T539" s="46" t="str">
        <f>IFERROR(__xludf.DUMMYFUNCTION("""COMPUTED_VALUE"""),"Neiva")</f>
        <v>Neiva</v>
      </c>
      <c r="U539" s="87" t="str">
        <f>IFERROR(__xludf.DUMMYFUNCTION("""COMPUTED_VALUE"""),"5")</f>
        <v>5</v>
      </c>
      <c r="V539" s="46" t="str">
        <f>IFERROR(__xludf.DUMMYFUNCTION("""COMPUTED_VALUE"""),"Esquinera")</f>
        <v>Esquinera</v>
      </c>
      <c r="W539" s="46"/>
      <c r="X539" s="46">
        <f>IFERROR(__xludf.DUMMYFUNCTION("""COMPUTED_VALUE"""),3.0)</f>
        <v>3</v>
      </c>
      <c r="Y539" s="46" t="str">
        <f>IFERROR(__xludf.DUMMYFUNCTION("""COMPUTED_VALUE"""),"Social")</f>
        <v>Social</v>
      </c>
      <c r="Z539" s="90">
        <f>IFERROR(__xludf.DUMMYFUNCTION("""COMPUTED_VALUE"""),520000.0)</f>
        <v>520000</v>
      </c>
      <c r="AA539" s="33" t="str">
        <f>IFERROR(__xludf.DUMMYFUNCTION("""COMPUTED_VALUE"""),"No aplica")</f>
        <v>No aplica</v>
      </c>
      <c r="AB539" s="144" t="str">
        <f>IFERROR(__xludf.DUMMYFUNCTION("""COMPUTED_VALUE"""),"https://photos.app.goo.gl/9Rp7f5LJ5p7UsUfPA")</f>
        <v>https://photos.app.goo.gl/9Rp7f5LJ5p7UsUfPA</v>
      </c>
      <c r="AC539" s="46" t="str">
        <f>IFERROR(__xludf.DUMMYFUNCTION("""COMPUTED_VALUE"""),"Área 172 M2 Portería 24 horas, sala de espera, cuatro piscinas (2 para adultos, 2 para niños), dos parques infantiles, polideportivo, tres salones comunales, zonas verdes. garaje techado para dos vehículos, antejardín, Primer piso: comedor amplio con vent"&amp;"ilador de techo, y acceso al patio que tiene dos puertas en vidrio y corredizas que da mas amplitud, depósito, sala amplia con baño, cocina integral abierta, alcoba de servicio con baño, zona de lavandería, instalación para lavadora. Segundo piso: tres al"&amp;"cobas con closet y aire acondicionado, alcoba principal con baño privado y balcón que comunica a la alcoba auxiliar, una de las alcobas con terraza, baño de alcobas. pisos en porcelanato. cortinas en toda la casa. Estrato 5. Administración $490.000. Llave"&amp;"s (2) en porteria")</f>
        <v>Área 172 M2 Portería 24 horas, sala de espera, cuatro piscinas (2 para adultos, 2 para niños), dos parques infantiles, polideportivo, tres salones comunales, zonas verdes. garaje techado para dos vehículos, antejardín, Primer piso: comedor amplio con ventilador de techo, y acceso al patio que tiene dos puertas en vidrio y corredizas que da mas amplitud, depósito, sala amplia con baño, cocina integral abierta, alcoba de servicio con baño, zona de lavandería, instalación para lavadora. Segundo piso: tres alcobas con closet y aire acondicionado, alcoba principal con baño privado y balcón que comunica a la alcoba auxiliar, una de las alcobas con terraza, baño de alcobas. pisos en porcelanato. cortinas en toda la casa. Estrato 5. Administración $490.000. Llaves (2) en porteria</v>
      </c>
      <c r="AD539" s="46" t="str">
        <f>IFERROR(__xludf.DUMMYFUNCTION("""COMPUTED_VALUE"""),"Esquinera")</f>
        <v>Esquinera</v>
      </c>
      <c r="AE539" s="46"/>
      <c r="AF539" s="46" t="str">
        <f>IFERROR(__xludf.DUMMYFUNCTION("""COMPUTED_VALUE"""),"integral")</f>
        <v>integral</v>
      </c>
      <c r="AG539" s="46"/>
      <c r="AH539" s="46" t="str">
        <f>IFERROR(__xludf.DUMMYFUNCTION("""COMPUTED_VALUE"""),"Aliado")</f>
        <v>Aliado</v>
      </c>
      <c r="AI539" s="92" t="str">
        <f>IFERROR(__xludf.DUMMYFUNCTION("""COMPUTED_VALUE"""),"https://lh3.googleusercontent.com/pw/AP1GczMD2-QWkBVltRrgMRgB-CCaQmw6J8VntkbAp7l6DInhYOd_vqbOHPn8pqA35FTts50jemi8YIIFiLj6gebjk8nEQpYP9cGuCm5uED8NyWhTinKyH2TA=w1200|https://lh3.googleusercontent.com/pw/AP1GczP8PdwEB-1SkEOBeBVLpDnzIWn_Ud1i236w_rgb4BQktAq2q3"&amp;"ewNOy8JZJMQhdI_hY56OJXNRkPWAW2unC6B1nC7ClTWQKWWfSRvj4NuHQxqok7oM0P=w1200|https://lh3.googleusercontent.com/pw/AP1GczPbL6kZdGSsp0Weea7wD7XxFYmApNj-g7bRomZgmVNAX5M8Z9rZfy65-n638TWQn8eBX0bfOwJfe5Y1irlNlcrEPqMVZlnPzCd13n_tX2UpGdD5UEEV=w1200|https://lh3.google"&amp;"usercontent.com/pw/AP1GczME5aE1JVEg4PbJLobSYtlloTTixooyXOi9OYSdv46F0MmZIGa7CWUphlvux6zwzQ2XhuwY97xYN9M-1u9w6jbhKbo471n_pw6i_6RPvZTq2sI2UVcf=w1200|https://lh3.googleusercontent.com/pw/AP1GczMHy-EIW21wWXVoqBUIuBgbhx3L9bV2BAEatZozsKjr6DfnXZiDr5SsTBlf4lz4YARM"&amp;"1bG1Rfyt5IVgROwpb1vCPrFoZlT2WV6hepsbxJwsl0KeUB39=w1200|https://lh3.googleusercontent.com/pw/AP1GczPEnIrjIdsReDHML9ZQpI_Vl_hz9_Apni3BlM2R3HIU5_4vZFtEU5p5EP_SE0e84nAIVFjI1F74sBj_oH8lVxHokIa6DQq7EM6gb5b0csCoWrTxIMV7=w1200|https://lh3.googleusercontent.com/pw"&amp;"/AP1GczM2ZpydvQPpgcN2HOyKm9VOOtQERVDK0fOv3GanxFVWHwr6MLtpMzPN0qzGeYM4ioDYo0Xf9qHrv-X49iNXPUCyaWmkxZX_SMasPxpyAorQGk3jlv5v=w1200|https://lh3.googleusercontent.com/pw/AP1GczP2m8Q3HfuSnOSmTGhHst7ZVobjq_VDOympJre87uiBIO2NNnH5vubVz88y1Tr9CiStkKF54V3WqtF5oDPvVE"&amp;"1ABRhXbl1SI-qjmncrqDAYeLy9YSRg=w1200|https://lh3.googleusercontent.com/pw/AP1GczM0DHFnpc_nLQHQwJzyOyr9LjC8Z1jsG3V7Z4y8NAAusuF4xozEuziKPJtoHFxpSm0hCs95NDcA8m2jf7Z4wAcF2ChpMxH4DW2t61_ntooLyX8iGCoP=w1200|https://lh3.googleusercontent.com/pw/AP1GczMkFrU7R-BqG"&amp;"MvadrV9Ca29M9poIrNArrHp579bRDWBOlc295z_zZ8FY7t2cdlxUQ5Vyp_6arNzD2cOvs_CSTM28uj7lP1FcqY2cjVu37OUobXlL2lV=w1200|https://lh3.googleusercontent.com/pw/AP1GczPQQHbH1IgRNjavvqbaida9r_Q1EimvEQVjHWpecfaHOpxcgyKAjCXHDJMc4B9ozaDdfHULIY1E90EjNlyL6UUvmZ_zZVSYy9ClZkMF"&amp;"3cmoE1cxzJa8=w1200|https://lh3.googleusercontent.com/pw/AP1GczMOME253i3UDlZSoAevmhYV9kX9lImvVatZSegBcZ_N_f6_Xr7urXNl1kTY1IgY0WO7reQnb5iFnvSdHsKCEhZukpiJnVGD7ukbdfJEcOW6Ng4Awy5P=w1200|https://lh3.googleusercontent.com/pw/AP1GczMr-H0zf06qWwTo770DpPedcvuRpZB"&amp;"92EI4BM-kakmxWsWzTgciP5hB9_oKNGIQMNZEgK1kqH5q2P9VGK7amvN0Mx8EXJhgTjboJab0UdpLO0i-6rVc=w1200|https://lh3.googleusercontent.com/pw/AP1GczOFnzhh_8fCyhWq9SoWx9tFNO4tFDY-fZyHyu0Nn_WzYMZi0Eu-sl5cFMzmmc7FWrTNgEhrt9je2AyGh5fzw_Ln2nW1X4ijNkLsYkI3MjEn7LQ19dbj=w1200"&amp;"|https://lh3.googleusercontent.com/pw/AP1GczNWh-ViDbaO2dFDMeQsX8zGeZ7oop8krJ6CamHIJl4MgwGWm2l_DGRG3IfCgtp-hrR6lsCAHhiQNntS4rcWTARVYwUQy2kbHv0ScIuh8iPbRw8uEMOA=w1200|https://lh3.googleusercontent.com/pw/AP1GczPsLzm_F4ag09e_hFIcX8i4JcXVIa6WJmazWkcXdOalvThHV"&amp;"dn3szp3bPheBrT4c1g20xwYhvVEeMpdvsgpwRtlNqBWdIjOp4LJbujSHWiclW0FVweG=w1200|https://lh3.googleusercontent.com/pw/AP1GczN-qa2X5t7WPPkTPfp-q0RLtvaMjJAA2udHHikueBQcRJw92VxStIiLFmmXDrrPGdjAbAaAcKha9Na7eM4qocxdZJpc7IaeC5FFv_gAjEBnObH0LKE7=w1200|https://lh3.googl"&amp;"eusercontent.com/pw/AP1GczNzxROVRoG49d05Tbneh4J7cOz3LStBwla7WbqBQfCnFo6JN1TfiUO97E9wYIi5m3qFvHnKxlfBbAg38wQiiQZ-5wCbNMbpVQDQM-mp4kUWBhLQ4CH8=w1200|https://lh3.googleusercontent.com/pw/AP1GczPcZyQkvFcWg5KgBmBesy-JcA1xrhKzGlOsfjEGaUKQ0oLBWu5bAzo23aATEpab9tI"&amp;"EqDzOY3UdwoZICMRYi1UeGiJHoCo5xJb_IoRqCFX2oPnFH2hI=w1200|https://lh3.googleusercontent.com/pw/AP1GczM_PSruZCJnRVY43YO3D4TXhbOMAUxiPpQuItagMY2JSZjAFvW868TP_LCl0tNlitN3Rv51IerjMcTU0TQAnGDm6Paow7CxiYT0Ce6-uOyTwkX7wqOP=w1200|https://lh3.googleusercontent.com/p"&amp;"w/AP1GczPt8B9lKy1l0dkhB4_JGXuoAB5AgVP3LF6lWI4SRr-wdGG06_7SbCH7JPR-F45kxrJbsCsN6lA1GLNt4Auez5_QfKLeTTNck0NjrvO8Ll0pbeXlpgtH=w1200|https://lh3.googleusercontent.com/pw/AP1GczMhSagUbH4njCPjFnHvlA2hcJo838KShX-yjBdtR8u0DGjxGQUxKhboVwvkKbfi9fXQ6KjFuj5Q6XeKJRLlh"&amp;"skITBsJ1ovDJgEGCU2KriZ4S0WF4Y1z=w1200|https://lh3.googleusercontent.com/pw/AP1GczOkg-OYOAz1HBbGLA-aNYqPi5UcmKQ32w8y0smxJsxtTJSG835cFsk_6uItxfc1Meiqfdol_HFR6SXXX9t4q90UBTEF3fM_c_ujU3V9edGmHe2aOFSL=w1200|https://lh3.googleusercontent.com/pw/AP1GczMEV2b5dgge"&amp;"HPaSYp2WNIWvOWP_nvJ2eS3s7f7W-WtcIAy_s7xzsQTxgtU5BcsIKEkOZZ-pYH41Ho89I6ZXW6dADN5aa31s9R9oiaZYuyrCc5A_OU_Q=w1200|https://lh3.googleusercontent.com/pw/AP1GczOiXr1-2UTd-g4ZyW0voXcd8cHVsC5zG8Nnc2hC60WbSDVTJm4gc3i0nxxL9NKk_VbUfp9Z7xV-YAXYHXWW4YkX0ow1elVpdRxs8mP"&amp;"nCZlQC6PtzUS9=w1200|https://lh3.googleusercontent.com/pw/AP1GczMBhei8RsWoug7Lt-qNW_qt-s4RHXMLfqxoFDvV_PpAMg3s6quBdBItBKBqz4kbkqgb94RNFo57dK4_9iIAbPVwRVdoeqFMf_TFGRYR0YkVTUF6uDrr=w1200|https://lh3.googleusercontent.com/pw/AP1GczOWeZOBMoXvKw2swUd5O8A0-9y7-W"&amp;"P2J31_0JovHBcXS8zwsAR084fN1wUlTgFwZbZYefRp7ken7Bo7vnm9NbYc469esCF9DC7QgHbv2uArIkqHwxgQ=w1200|https://lh3.googleusercontent.com/pw/AP1GczP7WuyQbnM8eMV-pmfgLVKw2pmEFARuFubCj6zgqQmcaN41hets9KGOdTS_ZZ6rRRqNk6m-X9RUv3wcummIRn7Gzzd9ZGWJShCC87Uki6zNpCC-TJKU=w120"&amp;"0|https://lh3.googleusercontent.com/pw/AP1GczMNSDeN_bvf3FSrscaHVfPVE4Ino4akyyJ1dgNJSqb10qotqm2gT0MtXtaTJoDTlKsG-IAhJNgN5HqvmUpcgxM13VgjzJY8hVCXp7AQ-RZtXGvWhdqH=w1200|https://lh3.googleusercontent.com/pw/AP1GczMRFtNwON32KtfBisCAPpVp4CMOI6JqI_9FjEk8UgQim5mt"&amp;"sJNWE3hOmvOOfQ3JZVEYntmCSruZP1FQ2TKTH7dujkgopZa-HEHVXaL0_33FFiTrLlgi=w1200|https://lh3.googleusercontent.com/pw/AP1GczNHzzsB68_erqr4x7r3zf1EsaP4ifAmtnNkX7w4mklhMPxXBFx-CIdIEiS88q3CpZnvw1xifwzmY70_12ewd4szQH9fGAYrcoQIcCOICbMKWCO5S5_m=w1200|https://lh3.goog"&amp;"leusercontent.com/pw/AP1GczOr_4Dq1p-9keYkpTEKsRtpcIwmgVsFYQEuxhDDFPom2ock7gYgM8E3xA3aXCCzygLQYXBtwaHTwavtaSAQG3SdTGax97_ztzAUp_-lOiBMiIU7RnDy=w1200|https://lh3.googleusercontent.com/pw/AP1GczPu9kbBfmTgfeLDMKnx_2DVyMzy4fzq-4OG-X_ZYuZWr7Fdk0DCHbSG_lTfa2ViUN"&amp;"eJltsXiBG4MZsy15mLwi_R_Zq-CgdzfTpZsyT_rpvjD3aJca8Y=w1200|https://lh3.googleusercontent.com/pw/AP1GczMOI4NK3LKQ5WF0o5U_NSKEMfsRtZ90oqLkqIR5il_edPTZAtIFWAx2h0iXb9MJFxbEgZqCI-X4ndJnze_1ZAqvDNdqn3v1y3qjQHTJXI2m4Kjo-dSB=w1200|https://lh3.googleusercontent.com/"&amp;"pw/AP1GczMJ9jL6QfVjeYXhWL1aP2_0vDzV_1937sLFMeHHqsJuRDSQQpZaksz8dUcN5k6oYUibGOcEgjrbY-gkePiA0AoDTq2CkuQBAjcRG7zYX4yTxhcqxGIV=w1200|https://lh3.googleusercontent.com/pw/AP1GczPc_mXembWg8z2HFUiytsFJGZ8ZB8omB9UqnH8SsbRtWdzhUs7DBOR0XKhGFCbwvcdNOy0O0AHczRZDCTQF"&amp;"UmmICJe8QrORf-il8urJ3uwb_P4Mx4eO=w1200|https://lh3.googleusercontent.com/pw/AP1GczOf1i6WmAkTTemX-d7QXr82bIkQlP114T_HghJxvFuNKsA5tprPI3JzhT-dYi4vtWQDDnKEHNKHUGi8-bEeALzNkIo8_sTgSHbDQOeUG88HSW6Vdfjs=w1200")</f>
        <v>https://lh3.googleusercontent.com/pw/AP1GczMD2-QWkBVltRrgMRgB-CCaQmw6J8VntkbAp7l6DInhYOd_vqbOHPn8pqA35FTts50jemi8YIIFiLj6gebjk8nEQpYP9cGuCm5uED8NyWhTinKyH2TA=w1200|https://lh3.googleusercontent.com/pw/AP1GczP8PdwEB-1SkEOBeBVLpDnzIWn_Ud1i236w_rgb4BQktAq2q3ewNOy8JZJMQhdI_hY56OJXNRkPWAW2unC6B1nC7ClTWQKWWfSRvj4NuHQxqok7oM0P=w1200|https://lh3.googleusercontent.com/pw/AP1GczPbL6kZdGSsp0Weea7wD7XxFYmApNj-g7bRomZgmVNAX5M8Z9rZfy65-n638TWQn8eBX0bfOwJfe5Y1irlNlcrEPqMVZlnPzCd13n_tX2UpGdD5UEEV=w1200|https://lh3.googleusercontent.com/pw/AP1GczME5aE1JVEg4PbJLobSYtlloTTixooyXOi9OYSdv46F0MmZIGa7CWUphlvux6zwzQ2XhuwY97xYN9M-1u9w6jbhKbo471n_pw6i_6RPvZTq2sI2UVcf=w1200|https://lh3.googleusercontent.com/pw/AP1GczMHy-EIW21wWXVoqBUIuBgbhx3L9bV2BAEatZozsKjr6DfnXZiDr5SsTBlf4lz4YARM1bG1Rfyt5IVgROwpb1vCPrFoZlT2WV6hepsbxJwsl0KeUB39=w1200|https://lh3.googleusercontent.com/pw/AP1GczPEnIrjIdsReDHML9ZQpI_Vl_hz9_Apni3BlM2R3HIU5_4vZFtEU5p5EP_SE0e84nAIVFjI1F74sBj_oH8lVxHokIa6DQq7EM6gb5b0csCoWrTxIMV7=w1200|https://lh3.googleusercontent.com/pw/AP1GczM2ZpydvQPpgcN2HOyKm9VOOtQERVDK0fOv3GanxFVWHwr6MLtpMzPN0qzGeYM4ioDYo0Xf9qHrv-X49iNXPUCyaWmkxZX_SMasPxpyAorQGk3jlv5v=w1200|https://lh3.googleusercontent.com/pw/AP1GczP2m8Q3HfuSnOSmTGhHst7ZVobjq_VDOympJre87uiBIO2NNnH5vubVz88y1Tr9CiStkKF54V3WqtF5oDPvVE1ABRhXbl1SI-qjmncrqDAYeLy9YSRg=w1200|https://lh3.googleusercontent.com/pw/AP1GczM0DHFnpc_nLQHQwJzyOyr9LjC8Z1jsG3V7Z4y8NAAusuF4xozEuziKPJtoHFxpSm0hCs95NDcA8m2jf7Z4wAcF2ChpMxH4DW2t61_ntooLyX8iGCoP=w1200|https://lh3.googleusercontent.com/pw/AP1GczMkFrU7R-BqGMvadrV9Ca29M9poIrNArrHp579bRDWBOlc295z_zZ8FY7t2cdlxUQ5Vyp_6arNzD2cOvs_CSTM28uj7lP1FcqY2cjVu37OUobXlL2lV=w1200|https://lh3.googleusercontent.com/pw/AP1GczPQQHbH1IgRNjavvqbaida9r_Q1EimvEQVjHWpecfaHOpxcgyKAjCXHDJMc4B9ozaDdfHULIY1E90EjNlyL6UUvmZ_zZVSYy9ClZkMF3cmoE1cxzJa8=w1200|https://lh3.googleusercontent.com/pw/AP1GczMOME253i3UDlZSoAevmhYV9kX9lImvVatZSegBcZ_N_f6_Xr7urXNl1kTY1IgY0WO7reQnb5iFnvSdHsKCEhZukpiJnVGD7ukbdfJEcOW6Ng4Awy5P=w1200|https://lh3.googleusercontent.com/pw/AP1GczMr-H0zf06qWwTo770DpPedcvuRpZB92EI4BM-kakmxWsWzTgciP5hB9_oKNGIQMNZEgK1kqH5q2P9VGK7amvN0Mx8EXJhgTjboJab0UdpLO0i-6rVc=w1200|https://lh3.googleusercontent.com/pw/AP1GczOFnzhh_8fCyhWq9SoWx9tFNO4tFDY-fZyHyu0Nn_WzYMZi0Eu-sl5cFMzmmc7FWrTNgEhrt9je2AyGh5fzw_Ln2nW1X4ijNkLsYkI3MjEn7LQ19dbj=w1200|https://lh3.googleusercontent.com/pw/AP1GczNWh-ViDbaO2dFDMeQsX8zGeZ7oop8krJ6CamHIJl4MgwGWm2l_DGRG3IfCgtp-hrR6lsCAHhiQNntS4rcWTARVYwUQy2kbHv0ScIuh8iPbRw8uEMOA=w1200|https://lh3.googleusercontent.com/pw/AP1GczPsLzm_F4ag09e_hFIcX8i4JcXVIa6WJmazWkcXdOalvThHVdn3szp3bPheBrT4c1g20xwYhvVEeMpdvsgpwRtlNqBWdIjOp4LJbujSHWiclW0FVweG=w1200|https://lh3.googleusercontent.com/pw/AP1GczN-qa2X5t7WPPkTPfp-q0RLtvaMjJAA2udHHikueBQcRJw92VxStIiLFmmXDrrPGdjAbAaAcKha9Na7eM4qocxdZJpc7IaeC5FFv_gAjEBnObH0LKE7=w1200|https://lh3.googleusercontent.com/pw/AP1GczNzxROVRoG49d05Tbneh4J7cOz3LStBwla7WbqBQfCnFo6JN1TfiUO97E9wYIi5m3qFvHnKxlfBbAg38wQiiQZ-5wCbNMbpVQDQM-mp4kUWBhLQ4CH8=w1200|https://lh3.googleusercontent.com/pw/AP1GczPcZyQkvFcWg5KgBmBesy-JcA1xrhKzGlOsfjEGaUKQ0oLBWu5bAzo23aATEpab9tIEqDzOY3UdwoZICMRYi1UeGiJHoCo5xJb_IoRqCFX2oPnFH2hI=w1200|https://lh3.googleusercontent.com/pw/AP1GczM_PSruZCJnRVY43YO3D4TXhbOMAUxiPpQuItagMY2JSZjAFvW868TP_LCl0tNlitN3Rv51IerjMcTU0TQAnGDm6Paow7CxiYT0Ce6-uOyTwkX7wqOP=w1200|https://lh3.googleusercontent.com/pw/AP1GczPt8B9lKy1l0dkhB4_JGXuoAB5AgVP3LF6lWI4SRr-wdGG06_7SbCH7JPR-F45kxrJbsCsN6lA1GLNt4Auez5_QfKLeTTNck0NjrvO8Ll0pbeXlpgtH=w1200|https://lh3.googleusercontent.com/pw/AP1GczMhSagUbH4njCPjFnHvlA2hcJo838KShX-yjBdtR8u0DGjxGQUxKhboVwvkKbfi9fXQ6KjFuj5Q6XeKJRLlhskITBsJ1ovDJgEGCU2KriZ4S0WF4Y1z=w1200|https://lh3.googleusercontent.com/pw/AP1GczOkg-OYOAz1HBbGLA-aNYqPi5UcmKQ32w8y0smxJsxtTJSG835cFsk_6uItxfc1Meiqfdol_HFR6SXXX9t4q90UBTEF3fM_c_ujU3V9edGmHe2aOFSL=w1200|https://lh3.googleusercontent.com/pw/AP1GczMEV2b5dggeHPaSYp2WNIWvOWP_nvJ2eS3s7f7W-WtcIAy_s7xzsQTxgtU5BcsIKEkOZZ-pYH41Ho89I6ZXW6dADN5aa31s9R9oiaZYuyrCc5A_OU_Q=w1200|https://lh3.googleusercontent.com/pw/AP1GczOiXr1-2UTd-g4ZyW0voXcd8cHVsC5zG8Nnc2hC60WbSDVTJm4gc3i0nxxL9NKk_VbUfp9Z7xV-YAXYHXWW4YkX0ow1elVpdRxs8mPnCZlQC6PtzUS9=w1200|https://lh3.googleusercontent.com/pw/AP1GczMBhei8RsWoug7Lt-qNW_qt-s4RHXMLfqxoFDvV_PpAMg3s6quBdBItBKBqz4kbkqgb94RNFo57dK4_9iIAbPVwRVdoeqFMf_TFGRYR0YkVTUF6uDrr=w1200|https://lh3.googleusercontent.com/pw/AP1GczOWeZOBMoXvKw2swUd5O8A0-9y7-WP2J31_0JovHBcXS8zwsAR084fN1wUlTgFwZbZYefRp7ken7Bo7vnm9NbYc469esCF9DC7QgHbv2uArIkqHwxgQ=w1200|https://lh3.googleusercontent.com/pw/AP1GczP7WuyQbnM8eMV-pmfgLVKw2pmEFARuFubCj6zgqQmcaN41hets9KGOdTS_ZZ6rRRqNk6m-X9RUv3wcummIRn7Gzzd9ZGWJShCC87Uki6zNpCC-TJKU=w1200|https://lh3.googleusercontent.com/pw/AP1GczMNSDeN_bvf3FSrscaHVfPVE4Ino4akyyJ1dgNJSqb10qotqm2gT0MtXtaTJoDTlKsG-IAhJNgN5HqvmUpcgxM13VgjzJY8hVCXp7AQ-RZtXGvWhdqH=w1200|https://lh3.googleusercontent.com/pw/AP1GczMRFtNwON32KtfBisCAPpVp4CMOI6JqI_9FjEk8UgQim5mtsJNWE3hOmvOOfQ3JZVEYntmCSruZP1FQ2TKTH7dujkgopZa-HEHVXaL0_33FFiTrLlgi=w1200|https://lh3.googleusercontent.com/pw/AP1GczNHzzsB68_erqr4x7r3zf1EsaP4ifAmtnNkX7w4mklhMPxXBFx-CIdIEiS88q3CpZnvw1xifwzmY70_12ewd4szQH9fGAYrcoQIcCOICbMKWCO5S5_m=w1200|https://lh3.googleusercontent.com/pw/AP1GczOr_4Dq1p-9keYkpTEKsRtpcIwmgVsFYQEuxhDDFPom2ock7gYgM8E3xA3aXCCzygLQYXBtwaHTwavtaSAQG3SdTGax97_ztzAUp_-lOiBMiIU7RnDy=w1200|https://lh3.googleusercontent.com/pw/AP1GczPu9kbBfmTgfeLDMKnx_2DVyMzy4fzq-4OG-X_ZYuZWr7Fdk0DCHbSG_lTfa2ViUNeJltsXiBG4MZsy15mLwi_R_Zq-CgdzfTpZsyT_rpvjD3aJca8Y=w1200|https://lh3.googleusercontent.com/pw/AP1GczMOI4NK3LKQ5WF0o5U_NSKEMfsRtZ90oqLkqIR5il_edPTZAtIFWAx2h0iXb9MJFxbEgZqCI-X4ndJnze_1ZAqvDNdqn3v1y3qjQHTJXI2m4Kjo-dSB=w1200|https://lh3.googleusercontent.com/pw/AP1GczMJ9jL6QfVjeYXhWL1aP2_0vDzV_1937sLFMeHHqsJuRDSQQpZaksz8dUcN5k6oYUibGOcEgjrbY-gkePiA0AoDTq2CkuQBAjcRG7zYX4yTxhcqxGIV=w1200|https://lh3.googleusercontent.com/pw/AP1GczPc_mXembWg8z2HFUiytsFJGZ8ZB8omB9UqnH8SsbRtWdzhUs7DBOR0XKhGFCbwvcdNOy0O0AHczRZDCTQFUmmICJe8QrORf-il8urJ3uwb_P4Mx4eO=w1200|https://lh3.googleusercontent.com/pw/AP1GczOf1i6WmAkTTemX-d7QXr82bIkQlP114T_HghJxvFuNKsA5tprPI3JzhT-dYi4vtWQDDnKEHNKHUGi8-bEeALzNkIo8_sTgSHbDQOeUG88HSW6Vdfjs=w1200</v>
      </c>
      <c r="AJ539" s="46"/>
      <c r="AK539" s="46"/>
      <c r="AL539" s="46"/>
      <c r="AM539" s="46"/>
      <c r="AN539" s="46"/>
      <c r="AO539" s="46"/>
      <c r="AP539" s="46"/>
      <c r="AQ539" s="46"/>
      <c r="AR539" s="46"/>
      <c r="AS539" s="46"/>
      <c r="AT539" s="46"/>
      <c r="AU539" s="46"/>
      <c r="AV539" s="46"/>
      <c r="AW539" s="46"/>
      <c r="AX539" s="46"/>
      <c r="AY539" s="46"/>
      <c r="AZ539" s="46"/>
      <c r="BA539" s="46"/>
      <c r="BB539" s="46"/>
      <c r="BC539" s="46"/>
      <c r="BD539" s="46"/>
      <c r="BE539" s="46"/>
      <c r="BF539" s="46"/>
      <c r="BG539" s="46"/>
      <c r="BH539" s="46"/>
      <c r="BI539" s="46"/>
      <c r="BJ539" s="46"/>
      <c r="BK539" s="46"/>
      <c r="BL539" s="46"/>
      <c r="BM539" s="46"/>
      <c r="BN539" s="46"/>
      <c r="BO539" s="46"/>
      <c r="BP539" s="46"/>
      <c r="BQ539" s="46"/>
      <c r="BR539" s="46"/>
      <c r="BS539" s="46"/>
      <c r="BT539" s="46"/>
      <c r="BU539" s="46"/>
      <c r="BV539" s="46"/>
      <c r="BW539" s="46"/>
      <c r="BX539" s="46"/>
      <c r="BY539" s="46"/>
      <c r="BZ539" s="46"/>
      <c r="CA539" s="46"/>
      <c r="CB539" s="46"/>
      <c r="CC539" s="46"/>
    </row>
    <row r="540">
      <c r="A540" s="87" t="str">
        <f>IFERROR(__xludf.DUMMYFUNCTION("""COMPUTED_VALUE"""),"667")</f>
        <v>667</v>
      </c>
      <c r="B540" s="46" t="str">
        <f>IFERROR(__xludf.DUMMYFUNCTION("""COMPUTED_VALUE"""),"Casa tipo IPS en barrio Quirinal")</f>
        <v>Casa tipo IPS en barrio Quirinal</v>
      </c>
      <c r="C540" s="46" t="str">
        <f>IFERROR(__xludf.DUMMYFUNCTION("""COMPUTED_VALUE"""),"Casa")</f>
        <v>Casa</v>
      </c>
      <c r="D540" s="46" t="str">
        <f>IFERROR(__xludf.DUMMYFUNCTION("""COMPUTED_VALUE"""),"Quirinal")</f>
        <v>Quirinal</v>
      </c>
      <c r="E540" s="46"/>
      <c r="F540" s="90">
        <f>IFERROR(__xludf.DUMMYFUNCTION("""COMPUTED_VALUE"""),6.5E8)</f>
        <v>650000000</v>
      </c>
      <c r="G540" s="46" t="str">
        <f>IFERROR(__xludf.DUMMYFUNCTION("""COMPUTED_VALUE"""),"$500'000.000 a $1.000'000.000")</f>
        <v>$500'000.000 a $1.000'000.000</v>
      </c>
      <c r="H540" s="46"/>
      <c r="I540" s="46"/>
      <c r="J540" s="46" t="str">
        <f>IFERROR(__xludf.DUMMYFUNCTION("""COMPUTED_VALUE"""),"Centro")</f>
        <v>Centro</v>
      </c>
      <c r="K540" s="87" t="str">
        <f>IFERROR(__xludf.DUMMYFUNCTION("""COMPUTED_VALUE"""),"3")</f>
        <v>3</v>
      </c>
      <c r="L540" s="46">
        <f>IFERROR(__xludf.DUMMYFUNCTION("""COMPUTED_VALUE"""),4.0)</f>
        <v>4</v>
      </c>
      <c r="M540" s="46"/>
      <c r="N540" s="46">
        <f>IFERROR(__xludf.DUMMYFUNCTION("""COMPUTED_VALUE"""),4.0)</f>
        <v>4</v>
      </c>
      <c r="O540" s="46">
        <f>IFERROR(__xludf.DUMMYFUNCTION("""COMPUTED_VALUE"""),0.0)</f>
        <v>0</v>
      </c>
      <c r="P540" s="46">
        <f>IFERROR(__xludf.DUMMYFUNCTION("""COMPUTED_VALUE"""),2.0)</f>
        <v>2</v>
      </c>
      <c r="Q540" s="92">
        <f>IFERROR(__xludf.DUMMYFUNCTION("""COMPUTED_VALUE"""),221.0)</f>
        <v>221</v>
      </c>
      <c r="R540" s="92">
        <f>IFERROR(__xludf.DUMMYFUNCTION("""COMPUTED_VALUE"""),143.0)</f>
        <v>143</v>
      </c>
      <c r="S540" s="87" t="str">
        <f>IFERROR(__xludf.DUMMYFUNCTION("""COMPUTED_VALUE""")," ")</f>
        <v> </v>
      </c>
      <c r="T540" s="46" t="str">
        <f>IFERROR(__xludf.DUMMYFUNCTION("""COMPUTED_VALUE"""),"Neiva")</f>
        <v>Neiva</v>
      </c>
      <c r="U540" s="87" t="str">
        <f>IFERROR(__xludf.DUMMYFUNCTION("""COMPUTED_VALUE"""),"4")</f>
        <v>4</v>
      </c>
      <c r="V540" s="46" t="str">
        <f>IFERROR(__xludf.DUMMYFUNCTION("""COMPUTED_VALUE"""),"Medianera")</f>
        <v>Medianera</v>
      </c>
      <c r="W540" s="46"/>
      <c r="X540" s="46">
        <f>IFERROR(__xludf.DUMMYFUNCTION("""COMPUTED_VALUE"""),4.0)</f>
        <v>4</v>
      </c>
      <c r="Y540" s="46" t="str">
        <f>IFERROR(__xludf.DUMMYFUNCTION("""COMPUTED_VALUE"""),"No tiene")</f>
        <v>No tiene</v>
      </c>
      <c r="Z540" s="90" t="str">
        <f>IFERROR(__xludf.DUMMYFUNCTION("""COMPUTED_VALUE"""),"No aplica")</f>
        <v>No aplica</v>
      </c>
      <c r="AA540" s="33" t="str">
        <f>IFERROR(__xludf.DUMMYFUNCTION("""COMPUTED_VALUE"""),"No aplica")</f>
        <v>No aplica</v>
      </c>
      <c r="AB540" s="144" t="str">
        <f>IFERROR(__xludf.DUMMYFUNCTION("""COMPUTED_VALUE"""),"https://photos.app.goo.gl/wnAKnpL8RqvjYTzi7")</f>
        <v>https://photos.app.goo.gl/wnAKnpL8RqvjYTzi7</v>
      </c>
      <c r="AC540" s="46" t="str">
        <f>IFERROR(__xludf.DUMMYFUNCTION("""COMPUTED_VALUE"""),"Área 143 M2, construidos 221 M2, casa de dos pisos con antejardín amplio, con acceso de rampla, puerta metálica, puerta corrediza en aluminio, sala amplia, comedor, jardín zona húmeda, zona de cafetería, baño cocina integral cerrada, pisos en porcelanato,"&amp;" sótano debajo de la escalera. Segundo piso con escalera en forma de caracol con pasa manos en madera y decorado en piedra, pisos en mármol, sala, estudio con puerta en madera y vidrio, ventanal amplio con división metálica, pisos en baldosa, licorera en "&amp;"madera, tres alcobas con closet amplio, un alcoba con baño privado, pisos en baldosa, dos alcobas con vista hacia el primer piso de la zona húmeda, baño de alcobas con mueble en madera, closet, iluminación natura que da hacia la escalera.
")</f>
        <v>Área 143 M2, construidos 221 M2, casa de dos pisos con antejardín amplio, con acceso de rampla, puerta metálica, puerta corrediza en aluminio, sala amplia, comedor, jardín zona húmeda, zona de cafetería, baño cocina integral cerrada, pisos en porcelanato, sótano debajo de la escalera. Segundo piso con escalera en forma de caracol con pasa manos en madera y decorado en piedra, pisos en mármol, sala, estudio con puerta en madera y vidrio, ventanal amplio con división metálica, pisos en baldosa, licorera en madera, tres alcobas con closet amplio, un alcoba con baño privado, pisos en baldosa, dos alcobas con vista hacia el primer piso de la zona húmeda, baño de alcobas con mueble en madera, closet, iluminación natura que da hacia la escalera.
</v>
      </c>
      <c r="AD540" s="46"/>
      <c r="AE540" s="46"/>
      <c r="AF540" s="46" t="str">
        <f>IFERROR(__xludf.DUMMYFUNCTION("""COMPUTED_VALUE"""),"integral")</f>
        <v>integral</v>
      </c>
      <c r="AG540" s="46"/>
      <c r="AH540" s="46" t="str">
        <f>IFERROR(__xludf.DUMMYFUNCTION("""COMPUTED_VALUE"""),"Aliado")</f>
        <v>Aliado</v>
      </c>
      <c r="AI540" s="92" t="str">
        <f>IFERROR(__xludf.DUMMYFUNCTION("""COMPUTED_VALUE"""),"https://lh3.googleusercontent.com/pw/AP1GczOP7kTIcdcFaQxX6K84eL0qI2zx4lA2O2Grdr-3sjzrxHRGax7nlwujHi1KX6RpK97fIgOpNgg9tvsneaomLokgkRZthMAzpnwuuXtt5TiED7qhK03S=w1200|https://lh3.googleusercontent.com/pw/AP1GczPPKJLYJAV7DzvuluJuEnlsDkzwvvjn2JRi8nS9kCYxLWbYFD"&amp;"CWKSeGwIzuf5mZoACQzQQOd5WuLPJCoka0KmaiJKfTrBvj2B4ymFoRnNIUcKuQvAE1=w1200|https://lh3.googleusercontent.com/pw/AP1GczOorgtJyiSzZB1PoyDl-Dd_TPuVntSg-A-SQorF2lrZBey75xYJ8ws91hgyIlTyp-cWG0UewMxYpBuEEIGxqAjfLBnsMrLbI71XczvsnjczgSwHrLaM=w1200|https://lh3.google"&amp;"usercontent.com/pw/AP1GczNkR1Irx2yaf2TITrlYPAEBQpbLwOdBCMPcsqAZ_78wFJhA3gfpCo-wFaYIJjMZeO2MinbJzx6wqLd3-s-c7Dngaa_NAxLCXmHfRn6Qx6yFrdi7BeQ7=w1200|https://lh3.googleusercontent.com/pw/AP1GczMcvP8L1Nx5tKB9z7GYrZ7Alu37LkClLCTMZBTJdwGH0uF3Bjg4sizhF3ygvbCcPwTU"&amp;"3rD_QSB5xCC1Ec2TDEsmqdDtli8RnhHLAcgJjiEFUMaTiusX=w1200|https://lh3.googleusercontent.com/pw/AP1GczNSXMLd8UZ2k2cwU3Li_gGt6wiCUS4ToL3CIINDbdHzxpijd0a3rt-YGHuxGwbMjR9qGdBiCWZHhRPBBoszIvXf_XD_aTWirixH0Hwm5MX1aXTIFbxP=w1200|https://lh3.googleusercontent.com/pw"&amp;"/AP1GczNlPxd70fo2J7pFPlv8SBcSjB_35bWvssSvV_VKfkOOqIjN6JVWwBigBSmWS4fbbQmUbhex22jBuvKTQw1NgO9fQr539na5tZYXA4lc-d9tAboOSNKJ=w1200|https://lh3.googleusercontent.com/pw/AP1GczMBzDonRbpS6JU3byBU2uh1FdtbxyBUE3OGjICsfiGhlaZI7GQibc18uXr_lxeULhaxjGdsTXKKQ9Z0QArVW8"&amp;"ZiijCu654iju5viWut6FVPLGSelvNt=w1200|https://lh3.googleusercontent.com/pw/AP1GczM6Vr5MdzgyFr-eXEX60BP61iGDFS30WsiH6tm-CyIe1Ijb6vePjeq0eszYHxF50bisjqkJjGsWBKWNYoM7lBhFGNopiQKSwqY1Wokl1Ubsy32AnuJB=w1200|https://lh3.googleusercontent.com/pw/AP1GczPyPucm40YC6"&amp;"mbqpjH51Fo8kN0NSchiCSsZ9O468AvEDotbvPDxxlBhYpSd7aRT5F2BX0-p8shpP6FrmwbPoakAmsvT4ujcTFIsL515CsoGhHeiDUTi=w1200|https://lh3.googleusercontent.com/pw/AP1GczPJ7TGYyTlcMo5ZXCayIlbgRij7iptYVlGn547kubEGEDTudYCxiQH1CuTKMenXCQb8T4nQh2MaCRaA-jYp1GV6Ff-VeISdy1-6YYia"&amp;"q2OMX9Fw3Z6w=w1200|https://lh3.googleusercontent.com/pw/AP1GczPANsDfjaG44iCnfaSSAuMaPRPlMWgEoniMr-3Gtz7eGfxwz9VzCby7-oQGQCHyd2Bv595OVOoOEjXUJV5xqx8l8_Nk6Z0edrW73yEj6KTICg6xXdTu=w1200|https://lh3.googleusercontent.com/pw/AP1GczOjmamjRq35sn7y4JTy0c3UESDuKPX"&amp;"eUcU0WUcK8r8P8B1Y3UFLNVDFNezxMeZf2kuF0XgHNKKnprSZCIiSv0UVQosO5jHVGOTi3zZn88Pyci3WK_uv=w1200|https://lh3.googleusercontent.com/pw/AP1GczM3OYUOKuq3GaS0hynWWztN_MpJHIxtwZSEH6sBX2wJjnb8PJ6uAEN2FZmMAYLgmsO3QcSxRDNmKD1q_5Z82t68Iumt6pChZr1Of9GtlF6JbhIkQb-Q=w1200"&amp;"|https://lh3.googleusercontent.com/pw/AP1GczMG8ESV9llBx_adN0v-xQS3dnIomtQ_d-OIRrSMZa8lkg3CEsSB4mJzzj05cgdMJ-nUfeiugYChgpGXNElzrVlGWj4NVOMVwdcKJHkMtHtUUyjw0g_e=w1200|https://lh3.googleusercontent.com/pw/AP1GczNuSYsUUAE_RMSKs6040I0tpQ9NOq1zP3pEo6hewIwc_XwAt"&amp;"w6NL38P22UlcfBHhoYrHc0ckv3Fvz9aq-Zp_zJSW60c9A5zAvZBBISf5WoBxPgOJs0K=w1200|https://lh3.googleusercontent.com/pw/AP1GczMz9OwbgBf9ocesXO5RWRUAnAXku_US6qQxXCc8jxGYteRmIlxYSI5fMUs4OKLhNvGqHUuv4bCdnSMALB33gIhRpuPoaP5fpXjTmTSIv607izRc5S1U=w1200|https://lh3.googl"&amp;"eusercontent.com/pw/AP1GczNe_2odF9vwHfeN88hP-ylvHfkDiD2WYrfHpyxyMb50igYYJ-CJgXJDOTo0BZeAXvmWhHHfmit3rYioW0h67urcFf7SXbhJb7PVx0Zk1N-OBbd_b09o=w1200|https://lh3.googleusercontent.com/pw/AP1GczNvQ9W_2iIYieCzg6R_msHuUiEK5xdvR6qbsOhdD9CjY1Q_jN0GHEtAXZOGF_sDv6-"&amp;"FI_imJMfNajWRWI0lJf4GnYaAd5b6yg74wVh0TODAvUuhMvou=w1200|https://lh3.googleusercontent.com/pw/AP1GczPXZquWAZf7f4SX2is6CTedzAHFaj1FMTZSOfGAh4T0PdzaiA_UrlfnUCnyNCIpyh548JU-1ZmznGKbM--Hts9ecS-veUZ0mCyUJBvdOpJN8k36TIRE=w1200|https://lh3.googleusercontent.com/p"&amp;"w/AP1GczPmPL0mqPKcLyqsshgVyzoWLyASV7ySI1sH_N-A0u6wuvIYI3Yzr_XUmEvq3OoqIv3m3qthdJHsRe_eOvwijtSiOxZ8ifZ5ZLsFHuQ91wX3gJF0iLHE=w1200|https://lh3.googleusercontent.com/pw/AP1GczPwwkza3__tbUYHLYrzhmrFZWq-5UsZ2Cs7kqs6nCFxD-w3vSQkLRZo_O0QArmr34W2o9K4jlRcsUFFxpwWH"&amp;"uZHWAoW_Gu4gTsjHx8gZ6sviwxxN9tW=w1200|https://lh3.googleusercontent.com/pw/AP1GczNJlg52UqB5Qnb-7Asv3odB2MGOIeGhBcnN9nBJhefV0KjWh6MZMzazT1lRWI_CAFEcLYHKi9mf3nuZ_UIkc6dceX66_eZleSnRXt2Q2orBzWES-AZy=w1200|https://lh3.googleusercontent.com/pw/AP1GczM6MGUJgEmf"&amp;"nT9DIp0Ro9dSPVkXJodk-bcmjpn786lN7iKl6eDCPxJQWvqy3YyOmqCQ7g7_sqpgNTInh3fVnt29BVXr4ERa5DlOMmwro6b3ijdxg5w0=w1200|https://lh3.googleusercontent.com/pw/AP1GczMwuVIIktIERiz_D11CW76gopnbRaD-KSUtsabYk5859o2UyJfm8yLhRcGbg15eQ0E2lvm1lGYyx4fCC8a1En2nVnDGaYx9YgzZEFY"&amp;"aZfdBBPHx0KbW=w1200|https://lh3.googleusercontent.com/pw/AP1GczOQ42bdCnKiGDFMQBHsg5FdJo8_vIBOfOn6D9zeCUd86nGEkSyDhxvg6DVmtMJiYulzE-xcanZGlWXNfOgDTmRD1iGjPzXlOIOJy8UAordas2ikF8iX=w1200|https://lh3.googleusercontent.com/pw/AP1GczPQOsozASWuXT1id6BahPmI-OR8IU"&amp;"2pHc58irb2ala1JxkgM-diotn74OJVEG3ZkwAwSdkR7jcjytwWO6brolgRiVtSqy6LESOpOrsa2U4JfLIQdMz7=w1200|https://lh3.googleusercontent.com/pw/AP1GczOVIlvJ02vHI6067WKfZEAjEOFT7MGp9lc8gqvWKHDIAkzIg1nsAJ2hpIG43Sy8GVcVQjy_FKDSspl1N7krn5LrSMh1wNxvIQreOF_WQBXeJLlxjA3F=w120"&amp;"0|https://lh3.googleusercontent.com/pw/AP1GczPurJ_E_qNGJC7eQ6CeZn7xpKahw12n_wVxsxJcE25txp4lOIuQJEJG3lCjAyQG_kGR5ubHPUp9TFCu-DVnQz5aLVXU49xJq46P7IWEzfNkTqZO4rO8=w1200|https://lh3.googleusercontent.com/pw/AP1GczMBrDEOhAavjlckAaEQexf2wNxZ1-P4pDPl5F5-js9RblyU"&amp;"IK69gLGt3k35rpTaPLBu4ud9J0SXtgJh8TuawwzlciyQxP1KE0Mx7H4-8RyTTeSEJb3v=w1200|https://lh3.googleusercontent.com/pw/AP1GczNW9WBa7hweo6Wfc3RO7spKW7mZC2JS_2D15kkfSAIGEoNr9RPxv9fIHnvmkzK12QM00ZTczuCgXdB3jLEhkptmZGLjSSFtmKltKG0CmtOVFDaC3ZI3=w1200|https://lh3.goog"&amp;"leusercontent.com/pw/AP1GczOrGi7JKuwhxaF8Sprjj44ZaYH9_XDteFK4-SVqPCXBQe-k-BW0Lto3RMLmJPddKgewVOsTjgi181LI0bzFS8zXeyf8f2v2xjW6GmJ-sv_5-RVpQakX=w1200|https://lh3.googleusercontent.com/pw/AP1GczOqezXuJVze4EbKyFwCEuGNxG7aFMEO0qp2-Jm6NBDd8jbHg9SPT_RU5mSNKcXgRv"&amp;"Pzho8XhaP-l7dfMHG74tUtdJDE_Wi-CDt1oeRFgchbXnSzh-19=w1200|https://lh3.googleusercontent.com/pw/AP1GczNKeilvB985jwZwHwy9vyfoULYcpGWEuKhQVBzN2boE5ZtXvIADiu1VyoXKJq-eB12UeMd64GkhnPUmdWJKRceybJLy4Z5740yiEgJvMhM2Ix-hmJ0G=w1200|https://lh3.googleusercontent.com/"&amp;"pw/AP1GczP4OcaTz8ow56HyFTkYg1nZ60DEuaUJ66upIv1v_FVZKyO6vCB8GqgIKwEGsnVLnh9EjBb1fg-6qy3L1nTBWGx055ZT6cOVIyz2bnknqNcW74yff6DZ=w1200|https://lh3.googleusercontent.com/pw/AP1GczMAcnQz9ArOsyfOK2xqI-HIDZ6R9ZUhBYP2A_E53TAG0RltP6qHxYJvr51WXm4shSH5JSQTixslxLjNvAH8"&amp;"Fgzrt0bHPqpxx60ga79ogQ6zo71U0iX2=w1200|https://lh3.googleusercontent.com/pw/AP1GczN27kYOIm2Wk_yDkRlkAma2ZjoJ2H4dZEYHPMa52P5VabPivn-3_GZlnK9CHEG9GEuZqgrW-W5yFdQVt5pOEgOZzyZ4Jw9NpMKtUObOd_xxG3vGApVu=w1200|https://lh3.googleusercontent.com/pw/AP1GczPNC1Z3NXo"&amp;"o3yHfKEtav6fff4rkY9_Wbwr53pe8CZQ9iXG-0rR4MI5ehPoHFylgfFtdwLCp_fXeG6CYSS3lTZ38E0GKnHjtvIlQ-RqWTiy5DXpZs-dF=w1200|https://lh3.googleusercontent.com/pw/AP1GczPp81qNIZwqzxnRdW8MK5liOJ768giHAp71hm-5f7YJXDS5GKtay1YwKGu4VTYijOTKPf5aj4SQvGHFfw-HWVNCOQ6WT00TOQ0zS3"&amp;"xf1GTDPp8lj4T3=w1200|https://lh3.googleusercontent.com/pw/AP1GczOGQSh_ioIiZH-P0R5aNjyFRvTlN2G_XxoBS_9oWucn053FbWDzqALi6RgoAuRQCyiHTvyD41iH116aVYy2HFwF1iJXQrqJ3QHzUFfIrfmBkdgdhLAj=w1200|https://lh3.googleusercontent.com/pw/AP1GczPdW5bTnz4WcRbu2NGyRWtjN77xL"&amp;"qYZMLGvY5Qu-DkR7hCGXKoGVmlpviquXLhFUuGBlln5e1SRq_UJNjb6vhhLOeCFHjMntu0C9f1UEnSJGDfDTATY=w1200|https://lh3.googleusercontent.com/pw/AP1GczNs1LyluWpyIYYwvqW-AEEnksdXCtL4fz0b0R544blMGfeXBc30Tb5t1FqkuaVePsuTfOMTUXp4_tbx-K8APeIN9hWXUrQSG0wd4hoEXMhKoDF3IB4w=w12"&amp;"00|https://lh3.googleusercontent.com/pw/AP1GczPmeY4e9l0l3Ia0_MIY_OeqIGkdzbc-OFwR-J8OrY9XrcgpYD93jS-oDL3WX5fMxALYhBJcvB2UDGHhWrVavgjmUIVhCqj9qfRNuC-qJoMTlp5RKLlO=w1200")</f>
        <v>https://lh3.googleusercontent.com/pw/AP1GczOP7kTIcdcFaQxX6K84eL0qI2zx4lA2O2Grdr-3sjzrxHRGax7nlwujHi1KX6RpK97fIgOpNgg9tvsneaomLokgkRZthMAzpnwuuXtt5TiED7qhK03S=w1200|https://lh3.googleusercontent.com/pw/AP1GczPPKJLYJAV7DzvuluJuEnlsDkzwvvjn2JRi8nS9kCYxLWbYFDCWKSeGwIzuf5mZoACQzQQOd5WuLPJCoka0KmaiJKfTrBvj2B4ymFoRnNIUcKuQvAE1=w1200|https://lh3.googleusercontent.com/pw/AP1GczOorgtJyiSzZB1PoyDl-Dd_TPuVntSg-A-SQorF2lrZBey75xYJ8ws91hgyIlTyp-cWG0UewMxYpBuEEIGxqAjfLBnsMrLbI71XczvsnjczgSwHrLaM=w1200|https://lh3.googleusercontent.com/pw/AP1GczNkR1Irx2yaf2TITrlYPAEBQpbLwOdBCMPcsqAZ_78wFJhA3gfpCo-wFaYIJjMZeO2MinbJzx6wqLd3-s-c7Dngaa_NAxLCXmHfRn6Qx6yFrdi7BeQ7=w1200|https://lh3.googleusercontent.com/pw/AP1GczMcvP8L1Nx5tKB9z7GYrZ7Alu37LkClLCTMZBTJdwGH0uF3Bjg4sizhF3ygvbCcPwTU3rD_QSB5xCC1Ec2TDEsmqdDtli8RnhHLAcgJjiEFUMaTiusX=w1200|https://lh3.googleusercontent.com/pw/AP1GczNSXMLd8UZ2k2cwU3Li_gGt6wiCUS4ToL3CIINDbdHzxpijd0a3rt-YGHuxGwbMjR9qGdBiCWZHhRPBBoszIvXf_XD_aTWirixH0Hwm5MX1aXTIFbxP=w1200|https://lh3.googleusercontent.com/pw/AP1GczNlPxd70fo2J7pFPlv8SBcSjB_35bWvssSvV_VKfkOOqIjN6JVWwBigBSmWS4fbbQmUbhex22jBuvKTQw1NgO9fQr539na5tZYXA4lc-d9tAboOSNKJ=w1200|https://lh3.googleusercontent.com/pw/AP1GczMBzDonRbpS6JU3byBU2uh1FdtbxyBUE3OGjICsfiGhlaZI7GQibc18uXr_lxeULhaxjGdsTXKKQ9Z0QArVW8ZiijCu654iju5viWut6FVPLGSelvNt=w1200|https://lh3.googleusercontent.com/pw/AP1GczM6Vr5MdzgyFr-eXEX60BP61iGDFS30WsiH6tm-CyIe1Ijb6vePjeq0eszYHxF50bisjqkJjGsWBKWNYoM7lBhFGNopiQKSwqY1Wokl1Ubsy32AnuJB=w1200|https://lh3.googleusercontent.com/pw/AP1GczPyPucm40YC6mbqpjH51Fo8kN0NSchiCSsZ9O468AvEDotbvPDxxlBhYpSd7aRT5F2BX0-p8shpP6FrmwbPoakAmsvT4ujcTFIsL515CsoGhHeiDUTi=w1200|https://lh3.googleusercontent.com/pw/AP1GczPJ7TGYyTlcMo5ZXCayIlbgRij7iptYVlGn547kubEGEDTudYCxiQH1CuTKMenXCQb8T4nQh2MaCRaA-jYp1GV6Ff-VeISdy1-6YYiaq2OMX9Fw3Z6w=w1200|https://lh3.googleusercontent.com/pw/AP1GczPANsDfjaG44iCnfaSSAuMaPRPlMWgEoniMr-3Gtz7eGfxwz9VzCby7-oQGQCHyd2Bv595OVOoOEjXUJV5xqx8l8_Nk6Z0edrW73yEj6KTICg6xXdTu=w1200|https://lh3.googleusercontent.com/pw/AP1GczOjmamjRq35sn7y4JTy0c3UESDuKPXeUcU0WUcK8r8P8B1Y3UFLNVDFNezxMeZf2kuF0XgHNKKnprSZCIiSv0UVQosO5jHVGOTi3zZn88Pyci3WK_uv=w1200|https://lh3.googleusercontent.com/pw/AP1GczM3OYUOKuq3GaS0hynWWztN_MpJHIxtwZSEH6sBX2wJjnb8PJ6uAEN2FZmMAYLgmsO3QcSxRDNmKD1q_5Z82t68Iumt6pChZr1Of9GtlF6JbhIkQb-Q=w1200|https://lh3.googleusercontent.com/pw/AP1GczMG8ESV9llBx_adN0v-xQS3dnIomtQ_d-OIRrSMZa8lkg3CEsSB4mJzzj05cgdMJ-nUfeiugYChgpGXNElzrVlGWj4NVOMVwdcKJHkMtHtUUyjw0g_e=w1200|https://lh3.googleusercontent.com/pw/AP1GczNuSYsUUAE_RMSKs6040I0tpQ9NOq1zP3pEo6hewIwc_XwAtw6NL38P22UlcfBHhoYrHc0ckv3Fvz9aq-Zp_zJSW60c9A5zAvZBBISf5WoBxPgOJs0K=w1200|https://lh3.googleusercontent.com/pw/AP1GczMz9OwbgBf9ocesXO5RWRUAnAXku_US6qQxXCc8jxGYteRmIlxYSI5fMUs4OKLhNvGqHUuv4bCdnSMALB33gIhRpuPoaP5fpXjTmTSIv607izRc5S1U=w1200|https://lh3.googleusercontent.com/pw/AP1GczNe_2odF9vwHfeN88hP-ylvHfkDiD2WYrfHpyxyMb50igYYJ-CJgXJDOTo0BZeAXvmWhHHfmit3rYioW0h67urcFf7SXbhJb7PVx0Zk1N-OBbd_b09o=w1200|https://lh3.googleusercontent.com/pw/AP1GczNvQ9W_2iIYieCzg6R_msHuUiEK5xdvR6qbsOhdD9CjY1Q_jN0GHEtAXZOGF_sDv6-FI_imJMfNajWRWI0lJf4GnYaAd5b6yg74wVh0TODAvUuhMvou=w1200|https://lh3.googleusercontent.com/pw/AP1GczPXZquWAZf7f4SX2is6CTedzAHFaj1FMTZSOfGAh4T0PdzaiA_UrlfnUCnyNCIpyh548JU-1ZmznGKbM--Hts9ecS-veUZ0mCyUJBvdOpJN8k36TIRE=w1200|https://lh3.googleusercontent.com/pw/AP1GczPmPL0mqPKcLyqsshgVyzoWLyASV7ySI1sH_N-A0u6wuvIYI3Yzr_XUmEvq3OoqIv3m3qthdJHsRe_eOvwijtSiOxZ8ifZ5ZLsFHuQ91wX3gJF0iLHE=w1200|https://lh3.googleusercontent.com/pw/AP1GczPwwkza3__tbUYHLYrzhmrFZWq-5UsZ2Cs7kqs6nCFxD-w3vSQkLRZo_O0QArmr34W2o9K4jlRcsUFFxpwWHuZHWAoW_Gu4gTsjHx8gZ6sviwxxN9tW=w1200|https://lh3.googleusercontent.com/pw/AP1GczNJlg52UqB5Qnb-7Asv3odB2MGOIeGhBcnN9nBJhefV0KjWh6MZMzazT1lRWI_CAFEcLYHKi9mf3nuZ_UIkc6dceX66_eZleSnRXt2Q2orBzWES-AZy=w1200|https://lh3.googleusercontent.com/pw/AP1GczM6MGUJgEmfnT9DIp0Ro9dSPVkXJodk-bcmjpn786lN7iKl6eDCPxJQWvqy3YyOmqCQ7g7_sqpgNTInh3fVnt29BVXr4ERa5DlOMmwro6b3ijdxg5w0=w1200|https://lh3.googleusercontent.com/pw/AP1GczMwuVIIktIERiz_D11CW76gopnbRaD-KSUtsabYk5859o2UyJfm8yLhRcGbg15eQ0E2lvm1lGYyx4fCC8a1En2nVnDGaYx9YgzZEFYaZfdBBPHx0KbW=w1200|https://lh3.googleusercontent.com/pw/AP1GczOQ42bdCnKiGDFMQBHsg5FdJo8_vIBOfOn6D9zeCUd86nGEkSyDhxvg6DVmtMJiYulzE-xcanZGlWXNfOgDTmRD1iGjPzXlOIOJy8UAordas2ikF8iX=w1200|https://lh3.googleusercontent.com/pw/AP1GczPQOsozASWuXT1id6BahPmI-OR8IU2pHc58irb2ala1JxkgM-diotn74OJVEG3ZkwAwSdkR7jcjytwWO6brolgRiVtSqy6LESOpOrsa2U4JfLIQdMz7=w1200|https://lh3.googleusercontent.com/pw/AP1GczOVIlvJ02vHI6067WKfZEAjEOFT7MGp9lc8gqvWKHDIAkzIg1nsAJ2hpIG43Sy8GVcVQjy_FKDSspl1N7krn5LrSMh1wNxvIQreOF_WQBXeJLlxjA3F=w1200|https://lh3.googleusercontent.com/pw/AP1GczPurJ_E_qNGJC7eQ6CeZn7xpKahw12n_wVxsxJcE25txp4lOIuQJEJG3lCjAyQG_kGR5ubHPUp9TFCu-DVnQz5aLVXU49xJq46P7IWEzfNkTqZO4rO8=w1200|https://lh3.googleusercontent.com/pw/AP1GczMBrDEOhAavjlckAaEQexf2wNxZ1-P4pDPl5F5-js9RblyUIK69gLGt3k35rpTaPLBu4ud9J0SXtgJh8TuawwzlciyQxP1KE0Mx7H4-8RyTTeSEJb3v=w1200|https://lh3.googleusercontent.com/pw/AP1GczNW9WBa7hweo6Wfc3RO7spKW7mZC2JS_2D15kkfSAIGEoNr9RPxv9fIHnvmkzK12QM00ZTczuCgXdB3jLEhkptmZGLjSSFtmKltKG0CmtOVFDaC3ZI3=w1200|https://lh3.googleusercontent.com/pw/AP1GczOrGi7JKuwhxaF8Sprjj44ZaYH9_XDteFK4-SVqPCXBQe-k-BW0Lto3RMLmJPddKgewVOsTjgi181LI0bzFS8zXeyf8f2v2xjW6GmJ-sv_5-RVpQakX=w1200|https://lh3.googleusercontent.com/pw/AP1GczOqezXuJVze4EbKyFwCEuGNxG7aFMEO0qp2-Jm6NBDd8jbHg9SPT_RU5mSNKcXgRvPzho8XhaP-l7dfMHG74tUtdJDE_Wi-CDt1oeRFgchbXnSzh-19=w1200|https://lh3.googleusercontent.com/pw/AP1GczNKeilvB985jwZwHwy9vyfoULYcpGWEuKhQVBzN2boE5ZtXvIADiu1VyoXKJq-eB12UeMd64GkhnPUmdWJKRceybJLy4Z5740yiEgJvMhM2Ix-hmJ0G=w1200|https://lh3.googleusercontent.com/pw/AP1GczP4OcaTz8ow56HyFTkYg1nZ60DEuaUJ66upIv1v_FVZKyO6vCB8GqgIKwEGsnVLnh9EjBb1fg-6qy3L1nTBWGx055ZT6cOVIyz2bnknqNcW74yff6DZ=w1200|https://lh3.googleusercontent.com/pw/AP1GczMAcnQz9ArOsyfOK2xqI-HIDZ6R9ZUhBYP2A_E53TAG0RltP6qHxYJvr51WXm4shSH5JSQTixslxLjNvAH8Fgzrt0bHPqpxx60ga79ogQ6zo71U0iX2=w1200|https://lh3.googleusercontent.com/pw/AP1GczN27kYOIm2Wk_yDkRlkAma2ZjoJ2H4dZEYHPMa52P5VabPivn-3_GZlnK9CHEG9GEuZqgrW-W5yFdQVt5pOEgOZzyZ4Jw9NpMKtUObOd_xxG3vGApVu=w1200|https://lh3.googleusercontent.com/pw/AP1GczPNC1Z3NXoo3yHfKEtav6fff4rkY9_Wbwr53pe8CZQ9iXG-0rR4MI5ehPoHFylgfFtdwLCp_fXeG6CYSS3lTZ38E0GKnHjtvIlQ-RqWTiy5DXpZs-dF=w1200|https://lh3.googleusercontent.com/pw/AP1GczPp81qNIZwqzxnRdW8MK5liOJ768giHAp71hm-5f7YJXDS5GKtay1YwKGu4VTYijOTKPf5aj4SQvGHFfw-HWVNCOQ6WT00TOQ0zS3xf1GTDPp8lj4T3=w1200|https://lh3.googleusercontent.com/pw/AP1GczOGQSh_ioIiZH-P0R5aNjyFRvTlN2G_XxoBS_9oWucn053FbWDzqALi6RgoAuRQCyiHTvyD41iH116aVYy2HFwF1iJXQrqJ3QHzUFfIrfmBkdgdhLAj=w1200|https://lh3.googleusercontent.com/pw/AP1GczPdW5bTnz4WcRbu2NGyRWtjN77xLqYZMLGvY5Qu-DkR7hCGXKoGVmlpviquXLhFUuGBlln5e1SRq_UJNjb6vhhLOeCFHjMntu0C9f1UEnSJGDfDTATY=w1200|https://lh3.googleusercontent.com/pw/AP1GczNs1LyluWpyIYYwvqW-AEEnksdXCtL4fz0b0R544blMGfeXBc30Tb5t1FqkuaVePsuTfOMTUXp4_tbx-K8APeIN9hWXUrQSG0wd4hoEXMhKoDF3IB4w=w1200|https://lh3.googleusercontent.com/pw/AP1GczPmeY4e9l0l3Ia0_MIY_OeqIGkdzbc-OFwR-J8OrY9XrcgpYD93jS-oDL3WX5fMxALYhBJcvB2UDGHhWrVavgjmUIVhCqj9qfRNuC-qJoMTlp5RKLlO=w1200</v>
      </c>
      <c r="AJ540" s="46"/>
      <c r="AK540" s="46"/>
      <c r="AL540" s="46"/>
      <c r="AM540" s="46"/>
      <c r="AN540" s="46"/>
      <c r="AO540" s="46"/>
      <c r="AP540" s="46"/>
      <c r="AQ540" s="46"/>
      <c r="AR540" s="46"/>
      <c r="AS540" s="46"/>
      <c r="AT540" s="46"/>
      <c r="AU540" s="46"/>
      <c r="AV540" s="46"/>
      <c r="AW540" s="46"/>
      <c r="AX540" s="46"/>
      <c r="AY540" s="46"/>
      <c r="AZ540" s="46"/>
      <c r="BA540" s="46"/>
      <c r="BB540" s="46"/>
      <c r="BC540" s="46"/>
      <c r="BD540" s="46"/>
      <c r="BE540" s="46"/>
      <c r="BF540" s="46"/>
      <c r="BG540" s="46"/>
      <c r="BH540" s="46"/>
      <c r="BI540" s="46"/>
      <c r="BJ540" s="46"/>
      <c r="BK540" s="46"/>
      <c r="BL540" s="46"/>
      <c r="BM540" s="46"/>
      <c r="BN540" s="46"/>
      <c r="BO540" s="46"/>
      <c r="BP540" s="46"/>
      <c r="BQ540" s="46"/>
      <c r="BR540" s="46"/>
      <c r="BS540" s="46"/>
      <c r="BT540" s="46"/>
      <c r="BU540" s="46"/>
      <c r="BV540" s="46"/>
      <c r="BW540" s="46"/>
      <c r="BX540" s="46"/>
      <c r="BY540" s="46"/>
      <c r="BZ540" s="46"/>
      <c r="CA540" s="46"/>
      <c r="CB540" s="46"/>
      <c r="CC540" s="46"/>
    </row>
    <row r="541">
      <c r="A541" s="87" t="str">
        <f>IFERROR(__xludf.DUMMYFUNCTION("""COMPUTED_VALUE"""),"682")</f>
        <v>682</v>
      </c>
      <c r="B541" s="46" t="str">
        <f>IFERROR(__xludf.DUMMYFUNCTION("""COMPUTED_VALUE"""),"Apartamento en Conjunto Residencial Tangara Ciudadela Nio - Av. 26")</f>
        <v>Apartamento en Conjunto Residencial Tangara Ciudadela Nio - Av. 26</v>
      </c>
      <c r="C541" s="46" t="str">
        <f>IFERROR(__xludf.DUMMYFUNCTION("""COMPUTED_VALUE"""),"Apartamento en conjunto")</f>
        <v>Apartamento en conjunto</v>
      </c>
      <c r="D541" s="46" t="str">
        <f>IFERROR(__xludf.DUMMYFUNCTION("""COMPUTED_VALUE"""),"Las Granjas")</f>
        <v>Las Granjas</v>
      </c>
      <c r="E541" s="46" t="str">
        <f>IFERROR(__xludf.DUMMYFUNCTION("""COMPUTED_VALUE"""),"Tangara Nio")</f>
        <v>Tangara Nio</v>
      </c>
      <c r="F541" s="90">
        <f>IFERROR(__xludf.DUMMYFUNCTION("""COMPUTED_VALUE"""),5.0E8)</f>
        <v>500000000</v>
      </c>
      <c r="G541" s="46" t="str">
        <f>IFERROR(__xludf.DUMMYFUNCTION("""COMPUTED_VALUE"""),"$500'000.000 a $1.000'000.000")</f>
        <v>$500'000.000 a $1.000'000.000</v>
      </c>
      <c r="H541" s="46"/>
      <c r="I541" s="46"/>
      <c r="J541" s="46" t="str">
        <f>IFERROR(__xludf.DUMMYFUNCTION("""COMPUTED_VALUE"""),"Norte")</f>
        <v>Norte</v>
      </c>
      <c r="K541" s="87" t="str">
        <f>IFERROR(__xludf.DUMMYFUNCTION("""COMPUTED_VALUE"""),"2")</f>
        <v>2</v>
      </c>
      <c r="L541" s="46">
        <f>IFERROR(__xludf.DUMMYFUNCTION("""COMPUTED_VALUE"""),3.0)</f>
        <v>3</v>
      </c>
      <c r="M541" s="46"/>
      <c r="N541" s="46">
        <f>IFERROR(__xludf.DUMMYFUNCTION("""COMPUTED_VALUE"""),2.0)</f>
        <v>2</v>
      </c>
      <c r="O541" s="46">
        <f>IFERROR(__xludf.DUMMYFUNCTION("""COMPUTED_VALUE"""),1.0)</f>
        <v>1</v>
      </c>
      <c r="P541" s="46">
        <f>IFERROR(__xludf.DUMMYFUNCTION("""COMPUTED_VALUE"""),17.0)</f>
        <v>17</v>
      </c>
      <c r="Q541" s="92">
        <f>IFERROR(__xludf.DUMMYFUNCTION("""COMPUTED_VALUE"""),103.18)</f>
        <v>103.18</v>
      </c>
      <c r="R541" s="92">
        <f>IFERROR(__xludf.DUMMYFUNCTION("""COMPUTED_VALUE"""),113.82)</f>
        <v>113.82</v>
      </c>
      <c r="S541" s="87" t="str">
        <f>IFERROR(__xludf.DUMMYFUNCTION("""COMPUTED_VALUE""")," ")</f>
        <v> </v>
      </c>
      <c r="T541" s="46" t="str">
        <f>IFERROR(__xludf.DUMMYFUNCTION("""COMPUTED_VALUE"""),"Neiva")</f>
        <v>Neiva</v>
      </c>
      <c r="U541" s="87" t="str">
        <f>IFERROR(__xludf.DUMMYFUNCTION("""COMPUTED_VALUE"""),"4")</f>
        <v>4</v>
      </c>
      <c r="V541" s="46" t="str">
        <f>IFERROR(__xludf.DUMMYFUNCTION("""COMPUTED_VALUE"""),"17vo.")</f>
        <v>17vo.</v>
      </c>
      <c r="W541" s="46"/>
      <c r="X541" s="46"/>
      <c r="Y541" s="46" t="str">
        <f>IFERROR(__xludf.DUMMYFUNCTION("""COMPUTED_VALUE"""),"Social")</f>
        <v>Social</v>
      </c>
      <c r="Z541" s="90">
        <f>IFERROR(__xludf.DUMMYFUNCTION("""COMPUTED_VALUE"""),359000.0)</f>
        <v>359000</v>
      </c>
      <c r="AA541" s="33" t="str">
        <f>IFERROR(__xludf.DUMMYFUNCTION("""COMPUTED_VALUE"""),"No aplica")</f>
        <v>No aplica</v>
      </c>
      <c r="AB541" s="144" t="str">
        <f>IFERROR(__xludf.DUMMYFUNCTION("""COMPUTED_VALUE"""),"https://photos.app.goo.gl/hAvzwwsg7oHc6C58A")</f>
        <v>https://photos.app.goo.gl/hAvzwwsg7oHc6C58A</v>
      </c>
      <c r="AC541" s="46" t="str">
        <f>IFERROR(__xludf.DUMMYFUNCTION("""COMPUTED_VALUE"""),"Ciudadela Tangara Nio, ubicada en el sector norte al lado del san pedro plaza comercial, calle principal con acceso al comercio, iglesia, aeropuerto, a 10 minutos al centro de Neiva. Apartamento ubicado en piso 17 con vista exterior hacia la avenida, Área"&amp;" 113.82 m2, Construidos 103.18 M2, sala, comedor, balcon amplio, con cortinas electricas en black out, estudio con mueble, corredor, estar de alcobas, tres alcobas con closet, cortinas en black out, alcoba principal con vestier y baño, baño social. pisos "&amp;"en porcelanato, Estrato 4. dos parqueaderos subterráneos, un depósito. cada inmueble con clt independiente. Cuota de administración $359.000")</f>
        <v>Ciudadela Tangara Nio, ubicada en el sector norte al lado del san pedro plaza comercial, calle principal con acceso al comercio, iglesia, aeropuerto, a 10 minutos al centro de Neiva. Apartamento ubicado en piso 17 con vista exterior hacia la avenida, Área 113.82 m2, Construidos 103.18 M2, sala, comedor, balcon amplio, con cortinas electricas en black out, estudio con mueble, corredor, estar de alcobas, tres alcobas con closet, cortinas en black out, alcoba principal con vestier y baño, baño social. pisos en porcelanato, Estrato 4. dos parqueaderos subterráneos, un depósito. cada inmueble con clt independiente. Cuota de administración $359.000</v>
      </c>
      <c r="AD541" s="46"/>
      <c r="AE541" s="46"/>
      <c r="AF541" s="46" t="str">
        <f>IFERROR(__xludf.DUMMYFUNCTION("""COMPUTED_VALUE"""),"integral")</f>
        <v>integral</v>
      </c>
      <c r="AG541" s="46"/>
      <c r="AH541" s="46" t="str">
        <f>IFERROR(__xludf.DUMMYFUNCTION("""COMPUTED_VALUE"""),"Aliado")</f>
        <v>Aliado</v>
      </c>
      <c r="AI541" s="92" t="str">
        <f>IFERROR(__xludf.DUMMYFUNCTION("""COMPUTED_VALUE"""),"https://lh3.googleusercontent.com/pw/AP1GczPsU_aSyVbC6EU7B1eojeNh-heAhwjxvutJvPaNLWB0EBl5XNrvG-FMcU_ee2ZmIDLXMPuZ6_VUqShBjhdVQZUCpyTTFVGJ6gRn82Bnpz06gtNZZBg3=w1200|https://lh3.googleusercontent.com/pw/AP1GczMrPn_PURws7fvXP9Yu8ABFJA7FypksCEXGjtPbdpp1Hzmur7"&amp;"yWV73-hQSUy1wLn8B5m_qJJVkqIZhvd-zlsw5Mt1b39HsV2DW8t7I_qT4axDQODpjQ=w1200|https://lh3.googleusercontent.com/pw/AP1GczMaf_MCs1tTnw6nGFUlhB5hLNOCNO8k41vv1YQeyN-d-MK2po9D5vJbSgtyc-nGBKx06Dmd3k2-74f8VsrfscXtxsHSiranOG9PgylIlkjeRGJasjnY=w1200|https://lh3.google"&amp;"usercontent.com/pw/AP1GczOX3ejpnjkWgMUm89fMt2VGxgPGjO2gmmZ_MPD16H0jp9QZ_rz5ZFjEYhY11FsbNHWUGsHywQu0QNfoN_i18RuZKgBuXwzqo_AQrfAVRKPqZsPFmsxL=w1200|https://lh3.googleusercontent.com/pw/AP1GczM9tGLDIMAlvQVJpY47unPqAcbiBJxIToE6XgUxXyQFYszcMckBKsaPK74B8neqdhND"&amp;"7VjgydjhcnIuAMAH4jebY4A3zsRgX40vh1DCSEs-J81XyHuv=w1200|https://lh3.googleusercontent.com/pw/AP1GczO81rQAWV4CU-kLL_gdjsgY0ie3lw5hE3uwNtHOIeCFR_0E_NWnbNpR45AJ1ofIkJxzHjL7qsTJa7fpKIP7NI_1OGfOnxh8mGsv9W2xk5fCJyHy-IyW=w1200|https://lh3.googleusercontent.com/pw"&amp;"/AP1GczOxjbQ-6yY3A6E6gk0SFw7er5QwENBv-Suya96gHhVqfe99vmU6NAp065n95kXwoP2nCEGM5zHkS4EZLJnS6xZpjTwJS8aldIHeto0SW7CG2oLNpQI3=w1200|https://lh3.googleusercontent.com/pw/AP1GczPjikB430gC4XS-laZJtSEvMrv2xoLxkzAceSPjgxPBwYzHonrB_e5hJHtmuZeuaePDBNv20n0s36K2p96LeT"&amp;"ME6q_94vXtmqxPjvLZk5aUXnon_f4Q=w1200|https://lh3.googleusercontent.com/pw/AP1GczOP5w_uepmdS8hfWGBJECFVDfAlFQMxfP8jz6nnzf-CnLORZgZ71JRmqoGpfVjmqcJtQ6r1vtJxmyfrbgAqW3m-rVy8cHq1mFkMhUNQfR2TPO7Wd1dL=w1200|https://lh3.googleusercontent.com/pw/AP1GczOuYrn67d4eU"&amp;"vWEIRunESG4rkqJJguZQy4N4JdCb5kN6xYQF-ThFpdo30--QinNK2uDB4pPN4MOkagwMSYk5l_zWwLcb_lmZCFZKpItYvs3tlznalqx=w1200|https://lh3.googleusercontent.com/pw/AP1GczN5n-u3S1XLg4Lx4C4Y3K6RFcOoo36AZ4MdftJgCdQJwYjNltOYShrG6QYriippiEOnv0qsUuxjzqNnIkH6S5OhvIpf-wlCc0k38wRG"&amp;"9QlPyrr9qhZX=w1200|https://lh3.googleusercontent.com/pw/AP1GczOL614yHp1imm0JQsuq2Hs3DQY_tBhrXpwPLXtEIwlyxVH5-Jn2jyD53LmjWqn4sMY9eTVt9pArb8MO4yjHUZpCMFFJzEnAXDDzdcZ-hSLGGCT9_CqA=w1200|https://lh3.googleusercontent.com/pw/AP1GczN_vsDFWKnJjiYNkGKP-u3nOmhTrwH"&amp;"iSdx_4jF-FT16B55WMXsUsapeARK0PkE3nW70W38V9HuSOTlKikt-bClAUtQCYsxdMvDF7RcNTOHGFSvKpZuf=w1200|https://lh3.googleusercontent.com/pw/AP1GczMA9no06hgm9QIU_u460hWelyXGjERqnRe_99DeiMJIHgKEigT8z4kql0OjYYmdhAdmht4eJ9c_LR1Z6iYdP3107gxNv9OFEOvMrrUF2ygoiAoCdSxQ=w1200"&amp;"|https://lh3.googleusercontent.com/pw/AP1GczNaMkUVWHEJQoEZcSeIKfq5OPLOZGadqqdRLGdO1Kr9bj7RkN1p5kWFWgOvFzgywSOjvHXhYikEB2nGTHzsaVdOAMNsYFnV81vMqyWfjGrpjlbTyLgp=w1200|https://lh3.googleusercontent.com/pw/AP1GczMu_yGNVahCBXfTlQf3Ar4kkhQGJgGaNxNxOEpbiwMbZPrR3"&amp;"r-cbuoPFeRzW7jFZVCFnNj7nwuO-gvFL_MxQepiWHiLzRHi1DM41ktUQPepwlFW8HJM=w1200|https://lh3.googleusercontent.com/pw/AP1GczPf8sclI0P6u0DgkHurptbs41oDrGesLbJ282i_iy4AQZZ49zvmkBsV1d3Zk1uEpCe3L8cqi0kJykuffXo89BepeZAsYMTIlNnxnosCU0b2DCEktnkB=w1200|https://lh3.googl"&amp;"eusercontent.com/pw/AP1GczPrJKHVqUNkvzMpY82TtdQFgpr6aqX7Y3LDGs_g9LGCdJnKyH1_VBMAZ0x4iqYen7w1uFdY1mQolj6GiiL8flhdZc_pyV4VVlPiPBTaQjyAvxRL36AS=w1200|https://lh3.googleusercontent.com/pw/AP1GczMW9zozJtavbisyeSTXBgSkP-CZgdTg4SnigfZogv3ZNx25uNEH51Ys1odRAlZDiVy"&amp;"0duJUiz1H5LhppuKTRig1veG2Ipc6027h4Z5aqfrGcOvQkI93=w1200|https://lh3.googleusercontent.com/pw/AP1GczN_gPjmsX0rscXBv0XHEsvtPJSSJnBfd-tvhz0mupC8bleF5q3i8nrNHtIedEmZykrzYof-Po_jMsDhWCiBCwDwkom_uWksmM3MHaV8OuVb_HWoH4ZD=w1200|https://lh3.googleusercontent.com/p"&amp;"w/AP1GczOL-vF-n1Z6h35K0JGZ19klbJMNnhE8ErbZc1K7yXK-wyANzrNgpyzUOgZivHPl2vkEVNPi0T9p086yQbvQoZBPZgzyOt0CIQSf0adSbj4HnnfZixwt=w1200|https://lh3.googleusercontent.com/pw/AP1GczOMhzIFbP0OarK3iv4SGEAd7fdy4jT31j_ziFFbUGB9r9pKHjcFEOuYYAQmHOGZgFWUECaKPqWQe6M777N3D"&amp;"iq6dBwlVLi_x6VbHcKBPd-IFcXduZCX=w1200|https://lh3.googleusercontent.com/pw/AP1GczN-LkTdWTexwArluycTgYBBOCJAfZU3Cfz48QVBjE4EVfx11iLofQBZv4mna6Nf91axZEBq2zpZwoxGKru7gAIF2eJ0jBJhYQZmUIgMUq7lu8NkQ1ZE=w1200|https://lh3.googleusercontent.com/pw/AP1GczPgJ95Xt4ZJ"&amp;"3c8PWL2QG4NvrNvW_yr30WB7e-MfNLMq9m4SQ7Q6xBp4Dz6YPABCnoOuW6sFUzD_Rd0h_J2Ri-dQX6OIUlowhncJrVOAUcIiroyIONtB=w1200|https://lh3.googleusercontent.com/pw/AP1GczOq1mWfsSPLm74N8X4P1Sm9UjKOgS_dxNXCPpJUOoWeSV9WivITKit7qsYgsBhMFip1Sax_GSCW0QL5RtnGfMi7oRlWjx445Z-eAc0"&amp;"5ntI0LGIRbAA0=w1200|https://lh3.googleusercontent.com/pw/AP1GczP1u-mi61NTqoSgp_DrNkDbqGo_BUJkCO50QrpNMNFUGAOF1PKFZrjn15u-ibNnH3W6AQdmKGVza12uZ5irLpsSG8jhGuaAUa64a2nbW-nFfrv37qAK=w1200|https://lh3.googleusercontent.com/pw/AP1GczOg8P0sox6eT8JuiYybQDbEOmh4gD"&amp;"l-5L5ik6TgjqD-YB8z0nuq21Twpwu7EUbA1LIKA9uHVa6gK4MgpR6yBfTLG7s3HKohcX5s2iFQz9ESrvWPludT=w1200|https://lh3.googleusercontent.com/pw/AP1GczPDQWF3uDy3F8rh5WfaKIM4788rgZzqBDzF4oNjs1_oQHbGxhamdkIMrVotHKrTzo_Z6aSfoOBqsIdWt2WvczNzvwa1m1efsA9iNoRhtJPmBkJa_zxa=w120"&amp;"0|https://lh3.googleusercontent.com/pw/AP1GczO4M1fFRCFh8as4cCorasgR_llMo7Bu1YjRV6ldzE95tBGF7SxxnkxH7s0iH7IMvVw4jWwQd8YNLNVuZZHV3Mj3nQFgugHUCV6vOzBZt5gXhhaZB0Po=w1200|https://lh3.googleusercontent.com/pw/AP1GczOgLWaQygYCZDtQelrL1XTuke922epKPQiSOlFywzMk07l2"&amp;"rjw05VbgeweKkFoQWyEz2kJBh8VulsE5ulkte5xjBQj0lLuyUPrLpsB1eRjG4T8SxXvY=w1200|https://lh3.googleusercontent.com/pw/AP1GczMho7GDo2B1N6oDvrnjFjPzl1-ouW67t9JpcFEjMtaZGAHzXPWbUYyY0olVOmDdmMw4KhnQaQy1JHOIE0H3R0yKTyp08FZ-8yw_IMzEkrCIoCutsnk9=w1200|https://lh3.goog"&amp;"leusercontent.com/pw/AP1GczMndnwBR7LvsArFPgmz1lU7HXE1-Gu67vPeRYh0ab9zh4dOtCDalVYAnb2duN7PRmfYcfYYtoxFvfqJh3bPTILid6Jb-a1hzTZDDql2SQE9BXzw3HDC=w1200|https://lh3.googleusercontent.com/pw/AP1GczN-jEOLr5Ao3WY7WlC0VKcyuMqfwsMfJWOukYsEcfCbUlpukq4m8Dv6Pxg-A7ogEX"&amp;"X3LGQB2DAIR4lWjJ2RWE32hnoR3QZSaTpaBxKRzIBWaN1G6MWS=w1200|https://lh3.googleusercontent.com/pw/AP1GczPoxAdx4OAcpTCqEqcYzJZsMUKiU107-UMNYTJeHZSVX-NcEse_jq8iDaMmMtnASlXkrUxKF6VZ19hssBMosuHPKB5-0dog69p-qrzgcuHjY8AGetQb=w1200|https://lh3.googleusercontent.com/"&amp;"pw/AP1GczNRrKWoOQPzHIuPVU5wnyT3391PPf7s9A7_9In9NQyiG24hZvs-S8lY6_jtbRWnNfpyxx5FO2_P2K7XRa65YdyH7gxQtesVWWoK8L6iVGFvfyad_BjT=w1200|https://lh3.googleusercontent.com/pw/AP1GczOkVOG-jr61WI5uKTIW_sRDRRlVK_zoEYtFPSGq7dOL8HOS7EToBO6_9Zawyo3oSzxgqJjTsz9-BPmjczqi"&amp;"mnW4epQUxIxPB_fyF413V2BRMGSEpbv4=w1200|https://lh3.googleusercontent.com/pw/AP1GczMifoael4nLKnHX0Yq7Bt5hbRjdKOemsCpHDfW2Sl3F6IJWLzE56E1anu5ERxYw1ZoLiGYLPOLatjLHxww6wGfIg-kfgsPTkUjVPjoD6j3sD0vB0e_a=w1200|https://lh3.googleusercontent.com/pw/AP1GczNAuw-cT9T"&amp;"o5pyb6NdhwCGwFOfhJiFQ9f3G5hmPLlpWHJFrtC-HMH2lmyhDo9hjfrrRxKC9BXR2wPj9pkz9QUGHyFftiZDQzVhrerPq8ab-AnLJQOBY=w1200|https://lh3.googleusercontent.com/pw/AP1GczONqJXvSigWQaDsGzW5Ab5Wdjj1nmatV4j-eRGjghgRrFGEBlFJH6zqfc6VdAq9uJhOSFq0Y4bBiDOPveMKHeyWyyx0C1qJlmloIv"&amp;"Ll2zesS1DVgtCX=w1200|https://lh3.googleusercontent.com/pw/AP1GczMq3k6XuxRQCvFrp_Qui2L6J7nmr2YKBGp77RV8F8oym4tML4rinAUHwB_IpmWoH49xvoFrdbosp5TPD5zj6H6M-jArIxCJeiSPSEboi9ONgOFgltEF=w1200|https://lh3.googleusercontent.com/pw/AP1GczPKF20eNAOcBvz3jFasTtQIeicNf"&amp;"S-EXB_aNv6F18lKipYqA1vBPvTQHBEaVOT6H1nkboSk1VZ1XKDwd_U94ULSsJZM8kMzT6pE5BdYkdMgSl97C00y=w1200|https://lh3.googleusercontent.com/pw/AP1GczNy6LYvXRTbLhAqvfuT3PGPrdyp8Rm8Zt-A8_vp0FYbh_u4aAVDWKnc2UimWnf9EuQDmi2FK138swDOzgwG4oI4dvVV-I7M4-E2Rx9Pze4PblYxaB3_=w12"&amp;"00|https://lh3.googleusercontent.com/pw/AP1GczMebZGbO8ATZmanEQpYDJvjYjqYlLGeuLKtZN6Z-7Y5ez1jKEI9PETmFYSZd_nweHtTFSeGBO5qceCCMTM9nQ1KKz0iccVhMzUn2dbVyVQgD-BiM_RQ=w1200|https://lh3.googleusercontent.com/pw/AP1GczOH_KCFJ3DveBGViF5yH2fevLXvoaF9s21lBKtTo6a76ve"&amp;"hpqEpzLF8Zzvlv1pkTyElzAxEiDsJcLeHwQo6gsPwW7hOPDMsePpAFBiGGrtVs-INZWcH=w1200|https://lh3.googleusercontent.com/pw/AP1GczNbLaPTDBiJhQ7DgZc1RLtMJLTidN9gWLHT-0MWd9Gdufwte5V9LuAqvZMQ4TLWhtezjayw3mHJO9n6iMK0nWXHgMAvonPTlatBUa1PV3VGXDpC9FUt=w1200|https://lh3.goo"&amp;"gleusercontent.com/pw/AP1GczMf4B_3hoZ0bhZK6k1pxRn4ob05z5aYBMpzEx9HXb7iPiOus3l02FNoIUmb-gIsexj_fkCSDslpMZOp0Ru-G33Lznld_W0XWdRFC4cg6y-37_ESji6w=w1200|https://lh3.googleusercontent.com/pw/AP1GczPtrHKOTJNTSoXy25Zq_ZBuk6jh8cOe9IqkKjOodTKWaBUhgT7Vo9qw35q341hy4"&amp;"qX_xDQfiZxdUCMvyjo3vV7lCCheOjUCOPBgrKYXp76yQP3ixazW=w1200|https://lh3.googleusercontent.com/pw/AP1GczMov5_oIHPRs-X4k1zuOQtJlm1z1DKGw3hDbLHHhPhrlA3os9izlPWcDS3cqD1AbjG46HysP-vQByMU7mwoiJBFPOdjjBXkD7wdmzn-s5rCttgY-6A1=w1200|https://lh3.googleusercontent.com"&amp;"/pw/AP1GczOrgy3LRxqrKVLiD0UN5Qmzs2RKm_tk6Ph91raSf7-vu77BpQotIGUsvum-g1h7BfOwmF2adc2Qoqes3FCtks9jgzp0qd4DQIozXmKYr21IW-B0urGf=w1200|https://lh3.googleusercontent.com/pw/AP1GczNeS_2283_0jpuEgyIOFu7_M4jlWxaRa6o4-JoIXQU3rtYkfCY9qgWlgL-qiI9mu1k-c0FQ0sjcJC93OWZ"&amp;"tkoLFjD9GgOeo_u2GYJB9AhwjCT6KXNR6=w1200|https://lh3.googleusercontent.com/pw/AP1GczMPmyOJW2vpXYLxE7X-a_PLXbHzF7UvltZAugQLk7xuDcrQT_LJHASZedAvDLA9nyfEI9bILGR-OmRRmotBarkRH_sEpt4V0Du2f5R3-Sb4vwA1-tof=w1200|https://lh3.googleusercontent.com/pw/AP1GczNFzWaENJ"&amp;"exKag4ILYmyQ30VxvsDF2oCe0iApfooKxHmtrw1RjyOBmmy6G5Cu_iQz5d91ViR5_dC3IWR00MGJVD4Fl_U8PEwRsXUpYKMDEHnBcsRFTF=w1200|https://lh3.googleusercontent.com/pw/AP1GczPFh4oacq_zxLlYtFfnfjo9gJLi7wBfB8BVZgWt73Qz3p6kKerv_PlZbXPcEvSDmaU9DbYcCfet_BU-usMsaKhkPM7bBdFlOVO3x"&amp;"EVxM7XbwCcy4eQt=w1200|https://lh3.googleusercontent.com/pw/AP1GczOOEbaPXCIMl7QtnBNK0kjGnMy6ZNw9d3AN3sNULAglJEKuPKCnFoHi5Ayq49XBV6wFmq-OPRnKi8lvcOv9SvOrjUeAqW2guNBadQzMQEnT4JR2EBq3=w1200|https://lh3.googleusercontent.com/pw/AP1GczOcXSYjt7echzC3VIgrEdjOjg_U"&amp;"j10Tn5rzagXUBvofhwCxHw3-pFBIch6pjsbmHaBmgT5xE0bt7Ii5VjrRfgX1x-dyaSt_-w7xMd91HJWQJ-oQ69pq=w1200|https://lh3.googleusercontent.com/pw/AP1GczN-QKwAo3dcubX6RM36xeXZCtNArGC61LunoTWdetf-oV5fskPa18t6f8qxJPWl9iSn-XM-8mOGVK4-eRDpVyA29U_QM5YTC9QeIca9ArYzvg4nb4xv=w1"&amp;"200|https://lh3.googleusercontent.com/pw/AP1GczPuuvRD_RShFaReV-oKj28hi5S0wk-jtzjefW-_sY6EgchLBqa1GkSGUNYAhuEzh15MysXXo0nvKw5XWQAulJOPJ9g8swnzaK50efFMIEho48cSmM-M=w1200|https://lh3.googleusercontent.com/pw/AP1GczOAy4j3OTIZRAuFixvwOdq9iySjiS9p16nAbdsobU4Rs3"&amp;"rMAUVKiWqNxaa1Fu8a7K6G2qpcrZAFTYh3xj1CpyfrO8h5M4y90v_QXy50byOoTXCwbwL7=w1200|https://lh3.googleusercontent.com/pw/AP1GczNvpsem7xYlVAzZJ9N9KBPVeRbAdpD1YX03mO6Gbi_yXlpQP9mpv7-raw6E90NS_ipwa51Vx3i9LsRWI3GAnUHZsockja5j-XE8ERqGM5f67_ecvLMm=w1200|https://lh3.go"&amp;"ogleusercontent.com/pw/AP1GczNSK7gppQao9qD3rFvSHXfvW5eL1K5PB7moHnvvW4em6bhPb286qKO_qwOFt39z4tUzHL98612adhaLcp7iCqCr4R_gvA8v6rqp7ZZiHzpmRdbCWmk8=w1200|https://lh3.googleusercontent.com/pw/AP1GczP1f0aRinKSjLK_K2zM99G_8UkV1-rv2K4GR8c1QK7Q_0R0bLs4xYHUwRkgjJ8t"&amp;"COnTm5B4p_9OrKwfv4FDsJSPWjvmpMa5jfn1FPgL-7365XI0N9NO=w1200|https://lh3.googleusercontent.com/pw/AP1GczPXaZ5HO-YGRRq3CyIshQddTJUDVxpA2-HDiaD7yZdtcCPl3VrfSIeiqtLLLv3ONXZHH62Ofui8m-coxjHZozkULywwqDZRW_ztWzCFQoSXJgUAQ1Tb=w1200|https://lh3.googleusercontent.co"&amp;"m/pw/AP1GczMaYyUNHUSg9u5k_LRMIZIeT2MhcWXneQh0rnRuvXFN0BIpkN0i4a2cbWGrmmI1BFu1fYQH4lyvBB8noY-Jq1LKXwBjBpSMgm_sszYw-4QQ7bhHasfa=w1200")</f>
        <v>https://lh3.googleusercontent.com/pw/AP1GczPsU_aSyVbC6EU7B1eojeNh-heAhwjxvutJvPaNLWB0EBl5XNrvG-FMcU_ee2ZmIDLXMPuZ6_VUqShBjhdVQZUCpyTTFVGJ6gRn82Bnpz06gtNZZBg3=w1200|https://lh3.googleusercontent.com/pw/AP1GczMrPn_PURws7fvXP9Yu8ABFJA7FypksCEXGjtPbdpp1Hzmur7yWV73-hQSUy1wLn8B5m_qJJVkqIZhvd-zlsw5Mt1b39HsV2DW8t7I_qT4axDQODpjQ=w1200|https://lh3.googleusercontent.com/pw/AP1GczMaf_MCs1tTnw6nGFUlhB5hLNOCNO8k41vv1YQeyN-d-MK2po9D5vJbSgtyc-nGBKx06Dmd3k2-74f8VsrfscXtxsHSiranOG9PgylIlkjeRGJasjnY=w1200|https://lh3.googleusercontent.com/pw/AP1GczOX3ejpnjkWgMUm89fMt2VGxgPGjO2gmmZ_MPD16H0jp9QZ_rz5ZFjEYhY11FsbNHWUGsHywQu0QNfoN_i18RuZKgBuXwzqo_AQrfAVRKPqZsPFmsxL=w1200|https://lh3.googleusercontent.com/pw/AP1GczM9tGLDIMAlvQVJpY47unPqAcbiBJxIToE6XgUxXyQFYszcMckBKsaPK74B8neqdhND7VjgydjhcnIuAMAH4jebY4A3zsRgX40vh1DCSEs-J81XyHuv=w1200|https://lh3.googleusercontent.com/pw/AP1GczO81rQAWV4CU-kLL_gdjsgY0ie3lw5hE3uwNtHOIeCFR_0E_NWnbNpR45AJ1ofIkJxzHjL7qsTJa7fpKIP7NI_1OGfOnxh8mGsv9W2xk5fCJyHy-IyW=w1200|https://lh3.googleusercontent.com/pw/AP1GczOxjbQ-6yY3A6E6gk0SFw7er5QwENBv-Suya96gHhVqfe99vmU6NAp065n95kXwoP2nCEGM5zHkS4EZLJnS6xZpjTwJS8aldIHeto0SW7CG2oLNpQI3=w1200|https://lh3.googleusercontent.com/pw/AP1GczPjikB430gC4XS-laZJtSEvMrv2xoLxkzAceSPjgxPBwYzHonrB_e5hJHtmuZeuaePDBNv20n0s36K2p96LeTME6q_94vXtmqxPjvLZk5aUXnon_f4Q=w1200|https://lh3.googleusercontent.com/pw/AP1GczOP5w_uepmdS8hfWGBJECFVDfAlFQMxfP8jz6nnzf-CnLORZgZ71JRmqoGpfVjmqcJtQ6r1vtJxmyfrbgAqW3m-rVy8cHq1mFkMhUNQfR2TPO7Wd1dL=w1200|https://lh3.googleusercontent.com/pw/AP1GczOuYrn67d4eUvWEIRunESG4rkqJJguZQy4N4JdCb5kN6xYQF-ThFpdo30--QinNK2uDB4pPN4MOkagwMSYk5l_zWwLcb_lmZCFZKpItYvs3tlznalqx=w1200|https://lh3.googleusercontent.com/pw/AP1GczN5n-u3S1XLg4Lx4C4Y3K6RFcOoo36AZ4MdftJgCdQJwYjNltOYShrG6QYriippiEOnv0qsUuxjzqNnIkH6S5OhvIpf-wlCc0k38wRG9QlPyrr9qhZX=w1200|https://lh3.googleusercontent.com/pw/AP1GczOL614yHp1imm0JQsuq2Hs3DQY_tBhrXpwPLXtEIwlyxVH5-Jn2jyD53LmjWqn4sMY9eTVt9pArb8MO4yjHUZpCMFFJzEnAXDDzdcZ-hSLGGCT9_CqA=w1200|https://lh3.googleusercontent.com/pw/AP1GczN_vsDFWKnJjiYNkGKP-u3nOmhTrwHiSdx_4jF-FT16B55WMXsUsapeARK0PkE3nW70W38V9HuSOTlKikt-bClAUtQCYsxdMvDF7RcNTOHGFSvKpZuf=w1200|https://lh3.googleusercontent.com/pw/AP1GczMA9no06hgm9QIU_u460hWelyXGjERqnRe_99DeiMJIHgKEigT8z4kql0OjYYmdhAdmht4eJ9c_LR1Z6iYdP3107gxNv9OFEOvMrrUF2ygoiAoCdSxQ=w1200|https://lh3.googleusercontent.com/pw/AP1GczNaMkUVWHEJQoEZcSeIKfq5OPLOZGadqqdRLGdO1Kr9bj7RkN1p5kWFWgOvFzgywSOjvHXhYikEB2nGTHzsaVdOAMNsYFnV81vMqyWfjGrpjlbTyLgp=w1200|https://lh3.googleusercontent.com/pw/AP1GczMu_yGNVahCBXfTlQf3Ar4kkhQGJgGaNxNxOEpbiwMbZPrR3r-cbuoPFeRzW7jFZVCFnNj7nwuO-gvFL_MxQepiWHiLzRHi1DM41ktUQPepwlFW8HJM=w1200|https://lh3.googleusercontent.com/pw/AP1GczPf8sclI0P6u0DgkHurptbs41oDrGesLbJ282i_iy4AQZZ49zvmkBsV1d3Zk1uEpCe3L8cqi0kJykuffXo89BepeZAsYMTIlNnxnosCU0b2DCEktnkB=w1200|https://lh3.googleusercontent.com/pw/AP1GczPrJKHVqUNkvzMpY82TtdQFgpr6aqX7Y3LDGs_g9LGCdJnKyH1_VBMAZ0x4iqYen7w1uFdY1mQolj6GiiL8flhdZc_pyV4VVlPiPBTaQjyAvxRL36AS=w1200|https://lh3.googleusercontent.com/pw/AP1GczMW9zozJtavbisyeSTXBgSkP-CZgdTg4SnigfZogv3ZNx25uNEH51Ys1odRAlZDiVy0duJUiz1H5LhppuKTRig1veG2Ipc6027h4Z5aqfrGcOvQkI93=w1200|https://lh3.googleusercontent.com/pw/AP1GczN_gPjmsX0rscXBv0XHEsvtPJSSJnBfd-tvhz0mupC8bleF5q3i8nrNHtIedEmZykrzYof-Po_jMsDhWCiBCwDwkom_uWksmM3MHaV8OuVb_HWoH4ZD=w1200|https://lh3.googleusercontent.com/pw/AP1GczOL-vF-n1Z6h35K0JGZ19klbJMNnhE8ErbZc1K7yXK-wyANzrNgpyzUOgZivHPl2vkEVNPi0T9p086yQbvQoZBPZgzyOt0CIQSf0adSbj4HnnfZixwt=w1200|https://lh3.googleusercontent.com/pw/AP1GczOMhzIFbP0OarK3iv4SGEAd7fdy4jT31j_ziFFbUGB9r9pKHjcFEOuYYAQmHOGZgFWUECaKPqWQe6M777N3Diq6dBwlVLi_x6VbHcKBPd-IFcXduZCX=w1200|https://lh3.googleusercontent.com/pw/AP1GczN-LkTdWTexwArluycTgYBBOCJAfZU3Cfz48QVBjE4EVfx11iLofQBZv4mna6Nf91axZEBq2zpZwoxGKru7gAIF2eJ0jBJhYQZmUIgMUq7lu8NkQ1ZE=w1200|https://lh3.googleusercontent.com/pw/AP1GczPgJ95Xt4ZJ3c8PWL2QG4NvrNvW_yr30WB7e-MfNLMq9m4SQ7Q6xBp4Dz6YPABCnoOuW6sFUzD_Rd0h_J2Ri-dQX6OIUlowhncJrVOAUcIiroyIONtB=w1200|https://lh3.googleusercontent.com/pw/AP1GczOq1mWfsSPLm74N8X4P1Sm9UjKOgS_dxNXCPpJUOoWeSV9WivITKit7qsYgsBhMFip1Sax_GSCW0QL5RtnGfMi7oRlWjx445Z-eAc05ntI0LGIRbAA0=w1200|https://lh3.googleusercontent.com/pw/AP1GczP1u-mi61NTqoSgp_DrNkDbqGo_BUJkCO50QrpNMNFUGAOF1PKFZrjn15u-ibNnH3W6AQdmKGVza12uZ5irLpsSG8jhGuaAUa64a2nbW-nFfrv37qAK=w1200|https://lh3.googleusercontent.com/pw/AP1GczOg8P0sox6eT8JuiYybQDbEOmh4gDl-5L5ik6TgjqD-YB8z0nuq21Twpwu7EUbA1LIKA9uHVa6gK4MgpR6yBfTLG7s3HKohcX5s2iFQz9ESrvWPludT=w1200|https://lh3.googleusercontent.com/pw/AP1GczPDQWF3uDy3F8rh5WfaKIM4788rgZzqBDzF4oNjs1_oQHbGxhamdkIMrVotHKrTzo_Z6aSfoOBqsIdWt2WvczNzvwa1m1efsA9iNoRhtJPmBkJa_zxa=w1200|https://lh3.googleusercontent.com/pw/AP1GczO4M1fFRCFh8as4cCorasgR_llMo7Bu1YjRV6ldzE95tBGF7SxxnkxH7s0iH7IMvVw4jWwQd8YNLNVuZZHV3Mj3nQFgugHUCV6vOzBZt5gXhhaZB0Po=w1200|https://lh3.googleusercontent.com/pw/AP1GczOgLWaQygYCZDtQelrL1XTuke922epKPQiSOlFywzMk07l2rjw05VbgeweKkFoQWyEz2kJBh8VulsE5ulkte5xjBQj0lLuyUPrLpsB1eRjG4T8SxXvY=w1200|https://lh3.googleusercontent.com/pw/AP1GczMho7GDo2B1N6oDvrnjFjPzl1-ouW67t9JpcFEjMtaZGAHzXPWbUYyY0olVOmDdmMw4KhnQaQy1JHOIE0H3R0yKTyp08FZ-8yw_IMzEkrCIoCutsnk9=w1200|https://lh3.googleusercontent.com/pw/AP1GczMndnwBR7LvsArFPgmz1lU7HXE1-Gu67vPeRYh0ab9zh4dOtCDalVYAnb2duN7PRmfYcfYYtoxFvfqJh3bPTILid6Jb-a1hzTZDDql2SQE9BXzw3HDC=w1200|https://lh3.googleusercontent.com/pw/AP1GczN-jEOLr5Ao3WY7WlC0VKcyuMqfwsMfJWOukYsEcfCbUlpukq4m8Dv6Pxg-A7ogEXX3LGQB2DAIR4lWjJ2RWE32hnoR3QZSaTpaBxKRzIBWaN1G6MWS=w1200|https://lh3.googleusercontent.com/pw/AP1GczPoxAdx4OAcpTCqEqcYzJZsMUKiU107-UMNYTJeHZSVX-NcEse_jq8iDaMmMtnASlXkrUxKF6VZ19hssBMosuHPKB5-0dog69p-qrzgcuHjY8AGetQb=w1200|https://lh3.googleusercontent.com/pw/AP1GczNRrKWoOQPzHIuPVU5wnyT3391PPf7s9A7_9In9NQyiG24hZvs-S8lY6_jtbRWnNfpyxx5FO2_P2K7XRa65YdyH7gxQtesVWWoK8L6iVGFvfyad_BjT=w1200|https://lh3.googleusercontent.com/pw/AP1GczOkVOG-jr61WI5uKTIW_sRDRRlVK_zoEYtFPSGq7dOL8HOS7EToBO6_9Zawyo3oSzxgqJjTsz9-BPmjczqimnW4epQUxIxPB_fyF413V2BRMGSEpbv4=w1200|https://lh3.googleusercontent.com/pw/AP1GczMifoael4nLKnHX0Yq7Bt5hbRjdKOemsCpHDfW2Sl3F6IJWLzE56E1anu5ERxYw1ZoLiGYLPOLatjLHxww6wGfIg-kfgsPTkUjVPjoD6j3sD0vB0e_a=w1200|https://lh3.googleusercontent.com/pw/AP1GczNAuw-cT9To5pyb6NdhwCGwFOfhJiFQ9f3G5hmPLlpWHJFrtC-HMH2lmyhDo9hjfrrRxKC9BXR2wPj9pkz9QUGHyFftiZDQzVhrerPq8ab-AnLJQOBY=w1200|https://lh3.googleusercontent.com/pw/AP1GczONqJXvSigWQaDsGzW5Ab5Wdjj1nmatV4j-eRGjghgRrFGEBlFJH6zqfc6VdAq9uJhOSFq0Y4bBiDOPveMKHeyWyyx0C1qJlmloIvLl2zesS1DVgtCX=w1200|https://lh3.googleusercontent.com/pw/AP1GczMq3k6XuxRQCvFrp_Qui2L6J7nmr2YKBGp77RV8F8oym4tML4rinAUHwB_IpmWoH49xvoFrdbosp5TPD5zj6H6M-jArIxCJeiSPSEboi9ONgOFgltEF=w1200|https://lh3.googleusercontent.com/pw/AP1GczPKF20eNAOcBvz3jFasTtQIeicNfS-EXB_aNv6F18lKipYqA1vBPvTQHBEaVOT6H1nkboSk1VZ1XKDwd_U94ULSsJZM8kMzT6pE5BdYkdMgSl97C00y=w1200|https://lh3.googleusercontent.com/pw/AP1GczNy6LYvXRTbLhAqvfuT3PGPrdyp8Rm8Zt-A8_vp0FYbh_u4aAVDWKnc2UimWnf9EuQDmi2FK138swDOzgwG4oI4dvVV-I7M4-E2Rx9Pze4PblYxaB3_=w1200|https://lh3.googleusercontent.com/pw/AP1GczMebZGbO8ATZmanEQpYDJvjYjqYlLGeuLKtZN6Z-7Y5ez1jKEI9PETmFYSZd_nweHtTFSeGBO5qceCCMTM9nQ1KKz0iccVhMzUn2dbVyVQgD-BiM_RQ=w1200|https://lh3.googleusercontent.com/pw/AP1GczOH_KCFJ3DveBGViF5yH2fevLXvoaF9s21lBKtTo6a76vehpqEpzLF8Zzvlv1pkTyElzAxEiDsJcLeHwQo6gsPwW7hOPDMsePpAFBiGGrtVs-INZWcH=w1200|https://lh3.googleusercontent.com/pw/AP1GczNbLaPTDBiJhQ7DgZc1RLtMJLTidN9gWLHT-0MWd9Gdufwte5V9LuAqvZMQ4TLWhtezjayw3mHJO9n6iMK0nWXHgMAvonPTlatBUa1PV3VGXDpC9FUt=w1200|https://lh3.googleusercontent.com/pw/AP1GczMf4B_3hoZ0bhZK6k1pxRn4ob05z5aYBMpzEx9HXb7iPiOus3l02FNoIUmb-gIsexj_fkCSDslpMZOp0Ru-G33Lznld_W0XWdRFC4cg6y-37_ESji6w=w1200|https://lh3.googleusercontent.com/pw/AP1GczPtrHKOTJNTSoXy25Zq_ZBuk6jh8cOe9IqkKjOodTKWaBUhgT7Vo9qw35q341hy4qX_xDQfiZxdUCMvyjo3vV7lCCheOjUCOPBgrKYXp76yQP3ixazW=w1200|https://lh3.googleusercontent.com/pw/AP1GczMov5_oIHPRs-X4k1zuOQtJlm1z1DKGw3hDbLHHhPhrlA3os9izlPWcDS3cqD1AbjG46HysP-vQByMU7mwoiJBFPOdjjBXkD7wdmzn-s5rCttgY-6A1=w1200|https://lh3.googleusercontent.com/pw/AP1GczOrgy3LRxqrKVLiD0UN5Qmzs2RKm_tk6Ph91raSf7-vu77BpQotIGUsvum-g1h7BfOwmF2adc2Qoqes3FCtks9jgzp0qd4DQIozXmKYr21IW-B0urGf=w1200|https://lh3.googleusercontent.com/pw/AP1GczNeS_2283_0jpuEgyIOFu7_M4jlWxaRa6o4-JoIXQU3rtYkfCY9qgWlgL-qiI9mu1k-c0FQ0sjcJC93OWZtkoLFjD9GgOeo_u2GYJB9AhwjCT6KXNR6=w1200|https://lh3.googleusercontent.com/pw/AP1GczMPmyOJW2vpXYLxE7X-a_PLXbHzF7UvltZAugQLk7xuDcrQT_LJHASZedAvDLA9nyfEI9bILGR-OmRRmotBarkRH_sEpt4V0Du2f5R3-Sb4vwA1-tof=w1200|https://lh3.googleusercontent.com/pw/AP1GczNFzWaENJexKag4ILYmyQ30VxvsDF2oCe0iApfooKxHmtrw1RjyOBmmy6G5Cu_iQz5d91ViR5_dC3IWR00MGJVD4Fl_U8PEwRsXUpYKMDEHnBcsRFTF=w1200|https://lh3.googleusercontent.com/pw/AP1GczPFh4oacq_zxLlYtFfnfjo9gJLi7wBfB8BVZgWt73Qz3p6kKerv_PlZbXPcEvSDmaU9DbYcCfet_BU-usMsaKhkPM7bBdFlOVO3xEVxM7XbwCcy4eQt=w1200|https://lh3.googleusercontent.com/pw/AP1GczOOEbaPXCIMl7QtnBNK0kjGnMy6ZNw9d3AN3sNULAglJEKuPKCnFoHi5Ayq49XBV6wFmq-OPRnKi8lvcOv9SvOrjUeAqW2guNBadQzMQEnT4JR2EBq3=w1200|https://lh3.googleusercontent.com/pw/AP1GczOcXSYjt7echzC3VIgrEdjOjg_Uj10Tn5rzagXUBvofhwCxHw3-pFBIch6pjsbmHaBmgT5xE0bt7Ii5VjrRfgX1x-dyaSt_-w7xMd91HJWQJ-oQ69pq=w1200|https://lh3.googleusercontent.com/pw/AP1GczN-QKwAo3dcubX6RM36xeXZCtNArGC61LunoTWdetf-oV5fskPa18t6f8qxJPWl9iSn-XM-8mOGVK4-eRDpVyA29U_QM5YTC9QeIca9ArYzvg4nb4xv=w1200|https://lh3.googleusercontent.com/pw/AP1GczPuuvRD_RShFaReV-oKj28hi5S0wk-jtzjefW-_sY6EgchLBqa1GkSGUNYAhuEzh15MysXXo0nvKw5XWQAulJOPJ9g8swnzaK50efFMIEho48cSmM-M=w1200|https://lh3.googleusercontent.com/pw/AP1GczOAy4j3OTIZRAuFixvwOdq9iySjiS9p16nAbdsobU4Rs3rMAUVKiWqNxaa1Fu8a7K6G2qpcrZAFTYh3xj1CpyfrO8h5M4y90v_QXy50byOoTXCwbwL7=w1200|https://lh3.googleusercontent.com/pw/AP1GczNvpsem7xYlVAzZJ9N9KBPVeRbAdpD1YX03mO6Gbi_yXlpQP9mpv7-raw6E90NS_ipwa51Vx3i9LsRWI3GAnUHZsockja5j-XE8ERqGM5f67_ecvLMm=w1200|https://lh3.googleusercontent.com/pw/AP1GczNSK7gppQao9qD3rFvSHXfvW5eL1K5PB7moHnvvW4em6bhPb286qKO_qwOFt39z4tUzHL98612adhaLcp7iCqCr4R_gvA8v6rqp7ZZiHzpmRdbCWmk8=w1200|https://lh3.googleusercontent.com/pw/AP1GczP1f0aRinKSjLK_K2zM99G_8UkV1-rv2K4GR8c1QK7Q_0R0bLs4xYHUwRkgjJ8tCOnTm5B4p_9OrKwfv4FDsJSPWjvmpMa5jfn1FPgL-7365XI0N9NO=w1200|https://lh3.googleusercontent.com/pw/AP1GczPXaZ5HO-YGRRq3CyIshQddTJUDVxpA2-HDiaD7yZdtcCPl3VrfSIeiqtLLLv3ONXZHH62Ofui8m-coxjHZozkULywwqDZRW_ztWzCFQoSXJgUAQ1Tb=w1200|https://lh3.googleusercontent.com/pw/AP1GczMaYyUNHUSg9u5k_LRMIZIeT2MhcWXneQh0rnRuvXFN0BIpkN0i4a2cbWGrmmI1BFu1fYQH4lyvBB8noY-Jq1LKXwBjBpSMgm_sszYw-4QQ7bhHasfa=w1200</v>
      </c>
      <c r="AJ541" s="46"/>
      <c r="AK541" s="46"/>
      <c r="AL541" s="46"/>
      <c r="AM541" s="46"/>
      <c r="AN541" s="46"/>
      <c r="AO541" s="46"/>
      <c r="AP541" s="46"/>
      <c r="AQ541" s="46"/>
      <c r="AR541" s="46"/>
      <c r="AS541" s="46"/>
      <c r="AT541" s="46"/>
      <c r="AU541" s="46"/>
      <c r="AV541" s="46"/>
      <c r="AW541" s="46"/>
      <c r="AX541" s="46"/>
      <c r="AY541" s="46"/>
      <c r="AZ541" s="46"/>
      <c r="BA541" s="46"/>
      <c r="BB541" s="46"/>
      <c r="BC541" s="46"/>
      <c r="BD541" s="46"/>
      <c r="BE541" s="46"/>
      <c r="BF541" s="46"/>
      <c r="BG541" s="46"/>
      <c r="BH541" s="46"/>
      <c r="BI541" s="46"/>
      <c r="BJ541" s="46"/>
      <c r="BK541" s="46"/>
      <c r="BL541" s="46"/>
      <c r="BM541" s="46"/>
      <c r="BN541" s="46"/>
      <c r="BO541" s="46"/>
      <c r="BP541" s="46"/>
      <c r="BQ541" s="46"/>
      <c r="BR541" s="46"/>
      <c r="BS541" s="46"/>
      <c r="BT541" s="46"/>
      <c r="BU541" s="46"/>
      <c r="BV541" s="46"/>
      <c r="BW541" s="46"/>
      <c r="BX541" s="46"/>
      <c r="BY541" s="46"/>
      <c r="BZ541" s="46"/>
      <c r="CA541" s="46"/>
      <c r="CB541" s="46"/>
      <c r="CC541" s="46"/>
    </row>
    <row r="542">
      <c r="A542" s="87" t="str">
        <f>IFERROR(__xludf.DUMMYFUNCTION("""COMPUTED_VALUE"""),"638")</f>
        <v>638</v>
      </c>
      <c r="B542" s="46" t="str">
        <f>IFERROR(__xludf.DUMMYFUNCTION("""COMPUTED_VALUE"""),"Casa en conjunto La Alameda")</f>
        <v>Casa en conjunto La Alameda</v>
      </c>
      <c r="C542" s="46" t="str">
        <f>IFERROR(__xludf.DUMMYFUNCTION("""COMPUTED_VALUE"""),"Casa en conjunto")</f>
        <v>Casa en conjunto</v>
      </c>
      <c r="D542" s="46" t="str">
        <f>IFERROR(__xludf.DUMMYFUNCTION("""COMPUTED_VALUE"""),"El Vergel ")</f>
        <v>El Vergel </v>
      </c>
      <c r="E542" s="46" t="str">
        <f>IFERROR(__xludf.DUMMYFUNCTION("""COMPUTED_VALUE"""),"La Alameda")</f>
        <v>La Alameda</v>
      </c>
      <c r="F542" s="90">
        <f>IFERROR(__xludf.DUMMYFUNCTION("""COMPUTED_VALUE"""),7.5E8)</f>
        <v>750000000</v>
      </c>
      <c r="G542" s="46" t="str">
        <f>IFERROR(__xludf.DUMMYFUNCTION("""COMPUTED_VALUE"""),"$500'000.000 a $1.000'000.000")</f>
        <v>$500'000.000 a $1.000'000.000</v>
      </c>
      <c r="H542" s="46"/>
      <c r="I542" s="46"/>
      <c r="J542" s="46" t="str">
        <f>IFERROR(__xludf.DUMMYFUNCTION("""COMPUTED_VALUE"""),"Oriente")</f>
        <v>Oriente</v>
      </c>
      <c r="K542" s="87" t="str">
        <f>IFERROR(__xludf.DUMMYFUNCTION("""COMPUTED_VALUE"""),"5")</f>
        <v>5</v>
      </c>
      <c r="L542" s="46">
        <f>IFERROR(__xludf.DUMMYFUNCTION("""COMPUTED_VALUE"""),3.0)</f>
        <v>3</v>
      </c>
      <c r="M542" s="46"/>
      <c r="N542" s="46">
        <f>IFERROR(__xludf.DUMMYFUNCTION("""COMPUTED_VALUE"""),2.0)</f>
        <v>2</v>
      </c>
      <c r="O542" s="46">
        <f>IFERROR(__xludf.DUMMYFUNCTION("""COMPUTED_VALUE"""),1.0)</f>
        <v>1</v>
      </c>
      <c r="P542" s="46">
        <f>IFERROR(__xludf.DUMMYFUNCTION("""COMPUTED_VALUE"""),2.0)</f>
        <v>2</v>
      </c>
      <c r="Q542" s="92" t="str">
        <f>IFERROR(__xludf.DUMMYFUNCTION("""COMPUTED_VALUE"""),"101,80")</f>
        <v>101,80</v>
      </c>
      <c r="R542" s="92" t="str">
        <f>IFERROR(__xludf.DUMMYFUNCTION("""COMPUTED_VALUE"""),"112,58")</f>
        <v>112,58</v>
      </c>
      <c r="S542" s="87" t="str">
        <f>IFERROR(__xludf.DUMMYFUNCTION("""COMPUTED_VALUE""")," ")</f>
        <v> </v>
      </c>
      <c r="T542" s="46" t="str">
        <f>IFERROR(__xludf.DUMMYFUNCTION("""COMPUTED_VALUE"""),"Neiva")</f>
        <v>Neiva</v>
      </c>
      <c r="U542" s="87"/>
      <c r="V542" s="46" t="str">
        <f>IFERROR(__xludf.DUMMYFUNCTION("""COMPUTED_VALUE"""),"Esquinera")</f>
        <v>Esquinera</v>
      </c>
      <c r="W542" s="46"/>
      <c r="X542" s="46">
        <f>IFERROR(__xludf.DUMMYFUNCTION("""COMPUTED_VALUE"""),3.0)</f>
        <v>3</v>
      </c>
      <c r="Y542" s="46" t="str">
        <f>IFERROR(__xludf.DUMMYFUNCTION("""COMPUTED_VALUE"""),"Social")</f>
        <v>Social</v>
      </c>
      <c r="Z542" s="90"/>
      <c r="AA542" s="33" t="str">
        <f>IFERROR(__xludf.DUMMYFUNCTION("""COMPUTED_VALUE"""),"No aplica")</f>
        <v>No aplica</v>
      </c>
      <c r="AB542" s="96" t="str">
        <f>IFERROR(__xludf.DUMMYFUNCTION("""COMPUTED_VALUE"""),"https://photos.app.goo.gl/EZqs531DNDK9xoEp9")</f>
        <v>https://photos.app.goo.gl/EZqs531DNDK9xoEp9</v>
      </c>
      <c r="AC542" s="46" t="str">
        <f>IFERROR(__xludf.DUMMYFUNCTION("""COMPUTED_VALUE"""),"Área 112,58 M2, Construida 101,80 M2, Portería 24 horas, salón social, parque para niños, piscina adultos y niños, senderos peatonales, cancha de futbol, zona de BBQ, parqueadero para visitantes, garaje techado para dos vehiculos. Primer piso: Sala comedo"&amp;"r, con persianas y panel japones, baño social, cocina integral, patio de ropas, zona de lavandería, instalación para lavadora, calentador a gas. Segundo piso: tres alcobas con closet, persiana y black out, alcoba principal con baño y tina , baño auxiliar,"&amp;" dos alcobas con ventilador de techo en alcoba principal y auxiliar, instalación para aire acondicionado, pisos en porcelanato, cielo raso en drywall.")</f>
        <v>Área 112,58 M2, Construida 101,80 M2, Portería 24 horas, salón social, parque para niños, piscina adultos y niños, senderos peatonales, cancha de futbol, zona de BBQ, parqueadero para visitantes, garaje techado para dos vehiculos. Primer piso: Sala comedor, con persianas y panel japones, baño social, cocina integral, patio de ropas, zona de lavandería, instalación para lavadora, calentador a gas. Segundo piso: tres alcobas con closet, persiana y black out, alcoba principal con baño y tina , baño auxiliar, dos alcobas con ventilador de techo en alcoba principal y auxiliar, instalación para aire acondicionado, pisos en porcelanato, cielo raso en drywall.</v>
      </c>
      <c r="AD542" s="46" t="str">
        <f>IFERROR(__xludf.DUMMYFUNCTION("""COMPUTED_VALUE"""),"Esquinera")</f>
        <v>Esquinera</v>
      </c>
      <c r="AE542" s="46"/>
      <c r="AF542" s="46" t="str">
        <f>IFERROR(__xludf.DUMMYFUNCTION("""COMPUTED_VALUE"""),"integral")</f>
        <v>integral</v>
      </c>
      <c r="AG542" s="46"/>
      <c r="AH542" s="46" t="str">
        <f>IFERROR(__xludf.DUMMYFUNCTION("""COMPUTED_VALUE"""),"Aliado")</f>
        <v>Aliado</v>
      </c>
      <c r="AI542" s="92" t="str">
        <f>IFERROR(__xludf.DUMMYFUNCTION("""COMPUTED_VALUE"""),"https://lh3.googleusercontent.com/pw/AP1GczOYJLrW3zNLVRY2RknQDpe2uZ1tGWyr6dyE7PJlzf_CyLshbxVKTDdPs0RvT_sEy-kmlSN-eY-PFVONZXM6rMSF4teU_HcwUJ0A3RSVH-PGXm7auLAM=w1200|https://lh3.googleusercontent.com/pw/AP1GczNcGcO00ZDCbAiyq8_C1rMUq5wxqeYsJqJZANBdb6IWG-qZXu"&amp;"yyNQNlVfKyL_rOTbq_iCK7wHSx6FKreZtp-f2FjyoXtMK3Pff6_aTwJ3HbBTPfAQAj=w1200|https://lh3.googleusercontent.com/pw/AP1GczMeArqf_aG1YZ4b03ahiNHZHuyCjXOe80cLUJ3i_576M5SzxmS_nj57NgaYHJdkgtmHCPfAQX-do-8kgct3lXHGiQHpviLrcNmwtTAeFS1mBYN-gwPt=w1200|https://lh3.google"&amp;"usercontent.com/pw/AP1GczMFe0W8dbeT034WFGVRHWTX_yGa6Xfmpn0KQMk0IL6Z4TrrF3JtmT4QcqY6Bim5BOj2kaC0Yorjg8u4-sFbTgBemxlWGSei9Zmmo2SL-uItlnlbMYlw=w1200|https://lh3.googleusercontent.com/pw/AP1GczPHhQm1yv2HIlHdMyIBtIr_tUoQK1-2_doIHFWuAGAkxzrK5QgffHrbllhqV5yoKBaP"&amp;"nsELI49Dl8fbUq9mPsdC5KXi9dJZO_f6Wo89z6vxiHKnISRH=w1200|https://lh3.googleusercontent.com/pw/AP1GczO9LuRvqItxZN6QmHjGPtEbJViW_jx0OtgTok3AqZaYDPdZA1kIALLxMe5OFul5qBnJGWWYYq5RfjHExkmdYtuKdwNwt3pATx455ZTRxOtzpqu0ROnA=w1200|https://lh3.googleusercontent.com/pw"&amp;"/AP1GczPYWUJejOiApYtTrPh-T61t5Se3FBoCR28ztkLEN0yI1oYgaGwZargNf9725L0wh83PfY9gxjoWuYp5pUgIRbcNwCCL-t37mITlfwkBhU0PEb3BLTlg=w1200|https://lh3.googleusercontent.com/pw/AP1GczO34gveeMFLkZHB3lyQH8nHBUOZpewj92De_lvWjONCGobgI-Y9W2eavUDwNBu3RMfyleXGh4pH8zmzOHKJH5"&amp;"i3SwtoUuxFTT6ZwGq39aBOcipjPGAk=w1200|https://lh3.googleusercontent.com/pw/AP1GczPZZ1k6SCEed_TinSYPIdIS7EiWzAHg8Q44cTEJqthLdlIGJVhcBbLWNFIwbzGmf3aNYsecu60BFyRImRbQL4VCR8vpZ3FycxctP7NtLciAPRt2MS9U=w1200|https://lh3.googleusercontent.com/pw/AP1GczN8MJx6Zvdsu"&amp;"Iepg6V-ngj9x4jGRaLF2JNfxwmYfxdnnGMHjlUgoBjXNz9KhePVrJjQ_ETlqy2tf07_jCK_3Pl2p4nzRFAdIq6jGxIddfQDALgRZM2o=w1200|https://lh3.googleusercontent.com/pw/AP1GczOFQzPgZO71IISoeRDUi4jLngN6P1Qo_Kfsx6YoSvN4o5hx9DHDm-jINK3WirQuY_ldKWBtfElZ3t0lNsXPpDYC9N46tVs9Hq35yGoo"&amp;"fESLRV1wMPeS=w1200")</f>
        <v>https://lh3.googleusercontent.com/pw/AP1GczOYJLrW3zNLVRY2RknQDpe2uZ1tGWyr6dyE7PJlzf_CyLshbxVKTDdPs0RvT_sEy-kmlSN-eY-PFVONZXM6rMSF4teU_HcwUJ0A3RSVH-PGXm7auLAM=w1200|https://lh3.googleusercontent.com/pw/AP1GczNcGcO00ZDCbAiyq8_C1rMUq5wxqeYsJqJZANBdb6IWG-qZXuyyNQNlVfKyL_rOTbq_iCK7wHSx6FKreZtp-f2FjyoXtMK3Pff6_aTwJ3HbBTPfAQAj=w1200|https://lh3.googleusercontent.com/pw/AP1GczMeArqf_aG1YZ4b03ahiNHZHuyCjXOe80cLUJ3i_576M5SzxmS_nj57NgaYHJdkgtmHCPfAQX-do-8kgct3lXHGiQHpviLrcNmwtTAeFS1mBYN-gwPt=w1200|https://lh3.googleusercontent.com/pw/AP1GczMFe0W8dbeT034WFGVRHWTX_yGa6Xfmpn0KQMk0IL6Z4TrrF3JtmT4QcqY6Bim5BOj2kaC0Yorjg8u4-sFbTgBemxlWGSei9Zmmo2SL-uItlnlbMYlw=w1200|https://lh3.googleusercontent.com/pw/AP1GczPHhQm1yv2HIlHdMyIBtIr_tUoQK1-2_doIHFWuAGAkxzrK5QgffHrbllhqV5yoKBaPnsELI49Dl8fbUq9mPsdC5KXi9dJZO_f6Wo89z6vxiHKnISRH=w1200|https://lh3.googleusercontent.com/pw/AP1GczO9LuRvqItxZN6QmHjGPtEbJViW_jx0OtgTok3AqZaYDPdZA1kIALLxMe5OFul5qBnJGWWYYq5RfjHExkmdYtuKdwNwt3pATx455ZTRxOtzpqu0ROnA=w1200|https://lh3.googleusercontent.com/pw/AP1GczPYWUJejOiApYtTrPh-T61t5Se3FBoCR28ztkLEN0yI1oYgaGwZargNf9725L0wh83PfY9gxjoWuYp5pUgIRbcNwCCL-t37mITlfwkBhU0PEb3BLTlg=w1200|https://lh3.googleusercontent.com/pw/AP1GczO34gveeMFLkZHB3lyQH8nHBUOZpewj92De_lvWjONCGobgI-Y9W2eavUDwNBu3RMfyleXGh4pH8zmzOHKJH5i3SwtoUuxFTT6ZwGq39aBOcipjPGAk=w1200|https://lh3.googleusercontent.com/pw/AP1GczPZZ1k6SCEed_TinSYPIdIS7EiWzAHg8Q44cTEJqthLdlIGJVhcBbLWNFIwbzGmf3aNYsecu60BFyRImRbQL4VCR8vpZ3FycxctP7NtLciAPRt2MS9U=w1200|https://lh3.googleusercontent.com/pw/AP1GczN8MJx6ZvdsuIepg6V-ngj9x4jGRaLF2JNfxwmYfxdnnGMHjlUgoBjXNz9KhePVrJjQ_ETlqy2tf07_jCK_3Pl2p4nzRFAdIq6jGxIddfQDALgRZM2o=w1200|https://lh3.googleusercontent.com/pw/AP1GczOFQzPgZO71IISoeRDUi4jLngN6P1Qo_Kfsx6YoSvN4o5hx9DHDm-jINK3WirQuY_ldKWBtfElZ3t0lNsXPpDYC9N46tVs9Hq35yGoofESLRV1wMPeS=w1200</v>
      </c>
      <c r="AJ542" s="46"/>
      <c r="AK542" s="46"/>
      <c r="AL542" s="46"/>
      <c r="AM542" s="46"/>
      <c r="AN542" s="46"/>
      <c r="AO542" s="46"/>
      <c r="AP542" s="46"/>
      <c r="AQ542" s="46"/>
      <c r="AR542" s="46"/>
      <c r="AS542" s="46"/>
      <c r="AT542" s="46"/>
      <c r="AU542" s="46"/>
      <c r="AV542" s="46"/>
      <c r="AW542" s="46"/>
      <c r="AX542" s="46"/>
      <c r="AY542" s="46"/>
      <c r="AZ542" s="46"/>
      <c r="BA542" s="46"/>
      <c r="BB542" s="46"/>
      <c r="BC542" s="46"/>
      <c r="BD542" s="46"/>
      <c r="BE542" s="46"/>
      <c r="BF542" s="46"/>
      <c r="BG542" s="46"/>
      <c r="BH542" s="46"/>
      <c r="BI542" s="46"/>
      <c r="BJ542" s="46"/>
      <c r="BK542" s="46"/>
      <c r="BL542" s="46"/>
      <c r="BM542" s="46"/>
      <c r="BN542" s="46"/>
      <c r="BO542" s="46"/>
      <c r="BP542" s="46"/>
      <c r="BQ542" s="46"/>
      <c r="BR542" s="46"/>
      <c r="BS542" s="46"/>
      <c r="BT542" s="46"/>
      <c r="BU542" s="46"/>
      <c r="BV542" s="46"/>
      <c r="BW542" s="46"/>
      <c r="BX542" s="46"/>
      <c r="BY542" s="46"/>
      <c r="BZ542" s="46"/>
      <c r="CA542" s="46"/>
      <c r="CB542" s="46"/>
      <c r="CC542" s="46"/>
    </row>
    <row r="543">
      <c r="A543" s="87" t="str">
        <f>IFERROR(__xludf.DUMMYFUNCTION("""COMPUTED_VALUE"""),"058")</f>
        <v>058</v>
      </c>
      <c r="B543" s="46" t="str">
        <f>IFERROR(__xludf.DUMMYFUNCTION("""COMPUTED_VALUE"""),"Casa en barrio Calixto")</f>
        <v>Casa en barrio Calixto</v>
      </c>
      <c r="C543" s="46" t="str">
        <f>IFERROR(__xludf.DUMMYFUNCTION("""COMPUTED_VALUE"""),"Casa")</f>
        <v>Casa</v>
      </c>
      <c r="D543" s="90" t="str">
        <f>IFERROR(__xludf.DUMMYFUNCTION("""COMPUTED_VALUE"""),"Calixto")</f>
        <v>Calixto</v>
      </c>
      <c r="E543" s="46"/>
      <c r="F543" s="90">
        <f>IFERROR(__xludf.DUMMYFUNCTION("""COMPUTED_VALUE"""),4.5E8)</f>
        <v>450000000</v>
      </c>
      <c r="G543" s="46" t="str">
        <f>IFERROR(__xludf.DUMMYFUNCTION("""COMPUTED_VALUE"""),"$400'000.000 a $500'000.000")</f>
        <v>$400'000.000 a $500'000.000</v>
      </c>
      <c r="H543" s="46"/>
      <c r="I543" s="46"/>
      <c r="J543" s="46" t="str">
        <f>IFERROR(__xludf.DUMMYFUNCTION("""COMPUTED_VALUE"""),"Centro")</f>
        <v>Centro</v>
      </c>
      <c r="K543" s="87" t="str">
        <f>IFERROR(__xludf.DUMMYFUNCTION("""COMPUTED_VALUE"""),"7")</f>
        <v>7</v>
      </c>
      <c r="L543" s="46">
        <f>IFERROR(__xludf.DUMMYFUNCTION("""COMPUTED_VALUE"""),4.0)</f>
        <v>4</v>
      </c>
      <c r="M543" s="46"/>
      <c r="N543" s="46">
        <f>IFERROR(__xludf.DUMMYFUNCTION("""COMPUTED_VALUE"""),2.0)</f>
        <v>2</v>
      </c>
      <c r="O543" s="46">
        <f>IFERROR(__xludf.DUMMYFUNCTION("""COMPUTED_VALUE"""),1.0)</f>
        <v>1</v>
      </c>
      <c r="P543" s="46">
        <f>IFERROR(__xludf.DUMMYFUNCTION("""COMPUTED_VALUE"""),1.0)</f>
        <v>1</v>
      </c>
      <c r="Q543" s="92">
        <f>IFERROR(__xludf.DUMMYFUNCTION("""COMPUTED_VALUE"""),159.0)</f>
        <v>159</v>
      </c>
      <c r="R543" s="92">
        <f>IFERROR(__xludf.DUMMYFUNCTION("""COMPUTED_VALUE"""),199.0)</f>
        <v>199</v>
      </c>
      <c r="S543" s="87" t="str">
        <f>IFERROR(__xludf.DUMMYFUNCTION("""COMPUTED_VALUE""")," ")</f>
        <v> </v>
      </c>
      <c r="T543" s="46" t="str">
        <f>IFERROR(__xludf.DUMMYFUNCTION("""COMPUTED_VALUE"""),"Neiva")</f>
        <v>Neiva</v>
      </c>
      <c r="U543" s="87" t="str">
        <f>IFERROR(__xludf.DUMMYFUNCTION("""COMPUTED_VALUE"""),"3")</f>
        <v>3</v>
      </c>
      <c r="V543" s="46" t="str">
        <f>IFERROR(__xludf.DUMMYFUNCTION("""COMPUTED_VALUE"""),"Medianera")</f>
        <v>Medianera</v>
      </c>
      <c r="W543" s="46"/>
      <c r="X543" s="46">
        <f>IFERROR(__xludf.DUMMYFUNCTION("""COMPUTED_VALUE"""),1.0)</f>
        <v>1</v>
      </c>
      <c r="Y543" s="46" t="str">
        <f>IFERROR(__xludf.DUMMYFUNCTION("""COMPUTED_VALUE"""),"No tiene")</f>
        <v>No tiene</v>
      </c>
      <c r="Z543" s="90" t="str">
        <f>IFERROR(__xludf.DUMMYFUNCTION("""COMPUTED_VALUE"""),"No aplica")</f>
        <v>No aplica</v>
      </c>
      <c r="AA543" s="33" t="str">
        <f>IFERROR(__xludf.DUMMYFUNCTION("""COMPUTED_VALUE"""),"No aplica")</f>
        <v>No aplica</v>
      </c>
      <c r="AB543" s="144" t="str">
        <f>IFERROR(__xludf.DUMMYFUNCTION("""COMPUTED_VALUE"""),"https://photos.app.goo.gl/bkRdLgVC9jhnzMtaA")</f>
        <v>https://photos.app.goo.gl/bkRdLgVC9jhnzMtaA</v>
      </c>
      <c r="AC543" s="46" t="str">
        <f>IFERROR(__xludf.DUMMYFUNCTION("""COMPUTED_VALUE"""),"Área 199 M2, construida 159 M2, Casa de un piso, reja a media altura, garaje interno, halla de entrada, baño social con ducha, estudio, sala amplia, comedor, cocina integral con comedor adicional, patio interno con reja en la parte superior, alcoba, patio"&amp;" de ropas, zona de lavandería, tres alcobas, una alcoba doble, alcoba con closet y baño. pisos en retal de marmol. Estrato 3.")</f>
        <v>Área 199 M2, construida 159 M2, Casa de un piso, reja a media altura, garaje interno, halla de entrada, baño social con ducha, estudio, sala amplia, comedor, cocina integral con comedor adicional, patio interno con reja en la parte superior, alcoba, patio de ropas, zona de lavandería, tres alcobas, una alcoba doble, alcoba con closet y baño. pisos en retal de marmol. Estrato 3.</v>
      </c>
      <c r="AD543" s="46"/>
      <c r="AE543" s="46"/>
      <c r="AF543" s="46" t="str">
        <f>IFERROR(__xludf.DUMMYFUNCTION("""COMPUTED_VALUE"""),"integral")</f>
        <v>integral</v>
      </c>
      <c r="AG543" s="46"/>
      <c r="AH543" s="46" t="str">
        <f>IFERROR(__xludf.DUMMYFUNCTION("""COMPUTED_VALUE"""),"Aliado")</f>
        <v>Aliado</v>
      </c>
      <c r="AI543" s="92" t="str">
        <f>IFERROR(__xludf.DUMMYFUNCTION("""COMPUTED_VALUE"""),"https://lh3.googleusercontent.com/pw/AP1GczM0PfD7NlekTOJcNerKYUurGO9ClvA6vYaiitfsZbXwmEpnxUIldfQAumVp8vJ2FrQ4xHY2M-_IP4GzPEC7CM13z9EcQNLaMv4PR6oU8oqhKT4wceGS=w1200|https://lh3.googleusercontent.com/pw/AP1GczOVHWEV3osTyUrSJ4ZaiS97YXVo_DVJTWAgHtqTvsllTaxsvq"&amp;"vPK9K3gJe3OUi7T-5KjBh4vHnkL37ifUQ6bW9vK-wod9SKSLSplGkBNQpLCGBQQN1w=w1200|https://lh3.googleusercontent.com/pw/AP1GczOvc_nnDdw00uUqLF6O0RhQneMHj-cCLh_RpK36K_VEePsVJcsuafpp6x_-qFXgqoUW7l2hiDwQfgZKNI7WYAjUUpgLriSlPbNpp0IfvcjBHRDh6tfe=w1200|https://lh3.google"&amp;"usercontent.com/pw/AP1GczPnoiVvQHqk4qWLHBKTDgiCExQ1o1EPG8iyeAAKprCPY7wsVv54gLW-F1SMChM2yeRQIWUaheQ_mk4l0KSoSapf_6346rlDiXB9Ju4nLbmc__GABqxk=w1200|https://lh3.googleusercontent.com/pw/AP1GczOSz6oDbb3I1nWYcquqj61ndaRXzALPaGCCX6zWKaJxrlpS8KlX7oF1erlYevFYN3Wy"&amp;"i_P0bU0AtfrzGb9ggwvssQiXHwWsVPkXZQU_5WpTdB6-yspk=w1200|https://lh3.googleusercontent.com/pw/AP1GczOy2bIKSQRA9wYQRvwMz0Hw2qApVO1bIUoocg2QQ52_m27KZh11YIGplWc-i1-kSh1lGKQKQg5FhuQvd2oG5tUF9D26vUFxgtCJCZIPjGEtWAmnBoCz=w1200|https://lh3.googleusercontent.com/pw"&amp;"/AP1GczMmPZTrr7xms5zeR3_6GrXgBWCeeRtEYsmrexGxJCRnrq1J2sxyN-Q1nh77sJnfwcn-IAEZtrmiT9225T7QDd8HYWqRWQWMt4IczVSDH1l7_chk-onw=w1200|https://lh3.googleusercontent.com/pw/AP1GczN3BXXRZsaM0XKA44gA99XBL6zUOF-V06fG5dQuCDV9DN2fZ5WkLqTnbEjf00cBanzBkPUz68JL3DPRIXM7SB"&amp;"j1L2fBQBKSnNsC5xVNaJurvzVx70MM=w1200|https://lh3.googleusercontent.com/pw/AP1GczN0dBR5LnExbNcshCtzjt9rbkE6ohzq3haXhAlomEWT4QHNZqiZh9pd-t_JX7kAWe-moENtzKU6PMP1s1fFrH_e62tQEhnHaDS5TXZEOD2thA9rKqi-=w1200|https://lh3.googleusercontent.com/pw/AP1GczPaAlkXh31bb"&amp;"4X0CPvA3o0WnFe5PaAb2r0ql2KeJmtFlfYXFSH-jI6HBH9a-qaJyhfIJWhDA6294zc3ewPxztl52vC3alQYbHkg3ZlzywDWM4Vugr7q=w1200|https://lh3.googleusercontent.com/pw/AP1GczOOUsaARV6L2jXhErYLnPiGhjh-wD4CHe4lqf0TPu4z9BI64fOQG-Kn80fQE9kpMGKaeE77tYJ8ETzn743KX_84s7tOGkPtYaStFTY7"&amp;"Y9IfI1dQL21i=w1200|https://lh3.googleusercontent.com/pw/AP1GczMUgguk_DiqKnPidZtSQATByzTHfOuE9PNbBkaVsX1Ev5kT3UPDV12lPoZ7oW0uToudSC3OADKpT57QuWXzgq599FV0emliKqF-gonuhpOVVDiHDlAO=w1200|https://lh3.googleusercontent.com/pw/AP1GczMuq89aPO6i1LKqKQb1ufcwSt9wvhB"&amp;"aYCddVRVu76saMKOqqpl_FuvZx_yRctYAvzR_CQ3kwFH8_5BWuESIWEcomdZzeKiK-tN240Ruuvvo9uMrqlDN=w1200|https://lh3.googleusercontent.com/pw/AP1GczPsYF_zedXU0LhNYxDb2XhLYOKfwoi-7qVoVjQEBEv506IEoCwQpcBVWcgeUD6KX1TOweMyRC76009zmA35gymts-eCNNroMw2VytjUq6b7Y9OAsxEM=w1200"&amp;"|https://lh3.googleusercontent.com/pw/AP1GczPnalI0nDn7JJf3puiCvWZMCi3En4_DxCTRmGBgL2G3iTxDakLVBEp-wyehFMK2_dZXMOnIMdP43X9bfvAv7sfyxJo-8oTsgLDIRkXNpUA8jqqDsDAu=w1200|https://lh3.googleusercontent.com/pw/AP1GczODbmm5e3CCY8Z1lbCnWvCG7ppXlve8ZEaslRxoH5gSaZR8o"&amp;"pMKrDSyjiCrC80C3aKbf6BC655POYaEVFnTtMgs0xjoxntBGH4qQfFhPznhor2EmkY8=w1200|https://lh3.googleusercontent.com/pw/AP1GczNWnafH6mBpT66KCg-aihdBzAIZUnvMf7oZqE-7n-as7BKLHke1TsZAfZj76CxQx4vocALXCdqOo7KOOywP9eTYypAGhDUrkDo7Widse4nbGLFQpPYE=w1200|https://lh3.googl"&amp;"eusercontent.com/pw/AP1GczN_m-pNkYbnYDq4o4qjPjGqGJf6NuYmDgeUk5ISOw8z40IU4t6mNnACjkaTSwEMPGDzus2Gj998679ecTX9a5Jn1-hftvSveMjFmCPbfukNjJEr5Flg=w1200|https://lh3.googleusercontent.com/pw/AP1GczOsYilOy-WWM7jk2CGXFMTA_8aKP4WifXd8ae5GETjrKlqwrpf9-ZpCHRfssKMyK3H"&amp;"-0A5Whof9ZH1dyu7nn9kySyWMNP3_6tOT-Ad8h16228TJ3TcM=w1200")</f>
        <v>https://lh3.googleusercontent.com/pw/AP1GczM0PfD7NlekTOJcNerKYUurGO9ClvA6vYaiitfsZbXwmEpnxUIldfQAumVp8vJ2FrQ4xHY2M-_IP4GzPEC7CM13z9EcQNLaMv4PR6oU8oqhKT4wceGS=w1200|https://lh3.googleusercontent.com/pw/AP1GczOVHWEV3osTyUrSJ4ZaiS97YXVo_DVJTWAgHtqTvsllTaxsvqvPK9K3gJe3OUi7T-5KjBh4vHnkL37ifUQ6bW9vK-wod9SKSLSplGkBNQpLCGBQQN1w=w1200|https://lh3.googleusercontent.com/pw/AP1GczOvc_nnDdw00uUqLF6O0RhQneMHj-cCLh_RpK36K_VEePsVJcsuafpp6x_-qFXgqoUW7l2hiDwQfgZKNI7WYAjUUpgLriSlPbNpp0IfvcjBHRDh6tfe=w1200|https://lh3.googleusercontent.com/pw/AP1GczPnoiVvQHqk4qWLHBKTDgiCExQ1o1EPG8iyeAAKprCPY7wsVv54gLW-F1SMChM2yeRQIWUaheQ_mk4l0KSoSapf_6346rlDiXB9Ju4nLbmc__GABqxk=w1200|https://lh3.googleusercontent.com/pw/AP1GczOSz6oDbb3I1nWYcquqj61ndaRXzALPaGCCX6zWKaJxrlpS8KlX7oF1erlYevFYN3Wyi_P0bU0AtfrzGb9ggwvssQiXHwWsVPkXZQU_5WpTdB6-yspk=w1200|https://lh3.googleusercontent.com/pw/AP1GczOy2bIKSQRA9wYQRvwMz0Hw2qApVO1bIUoocg2QQ52_m27KZh11YIGplWc-i1-kSh1lGKQKQg5FhuQvd2oG5tUF9D26vUFxgtCJCZIPjGEtWAmnBoCz=w1200|https://lh3.googleusercontent.com/pw/AP1GczMmPZTrr7xms5zeR3_6GrXgBWCeeRtEYsmrexGxJCRnrq1J2sxyN-Q1nh77sJnfwcn-IAEZtrmiT9225T7QDd8HYWqRWQWMt4IczVSDH1l7_chk-onw=w1200|https://lh3.googleusercontent.com/pw/AP1GczN3BXXRZsaM0XKA44gA99XBL6zUOF-V06fG5dQuCDV9DN2fZ5WkLqTnbEjf00cBanzBkPUz68JL3DPRIXM7SBj1L2fBQBKSnNsC5xVNaJurvzVx70MM=w1200|https://lh3.googleusercontent.com/pw/AP1GczN0dBR5LnExbNcshCtzjt9rbkE6ohzq3haXhAlomEWT4QHNZqiZh9pd-t_JX7kAWe-moENtzKU6PMP1s1fFrH_e62tQEhnHaDS5TXZEOD2thA9rKqi-=w1200|https://lh3.googleusercontent.com/pw/AP1GczPaAlkXh31bb4X0CPvA3o0WnFe5PaAb2r0ql2KeJmtFlfYXFSH-jI6HBH9a-qaJyhfIJWhDA6294zc3ewPxztl52vC3alQYbHkg3ZlzywDWM4Vugr7q=w1200|https://lh3.googleusercontent.com/pw/AP1GczOOUsaARV6L2jXhErYLnPiGhjh-wD4CHe4lqf0TPu4z9BI64fOQG-Kn80fQE9kpMGKaeE77tYJ8ETzn743KX_84s7tOGkPtYaStFTY7Y9IfI1dQL21i=w1200|https://lh3.googleusercontent.com/pw/AP1GczMUgguk_DiqKnPidZtSQATByzTHfOuE9PNbBkaVsX1Ev5kT3UPDV12lPoZ7oW0uToudSC3OADKpT57QuWXzgq599FV0emliKqF-gonuhpOVVDiHDlAO=w1200|https://lh3.googleusercontent.com/pw/AP1GczMuq89aPO6i1LKqKQb1ufcwSt9wvhBaYCddVRVu76saMKOqqpl_FuvZx_yRctYAvzR_CQ3kwFH8_5BWuESIWEcomdZzeKiK-tN240Ruuvvo9uMrqlDN=w1200|https://lh3.googleusercontent.com/pw/AP1GczPsYF_zedXU0LhNYxDb2XhLYOKfwoi-7qVoVjQEBEv506IEoCwQpcBVWcgeUD6KX1TOweMyRC76009zmA35gymts-eCNNroMw2VytjUq6b7Y9OAsxEM=w1200|https://lh3.googleusercontent.com/pw/AP1GczPnalI0nDn7JJf3puiCvWZMCi3En4_DxCTRmGBgL2G3iTxDakLVBEp-wyehFMK2_dZXMOnIMdP43X9bfvAv7sfyxJo-8oTsgLDIRkXNpUA8jqqDsDAu=w1200|https://lh3.googleusercontent.com/pw/AP1GczODbmm5e3CCY8Z1lbCnWvCG7ppXlve8ZEaslRxoH5gSaZR8opMKrDSyjiCrC80C3aKbf6BC655POYaEVFnTtMgs0xjoxntBGH4qQfFhPznhor2EmkY8=w1200|https://lh3.googleusercontent.com/pw/AP1GczNWnafH6mBpT66KCg-aihdBzAIZUnvMf7oZqE-7n-as7BKLHke1TsZAfZj76CxQx4vocALXCdqOo7KOOywP9eTYypAGhDUrkDo7Widse4nbGLFQpPYE=w1200|https://lh3.googleusercontent.com/pw/AP1GczN_m-pNkYbnYDq4o4qjPjGqGJf6NuYmDgeUk5ISOw8z40IU4t6mNnACjkaTSwEMPGDzus2Gj998679ecTX9a5Jn1-hftvSveMjFmCPbfukNjJEr5Flg=w1200|https://lh3.googleusercontent.com/pw/AP1GczOsYilOy-WWM7jk2CGXFMTA_8aKP4WifXd8ae5GETjrKlqwrpf9-ZpCHRfssKMyK3H-0A5Whof9ZH1dyu7nn9kySyWMNP3_6tOT-Ad8h16228TJ3TcM=w1200</v>
      </c>
      <c r="AJ543" s="46"/>
      <c r="AK543" s="46"/>
      <c r="AL543" s="46"/>
      <c r="AM543" s="46"/>
      <c r="AN543" s="46"/>
      <c r="AO543" s="46"/>
      <c r="AP543" s="46"/>
      <c r="AQ543" s="46"/>
      <c r="AR543" s="46"/>
      <c r="AS543" s="46"/>
      <c r="AT543" s="46"/>
      <c r="AU543" s="46"/>
      <c r="AV543" s="46"/>
      <c r="AW543" s="46"/>
      <c r="AX543" s="46"/>
      <c r="AY543" s="46"/>
      <c r="AZ543" s="46"/>
      <c r="BA543" s="46"/>
      <c r="BB543" s="46"/>
      <c r="BC543" s="46"/>
      <c r="BD543" s="46"/>
      <c r="BE543" s="46"/>
      <c r="BF543" s="46"/>
      <c r="BG543" s="46"/>
      <c r="BH543" s="46"/>
      <c r="BI543" s="46"/>
      <c r="BJ543" s="46"/>
      <c r="BK543" s="46"/>
      <c r="BL543" s="46"/>
      <c r="BM543" s="46"/>
      <c r="BN543" s="46"/>
      <c r="BO543" s="46"/>
      <c r="BP543" s="46"/>
      <c r="BQ543" s="46"/>
      <c r="BR543" s="46"/>
      <c r="BS543" s="46"/>
      <c r="BT543" s="46"/>
      <c r="BU543" s="46"/>
      <c r="BV543" s="46"/>
      <c r="BW543" s="46"/>
      <c r="BX543" s="46"/>
      <c r="BY543" s="46"/>
      <c r="BZ543" s="46"/>
      <c r="CA543" s="46"/>
      <c r="CB543" s="46"/>
      <c r="CC543" s="46"/>
    </row>
    <row r="544">
      <c r="A544" s="87" t="str">
        <f>IFERROR(__xludf.DUMMYFUNCTION("""COMPUTED_VALUE"""),"711")</f>
        <v>711</v>
      </c>
      <c r="B544" s="46" t="str">
        <f>IFERROR(__xludf.DUMMYFUNCTION("""COMPUTED_VALUE"""),"Casa más apartaestudio y apartamento en barrio La Floresta")</f>
        <v>Casa más apartaestudio y apartamento en barrio La Floresta</v>
      </c>
      <c r="C544" s="46" t="str">
        <f>IFERROR(__xludf.DUMMYFUNCTION("""COMPUTED_VALUE"""),"Casa rentable")</f>
        <v>Casa rentable</v>
      </c>
      <c r="D544" s="46" t="str">
        <f>IFERROR(__xludf.DUMMYFUNCTION("""COMPUTED_VALUE"""),"La Floresta")</f>
        <v>La Floresta</v>
      </c>
      <c r="E544" s="46"/>
      <c r="F544" s="90">
        <f>IFERROR(__xludf.DUMMYFUNCTION("""COMPUTED_VALUE"""),4.3E8)</f>
        <v>430000000</v>
      </c>
      <c r="G544" s="46" t="str">
        <f>IFERROR(__xludf.DUMMYFUNCTION("""COMPUTED_VALUE"""),"$400'000.000 a $500'000.000")</f>
        <v>$400'000.000 a $500'000.000</v>
      </c>
      <c r="H544" s="46"/>
      <c r="I544" s="46"/>
      <c r="J544" s="46" t="str">
        <f>IFERROR(__xludf.DUMMYFUNCTION("""COMPUTED_VALUE"""),"Oriente")</f>
        <v>Oriente</v>
      </c>
      <c r="K544" s="87" t="str">
        <f>IFERROR(__xludf.DUMMYFUNCTION("""COMPUTED_VALUE"""),"7")</f>
        <v>7</v>
      </c>
      <c r="L544" s="46">
        <f>IFERROR(__xludf.DUMMYFUNCTION("""COMPUTED_VALUE"""),5.0)</f>
        <v>5</v>
      </c>
      <c r="M544" s="46"/>
      <c r="N544" s="46">
        <f>IFERROR(__xludf.DUMMYFUNCTION("""COMPUTED_VALUE"""),4.0)</f>
        <v>4</v>
      </c>
      <c r="O544" s="46">
        <f>IFERROR(__xludf.DUMMYFUNCTION("""COMPUTED_VALUE"""),2.0)</f>
        <v>2</v>
      </c>
      <c r="P544" s="46">
        <f>IFERROR(__xludf.DUMMYFUNCTION("""COMPUTED_VALUE"""),2.0)</f>
        <v>2</v>
      </c>
      <c r="Q544" s="92">
        <f>IFERROR(__xludf.DUMMYFUNCTION("""COMPUTED_VALUE"""),0.0)</f>
        <v>0</v>
      </c>
      <c r="R544" s="92">
        <f>IFERROR(__xludf.DUMMYFUNCTION("""COMPUTED_VALUE"""),198.0)</f>
        <v>198</v>
      </c>
      <c r="S544" s="87" t="str">
        <f>IFERROR(__xludf.DUMMYFUNCTION("""COMPUTED_VALUE"""),"Rentabilidad $2,500,000")</f>
        <v>Rentabilidad $2,500,000</v>
      </c>
      <c r="T544" s="46" t="str">
        <f>IFERROR(__xludf.DUMMYFUNCTION("""COMPUTED_VALUE"""),"Neiva")</f>
        <v>Neiva</v>
      </c>
      <c r="U544" s="87" t="str">
        <f>IFERROR(__xludf.DUMMYFUNCTION("""COMPUTED_VALUE"""),"3")</f>
        <v>3</v>
      </c>
      <c r="V544" s="46" t="str">
        <f>IFERROR(__xludf.DUMMYFUNCTION("""COMPUTED_VALUE"""),"Esquinera")</f>
        <v>Esquinera</v>
      </c>
      <c r="W544" s="46"/>
      <c r="X544" s="46"/>
      <c r="Y544" s="46" t="str">
        <f>IFERROR(__xludf.DUMMYFUNCTION("""COMPUTED_VALUE"""),"No tiene")</f>
        <v>No tiene</v>
      </c>
      <c r="Z544" s="90" t="str">
        <f>IFERROR(__xludf.DUMMYFUNCTION("""COMPUTED_VALUE"""),"No aplica")</f>
        <v>No aplica</v>
      </c>
      <c r="AA544" s="33" t="str">
        <f>IFERROR(__xludf.DUMMYFUNCTION("""COMPUTED_VALUE"""),"14 años")</f>
        <v>14 años</v>
      </c>
      <c r="AB544" s="144" t="str">
        <f>IFERROR(__xludf.DUMMYFUNCTION("""COMPUTED_VALUE"""),"https://photos.app.goo.gl/f9GmpRHz5kMUvsHLA")</f>
        <v>https://photos.app.goo.gl/f9GmpRHz5kMUvsHLA</v>
      </c>
      <c r="AC544" s="46" t="str">
        <f>IFERROR(__xludf.DUMMYFUNCTION("""COMPUTED_VALUE"""),"Área 11*18 de fondo, casa de 2 pisos esquina, primer piso, reja exterior a media altura, parqueadero, casa consta de sala, comedor, tres habitaciones, cocina, patio de ropas, zona de lavandería, 1 apartaestudio consta de alcoba, baño, cocina, zona de ropa"&amp;"s. segundo piso: garaje cubierto y enrejado, esacaleras de acceso, sala comedor, cocina integral zona de ropas, baño. cielo raso en machimbre. Estrato 2 renta mensual $2´500.000")</f>
        <v>Área 11*18 de fondo, casa de 2 pisos esquina, primer piso, reja exterior a media altura, parqueadero, casa consta de sala, comedor, tres habitaciones, cocina, patio de ropas, zona de lavandería, 1 apartaestudio consta de alcoba, baño, cocina, zona de ropas. segundo piso: garaje cubierto y enrejado, esacaleras de acceso, sala comedor, cocina integral zona de ropas, baño. cielo raso en machimbre. Estrato 2 renta mensual $2´500.000</v>
      </c>
      <c r="AD544" s="46" t="str">
        <f>IFERROR(__xludf.DUMMYFUNCTION("""COMPUTED_VALUE"""),"Casa rentable, con balcón")</f>
        <v>Casa rentable, con balcón</v>
      </c>
      <c r="AE544" s="46"/>
      <c r="AF544" s="46" t="str">
        <f>IFERROR(__xludf.DUMMYFUNCTION("""COMPUTED_VALUE"""),"integral")</f>
        <v>integral</v>
      </c>
      <c r="AG544" s="46"/>
      <c r="AH544" s="46" t="str">
        <f>IFERROR(__xludf.DUMMYFUNCTION("""COMPUTED_VALUE"""),"Aliado")</f>
        <v>Aliado</v>
      </c>
      <c r="AI544" s="46" t="str">
        <f>IFERROR(__xludf.DUMMYFUNCTION("""COMPUTED_VALUE"""),"https://lh3.googleusercontent.com/pw/AP1GczPd2fengSw0aLIf7lcuqyebgO_OVNz92_a04im2WYlAp_WecXIYFGHEMZ9Cw7tt_-R7Eu2xZ7VSWNaSCP7Ew4leblUtEw7qfxT8ZhoCDFPdFjVSDszR=w1200|https://lh3.googleusercontent.com/pw/AP1GczPLateKFXYALUIDfSH5s4M1lTiy1YG_QlpFdWNgoWQnDf_x-a"&amp;"HeG1VmcQQJbdLNQ6QaTWM3yWgGj2V14yg1GYwndECc628tsI47Nwflxcg1f_ZCNOOp=w1200|https://lh3.googleusercontent.com/pw/AP1GczNC8yHKtxzdar8I61wMsnvLu_h1JlZqkVNUDx43QY34Gb4I7Xoh1_GBv1IP1FmYCQ0J6csxS5q9ppuzhbDiByJJq4tc6Gc75qYLuj11BPsWw7FJi4ax=w1200|https://lh3.google"&amp;"usercontent.com/pw/AP1GczMG_dtiRcmJe8nsaMQUtfJGrfuUgOhAoyGmNT73VClj0TOcrNdZBywBJ9oFWMZpiucS_8BhQAQz_qJe8wujOVbjMLhD1ymDVqBonae5KbwkpOSfeDqW=w1200|https://lh3.googleusercontent.com/pw/AP1GczM7K6mY5t0giMc50xQOWZ_GoZRyReDEvYoUP3r_z0XsW_UOqPXbl1UL-HsY8MIxXiNj"&amp;"cfJmB7arUoHBbC8OhKOeNnoZ-eYOEJRX7wbDYyZ0Aza-db1i=w1200|https://lh3.googleusercontent.com/pw/AP1GczM-ycPAvTxdAGMlq1yxqr7q_OWlcOehgG-746O2d15t3XeTpEOPdxE8Tf7qA7tfyk6qH4E2amb3cQP4mzt147sqOraqmuRR5B5EhXY4LNxJnQsOtSIL=w1200|https://lh3.googleusercontent.com/pw"&amp;"/AP1GczMLBfWR8Y9S9n3ITrdNuA-GfTGuSYfZZWIgpXn3RQMl5MXn_4Zh2rFcWtIZRpGPTTcm9ny1D-qEZVKsB9x3Tdfwh7_EFlcexW6Gac8OeK78pLO1Mlv8=w1200|https://lh3.googleusercontent.com/pw/AP1GczM4g7lYG_vjX_G1SR3PhssqwliVmSxiPkjaiNnrJPi4JXvYJl9Yl6OXjkHXEy2FDomxSHTcBgFPxC8LP0ZUKW"&amp;"Wzn-Osz0WXNnCUe_M46gt5wOOkQyqn=w1200|https://lh3.googleusercontent.com/pw/AP1GczN9BETRE5SoF4ANr9L8tT6yAV0QWWGgoUfpvwLhd2HG0zkZVM8QlEw7RTfGle4xf4vtSIAxlPSlqIiXTY_-brRwDnepeevsZgbGejTV6W2mvGMcnd-4=w1200|https://lh3.googleusercontent.com/pw/AP1GczPrVPuc2N0Hb"&amp;"4PCU1TJhE6lXPvNm-P1vjHgQtRrpm0j3wqx8tGsQR4m3gSwI6TVK6SU1_0QI6rr-kTsWs_zchYDOYYpS0Y5qCloybKKKDs5DKf_hKWa=w1200|https://lh3.googleusercontent.com/pw/AP1GczOuIYNBx21oki6RTQAeogWTSotdb9EQviyiDwJXr7aMg2mhrGXUAi2AM5KZyH1qOWEaPr8uBqgplhSEwIraVg6eOrm8aNBcRpSeMl7o"&amp;"TIhxmKA9j5It=w1200|https://lh3.googleusercontent.com/pw/AP1GczPDKaY_oCLbUMpHrDiRoL9KdH5nLZHdWVeGLD3dFhew-Xt9BE__2heijPiCzPVANAFAu0F0Au2CCohB9AIDO6cIciB_Wj-fULyMmC3MgDYcjBUUyui7=w1200|https://lh3.googleusercontent.com/pw/AP1GczP9ePrXDLLM08JUqvIsnKZQehPzLop"&amp;"l8dsWMihfZqI0B8DPWGA7dXPPr9n9uSj77-Ijy4mc8q5fhYX6I8FkiVxahRK-jEQiaIQXSbqifN59fcGb2SJp=w1200|https://lh3.googleusercontent.com/pw/AP1GczNaq7gPg5CsssWYm4_WSLg0tKaPrsOg5k-A_gib2kzpXVT3IoqZuSLwf2NvHpaNE66AeRO8cazjkTw7iyF_3NDIF2DFSi-H40q_fGE8V2B0CF-xISdp=w1200"&amp;"|https://lh3.googleusercontent.com/pw/AP1GczPBqOPEG2xUUH5FI8NJ6soluEz18hzsZcAZySgi5IqrQ2ydHlDGYZbaT58gl6kzD-F_Um2poccAT8GG-hUq3LSRYTEFVHN90JiyvKTafkgdbecx4aih=w1200|https://lh3.googleusercontent.com/pw/AP1GczPn736OjAztfOsJ5BeUUyIlMKkYZBO57rnL3eOZO3abrOKwC"&amp;"ZZ4cC67Zbmz_tb5PGN-dmhYB8piRRyEXK62agApxgiq57q0HFgTJ90rQUaBfl-vCXMJ=w1200|https://lh3.googleusercontent.com/pw/AP1GczPPGU_aletmc72Ox-3OejLNUTXLtmpqBwVbcD5pD3etozoCXLcdMCubQfNeKQubD_60ZBLV7qx8WEqf5uf9b5OJIS-VABFzFHucliL_j0p9DK4VGYz7=w1200|https://lh3.googl"&amp;"eusercontent.com/pw/AP1GczMJR3SGxTXzy-AT6s8viaQp67qu2u9rjBUyClTAh912o_9VTGlLSIJrYQxnHs3SHNadz2Evy0wenrUniH9RXYmy7W53s5PedD-7fzkrP0xeKiJcz5To=w1200|https://lh3.googleusercontent.com/pw/AP1GczNJ9yT4-b-IWR3F8Lwqp-TCzFxTrXu6RUGc5MKmTg1RUwBpRXlb00KEclDcqOrYE7n"&amp;"Fn7grsrQNVd4HYH0_oqcYa5IcI-m2xYO7MS3B6yZNXYahrn9g=w1200|https://lh3.googleusercontent.com/pw/AP1GczOQgCpejnOZcWTitsh4enBChIblRVdTkESXpiG9tBXLY_bW6R-0RXf7tbReYXF_yxIPbQi6bGzNYTXR2P49BPpk1UOWAa9KtzHHSydzYUVOPY9RsvA8=w1200|https://lh3.googleusercontent.com/p"&amp;"w/AP1GczNMM0GCkM9q1zsyBA-AcVHf5HFTV6rpVnFb6j4M4kArAqMcfMwvwFQ2g6Jek7bB-2fLcgvQbGotqFxBLVFs4Vg_Q-_8ye5k4-uiHS0tqe6XBCDrBJsh=w1200|https://lh3.googleusercontent.com/pw/AP1GczMOJkUTUIqHyQMa91uOS0btM7KJ9C6aH8UJY9rNzfCM2xSM4fGeuECXHetABJKegeQwuQBONVuRJWts5oSrS"&amp;"JgkyYaWhcoKubIuy9FyWYJO5ow9cjuf=w1200")</f>
        <v>https://lh3.googleusercontent.com/pw/AP1GczPd2fengSw0aLIf7lcuqyebgO_OVNz92_a04im2WYlAp_WecXIYFGHEMZ9Cw7tt_-R7Eu2xZ7VSWNaSCP7Ew4leblUtEw7qfxT8ZhoCDFPdFjVSDszR=w1200|https://lh3.googleusercontent.com/pw/AP1GczPLateKFXYALUIDfSH5s4M1lTiy1YG_QlpFdWNgoWQnDf_x-aHeG1VmcQQJbdLNQ6QaTWM3yWgGj2V14yg1GYwndECc628tsI47Nwflxcg1f_ZCNOOp=w1200|https://lh3.googleusercontent.com/pw/AP1GczNC8yHKtxzdar8I61wMsnvLu_h1JlZqkVNUDx43QY34Gb4I7Xoh1_GBv1IP1FmYCQ0J6csxS5q9ppuzhbDiByJJq4tc6Gc75qYLuj11BPsWw7FJi4ax=w1200|https://lh3.googleusercontent.com/pw/AP1GczMG_dtiRcmJe8nsaMQUtfJGrfuUgOhAoyGmNT73VClj0TOcrNdZBywBJ9oFWMZpiucS_8BhQAQz_qJe8wujOVbjMLhD1ymDVqBonae5KbwkpOSfeDqW=w1200|https://lh3.googleusercontent.com/pw/AP1GczM7K6mY5t0giMc50xQOWZ_GoZRyReDEvYoUP3r_z0XsW_UOqPXbl1UL-HsY8MIxXiNjcfJmB7arUoHBbC8OhKOeNnoZ-eYOEJRX7wbDYyZ0Aza-db1i=w1200|https://lh3.googleusercontent.com/pw/AP1GczM-ycPAvTxdAGMlq1yxqr7q_OWlcOehgG-746O2d15t3XeTpEOPdxE8Tf7qA7tfyk6qH4E2amb3cQP4mzt147sqOraqmuRR5B5EhXY4LNxJnQsOtSIL=w1200|https://lh3.googleusercontent.com/pw/AP1GczMLBfWR8Y9S9n3ITrdNuA-GfTGuSYfZZWIgpXn3RQMl5MXn_4Zh2rFcWtIZRpGPTTcm9ny1D-qEZVKsB9x3Tdfwh7_EFlcexW6Gac8OeK78pLO1Mlv8=w1200|https://lh3.googleusercontent.com/pw/AP1GczM4g7lYG_vjX_G1SR3PhssqwliVmSxiPkjaiNnrJPi4JXvYJl9Yl6OXjkHXEy2FDomxSHTcBgFPxC8LP0ZUKWWzn-Osz0WXNnCUe_M46gt5wOOkQyqn=w1200|https://lh3.googleusercontent.com/pw/AP1GczN9BETRE5SoF4ANr9L8tT6yAV0QWWGgoUfpvwLhd2HG0zkZVM8QlEw7RTfGle4xf4vtSIAxlPSlqIiXTY_-brRwDnepeevsZgbGejTV6W2mvGMcnd-4=w1200|https://lh3.googleusercontent.com/pw/AP1GczPrVPuc2N0Hb4PCU1TJhE6lXPvNm-P1vjHgQtRrpm0j3wqx8tGsQR4m3gSwI6TVK6SU1_0QI6rr-kTsWs_zchYDOYYpS0Y5qCloybKKKDs5DKf_hKWa=w1200|https://lh3.googleusercontent.com/pw/AP1GczOuIYNBx21oki6RTQAeogWTSotdb9EQviyiDwJXr7aMg2mhrGXUAi2AM5KZyH1qOWEaPr8uBqgplhSEwIraVg6eOrm8aNBcRpSeMl7oTIhxmKA9j5It=w1200|https://lh3.googleusercontent.com/pw/AP1GczPDKaY_oCLbUMpHrDiRoL9KdH5nLZHdWVeGLD3dFhew-Xt9BE__2heijPiCzPVANAFAu0F0Au2CCohB9AIDO6cIciB_Wj-fULyMmC3MgDYcjBUUyui7=w1200|https://lh3.googleusercontent.com/pw/AP1GczP9ePrXDLLM08JUqvIsnKZQehPzLopl8dsWMihfZqI0B8DPWGA7dXPPr9n9uSj77-Ijy4mc8q5fhYX6I8FkiVxahRK-jEQiaIQXSbqifN59fcGb2SJp=w1200|https://lh3.googleusercontent.com/pw/AP1GczNaq7gPg5CsssWYm4_WSLg0tKaPrsOg5k-A_gib2kzpXVT3IoqZuSLwf2NvHpaNE66AeRO8cazjkTw7iyF_3NDIF2DFSi-H40q_fGE8V2B0CF-xISdp=w1200|https://lh3.googleusercontent.com/pw/AP1GczPBqOPEG2xUUH5FI8NJ6soluEz18hzsZcAZySgi5IqrQ2ydHlDGYZbaT58gl6kzD-F_Um2poccAT8GG-hUq3LSRYTEFVHN90JiyvKTafkgdbecx4aih=w1200|https://lh3.googleusercontent.com/pw/AP1GczPn736OjAztfOsJ5BeUUyIlMKkYZBO57rnL3eOZO3abrOKwCZZ4cC67Zbmz_tb5PGN-dmhYB8piRRyEXK62agApxgiq57q0HFgTJ90rQUaBfl-vCXMJ=w1200|https://lh3.googleusercontent.com/pw/AP1GczPPGU_aletmc72Ox-3OejLNUTXLtmpqBwVbcD5pD3etozoCXLcdMCubQfNeKQubD_60ZBLV7qx8WEqf5uf9b5OJIS-VABFzFHucliL_j0p9DK4VGYz7=w1200|https://lh3.googleusercontent.com/pw/AP1GczMJR3SGxTXzy-AT6s8viaQp67qu2u9rjBUyClTAh912o_9VTGlLSIJrYQxnHs3SHNadz2Evy0wenrUniH9RXYmy7W53s5PedD-7fzkrP0xeKiJcz5To=w1200|https://lh3.googleusercontent.com/pw/AP1GczNJ9yT4-b-IWR3F8Lwqp-TCzFxTrXu6RUGc5MKmTg1RUwBpRXlb00KEclDcqOrYE7nFn7grsrQNVd4HYH0_oqcYa5IcI-m2xYO7MS3B6yZNXYahrn9g=w1200|https://lh3.googleusercontent.com/pw/AP1GczOQgCpejnOZcWTitsh4enBChIblRVdTkESXpiG9tBXLY_bW6R-0RXf7tbReYXF_yxIPbQi6bGzNYTXR2P49BPpk1UOWAa9KtzHHSydzYUVOPY9RsvA8=w1200|https://lh3.googleusercontent.com/pw/AP1GczNMM0GCkM9q1zsyBA-AcVHf5HFTV6rpVnFb6j4M4kArAqMcfMwvwFQ2g6Jek7bB-2fLcgvQbGotqFxBLVFs4Vg_Q-_8ye5k4-uiHS0tqe6XBCDrBJsh=w1200|https://lh3.googleusercontent.com/pw/AP1GczMOJkUTUIqHyQMa91uOS0btM7KJ9C6aH8UJY9rNzfCM2xSM4fGeuECXHetABJKegeQwuQBONVuRJWts5oSrSJgkyYaWhcoKubIuy9FyWYJO5ow9cjuf=w1200</v>
      </c>
      <c r="AJ544" s="46"/>
      <c r="AK544" s="46"/>
      <c r="AL544" s="46"/>
      <c r="AM544" s="46"/>
      <c r="AN544" s="46"/>
      <c r="AO544" s="46"/>
      <c r="AP544" s="46"/>
      <c r="AQ544" s="46"/>
      <c r="AR544" s="46"/>
      <c r="AS544" s="46"/>
      <c r="AT544" s="46"/>
      <c r="AU544" s="46"/>
      <c r="AV544" s="46"/>
      <c r="AW544" s="46"/>
      <c r="AX544" s="46"/>
      <c r="AY544" s="46"/>
      <c r="AZ544" s="46"/>
      <c r="BA544" s="46"/>
      <c r="BB544" s="46"/>
      <c r="BC544" s="46"/>
      <c r="BD544" s="46"/>
      <c r="BE544" s="46"/>
      <c r="BF544" s="46"/>
      <c r="BG544" s="46"/>
      <c r="BH544" s="46"/>
      <c r="BI544" s="46"/>
      <c r="BJ544" s="46"/>
      <c r="BK544" s="46"/>
      <c r="BL544" s="46"/>
      <c r="BM544" s="46"/>
      <c r="BN544" s="46"/>
      <c r="BO544" s="46"/>
      <c r="BP544" s="46"/>
      <c r="BQ544" s="46"/>
      <c r="BR544" s="46"/>
      <c r="BS544" s="46"/>
      <c r="BT544" s="46"/>
      <c r="BU544" s="46"/>
      <c r="BV544" s="46"/>
      <c r="BW544" s="46"/>
      <c r="BX544" s="46"/>
      <c r="BY544" s="46"/>
      <c r="BZ544" s="46"/>
      <c r="CA544" s="46"/>
      <c r="CB544" s="46"/>
      <c r="CC544" s="46"/>
    </row>
    <row r="545">
      <c r="A545" s="87" t="str">
        <f>IFERROR(__xludf.DUMMYFUNCTION("""COMPUTED_VALUE"""),"369")</f>
        <v>369</v>
      </c>
      <c r="B545" s="46" t="str">
        <f>IFERROR(__xludf.DUMMYFUNCTION("""COMPUTED_VALUE"""),"Casa de 2 pisos independientes en barrio Chapinero")</f>
        <v>Casa de 2 pisos independientes en barrio Chapinero</v>
      </c>
      <c r="C545" s="46" t="str">
        <f>IFERROR(__xludf.DUMMYFUNCTION("""COMPUTED_VALUE"""),"Casa rentable")</f>
        <v>Casa rentable</v>
      </c>
      <c r="D545" s="90" t="str">
        <f>IFERROR(__xludf.DUMMYFUNCTION("""COMPUTED_VALUE"""),"Chapinero")</f>
        <v>Chapinero</v>
      </c>
      <c r="E545" s="46"/>
      <c r="F545" s="90">
        <f>IFERROR(__xludf.DUMMYFUNCTION("""COMPUTED_VALUE"""),3.9E8)</f>
        <v>390000000</v>
      </c>
      <c r="G545" s="46" t="str">
        <f>IFERROR(__xludf.DUMMYFUNCTION("""COMPUTED_VALUE"""),"$300'000.000 a $400'000.000")</f>
        <v>$300'000.000 a $400'000.000</v>
      </c>
      <c r="H545" s="46"/>
      <c r="I545" s="46"/>
      <c r="J545" s="46" t="str">
        <f>IFERROR(__xludf.DUMMYFUNCTION("""COMPUTED_VALUE"""),"Centro")</f>
        <v>Centro</v>
      </c>
      <c r="K545" s="87" t="str">
        <f>IFERROR(__xludf.DUMMYFUNCTION("""COMPUTED_VALUE"""),"3")</f>
        <v>3</v>
      </c>
      <c r="L545" s="46">
        <f>IFERROR(__xludf.DUMMYFUNCTION("""COMPUTED_VALUE"""),6.0)</f>
        <v>6</v>
      </c>
      <c r="M545" s="46"/>
      <c r="N545" s="46">
        <f>IFERROR(__xludf.DUMMYFUNCTION("""COMPUTED_VALUE"""),4.0)</f>
        <v>4</v>
      </c>
      <c r="O545" s="46">
        <f>IFERROR(__xludf.DUMMYFUNCTION("""COMPUTED_VALUE"""),1.0)</f>
        <v>1</v>
      </c>
      <c r="P545" s="46">
        <f>IFERROR(__xludf.DUMMYFUNCTION("""COMPUTED_VALUE"""),2.0)</f>
        <v>2</v>
      </c>
      <c r="Q545" s="92">
        <f>IFERROR(__xludf.DUMMYFUNCTION("""COMPUTED_VALUE"""),221.0)</f>
        <v>221</v>
      </c>
      <c r="R545" s="92">
        <f>IFERROR(__xludf.DUMMYFUNCTION("""COMPUTED_VALUE"""),113.0)</f>
        <v>113</v>
      </c>
      <c r="S545" s="87" t="str">
        <f>IFERROR(__xludf.DUMMYFUNCTION("""COMPUTED_VALUE"""),"Rentabilidad $1,400,000")</f>
        <v>Rentabilidad $1,400,000</v>
      </c>
      <c r="T545" s="46" t="str">
        <f>IFERROR(__xludf.DUMMYFUNCTION("""COMPUTED_VALUE"""),"Neiva")</f>
        <v>Neiva</v>
      </c>
      <c r="U545" s="87" t="str">
        <f>IFERROR(__xludf.DUMMYFUNCTION("""COMPUTED_VALUE"""),"2")</f>
        <v>2</v>
      </c>
      <c r="V545" s="46" t="str">
        <f>IFERROR(__xludf.DUMMYFUNCTION("""COMPUTED_VALUE"""),"Medianera")</f>
        <v>Medianera</v>
      </c>
      <c r="W545" s="46"/>
      <c r="X545" s="46">
        <f>IFERROR(__xludf.DUMMYFUNCTION("""COMPUTED_VALUE"""),4.0)</f>
        <v>4</v>
      </c>
      <c r="Y545" s="46" t="str">
        <f>IFERROR(__xludf.DUMMYFUNCTION("""COMPUTED_VALUE"""),"No tiene")</f>
        <v>No tiene</v>
      </c>
      <c r="Z545" s="90" t="str">
        <f>IFERROR(__xludf.DUMMYFUNCTION("""COMPUTED_VALUE"""),"No aplica")</f>
        <v>No aplica</v>
      </c>
      <c r="AA545" s="33" t="str">
        <f>IFERROR(__xludf.DUMMYFUNCTION("""COMPUTED_VALUE"""),"23 años")</f>
        <v>23 años</v>
      </c>
      <c r="AB545" s="144" t="str">
        <f>IFERROR(__xludf.DUMMYFUNCTION("""COMPUTED_VALUE"""),"https://photos.app.goo.gl/72H2wdBCTawGYt146")</f>
        <v>https://photos.app.goo.gl/72H2wdBCTawGYt146</v>
      </c>
      <c r="AC545" s="46" t="str">
        <f>IFERROR(__xludf.DUMMYFUNCTION("""COMPUTED_VALUE"""),"Área 113 M2, construida 221 M2, Casa de dos pisos enrejada con techo, con apto independiente, Primer piso: Apartamento: sala comedor, cocina integral cerrada, tres alcobas, alcoba principal con baño y closet, baño de alcobas, patio de ropas, zona de lavan"&amp;"dería, instalación para lavadora, pisos en retal de mármol. segundo piso: independiente con garaje portón, baño auxiliar, escaleras, sala con acceso al balcón, tres alcobas con closet, alcoba principal con baño, baño auxiliar, estudio, comedor, cocina int"&amp;"egral cerrada, zona de lavandería, y patio al descubierto con puerta. estrato 2. pisos en retal de marmol. y piso en cerámica.")</f>
        <v>Área 113 M2, construida 221 M2, Casa de dos pisos enrejada con techo, con apto independiente, Primer piso: Apartamento: sala comedor, cocina integral cerrada, tres alcobas, alcoba principal con baño y closet, baño de alcobas, patio de ropas, zona de lavandería, instalación para lavadora, pisos en retal de mármol. segundo piso: independiente con garaje portón, baño auxiliar, escaleras, sala con acceso al balcón, tres alcobas con closet, alcoba principal con baño, baño auxiliar, estudio, comedor, cocina integral cerrada, zona de lavandería, y patio al descubierto con puerta. estrato 2. pisos en retal de marmol. y piso en cerámica.</v>
      </c>
      <c r="AD545" s="46" t="str">
        <f>IFERROR(__xludf.DUMMYFUNCTION("""COMPUTED_VALUE"""),"2 pisos independientes")</f>
        <v>2 pisos independientes</v>
      </c>
      <c r="AE545" s="46"/>
      <c r="AF545" s="46" t="str">
        <f>IFERROR(__xludf.DUMMYFUNCTION("""COMPUTED_VALUE"""),"integral")</f>
        <v>integral</v>
      </c>
      <c r="AG545" s="46"/>
      <c r="AH545" s="46" t="str">
        <f>IFERROR(__xludf.DUMMYFUNCTION("""COMPUTED_VALUE"""),"Aliado")</f>
        <v>Aliado</v>
      </c>
      <c r="AI545" s="92" t="str">
        <f>IFERROR(__xludf.DUMMYFUNCTION("""COMPUTED_VALUE"""),"https://lh3.googleusercontent.com/pw/AP1GczPq0kC62DbOp2au-M4x7WiTr-nPRR0gVey0M2lcLSsxpU5lgXAmt8_1r1ZLmU8JwhRuo1lcEoKJqBgqz7_ywdgH9TPPBi1vOaT0WsFpfS2DxR31Bp-D=w1200|https://lh3.googleusercontent.com/pw/AP1GczM1Y9iA2LHGF7OBM87a6xZqaWBAXEWXz6w0hs8M-KOyxI15-c"&amp;"lnq_WqSBgzSVdHMTikHO4gE08lvnZbQc_TFlsv6c04-fe1SjfpbNGQQIZ13yZsGJKh=w1200|https://lh3.googleusercontent.com/pw/AP1GczNjMOt-6ONPavKwdY1umLMp9LZzCQjzYoIyTa9JT9zclIg75xXZfgBjtKpCCwAFCJXFNbByQ3t1gmt636qJHowqmJFHq_TyMqYI63_bGAAy8atpg1bg=w1200|https://lh3.google"&amp;"usercontent.com/pw/AP1GczPxqQjOkHEhnD8GypSR56rW0dESnWdsxQUx4W0W6U-393IKctyuT97yUGX0CxVY2xZAuLaXOF2eUsxT1jZ7AKItk9xuiNBNQOcQQyWo8A-EzzBShrak=w1200|https://lh3.googleusercontent.com/pw/AP1GczMCmSv9PjtxGeh_esRKpg1bsHvnGbQM-Vecz2q5wixmBbu59mjkKeXAHt_RyxVNER3x"&amp;"5TKXglEhffJcfPC7O-_OSvA3H-Wkcdo4kE2g88ZQT7lps_OR=w1200|https://lh3.googleusercontent.com/pw/AP1GczNVponoG2S-vhlJr3I5NsmHmgfvr0hdJVoGWOdTRvp2PQwB-b0XNxdQZXjK-hoxZ9q6ZoRjDFidsRtTPtRlhS9S6qMwEvuOoJdgyWhlT3-awFWpNi2U=w1200|https://lh3.googleusercontent.com/pw"&amp;"/AP1GczOW0QuaK_wKQSyE99bmJ-d3Vs6xI90YtYGu4SBTJFZiDerzPbiuEiHVHa0wSLwhkmo9FLvnKnzfCwFHv9qj2UEo_JTg8eeAVEwqPZLeHtJpKkRWHVjK=w1200|https://lh3.googleusercontent.com/pw/AP1GczPxeHMT4QIeLQu_GlDGxLnv3Uq9ZTR_PH5ofCYKjgAfWx5tkNjDf1beLd7Q55cUgZi2Mve_0KTLH77ICZZ2EG"&amp;"iK5mNlcjUEiZ6UftF2mJXpYqDsOe-L=w1200|https://lh3.googleusercontent.com/pw/AP1GczMqv9bECjEL7hO8LBPCdIos_XGS1vlsIo5ZmWrviSIIeuzPS6GWaEAyS9F8HsJ6vc4xfMlLWhegp3ptud5iv4z_s0-uVSqJvBVXh7QAGn6FCM2FMYlA=w1200|https://lh3.googleusercontent.com/pw/AP1GczMKaef96rzWI"&amp;"r6p5lZhfsnTQruTBNTXqjFkjuJzOsPNyfvzUQEyikYejutxnaRqtwImNZ2vcxWsWoOq84Irh8G0KhT9UrkH0V-tUj96F2ju9QjxANhR=w1200|https://lh3.googleusercontent.com/pw/AP1GczNH2OQpYft61AuxgkxkNm-DkBo343edJVx9fa-m9SLs24ZVgWqiAHwuMKPY_HOEgaA14o9Y7Hdfx3BrhlabCCe6d4kxizk3Vm3hKnT6"&amp;"Y6VrJDHFOGnF=w1200|https://lh3.googleusercontent.com/pw/AP1GczMsCy6THk_bQV9LmYuKuAjfj8CA5ryrLqiQYwDm1qK5fYq-iy-_3WY9szsR6QYjjJJYbNDchqbX-pRuyLgfSA6z1XPOKZMKXVbnEAKFQsJFRZeGqzRL=w1200|https://lh3.googleusercontent.com/pw/AP1GczOzZm0I8gkpR3KiZ8hWkOaIUU96Gud"&amp;"uP0mgYVOFnJlB3sJQ39vlhMIU8LYPRcIdDRqZEO8Nz50T0xglYhShgPkALQxCuFh4u69Qd8ue0YoD2FZ8kR-Z=w1200|https://lh3.googleusercontent.com/pw/AP1GczNlB10mTa4pKe89O41dDS96noCmhY1qEtCDV1ga_g9Ocu4buUkThBMmbfMG2bEfD7OvkGVNRxQZMg0PJD1FKGR-OgC3ELx5Cm5BG0pogZjTTStKAirm=w1200"&amp;"|https://lh3.googleusercontent.com/pw/AP1GczNwDTUcncrEnSOd_fxy89sCy3Z8vX1WJvvqEL2gGg_aTNSbZiM_xSeAEiLc51akyyMXWIwXtad54n2N-MjtmQaMGNdFYyYqQL3XSjkpHk1dVcAu5wYa=w1200|https://lh3.googleusercontent.com/pw/AP1GczPga5cIA8TDfNMVKb3Ge8e3dwlX4AiN3mUWXhU3-EzT2ngTF"&amp;"VJL4_nK6MtrDdTnDybd9-ELtO9Ib4HpzXSL9Sy4rfjeTH6KmHxOliH6So914CC2xxvi=w1200|https://lh3.googleusercontent.com/pw/AP1GczOOdlj6eoUBRC6z4laKtgw6QbXLMfD48Eg97s-F1jTUHnt2mzh3sIwtjhP53xvkAuzN1_5zrIE77V9l8RRfdwsyVAL18tBUywQfSEqfM9oXO7qNVUZg=w1200|https://lh3.googl"&amp;"eusercontent.com/pw/AP1GczNhNM_C838MyDaES2XnFf_LWBdgUPNDA29JxWzJrq0F-PHFP8nQyQG_ZeYrQI6XBhury_huBtzgIXYRcWZIWdDwH3Mi0OizaW0tx_QFxnIQy9fnNVma=w1200|https://lh3.googleusercontent.com/pw/AP1GczOZQV5T2DVWul9nXolauCJ2Xiy8RvukCRqX3wggfTVzWtIBCfc6XZgXY73RFsULLiQ"&amp;"niiYFzhs3AyJ6Kz30dUrOjaWr0EnLPMiMHOstB695KLomkegy=w1200|https://lh3.googleusercontent.com/pw/AP1GczMsNBYm3S0MOb3o4o91CWAk3sVXBHstlv8MLY5KlFdSU4imcYYE6qqekO3c0EzCJE7l359LDN9ODMI5BDnn4L1gOUvMFEMnaP_R12ZjO1mISDjvWUPP=w1200|https://lh3.googleusercontent.com/p"&amp;"w/AP1GczPrM06ghNvXM-DXiST_jbUmGDRYYsQD8ymOthOELr1VlfU_kycuDXfK-6j2KeUjHk6BIl1ofcOGECqgk2xZnXhw-W2r5GXHOQ6WdDcaX6Km7_qfAC9y=w1200|https://lh3.googleusercontent.com/pw/AP1GczMLCaJpygnhWrYkIU4a1Jg4yBoxhPiKiUPz6NoE943S1w_jGHJdwhgS9_H4X_MOTONk3fridKiPAGJgNWork"&amp;"0ElGcW88CWgdIJX5yxZxQ6c2fXnJMp0=w1200|https://lh3.googleusercontent.com/pw/AP1GczPvi5p_QMoLu4zQb2o9AM-OYWtX05wbgGYk-gbdtOMKLrGKB0m4P4nSBBh3Qu0w2ZF1ommu8mjqMwuDL2YoMSv6W2QNfVHuNGQJ30cY9XEXXY2zzCPh=w1200")</f>
        <v>https://lh3.googleusercontent.com/pw/AP1GczPq0kC62DbOp2au-M4x7WiTr-nPRR0gVey0M2lcLSsxpU5lgXAmt8_1r1ZLmU8JwhRuo1lcEoKJqBgqz7_ywdgH9TPPBi1vOaT0WsFpfS2DxR31Bp-D=w1200|https://lh3.googleusercontent.com/pw/AP1GczM1Y9iA2LHGF7OBM87a6xZqaWBAXEWXz6w0hs8M-KOyxI15-clnq_WqSBgzSVdHMTikHO4gE08lvnZbQc_TFlsv6c04-fe1SjfpbNGQQIZ13yZsGJKh=w1200|https://lh3.googleusercontent.com/pw/AP1GczNjMOt-6ONPavKwdY1umLMp9LZzCQjzYoIyTa9JT9zclIg75xXZfgBjtKpCCwAFCJXFNbByQ3t1gmt636qJHowqmJFHq_TyMqYI63_bGAAy8atpg1bg=w1200|https://lh3.googleusercontent.com/pw/AP1GczPxqQjOkHEhnD8GypSR56rW0dESnWdsxQUx4W0W6U-393IKctyuT97yUGX0CxVY2xZAuLaXOF2eUsxT1jZ7AKItk9xuiNBNQOcQQyWo8A-EzzBShrak=w1200|https://lh3.googleusercontent.com/pw/AP1GczMCmSv9PjtxGeh_esRKpg1bsHvnGbQM-Vecz2q5wixmBbu59mjkKeXAHt_RyxVNER3x5TKXglEhffJcfPC7O-_OSvA3H-Wkcdo4kE2g88ZQT7lps_OR=w1200|https://lh3.googleusercontent.com/pw/AP1GczNVponoG2S-vhlJr3I5NsmHmgfvr0hdJVoGWOdTRvp2PQwB-b0XNxdQZXjK-hoxZ9q6ZoRjDFidsRtTPtRlhS9S6qMwEvuOoJdgyWhlT3-awFWpNi2U=w1200|https://lh3.googleusercontent.com/pw/AP1GczOW0QuaK_wKQSyE99bmJ-d3Vs6xI90YtYGu4SBTJFZiDerzPbiuEiHVHa0wSLwhkmo9FLvnKnzfCwFHv9qj2UEo_JTg8eeAVEwqPZLeHtJpKkRWHVjK=w1200|https://lh3.googleusercontent.com/pw/AP1GczPxeHMT4QIeLQu_GlDGxLnv3Uq9ZTR_PH5ofCYKjgAfWx5tkNjDf1beLd7Q55cUgZi2Mve_0KTLH77ICZZ2EGiK5mNlcjUEiZ6UftF2mJXpYqDsOe-L=w1200|https://lh3.googleusercontent.com/pw/AP1GczMqv9bECjEL7hO8LBPCdIos_XGS1vlsIo5ZmWrviSIIeuzPS6GWaEAyS9F8HsJ6vc4xfMlLWhegp3ptud5iv4z_s0-uVSqJvBVXh7QAGn6FCM2FMYlA=w1200|https://lh3.googleusercontent.com/pw/AP1GczMKaef96rzWIr6p5lZhfsnTQruTBNTXqjFkjuJzOsPNyfvzUQEyikYejutxnaRqtwImNZ2vcxWsWoOq84Irh8G0KhT9UrkH0V-tUj96F2ju9QjxANhR=w1200|https://lh3.googleusercontent.com/pw/AP1GczNH2OQpYft61AuxgkxkNm-DkBo343edJVx9fa-m9SLs24ZVgWqiAHwuMKPY_HOEgaA14o9Y7Hdfx3BrhlabCCe6d4kxizk3Vm3hKnT6Y6VrJDHFOGnF=w1200|https://lh3.googleusercontent.com/pw/AP1GczMsCy6THk_bQV9LmYuKuAjfj8CA5ryrLqiQYwDm1qK5fYq-iy-_3WY9szsR6QYjjJJYbNDchqbX-pRuyLgfSA6z1XPOKZMKXVbnEAKFQsJFRZeGqzRL=w1200|https://lh3.googleusercontent.com/pw/AP1GczOzZm0I8gkpR3KiZ8hWkOaIUU96GuduP0mgYVOFnJlB3sJQ39vlhMIU8LYPRcIdDRqZEO8Nz50T0xglYhShgPkALQxCuFh4u69Qd8ue0YoD2FZ8kR-Z=w1200|https://lh3.googleusercontent.com/pw/AP1GczNlB10mTa4pKe89O41dDS96noCmhY1qEtCDV1ga_g9Ocu4buUkThBMmbfMG2bEfD7OvkGVNRxQZMg0PJD1FKGR-OgC3ELx5Cm5BG0pogZjTTStKAirm=w1200|https://lh3.googleusercontent.com/pw/AP1GczNwDTUcncrEnSOd_fxy89sCy3Z8vX1WJvvqEL2gGg_aTNSbZiM_xSeAEiLc51akyyMXWIwXtad54n2N-MjtmQaMGNdFYyYqQL3XSjkpHk1dVcAu5wYa=w1200|https://lh3.googleusercontent.com/pw/AP1GczPga5cIA8TDfNMVKb3Ge8e3dwlX4AiN3mUWXhU3-EzT2ngTFVJL4_nK6MtrDdTnDybd9-ELtO9Ib4HpzXSL9Sy4rfjeTH6KmHxOliH6So914CC2xxvi=w1200|https://lh3.googleusercontent.com/pw/AP1GczOOdlj6eoUBRC6z4laKtgw6QbXLMfD48Eg97s-F1jTUHnt2mzh3sIwtjhP53xvkAuzN1_5zrIE77V9l8RRfdwsyVAL18tBUywQfSEqfM9oXO7qNVUZg=w1200|https://lh3.googleusercontent.com/pw/AP1GczNhNM_C838MyDaES2XnFf_LWBdgUPNDA29JxWzJrq0F-PHFP8nQyQG_ZeYrQI6XBhury_huBtzgIXYRcWZIWdDwH3Mi0OizaW0tx_QFxnIQy9fnNVma=w1200|https://lh3.googleusercontent.com/pw/AP1GczOZQV5T2DVWul9nXolauCJ2Xiy8RvukCRqX3wggfTVzWtIBCfc6XZgXY73RFsULLiQniiYFzhs3AyJ6Kz30dUrOjaWr0EnLPMiMHOstB695KLomkegy=w1200|https://lh3.googleusercontent.com/pw/AP1GczMsNBYm3S0MOb3o4o91CWAk3sVXBHstlv8MLY5KlFdSU4imcYYE6qqekO3c0EzCJE7l359LDN9ODMI5BDnn4L1gOUvMFEMnaP_R12ZjO1mISDjvWUPP=w1200|https://lh3.googleusercontent.com/pw/AP1GczPrM06ghNvXM-DXiST_jbUmGDRYYsQD8ymOthOELr1VlfU_kycuDXfK-6j2KeUjHk6BIl1ofcOGECqgk2xZnXhw-W2r5GXHOQ6WdDcaX6Km7_qfAC9y=w1200|https://lh3.googleusercontent.com/pw/AP1GczMLCaJpygnhWrYkIU4a1Jg4yBoxhPiKiUPz6NoE943S1w_jGHJdwhgS9_H4X_MOTONk3fridKiPAGJgNWork0ElGcW88CWgdIJX5yxZxQ6c2fXnJMp0=w1200|https://lh3.googleusercontent.com/pw/AP1GczPvi5p_QMoLu4zQb2o9AM-OYWtX05wbgGYk-gbdtOMKLrGKB0m4P4nSBBh3Qu0w2ZF1ommu8mjqMwuDL2YoMSv6W2QNfVHuNGQJ30cY9XEXXY2zzCPh=w1200</v>
      </c>
      <c r="AJ545" s="46"/>
      <c r="AK545" s="46"/>
      <c r="AL545" s="46"/>
      <c r="AM545" s="46"/>
      <c r="AN545" s="46"/>
      <c r="AO545" s="46"/>
      <c r="AP545" s="46"/>
      <c r="AQ545" s="46"/>
      <c r="AR545" s="46"/>
      <c r="AS545" s="46"/>
      <c r="AT545" s="46"/>
      <c r="AU545" s="46"/>
      <c r="AV545" s="46"/>
      <c r="AW545" s="46"/>
      <c r="AX545" s="46"/>
      <c r="AY545" s="46"/>
      <c r="AZ545" s="46"/>
      <c r="BA545" s="46"/>
      <c r="BB545" s="46"/>
      <c r="BC545" s="46"/>
      <c r="BD545" s="46"/>
      <c r="BE545" s="46"/>
      <c r="BF545" s="46"/>
      <c r="BG545" s="46"/>
      <c r="BH545" s="46"/>
      <c r="BI545" s="46"/>
      <c r="BJ545" s="46"/>
      <c r="BK545" s="46"/>
      <c r="BL545" s="46"/>
      <c r="BM545" s="46"/>
      <c r="BN545" s="46"/>
      <c r="BO545" s="46"/>
      <c r="BP545" s="46"/>
      <c r="BQ545" s="46"/>
      <c r="BR545" s="46"/>
      <c r="BS545" s="46"/>
      <c r="BT545" s="46"/>
      <c r="BU545" s="46"/>
      <c r="BV545" s="46"/>
      <c r="BW545" s="46"/>
      <c r="BX545" s="46"/>
      <c r="BY545" s="46"/>
      <c r="BZ545" s="46"/>
      <c r="CA545" s="46"/>
      <c r="CB545" s="46"/>
      <c r="CC545" s="46"/>
    </row>
    <row r="546">
      <c r="A546" s="87" t="str">
        <f>IFERROR(__xludf.DUMMYFUNCTION("""COMPUTED_VALUE"""),"067")</f>
        <v>067</v>
      </c>
      <c r="B546" s="46" t="str">
        <f>IFERROR(__xludf.DUMMYFUNCTION("""COMPUTED_VALUE"""),"Apartamento en edificio Juan Muñoz")</f>
        <v>Apartamento en edificio Juan Muñoz</v>
      </c>
      <c r="C546" s="46" t="str">
        <f>IFERROR(__xludf.DUMMYFUNCTION("""COMPUTED_VALUE"""),"Apartamento")</f>
        <v>Apartamento</v>
      </c>
      <c r="D546" s="90" t="str">
        <f>IFERROR(__xludf.DUMMYFUNCTION("""COMPUTED_VALUE"""),"Centro")</f>
        <v>Centro</v>
      </c>
      <c r="E546" s="46"/>
      <c r="F546" s="90">
        <f>IFERROR(__xludf.DUMMYFUNCTION("""COMPUTED_VALUE"""),3.0E8)</f>
        <v>300000000</v>
      </c>
      <c r="G546" s="46" t="str">
        <f>IFERROR(__xludf.DUMMYFUNCTION("""COMPUTED_VALUE"""),"$300'000.000 a $400'000.000")</f>
        <v>$300'000.000 a $400'000.000</v>
      </c>
      <c r="H546" s="46"/>
      <c r="I546" s="46"/>
      <c r="J546" s="46" t="str">
        <f>IFERROR(__xludf.DUMMYFUNCTION("""COMPUTED_VALUE"""),"Centro")</f>
        <v>Centro</v>
      </c>
      <c r="K546" s="87" t="str">
        <f>IFERROR(__xludf.DUMMYFUNCTION("""COMPUTED_VALUE"""),"4")</f>
        <v>4</v>
      </c>
      <c r="L546" s="46">
        <f>IFERROR(__xludf.DUMMYFUNCTION("""COMPUTED_VALUE"""),3.0)</f>
        <v>3</v>
      </c>
      <c r="M546" s="46"/>
      <c r="N546" s="46">
        <f>IFERROR(__xludf.DUMMYFUNCTION("""COMPUTED_VALUE"""),2.0)</f>
        <v>2</v>
      </c>
      <c r="O546" s="46">
        <f>IFERROR(__xludf.DUMMYFUNCTION("""COMPUTED_VALUE"""),2.0)</f>
        <v>2</v>
      </c>
      <c r="P546" s="46">
        <f>IFERROR(__xludf.DUMMYFUNCTION("""COMPUTED_VALUE"""),1.0)</f>
        <v>1</v>
      </c>
      <c r="Q546" s="92">
        <f>IFERROR(__xludf.DUMMYFUNCTION("""COMPUTED_VALUE"""),88.39)</f>
        <v>88.39</v>
      </c>
      <c r="R546" s="92">
        <f>IFERROR(__xludf.DUMMYFUNCTION("""COMPUTED_VALUE"""),88.39)</f>
        <v>88.39</v>
      </c>
      <c r="S546" s="87" t="str">
        <f>IFERROR(__xludf.DUMMYFUNCTION("""COMPUTED_VALUE""")," ")</f>
        <v> </v>
      </c>
      <c r="T546" s="46" t="str">
        <f>IFERROR(__xludf.DUMMYFUNCTION("""COMPUTED_VALUE"""),"Neiva")</f>
        <v>Neiva</v>
      </c>
      <c r="U546" s="87" t="str">
        <f>IFERROR(__xludf.DUMMYFUNCTION("""COMPUTED_VALUE"""),"3")</f>
        <v>3</v>
      </c>
      <c r="V546" s="46" t="str">
        <f>IFERROR(__xludf.DUMMYFUNCTION("""COMPUTED_VALUE"""),"3er.")</f>
        <v>3er.</v>
      </c>
      <c r="W546" s="46"/>
      <c r="X546" s="46">
        <f>IFERROR(__xludf.DUMMYFUNCTION("""COMPUTED_VALUE"""),3.0)</f>
        <v>3</v>
      </c>
      <c r="Y546" s="46" t="str">
        <f>IFERROR(__xludf.DUMMYFUNCTION("""COMPUTED_VALUE"""),"No tiene")</f>
        <v>No tiene</v>
      </c>
      <c r="Z546" s="90"/>
      <c r="AA546" s="33" t="str">
        <f>IFERROR(__xludf.DUMMYFUNCTION("""COMPUTED_VALUE"""),"No aplica")</f>
        <v>No aplica</v>
      </c>
      <c r="AB546" s="144" t="str">
        <f>IFERROR(__xludf.DUMMYFUNCTION("""COMPUTED_VALUE"""),"https://photos.app.goo.gl/mVSizfb2eoTurWL98")</f>
        <v>https://photos.app.goo.gl/mVSizfb2eoTurWL98</v>
      </c>
      <c r="AC546" s="46" t="str">
        <f>IFERROR(__xludf.DUMMYFUNCTION("""COMPUTED_VALUE"""),"Área 88.39 M2, garaje cubierto para dos vehiculos, depósito, baño en el parqueadero, sala comedor amplia con la iluminación indendiente, cortinas en black out, pared decorada en piedra y espejo con iluminación en el comedor, baño social con ducha, pasillo"&amp;" que va hacia las alcobas, tres alcobas con closet y aire acondicionado, ventanales amplios, alcoba principal con dos closet, con baño privado y lavamanos en vidrio, pisos en retal de marmol, cocina cerrada integral, con alacena, luz led, totalemten encha"&amp;"pada, pisos en porcelanato negro, zona de lavandería, lavadero con gabinetes, zona de estudio, patio enrejado y cubierto. Estrato 3 no se paga administración.")</f>
        <v>Área 88.39 M2, garaje cubierto para dos vehiculos, depósito, baño en el parqueadero, sala comedor amplia con la iluminación indendiente, cortinas en black out, pared decorada en piedra y espejo con iluminación en el comedor, baño social con ducha, pasillo que va hacia las alcobas, tres alcobas con closet y aire acondicionado, ventanales amplios, alcoba principal con dos closet, con baño privado y lavamanos en vidrio, pisos en retal de marmol, cocina cerrada integral, con alacena, luz led, totalemten enchapada, pisos en porcelanato negro, zona de lavandería, lavadero con gabinetes, zona de estudio, patio enrejado y cubierto. Estrato 3 no se paga administración.</v>
      </c>
      <c r="AD546" s="46"/>
      <c r="AE546" s="46"/>
      <c r="AF546" s="46" t="str">
        <f>IFERROR(__xludf.DUMMYFUNCTION("""COMPUTED_VALUE"""),"integral")</f>
        <v>integral</v>
      </c>
      <c r="AG546" s="46"/>
      <c r="AH546" s="46" t="str">
        <f>IFERROR(__xludf.DUMMYFUNCTION("""COMPUTED_VALUE"""),"Aliado")</f>
        <v>Aliado</v>
      </c>
      <c r="AI546" s="92" t="str">
        <f>IFERROR(__xludf.DUMMYFUNCTION("""COMPUTED_VALUE"""),"https://lh3.googleusercontent.com/pw/AP1GczMXHE3KDTQloEkpzY4t4CTIEaSyfR4kwPS-C1-PhjsJEfv6l_tJaAK8-ERv5svnQ5bpfvV2AmrAcjPtoP_RHea6W9bxPsGndRLMODvhyZEyrJnhrd4r=w1200|https://lh3.googleusercontent.com/pw/AP1GczME8d4Nwa2i3QhHBKpwsVh2O80RdJA4tHXGLwd-P2YH9Bsljb"&amp;"T8oQCM6EqBRp_Fa904Z47M0wKYWs3vcPaV9UN5ohZoKGROSgw29o1z535mB3BLFMzm=w1200|https://lh3.googleusercontent.com/pw/AP1GczOg8NoF50Xjn9zbgWVAN6AZg0DOrDRwv2i-JADCSumTImRe1bnHpBrJj-7XWy-Ds3IR-7difsxJXBjOGnhx6I7BIUgH8s9iDwKkFUHH6nEyfthvN740=w1200|https://lh3.google"&amp;"usercontent.com/pw/AP1GczMs2N2zEYlzA0A2C1D5Z6Z4DxRPZcdeQrCSyn4EjeSAUyGUplXyDV8kBVprpl5HWmIkBRqnskM7ME6V-88pAJiUJWtZQ28oZDlZ0cfhXJ3tNGZLijx-=w1200|https://lh3.googleusercontent.com/pw/AP1GczMEq5hxHmHL0DIuXYwLeLfay3ezPy92Mi993S8FEcJCr-rMPMMouS3T0syk6fNuFTUf"&amp;"RSjcMylsX8Q0EX3hQVokEdtETxajFWoj2JtNB0X3bdwsEiN-=w1200|https://lh3.googleusercontent.com/pw/AP1GczMCGgZgAc38HDSmotBPrlksRDJOtXaH1KTZXHoKOaCAWQBUzsIIMWiy48KiW72riMe4HDsfZcJDS6uiETUaJbGBsjw_YW8jC8jS9txT4hanq7kq0pH-=w1200|https://lh3.googleusercontent.com/pw"&amp;"/AP1GczN8wAI8VS1PDltQBcDleJ8Awd-QQ0X9vWrZ1i6QfybGC1vO4AAOAHU2HA-TlhTXSuCDCpsbNWtp4AkpwZK6nplUx0kGf8MJvbQ_VVp4NmibVe0MmsDw=w1200|https://lh3.googleusercontent.com/pw/AP1GczO7ysMwy4G9eRPXEwikBh97NgzbllXLVc_fVfCuFs9ToYv1PT7PWb7MOrTldY6QHrX39q_kW7wN8Qeauvtm_K"&amp;"RY6CWcn4kZzAvEgOzIUiJQU2QgAvlI=w1200|https://lh3.googleusercontent.com/pw/AP1GczNi-86IeBsSHKxn4D06HGuL6gwL3734YnYWrDASwDjDqhPSbTuGly0eEdmOOFCY7zDGT2v2Whb9eDVVJmeZ9nGDuulxLdQuapaf8jHYmJ0OOXBtSbDY=w1200|https://lh3.googleusercontent.com/pw/AP1GczNy34AKqMfmy"&amp;"Oo9x7J6E5V4ovDVDqxg3Q050pSoxReZ9yuWR7HwVMGBu3LhKozjnNRCYFg1A3gvsIx8m7IRQb8XXXKdFNs-1w_8t2LqDlQNg8F13dW6=w1200|https://lh3.googleusercontent.com/pw/AP1GczPJg24rElbXrRzaG76VcXcIu9cztddNPSjvvuBJ1cJ9ss4RboaItTrBpeNc-f2rFEHmnbPf056GJ5DcHpB3pTtY05A2USbgT3g33ua1"&amp;"_EcFrRMcQyKy=w1200|https://lh3.googleusercontent.com/pw/AP1GczNpoEE5plsJd3oDUizRucY7kXXavBTJc1KUoRETqfz2tPvIYnJ6kJ8_avQDdcxc--KsZ21jpJ1Dw8a-vLDZL25o3jj4ZwHIGaSMdiwlDPomQTPFdDRX=w1200|https://lh3.googleusercontent.com/pw/AP1GczMCldjMR1vGqnwnC7hGlH_z5Cji4vU"&amp;"sg6cADeROwW9bSIBkbdGe2sjIrga55Z_iUGsBTFPMjtsClft1jiGcN2Ksx_Irq_x0KU4F4574T1o4iSppAccR=w1200|https://lh3.googleusercontent.com/pw/AP1GczM9SiO9Yszt6bBwenU5ehVXq46GtWwnLN1a3lG9OMWW94BrpucZwEyK1NPHsQp_DmbHmuY8MgiIfZ0Z6FlcWJ51U7IOn8q8BlJPl_CI4zq3EH-NobKx=w1200"&amp;"|https://lh3.googleusercontent.com/pw/AP1GczNq0DG8BnefYi7BVZ3mHzrKK43YL9CbYMmMJyh4EwXT9luBL13bUKpqA8eRbGMYmcB-qIi5tfdtuKOtLkov1CWe3oG8FA_mnxuCMdfkuLQr625kDmEL=w1200|https://lh3.googleusercontent.com/pw/AP1GczM3o7_dPAQbT-T7DHSSJYtOIRQuM0FnfquZarpNz4hJPn-Cu"&amp;"-Um4vWyoLX_k3a-mqtl1QG07gpKo34GgYxF4IrUp3c8IB820DZ1WQrHHSC429jzr2VO=w1200|https://lh3.googleusercontent.com/pw/AP1GczMw3a1aP-rIgwWpiHnK3yRT4uOMxNfpKMz8pQtjZ6olENOQeRg_hP9BmvDrYWmuIbZkxTKjMQZAIJclxCPSU9OdH7PV1tpdzuClWL2TRBPJUqAviqr7=w1200|https://lh3.googl"&amp;"eusercontent.com/pw/AP1GczN204rXp4cWXEhoCp-H7My0YUXvgK_77DVOsGXDo1wvJssCSvJLebf5c0Gh320dyagluJmmK0fHM4QagTFaSxTrClekExR4T_CMdgUKMEePwlpw78D3=w1200|https://lh3.googleusercontent.com/pw/AP1GczNuH9fpRVi9jAD7d3mPFI5b7EEw5x6wkVKDb-_9eLsRsrMS-gizijxD3fL8u1cteVp"&amp;"yDGPhKA6B8p7XfuuJOpR1mSj06k6JqD9S_7BqUWnOk9x3zB_3=w1200|https://lh3.googleusercontent.com/pw/AP1GczPvA4QOK9VItjpZjV14QWus97MAgCVCozMZG5MM0snyYaDKMYmF6bUh1SeJmts7TXOTmMO_8lj0Rt7_JgLHUjaDIyS4HYTEwYeX2fswGtVmCtSgoUS5=w1200|https://lh3.googleusercontent.com/p"&amp;"w/AP1GczP7am0sLIFKL1BiXXe49HLshHSwa4XrKrJXIlf9PLapz4ZIiTMx_AclyMGI1J9f9GWPcFFBAw-OuZIkeV-CcLeCxXUJyvmd3rSuwX3Je71EExRMwAQj=w1200|https://lh3.googleusercontent.com/pw/AP1GczN1R6IdPuDIO9qjxA0bCHXDqTRyfOM7mxgM0tLLeeYHSCe7ubaD-wi15KWy1XUqoiQ0BPNP5UI1rtkPLLxUo"&amp;"gJJb-UwPYqKP1S82Az4Z5greaQjDHfl=w1200|https://lh3.googleusercontent.com/pw/AP1GczMUpRbn7miUGcsoykF1lxwmvWgfXW7MtvZ2sZ0qd7VtN2e34RRCgj-UullDau2eGtMgkaLtHIjUZIiCl-ys0HbmmZdlLmP8OT8M8VsXDgbmvd2xoS0v=w1200|https://lh3.googleusercontent.com/pw/AP1GczMfeyvQo_CJ"&amp;"Q7FjWjgDFwS2AHyJc2SnL8KpHxVmA4tC0vtTLzEkcxBWKqWq-V5saOMmoFr3FpAbGln6gTZgr29u5MZRNq5G1d6aFs7JDSgGQCkI0P1c=w1200|https://lh3.googleusercontent.com/pw/AP1GczNo75K4DZ7jn3HcnmfGuEvbqqd253FEfn_JfkKSMDpQ_OmtXnWLh0gAI0rkaqvk5YcD_RqCQlTK1t42FNzmJqqNSqWxPKgGjHoNCq0"&amp;"OqFI_doNBM-w-=w1200|https://lh3.googleusercontent.com/pw/AP1GczMJpXlIx5Mk3hdJrp9ohrdS3Vlol_JXd0S9woGpnfO5dIX7inRf4mtPipWFqy9u2E_e6mKPDmi3xYi1rbx5XSOOGZn1-hHJhpFqPaR_IbR4mDUPhkLF=w1200|https://lh3.googleusercontent.com/pw/AP1GczMtDzU1sjD273gmcF37Gp9_dNJShk"&amp;"gtfgGyOx6n7b9EBVndcWdRTW2fNzHjN1OHikCgSKlqp1wHVoZ-A3iwxWOXfdGLWdUbRgT_MCc-M9wLLZLAtoHK=w1200|https://lh3.googleusercontent.com/pw/AP1GczP-XVTgqOomS262hDeH9xCngAwoZReBq2-_87tQAaduBPKV_-LmljRNTByhldDoEjHBXj8QxwwPEaJpjE5lMKPbQCO-Xp4DZNdCGGKmSpvWslSRbesa=w120"&amp;"0|https://lh3.googleusercontent.com/pw/AP1GczOeoWZiVUubjgFZHHkGQEdjrXSeM8kirfxT7yd1x4nzyz9jhkqAzFph3w0ZVOxTBcmlp2rkybpO5Cvm8arc248x8R6k8UKOCWXiwKS5BQmLIgbMbZGA=w1200|https://lh3.googleusercontent.com/pw/AP1GczOSFuu5i0rxAwh-RiremV_vCrlAGAp-hmwK2Tj6dSo8jtKk"&amp;"0SBAr3zU_RnOfEVUVbc8qhlZGreMKgQrwpwZwTMNg18ShUt8jtP_MIW7-unOX8Vh-tXd=w1200")</f>
        <v>https://lh3.googleusercontent.com/pw/AP1GczMXHE3KDTQloEkpzY4t4CTIEaSyfR4kwPS-C1-PhjsJEfv6l_tJaAK8-ERv5svnQ5bpfvV2AmrAcjPtoP_RHea6W9bxPsGndRLMODvhyZEyrJnhrd4r=w1200|https://lh3.googleusercontent.com/pw/AP1GczME8d4Nwa2i3QhHBKpwsVh2O80RdJA4tHXGLwd-P2YH9BsljbT8oQCM6EqBRp_Fa904Z47M0wKYWs3vcPaV9UN5ohZoKGROSgw29o1z535mB3BLFMzm=w1200|https://lh3.googleusercontent.com/pw/AP1GczOg8NoF50Xjn9zbgWVAN6AZg0DOrDRwv2i-JADCSumTImRe1bnHpBrJj-7XWy-Ds3IR-7difsxJXBjOGnhx6I7BIUgH8s9iDwKkFUHH6nEyfthvN740=w1200|https://lh3.googleusercontent.com/pw/AP1GczMs2N2zEYlzA0A2C1D5Z6Z4DxRPZcdeQrCSyn4EjeSAUyGUplXyDV8kBVprpl5HWmIkBRqnskM7ME6V-88pAJiUJWtZQ28oZDlZ0cfhXJ3tNGZLijx-=w1200|https://lh3.googleusercontent.com/pw/AP1GczMEq5hxHmHL0DIuXYwLeLfay3ezPy92Mi993S8FEcJCr-rMPMMouS3T0syk6fNuFTUfRSjcMylsX8Q0EX3hQVokEdtETxajFWoj2JtNB0X3bdwsEiN-=w1200|https://lh3.googleusercontent.com/pw/AP1GczMCGgZgAc38HDSmotBPrlksRDJOtXaH1KTZXHoKOaCAWQBUzsIIMWiy48KiW72riMe4HDsfZcJDS6uiETUaJbGBsjw_YW8jC8jS9txT4hanq7kq0pH-=w1200|https://lh3.googleusercontent.com/pw/AP1GczN8wAI8VS1PDltQBcDleJ8Awd-QQ0X9vWrZ1i6QfybGC1vO4AAOAHU2HA-TlhTXSuCDCpsbNWtp4AkpwZK6nplUx0kGf8MJvbQ_VVp4NmibVe0MmsDw=w1200|https://lh3.googleusercontent.com/pw/AP1GczO7ysMwy4G9eRPXEwikBh97NgzbllXLVc_fVfCuFs9ToYv1PT7PWb7MOrTldY6QHrX39q_kW7wN8Qeauvtm_KRY6CWcn4kZzAvEgOzIUiJQU2QgAvlI=w1200|https://lh3.googleusercontent.com/pw/AP1GczNi-86IeBsSHKxn4D06HGuL6gwL3734YnYWrDASwDjDqhPSbTuGly0eEdmOOFCY7zDGT2v2Whb9eDVVJmeZ9nGDuulxLdQuapaf8jHYmJ0OOXBtSbDY=w1200|https://lh3.googleusercontent.com/pw/AP1GczNy34AKqMfmyOo9x7J6E5V4ovDVDqxg3Q050pSoxReZ9yuWR7HwVMGBu3LhKozjnNRCYFg1A3gvsIx8m7IRQb8XXXKdFNs-1w_8t2LqDlQNg8F13dW6=w1200|https://lh3.googleusercontent.com/pw/AP1GczPJg24rElbXrRzaG76VcXcIu9cztddNPSjvvuBJ1cJ9ss4RboaItTrBpeNc-f2rFEHmnbPf056GJ5DcHpB3pTtY05A2USbgT3g33ua1_EcFrRMcQyKy=w1200|https://lh3.googleusercontent.com/pw/AP1GczNpoEE5plsJd3oDUizRucY7kXXavBTJc1KUoRETqfz2tPvIYnJ6kJ8_avQDdcxc--KsZ21jpJ1Dw8a-vLDZL25o3jj4ZwHIGaSMdiwlDPomQTPFdDRX=w1200|https://lh3.googleusercontent.com/pw/AP1GczMCldjMR1vGqnwnC7hGlH_z5Cji4vUsg6cADeROwW9bSIBkbdGe2sjIrga55Z_iUGsBTFPMjtsClft1jiGcN2Ksx_Irq_x0KU4F4574T1o4iSppAccR=w1200|https://lh3.googleusercontent.com/pw/AP1GczM9SiO9Yszt6bBwenU5ehVXq46GtWwnLN1a3lG9OMWW94BrpucZwEyK1NPHsQp_DmbHmuY8MgiIfZ0Z6FlcWJ51U7IOn8q8BlJPl_CI4zq3EH-NobKx=w1200|https://lh3.googleusercontent.com/pw/AP1GczNq0DG8BnefYi7BVZ3mHzrKK43YL9CbYMmMJyh4EwXT9luBL13bUKpqA8eRbGMYmcB-qIi5tfdtuKOtLkov1CWe3oG8FA_mnxuCMdfkuLQr625kDmEL=w1200|https://lh3.googleusercontent.com/pw/AP1GczM3o7_dPAQbT-T7DHSSJYtOIRQuM0FnfquZarpNz4hJPn-Cu-Um4vWyoLX_k3a-mqtl1QG07gpKo34GgYxF4IrUp3c8IB820DZ1WQrHHSC429jzr2VO=w1200|https://lh3.googleusercontent.com/pw/AP1GczMw3a1aP-rIgwWpiHnK3yRT4uOMxNfpKMz8pQtjZ6olENOQeRg_hP9BmvDrYWmuIbZkxTKjMQZAIJclxCPSU9OdH7PV1tpdzuClWL2TRBPJUqAviqr7=w1200|https://lh3.googleusercontent.com/pw/AP1GczN204rXp4cWXEhoCp-H7My0YUXvgK_77DVOsGXDo1wvJssCSvJLebf5c0Gh320dyagluJmmK0fHM4QagTFaSxTrClekExR4T_CMdgUKMEePwlpw78D3=w1200|https://lh3.googleusercontent.com/pw/AP1GczNuH9fpRVi9jAD7d3mPFI5b7EEw5x6wkVKDb-_9eLsRsrMS-gizijxD3fL8u1cteVpyDGPhKA6B8p7XfuuJOpR1mSj06k6JqD9S_7BqUWnOk9x3zB_3=w1200|https://lh3.googleusercontent.com/pw/AP1GczPvA4QOK9VItjpZjV14QWus97MAgCVCozMZG5MM0snyYaDKMYmF6bUh1SeJmts7TXOTmMO_8lj0Rt7_JgLHUjaDIyS4HYTEwYeX2fswGtVmCtSgoUS5=w1200|https://lh3.googleusercontent.com/pw/AP1GczP7am0sLIFKL1BiXXe49HLshHSwa4XrKrJXIlf9PLapz4ZIiTMx_AclyMGI1J9f9GWPcFFBAw-OuZIkeV-CcLeCxXUJyvmd3rSuwX3Je71EExRMwAQj=w1200|https://lh3.googleusercontent.com/pw/AP1GczN1R6IdPuDIO9qjxA0bCHXDqTRyfOM7mxgM0tLLeeYHSCe7ubaD-wi15KWy1XUqoiQ0BPNP5UI1rtkPLLxUogJJb-UwPYqKP1S82Az4Z5greaQjDHfl=w1200|https://lh3.googleusercontent.com/pw/AP1GczMUpRbn7miUGcsoykF1lxwmvWgfXW7MtvZ2sZ0qd7VtN2e34RRCgj-UullDau2eGtMgkaLtHIjUZIiCl-ys0HbmmZdlLmP8OT8M8VsXDgbmvd2xoS0v=w1200|https://lh3.googleusercontent.com/pw/AP1GczMfeyvQo_CJQ7FjWjgDFwS2AHyJc2SnL8KpHxVmA4tC0vtTLzEkcxBWKqWq-V5saOMmoFr3FpAbGln6gTZgr29u5MZRNq5G1d6aFs7JDSgGQCkI0P1c=w1200|https://lh3.googleusercontent.com/pw/AP1GczNo75K4DZ7jn3HcnmfGuEvbqqd253FEfn_JfkKSMDpQ_OmtXnWLh0gAI0rkaqvk5YcD_RqCQlTK1t42FNzmJqqNSqWxPKgGjHoNCq0OqFI_doNBM-w-=w1200|https://lh3.googleusercontent.com/pw/AP1GczMJpXlIx5Mk3hdJrp9ohrdS3Vlol_JXd0S9woGpnfO5dIX7inRf4mtPipWFqy9u2E_e6mKPDmi3xYi1rbx5XSOOGZn1-hHJhpFqPaR_IbR4mDUPhkLF=w1200|https://lh3.googleusercontent.com/pw/AP1GczMtDzU1sjD273gmcF37Gp9_dNJShkgtfgGyOx6n7b9EBVndcWdRTW2fNzHjN1OHikCgSKlqp1wHVoZ-A3iwxWOXfdGLWdUbRgT_MCc-M9wLLZLAtoHK=w1200|https://lh3.googleusercontent.com/pw/AP1GczP-XVTgqOomS262hDeH9xCngAwoZReBq2-_87tQAaduBPKV_-LmljRNTByhldDoEjHBXj8QxwwPEaJpjE5lMKPbQCO-Xp4DZNdCGGKmSpvWslSRbesa=w1200|https://lh3.googleusercontent.com/pw/AP1GczOeoWZiVUubjgFZHHkGQEdjrXSeM8kirfxT7yd1x4nzyz9jhkqAzFph3w0ZVOxTBcmlp2rkybpO5Cvm8arc248x8R6k8UKOCWXiwKS5BQmLIgbMbZGA=w1200|https://lh3.googleusercontent.com/pw/AP1GczOSFuu5i0rxAwh-RiremV_vCrlAGAp-hmwK2Tj6dSo8jtKk0SBAr3zU_RnOfEVUVbc8qhlZGreMKgQrwpwZwTMNg18ShUt8jtP_MIW7-unOX8Vh-tXd=w1200</v>
      </c>
      <c r="AJ546" s="46"/>
      <c r="AK546" s="46"/>
      <c r="AL546" s="46"/>
      <c r="AM546" s="46"/>
      <c r="AN546" s="46"/>
      <c r="AO546" s="46"/>
      <c r="AP546" s="46"/>
      <c r="AQ546" s="46"/>
      <c r="AR546" s="46"/>
      <c r="AS546" s="46"/>
      <c r="AT546" s="46"/>
      <c r="AU546" s="46"/>
      <c r="AV546" s="46"/>
      <c r="AW546" s="46"/>
      <c r="AX546" s="46"/>
      <c r="AY546" s="46"/>
      <c r="AZ546" s="46"/>
      <c r="BA546" s="46"/>
      <c r="BB546" s="46"/>
      <c r="BC546" s="46"/>
      <c r="BD546" s="46"/>
      <c r="BE546" s="46"/>
      <c r="BF546" s="46"/>
      <c r="BG546" s="46"/>
      <c r="BH546" s="46"/>
      <c r="BI546" s="46"/>
      <c r="BJ546" s="46"/>
      <c r="BK546" s="46"/>
      <c r="BL546" s="46"/>
      <c r="BM546" s="46"/>
      <c r="BN546" s="46"/>
      <c r="BO546" s="46"/>
      <c r="BP546" s="46"/>
      <c r="BQ546" s="46"/>
      <c r="BR546" s="46"/>
      <c r="BS546" s="46"/>
      <c r="BT546" s="46"/>
      <c r="BU546" s="46"/>
      <c r="BV546" s="46"/>
      <c r="BW546" s="46"/>
      <c r="BX546" s="46"/>
      <c r="BY546" s="46"/>
      <c r="BZ546" s="46"/>
      <c r="CA546" s="46"/>
      <c r="CB546" s="46"/>
      <c r="CC546" s="46"/>
    </row>
    <row r="547">
      <c r="A547" s="87" t="str">
        <f>IFERROR(__xludf.DUMMYFUNCTION("""COMPUTED_VALUE"""),"696")</f>
        <v>696</v>
      </c>
      <c r="B547" s="46" t="str">
        <f>IFERROR(__xludf.DUMMYFUNCTION("""COMPUTED_VALUE"""),"Casa con apartamento en barrio Las Granjas")</f>
        <v>Casa con apartamento en barrio Las Granjas</v>
      </c>
      <c r="C547" s="46" t="str">
        <f>IFERROR(__xludf.DUMMYFUNCTION("""COMPUTED_VALUE"""),"Casa rentable")</f>
        <v>Casa rentable</v>
      </c>
      <c r="D547" s="46" t="str">
        <f>IFERROR(__xludf.DUMMYFUNCTION("""COMPUTED_VALUE"""),"Las Granjas")</f>
        <v>Las Granjas</v>
      </c>
      <c r="E547" s="46"/>
      <c r="F547" s="90">
        <f>IFERROR(__xludf.DUMMYFUNCTION("""COMPUTED_VALUE"""),2.95E8)</f>
        <v>295000000</v>
      </c>
      <c r="G547" s="46" t="str">
        <f>IFERROR(__xludf.DUMMYFUNCTION("""COMPUTED_VALUE"""),"$200'000.000 a $300'000.000")</f>
        <v>$200'000.000 a $300'000.000</v>
      </c>
      <c r="H547" s="46"/>
      <c r="I547" s="46"/>
      <c r="J547" s="46" t="str">
        <f>IFERROR(__xludf.DUMMYFUNCTION("""COMPUTED_VALUE"""),"Norte")</f>
        <v>Norte</v>
      </c>
      <c r="K547" s="87" t="str">
        <f>IFERROR(__xludf.DUMMYFUNCTION("""COMPUTED_VALUE"""),"2")</f>
        <v>2</v>
      </c>
      <c r="L547" s="46">
        <f>IFERROR(__xludf.DUMMYFUNCTION("""COMPUTED_VALUE"""),5.0)</f>
        <v>5</v>
      </c>
      <c r="M547" s="46"/>
      <c r="N547" s="46">
        <f>IFERROR(__xludf.DUMMYFUNCTION("""COMPUTED_VALUE"""),4.0)</f>
        <v>4</v>
      </c>
      <c r="O547" s="46">
        <f>IFERROR(__xludf.DUMMYFUNCTION("""COMPUTED_VALUE"""),1.0)</f>
        <v>1</v>
      </c>
      <c r="P547" s="46">
        <f>IFERROR(__xludf.DUMMYFUNCTION("""COMPUTED_VALUE"""),1.0)</f>
        <v>1</v>
      </c>
      <c r="Q547" s="92">
        <f>IFERROR(__xludf.DUMMYFUNCTION("""COMPUTED_VALUE"""),0.0)</f>
        <v>0</v>
      </c>
      <c r="R547" s="92">
        <f>IFERROR(__xludf.DUMMYFUNCTION("""COMPUTED_VALUE"""),180.0)</f>
        <v>180</v>
      </c>
      <c r="S547" s="87" t="str">
        <f>IFERROR(__xludf.DUMMYFUNCTION("""COMPUTED_VALUE"""),"Rentabilidad $1,200,000")</f>
        <v>Rentabilidad $1,200,000</v>
      </c>
      <c r="T547" s="46" t="str">
        <f>IFERROR(__xludf.DUMMYFUNCTION("""COMPUTED_VALUE"""),"Neiva")</f>
        <v>Neiva</v>
      </c>
      <c r="U547" s="87" t="str">
        <f>IFERROR(__xludf.DUMMYFUNCTION("""COMPUTED_VALUE"""),"2")</f>
        <v>2</v>
      </c>
      <c r="V547" s="46" t="str">
        <f>IFERROR(__xludf.DUMMYFUNCTION("""COMPUTED_VALUE"""),"Medianera")</f>
        <v>Medianera</v>
      </c>
      <c r="W547" s="46"/>
      <c r="X547" s="46">
        <f>IFERROR(__xludf.DUMMYFUNCTION("""COMPUTED_VALUE"""),2.0)</f>
        <v>2</v>
      </c>
      <c r="Y547" s="46" t="str">
        <f>IFERROR(__xludf.DUMMYFUNCTION("""COMPUTED_VALUE"""),"No tiene")</f>
        <v>No tiene</v>
      </c>
      <c r="Z547" s="90" t="str">
        <f>IFERROR(__xludf.DUMMYFUNCTION("""COMPUTED_VALUE"""),"No aplica")</f>
        <v>No aplica</v>
      </c>
      <c r="AA547" s="33" t="str">
        <f>IFERROR(__xludf.DUMMYFUNCTION("""COMPUTED_VALUE"""),"20 años")</f>
        <v>20 años</v>
      </c>
      <c r="AB547" s="144" t="str">
        <f>IFERROR(__xludf.DUMMYFUNCTION("""COMPUTED_VALUE"""),"https://photos.app.goo.gl/UUj2kB1qf16Ntnq29")</f>
        <v>https://photos.app.goo.gl/UUj2kB1qf16Ntnq29</v>
      </c>
      <c r="AC547" s="46" t="str">
        <f>IFERROR(__xludf.DUMMYFUNCTION("""COMPUTED_VALUE"""),"ÁREA 180 M2, casa de un piso con apartamento independiente, casa enrejada con sala amplia, cocina, pasillo, tres alcobas, dos alcobas con closet, una alcoba con baño, patio enrejado, zona de lavandería, baño con ducha. Pisos en porcelanato y cielo raso en"&amp;" machimbre. estrato 2. apartamento independiente con servios públicos y acceso, reja, sala am plia, cocina , pasillo, dos alcobas con chifonier, una alcoba con baño, baño social, patio enrejado, zona de lavandería, instalación para lavadora. Estrato 2")</f>
        <v>ÁREA 180 M2, casa de un piso con apartamento independiente, casa enrejada con sala amplia, cocina, pasillo, tres alcobas, dos alcobas con closet, una alcoba con baño, patio enrejado, zona de lavandería, baño con ducha. Pisos en porcelanato y cielo raso en machimbre. estrato 2. apartamento independiente con servios públicos y acceso, reja, sala am plia, cocina , pasillo, dos alcobas con chifonier, una alcoba con baño, baño social, patio enrejado, zona de lavandería, instalación para lavadora. Estrato 2</v>
      </c>
      <c r="AD547" s="46" t="str">
        <f>IFERROR(__xludf.DUMMYFUNCTION("""COMPUTED_VALUE"""),"Casa con apartamento.")</f>
        <v>Casa con apartamento.</v>
      </c>
      <c r="AE547" s="46"/>
      <c r="AF547" s="46" t="str">
        <f>IFERROR(__xludf.DUMMYFUNCTION("""COMPUTED_VALUE"""),"semi-integral")</f>
        <v>semi-integral</v>
      </c>
      <c r="AG547" s="46"/>
      <c r="AH547" s="46" t="str">
        <f>IFERROR(__xludf.DUMMYFUNCTION("""COMPUTED_VALUE"""),"Aliado")</f>
        <v>Aliado</v>
      </c>
      <c r="AI547" s="92" t="str">
        <f>IFERROR(__xludf.DUMMYFUNCTION("""COMPUTED_VALUE"""),"https://lh3.googleusercontent.com/pw/AP1GczPTm8mY_iwPgBlqavIwbbIuOfy2mRw46YQeeJDyjXaVOjkFtudY-4ABfpJvMjgOCQBZQHL70uVfcISNyyUGKm7ZI-_uvy9nLUYcBAAw9jfll_EZCAc3=w1200|https://lh3.googleusercontent.com/pw/AP1GczOuDGjIiYgbG_ayE_U37zgSrIRy_jpp2gTe6j1dNmjJ-r4juN"&amp;"eFJWc6uull7YCT2zAl02g9sMkRDlCWkn3g-zDfkVlxgCmvPRxFPKauldTRrwsTogW8=w1200|https://lh3.googleusercontent.com/pw/AP1GczMcuitbuSQPGzzTXEnsxFudSdbnq4zzxe_UiFUGou3Y6NkSKFjddbDXJgUMh_wfG-8Un2VINz8-Sf0aqOHf251xjDuGDOhBSyQSVJBxTXoy-uLqw5o0=w1200|https://lh3.google"&amp;"usercontent.com/pw/AP1GczNx74Rf_mtjYTLj_4Owg-UZZwHJgVd74FW1UG_fz7udivQnuSGX8k4QhZsPMCtgw3eEKHs8fIoSIdcixkdM39sSxEnXi-5l26zrzM4xdR30O7g4sKzX=w1200|https://lh3.googleusercontent.com/pw/AP1GczPzQxt725j8nv3-FYITtSO6ZujrIIKCswmpxz3kodh2MUv8oI_oJ1dMzLCwlQKAy3mZ"&amp;"rx3LyzGyQK8wvB1Jih8W8FQN2NG_sVqhvixsqwGH39JNC8Q5=w1200|https://lh3.googleusercontent.com/pw/AP1GczPBZNOnx56IWbJJn7NiuIq4J-jNMbqQAtT5SDutoY3WUKActymeFRHf0E9ksUf0iBFBKbtkM-qkyixnDQvFgTv4tSWu3jafP2OkZkCWwsK1wfmkt-Av=w1200|https://lh3.googleusercontent.com/pw"&amp;"/AP1GczOfVDk0kibKix2jJxbMAcGjRBxoQl8PjhYKww8Py8bK6VhdplpKMMrH8_fafwJK2p7wnnAvkxD4xlPYH7OE6YpYwji1kfzoPvJbBbFIhYx-TobtDZqn=w1200|https://lh3.googleusercontent.com/pw/AP1GczM0R8K6cYBfT-MOhBMPBdaSHLDDxhKwmbI5bqw0LEy0UyRZv7Alv9BA0_MLfCSo-yN9qPjmPZx4Pu1gC2cJaW"&amp;"1iW2z4_ESHPboaZpZ_10JBUEslFQHs=w1200|https://lh3.googleusercontent.com/pw/AP1GczMrVSCXioNc-aeoEb5kWjg-Ra_d-9uEH1wTcbivJ5xePuymWa4w_mrzpUkUkUIcjgOGvH_tlMiqXawTpVyqetUFgFu-VxgXznyIJpDVCIoyex4mV3mc=w1200|https://lh3.googleusercontent.com/pw/AP1GczOZZT0O7llN7"&amp;"oPOJ7mQFLiO4xTBdIuKhQJCCJZwtOsKCHm-EBnlgZbttvduhjDA03GiY7Q64E7sTaqEcAKjyN_QzLelgiZNwsZzYBNjDCCpl0AD_vrL=w1200|https://lh3.googleusercontent.com/pw/AP1GczOi1JPlacyjG_5ebJVaqdNBdaqPz6MPcFPfU7s4FeL2DnkgnQsyTwws9jeBjM11Czs7zvGKf-xvYuFIfG6Lhg351kN_xDES95OLFa8R"&amp;"-zcrZNHkX4L3=w1200|https://lh3.googleusercontent.com/pw/AP1GczPn4CB_Cl6IvCcQSOiNCipiqAqHNoooncbLQabIgHmLXZWCYqvQtvLNioV6px4wd6hbs9WCOuF0hFkj9KZ4IYvdhPkHd2Vqkd1QimUsb0JaMHqe14o-=w1200|https://lh3.googleusercontent.com/pw/AP1GczPIil6IU7_2c_7LacLg9DiyVCvTUTk"&amp;"ZtlcqLVJsoXmROPyHbN_g6Rg2sqhmqzjs2Zrnbpod6kFd4AeN02_IaBoO2QKfhx9HQjo5AyUkyZGBOd7Qs-4z=w1200|https://lh3.googleusercontent.com/pw/AP1GczO0mQyjtd7MWXlCyqNwAA7S3RW_nJZhVSk38Xhq8-oeyejSEXTz2XNMSgwAxlpKjzv4ksI09qaF85bqaDdkM8kZ0jPpKdEwFd9GskExyKQqiKHHr0ap=w1200"&amp;"|https://lh3.googleusercontent.com/pw/AP1GczMbQROd9mAbSBO1WWxsZ8yxt2zPRbxoRhbxkKCMwif7_CHRQ_gx6ZwL25LWMKS7V2Qigc-pMAMah-OSvALECLwkIuNTY_qs2Fonyz_X2f3G-PJ9tFZL=w1200|https://lh3.googleusercontent.com/pw/AP1GczMj7hElf5rdryb6cVIxDZkdG1r9TRgDZikLyX8Rq_6Lr5iu5"&amp;"1KMpLMBdSBLrx-iiH3ANf3unMNx9pvbzMbQopCzTMFsFlin-LDQzHoTTJQmoZ1nP2nb=w1200|https://lh3.googleusercontent.com/pw/AP1GczPCi2gkVftCr_JLAjwYWAnvi5DVsgnlMN-GPrWpSf-vazjaWz_qdO0bDjKiYNljiwk6YT9sIyasSg5yHSl5qhCr0ueKtCiBJT0GaqB0f1KJiJNZkI_t=w1200|https://lh3.googl"&amp;"eusercontent.com/pw/AP1GczOAIUaaJKfLRBNhcOotaFLoE7Gabx8GG11xjCJKXnS_9tl8ip_K1TQ6vb-WEIcT8IoRp80iMDYjo33BRRwHmdQsLoSkuLOAnHH--ntbmdevTuK9AcuT=w1200|https://lh3.googleusercontent.com/pw/AP1GczMsvta_VtWKTl5FVtespXuimy6Todhe9MSTKbK-sTmJ6H-n6kBJBUNBoOto_sfg-lf"&amp;"aWa_Ay6oSAvZE8JlILF0IBQak1ziWP2dp6IdZufwml_o34jBv=w1200|https://lh3.googleusercontent.com/pw/AP1GczOrtf8NOTYU7x-n_fgNGM5t5A-9C69Unu-igzB0OTQZpjhdzPyrqmsOqMUQDYga8mgeoU4FtU4QgkPpNWFWujI-QMlxiiuCeA4nNMuAit2ezwXlvl6K=w1200|https://lh3.googleusercontent.com/p"&amp;"w/AP1GczO0b5eZ0VeODgjfQyhmWK6rkpM9_XY1mOfpfFGAIVrIXqXM6Xc-orTxPmWc4GSe0kpzaQQe2e2u4APQGGKCEJxjydrpnPMTfiNNvroh8VvsN_wjkq3q=w1200|https://lh3.googleusercontent.com/pw/AP1GczPRWhIZQnJ2pi2bq1jEKOAhXu5IENsWCLSxsDqDwuuEPrhBwRdbqaILDndg2DHLr-IheoluewutG7q8GaOb0"&amp;"YYvmTgo9s-Wa8ExGcvtpCtvahOIWpbH=w1200|https://lh3.googleusercontent.com/pw/AP1GczNV_dJgh5OTB6SLWTWCX4vxEJQaIsF3S87Gya8BRF27YdHMb9QC36zx1UF1kBSnQ3KHwsBbOgCZ1UNKyR2eGAlMG6j-8y9tSfB7Uw3atTMx1kHjCMUd=w1200|https://lh3.googleusercontent.com/pw/AP1GczMY93156XYV"&amp;"a1zKvcTRDr0QFvWBLbzCOIAGseDkcWHKaaOhfBjujIl51GaeHeUOJbNKR3iA_FGkTPCDxW_a2nMtm2iE7mAGg0-hnvqrybaRvIO6UBCr=w1200|https://lh3.googleusercontent.com/pw/AP1GczMMwKXCMbF9-zox8KRbB3u_i4Ddo4Fvw5Ydc6sQrTKB5Bk_vWuq2-BaGYv6S7ZXyStmx-QZtCy4-EUaSR5Q0Omr-SC3H-sTQ6chbWY"&amp;"l4ppfjGuQ3T4-=w1200|https://lh3.googleusercontent.com/pw/AP1GczNePKOD6o6M_Eq3jd7pjsKaiTTzxRgQdB6a7CpPMrfKEpGQCX7jcjeHc7cM7r1DM6PAMq47ZXRXKjgIpeq34D6udFmbuy-j1jaHxKtStVQKk9we-RnD=w1200")</f>
        <v>https://lh3.googleusercontent.com/pw/AP1GczPTm8mY_iwPgBlqavIwbbIuOfy2mRw46YQeeJDyjXaVOjkFtudY-4ABfpJvMjgOCQBZQHL70uVfcISNyyUGKm7ZI-_uvy9nLUYcBAAw9jfll_EZCAc3=w1200|https://lh3.googleusercontent.com/pw/AP1GczOuDGjIiYgbG_ayE_U37zgSrIRy_jpp2gTe6j1dNmjJ-r4juNeFJWc6uull7YCT2zAl02g9sMkRDlCWkn3g-zDfkVlxgCmvPRxFPKauldTRrwsTogW8=w1200|https://lh3.googleusercontent.com/pw/AP1GczMcuitbuSQPGzzTXEnsxFudSdbnq4zzxe_UiFUGou3Y6NkSKFjddbDXJgUMh_wfG-8Un2VINz8-Sf0aqOHf251xjDuGDOhBSyQSVJBxTXoy-uLqw5o0=w1200|https://lh3.googleusercontent.com/pw/AP1GczNx74Rf_mtjYTLj_4Owg-UZZwHJgVd74FW1UG_fz7udivQnuSGX8k4QhZsPMCtgw3eEKHs8fIoSIdcixkdM39sSxEnXi-5l26zrzM4xdR30O7g4sKzX=w1200|https://lh3.googleusercontent.com/pw/AP1GczPzQxt725j8nv3-FYITtSO6ZujrIIKCswmpxz3kodh2MUv8oI_oJ1dMzLCwlQKAy3mZrx3LyzGyQK8wvB1Jih8W8FQN2NG_sVqhvixsqwGH39JNC8Q5=w1200|https://lh3.googleusercontent.com/pw/AP1GczPBZNOnx56IWbJJn7NiuIq4J-jNMbqQAtT5SDutoY3WUKActymeFRHf0E9ksUf0iBFBKbtkM-qkyixnDQvFgTv4tSWu3jafP2OkZkCWwsK1wfmkt-Av=w1200|https://lh3.googleusercontent.com/pw/AP1GczOfVDk0kibKix2jJxbMAcGjRBxoQl8PjhYKww8Py8bK6VhdplpKMMrH8_fafwJK2p7wnnAvkxD4xlPYH7OE6YpYwji1kfzoPvJbBbFIhYx-TobtDZqn=w1200|https://lh3.googleusercontent.com/pw/AP1GczM0R8K6cYBfT-MOhBMPBdaSHLDDxhKwmbI5bqw0LEy0UyRZv7Alv9BA0_MLfCSo-yN9qPjmPZx4Pu1gC2cJaW1iW2z4_ESHPboaZpZ_10JBUEslFQHs=w1200|https://lh3.googleusercontent.com/pw/AP1GczMrVSCXioNc-aeoEb5kWjg-Ra_d-9uEH1wTcbivJ5xePuymWa4w_mrzpUkUkUIcjgOGvH_tlMiqXawTpVyqetUFgFu-VxgXznyIJpDVCIoyex4mV3mc=w1200|https://lh3.googleusercontent.com/pw/AP1GczOZZT0O7llN7oPOJ7mQFLiO4xTBdIuKhQJCCJZwtOsKCHm-EBnlgZbttvduhjDA03GiY7Q64E7sTaqEcAKjyN_QzLelgiZNwsZzYBNjDCCpl0AD_vrL=w1200|https://lh3.googleusercontent.com/pw/AP1GczOi1JPlacyjG_5ebJVaqdNBdaqPz6MPcFPfU7s4FeL2DnkgnQsyTwws9jeBjM11Czs7zvGKf-xvYuFIfG6Lhg351kN_xDES95OLFa8R-zcrZNHkX4L3=w1200|https://lh3.googleusercontent.com/pw/AP1GczPn4CB_Cl6IvCcQSOiNCipiqAqHNoooncbLQabIgHmLXZWCYqvQtvLNioV6px4wd6hbs9WCOuF0hFkj9KZ4IYvdhPkHd2Vqkd1QimUsb0JaMHqe14o-=w1200|https://lh3.googleusercontent.com/pw/AP1GczPIil6IU7_2c_7LacLg9DiyVCvTUTkZtlcqLVJsoXmROPyHbN_g6Rg2sqhmqzjs2Zrnbpod6kFd4AeN02_IaBoO2QKfhx9HQjo5AyUkyZGBOd7Qs-4z=w1200|https://lh3.googleusercontent.com/pw/AP1GczO0mQyjtd7MWXlCyqNwAA7S3RW_nJZhVSk38Xhq8-oeyejSEXTz2XNMSgwAxlpKjzv4ksI09qaF85bqaDdkM8kZ0jPpKdEwFd9GskExyKQqiKHHr0ap=w1200|https://lh3.googleusercontent.com/pw/AP1GczMbQROd9mAbSBO1WWxsZ8yxt2zPRbxoRhbxkKCMwif7_CHRQ_gx6ZwL25LWMKS7V2Qigc-pMAMah-OSvALECLwkIuNTY_qs2Fonyz_X2f3G-PJ9tFZL=w1200|https://lh3.googleusercontent.com/pw/AP1GczMj7hElf5rdryb6cVIxDZkdG1r9TRgDZikLyX8Rq_6Lr5iu51KMpLMBdSBLrx-iiH3ANf3unMNx9pvbzMbQopCzTMFsFlin-LDQzHoTTJQmoZ1nP2nb=w1200|https://lh3.googleusercontent.com/pw/AP1GczPCi2gkVftCr_JLAjwYWAnvi5DVsgnlMN-GPrWpSf-vazjaWz_qdO0bDjKiYNljiwk6YT9sIyasSg5yHSl5qhCr0ueKtCiBJT0GaqB0f1KJiJNZkI_t=w1200|https://lh3.googleusercontent.com/pw/AP1GczOAIUaaJKfLRBNhcOotaFLoE7Gabx8GG11xjCJKXnS_9tl8ip_K1TQ6vb-WEIcT8IoRp80iMDYjo33BRRwHmdQsLoSkuLOAnHH--ntbmdevTuK9AcuT=w1200|https://lh3.googleusercontent.com/pw/AP1GczMsvta_VtWKTl5FVtespXuimy6Todhe9MSTKbK-sTmJ6H-n6kBJBUNBoOto_sfg-lfaWa_Ay6oSAvZE8JlILF0IBQak1ziWP2dp6IdZufwml_o34jBv=w1200|https://lh3.googleusercontent.com/pw/AP1GczOrtf8NOTYU7x-n_fgNGM5t5A-9C69Unu-igzB0OTQZpjhdzPyrqmsOqMUQDYga8mgeoU4FtU4QgkPpNWFWujI-QMlxiiuCeA4nNMuAit2ezwXlvl6K=w1200|https://lh3.googleusercontent.com/pw/AP1GczO0b5eZ0VeODgjfQyhmWK6rkpM9_XY1mOfpfFGAIVrIXqXM6Xc-orTxPmWc4GSe0kpzaQQe2e2u4APQGGKCEJxjydrpnPMTfiNNvroh8VvsN_wjkq3q=w1200|https://lh3.googleusercontent.com/pw/AP1GczPRWhIZQnJ2pi2bq1jEKOAhXu5IENsWCLSxsDqDwuuEPrhBwRdbqaILDndg2DHLr-IheoluewutG7q8GaOb0YYvmTgo9s-Wa8ExGcvtpCtvahOIWpbH=w1200|https://lh3.googleusercontent.com/pw/AP1GczNV_dJgh5OTB6SLWTWCX4vxEJQaIsF3S87Gya8BRF27YdHMb9QC36zx1UF1kBSnQ3KHwsBbOgCZ1UNKyR2eGAlMG6j-8y9tSfB7Uw3atTMx1kHjCMUd=w1200|https://lh3.googleusercontent.com/pw/AP1GczMY93156XYVa1zKvcTRDr0QFvWBLbzCOIAGseDkcWHKaaOhfBjujIl51GaeHeUOJbNKR3iA_FGkTPCDxW_a2nMtm2iE7mAGg0-hnvqrybaRvIO6UBCr=w1200|https://lh3.googleusercontent.com/pw/AP1GczMMwKXCMbF9-zox8KRbB3u_i4Ddo4Fvw5Ydc6sQrTKB5Bk_vWuq2-BaGYv6S7ZXyStmx-QZtCy4-EUaSR5Q0Omr-SC3H-sTQ6chbWYl4ppfjGuQ3T4-=w1200|https://lh3.googleusercontent.com/pw/AP1GczNePKOD6o6M_Eq3jd7pjsKaiTTzxRgQdB6a7CpPMrfKEpGQCX7jcjeHc7cM7r1DM6PAMq47ZXRXKjgIpeq34D6udFmbuy-j1jaHxKtStVQKk9we-RnD=w1200</v>
      </c>
      <c r="AJ547" s="46"/>
      <c r="AK547" s="46"/>
      <c r="AL547" s="46"/>
      <c r="AM547" s="46"/>
      <c r="AN547" s="46"/>
      <c r="AO547" s="46"/>
      <c r="AP547" s="46"/>
      <c r="AQ547" s="46"/>
      <c r="AR547" s="46"/>
      <c r="AS547" s="46"/>
      <c r="AT547" s="46"/>
      <c r="AU547" s="46"/>
      <c r="AV547" s="46"/>
      <c r="AW547" s="46"/>
      <c r="AX547" s="46"/>
      <c r="AY547" s="46"/>
      <c r="AZ547" s="46"/>
      <c r="BA547" s="46"/>
      <c r="BB547" s="46"/>
      <c r="BC547" s="46"/>
      <c r="BD547" s="46"/>
      <c r="BE547" s="46"/>
      <c r="BF547" s="46"/>
      <c r="BG547" s="46"/>
      <c r="BH547" s="46"/>
      <c r="BI547" s="46"/>
      <c r="BJ547" s="46"/>
      <c r="BK547" s="46"/>
      <c r="BL547" s="46"/>
      <c r="BM547" s="46"/>
      <c r="BN547" s="46"/>
      <c r="BO547" s="46"/>
      <c r="BP547" s="46"/>
      <c r="BQ547" s="46"/>
      <c r="BR547" s="46"/>
      <c r="BS547" s="46"/>
      <c r="BT547" s="46"/>
      <c r="BU547" s="46"/>
      <c r="BV547" s="46"/>
      <c r="BW547" s="46"/>
      <c r="BX547" s="46"/>
      <c r="BY547" s="46"/>
      <c r="BZ547" s="46"/>
      <c r="CA547" s="46"/>
      <c r="CB547" s="46"/>
      <c r="CC547" s="46"/>
    </row>
    <row r="548">
      <c r="A548" s="87" t="str">
        <f>IFERROR(__xludf.DUMMYFUNCTION("""COMPUTED_VALUE"""),"134")</f>
        <v>134</v>
      </c>
      <c r="B548" s="46" t="str">
        <f>IFERROR(__xludf.DUMMYFUNCTION("""COMPUTED_VALUE"""),"Casa en barrio La Gaitana")</f>
        <v>Casa en barrio La Gaitana</v>
      </c>
      <c r="C548" s="46" t="str">
        <f>IFERROR(__xludf.DUMMYFUNCTION("""COMPUTED_VALUE"""),"Casa")</f>
        <v>Casa</v>
      </c>
      <c r="D548" s="46" t="str">
        <f>IFERROR(__xludf.DUMMYFUNCTION("""COMPUTED_VALUE"""),"La Gaitana")</f>
        <v>La Gaitana</v>
      </c>
      <c r="E548" s="46"/>
      <c r="F548" s="90">
        <f>IFERROR(__xludf.DUMMYFUNCTION("""COMPUTED_VALUE"""),2.8E8)</f>
        <v>280000000</v>
      </c>
      <c r="G548" s="46" t="str">
        <f>IFERROR(__xludf.DUMMYFUNCTION("""COMPUTED_VALUE"""),"$200'000.000 a $300'000.000")</f>
        <v>$200'000.000 a $300'000.000</v>
      </c>
      <c r="H548" s="46"/>
      <c r="I548" s="46"/>
      <c r="J548" s="46" t="str">
        <f>IFERROR(__xludf.DUMMYFUNCTION("""COMPUTED_VALUE"""),"Oriente")</f>
        <v>Oriente</v>
      </c>
      <c r="K548" s="87" t="str">
        <f>IFERROR(__xludf.DUMMYFUNCTION("""COMPUTED_VALUE"""),"7")</f>
        <v>7</v>
      </c>
      <c r="L548" s="46">
        <f>IFERROR(__xludf.DUMMYFUNCTION("""COMPUTED_VALUE"""),4.0)</f>
        <v>4</v>
      </c>
      <c r="M548" s="46"/>
      <c r="N548" s="46">
        <f>IFERROR(__xludf.DUMMYFUNCTION("""COMPUTED_VALUE"""),4.0)</f>
        <v>4</v>
      </c>
      <c r="O548" s="46">
        <f>IFERROR(__xludf.DUMMYFUNCTION("""COMPUTED_VALUE"""),1.0)</f>
        <v>1</v>
      </c>
      <c r="P548" s="46">
        <f>IFERROR(__xludf.DUMMYFUNCTION("""COMPUTED_VALUE"""),2.0)</f>
        <v>2</v>
      </c>
      <c r="Q548" s="92">
        <f>IFERROR(__xludf.DUMMYFUNCTION("""COMPUTED_VALUE"""),0.0)</f>
        <v>0</v>
      </c>
      <c r="R548" s="92">
        <f>IFERROR(__xludf.DUMMYFUNCTION("""COMPUTED_VALUE"""),105.0)</f>
        <v>105</v>
      </c>
      <c r="S548" s="87" t="str">
        <f>IFERROR(__xludf.DUMMYFUNCTION("""COMPUTED_VALUE""")," ")</f>
        <v> </v>
      </c>
      <c r="T548" s="46" t="str">
        <f>IFERROR(__xludf.DUMMYFUNCTION("""COMPUTED_VALUE"""),"Neiva")</f>
        <v>Neiva</v>
      </c>
      <c r="U548" s="87" t="str">
        <f>IFERROR(__xludf.DUMMYFUNCTION("""COMPUTED_VALUE"""),"4")</f>
        <v>4</v>
      </c>
      <c r="V548" s="46" t="str">
        <f>IFERROR(__xludf.DUMMYFUNCTION("""COMPUTED_VALUE"""),"Medianera")</f>
        <v>Medianera</v>
      </c>
      <c r="W548" s="46"/>
      <c r="X548" s="46">
        <f>IFERROR(__xludf.DUMMYFUNCTION("""COMPUTED_VALUE"""),3.0)</f>
        <v>3</v>
      </c>
      <c r="Y548" s="46" t="str">
        <f>IFERROR(__xludf.DUMMYFUNCTION("""COMPUTED_VALUE"""),"No tiene")</f>
        <v>No tiene</v>
      </c>
      <c r="Z548" s="90" t="str">
        <f>IFERROR(__xludf.DUMMYFUNCTION("""COMPUTED_VALUE"""),"No aplica")</f>
        <v>No aplica</v>
      </c>
      <c r="AA548" s="33" t="str">
        <f>IFERROR(__xludf.DUMMYFUNCTION("""COMPUTED_VALUE"""),"No aplica")</f>
        <v>No aplica</v>
      </c>
      <c r="AB548" s="96" t="str">
        <f>IFERROR(__xludf.DUMMYFUNCTION("""COMPUTED_VALUE"""),"https://photos.app.goo.gl/JZHneDJaLzbiLSCp6")</f>
        <v>https://photos.app.goo.gl/JZHneDJaLzbiLSCp6</v>
      </c>
      <c r="AC548" s="46" t="str">
        <f>IFERROR(__xludf.DUMMYFUNCTION("""COMPUTED_VALUE"""),"Área 105 M2, casa de 2 pisos, garaje cubierto para un vehiculo, sala comedor amplia, cocina integral abieta, patio de ropas, zona de lavandería, una alcoba, nivel abajo para una alcoba, baño. Segundo piso: alcoba con closet, segundo nivel alcoba amplia co"&amp;"n closet, tercer nivel: alcoba principal con baño y closet, pisos en adoquin, Estrato 4")</f>
        <v>Área 105 M2, casa de 2 pisos, garaje cubierto para un vehiculo, sala comedor amplia, cocina integral abieta, patio de ropas, zona de lavandería, una alcoba, nivel abajo para una alcoba, baño. Segundo piso: alcoba con closet, segundo nivel alcoba amplia con closet, tercer nivel: alcoba principal con baño y closet, pisos en adoquin, Estrato 4</v>
      </c>
      <c r="AD548" s="46"/>
      <c r="AE548" s="46"/>
      <c r="AF548" s="46" t="str">
        <f>IFERROR(__xludf.DUMMYFUNCTION("""COMPUTED_VALUE"""),"integral")</f>
        <v>integral</v>
      </c>
      <c r="AG548" s="46"/>
      <c r="AH548" s="46" t="str">
        <f>IFERROR(__xludf.DUMMYFUNCTION("""COMPUTED_VALUE"""),"Aliado")</f>
        <v>Aliado</v>
      </c>
      <c r="AI548" s="92" t="str">
        <f>IFERROR(__xludf.DUMMYFUNCTION("""COMPUTED_VALUE"""),"https://lh3.googleusercontent.com/pw/AP1GczNP0w4_B0gcS4VOJkky85P1Fjro4q6S7YOEGbeP7lDrtO3izn_EoW4W0QM7hbaI6ZSat2zXNH6_Cgj6A8kacQRXiKJtgCFte0PHdYafwmyyI_5hvIoi=w1200|https://lh3.googleusercontent.com/pw/AP1GczOvp5XC48x-dfxEN-OmhAFvNHbR4zLpL9trpokmZDTmVi9Q2S"&amp;"msFNZvCRRYcrLymuQn6bkCgTtaIdKCKux1UcXImpAK2qHdqWmrxYZDEEncFnkFigLO=w1200|https://lh3.googleusercontent.com/pw/AP1GczNKHt8rzGhk1yFnUlP9UOaE7M5RJ16dWfflDy5qaNkZD9xW0At8K0Ed8W7TgSv54aeBAGHuTU4M2X5MmjCsAEnG8ZeHmLTd4Q-si0b12CXtw5-5Msh-=w1200|https://lh3.google"&amp;"usercontent.com/pw/AP1GczMeAMabi2xiR3aYED3VgrCT78UHzDXNHHrSVCVJbuhuDWlUR9uMGnUcdYQf4KkYYIrA5FGkSKx8DoafVtQ745i9S33zD-UL9PTIVeh17kQvg0mHKZJJ=w1200|https://lh3.googleusercontent.com/pw/AP1GczPgAz9rsLTOQEAPM9vLH5LlnEXABYvBOS0cRL93l80ciB0KeHgWkxerZ0kPmeyEn17F"&amp;"sY33DU3D3327TfDQx_RTM3B0A3rWjTo2sCAybeUe6iuvk_up=w1200|https://lh3.googleusercontent.com/pw/AP1GczPlaVY_50uLEfQ68bo5H9IPfvyeHq13Bb4BcXkX7_4vDeWcHFe9R4jzjif4zGXSFnyh13yvyZKyhOkYtq27LGV2Qz-K0otrCwKPfk9-Q39NPXpWDb_R=w1200|https://lh3.googleusercontent.com/pw"&amp;"/AP1GczNlBQYXjxAsKcnfM_hpGUtUoM_p1-skvnGqxPzLE0IlwAgZrV2_3kxT2TQn8oaCx3o3_oOCdZgcg5HbjSVsmB4mHTBaapuM6I9fW54WD2QqTYPoe4-i=w1200|https://lh3.googleusercontent.com/pw/AP1GczPJ5rQDEk-y-_KFnTsuf6cdg0Shw9n4RAh4VJJwX6lBrSlnxXu4BT-S2qugKHHu0Z_hMoW0OU4q2Sokz6e6T5"&amp;"WBsiVczJWqZJsldl7fM05VBrIVQhyI=w1200|https://lh3.googleusercontent.com/pw/AP1GczMyIT36TF6BRAj2fRt6d8k--gzv-_U7WfFQnalboPlA1-V456bvwkmNy_Wx76kW0lftpYaFl-qY8bgmYwmbITfTRAbbcCc1HVmD5ACAy41h2KzuVSz8=w1200|https://lh3.googleusercontent.com/pw/AP1GczNARd1CvWw3n"&amp;"Xz--NjQ7wIBgrUUIIunSvLA8DDLPjtR1bB_wmBKURJdhHQW59-5fh_lk0aibGzNOSo68jig8jEFQ5QIfWZ3lz15EzAO908eiZDySaqE=w1200|https://lh3.googleusercontent.com/pw/AP1GczPfbagcayoS_HmbtTToshQNiBbI2zfrzTRmwXQUhswAPoDc7w9Y-yZybNJdCCCCqwkzlXgnKupKmdy4wYMx8XwPOelr_ssIwcOokE_F"&amp;"P1lF40yx8roC=w1200|https://lh3.googleusercontent.com/pw/AP1GczMvDepGbbRD5DtTd0QpZfEkiO35Y4MxDT5RImxgJhw-kW5sEOttLH6S9IJZXTbas5pSQqAhjfO2FDsMFwmtMBRGtJRv6jmmv8Zw4xlfq0jQ0zxsywkS=w1200|https://lh3.googleusercontent.com/pw/AP1GczO1ZfIh07soIU2EYQLwc4ZLStpTpjs"&amp;"KNhWtCyMr4eF2I1MXZRopzy1wcAMPhfo56osRjf4HNX8_VpfPlxzlH0DFTWWdTg84uOkrQ1w3KUwvQwW3Cv0e=w1200|https://lh3.googleusercontent.com/pw/AP1GczPli-pKVzEQgCkUi2AyJ-1wDB0HpR7VCXoc7wdQtMQSFCGEUQurYVMCw6QbhGQccGtoDB48Lg9VR1IIWaTZRSWOHnPG4-1o_nGDtG9ErggmV0jIEQRG=w1200"&amp;"|https://lh3.googleusercontent.com/pw/AP1GczPOVjxkV2Hvbzy2evLCitYzmkN6KvqP5nmEL8iihH7QFoh5aBRBVbtM9RzmYoQ4kERW0b4MOMOUgCUh_IhvVLCXwwFBi05V8ujxX4-s0mJqbZ7d5ppT=w1200|https://lh3.googleusercontent.com/pw/AP1GczOwY32lhOeUBg5M3ZOWWRIxSmbN9GfXCsOO2KRUVyzg1hR2j"&amp;"Bg8LndyVMqSLOHhvJ1y7RNbzHFZNk_5Q3tnoTIkiryQ7CrBntjy0lTEam5S6wbh-0sn=w1200|https://lh3.googleusercontent.com/pw/AP1GczOufHt-kyuTdmncVu322GJB87gmV9PJ8NqvCgqmSZ78jygfx40Gk5ztYT8Rw9NRSZAAd50S4st527ujlA5COLw6aqdlbFOMvkYeZaAcuRMZ0oSe7jhN=w1200|https://lh3.googl"&amp;"eusercontent.com/pw/AP1GczMxD-sI-u5JlZ4MqeBe6L3SkdORYTBO0VjMrCZH-IlY6k3hGf9GgPDSUrT9UFnXfdTFD3qYBdUSKFHUlvGYZ01UBAaj5mr-axKe1eJX1HEu13oPMRga=w1200|https://lh3.googleusercontent.com/pw/AP1GczNpx7weVMr7nyraMzgOoMq5Z70QC6riSd2Uq9mPrjjgBx_wb9jb9rfT2Mu9_xqZD9P"&amp;"J35A9WkazFV2n5vaDczMgNDGvjnrBXPhXdU6GVyupweE8aaUm=w1200|https://lh3.googleusercontent.com/pw/AP1GczPHTuqud0A_byGCE6myWgjQG4APXWUy0SeV2tLzU7C5jlfQscQn5Xb2Zc_ZZFraax-lBwrcbn2lTeaz3kl3hVZhAQQ0WHEVjrbaY_iCBVssB9gTEvOl=w1200|https://lh3.googleusercontent.com/p"&amp;"w/AP1GczNTtWHmr2j_nK2GPn7-pNe_STh1n-vxREDt4-nQ5cYprOifUlacIBLtXKrpwFiK-6wENfxc56mU61Kld-pGfGr4HRwFLqK3Hf9PHroJrGMQIrXEB2Jn=w1200|https://lh3.googleusercontent.com/pw/AP1GczPDcKhksPkeEbu_K-0PPvBfZlhzRGUgzJMU61GC3Tk65lihxYIZoNwh02_wj4SHO38oCH00kXVhvSGfsWeEb"&amp;"UUwXK7c00qdiu7Dkvy4Ggn76FpB8VBO=w1200")</f>
        <v>https://lh3.googleusercontent.com/pw/AP1GczNP0w4_B0gcS4VOJkky85P1Fjro4q6S7YOEGbeP7lDrtO3izn_EoW4W0QM7hbaI6ZSat2zXNH6_Cgj6A8kacQRXiKJtgCFte0PHdYafwmyyI_5hvIoi=w1200|https://lh3.googleusercontent.com/pw/AP1GczOvp5XC48x-dfxEN-OmhAFvNHbR4zLpL9trpokmZDTmVi9Q2SmsFNZvCRRYcrLymuQn6bkCgTtaIdKCKux1UcXImpAK2qHdqWmrxYZDEEncFnkFigLO=w1200|https://lh3.googleusercontent.com/pw/AP1GczNKHt8rzGhk1yFnUlP9UOaE7M5RJ16dWfflDy5qaNkZD9xW0At8K0Ed8W7TgSv54aeBAGHuTU4M2X5MmjCsAEnG8ZeHmLTd4Q-si0b12CXtw5-5Msh-=w1200|https://lh3.googleusercontent.com/pw/AP1GczMeAMabi2xiR3aYED3VgrCT78UHzDXNHHrSVCVJbuhuDWlUR9uMGnUcdYQf4KkYYIrA5FGkSKx8DoafVtQ745i9S33zD-UL9PTIVeh17kQvg0mHKZJJ=w1200|https://lh3.googleusercontent.com/pw/AP1GczPgAz9rsLTOQEAPM9vLH5LlnEXABYvBOS0cRL93l80ciB0KeHgWkxerZ0kPmeyEn17FsY33DU3D3327TfDQx_RTM3B0A3rWjTo2sCAybeUe6iuvk_up=w1200|https://lh3.googleusercontent.com/pw/AP1GczPlaVY_50uLEfQ68bo5H9IPfvyeHq13Bb4BcXkX7_4vDeWcHFe9R4jzjif4zGXSFnyh13yvyZKyhOkYtq27LGV2Qz-K0otrCwKPfk9-Q39NPXpWDb_R=w1200|https://lh3.googleusercontent.com/pw/AP1GczNlBQYXjxAsKcnfM_hpGUtUoM_p1-skvnGqxPzLE0IlwAgZrV2_3kxT2TQn8oaCx3o3_oOCdZgcg5HbjSVsmB4mHTBaapuM6I9fW54WD2QqTYPoe4-i=w1200|https://lh3.googleusercontent.com/pw/AP1GczPJ5rQDEk-y-_KFnTsuf6cdg0Shw9n4RAh4VJJwX6lBrSlnxXu4BT-S2qugKHHu0Z_hMoW0OU4q2Sokz6e6T5WBsiVczJWqZJsldl7fM05VBrIVQhyI=w1200|https://lh3.googleusercontent.com/pw/AP1GczMyIT36TF6BRAj2fRt6d8k--gzv-_U7WfFQnalboPlA1-V456bvwkmNy_Wx76kW0lftpYaFl-qY8bgmYwmbITfTRAbbcCc1HVmD5ACAy41h2KzuVSz8=w1200|https://lh3.googleusercontent.com/pw/AP1GczNARd1CvWw3nXz--NjQ7wIBgrUUIIunSvLA8DDLPjtR1bB_wmBKURJdhHQW59-5fh_lk0aibGzNOSo68jig8jEFQ5QIfWZ3lz15EzAO908eiZDySaqE=w1200|https://lh3.googleusercontent.com/pw/AP1GczPfbagcayoS_HmbtTToshQNiBbI2zfrzTRmwXQUhswAPoDc7w9Y-yZybNJdCCCCqwkzlXgnKupKmdy4wYMx8XwPOelr_ssIwcOokE_FP1lF40yx8roC=w1200|https://lh3.googleusercontent.com/pw/AP1GczMvDepGbbRD5DtTd0QpZfEkiO35Y4MxDT5RImxgJhw-kW5sEOttLH6S9IJZXTbas5pSQqAhjfO2FDsMFwmtMBRGtJRv6jmmv8Zw4xlfq0jQ0zxsywkS=w1200|https://lh3.googleusercontent.com/pw/AP1GczO1ZfIh07soIU2EYQLwc4ZLStpTpjsKNhWtCyMr4eF2I1MXZRopzy1wcAMPhfo56osRjf4HNX8_VpfPlxzlH0DFTWWdTg84uOkrQ1w3KUwvQwW3Cv0e=w1200|https://lh3.googleusercontent.com/pw/AP1GczPli-pKVzEQgCkUi2AyJ-1wDB0HpR7VCXoc7wdQtMQSFCGEUQurYVMCw6QbhGQccGtoDB48Lg9VR1IIWaTZRSWOHnPG4-1o_nGDtG9ErggmV0jIEQRG=w1200|https://lh3.googleusercontent.com/pw/AP1GczPOVjxkV2Hvbzy2evLCitYzmkN6KvqP5nmEL8iihH7QFoh5aBRBVbtM9RzmYoQ4kERW0b4MOMOUgCUh_IhvVLCXwwFBi05V8ujxX4-s0mJqbZ7d5ppT=w1200|https://lh3.googleusercontent.com/pw/AP1GczOwY32lhOeUBg5M3ZOWWRIxSmbN9GfXCsOO2KRUVyzg1hR2jBg8LndyVMqSLOHhvJ1y7RNbzHFZNk_5Q3tnoTIkiryQ7CrBntjy0lTEam5S6wbh-0sn=w1200|https://lh3.googleusercontent.com/pw/AP1GczOufHt-kyuTdmncVu322GJB87gmV9PJ8NqvCgqmSZ78jygfx40Gk5ztYT8Rw9NRSZAAd50S4st527ujlA5COLw6aqdlbFOMvkYeZaAcuRMZ0oSe7jhN=w1200|https://lh3.googleusercontent.com/pw/AP1GczMxD-sI-u5JlZ4MqeBe6L3SkdORYTBO0VjMrCZH-IlY6k3hGf9GgPDSUrT9UFnXfdTFD3qYBdUSKFHUlvGYZ01UBAaj5mr-axKe1eJX1HEu13oPMRga=w1200|https://lh3.googleusercontent.com/pw/AP1GczNpx7weVMr7nyraMzgOoMq5Z70QC6riSd2Uq9mPrjjgBx_wb9jb9rfT2Mu9_xqZD9PJ35A9WkazFV2n5vaDczMgNDGvjnrBXPhXdU6GVyupweE8aaUm=w1200|https://lh3.googleusercontent.com/pw/AP1GczPHTuqud0A_byGCE6myWgjQG4APXWUy0SeV2tLzU7C5jlfQscQn5Xb2Zc_ZZFraax-lBwrcbn2lTeaz3kl3hVZhAQQ0WHEVjrbaY_iCBVssB9gTEvOl=w1200|https://lh3.googleusercontent.com/pw/AP1GczNTtWHmr2j_nK2GPn7-pNe_STh1n-vxREDt4-nQ5cYprOifUlacIBLtXKrpwFiK-6wENfxc56mU61Kld-pGfGr4HRwFLqK3Hf9PHroJrGMQIrXEB2Jn=w1200|https://lh3.googleusercontent.com/pw/AP1GczPDcKhksPkeEbu_K-0PPvBfZlhzRGUgzJMU61GC3Tk65lihxYIZoNwh02_wj4SHO38oCH00kXVhvSGfsWeEbUUwXK7c00qdiu7Dkvy4Ggn76FpB8VBO=w1200</v>
      </c>
      <c r="AJ548" s="46"/>
      <c r="AK548" s="46"/>
      <c r="AL548" s="46"/>
      <c r="AM548" s="46"/>
      <c r="AN548" s="46"/>
      <c r="AO548" s="46"/>
      <c r="AP548" s="46"/>
      <c r="AQ548" s="46"/>
      <c r="AR548" s="46"/>
      <c r="AS548" s="46"/>
      <c r="AT548" s="46"/>
      <c r="AU548" s="46"/>
      <c r="AV548" s="46"/>
      <c r="AW548" s="46"/>
      <c r="AX548" s="46"/>
      <c r="AY548" s="46"/>
      <c r="AZ548" s="46"/>
      <c r="BA548" s="46"/>
      <c r="BB548" s="46"/>
      <c r="BC548" s="46"/>
      <c r="BD548" s="46"/>
      <c r="BE548" s="46"/>
      <c r="BF548" s="46"/>
      <c r="BG548" s="46"/>
      <c r="BH548" s="46"/>
      <c r="BI548" s="46"/>
      <c r="BJ548" s="46"/>
      <c r="BK548" s="46"/>
      <c r="BL548" s="46"/>
      <c r="BM548" s="46"/>
      <c r="BN548" s="46"/>
      <c r="BO548" s="46"/>
      <c r="BP548" s="46"/>
      <c r="BQ548" s="46"/>
      <c r="BR548" s="46"/>
      <c r="BS548" s="46"/>
      <c r="BT548" s="46"/>
      <c r="BU548" s="46"/>
      <c r="BV548" s="46"/>
      <c r="BW548" s="46"/>
      <c r="BX548" s="46"/>
      <c r="BY548" s="46"/>
      <c r="BZ548" s="46"/>
      <c r="CA548" s="46"/>
      <c r="CB548" s="46"/>
      <c r="CC548" s="46"/>
    </row>
    <row r="549">
      <c r="A549" s="87" t="str">
        <f>IFERROR(__xludf.DUMMYFUNCTION("""COMPUTED_VALUE"""),"691")</f>
        <v>691</v>
      </c>
      <c r="B549" s="46" t="str">
        <f>IFERROR(__xludf.DUMMYFUNCTION("""COMPUTED_VALUE"""),"Casa en barrio Santa Ines")</f>
        <v>Casa en barrio Santa Ines</v>
      </c>
      <c r="C549" s="46" t="str">
        <f>IFERROR(__xludf.DUMMYFUNCTION("""COMPUTED_VALUE"""),"Casa")</f>
        <v>Casa</v>
      </c>
      <c r="D549" s="90" t="str">
        <f>IFERROR(__xludf.DUMMYFUNCTION("""COMPUTED_VALUE"""),"Santa Inés")</f>
        <v>Santa Inés</v>
      </c>
      <c r="E549" s="46"/>
      <c r="F549" s="90">
        <f>IFERROR(__xludf.DUMMYFUNCTION("""COMPUTED_VALUE"""),2.7E8)</f>
        <v>270000000</v>
      </c>
      <c r="G549" s="46" t="str">
        <f>IFERROR(__xludf.DUMMYFUNCTION("""COMPUTED_VALUE"""),"$200'000.000 a $300'000.000")</f>
        <v>$200'000.000 a $300'000.000</v>
      </c>
      <c r="H549" s="46"/>
      <c r="I549" s="46"/>
      <c r="J549" s="46" t="str">
        <f>IFERROR(__xludf.DUMMYFUNCTION("""COMPUTED_VALUE"""),"Norte")</f>
        <v>Norte</v>
      </c>
      <c r="K549" s="87" t="str">
        <f>IFERROR(__xludf.DUMMYFUNCTION("""COMPUTED_VALUE"""),"1")</f>
        <v>1</v>
      </c>
      <c r="L549" s="46">
        <f>IFERROR(__xludf.DUMMYFUNCTION("""COMPUTED_VALUE"""),5.0)</f>
        <v>5</v>
      </c>
      <c r="M549" s="46"/>
      <c r="N549" s="46">
        <f>IFERROR(__xludf.DUMMYFUNCTION("""COMPUTED_VALUE"""),4.0)</f>
        <v>4</v>
      </c>
      <c r="O549" s="46">
        <f>IFERROR(__xludf.DUMMYFUNCTION("""COMPUTED_VALUE"""),1.0)</f>
        <v>1</v>
      </c>
      <c r="P549" s="46">
        <f>IFERROR(__xludf.DUMMYFUNCTION("""COMPUTED_VALUE"""),2.0)</f>
        <v>2</v>
      </c>
      <c r="Q549" s="92">
        <f>IFERROR(__xludf.DUMMYFUNCTION("""COMPUTED_VALUE"""),200.0)</f>
        <v>200</v>
      </c>
      <c r="R549" s="92">
        <f>IFERROR(__xludf.DUMMYFUNCTION("""COMPUTED_VALUE"""),112.0)</f>
        <v>112</v>
      </c>
      <c r="S549" s="87" t="str">
        <f>IFERROR(__xludf.DUMMYFUNCTION("""COMPUTED_VALUE""")," ")</f>
        <v> </v>
      </c>
      <c r="T549" s="46" t="str">
        <f>IFERROR(__xludf.DUMMYFUNCTION("""COMPUTED_VALUE"""),"Neiva")</f>
        <v>Neiva</v>
      </c>
      <c r="U549" s="87" t="str">
        <f>IFERROR(__xludf.DUMMYFUNCTION("""COMPUTED_VALUE"""),"2")</f>
        <v>2</v>
      </c>
      <c r="V549" s="46" t="str">
        <f>IFERROR(__xludf.DUMMYFUNCTION("""COMPUTED_VALUE"""),"Esquinera")</f>
        <v>Esquinera</v>
      </c>
      <c r="W549" s="46"/>
      <c r="X549" s="46">
        <f>IFERROR(__xludf.DUMMYFUNCTION("""COMPUTED_VALUE"""),4.0)</f>
        <v>4</v>
      </c>
      <c r="Y549" s="46" t="str">
        <f>IFERROR(__xludf.DUMMYFUNCTION("""COMPUTED_VALUE"""),"No tiene")</f>
        <v>No tiene</v>
      </c>
      <c r="Z549" s="90" t="str">
        <f>IFERROR(__xludf.DUMMYFUNCTION("""COMPUTED_VALUE"""),"No aplica")</f>
        <v>No aplica</v>
      </c>
      <c r="AA549" s="33" t="str">
        <f>IFERROR(__xludf.DUMMYFUNCTION("""COMPUTED_VALUE"""),"No aplica")</f>
        <v>No aplica</v>
      </c>
      <c r="AB549" s="144" t="str">
        <f>IFERROR(__xludf.DUMMYFUNCTION("""COMPUTED_VALUE"""),"https://photos.app.goo.gl/ZfH886ex7mpYhbkD6")</f>
        <v>https://photos.app.goo.gl/ZfH886ex7mpYhbkD6</v>
      </c>
      <c r="AC549" s="46" t="str">
        <f>IFERROR(__xludf.DUMMYFUNCTION("""COMPUTED_VALUE"""),"Área 112 M2, construidos 200 M2, casa esquinera dos pisos, garaje interno con portón para un vehículo, puertas y ventanas con reja, sala, comedor, estudio con mueble en madera, baño social, cocina integral abierta, cuarto de ropas o alcoba de servicio con"&amp;" baño, zona de lavandería cubierta, instalación para lavadora, alcoba con closet, ventanal amplio con vista a la calle, segundo piso: hall de alcobas, tres alcobas con closet, dos alcobas comunican al balcón, alcoba principal con baño, dos alcobas con air"&amp;"e acondicionado, una alcoba adicional, cuarto de san alejo, baño de alcobas. pisos en retal de mármol y baldosa cerámica.")</f>
        <v>Área 112 M2, construidos 200 M2, casa esquinera dos pisos, garaje interno con portón para un vehículo, puertas y ventanas con reja, sala, comedor, estudio con mueble en madera, baño social, cocina integral abierta, cuarto de ropas o alcoba de servicio con baño, zona de lavandería cubierta, instalación para lavadora, alcoba con closet, ventanal amplio con vista a la calle, segundo piso: hall de alcobas, tres alcobas con closet, dos alcobas comunican al balcón, alcoba principal con baño, dos alcobas con aire acondicionado, una alcoba adicional, cuarto de san alejo, baño de alcobas. pisos en retal de mármol y baldosa cerámica.</v>
      </c>
      <c r="AD549" s="46" t="str">
        <f>IFERROR(__xludf.DUMMYFUNCTION("""COMPUTED_VALUE"""),"Esquinera")</f>
        <v>Esquinera</v>
      </c>
      <c r="AE549" s="46"/>
      <c r="AF549" s="46" t="str">
        <f>IFERROR(__xludf.DUMMYFUNCTION("""COMPUTED_VALUE"""),"integral")</f>
        <v>integral</v>
      </c>
      <c r="AG549" s="46"/>
      <c r="AH549" s="46" t="str">
        <f>IFERROR(__xludf.DUMMYFUNCTION("""COMPUTED_VALUE"""),"Aliado")</f>
        <v>Aliado</v>
      </c>
      <c r="AI549" s="92" t="str">
        <f>IFERROR(__xludf.DUMMYFUNCTION("""COMPUTED_VALUE"""),"https://lh3.googleusercontent.com/pw/AP1GczM0IIigzngsTHN4Hy1Szr3UQ_ABmDmVYzXca86MaLc_SZAxdc_zjOothfIptOCf4ANwH16s1sRuxGoXgIKVfGIkxzDMQew0t7MjKIDoMvnrILoCpU8C=w1200|https://lh3.googleusercontent.com/pw/AP1GczPEJwkrq0bOimOjIVW4FaT6N_D3DTIqxofvNQyRohzGR7Y6mY"&amp;"a5V-3WxpZdhmmAG3Ia6RZGXPDTGsuehT1n4AO638jyhWVtV1OQq_mQ_9O8QfZSkADc=w1200|https://lh3.googleusercontent.com/pw/AP1GczMHEBmzjLcuXXLl1aCEQufEVYOdyZxv-JSKhscw0FTCZwOhm2wcjKsEVAUAVWxPzaYku9eN0i-R_mMPggw-IeQmpGXomdaBau79FA75cGU0FIELBi4Q=w1200|https://lh3.google"&amp;"usercontent.com/pw/AP1GczPf92m8WUpFOKsgkM4L_Qm7zkjrj2jg0y9i0F_9BK-aIdhYSRmN6_tjYiy2dkx8wNFGfKiqCrOtElEu_5NE3UNUQrjVQfcB7-oIyKmKB_kK7YNKWTVA=w1200|https://lh3.googleusercontent.com/pw/AP1GczM79mrlHCj1J10E71ZTXZxzK3fTDNQSJR9Na5P-PTMyM4_NSP5XxDXKk45ai2MI4jCG"&amp;"sptlBrHbyJV8-HTu-o2eCGFBlLPqksd8fo0qUoe3_dphz5FT=w1200|https://lh3.googleusercontent.com/pw/AP1GczMc2WURM4GjuEGzGcYu9CiJf_vEsQZhCuSUNatdJVy0zhxZW3OFR9giq49VqnbHJsnKu4F5CyHcLrMePZfzzRgQ2NkwdOMRb9tknLuCm5K1x_v5WKR0=w1200|https://lh3.googleusercontent.com/pw"&amp;"/AP1GczPEjLUfKnC-Ecx0CzIJ-JaSp_RN3R7QEJXelNys17R1G8rPkAKjKty-MRzlfCyheR0Se2_nZvkxEYUBaHIOUYFktBcpxg8mg3q6NgSTEC0POth3k5si=w1200|https://lh3.googleusercontent.com/pw/AP1GczP85DwZiQZBRJDV-2WPgWM1_aUrQqOC8v12Z_Yc8JyDV6xh_oOKgMqAdyXEYxWCsE-lYtlMxu72kdCYXIsooZ"&amp;"3hEGvVh0m2ibfG7G1MVuR_9iOr1hJO=w1200|https://lh3.googleusercontent.com/pw/AP1GczOT725D6nXYjcTge2jMtVXwjJnt0vmRtjFLinIJmrWxN9lX-AguVIa_iwBbhAp2JI0IN8hoCEFXsO6U9xaPWfs_A86VoOMt3_pgqnMlgeBOhVN01lGr=w1200|https://lh3.googleusercontent.com/pw/AP1GczNsHL6KZEAHx"&amp;"6HwCnUKMhVzwR76JBXjSzrewwHBluoXHnfXNG5qnKxsNJ1tVPmNTZ2W7GcyN20iP3UWk3dVAGn__I3_x8y6WNn_iPJSjhAMVQwy-v0v=w1200|https://lh3.googleusercontent.com/pw/AP1GczMa61ucwyzfNsJyYB53UgQrwlJSX_OMflztf5WW5cl8if-mO-LyGDsLxV3K2o9lkTptjuglCH7kVCe_ygcqyhs4DoqyYudMchFTOeir"&amp;"2CdlRhV-myRb=w1200|https://lh3.googleusercontent.com/pw/AP1GczPa9D9FtsF3rzYYdisMRgM6aSGWdAkRFTzk02yV-cCLn0Rxxthnl0c4XptCDtHFm36YxoMPtcX92kc2CutzZ3flH3NwIoyweSLE4NiqS3idR9cPlTPs=w1200|https://lh3.googleusercontent.com/pw/AP1GczODY9cl3-adaFK9P6WJxfUupPMI2Dz"&amp;"qvdq66itWs4qj94VvzT2pTL8IHP9ZVyJxS0ZWZIXGsATU6QQYLWBxHB0OcVVPtpSmXUIe7K3Fv31PRDVyQ0Hn=w1200|https://lh3.googleusercontent.com/pw/AP1GczP1tOPXjs0fTi_c8Yx5jETOrMnHPqWzcZzhxq7tDApBouTYYmtpsWcJXtMjvOv8LBPdEXrgzjnpZOeZffUYoT0_yRzGK3MzzbhgBa4F1ljpBlOg27Ci=w1200"&amp;"|https://lh3.googleusercontent.com/pw/AP1GczM96ZYv-4nkbjtbT1KbT5DceFi10nBnoNeJUa0U6LM05hwWky3aPl2GRnIs5HkKzkORkcf-eKwiJOSzomhyAzar007ZNDHrVkHEqV8w1BZgbbD4yjZe=w1200|https://lh3.googleusercontent.com/pw/AP1GczNr2e_aDtEzNJgmSrJEbBhAH2AGgU-nRB2kaRep-h-IdFh5q"&amp;"YjGMOhTC8GwJaA_VgkHF1-S926qWUe6Iv1G2L6zmNYvIlURlrS0dvWSrZcKf3MUrPGX=w1200|https://lh3.googleusercontent.com/pw/AP1GczNij8CzD1NCnEQ_0kz7TJv5EHBjY4ZjMH1dBYoZB7md7DAvTDGtm1u1y5x8K0ZtIpJBBX1lrzrVkZW6dN-wR6yxbVo9UcUNAMjPzHs59Se31slLbknD=w1200|https://lh3.googl"&amp;"eusercontent.com/pw/AP1GczMjlyMBHidavUe31S2MIAKxkowfZRMkvP42Bh6bkzj5lsHYUGxFe1w7sIrIk3KA9O7DTco950W2aFQAdHc6S23N_wR2l_5kBbiIy4uJ-1ZY0BD9gm5_=w1200|https://lh3.googleusercontent.com/pw/AP1GczOnmEl4cTNuCuxgeC0gol0s5519h4-cvdrUbF_pbEA-ZZxCOfftVRG5LSSadMr229j"&amp;"uUzdjv9e-VbFrcILlYucCe6jaZdMXBqOAFYEBMVkfSBDKt8bX=w1200|https://lh3.googleusercontent.com/pw/AP1GczMNWtPPmQhDXk4Snbg6qFvpfhiOQWHCK8xXqNdsf9tg5GjBUbs3DzKj8lZnL87t29-EiqJRv7YpMWU-oTimpbEOwhYC2QSrtRYKk4eu6pYonnKdU8Jt=w1200|https://lh3.googleusercontent.com/p"&amp;"w/AP1GczOy1AcqyjV9rJ4T2OULC7KCX_SITn_6wnBgIGyPAktwvcHCxR86ZQQaP4ozmUfCaLUk9Z8RfZKwITFfhAW-7kJaL8DjSosdBXGP7B5ESZFt8mDodbRJ=w1200|https://lh3.googleusercontent.com/pw/AP1GczNnN_Tn2z-Wz_9y7_syLgu01xqvmqdCc-5UFG-U4cJyjD9ffTCJ65VZvXmb7PmmCAl_gaNo1WdGD6RprkzIA"&amp;"lyzYKm5EVHngh0_Ts7DEqACTnenp-gW=w1200|https://lh3.googleusercontent.com/pw/AP1GczPiYf0R3Pv_a-tPCjRTz9SCY6zdNGn_JqkparU6MOR-ks2DZMuqaLs6Bi37zXGjHrgQukXYxWyQ-SpuZCdItCcA-jgvAN6fxhquzcofuoUn8w6uX4-L=w1200|https://lh3.googleusercontent.com/pw/AP1GczMi4UfZgxqU"&amp;"hjuRKyh2PUba-MqLF32u2KAZptFRtPOW-aIUx2PwhsWq4ug7wKKnzEJRc5hkGkyXEmRBfRXuav2aBwGQIxT5zg_TZKMMRomFZAg6ZHjp=w1200|https://lh3.googleusercontent.com/pw/AP1GczPVSjMPCi_auXxI-nQbxKMBdE3O2Fh9-myTs5mVaJ8mwUOT7ea8Le50LTPKpR4N43d5DKjp-1gacYyv9UWji86bLuV2xQWy9mLfe-W"&amp;"oFdL499RqDdkU=w1200|https://lh3.googleusercontent.com/pw/AP1GczNT0ddifVjY4gO7PnGLUchFpPGf9NNApJwxQn_lktNS9MnQ1EGbqyPUdJCf7bwEX7FzEBBRHKv6UStH-RefqWXKzgegxJ529u_3N8lc1xGMIVOnBeVY=w1200|https://lh3.googleusercontent.com/pw/AP1GczNkhZiHi9u8MXPk0Ggjzda-IHoWt9"&amp;"KFcFJDtxBsx0q8eM3KuKyZyIubpYGMPNdEKO20fsKVawGWW2fzORK-iGvcDfR7latJqLa_vDjmw5hUz29mMytT=w1200|https://lh3.googleusercontent.com/pw/AP1GczN4h5gB3m-4SXzioEJQe1gIPXjH3JNMzUvIdLLKVy2ujdwAe_Wp2BNAuqch1OJa3GtHgiFa6aRk9CFcUoSHlW3PLZqdDhFuFy0PslA2ljLKeCEcyWMT=w120"&amp;"0|https://lh3.googleusercontent.com/pw/AP1GczN_JmHMNvjWRvBUXZCxAIKtBlxakOfGqxKR5HDxhBVOvo38WHJRKg6OWgSCPf_YAx-RgR5XSLSEqEYEAawIdk_9ZAj-aFoAbifftvEtLLQq46DJEcGB=w1200|https://lh3.googleusercontent.com/pw/AP1GczO2t1xjVjk8KP-VAP_sUJBzuNNwcgmarzXglMrita4T19ii"&amp;"MHHLiaNLZpMITZWVHzKRMaMl2NE7DoMyCrygnXnoW4tcMhnq7tzMp4kfClG7xKGbOjoc=w1200|https://lh3.googleusercontent.com/pw/AP1GczOgRa-ZldWNwrtbWPS1A0TU-PXSW32vx630M2dofQ7gUiWMNPzp4qElFiT2oPmFtbgnxSSCIC4HINwbhzQyqjt9VIE5PINb2dkapPFv96r4dSeWfpVy=w1200|https://lh3.goog"&amp;"leusercontent.com/pw/AP1GczN3EF219H_5e88IRcIB63Me5sYexz3Ef2hEGxbqVqoCTUpNKmG_NRp3lQ84DXw2zKD9sDXk5c_Y8kG8kJaL5bI1RCwlDCfXSa5CJcrgVJBYGi2HnuWz=w1200|https://lh3.googleusercontent.com/pw/AP1GczOZEVMYZjtNExqASOmQ4OkKs0kwjb5TOtUZ_aYsApfBy92yecMD-qP_OjN51IhsbO"&amp;"0XIWnlV9LqEVE_rnxD7IT2o9g4I-PQ0Z8a0WRUN6TvMuYXHv_u=w1200|https://lh3.googleusercontent.com/pw/AP1GczM3maHpjf81wD4QeDjfb9JVGkaS1VgDxR01fRQazMnuLTSmP5An-P3PVHCLNLpgyq_pZlA67bq33CLfU5swYso2dB443vS407q5kCU4Lpv0DBlHd3g1=w1200")</f>
        <v>https://lh3.googleusercontent.com/pw/AP1GczM0IIigzngsTHN4Hy1Szr3UQ_ABmDmVYzXca86MaLc_SZAxdc_zjOothfIptOCf4ANwH16s1sRuxGoXgIKVfGIkxzDMQew0t7MjKIDoMvnrILoCpU8C=w1200|https://lh3.googleusercontent.com/pw/AP1GczPEJwkrq0bOimOjIVW4FaT6N_D3DTIqxofvNQyRohzGR7Y6mYa5V-3WxpZdhmmAG3Ia6RZGXPDTGsuehT1n4AO638jyhWVtV1OQq_mQ_9O8QfZSkADc=w1200|https://lh3.googleusercontent.com/pw/AP1GczMHEBmzjLcuXXLl1aCEQufEVYOdyZxv-JSKhscw0FTCZwOhm2wcjKsEVAUAVWxPzaYku9eN0i-R_mMPggw-IeQmpGXomdaBau79FA75cGU0FIELBi4Q=w1200|https://lh3.googleusercontent.com/pw/AP1GczPf92m8WUpFOKsgkM4L_Qm7zkjrj2jg0y9i0F_9BK-aIdhYSRmN6_tjYiy2dkx8wNFGfKiqCrOtElEu_5NE3UNUQrjVQfcB7-oIyKmKB_kK7YNKWTVA=w1200|https://lh3.googleusercontent.com/pw/AP1GczM79mrlHCj1J10E71ZTXZxzK3fTDNQSJR9Na5P-PTMyM4_NSP5XxDXKk45ai2MI4jCGsptlBrHbyJV8-HTu-o2eCGFBlLPqksd8fo0qUoe3_dphz5FT=w1200|https://lh3.googleusercontent.com/pw/AP1GczMc2WURM4GjuEGzGcYu9CiJf_vEsQZhCuSUNatdJVy0zhxZW3OFR9giq49VqnbHJsnKu4F5CyHcLrMePZfzzRgQ2NkwdOMRb9tknLuCm5K1x_v5WKR0=w1200|https://lh3.googleusercontent.com/pw/AP1GczPEjLUfKnC-Ecx0CzIJ-JaSp_RN3R7QEJXelNys17R1G8rPkAKjKty-MRzlfCyheR0Se2_nZvkxEYUBaHIOUYFktBcpxg8mg3q6NgSTEC0POth3k5si=w1200|https://lh3.googleusercontent.com/pw/AP1GczP85DwZiQZBRJDV-2WPgWM1_aUrQqOC8v12Z_Yc8JyDV6xh_oOKgMqAdyXEYxWCsE-lYtlMxu72kdCYXIsooZ3hEGvVh0m2ibfG7G1MVuR_9iOr1hJO=w1200|https://lh3.googleusercontent.com/pw/AP1GczOT725D6nXYjcTge2jMtVXwjJnt0vmRtjFLinIJmrWxN9lX-AguVIa_iwBbhAp2JI0IN8hoCEFXsO6U9xaPWfs_A86VoOMt3_pgqnMlgeBOhVN01lGr=w1200|https://lh3.googleusercontent.com/pw/AP1GczNsHL6KZEAHx6HwCnUKMhVzwR76JBXjSzrewwHBluoXHnfXNG5qnKxsNJ1tVPmNTZ2W7GcyN20iP3UWk3dVAGn__I3_x8y6WNn_iPJSjhAMVQwy-v0v=w1200|https://lh3.googleusercontent.com/pw/AP1GczMa61ucwyzfNsJyYB53UgQrwlJSX_OMflztf5WW5cl8if-mO-LyGDsLxV3K2o9lkTptjuglCH7kVCe_ygcqyhs4DoqyYudMchFTOeir2CdlRhV-myRb=w1200|https://lh3.googleusercontent.com/pw/AP1GczPa9D9FtsF3rzYYdisMRgM6aSGWdAkRFTzk02yV-cCLn0Rxxthnl0c4XptCDtHFm36YxoMPtcX92kc2CutzZ3flH3NwIoyweSLE4NiqS3idR9cPlTPs=w1200|https://lh3.googleusercontent.com/pw/AP1GczODY9cl3-adaFK9P6WJxfUupPMI2Dzqvdq66itWs4qj94VvzT2pTL8IHP9ZVyJxS0ZWZIXGsATU6QQYLWBxHB0OcVVPtpSmXUIe7K3Fv31PRDVyQ0Hn=w1200|https://lh3.googleusercontent.com/pw/AP1GczP1tOPXjs0fTi_c8Yx5jETOrMnHPqWzcZzhxq7tDApBouTYYmtpsWcJXtMjvOv8LBPdEXrgzjnpZOeZffUYoT0_yRzGK3MzzbhgBa4F1ljpBlOg27Ci=w1200|https://lh3.googleusercontent.com/pw/AP1GczM96ZYv-4nkbjtbT1KbT5DceFi10nBnoNeJUa0U6LM05hwWky3aPl2GRnIs5HkKzkORkcf-eKwiJOSzomhyAzar007ZNDHrVkHEqV8w1BZgbbD4yjZe=w1200|https://lh3.googleusercontent.com/pw/AP1GczNr2e_aDtEzNJgmSrJEbBhAH2AGgU-nRB2kaRep-h-IdFh5qYjGMOhTC8GwJaA_VgkHF1-S926qWUe6Iv1G2L6zmNYvIlURlrS0dvWSrZcKf3MUrPGX=w1200|https://lh3.googleusercontent.com/pw/AP1GczNij8CzD1NCnEQ_0kz7TJv5EHBjY4ZjMH1dBYoZB7md7DAvTDGtm1u1y5x8K0ZtIpJBBX1lrzrVkZW6dN-wR6yxbVo9UcUNAMjPzHs59Se31slLbknD=w1200|https://lh3.googleusercontent.com/pw/AP1GczMjlyMBHidavUe31S2MIAKxkowfZRMkvP42Bh6bkzj5lsHYUGxFe1w7sIrIk3KA9O7DTco950W2aFQAdHc6S23N_wR2l_5kBbiIy4uJ-1ZY0BD9gm5_=w1200|https://lh3.googleusercontent.com/pw/AP1GczOnmEl4cTNuCuxgeC0gol0s5519h4-cvdrUbF_pbEA-ZZxCOfftVRG5LSSadMr229juUzdjv9e-VbFrcILlYucCe6jaZdMXBqOAFYEBMVkfSBDKt8bX=w1200|https://lh3.googleusercontent.com/pw/AP1GczMNWtPPmQhDXk4Snbg6qFvpfhiOQWHCK8xXqNdsf9tg5GjBUbs3DzKj8lZnL87t29-EiqJRv7YpMWU-oTimpbEOwhYC2QSrtRYKk4eu6pYonnKdU8Jt=w1200|https://lh3.googleusercontent.com/pw/AP1GczOy1AcqyjV9rJ4T2OULC7KCX_SITn_6wnBgIGyPAktwvcHCxR86ZQQaP4ozmUfCaLUk9Z8RfZKwITFfhAW-7kJaL8DjSosdBXGP7B5ESZFt8mDodbRJ=w1200|https://lh3.googleusercontent.com/pw/AP1GczNnN_Tn2z-Wz_9y7_syLgu01xqvmqdCc-5UFG-U4cJyjD9ffTCJ65VZvXmb7PmmCAl_gaNo1WdGD6RprkzIAlyzYKm5EVHngh0_Ts7DEqACTnenp-gW=w1200|https://lh3.googleusercontent.com/pw/AP1GczPiYf0R3Pv_a-tPCjRTz9SCY6zdNGn_JqkparU6MOR-ks2DZMuqaLs6Bi37zXGjHrgQukXYxWyQ-SpuZCdItCcA-jgvAN6fxhquzcofuoUn8w6uX4-L=w1200|https://lh3.googleusercontent.com/pw/AP1GczMi4UfZgxqUhjuRKyh2PUba-MqLF32u2KAZptFRtPOW-aIUx2PwhsWq4ug7wKKnzEJRc5hkGkyXEmRBfRXuav2aBwGQIxT5zg_TZKMMRomFZAg6ZHjp=w1200|https://lh3.googleusercontent.com/pw/AP1GczPVSjMPCi_auXxI-nQbxKMBdE3O2Fh9-myTs5mVaJ8mwUOT7ea8Le50LTPKpR4N43d5DKjp-1gacYyv9UWji86bLuV2xQWy9mLfe-WoFdL499RqDdkU=w1200|https://lh3.googleusercontent.com/pw/AP1GczNT0ddifVjY4gO7PnGLUchFpPGf9NNApJwxQn_lktNS9MnQ1EGbqyPUdJCf7bwEX7FzEBBRHKv6UStH-RefqWXKzgegxJ529u_3N8lc1xGMIVOnBeVY=w1200|https://lh3.googleusercontent.com/pw/AP1GczNkhZiHi9u8MXPk0Ggjzda-IHoWt9KFcFJDtxBsx0q8eM3KuKyZyIubpYGMPNdEKO20fsKVawGWW2fzORK-iGvcDfR7latJqLa_vDjmw5hUz29mMytT=w1200|https://lh3.googleusercontent.com/pw/AP1GczN4h5gB3m-4SXzioEJQe1gIPXjH3JNMzUvIdLLKVy2ujdwAe_Wp2BNAuqch1OJa3GtHgiFa6aRk9CFcUoSHlW3PLZqdDhFuFy0PslA2ljLKeCEcyWMT=w1200|https://lh3.googleusercontent.com/pw/AP1GczN_JmHMNvjWRvBUXZCxAIKtBlxakOfGqxKR5HDxhBVOvo38WHJRKg6OWgSCPf_YAx-RgR5XSLSEqEYEAawIdk_9ZAj-aFoAbifftvEtLLQq46DJEcGB=w1200|https://lh3.googleusercontent.com/pw/AP1GczO2t1xjVjk8KP-VAP_sUJBzuNNwcgmarzXglMrita4T19iiMHHLiaNLZpMITZWVHzKRMaMl2NE7DoMyCrygnXnoW4tcMhnq7tzMp4kfClG7xKGbOjoc=w1200|https://lh3.googleusercontent.com/pw/AP1GczOgRa-ZldWNwrtbWPS1A0TU-PXSW32vx630M2dofQ7gUiWMNPzp4qElFiT2oPmFtbgnxSSCIC4HINwbhzQyqjt9VIE5PINb2dkapPFv96r4dSeWfpVy=w1200|https://lh3.googleusercontent.com/pw/AP1GczN3EF219H_5e88IRcIB63Me5sYexz3Ef2hEGxbqVqoCTUpNKmG_NRp3lQ84DXw2zKD9sDXk5c_Y8kG8kJaL5bI1RCwlDCfXSa5CJcrgVJBYGi2HnuWz=w1200|https://lh3.googleusercontent.com/pw/AP1GczOZEVMYZjtNExqASOmQ4OkKs0kwjb5TOtUZ_aYsApfBy92yecMD-qP_OjN51IhsbO0XIWnlV9LqEVE_rnxD7IT2o9g4I-PQ0Z8a0WRUN6TvMuYXHv_u=w1200|https://lh3.googleusercontent.com/pw/AP1GczM3maHpjf81wD4QeDjfb9JVGkaS1VgDxR01fRQazMnuLTSmP5An-P3PVHCLNLpgyq_pZlA67bq33CLfU5swYso2dB443vS407q5kCU4Lpv0DBlHd3g1=w1200</v>
      </c>
      <c r="AJ549" s="46"/>
      <c r="AK549" s="46"/>
      <c r="AL549" s="46"/>
      <c r="AM549" s="46"/>
      <c r="AN549" s="46"/>
      <c r="AO549" s="46"/>
      <c r="AP549" s="46"/>
      <c r="AQ549" s="46"/>
      <c r="AR549" s="46"/>
      <c r="AS549" s="46"/>
      <c r="AT549" s="46"/>
      <c r="AU549" s="46"/>
      <c r="AV549" s="46"/>
      <c r="AW549" s="46"/>
      <c r="AX549" s="46"/>
      <c r="AY549" s="46"/>
      <c r="AZ549" s="46"/>
      <c r="BA549" s="46"/>
      <c r="BB549" s="46"/>
      <c r="BC549" s="46"/>
      <c r="BD549" s="46"/>
      <c r="BE549" s="46"/>
      <c r="BF549" s="46"/>
      <c r="BG549" s="46"/>
      <c r="BH549" s="46"/>
      <c r="BI549" s="46"/>
      <c r="BJ549" s="46"/>
      <c r="BK549" s="46"/>
      <c r="BL549" s="46"/>
      <c r="BM549" s="46"/>
      <c r="BN549" s="46"/>
      <c r="BO549" s="46"/>
      <c r="BP549" s="46"/>
      <c r="BQ549" s="46"/>
      <c r="BR549" s="46"/>
      <c r="BS549" s="46"/>
      <c r="BT549" s="46"/>
      <c r="BU549" s="46"/>
      <c r="BV549" s="46"/>
      <c r="BW549" s="46"/>
      <c r="BX549" s="46"/>
      <c r="BY549" s="46"/>
      <c r="BZ549" s="46"/>
      <c r="CA549" s="46"/>
      <c r="CB549" s="46"/>
      <c r="CC549" s="46"/>
    </row>
    <row r="550">
      <c r="A550" s="87" t="str">
        <f>IFERROR(__xludf.DUMMYFUNCTION("""COMPUTED_VALUE"""),"490")</f>
        <v>490</v>
      </c>
      <c r="B550" s="46" t="str">
        <f>IFERROR(__xludf.DUMMYFUNCTION("""COMPUTED_VALUE"""),"Casa en barrio Alcala Berdez")</f>
        <v>Casa en barrio Alcala Berdez</v>
      </c>
      <c r="C550" s="46" t="str">
        <f>IFERROR(__xludf.DUMMYFUNCTION("""COMPUTED_VALUE"""),"Casa")</f>
        <v>Casa</v>
      </c>
      <c r="D550" s="90" t="str">
        <f>IFERROR(__xludf.DUMMYFUNCTION("""COMPUTED_VALUE"""),"Alcalá Berdez")</f>
        <v>Alcalá Berdez</v>
      </c>
      <c r="E550" s="46"/>
      <c r="F550" s="90">
        <f>IFERROR(__xludf.DUMMYFUNCTION("""COMPUTED_VALUE"""),2.5E8)</f>
        <v>250000000</v>
      </c>
      <c r="G550" s="46" t="str">
        <f>IFERROR(__xludf.DUMMYFUNCTION("""COMPUTED_VALUE"""),"$200'000.000 a $300'000.000")</f>
        <v>$200'000.000 a $300'000.000</v>
      </c>
      <c r="H550" s="46"/>
      <c r="I550" s="46"/>
      <c r="J550" s="46" t="str">
        <f>IFERROR(__xludf.DUMMYFUNCTION("""COMPUTED_VALUE"""),"Occidente")</f>
        <v>Occidente</v>
      </c>
      <c r="K550" s="87"/>
      <c r="L550" s="46">
        <f>IFERROR(__xludf.DUMMYFUNCTION("""COMPUTED_VALUE"""),3.0)</f>
        <v>3</v>
      </c>
      <c r="M550" s="46"/>
      <c r="N550" s="46">
        <f>IFERROR(__xludf.DUMMYFUNCTION("""COMPUTED_VALUE"""),2.0)</f>
        <v>2</v>
      </c>
      <c r="O550" s="46">
        <f>IFERROR(__xludf.DUMMYFUNCTION("""COMPUTED_VALUE"""),1.0)</f>
        <v>1</v>
      </c>
      <c r="P550" s="46">
        <f>IFERROR(__xludf.DUMMYFUNCTION("""COMPUTED_VALUE"""),2.0)</f>
        <v>2</v>
      </c>
      <c r="Q550" s="92">
        <f>IFERROR(__xludf.DUMMYFUNCTION("""COMPUTED_VALUE"""),0.0)</f>
        <v>0</v>
      </c>
      <c r="R550" s="92">
        <f>IFERROR(__xludf.DUMMYFUNCTION("""COMPUTED_VALUE"""),170.0)</f>
        <v>170</v>
      </c>
      <c r="S550" s="87" t="str">
        <f>IFERROR(__xludf.DUMMYFUNCTION("""COMPUTED_VALUE""")," ")</f>
        <v> </v>
      </c>
      <c r="T550" s="46" t="str">
        <f>IFERROR(__xludf.DUMMYFUNCTION("""COMPUTED_VALUE"""),"Neiva")</f>
        <v>Neiva</v>
      </c>
      <c r="U550" s="87" t="str">
        <f>IFERROR(__xludf.DUMMYFUNCTION("""COMPUTED_VALUE"""),"3")</f>
        <v>3</v>
      </c>
      <c r="V550" s="46" t="str">
        <f>IFERROR(__xludf.DUMMYFUNCTION("""COMPUTED_VALUE"""),"Esquinera")</f>
        <v>Esquinera</v>
      </c>
      <c r="W550" s="46"/>
      <c r="X550" s="46">
        <f>IFERROR(__xludf.DUMMYFUNCTION("""COMPUTED_VALUE"""),0.0)</f>
        <v>0</v>
      </c>
      <c r="Y550" s="46" t="str">
        <f>IFERROR(__xludf.DUMMYFUNCTION("""COMPUTED_VALUE"""),"No tiene")</f>
        <v>No tiene</v>
      </c>
      <c r="Z550" s="90" t="str">
        <f>IFERROR(__xludf.DUMMYFUNCTION("""COMPUTED_VALUE"""),"No aplica")</f>
        <v>No aplica</v>
      </c>
      <c r="AA550" s="33" t="str">
        <f>IFERROR(__xludf.DUMMYFUNCTION("""COMPUTED_VALUE"""),"No aplica")</f>
        <v>No aplica</v>
      </c>
      <c r="AB550" s="144" t="str">
        <f>IFERROR(__xludf.DUMMYFUNCTION("""COMPUTED_VALUE"""),"https://photos.app.goo.gl/5KEJeyCXb3ZD2FZLA")</f>
        <v>https://photos.app.goo.gl/5KEJeyCXb3ZD2FZLA</v>
      </c>
      <c r="AC550" s="46" t="str">
        <f>IFERROR(__xludf.DUMMYFUNCTION("""COMPUTED_VALUE"""),"Casa esquinera con area de 10*17 M2, incluye lote de 3+17, enrejada, sala, comedor amplia, cocina, patio de ropas, zona de lavandería, depósito que va debajo de las escaleras. Segundo piso, baño de alcobas, tres alcobas sin closet, alcoba principal con ba"&amp;"ño en obra gris, balcón interno. pisos en cerámica. Estrato 3 pertenece a palermo.")</f>
        <v>Casa esquinera con area de 10*17 M2, incluye lote de 3+17, enrejada, sala, comedor amplia, cocina, patio de ropas, zona de lavandería, depósito que va debajo de las escaleras. Segundo piso, baño de alcobas, tres alcobas sin closet, alcoba principal con baño en obra gris, balcón interno. pisos en cerámica. Estrato 3 pertenece a palermo.</v>
      </c>
      <c r="AD550" s="46" t="str">
        <f>IFERROR(__xludf.DUMMYFUNCTION("""COMPUTED_VALUE"""),"Esquinera, lote de 3*17 como zona verde al lado de la casa")</f>
        <v>Esquinera, lote de 3*17 como zona verde al lado de la casa</v>
      </c>
      <c r="AE550" s="46"/>
      <c r="AF550" s="46" t="str">
        <f>IFERROR(__xludf.DUMMYFUNCTION("""COMPUTED_VALUE"""),"semi-integral")</f>
        <v>semi-integral</v>
      </c>
      <c r="AG550" s="46"/>
      <c r="AH550" s="46" t="str">
        <f>IFERROR(__xludf.DUMMYFUNCTION("""COMPUTED_VALUE"""),"Aliado")</f>
        <v>Aliado</v>
      </c>
      <c r="AI550" s="92" t="str">
        <f>IFERROR(__xludf.DUMMYFUNCTION("""COMPUTED_VALUE"""),"https://lh3.googleusercontent.com/pw/AP1GczPlQvu93GpheBfOYsMBGQff3Ccwoa4zcVyV476xlSkHmP44JI6nhvwg8_8Z9Ab-XSVSKh6r4B7V-rsB0MCCCrqZ1iWZNipt0gJ6RIpFsuJnpgremYX_=w1200|https://lh3.googleusercontent.com/pw/AP1GczMK7q0xIU-wSBL0xKsRK2kz9cXldwY3K-RU0y0pmbIkOpYQX0"&amp;"oV4GORlPWhR8Zqvofj6S05klS7fyoXGAq9XqYXnnBkXlNt14yKC92s3PQh9cJpmVPZ=w1200|https://lh3.googleusercontent.com/pw/AP1GczPjO7thBiNoI88YgVjbxymvmMtDxW7tlmhK8BvGBY4HYevu6eICxs5k666Dzs4gfcsG9ynrMa3ABuUba0OhFEtUwS_GhFuZWpyviOglabgGah0pOwtP=w1200|https://lh3.google"&amp;"usercontent.com/pw/AP1GczMxr-X_dWf1k2qcENN6Fs8OBd1MlRadd3LPFxmoCaxh_lUdRIbJnzc-A5PrhQUOMaa4qz3Bjhul9ejqjQJFruTI7Z0rzSUEwZDEeajXgviT-NpJMIdi=w1200|https://lh3.googleusercontent.com/pw/AP1GczMoJqp1E9ILTtOk-2YF5-RboJsl-77tzQm1qKfdodqSDFrAm0nBbljZJR2XRt4O4FCH"&amp;"l-1AedkCz_7FHoIW1crU_3ju7htJ_eac8jCLxDTkv1IX-wvW=w1200|https://lh3.googleusercontent.com/pw/AP1GczNdQOORj318DT91yKmAXe-7jViYbdd5Bw2NGDt7cYBvMxfmoFjci9h2k2IF5erhL2iafjoI-RDTOKNpI2XdU3S1SRLFYWbXRVePvQsOw8jSXb6mQRzX=w1200|https://lh3.googleusercontent.com/pw"&amp;"/AP1GczOlGcClLwZ-WUTmz6Y3Bw_16Nszg4SLKQH69K95Hx5UnK14sNsLPAliYSL11inp6VKiWuUI89Xx8oVSDDPP2c_248q30C8gU6ydLvQ-7xKnhD9PHjQ4=w1200|https://lh3.googleusercontent.com/pw/AP1GczOC212kDQt-PNmIvOZ9PU_AR3qwKTFfbEZN7WSMKMce25af_w_O32Cs0wzECeZN5N0cLmp6n3_VuJYYqPxjVG"&amp;"qZLz0ycJ1dvu42vGYaW1o0xgX-A5wq=w1200|https://lh3.googleusercontent.com/pw/AP1GczNyv-BSrR4urIuasxiK29YwOAr_vnT3JdRcvNUCURY-LN_QKnjE91wN_ZHrcfbVoNUibeQ6B_iu2DFLwE2-zucrdbk1LeoY0kSLgD41LG--QZskfPUE=w1200|https://lh3.googleusercontent.com/pw/AP1GczPK_ETi8U38v"&amp;"-0Qt5xkIpKW_ShpnhRoIEhATWFDN7LBy2suBEww4HD3rWJJe_NvqrgBzQj02k5nkkIQmAepvTbiwfxixRUzy8Q0TBZS9rLwX8tZXl_w=w1200|https://lh3.googleusercontent.com/pw/AP1GczPerWPfGkxigjEMgYNYUUq5unk9Z9owpSncHniNEoZslX7ofPJBovK55Z2Vg_37iJAhngI_2wcltckZvh4Ux_V8y7RAgcANbYGM9GiV"&amp;"WlZD_uxzB7Ba=w1200|https://lh3.googleusercontent.com/pw/AP1GczN343Rlc9Dp_BADXYUANqECpbLspwTf7knB5G2P1hMn3gDN8aha0C_2p8J7NdXgMbdjJii4ggp2VZEUjZLohTLzwZB89jCanINu-zp3l1uiAIwzhcj1=w1200|https://lh3.googleusercontent.com/pw/AP1GczO9I0qajzxd98mF8cbSsylkGkJC_cA"&amp;"7MlReGXKd_z_VWKWjXIEZUwGCNH-zP6kgnZXCwaXJB4zNTeEKKDLAQMcxWTExjTWyf44ldVvnAZrLdJakeoth=w1200|https://lh3.googleusercontent.com/pw/AP1GczO5lgcgmaZboADFsH_ZckJSOB3-JQlfBAV4A7EOE-ryMoaghD26ZEsK71Ech7TxoLjwTU-Nxa0vNAayXntYkXv8uNPSpQDF6O7jQEiPuOjJqNPxLWfm=w1200"&amp;"|https://lh3.googleusercontent.com/pw/AP1GczN13c32vpp-tgreByMGS6pttyfhAkF1fB4lulsOAfel8gmkcA-NHRZRJq6YO82kGnNak-B_daoDgvp5MYoePUwPr0uWq28KKyQU9YSbZbn9FinuqdBF=w1200|https://lh3.googleusercontent.com/pw/AP1GczM9DY68oID2pjYkx_q26SXm0wbdcadfDrajTeYc-VaXoXX9z"&amp;"joTUsHV4p4e8MqTp3RSvqAWyG-kbOJd66YTyw_gNCAZwaV1hILv0YEZjlvOU9JWZUMQ=w1200")</f>
        <v>https://lh3.googleusercontent.com/pw/AP1GczPlQvu93GpheBfOYsMBGQff3Ccwoa4zcVyV476xlSkHmP44JI6nhvwg8_8Z9Ab-XSVSKh6r4B7V-rsB0MCCCrqZ1iWZNipt0gJ6RIpFsuJnpgremYX_=w1200|https://lh3.googleusercontent.com/pw/AP1GczMK7q0xIU-wSBL0xKsRK2kz9cXldwY3K-RU0y0pmbIkOpYQX0oV4GORlPWhR8Zqvofj6S05klS7fyoXGAq9XqYXnnBkXlNt14yKC92s3PQh9cJpmVPZ=w1200|https://lh3.googleusercontent.com/pw/AP1GczPjO7thBiNoI88YgVjbxymvmMtDxW7tlmhK8BvGBY4HYevu6eICxs5k666Dzs4gfcsG9ynrMa3ABuUba0OhFEtUwS_GhFuZWpyviOglabgGah0pOwtP=w1200|https://lh3.googleusercontent.com/pw/AP1GczMxr-X_dWf1k2qcENN6Fs8OBd1MlRadd3LPFxmoCaxh_lUdRIbJnzc-A5PrhQUOMaa4qz3Bjhul9ejqjQJFruTI7Z0rzSUEwZDEeajXgviT-NpJMIdi=w1200|https://lh3.googleusercontent.com/pw/AP1GczMoJqp1E9ILTtOk-2YF5-RboJsl-77tzQm1qKfdodqSDFrAm0nBbljZJR2XRt4O4FCHl-1AedkCz_7FHoIW1crU_3ju7htJ_eac8jCLxDTkv1IX-wvW=w1200|https://lh3.googleusercontent.com/pw/AP1GczNdQOORj318DT91yKmAXe-7jViYbdd5Bw2NGDt7cYBvMxfmoFjci9h2k2IF5erhL2iafjoI-RDTOKNpI2XdU3S1SRLFYWbXRVePvQsOw8jSXb6mQRzX=w1200|https://lh3.googleusercontent.com/pw/AP1GczOlGcClLwZ-WUTmz6Y3Bw_16Nszg4SLKQH69K95Hx5UnK14sNsLPAliYSL11inp6VKiWuUI89Xx8oVSDDPP2c_248q30C8gU6ydLvQ-7xKnhD9PHjQ4=w1200|https://lh3.googleusercontent.com/pw/AP1GczOC212kDQt-PNmIvOZ9PU_AR3qwKTFfbEZN7WSMKMce25af_w_O32Cs0wzECeZN5N0cLmp6n3_VuJYYqPxjVGqZLz0ycJ1dvu42vGYaW1o0xgX-A5wq=w1200|https://lh3.googleusercontent.com/pw/AP1GczNyv-BSrR4urIuasxiK29YwOAr_vnT3JdRcvNUCURY-LN_QKnjE91wN_ZHrcfbVoNUibeQ6B_iu2DFLwE2-zucrdbk1LeoY0kSLgD41LG--QZskfPUE=w1200|https://lh3.googleusercontent.com/pw/AP1GczPK_ETi8U38v-0Qt5xkIpKW_ShpnhRoIEhATWFDN7LBy2suBEww4HD3rWJJe_NvqrgBzQj02k5nkkIQmAepvTbiwfxixRUzy8Q0TBZS9rLwX8tZXl_w=w1200|https://lh3.googleusercontent.com/pw/AP1GczPerWPfGkxigjEMgYNYUUq5unk9Z9owpSncHniNEoZslX7ofPJBovK55Z2Vg_37iJAhngI_2wcltckZvh4Ux_V8y7RAgcANbYGM9GiVWlZD_uxzB7Ba=w1200|https://lh3.googleusercontent.com/pw/AP1GczN343Rlc9Dp_BADXYUANqECpbLspwTf7knB5G2P1hMn3gDN8aha0C_2p8J7NdXgMbdjJii4ggp2VZEUjZLohTLzwZB89jCanINu-zp3l1uiAIwzhcj1=w1200|https://lh3.googleusercontent.com/pw/AP1GczO9I0qajzxd98mF8cbSsylkGkJC_cA7MlReGXKd_z_VWKWjXIEZUwGCNH-zP6kgnZXCwaXJB4zNTeEKKDLAQMcxWTExjTWyf44ldVvnAZrLdJakeoth=w1200|https://lh3.googleusercontent.com/pw/AP1GczO5lgcgmaZboADFsH_ZckJSOB3-JQlfBAV4A7EOE-ryMoaghD26ZEsK71Ech7TxoLjwTU-Nxa0vNAayXntYkXv8uNPSpQDF6O7jQEiPuOjJqNPxLWfm=w1200|https://lh3.googleusercontent.com/pw/AP1GczN13c32vpp-tgreByMGS6pttyfhAkF1fB4lulsOAfel8gmkcA-NHRZRJq6YO82kGnNak-B_daoDgvp5MYoePUwPr0uWq28KKyQU9YSbZbn9FinuqdBF=w1200|https://lh3.googleusercontent.com/pw/AP1GczM9DY68oID2pjYkx_q26SXm0wbdcadfDrajTeYc-VaXoXX9zjoTUsHV4p4e8MqTp3RSvqAWyG-kbOJd66YTyw_gNCAZwaV1hILv0YEZjlvOU9JWZUMQ=w1200</v>
      </c>
      <c r="AJ550" s="46"/>
      <c r="AK550" s="46"/>
      <c r="AL550" s="46"/>
      <c r="AM550" s="46"/>
      <c r="AN550" s="46"/>
      <c r="AO550" s="46"/>
      <c r="AP550" s="46"/>
      <c r="AQ550" s="46"/>
      <c r="AR550" s="46"/>
      <c r="AS550" s="46"/>
      <c r="AT550" s="46"/>
      <c r="AU550" s="46"/>
      <c r="AV550" s="46"/>
      <c r="AW550" s="46"/>
      <c r="AX550" s="46"/>
      <c r="AY550" s="46"/>
      <c r="AZ550" s="46"/>
      <c r="BA550" s="46"/>
      <c r="BB550" s="46"/>
      <c r="BC550" s="46"/>
      <c r="BD550" s="46"/>
      <c r="BE550" s="46"/>
      <c r="BF550" s="46"/>
      <c r="BG550" s="46"/>
      <c r="BH550" s="46"/>
      <c r="BI550" s="46"/>
      <c r="BJ550" s="46"/>
      <c r="BK550" s="46"/>
      <c r="BL550" s="46"/>
      <c r="BM550" s="46"/>
      <c r="BN550" s="46"/>
      <c r="BO550" s="46"/>
      <c r="BP550" s="46"/>
      <c r="BQ550" s="46"/>
      <c r="BR550" s="46"/>
      <c r="BS550" s="46"/>
      <c r="BT550" s="46"/>
      <c r="BU550" s="46"/>
      <c r="BV550" s="46"/>
      <c r="BW550" s="46"/>
      <c r="BX550" s="46"/>
      <c r="BY550" s="46"/>
      <c r="BZ550" s="46"/>
      <c r="CA550" s="46"/>
      <c r="CB550" s="46"/>
      <c r="CC550" s="46"/>
    </row>
    <row r="551">
      <c r="A551" s="87" t="str">
        <f>IFERROR(__xludf.DUMMYFUNCTION("""COMPUTED_VALUE"""),"703")</f>
        <v>703</v>
      </c>
      <c r="B551" s="46" t="str">
        <f>IFERROR(__xludf.DUMMYFUNCTION("""COMPUTED_VALUE"""),"Casa en barrio Gualanday")</f>
        <v>Casa en barrio Gualanday</v>
      </c>
      <c r="C551" s="46" t="str">
        <f>IFERROR(__xludf.DUMMYFUNCTION("""COMPUTED_VALUE"""),"Casa")</f>
        <v>Casa</v>
      </c>
      <c r="D551" s="46" t="str">
        <f>IFERROR(__xludf.DUMMYFUNCTION("""COMPUTED_VALUE"""),"Gualanday")</f>
        <v>Gualanday</v>
      </c>
      <c r="E551" s="46"/>
      <c r="F551" s="90">
        <f>IFERROR(__xludf.DUMMYFUNCTION("""COMPUTED_VALUE"""),2.3E8)</f>
        <v>230000000</v>
      </c>
      <c r="G551" s="46" t="str">
        <f>IFERROR(__xludf.DUMMYFUNCTION("""COMPUTED_VALUE"""),"$200'000.000 a $300'000.000")</f>
        <v>$200'000.000 a $300'000.000</v>
      </c>
      <c r="H551" s="46"/>
      <c r="I551" s="46"/>
      <c r="J551" s="46" t="str">
        <f>IFERROR(__xludf.DUMMYFUNCTION("""COMPUTED_VALUE"""),"Norte")</f>
        <v>Norte</v>
      </c>
      <c r="K551" s="87" t="str">
        <f>IFERROR(__xludf.DUMMYFUNCTION("""COMPUTED_VALUE"""),"2")</f>
        <v>2</v>
      </c>
      <c r="L551" s="46">
        <f>IFERROR(__xludf.DUMMYFUNCTION("""COMPUTED_VALUE"""),2.0)</f>
        <v>2</v>
      </c>
      <c r="M551" s="46"/>
      <c r="N551" s="46">
        <f>IFERROR(__xludf.DUMMYFUNCTION("""COMPUTED_VALUE"""),2.0)</f>
        <v>2</v>
      </c>
      <c r="O551" s="46">
        <f>IFERROR(__xludf.DUMMYFUNCTION("""COMPUTED_VALUE"""),0.0)</f>
        <v>0</v>
      </c>
      <c r="P551" s="46">
        <f>IFERROR(__xludf.DUMMYFUNCTION("""COMPUTED_VALUE"""),2.0)</f>
        <v>2</v>
      </c>
      <c r="Q551" s="92">
        <f>IFERROR(__xludf.DUMMYFUNCTION("""COMPUTED_VALUE"""),0.0)</f>
        <v>0</v>
      </c>
      <c r="R551" s="92">
        <f>IFERROR(__xludf.DUMMYFUNCTION("""COMPUTED_VALUE"""),105.0)</f>
        <v>105</v>
      </c>
      <c r="S551" s="87" t="str">
        <f>IFERROR(__xludf.DUMMYFUNCTION("""COMPUTED_VALUE""")," ")</f>
        <v> </v>
      </c>
      <c r="T551" s="46" t="str">
        <f>IFERROR(__xludf.DUMMYFUNCTION("""COMPUTED_VALUE"""),"Neiva")</f>
        <v>Neiva</v>
      </c>
      <c r="U551" s="87" t="str">
        <f>IFERROR(__xludf.DUMMYFUNCTION("""COMPUTED_VALUE"""),"2")</f>
        <v>2</v>
      </c>
      <c r="V551" s="46" t="str">
        <f>IFERROR(__xludf.DUMMYFUNCTION("""COMPUTED_VALUE"""),"Medianera")</f>
        <v>Medianera</v>
      </c>
      <c r="W551" s="46"/>
      <c r="X551" s="46">
        <f>IFERROR(__xludf.DUMMYFUNCTION("""COMPUTED_VALUE"""),2.0)</f>
        <v>2</v>
      </c>
      <c r="Y551" s="46" t="str">
        <f>IFERROR(__xludf.DUMMYFUNCTION("""COMPUTED_VALUE"""),"No tiene")</f>
        <v>No tiene</v>
      </c>
      <c r="Z551" s="90" t="str">
        <f>IFERROR(__xludf.DUMMYFUNCTION("""COMPUTED_VALUE"""),"No aplica")</f>
        <v>No aplica</v>
      </c>
      <c r="AA551" s="33" t="str">
        <f>IFERROR(__xludf.DUMMYFUNCTION("""COMPUTED_VALUE"""),"No aplica")</f>
        <v>No aplica</v>
      </c>
      <c r="AB551" s="144" t="str">
        <f>IFERROR(__xludf.DUMMYFUNCTION("""COMPUTED_VALUE"""),"https://photos.app.goo.gl/zREVwSjnKfzV6V2R6")</f>
        <v>https://photos.app.goo.gl/zREVwSjnKfzV6V2R6</v>
      </c>
      <c r="AC551" s="46" t="str">
        <f>IFERROR(__xludf.DUMMYFUNCTION("""COMPUTED_VALUE"""),"Área105 M2, Primer piso: Cocina integral, Zona de lavandería, sala, Comedor, 2 alcobas con closet, 2 baños, Terraza techada. Estrato 2")</f>
        <v>Área105 M2, Primer piso: Cocina integral, Zona de lavandería, sala, Comedor, 2 alcobas con closet, 2 baños, Terraza techada. Estrato 2</v>
      </c>
      <c r="AD551" s="46"/>
      <c r="AE551" s="46"/>
      <c r="AF551" s="46" t="str">
        <f>IFERROR(__xludf.DUMMYFUNCTION("""COMPUTED_VALUE"""),"integral")</f>
        <v>integral</v>
      </c>
      <c r="AG551" s="46"/>
      <c r="AH551" s="46" t="str">
        <f>IFERROR(__xludf.DUMMYFUNCTION("""COMPUTED_VALUE"""),"Aliado")</f>
        <v>Aliado</v>
      </c>
      <c r="AI551" s="92" t="str">
        <f>IFERROR(__xludf.DUMMYFUNCTION("""COMPUTED_VALUE"""),"https://lh3.googleusercontent.com/pw/AP1GczMOpsIn-9oqrAvRsNnIMUYU0ED2RTCETZboHYmRR9ZD915A9IheCMkTyn4Ni4zhhcHUNz0bSJaroXs7Si8oixEyh_5WJ5KI4W9jG0TqWvTDRt8rCzia=w1200|https://lh3.googleusercontent.com/pw/AP1GczMF8lv05vFY92x2CjPuZnfjilPhj5RjMpyQtmeEm8tIjnHQpk"&amp;"86_GEjWNTv-w--xY1hkOCKMrgz_z5y2RtlJal_9U1JWD5UdpTjIp_tgCY9pA2vqSBk=w1200|https://lh3.googleusercontent.com/pw/AP1GczNJFes6svFiNQAnIM_-8a3o6P3Qo3rqRZ_MTkHSIv7a9sbSPrRpRXgyI09J1yQCPlFxn9p_4msUkaASmKcjzN24JrSA0M3Df0Hy4LOQiLBXfNEN0y89=w1200|https://lh3.google"&amp;"usercontent.com/pw/AP1GczMaooSZhI-YOQLgDEokWxs4yHNcOs0VIlIhHSyES_GOyUTuXz96LeoaCvJubmsR69E0gHP2--GK-ShEHk-q1bufdoQJ21COgFiBeC4hQoOw4DVxJUxd=w1200|https://lh3.googleusercontent.com/pw/AP1GczNuWTpoWl5_2-eWQmmxjZtbnEbF6daQ1Uh00_8bfmFVnZlNNsgq8XTc4VuYix5x_nJn"&amp;"s1XHGkULmbnuKZS72ZY9ZoaCJEsm_cwJp8weO43D2qywhJ6_=w1200|https://lh3.googleusercontent.com/pw/AP1GczPyz7pBADlSxhJT01OS5dMGSYdWug7nc_0Ssbbo3JdBfxtJ0G-ht9SGq-XaB88feL6Kn2Ez26HGFBlgJt1sHRf5cG5lblyZs5J2PcVk5-5PRCp2KeoR=w1200|https://lh3.googleusercontent.com/pw"&amp;"/AP1GczMJE72Y1gRpSNXngbc_EyCANiWbkR7hy2K4UE8I8ONKp7oVv1D0YaAQKIcgXHZn9bllF3K5Pm8HesbuJ2EZ4nnAjDcp1ffLAqeWhU6bZJ8wgQyUUyg2=w1200|https://lh3.googleusercontent.com/pw/AP1GczNhNt4x_OlsQ8STN2YnhEZMeB3BFHvo20D6U9aF0gigNTL6sx8YsjHmD-25_ntSn1OCSw9D5rK1MP-_Knph8i"&amp;"KLY57C0SuFTAyrmz5w6DoOqkYhLSPe=w1200|https://lh3.googleusercontent.com/pw/AP1GczMsKXr1Y7OpOCLwjXIIfvd_uFaHDMpKHO4YzS9XEPCIVYsUfQxVilpfbn9S_fie5tZu0W3iswyIQUqpeEQGxMqRvgDEt_m92C6lcWeyBZlkfZD26-K0=w1200|https://lh3.googleusercontent.com/pw/AP1GczNPlUgSiLKeV"&amp;"ts6N_L2VwSeGgrbcr4QQVmyVWdpBltQHNP2141vQgr67HetTfjTjg1R6yiPDiskXW4QtgSqJfAPuDf_wGnHQZr5ncxX3UlEwT6Mm6ez=w1200|https://lh3.googleusercontent.com/pw/AP1GczOVJ4wg118wXeIJrologlikuUMBE8LIbvq3HW4P2ALILgQVjWtE5tpjErd4_YVV-BQ64p_NiVHihSL-nhlcOtjuJT3y_bDZwLPREFHO"&amp;"--UmdT0y_3kV=w1200|https://lh3.googleusercontent.com/pw/AP1GczPtsFQwrnDtScIF3VOTZeu3sby0jFE2dH93smZYlmdJNsrNZK6t8KRyUJrGmhiVKRWen82_vQZUAkcg7naQ0TlovgROIYh6p6Pek6_reKK8Ts3zugSH=w1200|https://lh3.googleusercontent.com/pw/AP1GczPIlcTLhPDNdBCl5Z348n1gv_aTQL-"&amp;"Uh5wsVubM0A9AR34ztDLIRvwrM_b9Lh2NDCRcBikUkHULH7mU9SaALIapn7-2nbyyTfESHxB2p8-YyoW8_36r=w1200|https://lh3.googleusercontent.com/pw/AP1GczMqfhhM5HiHGpuyYLsYQKQyIJlXRdpcnT6sOEJivhuC95U6lx4VfHTiVHfs_ZNYggw36xxb9q3fd__UK9j0pZrqwt-Cyl9irsAgvm_iIqfDEcivWX9a=w1200"&amp;"|https://lh3.googleusercontent.com/pw/AP1GczPZ4p3BEhBP4XPe4V5-n7TJf-b5T3cX94ahnAn2JT0pD6koTZ_N28F-yiQrlPI0lSVxCBnz2hj3OsCxZG3YQdPJAPAk-j5m4aZeyDxZ52wWibvl8A9R=w1200|https://lh3.googleusercontent.com/pw/AP1GczMNPZ8eSemTZlSKHefTB2om43f50PXroe3Bk9poRHRtleTtd"&amp;"hVNYmb_dL63POHfZjDJJHwu3x0_xYAbPt7sKuTK4DGA2RmBaYYkJN9SC2CsPipV66Lk=w1200|https://lh3.googleusercontent.com/pw/AP1GczPRF-MHAhP1z7pvyhVQy4vjOKTnN1LuLPh9SR_DRdfJQSEdq9IitBsaZMrnkC1iXcSf5JobzOtw76LwQhIhyZdJqpSTs5oCbV0bMIwY0-yfWMS2MuB2=w1200|https://lh3.googl"&amp;"eusercontent.com/pw/AP1GczP7SNhm0o5a7Xph2fmKh76j1mIvntVxSBLwnBfaJ47nVl61p2r18HfhNS9Mn3ubeDwjAue_YwPk2navXaphTNK9KC5_-2yyQzsUPT6atWnPe1Lme3MK=w1200")</f>
        <v>https://lh3.googleusercontent.com/pw/AP1GczMOpsIn-9oqrAvRsNnIMUYU0ED2RTCETZboHYmRR9ZD915A9IheCMkTyn4Ni4zhhcHUNz0bSJaroXs7Si8oixEyh_5WJ5KI4W9jG0TqWvTDRt8rCzia=w1200|https://lh3.googleusercontent.com/pw/AP1GczMF8lv05vFY92x2CjPuZnfjilPhj5RjMpyQtmeEm8tIjnHQpk86_GEjWNTv-w--xY1hkOCKMrgz_z5y2RtlJal_9U1JWD5UdpTjIp_tgCY9pA2vqSBk=w1200|https://lh3.googleusercontent.com/pw/AP1GczNJFes6svFiNQAnIM_-8a3o6P3Qo3rqRZ_MTkHSIv7a9sbSPrRpRXgyI09J1yQCPlFxn9p_4msUkaASmKcjzN24JrSA0M3Df0Hy4LOQiLBXfNEN0y89=w1200|https://lh3.googleusercontent.com/pw/AP1GczMaooSZhI-YOQLgDEokWxs4yHNcOs0VIlIhHSyES_GOyUTuXz96LeoaCvJubmsR69E0gHP2--GK-ShEHk-q1bufdoQJ21COgFiBeC4hQoOw4DVxJUxd=w1200|https://lh3.googleusercontent.com/pw/AP1GczNuWTpoWl5_2-eWQmmxjZtbnEbF6daQ1Uh00_8bfmFVnZlNNsgq8XTc4VuYix5x_nJns1XHGkULmbnuKZS72ZY9ZoaCJEsm_cwJp8weO43D2qywhJ6_=w1200|https://lh3.googleusercontent.com/pw/AP1GczPyz7pBADlSxhJT01OS5dMGSYdWug7nc_0Ssbbo3JdBfxtJ0G-ht9SGq-XaB88feL6Kn2Ez26HGFBlgJt1sHRf5cG5lblyZs5J2PcVk5-5PRCp2KeoR=w1200|https://lh3.googleusercontent.com/pw/AP1GczMJE72Y1gRpSNXngbc_EyCANiWbkR7hy2K4UE8I8ONKp7oVv1D0YaAQKIcgXHZn9bllF3K5Pm8HesbuJ2EZ4nnAjDcp1ffLAqeWhU6bZJ8wgQyUUyg2=w1200|https://lh3.googleusercontent.com/pw/AP1GczNhNt4x_OlsQ8STN2YnhEZMeB3BFHvo20D6U9aF0gigNTL6sx8YsjHmD-25_ntSn1OCSw9D5rK1MP-_Knph8iKLY57C0SuFTAyrmz5w6DoOqkYhLSPe=w1200|https://lh3.googleusercontent.com/pw/AP1GczMsKXr1Y7OpOCLwjXIIfvd_uFaHDMpKHO4YzS9XEPCIVYsUfQxVilpfbn9S_fie5tZu0W3iswyIQUqpeEQGxMqRvgDEt_m92C6lcWeyBZlkfZD26-K0=w1200|https://lh3.googleusercontent.com/pw/AP1GczNPlUgSiLKeVts6N_L2VwSeGgrbcr4QQVmyVWdpBltQHNP2141vQgr67HetTfjTjg1R6yiPDiskXW4QtgSqJfAPuDf_wGnHQZr5ncxX3UlEwT6Mm6ez=w1200|https://lh3.googleusercontent.com/pw/AP1GczOVJ4wg118wXeIJrologlikuUMBE8LIbvq3HW4P2ALILgQVjWtE5tpjErd4_YVV-BQ64p_NiVHihSL-nhlcOtjuJT3y_bDZwLPREFHO--UmdT0y_3kV=w1200|https://lh3.googleusercontent.com/pw/AP1GczPtsFQwrnDtScIF3VOTZeu3sby0jFE2dH93smZYlmdJNsrNZK6t8KRyUJrGmhiVKRWen82_vQZUAkcg7naQ0TlovgROIYh6p6Pek6_reKK8Ts3zugSH=w1200|https://lh3.googleusercontent.com/pw/AP1GczPIlcTLhPDNdBCl5Z348n1gv_aTQL-Uh5wsVubM0A9AR34ztDLIRvwrM_b9Lh2NDCRcBikUkHULH7mU9SaALIapn7-2nbyyTfESHxB2p8-YyoW8_36r=w1200|https://lh3.googleusercontent.com/pw/AP1GczMqfhhM5HiHGpuyYLsYQKQyIJlXRdpcnT6sOEJivhuC95U6lx4VfHTiVHfs_ZNYggw36xxb9q3fd__UK9j0pZrqwt-Cyl9irsAgvm_iIqfDEcivWX9a=w1200|https://lh3.googleusercontent.com/pw/AP1GczPZ4p3BEhBP4XPe4V5-n7TJf-b5T3cX94ahnAn2JT0pD6koTZ_N28F-yiQrlPI0lSVxCBnz2hj3OsCxZG3YQdPJAPAk-j5m4aZeyDxZ52wWibvl8A9R=w1200|https://lh3.googleusercontent.com/pw/AP1GczMNPZ8eSemTZlSKHefTB2om43f50PXroe3Bk9poRHRtleTtdhVNYmb_dL63POHfZjDJJHwu3x0_xYAbPt7sKuTK4DGA2RmBaYYkJN9SC2CsPipV66Lk=w1200|https://lh3.googleusercontent.com/pw/AP1GczPRF-MHAhP1z7pvyhVQy4vjOKTnN1LuLPh9SR_DRdfJQSEdq9IitBsaZMrnkC1iXcSf5JobzOtw76LwQhIhyZdJqpSTs5oCbV0bMIwY0-yfWMS2MuB2=w1200|https://lh3.googleusercontent.com/pw/AP1GczP7SNhm0o5a7Xph2fmKh76j1mIvntVxSBLwnBfaJ47nVl61p2r18HfhNS9Mn3ubeDwjAue_YwPk2navXaphTNK9KC5_-2yyQzsUPT6atWnPe1Lme3MK=w1200</v>
      </c>
      <c r="AJ551" s="46"/>
      <c r="AK551" s="46"/>
      <c r="AL551" s="46"/>
      <c r="AM551" s="46"/>
      <c r="AN551" s="46"/>
      <c r="AO551" s="46"/>
      <c r="AP551" s="46"/>
      <c r="AQ551" s="46"/>
      <c r="AR551" s="46"/>
      <c r="AS551" s="46"/>
      <c r="AT551" s="46"/>
      <c r="AU551" s="46"/>
      <c r="AV551" s="46"/>
      <c r="AW551" s="46"/>
      <c r="AX551" s="46"/>
      <c r="AY551" s="46"/>
      <c r="AZ551" s="46"/>
      <c r="BA551" s="46"/>
      <c r="BB551" s="46"/>
      <c r="BC551" s="46"/>
      <c r="BD551" s="46"/>
      <c r="BE551" s="46"/>
      <c r="BF551" s="46"/>
      <c r="BG551" s="46"/>
      <c r="BH551" s="46"/>
      <c r="BI551" s="46"/>
      <c r="BJ551" s="46"/>
      <c r="BK551" s="46"/>
      <c r="BL551" s="46"/>
      <c r="BM551" s="46"/>
      <c r="BN551" s="46"/>
      <c r="BO551" s="46"/>
      <c r="BP551" s="46"/>
      <c r="BQ551" s="46"/>
      <c r="BR551" s="46"/>
      <c r="BS551" s="46"/>
      <c r="BT551" s="46"/>
      <c r="BU551" s="46"/>
      <c r="BV551" s="46"/>
      <c r="BW551" s="46"/>
      <c r="BX551" s="46"/>
      <c r="BY551" s="46"/>
      <c r="BZ551" s="46"/>
      <c r="CA551" s="46"/>
      <c r="CB551" s="46"/>
      <c r="CC551" s="46"/>
    </row>
    <row r="552">
      <c r="A552" s="87" t="str">
        <f>IFERROR(__xludf.DUMMYFUNCTION("""COMPUTED_VALUE"""),"030")</f>
        <v>030</v>
      </c>
      <c r="B552" s="46" t="str">
        <f>IFERROR(__xludf.DUMMYFUNCTION("""COMPUTED_VALUE"""),"Casa prefabricada en conjunto Colinas de Compostela")</f>
        <v>Casa prefabricada en conjunto Colinas de Compostela</v>
      </c>
      <c r="C552" s="46" t="str">
        <f>IFERROR(__xludf.DUMMYFUNCTION("""COMPUTED_VALUE"""),"Casa campestre en conjunto")</f>
        <v>Casa campestre en conjunto</v>
      </c>
      <c r="D552" s="90"/>
      <c r="E552" s="46" t="str">
        <f>IFERROR(__xludf.DUMMYFUNCTION("""COMPUTED_VALUE"""),"Colinas de Compostela")</f>
        <v>Colinas de Compostela</v>
      </c>
      <c r="F552" s="90">
        <f>IFERROR(__xludf.DUMMYFUNCTION("""COMPUTED_VALUE"""),2.15E8)</f>
        <v>215000000</v>
      </c>
      <c r="G552" s="46" t="str">
        <f>IFERROR(__xludf.DUMMYFUNCTION("""COMPUTED_VALUE"""),"$200'000.000 a $300'000.000")</f>
        <v>$200'000.000 a $300'000.000</v>
      </c>
      <c r="H552" s="46"/>
      <c r="I552" s="46"/>
      <c r="J552" s="46"/>
      <c r="K552" s="87"/>
      <c r="L552" s="46">
        <f>IFERROR(__xludf.DUMMYFUNCTION("""COMPUTED_VALUE"""),3.0)</f>
        <v>3</v>
      </c>
      <c r="M552" s="46"/>
      <c r="N552" s="46">
        <f>IFERROR(__xludf.DUMMYFUNCTION("""COMPUTED_VALUE"""),2.0)</f>
        <v>2</v>
      </c>
      <c r="O552" s="46">
        <f>IFERROR(__xludf.DUMMYFUNCTION("""COMPUTED_VALUE"""),3.0)</f>
        <v>3</v>
      </c>
      <c r="P552" s="46">
        <f>IFERROR(__xludf.DUMMYFUNCTION("""COMPUTED_VALUE"""),1.0)</f>
        <v>1</v>
      </c>
      <c r="Q552" s="92">
        <f>IFERROR(__xludf.DUMMYFUNCTION("""COMPUTED_VALUE"""),162.0)</f>
        <v>162</v>
      </c>
      <c r="R552" s="92">
        <f>IFERROR(__xludf.DUMMYFUNCTION("""COMPUTED_VALUE"""),1000.0)</f>
        <v>1000</v>
      </c>
      <c r="S552" s="87" t="str">
        <f>IFERROR(__xludf.DUMMYFUNCTION("""COMPUTED_VALUE""")," ")</f>
        <v> </v>
      </c>
      <c r="T552" s="46" t="str">
        <f>IFERROR(__xludf.DUMMYFUNCTION("""COMPUTED_VALUE"""),"Ulloa")</f>
        <v>Ulloa</v>
      </c>
      <c r="U552" s="87" t="str">
        <f>IFERROR(__xludf.DUMMYFUNCTION("""COMPUTED_VALUE"""),"Rural")</f>
        <v>Rural</v>
      </c>
      <c r="V552" s="46"/>
      <c r="W552" s="46"/>
      <c r="X552" s="46">
        <f>IFERROR(__xludf.DUMMYFUNCTION("""COMPUTED_VALUE"""),0.0)</f>
        <v>0</v>
      </c>
      <c r="Y552" s="46" t="str">
        <f>IFERROR(__xludf.DUMMYFUNCTION("""COMPUTED_VALUE"""),"Social")</f>
        <v>Social</v>
      </c>
      <c r="Z552" s="90"/>
      <c r="AA552" s="33" t="str">
        <f>IFERROR(__xludf.DUMMYFUNCTION("""COMPUTED_VALUE"""),"No aplica")</f>
        <v>No aplica</v>
      </c>
      <c r="AB552" s="144" t="str">
        <f>IFERROR(__xludf.DUMMYFUNCTION("""COMPUTED_VALUE"""),"https://photos.app.goo.gl/ZQyhgLu5vLbovvgw5")</f>
        <v>https://photos.app.goo.gl/ZQyhgLu5vLbovvgw5</v>
      </c>
      <c r="AC552" s="46" t="str">
        <f>IFERROR(__xludf.DUMMYFUNCTION("""COMPUTED_VALUE"""),"AREA 1,000 M2, Construida 162 M2, Conjunto cerrado de 70 lotes, lote ubicado en el conjunto vía la Ulloa, sitio tranquilo enseguida del conjunto Yacuman a solo 2.5 kms de la vía principal a entrada de la Ulloa- Caguan vía secundaria pavimentada, vías de a"&amp;"cceso internas en adoquin y pavimento, redes electricas e iluminación en área perimetral en las vías internas, cuenta con acueducto y planta de tratamiento propia, área social, piscina, cancha de voleyplaya ya construida y en funcionamiento, portería y ad"&amp;"ministración. Casa construida total con corredores de 179 M2, construida casa 79 m2, corredores, sala-comedor con aire acondicionado, cocina enchapada con gabinetes superiores, tres alcobas sin closet, alcoba principal con baño, baño social, patio de ropa"&amp;"s, zona de lavandería, instalación para lavadora, pisos en cerámica. Cielo raso en drywall, y techo en teja española. Tanque de almacenamiento de agua de 500 litros, pozo séptico, árboles frutales. Estrato rural.")</f>
        <v>AREA 1,000 M2, Construida 162 M2, Conjunto cerrado de 70 lotes, lote ubicado en el conjunto vía la Ulloa, sitio tranquilo enseguida del conjunto Yacuman a solo 2.5 kms de la vía principal a entrada de la Ulloa- Caguan vía secundaria pavimentada, vías de acceso internas en adoquin y pavimento, redes electricas e iluminación en área perimetral en las vías internas, cuenta con acueducto y planta de tratamiento propia, área social, piscina, cancha de voleyplaya ya construida y en funcionamiento, portería y administración. Casa construida total con corredores de 179 M2, construida casa 79 m2, corredores, sala-comedor con aire acondicionado, cocina enchapada con gabinetes superiores, tres alcobas sin closet, alcoba principal con baño, baño social, patio de ropas, zona de lavandería, instalación para lavadora, pisos en cerámica. Cielo raso en drywall, y techo en teja española. Tanque de almacenamiento de agua de 500 litros, pozo séptico, árboles frutales. Estrato rural.</v>
      </c>
      <c r="AD552" s="46" t="str">
        <f>IFERROR(__xludf.DUMMYFUNCTION("""COMPUTED_VALUE"""),"Casa prefabricada.")</f>
        <v>Casa prefabricada.</v>
      </c>
      <c r="AE552" s="46"/>
      <c r="AF552" s="46" t="str">
        <f>IFERROR(__xludf.DUMMYFUNCTION("""COMPUTED_VALUE"""),"básica")</f>
        <v>básica</v>
      </c>
      <c r="AG552" s="46"/>
      <c r="AH552" s="46" t="str">
        <f>IFERROR(__xludf.DUMMYFUNCTION("""COMPUTED_VALUE"""),"Aliado")</f>
        <v>Aliado</v>
      </c>
      <c r="AI552" s="92" t="str">
        <f>IFERROR(__xludf.DUMMYFUNCTION("""COMPUTED_VALUE"""),"https://lh3.googleusercontent.com/pw/AP1GczP-tisih1HCbFgMSMJF1trfztIhwm0sTmoQll5t8jP-REkXtnGcALKWjlIk95zZXGsiuwhiWoyn-ZT5gyY0UwbuH8hNnzD0uNELhTdxCy5CeKJr3TEB=w1200|https://lh3.googleusercontent.com/pw/AP1GczO_saf3jP2gulzpj39QvnAVsdBmpzDP4VOgGLlgrcM3wUwttE"&amp;"uUL9gRxRHR9YhEX5GnfD1LkgYr9Cf_UP4zkSHpj1POSEXTF4vM20WBGtq-aex1z24U=w1200|https://lh3.googleusercontent.com/pw/AP1GczO4LRTLIzEwafV8MKiyki1VAJDxTMzt6F75T-aJYVwaIQCs2UDInu_2UZs0uUxBlDUEEEB__uQmt-fYMS3fW-YsocNkFGXb5CGjAYJUmC7r_P5mhssG=w1200|https://lh3.google"&amp;"usercontent.com/pw/AP1GczNcnxfz8Zv0oF26IKZB9QbTmhYNOEeEtrI8WH3wZ5JYTikCBO8-gG2SvvwEwaboCkpxIPotI0Pf9ffMr9x2EHLZy6-6tis7xTWWz_P79DMK3K4URct8=w1200|https://lh3.googleusercontent.com/pw/AP1GczMpa7Iws-tvmmGAQ4ID82Tgmc2lroCKPbDKGYm9iKiZggnYFAN9uOYcR-wDEb-BQ5au"&amp;"BcZbjG7V6cWBdbdrEopI1V6xYPqZX5J1bkMBe6rkvzpxRdCU=w1200|https://lh3.googleusercontent.com/pw/AP1GczO6t8qW6ArEmP5qaOGB5abfeMLVax1eD8KOJn8cbLM-9ribhzqK6Bzs7YPr7s4E0qY-kgsWmphtRBaoxzt2vHjPRrpTMf7IzuMLtCUvRbfCFTZeY4BF=w1200|https://lh3.googleusercontent.com/pw"&amp;"/AP1GczMuo5R4fHRGUjqW7E1oW8E8NqKvUQfTGm2yLcFAKd-kpuf-pbJ2gG3xok5PW9a3VNE3ozxo1_qZRf7ldFkutBauiC_CWWvx-7ICiI5h8RSTnnm5hxxi=w1200|https://lh3.googleusercontent.com/pw/AP1GczPnCfNpj0OrlDI9hS_AdtKlUpATUxjDVdt41GmEoC8CsSNfucBgmyVzqsVTktU69fG9NihevXX2gN0-4Sz-fi"&amp;"wOn2-QbnZjmui7XhRXAZdFls7sgVSy=w1200|https://lh3.googleusercontent.com/pw/AP1GczMrobjnqeXJz69zo2_7rAD_C_UOlPUgdlP9mzf8hRSFqWRh19Aiil3mAQUx8DOs2C1Nk4nUV6e-J8xgVLShH3-900cxJPJQIksd2nCd5QNDAP4LyHPK=w1200|https://lh3.googleusercontent.com/pw/AP1GczMbVj6CHtCJW"&amp;"tJ7kfe7fKpXOm6RDSJGU2BRLX9dN-wXS_GNsrxNaLJ_0Fft-ijoTesW0yXIlLGVKxA672cTMFUWmjSB5UNDyCgeV7FyXf-QKOIAvWUI=w1200|https://lh3.googleusercontent.com/pw/AP1GczP4EMoxWmy8BnDS65eh_8Et8MXTxd586IEt2k2tubnzLgJfHcDnIMDrt7LWnTuETBCN57sz1Xty8afPGpxULw1y0FeFFw07HQ-Bas8p"&amp;"FzDQ4Gkqks9E=w1200|https://lh3.googleusercontent.com/pw/AP1GczMfhHHodXNIFYfeNDONVNqZ11pRD-o29fRUq5Q4WOC-DbpJiQQcY3MrnmvEC1sYp39jblZIQgCFDcJjZqD5Jp9QJvno05bG5npvCuLYjXYBKPyLS-qs=w1200|https://lh3.googleusercontent.com/pw/AP1GczO4hImneSaK7w_bOWyzCCnqaxJ5-je"&amp;"kXobHnZ_eH2mO1uBG_ScIOLOE6qw-2Pd_2b5ha_kA796NvDhcxI6BcPviCFqoaY7SyDVZ_nv93MdmKEUiHCP3=w1200|https://lh3.googleusercontent.com/pw/AP1GczMXpAViSFpDjNXW1FewFxn_yssycBgKWcbK-wQ5CmLWL_7HnPY-CriGpk4-rRpfYY3d68OfNW8zIP63oJ-ToEqQuI0iFcTphjavPzaPc45xs535O_BG=w1200"&amp;"|https://lh3.googleusercontent.com/pw/AP1GczPla4CitPGYQKX0F7xBNehygQON0onMNAgXBJrYK1LNwB6us4ZVgBAq_cUlw0TVuZT_6zwylOWTYZJSIsP75-ZgSfEhu3XAvEeDWsIWs6RHom-xkbVG=w1200|https://lh3.googleusercontent.com/pw/AP1GczNM30nMJWmGzVGoeWgJfFfz8-ZGIUKPF0c-JDbGsrE2YcpsD"&amp;"TrOjZyNsI8MrLZf2O5bFPsepx098H0LdQiZXeFvmFQ9IrUZ-EViapAILF0XhEBXt365=w1200|https://lh3.googleusercontent.com/pw/AP1GczMEhmZ0p4qxkB1yDtlUuYuFkWuVHD6zYwVNZB1gqAcy0zj_VMG8ScUgaZtgVJa2Juy5ZwiHNi2EfnfoZb-ISThfdYJ463TN3mwX-6B0IIdwGyLyAsT2=w1200|https://lh3.googl"&amp;"eusercontent.com/pw/AP1GczP2xM6vCL952eI5oYpkxGLH5Ln9XyXeY8fMdAgDMdTY6ac57dX-RqeyxjcTmxKeFvbkhA3EKuFnGdC62kOboXW0solQxu9kmmwd1dZ14rVbiQFqDFiR=w1200|https://lh3.googleusercontent.com/pw/AP1GczOBGXlSapLYg6wN37CnrajmMUjEkjQ4d7Gs5csbd3v7kcha_sjtZVEthvh37_3M0sX"&amp;"uL4-pAODuYiQf1v27waf3pTWwE2ObVOriCAScpjq_xZY-C-Jp=w1200|https://lh3.googleusercontent.com/pw/AP1GczNVrBGlDdyrYbx0Al2rNrO5GhdDV1FBo4YaIC8UR1JAndaLV4boMiCVJYle12NdOxFHzzl9yMatjpYcty3aLZis5_lj-KWDCg1OrdnD1NvVx6DO2VQi=w1200|https://lh3.googleusercontent.com/p"&amp;"w/AP1GczPhvZ2aLT8SL2RsAsr1sr4jNmWAI4W9JdcP48HD-SVPwKnKeqcREGkZrOXKHRKuL06SFBfw0M-L3HLP8GOYBe43K4_ImCws936uZZlQ1eVFK5PDwZtk=w1200|https://lh3.googleusercontent.com/pw/AP1GczP1f1-1bPdGJXMbSHjzHdaTJUhVIHVqrDvfoBDFHKlP9M1uNoRDxAn7FV1iDW0lP-Ap1oIWmmUEIjp5YFEN0"&amp;"JAvAnld-8K5vhAaJV7C1hexlmSmTw4c=w1200|https://lh3.googleusercontent.com/pw/AP1GczOGG4s33tdXuNc_wlRK2DqaCFRUkyDijVT6e-1DQ5lNeL82uGCX7Tuw7DHv8J-HZI5vZOMaLSezuzxFcPdF9n3UZGlzR1D5Vxudi0CSmURAtCFC2pGG=w1200|https://lh3.googleusercontent.com/pw/AP1GczMuf7pt3hc8"&amp;"-Uotdc9tkZaFECiy4928q7pZhZKOYzZ-t-XADtAgAras-T8iYZ_X9OcazDp_YM67qA31dmLVtMl56AY9_YTSyp1WGDBw8rh7ZmCWiVkl=w1200|https://lh3.googleusercontent.com/pw/AP1GczOeSAdPjVsk8u9VYGYC_1uVOVCjWh28Q_dE9HNMNdrkszla7XCy-5wck3ieiPKbMGrC8xQfvNxBD2ugRMWnj0K_Q_owArYO5pZacJt"&amp;"YpPp7xGRy98Wx=w1200|https://lh3.googleusercontent.com/pw/AP1GczOTMiHazhQpKZzOvMTMUBlPx-fTxQ00mAcLkRZK73mdr6jNkmk4RBigFUbrXhDUdT1noD6MnxGlqNrPbb1Vjra50y_85VV7KLCSw67uKBESIgPmHSUI=w1200|https://lh3.googleusercontent.com/pw/AP1GczMNeS_KnmVTTqtdEKCXxsAQQU6B8_"&amp;"n9hr4gmZwsEynOuPZmW-WN684hNJO-VrQgB2GMM2V4kplcl0LhulfklYB4RQZNfp1fV4NasSDMH1qEYZIIph34=w1200|https://lh3.googleusercontent.com/pw/AP1GczOmHUZmGDZfzyj-lKxXNd7_i73e6ePTxha6fA4BhdTjS3qpF0IaLaUc1YgOd-VOru1uu7sDlcTkpwcgDMrlTKG3uezocR5G1NkxZ5PkhsI6AsZE3YW2=w120"&amp;"0|https://lh3.googleusercontent.com/pw/AP1GczMkZOZk7VzHsj3ldhWQQSI8yEB0etQVyzxx1Fj8MsA3LGZlcps1_5-g9e1C5-eEfIwLX1q1RVZQo-0i9ljjqXZsQFCHZtMzsPna1j60e9CljVmlIMHa=w1200|https://lh3.googleusercontent.com/pw/AP1GczMS-qbovAg4jvdFLKL9H8EpRABqjtgY5Ar8MFMitdbLrfII"&amp;"_YcXfqtxHBO8r9YW-J-8DvrArfjx99SsO-qdnmP52zvGrvSPhCTjBYrafpoRF-vqMqT8=w1200|https://lh3.googleusercontent.com/pw/AP1GczMyqKIrq4lyBHq_KtIR3twHOvUFdHM7khqTZnDI6URlAOwotirqk3jMYg0R2gjYEXpp6uGJop7SdLVXBpI1KBXOdLEOJu9Crw4R1gLk9gKbSDrbMSqh=w1200|https://lh3.goog"&amp;"leusercontent.com/pw/AP1GczN2hVAz4O6HqfWgLUh-qItlkVBTRYnKvfxpZnfZkEowODltjnTfW6jFIPz_ItGygeEiBBMtyVHYInE4g5BvFI4hTyR3dgMI7HrfkHNTdtAf9xB51wkQ=w1200")</f>
        <v>https://lh3.googleusercontent.com/pw/AP1GczP-tisih1HCbFgMSMJF1trfztIhwm0sTmoQll5t8jP-REkXtnGcALKWjlIk95zZXGsiuwhiWoyn-ZT5gyY0UwbuH8hNnzD0uNELhTdxCy5CeKJr3TEB=w1200|https://lh3.googleusercontent.com/pw/AP1GczO_saf3jP2gulzpj39QvnAVsdBmpzDP4VOgGLlgrcM3wUwttEuUL9gRxRHR9YhEX5GnfD1LkgYr9Cf_UP4zkSHpj1POSEXTF4vM20WBGtq-aex1z24U=w1200|https://lh3.googleusercontent.com/pw/AP1GczO4LRTLIzEwafV8MKiyki1VAJDxTMzt6F75T-aJYVwaIQCs2UDInu_2UZs0uUxBlDUEEEB__uQmt-fYMS3fW-YsocNkFGXb5CGjAYJUmC7r_P5mhssG=w1200|https://lh3.googleusercontent.com/pw/AP1GczNcnxfz8Zv0oF26IKZB9QbTmhYNOEeEtrI8WH3wZ5JYTikCBO8-gG2SvvwEwaboCkpxIPotI0Pf9ffMr9x2EHLZy6-6tis7xTWWz_P79DMK3K4URct8=w1200|https://lh3.googleusercontent.com/pw/AP1GczMpa7Iws-tvmmGAQ4ID82Tgmc2lroCKPbDKGYm9iKiZggnYFAN9uOYcR-wDEb-BQ5auBcZbjG7V6cWBdbdrEopI1V6xYPqZX5J1bkMBe6rkvzpxRdCU=w1200|https://lh3.googleusercontent.com/pw/AP1GczO6t8qW6ArEmP5qaOGB5abfeMLVax1eD8KOJn8cbLM-9ribhzqK6Bzs7YPr7s4E0qY-kgsWmphtRBaoxzt2vHjPRrpTMf7IzuMLtCUvRbfCFTZeY4BF=w1200|https://lh3.googleusercontent.com/pw/AP1GczMuo5R4fHRGUjqW7E1oW8E8NqKvUQfTGm2yLcFAKd-kpuf-pbJ2gG3xok5PW9a3VNE3ozxo1_qZRf7ldFkutBauiC_CWWvx-7ICiI5h8RSTnnm5hxxi=w1200|https://lh3.googleusercontent.com/pw/AP1GczPnCfNpj0OrlDI9hS_AdtKlUpATUxjDVdt41GmEoC8CsSNfucBgmyVzqsVTktU69fG9NihevXX2gN0-4Sz-fiwOn2-QbnZjmui7XhRXAZdFls7sgVSy=w1200|https://lh3.googleusercontent.com/pw/AP1GczMrobjnqeXJz69zo2_7rAD_C_UOlPUgdlP9mzf8hRSFqWRh19Aiil3mAQUx8DOs2C1Nk4nUV6e-J8xgVLShH3-900cxJPJQIksd2nCd5QNDAP4LyHPK=w1200|https://lh3.googleusercontent.com/pw/AP1GczMbVj6CHtCJWtJ7kfe7fKpXOm6RDSJGU2BRLX9dN-wXS_GNsrxNaLJ_0Fft-ijoTesW0yXIlLGVKxA672cTMFUWmjSB5UNDyCgeV7FyXf-QKOIAvWUI=w1200|https://lh3.googleusercontent.com/pw/AP1GczP4EMoxWmy8BnDS65eh_8Et8MXTxd586IEt2k2tubnzLgJfHcDnIMDrt7LWnTuETBCN57sz1Xty8afPGpxULw1y0FeFFw07HQ-Bas8pFzDQ4Gkqks9E=w1200|https://lh3.googleusercontent.com/pw/AP1GczMfhHHodXNIFYfeNDONVNqZ11pRD-o29fRUq5Q4WOC-DbpJiQQcY3MrnmvEC1sYp39jblZIQgCFDcJjZqD5Jp9QJvno05bG5npvCuLYjXYBKPyLS-qs=w1200|https://lh3.googleusercontent.com/pw/AP1GczO4hImneSaK7w_bOWyzCCnqaxJ5-jekXobHnZ_eH2mO1uBG_ScIOLOE6qw-2Pd_2b5ha_kA796NvDhcxI6BcPviCFqoaY7SyDVZ_nv93MdmKEUiHCP3=w1200|https://lh3.googleusercontent.com/pw/AP1GczMXpAViSFpDjNXW1FewFxn_yssycBgKWcbK-wQ5CmLWL_7HnPY-CriGpk4-rRpfYY3d68OfNW8zIP63oJ-ToEqQuI0iFcTphjavPzaPc45xs535O_BG=w1200|https://lh3.googleusercontent.com/pw/AP1GczPla4CitPGYQKX0F7xBNehygQON0onMNAgXBJrYK1LNwB6us4ZVgBAq_cUlw0TVuZT_6zwylOWTYZJSIsP75-ZgSfEhu3XAvEeDWsIWs6RHom-xkbVG=w1200|https://lh3.googleusercontent.com/pw/AP1GczNM30nMJWmGzVGoeWgJfFfz8-ZGIUKPF0c-JDbGsrE2YcpsDTrOjZyNsI8MrLZf2O5bFPsepx098H0LdQiZXeFvmFQ9IrUZ-EViapAILF0XhEBXt365=w1200|https://lh3.googleusercontent.com/pw/AP1GczMEhmZ0p4qxkB1yDtlUuYuFkWuVHD6zYwVNZB1gqAcy0zj_VMG8ScUgaZtgVJa2Juy5ZwiHNi2EfnfoZb-ISThfdYJ463TN3mwX-6B0IIdwGyLyAsT2=w1200|https://lh3.googleusercontent.com/pw/AP1GczP2xM6vCL952eI5oYpkxGLH5Ln9XyXeY8fMdAgDMdTY6ac57dX-RqeyxjcTmxKeFvbkhA3EKuFnGdC62kOboXW0solQxu9kmmwd1dZ14rVbiQFqDFiR=w1200|https://lh3.googleusercontent.com/pw/AP1GczOBGXlSapLYg6wN37CnrajmMUjEkjQ4d7Gs5csbd3v7kcha_sjtZVEthvh37_3M0sXuL4-pAODuYiQf1v27waf3pTWwE2ObVOriCAScpjq_xZY-C-Jp=w1200|https://lh3.googleusercontent.com/pw/AP1GczNVrBGlDdyrYbx0Al2rNrO5GhdDV1FBo4YaIC8UR1JAndaLV4boMiCVJYle12NdOxFHzzl9yMatjpYcty3aLZis5_lj-KWDCg1OrdnD1NvVx6DO2VQi=w1200|https://lh3.googleusercontent.com/pw/AP1GczPhvZ2aLT8SL2RsAsr1sr4jNmWAI4W9JdcP48HD-SVPwKnKeqcREGkZrOXKHRKuL06SFBfw0M-L3HLP8GOYBe43K4_ImCws936uZZlQ1eVFK5PDwZtk=w1200|https://lh3.googleusercontent.com/pw/AP1GczP1f1-1bPdGJXMbSHjzHdaTJUhVIHVqrDvfoBDFHKlP9M1uNoRDxAn7FV1iDW0lP-Ap1oIWmmUEIjp5YFEN0JAvAnld-8K5vhAaJV7C1hexlmSmTw4c=w1200|https://lh3.googleusercontent.com/pw/AP1GczOGG4s33tdXuNc_wlRK2DqaCFRUkyDijVT6e-1DQ5lNeL82uGCX7Tuw7DHv8J-HZI5vZOMaLSezuzxFcPdF9n3UZGlzR1D5Vxudi0CSmURAtCFC2pGG=w1200|https://lh3.googleusercontent.com/pw/AP1GczMuf7pt3hc8-Uotdc9tkZaFECiy4928q7pZhZKOYzZ-t-XADtAgAras-T8iYZ_X9OcazDp_YM67qA31dmLVtMl56AY9_YTSyp1WGDBw8rh7ZmCWiVkl=w1200|https://lh3.googleusercontent.com/pw/AP1GczOeSAdPjVsk8u9VYGYC_1uVOVCjWh28Q_dE9HNMNdrkszla7XCy-5wck3ieiPKbMGrC8xQfvNxBD2ugRMWnj0K_Q_owArYO5pZacJtYpPp7xGRy98Wx=w1200|https://lh3.googleusercontent.com/pw/AP1GczOTMiHazhQpKZzOvMTMUBlPx-fTxQ00mAcLkRZK73mdr6jNkmk4RBigFUbrXhDUdT1noD6MnxGlqNrPbb1Vjra50y_85VV7KLCSw67uKBESIgPmHSUI=w1200|https://lh3.googleusercontent.com/pw/AP1GczMNeS_KnmVTTqtdEKCXxsAQQU6B8_n9hr4gmZwsEynOuPZmW-WN684hNJO-VrQgB2GMM2V4kplcl0LhulfklYB4RQZNfp1fV4NasSDMH1qEYZIIph34=w1200|https://lh3.googleusercontent.com/pw/AP1GczOmHUZmGDZfzyj-lKxXNd7_i73e6ePTxha6fA4BhdTjS3qpF0IaLaUc1YgOd-VOru1uu7sDlcTkpwcgDMrlTKG3uezocR5G1NkxZ5PkhsI6AsZE3YW2=w1200|https://lh3.googleusercontent.com/pw/AP1GczMkZOZk7VzHsj3ldhWQQSI8yEB0etQVyzxx1Fj8MsA3LGZlcps1_5-g9e1C5-eEfIwLX1q1RVZQo-0i9ljjqXZsQFCHZtMzsPna1j60e9CljVmlIMHa=w1200|https://lh3.googleusercontent.com/pw/AP1GczMS-qbovAg4jvdFLKL9H8EpRABqjtgY5Ar8MFMitdbLrfII_YcXfqtxHBO8r9YW-J-8DvrArfjx99SsO-qdnmP52zvGrvSPhCTjBYrafpoRF-vqMqT8=w1200|https://lh3.googleusercontent.com/pw/AP1GczMyqKIrq4lyBHq_KtIR3twHOvUFdHM7khqTZnDI6URlAOwotirqk3jMYg0R2gjYEXpp6uGJop7SdLVXBpI1KBXOdLEOJu9Crw4R1gLk9gKbSDrbMSqh=w1200|https://lh3.googleusercontent.com/pw/AP1GczN2hVAz4O6HqfWgLUh-qItlkVBTRYnKvfxpZnfZkEowODltjnTfW6jFIPz_ItGygeEiBBMtyVHYInE4g5BvFI4hTyR3dgMI7HrfkHNTdtAf9xB51wkQ=w1200</v>
      </c>
      <c r="AJ552" s="46"/>
      <c r="AK552" s="46"/>
      <c r="AL552" s="46"/>
      <c r="AM552" s="46"/>
      <c r="AN552" s="46"/>
      <c r="AO552" s="46"/>
      <c r="AP552" s="46"/>
      <c r="AQ552" s="46"/>
      <c r="AR552" s="46"/>
      <c r="AS552" s="46"/>
      <c r="AT552" s="46"/>
      <c r="AU552" s="46"/>
      <c r="AV552" s="46"/>
      <c r="AW552" s="46"/>
      <c r="AX552" s="46"/>
      <c r="AY552" s="46"/>
      <c r="AZ552" s="46"/>
      <c r="BA552" s="46"/>
      <c r="BB552" s="46"/>
      <c r="BC552" s="46"/>
      <c r="BD552" s="46"/>
      <c r="BE552" s="46"/>
      <c r="BF552" s="46"/>
      <c r="BG552" s="46"/>
      <c r="BH552" s="46"/>
      <c r="BI552" s="46"/>
      <c r="BJ552" s="46"/>
      <c r="BK552" s="46"/>
      <c r="BL552" s="46"/>
      <c r="BM552" s="46"/>
      <c r="BN552" s="46"/>
      <c r="BO552" s="46"/>
      <c r="BP552" s="46"/>
      <c r="BQ552" s="46"/>
      <c r="BR552" s="46"/>
      <c r="BS552" s="46"/>
      <c r="BT552" s="46"/>
      <c r="BU552" s="46"/>
      <c r="BV552" s="46"/>
      <c r="BW552" s="46"/>
      <c r="BX552" s="46"/>
      <c r="BY552" s="46"/>
      <c r="BZ552" s="46"/>
      <c r="CA552" s="46"/>
      <c r="CB552" s="46"/>
      <c r="CC552" s="46"/>
    </row>
    <row r="553">
      <c r="A553" s="87" t="str">
        <f>IFERROR(__xludf.DUMMYFUNCTION("""COMPUTED_VALUE"""),"674")</f>
        <v>674</v>
      </c>
      <c r="B553" s="46" t="str">
        <f>IFERROR(__xludf.DUMMYFUNCTION("""COMPUTED_VALUE"""),"Oficina en C.C. Metropolitano")</f>
        <v>Oficina en C.C. Metropolitano</v>
      </c>
      <c r="C553" s="46" t="str">
        <f>IFERROR(__xludf.DUMMYFUNCTION("""COMPUTED_VALUE"""),"Oficina")</f>
        <v>Oficina</v>
      </c>
      <c r="D553" s="46" t="str">
        <f>IFERROR(__xludf.DUMMYFUNCTION("""COMPUTED_VALUE"""),"Centro")</f>
        <v>Centro</v>
      </c>
      <c r="E553" s="46"/>
      <c r="F553" s="90">
        <f>IFERROR(__xludf.DUMMYFUNCTION("""COMPUTED_VALUE"""),1.4E8)</f>
        <v>140000000</v>
      </c>
      <c r="G553" s="46" t="str">
        <f>IFERROR(__xludf.DUMMYFUNCTION("""COMPUTED_VALUE"""),"$100'000.000 a $200'000.000")</f>
        <v>$100'000.000 a $200'000.000</v>
      </c>
      <c r="H553" s="46"/>
      <c r="I553" s="46"/>
      <c r="J553" s="46" t="str">
        <f>IFERROR(__xludf.DUMMYFUNCTION("""COMPUTED_VALUE"""),"Centro")</f>
        <v>Centro</v>
      </c>
      <c r="K553" s="87" t="str">
        <f>IFERROR(__xludf.DUMMYFUNCTION("""COMPUTED_VALUE"""),"4")</f>
        <v>4</v>
      </c>
      <c r="L553" s="46">
        <f>IFERROR(__xludf.DUMMYFUNCTION("""COMPUTED_VALUE"""),1.0)</f>
        <v>1</v>
      </c>
      <c r="M553" s="46"/>
      <c r="N553" s="46">
        <f>IFERROR(__xludf.DUMMYFUNCTION("""COMPUTED_VALUE"""),1.0)</f>
        <v>1</v>
      </c>
      <c r="O553" s="46">
        <f>IFERROR(__xludf.DUMMYFUNCTION("""COMPUTED_VALUE"""),0.0)</f>
        <v>0</v>
      </c>
      <c r="P553" s="46">
        <f>IFERROR(__xludf.DUMMYFUNCTION("""COMPUTED_VALUE"""),7.0)</f>
        <v>7</v>
      </c>
      <c r="Q553" s="92">
        <f>IFERROR(__xludf.DUMMYFUNCTION("""COMPUTED_VALUE"""),37.0)</f>
        <v>37</v>
      </c>
      <c r="R553" s="92">
        <f>IFERROR(__xludf.DUMMYFUNCTION("""COMPUTED_VALUE"""),37.0)</f>
        <v>37</v>
      </c>
      <c r="S553" s="87" t="str">
        <f>IFERROR(__xludf.DUMMYFUNCTION("""COMPUTED_VALUE""")," ")</f>
        <v> </v>
      </c>
      <c r="T553" s="46" t="str">
        <f>IFERROR(__xludf.DUMMYFUNCTION("""COMPUTED_VALUE"""),"Neiva")</f>
        <v>Neiva</v>
      </c>
      <c r="U553" s="87" t="str">
        <f>IFERROR(__xludf.DUMMYFUNCTION("""COMPUTED_VALUE"""),"Comercial")</f>
        <v>Comercial</v>
      </c>
      <c r="V553" s="46" t="str">
        <f>IFERROR(__xludf.DUMMYFUNCTION("""COMPUTED_VALUE"""),"7mo.")</f>
        <v>7mo.</v>
      </c>
      <c r="W553" s="46"/>
      <c r="X553" s="46">
        <f>IFERROR(__xludf.DUMMYFUNCTION("""COMPUTED_VALUE"""),0.0)</f>
        <v>0</v>
      </c>
      <c r="Y553" s="46" t="str">
        <f>IFERROR(__xludf.DUMMYFUNCTION("""COMPUTED_VALUE"""),"No tiene")</f>
        <v>No tiene</v>
      </c>
      <c r="Z553" s="90">
        <f>IFERROR(__xludf.DUMMYFUNCTION("""COMPUTED_VALUE"""),250000.0)</f>
        <v>250000</v>
      </c>
      <c r="AA553" s="33" t="str">
        <f>IFERROR(__xludf.DUMMYFUNCTION("""COMPUTED_VALUE"""),"No aplica")</f>
        <v>No aplica</v>
      </c>
      <c r="AB553" s="144" t="str">
        <f>IFERROR(__xludf.DUMMYFUNCTION("""COMPUTED_VALUE"""),"https://photos.app.goo.gl/BD5yvaVo4RWica2j6")</f>
        <v>https://photos.app.goo.gl/BD5yvaVo4RWica2j6</v>
      </c>
      <c r="AC553" s="46" t="str">
        <f>IFERROR(__xludf.DUMMYFUNCTION("""COMPUTED_VALUE"""),"ÁREA 37 M2, salón amplio, ventanal, terraza con vista a la cra 6, baño con lamanos y mueble de madera, barra de cafetería, pisos en cerámica. Estrato comercial, administración $250.000")</f>
        <v>ÁREA 37 M2, salón amplio, ventanal, terraza con vista a la cra 6, baño con lamanos y mueble de madera, barra de cafetería, pisos en cerámica. Estrato comercial, administración $250.000</v>
      </c>
      <c r="AD553" s="46"/>
      <c r="AE553" s="46"/>
      <c r="AF553" s="46"/>
      <c r="AG553" s="46"/>
      <c r="AH553" s="46" t="str">
        <f>IFERROR(__xludf.DUMMYFUNCTION("""COMPUTED_VALUE"""),"Aliado")</f>
        <v>Aliado</v>
      </c>
      <c r="AI553" s="92" t="str">
        <f>IFERROR(__xludf.DUMMYFUNCTION("""COMPUTED_VALUE"""),"https://lh3.googleusercontent.com/pw/AP1GczMbnT9XGkADoQd5kfY7hb27vaVeyUsOqKWMX8GyN-kw52jzkIsIDFzFckdcSPNLA_OcKFVxD0GaGdk5Dne7hQSAFkkOtMdc1VUanWu-sPdDBy8lFR_z=w1200|https://lh3.googleusercontent.com/pw/AP1GczPeDF0eTWdUu9wjVknsJOyWmzF8NsosoGD8WaO1vy40PUTsUF"&amp;"cdz_aK4d7VKQPQWBM9RyrigjLWg0sZ5p2NlScmgMxUtCUUiF2fLreOmEZDeFYWu7Gb=w1200|https://lh3.googleusercontent.com/pw/AP1GczMdhVIfl9YYMwd1XFDfQzQqnRmnaGCtgBArTqo6IzlE-ng3gkqnv0DRKaU6pIElvwE_FkX_f_-wF-Q6295F1a55St8jy-B6hiiwsW_Ptlw868twviTB=w1200|https://lh3.google"&amp;"usercontent.com/pw/AP1GczMr_8FT0OBd6SpkrcXCuqbYB9rpkNuk8ws-v_6SuZIuHOeGQnJfHWzcDO9gmSDqy3uuHjabGAVZc3FtRR0mTJ1wfSaEb7dtlIKr6akL49r1yQO4_wRt=w1200|https://lh3.googleusercontent.com/pw/AP1GczMD34ED3TiHrQpvissj6EHHsdToTbKOBPYetI34RT4lrxnT5kyVdk0Q3Gda3x81koaN"&amp;"EE25AbPxcJS8ZYp_5IKhqB-Cxu0DCPE_QOUy1L-5QGiyvorH=w1200")</f>
        <v>https://lh3.googleusercontent.com/pw/AP1GczMbnT9XGkADoQd5kfY7hb27vaVeyUsOqKWMX8GyN-kw52jzkIsIDFzFckdcSPNLA_OcKFVxD0GaGdk5Dne7hQSAFkkOtMdc1VUanWu-sPdDBy8lFR_z=w1200|https://lh3.googleusercontent.com/pw/AP1GczPeDF0eTWdUu9wjVknsJOyWmzF8NsosoGD8WaO1vy40PUTsUFcdz_aK4d7VKQPQWBM9RyrigjLWg0sZ5p2NlScmgMxUtCUUiF2fLreOmEZDeFYWu7Gb=w1200|https://lh3.googleusercontent.com/pw/AP1GczMdhVIfl9YYMwd1XFDfQzQqnRmnaGCtgBArTqo6IzlE-ng3gkqnv0DRKaU6pIElvwE_FkX_f_-wF-Q6295F1a55St8jy-B6hiiwsW_Ptlw868twviTB=w1200|https://lh3.googleusercontent.com/pw/AP1GczMr_8FT0OBd6SpkrcXCuqbYB9rpkNuk8ws-v_6SuZIuHOeGQnJfHWzcDO9gmSDqy3uuHjabGAVZc3FtRR0mTJ1wfSaEb7dtlIKr6akL49r1yQO4_wRt=w1200|https://lh3.googleusercontent.com/pw/AP1GczMD34ED3TiHrQpvissj6EHHsdToTbKOBPYetI34RT4lrxnT5kyVdk0Q3Gda3x81koaNEE25AbPxcJS8ZYp_5IKhqB-Cxu0DCPE_QOUy1L-5QGiyvorH=w1200</v>
      </c>
      <c r="AJ553" s="46"/>
      <c r="AK553" s="46"/>
      <c r="AL553" s="46"/>
      <c r="AM553" s="46"/>
      <c r="AN553" s="46"/>
      <c r="AO553" s="46"/>
      <c r="AP553" s="46"/>
      <c r="AQ553" s="46"/>
      <c r="AR553" s="46"/>
      <c r="AS553" s="46"/>
      <c r="AT553" s="46"/>
      <c r="AU553" s="46"/>
      <c r="AV553" s="46"/>
      <c r="AW553" s="46"/>
      <c r="AX553" s="46"/>
      <c r="AY553" s="46"/>
      <c r="AZ553" s="46"/>
      <c r="BA553" s="46"/>
      <c r="BB553" s="46"/>
      <c r="BC553" s="46"/>
      <c r="BD553" s="46"/>
      <c r="BE553" s="46"/>
      <c r="BF553" s="46"/>
      <c r="BG553" s="46"/>
      <c r="BH553" s="46"/>
      <c r="BI553" s="46"/>
      <c r="BJ553" s="46"/>
      <c r="BK553" s="46"/>
      <c r="BL553" s="46"/>
      <c r="BM553" s="46"/>
      <c r="BN553" s="46"/>
      <c r="BO553" s="46"/>
      <c r="BP553" s="46"/>
      <c r="BQ553" s="46"/>
      <c r="BR553" s="46"/>
      <c r="BS553" s="46"/>
      <c r="BT553" s="46"/>
      <c r="BU553" s="46"/>
      <c r="BV553" s="46"/>
      <c r="BW553" s="46"/>
      <c r="BX553" s="46"/>
      <c r="BY553" s="46"/>
      <c r="BZ553" s="46"/>
      <c r="CA553" s="46"/>
      <c r="CB553" s="46"/>
      <c r="CC553" s="46"/>
    </row>
    <row r="554">
      <c r="A554" s="87" t="str">
        <f>IFERROR(__xludf.DUMMYFUNCTION("""COMPUTED_VALUE"""),"016")</f>
        <v>016</v>
      </c>
      <c r="B554" s="46" t="str">
        <f>IFERROR(__xludf.DUMMYFUNCTION("""COMPUTED_VALUE"""),"Lote en conjunto Santa Marta - Rivera")</f>
        <v>Lote en conjunto Santa Marta - Rivera</v>
      </c>
      <c r="C554" s="46" t="str">
        <f>IFERROR(__xludf.DUMMYFUNCTION("""COMPUTED_VALUE"""),"Lote en conjunto")</f>
        <v>Lote en conjunto</v>
      </c>
      <c r="D554" s="46"/>
      <c r="E554" s="46" t="str">
        <f>IFERROR(__xludf.DUMMYFUNCTION("""COMPUTED_VALUE"""),"Santa Marta")</f>
        <v>Santa Marta</v>
      </c>
      <c r="F554" s="90">
        <f>IFERROR(__xludf.DUMMYFUNCTION("""COMPUTED_VALUE"""),9.5E7)</f>
        <v>95000000</v>
      </c>
      <c r="G554" s="46" t="str">
        <f>IFERROR(__xludf.DUMMYFUNCTION("""COMPUTED_VALUE"""),"$0 a $100'000.000")</f>
        <v>$0 a $100'000.000</v>
      </c>
      <c r="H554" s="46"/>
      <c r="I554" s="46"/>
      <c r="J554" s="46"/>
      <c r="K554" s="87"/>
      <c r="L554" s="46">
        <f>IFERROR(__xludf.DUMMYFUNCTION("""COMPUTED_VALUE"""),0.0)</f>
        <v>0</v>
      </c>
      <c r="M554" s="46"/>
      <c r="N554" s="46">
        <f>IFERROR(__xludf.DUMMYFUNCTION("""COMPUTED_VALUE"""),0.0)</f>
        <v>0</v>
      </c>
      <c r="O554" s="46">
        <f>IFERROR(__xludf.DUMMYFUNCTION("""COMPUTED_VALUE"""),0.0)</f>
        <v>0</v>
      </c>
      <c r="P554" s="46">
        <f>IFERROR(__xludf.DUMMYFUNCTION("""COMPUTED_VALUE"""),0.0)</f>
        <v>0</v>
      </c>
      <c r="Q554" s="92">
        <f>IFERROR(__xludf.DUMMYFUNCTION("""COMPUTED_VALUE"""),0.0)</f>
        <v>0</v>
      </c>
      <c r="R554" s="92">
        <f>IFERROR(__xludf.DUMMYFUNCTION("""COMPUTED_VALUE"""),1000.0)</f>
        <v>1000</v>
      </c>
      <c r="S554" s="87" t="str">
        <f>IFERROR(__xludf.DUMMYFUNCTION("""COMPUTED_VALUE""")," ")</f>
        <v> </v>
      </c>
      <c r="T554" s="46" t="str">
        <f>IFERROR(__xludf.DUMMYFUNCTION("""COMPUTED_VALUE"""),"Rivera")</f>
        <v>Rivera</v>
      </c>
      <c r="U554" s="87" t="str">
        <f>IFERROR(__xludf.DUMMYFUNCTION("""COMPUTED_VALUE"""),"0")</f>
        <v>0</v>
      </c>
      <c r="V554" s="46" t="str">
        <f>IFERROR(__xludf.DUMMYFUNCTION("""COMPUTED_VALUE"""),"Medianera")</f>
        <v>Medianera</v>
      </c>
      <c r="W554" s="46"/>
      <c r="X554" s="46">
        <f>IFERROR(__xludf.DUMMYFUNCTION("""COMPUTED_VALUE"""),0.0)</f>
        <v>0</v>
      </c>
      <c r="Y554" s="46" t="str">
        <f>IFERROR(__xludf.DUMMYFUNCTION("""COMPUTED_VALUE"""),"No tiene")</f>
        <v>No tiene</v>
      </c>
      <c r="Z554" s="90" t="str">
        <f>IFERROR(__xludf.DUMMYFUNCTION("""COMPUTED_VALUE"""),"No aplica")</f>
        <v>No aplica</v>
      </c>
      <c r="AA554" s="33" t="str">
        <f>IFERROR(__xludf.DUMMYFUNCTION("""COMPUTED_VALUE"""),"No aplica")</f>
        <v>No aplica</v>
      </c>
      <c r="AB554" s="96" t="str">
        <f>IFERROR(__xludf.DUMMYFUNCTION("""COMPUTED_VALUE"""),"https://photos.app.goo.gl/uzevigAd6A69vD6W7")</f>
        <v>https://photos.app.goo.gl/uzevigAd6A69vD6W7</v>
      </c>
      <c r="AC554" s="46" t="str">
        <f>IFERROR(__xludf.DUMMYFUNCTION("""COMPUTED_VALUE"""),"Lote de 1000 m2 sobre la vía nacional Rivera, a 200 metros cruce de Riverita, lote a la entrada del conjunto a mano izquierda, cuenta con zona de portería, área social, vías de acceso amplia. Estrato rural. Matricula de agua en Riverita. No se paga admini"&amp;"stración. poste de energía.")</f>
        <v>Lote de 1000 m2 sobre la vía nacional Rivera, a 200 metros cruce de Riverita, lote a la entrada del conjunto a mano izquierda, cuenta con zona de portería, área social, vías de acceso amplia. Estrato rural. Matricula de agua en Riverita. No se paga administración. poste de energía.</v>
      </c>
      <c r="AD554" s="46"/>
      <c r="AE554" s="46"/>
      <c r="AF554" s="46">
        <f>IFERROR(__xludf.DUMMYFUNCTION("""COMPUTED_VALUE"""),0.0)</f>
        <v>0</v>
      </c>
      <c r="AG554" s="46"/>
      <c r="AH554" s="46" t="str">
        <f>IFERROR(__xludf.DUMMYFUNCTION("""COMPUTED_VALUE"""),"Aliado")</f>
        <v>Aliado</v>
      </c>
      <c r="AI554" s="92" t="str">
        <f>IFERROR(__xludf.DUMMYFUNCTION("""COMPUTED_VALUE"""),"https://lh3.googleusercontent.com/pw/AP1GczP3oJLwJPha0goTevcP3Xap5Oyq67tJbBfv5o5Gc9vwp3AlfYEEXa-MaFQXxd83MZTdbt9YyXdkSFc3OWucHTTmVt7nAn7DWLrqSPX600mFzrRW88C9=w1200|https://lh3.googleusercontent.com/pw/AP1GczOjx02otzI1AkKq3tZc51ykaefbQG9X0Kd9ehxS4NpVVisPZ1"&amp;"AAQYZaN-3NLBK9wQsU4KRxx75fGLYm0Yh_XLtXKlkc0kyYJO5yBcGqADytTzuEhhjv=w1200|https://lh3.googleusercontent.com/pw/AP1GczO-iIP7qUqZ0zkCafLI17YFBFTXijlcwmKuUVE4zpEvMkyB5Nca_WH8DblOI4XGgFBnUqMzhcY_-IZNKmgmBOVvpbpl2GTKVVevJZj2-Bk58YBegMX-=w1200|https://lh3.google"&amp;"usercontent.com/pw/AP1GczP7H9sGYRFxVU7jUSvJxot2P6kLqTviHEcnIwDJ9PneEodvGjwvnKOZ1MTJecpx2g5fx-rQDrhpV3ToccaJ_I8rItIWzlIZgXO_bFyyt3H9q3NUzyc2=w1200|https://lh3.googleusercontent.com/pw/AP1GczP6xk9JGpgo22IENHDwigr84Wf1PaXCbw5mp5_a0XT1x6-2ZMtdwvgrgP57s-8MnbTz"&amp;"cKkDWc7ymsWLhZ26RP8JHRzonUI3XFrFURT7ELO0DMfJn0gj=w1200|https://lh3.googleusercontent.com/pw/AP1GczOINqn9vjIbuUIUzK4ZvX7JLImEezGUFBCs_PssfW3DYw-zTO1n4QyD8_Qmc2n5utrOGri8e7P-7d_q7xlsHFtZqoY8bQRbviV22xGEP9Y1EmGMEne0=w1200|https://lh3.googleusercontent.com/pw"&amp;"/AP1GczMEsxoXHSWVpTHCCdMRrZgF_fB3TkaB3u_53qocjiUamPZ43iM-d53piOHDokrmRDgj1bei9-3RoEb7nWJnMnVpp4I6PdVdi6LJXt5fnpBjrF6aZOxl=w1200|https://lh3.googleusercontent.com/pw/AP1GczNk7fQW5_l4roiO9vFWW8cIk1TkO9Sh2idi8sXCrZevPLeFmx4BNOqh4b0eVsiuc2olxDJdIi2WX1Vk9BFYAk"&amp;"OfKImHtF4Bc5Mvl5K3iIRU-qf6-Y4H=w1200|https://lh3.googleusercontent.com/pw/AP1GczOe1AtrLi082Dk2hml4nrDpWDsi_bEEAbbsEPMbE3XZFm-l3tKqD5lPUXuk6I4r8uczHw_TTPt6S0ikjuggmDm_kExXa-8HZErvyd3A_AJk9xpEiXWq=w1200|https://lh3.googleusercontent.com/pw/AP1GczNXEB9GPQj_6"&amp;"YOv41WP5LaOXzi2kKc3zA3dEjwCOnBkNa_n4_lt3LRsNSvZX5sg7p8WsBE_9tMn5yfjCLbkWYry-wgb5LuKwOrA3TBxXLk36dDOmZkz=w1200|https://lh3.googleusercontent.com/pw/AP1GczMO9ZfxKJM2o7Omaw3XoFjVCktlbucV-XConY-2ygTU5YpYFvnjVXcXgXDq6nBoVi6OCxonvBJzZgDJjCt3dSv6HHx7aUIoYab_GSv7"&amp;"VQMJ6kZGyoSF=w1200|https://lh3.googleusercontent.com/pw/AP1GczPc0UixJbWXLCMC1tflgTSWbWn6UeB_ju-gsY3roUizaE6fVXew2lnEYpbuS0phdXNOReVPJlBYBXqcEUXxp9dihxO9rRZ01zjCXwpD0Y2GhMukhqOD=w1200|https://lh3.googleusercontent.com/pw/AP1GczPQ2hBuXAHu58AMKvLvi3nw2KnRP1J"&amp;"qHGpor9PcWvx23c7z1lKbo4iGrMlOBtB0MgSpfTyUpTZ-mDSnWktKRNP3wT8qw6o8khVMd8Vdbbhq-HHqe5FH=w1200|https://lh3.googleusercontent.com/pw/AP1GczMn9civkAsOvihE5E3TB1d1NvPtr3f1Jgcqpz-yP-CFENULZC4ZYtSu0x_Ev25p4T2xT8WLjCNHa4ULg0R8mXG6fBn5b4QMk0Fm3fte92ea4KEG55p5=w1200"&amp;"|https://lh3.googleusercontent.com/pw/AP1GczP_mxkxALrkbah9QCR_mu9WdcA8JfoExeqSruqGtf0Q5ohSjPtkUNVVCJ68VMlWFkLqtzZwdZvbXrhNFJCmPGLh-y7EyyCPb9xSn1C34fQv7en93WOf=w1200|https://lh3.googleusercontent.com/pw/AP1GczNzfIqOZCkRGtpp8TTz_pDOvzLPkWN1xt4CR7t86bSE8iijh"&amp;"T3uA1nnsdaeCj0oMn1rfaEcZC0MHTSa1yva5YiylyPWj9WQW0SOTq-A5OOV4WHIPCEP=w1200|https://lh3.googleusercontent.com/pw/AP1GczOWq3yQqjbKtAvww9ZmNJ-HMiqKYSGLEh-og1Nbvm5F-loMzANy256ma-RH0fiVBThwZtYvHFrc2BhEntp88HEk3IA8XQg1zbk1Mv9ihOS399LXW-y4=w1200|https://lh3.googl"&amp;"eusercontent.com/pw/AP1GczMw5kUG0H1VtJ8GFMScft9LkqMKcKJzrqduS9lXl4AbGjNWSNJOegmNYO8zerPGTIKfslqbPxFXng_5v16qxjOmgTh5gUxCD56EZSqjNq8zdLHBQIcf=w1200|https://lh3.googleusercontent.com/pw/AP1GczO0a_C7AwwysDWtor7fW8kR_wnt6ztw_s_1PE-PN8CBf85mFRYqw1Tb8k3p7pdeENE"&amp;"-4VMJW-pROYtFr_Oya-Ka2GZWMRnmpuTeMhtWErH28woON79W=w1200|https://lh3.googleusercontent.com/pw/AP1GczNzm4s4rWY59TQoact2-MHXkeoERUYodoCx2oTLSgijn4id43Bv5vO4bEGu6tuKolTTxqungh6ieuOtYyplfb26hFJytKAT2vjFEiMYH76r-GV4zI7A=w1200|https://lh3.googleusercontent.com/p"&amp;"w/AP1GczM0bB4RcJWGsbl3wgjTiRQ_cDFMOwWaL5ZeXAbNoC53MzVcOcQcPU68E05ig6tD3Zb6stL30I0xyOVHR9sA3WTloaHqxSHbfsV9MZYE2sar8t8QRqAV=w1200|https://lh3.googleusercontent.com/pw/AP1GczPzslSGac7kKnIEMvhUtdUUgFy6XFOqjP8fk9mcDNSOxt79ZDHIjKz4HMyqPWPxfY21lajNk9HvA-R887kpO"&amp;"Y05qH2wR8zzDsthgmVTa1oPSgQQJIlc=w1200|https://lh3.googleusercontent.com/pw/AP1GczO8zwnZfxpsgYQEd0oRbkkG2B_6Am6-sFDsaGuHXmBzG4rxG8mxE9q2tR6nUEXZJ-ximOhDyL6oqNjdLOfBMeIfq-BK-0W2Gwq-fs_axRFRK7r01pz8=w1200|https://lh3.googleusercontent.com/pw/AP1GczNoe0I3bxEx"&amp;"id4FqSF24nNsxywV3wQTkTJD0IiUgXX9i36ExTeHEDDCdIYOfEZqRo-CsXuWx4CAdKc-0OjXUk_S3kzXN0QMD-C7nXG8wiVy2uMcQtqf=w1200")</f>
        <v>https://lh3.googleusercontent.com/pw/AP1GczP3oJLwJPha0goTevcP3Xap5Oyq67tJbBfv5o5Gc9vwp3AlfYEEXa-MaFQXxd83MZTdbt9YyXdkSFc3OWucHTTmVt7nAn7DWLrqSPX600mFzrRW88C9=w1200|https://lh3.googleusercontent.com/pw/AP1GczOjx02otzI1AkKq3tZc51ykaefbQG9X0Kd9ehxS4NpVVisPZ1AAQYZaN-3NLBK9wQsU4KRxx75fGLYm0Yh_XLtXKlkc0kyYJO5yBcGqADytTzuEhhjv=w1200|https://lh3.googleusercontent.com/pw/AP1GczO-iIP7qUqZ0zkCafLI17YFBFTXijlcwmKuUVE4zpEvMkyB5Nca_WH8DblOI4XGgFBnUqMzhcY_-IZNKmgmBOVvpbpl2GTKVVevJZj2-Bk58YBegMX-=w1200|https://lh3.googleusercontent.com/pw/AP1GczP7H9sGYRFxVU7jUSvJxot2P6kLqTviHEcnIwDJ9PneEodvGjwvnKOZ1MTJecpx2g5fx-rQDrhpV3ToccaJ_I8rItIWzlIZgXO_bFyyt3H9q3NUzyc2=w1200|https://lh3.googleusercontent.com/pw/AP1GczP6xk9JGpgo22IENHDwigr84Wf1PaXCbw5mp5_a0XT1x6-2ZMtdwvgrgP57s-8MnbTzcKkDWc7ymsWLhZ26RP8JHRzonUI3XFrFURT7ELO0DMfJn0gj=w1200|https://lh3.googleusercontent.com/pw/AP1GczOINqn9vjIbuUIUzK4ZvX7JLImEezGUFBCs_PssfW3DYw-zTO1n4QyD8_Qmc2n5utrOGri8e7P-7d_q7xlsHFtZqoY8bQRbviV22xGEP9Y1EmGMEne0=w1200|https://lh3.googleusercontent.com/pw/AP1GczMEsxoXHSWVpTHCCdMRrZgF_fB3TkaB3u_53qocjiUamPZ43iM-d53piOHDokrmRDgj1bei9-3RoEb7nWJnMnVpp4I6PdVdi6LJXt5fnpBjrF6aZOxl=w1200|https://lh3.googleusercontent.com/pw/AP1GczNk7fQW5_l4roiO9vFWW8cIk1TkO9Sh2idi8sXCrZevPLeFmx4BNOqh4b0eVsiuc2olxDJdIi2WX1Vk9BFYAkOfKImHtF4Bc5Mvl5K3iIRU-qf6-Y4H=w1200|https://lh3.googleusercontent.com/pw/AP1GczOe1AtrLi082Dk2hml4nrDpWDsi_bEEAbbsEPMbE3XZFm-l3tKqD5lPUXuk6I4r8uczHw_TTPt6S0ikjuggmDm_kExXa-8HZErvyd3A_AJk9xpEiXWq=w1200|https://lh3.googleusercontent.com/pw/AP1GczNXEB9GPQj_6YOv41WP5LaOXzi2kKc3zA3dEjwCOnBkNa_n4_lt3LRsNSvZX5sg7p8WsBE_9tMn5yfjCLbkWYry-wgb5LuKwOrA3TBxXLk36dDOmZkz=w1200|https://lh3.googleusercontent.com/pw/AP1GczMO9ZfxKJM2o7Omaw3XoFjVCktlbucV-XConY-2ygTU5YpYFvnjVXcXgXDq6nBoVi6OCxonvBJzZgDJjCt3dSv6HHx7aUIoYab_GSv7VQMJ6kZGyoSF=w1200|https://lh3.googleusercontent.com/pw/AP1GczPc0UixJbWXLCMC1tflgTSWbWn6UeB_ju-gsY3roUizaE6fVXew2lnEYpbuS0phdXNOReVPJlBYBXqcEUXxp9dihxO9rRZ01zjCXwpD0Y2GhMukhqOD=w1200|https://lh3.googleusercontent.com/pw/AP1GczPQ2hBuXAHu58AMKvLvi3nw2KnRP1JqHGpor9PcWvx23c7z1lKbo4iGrMlOBtB0MgSpfTyUpTZ-mDSnWktKRNP3wT8qw6o8khVMd8Vdbbhq-HHqe5FH=w1200|https://lh3.googleusercontent.com/pw/AP1GczMn9civkAsOvihE5E3TB1d1NvPtr3f1Jgcqpz-yP-CFENULZC4ZYtSu0x_Ev25p4T2xT8WLjCNHa4ULg0R8mXG6fBn5b4QMk0Fm3fte92ea4KEG55p5=w1200|https://lh3.googleusercontent.com/pw/AP1GczP_mxkxALrkbah9QCR_mu9WdcA8JfoExeqSruqGtf0Q5ohSjPtkUNVVCJ68VMlWFkLqtzZwdZvbXrhNFJCmPGLh-y7EyyCPb9xSn1C34fQv7en93WOf=w1200|https://lh3.googleusercontent.com/pw/AP1GczNzfIqOZCkRGtpp8TTz_pDOvzLPkWN1xt4CR7t86bSE8iijhT3uA1nnsdaeCj0oMn1rfaEcZC0MHTSa1yva5YiylyPWj9WQW0SOTq-A5OOV4WHIPCEP=w1200|https://lh3.googleusercontent.com/pw/AP1GczOWq3yQqjbKtAvww9ZmNJ-HMiqKYSGLEh-og1Nbvm5F-loMzANy256ma-RH0fiVBThwZtYvHFrc2BhEntp88HEk3IA8XQg1zbk1Mv9ihOS399LXW-y4=w1200|https://lh3.googleusercontent.com/pw/AP1GczMw5kUG0H1VtJ8GFMScft9LkqMKcKJzrqduS9lXl4AbGjNWSNJOegmNYO8zerPGTIKfslqbPxFXng_5v16qxjOmgTh5gUxCD56EZSqjNq8zdLHBQIcf=w1200|https://lh3.googleusercontent.com/pw/AP1GczO0a_C7AwwysDWtor7fW8kR_wnt6ztw_s_1PE-PN8CBf85mFRYqw1Tb8k3p7pdeENE-4VMJW-pROYtFr_Oya-Ka2GZWMRnmpuTeMhtWErH28woON79W=w1200|https://lh3.googleusercontent.com/pw/AP1GczNzm4s4rWY59TQoact2-MHXkeoERUYodoCx2oTLSgijn4id43Bv5vO4bEGu6tuKolTTxqungh6ieuOtYyplfb26hFJytKAT2vjFEiMYH76r-GV4zI7A=w1200|https://lh3.googleusercontent.com/pw/AP1GczM0bB4RcJWGsbl3wgjTiRQ_cDFMOwWaL5ZeXAbNoC53MzVcOcQcPU68E05ig6tD3Zb6stL30I0xyOVHR9sA3WTloaHqxSHbfsV9MZYE2sar8t8QRqAV=w1200|https://lh3.googleusercontent.com/pw/AP1GczPzslSGac7kKnIEMvhUtdUUgFy6XFOqjP8fk9mcDNSOxt79ZDHIjKz4HMyqPWPxfY21lajNk9HvA-R887kpOY05qH2wR8zzDsthgmVTa1oPSgQQJIlc=w1200|https://lh3.googleusercontent.com/pw/AP1GczO8zwnZfxpsgYQEd0oRbkkG2B_6Am6-sFDsaGuHXmBzG4rxG8mxE9q2tR6nUEXZJ-ximOhDyL6oqNjdLOfBMeIfq-BK-0W2Gwq-fs_axRFRK7r01pz8=w1200|https://lh3.googleusercontent.com/pw/AP1GczNoe0I3bxExid4FqSF24nNsxywV3wQTkTJD0IiUgXX9i36ExTeHEDDCdIYOfEZqRo-CsXuWx4CAdKc-0OjXUk_S3kzXN0QMD-C7nXG8wiVy2uMcQtqf=w1200</v>
      </c>
      <c r="AJ554" s="46"/>
      <c r="AK554" s="46"/>
      <c r="AL554" s="46"/>
      <c r="AM554" s="46"/>
      <c r="AN554" s="46"/>
      <c r="AO554" s="46"/>
      <c r="AP554" s="46"/>
      <c r="AQ554" s="46"/>
      <c r="AR554" s="46"/>
      <c r="AS554" s="46"/>
      <c r="AT554" s="46"/>
      <c r="AU554" s="46"/>
      <c r="AV554" s="46"/>
      <c r="AW554" s="46"/>
      <c r="AX554" s="46"/>
      <c r="AY554" s="46"/>
      <c r="AZ554" s="46"/>
      <c r="BA554" s="46"/>
      <c r="BB554" s="46"/>
      <c r="BC554" s="46"/>
      <c r="BD554" s="46"/>
      <c r="BE554" s="46"/>
      <c r="BF554" s="46"/>
      <c r="BG554" s="46"/>
      <c r="BH554" s="46"/>
      <c r="BI554" s="46"/>
      <c r="BJ554" s="46"/>
      <c r="BK554" s="46"/>
      <c r="BL554" s="46"/>
      <c r="BM554" s="46"/>
      <c r="BN554" s="46"/>
      <c r="BO554" s="46"/>
      <c r="BP554" s="46"/>
      <c r="BQ554" s="46"/>
      <c r="BR554" s="46"/>
      <c r="BS554" s="46"/>
      <c r="BT554" s="46"/>
      <c r="BU554" s="46"/>
      <c r="BV554" s="46"/>
      <c r="BW554" s="46"/>
      <c r="BX554" s="46"/>
      <c r="BY554" s="46"/>
      <c r="BZ554" s="46"/>
      <c r="CA554" s="46"/>
      <c r="CB554" s="46"/>
      <c r="CC554" s="46"/>
    </row>
    <row r="555">
      <c r="A555" s="87" t="str">
        <f>IFERROR(__xludf.DUMMYFUNCTION("""COMPUTED_VALUE"""),"654")</f>
        <v>654</v>
      </c>
      <c r="B555" s="46" t="str">
        <f>IFERROR(__xludf.DUMMYFUNCTION("""COMPUTED_VALUE"""),"Casa con apartamento en barrio Tercer Milenio")</f>
        <v>Casa con apartamento en barrio Tercer Milenio</v>
      </c>
      <c r="C555" s="46" t="str">
        <f>IFERROR(__xludf.DUMMYFUNCTION("""COMPUTED_VALUE"""),"Casa rentable")</f>
        <v>Casa rentable</v>
      </c>
      <c r="D555" s="46" t="str">
        <f>IFERROR(__xludf.DUMMYFUNCTION("""COMPUTED_VALUE"""),"Tercer Milenio")</f>
        <v>Tercer Milenio</v>
      </c>
      <c r="E555" s="46"/>
      <c r="F555" s="90">
        <f>IFERROR(__xludf.DUMMYFUNCTION("""COMPUTED_VALUE"""),2.5E8)</f>
        <v>250000000</v>
      </c>
      <c r="G555" s="46" t="str">
        <f>IFERROR(__xludf.DUMMYFUNCTION("""COMPUTED_VALUE"""),"$200'000.000 a $300'000.000")</f>
        <v>$200'000.000 a $300'000.000</v>
      </c>
      <c r="H555" s="46"/>
      <c r="I555" s="46"/>
      <c r="J555" s="46" t="str">
        <f>IFERROR(__xludf.DUMMYFUNCTION("""COMPUTED_VALUE"""),"Norte")</f>
        <v>Norte</v>
      </c>
      <c r="K555" s="87" t="str">
        <f>IFERROR(__xludf.DUMMYFUNCTION("""COMPUTED_VALUE"""),"9")</f>
        <v>9</v>
      </c>
      <c r="L555" s="46">
        <f>IFERROR(__xludf.DUMMYFUNCTION("""COMPUTED_VALUE"""),3.0)</f>
        <v>3</v>
      </c>
      <c r="M555" s="46"/>
      <c r="N555" s="46">
        <f>IFERROR(__xludf.DUMMYFUNCTION("""COMPUTED_VALUE"""),3.0)</f>
        <v>3</v>
      </c>
      <c r="O555" s="46">
        <f>IFERROR(__xludf.DUMMYFUNCTION("""COMPUTED_VALUE"""),0.0)</f>
        <v>0</v>
      </c>
      <c r="P555" s="46">
        <f>IFERROR(__xludf.DUMMYFUNCTION("""COMPUTED_VALUE"""),1.0)</f>
        <v>1</v>
      </c>
      <c r="Q555" s="92"/>
      <c r="R555" s="92">
        <f>IFERROR(__xludf.DUMMYFUNCTION("""COMPUTED_VALUE"""),140.0)</f>
        <v>140</v>
      </c>
      <c r="S555" s="87" t="str">
        <f>IFERROR(__xludf.DUMMYFUNCTION("""COMPUTED_VALUE""")," ")</f>
        <v> </v>
      </c>
      <c r="T555" s="46" t="str">
        <f>IFERROR(__xludf.DUMMYFUNCTION("""COMPUTED_VALUE"""),"Neiva")</f>
        <v>Neiva</v>
      </c>
      <c r="U555" s="87" t="str">
        <f>IFERROR(__xludf.DUMMYFUNCTION("""COMPUTED_VALUE"""),"3")</f>
        <v>3</v>
      </c>
      <c r="V555" s="46" t="str">
        <f>IFERROR(__xludf.DUMMYFUNCTION("""COMPUTED_VALUE"""),"Medianera")</f>
        <v>Medianera</v>
      </c>
      <c r="W555" s="46"/>
      <c r="X555" s="46">
        <f>IFERROR(__xludf.DUMMYFUNCTION("""COMPUTED_VALUE"""),2.0)</f>
        <v>2</v>
      </c>
      <c r="Y555" s="46" t="str">
        <f>IFERROR(__xludf.DUMMYFUNCTION("""COMPUTED_VALUE"""),"No tiene")</f>
        <v>No tiene</v>
      </c>
      <c r="Z555" s="90" t="str">
        <f>IFERROR(__xludf.DUMMYFUNCTION("""COMPUTED_VALUE"""),"No aplica")</f>
        <v>No aplica</v>
      </c>
      <c r="AA555" s="33"/>
      <c r="AB555" s="144" t="str">
        <f>IFERROR(__xludf.DUMMYFUNCTION("""COMPUTED_VALUE"""),"https://photos.app.goo.gl/4LQpwnya9d5STWK87")</f>
        <v>https://photos.app.goo.gl/4LQpwnya9d5STWK87</v>
      </c>
      <c r="AC555" s="46"/>
      <c r="AD555" s="46"/>
      <c r="AE555" s="46"/>
      <c r="AF555" s="46" t="str">
        <f>IFERROR(__xludf.DUMMYFUNCTION("""COMPUTED_VALUE"""),"básica")</f>
        <v>básica</v>
      </c>
      <c r="AG555" s="46"/>
      <c r="AH555" s="46" t="str">
        <f>IFERROR(__xludf.DUMMYFUNCTION("""COMPUTED_VALUE"""),"Aliado")</f>
        <v>Aliado</v>
      </c>
      <c r="AI555" s="92" t="str">
        <f>IFERROR(__xludf.DUMMYFUNCTION("""COMPUTED_VALUE"""),"https://lh3.googleusercontent.com/pw/AP1GczNINCULGolIwAbwoJohwzTZ-C3ew6rp0d1fqDF0QEPl9h77Zn5d81d0xAlUFVlHXW3YGgTU98zWuAWfX18YbbCEWo1Q08TG3FoXozB_RBVeHBlQ2IF7=w1200|https://lh3.googleusercontent.com/pw/AP1GczO7onybZoODBvVnY1NBy0O0lvvmYQd_BzdqeKpSkWRSk3yU-E"&amp;"Q9haeSwm4vukLd8XkTnU2qT3t2rhICfhCMb08YaSJTLbRLTqihvJp2LOU35tqNFo3e=w1200|https://lh3.googleusercontent.com/pw/AP1GczPMaJxi8yxkayFMu8SuXDBtHHGv5GhG-GOQZ1cB39DLOrCRL2c6LqQ8KlJBP7buJt2ZxLIp4C8_Txjmd9u1bZ3Urm7q5RUa1F0e5vCXogyR8xa79MmO=w1200|https://lh3.google"&amp;"usercontent.com/pw/AP1GczPXHeEDEpvc3rXXshFgOj8drnvv9OnPJ5b5dpTgkWouUqPA8tqSxtUeOKJM1XpuQuA0G33_PvyuN_sPvRKdOrzlgeQSvnSkEc5SC8SPdj2AOBbjXj9c=w1200|https://lh3.googleusercontent.com/pw/AP1GczNrgh13kMb1nN5MZX49uM874I1-TuHGSrCpqz-g0QJNdenT5i0H81x7oo87fs_uyExM"&amp;"sxep7yHoXAelg8fTk2aIqNXgB_xTZQ_KhrhODlnDUjvqNXrX=w1200|https://lh3.googleusercontent.com/pw/AP1GczNNmkzTJFJ5qcX0b1ooEYhFe7te6tSUTPjUubbJe2HAgEBGaiWfY8kUexaaWmLN5snCrLPPWccnB7Mn4tcHFJaIvQhV_B4I8F5f_Mn8Fuw6M1EZanVb=w1200|https://lh3.googleusercontent.com/pw"&amp;"/AP1GczMzy-Ni0A5zB3piITZ6TnEWVK2lZMS5WSRWJ2Sh5NjEXyOUIwRaU2BE_3iaIo2ohgSf5hzFgvHNUa6lbpNLr1j4jtJHQOKCwSaBzgotzdFvVpxqZ-iN=w1200|https://lh3.googleusercontent.com/pw/AP1GczOdmP87sHWOayFLBqZ8S1L19K0ZBh4qSQPrDXLG4Hv8GieXgt_pNf7wgwVvVYS8ezSEjMO0pa0rJOk4UXuTpE"&amp;"vM1eDP9OfTQYOq7NQsA6cln9_YOqQ1=w1200|https://lh3.googleusercontent.com/pw/AP1GczM_aEjY9qFAlZYXoHnN_jC7AqAN0iYhf82Oy6GYc_AYR5WqXsoJ5IHM9vNnQNhVr0sQ9TbAAAKXEfEfXYSh0UVAmkenn3fmmI6WD6Ny9icuDN4g-gUi=w1200|https://lh3.googleusercontent.com/pw/AP1GczOJXu_lzPg2C"&amp;"0pUVOQmljM7LvMw-nljVblIkJrXx-06YZnbYtvzvTtNtoau_L3LyrimECL_OoXZAhWyo1cyzUjF6wm3yI4begjtpxD1yKlPfQMkVHXp=w1200|https://lh3.googleusercontent.com/pw/AP1GczPqMGnp3eRYkURvdkIVeGCuGXoeM9JpNF_G8ZXNOv8DBZIEdAolshHb9FY4qlXmUX_nPEkK67aCAJKept_Wbh6IeJFZ2M8nw6Ud--zR"&amp;"iQhWVSHyfxzs=w1200|https://lh3.googleusercontent.com/pw/AP1GczP7LIrcL-U1nRxSgUEoFY2nhFQ_l-9XWfVbNCZyUSShGuHGoz_LmAGwRDygRLhqOBiMqs_Km4QuCNV2AK_UwyYfxJE18mXRgVxsloRHyNIvmB9p6nDq=w1200|https://lh3.googleusercontent.com/pw/AP1GczOV3HWGZmATn7RsJ6pToyaPbcyToxh"&amp;"HCOqW6BRzvEbmqj0hf64golkHHXUAFjhWTt8X3h2xX9B8GtEGoVqQ_iVCyrLgTwucjukR0xBuuLdwDnLfGKx1=w1200|https://lh3.googleusercontent.com/pw/AP1GczO1fo1LG0bEpqSFG6KfpOo_WMR0afHKBFDlNlBw4elgMEhG7jnF94_ZydAAfEf6ZniVlj68TVqQJ1KALHPiQxKpCqAwZQLDnRaB9NX7E4iz3mZoaF05=w1200"&amp;"|https://lh3.googleusercontent.com/pw/AP1GczNGKciWoA7p-jIoXmGxsN1W2L4xXenzmJ3angPJEulu7s0h5zWLP8MdYNeYiYSKf_l0JK3D0kqYg3tMqlE8FN-rSlwc8LPtlmGGbLDJkknr3NqM0zIw=w1200|https://lh3.googleusercontent.com/pw/AP1GczO3GWu8IN6PV7nijU4qT0bqZ9i6S8mF5ptTZKYQnzZd7FaFU"&amp;"gENNgiFHJyPK06zWdbm56EmWeKwcILY3AE_RPtV6qyUWEcPTLDA9x7ZLHyCH8NEWnIC=w1200|https://lh3.googleusercontent.com/pw/AP1GczNy0MmBvAzkHqyaCtd641K4EBXsflzQtpiG3-ovD7HZgBUX4ESUuMi0bh6IK_UKycdgidcqI9RWanxkqMhSA4gjmoC8IRy_PozQL3T9hIh-l_u4qqJQ=w1200|https://lh3.googl"&amp;"eusercontent.com/pw/AP1GczNzCsy0M0cL5WnES23Dnpndoi7Byo4wFXJWEOYFIXkHeQjm5Vy3Es9_ZKyd6dROgRxDhEQAa0T82pp1fjkkHLxzt8VZq3BRjU9PeM3qym2g3lPCewpv=w1200")</f>
        <v>https://lh3.googleusercontent.com/pw/AP1GczNINCULGolIwAbwoJohwzTZ-C3ew6rp0d1fqDF0QEPl9h77Zn5d81d0xAlUFVlHXW3YGgTU98zWuAWfX18YbbCEWo1Q08TG3FoXozB_RBVeHBlQ2IF7=w1200|https://lh3.googleusercontent.com/pw/AP1GczO7onybZoODBvVnY1NBy0O0lvvmYQd_BzdqeKpSkWRSk3yU-EQ9haeSwm4vukLd8XkTnU2qT3t2rhICfhCMb08YaSJTLbRLTqihvJp2LOU35tqNFo3e=w1200|https://lh3.googleusercontent.com/pw/AP1GczPMaJxi8yxkayFMu8SuXDBtHHGv5GhG-GOQZ1cB39DLOrCRL2c6LqQ8KlJBP7buJt2ZxLIp4C8_Txjmd9u1bZ3Urm7q5RUa1F0e5vCXogyR8xa79MmO=w1200|https://lh3.googleusercontent.com/pw/AP1GczPXHeEDEpvc3rXXshFgOj8drnvv9OnPJ5b5dpTgkWouUqPA8tqSxtUeOKJM1XpuQuA0G33_PvyuN_sPvRKdOrzlgeQSvnSkEc5SC8SPdj2AOBbjXj9c=w1200|https://lh3.googleusercontent.com/pw/AP1GczNrgh13kMb1nN5MZX49uM874I1-TuHGSrCpqz-g0QJNdenT5i0H81x7oo87fs_uyExMsxep7yHoXAelg8fTk2aIqNXgB_xTZQ_KhrhODlnDUjvqNXrX=w1200|https://lh3.googleusercontent.com/pw/AP1GczNNmkzTJFJ5qcX0b1ooEYhFe7te6tSUTPjUubbJe2HAgEBGaiWfY8kUexaaWmLN5snCrLPPWccnB7Mn4tcHFJaIvQhV_B4I8F5f_Mn8Fuw6M1EZanVb=w1200|https://lh3.googleusercontent.com/pw/AP1GczMzy-Ni0A5zB3piITZ6TnEWVK2lZMS5WSRWJ2Sh5NjEXyOUIwRaU2BE_3iaIo2ohgSf5hzFgvHNUa6lbpNLr1j4jtJHQOKCwSaBzgotzdFvVpxqZ-iN=w1200|https://lh3.googleusercontent.com/pw/AP1GczOdmP87sHWOayFLBqZ8S1L19K0ZBh4qSQPrDXLG4Hv8GieXgt_pNf7wgwVvVYS8ezSEjMO0pa0rJOk4UXuTpEvM1eDP9OfTQYOq7NQsA6cln9_YOqQ1=w1200|https://lh3.googleusercontent.com/pw/AP1GczM_aEjY9qFAlZYXoHnN_jC7AqAN0iYhf82Oy6GYc_AYR5WqXsoJ5IHM9vNnQNhVr0sQ9TbAAAKXEfEfXYSh0UVAmkenn3fmmI6WD6Ny9icuDN4g-gUi=w1200|https://lh3.googleusercontent.com/pw/AP1GczOJXu_lzPg2C0pUVOQmljM7LvMw-nljVblIkJrXx-06YZnbYtvzvTtNtoau_L3LyrimECL_OoXZAhWyo1cyzUjF6wm3yI4begjtpxD1yKlPfQMkVHXp=w1200|https://lh3.googleusercontent.com/pw/AP1GczPqMGnp3eRYkURvdkIVeGCuGXoeM9JpNF_G8ZXNOv8DBZIEdAolshHb9FY4qlXmUX_nPEkK67aCAJKept_Wbh6IeJFZ2M8nw6Ud--zRiQhWVSHyfxzs=w1200|https://lh3.googleusercontent.com/pw/AP1GczP7LIrcL-U1nRxSgUEoFY2nhFQ_l-9XWfVbNCZyUSShGuHGoz_LmAGwRDygRLhqOBiMqs_Km4QuCNV2AK_UwyYfxJE18mXRgVxsloRHyNIvmB9p6nDq=w1200|https://lh3.googleusercontent.com/pw/AP1GczOV3HWGZmATn7RsJ6pToyaPbcyToxhHCOqW6BRzvEbmqj0hf64golkHHXUAFjhWTt8X3h2xX9B8GtEGoVqQ_iVCyrLgTwucjukR0xBuuLdwDnLfGKx1=w1200|https://lh3.googleusercontent.com/pw/AP1GczO1fo1LG0bEpqSFG6KfpOo_WMR0afHKBFDlNlBw4elgMEhG7jnF94_ZydAAfEf6ZniVlj68TVqQJ1KALHPiQxKpCqAwZQLDnRaB9NX7E4iz3mZoaF05=w1200|https://lh3.googleusercontent.com/pw/AP1GczNGKciWoA7p-jIoXmGxsN1W2L4xXenzmJ3angPJEulu7s0h5zWLP8MdYNeYiYSKf_l0JK3D0kqYg3tMqlE8FN-rSlwc8LPtlmGGbLDJkknr3NqM0zIw=w1200|https://lh3.googleusercontent.com/pw/AP1GczO3GWu8IN6PV7nijU4qT0bqZ9i6S8mF5ptTZKYQnzZd7FaFUgENNgiFHJyPK06zWdbm56EmWeKwcILY3AE_RPtV6qyUWEcPTLDA9x7ZLHyCH8NEWnIC=w1200|https://lh3.googleusercontent.com/pw/AP1GczNy0MmBvAzkHqyaCtd641K4EBXsflzQtpiG3-ovD7HZgBUX4ESUuMi0bh6IK_UKycdgidcqI9RWanxkqMhSA4gjmoC8IRy_PozQL3T9hIh-l_u4qqJQ=w1200|https://lh3.googleusercontent.com/pw/AP1GczNzCsy0M0cL5WnES23Dnpndoi7Byo4wFXJWEOYFIXkHeQjm5Vy3Es9_ZKyd6dROgRxDhEQAa0T82pp1fjkkHLxzt8VZq3BRjU9PeM3qym2g3lPCewpv=w1200</v>
      </c>
      <c r="AJ555" s="46"/>
      <c r="AK555" s="46"/>
      <c r="AL555" s="46"/>
      <c r="AM555" s="46"/>
      <c r="AN555" s="46"/>
      <c r="AO555" s="46"/>
      <c r="AP555" s="46"/>
      <c r="AQ555" s="46"/>
      <c r="AR555" s="46"/>
      <c r="AS555" s="46"/>
      <c r="AT555" s="46"/>
      <c r="AU555" s="46"/>
      <c r="AV555" s="46"/>
      <c r="AW555" s="46"/>
      <c r="AX555" s="46"/>
      <c r="AY555" s="46"/>
      <c r="AZ555" s="46"/>
      <c r="BA555" s="46"/>
      <c r="BB555" s="46"/>
      <c r="BC555" s="46"/>
      <c r="BD555" s="46"/>
      <c r="BE555" s="46"/>
      <c r="BF555" s="46"/>
      <c r="BG555" s="46"/>
      <c r="BH555" s="46"/>
      <c r="BI555" s="46"/>
      <c r="BJ555" s="46"/>
      <c r="BK555" s="46"/>
      <c r="BL555" s="46"/>
      <c r="BM555" s="46"/>
      <c r="BN555" s="46"/>
      <c r="BO555" s="46"/>
      <c r="BP555" s="46"/>
      <c r="BQ555" s="46"/>
      <c r="BR555" s="46"/>
      <c r="BS555" s="46"/>
      <c r="BT555" s="46"/>
      <c r="BU555" s="46"/>
      <c r="BV555" s="46"/>
      <c r="BW555" s="46"/>
      <c r="BX555" s="46"/>
      <c r="BY555" s="46"/>
      <c r="BZ555" s="46"/>
      <c r="CA555" s="46"/>
      <c r="CB555" s="46"/>
      <c r="CC555" s="46"/>
    </row>
    <row r="556">
      <c r="A556" s="87" t="str">
        <f>IFERROR(__xludf.DUMMYFUNCTION("""COMPUTED_VALUE"""),"662")</f>
        <v>662</v>
      </c>
      <c r="B556" s="46" t="str">
        <f>IFERROR(__xludf.DUMMYFUNCTION("""COMPUTED_VALUE"""),"Apartamento en Conjunto Reservas de Caña Brava")</f>
        <v>Apartamento en Conjunto Reservas de Caña Brava</v>
      </c>
      <c r="C556" s="46" t="str">
        <f>IFERROR(__xludf.DUMMYFUNCTION("""COMPUTED_VALUE"""),"Apartamento en conjunto")</f>
        <v>Apartamento en conjunto</v>
      </c>
      <c r="D556" s="46" t="str">
        <f>IFERROR(__xludf.DUMMYFUNCTION("""COMPUTED_VALUE"""),"Villa Cecilia")</f>
        <v>Villa Cecilia</v>
      </c>
      <c r="E556" s="46" t="str">
        <f>IFERROR(__xludf.DUMMYFUNCTION("""COMPUTED_VALUE"""),"Reservas de Caña Brava")</f>
        <v>Reservas de Caña Brava</v>
      </c>
      <c r="F556" s="90">
        <f>IFERROR(__xludf.DUMMYFUNCTION("""COMPUTED_VALUE"""),1.8E8)</f>
        <v>180000000</v>
      </c>
      <c r="G556" s="46" t="str">
        <f>IFERROR(__xludf.DUMMYFUNCTION("""COMPUTED_VALUE"""),"$100'000.000 a $200'000.000")</f>
        <v>$100'000.000 a $200'000.000</v>
      </c>
      <c r="H556" s="46"/>
      <c r="I556" s="46"/>
      <c r="J556" s="46" t="str">
        <f>IFERROR(__xludf.DUMMYFUNCTION("""COMPUTED_VALUE"""),"Norte")</f>
        <v>Norte</v>
      </c>
      <c r="K556" s="87" t="str">
        <f>IFERROR(__xludf.DUMMYFUNCTION("""COMPUTED_VALUE"""),"2")</f>
        <v>2</v>
      </c>
      <c r="L556" s="46">
        <f>IFERROR(__xludf.DUMMYFUNCTION("""COMPUTED_VALUE"""),3.0)</f>
        <v>3</v>
      </c>
      <c r="M556" s="46"/>
      <c r="N556" s="46">
        <f>IFERROR(__xludf.DUMMYFUNCTION("""COMPUTED_VALUE"""),2.0)</f>
        <v>2</v>
      </c>
      <c r="O556" s="46">
        <f>IFERROR(__xludf.DUMMYFUNCTION("""COMPUTED_VALUE"""),1.0)</f>
        <v>1</v>
      </c>
      <c r="P556" s="46">
        <f>IFERROR(__xludf.DUMMYFUNCTION("""COMPUTED_VALUE"""),1.0)</f>
        <v>1</v>
      </c>
      <c r="Q556" s="92">
        <f>IFERROR(__xludf.DUMMYFUNCTION("""COMPUTED_VALUE"""),69.0)</f>
        <v>69</v>
      </c>
      <c r="R556" s="92">
        <f>IFERROR(__xludf.DUMMYFUNCTION("""COMPUTED_VALUE"""),69.0)</f>
        <v>69</v>
      </c>
      <c r="S556" s="87" t="str">
        <f>IFERROR(__xludf.DUMMYFUNCTION("""COMPUTED_VALUE""")," ")</f>
        <v> </v>
      </c>
      <c r="T556" s="46" t="str">
        <f>IFERROR(__xludf.DUMMYFUNCTION("""COMPUTED_VALUE"""),"Neiva")</f>
        <v>Neiva</v>
      </c>
      <c r="U556" s="87" t="str">
        <f>IFERROR(__xludf.DUMMYFUNCTION("""COMPUTED_VALUE"""),"3")</f>
        <v>3</v>
      </c>
      <c r="V556" s="46"/>
      <c r="W556" s="46"/>
      <c r="X556" s="46">
        <f>IFERROR(__xludf.DUMMYFUNCTION("""COMPUTED_VALUE"""),3.0)</f>
        <v>3</v>
      </c>
      <c r="Y556" s="46" t="str">
        <f>IFERROR(__xludf.DUMMYFUNCTION("""COMPUTED_VALUE"""),"Social")</f>
        <v>Social</v>
      </c>
      <c r="Z556" s="90">
        <f>IFERROR(__xludf.DUMMYFUNCTION("""COMPUTED_VALUE"""),176000.0)</f>
        <v>176000</v>
      </c>
      <c r="AA556" s="33"/>
      <c r="AB556" s="144" t="str">
        <f>IFERROR(__xludf.DUMMYFUNCTION("""COMPUTED_VALUE"""),"https://photos.app.goo.gl/TEH31bjm2js2SXaPA")</f>
        <v>https://photos.app.goo.gl/TEH31bjm2js2SXaPA</v>
      </c>
      <c r="AC556" s="46" t="str">
        <f>IFERROR(__xludf.DUMMYFUNCTION("""COMPUTED_VALUE"""),"Apartamento ubicado en el conjunto Reservas de caña Brava. Parqueadero Comunitario.")</f>
        <v>Apartamento ubicado en el conjunto Reservas de caña Brava. Parqueadero Comunitario.</v>
      </c>
      <c r="AD556" s="46"/>
      <c r="AE556" s="46"/>
      <c r="AF556" s="46" t="str">
        <f>IFERROR(__xludf.DUMMYFUNCTION("""COMPUTED_VALUE"""),"integral")</f>
        <v>integral</v>
      </c>
      <c r="AG556" s="46"/>
      <c r="AH556" s="46" t="str">
        <f>IFERROR(__xludf.DUMMYFUNCTION("""COMPUTED_VALUE"""),"Aliado")</f>
        <v>Aliado</v>
      </c>
      <c r="AI556" s="92" t="str">
        <f>IFERROR(__xludf.DUMMYFUNCTION("""COMPUTED_VALUE"""),"https://lh3.googleusercontent.com/pw/AP1GczPJV-ZqLPmOKenCg-QVXQXMGz0297QArnwDFwvUjUA3aEI3m2NxgC5jmALAZxCSDBHk0opIFwuoTTHogFl7MMgI6oPPR_ngp1fN-aijRS1HsyAcxtLu=w1200|https://lh3.googleusercontent.com/pw/AP1GczMeSnBoZG45PeVybi3wj_XnVZYo8UCnHeOXpehmtZOFdmM2Jr"&amp;"IMWd0V0Bv6kFHfW9Hw5PqxT03rgIPYNKomAxjK9s0oAr1oSIxopg8gOR2A3PYWpeJ1=w1200|https://lh3.googleusercontent.com/pw/AP1GczMCGrEtOjPDOFbEDLIslwz6zS7RuJPEOfgRGv0SVVrUS5zI57cfJ2Q6REYtSRVGeRqRhvltuJ7yYY0M0Q6D08dBULAL-sxH4NKJNsWmrcFdMKQ17K37=w1200|https://lh3.google"&amp;"usercontent.com/pw/AP1GczM-wAIUVd3TWI8pl66QEYUEJrllmw7MyeK7vXjT4bZyUVDjBALhfgYo1nzkQe-1-c5MKHH9OxXev0pVZOw4q4uzGA53xmDzPTz-j3iITYcJzBWF7qcH=w1200|https://lh3.googleusercontent.com/pw/AP1GczOaCbrwylekQ5MT1DKEz9rww-Imf3Zf2EeuESS7GaiiSTMMWabGlIGjk5Vsj9yeuT0T"&amp;"nr58wYZyAKcLqpUMGK8LLFRdKOpHXhksSF8Fd_fcL7lXNnm3=w1200|https://lh3.googleusercontent.com/pw/AP1GczOZVR7ESnXMp59JI01QH-W1kfC9l6p5jDk2t1IyfKU_cQJLojE97PmChS5Tuhvn2y8rXfa8W2Z98wUoWijCti7-6HS5R1RkuYkZCUQtFgsyicGZKfyI=w1200|https://lh3.googleusercontent.com/pw"&amp;"/AP1GczPVqlhr4Ffqt9Y6ZwIIIoxhyDMpmE0CFS2Wu4vzIQ5KegnNlJvbxtMmUQCGUaXVSEtSeCrFg9tQdaB8jMuAqjIBqoWmmxQARZCAALm-1DpVpFAGUTNc=w1200|https://lh3.googleusercontent.com/pw/AP1GczPmmKPCowJhGZQb_AtV1KF0gamjL5ddW6nJ2-YRFJgXeDfezdjEjklQniYrpGGT7NyYHNDcl6toynpJkjP5zw"&amp;"n3_jtgXPM1mm9CCJfdtYtS1vVNZc5j=w1200|https://lh3.googleusercontent.com/pw/AP1GczMBCiVcnlL0wQTTd4l1F03H6Fr_oOQt4yvBj3qIlNbOg3zinDahBLHco-aGhS-_i3TrgTohmDz24qPTG5DKX2bE_0czpBo1109CTv6CX6g5y2x-nbKF=w1200|https://lh3.googleusercontent.com/pw/AP1GczO5XDteCDNIV"&amp;"WP6Kja_874Q1VyGs5pcQkFCG-ywh7dGq0RPaFSfkSVkEl9CUmXetWyXi_VdOUJmz8hmAIjeWDeXMCtpAXj-l4YZ4GP3z0yaYpn8Fkdc=w1200")</f>
        <v>https://lh3.googleusercontent.com/pw/AP1GczPJV-ZqLPmOKenCg-QVXQXMGz0297QArnwDFwvUjUA3aEI3m2NxgC5jmALAZxCSDBHk0opIFwuoTTHogFl7MMgI6oPPR_ngp1fN-aijRS1HsyAcxtLu=w1200|https://lh3.googleusercontent.com/pw/AP1GczMeSnBoZG45PeVybi3wj_XnVZYo8UCnHeOXpehmtZOFdmM2JrIMWd0V0Bv6kFHfW9Hw5PqxT03rgIPYNKomAxjK9s0oAr1oSIxopg8gOR2A3PYWpeJ1=w1200|https://lh3.googleusercontent.com/pw/AP1GczMCGrEtOjPDOFbEDLIslwz6zS7RuJPEOfgRGv0SVVrUS5zI57cfJ2Q6REYtSRVGeRqRhvltuJ7yYY0M0Q6D08dBULAL-sxH4NKJNsWmrcFdMKQ17K37=w1200|https://lh3.googleusercontent.com/pw/AP1GczM-wAIUVd3TWI8pl66QEYUEJrllmw7MyeK7vXjT4bZyUVDjBALhfgYo1nzkQe-1-c5MKHH9OxXev0pVZOw4q4uzGA53xmDzPTz-j3iITYcJzBWF7qcH=w1200|https://lh3.googleusercontent.com/pw/AP1GczOaCbrwylekQ5MT1DKEz9rww-Imf3Zf2EeuESS7GaiiSTMMWabGlIGjk5Vsj9yeuT0Tnr58wYZyAKcLqpUMGK8LLFRdKOpHXhksSF8Fd_fcL7lXNnm3=w1200|https://lh3.googleusercontent.com/pw/AP1GczOZVR7ESnXMp59JI01QH-W1kfC9l6p5jDk2t1IyfKU_cQJLojE97PmChS5Tuhvn2y8rXfa8W2Z98wUoWijCti7-6HS5R1RkuYkZCUQtFgsyicGZKfyI=w1200|https://lh3.googleusercontent.com/pw/AP1GczPVqlhr4Ffqt9Y6ZwIIIoxhyDMpmE0CFS2Wu4vzIQ5KegnNlJvbxtMmUQCGUaXVSEtSeCrFg9tQdaB8jMuAqjIBqoWmmxQARZCAALm-1DpVpFAGUTNc=w1200|https://lh3.googleusercontent.com/pw/AP1GczPmmKPCowJhGZQb_AtV1KF0gamjL5ddW6nJ2-YRFJgXeDfezdjEjklQniYrpGGT7NyYHNDcl6toynpJkjP5zwn3_jtgXPM1mm9CCJfdtYtS1vVNZc5j=w1200|https://lh3.googleusercontent.com/pw/AP1GczMBCiVcnlL0wQTTd4l1F03H6Fr_oOQt4yvBj3qIlNbOg3zinDahBLHco-aGhS-_i3TrgTohmDz24qPTG5DKX2bE_0czpBo1109CTv6CX6g5y2x-nbKF=w1200|https://lh3.googleusercontent.com/pw/AP1GczO5XDteCDNIVWP6Kja_874Q1VyGs5pcQkFCG-ywh7dGq0RPaFSfkSVkEl9CUmXetWyXi_VdOUJmz8hmAIjeWDeXMCtpAXj-l4YZ4GP3z0yaYpn8Fkdc=w1200</v>
      </c>
      <c r="AJ556" s="46"/>
      <c r="AK556" s="46"/>
      <c r="AL556" s="46"/>
      <c r="AM556" s="46"/>
      <c r="AN556" s="46"/>
      <c r="AO556" s="46"/>
      <c r="AP556" s="46"/>
      <c r="AQ556" s="46"/>
      <c r="AR556" s="46"/>
      <c r="AS556" s="46"/>
      <c r="AT556" s="46"/>
      <c r="AU556" s="46"/>
      <c r="AV556" s="46"/>
      <c r="AW556" s="46"/>
      <c r="AX556" s="46"/>
      <c r="AY556" s="46"/>
      <c r="AZ556" s="46"/>
      <c r="BA556" s="46"/>
      <c r="BB556" s="46"/>
      <c r="BC556" s="46"/>
      <c r="BD556" s="46"/>
      <c r="BE556" s="46"/>
      <c r="BF556" s="46"/>
      <c r="BG556" s="46"/>
      <c r="BH556" s="46"/>
      <c r="BI556" s="46"/>
      <c r="BJ556" s="46"/>
      <c r="BK556" s="46"/>
      <c r="BL556" s="46"/>
      <c r="BM556" s="46"/>
      <c r="BN556" s="46"/>
      <c r="BO556" s="46"/>
      <c r="BP556" s="46"/>
      <c r="BQ556" s="46"/>
      <c r="BR556" s="46"/>
      <c r="BS556" s="46"/>
      <c r="BT556" s="46"/>
      <c r="BU556" s="46"/>
      <c r="BV556" s="46"/>
      <c r="BW556" s="46"/>
      <c r="BX556" s="46"/>
      <c r="BY556" s="46"/>
      <c r="BZ556" s="46"/>
      <c r="CA556" s="46"/>
      <c r="CB556" s="46"/>
      <c r="CC556" s="46"/>
    </row>
    <row r="557">
      <c r="A557" s="87" t="str">
        <f>IFERROR(__xludf.DUMMYFUNCTION("""COMPUTED_VALUE"""),"554")</f>
        <v>554</v>
      </c>
      <c r="B557" s="46" t="str">
        <f>IFERROR(__xludf.DUMMYFUNCTION("""COMPUTED_VALUE"""),"Apartamento en Conjunto Torres de San Telmo - Sur")</f>
        <v>Apartamento en Conjunto Torres de San Telmo - Sur</v>
      </c>
      <c r="C557" s="46" t="str">
        <f>IFERROR(__xludf.DUMMYFUNCTION("""COMPUTED_VALUE"""),"Apartamento en conjunto")</f>
        <v>Apartamento en conjunto</v>
      </c>
      <c r="D557" s="46" t="str">
        <f>IFERROR(__xludf.DUMMYFUNCTION("""COMPUTED_VALUE"""),"Canaima")</f>
        <v>Canaima</v>
      </c>
      <c r="E557" s="46" t="str">
        <f>IFERROR(__xludf.DUMMYFUNCTION("""COMPUTED_VALUE"""),"San Telmo")</f>
        <v>San Telmo</v>
      </c>
      <c r="F557" s="90">
        <f>IFERROR(__xludf.DUMMYFUNCTION("""COMPUTED_VALUE"""),1.7E8)</f>
        <v>170000000</v>
      </c>
      <c r="G557" s="46" t="str">
        <f>IFERROR(__xludf.DUMMYFUNCTION("""COMPUTED_VALUE"""),"$100'000.000 a $200'000.000")</f>
        <v>$100'000.000 a $200'000.000</v>
      </c>
      <c r="H557" s="46"/>
      <c r="I557" s="46"/>
      <c r="J557" s="46" t="str">
        <f>IFERROR(__xludf.DUMMYFUNCTION("""COMPUTED_VALUE"""),"Sur")</f>
        <v>Sur</v>
      </c>
      <c r="K557" s="87"/>
      <c r="L557" s="46">
        <f>IFERROR(__xludf.DUMMYFUNCTION("""COMPUTED_VALUE"""),3.0)</f>
        <v>3</v>
      </c>
      <c r="M557" s="46"/>
      <c r="N557" s="46">
        <f>IFERROR(__xludf.DUMMYFUNCTION("""COMPUTED_VALUE"""),2.0)</f>
        <v>2</v>
      </c>
      <c r="O557" s="46">
        <f>IFERROR(__xludf.DUMMYFUNCTION("""COMPUTED_VALUE"""),1.0)</f>
        <v>1</v>
      </c>
      <c r="P557" s="46">
        <f>IFERROR(__xludf.DUMMYFUNCTION("""COMPUTED_VALUE"""),4.0)</f>
        <v>4</v>
      </c>
      <c r="Q557" s="92">
        <f>IFERROR(__xludf.DUMMYFUNCTION("""COMPUTED_VALUE"""),0.0)</f>
        <v>0</v>
      </c>
      <c r="R557" s="92">
        <f>IFERROR(__xludf.DUMMYFUNCTION("""COMPUTED_VALUE"""),0.0)</f>
        <v>0</v>
      </c>
      <c r="S557" s="87" t="str">
        <f>IFERROR(__xludf.DUMMYFUNCTION("""COMPUTED_VALUE""")," ")</f>
        <v> </v>
      </c>
      <c r="T557" s="46" t="str">
        <f>IFERROR(__xludf.DUMMYFUNCTION("""COMPUTED_VALUE"""),"Neiva")</f>
        <v>Neiva</v>
      </c>
      <c r="U557" s="87" t="str">
        <f>IFERROR(__xludf.DUMMYFUNCTION("""COMPUTED_VALUE"""),"3")</f>
        <v>3</v>
      </c>
      <c r="V557" s="46" t="str">
        <f>IFERROR(__xludf.DUMMYFUNCTION("""COMPUTED_VALUE"""),"4to.")</f>
        <v>4to.</v>
      </c>
      <c r="W557" s="46"/>
      <c r="X557" s="46">
        <f>IFERROR(__xludf.DUMMYFUNCTION("""COMPUTED_VALUE"""),3.0)</f>
        <v>3</v>
      </c>
      <c r="Y557" s="46" t="str">
        <f>IFERROR(__xludf.DUMMYFUNCTION("""COMPUTED_VALUE"""),"Social")</f>
        <v>Social</v>
      </c>
      <c r="Z557" s="90">
        <f>IFERROR(__xludf.DUMMYFUNCTION("""COMPUTED_VALUE"""),370000.0)</f>
        <v>370000</v>
      </c>
      <c r="AA557" s="33" t="str">
        <f>IFERROR(__xludf.DUMMYFUNCTION("""COMPUTED_VALUE"""),"No aplica")</f>
        <v>No aplica</v>
      </c>
      <c r="AB557" s="144" t="str">
        <f>IFERROR(__xludf.DUMMYFUNCTION("""COMPUTED_VALUE"""),"https://photos.app.goo.gl/6AjwWEzgvCYGMMCH8")</f>
        <v>https://photos.app.goo.gl/6AjwWEzgvCYGMMCH8</v>
      </c>
      <c r="AC557" s="46" t="str">
        <f>IFERROR(__xludf.DUMMYFUNCTION("""COMPUTED_VALUE"""),"Cuenta con buenos acabados.")</f>
        <v>Cuenta con buenos acabados.</v>
      </c>
      <c r="AD557" s="46" t="str">
        <f>IFERROR(__xludf.DUMMYFUNCTION("""COMPUTED_VALUE"""),"No cuenta con ascensor.")</f>
        <v>No cuenta con ascensor.</v>
      </c>
      <c r="AE557" s="46"/>
      <c r="AF557" s="46" t="str">
        <f>IFERROR(__xludf.DUMMYFUNCTION("""COMPUTED_VALUE"""),"integral")</f>
        <v>integral</v>
      </c>
      <c r="AG557" s="46"/>
      <c r="AH557" s="46" t="str">
        <f>IFERROR(__xludf.DUMMYFUNCTION("""COMPUTED_VALUE"""),"Aliado")</f>
        <v>Aliado</v>
      </c>
      <c r="AI557" s="92" t="str">
        <f>IFERROR(__xludf.DUMMYFUNCTION("""COMPUTED_VALUE"""),"https://lh3.googleusercontent.com/pw/AP1GczPcFh5kwn7fpr4xzq-AePFwZzVKM-BRTV_NjMYNgL4dYAFEBPV7BlcVNSG1os2aLS1tTbXWlj-PAFXxg9s5kmwoye5TY8c6OIPv3ubxgqQ_fs3MatUy=w1200|https://lh3.googleusercontent.com/pw/AP1GczNRkbndnaBd6wY4l8e8QWp6OE5kygtjVYTe2TFievs_-asGAK"&amp;"vhAteSynACYeODUY1mdPEsOdf1x3yrh44HQprYRwsSCoDHwMJYi6fzhPiMnSEgPwsx=w1200|https://lh3.googleusercontent.com/pw/AP1GczOpDi6nBPg3r9VbCQmZ3ceOjDsp1Tp7byz1yWERQlFMJeVRzvf7Ol0ChG8FNqUKza1-4w6fGnvSz5WsM4JUVpn-jNWeb7K1NRGkX-QsTZk7YlMZ8Uyg=w1200|https://lh3.google"&amp;"usercontent.com/pw/AP1GczP77wKilRD6gx8U1xK-5Bn4LAp56EAK7IjUJwQO06u7zSczuXeIFd3NeXqobrELgb-nGlLnbjdfrhq7vRpZUI6-Ua1KzZBjxDw5kM3mD1sDQ8sicMAy=w1200|https://lh3.googleusercontent.com/pw/AP1GczOYdOHuGXQkxBDN_I3Vchekus9uR_MVhsoEGhamCwK_J8Y4Z8B8xTR221kbHk1y2WJn"&amp;"vEXr5Xu4FHp_PcgQRt4wt6WNerLLWyCsBVhN4WSnG7zB1z6U=w1200|https://lh3.googleusercontent.com/pw/AP1GczOXq3eDojgxVkY6SXCbG8D0WceGjSilIiaHrODph-4nHNMH9wO6uvI44pjkUHl9N2CqDUMEIc47QRVNbH8nROVeZfpB7i-uJdrx4VfVOHTK3ODN3WlT=w1200|https://lh3.googleusercontent.com/pw"&amp;"/AP1GczPOY5AJUwtkb91P7Ec-CgKrtkvlyl77oMoXYEoBQVn57H9RVKN4SUKpMrBQ8_r76KasbwPBTKZQyWooH1eurp5oGzBJJgvOteek7gq2ZnQbuWH9EaRL=w1200")</f>
        <v>https://lh3.googleusercontent.com/pw/AP1GczPcFh5kwn7fpr4xzq-AePFwZzVKM-BRTV_NjMYNgL4dYAFEBPV7BlcVNSG1os2aLS1tTbXWlj-PAFXxg9s5kmwoye5TY8c6OIPv3ubxgqQ_fs3MatUy=w1200|https://lh3.googleusercontent.com/pw/AP1GczNRkbndnaBd6wY4l8e8QWp6OE5kygtjVYTe2TFievs_-asGAKvhAteSynACYeODUY1mdPEsOdf1x3yrh44HQprYRwsSCoDHwMJYi6fzhPiMnSEgPwsx=w1200|https://lh3.googleusercontent.com/pw/AP1GczOpDi6nBPg3r9VbCQmZ3ceOjDsp1Tp7byz1yWERQlFMJeVRzvf7Ol0ChG8FNqUKza1-4w6fGnvSz5WsM4JUVpn-jNWeb7K1NRGkX-QsTZk7YlMZ8Uyg=w1200|https://lh3.googleusercontent.com/pw/AP1GczP77wKilRD6gx8U1xK-5Bn4LAp56EAK7IjUJwQO06u7zSczuXeIFd3NeXqobrELgb-nGlLnbjdfrhq7vRpZUI6-Ua1KzZBjxDw5kM3mD1sDQ8sicMAy=w1200|https://lh3.googleusercontent.com/pw/AP1GczOYdOHuGXQkxBDN_I3Vchekus9uR_MVhsoEGhamCwK_J8Y4Z8B8xTR221kbHk1y2WJnvEXr5Xu4FHp_PcgQRt4wt6WNerLLWyCsBVhN4WSnG7zB1z6U=w1200|https://lh3.googleusercontent.com/pw/AP1GczOXq3eDojgxVkY6SXCbG8D0WceGjSilIiaHrODph-4nHNMH9wO6uvI44pjkUHl9N2CqDUMEIc47QRVNbH8nROVeZfpB7i-uJdrx4VfVOHTK3ODN3WlT=w1200|https://lh3.googleusercontent.com/pw/AP1GczPOY5AJUwtkb91P7Ec-CgKrtkvlyl77oMoXYEoBQVn57H9RVKN4SUKpMrBQ8_r76KasbwPBTKZQyWooH1eurp5oGzBJJgvOteek7gq2ZnQbuWH9EaRL=w1200</v>
      </c>
      <c r="AJ557" s="46"/>
      <c r="AK557" s="46"/>
      <c r="AL557" s="46"/>
      <c r="AM557" s="46"/>
      <c r="AN557" s="46"/>
      <c r="AO557" s="46"/>
      <c r="AP557" s="46"/>
      <c r="AQ557" s="46"/>
      <c r="AR557" s="46"/>
      <c r="AS557" s="46"/>
      <c r="AT557" s="46"/>
      <c r="AU557" s="46"/>
      <c r="AV557" s="46"/>
      <c r="AW557" s="46"/>
      <c r="AX557" s="46"/>
      <c r="AY557" s="46"/>
      <c r="AZ557" s="46"/>
      <c r="BA557" s="46"/>
      <c r="BB557" s="46"/>
      <c r="BC557" s="46"/>
      <c r="BD557" s="46"/>
      <c r="BE557" s="46"/>
      <c r="BF557" s="46"/>
      <c r="BG557" s="46"/>
      <c r="BH557" s="46"/>
      <c r="BI557" s="46"/>
      <c r="BJ557" s="46"/>
      <c r="BK557" s="46"/>
      <c r="BL557" s="46"/>
      <c r="BM557" s="46"/>
      <c r="BN557" s="46"/>
      <c r="BO557" s="46"/>
      <c r="BP557" s="46"/>
      <c r="BQ557" s="46"/>
      <c r="BR557" s="46"/>
      <c r="BS557" s="46"/>
      <c r="BT557" s="46"/>
      <c r="BU557" s="46"/>
      <c r="BV557" s="46"/>
      <c r="BW557" s="46"/>
      <c r="BX557" s="46"/>
      <c r="BY557" s="46"/>
      <c r="BZ557" s="46"/>
      <c r="CA557" s="46"/>
      <c r="CB557" s="46"/>
      <c r="CC557" s="46"/>
    </row>
    <row r="558">
      <c r="A558" s="87" t="str">
        <f>IFERROR(__xludf.DUMMYFUNCTION("""COMPUTED_VALUE"""),"228")</f>
        <v>228</v>
      </c>
      <c r="B558" s="46" t="str">
        <f>IFERROR(__xludf.DUMMYFUNCTION("""COMPUTED_VALUE"""),"Apartamento en conjunto Residencial  Balcones de los Hayuelos")</f>
        <v>Apartamento en conjunto Residencial  Balcones de los Hayuelos</v>
      </c>
      <c r="C558" s="46" t="str">
        <f>IFERROR(__xludf.DUMMYFUNCTION("""COMPUTED_VALUE"""),"Apartamento en conjunto")</f>
        <v>Apartamento en conjunto</v>
      </c>
      <c r="D558" s="46" t="str">
        <f>IFERROR(__xludf.DUMMYFUNCTION("""COMPUTED_VALUE"""),"Chicalá")</f>
        <v>Chicalá</v>
      </c>
      <c r="E558" s="90" t="str">
        <f>IFERROR(__xludf.DUMMYFUNCTION("""COMPUTED_VALUE"""),"Balcones de los Hayuelos")</f>
        <v>Balcones de los Hayuelos</v>
      </c>
      <c r="F558" s="90">
        <f>IFERROR(__xludf.DUMMYFUNCTION("""COMPUTED_VALUE"""),1.65E8)</f>
        <v>165000000</v>
      </c>
      <c r="G558" s="46" t="str">
        <f>IFERROR(__xludf.DUMMYFUNCTION("""COMPUTED_VALUE"""),"$100'000.000 a $200'000.000")</f>
        <v>$100'000.000 a $200'000.000</v>
      </c>
      <c r="H558" s="46"/>
      <c r="I558" s="46"/>
      <c r="J558" s="46" t="str">
        <f>IFERROR(__xludf.DUMMYFUNCTION("""COMPUTED_VALUE"""),"Norte")</f>
        <v>Norte</v>
      </c>
      <c r="K558" s="87"/>
      <c r="L558" s="46">
        <f>IFERROR(__xludf.DUMMYFUNCTION("""COMPUTED_VALUE"""),3.0)</f>
        <v>3</v>
      </c>
      <c r="M558" s="46"/>
      <c r="N558" s="46">
        <f>IFERROR(__xludf.DUMMYFUNCTION("""COMPUTED_VALUE"""),2.0)</f>
        <v>2</v>
      </c>
      <c r="O558" s="46">
        <f>IFERROR(__xludf.DUMMYFUNCTION("""COMPUTED_VALUE"""),1.0)</f>
        <v>1</v>
      </c>
      <c r="P558" s="46">
        <f>IFERROR(__xludf.DUMMYFUNCTION("""COMPUTED_VALUE"""),6.0)</f>
        <v>6</v>
      </c>
      <c r="Q558" s="92">
        <f>IFERROR(__xludf.DUMMYFUNCTION("""COMPUTED_VALUE"""),53.17)</f>
        <v>53.17</v>
      </c>
      <c r="R558" s="92">
        <f>IFERROR(__xludf.DUMMYFUNCTION("""COMPUTED_VALUE"""),53.17)</f>
        <v>53.17</v>
      </c>
      <c r="S558" s="87" t="str">
        <f>IFERROR(__xludf.DUMMYFUNCTION("""COMPUTED_VALUE""")," ")</f>
        <v> </v>
      </c>
      <c r="T558" s="46" t="str">
        <f>IFERROR(__xludf.DUMMYFUNCTION("""COMPUTED_VALUE"""),"Neiva")</f>
        <v>Neiva</v>
      </c>
      <c r="U558" s="87" t="str">
        <f>IFERROR(__xludf.DUMMYFUNCTION("""COMPUTED_VALUE"""),"3")</f>
        <v>3</v>
      </c>
      <c r="V558" s="46" t="str">
        <f>IFERROR(__xludf.DUMMYFUNCTION("""COMPUTED_VALUE"""),"6to.")</f>
        <v>6to.</v>
      </c>
      <c r="W558" s="46"/>
      <c r="X558" s="46">
        <f>IFERROR(__xludf.DUMMYFUNCTION("""COMPUTED_VALUE"""),3.0)</f>
        <v>3</v>
      </c>
      <c r="Y558" s="46" t="str">
        <f>IFERROR(__xludf.DUMMYFUNCTION("""COMPUTED_VALUE"""),"Social")</f>
        <v>Social</v>
      </c>
      <c r="Z558" s="90" t="str">
        <f>IFERROR(__xludf.DUMMYFUNCTION("""COMPUTED_VALUE"""),"No aplica")</f>
        <v>No aplica</v>
      </c>
      <c r="AA558" s="33" t="str">
        <f>IFERROR(__xludf.DUMMYFUNCTION("""COMPUTED_VALUE"""),"No aplica")</f>
        <v>No aplica</v>
      </c>
      <c r="AB558" s="144" t="str">
        <f>IFERROR(__xludf.DUMMYFUNCTION("""COMPUTED_VALUE"""),"https://photos.app.goo.gl/rGBKCnmGaXp2ujDBA")</f>
        <v>https://photos.app.goo.gl/rGBKCnmGaXp2ujDBA</v>
      </c>
      <c r="AC558" s="46" t="str">
        <f>IFERROR(__xludf.DUMMYFUNCTION("""COMPUTED_VALUE"""),"Cuenta con buenos acabados.")</f>
        <v>Cuenta con buenos acabados.</v>
      </c>
      <c r="AD558" s="46" t="str">
        <f>IFERROR(__xludf.DUMMYFUNCTION("""COMPUTED_VALUE"""),"Apartamento para estrenar.")</f>
        <v>Apartamento para estrenar.</v>
      </c>
      <c r="AE558" s="46"/>
      <c r="AF558" s="46" t="str">
        <f>IFERROR(__xludf.DUMMYFUNCTION("""COMPUTED_VALUE"""),"semi-integral")</f>
        <v>semi-integral</v>
      </c>
      <c r="AG558" s="46"/>
      <c r="AH558" s="46" t="str">
        <f>IFERROR(__xludf.DUMMYFUNCTION("""COMPUTED_VALUE"""),"Aliado")</f>
        <v>Aliado</v>
      </c>
      <c r="AI558" s="92" t="str">
        <f>IFERROR(__xludf.DUMMYFUNCTION("""COMPUTED_VALUE"""),"https://lh3.googleusercontent.com/pw/AP1GczNgPEuiwKkxd0657Oevhwn7CSehxj9caOCjGrZ0fmELEyzXyQf07RtMglGo4q82j3LCxxrTuWsqICL3IwQH1q-ItcHl-HCv2tw02m92U8H5NE_R-K7z=w1200|https://lh3.googleusercontent.com/pw/AP1GczMxRRC6W-KBbFK3BXvk_wR3Cg1kCZf__ve6dmAZ1UuIKKyLmG"&amp;"lZjJACfYSAXiQQsMQAYIfKgtaaRW4Et19bpoWOlKmYW5R5KvG7vl0-hoqD1sr43YnH=w1200|https://lh3.googleusercontent.com/pw/AP1GczM8fU6VilHPPDPzFVT8uej53f7iXYIGl7OaJksF3wUX2x_rnnjQHDvJVRi31UfClB5n5exWGVZGhgSgn6qDDPBgrzT7Ujy8bihRrFoeIZUZV56SAvrZ=w1200|https://lh3.google"&amp;"usercontent.com/pw/AP1GczNfb2bvynsFVCMLlybbiC7tObVS1-0hRGDDsuEO8wBMnGYj0-jISPpMaJmDb0y8iRCSXiwp66KH5g3Q_iCIYFHWEBQdmqgWJGbnPIJj9uLM0vniQBFv=w1200|https://lh3.googleusercontent.com/pw/AP1GczP6C95JSSgc99KjGd-EdC5dyvK7eTVSP2WjKnRZS0eE3Uwd23TkkkErIo6lKXHJNxe6"&amp;"LQS9wAxr1cq-U2BO1hzMtYH7B03v-StyKufL24G1Sp1GtXNb=w1200|https://lh3.googleusercontent.com/pw/AP1GczPsmEpiNqQK4PM61wX3zOp1nFk49Vn-wjcFoSb5PKGALs2ANwplreAUWdGvbvw-6N5SgI69GMi8_Zw5M-Sx6b5s6Dmh3wzHBVdHOf5droVoMXkuu3oV=w1200|https://lh3.googleusercontent.com/pw"&amp;"/AP1GczM36iyaYaDKjn70QczW7owv3c6deEr9UMTiO6STKuoVRPKyKsVGpkpx0rI7DScnI3gLkq1QWbrWk0CSU8efmhFG-gRLaNSb2Wcr2NE-d4sE0Vdx0d8R=w1200|https://lh3.googleusercontent.com/pw/AP1GczP9W7ml2HQlULx8Np5KZJAf2bFkY0UKOH8ulcZlnL42r4QY2oeO1tg3CbMrxfWFb-7ylBg_H4TBaxsG8OONIs"&amp;"wdvifaZ2X9avtQc0RCVqhtNrLzf6T5=w1200|https://lh3.googleusercontent.com/pw/AP1GczOw9ClE-wTind8U2n-0tDB5PG0AY9UIyEWdWQjphfaSONTfGBioXRDkTkZcqS0ZH6foNyJnwXV09ItuH2QwcV4l7nb7f9k7ms91JgXv1tYh3KTdfnbD=w1200|https://lh3.googleusercontent.com/pw/AP1GczON6rqxvgf9F"&amp;"bTnZnFPOMs4FyFXEyZ-olNDfpEL8uwRqQPMfJd3alQiy1kXv43nRKazHiW2j0iRn_sKYxwKZpPhnpVd9fDUvvMutz7WIBLR1GdAwwI3=w1200|https://lh3.googleusercontent.com/pw/AP1GczNSPzAwIU6adZDp1YP6Ck1DDC9QYv_9ipBZQte4NsnCItAQBn2HVP-lKQbmRKQ1bERf5BclzgdL4D4JR9L3g0YVq2JbBayTd3d82xmO"&amp;"uqLGRb0SLpc2=w1200")</f>
        <v>https://lh3.googleusercontent.com/pw/AP1GczNgPEuiwKkxd0657Oevhwn7CSehxj9caOCjGrZ0fmELEyzXyQf07RtMglGo4q82j3LCxxrTuWsqICL3IwQH1q-ItcHl-HCv2tw02m92U8H5NE_R-K7z=w1200|https://lh3.googleusercontent.com/pw/AP1GczMxRRC6W-KBbFK3BXvk_wR3Cg1kCZf__ve6dmAZ1UuIKKyLmGlZjJACfYSAXiQQsMQAYIfKgtaaRW4Et19bpoWOlKmYW5R5KvG7vl0-hoqD1sr43YnH=w1200|https://lh3.googleusercontent.com/pw/AP1GczM8fU6VilHPPDPzFVT8uej53f7iXYIGl7OaJksF3wUX2x_rnnjQHDvJVRi31UfClB5n5exWGVZGhgSgn6qDDPBgrzT7Ujy8bihRrFoeIZUZV56SAvrZ=w1200|https://lh3.googleusercontent.com/pw/AP1GczNfb2bvynsFVCMLlybbiC7tObVS1-0hRGDDsuEO8wBMnGYj0-jISPpMaJmDb0y8iRCSXiwp66KH5g3Q_iCIYFHWEBQdmqgWJGbnPIJj9uLM0vniQBFv=w1200|https://lh3.googleusercontent.com/pw/AP1GczP6C95JSSgc99KjGd-EdC5dyvK7eTVSP2WjKnRZS0eE3Uwd23TkkkErIo6lKXHJNxe6LQS9wAxr1cq-U2BO1hzMtYH7B03v-StyKufL24G1Sp1GtXNb=w1200|https://lh3.googleusercontent.com/pw/AP1GczPsmEpiNqQK4PM61wX3zOp1nFk49Vn-wjcFoSb5PKGALs2ANwplreAUWdGvbvw-6N5SgI69GMi8_Zw5M-Sx6b5s6Dmh3wzHBVdHOf5droVoMXkuu3oV=w1200|https://lh3.googleusercontent.com/pw/AP1GczM36iyaYaDKjn70QczW7owv3c6deEr9UMTiO6STKuoVRPKyKsVGpkpx0rI7DScnI3gLkq1QWbrWk0CSU8efmhFG-gRLaNSb2Wcr2NE-d4sE0Vdx0d8R=w1200|https://lh3.googleusercontent.com/pw/AP1GczP9W7ml2HQlULx8Np5KZJAf2bFkY0UKOH8ulcZlnL42r4QY2oeO1tg3CbMrxfWFb-7ylBg_H4TBaxsG8OONIswdvifaZ2X9avtQc0RCVqhtNrLzf6T5=w1200|https://lh3.googleusercontent.com/pw/AP1GczOw9ClE-wTind8U2n-0tDB5PG0AY9UIyEWdWQjphfaSONTfGBioXRDkTkZcqS0ZH6foNyJnwXV09ItuH2QwcV4l7nb7f9k7ms91JgXv1tYh3KTdfnbD=w1200|https://lh3.googleusercontent.com/pw/AP1GczON6rqxvgf9FbTnZnFPOMs4FyFXEyZ-olNDfpEL8uwRqQPMfJd3alQiy1kXv43nRKazHiW2j0iRn_sKYxwKZpPhnpVd9fDUvvMutz7WIBLR1GdAwwI3=w1200|https://lh3.googleusercontent.com/pw/AP1GczNSPzAwIU6adZDp1YP6Ck1DDC9QYv_9ipBZQte4NsnCItAQBn2HVP-lKQbmRKQ1bERf5BclzgdL4D4JR9L3g0YVq2JbBayTd3d82xmOuqLGRb0SLpc2=w1200</v>
      </c>
      <c r="AJ558" s="46"/>
      <c r="AK558" s="46"/>
      <c r="AL558" s="46"/>
      <c r="AM558" s="46"/>
      <c r="AN558" s="46"/>
      <c r="AO558" s="46"/>
      <c r="AP558" s="46"/>
      <c r="AQ558" s="46"/>
      <c r="AR558" s="46"/>
      <c r="AS558" s="46"/>
      <c r="AT558" s="46"/>
      <c r="AU558" s="46"/>
      <c r="AV558" s="46"/>
      <c r="AW558" s="46"/>
      <c r="AX558" s="46"/>
      <c r="AY558" s="46"/>
      <c r="AZ558" s="46"/>
      <c r="BA558" s="46"/>
      <c r="BB558" s="46"/>
      <c r="BC558" s="46"/>
      <c r="BD558" s="46"/>
      <c r="BE558" s="46"/>
      <c r="BF558" s="46"/>
      <c r="BG558" s="46"/>
      <c r="BH558" s="46"/>
      <c r="BI558" s="46"/>
      <c r="BJ558" s="46"/>
      <c r="BK558" s="46"/>
      <c r="BL558" s="46"/>
      <c r="BM558" s="46"/>
      <c r="BN558" s="46"/>
      <c r="BO558" s="46"/>
      <c r="BP558" s="46"/>
      <c r="BQ558" s="46"/>
      <c r="BR558" s="46"/>
      <c r="BS558" s="46"/>
      <c r="BT558" s="46"/>
      <c r="BU558" s="46"/>
      <c r="BV558" s="46"/>
      <c r="BW558" s="46"/>
      <c r="BX558" s="46"/>
      <c r="BY558" s="46"/>
      <c r="BZ558" s="46"/>
      <c r="CA558" s="46"/>
      <c r="CB558" s="46"/>
      <c r="CC558" s="46"/>
    </row>
    <row r="559">
      <c r="A559" s="87" t="str">
        <f>IFERROR(__xludf.DUMMYFUNCTION("""COMPUTED_VALUE"""),"215")</f>
        <v>215</v>
      </c>
      <c r="B559" s="46" t="str">
        <f>IFERROR(__xludf.DUMMYFUNCTION("""COMPUTED_VALUE"""),"Apartamento en Conjunto  Residencial Balcones de los Hayuelos")</f>
        <v>Apartamento en Conjunto  Residencial Balcones de los Hayuelos</v>
      </c>
      <c r="C559" s="46" t="str">
        <f>IFERROR(__xludf.DUMMYFUNCTION("""COMPUTED_VALUE"""),"Apartamento en conjunto")</f>
        <v>Apartamento en conjunto</v>
      </c>
      <c r="D559" s="46" t="str">
        <f>IFERROR(__xludf.DUMMYFUNCTION("""COMPUTED_VALUE"""),"Chicalá")</f>
        <v>Chicalá</v>
      </c>
      <c r="E559" s="46" t="str">
        <f>IFERROR(__xludf.DUMMYFUNCTION("""COMPUTED_VALUE"""),"Balcones de los Hayuelos")</f>
        <v>Balcones de los Hayuelos</v>
      </c>
      <c r="F559" s="90">
        <f>IFERROR(__xludf.DUMMYFUNCTION("""COMPUTED_VALUE"""),1.65E8)</f>
        <v>165000000</v>
      </c>
      <c r="G559" s="46" t="str">
        <f>IFERROR(__xludf.DUMMYFUNCTION("""COMPUTED_VALUE"""),"$100'000.000 a $200'000.000")</f>
        <v>$100'000.000 a $200'000.000</v>
      </c>
      <c r="H559" s="46"/>
      <c r="I559" s="46"/>
      <c r="J559" s="46" t="str">
        <f>IFERROR(__xludf.DUMMYFUNCTION("""COMPUTED_VALUE"""),"Norte")</f>
        <v>Norte</v>
      </c>
      <c r="K559" s="87" t="str">
        <f>IFERROR(__xludf.DUMMYFUNCTION("""COMPUTED_VALUE"""),"1")</f>
        <v>1</v>
      </c>
      <c r="L559" s="46">
        <f>IFERROR(__xludf.DUMMYFUNCTION("""COMPUTED_VALUE"""),3.0)</f>
        <v>3</v>
      </c>
      <c r="M559" s="46"/>
      <c r="N559" s="46">
        <f>IFERROR(__xludf.DUMMYFUNCTION("""COMPUTED_VALUE"""),1.0)</f>
        <v>1</v>
      </c>
      <c r="O559" s="46">
        <f>IFERROR(__xludf.DUMMYFUNCTION("""COMPUTED_VALUE"""),1.0)</f>
        <v>1</v>
      </c>
      <c r="P559" s="46">
        <f>IFERROR(__xludf.DUMMYFUNCTION("""COMPUTED_VALUE"""),6.0)</f>
        <v>6</v>
      </c>
      <c r="Q559" s="92">
        <f>IFERROR(__xludf.DUMMYFUNCTION("""COMPUTED_VALUE"""),52.7)</f>
        <v>52.7</v>
      </c>
      <c r="R559" s="92">
        <f>IFERROR(__xludf.DUMMYFUNCTION("""COMPUTED_VALUE"""),62.5)</f>
        <v>62.5</v>
      </c>
      <c r="S559" s="87" t="str">
        <f>IFERROR(__xludf.DUMMYFUNCTION("""COMPUTED_VALUE""")," ")</f>
        <v> </v>
      </c>
      <c r="T559" s="46" t="str">
        <f>IFERROR(__xludf.DUMMYFUNCTION("""COMPUTED_VALUE"""),"Neiva")</f>
        <v>Neiva</v>
      </c>
      <c r="U559" s="87" t="str">
        <f>IFERROR(__xludf.DUMMYFUNCTION("""COMPUTED_VALUE"""),"3")</f>
        <v>3</v>
      </c>
      <c r="V559" s="46" t="str">
        <f>IFERROR(__xludf.DUMMYFUNCTION("""COMPUTED_VALUE"""),"6to.")</f>
        <v>6to.</v>
      </c>
      <c r="W559" s="46"/>
      <c r="X559" s="46">
        <f>IFERROR(__xludf.DUMMYFUNCTION("""COMPUTED_VALUE"""),3.0)</f>
        <v>3</v>
      </c>
      <c r="Y559" s="46" t="str">
        <f>IFERROR(__xludf.DUMMYFUNCTION("""COMPUTED_VALUE"""),"Social")</f>
        <v>Social</v>
      </c>
      <c r="Z559" s="90"/>
      <c r="AA559" s="33"/>
      <c r="AB559" s="144" t="str">
        <f>IFERROR(__xludf.DUMMYFUNCTION("""COMPUTED_VALUE"""),"https://photos.app.goo.gl/jBGDxx9SMdQEBNyw6")</f>
        <v>https://photos.app.goo.gl/jBGDxx9SMdQEBNyw6</v>
      </c>
      <c r="AC559" s="46"/>
      <c r="AD559" s="46" t="str">
        <f>IFERROR(__xludf.DUMMYFUNCTION("""COMPUTED_VALUE""")," Parqueadero Comunal.")</f>
        <v> Parqueadero Comunal.</v>
      </c>
      <c r="AE559" s="46"/>
      <c r="AF559" s="46" t="str">
        <f>IFERROR(__xludf.DUMMYFUNCTION("""COMPUTED_VALUE"""),"integral")</f>
        <v>integral</v>
      </c>
      <c r="AG559" s="46"/>
      <c r="AH559" s="46" t="str">
        <f>IFERROR(__xludf.DUMMYFUNCTION("""COMPUTED_VALUE"""),"Aliado")</f>
        <v>Aliado</v>
      </c>
      <c r="AI559" s="92" t="str">
        <f>IFERROR(__xludf.DUMMYFUNCTION("""COMPUTED_VALUE"""),"https://lh3.googleusercontent.com/pw/AP1GczOynI5b_lyCAeQQbhEaWi2Y-N5304g0q7sXErCWLdYDNQT4OEdsk5Fj4R4pqTxa3TatrG6xGy31r-vwBi7D_tJVe-ewdISqL63RtNYA95HTndP4_71S=w1200|https://lh3.googleusercontent.com/pw/AP1GczN5b5XyPwZhhHXPhJYYxfAlYKZQx8SGz7pAc5nv-6S-0UrOtk"&amp;"iDS4GrCNlSx_q-e4nA4zC4I7hEiPDAur5q7zPyLH5AfU1VTnKEGdblaJfBbqM-Ewap=w1200|https://lh3.googleusercontent.com/pw/AP1GczOBt7IadOuUGQIUsY_q_HKv1vPmSulx4Ba5rk1CBD5iXjoJwtVAJ2QadvluNGHyEipDQrwMjDms9UGMKVWWnFhpRJOGqNCTX4f_BcAN6j_PUcbduwgb=w1200|https://lh3.google"&amp;"usercontent.com/pw/AP1GczNPwNHPvXrCWVFvIj_PjPSVG6Q1uPgTDsFKhgvXAmc9yvFI-P_MW4xxm7SrKPzbMU3PBBM9Zu1qtx4SL0Lm1dvMxcapEf0nk-6RnDR5JkgFAqG1T2dW=w1200|https://lh3.googleusercontent.com/pw/AP1GczPfxdvdfLRSYURn-4PF0KFoV0t--_nJb0kut-PAlM830GozePf1if09Usof1x3CM00L"&amp;"XQkLxmWl1C0hWsAfkGvSMELJaP4s40wE2TSWSI1sjLpgMbgr=w1200|https://lh3.googleusercontent.com/pw/AP1GczNZ4JI9TtR6U_2aDe0IfhGXlpKxM0woUafvwguSVs8Qy4ah-RMbtdJYSw4bg5d20z0myI1mz2e-cYLmdelTR75mooZTpOvyvLh-xFGvBAo-0NAFL8ZR=w1200|https://lh3.googleusercontent.com/pw"&amp;"/AP1GczMr_xvhv8x3ChOmL2Jk6dPwCTB-FKAHb7-eRTofSiDJ38X-YA2otqbEykvzM1T1E8ZP9mwhf2RfahVEE5MS0cV3WMJxbG-zSFn7R3apYeC5tmDrys26=w1200|https://lh3.googleusercontent.com/pw/AP1GczOURSZtU1hsbpZYb_Ta32QeaFU0nruHjHhZxnqchVH7BNoJve7I2dpPQocMAZCFHqV4S8mlyqVdb7S7x2AXoF"&amp;"_lAUSUQaEIFbZk-RAJUlqUtXsVCPWk=w1200|https://lh3.googleusercontent.com/pw/AP1GczMo_z09SbkHSJKN8Sto05MzP_Mbhr4cVCWv1Tn9wK3GhYDVCyBEBxkSQSalJAkxcZXJwWmB1RyRPpleelooI4lKBqH3LCY0W5ip0P1T8P0bjuxVtcSg=w1200|https://lh3.googleusercontent.com/pw/AP1GczO7DQsT3w6a5"&amp;"gKooKhB6VUigB0BxiKXjXQ8lJ0UDoS1MskmVwqRu5dECUEwuBeFJbXqVpD_xpJ_ZkSJt4QFTzMV__H6w_67IDCK2xKVDtnQQ-r7RyIU=w1200|https://lh3.googleusercontent.com/pw/AP1GczMvhrdUrTlcPztyjNL01WpwyCj3P7fsVqowzTWRIv8rWmTvfL34aTBhltGVytzNFK31aKGYtFc-6GaUYqRbDtOAoruxajnpSwYAFO2p"&amp;"13y4EE37a8kO=w1200|https://lh3.googleusercontent.com/pw/AP1GczNxHKWdQd4u_CVjiQe-VtyAhGLcxadl2A6Wndm-dtnQuNVJvKtt3irtjKCMIvDoIPqrHhnB5ctsQYVaQA3ZQtG5JjqD4v8_nEyoLddjpht9cqRwWMM6=w1200|https://lh3.googleusercontent.com/pw/AP1GczPllGO09F9p0mPUhjhBguoGkq9IQuW"&amp;"-pu80h1kNrVrl3o3qI57oCdXEaCcjOyawHdu33T23VsH2S0IfyUg3KtyKgXrs8TtEilq669TS-9EHQLKooqJ1=w1200|https://lh3.googleusercontent.com/pw/AP1GczObdH9Z_uLsgDvr5TwQHogyl-eysAW0Ni2pYnHyL8cncLFlQsU6_muMXogp1Bw__j1CYP_UbTxMoS3-QhoIqp5DkJFYTOm2b4w-215Lsqxkvgl0S9L_=w1200"&amp;"|https://lh3.googleusercontent.com/pw/AP1GczNhZhGJw0pavVQ1Gxh8HCx3CX9sZu0DiA5B9alShSmOdg6vm0qfie9H90NpVYYt8kVojcIKuzWZXbKdFaQzUK5qlAwmVjXR8ok5lgd-pktbUAvMJmLY=w1200|https://lh3.googleusercontent.com/pw/AP1GczMAkDCjnd2h5rOpFdqhJA0KBKrLVz4VzhAEvQUpdCkbTqoug"&amp;"mpbjxeWxePuzlmfL9zRUhBnyAID-2AgoxWm8V4ti1BGms0xD0EKCtD5fDdsf5yTfSJ4=w1200|https://lh3.googleusercontent.com/pw/AP1GczOOyDzSJcMT4oa3i6cd-H--zqqoa-8O5hAm6cE4EeQRfp6JtWc597ZXFqCtzg2Yi-iuLt6NKqbG_RR5QK5KRn7dbYM7UtqADpU8zfurPWsonRlkUeha=w1200|https://lh3.googl"&amp;"eusercontent.com/pw/AP1GczMnTGydGX7c-VqclKxtouRn54IqUV8ouLhYkv3d3Np4df2oj1k4GaBTvfnpfbe0bqsYsr5vdEd4YONHq7Ofx7ZKinwFq4iN3c8geC3ekgNNEsBkJ43P=w1200|https://lh3.googleusercontent.com/pw/AP1GczO3YDfbLh8ii6jcaOvhpasWz2sqTMRKNo_lm7Wd2y-QUjV3fKqVPCF_diAfTxtSPMU"&amp;"TI7fn9uXXTr4OGGLjinOCxDyoAoi1v14b4x2Ti0QYRFp20YUK=w1200|https://lh3.googleusercontent.com/pw/AP1GczPovQty9SnjmRlhpyO9ySo2ks9xgL0WwZrCQMWQRThtRt8T61-0o4xXRC5gap3xYObHgUVc2XuNXdlBrIFXEEeXsByFGLNZGqrQV_nYrmu6nmLTQZeO=w1200|https://lh3.googleusercontent.com/p"&amp;"w/AP1GczPzsCcP5KYtgjcKVVYzY4lsUAaTJ17L2Zl4PQ-t9z1GcKiSN4V9FZflvt8_eW2VRnbAIYEzuLhxsJaW_gLCkV45t_Ang27Iv9fGWStYkUQcCV7UMYpO=w1200")</f>
        <v>https://lh3.googleusercontent.com/pw/AP1GczOynI5b_lyCAeQQbhEaWi2Y-N5304g0q7sXErCWLdYDNQT4OEdsk5Fj4R4pqTxa3TatrG6xGy31r-vwBi7D_tJVe-ewdISqL63RtNYA95HTndP4_71S=w1200|https://lh3.googleusercontent.com/pw/AP1GczN5b5XyPwZhhHXPhJYYxfAlYKZQx8SGz7pAc5nv-6S-0UrOtkiDS4GrCNlSx_q-e4nA4zC4I7hEiPDAur5q7zPyLH5AfU1VTnKEGdblaJfBbqM-Ewap=w1200|https://lh3.googleusercontent.com/pw/AP1GczOBt7IadOuUGQIUsY_q_HKv1vPmSulx4Ba5rk1CBD5iXjoJwtVAJ2QadvluNGHyEipDQrwMjDms9UGMKVWWnFhpRJOGqNCTX4f_BcAN6j_PUcbduwgb=w1200|https://lh3.googleusercontent.com/pw/AP1GczNPwNHPvXrCWVFvIj_PjPSVG6Q1uPgTDsFKhgvXAmc9yvFI-P_MW4xxm7SrKPzbMU3PBBM9Zu1qtx4SL0Lm1dvMxcapEf0nk-6RnDR5JkgFAqG1T2dW=w1200|https://lh3.googleusercontent.com/pw/AP1GczPfxdvdfLRSYURn-4PF0KFoV0t--_nJb0kut-PAlM830GozePf1if09Usof1x3CM00LXQkLxmWl1C0hWsAfkGvSMELJaP4s40wE2TSWSI1sjLpgMbgr=w1200|https://lh3.googleusercontent.com/pw/AP1GczNZ4JI9TtR6U_2aDe0IfhGXlpKxM0woUafvwguSVs8Qy4ah-RMbtdJYSw4bg5d20z0myI1mz2e-cYLmdelTR75mooZTpOvyvLh-xFGvBAo-0NAFL8ZR=w1200|https://lh3.googleusercontent.com/pw/AP1GczMr_xvhv8x3ChOmL2Jk6dPwCTB-FKAHb7-eRTofSiDJ38X-YA2otqbEykvzM1T1E8ZP9mwhf2RfahVEE5MS0cV3WMJxbG-zSFn7R3apYeC5tmDrys26=w1200|https://lh3.googleusercontent.com/pw/AP1GczOURSZtU1hsbpZYb_Ta32QeaFU0nruHjHhZxnqchVH7BNoJve7I2dpPQocMAZCFHqV4S8mlyqVdb7S7x2AXoF_lAUSUQaEIFbZk-RAJUlqUtXsVCPWk=w1200|https://lh3.googleusercontent.com/pw/AP1GczMo_z09SbkHSJKN8Sto05MzP_Mbhr4cVCWv1Tn9wK3GhYDVCyBEBxkSQSalJAkxcZXJwWmB1RyRPpleelooI4lKBqH3LCY0W5ip0P1T8P0bjuxVtcSg=w1200|https://lh3.googleusercontent.com/pw/AP1GczO7DQsT3w6a5gKooKhB6VUigB0BxiKXjXQ8lJ0UDoS1MskmVwqRu5dECUEwuBeFJbXqVpD_xpJ_ZkSJt4QFTzMV__H6w_67IDCK2xKVDtnQQ-r7RyIU=w1200|https://lh3.googleusercontent.com/pw/AP1GczMvhrdUrTlcPztyjNL01WpwyCj3P7fsVqowzTWRIv8rWmTvfL34aTBhltGVytzNFK31aKGYtFc-6GaUYqRbDtOAoruxajnpSwYAFO2p13y4EE37a8kO=w1200|https://lh3.googleusercontent.com/pw/AP1GczNxHKWdQd4u_CVjiQe-VtyAhGLcxadl2A6Wndm-dtnQuNVJvKtt3irtjKCMIvDoIPqrHhnB5ctsQYVaQA3ZQtG5JjqD4v8_nEyoLddjpht9cqRwWMM6=w1200|https://lh3.googleusercontent.com/pw/AP1GczPllGO09F9p0mPUhjhBguoGkq9IQuW-pu80h1kNrVrl3o3qI57oCdXEaCcjOyawHdu33T23VsH2S0IfyUg3KtyKgXrs8TtEilq669TS-9EHQLKooqJ1=w1200|https://lh3.googleusercontent.com/pw/AP1GczObdH9Z_uLsgDvr5TwQHogyl-eysAW0Ni2pYnHyL8cncLFlQsU6_muMXogp1Bw__j1CYP_UbTxMoS3-QhoIqp5DkJFYTOm2b4w-215Lsqxkvgl0S9L_=w1200|https://lh3.googleusercontent.com/pw/AP1GczNhZhGJw0pavVQ1Gxh8HCx3CX9sZu0DiA5B9alShSmOdg6vm0qfie9H90NpVYYt8kVojcIKuzWZXbKdFaQzUK5qlAwmVjXR8ok5lgd-pktbUAvMJmLY=w1200|https://lh3.googleusercontent.com/pw/AP1GczMAkDCjnd2h5rOpFdqhJA0KBKrLVz4VzhAEvQUpdCkbTqougmpbjxeWxePuzlmfL9zRUhBnyAID-2AgoxWm8V4ti1BGms0xD0EKCtD5fDdsf5yTfSJ4=w1200|https://lh3.googleusercontent.com/pw/AP1GczOOyDzSJcMT4oa3i6cd-H--zqqoa-8O5hAm6cE4EeQRfp6JtWc597ZXFqCtzg2Yi-iuLt6NKqbG_RR5QK5KRn7dbYM7UtqADpU8zfurPWsonRlkUeha=w1200|https://lh3.googleusercontent.com/pw/AP1GczMnTGydGX7c-VqclKxtouRn54IqUV8ouLhYkv3d3Np4df2oj1k4GaBTvfnpfbe0bqsYsr5vdEd4YONHq7Ofx7ZKinwFq4iN3c8geC3ekgNNEsBkJ43P=w1200|https://lh3.googleusercontent.com/pw/AP1GczO3YDfbLh8ii6jcaOvhpasWz2sqTMRKNo_lm7Wd2y-QUjV3fKqVPCF_diAfTxtSPMUTI7fn9uXXTr4OGGLjinOCxDyoAoi1v14b4x2Ti0QYRFp20YUK=w1200|https://lh3.googleusercontent.com/pw/AP1GczPovQty9SnjmRlhpyO9ySo2ks9xgL0WwZrCQMWQRThtRt8T61-0o4xXRC5gap3xYObHgUVc2XuNXdlBrIFXEEeXsByFGLNZGqrQV_nYrmu6nmLTQZeO=w1200|https://lh3.googleusercontent.com/pw/AP1GczPzsCcP5KYtgjcKVVYzY4lsUAaTJ17L2Zl4PQ-t9z1GcKiSN4V9FZflvt8_eW2VRnbAIYEzuLhxsJaW_gLCkV45t_Ang27Iv9fGWStYkUQcCV7UMYpO=w1200</v>
      </c>
      <c r="AJ559" s="46"/>
      <c r="AK559" s="46"/>
      <c r="AL559" s="46"/>
      <c r="AM559" s="46"/>
      <c r="AN559" s="46"/>
      <c r="AO559" s="46"/>
      <c r="AP559" s="46"/>
      <c r="AQ559" s="46"/>
      <c r="AR559" s="46"/>
      <c r="AS559" s="46"/>
      <c r="AT559" s="46"/>
      <c r="AU559" s="46"/>
      <c r="AV559" s="46"/>
      <c r="AW559" s="46"/>
      <c r="AX559" s="46"/>
      <c r="AY559" s="46"/>
      <c r="AZ559" s="46"/>
      <c r="BA559" s="46"/>
      <c r="BB559" s="46"/>
      <c r="BC559" s="46"/>
      <c r="BD559" s="46"/>
      <c r="BE559" s="46"/>
      <c r="BF559" s="46"/>
      <c r="BG559" s="46"/>
      <c r="BH559" s="46"/>
      <c r="BI559" s="46"/>
      <c r="BJ559" s="46"/>
      <c r="BK559" s="46"/>
      <c r="BL559" s="46"/>
      <c r="BM559" s="46"/>
      <c r="BN559" s="46"/>
      <c r="BO559" s="46"/>
      <c r="BP559" s="46"/>
      <c r="BQ559" s="46"/>
      <c r="BR559" s="46"/>
      <c r="BS559" s="46"/>
      <c r="BT559" s="46"/>
      <c r="BU559" s="46"/>
      <c r="BV559" s="46"/>
      <c r="BW559" s="46"/>
      <c r="BX559" s="46"/>
      <c r="BY559" s="46"/>
      <c r="BZ559" s="46"/>
      <c r="CA559" s="46"/>
      <c r="CB559" s="46"/>
      <c r="CC559" s="46"/>
    </row>
    <row r="560">
      <c r="A560" s="87" t="str">
        <f>IFERROR(__xludf.DUMMYFUNCTION("""COMPUTED_VALUE"""),"647")</f>
        <v>647</v>
      </c>
      <c r="B560" s="46" t="str">
        <f>IFERROR(__xludf.DUMMYFUNCTION("""COMPUTED_VALUE"""),"Apartamento en Conjunto Torres de San Telmo - Sur")</f>
        <v>Apartamento en Conjunto Torres de San Telmo - Sur</v>
      </c>
      <c r="C560" s="46" t="str">
        <f>IFERROR(__xludf.DUMMYFUNCTION("""COMPUTED_VALUE"""),"Apartamento en conjunto")</f>
        <v>Apartamento en conjunto</v>
      </c>
      <c r="D560" s="90" t="str">
        <f>IFERROR(__xludf.DUMMYFUNCTION("""COMPUTED_VALUE"""),"Canaima")</f>
        <v>Canaima</v>
      </c>
      <c r="E560" s="90" t="str">
        <f>IFERROR(__xludf.DUMMYFUNCTION("""COMPUTED_VALUE"""),"San Telmo")</f>
        <v>San Telmo</v>
      </c>
      <c r="F560" s="90">
        <f>IFERROR(__xludf.DUMMYFUNCTION("""COMPUTED_VALUE"""),1.49E8)</f>
        <v>149000000</v>
      </c>
      <c r="G560" s="46" t="str">
        <f>IFERROR(__xludf.DUMMYFUNCTION("""COMPUTED_VALUE"""),"$100'000.000 a $200'000.000")</f>
        <v>$100'000.000 a $200'000.000</v>
      </c>
      <c r="H560" s="46"/>
      <c r="I560" s="46"/>
      <c r="J560" s="46" t="str">
        <f>IFERROR(__xludf.DUMMYFUNCTION("""COMPUTED_VALUE"""),"Sur")</f>
        <v>Sur</v>
      </c>
      <c r="K560" s="87"/>
      <c r="L560" s="46">
        <f>IFERROR(__xludf.DUMMYFUNCTION("""COMPUTED_VALUE"""),3.0)</f>
        <v>3</v>
      </c>
      <c r="M560" s="46"/>
      <c r="N560" s="46">
        <f>IFERROR(__xludf.DUMMYFUNCTION("""COMPUTED_VALUE"""),2.0)</f>
        <v>2</v>
      </c>
      <c r="O560" s="46">
        <f>IFERROR(__xludf.DUMMYFUNCTION("""COMPUTED_VALUE"""),1.0)</f>
        <v>1</v>
      </c>
      <c r="P560" s="46">
        <f>IFERROR(__xludf.DUMMYFUNCTION("""COMPUTED_VALUE"""),2.0)</f>
        <v>2</v>
      </c>
      <c r="Q560" s="92">
        <f>IFERROR(__xludf.DUMMYFUNCTION("""COMPUTED_VALUE"""),0.0)</f>
        <v>0</v>
      </c>
      <c r="R560" s="92">
        <f>IFERROR(__xludf.DUMMYFUNCTION("""COMPUTED_VALUE"""),0.0)</f>
        <v>0</v>
      </c>
      <c r="S560" s="87" t="str">
        <f>IFERROR(__xludf.DUMMYFUNCTION("""COMPUTED_VALUE""")," ")</f>
        <v> </v>
      </c>
      <c r="T560" s="46" t="str">
        <f>IFERROR(__xludf.DUMMYFUNCTION("""COMPUTED_VALUE"""),"Neiva")</f>
        <v>Neiva</v>
      </c>
      <c r="U560" s="87" t="str">
        <f>IFERROR(__xludf.DUMMYFUNCTION("""COMPUTED_VALUE"""),"3")</f>
        <v>3</v>
      </c>
      <c r="V560" s="46" t="str">
        <f>IFERROR(__xludf.DUMMYFUNCTION("""COMPUTED_VALUE"""),"2do.")</f>
        <v>2do.</v>
      </c>
      <c r="W560" s="46"/>
      <c r="X560" s="46">
        <f>IFERROR(__xludf.DUMMYFUNCTION("""COMPUTED_VALUE"""),3.0)</f>
        <v>3</v>
      </c>
      <c r="Y560" s="46" t="str">
        <f>IFERROR(__xludf.DUMMYFUNCTION("""COMPUTED_VALUE"""),"Social")</f>
        <v>Social</v>
      </c>
      <c r="Z560" s="90">
        <f>IFERROR(__xludf.DUMMYFUNCTION("""COMPUTED_VALUE"""),0.0)</f>
        <v>0</v>
      </c>
      <c r="AA560" s="33" t="str">
        <f>IFERROR(__xludf.DUMMYFUNCTION("""COMPUTED_VALUE"""),"No aplica")</f>
        <v>No aplica</v>
      </c>
      <c r="AB560" s="144" t="str">
        <f>IFERROR(__xludf.DUMMYFUNCTION("""COMPUTED_VALUE"""),"https://photos.app.goo.gl/rszTRTzwuVtyFsAo6")</f>
        <v>https://photos.app.goo.gl/rszTRTzwuVtyFsAo6</v>
      </c>
      <c r="AC560" s="46" t="str">
        <f>IFERROR(__xludf.DUMMYFUNCTION("""COMPUTED_VALUE"""),"Cuenta con buenos acabados.")</f>
        <v>Cuenta con buenos acabados.</v>
      </c>
      <c r="AD560" s="46" t="str">
        <f>IFERROR(__xludf.DUMMYFUNCTION("""COMPUTED_VALUE"""),"Buena ubicación.  Parqueadero Comunal.")</f>
        <v>Buena ubicación.  Parqueadero Comunal.</v>
      </c>
      <c r="AE560" s="46"/>
      <c r="AF560" s="46" t="str">
        <f>IFERROR(__xludf.DUMMYFUNCTION("""COMPUTED_VALUE"""),"semi-integral")</f>
        <v>semi-integral</v>
      </c>
      <c r="AG560" s="46"/>
      <c r="AH560" s="46" t="str">
        <f>IFERROR(__xludf.DUMMYFUNCTION("""COMPUTED_VALUE"""),"Aliado")</f>
        <v>Aliado</v>
      </c>
      <c r="AI560" s="92" t="str">
        <f>IFERROR(__xludf.DUMMYFUNCTION("""COMPUTED_VALUE"""),"https://lh3.googleusercontent.com/pw/AP1GczO-XXMxyvOHtqMEejQ5z1wY4cQO4i7hINJ-C6bF25ZsVc7MtRFhpcS-bpSyEJbIHy35g9zjdppR3E_XRI9MsJzaS0d80kIOvuf4RY8lmiyuT4-fHmsa=w1200|https://lh3.googleusercontent.com/pw/AP1GczOrTrP6HN483Iu-Ec_fPkZW3Ac6bE8VFZfCuvqo9JXtUZtUZU"&amp;"RRe_geq4_Rz-ROBQ9MD77IWHyu6s3wFWAq_8bcu1kffs5SOeis-rodKoOdATgsKb0p=w1200|https://lh3.googleusercontent.com/pw/AP1GczNS0m6Ueq1V7xAQ6_xTwJXKETeiLBOt1MWoZj1tJJWyNexuRhJ3uDGVDgujGVyXFkr4mbujTBvO_tr1ZfiGXNfAhgoWLiYN9EfhE2yT0a1OFM-rXEYb=w1200|https://lh3.google"&amp;"usercontent.com/pw/AP1GczPtyZzzEyfct470WHIkvqwNxogOi7tofMf5f2EmJ_dnTyHAs_LV5SRRkuvD6Zc4Sez7FE-AQHja3PCOLCkJR6j_XC3rPmIYorEwYN-xNNvLzTmnBTRa=w1200|https://lh3.googleusercontent.com/pw/AP1GczN0y_1vIh-Fu88Fs9zC7V0vNPpXbfoYT1eisDgxYUyEyUnqxdkqStdZTuPDQbGdfYqv"&amp;"Pswgq1d-s3M-KM5rAEjIDSL-oPezRtJoKtChOYfjowv16VTs=w1200|https://lh3.googleusercontent.com/pw/AP1GczOmVhY_C-SwVWuqHFfBITqULbZQjFTrnrC2gYI8pn895Y971fDgQ71PDusOJ_ytLW2psCMDuGSCKs6QfNAwCx80NiwWrzIugGlKYTBE8dYsz16bHZh7=w1200|https://lh3.googleusercontent.com/pw"&amp;"/AP1GczP1qweUXGAeROZZiF-CcfZzYOkQJ38XdLjU_0TxTIzlaKGf9B07wdT-NwygBSWxveJK-9Y7r3AsTZcshcV300IEzx-ck3NTHpv3yb0-0tJVTYBMbFOr=w1200|https://lh3.googleusercontent.com/pw/AP1GczOT4ezfBZm20elH1gM4mUefbJMQLabFtZHJJk311P9B2I23wf5VCfxVfKRwjfXx62fLxVvJEbU2ebo6fqBFjN"&amp;"fzr83tg4BSOWhln1tTFcuShQi9lPwg=w1200|https://lh3.googleusercontent.com/pw/AP1GczNMo14AbD_KKcf34S2dLZ0yEZD2vArgTULVGf472SBkbBKx7cLqOu1b-BkSYd7bOm9hOZxMd3jwqzfLJ1zWCgKkk349e6K6bBnq5_8uBdAP118HjKxb=w1200|https://lh3.googleusercontent.com/pw/AP1GczO2GuFdVkH1d"&amp;"QATZDgkhXux9HhDVRWVCdwNMozKuUvZIrAIz2rID1YvDCNtVkziFrdH6mUjzgAeFYBTFj2hxTY7l1AVNw1EPDiqZPGFtu2XpnM0oEf0=w1200")</f>
        <v>https://lh3.googleusercontent.com/pw/AP1GczO-XXMxyvOHtqMEejQ5z1wY4cQO4i7hINJ-C6bF25ZsVc7MtRFhpcS-bpSyEJbIHy35g9zjdppR3E_XRI9MsJzaS0d80kIOvuf4RY8lmiyuT4-fHmsa=w1200|https://lh3.googleusercontent.com/pw/AP1GczOrTrP6HN483Iu-Ec_fPkZW3Ac6bE8VFZfCuvqo9JXtUZtUZURRe_geq4_Rz-ROBQ9MD77IWHyu6s3wFWAq_8bcu1kffs5SOeis-rodKoOdATgsKb0p=w1200|https://lh3.googleusercontent.com/pw/AP1GczNS0m6Ueq1V7xAQ6_xTwJXKETeiLBOt1MWoZj1tJJWyNexuRhJ3uDGVDgujGVyXFkr4mbujTBvO_tr1ZfiGXNfAhgoWLiYN9EfhE2yT0a1OFM-rXEYb=w1200|https://lh3.googleusercontent.com/pw/AP1GczPtyZzzEyfct470WHIkvqwNxogOi7tofMf5f2EmJ_dnTyHAs_LV5SRRkuvD6Zc4Sez7FE-AQHja3PCOLCkJR6j_XC3rPmIYorEwYN-xNNvLzTmnBTRa=w1200|https://lh3.googleusercontent.com/pw/AP1GczN0y_1vIh-Fu88Fs9zC7V0vNPpXbfoYT1eisDgxYUyEyUnqxdkqStdZTuPDQbGdfYqvPswgq1d-s3M-KM5rAEjIDSL-oPezRtJoKtChOYfjowv16VTs=w1200|https://lh3.googleusercontent.com/pw/AP1GczOmVhY_C-SwVWuqHFfBITqULbZQjFTrnrC2gYI8pn895Y971fDgQ71PDusOJ_ytLW2psCMDuGSCKs6QfNAwCx80NiwWrzIugGlKYTBE8dYsz16bHZh7=w1200|https://lh3.googleusercontent.com/pw/AP1GczP1qweUXGAeROZZiF-CcfZzYOkQJ38XdLjU_0TxTIzlaKGf9B07wdT-NwygBSWxveJK-9Y7r3AsTZcshcV300IEzx-ck3NTHpv3yb0-0tJVTYBMbFOr=w1200|https://lh3.googleusercontent.com/pw/AP1GczOT4ezfBZm20elH1gM4mUefbJMQLabFtZHJJk311P9B2I23wf5VCfxVfKRwjfXx62fLxVvJEbU2ebo6fqBFjNfzr83tg4BSOWhln1tTFcuShQi9lPwg=w1200|https://lh3.googleusercontent.com/pw/AP1GczNMo14AbD_KKcf34S2dLZ0yEZD2vArgTULVGf472SBkbBKx7cLqOu1b-BkSYd7bOm9hOZxMd3jwqzfLJ1zWCgKkk349e6K6bBnq5_8uBdAP118HjKxb=w1200|https://lh3.googleusercontent.com/pw/AP1GczO2GuFdVkH1dQATZDgkhXux9HhDVRWVCdwNMozKuUvZIrAIz2rID1YvDCNtVkziFrdH6mUjzgAeFYBTFj2hxTY7l1AVNw1EPDiqZPGFtu2XpnM0oEf0=w1200</v>
      </c>
      <c r="AJ560" s="46"/>
      <c r="AK560" s="46"/>
      <c r="AL560" s="46"/>
      <c r="AM560" s="46"/>
      <c r="AN560" s="46"/>
      <c r="AO560" s="46"/>
      <c r="AP560" s="46"/>
      <c r="AQ560" s="46"/>
      <c r="AR560" s="46"/>
      <c r="AS560" s="46"/>
      <c r="AT560" s="46"/>
      <c r="AU560" s="46"/>
      <c r="AV560" s="46"/>
      <c r="AW560" s="46"/>
      <c r="AX560" s="46"/>
      <c r="AY560" s="46"/>
      <c r="AZ560" s="46"/>
      <c r="BA560" s="46"/>
      <c r="BB560" s="46"/>
      <c r="BC560" s="46"/>
      <c r="BD560" s="46"/>
      <c r="BE560" s="46"/>
      <c r="BF560" s="46"/>
      <c r="BG560" s="46"/>
      <c r="BH560" s="46"/>
      <c r="BI560" s="46"/>
      <c r="BJ560" s="46"/>
      <c r="BK560" s="46"/>
      <c r="BL560" s="46"/>
      <c r="BM560" s="46"/>
      <c r="BN560" s="46"/>
      <c r="BO560" s="46"/>
      <c r="BP560" s="46"/>
      <c r="BQ560" s="46"/>
      <c r="BR560" s="46"/>
      <c r="BS560" s="46"/>
      <c r="BT560" s="46"/>
      <c r="BU560" s="46"/>
      <c r="BV560" s="46"/>
      <c r="BW560" s="46"/>
      <c r="BX560" s="46"/>
      <c r="BY560" s="46"/>
      <c r="BZ560" s="46"/>
      <c r="CA560" s="46"/>
      <c r="CB560" s="46"/>
      <c r="CC560" s="46"/>
    </row>
    <row r="561">
      <c r="A561" s="87" t="str">
        <f>IFERROR(__xludf.DUMMYFUNCTION("""COMPUTED_VALUE"""),"360")</f>
        <v>360</v>
      </c>
      <c r="B561" s="46" t="str">
        <f>IFERROR(__xludf.DUMMYFUNCTION("""COMPUTED_VALUE"""),"Apartamento en Conjunto Residencial Goya")</f>
        <v>Apartamento en Conjunto Residencial Goya</v>
      </c>
      <c r="C561" s="46" t="str">
        <f>IFERROR(__xludf.DUMMYFUNCTION("""COMPUTED_VALUE"""),"Apartamento en conjunto")</f>
        <v>Apartamento en conjunto</v>
      </c>
      <c r="D561" s="90" t="str">
        <f>IFERROR(__xludf.DUMMYFUNCTION("""COMPUTED_VALUE"""),"Canaima")</f>
        <v>Canaima</v>
      </c>
      <c r="E561" s="90" t="str">
        <f>IFERROR(__xludf.DUMMYFUNCTION("""COMPUTED_VALUE"""),"Goya")</f>
        <v>Goya</v>
      </c>
      <c r="F561" s="90">
        <f>IFERROR(__xludf.DUMMYFUNCTION("""COMPUTED_VALUE"""),1.4E8)</f>
        <v>140000000</v>
      </c>
      <c r="G561" s="46" t="str">
        <f>IFERROR(__xludf.DUMMYFUNCTION("""COMPUTED_VALUE"""),"$100'000.000 a $200'000.000")</f>
        <v>$100'000.000 a $200'000.000</v>
      </c>
      <c r="H561" s="46"/>
      <c r="I561" s="46"/>
      <c r="J561" s="46" t="str">
        <f>IFERROR(__xludf.DUMMYFUNCTION("""COMPUTED_VALUE"""),"Sur")</f>
        <v>Sur</v>
      </c>
      <c r="K561" s="87"/>
      <c r="L561" s="46">
        <f>IFERROR(__xludf.DUMMYFUNCTION("""COMPUTED_VALUE"""),3.0)</f>
        <v>3</v>
      </c>
      <c r="M561" s="46"/>
      <c r="N561" s="46">
        <f>IFERROR(__xludf.DUMMYFUNCTION("""COMPUTED_VALUE"""),1.0)</f>
        <v>1</v>
      </c>
      <c r="O561" s="46">
        <f>IFERROR(__xludf.DUMMYFUNCTION("""COMPUTED_VALUE"""),0.0)</f>
        <v>0</v>
      </c>
      <c r="P561" s="46">
        <f>IFERROR(__xludf.DUMMYFUNCTION("""COMPUTED_VALUE"""),3.0)</f>
        <v>3</v>
      </c>
      <c r="Q561" s="92">
        <f>IFERROR(__xludf.DUMMYFUNCTION("""COMPUTED_VALUE"""),60.0)</f>
        <v>60</v>
      </c>
      <c r="R561" s="92">
        <f>IFERROR(__xludf.DUMMYFUNCTION("""COMPUTED_VALUE"""),60.0)</f>
        <v>60</v>
      </c>
      <c r="S561" s="87" t="str">
        <f>IFERROR(__xludf.DUMMYFUNCTION("""COMPUTED_VALUE""")," ")</f>
        <v> </v>
      </c>
      <c r="T561" s="46" t="str">
        <f>IFERROR(__xludf.DUMMYFUNCTION("""COMPUTED_VALUE"""),"Neiva")</f>
        <v>Neiva</v>
      </c>
      <c r="U561" s="87" t="str">
        <f>IFERROR(__xludf.DUMMYFUNCTION("""COMPUTED_VALUE"""),"3")</f>
        <v>3</v>
      </c>
      <c r="V561" s="46" t="str">
        <f>IFERROR(__xludf.DUMMYFUNCTION("""COMPUTED_VALUE"""),"3er.")</f>
        <v>3er.</v>
      </c>
      <c r="W561" s="46"/>
      <c r="X561" s="46">
        <f>IFERROR(__xludf.DUMMYFUNCTION("""COMPUTED_VALUE"""),3.0)</f>
        <v>3</v>
      </c>
      <c r="Y561" s="46" t="str">
        <f>IFERROR(__xludf.DUMMYFUNCTION("""COMPUTED_VALUE"""),"Social")</f>
        <v>Social</v>
      </c>
      <c r="Z561" s="90">
        <f>IFERROR(__xludf.DUMMYFUNCTION("""COMPUTED_VALUE"""),121000.0)</f>
        <v>121000</v>
      </c>
      <c r="AA561" s="33" t="str">
        <f>IFERROR(__xludf.DUMMYFUNCTION("""COMPUTED_VALUE"""),"No aplica")</f>
        <v>No aplica</v>
      </c>
      <c r="AB561" s="144" t="str">
        <f>IFERROR(__xludf.DUMMYFUNCTION("""COMPUTED_VALUE"""),"https://photos.app.goo.gl/HjEmqZ8fKohKdfX48")</f>
        <v>https://photos.app.goo.gl/HjEmqZ8fKohKdfX48</v>
      </c>
      <c r="AC561" s="46" t="str">
        <f>IFERROR(__xludf.DUMMYFUNCTION("""COMPUTED_VALUE"""),"Cuenta con buenos acabados.")</f>
        <v>Cuenta con buenos acabados.</v>
      </c>
      <c r="AD561" s="46" t="str">
        <f>IFERROR(__xludf.DUMMYFUNCTION("""COMPUTED_VALUE"""),"No cuenta con ascensor.")</f>
        <v>No cuenta con ascensor.</v>
      </c>
      <c r="AE561" s="46"/>
      <c r="AF561" s="46" t="str">
        <f>IFERROR(__xludf.DUMMYFUNCTION("""COMPUTED_VALUE"""),"integral")</f>
        <v>integral</v>
      </c>
      <c r="AG561" s="46"/>
      <c r="AH561" s="46" t="str">
        <f>IFERROR(__xludf.DUMMYFUNCTION("""COMPUTED_VALUE"""),"Aliado")</f>
        <v>Aliado</v>
      </c>
      <c r="AI561" s="92" t="str">
        <f>IFERROR(__xludf.DUMMYFUNCTION("""COMPUTED_VALUE"""),"https://lh3.googleusercontent.com/pw/AP1GczOWHmyBoTDvTsKkOZ_fu3yMJ-QhJi3ZRFYBp1gHFqHE73pKKR-N6n96deKnMfn1ag_t5aBeaVpNLbxBv5oulQGQumOFRRB_GRJcYSBWcTXHj2F-60x0=w1200|https://lh3.googleusercontent.com/pw/AP1GczMicEfydWrqjmZ6V6snSCnuNHtIchq_asEMYdYVO3MgXcuiwJ"&amp;"nIPRtnilpZ_tXIj812x3S_FvrZKkGRTniYcAjAPwu8q045cgHINqmwRC_CR5vZ6OWX=w1200|https://lh3.googleusercontent.com/pw/AP1GczNLt31vKSlgzQFJLLvjNwYAZk4_X1Vhj-grwKMqmd3MF6d16_D-Hi11fKPXZsxAr-QRTPM5SYtoIqqJ63j30iWDvsTAqDUSgvDU8Lo0Z2NbgyGXg1GM=w1200|https://lh3.google"&amp;"usercontent.com/pw/AP1GczODcQ-akzt1cTUvpJKb0-I_vCCBDY0eOH_V3ybuQ2jKfgq41F4JFVsNk8wgR9nvdQ0k3wTRC2Fgwqd3Tib9WynQBbDnTSffaz6BlDbPWTMZ7SobSbNV=w1200|https://lh3.googleusercontent.com/pw/AP1GczOid-m2NI1JdntltbA9CGjskl3n2fIhkgwG8rN55mgOIyo8nhS-snj110bb6kkaDssA"&amp;"r3UB-ApcuXOvm2iRxWxvySm8oxShw2Q3FelPJfcFRqSwVgce=w1200|https://lh3.googleusercontent.com/pw/AP1GczOTZwGBTmwqFKRJFxYSQUIoo2VWtSj63igimPCefO6BN8xbU-J5vFcQlDpjJYBBPzLDhkhgwzQ0nUgj0eb4Qf54yhuCWTFNAKqgaKbi8dbhw-MZpOtv=w1200|https://lh3.googleusercontent.com/pw"&amp;"/AP1GczMK-FgItJaZoElKLY8axoDVK6YazGsjDoXp3ynseShfIg6DijO1FY7S2-VlB6wOf7UjutzngmjZkRkUUVI4RpLdnY6ekD5ARwTI2DMNej9PLGSpK1Xa=w1200|https://lh3.googleusercontent.com/pw/AP1GczPFRfypkCeLlmxV-NWg4zIRH_IlTzhoxQszUW-G2h-mPSuzseAFBR_rAVGxCqf-BqAPyqxyzh_-cliGWq4Aav"&amp;"Kx0lOr8zDKo8Alpuv-aTPwB3jSopY3=w1200|https://lh3.googleusercontent.com/pw/AP1GczPAeRH3bup3YQUxB-5JvfdJ832NWR5XQ50aB-i0z9Dwmw0BbwQmQTAciectFcX88UEssnCJ5LTPHKAR5qbKnBz88mohqbbYTEy0uQV9Bn_4dkLEUDgJ=w1200|https://lh3.googleusercontent.com/pw/AP1GczPtz-nsqbYjJ"&amp;"5Enut-lqXJ35w0ykZFW-nCbfKOArHq0ERdLZ_-LeO-13pfd2dAF71LsrmpgFUif5ar9VT0wzLPKOBdq6FPXi1cKRsMuIJsLMEqNXhz3=w1200|https://lh3.googleusercontent.com/pw/AP1GczOPMtxwfIgW1G2svOlIYDoyrLkVzAC9qCuCAGSJGPo46Jsp67XEQtEDgEuAFqpAWmlXH3zSCnLA_7RfLiOmL8MYtGzUlMfThFuMDGM8"&amp;"F-k4mLZ06bJO=w1200|https://lh3.googleusercontent.com/pw/AP1GczM0GBlpGC_gwLzd2-ESUxArgtYuU4w8bzjR54p9g1Hy7F_Xvrn5L1NMY-z4L5w4kuDnRAWqiHXrDAGo0lTtzgg-iB1_HA36mMz4Pu_ncb4_vowOJKeF=w1200")</f>
        <v>https://lh3.googleusercontent.com/pw/AP1GczOWHmyBoTDvTsKkOZ_fu3yMJ-QhJi3ZRFYBp1gHFqHE73pKKR-N6n96deKnMfn1ag_t5aBeaVpNLbxBv5oulQGQumOFRRB_GRJcYSBWcTXHj2F-60x0=w1200|https://lh3.googleusercontent.com/pw/AP1GczMicEfydWrqjmZ6V6snSCnuNHtIchq_asEMYdYVO3MgXcuiwJnIPRtnilpZ_tXIj812x3S_FvrZKkGRTniYcAjAPwu8q045cgHINqmwRC_CR5vZ6OWX=w1200|https://lh3.googleusercontent.com/pw/AP1GczNLt31vKSlgzQFJLLvjNwYAZk4_X1Vhj-grwKMqmd3MF6d16_D-Hi11fKPXZsxAr-QRTPM5SYtoIqqJ63j30iWDvsTAqDUSgvDU8Lo0Z2NbgyGXg1GM=w1200|https://lh3.googleusercontent.com/pw/AP1GczODcQ-akzt1cTUvpJKb0-I_vCCBDY0eOH_V3ybuQ2jKfgq41F4JFVsNk8wgR9nvdQ0k3wTRC2Fgwqd3Tib9WynQBbDnTSffaz6BlDbPWTMZ7SobSbNV=w1200|https://lh3.googleusercontent.com/pw/AP1GczOid-m2NI1JdntltbA9CGjskl3n2fIhkgwG8rN55mgOIyo8nhS-snj110bb6kkaDssAr3UB-ApcuXOvm2iRxWxvySm8oxShw2Q3FelPJfcFRqSwVgce=w1200|https://lh3.googleusercontent.com/pw/AP1GczOTZwGBTmwqFKRJFxYSQUIoo2VWtSj63igimPCefO6BN8xbU-J5vFcQlDpjJYBBPzLDhkhgwzQ0nUgj0eb4Qf54yhuCWTFNAKqgaKbi8dbhw-MZpOtv=w1200|https://lh3.googleusercontent.com/pw/AP1GczMK-FgItJaZoElKLY8axoDVK6YazGsjDoXp3ynseShfIg6DijO1FY7S2-VlB6wOf7UjutzngmjZkRkUUVI4RpLdnY6ekD5ARwTI2DMNej9PLGSpK1Xa=w1200|https://lh3.googleusercontent.com/pw/AP1GczPFRfypkCeLlmxV-NWg4zIRH_IlTzhoxQszUW-G2h-mPSuzseAFBR_rAVGxCqf-BqAPyqxyzh_-cliGWq4AavKx0lOr8zDKo8Alpuv-aTPwB3jSopY3=w1200|https://lh3.googleusercontent.com/pw/AP1GczPAeRH3bup3YQUxB-5JvfdJ832NWR5XQ50aB-i0z9Dwmw0BbwQmQTAciectFcX88UEssnCJ5LTPHKAR5qbKnBz88mohqbbYTEy0uQV9Bn_4dkLEUDgJ=w1200|https://lh3.googleusercontent.com/pw/AP1GczPtz-nsqbYjJ5Enut-lqXJ35w0ykZFW-nCbfKOArHq0ERdLZ_-LeO-13pfd2dAF71LsrmpgFUif5ar9VT0wzLPKOBdq6FPXi1cKRsMuIJsLMEqNXhz3=w1200|https://lh3.googleusercontent.com/pw/AP1GczOPMtxwfIgW1G2svOlIYDoyrLkVzAC9qCuCAGSJGPo46Jsp67XEQtEDgEuAFqpAWmlXH3zSCnLA_7RfLiOmL8MYtGzUlMfThFuMDGM8F-k4mLZ06bJO=w1200|https://lh3.googleusercontent.com/pw/AP1GczM0GBlpGC_gwLzd2-ESUxArgtYuU4w8bzjR54p9g1Hy7F_Xvrn5L1NMY-z4L5w4kuDnRAWqiHXrDAGo0lTtzgg-iB1_HA36mMz4Pu_ncb4_vowOJKeF=w1200</v>
      </c>
      <c r="AJ561" s="46"/>
      <c r="AK561" s="46"/>
      <c r="AL561" s="46"/>
      <c r="AM561" s="46"/>
      <c r="AN561" s="46"/>
      <c r="AO561" s="46"/>
      <c r="AP561" s="46"/>
      <c r="AQ561" s="46"/>
      <c r="AR561" s="46"/>
      <c r="AS561" s="46"/>
      <c r="AT561" s="46"/>
      <c r="AU561" s="46"/>
      <c r="AV561" s="46"/>
      <c r="AW561" s="46"/>
      <c r="AX561" s="46"/>
      <c r="AY561" s="46"/>
      <c r="AZ561" s="46"/>
      <c r="BA561" s="46"/>
      <c r="BB561" s="46"/>
      <c r="BC561" s="46"/>
      <c r="BD561" s="46"/>
      <c r="BE561" s="46"/>
      <c r="BF561" s="46"/>
      <c r="BG561" s="46"/>
      <c r="BH561" s="46"/>
      <c r="BI561" s="46"/>
      <c r="BJ561" s="46"/>
      <c r="BK561" s="46"/>
      <c r="BL561" s="46"/>
      <c r="BM561" s="46"/>
      <c r="BN561" s="46"/>
      <c r="BO561" s="46"/>
      <c r="BP561" s="46"/>
      <c r="BQ561" s="46"/>
      <c r="BR561" s="46"/>
      <c r="BS561" s="46"/>
      <c r="BT561" s="46"/>
      <c r="BU561" s="46"/>
      <c r="BV561" s="46"/>
      <c r="BW561" s="46"/>
      <c r="BX561" s="46"/>
      <c r="BY561" s="46"/>
      <c r="BZ561" s="46"/>
      <c r="CA561" s="46"/>
      <c r="CB561" s="46"/>
      <c r="CC561" s="46"/>
    </row>
    <row r="562">
      <c r="A562" s="87" t="str">
        <f>IFERROR(__xludf.DUMMYFUNCTION("""COMPUTED_VALUE"""),"464")</f>
        <v>464</v>
      </c>
      <c r="B562" s="46" t="str">
        <f>IFERROR(__xludf.DUMMYFUNCTION("""COMPUTED_VALUE"""),"Apartamento en Cuarto Centenario - Agrupación E")</f>
        <v>Apartamento en Cuarto Centenario - Agrupación E</v>
      </c>
      <c r="C562" s="46" t="str">
        <f>IFERROR(__xludf.DUMMYFUNCTION("""COMPUTED_VALUE"""),"Apartamento")</f>
        <v>Apartamento</v>
      </c>
      <c r="D562" s="46" t="str">
        <f>IFERROR(__xludf.DUMMYFUNCTION("""COMPUTED_VALUE"""),"Cuarto Centenario")</f>
        <v>Cuarto Centenario</v>
      </c>
      <c r="E562" s="46"/>
      <c r="F562" s="90">
        <f>IFERROR(__xludf.DUMMYFUNCTION("""COMPUTED_VALUE"""),9.0E7)</f>
        <v>90000000</v>
      </c>
      <c r="G562" s="46" t="str">
        <f>IFERROR(__xludf.DUMMYFUNCTION("""COMPUTED_VALUE"""),"$0 a $100'000.000")</f>
        <v>$0 a $100'000.000</v>
      </c>
      <c r="H562" s="46"/>
      <c r="I562" s="46"/>
      <c r="J562" s="46" t="str">
        <f>IFERROR(__xludf.DUMMYFUNCTION("""COMPUTED_VALUE"""),"Sur")</f>
        <v>Sur</v>
      </c>
      <c r="K562" s="87"/>
      <c r="L562" s="46">
        <f>IFERROR(__xludf.DUMMYFUNCTION("""COMPUTED_VALUE"""),2.0)</f>
        <v>2</v>
      </c>
      <c r="M562" s="46"/>
      <c r="N562" s="46">
        <f>IFERROR(__xludf.DUMMYFUNCTION("""COMPUTED_VALUE"""),1.0)</f>
        <v>1</v>
      </c>
      <c r="O562" s="46">
        <f>IFERROR(__xludf.DUMMYFUNCTION("""COMPUTED_VALUE"""),0.0)</f>
        <v>0</v>
      </c>
      <c r="P562" s="46">
        <f>IFERROR(__xludf.DUMMYFUNCTION("""COMPUTED_VALUE"""),5.0)</f>
        <v>5</v>
      </c>
      <c r="Q562" s="92">
        <f>IFERROR(__xludf.DUMMYFUNCTION("""COMPUTED_VALUE"""),50.0)</f>
        <v>50</v>
      </c>
      <c r="R562" s="92">
        <f>IFERROR(__xludf.DUMMYFUNCTION("""COMPUTED_VALUE"""),50.0)</f>
        <v>50</v>
      </c>
      <c r="S562" s="87" t="str">
        <f>IFERROR(__xludf.DUMMYFUNCTION("""COMPUTED_VALUE""")," ")</f>
        <v> </v>
      </c>
      <c r="T562" s="46" t="str">
        <f>IFERROR(__xludf.DUMMYFUNCTION("""COMPUTED_VALUE"""),"Neiva")</f>
        <v>Neiva</v>
      </c>
      <c r="U562" s="87" t="str">
        <f>IFERROR(__xludf.DUMMYFUNCTION("""COMPUTED_VALUE"""),"2")</f>
        <v>2</v>
      </c>
      <c r="V562" s="46" t="str">
        <f>IFERROR(__xludf.DUMMYFUNCTION("""COMPUTED_VALUE"""),"5to.")</f>
        <v>5to.</v>
      </c>
      <c r="W562" s="46"/>
      <c r="X562" s="46">
        <f>IFERROR(__xludf.DUMMYFUNCTION("""COMPUTED_VALUE"""),2.0)</f>
        <v>2</v>
      </c>
      <c r="Y562" s="46" t="str">
        <f>IFERROR(__xludf.DUMMYFUNCTION("""COMPUTED_VALUE"""),"No tiene")</f>
        <v>No tiene</v>
      </c>
      <c r="Z562" s="90" t="str">
        <f>IFERROR(__xludf.DUMMYFUNCTION("""COMPUTED_VALUE"""),"No aplica")</f>
        <v>No aplica</v>
      </c>
      <c r="AA562" s="33" t="str">
        <f>IFERROR(__xludf.DUMMYFUNCTION("""COMPUTED_VALUE"""),"No aplica")</f>
        <v>No aplica</v>
      </c>
      <c r="AB562" s="144" t="str">
        <f>IFERROR(__xludf.DUMMYFUNCTION("""COMPUTED_VALUE"""),"https://photos.app.goo.gl/NzyccJx5jNa9GivNA")</f>
        <v>https://photos.app.goo.gl/NzyccJx5jNa9GivNA</v>
      </c>
      <c r="AC562" s="46" t="str">
        <f>IFERROR(__xludf.DUMMYFUNCTION("""COMPUTED_VALUE"""),"Cuenta con buenos acabados.")</f>
        <v>Cuenta con buenos acabados.</v>
      </c>
      <c r="AD562" s="46" t="str">
        <f>IFERROR(__xludf.DUMMYFUNCTION("""COMPUTED_VALUE"""),"No cuenta con ascensor.")</f>
        <v>No cuenta con ascensor.</v>
      </c>
      <c r="AE562" s="46"/>
      <c r="AF562" s="46" t="str">
        <f>IFERROR(__xludf.DUMMYFUNCTION("""COMPUTED_VALUE"""),"integral")</f>
        <v>integral</v>
      </c>
      <c r="AG562" s="46"/>
      <c r="AH562" s="46" t="str">
        <f>IFERROR(__xludf.DUMMYFUNCTION("""COMPUTED_VALUE"""),"Aliado")</f>
        <v>Aliado</v>
      </c>
      <c r="AI562" s="92" t="str">
        <f>IFERROR(__xludf.DUMMYFUNCTION("""COMPUTED_VALUE"""),"https://lh3.googleusercontent.com/pw/AP1GczO2KVtlUcn3UK6OFcizCZdnXcDNeQKN-VilXb1Ic0bJhuHkJ8A-GrKP_-x_SdgNwMtSplHJE-fLVQoRsFJ0DMwBM5nhrWQPb_eUDJm5pitAKSYeevaP=w1200|https://lh3.googleusercontent.com/pw/AP1GczM_6fBlQ7Lf8fK50y8WLKC8eOUYw5JyS2MWePwVnVnrRd9wul"&amp;"F767UngLPu1vztIaQfqedKxr-DxtKfl-RFZINtRJGjmUtLWPnqqNXDlZ36LmS_Pyd_=w1200|https://lh3.googleusercontent.com/pw/AP1GczPF2I3kLGC-uox4tJeHHCBoSSMPG0kYaFxbokOfw7M-Y-X5w_fIVrSk64kyuRyNTW7KCTSvmx542v2pNRXRl7YB3J61fi273ioteJcBtzXbVtsT9MgH=w1200|https://lh3.google"&amp;"usercontent.com/pw/AP1GczN6yn7b_lEfwCKs4Ryv0RbQ7PEMnNvr5SoooZqqZf6n7qb-5aCj5nBKGlBof03LI9h-IWWMdMzpVvpPDZjegicxJvRh8Dx4e63gnH_vf8jTCtQGinQK=w1200|https://lh3.googleusercontent.com/pw/AP1GczNgnxoEjsOoUCt9eUvwZvOQO1J4sHvEfFGL6nzHoaoJDqDq9cVdYC1Jod-keY97mFvb"&amp;"9qD94E0frQl106VjlJnwYhxYLuUEJAYVayZXnaqaOMfuqZWE=w1200|https://lh3.googleusercontent.com/pw/AP1GczPANtZgy36zsZZIucPRQiYJh0JaO4z0gFHApDuG7OrrzPeamSApVFjquFtP8YCRY-6ltF-iTqFsmPzs7Lv5atW7GcI3uKXOAGFVfkErA0Rvd2PvVAQw=w1200|https://lh3.googleusercontent.com/pw"&amp;"/AP1GczMOexWSaafh4t-mhmOoipeRbeIkBHqlupPI-UIuzTchCSx2Bq_0NvQpGT2ZLGlJn7ZmInAg-xfs0KDu23wjvADmY5yg9Gie_HuEethDd1SnjdsiWtL3=w1200|https://lh3.googleusercontent.com/pw/AP1GczMXZ9jtG77FA0E6432yV06FON6Kiu2ghrJMORF8tE3YZQMAr2gNHWaXse_MCA3egnbU1HM1CDJvUHu3PIkqaB"&amp;"c0NAwM4BMcB8TXvpL8h11Jdw2sURyi=w1200|https://lh3.googleusercontent.com/pw/AP1GczMtvrUUUK07nw9T-ww7ERIUU-0qVxY_h_3Nbp_lXDH1NL-ngWkjXvTt2pY5vhGYk8JucPjzfE-iKijSgH2isIFe5ThZvlP7aLzXjahW_G3TpNNLJScA=w1200")</f>
        <v>https://lh3.googleusercontent.com/pw/AP1GczO2KVtlUcn3UK6OFcizCZdnXcDNeQKN-VilXb1Ic0bJhuHkJ8A-GrKP_-x_SdgNwMtSplHJE-fLVQoRsFJ0DMwBM5nhrWQPb_eUDJm5pitAKSYeevaP=w1200|https://lh3.googleusercontent.com/pw/AP1GczM_6fBlQ7Lf8fK50y8WLKC8eOUYw5JyS2MWePwVnVnrRd9wulF767UngLPu1vztIaQfqedKxr-DxtKfl-RFZINtRJGjmUtLWPnqqNXDlZ36LmS_Pyd_=w1200|https://lh3.googleusercontent.com/pw/AP1GczPF2I3kLGC-uox4tJeHHCBoSSMPG0kYaFxbokOfw7M-Y-X5w_fIVrSk64kyuRyNTW7KCTSvmx542v2pNRXRl7YB3J61fi273ioteJcBtzXbVtsT9MgH=w1200|https://lh3.googleusercontent.com/pw/AP1GczN6yn7b_lEfwCKs4Ryv0RbQ7PEMnNvr5SoooZqqZf6n7qb-5aCj5nBKGlBof03LI9h-IWWMdMzpVvpPDZjegicxJvRh8Dx4e63gnH_vf8jTCtQGinQK=w1200|https://lh3.googleusercontent.com/pw/AP1GczNgnxoEjsOoUCt9eUvwZvOQO1J4sHvEfFGL6nzHoaoJDqDq9cVdYC1Jod-keY97mFvb9qD94E0frQl106VjlJnwYhxYLuUEJAYVayZXnaqaOMfuqZWE=w1200|https://lh3.googleusercontent.com/pw/AP1GczPANtZgy36zsZZIucPRQiYJh0JaO4z0gFHApDuG7OrrzPeamSApVFjquFtP8YCRY-6ltF-iTqFsmPzs7Lv5atW7GcI3uKXOAGFVfkErA0Rvd2PvVAQw=w1200|https://lh3.googleusercontent.com/pw/AP1GczMOexWSaafh4t-mhmOoipeRbeIkBHqlupPI-UIuzTchCSx2Bq_0NvQpGT2ZLGlJn7ZmInAg-xfs0KDu23wjvADmY5yg9Gie_HuEethDd1SnjdsiWtL3=w1200|https://lh3.googleusercontent.com/pw/AP1GczMXZ9jtG77FA0E6432yV06FON6Kiu2ghrJMORF8tE3YZQMAr2gNHWaXse_MCA3egnbU1HM1CDJvUHu3PIkqaBc0NAwM4BMcB8TXvpL8h11Jdw2sURyi=w1200|https://lh3.googleusercontent.com/pw/AP1GczMtvrUUUK07nw9T-ww7ERIUU-0qVxY_h_3Nbp_lXDH1NL-ngWkjXvTt2pY5vhGYk8JucPjzfE-iKijSgH2isIFe5ThZvlP7aLzXjahW_G3TpNNLJScA=w1200</v>
      </c>
      <c r="AJ562" s="46"/>
      <c r="AK562" s="46"/>
      <c r="AL562" s="46"/>
      <c r="AM562" s="46"/>
      <c r="AN562" s="46"/>
      <c r="AO562" s="46"/>
      <c r="AP562" s="46"/>
      <c r="AQ562" s="46"/>
      <c r="AR562" s="46"/>
      <c r="AS562" s="46"/>
      <c r="AT562" s="46"/>
      <c r="AU562" s="46"/>
      <c r="AV562" s="46"/>
      <c r="AW562" s="46"/>
      <c r="AX562" s="46"/>
      <c r="AY562" s="46"/>
      <c r="AZ562" s="46"/>
      <c r="BA562" s="46"/>
      <c r="BB562" s="46"/>
      <c r="BC562" s="46"/>
      <c r="BD562" s="46"/>
      <c r="BE562" s="46"/>
      <c r="BF562" s="46"/>
      <c r="BG562" s="46"/>
      <c r="BH562" s="46"/>
      <c r="BI562" s="46"/>
      <c r="BJ562" s="46"/>
      <c r="BK562" s="46"/>
      <c r="BL562" s="46"/>
      <c r="BM562" s="46"/>
      <c r="BN562" s="46"/>
      <c r="BO562" s="46"/>
      <c r="BP562" s="46"/>
      <c r="BQ562" s="46"/>
      <c r="BR562" s="46"/>
      <c r="BS562" s="46"/>
      <c r="BT562" s="46"/>
      <c r="BU562" s="46"/>
      <c r="BV562" s="46"/>
      <c r="BW562" s="46"/>
      <c r="BX562" s="46"/>
      <c r="BY562" s="46"/>
      <c r="BZ562" s="46"/>
      <c r="CA562" s="46"/>
      <c r="CB562" s="46"/>
      <c r="CC562" s="46"/>
    </row>
    <row r="563">
      <c r="A563" s="87" t="str">
        <f>IFERROR(__xludf.DUMMYFUNCTION("""COMPUTED_VALUE"""),"765")</f>
        <v>765</v>
      </c>
      <c r="B563" s="46" t="str">
        <f>IFERROR(__xludf.DUMMYFUNCTION("""COMPUTED_VALUE"""),"Apartamento en Conjunto Bosques de Santa Ana - Oriente")</f>
        <v>Apartamento en Conjunto Bosques de Santa Ana - Oriente</v>
      </c>
      <c r="C563" s="46" t="str">
        <f>IFERROR(__xludf.DUMMYFUNCTION("""COMPUTED_VALUE"""),"Apartamento en conjunto")</f>
        <v>Apartamento en conjunto</v>
      </c>
      <c r="D563" s="46"/>
      <c r="E563" s="46" t="str">
        <f>IFERROR(__xludf.DUMMYFUNCTION("""COMPUTED_VALUE"""),"Conjunto Bosques de Santa Ana")</f>
        <v>Conjunto Bosques de Santa Ana</v>
      </c>
      <c r="F563" s="90">
        <f>IFERROR(__xludf.DUMMYFUNCTION("""COMPUTED_VALUE"""),4.8E8)</f>
        <v>480000000</v>
      </c>
      <c r="G563" s="46" t="str">
        <f>IFERROR(__xludf.DUMMYFUNCTION("""COMPUTED_VALUE"""),"$400'000.000 a $500'000.000")</f>
        <v>$400'000.000 a $500'000.000</v>
      </c>
      <c r="H563" s="46"/>
      <c r="I563" s="46"/>
      <c r="J563" s="46" t="str">
        <f>IFERROR(__xludf.DUMMYFUNCTION("""COMPUTED_VALUE"""),"Oriente")</f>
        <v>Oriente</v>
      </c>
      <c r="K563" s="87" t="str">
        <f>IFERROR(__xludf.DUMMYFUNCTION("""COMPUTED_VALUE"""),"7")</f>
        <v>7</v>
      </c>
      <c r="L563" s="46">
        <f>IFERROR(__xludf.DUMMYFUNCTION("""COMPUTED_VALUE"""),3.0)</f>
        <v>3</v>
      </c>
      <c r="M563" s="46"/>
      <c r="N563" s="46">
        <f>IFERROR(__xludf.DUMMYFUNCTION("""COMPUTED_VALUE"""),4.0)</f>
        <v>4</v>
      </c>
      <c r="O563" s="46">
        <f>IFERROR(__xludf.DUMMYFUNCTION("""COMPUTED_VALUE"""),1.0)</f>
        <v>1</v>
      </c>
      <c r="P563" s="46">
        <f>IFERROR(__xludf.DUMMYFUNCTION("""COMPUTED_VALUE"""),5.0)</f>
        <v>5</v>
      </c>
      <c r="Q563" s="92" t="str">
        <f>IFERROR(__xludf.DUMMYFUNCTION("""COMPUTED_VALUE"""),"135.0 m2")</f>
        <v>135.0 m2</v>
      </c>
      <c r="R563" s="92">
        <f>IFERROR(__xludf.DUMMYFUNCTION("""COMPUTED_VALUE"""),135.0)</f>
        <v>135</v>
      </c>
      <c r="S563" s="87" t="str">
        <f>IFERROR(__xludf.DUMMYFUNCTION("""COMPUTED_VALUE""")," ")</f>
        <v> </v>
      </c>
      <c r="T563" s="46" t="str">
        <f>IFERROR(__xludf.DUMMYFUNCTION("""COMPUTED_VALUE"""),"Neiva")</f>
        <v>Neiva</v>
      </c>
      <c r="U563" s="87" t="str">
        <f>IFERROR(__xludf.DUMMYFUNCTION("""COMPUTED_VALUE"""),"4")</f>
        <v>4</v>
      </c>
      <c r="V563" s="46" t="str">
        <f>IFERROR(__xludf.DUMMYFUNCTION("""COMPUTED_VALUE"""),"5to.")</f>
        <v>5to.</v>
      </c>
      <c r="W563" s="46"/>
      <c r="X563" s="46">
        <f>IFERROR(__xludf.DUMMYFUNCTION("""COMPUTED_VALUE"""),3.0)</f>
        <v>3</v>
      </c>
      <c r="Y563" s="46" t="str">
        <f>IFERROR(__xludf.DUMMYFUNCTION("""COMPUTED_VALUE"""),"Social")</f>
        <v>Social</v>
      </c>
      <c r="Z563" s="90">
        <f>IFERROR(__xludf.DUMMYFUNCTION("""COMPUTED_VALUE"""),390000.0)</f>
        <v>390000</v>
      </c>
      <c r="AA563" s="33" t="str">
        <f>IFERROR(__xludf.DUMMYFUNCTION("""COMPUTED_VALUE"""),"No aplica")</f>
        <v>No aplica</v>
      </c>
      <c r="AB563" s="144" t="str">
        <f>IFERROR(__xludf.DUMMYFUNCTION("""COMPUTED_VALUE"""),"https://photos.app.goo.gl/4frYnrGmqX19e3iJ8")</f>
        <v>https://photos.app.goo.gl/4frYnrGmqX19e3iJ8</v>
      </c>
      <c r="AC563" s="46" t="str">
        <f>IFERROR(__xludf.DUMMYFUNCTION("""COMPUTED_VALUE"""),"Apartamento bien ubicado y espacios amplios. Cuenta con buenos acabados, piso en porcelanato, cielo raso en Driwall con lámparas Led de empotrar. Carpintería metálica y madera, divisiones en vidrio templado. Cuenta con 3 habitaciones con closet, una con b"&amp;"año privado, más habitación adicional para auxiliar con baño.")</f>
        <v>Apartamento bien ubicado y espacios amplios. Cuenta con buenos acabados, piso en porcelanato, cielo raso en Driwall con lámparas Led de empotrar. Carpintería metálica y madera, divisiones en vidrio templado. Cuenta con 3 habitaciones con closet, una con baño privado, más habitación adicional para auxiliar con baño.</v>
      </c>
      <c r="AD563" s="46" t="str">
        <f>IFERROR(__xludf.DUMMYFUNCTION("""COMPUTED_VALUE"""),"Conjunto ubicado en el sector orienta, cerca de la Universidad Antonio Nariño, colegio Colombo ingles y barrio Villa café, El Vergel etc.")</f>
        <v>Conjunto ubicado en el sector orienta, cerca de la Universidad Antonio Nariño, colegio Colombo ingles y barrio Villa café, El Vergel etc.</v>
      </c>
      <c r="AE563" s="46"/>
      <c r="AF563" s="46" t="str">
        <f>IFERROR(__xludf.DUMMYFUNCTION("""COMPUTED_VALUE"""),"integral")</f>
        <v>integral</v>
      </c>
      <c r="AG563" s="46"/>
      <c r="AH563" s="46" t="str">
        <f>IFERROR(__xludf.DUMMYFUNCTION("""COMPUTED_VALUE"""),"Aliado")</f>
        <v>Aliado</v>
      </c>
      <c r="AI563" s="46" t="str">
        <f>IFERROR(__xludf.DUMMYFUNCTION("""COMPUTED_VALUE"""),"https://lh3.googleusercontent.com/pw/AP1GczPwCmwo293TqjdqiyMcqI4Q8gP4yDmBAvcRMDqfw87PG7hFgx3hBp9e30MyE3IieGpZOuL0V_2S37dJWcdxvW6wbIulA_545d9QT1EHE-qfmFdWrwju=w1200|https://lh3.googleusercontent.com/pw/AP1GczMHTYecESDU-cl1uqhdLb-gyWICPoNfRiItAl0_FWidRot4M-"&amp;"9D_uKCNDgWjQl3XJ07XZqrBKWsBh5ckKHVIoI8c5rJhKth9x9IhhgzppHcXwC0g1aB=w1200|https://lh3.googleusercontent.com/pw/AP1GczM2Zcu236H7IWdB67DNCxRK0rBPAFdy9l7y7oMZALgA43lkBrLb6I0E0Y-GRO2dq2mkyi4R4UUs7I1hC4ukCfoEfYnBzRbQe6mtMbvoMRKQVCYn7Hsv=w1200|https://lh3.google"&amp;"usercontent.com/pw/AP1GczP-urKAyf9YT2XYWZ_vEB5JoV4OwTP_2Qfe-n9FA2viugRHl3o4JT_6a9NQ8TmjgoOSMMgNwysh5UJ3FTKcGkBnJcheh11hdIsDxmamjISkdaIhrA8o=w1200|https://lh3.googleusercontent.com/pw/AP1GczOhVO8EpbjID5XnrcfV9DoevKS5lMr6i9iD1XpuDkqNDzjplN5TzhuaFIZsU7d_UQOf"&amp;"J_c7Tbzo_kYR4ofZuHUXu6q0ipHAmKUcPp7bXKyxtYWEBbrL=w1200|https://lh3.googleusercontent.com/pw/AP1GczP7D4coioxulcDLbBLL3go5P8LIsOGi8CWRTheMvZleKovZZcThzwl9DZ1ouUFVstBy-jim6TFKWLIsARrTQf-d_knePoxB6Ah1NqwWl31hsD2pdMuA=w1200|https://lh3.googleusercontent.com/pw"&amp;"/AP1GczMeGnn8u82ehSU64fxB-FpSjJDaSXUSywozGc2rYT0xSKEUrZJe3bfzmcCOMOO-85mZKnUcS1WAVnOGNCDFWLEipf_iiZLag8x2wXo0_JdsIt1FYQgh=w1200|https://lh3.googleusercontent.com/pw/AP1GczNreNFeFvalGQmLWk3xCN-NRxQADCIvYD5trVcNN8TnMZ1k4V8z6Vtu06pESyi8Out2aP4UBeHqZYcwUL3iig"&amp;"GNL0Ut3ZbL3lx-C9TWb94Gajh6Rp8q=w1200|https://lh3.googleusercontent.com/pw/AP1GczNF2JUJwFVzOpH7BIPUn3PQr3zIvD2mUqjTcV_eEDb5BNHGUosccV07U3jYBUXBybCbLbHq34AknkI6rX23Op4-y27S0rujxpquVQZb2TDi2sIu-CVf=w1200|https://lh3.googleusercontent.com/pw/AP1GczNtrM3MZXqMc"&amp;"D11qPhwXm2_VAwN9FA9w9b6p0xdK0jmLckznCtzoempXmloYP3TkNF6WSiYtsdN35CL79dBB89q7yIZx5l8Q7wJSgqVqjlwxVFX3KSO=w1200|https://lh3.googleusercontent.com/pw/AP1GczNj53XiUJG9QMzJGxju286JhAnv27llRJLbDYTPxMrtg3AHWQ5t32iwtRyPv0-Dz26PzRS0Emk8RffkYQtcUKjXMKPvsPCfs9JSMr9C"&amp;"SRGcB93SaWeC=w1200|https://lh3.googleusercontent.com/pw/AP1GczOw9KMIyD_vQ8EL-0hv4GA_WhmxkkOfXKstTq75Jyr0GeizhNlK44Bn1wBEqQAIZj6xZXFMNsM5VIFy8raleNXAnS_jbqBenFqZtwVdkCjE3cVtTPyA=w1200|https://lh3.googleusercontent.com/pw/AP1GczO0jYKHe3nZbGiCgljYVwTSFJHXWye"&amp;"SbOw2qgNskVooLpll_MEudEkPNj4IdBz-dpK3e2GXfcR3KUdBX4W_fKfsyY6aZWDySK5JwNSBT0gnPvSV8c4C=w1200|https://lh3.googleusercontent.com/pw/AP1GczOkI0pIjxgZ938OjP8Y5mmsOERZV0xS7ujoMg_y4wjcW_StmuqbtYVGV2GviwAMM80Mo0VcK_c0wn24nT6HFt-3-cPVeWg81Q8PZ3K8bZCNjCT1Lnz_=w1200"&amp;"|https://lh3.googleusercontent.com/pw/AP1GczNeC78pmwNzPwDXjFUK-cM2kL7HPWNzMEtKnUVR8vjkvQo7mWnrZlJK4GBkEas_zKR9Sp8MavI6g-_C86GzD4fmwf-AhJJH_YGnW4Wc7enXuKX_ewgu=w1200|https://lh3.googleusercontent.com/pw/AP1GczMKWiN4i-GFYvjsRTXekY5LgNzFtDRdfW_UllecN92GqLAFE"&amp;"ayZr_e8X3J3LuXrmvQk5FNviX3XNYfVk2hHi7M0xFGN8UT2z3naXZ2T_rKe0Mfj04sF=w1200|https://lh3.googleusercontent.com/pw/AP1GczP04wYL3sfFKMi5Xa4-ESibCtQgqNXNwwAMBhOt3WjJ9J2sCGt8Jt1VrsvngRVH9MYHu38hY9oBLUtICb9SUbKthxt8dHpnHSzoxj85KQBBZjM0BN0m=w1200|https://lh3.googl"&amp;"eusercontent.com/pw/AP1GczP0p8mV4Fpo5nSgg4eNzV1_2a7ZA2gTQI6vdC9WjLykHmnAfJSU3NzWnO7RGo9NR94QeWH2yQtvx3bJOkN6ztINJq8Nrkb5Yr7AIt_pEZrvoGjS9izB=w1200|https://lh3.googleusercontent.com/pw/AP1GczOpo2ixpeRzFj64pDumL0Cf77AYhlIr5QMR-N6XSErWHK6qi7qri3H5o9Y7k5ZI7T6"&amp;"thkjz1upGNJFV492R548aftZVgEeGEk32WCFXeXNTl3UuaUDy=w1200|https://lh3.googleusercontent.com/pw/AP1GczOd7jaABd_4hlWhoT6-5S2wL3V-LHBma3tP_kr1kvnT7hD5uXuCPZ1y5N6_D_RDp69WqFbjuZqRvckyDI_MUjU2CUxR-cLYa-Ph0hKQdX4QzFGixdxI=w1200|https://lh3.googleusercontent.com/p"&amp;"w/AP1GczM4eWJMOCX-HKLoMsSwWdTptMWoR_lGc5HmillETAm4Wmwzs9rMiBZ3VQdFGq3mwYA32QeeFuY9GxmEJ7pSo77juGnBqRITH9j136PdYN8XluE3g9Z_=w1200|https://lh3.googleusercontent.com/pw/AP1GczPNIRk8aWyaU_if6Vek4rz6WBXSw5NMr14MOS-WHi03Np24pLLcgE_RmyQrpMFOqZsITr6U6bPk6TQ79PtWT"&amp;"huR-WjD5r65tnwEylbVOARQKIKR9uZf=w1200|https://lh3.googleusercontent.com/pw/AP1GczP_NekCpVjJNTxB3kPzuoCLX4qHd7sB0HK4XFd3s4yj-qK4J5mjk_gE6kMGbf5IaHqNxcas-K_PA8BDcfFF_TVv_gfo80paT5oJB4aRZjogc-LciwdT=w1200|https://lh3.googleusercontent.com/pw/AP1GczOa5XlsS5X5"&amp;"7V8a-dCMD1S6MXwXK3Qbd6ofuwq89nuiBXawy9rc_cJYegp-iYzSFZImH28-C2iaQlHEvvl5x-Tm7NkVLbf4uS_L1anldWYPU4GKNgly=w1200|https://lh3.googleusercontent.com/pw/AP1GczO5-9-HRe4by227D88bQmjWBjdOOeiOJGI3Zcf5klN4CeKlaZTNSr-qyyR3W9p8qQSAOi9cMtCkc7h4dQI188c6Ln-nsWiPs3WoMWk"&amp;"PUhN4v4aUfDlz=w1200|https://lh3.googleusercontent.com/pw/AP1GczPfx8KM-HC7RPGps6_lt10zc6aGULE5tC7gjUvkcvzBIPZwq6r7ZHLc2r3SRHFmJsPvlU8nHBwM9eegsatfrlcZUFVWTkDPk1RrZPtACLQPfTYTze68=w1200|https://lh3.googleusercontent.com/pw/AP1GczMzZRn5AtLL4O9nc4Dmg8MMyIu4aJ"&amp;"fw9td0GZUahtCO6fmN8Edcj0NwzakqLCLRk5UffS9qkNi8CcS-zh58UMRUIxaIKKUfSWQ9YXM5AA9SGHNlrv1h=w1200|https://lh3.googleusercontent.com/pw/AP1GczOrOaWzhWCNT4A3tMSe2Yl3HsbrRaNYSv3-cm0uGhC3nY0C0ECbv7MZNmyV0-B0i9lGyEkLtYXC_ZGxueKH8NhNg2lyHpGWckaJ47iRGePTzo-Am2I_=w120"&amp;"0|https://lh3.googleusercontent.com/pw/AP1GczPa6VNRVnL5mq5c01h7rt5l2mBal5YSPgIpD8d3tvRbnVukYOO9IDN3102NeoqW8yziN5yMMxfocpNb_IJkcZZPTj2UrgGs5wjzTMCg5FOMcXd2fpoe=w1200|https://lh3.googleusercontent.com/pw/AP1GczM6RJ1DeKpT8fbQMEszPMnGbCB484cVGIWEkolT_oJHXMEo"&amp;"bfJtzBlWqhz63wcMKEaGh2X2NFrcfM7LW0zvZ7CGJI7eJBzUziDROK5NrlqZvN2A3wTn=w1200|https://lh3.googleusercontent.com/pw/AP1GczPpV5iKt1WqRato_4e65-zBbLEu-6laYdaPh83tjhM1tCevhNcV0Ti8dMQ6jGe2JudTF-lcpWl54RRuCcb6hLnoguIx0tBWC_ZIeOn31gVqxfNdTkG0=w1200|https://lh3.goog"&amp;"leusercontent.com/pw/AP1GczOgratogf8h6WOlNsQaygW903zhYvTIRmZR8xBiqNIFRoMebXvlaKC75wBtumZQhihtgpBPzQI8D89hLKQHg61kosx5F8Ijd60FDRIXH9Nz9c5c4TDk=w1200|https://lh3.googleusercontent.com/pw/AP1GczM8jLCoKNBS6Hsikl_B9JB-nX43QCHSsbbDnc1UgeiM9UDOxdJVUOP1wYigJkakIf"&amp;"D_Usu83gqaTfgxiRiD0l6zz8b9aF3lYHVwIMZt4DRs9b20SakN=w1200|https://lh3.googleusercontent.com/pw/AP1GczNdJhK48bEXzBxz_mFAya-Vt1UHkpVey-dy0VKBDsS3okZNg5FXoPl085E9bvVmcZG3IKksSYrL2SzYZ8E20UcK1U92_4FYHfL6mXPQ8rNm8x46RGuN=w1200|https://lh3.googleusercontent.com/"&amp;"pw/AP1GczMy9ubJF4FpVDsl9gIRKiaRC97ONYTpcrHzalslMzjtV0r066POCcC38qZmB_U_fvAXFqB2fm10M6srHhV7qWvjIZ196v84I8F6NhRYsfCFmKXLhxAb=w1200|https://lh3.googleusercontent.com/pw/AP1GczP1oegNiFvVoZqx6XReYys0zhCfwg9U8rkhHwwT-ik69xKvQr08mXW8ukEzfqM-PALHScOgwRJJrOqm2eDQ"&amp;"urRVrsRi0kjl5PbFegBbkW9B1y0TQOOH=w1200|https://lh3.googleusercontent.com/pw/AP1GczMfiza23Tq5rsFtGsjLEOtiHql2xuWKTxeOeZ5zfLsXcSJCQ-TrXTIQEZJhKkE2LbW3RSVAD-0weawk_cF20ceG9Jg12bYyUF4RmzGAajB8pHVX-60i=w1200|https://lh3.googleusercontent.com/pw/AP1GczOwE59Krdw"&amp;"3MqNHpSB2wW9JKSLicwFy2J8rvZO9tOnBEo-WenmukjbVZ-PzD0wcXMFcz5NIRgvJuJ3OLT1_kVfIBHSVGXosT_LdKqkl0XkOhROD_G5h=w1200|https://lh3.googleusercontent.com/pw/AP1GczOeLGP-57eM8tynkcNLZgp6tgtxVTNUY1vn-Qn3PO1CuwaOG0I3TV1nYTXwlUFdd6eokveJgRiWn7-eXtAxsLCIWWgMaR3xaqAW9B"&amp;"wz63GOoEFgYorK=w1200|https://lh3.googleusercontent.com/pw/AP1GczNrOZ-gND8pF7MM69CFtEvvBtIS9R3PBaYQGhkyqRupRX1K8g12R5lVUyO8-FVU2yoqoKHW6EnH23zwIffI7ACJkukaf7O1-1Zl_eHPNcpYCaj1L6t7=w1200|https://lh3.googleusercontent.com/pw/AP1GczMjflS1v5N1hKqILLogfdt7lj5IQ"&amp;"cPe1mtv9zk9IoLzQVKVkXQm5HlL-PgZPZ8jvne9UGzYI-NfeoGefPB6n9GaM234uAiH4bJOS8Eh6HbgUsrrGiGD=w1200|https://lh3.googleusercontent.com/pw/AP1GczOQZhMaVkrju9rm34EBqIOherL9kexPtSnyFEvyULy3hjuzzxSSOI7qpH0u_cpq-mxyOsW_wurgtNrRby966jvqEoWt24ZscgtnHpRxe0N19QZVnFKy=w12"&amp;"00|https://lh3.googleusercontent.com/pw/AP1GczP070p-us4u5kJKDHFq8FwYh4aLzdZ4M2Mj9oECtsZyTOQDZPr_0WQ63vi3xGGc_TWjKEdDz8o5eYwXEL5Ci1bNNbj3UFzGwogOVODzENZFDl7Fy8Ho=w1200|https://lh3.googleusercontent.com/pw/AP1GczNVQ3e-7gCp-4s_OhSntoui6WciGdDvfLVDHdLltONnzId"&amp;"l1u77vvWyivPuB8pz9WDzoM2AW6TzJ5zZTIi81U6b_mxL-iaAUkzmuPJqqty3RcvPvBy7=w1200|https://lh3.googleusercontent.com/pw/AP1GczMHvgrV2kjCHQ6drVz3_FmKtSr58yzD3JCZQufTJeT7NzOrqGdjhP3qxMHrD4AmZubzJM4iG3QhmQbXRT4VpS7QoBPlY_5Vo_2Oo92BLtAECfdHMod0=w1200|https://lh3.goo"&amp;"gleusercontent.com/pw/AP1GczOMuCdniU8WfEMw4_lUNRbZ4gK6sgiexJiWekO0rd-teGZMiT3xcaDXmui5KWytiu0AMuQ8x-9rpsMTlL7XtctJaF8c6Mm0rN-ISN78iuFx0C4LRDzZ=w1200|https://lh3.googleusercontent.com/pw/AP1GczNFJEVmhl9N3tPYNPPfG9nt5a8BqRBfHkevbYWPitkqEhYx8NnUbHC64WY_BaAJi"&amp;"SP_BROfPlf7pQsATae9UhHHJFbGo6K8VyJq-0-LOA9eaG1OenGW=w1200|https://lh3.googleusercontent.com/pw/AP1GczPxOFJtgBMucG3H2ds3Gaa2VxMwzmqljsd-vSwD6UF5PKiilJxnzPuL7ztSZ7NBxq14SrDA5CwNKBorhRTerpWomGjIg6DYX-kYox0_XNnjQurcN_ix=w1200|https://lh3.googleusercontent.com"&amp;"/pw/AP1GczPJmi8wtYQRK5Wk_z1e-sh0Zkzmb8yECEPrZfJducjrEB0-UzM6jlmT3TvYDbbpz8uPQdcdidtKchpz67UgCFbx2LkVCYEZ8IMX_fL0Xa-njysNki7d=w1200|https://lh3.googleusercontent.com/pw/AP1GczOF3913UWJlFYCYevZQ1vad2LgZrsHvC67dVMBTINrNNWkGmjZHDPhxxYABgR-BjizWn4LgXcR-Y9ZI1sA"&amp;"_usQ2biS1PvYOQ7Oh-ntnN26hFq5NOw5E=w1200|https://lh3.googleusercontent.com/pw/AP1GczNBIJvWBhum_Kdz4NmxMsbv4-c5497pkUMkQg3mTgPK_ZUFLVeqIw3cuGJpItWj0ZTqutC1NEosRtaEmGEVhcVcQm9jGu_tha-OK3r6ZibI41ySvpMG=w1200|https://lh3.googleusercontent.com/pw/AP1GczNyLdjmIs"&amp;"rvXt8klUbeSMEZEd63lcKvKz4iIDTw5WoGz6IlmtmLMshiWJOfnaxE63sSjlu-jDmAvHiyUAyB9zmP6-W7kWdBLQXfOpCrxjszSTECAMj9=w1200|https://lh3.googleusercontent.com/pw/AP1GczMsEULFQCLnxnz9MNuZRmYhzEdjS2G1-9sv-RX_CGU2IQiAF2hWq01kEjw7n2TY8liWPvuWbK2LL6PI2pmYYOh-Z5erSRM9pqSvn"&amp;"cfDPOU-vSQXSs0V=w1200|https://lh3.googleusercontent.com/pw/AP1GczMPDzq0s9jYGg7OSw66cIhlHkGMI5XqSnAKP5zDPdbhegQ-S6hg-pMjS0kkIzRCkU-SLY4VduHivrrA_0eyOvIOdWu9RiolLlIfEyn73JxGM_DN6CMI=w1200|https://lh3.googleusercontent.com/pw/AP1GczNq7tCZdrSj7m722eedwcJnGfX5"&amp;"R0fpHPpnUv6LR6oBG0-MBfFjwOTNoie9n3IqWFnK-B5YC6sdGFYA3Idp_177Oz3XUz6jE7lSIrpQAn2wEqEyb6QM=w1200|https://lh3.googleusercontent.com/pw/AP1GczPKauLiPNLRB48JzEU-MqsswAoc4VqPtW3OCpTrU7RAULj5Dk-WNkyDrpS1ytTDbZRPXSIsotHgwCnV6MQhjTj8O_mRIWwHHweT7N0BtDxba52bz-Q6=w1"&amp;"200|https://lh3.googleusercontent.com/pw/AP1GczNiYe_O8bsB02I2ZIGAml0n-7OBZiPqp5ab2mSrM0nMDjfhC17rRYxhb3_IdA1R29QRoKmx-iezEMMvCHI2hjSgqvm-x25pN-mCEsVJwDc127kzOVmE=w1200|https://lh3.googleusercontent.com/pw/AP1GczO4rcbSlb_R3tqk7UesMEmEuz27WxaWyVwgA-YN8XPsRf"&amp;"-uQOXXdyoDKhxWOxZxiA6GhsOhrGX0LEC9oaT8grb9zga-d-uK8hld0iAbJ1N6CpU7feZ7=w1200|https://lh3.googleusercontent.com/pw/AP1GczP8EmpReEPDSNEXp2vg47HPq3S6sWKVQr1DNNw-v9fCZpIANtopt6C0wCxieNP0BEUhthlGp3r67Ft9sk7CB_iDhQggkCfU6LqjH4_D_0OMqRgYgNCR=w1200|https://lh3.go"&amp;"ogleusercontent.com/pw/AP1GczPKrS2uufJti2eNlqBW8snvK9MqLVxWHfb_tmkb9MT8hN271gEMkPYv-hisXQTL-gVbLIBg9jV9bZaMxxX5hFyfjYDqFgdSZaaiuRo8cCDN_EN81bMr=w1200|https://lh3.googleusercontent.com/pw/AP1GczME8Nrk5ErYhXCi0U0ZQeJu036bPB1jZCpd9FYJ6Vnf3XoOQwF0-BFvBL_tiYzw"&amp;"UyklCYlToFdROeTKPr6Gg15oYkhEGRVc9q7iuT2UzkMQH4AfLkMa=w1200|https://lh3.googleusercontent.com/pw/AP1GczPW_yznWHiwY73dJXUMSBBKTG1VaLSC0XMcfzyIKmmIGka0p5f_DsxeCcuCJFSO0M2o51ibacJ-uP7OW7xWqhAv0WQEfmbGKm1evcd7K-pRFsv1ii3Q=w1200|https://lh3.googleusercontent.co"&amp;"m/pw/AP1GczMtx9l6K5rWd8iQz1H7ULwSPP79iOmqTU0MLiCmSDtYoEbVKu5loAJs4axE94SJvO_Qkuhy_WmPZXsueB9LXsly1GxiX4BHcTbC7c64-7CdL1qfYxZ1=w1200|https://lh3.googleusercontent.com/pw/AP1GczMF2Yyc8ZludqhsY4v_f5Hm6mQsfJzHGlfawBpUtTrSVoqoah-iUVoKAgtMkMVlE8-uL-ecx8nsVHg0Qg"&amp;"l7gdf54sDNlcY81SNj6oFkRM10xamoXqN8=w1200|https://lh3.googleusercontent.com/pw/AP1GczO68PjFxGPwJXmi40X19s5hShw323-xozIMlHJ86fNqHkgFNMQH31gpETJloeDovHUuR_LGPk8CPb4sOuDuOAA5q4e0QdzaX0Yk5qvLjI5KWQcRaZY7=w1200|https://lh3.googleusercontent.com/pw/AP1GczMisxEAu"&amp;"-7WIjX4zXEFhp5Zyy8C5uhfelrgIDS6Gdm-9mVacjufHLmbiclJzgDfg6ZyVsKdCs3ASlgoi8Hwb__j_ugSbORSEoyj-_G4CQJ1rNltqg_a=w1200|https://lh3.googleusercontent.com/pw/AP1GczMRrLsNDJLhp-rAgZUXKDs6vzTurqF6luZxULHpz0ue5AW8CbvasRskfcw5Kz4kLuxi7srJSD1-vKPLJPXEjDofj_NG9YslpXZC"&amp;"Y7VzwvyJN_gA9BXf=w1200|https://lh3.googleusercontent.com/pw/AP1GczMw6P0r2j69a8jB5SMeC6_eouZoLVXZ07AkNO9ywyP40lugfeHpSKx-bO3ZLUZJqzVqeRvpv8BnZ4-X_l5qA51byO-nIemZrHxeKBxhvq3pmuR3Rctw=w1200|https://lh3.googleusercontent.com/pw/AP1GczOse2YNEJpqI18MjASpPxiKdBC"&amp;"fNtYZ5LtiFn2-hXFLe6YxCqybFvdVVs73sTNYeNd3crL_pyk-UIJVEuaGd_t35Bp8_YPXm5zdPJz7opOZxIiGn-jn=w1200|https://lh3.googleusercontent.com/pw/AP1GczMEv0-K8Bsb8mouWty8xrM9BeVkhiMuArUMLIRhLAkwmYwsSm4CuOXf1QS8xV8d90DCzy67TJ9FL4xx47NYohfI3j9EMcg8eiLfMq-F8INt-wi_Zyev=w"&amp;"1200|https://lh3.googleusercontent.com/pw/AP1GczNv9GyfSIdfFKJ34ov1Z2zqk50eWUuEwuP1zKTVP2j2RODbwYA8mEuzdEIkJJq7M9UqYQkEDQUCYvlPmrEVBh3itpEuZnoG376LT1uchJWZS8s6cVuF=w1200|https://lh3.googleusercontent.com/pw/AP1GczOPT8DaryExIXAF-e9rIZIcHj8_MrmPZR-RAmdJ7eFho"&amp;"9Ko89XrgGQKkQdOgF05uT1_cy4Rx7E8H1BJik3qEydaskFrn5QmU_vQyDBxRi3WsU9egPMp=w1200")</f>
        <v>https://lh3.googleusercontent.com/pw/AP1GczPwCmwo293TqjdqiyMcqI4Q8gP4yDmBAvcRMDqfw87PG7hFgx3hBp9e30MyE3IieGpZOuL0V_2S37dJWcdxvW6wbIulA_545d9QT1EHE-qfmFdWrwju=w1200|https://lh3.googleusercontent.com/pw/AP1GczMHTYecESDU-cl1uqhdLb-gyWICPoNfRiItAl0_FWidRot4M-9D_uKCNDgWjQl3XJ07XZqrBKWsBh5ckKHVIoI8c5rJhKth9x9IhhgzppHcXwC0g1aB=w1200|https://lh3.googleusercontent.com/pw/AP1GczM2Zcu236H7IWdB67DNCxRK0rBPAFdy9l7y7oMZALgA43lkBrLb6I0E0Y-GRO2dq2mkyi4R4UUs7I1hC4ukCfoEfYnBzRbQe6mtMbvoMRKQVCYn7Hsv=w1200|https://lh3.googleusercontent.com/pw/AP1GczP-urKAyf9YT2XYWZ_vEB5JoV4OwTP_2Qfe-n9FA2viugRHl3o4JT_6a9NQ8TmjgoOSMMgNwysh5UJ3FTKcGkBnJcheh11hdIsDxmamjISkdaIhrA8o=w1200|https://lh3.googleusercontent.com/pw/AP1GczOhVO8EpbjID5XnrcfV9DoevKS5lMr6i9iD1XpuDkqNDzjplN5TzhuaFIZsU7d_UQOfJ_c7Tbzo_kYR4ofZuHUXu6q0ipHAmKUcPp7bXKyxtYWEBbrL=w1200|https://lh3.googleusercontent.com/pw/AP1GczP7D4coioxulcDLbBLL3go5P8LIsOGi8CWRTheMvZleKovZZcThzwl9DZ1ouUFVstBy-jim6TFKWLIsARrTQf-d_knePoxB6Ah1NqwWl31hsD2pdMuA=w1200|https://lh3.googleusercontent.com/pw/AP1GczMeGnn8u82ehSU64fxB-FpSjJDaSXUSywozGc2rYT0xSKEUrZJe3bfzmcCOMOO-85mZKnUcS1WAVnOGNCDFWLEipf_iiZLag8x2wXo0_JdsIt1FYQgh=w1200|https://lh3.googleusercontent.com/pw/AP1GczNreNFeFvalGQmLWk3xCN-NRxQADCIvYD5trVcNN8TnMZ1k4V8z6Vtu06pESyi8Out2aP4UBeHqZYcwUL3iigGNL0Ut3ZbL3lx-C9TWb94Gajh6Rp8q=w1200|https://lh3.googleusercontent.com/pw/AP1GczNF2JUJwFVzOpH7BIPUn3PQr3zIvD2mUqjTcV_eEDb5BNHGUosccV07U3jYBUXBybCbLbHq34AknkI6rX23Op4-y27S0rujxpquVQZb2TDi2sIu-CVf=w1200|https://lh3.googleusercontent.com/pw/AP1GczNtrM3MZXqMcD11qPhwXm2_VAwN9FA9w9b6p0xdK0jmLckznCtzoempXmloYP3TkNF6WSiYtsdN35CL79dBB89q7yIZx5l8Q7wJSgqVqjlwxVFX3KSO=w1200|https://lh3.googleusercontent.com/pw/AP1GczNj53XiUJG9QMzJGxju286JhAnv27llRJLbDYTPxMrtg3AHWQ5t32iwtRyPv0-Dz26PzRS0Emk8RffkYQtcUKjXMKPvsPCfs9JSMr9CSRGcB93SaWeC=w1200|https://lh3.googleusercontent.com/pw/AP1GczOw9KMIyD_vQ8EL-0hv4GA_WhmxkkOfXKstTq75Jyr0GeizhNlK44Bn1wBEqQAIZj6xZXFMNsM5VIFy8raleNXAnS_jbqBenFqZtwVdkCjE3cVtTPyA=w1200|https://lh3.googleusercontent.com/pw/AP1GczO0jYKHe3nZbGiCgljYVwTSFJHXWyeSbOw2qgNskVooLpll_MEudEkPNj4IdBz-dpK3e2GXfcR3KUdBX4W_fKfsyY6aZWDySK5JwNSBT0gnPvSV8c4C=w1200|https://lh3.googleusercontent.com/pw/AP1GczOkI0pIjxgZ938OjP8Y5mmsOERZV0xS7ujoMg_y4wjcW_StmuqbtYVGV2GviwAMM80Mo0VcK_c0wn24nT6HFt-3-cPVeWg81Q8PZ3K8bZCNjCT1Lnz_=w1200|https://lh3.googleusercontent.com/pw/AP1GczNeC78pmwNzPwDXjFUK-cM2kL7HPWNzMEtKnUVR8vjkvQo7mWnrZlJK4GBkEas_zKR9Sp8MavI6g-_C86GzD4fmwf-AhJJH_YGnW4Wc7enXuKX_ewgu=w1200|https://lh3.googleusercontent.com/pw/AP1GczMKWiN4i-GFYvjsRTXekY5LgNzFtDRdfW_UllecN92GqLAFEayZr_e8X3J3LuXrmvQk5FNviX3XNYfVk2hHi7M0xFGN8UT2z3naXZ2T_rKe0Mfj04sF=w1200|https://lh3.googleusercontent.com/pw/AP1GczP04wYL3sfFKMi5Xa4-ESibCtQgqNXNwwAMBhOt3WjJ9J2sCGt8Jt1VrsvngRVH9MYHu38hY9oBLUtICb9SUbKthxt8dHpnHSzoxj85KQBBZjM0BN0m=w1200|https://lh3.googleusercontent.com/pw/AP1GczP0p8mV4Fpo5nSgg4eNzV1_2a7ZA2gTQI6vdC9WjLykHmnAfJSU3NzWnO7RGo9NR94QeWH2yQtvx3bJOkN6ztINJq8Nrkb5Yr7AIt_pEZrvoGjS9izB=w1200|https://lh3.googleusercontent.com/pw/AP1GczOpo2ixpeRzFj64pDumL0Cf77AYhlIr5QMR-N6XSErWHK6qi7qri3H5o9Y7k5ZI7T6thkjz1upGNJFV492R548aftZVgEeGEk32WCFXeXNTl3UuaUDy=w1200|https://lh3.googleusercontent.com/pw/AP1GczOd7jaABd_4hlWhoT6-5S2wL3V-LHBma3tP_kr1kvnT7hD5uXuCPZ1y5N6_D_RDp69WqFbjuZqRvckyDI_MUjU2CUxR-cLYa-Ph0hKQdX4QzFGixdxI=w1200|https://lh3.googleusercontent.com/pw/AP1GczM4eWJMOCX-HKLoMsSwWdTptMWoR_lGc5HmillETAm4Wmwzs9rMiBZ3VQdFGq3mwYA32QeeFuY9GxmEJ7pSo77juGnBqRITH9j136PdYN8XluE3g9Z_=w1200|https://lh3.googleusercontent.com/pw/AP1GczPNIRk8aWyaU_if6Vek4rz6WBXSw5NMr14MOS-WHi03Np24pLLcgE_RmyQrpMFOqZsITr6U6bPk6TQ79PtWThuR-WjD5r65tnwEylbVOARQKIKR9uZf=w1200|https://lh3.googleusercontent.com/pw/AP1GczP_NekCpVjJNTxB3kPzuoCLX4qHd7sB0HK4XFd3s4yj-qK4J5mjk_gE6kMGbf5IaHqNxcas-K_PA8BDcfFF_TVv_gfo80paT5oJB4aRZjogc-LciwdT=w1200|https://lh3.googleusercontent.com/pw/AP1GczOa5XlsS5X57V8a-dCMD1S6MXwXK3Qbd6ofuwq89nuiBXawy9rc_cJYegp-iYzSFZImH28-C2iaQlHEvvl5x-Tm7NkVLbf4uS_L1anldWYPU4GKNgly=w1200|https://lh3.googleusercontent.com/pw/AP1GczO5-9-HRe4by227D88bQmjWBjdOOeiOJGI3Zcf5klN4CeKlaZTNSr-qyyR3W9p8qQSAOi9cMtCkc7h4dQI188c6Ln-nsWiPs3WoMWkPUhN4v4aUfDlz=w1200|https://lh3.googleusercontent.com/pw/AP1GczPfx8KM-HC7RPGps6_lt10zc6aGULE5tC7gjUvkcvzBIPZwq6r7ZHLc2r3SRHFmJsPvlU8nHBwM9eegsatfrlcZUFVWTkDPk1RrZPtACLQPfTYTze68=w1200|https://lh3.googleusercontent.com/pw/AP1GczMzZRn5AtLL4O9nc4Dmg8MMyIu4aJfw9td0GZUahtCO6fmN8Edcj0NwzakqLCLRk5UffS9qkNi8CcS-zh58UMRUIxaIKKUfSWQ9YXM5AA9SGHNlrv1h=w1200|https://lh3.googleusercontent.com/pw/AP1GczOrOaWzhWCNT4A3tMSe2Yl3HsbrRaNYSv3-cm0uGhC3nY0C0ECbv7MZNmyV0-B0i9lGyEkLtYXC_ZGxueKH8NhNg2lyHpGWckaJ47iRGePTzo-Am2I_=w1200|https://lh3.googleusercontent.com/pw/AP1GczPa6VNRVnL5mq5c01h7rt5l2mBal5YSPgIpD8d3tvRbnVukYOO9IDN3102NeoqW8yziN5yMMxfocpNb_IJkcZZPTj2UrgGs5wjzTMCg5FOMcXd2fpoe=w1200|https://lh3.googleusercontent.com/pw/AP1GczM6RJ1DeKpT8fbQMEszPMnGbCB484cVGIWEkolT_oJHXMEobfJtzBlWqhz63wcMKEaGh2X2NFrcfM7LW0zvZ7CGJI7eJBzUziDROK5NrlqZvN2A3wTn=w1200|https://lh3.googleusercontent.com/pw/AP1GczPpV5iKt1WqRato_4e65-zBbLEu-6laYdaPh83tjhM1tCevhNcV0Ti8dMQ6jGe2JudTF-lcpWl54RRuCcb6hLnoguIx0tBWC_ZIeOn31gVqxfNdTkG0=w1200|https://lh3.googleusercontent.com/pw/AP1GczOgratogf8h6WOlNsQaygW903zhYvTIRmZR8xBiqNIFRoMebXvlaKC75wBtumZQhihtgpBPzQI8D89hLKQHg61kosx5F8Ijd60FDRIXH9Nz9c5c4TDk=w1200|https://lh3.googleusercontent.com/pw/AP1GczM8jLCoKNBS6Hsikl_B9JB-nX43QCHSsbbDnc1UgeiM9UDOxdJVUOP1wYigJkakIfD_Usu83gqaTfgxiRiD0l6zz8b9aF3lYHVwIMZt4DRs9b20SakN=w1200|https://lh3.googleusercontent.com/pw/AP1GczNdJhK48bEXzBxz_mFAya-Vt1UHkpVey-dy0VKBDsS3okZNg5FXoPl085E9bvVmcZG3IKksSYrL2SzYZ8E20UcK1U92_4FYHfL6mXPQ8rNm8x46RGuN=w1200|https://lh3.googleusercontent.com/pw/AP1GczMy9ubJF4FpVDsl9gIRKiaRC97ONYTpcrHzalslMzjtV0r066POCcC38qZmB_U_fvAXFqB2fm10M6srHhV7qWvjIZ196v84I8F6NhRYsfCFmKXLhxAb=w1200|https://lh3.googleusercontent.com/pw/AP1GczP1oegNiFvVoZqx6XReYys0zhCfwg9U8rkhHwwT-ik69xKvQr08mXW8ukEzfqM-PALHScOgwRJJrOqm2eDQurRVrsRi0kjl5PbFegBbkW9B1y0TQOOH=w1200|https://lh3.googleusercontent.com/pw/AP1GczMfiza23Tq5rsFtGsjLEOtiHql2xuWKTxeOeZ5zfLsXcSJCQ-TrXTIQEZJhKkE2LbW3RSVAD-0weawk_cF20ceG9Jg12bYyUF4RmzGAajB8pHVX-60i=w1200|https://lh3.googleusercontent.com/pw/AP1GczOwE59Krdw3MqNHpSB2wW9JKSLicwFy2J8rvZO9tOnBEo-WenmukjbVZ-PzD0wcXMFcz5NIRgvJuJ3OLT1_kVfIBHSVGXosT_LdKqkl0XkOhROD_G5h=w1200|https://lh3.googleusercontent.com/pw/AP1GczOeLGP-57eM8tynkcNLZgp6tgtxVTNUY1vn-Qn3PO1CuwaOG0I3TV1nYTXwlUFdd6eokveJgRiWn7-eXtAxsLCIWWgMaR3xaqAW9Bwz63GOoEFgYorK=w1200|https://lh3.googleusercontent.com/pw/AP1GczNrOZ-gND8pF7MM69CFtEvvBtIS9R3PBaYQGhkyqRupRX1K8g12R5lVUyO8-FVU2yoqoKHW6EnH23zwIffI7ACJkukaf7O1-1Zl_eHPNcpYCaj1L6t7=w1200|https://lh3.googleusercontent.com/pw/AP1GczMjflS1v5N1hKqILLogfdt7lj5IQcPe1mtv9zk9IoLzQVKVkXQm5HlL-PgZPZ8jvne9UGzYI-NfeoGefPB6n9GaM234uAiH4bJOS8Eh6HbgUsrrGiGD=w1200|https://lh3.googleusercontent.com/pw/AP1GczOQZhMaVkrju9rm34EBqIOherL9kexPtSnyFEvyULy3hjuzzxSSOI7qpH0u_cpq-mxyOsW_wurgtNrRby966jvqEoWt24ZscgtnHpRxe0N19QZVnFKy=w1200|https://lh3.googleusercontent.com/pw/AP1GczP070p-us4u5kJKDHFq8FwYh4aLzdZ4M2Mj9oECtsZyTOQDZPr_0WQ63vi3xGGc_TWjKEdDz8o5eYwXEL5Ci1bNNbj3UFzGwogOVODzENZFDl7Fy8Ho=w1200|https://lh3.googleusercontent.com/pw/AP1GczNVQ3e-7gCp-4s_OhSntoui6WciGdDvfLVDHdLltONnzIdl1u77vvWyivPuB8pz9WDzoM2AW6TzJ5zZTIi81U6b_mxL-iaAUkzmuPJqqty3RcvPvBy7=w1200|https://lh3.googleusercontent.com/pw/AP1GczMHvgrV2kjCHQ6drVz3_FmKtSr58yzD3JCZQufTJeT7NzOrqGdjhP3qxMHrD4AmZubzJM4iG3QhmQbXRT4VpS7QoBPlY_5Vo_2Oo92BLtAECfdHMod0=w1200|https://lh3.googleusercontent.com/pw/AP1GczOMuCdniU8WfEMw4_lUNRbZ4gK6sgiexJiWekO0rd-teGZMiT3xcaDXmui5KWytiu0AMuQ8x-9rpsMTlL7XtctJaF8c6Mm0rN-ISN78iuFx0C4LRDzZ=w1200|https://lh3.googleusercontent.com/pw/AP1GczNFJEVmhl9N3tPYNPPfG9nt5a8BqRBfHkevbYWPitkqEhYx8NnUbHC64WY_BaAJiSP_BROfPlf7pQsATae9UhHHJFbGo6K8VyJq-0-LOA9eaG1OenGW=w1200|https://lh3.googleusercontent.com/pw/AP1GczPxOFJtgBMucG3H2ds3Gaa2VxMwzmqljsd-vSwD6UF5PKiilJxnzPuL7ztSZ7NBxq14SrDA5CwNKBorhRTerpWomGjIg6DYX-kYox0_XNnjQurcN_ix=w1200|https://lh3.googleusercontent.com/pw/AP1GczPJmi8wtYQRK5Wk_z1e-sh0Zkzmb8yECEPrZfJducjrEB0-UzM6jlmT3TvYDbbpz8uPQdcdidtKchpz67UgCFbx2LkVCYEZ8IMX_fL0Xa-njysNki7d=w1200|https://lh3.googleusercontent.com/pw/AP1GczOF3913UWJlFYCYevZQ1vad2LgZrsHvC67dVMBTINrNNWkGmjZHDPhxxYABgR-BjizWn4LgXcR-Y9ZI1sA_usQ2biS1PvYOQ7Oh-ntnN26hFq5NOw5E=w1200|https://lh3.googleusercontent.com/pw/AP1GczNBIJvWBhum_Kdz4NmxMsbv4-c5497pkUMkQg3mTgPK_ZUFLVeqIw3cuGJpItWj0ZTqutC1NEosRtaEmGEVhcVcQm9jGu_tha-OK3r6ZibI41ySvpMG=w1200|https://lh3.googleusercontent.com/pw/AP1GczNyLdjmIsrvXt8klUbeSMEZEd63lcKvKz4iIDTw5WoGz6IlmtmLMshiWJOfnaxE63sSjlu-jDmAvHiyUAyB9zmP6-W7kWdBLQXfOpCrxjszSTECAMj9=w1200|https://lh3.googleusercontent.com/pw/AP1GczMsEULFQCLnxnz9MNuZRmYhzEdjS2G1-9sv-RX_CGU2IQiAF2hWq01kEjw7n2TY8liWPvuWbK2LL6PI2pmYYOh-Z5erSRM9pqSvncfDPOU-vSQXSs0V=w1200|https://lh3.googleusercontent.com/pw/AP1GczMPDzq0s9jYGg7OSw66cIhlHkGMI5XqSnAKP5zDPdbhegQ-S6hg-pMjS0kkIzRCkU-SLY4VduHivrrA_0eyOvIOdWu9RiolLlIfEyn73JxGM_DN6CMI=w1200|https://lh3.googleusercontent.com/pw/AP1GczNq7tCZdrSj7m722eedwcJnGfX5R0fpHPpnUv6LR6oBG0-MBfFjwOTNoie9n3IqWFnK-B5YC6sdGFYA3Idp_177Oz3XUz6jE7lSIrpQAn2wEqEyb6QM=w1200|https://lh3.googleusercontent.com/pw/AP1GczPKauLiPNLRB48JzEU-MqsswAoc4VqPtW3OCpTrU7RAULj5Dk-WNkyDrpS1ytTDbZRPXSIsotHgwCnV6MQhjTj8O_mRIWwHHweT7N0BtDxba52bz-Q6=w1200|https://lh3.googleusercontent.com/pw/AP1GczNiYe_O8bsB02I2ZIGAml0n-7OBZiPqp5ab2mSrM0nMDjfhC17rRYxhb3_IdA1R29QRoKmx-iezEMMvCHI2hjSgqvm-x25pN-mCEsVJwDc127kzOVmE=w1200|https://lh3.googleusercontent.com/pw/AP1GczO4rcbSlb_R3tqk7UesMEmEuz27WxaWyVwgA-YN8XPsRf-uQOXXdyoDKhxWOxZxiA6GhsOhrGX0LEC9oaT8grb9zga-d-uK8hld0iAbJ1N6CpU7feZ7=w1200|https://lh3.googleusercontent.com/pw/AP1GczP8EmpReEPDSNEXp2vg47HPq3S6sWKVQr1DNNw-v9fCZpIANtopt6C0wCxieNP0BEUhthlGp3r67Ft9sk7CB_iDhQggkCfU6LqjH4_D_0OMqRgYgNCR=w1200|https://lh3.googleusercontent.com/pw/AP1GczPKrS2uufJti2eNlqBW8snvK9MqLVxWHfb_tmkb9MT8hN271gEMkPYv-hisXQTL-gVbLIBg9jV9bZaMxxX5hFyfjYDqFgdSZaaiuRo8cCDN_EN81bMr=w1200|https://lh3.googleusercontent.com/pw/AP1GczME8Nrk5ErYhXCi0U0ZQeJu036bPB1jZCpd9FYJ6Vnf3XoOQwF0-BFvBL_tiYzwUyklCYlToFdROeTKPr6Gg15oYkhEGRVc9q7iuT2UzkMQH4AfLkMa=w1200|https://lh3.googleusercontent.com/pw/AP1GczPW_yznWHiwY73dJXUMSBBKTG1VaLSC0XMcfzyIKmmIGka0p5f_DsxeCcuCJFSO0M2o51ibacJ-uP7OW7xWqhAv0WQEfmbGKm1evcd7K-pRFsv1ii3Q=w1200|https://lh3.googleusercontent.com/pw/AP1GczMtx9l6K5rWd8iQz1H7ULwSPP79iOmqTU0MLiCmSDtYoEbVKu5loAJs4axE94SJvO_Qkuhy_WmPZXsueB9LXsly1GxiX4BHcTbC7c64-7CdL1qfYxZ1=w1200|https://lh3.googleusercontent.com/pw/AP1GczMF2Yyc8ZludqhsY4v_f5Hm6mQsfJzHGlfawBpUtTrSVoqoah-iUVoKAgtMkMVlE8-uL-ecx8nsVHg0Qgl7gdf54sDNlcY81SNj6oFkRM10xamoXqN8=w1200|https://lh3.googleusercontent.com/pw/AP1GczO68PjFxGPwJXmi40X19s5hShw323-xozIMlHJ86fNqHkgFNMQH31gpETJloeDovHUuR_LGPk8CPb4sOuDuOAA5q4e0QdzaX0Yk5qvLjI5KWQcRaZY7=w1200|https://lh3.googleusercontent.com/pw/AP1GczMisxEAu-7WIjX4zXEFhp5Zyy8C5uhfelrgIDS6Gdm-9mVacjufHLmbiclJzgDfg6ZyVsKdCs3ASlgoi8Hwb__j_ugSbORSEoyj-_G4CQJ1rNltqg_a=w1200|https://lh3.googleusercontent.com/pw/AP1GczMRrLsNDJLhp-rAgZUXKDs6vzTurqF6luZxULHpz0ue5AW8CbvasRskfcw5Kz4kLuxi7srJSD1-vKPLJPXEjDofj_NG9YslpXZCY7VzwvyJN_gA9BXf=w1200|https://lh3.googleusercontent.com/pw/AP1GczMw6P0r2j69a8jB5SMeC6_eouZoLVXZ07AkNO9ywyP40lugfeHpSKx-bO3ZLUZJqzVqeRvpv8BnZ4-X_l5qA51byO-nIemZrHxeKBxhvq3pmuR3Rctw=w1200|https://lh3.googleusercontent.com/pw/AP1GczOse2YNEJpqI18MjASpPxiKdBCfNtYZ5LtiFn2-hXFLe6YxCqybFvdVVs73sTNYeNd3crL_pyk-UIJVEuaGd_t35Bp8_YPXm5zdPJz7opOZxIiGn-jn=w1200|https://lh3.googleusercontent.com/pw/AP1GczMEv0-K8Bsb8mouWty8xrM9BeVkhiMuArUMLIRhLAkwmYwsSm4CuOXf1QS8xV8d90DCzy67TJ9FL4xx47NYohfI3j9EMcg8eiLfMq-F8INt-wi_Zyev=w1200|https://lh3.googleusercontent.com/pw/AP1GczNv9GyfSIdfFKJ34ov1Z2zqk50eWUuEwuP1zKTVP2j2RODbwYA8mEuzdEIkJJq7M9UqYQkEDQUCYvlPmrEVBh3itpEuZnoG376LT1uchJWZS8s6cVuF=w1200|https://lh3.googleusercontent.com/pw/AP1GczOPT8DaryExIXAF-e9rIZIcHj8_MrmPZR-RAmdJ7eFho9Ko89XrgGQKkQdOgF05uT1_cy4Rx7E8H1BJik3qEydaskFrn5QmU_vQyDBxRi3WsU9egPMp=w1200</v>
      </c>
      <c r="AJ563" s="46"/>
      <c r="AK563" s="46"/>
      <c r="AL563" s="46"/>
      <c r="AM563" s="46"/>
      <c r="AN563" s="46"/>
      <c r="AO563" s="46"/>
      <c r="AP563" s="46"/>
      <c r="AQ563" s="46"/>
      <c r="AR563" s="46"/>
      <c r="AS563" s="46"/>
      <c r="AT563" s="46"/>
      <c r="AU563" s="46"/>
      <c r="AV563" s="46"/>
      <c r="AW563" s="46"/>
      <c r="AX563" s="46"/>
      <c r="AY563" s="46"/>
      <c r="AZ563" s="46"/>
      <c r="BA563" s="46"/>
      <c r="BB563" s="46"/>
      <c r="BC563" s="46"/>
      <c r="BD563" s="46"/>
      <c r="BE563" s="46"/>
      <c r="BF563" s="46"/>
      <c r="BG563" s="46"/>
      <c r="BH563" s="46"/>
      <c r="BI563" s="46"/>
      <c r="BJ563" s="46"/>
      <c r="BK563" s="46"/>
      <c r="BL563" s="46"/>
      <c r="BM563" s="46"/>
      <c r="BN563" s="46"/>
      <c r="BO563" s="46"/>
      <c r="BP563" s="46"/>
      <c r="BQ563" s="46"/>
      <c r="BR563" s="46"/>
      <c r="BS563" s="46"/>
      <c r="BT563" s="46"/>
      <c r="BU563" s="46"/>
      <c r="BV563" s="46"/>
      <c r="BW563" s="46"/>
      <c r="BX563" s="46"/>
      <c r="BY563" s="46"/>
      <c r="BZ563" s="46"/>
      <c r="CA563" s="46"/>
      <c r="CB563" s="46"/>
      <c r="CC563" s="46"/>
    </row>
    <row r="564">
      <c r="A564" s="87" t="str">
        <f>IFERROR(__xludf.DUMMYFUNCTION("""COMPUTED_VALUE"""),"507")</f>
        <v>507</v>
      </c>
      <c r="B564" s="46" t="str">
        <f>IFERROR(__xludf.DUMMYFUNCTION("""COMPUTED_VALUE"""),"Casa campestre en Vda. El Guadual - Rivera ")</f>
        <v>Casa campestre en Vda. El Guadual - Rivera </v>
      </c>
      <c r="C564" s="46" t="str">
        <f>IFERROR(__xludf.DUMMYFUNCTION("""COMPUTED_VALUE"""),"Casa campestre")</f>
        <v>Casa campestre</v>
      </c>
      <c r="D564" s="90" t="str">
        <f>IFERROR(__xludf.DUMMYFUNCTION("""COMPUTED_VALUE"""),"Vda. Guadual - Rivera")</f>
        <v>Vda. Guadual - Rivera</v>
      </c>
      <c r="E564" s="46"/>
      <c r="F564" s="90">
        <f>IFERROR(__xludf.DUMMYFUNCTION("""COMPUTED_VALUE"""),4.2E8)</f>
        <v>420000000</v>
      </c>
      <c r="G564" s="46" t="str">
        <f>IFERROR(__xludf.DUMMYFUNCTION("""COMPUTED_VALUE"""),"$400'000.000 a $500'000.000")</f>
        <v>$400'000.000 a $500'000.000</v>
      </c>
      <c r="H564" s="46"/>
      <c r="I564" s="46"/>
      <c r="J564" s="46" t="str">
        <f>IFERROR(__xludf.DUMMYFUNCTION("""COMPUTED_VALUE"""),"Sur")</f>
        <v>Sur</v>
      </c>
      <c r="K564" s="87"/>
      <c r="L564" s="46">
        <f>IFERROR(__xludf.DUMMYFUNCTION("""COMPUTED_VALUE"""),3.0)</f>
        <v>3</v>
      </c>
      <c r="M564" s="46"/>
      <c r="N564" s="46">
        <f>IFERROR(__xludf.DUMMYFUNCTION("""COMPUTED_VALUE"""),4.0)</f>
        <v>4</v>
      </c>
      <c r="O564" s="46">
        <f>IFERROR(__xludf.DUMMYFUNCTION("""COMPUTED_VALUE"""),1.0)</f>
        <v>1</v>
      </c>
      <c r="P564" s="46">
        <f>IFERROR(__xludf.DUMMYFUNCTION("""COMPUTED_VALUE"""),2.0)</f>
        <v>2</v>
      </c>
      <c r="Q564" s="92">
        <f>IFERROR(__xludf.DUMMYFUNCTION("""COMPUTED_VALUE"""),150.0)</f>
        <v>150</v>
      </c>
      <c r="R564" s="92">
        <f>IFERROR(__xludf.DUMMYFUNCTION("""COMPUTED_VALUE"""),275.0)</f>
        <v>275</v>
      </c>
      <c r="S564" s="87" t="str">
        <f>IFERROR(__xludf.DUMMYFUNCTION("""COMPUTED_VALUE""")," ")</f>
        <v> </v>
      </c>
      <c r="T564" s="46" t="str">
        <f>IFERROR(__xludf.DUMMYFUNCTION("""COMPUTED_VALUE"""),"Rivera")</f>
        <v>Rivera</v>
      </c>
      <c r="U564" s="87" t="str">
        <f>IFERROR(__xludf.DUMMYFUNCTION("""COMPUTED_VALUE"""),"0")</f>
        <v>0</v>
      </c>
      <c r="V564" s="46">
        <f>IFERROR(__xludf.DUMMYFUNCTION("""COMPUTED_VALUE"""),0.0)</f>
        <v>0</v>
      </c>
      <c r="W564" s="46"/>
      <c r="X564" s="46">
        <f>IFERROR(__xludf.DUMMYFUNCTION("""COMPUTED_VALUE"""),3.0)</f>
        <v>3</v>
      </c>
      <c r="Y564" s="46" t="str">
        <f>IFERROR(__xludf.DUMMYFUNCTION("""COMPUTED_VALUE"""),"No tiene")</f>
        <v>No tiene</v>
      </c>
      <c r="Z564" s="90" t="str">
        <f>IFERROR(__xludf.DUMMYFUNCTION("""COMPUTED_VALUE"""),"No aplica")</f>
        <v>No aplica</v>
      </c>
      <c r="AA564" s="33" t="str">
        <f>IFERROR(__xludf.DUMMYFUNCTION("""COMPUTED_VALUE"""),"No aplica")</f>
        <v>No aplica</v>
      </c>
      <c r="AB564" s="144" t="str">
        <f>IFERROR(__xludf.DUMMYFUNCTION("""COMPUTED_VALUE"""),"https://photos.app.goo.gl/Get7ktL2HqP4Fm8r5")</f>
        <v>https://photos.app.goo.gl/Get7ktL2HqP4Fm8r5</v>
      </c>
      <c r="AC564" s="46" t="str">
        <f>IFERROR(__xludf.DUMMYFUNCTION("""COMPUTED_VALUE"""),"Con buenos acabados.")</f>
        <v>Con buenos acabados.</v>
      </c>
      <c r="AD564" s="46" t="str">
        <f>IFERROR(__xludf.DUMMYFUNCTION("""COMPUTED_VALUE"""),"Bien ubicada.")</f>
        <v>Bien ubicada.</v>
      </c>
      <c r="AE564" s="46"/>
      <c r="AF564" s="46" t="str">
        <f>IFERROR(__xludf.DUMMYFUNCTION("""COMPUTED_VALUE"""),"integral")</f>
        <v>integral</v>
      </c>
      <c r="AG564" s="46"/>
      <c r="AH564" s="46" t="str">
        <f>IFERROR(__xludf.DUMMYFUNCTION("""COMPUTED_VALUE"""),"Aliado")</f>
        <v>Aliado</v>
      </c>
      <c r="AI564" s="46" t="str">
        <f>IFERROR(__xludf.DUMMYFUNCTION("""COMPUTED_VALUE"""),"https://lh3.googleusercontent.com/pw/AP1GczP4DXt4-dJSBmsxqQ0-58FPs1kKtnDownGGUlHbXSqWn2SaRVUuP6cShNyFz9YDiwcaJlcHbOHxd5GbJGt80CAyvP3hI3afTB_nCJ3HifztIK3HVSUp=w1200|https://lh3.googleusercontent.com/pw/AP1GczPv06n6ahvHVQ2DtZF-ApWlP9l2TM1Jqpab8F0rpv8H2EtBcq"&amp;"zf_aRFAJSrQiYTci_1N7m6mfEbomifhLaZal73ysVnF-P2yMtfWY6lqmrvMNc9BVx-=w1200|https://lh3.googleusercontent.com/pw/AP1GczPuOwjcah50pA3X7fP6rRBra7Kcea3XiDJyZJo-T2dbq5Dj2zkUrBOK22p8prm4oxhkN42ot2YuWZRMmViHavvlqZ3LLam_AuoKJp4JI47i_qIpsEpK=w1200|https://lh3.google"&amp;"usercontent.com/pw/AP1GczO7vXebG7RBbh60EaekzgufQS_Uo85HRDUUNJlcXjiw926j5pJB45NGa0gkggreixfz4x8F3uwUGeKWAFO2rIDlcsbt-EZtImX7YhlJAlSG37XdBait=w1200|https://lh3.googleusercontent.com/pw/AP1GczOycyDtaZx2Y88sZUSFplasijQUJxjy9Qnx2qVolEimaDTtirZcYgP1D4hM4D_oMob6"&amp;"xb4khHwuecBvZ9xHbNGZkqIn6qz29XMdQNy3WmjqkXtl5vTZ=w1200|https://lh3.googleusercontent.com/pw/AP1GczMdP56v6c8PATxm9zPS1pCZmkeKLUupXHhQd4YyYjAznsR6u5QsFM0wunkL38jrW9MEAEcobZoz-FUN8t0fSOAz-E0yzp1NujJKHtuuRHq0oLhhRhgz=w1200|https://lh3.googleusercontent.com/pw"&amp;"/AP1GczPi8cNpPSr5NqgHksg8nE1W2p2Zq_OFEaUXmHMdFliLFEDGqRyZ_EJ7i3vOzTvx8Iw2DSsd2QrZOrB4BSb099CrlzgkxhpPKkd3nbvHpwEqE3wud45r=w1200|https://lh3.googleusercontent.com/pw/AP1GczNnIg2HEb5rSgcEdD-f9GITSfTsOvmM8oQd1V6hsDqeW6CSqx3pH2RTpI805vZ-RrxTANHpu1-iXew05v_2wi"&amp;"KFWqWSz_jzfskp6Jh2eUBEgykZuM4D=w1200|https://lh3.googleusercontent.com/pw/AP1GczNivtUttcVaiDN332dMIJNtMyPBQjE-0Eut41U3nVjRdNLNNDRPL_KZsaMwuw0RkKE0oiG6NRVPNT-WReTg8ZDzytNPI3WRCWPOVpTCGPhpozLSsawP=w1200|https://lh3.googleusercontent.com/pw/AP1GczOQueEN1nI6E"&amp;"fvETWtr_gPA9dzg1BoeGeXOvfnkCYj7O2wSL9rnyClS64fWIMWfk9uK5V2czXBolaykW7jUhlyv-YSDXT7YP5xbNdRXNX6bUpS-YrQJ=w1200|https://lh3.googleusercontent.com/pw/AP1GczPsrVz6VJC9DVLaukhW6SmHP3HDV4E5Kzaf1Zd7oEYYRX5Gl4gdOf1vJmFDDwC2ylZEX_1F0WPkS9qMK2G3g1m_BXWUDXQUG4oRooS4"&amp;"UqjDQZihxgsZ=w1200|https://lh3.googleusercontent.com/pw/AP1GczNl1CS-nCTo9voH8b4lzlnN1w4kXGW3c2tF-k1vDK4HSWK3IoVpbjtWNBYG6LgISI1UJtrkV40EO72kBRk0s6TudYUWfkVThutLFkUDXrNdndmZ_vZr=w1200|https://lh3.googleusercontent.com/pw/AP1GczP0KSNfEXEFJOSp_5fE_FaBy-tU0eE"&amp;"zrGHGydYwb9UIlQJ0qzZvCw-Fb5ozwCztoHxWfSWQXxyHHQ9tmfNKIftjGtZVHkbML6Mrt7NmUQr45a0UGMBy=w1200|https://lh3.googleusercontent.com/pw/AP1GczMvQZ12PGEW8_T7LHTwiwFlAPPV8Rdfhn9AbvBJw_ZbzAcjj80iPI6KISj5QpfRJFjLUE3oXP_JTeKC2LQC2eJLfYa33XvM2c1oCkkd2vl5fds53o6H=w1200")</f>
        <v>https://lh3.googleusercontent.com/pw/AP1GczP4DXt4-dJSBmsxqQ0-58FPs1kKtnDownGGUlHbXSqWn2SaRVUuP6cShNyFz9YDiwcaJlcHbOHxd5GbJGt80CAyvP3hI3afTB_nCJ3HifztIK3HVSUp=w1200|https://lh3.googleusercontent.com/pw/AP1GczPv06n6ahvHVQ2DtZF-ApWlP9l2TM1Jqpab8F0rpv8H2EtBcqzf_aRFAJSrQiYTci_1N7m6mfEbomifhLaZal73ysVnF-P2yMtfWY6lqmrvMNc9BVx-=w1200|https://lh3.googleusercontent.com/pw/AP1GczPuOwjcah50pA3X7fP6rRBra7Kcea3XiDJyZJo-T2dbq5Dj2zkUrBOK22p8prm4oxhkN42ot2YuWZRMmViHavvlqZ3LLam_AuoKJp4JI47i_qIpsEpK=w1200|https://lh3.googleusercontent.com/pw/AP1GczO7vXebG7RBbh60EaekzgufQS_Uo85HRDUUNJlcXjiw926j5pJB45NGa0gkggreixfz4x8F3uwUGeKWAFO2rIDlcsbt-EZtImX7YhlJAlSG37XdBait=w1200|https://lh3.googleusercontent.com/pw/AP1GczOycyDtaZx2Y88sZUSFplasijQUJxjy9Qnx2qVolEimaDTtirZcYgP1D4hM4D_oMob6xb4khHwuecBvZ9xHbNGZkqIn6qz29XMdQNy3WmjqkXtl5vTZ=w1200|https://lh3.googleusercontent.com/pw/AP1GczMdP56v6c8PATxm9zPS1pCZmkeKLUupXHhQd4YyYjAznsR6u5QsFM0wunkL38jrW9MEAEcobZoz-FUN8t0fSOAz-E0yzp1NujJKHtuuRHq0oLhhRhgz=w1200|https://lh3.googleusercontent.com/pw/AP1GczPi8cNpPSr5NqgHksg8nE1W2p2Zq_OFEaUXmHMdFliLFEDGqRyZ_EJ7i3vOzTvx8Iw2DSsd2QrZOrB4BSb099CrlzgkxhpPKkd3nbvHpwEqE3wud45r=w1200|https://lh3.googleusercontent.com/pw/AP1GczNnIg2HEb5rSgcEdD-f9GITSfTsOvmM8oQd1V6hsDqeW6CSqx3pH2RTpI805vZ-RrxTANHpu1-iXew05v_2wiKFWqWSz_jzfskp6Jh2eUBEgykZuM4D=w1200|https://lh3.googleusercontent.com/pw/AP1GczNivtUttcVaiDN332dMIJNtMyPBQjE-0Eut41U3nVjRdNLNNDRPL_KZsaMwuw0RkKE0oiG6NRVPNT-WReTg8ZDzytNPI3WRCWPOVpTCGPhpozLSsawP=w1200|https://lh3.googleusercontent.com/pw/AP1GczOQueEN1nI6EfvETWtr_gPA9dzg1BoeGeXOvfnkCYj7O2wSL9rnyClS64fWIMWfk9uK5V2czXBolaykW7jUhlyv-YSDXT7YP5xbNdRXNX6bUpS-YrQJ=w1200|https://lh3.googleusercontent.com/pw/AP1GczPsrVz6VJC9DVLaukhW6SmHP3HDV4E5Kzaf1Zd7oEYYRX5Gl4gdOf1vJmFDDwC2ylZEX_1F0WPkS9qMK2G3g1m_BXWUDXQUG4oRooS4UqjDQZihxgsZ=w1200|https://lh3.googleusercontent.com/pw/AP1GczNl1CS-nCTo9voH8b4lzlnN1w4kXGW3c2tF-k1vDK4HSWK3IoVpbjtWNBYG6LgISI1UJtrkV40EO72kBRk0s6TudYUWfkVThutLFkUDXrNdndmZ_vZr=w1200|https://lh3.googleusercontent.com/pw/AP1GczP0KSNfEXEFJOSp_5fE_FaBy-tU0eEzrGHGydYwb9UIlQJ0qzZvCw-Fb5ozwCztoHxWfSWQXxyHHQ9tmfNKIftjGtZVHkbML6Mrt7NmUQr45a0UGMBy=w1200|https://lh3.googleusercontent.com/pw/AP1GczMvQZ12PGEW8_T7LHTwiwFlAPPV8Rdfhn9AbvBJw_ZbzAcjj80iPI6KISj5QpfRJFjLUE3oXP_JTeKC2LQC2eJLfYa33XvM2c1oCkkd2vl5fds53o6H=w1200</v>
      </c>
      <c r="AJ564" s="46"/>
      <c r="AK564" s="46"/>
      <c r="AL564" s="46"/>
      <c r="AM564" s="46"/>
      <c r="AN564" s="46"/>
      <c r="AO564" s="46"/>
      <c r="AP564" s="46"/>
      <c r="AQ564" s="46"/>
      <c r="AR564" s="46"/>
      <c r="AS564" s="46"/>
      <c r="AT564" s="46"/>
      <c r="AU564" s="46"/>
      <c r="AV564" s="46"/>
      <c r="AW564" s="46"/>
      <c r="AX564" s="46"/>
      <c r="AY564" s="46"/>
      <c r="AZ564" s="46"/>
      <c r="BA564" s="46"/>
      <c r="BB564" s="46"/>
      <c r="BC564" s="46"/>
      <c r="BD564" s="46"/>
      <c r="BE564" s="46"/>
      <c r="BF564" s="46"/>
      <c r="BG564" s="46"/>
      <c r="BH564" s="46"/>
      <c r="BI564" s="46"/>
      <c r="BJ564" s="46"/>
      <c r="BK564" s="46"/>
      <c r="BL564" s="46"/>
      <c r="BM564" s="46"/>
      <c r="BN564" s="46"/>
      <c r="BO564" s="46"/>
      <c r="BP564" s="46"/>
      <c r="BQ564" s="46"/>
      <c r="BR564" s="46"/>
      <c r="BS564" s="46"/>
      <c r="BT564" s="46"/>
      <c r="BU564" s="46"/>
      <c r="BV564" s="46"/>
      <c r="BW564" s="46"/>
      <c r="BX564" s="46"/>
      <c r="BY564" s="46"/>
      <c r="BZ564" s="46"/>
      <c r="CA564" s="46"/>
      <c r="CB564" s="46"/>
      <c r="CC564" s="46"/>
    </row>
    <row r="565">
      <c r="A565" s="87" t="str">
        <f>IFERROR(__xludf.DUMMYFUNCTION("""COMPUTED_VALUE"""),"404")</f>
        <v>404</v>
      </c>
      <c r="B565" s="46" t="str">
        <f>IFERROR(__xludf.DUMMYFUNCTION("""COMPUTED_VALUE"""),"Casa en barrio José Eustacio Rivera")</f>
        <v>Casa en barrio José Eustacio Rivera</v>
      </c>
      <c r="C565" s="46" t="str">
        <f>IFERROR(__xludf.DUMMYFUNCTION("""COMPUTED_VALUE"""),"Casa")</f>
        <v>Casa</v>
      </c>
      <c r="D565" s="90" t="str">
        <f>IFERROR(__xludf.DUMMYFUNCTION("""COMPUTED_VALUE"""),"José Eustacio Rivera")</f>
        <v>José Eustacio Rivera</v>
      </c>
      <c r="E565" s="46"/>
      <c r="F565" s="90">
        <f>IFERROR(__xludf.DUMMYFUNCTION("""COMPUTED_VALUE"""),3.5E8)</f>
        <v>350000000</v>
      </c>
      <c r="G565" s="46" t="str">
        <f>IFERROR(__xludf.DUMMYFUNCTION("""COMPUTED_VALUE"""),"$300'000.000 a $400'000.000")</f>
        <v>$300'000.000 a $400'000.000</v>
      </c>
      <c r="H565" s="46"/>
      <c r="I565" s="46"/>
      <c r="J565" s="46" t="str">
        <f>IFERROR(__xludf.DUMMYFUNCTION("""COMPUTED_VALUE"""),"Centro")</f>
        <v>Centro</v>
      </c>
      <c r="K565" s="87"/>
      <c r="L565" s="46">
        <f>IFERROR(__xludf.DUMMYFUNCTION("""COMPUTED_VALUE"""),4.0)</f>
        <v>4</v>
      </c>
      <c r="M565" s="46"/>
      <c r="N565" s="46">
        <f>IFERROR(__xludf.DUMMYFUNCTION("""COMPUTED_VALUE"""),1.0)</f>
        <v>1</v>
      </c>
      <c r="O565" s="46">
        <f>IFERROR(__xludf.DUMMYFUNCTION("""COMPUTED_VALUE"""),0.0)</f>
        <v>0</v>
      </c>
      <c r="P565" s="46">
        <f>IFERROR(__xludf.DUMMYFUNCTION("""COMPUTED_VALUE"""),1.0)</f>
        <v>1</v>
      </c>
      <c r="Q565" s="92">
        <f>IFERROR(__xludf.DUMMYFUNCTION("""COMPUTED_VALUE"""),87.0)</f>
        <v>87</v>
      </c>
      <c r="R565" s="92">
        <f>IFERROR(__xludf.DUMMYFUNCTION("""COMPUTED_VALUE"""),87.0)</f>
        <v>87</v>
      </c>
      <c r="S565" s="87" t="str">
        <f>IFERROR(__xludf.DUMMYFUNCTION("""COMPUTED_VALUE""")," ")</f>
        <v> </v>
      </c>
      <c r="T565" s="46" t="str">
        <f>IFERROR(__xludf.DUMMYFUNCTION("""COMPUTED_VALUE"""),"Neiva")</f>
        <v>Neiva</v>
      </c>
      <c r="U565" s="87" t="str">
        <f>IFERROR(__xludf.DUMMYFUNCTION("""COMPUTED_VALUE"""),"3")</f>
        <v>3</v>
      </c>
      <c r="V565" s="46" t="str">
        <f>IFERROR(__xludf.DUMMYFUNCTION("""COMPUTED_VALUE"""),"Esquinera")</f>
        <v>Esquinera</v>
      </c>
      <c r="W565" s="46"/>
      <c r="X565" s="46">
        <f>IFERROR(__xludf.DUMMYFUNCTION("""COMPUTED_VALUE"""),1.0)</f>
        <v>1</v>
      </c>
      <c r="Y565" s="46" t="str">
        <f>IFERROR(__xludf.DUMMYFUNCTION("""COMPUTED_VALUE"""),"No tiene")</f>
        <v>No tiene</v>
      </c>
      <c r="Z565" s="90" t="str">
        <f>IFERROR(__xludf.DUMMYFUNCTION("""COMPUTED_VALUE"""),"No aplica")</f>
        <v>No aplica</v>
      </c>
      <c r="AA565" s="33" t="str">
        <f>IFERROR(__xludf.DUMMYFUNCTION("""COMPUTED_VALUE"""),"No aplica")</f>
        <v>No aplica</v>
      </c>
      <c r="AB565" s="144" t="str">
        <f>IFERROR(__xludf.DUMMYFUNCTION("""COMPUTED_VALUE"""),"https://photos.app.goo.gl/oMnwLdC2z7WcB9ccA")</f>
        <v>https://photos.app.goo.gl/oMnwLdC2z7WcB9ccA</v>
      </c>
      <c r="AC565" s="46" t="str">
        <f>IFERROR(__xludf.DUMMYFUNCTION("""COMPUTED_VALUE"""),"Casa para remodelar.")</f>
        <v>Casa para remodelar.</v>
      </c>
      <c r="AD565" s="46" t="str">
        <f>IFERROR(__xludf.DUMMYFUNCTION("""COMPUTED_VALUE"""),"Esquinera. Vía amplia.")</f>
        <v>Esquinera. Vía amplia.</v>
      </c>
      <c r="AE565" s="46"/>
      <c r="AF565" s="46" t="str">
        <f>IFERROR(__xludf.DUMMYFUNCTION("""COMPUTED_VALUE"""),"básica")</f>
        <v>básica</v>
      </c>
      <c r="AG565" s="46"/>
      <c r="AH565" s="46" t="str">
        <f>IFERROR(__xludf.DUMMYFUNCTION("""COMPUTED_VALUE"""),"Aliado")</f>
        <v>Aliado</v>
      </c>
      <c r="AI565" s="92" t="str">
        <f>IFERROR(__xludf.DUMMYFUNCTION("""COMPUTED_VALUE"""),"https://lh3.googleusercontent.com/pw/AP1GczNP8lwb59q1vVrJI4lafuR365cLVSJxNwao7Ny8k5yq8nwcXbshg7V8Du68n3g9xCIUhDUK_vxf6irigJGyHvXhKHKT9FIVS0ynNI3boQxokduvJugG=w1200|https://lh3.googleusercontent.com/pw/AP1GczM04hYbTWumCMLGJcdpNntutbkzr09fGweKLKqKqKmoPvDfT8"&amp;"nRioAsThr_khdjpzafOm67fXxZMnA3_dV5GTdVwwUrefcdj9So44szKo-iAdkPSyAQ=w1200|https://lh3.googleusercontent.com/pw/AP1GczMIMF-oM0PjShvJij-qDcOOsiGlK_6Wy4yD0u2J517PqfF3TENLU6KmWFm-iVKSsk8d-4rdh7o7_FgPewU9dtOTUcyztfLe7tmWAZGnYqzl8UuFReah=w1200|https://lh3.google"&amp;"usercontent.com/pw/AP1GczNxCm8WYniArWsNQ858tiPcAVBYrpvlAKoi5Ewwzdr8rGI5l9BZB_PVeOX8xtz9yuwurlYZrQVU4EZHbiuhqrJgx2qmRDn6Zku0Daghv-Ig2nS8ZN4S=w1200|https://lh3.googleusercontent.com/pw/AP1GczN9QxZyC7BsTZndgYOF0-hSU1qRpu73diOgO9B9W06qaPVWl32FcbhG2HioxykrhqZR"&amp;"lypyjlmCSVoXagjaT9MUDSxh3aJ7Byr9AJA53tjl4MkiiOAw=w1200|https://lh3.googleusercontent.com/pw/AP1GczNlXysB_QQwHleiCyvkNoaWuXyNokSnitfF-uNQUr2LG1tcFSXS2l7XOTblFxFa9t1h-KofYRa_EI-fUAxMdu0uyJi64blMFCUIdtv0l3nPG8Q_KJ35=w1200|https://lh3.googleusercontent.com/pw"&amp;"/AP1GczP6qmyVqPpJo0EXm7NflXOY_O2jAu3yXSZvM5kJSsBp2v7G60OW1J11J_F3x7bsO3owClBd2sqm37zW7S8LcWZry5RzhAX8U1esSbwl_VXw4YIQ9EU2=w1200|https://lh3.googleusercontent.com/pw/AP1GczNG_sSu0g-Wea9fr1zSo2GY5XEihQXXfItd8O9v638ww-OWTvpvYUfDIsEJWjatcSwTovHtnGy6Nj2_zaewMc"&amp;"l7yFY-mEpAQwThd5du8HQRWOYmdYIo=w1200")</f>
        <v>https://lh3.googleusercontent.com/pw/AP1GczNP8lwb59q1vVrJI4lafuR365cLVSJxNwao7Ny8k5yq8nwcXbshg7V8Du68n3g9xCIUhDUK_vxf6irigJGyHvXhKHKT9FIVS0ynNI3boQxokduvJugG=w1200|https://lh3.googleusercontent.com/pw/AP1GczM04hYbTWumCMLGJcdpNntutbkzr09fGweKLKqKqKmoPvDfT8nRioAsThr_khdjpzafOm67fXxZMnA3_dV5GTdVwwUrefcdj9So44szKo-iAdkPSyAQ=w1200|https://lh3.googleusercontent.com/pw/AP1GczMIMF-oM0PjShvJij-qDcOOsiGlK_6Wy4yD0u2J517PqfF3TENLU6KmWFm-iVKSsk8d-4rdh7o7_FgPewU9dtOTUcyztfLe7tmWAZGnYqzl8UuFReah=w1200|https://lh3.googleusercontent.com/pw/AP1GczNxCm8WYniArWsNQ858tiPcAVBYrpvlAKoi5Ewwzdr8rGI5l9BZB_PVeOX8xtz9yuwurlYZrQVU4EZHbiuhqrJgx2qmRDn6Zku0Daghv-Ig2nS8ZN4S=w1200|https://lh3.googleusercontent.com/pw/AP1GczN9QxZyC7BsTZndgYOF0-hSU1qRpu73diOgO9B9W06qaPVWl32FcbhG2HioxykrhqZRlypyjlmCSVoXagjaT9MUDSxh3aJ7Byr9AJA53tjl4MkiiOAw=w1200|https://lh3.googleusercontent.com/pw/AP1GczNlXysB_QQwHleiCyvkNoaWuXyNokSnitfF-uNQUr2LG1tcFSXS2l7XOTblFxFa9t1h-KofYRa_EI-fUAxMdu0uyJi64blMFCUIdtv0l3nPG8Q_KJ35=w1200|https://lh3.googleusercontent.com/pw/AP1GczP6qmyVqPpJo0EXm7NflXOY_O2jAu3yXSZvM5kJSsBp2v7G60OW1J11J_F3x7bsO3owClBd2sqm37zW7S8LcWZry5RzhAX8U1esSbwl_VXw4YIQ9EU2=w1200|https://lh3.googleusercontent.com/pw/AP1GczNG_sSu0g-Wea9fr1zSo2GY5XEihQXXfItd8O9v638ww-OWTvpvYUfDIsEJWjatcSwTovHtnGy6Nj2_zaewMcl7yFY-mEpAQwThd5du8HQRWOYmdYIo=w1200</v>
      </c>
      <c r="AJ565" s="46"/>
      <c r="AK565" s="46"/>
      <c r="AL565" s="46"/>
      <c r="AM565" s="46"/>
      <c r="AN565" s="46"/>
      <c r="AO565" s="46"/>
      <c r="AP565" s="46"/>
      <c r="AQ565" s="46"/>
      <c r="AR565" s="46"/>
      <c r="AS565" s="46"/>
      <c r="AT565" s="46"/>
      <c r="AU565" s="46"/>
      <c r="AV565" s="46"/>
      <c r="AW565" s="46"/>
      <c r="AX565" s="46"/>
      <c r="AY565" s="46"/>
      <c r="AZ565" s="46"/>
      <c r="BA565" s="46"/>
      <c r="BB565" s="46"/>
      <c r="BC565" s="46"/>
      <c r="BD565" s="46"/>
      <c r="BE565" s="46"/>
      <c r="BF565" s="46"/>
      <c r="BG565" s="46"/>
      <c r="BH565" s="46"/>
      <c r="BI565" s="46"/>
      <c r="BJ565" s="46"/>
      <c r="BK565" s="46"/>
      <c r="BL565" s="46"/>
      <c r="BM565" s="46"/>
      <c r="BN565" s="46"/>
      <c r="BO565" s="46"/>
      <c r="BP565" s="46"/>
      <c r="BQ565" s="46"/>
      <c r="BR565" s="46"/>
      <c r="BS565" s="46"/>
      <c r="BT565" s="46"/>
      <c r="BU565" s="46"/>
      <c r="BV565" s="46"/>
      <c r="BW565" s="46"/>
      <c r="BX565" s="46"/>
      <c r="BY565" s="46"/>
      <c r="BZ565" s="46"/>
      <c r="CA565" s="46"/>
      <c r="CB565" s="46"/>
      <c r="CC565" s="46"/>
    </row>
    <row r="566">
      <c r="A566" s="87" t="str">
        <f>IFERROR(__xludf.DUMMYFUNCTION("""COMPUTED_VALUE"""),"505")</f>
        <v>505</v>
      </c>
      <c r="B566" s="46" t="str">
        <f>IFERROR(__xludf.DUMMYFUNCTION("""COMPUTED_VALUE"""),"Casa campestre en Vda. El Guadual - Rivera ")</f>
        <v>Casa campestre en Vda. El Guadual - Rivera </v>
      </c>
      <c r="C566" s="46" t="str">
        <f>IFERROR(__xludf.DUMMYFUNCTION("""COMPUTED_VALUE"""),"Casa campestre")</f>
        <v>Casa campestre</v>
      </c>
      <c r="D566" s="90" t="str">
        <f>IFERROR(__xludf.DUMMYFUNCTION("""COMPUTED_VALUE"""),"Vda. Guadual - Rivera")</f>
        <v>Vda. Guadual - Rivera</v>
      </c>
      <c r="E566" s="46"/>
      <c r="F566" s="90">
        <f>IFERROR(__xludf.DUMMYFUNCTION("""COMPUTED_VALUE"""),3.25E8)</f>
        <v>325000000</v>
      </c>
      <c r="G566" s="46" t="str">
        <f>IFERROR(__xludf.DUMMYFUNCTION("""COMPUTED_VALUE"""),"$300'000.000 a $400'000.000")</f>
        <v>$300'000.000 a $400'000.000</v>
      </c>
      <c r="H566" s="46"/>
      <c r="I566" s="46"/>
      <c r="J566" s="46" t="str">
        <f>IFERROR(__xludf.DUMMYFUNCTION("""COMPUTED_VALUE"""),"Sur")</f>
        <v>Sur</v>
      </c>
      <c r="K566" s="87"/>
      <c r="L566" s="46">
        <f>IFERROR(__xludf.DUMMYFUNCTION("""COMPUTED_VALUE"""),4.0)</f>
        <v>4</v>
      </c>
      <c r="M566" s="46"/>
      <c r="N566" s="46">
        <f>IFERROR(__xludf.DUMMYFUNCTION("""COMPUTED_VALUE"""),4.0)</f>
        <v>4</v>
      </c>
      <c r="O566" s="46">
        <f>IFERROR(__xludf.DUMMYFUNCTION("""COMPUTED_VALUE"""),2.0)</f>
        <v>2</v>
      </c>
      <c r="P566" s="46">
        <f>IFERROR(__xludf.DUMMYFUNCTION("""COMPUTED_VALUE"""),2.0)</f>
        <v>2</v>
      </c>
      <c r="Q566" s="92">
        <f>IFERROR(__xludf.DUMMYFUNCTION("""COMPUTED_VALUE"""),143.46)</f>
        <v>143.46</v>
      </c>
      <c r="R566" s="92">
        <f>IFERROR(__xludf.DUMMYFUNCTION("""COMPUTED_VALUE"""),275.0)</f>
        <v>275</v>
      </c>
      <c r="S566" s="87" t="str">
        <f>IFERROR(__xludf.DUMMYFUNCTION("""COMPUTED_VALUE""")," ")</f>
        <v> </v>
      </c>
      <c r="T566" s="46" t="str">
        <f>IFERROR(__xludf.DUMMYFUNCTION("""COMPUTED_VALUE"""),"Rivera")</f>
        <v>Rivera</v>
      </c>
      <c r="U566" s="87" t="str">
        <f>IFERROR(__xludf.DUMMYFUNCTION("""COMPUTED_VALUE"""),"0")</f>
        <v>0</v>
      </c>
      <c r="V566" s="46">
        <f>IFERROR(__xludf.DUMMYFUNCTION("""COMPUTED_VALUE"""),0.0)</f>
        <v>0</v>
      </c>
      <c r="W566" s="46"/>
      <c r="X566" s="46">
        <f>IFERROR(__xludf.DUMMYFUNCTION("""COMPUTED_VALUE"""),3.0)</f>
        <v>3</v>
      </c>
      <c r="Y566" s="46" t="str">
        <f>IFERROR(__xludf.DUMMYFUNCTION("""COMPUTED_VALUE"""),"No tiene")</f>
        <v>No tiene</v>
      </c>
      <c r="Z566" s="90" t="str">
        <f>IFERROR(__xludf.DUMMYFUNCTION("""COMPUTED_VALUE"""),"No aplica")</f>
        <v>No aplica</v>
      </c>
      <c r="AA566" s="33" t="str">
        <f>IFERROR(__xludf.DUMMYFUNCTION("""COMPUTED_VALUE"""),"No aplica")</f>
        <v>No aplica</v>
      </c>
      <c r="AB566" s="144" t="str">
        <f>IFERROR(__xludf.DUMMYFUNCTION("""COMPUTED_VALUE"""),"https://photos.app.goo.gl/k59q58MapnTHJnEf7")</f>
        <v>https://photos.app.goo.gl/k59q58MapnTHJnEf7</v>
      </c>
      <c r="AC566" s="46" t="str">
        <f>IFERROR(__xludf.DUMMYFUNCTION("""COMPUTED_VALUE"""),"Casa campestre con buenos acabados, zonas verdes, mini cancha de basquetbol, área de Bbq.")</f>
        <v>Casa campestre con buenos acabados, zonas verdes, mini cancha de basquetbol, área de Bbq.</v>
      </c>
      <c r="AD566" s="46" t="str">
        <f>IFERROR(__xludf.DUMMYFUNCTION("""COMPUTED_VALUE"""),"Bien ubicada.")</f>
        <v>Bien ubicada.</v>
      </c>
      <c r="AE566" s="46"/>
      <c r="AF566" s="46" t="str">
        <f>IFERROR(__xludf.DUMMYFUNCTION("""COMPUTED_VALUE"""),"semi-integral")</f>
        <v>semi-integral</v>
      </c>
      <c r="AG566" s="46"/>
      <c r="AH566" s="46" t="str">
        <f>IFERROR(__xludf.DUMMYFUNCTION("""COMPUTED_VALUE"""),"Aliado")</f>
        <v>Aliado</v>
      </c>
      <c r="AI566" s="92" t="str">
        <f>IFERROR(__xludf.DUMMYFUNCTION("""COMPUTED_VALUE"""),"https://lh3.googleusercontent.com/pw/AP1GczPnLGDrqUo_8HTNBAiEyNa4Hj2OMkx60-qOKP6qdnjWoBP0ZEGvjXVRgxwaScebqtOsZHbe9dSu7xHdx3cxyMTNNSl1TbQtxrNuJZ1nSt5pbD6815Hl=w1200|https://lh3.googleusercontent.com/pw/AP1GczPAGwTStfBegBf6qlZyvfyOD4ICp-FmUaQKf6gq5NKaDFFDF_"&amp;"JUfaUs5Pisu0Y3yO3WBe7fpf3TupnWNcKuB0mWFr2E3rwCifJUbL_RSWqS5ftq8SEb=w1200|https://lh3.googleusercontent.com/pw/AP1GczOz19t646JLnfip9phWX7t1lA2HQTEwxjKsOUaLgBKdfHs7rkPG6tRfnHEq3u-SBVtQdSDB2aBAnszwPDnRFBi6OXKQLYpqgZifKwjYvM_3WO9I5ASJ=w1200|https://lh3.google"&amp;"usercontent.com/pw/AP1GczMujan_8vP5iCs0trkr_v5LOhsIAg6PEmMBmZG5-IYMOzxmp703ARKekVS99Dnz9rYgL-51i4NhnZstape_g17TpRAlT6IsdXDmm2FQdtJgWByZjUGP=w1200|https://lh3.googleusercontent.com/pw/AP1GczMTDfOZvXTruqCXXXD36z2JSiG_Mk0kVpQ0d7PDj3WA6QWtARMG83fCAadOCffDc82Y"&amp;"-Gxy4RskA2KDM9cwQUB-ef9OtnYQkNlwtF0k1h2ZuLOzrEEU=w1200|https://lh3.googleusercontent.com/pw/AP1GczOAcrGHjlzy4tsbeBGWvt2z6czUaGPrMU0_5Rpq-JThEF_Gh5e8d-H86ps805zC4lijvBIP-G9xhhZu75UOyYRKY2JwBMLIyeQAgifiMg3I7PsX3499=w1200|https://lh3.googleusercontent.com/pw"&amp;"/AP1GczOiE_-JfazJFXKBRYNc5iJUv4RSEfX21KQfI-MWftVgTjxcJDFLxs-bvzemMSwlAWtXohQleCyNU0wDxzXmavBUCis7UpVZY8ch9cW7e1dSibyKh3m1=w1200|https://lh3.googleusercontent.com/pw/AP1GczMIZ7GH0y_zdpkk1mHuOxdZt1JTOsxDTRphXV5lhCqavhUN-i6qtPK5wmcDjkWg61q2Ckep6ycAEszykJcpJ6"&amp;"bt27AnBuSZNpTNu5O278N8yF6RAPEC=w1200|https://lh3.googleusercontent.com/pw/AP1GczNfvumMzIyOxFieWYFO0CJ77Iir6mtvwtEY05qn9C4nWuVWxd_9-3l7dK0mUwxStnOxSjwgR5M0_hZ15TJTxPe74lBT9f-CdDRoxDFO4aMinQdL8i6I=w1200|https://lh3.googleusercontent.com/pw/AP1GczP1i38ejiVch"&amp;"ObPXIgZP2KRm2Hjdf-ct03_XgJrsPibXjdVIF-Ph5oqOtcOGcsbYasI4EqVF3F-CyKRsSSHH6e5nuhe55uBDfvGy65uyexamLYid32J=w1200|https://lh3.googleusercontent.com/pw/AP1GczMe1Xns-hG3xtUEsBgHRbJqdyCSMaSNKJXktxFdIJFv1sdfn-clAS7alJBRxiESztisZSiVl1AyDnrzpMR5I7iJ9JSp4jdyv0FEseWA"&amp;"P20hWCe_1xaz=w1200")</f>
        <v>https://lh3.googleusercontent.com/pw/AP1GczPnLGDrqUo_8HTNBAiEyNa4Hj2OMkx60-qOKP6qdnjWoBP0ZEGvjXVRgxwaScebqtOsZHbe9dSu7xHdx3cxyMTNNSl1TbQtxrNuJZ1nSt5pbD6815Hl=w1200|https://lh3.googleusercontent.com/pw/AP1GczPAGwTStfBegBf6qlZyvfyOD4ICp-FmUaQKf6gq5NKaDFFDF_JUfaUs5Pisu0Y3yO3WBe7fpf3TupnWNcKuB0mWFr2E3rwCifJUbL_RSWqS5ftq8SEb=w1200|https://lh3.googleusercontent.com/pw/AP1GczOz19t646JLnfip9phWX7t1lA2HQTEwxjKsOUaLgBKdfHs7rkPG6tRfnHEq3u-SBVtQdSDB2aBAnszwPDnRFBi6OXKQLYpqgZifKwjYvM_3WO9I5ASJ=w1200|https://lh3.googleusercontent.com/pw/AP1GczMujan_8vP5iCs0trkr_v5LOhsIAg6PEmMBmZG5-IYMOzxmp703ARKekVS99Dnz9rYgL-51i4NhnZstape_g17TpRAlT6IsdXDmm2FQdtJgWByZjUGP=w1200|https://lh3.googleusercontent.com/pw/AP1GczMTDfOZvXTruqCXXXD36z2JSiG_Mk0kVpQ0d7PDj3WA6QWtARMG83fCAadOCffDc82Y-Gxy4RskA2KDM9cwQUB-ef9OtnYQkNlwtF0k1h2ZuLOzrEEU=w1200|https://lh3.googleusercontent.com/pw/AP1GczOAcrGHjlzy4tsbeBGWvt2z6czUaGPrMU0_5Rpq-JThEF_Gh5e8d-H86ps805zC4lijvBIP-G9xhhZu75UOyYRKY2JwBMLIyeQAgifiMg3I7PsX3499=w1200|https://lh3.googleusercontent.com/pw/AP1GczOiE_-JfazJFXKBRYNc5iJUv4RSEfX21KQfI-MWftVgTjxcJDFLxs-bvzemMSwlAWtXohQleCyNU0wDxzXmavBUCis7UpVZY8ch9cW7e1dSibyKh3m1=w1200|https://lh3.googleusercontent.com/pw/AP1GczMIZ7GH0y_zdpkk1mHuOxdZt1JTOsxDTRphXV5lhCqavhUN-i6qtPK5wmcDjkWg61q2Ckep6ycAEszykJcpJ6bt27AnBuSZNpTNu5O278N8yF6RAPEC=w1200|https://lh3.googleusercontent.com/pw/AP1GczNfvumMzIyOxFieWYFO0CJ77Iir6mtvwtEY05qn9C4nWuVWxd_9-3l7dK0mUwxStnOxSjwgR5M0_hZ15TJTxPe74lBT9f-CdDRoxDFO4aMinQdL8i6I=w1200|https://lh3.googleusercontent.com/pw/AP1GczP1i38ejiVchObPXIgZP2KRm2Hjdf-ct03_XgJrsPibXjdVIF-Ph5oqOtcOGcsbYasI4EqVF3F-CyKRsSSHH6e5nuhe55uBDfvGy65uyexamLYid32J=w1200|https://lh3.googleusercontent.com/pw/AP1GczMe1Xns-hG3xtUEsBgHRbJqdyCSMaSNKJXktxFdIJFv1sdfn-clAS7alJBRxiESztisZSiVl1AyDnrzpMR5I7iJ9JSp4jdyv0FEseWAP20hWCe_1xaz=w1200</v>
      </c>
      <c r="AJ566" s="46"/>
      <c r="AK566" s="46"/>
      <c r="AL566" s="46"/>
      <c r="AM566" s="46"/>
      <c r="AN566" s="46"/>
      <c r="AO566" s="46"/>
      <c r="AP566" s="46"/>
      <c r="AQ566" s="46"/>
      <c r="AR566" s="46"/>
      <c r="AS566" s="46"/>
      <c r="AT566" s="46"/>
      <c r="AU566" s="46"/>
      <c r="AV566" s="46"/>
      <c r="AW566" s="46"/>
      <c r="AX566" s="46"/>
      <c r="AY566" s="46"/>
      <c r="AZ566" s="46"/>
      <c r="BA566" s="46"/>
      <c r="BB566" s="46"/>
      <c r="BC566" s="46"/>
      <c r="BD566" s="46"/>
      <c r="BE566" s="46"/>
      <c r="BF566" s="46"/>
      <c r="BG566" s="46"/>
      <c r="BH566" s="46"/>
      <c r="BI566" s="46"/>
      <c r="BJ566" s="46"/>
      <c r="BK566" s="46"/>
      <c r="BL566" s="46"/>
      <c r="BM566" s="46"/>
      <c r="BN566" s="46"/>
      <c r="BO566" s="46"/>
      <c r="BP566" s="46"/>
      <c r="BQ566" s="46"/>
      <c r="BR566" s="46"/>
      <c r="BS566" s="46"/>
      <c r="BT566" s="46"/>
      <c r="BU566" s="46"/>
      <c r="BV566" s="46"/>
      <c r="BW566" s="46"/>
      <c r="BX566" s="46"/>
      <c r="BY566" s="46"/>
      <c r="BZ566" s="46"/>
      <c r="CA566" s="46"/>
      <c r="CB566" s="46"/>
      <c r="CC566" s="46"/>
    </row>
    <row r="567">
      <c r="A567" s="87" t="str">
        <f>IFERROR(__xludf.DUMMYFUNCTION("""COMPUTED_VALUE"""),"289")</f>
        <v>289</v>
      </c>
      <c r="B567" s="46" t="str">
        <f>IFERROR(__xludf.DUMMYFUNCTION("""COMPUTED_VALUE"""),"Casa en Conjunto Condominio Llanos de Vimianzo - Juncal")</f>
        <v>Casa en Conjunto Condominio Llanos de Vimianzo - Juncal</v>
      </c>
      <c r="C567" s="46" t="str">
        <f>IFERROR(__xludf.DUMMYFUNCTION("""COMPUTED_VALUE"""),"Casa en conjunto")</f>
        <v>Casa en conjunto</v>
      </c>
      <c r="D567" s="90"/>
      <c r="E567" s="46" t="str">
        <f>IFERROR(__xludf.DUMMYFUNCTION("""COMPUTED_VALUE"""),"Llanos de Vimianzo")</f>
        <v>Llanos de Vimianzo</v>
      </c>
      <c r="F567" s="90">
        <f>IFERROR(__xludf.DUMMYFUNCTION("""COMPUTED_VALUE"""),2.5E8)</f>
        <v>250000000</v>
      </c>
      <c r="G567" s="46" t="str">
        <f>IFERROR(__xludf.DUMMYFUNCTION("""COMPUTED_VALUE"""),"$200'000.000 a $300'000.000")</f>
        <v>$200'000.000 a $300'000.000</v>
      </c>
      <c r="H567" s="46"/>
      <c r="I567" s="46"/>
      <c r="J567" s="46" t="str">
        <f>IFERROR(__xludf.DUMMYFUNCTION("""COMPUTED_VALUE"""),"Sur")</f>
        <v>Sur</v>
      </c>
      <c r="K567" s="87"/>
      <c r="L567" s="46">
        <f>IFERROR(__xludf.DUMMYFUNCTION("""COMPUTED_VALUE"""),2.0)</f>
        <v>2</v>
      </c>
      <c r="M567" s="46"/>
      <c r="N567" s="46">
        <f>IFERROR(__xludf.DUMMYFUNCTION("""COMPUTED_VALUE"""),2.0)</f>
        <v>2</v>
      </c>
      <c r="O567" s="46">
        <f>IFERROR(__xludf.DUMMYFUNCTION("""COMPUTED_VALUE"""),1.0)</f>
        <v>1</v>
      </c>
      <c r="P567" s="46">
        <f>IFERROR(__xludf.DUMMYFUNCTION("""COMPUTED_VALUE"""),1.0)</f>
        <v>1</v>
      </c>
      <c r="Q567" s="92">
        <f>IFERROR(__xludf.DUMMYFUNCTION("""COMPUTED_VALUE"""),90.0)</f>
        <v>90</v>
      </c>
      <c r="R567" s="92">
        <f>IFERROR(__xludf.DUMMYFUNCTION("""COMPUTED_VALUE"""),300.0)</f>
        <v>300</v>
      </c>
      <c r="S567" s="87" t="str">
        <f>IFERROR(__xludf.DUMMYFUNCTION("""COMPUTED_VALUE""")," ")</f>
        <v> </v>
      </c>
      <c r="T567" s="46" t="str">
        <f>IFERROR(__xludf.DUMMYFUNCTION("""COMPUTED_VALUE"""),"Juncal")</f>
        <v>Juncal</v>
      </c>
      <c r="U567" s="87" t="str">
        <f>IFERROR(__xludf.DUMMYFUNCTION("""COMPUTED_VALUE"""),"2")</f>
        <v>2</v>
      </c>
      <c r="V567" s="46" t="str">
        <f>IFERROR(__xludf.DUMMYFUNCTION("""COMPUTED_VALUE"""),"Medianera")</f>
        <v>Medianera</v>
      </c>
      <c r="W567" s="46"/>
      <c r="X567" s="46">
        <f>IFERROR(__xludf.DUMMYFUNCTION("""COMPUTED_VALUE"""),0.0)</f>
        <v>0</v>
      </c>
      <c r="Y567" s="46" t="str">
        <f>IFERROR(__xludf.DUMMYFUNCTION("""COMPUTED_VALUE"""),"Social")</f>
        <v>Social</v>
      </c>
      <c r="Z567" s="90">
        <f>IFERROR(__xludf.DUMMYFUNCTION("""COMPUTED_VALUE"""),120000.0)</f>
        <v>120000</v>
      </c>
      <c r="AA567" s="33" t="str">
        <f>IFERROR(__xludf.DUMMYFUNCTION("""COMPUTED_VALUE"""),"No aplica")</f>
        <v>No aplica</v>
      </c>
      <c r="AB567" s="144" t="str">
        <f>IFERROR(__xludf.DUMMYFUNCTION("""COMPUTED_VALUE"""),"https://photos.app.goo.gl/Lhf57pPdrWeQ1XFQ8")</f>
        <v>https://photos.app.goo.gl/Lhf57pPdrWeQ1XFQ8</v>
      </c>
      <c r="AC567" s="46" t="str">
        <f>IFERROR(__xludf.DUMMYFUNCTION("""COMPUTED_VALUE"""),"Buenos acabados. Cada habitación con baño privado. Cuenta con area salón social, cancha de futbol, capilla y jardín infantil.")</f>
        <v>Buenos acabados. Cada habitación con baño privado. Cuenta con area salón social, cancha de futbol, capilla y jardín infantil.</v>
      </c>
      <c r="AD567" s="46" t="str">
        <f>IFERROR(__xludf.DUMMYFUNCTION("""COMPUTED_VALUE"""),"Con estructura para segunda planta.")</f>
        <v>Con estructura para segunda planta.</v>
      </c>
      <c r="AE567" s="46"/>
      <c r="AF567" s="46" t="str">
        <f>IFERROR(__xludf.DUMMYFUNCTION("""COMPUTED_VALUE"""),"integral")</f>
        <v>integral</v>
      </c>
      <c r="AG567" s="46"/>
      <c r="AH567" s="46" t="str">
        <f>IFERROR(__xludf.DUMMYFUNCTION("""COMPUTED_VALUE"""),"Aliado")</f>
        <v>Aliado</v>
      </c>
      <c r="AI567" s="92" t="str">
        <f>IFERROR(__xludf.DUMMYFUNCTION("""COMPUTED_VALUE"""),"https://lh3.googleusercontent.com/pw/AP1GczNC75JFbC5YMApKMAIW767RYKUPVB5bwM8YPy3klaS3kqekunCTb0onIAXbig8eLXmMMODjyDxi2GvEvlTYp7p3s-xgwGO6Bk-Fs6ts64pOsaTAsdNQ=w1200|https://lh3.googleusercontent.com/pw/AP1GczP3n7-IaiHsekUtnqwXaYQ2o2VDlhp-Zqx248vr3x_cJpAUEU"&amp;"siUNgV_w27hUeh6kzjpe1FOY5azuTX7rFu1PxR6oBsdZbiDn7ni9kxB5mCTBE0vFIf=w1200|https://lh3.googleusercontent.com/pw/AP1GczM8-cSMcLNHAKa5vojFURMYpCSSNZKWuVPt4d_shdpr3BV43q4rQspHwzaanHTT9IWT3gL3SZ9io8xQTcuVEVz6OeFpVfoETrjCWUbgBmOSYyB9me7V=w1200|https://lh3.google"&amp;"usercontent.com/pw/AP1GczP5eZymJz8gB7j4M3saCIPERsh_Ztf8MyPzJc_Je6InQeBOaX7XNDWij2NhLrRVS-SPdKRNhjjjYEQ5Mt7ORBqTycTtweD15l3OGFhjOmKfZx6voYGq=w1200|https://lh3.googleusercontent.com/pw/AP1GczOJEYY7Ly8Fm-RkE_strloTuFe0BhJvTaUslz5RbcrwKYOK8il28AWV-1f6l8ZlkGWB"&amp;"JxrZ_TH-n0aN48T9HroWZ3R002-6G9eXcvFcW4UrKipROc3j=w1200")</f>
        <v>https://lh3.googleusercontent.com/pw/AP1GczNC75JFbC5YMApKMAIW767RYKUPVB5bwM8YPy3klaS3kqekunCTb0onIAXbig8eLXmMMODjyDxi2GvEvlTYp7p3s-xgwGO6Bk-Fs6ts64pOsaTAsdNQ=w1200|https://lh3.googleusercontent.com/pw/AP1GczP3n7-IaiHsekUtnqwXaYQ2o2VDlhp-Zqx248vr3x_cJpAUEUsiUNgV_w27hUeh6kzjpe1FOY5azuTX7rFu1PxR6oBsdZbiDn7ni9kxB5mCTBE0vFIf=w1200|https://lh3.googleusercontent.com/pw/AP1GczM8-cSMcLNHAKa5vojFURMYpCSSNZKWuVPt4d_shdpr3BV43q4rQspHwzaanHTT9IWT3gL3SZ9io8xQTcuVEVz6OeFpVfoETrjCWUbgBmOSYyB9me7V=w1200|https://lh3.googleusercontent.com/pw/AP1GczP5eZymJz8gB7j4M3saCIPERsh_Ztf8MyPzJc_Je6InQeBOaX7XNDWij2NhLrRVS-SPdKRNhjjjYEQ5Mt7ORBqTycTtweD15l3OGFhjOmKfZx6voYGq=w1200|https://lh3.googleusercontent.com/pw/AP1GczOJEYY7Ly8Fm-RkE_strloTuFe0BhJvTaUslz5RbcrwKYOK8il28AWV-1f6l8ZlkGWBJxrZ_TH-n0aN48T9HroWZ3R002-6G9eXcvFcW4UrKipROc3j=w1200</v>
      </c>
      <c r="AJ567" s="46"/>
      <c r="AK567" s="46"/>
      <c r="AL567" s="46"/>
      <c r="AM567" s="46"/>
      <c r="AN567" s="46"/>
      <c r="AO567" s="46"/>
      <c r="AP567" s="46"/>
      <c r="AQ567" s="46"/>
      <c r="AR567" s="46"/>
      <c r="AS567" s="46"/>
      <c r="AT567" s="46"/>
      <c r="AU567" s="46"/>
      <c r="AV567" s="46"/>
      <c r="AW567" s="46"/>
      <c r="AX567" s="46"/>
      <c r="AY567" s="46"/>
      <c r="AZ567" s="46"/>
      <c r="BA567" s="46"/>
      <c r="BB567" s="46"/>
      <c r="BC567" s="46"/>
      <c r="BD567" s="46"/>
      <c r="BE567" s="46"/>
      <c r="BF567" s="46"/>
      <c r="BG567" s="46"/>
      <c r="BH567" s="46"/>
      <c r="BI567" s="46"/>
      <c r="BJ567" s="46"/>
      <c r="BK567" s="46"/>
      <c r="BL567" s="46"/>
      <c r="BM567" s="46"/>
      <c r="BN567" s="46"/>
      <c r="BO567" s="46"/>
      <c r="BP567" s="46"/>
      <c r="BQ567" s="46"/>
      <c r="BR567" s="46"/>
      <c r="BS567" s="46"/>
      <c r="BT567" s="46"/>
      <c r="BU567" s="46"/>
      <c r="BV567" s="46"/>
      <c r="BW567" s="46"/>
      <c r="BX567" s="46"/>
      <c r="BY567" s="46"/>
      <c r="BZ567" s="46"/>
      <c r="CA567" s="46"/>
      <c r="CB567" s="46"/>
      <c r="CC567" s="46"/>
    </row>
    <row r="568">
      <c r="A568" s="87" t="str">
        <f>IFERROR(__xludf.DUMMYFUNCTION("""COMPUTED_VALUE"""),"070")</f>
        <v>070</v>
      </c>
      <c r="B568" s="46" t="str">
        <f>IFERROR(__xludf.DUMMYFUNCTION("""COMPUTED_VALUE"""),"Casa de 2 pisos independientes en barrio Timanco")</f>
        <v>Casa de 2 pisos independientes en barrio Timanco</v>
      </c>
      <c r="C568" s="46" t="str">
        <f>IFERROR(__xludf.DUMMYFUNCTION("""COMPUTED_VALUE"""),"Casa rentable")</f>
        <v>Casa rentable</v>
      </c>
      <c r="D568" s="90" t="str">
        <f>IFERROR(__xludf.DUMMYFUNCTION("""COMPUTED_VALUE"""),"Timanco")</f>
        <v>Timanco</v>
      </c>
      <c r="E568" s="46"/>
      <c r="F568" s="90">
        <f>IFERROR(__xludf.DUMMYFUNCTION("""COMPUTED_VALUE"""),2.5E8)</f>
        <v>250000000</v>
      </c>
      <c r="G568" s="46" t="str">
        <f>IFERROR(__xludf.DUMMYFUNCTION("""COMPUTED_VALUE"""),"$200'000.000 a $300'000.000")</f>
        <v>$200'000.000 a $300'000.000</v>
      </c>
      <c r="H568" s="46"/>
      <c r="I568" s="46"/>
      <c r="J568" s="46" t="str">
        <f>IFERROR(__xludf.DUMMYFUNCTION("""COMPUTED_VALUE"""),"Sur")</f>
        <v>Sur</v>
      </c>
      <c r="K568" s="87"/>
      <c r="L568" s="46">
        <f>IFERROR(__xludf.DUMMYFUNCTION("""COMPUTED_VALUE"""),4.0)</f>
        <v>4</v>
      </c>
      <c r="M568" s="46"/>
      <c r="N568" s="46">
        <f>IFERROR(__xludf.DUMMYFUNCTION("""COMPUTED_VALUE"""),2.0)</f>
        <v>2</v>
      </c>
      <c r="O568" s="46">
        <f>IFERROR(__xludf.DUMMYFUNCTION("""COMPUTED_VALUE"""),0.0)</f>
        <v>0</v>
      </c>
      <c r="P568" s="46">
        <f>IFERROR(__xludf.DUMMYFUNCTION("""COMPUTED_VALUE"""),2.0)</f>
        <v>2</v>
      </c>
      <c r="Q568" s="92">
        <f>IFERROR(__xludf.DUMMYFUNCTION("""COMPUTED_VALUE"""),150.0)</f>
        <v>150</v>
      </c>
      <c r="R568" s="92">
        <f>IFERROR(__xludf.DUMMYFUNCTION("""COMPUTED_VALUE"""),84.0)</f>
        <v>84</v>
      </c>
      <c r="S568" s="87" t="str">
        <f>IFERROR(__xludf.DUMMYFUNCTION("""COMPUTED_VALUE""")," ")</f>
        <v> </v>
      </c>
      <c r="T568" s="46" t="str">
        <f>IFERROR(__xludf.DUMMYFUNCTION("""COMPUTED_VALUE"""),"Neiva")</f>
        <v>Neiva</v>
      </c>
      <c r="U568" s="87" t="str">
        <f>IFERROR(__xludf.DUMMYFUNCTION("""COMPUTED_VALUE"""),"2")</f>
        <v>2</v>
      </c>
      <c r="V568" s="46" t="str">
        <f>IFERROR(__xludf.DUMMYFUNCTION("""COMPUTED_VALUE"""),"Medianera")</f>
        <v>Medianera</v>
      </c>
      <c r="W568" s="46"/>
      <c r="X568" s="46">
        <f>IFERROR(__xludf.DUMMYFUNCTION("""COMPUTED_VALUE"""),2.0)</f>
        <v>2</v>
      </c>
      <c r="Y568" s="46" t="str">
        <f>IFERROR(__xludf.DUMMYFUNCTION("""COMPUTED_VALUE"""),"No tiene")</f>
        <v>No tiene</v>
      </c>
      <c r="Z568" s="90" t="str">
        <f>IFERROR(__xludf.DUMMYFUNCTION("""COMPUTED_VALUE"""),"No aplica")</f>
        <v>No aplica</v>
      </c>
      <c r="AA568" s="33" t="str">
        <f>IFERROR(__xludf.DUMMYFUNCTION("""COMPUTED_VALUE"""),"No aplica")</f>
        <v>No aplica</v>
      </c>
      <c r="AB568" s="144" t="str">
        <f>IFERROR(__xludf.DUMMYFUNCTION("""COMPUTED_VALUE"""),"https://photos.app.goo.gl/FYXa5AF8q5wZhKuU7")</f>
        <v>https://photos.app.goo.gl/FYXa5AF8q5wZhKuU7</v>
      </c>
      <c r="AC568" s="46" t="str">
        <f>IFERROR(__xludf.DUMMYFUNCTION("""COMPUTED_VALUE"""),"Cuentas con buenos acabados, carpintería metalica y madera. Garaje para 2 motos.")</f>
        <v>Cuentas con buenos acabados, carpintería metalica y madera. Garaje para 2 motos.</v>
      </c>
      <c r="AD568" s="46" t="str">
        <f>IFERROR(__xludf.DUMMYFUNCTION("""COMPUTED_VALUE"""),"Ubicada sobre vía amplia. Apartamentos independientes.")</f>
        <v>Ubicada sobre vía amplia. Apartamentos independientes.</v>
      </c>
      <c r="AE568" s="46"/>
      <c r="AF568" s="46" t="str">
        <f>IFERROR(__xludf.DUMMYFUNCTION("""COMPUTED_VALUE"""),"semi-integral")</f>
        <v>semi-integral</v>
      </c>
      <c r="AG568" s="46"/>
      <c r="AH568" s="46" t="str">
        <f>IFERROR(__xludf.DUMMYFUNCTION("""COMPUTED_VALUE"""),"Aliado")</f>
        <v>Aliado</v>
      </c>
      <c r="AI568" s="92" t="str">
        <f>IFERROR(__xludf.DUMMYFUNCTION("""COMPUTED_VALUE"""),"https://lh3.googleusercontent.com/pw/AP1GczMZskVKzSg52mXNFoH7eH6kgjpFstAOoKEoxhWAgj7EL5h7pi7v9vl08dFEcQfRwdS4oOCeptIS8tjLZjnVMBfH6whHBl2IfDzuDcfBWd8fJxiMniAS=w1200|https://lh3.googleusercontent.com/pw/AP1GczO89GRxbUd8vQdGcTeX5fdg3p6AbJdUnmRGC_djl82jrk2hHU"&amp;"zaqmYtCtKzf7G1euGPrXl2blDNnf8PeH7AudUHcQQ3S-VQiEkO3ufCKAd07YfWXm4q=w1200|https://lh3.googleusercontent.com/pw/AP1GczPaiwqGOqXTn1CA0sVWDAM2jZvMUN1SOb390gNtB_cwimS5L2TOgd0K7DjPLwH5S-8eyXJCyCMMR5-KBfg2oeDAsPAWN2NiOinA3vRt3-1WIaS0aerD=w1200|https://lh3.google"&amp;"usercontent.com/pw/AP1GczP1-LJS53N7VQ7V_bscyVP4I7ClopAQ2M5zkbC9u-ya02e3RBrvNFTaVjWTX4G9hsBhTQv44LNNc8606swsWucs9QKTfrSxrAMOUIMfwiV-Znmd_ruN=w1200|https://lh3.googleusercontent.com/pw/AP1GczOOcmPFHlmUPLd29SXHMk0E7QCYbkaeDZvwiqfWqGT4XNypcdxHpguTKvYwrgxjIJzG"&amp;"Qymj7vg0AF8STjhTI9Rl3-Fa7-Ro5_QCx26WX85k6dqt-ksq=w1200|https://lh3.googleusercontent.com/pw/AP1GczMVldN9tVlo0Ot-OOY5-K59CMhLEiH5sLDKtwhF5oYtNDbGlydhln0r4UOSRi-Mg4TcjsAuRujlPakCzyZOPB2Pb7eUd6L8HKDpXYQILDS2WTet4GVQ=w1200|https://lh3.googleusercontent.com/pw"&amp;"/AP1GczOZKxse00UxCayGVES6sxJoqTpxtVts4-WrvC_USAbO8d0T9qULltjrM3CeEQqLIw6RNg9R96IU6yT7Sg1mkXLtv9rzdpLep1O99ET0UTD-dpW0V6UX=w1200|https://lh3.googleusercontent.com/pw/AP1GczPDeGRp08PG2oFjFXp2ePD5pHiugTpE1crnTlCYUidwYhY9n2SvLKhCIyOi0wzONbu48CrDzVEUZc-v7aY9qe"&amp;"YtG6EIuhVXKivusj4OGP9Q73YKHzFE=w1200|https://lh3.googleusercontent.com/pw/AP1GczOYufAwm7TbluwXweVeRvYiO_vbR95kwniNpadQIJhEfyMTZs8zNNOg3Rbb_80umOBbPOJfmttAqmOaZiYhJJeueTR_GY_25rKPDcxNHmZjZLzkwGBC=w1200|https://lh3.googleusercontent.com/pw/AP1GczNtOESuwifHA"&amp;"dwS3-09Z6d-ElFbKkYeH0577X7OGeY_hJK8yE6EbnMKWfmWobuyTxLjKxbZ8CKny55TpgN49mKHO4ObP4nVYpzS3OBHOIvqNcpp_-jO=w1200|https://lh3.googleusercontent.com/pw/AP1GczN5dnWFgXzl-ShTG91fUxXKEe5-Ew7c65q_IOk_C9K1OxAKJsX7kf9iK7AhIJ1lnNtsIwR27M2QhukPMiUtrLL-rGpzypIynIm9GBCI"&amp;"5NEOzDoKe0o8=w1200|https://lh3.googleusercontent.com/pw/AP1GczOD-mkxbwRGMWHuwfz_jE5nvRpuOZEtQa1GgFvQZ6jvnxZ4fcFYztiDaFQq0J3EwjR8MiOHVeTwDMNwZrgMBEKfEdLtWxk95lwfChHxIv0TWeQ728zg=w1200|https://lh3.googleusercontent.com/pw/AP1GczOkMOnnQWTGu_Ry8xmsUOzK_vaUm2q"&amp;"jcFpt7beZtbJlSC0jQU18DLltvVP4mhAt8Cawb3fHVrUhG5cMS4PNzGGmlhev82b--nBYawKwN1A__IcGWDaM=w1200|https://lh3.googleusercontent.com/pw/AP1GczNWjKQ2Ck55y54gZqaw0oKjC_ChktxPvfowgSaizZuK3YJLKykOznkIWuJw90bRKhwS6O5t2weic66F23fvYP4wAnjqXosEQZVy3ee_x7PporQn70wM=w1200"&amp;"|https://lh3.googleusercontent.com/pw/AP1GczODpC2ou1OM9YWlmy_oE9-wwJ3T5xmNwPPvBLsQJn_VSFsIfCttUZFgeDHEfbpyePpMD16ZRRMvSrGM96YxOWG7fEMfhMoy9RiORo5J0_T2-KElihlD=w1200|https://lh3.googleusercontent.com/pw/AP1GczNqI_o6Wz950Yukyl4205JI4SGBo3OL-z5KR_j3dOf_2PvXq"&amp;"aoFHq9oXgBdrLKh02N8ldvcR0JLJMIBfuKblHIMs3iR4ezWaaEGrtiNjc7UzH_Vs14S=w1200")</f>
        <v>https://lh3.googleusercontent.com/pw/AP1GczMZskVKzSg52mXNFoH7eH6kgjpFstAOoKEoxhWAgj7EL5h7pi7v9vl08dFEcQfRwdS4oOCeptIS8tjLZjnVMBfH6whHBl2IfDzuDcfBWd8fJxiMniAS=w1200|https://lh3.googleusercontent.com/pw/AP1GczO89GRxbUd8vQdGcTeX5fdg3p6AbJdUnmRGC_djl82jrk2hHUzaqmYtCtKzf7G1euGPrXl2blDNnf8PeH7AudUHcQQ3S-VQiEkO3ufCKAd07YfWXm4q=w1200|https://lh3.googleusercontent.com/pw/AP1GczPaiwqGOqXTn1CA0sVWDAM2jZvMUN1SOb390gNtB_cwimS5L2TOgd0K7DjPLwH5S-8eyXJCyCMMR5-KBfg2oeDAsPAWN2NiOinA3vRt3-1WIaS0aerD=w1200|https://lh3.googleusercontent.com/pw/AP1GczP1-LJS53N7VQ7V_bscyVP4I7ClopAQ2M5zkbC9u-ya02e3RBrvNFTaVjWTX4G9hsBhTQv44LNNc8606swsWucs9QKTfrSxrAMOUIMfwiV-Znmd_ruN=w1200|https://lh3.googleusercontent.com/pw/AP1GczOOcmPFHlmUPLd29SXHMk0E7QCYbkaeDZvwiqfWqGT4XNypcdxHpguTKvYwrgxjIJzGQymj7vg0AF8STjhTI9Rl3-Fa7-Ro5_QCx26WX85k6dqt-ksq=w1200|https://lh3.googleusercontent.com/pw/AP1GczMVldN9tVlo0Ot-OOY5-K59CMhLEiH5sLDKtwhF5oYtNDbGlydhln0r4UOSRi-Mg4TcjsAuRujlPakCzyZOPB2Pb7eUd6L8HKDpXYQILDS2WTet4GVQ=w1200|https://lh3.googleusercontent.com/pw/AP1GczOZKxse00UxCayGVES6sxJoqTpxtVts4-WrvC_USAbO8d0T9qULltjrM3CeEQqLIw6RNg9R96IU6yT7Sg1mkXLtv9rzdpLep1O99ET0UTD-dpW0V6UX=w1200|https://lh3.googleusercontent.com/pw/AP1GczPDeGRp08PG2oFjFXp2ePD5pHiugTpE1crnTlCYUidwYhY9n2SvLKhCIyOi0wzONbu48CrDzVEUZc-v7aY9qeYtG6EIuhVXKivusj4OGP9Q73YKHzFE=w1200|https://lh3.googleusercontent.com/pw/AP1GczOYufAwm7TbluwXweVeRvYiO_vbR95kwniNpadQIJhEfyMTZs8zNNOg3Rbb_80umOBbPOJfmttAqmOaZiYhJJeueTR_GY_25rKPDcxNHmZjZLzkwGBC=w1200|https://lh3.googleusercontent.com/pw/AP1GczNtOESuwifHAdwS3-09Z6d-ElFbKkYeH0577X7OGeY_hJK8yE6EbnMKWfmWobuyTxLjKxbZ8CKny55TpgN49mKHO4ObP4nVYpzS3OBHOIvqNcpp_-jO=w1200|https://lh3.googleusercontent.com/pw/AP1GczN5dnWFgXzl-ShTG91fUxXKEe5-Ew7c65q_IOk_C9K1OxAKJsX7kf9iK7AhIJ1lnNtsIwR27M2QhukPMiUtrLL-rGpzypIynIm9GBCI5NEOzDoKe0o8=w1200|https://lh3.googleusercontent.com/pw/AP1GczOD-mkxbwRGMWHuwfz_jE5nvRpuOZEtQa1GgFvQZ6jvnxZ4fcFYztiDaFQq0J3EwjR8MiOHVeTwDMNwZrgMBEKfEdLtWxk95lwfChHxIv0TWeQ728zg=w1200|https://lh3.googleusercontent.com/pw/AP1GczOkMOnnQWTGu_Ry8xmsUOzK_vaUm2qjcFpt7beZtbJlSC0jQU18DLltvVP4mhAt8Cawb3fHVrUhG5cMS4PNzGGmlhev82b--nBYawKwN1A__IcGWDaM=w1200|https://lh3.googleusercontent.com/pw/AP1GczNWjKQ2Ck55y54gZqaw0oKjC_ChktxPvfowgSaizZuK3YJLKykOznkIWuJw90bRKhwS6O5t2weic66F23fvYP4wAnjqXosEQZVy3ee_x7PporQn70wM=w1200|https://lh3.googleusercontent.com/pw/AP1GczODpC2ou1OM9YWlmy_oE9-wwJ3T5xmNwPPvBLsQJn_VSFsIfCttUZFgeDHEfbpyePpMD16ZRRMvSrGM96YxOWG7fEMfhMoy9RiORo5J0_T2-KElihlD=w1200|https://lh3.googleusercontent.com/pw/AP1GczNqI_o6Wz950Yukyl4205JI4SGBo3OL-z5KR_j3dOf_2PvXqaoFHq9oXgBdrLKh02N8ldvcR0JLJMIBfuKblHIMs3iR4ezWaaEGrtiNjc7UzH_Vs14S=w1200</v>
      </c>
      <c r="AJ568" s="46"/>
      <c r="AK568" s="46"/>
      <c r="AL568" s="46"/>
      <c r="AM568" s="46"/>
      <c r="AN568" s="46"/>
      <c r="AO568" s="46"/>
      <c r="AP568" s="46"/>
      <c r="AQ568" s="46"/>
      <c r="AR568" s="46"/>
      <c r="AS568" s="46"/>
      <c r="AT568" s="46"/>
      <c r="AU568" s="46"/>
      <c r="AV568" s="46"/>
      <c r="AW568" s="46"/>
      <c r="AX568" s="46"/>
      <c r="AY568" s="46"/>
      <c r="AZ568" s="46"/>
      <c r="BA568" s="46"/>
      <c r="BB568" s="46"/>
      <c r="BC568" s="46"/>
      <c r="BD568" s="46"/>
      <c r="BE568" s="46"/>
      <c r="BF568" s="46"/>
      <c r="BG568" s="46"/>
      <c r="BH568" s="46"/>
      <c r="BI568" s="46"/>
      <c r="BJ568" s="46"/>
      <c r="BK568" s="46"/>
      <c r="BL568" s="46"/>
      <c r="BM568" s="46"/>
      <c r="BN568" s="46"/>
      <c r="BO568" s="46"/>
      <c r="BP568" s="46"/>
      <c r="BQ568" s="46"/>
      <c r="BR568" s="46"/>
      <c r="BS568" s="46"/>
      <c r="BT568" s="46"/>
      <c r="BU568" s="46"/>
      <c r="BV568" s="46"/>
      <c r="BW568" s="46"/>
      <c r="BX568" s="46"/>
      <c r="BY568" s="46"/>
      <c r="BZ568" s="46"/>
      <c r="CA568" s="46"/>
      <c r="CB568" s="46"/>
      <c r="CC568" s="46"/>
    </row>
    <row r="569">
      <c r="A569" s="87" t="str">
        <f>IFERROR(__xludf.DUMMYFUNCTION("""COMPUTED_VALUE"""),"694")</f>
        <v>694</v>
      </c>
      <c r="B569" s="46" t="str">
        <f>IFERROR(__xludf.DUMMYFUNCTION("""COMPUTED_VALUE"""),"Oficinas en barrio Altico ")</f>
        <v>Oficinas en barrio Altico </v>
      </c>
      <c r="C569" s="46" t="str">
        <f>IFERROR(__xludf.DUMMYFUNCTION("""COMPUTED_VALUE"""),"Oficina")</f>
        <v>Oficina</v>
      </c>
      <c r="D569" s="46" t="str">
        <f>IFERROR(__xludf.DUMMYFUNCTION("""COMPUTED_VALUE"""),"Altico")</f>
        <v>Altico</v>
      </c>
      <c r="E569" s="46"/>
      <c r="F569" s="90">
        <f>IFERROR(__xludf.DUMMYFUNCTION("""COMPUTED_VALUE"""),1.8E9)</f>
        <v>1800000000</v>
      </c>
      <c r="G569" s="46" t="str">
        <f>IFERROR(__xludf.DUMMYFUNCTION("""COMPUTED_VALUE"""),"Más de $1.000'000.000")</f>
        <v>Más de $1.000'000.000</v>
      </c>
      <c r="H569" s="46"/>
      <c r="I569" s="46"/>
      <c r="J569" s="46" t="str">
        <f>IFERROR(__xludf.DUMMYFUNCTION("""COMPUTED_VALUE"""),"Centro")</f>
        <v>Centro</v>
      </c>
      <c r="K569" s="87"/>
      <c r="L569" s="46">
        <f>IFERROR(__xludf.DUMMYFUNCTION("""COMPUTED_VALUE"""),8.0)</f>
        <v>8</v>
      </c>
      <c r="M569" s="46"/>
      <c r="N569" s="46">
        <f>IFERROR(__xludf.DUMMYFUNCTION("""COMPUTED_VALUE"""),4.0)</f>
        <v>4</v>
      </c>
      <c r="O569" s="46">
        <f>IFERROR(__xludf.DUMMYFUNCTION("""COMPUTED_VALUE"""),0.0)</f>
        <v>0</v>
      </c>
      <c r="P569" s="46">
        <f>IFERROR(__xludf.DUMMYFUNCTION("""COMPUTED_VALUE"""),1.0)</f>
        <v>1</v>
      </c>
      <c r="Q569" s="92">
        <f>IFERROR(__xludf.DUMMYFUNCTION("""COMPUTED_VALUE"""),270.0)</f>
        <v>270</v>
      </c>
      <c r="R569" s="92">
        <f>IFERROR(__xludf.DUMMYFUNCTION("""COMPUTED_VALUE"""),270.0)</f>
        <v>270</v>
      </c>
      <c r="S569" s="87" t="str">
        <f>IFERROR(__xludf.DUMMYFUNCTION("""COMPUTED_VALUE""")," ")</f>
        <v> </v>
      </c>
      <c r="T569" s="46" t="str">
        <f>IFERROR(__xludf.DUMMYFUNCTION("""COMPUTED_VALUE"""),"Neiva")</f>
        <v>Neiva</v>
      </c>
      <c r="U569" s="87"/>
      <c r="V569" s="46" t="str">
        <f>IFERROR(__xludf.DUMMYFUNCTION("""COMPUTED_VALUE"""),"Medianera")</f>
        <v>Medianera</v>
      </c>
      <c r="W569" s="46"/>
      <c r="X569" s="46">
        <f>IFERROR(__xludf.DUMMYFUNCTION("""COMPUTED_VALUE"""),0.0)</f>
        <v>0</v>
      </c>
      <c r="Y569" s="46" t="str">
        <f>IFERROR(__xludf.DUMMYFUNCTION("""COMPUTED_VALUE"""),"No tiene")</f>
        <v>No tiene</v>
      </c>
      <c r="Z569" s="90"/>
      <c r="AA569" s="33" t="str">
        <f>IFERROR(__xludf.DUMMYFUNCTION("""COMPUTED_VALUE"""),"No aplica")</f>
        <v>No aplica</v>
      </c>
      <c r="AB569" s="144" t="str">
        <f>IFERROR(__xludf.DUMMYFUNCTION("""COMPUTED_VALUE"""),"https://photos.app.goo.gl/jPNKhE5hUjMX2cdV8")</f>
        <v>https://photos.app.goo.gl/jPNKhE5hUjMX2cdV8</v>
      </c>
      <c r="AC569" s="46" t="str">
        <f>IFERROR(__xludf.DUMMYFUNCTION("""COMPUTED_VALUE"""),"8 consultorios u oficinas - 4 baños – Hall - Ideal para el sector de la salud, IPS, EPS. – Área aprox. 270m2.")</f>
        <v>8 consultorios u oficinas - 4 baños – Hall - Ideal para el sector de la salud, IPS, EPS. – Área aprox. 270m2.</v>
      </c>
      <c r="AD569" s="46" t="str">
        <f>IFERROR(__xludf.DUMMYFUNCTION("""COMPUTED_VALUE"""),"Inmueble ideal para una IPS, EPS - Gremio de la salud.")</f>
        <v>Inmueble ideal para una IPS, EPS - Gremio de la salud.</v>
      </c>
      <c r="AE569" s="46"/>
      <c r="AF569" s="46" t="str">
        <f>IFERROR(__xludf.DUMMYFUNCTION("""COMPUTED_VALUE"""),"básica")</f>
        <v>básica</v>
      </c>
      <c r="AG569" s="46"/>
      <c r="AH569" s="46" t="str">
        <f>IFERROR(__xludf.DUMMYFUNCTION("""COMPUTED_VALUE"""),"Aliado")</f>
        <v>Aliado</v>
      </c>
      <c r="AI569" s="92" t="str">
        <f>IFERROR(__xludf.DUMMYFUNCTION("""COMPUTED_VALUE"""),"https://lh3.googleusercontent.com/pw/AP1GczOqImswYBIXP3UbUY-405fYhywKlrPvfKyoCNJub6Ohjt0csdA0HzMvm6o4rQKoSfHqgPuauPMDFeTVDC2l_fGa3PKDAW9TvlaKWPF8ArC0pc2Jq8HC=w1200|https://lh3.googleusercontent.com/pw/AP1GczN7BqqqVYYgx4vQaplc_aF-qiY6YOkeLJibh726xbWwrcsSJT"&amp;"o600b39NJCTyNHYUDhnR3h11EKGxP4HQdWNU0IH3A00GvgU9c2OiXF6Z0nQ0pIANhj=w1200|https://lh3.googleusercontent.com/pw/AP1GczPBRdpl54mP-KHYBnh1xI4KScvOrw25L-YQXyzfKNLG9uINARDzwMlEi48QdXB0EvQTCsjFa3e0A6uHkTGLCvAgKMUQSIa3wawIeYggU34BdmBIwfCZ=w1200|https://lh3.google"&amp;"usercontent.com/pw/AP1GczNh6GXm8_15J9MO3IknePsZjmZG7jOjLIPLVmOAhk0Y5gNOopFpgR-sH2CQWLewlEWNbENBMteqwP21lW1MNADWnJlRduHpcvNiSUz3sAA3UV_sCw6S=w1200|https://lh3.googleusercontent.com/pw/AP1GczNjNMNUcO8LKrQfUbX3IK3WQakisVsyTm1YfbzYp5VPRilAhuGFWmTvCSh1NIwrDnqv"&amp;"rLQ830rs7sU0FpwGHwNez9mTzg9W2NyN14hM0TNFrjIw3fjB=w1200|https://lh3.googleusercontent.com/pw/AP1GczOiJ2euOQBbgua3wh96Sc3958lbtR7lz_97orLYhQs8am_Mt0putCnF5F43KcGEdhf8il1wZ7MjfQ52m3AhWGImWjK0vIHhTjxwhTKBwhpbBqpSj1h9=w1200|https://lh3.googleusercontent.com/pw"&amp;"/AP1GczPRCk9iYGJfjrMgKelOPCsJBfrMY6dtWydQmD0ibESSNWLq76oDmiDmUsiS-IXyDNpiNyFf847A0q7V6bHzOi517EQ01pCbrVyHTaBAfl0RSnUnebii=w1200")</f>
        <v>https://lh3.googleusercontent.com/pw/AP1GczOqImswYBIXP3UbUY-405fYhywKlrPvfKyoCNJub6Ohjt0csdA0HzMvm6o4rQKoSfHqgPuauPMDFeTVDC2l_fGa3PKDAW9TvlaKWPF8ArC0pc2Jq8HC=w1200|https://lh3.googleusercontent.com/pw/AP1GczN7BqqqVYYgx4vQaplc_aF-qiY6YOkeLJibh726xbWwrcsSJTo600b39NJCTyNHYUDhnR3h11EKGxP4HQdWNU0IH3A00GvgU9c2OiXF6Z0nQ0pIANhj=w1200|https://lh3.googleusercontent.com/pw/AP1GczPBRdpl54mP-KHYBnh1xI4KScvOrw25L-YQXyzfKNLG9uINARDzwMlEi48QdXB0EvQTCsjFa3e0A6uHkTGLCvAgKMUQSIa3wawIeYggU34BdmBIwfCZ=w1200|https://lh3.googleusercontent.com/pw/AP1GczNh6GXm8_15J9MO3IknePsZjmZG7jOjLIPLVmOAhk0Y5gNOopFpgR-sH2CQWLewlEWNbENBMteqwP21lW1MNADWnJlRduHpcvNiSUz3sAA3UV_sCw6S=w1200|https://lh3.googleusercontent.com/pw/AP1GczNjNMNUcO8LKrQfUbX3IK3WQakisVsyTm1YfbzYp5VPRilAhuGFWmTvCSh1NIwrDnqvrLQ830rs7sU0FpwGHwNez9mTzg9W2NyN14hM0TNFrjIw3fjB=w1200|https://lh3.googleusercontent.com/pw/AP1GczOiJ2euOQBbgua3wh96Sc3958lbtR7lz_97orLYhQs8am_Mt0putCnF5F43KcGEdhf8il1wZ7MjfQ52m3AhWGImWjK0vIHhTjxwhTKBwhpbBqpSj1h9=w1200|https://lh3.googleusercontent.com/pw/AP1GczPRCk9iYGJfjrMgKelOPCsJBfrMY6dtWydQmD0ibESSNWLq76oDmiDmUsiS-IXyDNpiNyFf847A0q7V6bHzOi517EQ01pCbrVyHTaBAfl0RSnUnebii=w1200</v>
      </c>
      <c r="AJ569" s="46"/>
      <c r="AK569" s="46"/>
      <c r="AL569" s="46"/>
      <c r="AM569" s="46"/>
      <c r="AN569" s="46"/>
      <c r="AO569" s="46"/>
      <c r="AP569" s="46"/>
      <c r="AQ569" s="46"/>
      <c r="AR569" s="46"/>
      <c r="AS569" s="46"/>
      <c r="AT569" s="46"/>
      <c r="AU569" s="46"/>
      <c r="AV569" s="46"/>
      <c r="AW569" s="46"/>
      <c r="AX569" s="46"/>
      <c r="AY569" s="46"/>
      <c r="AZ569" s="46"/>
      <c r="BA569" s="46"/>
      <c r="BB569" s="46"/>
      <c r="BC569" s="46"/>
      <c r="BD569" s="46"/>
      <c r="BE569" s="46"/>
      <c r="BF569" s="46"/>
      <c r="BG569" s="46"/>
      <c r="BH569" s="46"/>
      <c r="BI569" s="46"/>
      <c r="BJ569" s="46"/>
      <c r="BK569" s="46"/>
      <c r="BL569" s="46"/>
      <c r="BM569" s="46"/>
      <c r="BN569" s="46"/>
      <c r="BO569" s="46"/>
      <c r="BP569" s="46"/>
      <c r="BQ569" s="46"/>
      <c r="BR569" s="46"/>
      <c r="BS569" s="46"/>
      <c r="BT569" s="46"/>
      <c r="BU569" s="46"/>
      <c r="BV569" s="46"/>
      <c r="BW569" s="46"/>
      <c r="BX569" s="46"/>
      <c r="BY569" s="46"/>
      <c r="BZ569" s="46"/>
      <c r="CA569" s="46"/>
      <c r="CB569" s="46"/>
      <c r="CC569" s="46"/>
    </row>
    <row r="570">
      <c r="A570" s="87" t="str">
        <f>IFERROR(__xludf.DUMMYFUNCTION("""COMPUTED_VALUE"""),"328")</f>
        <v>328</v>
      </c>
      <c r="B570" s="46" t="str">
        <f>IFERROR(__xludf.DUMMYFUNCTION("""COMPUTED_VALUE"""),"Casa en barrio Altico")</f>
        <v>Casa en barrio Altico</v>
      </c>
      <c r="C570" s="46" t="str">
        <f>IFERROR(__xludf.DUMMYFUNCTION("""COMPUTED_VALUE"""),"Casa")</f>
        <v>Casa</v>
      </c>
      <c r="D570" s="46" t="str">
        <f>IFERROR(__xludf.DUMMYFUNCTION("""COMPUTED_VALUE"""),"El Altico")</f>
        <v>El Altico</v>
      </c>
      <c r="E570" s="46"/>
      <c r="F570" s="90">
        <f>IFERROR(__xludf.DUMMYFUNCTION("""COMPUTED_VALUE"""),1.2E9)</f>
        <v>1200000000</v>
      </c>
      <c r="G570" s="46" t="str">
        <f>IFERROR(__xludf.DUMMYFUNCTION("""COMPUTED_VALUE"""),"Más de $1.000'000.000")</f>
        <v>Más de $1.000'000.000</v>
      </c>
      <c r="H570" s="46"/>
      <c r="I570" s="46"/>
      <c r="J570" s="46" t="str">
        <f>IFERROR(__xludf.DUMMYFUNCTION("""COMPUTED_VALUE"""),"Centro")</f>
        <v>Centro</v>
      </c>
      <c r="K570" s="87" t="str">
        <f>IFERROR(__xludf.DUMMYFUNCTION("""COMPUTED_VALUE"""),"4")</f>
        <v>4</v>
      </c>
      <c r="L570" s="46">
        <f>IFERROR(__xludf.DUMMYFUNCTION("""COMPUTED_VALUE"""),6.0)</f>
        <v>6</v>
      </c>
      <c r="M570" s="46"/>
      <c r="N570" s="46">
        <f>IFERROR(__xludf.DUMMYFUNCTION("""COMPUTED_VALUE"""),4.0)</f>
        <v>4</v>
      </c>
      <c r="O570" s="46">
        <f>IFERROR(__xludf.DUMMYFUNCTION("""COMPUTED_VALUE"""),2.0)</f>
        <v>2</v>
      </c>
      <c r="P570" s="46">
        <f>IFERROR(__xludf.DUMMYFUNCTION("""COMPUTED_VALUE"""),2.0)</f>
        <v>2</v>
      </c>
      <c r="Q570" s="92">
        <f>IFERROR(__xludf.DUMMYFUNCTION("""COMPUTED_VALUE"""),420.0)</f>
        <v>420</v>
      </c>
      <c r="R570" s="92"/>
      <c r="S570" s="87" t="str">
        <f>IFERROR(__xludf.DUMMYFUNCTION("""COMPUTED_VALUE""")," ")</f>
        <v> </v>
      </c>
      <c r="T570" s="46" t="str">
        <f>IFERROR(__xludf.DUMMYFUNCTION("""COMPUTED_VALUE"""),"Neiva")</f>
        <v>Neiva</v>
      </c>
      <c r="U570" s="87" t="str">
        <f>IFERROR(__xludf.DUMMYFUNCTION("""COMPUTED_VALUE"""),"6")</f>
        <v>6</v>
      </c>
      <c r="V570" s="46" t="str">
        <f>IFERROR(__xludf.DUMMYFUNCTION("""COMPUTED_VALUE"""),"Medianera")</f>
        <v>Medianera</v>
      </c>
      <c r="W570" s="46"/>
      <c r="X570" s="46">
        <f>IFERROR(__xludf.DUMMYFUNCTION("""COMPUTED_VALUE"""),6.0)</f>
        <v>6</v>
      </c>
      <c r="Y570" s="46" t="str">
        <f>IFERROR(__xludf.DUMMYFUNCTION("""COMPUTED_VALUE"""),"Privada")</f>
        <v>Privada</v>
      </c>
      <c r="Z570" s="90" t="str">
        <f>IFERROR(__xludf.DUMMYFUNCTION("""COMPUTED_VALUE"""),"No aplica")</f>
        <v>No aplica</v>
      </c>
      <c r="AA570" s="33" t="str">
        <f>IFERROR(__xludf.DUMMYFUNCTION("""COMPUTED_VALUE"""),"No aplica")</f>
        <v>No aplica</v>
      </c>
      <c r="AB570" s="96" t="str">
        <f>IFERROR(__xludf.DUMMYFUNCTION("""COMPUTED_VALUE"""),"https://photos.google.com/share/AF1QipORIwe-P8Sm7jF2Uf8J7Rq1Sso17zR3wYwgQBJb-ypJWH85wX5VGNlNHy9tjCPMpw?key=c25rc2EtU2ljcUVNYXB0Y3FUdkM3a2FMNFctYnFn")</f>
        <v>https://photos.google.com/share/AF1QipORIwe-P8Sm7jF2Uf8J7Rq1Sso17zR3wYwgQBJb-ypJWH85wX5VGNlNHy9tjCPMpw?key=c25rc2EtU2ljcUVNYXB0Y3FUdkM3a2FMNFctYnFn</v>
      </c>
      <c r="AC570" s="46"/>
      <c r="AD570" s="46" t="str">
        <f>IFERROR(__xludf.DUMMYFUNCTION("""COMPUTED_VALUE"""),"Pisos en mármol")</f>
        <v>Pisos en mármol</v>
      </c>
      <c r="AE570" s="46"/>
      <c r="AF570" s="46" t="str">
        <f>IFERROR(__xludf.DUMMYFUNCTION("""COMPUTED_VALUE"""),"integral")</f>
        <v>integral</v>
      </c>
      <c r="AG570" s="46"/>
      <c r="AH570" s="46" t="str">
        <f>IFERROR(__xludf.DUMMYFUNCTION("""COMPUTED_VALUE"""),"Aliado")</f>
        <v>Aliado</v>
      </c>
      <c r="AI570" s="92" t="str">
        <f>IFERROR(__xludf.DUMMYFUNCTION("""COMPUTED_VALUE"""),"https://lh3.googleusercontent.com/pw/AP1GczPGtGGpiwfNz0grKkDKMewYfbGHozUhZv_mgNnOWQlmG6N7Q7pzg7pFnMPiEa1cXXVDBguHWHERbwjZHMuLQIMAPe-d7FAKthPtVZ6d6d5EWowRQ6Wd=w1200|https://lh3.googleusercontent.com/pw/AP1GczPGjtmc64f0f7MeMBYFPsMtdci8sscJMSIEriVVFnaTTIOATg"&amp;"3Azm-5_-0Q-iZv6lHsa2T0TYIhNI_xc43_RreiE2ZiCUslWtE_kZy82u42DKkECckk=w1200|https://lh3.googleusercontent.com/pw/AP1GczM5Hyqk2MAsvKO1ynQD1hvqpnduFf8NGBn_j5LDos27YHyCtdl6PbweE4OQ8VpI3IJsjgWRIIuIKNpB42_e26ECOLIntNvZFf3Myeubl9rfyqXdWNy4=w1200|https://lh3.google"&amp;"usercontent.com/pw/AP1GczPrhntMS7Ppfy_lejahUDRuRpJh-b4JS9zv0OiJ4G2dxYA7RFtR_mp4mN3yqkdC8M6igkYv_ml_GrDYxxPssx_8jn7FO-mwhbyL542uMYfeI8FWl-oi=w1200|https://lh3.googleusercontent.com/pw/AP1GczNj82YfTkRJZTyoZ6WQCH18z1ieQITucKxiEno-eZXJ-4Z-TkIpg67jh1iz2WhMoeEg"&amp;"IGyhhCLb6_jDoY_6Il1H4wibtBbfmY9-Auur9pw7NoQrn1X4=w1200|https://lh3.googleusercontent.com/pw/AP1GczO1qvhH52CHOPaeLxavaKUZ0X-gDvo2RZ7DvjY1uMvklZ5a5BHp4uVEeBfa_zGv7fFmn5_GHGtzq7Bhlxs-WHR9fnkSYZltcIePcWuZFy_NFbpdcSWh=w1200|https://lh3.googleusercontent.com/pw"&amp;"/AP1GczMvwvC-PeDna0BQ6dZE_LOqdoBXEl6sX8BTPZ7Xt8t8g-Wp8bfOkc7S8G8VEntbpgS8bMlSoc02S76t5EfiJrEKHJ-lBRHS3-VZqyyf729bNooxXOcR=w1200|https://lh3.googleusercontent.com/pw/AP1GczOOSBtnxAYaXj7LFgWwYhfNPlBWnrKIPJUpClocn-TYxlE7G0dH2vKPXf7ryz8rc3QTsocDGf2JW8bTkdCEzI"&amp;"ndFEe0ZSbAtnZluTUk5EAs1DXt8Sdj=w1200|https://lh3.googleusercontent.com/pw/AP1GczOgFI1IqhtPoxfEiY5mA9o-901Tsj2FyTZzI5-Xl-obep6IxfovILVxQ3n52rwuCfB3ECSTOSTFf6qo_oFDUpPBTD03wnyLQ9pi5lj5d0UHay4iLTOA=w1200|https://lh3.googleusercontent.com/pw/AP1GczMyu1fKhRxGl"&amp;"173kwoc0ehG8xDBWqWiib-Rc5WjLhtPAElCMuXGojR2T4EILHU0hT3GchInxPnI5-zbTbQRi-_hfwJrSuxdoC39lafOxKkqxZ3UYKKX=w1200|https://lh3.googleusercontent.com/pw/AP1GczPDpecdoIK1kIc2C7NeQ2LXfyzr0UtgBj0J8z6O6O3nkKCdAhUynUypjKbmyQBDYfeAmD4kJFAwT4V8ZWiAnB3mCsvPaGQ0T2PQTqO1"&amp;"rNBiE6PkbJwr=w1200")</f>
        <v>https://lh3.googleusercontent.com/pw/AP1GczPGtGGpiwfNz0grKkDKMewYfbGHozUhZv_mgNnOWQlmG6N7Q7pzg7pFnMPiEa1cXXVDBguHWHERbwjZHMuLQIMAPe-d7FAKthPtVZ6d6d5EWowRQ6Wd=w1200|https://lh3.googleusercontent.com/pw/AP1GczPGjtmc64f0f7MeMBYFPsMtdci8sscJMSIEriVVFnaTTIOATg3Azm-5_-0Q-iZv6lHsa2T0TYIhNI_xc43_RreiE2ZiCUslWtE_kZy82u42DKkECckk=w1200|https://lh3.googleusercontent.com/pw/AP1GczM5Hyqk2MAsvKO1ynQD1hvqpnduFf8NGBn_j5LDos27YHyCtdl6PbweE4OQ8VpI3IJsjgWRIIuIKNpB42_e26ECOLIntNvZFf3Myeubl9rfyqXdWNy4=w1200|https://lh3.googleusercontent.com/pw/AP1GczPrhntMS7Ppfy_lejahUDRuRpJh-b4JS9zv0OiJ4G2dxYA7RFtR_mp4mN3yqkdC8M6igkYv_ml_GrDYxxPssx_8jn7FO-mwhbyL542uMYfeI8FWl-oi=w1200|https://lh3.googleusercontent.com/pw/AP1GczNj82YfTkRJZTyoZ6WQCH18z1ieQITucKxiEno-eZXJ-4Z-TkIpg67jh1iz2WhMoeEgIGyhhCLb6_jDoY_6Il1H4wibtBbfmY9-Auur9pw7NoQrn1X4=w1200|https://lh3.googleusercontent.com/pw/AP1GczO1qvhH52CHOPaeLxavaKUZ0X-gDvo2RZ7DvjY1uMvklZ5a5BHp4uVEeBfa_zGv7fFmn5_GHGtzq7Bhlxs-WHR9fnkSYZltcIePcWuZFy_NFbpdcSWh=w1200|https://lh3.googleusercontent.com/pw/AP1GczMvwvC-PeDna0BQ6dZE_LOqdoBXEl6sX8BTPZ7Xt8t8g-Wp8bfOkc7S8G8VEntbpgS8bMlSoc02S76t5EfiJrEKHJ-lBRHS3-VZqyyf729bNooxXOcR=w1200|https://lh3.googleusercontent.com/pw/AP1GczOOSBtnxAYaXj7LFgWwYhfNPlBWnrKIPJUpClocn-TYxlE7G0dH2vKPXf7ryz8rc3QTsocDGf2JW8bTkdCEzIndFEe0ZSbAtnZluTUk5EAs1DXt8Sdj=w1200|https://lh3.googleusercontent.com/pw/AP1GczOgFI1IqhtPoxfEiY5mA9o-901Tsj2FyTZzI5-Xl-obep6IxfovILVxQ3n52rwuCfB3ECSTOSTFf6qo_oFDUpPBTD03wnyLQ9pi5lj5d0UHay4iLTOA=w1200|https://lh3.googleusercontent.com/pw/AP1GczMyu1fKhRxGl173kwoc0ehG8xDBWqWiib-Rc5WjLhtPAElCMuXGojR2T4EILHU0hT3GchInxPnI5-zbTbQRi-_hfwJrSuxdoC39lafOxKkqxZ3UYKKX=w1200|https://lh3.googleusercontent.com/pw/AP1GczPDpecdoIK1kIc2C7NeQ2LXfyzr0UtgBj0J8z6O6O3nkKCdAhUynUypjKbmyQBDYfeAmD4kJFAwT4V8ZWiAnB3mCsvPaGQ0T2PQTqO1rNBiE6PkbJwr=w1200</v>
      </c>
      <c r="AJ570" s="46"/>
      <c r="AK570" s="46"/>
      <c r="AL570" s="46"/>
      <c r="AM570" s="46"/>
      <c r="AN570" s="46"/>
      <c r="AO570" s="46"/>
      <c r="AP570" s="46"/>
      <c r="AQ570" s="46"/>
      <c r="AR570" s="46"/>
      <c r="AS570" s="46"/>
      <c r="AT570" s="46"/>
      <c r="AU570" s="46"/>
      <c r="AV570" s="46"/>
      <c r="AW570" s="46"/>
      <c r="AX570" s="46"/>
      <c r="AY570" s="46"/>
      <c r="AZ570" s="46"/>
      <c r="BA570" s="46"/>
      <c r="BB570" s="46"/>
      <c r="BC570" s="46"/>
      <c r="BD570" s="46"/>
      <c r="BE570" s="46"/>
      <c r="BF570" s="46"/>
      <c r="BG570" s="46"/>
      <c r="BH570" s="46"/>
      <c r="BI570" s="46"/>
      <c r="BJ570" s="46"/>
      <c r="BK570" s="46"/>
      <c r="BL570" s="46"/>
      <c r="BM570" s="46"/>
      <c r="BN570" s="46"/>
      <c r="BO570" s="46"/>
      <c r="BP570" s="46"/>
      <c r="BQ570" s="46"/>
      <c r="BR570" s="46"/>
      <c r="BS570" s="46"/>
      <c r="BT570" s="46"/>
      <c r="BU570" s="46"/>
      <c r="BV570" s="46"/>
      <c r="BW570" s="46"/>
      <c r="BX570" s="46"/>
      <c r="BY570" s="46"/>
      <c r="BZ570" s="46"/>
      <c r="CA570" s="46"/>
      <c r="CB570" s="46"/>
      <c r="CC570" s="46"/>
    </row>
    <row r="571">
      <c r="A571" s="87" t="str">
        <f>IFERROR(__xludf.DUMMYFUNCTION("""COMPUTED_VALUE"""),"829")</f>
        <v>829</v>
      </c>
      <c r="B571" s="46" t="str">
        <f>IFERROR(__xludf.DUMMYFUNCTION("""COMPUTED_VALUE"""),"Finca ganadera - Baraya ")</f>
        <v>Finca ganadera - Baraya </v>
      </c>
      <c r="C571" s="46" t="str">
        <f>IFERROR(__xludf.DUMMYFUNCTION("""COMPUTED_VALUE"""),"Finca")</f>
        <v>Finca</v>
      </c>
      <c r="D571" s="46"/>
      <c r="E571" s="46"/>
      <c r="F571" s="90">
        <f>IFERROR(__xludf.DUMMYFUNCTION("""COMPUTED_VALUE"""),1.0E9)</f>
        <v>1000000000</v>
      </c>
      <c r="G571" s="46" t="str">
        <f>IFERROR(__xludf.DUMMYFUNCTION("""COMPUTED_VALUE"""),"Más de $1.000'000.000")</f>
        <v>Más de $1.000'000.000</v>
      </c>
      <c r="H571" s="46"/>
      <c r="I571" s="46"/>
      <c r="J571" s="46"/>
      <c r="K571" s="87"/>
      <c r="L571" s="46">
        <f>IFERROR(__xludf.DUMMYFUNCTION("""COMPUTED_VALUE"""),3.0)</f>
        <v>3</v>
      </c>
      <c r="M571" s="46"/>
      <c r="N571" s="46">
        <f>IFERROR(__xludf.DUMMYFUNCTION("""COMPUTED_VALUE"""),1.0)</f>
        <v>1</v>
      </c>
      <c r="O571" s="46">
        <f>IFERROR(__xludf.DUMMYFUNCTION("""COMPUTED_VALUE"""),2.0)</f>
        <v>2</v>
      </c>
      <c r="P571" s="46">
        <f>IFERROR(__xludf.DUMMYFUNCTION("""COMPUTED_VALUE"""),1.0)</f>
        <v>1</v>
      </c>
      <c r="Q571" s="92">
        <f>IFERROR(__xludf.DUMMYFUNCTION("""COMPUTED_VALUE"""),120.0)</f>
        <v>120</v>
      </c>
      <c r="R571" s="92">
        <f>IFERROR(__xludf.DUMMYFUNCTION("""COMPUTED_VALUE"""),13000.0)</f>
        <v>13000</v>
      </c>
      <c r="S571" s="87" t="str">
        <f>IFERROR(__xludf.DUMMYFUNCTION("""COMPUTED_VALUE""")," ")</f>
        <v> </v>
      </c>
      <c r="T571" s="46" t="str">
        <f>IFERROR(__xludf.DUMMYFUNCTION("""COMPUTED_VALUE"""),"Baraya")</f>
        <v>Baraya</v>
      </c>
      <c r="U571" s="87"/>
      <c r="V571" s="46"/>
      <c r="W571" s="46"/>
      <c r="X571" s="46">
        <f>IFERROR(__xludf.DUMMYFUNCTION("""COMPUTED_VALUE"""),0.0)</f>
        <v>0</v>
      </c>
      <c r="Y571" s="46" t="str">
        <f>IFERROR(__xludf.DUMMYFUNCTION("""COMPUTED_VALUE"""),"No tiene")</f>
        <v>No tiene</v>
      </c>
      <c r="Z571" s="90"/>
      <c r="AA571" s="33" t="str">
        <f>IFERROR(__xludf.DUMMYFUNCTION("""COMPUTED_VALUE"""),"No aplica")</f>
        <v>No aplica</v>
      </c>
      <c r="AB571" s="96" t="str">
        <f>IFERROR(__xludf.DUMMYFUNCTION("""COMPUTED_VALUE"""),"https://photos.app.goo.gl/pK6Aq8vtG9S6ecwY8")</f>
        <v>https://photos.app.goo.gl/pK6Aq8vtG9S6ecwY8</v>
      </c>
      <c r="AC571" s="46" t="str">
        <f>IFERROR(__xludf.DUMMYFUNCTION("""COMPUTED_VALUE"""),"Concesión de agua del río Cabrera. Nacederos de agua para el consumo humano Leguminosas para el levante de ganado. Corral en piedra para aproximadamente 150 cabezas de ganado.")</f>
        <v>Concesión de agua del río Cabrera. Nacederos de agua para el consumo humano Leguminosas para el levante de ganado. Corral en piedra para aproximadamente 150 cabezas de ganado.</v>
      </c>
      <c r="AD571" s="46" t="str">
        <f>IFERROR(__xludf.DUMMYFUNCTION("""COMPUTED_VALUE"""),"Carretera de acceso en buen estado. Servicio de energía casa en bareque. Area: 1300 hectáreas")</f>
        <v>Carretera de acceso en buen estado. Servicio de energía casa en bareque. Area: 1300 hectáreas</v>
      </c>
      <c r="AE571" s="46"/>
      <c r="AF571" s="46" t="str">
        <f>IFERROR(__xludf.DUMMYFUNCTION("""COMPUTED_VALUE"""),"básica")</f>
        <v>básica</v>
      </c>
      <c r="AG571" s="46"/>
      <c r="AH571" s="46" t="str">
        <f>IFERROR(__xludf.DUMMYFUNCTION("""COMPUTED_VALUE"""),"Aliado")</f>
        <v>Aliado</v>
      </c>
      <c r="AI571" s="92" t="str">
        <f>IFERROR(__xludf.DUMMYFUNCTION("""COMPUTED_VALUE"""),"https://lh3.googleusercontent.com/pw/AP1GczPkCtJ4yHMwvSgainTaN5c-bmmv3h7-GcTHKYbZ8rEpThFSgR0r6Tw2dg7L_AfYrUu8RcRruYqgm1MV4bbKhhomkXDtcgjN_uhZNCPKyWj-Vv5Hm7h2=w1200|https://lh3.googleusercontent.com/pw/AP1GczOPlxr3DNiLL8UVQp3WnqqlPNLaNuWv95_kuupGSVLf0VR95X"&amp;"f-L2altdxZXZHMO3li0_U6YefQgL8eBVonm4rVptOrynweE1JbI4sxnYK6S5OqwT7b=w1200|https://lh3.googleusercontent.com/pw/AP1GczO3I25aesfuM4FQKpMcrTLUKMyoCPudry01ARxvaOAgQ_nN-jWciwimuA4M8i9IilGQ0STJ550czYwPFHq9DX7aOeLde1Nh6N6EPkosR24RJ3EF4YoQ=w1200|https://lh3.google"&amp;"usercontent.com/pw/AP1GczNur6_waDcFaZfnwnMs4x0ulBsqDc1QQT84d7EUORbYBV34ukzZTT5xzKT_X-cJ9mt8WjZWnQYH-TUtCgvp_LjOd7O25fx16ZEIAQOOtFiHZiVRSyQs=w1200|https://lh3.googleusercontent.com/pw/AP1GczOGeZTzGZ8ebkUqIIV_oFVlGwfU5mqQ-SSmw1XbqCH-e4BjU8wZKDkwqCtWjDLGrcZD"&amp;"4506Ey0SANk7dUe362Zs2DVQYEYcyDUPoi51_SF5we_45TRz=w1200|https://lh3.googleusercontent.com/pw/AP1GczOZ9eFPd1OCtfV7cziNRYl03FO6MW_GO6v_0HTHdtuutP_UF8MfFTNcDhKam25xg778FBJLiXFsRWMPGFyD41IRN_tVq5-UUmM8s6a2pZFs9McrGRhn=w1200|https://lh3.googleusercontent.com/pw"&amp;"/AP1GczNSkoe3KTh6DiHZHXKnLdqqdxfLvmYz88ZN68okQW7MZnNHzmHkOgswwvoXehYgc7aFvqhMkvZMcRd1RwugNAZkL97qpeE6ZII4sl3VRvOJXYpC7yo_=w1200|https://lh3.googleusercontent.com/pw/AP1GczNWrM5w9NixY_unSGFTdOmorm4r7PCabl3S9xbk2pXyCZNXbkaod5sUnGmQgzW9Q3QGT1kQdbe9Bfjj-tOWxw"&amp;"gjIMp8I1RzdzNFEL_riuyhvYx5Fidp=w1200|https://lh3.googleusercontent.com/pw/AP1GczMQmK0qBYM7-6OtTsDKOWwntCy6MowAvYQIATT_qUOtPisXV0WOwzk968n98vVaSgqMuCuf9upq9b1Re9zY6hD0bEMyuy5OxBwwkzxN--l7YpkQFAa3=w1200|https://lh3.googleusercontent.com/pw/AP1GczP1s1er3AWYO"&amp;"dKKOL1vYRj0PVvIhvSps0OMqMc2g9f4qtsuWVNoNTe1MNCQ8uIeS6BdItMCfGGFRyVKt7ByjpFwT-WK50nNFiHHIv8hGubgxPB-WOK0=w1200|https://lh3.googleusercontent.com/pw/AP1GczNs_C1x_sfIlYE84xeijUrpotwvDYP_TRgCun_l3j3sqydpU2V9OgXd-VX4n9ChneIbTUvyfchQfUAYVM1ntLhRiSgrDNFOZ6a0fB8h"&amp;"IykUuMXMTqxg=w1200|https://lh3.googleusercontent.com/pw/AP1GczNi3LdEtVeaMHhBZqo7q_l8EXc2Tf_2o0Vh4B_DQpMLjQ0wYTtSSgGjOW3QZueqG5I917AVn1h6AfE4ggRDSImVdtba65WymhqEGt9SF17iufP63ceZ=w1200")</f>
        <v>https://lh3.googleusercontent.com/pw/AP1GczPkCtJ4yHMwvSgainTaN5c-bmmv3h7-GcTHKYbZ8rEpThFSgR0r6Tw2dg7L_AfYrUu8RcRruYqgm1MV4bbKhhomkXDtcgjN_uhZNCPKyWj-Vv5Hm7h2=w1200|https://lh3.googleusercontent.com/pw/AP1GczOPlxr3DNiLL8UVQp3WnqqlPNLaNuWv95_kuupGSVLf0VR95Xf-L2altdxZXZHMO3li0_U6YefQgL8eBVonm4rVptOrynweE1JbI4sxnYK6S5OqwT7b=w1200|https://lh3.googleusercontent.com/pw/AP1GczO3I25aesfuM4FQKpMcrTLUKMyoCPudry01ARxvaOAgQ_nN-jWciwimuA4M8i9IilGQ0STJ550czYwPFHq9DX7aOeLde1Nh6N6EPkosR24RJ3EF4YoQ=w1200|https://lh3.googleusercontent.com/pw/AP1GczNur6_waDcFaZfnwnMs4x0ulBsqDc1QQT84d7EUORbYBV34ukzZTT5xzKT_X-cJ9mt8WjZWnQYH-TUtCgvp_LjOd7O25fx16ZEIAQOOtFiHZiVRSyQs=w1200|https://lh3.googleusercontent.com/pw/AP1GczOGeZTzGZ8ebkUqIIV_oFVlGwfU5mqQ-SSmw1XbqCH-e4BjU8wZKDkwqCtWjDLGrcZD4506Ey0SANk7dUe362Zs2DVQYEYcyDUPoi51_SF5we_45TRz=w1200|https://lh3.googleusercontent.com/pw/AP1GczOZ9eFPd1OCtfV7cziNRYl03FO6MW_GO6v_0HTHdtuutP_UF8MfFTNcDhKam25xg778FBJLiXFsRWMPGFyD41IRN_tVq5-UUmM8s6a2pZFs9McrGRhn=w1200|https://lh3.googleusercontent.com/pw/AP1GczNSkoe3KTh6DiHZHXKnLdqqdxfLvmYz88ZN68okQW7MZnNHzmHkOgswwvoXehYgc7aFvqhMkvZMcRd1RwugNAZkL97qpeE6ZII4sl3VRvOJXYpC7yo_=w1200|https://lh3.googleusercontent.com/pw/AP1GczNWrM5w9NixY_unSGFTdOmorm4r7PCabl3S9xbk2pXyCZNXbkaod5sUnGmQgzW9Q3QGT1kQdbe9Bfjj-tOWxwgjIMp8I1RzdzNFEL_riuyhvYx5Fidp=w1200|https://lh3.googleusercontent.com/pw/AP1GczMQmK0qBYM7-6OtTsDKOWwntCy6MowAvYQIATT_qUOtPisXV0WOwzk968n98vVaSgqMuCuf9upq9b1Re9zY6hD0bEMyuy5OxBwwkzxN--l7YpkQFAa3=w1200|https://lh3.googleusercontent.com/pw/AP1GczP1s1er3AWYOdKKOL1vYRj0PVvIhvSps0OMqMc2g9f4qtsuWVNoNTe1MNCQ8uIeS6BdItMCfGGFRyVKt7ByjpFwT-WK50nNFiHHIv8hGubgxPB-WOK0=w1200|https://lh3.googleusercontent.com/pw/AP1GczNs_C1x_sfIlYE84xeijUrpotwvDYP_TRgCun_l3j3sqydpU2V9OgXd-VX4n9ChneIbTUvyfchQfUAYVM1ntLhRiSgrDNFOZ6a0fB8hIykUuMXMTqxg=w1200|https://lh3.googleusercontent.com/pw/AP1GczNi3LdEtVeaMHhBZqo7q_l8EXc2Tf_2o0Vh4B_DQpMLjQ0wYTtSSgGjOW3QZueqG5I917AVn1h6AfE4ggRDSImVdtba65WymhqEGt9SF17iufP63ceZ=w1200</v>
      </c>
      <c r="AJ571" s="46"/>
      <c r="AK571" s="46"/>
      <c r="AL571" s="46"/>
      <c r="AM571" s="46"/>
      <c r="AN571" s="46"/>
      <c r="AO571" s="46"/>
      <c r="AP571" s="46"/>
      <c r="AQ571" s="46"/>
      <c r="AR571" s="46"/>
      <c r="AS571" s="46"/>
      <c r="AT571" s="46"/>
      <c r="AU571" s="46"/>
      <c r="AV571" s="46"/>
      <c r="AW571" s="46"/>
      <c r="AX571" s="46"/>
      <c r="AY571" s="46"/>
      <c r="AZ571" s="46"/>
      <c r="BA571" s="46"/>
      <c r="BB571" s="46"/>
      <c r="BC571" s="46"/>
      <c r="BD571" s="46"/>
      <c r="BE571" s="46"/>
      <c r="BF571" s="46"/>
      <c r="BG571" s="46"/>
      <c r="BH571" s="46"/>
      <c r="BI571" s="46"/>
      <c r="BJ571" s="46"/>
      <c r="BK571" s="46"/>
      <c r="BL571" s="46"/>
      <c r="BM571" s="46"/>
      <c r="BN571" s="46"/>
      <c r="BO571" s="46"/>
      <c r="BP571" s="46"/>
      <c r="BQ571" s="46"/>
      <c r="BR571" s="46"/>
      <c r="BS571" s="46"/>
      <c r="BT571" s="46"/>
      <c r="BU571" s="46"/>
      <c r="BV571" s="46"/>
      <c r="BW571" s="46"/>
      <c r="BX571" s="46"/>
      <c r="BY571" s="46"/>
      <c r="BZ571" s="46"/>
      <c r="CA571" s="46"/>
      <c r="CB571" s="46"/>
      <c r="CC571" s="46"/>
    </row>
    <row r="572">
      <c r="A572" s="87" t="str">
        <f>IFERROR(__xludf.DUMMYFUNCTION("""COMPUTED_VALUE"""),"605")</f>
        <v>605</v>
      </c>
      <c r="B572" s="46" t="str">
        <f>IFERROR(__xludf.DUMMYFUNCTION("""COMPUTED_VALUE"""),"Casa campestre en conjunto Parrots, Rivera")</f>
        <v>Casa campestre en conjunto Parrots, Rivera</v>
      </c>
      <c r="C572" s="46" t="str">
        <f>IFERROR(__xludf.DUMMYFUNCTION("""COMPUTED_VALUE"""),"Casa campestre en conjunto")</f>
        <v>Casa campestre en conjunto</v>
      </c>
      <c r="D572" s="46"/>
      <c r="E572" s="90" t="str">
        <f>IFERROR(__xludf.DUMMYFUNCTION("""COMPUTED_VALUE"""),"Parrots")</f>
        <v>Parrots</v>
      </c>
      <c r="F572" s="90">
        <f>IFERROR(__xludf.DUMMYFUNCTION("""COMPUTED_VALUE"""),1.0E9)</f>
        <v>1000000000</v>
      </c>
      <c r="G572" s="46" t="str">
        <f>IFERROR(__xludf.DUMMYFUNCTION("""COMPUTED_VALUE"""),"Más de $1.000'000.000")</f>
        <v>Más de $1.000'000.000</v>
      </c>
      <c r="H572" s="46"/>
      <c r="I572" s="46"/>
      <c r="J572" s="46" t="str">
        <f>IFERROR(__xludf.DUMMYFUNCTION("""COMPUTED_VALUE"""),"Sur")</f>
        <v>Sur</v>
      </c>
      <c r="K572" s="87"/>
      <c r="L572" s="46">
        <f>IFERROR(__xludf.DUMMYFUNCTION("""COMPUTED_VALUE"""),4.0)</f>
        <v>4</v>
      </c>
      <c r="M572" s="46"/>
      <c r="N572" s="46">
        <f>IFERROR(__xludf.DUMMYFUNCTION("""COMPUTED_VALUE"""),5.0)</f>
        <v>5</v>
      </c>
      <c r="O572" s="46">
        <f>IFERROR(__xludf.DUMMYFUNCTION("""COMPUTED_VALUE"""),1.0)</f>
        <v>1</v>
      </c>
      <c r="P572" s="46">
        <f>IFERROR(__xludf.DUMMYFUNCTION("""COMPUTED_VALUE"""),1.0)</f>
        <v>1</v>
      </c>
      <c r="Q572" s="92"/>
      <c r="R572" s="92">
        <f>IFERROR(__xludf.DUMMYFUNCTION("""COMPUTED_VALUE"""),2200.0)</f>
        <v>2200</v>
      </c>
      <c r="S572" s="87" t="str">
        <f>IFERROR(__xludf.DUMMYFUNCTION("""COMPUTED_VALUE""")," ")</f>
        <v> </v>
      </c>
      <c r="T572" s="46" t="str">
        <f>IFERROR(__xludf.DUMMYFUNCTION("""COMPUTED_VALUE"""),"Rivera")</f>
        <v>Rivera</v>
      </c>
      <c r="U572" s="87"/>
      <c r="V572" s="46"/>
      <c r="W572" s="46"/>
      <c r="X572" s="46"/>
      <c r="Y572" s="46" t="str">
        <f>IFERROR(__xludf.DUMMYFUNCTION("""COMPUTED_VALUE"""),"Jacuzzi/Social")</f>
        <v>Jacuzzi/Social</v>
      </c>
      <c r="Z572" s="90" t="str">
        <f>IFERROR(__xludf.DUMMYFUNCTION("""COMPUTED_VALUE"""),"No aplica")</f>
        <v>No aplica</v>
      </c>
      <c r="AA572" s="33" t="str">
        <f>IFERROR(__xludf.DUMMYFUNCTION("""COMPUTED_VALUE"""),"No aplica")</f>
        <v>No aplica</v>
      </c>
      <c r="AB572" s="96" t="str">
        <f>IFERROR(__xludf.DUMMYFUNCTION("""COMPUTED_VALUE"""),"https://photos.google.com/share/AF1QipNBYZl568W0BulMRyi7fIEbzszsOekhW5KhcdmOmU780fcukaiJvs-TqfwCXZ_7wg?key=aEhBLXFLVHBsbGlMaVZBQWhPTUJtQTBEeUpSdTR3")</f>
        <v>https://photos.google.com/share/AF1QipNBYZl568W0BulMRyi7fIEbzszsOekhW5KhcdmOmU780fcukaiJvs-TqfwCXZ_7wg?key=aEhBLXFLVHBsbGlMaVZBQWhPTUJtQTBEeUpSdTR3</v>
      </c>
      <c r="AC572" s="46"/>
      <c r="AD572" s="46" t="str">
        <f>IFERROR(__xludf.DUMMYFUNCTION("""COMPUTED_VALUE"""),"Cuenta con BBQ, árboles frutales, amplias zonas verdes. El conjunto cuenta con salón social, piscina, polideportivo, vigilancia privada.")</f>
        <v>Cuenta con BBQ, árboles frutales, amplias zonas verdes. El conjunto cuenta con salón social, piscina, polideportivo, vigilancia privada.</v>
      </c>
      <c r="AE572" s="46"/>
      <c r="AF572" s="46" t="str">
        <f>IFERROR(__xludf.DUMMYFUNCTION("""COMPUTED_VALUE"""),"integral")</f>
        <v>integral</v>
      </c>
      <c r="AG572" s="46"/>
      <c r="AH572" s="46" t="str">
        <f>IFERROR(__xludf.DUMMYFUNCTION("""COMPUTED_VALUE"""),"Aliado")</f>
        <v>Aliado</v>
      </c>
      <c r="AI572" s="92" t="str">
        <f>IFERROR(__xludf.DUMMYFUNCTION("""COMPUTED_VALUE"""),"https://lh3.googleusercontent.com/pw/AP1GczOKk_PDP3sBXFjpBzk3rAoaOSBEKyl4wEr_kGmIdyAaVtGcmI28WxzYzeBdNqlA0O9bHbPaHKmWwDDDpWm3aFC_cxMOR547lopN4yqOkX0pc7yAMPq7=w1200|https://lh3.googleusercontent.com/pw/AP1GczP2cJvFu57aosq-lN-0987wR5_DIEXZvVVwd4btdBDoj7-UaL"&amp;"GVqAh2taDabXRlZhFrISd_UFuNilD7KcWIRjlyol_W6RZfdeeiknVvFl8DtBWj5GQV=w1200|https://lh3.googleusercontent.com/pw/AP1GczMUPqVKo-TdY35Yq00QZgbZYk3qfJQRCiQYa7lTby9hFFH86nShb-JJhE4uNttxsYgP8SvcukToZLC97vkXe_6qxMgeECQ8Eumvj8KbpKlSuZc_vwZm=w1200|https://lh3.google"&amp;"usercontent.com/pw/AP1GczM7BDGbMO1JLVybhF7zzEbTmAHma2usXbSwXPZCsKtYPB1fCsFY6was4D9QrlNcmKlviqioN0nCgNAFCRKa5xE9tA6KbUxZSU_6yzX2t9ijwJoBvxpu=w1200|https://lh3.googleusercontent.com/pw/AP1GczNJTFisjLQyi6BQBpl92zMoxqm7UqcoDBcNkhheXsRiNVomV08vyaQo2pY-rj-ialZp"&amp;"8B34ynKW5NxKZBGpOCKjUa66AKctL3ypZ5nuJc1YoZc_TEem=w1200|https://lh3.googleusercontent.com/pw/AP1GczNqqbo_ugOo45FXi3jUu6WbxmDd4xje0z6H9883aus7fd_Xcpchlzkh6-5Ch6Ubow64oxnHMpyXBrPGxpBKKemJalfbm7sPakU47VLeqacltob6yn-t=w1200|https://lh3.googleusercontent.com/pw"&amp;"/AP1GczNy8p4JAomImjkKi5vi8lLNdmCzzVFWK8ekIFixdtc2fBUrd6HIIs-Y90p_SleQRJ8OTa2OZYsgXGeECDX4poAsojdwplMp1z3L123tL6PZWc8Cwgi-=w1200|https://lh3.googleusercontent.com/pw/AP1GczNxuDUf0fYQDauZSkOkMJmTSGhBjnGi89_OfJdt-da6OCoXJceRlcD9lUgtvHiSozHRA8HQjPgB54XZLEPU0J"&amp;"QAWtVvz3CwbYqgUGscLely5N1hQhP0=w1200|https://lh3.googleusercontent.com/pw/AP1GczMBnEe0TNVpgcclTsKuK-8RFWUjS-k1gPfo_sSZD-u2d0WjsXFQTdRb_oKy6hba2EGQg4-tOlrkKnGAYuDvp7qACe_i30DnKMNkbqBnszlZ0AFgFuhD=w1200|https://lh3.googleusercontent.com/pw/AP1GczPiTN532H8OF"&amp;"vyp4CXMH5a5AkrDzAArA6n7J-BzTd8aTFCsMqw-keLyzZpGGj-QXMjRU6iDpGkanGvFzZLqphYPxxxBsdoQ2I-PAxQn5qehQug9wTib=w1200|https://lh3.googleusercontent.com/pw/AP1GczNAR7173bTIf-IDrlLBOnC4a4SXgNjNyNqfkf5yLyzauvgy-T_gEomuuVoYu7d5wb_tCjEApVyP1BviYWo-oQVIMs9FfMFg3Qr-QkQj"&amp;"XSrPIH3xZkDy=w1200|https://lh3.googleusercontent.com/pw/AP1GczNpdNFmwXLBXYrVfEPKoHpZFuhbI5W1ZzWipPzAg7LMJ5LnpBd6Iah7oxuVUvlonE2JwhCHwiLNCpG4iAORvkuBtHpT6x6YVSPfpFzJSvto6RvIzwc3=w1200|https://lh3.googleusercontent.com/pw/AP1GczPL2NOhod4HJJ7-vkpmOAhk0E_Fb_v"&amp;"7c2f6_zGyfjRAQXBdXPkqPzUuT4YJPsILMwep_r-_0GVE5tXgplp-d7CpBgLip-PKX9z52u0YdfOeEyyd66Gl=w1200|https://lh3.googleusercontent.com/pw/AP1GczO449eQAITLhj6ohVR60F-TkLXwV-gaM0slkXjcjk7ouDdT8u-wNn8kWhF08r4g-vcF53pdcpZyrN2ieedU5DxoBnotDLjxDSuozTUOYsnXfPT3ARsA=w1200"&amp;"|https://lh3.googleusercontent.com/pw/AP1GczNocwS39v0MIVlRidNzXwEx4hweS7P-lkNtIObqbhvfU8ZC8z9nRR_9zUHv1E8ybGJMb14u3DL9uSLjYWsBFKSva9SdpPMwyOPIiBJgPadmDbtqS46l=w1200|https://lh3.googleusercontent.com/pw/AP1GczMqAzm-oymTkntWknqtK4GVA7-jTkDgqHqb3WylWVYrh8n-a"&amp;"2MuDKVlyI8zH4GFTOJjO0nQ9cuxAVkAr0iK6kAtyL2oOT_MuZDTjusl-n4wXwf4c34H=w1200|https://lh3.googleusercontent.com/pw/AP1GczNGwgaaQvxtQoCGlAb_fpxDsvVLZ6pWJozpPqCq9lMmaEO-uWCyV_LdKDe6svKqiKi-wCTu8OvbHIun6EFQnAeIdH71-oBt3tKki-0qtlsct38sHYVD=w1200|https://lh3.googl"&amp;"eusercontent.com/pw/AP1GczN3xZ7f3-eIf6DIPVn9tsry8EZGwWQ39M2OA8fzLV40XnseKCYsMUvBdbppW5rHJe06F8A-pHGb8KIYIYdSV1B02V3nUbd7yW6XzzuZzH4ipDKSpzGh=w1200|https://lh3.googleusercontent.com/pw/AP1GczMp75_y82fvJ1X2q2coCOPAkg2a2JwDpOqnQmQU52ZfIbvj5YiKz3B779QqEGFNBsR"&amp;"l56tnYCG_Y_7JLHdBNiVcSSM5cjpC-J_5TysgTCOEe6TXLQhI=w1200|https://lh3.googleusercontent.com/pw/AP1GczPOHZlbGvhadlfGQUO8bXJIFH6fkxgTD2RVDUaljon__FteYwCH1BSejRco9RFpyw-o8E6aTZ5RQr3THi5cADm4h4w3bkDRlJMwzCNWfimU6fbga4Pk=w1200|https://lh3.googleusercontent.com/p"&amp;"w/AP1GczMZA2L7Rq_jamHXR6booMqe6Ikf0_ITVG9BVQ6rEGfRkQSA8GWM9CGtNSMXLQiK2DAK4Kq_Dkm5LrHnfBdX-VfVicssqOYax9MG1XmPgSnC1pb4zSc-=w1200|https://lh3.googleusercontent.com/pw/AP1GczP45QdAbm914no__SdnxEBf2es06zxKTpfTlYDer-6yIE76A8I_4YdrH_6yGHddmJA6GJsj0aV-1snR1ByR0"&amp;"qs3872Ub4vo2ULbzm0ELYsccxzvpCDN=w1200|https://lh3.googleusercontent.com/pw/AP1GczP4XeAsybbM5Zd2a-tnEWZGR1cpncs3kot_-_TvpzaZwzErVLo8FUTomDPupV10TZDbgtg2zTQJIFX3saL5E6epF73WifpE6b1XSe1zNS1nHbdj4UpR=w1200|https://lh3.googleusercontent.com/pw/AP1GczNcz3AtmjDT"&amp;"1cKyKDT3sWBciL8D1FHW3XwK9OXIXk4rHawD7q8TxmZHW_sTfwEM9ZjvhwMxmQCcthXCR53k4WGXUuKEKX4nfrLVwQLqCL5ZTWQncYg1=w1200|https://lh3.googleusercontent.com/pw/AP1GczOhwxJD0sOuKj2MNgLkUZEEgsUyPrVVn4KSh0J2Eh1HXiFSxD0vRpsPBH_JZyuwb8iRqwfTwpbcFM2b5LzuoI0NU1hEv8RLgAuLmjy"&amp;"0u2_WmqcA17ck=w1200|https://lh3.googleusercontent.com/pw/AP1GczNgWZGyR9Y9DBA_FtzO-sxtIIE3npqJSWVXhpXf8mTCqMtj-yhALXHojKtQg3iZpAWvIpPA1Q55jh2PGR1emfkhxSlt_mCCjxbavshkR1nc1PmTtIYH=w1200|https://lh3.googleusercontent.com/pw/AP1GczPnQCPIEefcxCIuxyZVDqfrW9uerq"&amp;"fj5MAdlKceEHN2lmTLld4eSX3UuUYibpd89-x2jH5ls8c3UEQkSqqZjLoy_fnyGddLIwb1bCLT5aswJml-ZOOR=w1200|https://lh3.googleusercontent.com/pw/AP1GczM4POmXTJu53YZ1zKH8pNrlDM_Xl8xN8Mk73QU6JBjho02FPEexTYKziQC-a9dy-zkcMW15W2GpLG4CgMFLyNbsprojdfBnQN_DPGlRljE1ZXOV-bu9=w120"&amp;"0|https://lh3.googleusercontent.com/pw/AP1GczNfkSxq9t0wWMq2ulY-ak3aS5YkRqFghTf7ndjB89QviNIapOUPJVCvi1o6_wmOLPplJToZuHQuMmVSQeNc8xeIZpkBXlmnqsea-cSde8-n2Ut12QXw=w1200|https://lh3.googleusercontent.com/pw/AP1GczPhs9eA3HwWix3lUu72t9TYSiq82n0H9TCcgbyiTeZ9O9mT"&amp;"_NL323Bqtav2-sNDV_fQ5-HVw4RUpAfRSD3_ejqNky2fA31YbYkKM7muXLTpJcw3d3TM=w1200|https://lh3.googleusercontent.com/pw/AP1GczM4DK17TPP4oO-vEa8k6pYLdqFmEuKlSIEfYlQFw1UGNMwIWRdo66lO8gr9W7HJ8Y0yFW_t33o33rK_qFNiTwcRuZmu6Qg3LBuPHQMx1wheMcYdS5U2=w1200|https://lh3.goog"&amp;"leusercontent.com/pw/AP1GczMnaXoxpm6uKCBKxHeIjoTMR0hpPRsJwFx5Po3Aapl7930gufJr8yxhskgKr86CYQ06L5i7b_Bgpk4iEexnFeSYzsth2GtVsXyVycR84jFMbXtvx9sO=w1200|https://lh3.googleusercontent.com/pw/AP1GczO3HQxSw7ruF8Jsm3oxwJFBqZZxyeXwoLHheKsmA6C0bLzS7OQeEviWL10tmq9MdF"&amp;"D71_xSP1BVzjH5RbCGFBbzLR2M2piLXePy6aH6SFQj_ffIpMQp=w1200|https://lh3.googleusercontent.com/pw/AP1GczOaMOZb72Hgx3z8LYtj5vTZghP3e5aHI9hS8qtfFDPz-VIwkyfq-4Cr3k2tQnoQdkejhCPVVu9tSqqeP3Xd5yza_MQY3DIu8rsnyn7AjuIgYuajO1ad=w1200|https://lh3.googleusercontent.com/"&amp;"pw/AP1GczP7R_XmWngDs9UpSQ3Sz6szy-q_xzZ-FF0abggfEUCYlUSW2aoXzQp9LKTgJPC0HUazQnIC9bylk2U7RDYDoPQQ3Zz7iIqkuiXt2IybVzDZJ0Shw_nz=w1200|https://lh3.googleusercontent.com/pw/AP1GczMVI6h3rFQERUlZentH5kGQHuogajfhXfRIBB9IKQa-5fEfy3fplwA6gn3IwO9-c9dmh43Gm0Fq3wCKeBv5"&amp;"SW6xkboWbU7IsuT9FwXJ5JTZ4EJrkKIG=w1200")</f>
        <v>https://lh3.googleusercontent.com/pw/AP1GczOKk_PDP3sBXFjpBzk3rAoaOSBEKyl4wEr_kGmIdyAaVtGcmI28WxzYzeBdNqlA0O9bHbPaHKmWwDDDpWm3aFC_cxMOR547lopN4yqOkX0pc7yAMPq7=w1200|https://lh3.googleusercontent.com/pw/AP1GczP2cJvFu57aosq-lN-0987wR5_DIEXZvVVwd4btdBDoj7-UaLGVqAh2taDabXRlZhFrISd_UFuNilD7KcWIRjlyol_W6RZfdeeiknVvFl8DtBWj5GQV=w1200|https://lh3.googleusercontent.com/pw/AP1GczMUPqVKo-TdY35Yq00QZgbZYk3qfJQRCiQYa7lTby9hFFH86nShb-JJhE4uNttxsYgP8SvcukToZLC97vkXe_6qxMgeECQ8Eumvj8KbpKlSuZc_vwZm=w1200|https://lh3.googleusercontent.com/pw/AP1GczM7BDGbMO1JLVybhF7zzEbTmAHma2usXbSwXPZCsKtYPB1fCsFY6was4D9QrlNcmKlviqioN0nCgNAFCRKa5xE9tA6KbUxZSU_6yzX2t9ijwJoBvxpu=w1200|https://lh3.googleusercontent.com/pw/AP1GczNJTFisjLQyi6BQBpl92zMoxqm7UqcoDBcNkhheXsRiNVomV08vyaQo2pY-rj-ialZp8B34ynKW5NxKZBGpOCKjUa66AKctL3ypZ5nuJc1YoZc_TEem=w1200|https://lh3.googleusercontent.com/pw/AP1GczNqqbo_ugOo45FXi3jUu6WbxmDd4xje0z6H9883aus7fd_Xcpchlzkh6-5Ch6Ubow64oxnHMpyXBrPGxpBKKemJalfbm7sPakU47VLeqacltob6yn-t=w1200|https://lh3.googleusercontent.com/pw/AP1GczNy8p4JAomImjkKi5vi8lLNdmCzzVFWK8ekIFixdtc2fBUrd6HIIs-Y90p_SleQRJ8OTa2OZYsgXGeECDX4poAsojdwplMp1z3L123tL6PZWc8Cwgi-=w1200|https://lh3.googleusercontent.com/pw/AP1GczNxuDUf0fYQDauZSkOkMJmTSGhBjnGi89_OfJdt-da6OCoXJceRlcD9lUgtvHiSozHRA8HQjPgB54XZLEPU0JQAWtVvz3CwbYqgUGscLely5N1hQhP0=w1200|https://lh3.googleusercontent.com/pw/AP1GczMBnEe0TNVpgcclTsKuK-8RFWUjS-k1gPfo_sSZD-u2d0WjsXFQTdRb_oKy6hba2EGQg4-tOlrkKnGAYuDvp7qACe_i30DnKMNkbqBnszlZ0AFgFuhD=w1200|https://lh3.googleusercontent.com/pw/AP1GczPiTN532H8OFvyp4CXMH5a5AkrDzAArA6n7J-BzTd8aTFCsMqw-keLyzZpGGj-QXMjRU6iDpGkanGvFzZLqphYPxxxBsdoQ2I-PAxQn5qehQug9wTib=w1200|https://lh3.googleusercontent.com/pw/AP1GczNAR7173bTIf-IDrlLBOnC4a4SXgNjNyNqfkf5yLyzauvgy-T_gEomuuVoYu7d5wb_tCjEApVyP1BviYWo-oQVIMs9FfMFg3Qr-QkQjXSrPIH3xZkDy=w1200|https://lh3.googleusercontent.com/pw/AP1GczNpdNFmwXLBXYrVfEPKoHpZFuhbI5W1ZzWipPzAg7LMJ5LnpBd6Iah7oxuVUvlonE2JwhCHwiLNCpG4iAORvkuBtHpT6x6YVSPfpFzJSvto6RvIzwc3=w1200|https://lh3.googleusercontent.com/pw/AP1GczPL2NOhod4HJJ7-vkpmOAhk0E_Fb_v7c2f6_zGyfjRAQXBdXPkqPzUuT4YJPsILMwep_r-_0GVE5tXgplp-d7CpBgLip-PKX9z52u0YdfOeEyyd66Gl=w1200|https://lh3.googleusercontent.com/pw/AP1GczO449eQAITLhj6ohVR60F-TkLXwV-gaM0slkXjcjk7ouDdT8u-wNn8kWhF08r4g-vcF53pdcpZyrN2ieedU5DxoBnotDLjxDSuozTUOYsnXfPT3ARsA=w1200|https://lh3.googleusercontent.com/pw/AP1GczNocwS39v0MIVlRidNzXwEx4hweS7P-lkNtIObqbhvfU8ZC8z9nRR_9zUHv1E8ybGJMb14u3DL9uSLjYWsBFKSva9SdpPMwyOPIiBJgPadmDbtqS46l=w1200|https://lh3.googleusercontent.com/pw/AP1GczMqAzm-oymTkntWknqtK4GVA7-jTkDgqHqb3WylWVYrh8n-a2MuDKVlyI8zH4GFTOJjO0nQ9cuxAVkAr0iK6kAtyL2oOT_MuZDTjusl-n4wXwf4c34H=w1200|https://lh3.googleusercontent.com/pw/AP1GczNGwgaaQvxtQoCGlAb_fpxDsvVLZ6pWJozpPqCq9lMmaEO-uWCyV_LdKDe6svKqiKi-wCTu8OvbHIun6EFQnAeIdH71-oBt3tKki-0qtlsct38sHYVD=w1200|https://lh3.googleusercontent.com/pw/AP1GczN3xZ7f3-eIf6DIPVn9tsry8EZGwWQ39M2OA8fzLV40XnseKCYsMUvBdbppW5rHJe06F8A-pHGb8KIYIYdSV1B02V3nUbd7yW6XzzuZzH4ipDKSpzGh=w1200|https://lh3.googleusercontent.com/pw/AP1GczMp75_y82fvJ1X2q2coCOPAkg2a2JwDpOqnQmQU52ZfIbvj5YiKz3B779QqEGFNBsRl56tnYCG_Y_7JLHdBNiVcSSM5cjpC-J_5TysgTCOEe6TXLQhI=w1200|https://lh3.googleusercontent.com/pw/AP1GczPOHZlbGvhadlfGQUO8bXJIFH6fkxgTD2RVDUaljon__FteYwCH1BSejRco9RFpyw-o8E6aTZ5RQr3THi5cADm4h4w3bkDRlJMwzCNWfimU6fbga4Pk=w1200|https://lh3.googleusercontent.com/pw/AP1GczMZA2L7Rq_jamHXR6booMqe6Ikf0_ITVG9BVQ6rEGfRkQSA8GWM9CGtNSMXLQiK2DAK4Kq_Dkm5LrHnfBdX-VfVicssqOYax9MG1XmPgSnC1pb4zSc-=w1200|https://lh3.googleusercontent.com/pw/AP1GczP45QdAbm914no__SdnxEBf2es06zxKTpfTlYDer-6yIE76A8I_4YdrH_6yGHddmJA6GJsj0aV-1snR1ByR0qs3872Ub4vo2ULbzm0ELYsccxzvpCDN=w1200|https://lh3.googleusercontent.com/pw/AP1GczP4XeAsybbM5Zd2a-tnEWZGR1cpncs3kot_-_TvpzaZwzErVLo8FUTomDPupV10TZDbgtg2zTQJIFX3saL5E6epF73WifpE6b1XSe1zNS1nHbdj4UpR=w1200|https://lh3.googleusercontent.com/pw/AP1GczNcz3AtmjDT1cKyKDT3sWBciL8D1FHW3XwK9OXIXk4rHawD7q8TxmZHW_sTfwEM9ZjvhwMxmQCcthXCR53k4WGXUuKEKX4nfrLVwQLqCL5ZTWQncYg1=w1200|https://lh3.googleusercontent.com/pw/AP1GczOhwxJD0sOuKj2MNgLkUZEEgsUyPrVVn4KSh0J2Eh1HXiFSxD0vRpsPBH_JZyuwb8iRqwfTwpbcFM2b5LzuoI0NU1hEv8RLgAuLmjy0u2_WmqcA17ck=w1200|https://lh3.googleusercontent.com/pw/AP1GczNgWZGyR9Y9DBA_FtzO-sxtIIE3npqJSWVXhpXf8mTCqMtj-yhALXHojKtQg3iZpAWvIpPA1Q55jh2PGR1emfkhxSlt_mCCjxbavshkR1nc1PmTtIYH=w1200|https://lh3.googleusercontent.com/pw/AP1GczPnQCPIEefcxCIuxyZVDqfrW9uerqfj5MAdlKceEHN2lmTLld4eSX3UuUYibpd89-x2jH5ls8c3UEQkSqqZjLoy_fnyGddLIwb1bCLT5aswJml-ZOOR=w1200|https://lh3.googleusercontent.com/pw/AP1GczM4POmXTJu53YZ1zKH8pNrlDM_Xl8xN8Mk73QU6JBjho02FPEexTYKziQC-a9dy-zkcMW15W2GpLG4CgMFLyNbsprojdfBnQN_DPGlRljE1ZXOV-bu9=w1200|https://lh3.googleusercontent.com/pw/AP1GczNfkSxq9t0wWMq2ulY-ak3aS5YkRqFghTf7ndjB89QviNIapOUPJVCvi1o6_wmOLPplJToZuHQuMmVSQeNc8xeIZpkBXlmnqsea-cSde8-n2Ut12QXw=w1200|https://lh3.googleusercontent.com/pw/AP1GczPhs9eA3HwWix3lUu72t9TYSiq82n0H9TCcgbyiTeZ9O9mT_NL323Bqtav2-sNDV_fQ5-HVw4RUpAfRSD3_ejqNky2fA31YbYkKM7muXLTpJcw3d3TM=w1200|https://lh3.googleusercontent.com/pw/AP1GczM4DK17TPP4oO-vEa8k6pYLdqFmEuKlSIEfYlQFw1UGNMwIWRdo66lO8gr9W7HJ8Y0yFW_t33o33rK_qFNiTwcRuZmu6Qg3LBuPHQMx1wheMcYdS5U2=w1200|https://lh3.googleusercontent.com/pw/AP1GczMnaXoxpm6uKCBKxHeIjoTMR0hpPRsJwFx5Po3Aapl7930gufJr8yxhskgKr86CYQ06L5i7b_Bgpk4iEexnFeSYzsth2GtVsXyVycR84jFMbXtvx9sO=w1200|https://lh3.googleusercontent.com/pw/AP1GczO3HQxSw7ruF8Jsm3oxwJFBqZZxyeXwoLHheKsmA6C0bLzS7OQeEviWL10tmq9MdFD71_xSP1BVzjH5RbCGFBbzLR2M2piLXePy6aH6SFQj_ffIpMQp=w1200|https://lh3.googleusercontent.com/pw/AP1GczOaMOZb72Hgx3z8LYtj5vTZghP3e5aHI9hS8qtfFDPz-VIwkyfq-4Cr3k2tQnoQdkejhCPVVu9tSqqeP3Xd5yza_MQY3DIu8rsnyn7AjuIgYuajO1ad=w1200|https://lh3.googleusercontent.com/pw/AP1GczP7R_XmWngDs9UpSQ3Sz6szy-q_xzZ-FF0abggfEUCYlUSW2aoXzQp9LKTgJPC0HUazQnIC9bylk2U7RDYDoPQQ3Zz7iIqkuiXt2IybVzDZJ0Shw_nz=w1200|https://lh3.googleusercontent.com/pw/AP1GczMVI6h3rFQERUlZentH5kGQHuogajfhXfRIBB9IKQa-5fEfy3fplwA6gn3IwO9-c9dmh43Gm0Fq3wCKeBv5SW6xkboWbU7IsuT9FwXJ5JTZ4EJrkKIG=w1200</v>
      </c>
      <c r="AJ572" s="46"/>
      <c r="AK572" s="46"/>
      <c r="AL572" s="46"/>
      <c r="AM572" s="46"/>
      <c r="AN572" s="46"/>
      <c r="AO572" s="46"/>
      <c r="AP572" s="46"/>
      <c r="AQ572" s="46"/>
      <c r="AR572" s="46"/>
      <c r="AS572" s="46"/>
      <c r="AT572" s="46"/>
      <c r="AU572" s="46"/>
      <c r="AV572" s="46"/>
      <c r="AW572" s="46"/>
      <c r="AX572" s="46"/>
      <c r="AY572" s="46"/>
      <c r="AZ572" s="46"/>
      <c r="BA572" s="46"/>
      <c r="BB572" s="46"/>
      <c r="BC572" s="46"/>
      <c r="BD572" s="46"/>
      <c r="BE572" s="46"/>
      <c r="BF572" s="46"/>
      <c r="BG572" s="46"/>
      <c r="BH572" s="46"/>
      <c r="BI572" s="46"/>
      <c r="BJ572" s="46"/>
      <c r="BK572" s="46"/>
      <c r="BL572" s="46"/>
      <c r="BM572" s="46"/>
      <c r="BN572" s="46"/>
      <c r="BO572" s="46"/>
      <c r="BP572" s="46"/>
      <c r="BQ572" s="46"/>
      <c r="BR572" s="46"/>
      <c r="BS572" s="46"/>
      <c r="BT572" s="46"/>
      <c r="BU572" s="46"/>
      <c r="BV572" s="46"/>
      <c r="BW572" s="46"/>
      <c r="BX572" s="46"/>
      <c r="BY572" s="46"/>
      <c r="BZ572" s="46"/>
      <c r="CA572" s="46"/>
      <c r="CB572" s="46"/>
      <c r="CC572" s="46"/>
    </row>
    <row r="573">
      <c r="A573" s="87" t="str">
        <f>IFERROR(__xludf.DUMMYFUNCTION("""COMPUTED_VALUE"""),"153")</f>
        <v>153</v>
      </c>
      <c r="B573" s="46" t="str">
        <f>IFERROR(__xludf.DUMMYFUNCTION("""COMPUTED_VALUE"""),"Casa campestre en Rivera")</f>
        <v>Casa campestre en Rivera</v>
      </c>
      <c r="C573" s="46" t="str">
        <f>IFERROR(__xludf.DUMMYFUNCTION("""COMPUTED_VALUE"""),"Casa campestre")</f>
        <v>Casa campestre</v>
      </c>
      <c r="D573" s="46"/>
      <c r="E573" s="90"/>
      <c r="F573" s="90">
        <f>IFERROR(__xludf.DUMMYFUNCTION("""COMPUTED_VALUE"""),1.0E9)</f>
        <v>1000000000</v>
      </c>
      <c r="G573" s="46" t="str">
        <f>IFERROR(__xludf.DUMMYFUNCTION("""COMPUTED_VALUE"""),"Más de $1.000'000.000")</f>
        <v>Más de $1.000'000.000</v>
      </c>
      <c r="H573" s="46"/>
      <c r="I573" s="46"/>
      <c r="J573" s="46" t="str">
        <f>IFERROR(__xludf.DUMMYFUNCTION("""COMPUTED_VALUE"""),"Sur")</f>
        <v>Sur</v>
      </c>
      <c r="K573" s="87"/>
      <c r="L573" s="46">
        <f>IFERROR(__xludf.DUMMYFUNCTION("""COMPUTED_VALUE"""),7.0)</f>
        <v>7</v>
      </c>
      <c r="M573" s="46"/>
      <c r="N573" s="46">
        <f>IFERROR(__xludf.DUMMYFUNCTION("""COMPUTED_VALUE"""),4.0)</f>
        <v>4</v>
      </c>
      <c r="O573" s="46">
        <f>IFERROR(__xludf.DUMMYFUNCTION("""COMPUTED_VALUE"""),1.0)</f>
        <v>1</v>
      </c>
      <c r="P573" s="46">
        <f>IFERROR(__xludf.DUMMYFUNCTION("""COMPUTED_VALUE"""),2.0)</f>
        <v>2</v>
      </c>
      <c r="Q573" s="92"/>
      <c r="R573" s="92">
        <f>IFERROR(__xludf.DUMMYFUNCTION("""COMPUTED_VALUE"""),20000.0)</f>
        <v>20000</v>
      </c>
      <c r="S573" s="87" t="str">
        <f>IFERROR(__xludf.DUMMYFUNCTION("""COMPUTED_VALUE""")," ")</f>
        <v> </v>
      </c>
      <c r="T573" s="46" t="str">
        <f>IFERROR(__xludf.DUMMYFUNCTION("""COMPUTED_VALUE"""),"Rivera")</f>
        <v>Rivera</v>
      </c>
      <c r="U573" s="87"/>
      <c r="V573" s="46"/>
      <c r="W573" s="46"/>
      <c r="X573" s="46"/>
      <c r="Y573" s="46" t="str">
        <f>IFERROR(__xludf.DUMMYFUNCTION("""COMPUTED_VALUE"""),"Privada")</f>
        <v>Privada</v>
      </c>
      <c r="Z573" s="90" t="str">
        <f>IFERROR(__xludf.DUMMYFUNCTION("""COMPUTED_VALUE"""),"No aplica")</f>
        <v>No aplica</v>
      </c>
      <c r="AA573" s="33" t="str">
        <f>IFERROR(__xludf.DUMMYFUNCTION("""COMPUTED_VALUE"""),"No aplica")</f>
        <v>No aplica</v>
      </c>
      <c r="AB573" s="96" t="str">
        <f>IFERROR(__xludf.DUMMYFUNCTION("""COMPUTED_VALUE"""),"https://photos.google.com/share/AF1QipM9WK3Vefu04P64VpfK89wpean8nsVzoaxkoHmLHbVrlKzOWyIhLGZdL7ELTVgwIg?key=ZFp5alhMZ0NpYXdiQVZQZk55b0hmaklZWG53QjhR")</f>
        <v>https://photos.google.com/share/AF1QipM9WK3Vefu04P64VpfK89wpean8nsVzoaxkoHmLHbVrlKzOWyIhLGZdL7ELTVgwIg?key=ZFp5alhMZ0NpYXdiQVZQZk55b0hmaklZWG53QjhR</v>
      </c>
      <c r="AC573" s="46"/>
      <c r="AD573" s="46" t="str">
        <f>IFERROR(__xludf.DUMMYFUNCTION("""COMPUTED_VALUE"""),"Con Zona BBQ, zona de reunión, jacuzzi, zonas verdes, árboles frutales, horno de leña, pesebreras, aljibe y dos pozos de agua. Terreno listo para cultivar.  Ubicada vía principal de Rivera.")</f>
        <v>Con Zona BBQ, zona de reunión, jacuzzi, zonas verdes, árboles frutales, horno de leña, pesebreras, aljibe y dos pozos de agua. Terreno listo para cultivar.  Ubicada vía principal de Rivera.</v>
      </c>
      <c r="AE573" s="46"/>
      <c r="AF573" s="46" t="str">
        <f>IFERROR(__xludf.DUMMYFUNCTION("""COMPUTED_VALUE"""),"integral")</f>
        <v>integral</v>
      </c>
      <c r="AG573" s="46"/>
      <c r="AH573" s="46" t="str">
        <f>IFERROR(__xludf.DUMMYFUNCTION("""COMPUTED_VALUE"""),"Aliado")</f>
        <v>Aliado</v>
      </c>
      <c r="AI573" s="92" t="str">
        <f>IFERROR(__xludf.DUMMYFUNCTION("""COMPUTED_VALUE"""),"https://lh3.googleusercontent.com/pw/AP1GczNK-aYd8_RYfV1vNmtsMMPwkO1uWI6XbIfT6vXS5PpWvlcEfDvuclFKP6uPYoOua2ZdtCchc_Z1d_wGn2omZnnbcnjmz89nwc2UCTQ08fdouwOzl_ZG=w1200|https://lh3.googleusercontent.com/pw/AP1GczNDGbhqaGIirf-ynfohNhFZacZ4dk5J1sxFdBSUDaE2VRINEM"&amp;"kUY8_ngqpkGm91wt5p8lkToa4uKsHwQ-3wbO0qhzz-RkJBVZS4xCNyTvRGJhUQKDJQ=w1200|https://lh3.googleusercontent.com/pw/AP1GczOoe4HZZSOi_EcsTIFa_tTv_yiUNVloCYoB5q26ZcrYvBpMmdShd1_EgZUl94zuJChRaaK_OmGGtstJsDU0VHsTc25aPcEU6-VCJ1zGBptEXJF9W_yW=w1200|https://lh3.google"&amp;"usercontent.com/pw/AP1GczMYoZHmP9aI8LIBGP5v6h0GjTM2nBdJjMXmXdywdS8vMJCgMAHdeKalDPfmrav5Tqrm8Q0OiBRBkspHb5fGaUjBA2RDAji9_Ho63CTqnZ0zrIszxJCv=w1200|https://lh3.googleusercontent.com/pw/AP1GczO-A1FX0W0U6LoQ4SK65diJXx1vW5NmxMC-Ll6Px8Uu2Ew-BVeCN8cy0mTXQ0Ww4ysH"&amp;"Oo9GRP3iffYspratTLFjWpC_cOPTMn04npjswFDT6HYCGpqc=w1200|https://lh3.googleusercontent.com/pw/AP1GczOafU1o77zgtu0j3baWS4lN5bFxHCu-rOZ5RTXfqNKT8GkRgauRLP54lD7nvzX6lhPxboJjTwtLuZwgraOiMh1qIhWUp0sPrj-YuBH-t5fcuM_hADG1=w1200|https://lh3.googleusercontent.com/pw"&amp;"/AP1GczMrpQDodnpe8O5LtuWx1GbPmytY7xbDQZDqHEnT6oH8p77VZCU4bIs6NT7to-JqlRWSX3wA7L_x97bKc1nMRXsLvB7_5H30iHm6HuiXEQvimv8NmoHF=w1200|https://lh3.googleusercontent.com/pw/AP1GczPWvR0aW1TsO9NYxqHU6qFE-SE82TSz85ifxVEImkUGKiVgOuRE9QaYfEHdPOiS8UPEMQyoNTPkDSOknB59s0"&amp;"p9ywyt3ZNIgqh7nQYQmbdmBkYJ22BY=w1200|https://lh3.googleusercontent.com/pw/AP1GczOz2Rd09MyaongKI-zj3Q9MaqEqD0Cx0O7L1cOXB1VPaURS_dSX9ll5PycQlrf7QilvcSzDMrPER4ll_YoG8wGOHYE9HCVPRNMogPx0smS_7kfW_Ohi=w1200")</f>
        <v>https://lh3.googleusercontent.com/pw/AP1GczNK-aYd8_RYfV1vNmtsMMPwkO1uWI6XbIfT6vXS5PpWvlcEfDvuclFKP6uPYoOua2ZdtCchc_Z1d_wGn2omZnnbcnjmz89nwc2UCTQ08fdouwOzl_ZG=w1200|https://lh3.googleusercontent.com/pw/AP1GczNDGbhqaGIirf-ynfohNhFZacZ4dk5J1sxFdBSUDaE2VRINEMkUY8_ngqpkGm91wt5p8lkToa4uKsHwQ-3wbO0qhzz-RkJBVZS4xCNyTvRGJhUQKDJQ=w1200|https://lh3.googleusercontent.com/pw/AP1GczOoe4HZZSOi_EcsTIFa_tTv_yiUNVloCYoB5q26ZcrYvBpMmdShd1_EgZUl94zuJChRaaK_OmGGtstJsDU0VHsTc25aPcEU6-VCJ1zGBptEXJF9W_yW=w1200|https://lh3.googleusercontent.com/pw/AP1GczMYoZHmP9aI8LIBGP5v6h0GjTM2nBdJjMXmXdywdS8vMJCgMAHdeKalDPfmrav5Tqrm8Q0OiBRBkspHb5fGaUjBA2RDAji9_Ho63CTqnZ0zrIszxJCv=w1200|https://lh3.googleusercontent.com/pw/AP1GczO-A1FX0W0U6LoQ4SK65diJXx1vW5NmxMC-Ll6Px8Uu2Ew-BVeCN8cy0mTXQ0Ww4ysHOo9GRP3iffYspratTLFjWpC_cOPTMn04npjswFDT6HYCGpqc=w1200|https://lh3.googleusercontent.com/pw/AP1GczOafU1o77zgtu0j3baWS4lN5bFxHCu-rOZ5RTXfqNKT8GkRgauRLP54lD7nvzX6lhPxboJjTwtLuZwgraOiMh1qIhWUp0sPrj-YuBH-t5fcuM_hADG1=w1200|https://lh3.googleusercontent.com/pw/AP1GczMrpQDodnpe8O5LtuWx1GbPmytY7xbDQZDqHEnT6oH8p77VZCU4bIs6NT7to-JqlRWSX3wA7L_x97bKc1nMRXsLvB7_5H30iHm6HuiXEQvimv8NmoHF=w1200|https://lh3.googleusercontent.com/pw/AP1GczPWvR0aW1TsO9NYxqHU6qFE-SE82TSz85ifxVEImkUGKiVgOuRE9QaYfEHdPOiS8UPEMQyoNTPkDSOknB59s0p9ywyt3ZNIgqh7nQYQmbdmBkYJ22BY=w1200|https://lh3.googleusercontent.com/pw/AP1GczOz2Rd09MyaongKI-zj3Q9MaqEqD0Cx0O7L1cOXB1VPaURS_dSX9ll5PycQlrf7QilvcSzDMrPER4ll_YoG8wGOHYE9HCVPRNMogPx0smS_7kfW_Ohi=w1200</v>
      </c>
      <c r="AJ573" s="46"/>
      <c r="AK573" s="46"/>
      <c r="AL573" s="46"/>
      <c r="AM573" s="46"/>
      <c r="AN573" s="46"/>
      <c r="AO573" s="46"/>
      <c r="AP573" s="46"/>
      <c r="AQ573" s="46"/>
      <c r="AR573" s="46"/>
      <c r="AS573" s="46"/>
      <c r="AT573" s="46"/>
      <c r="AU573" s="46"/>
      <c r="AV573" s="46"/>
      <c r="AW573" s="46"/>
      <c r="AX573" s="46"/>
      <c r="AY573" s="46"/>
      <c r="AZ573" s="46"/>
      <c r="BA573" s="46"/>
      <c r="BB573" s="46"/>
      <c r="BC573" s="46"/>
      <c r="BD573" s="46"/>
      <c r="BE573" s="46"/>
      <c r="BF573" s="46"/>
      <c r="BG573" s="46"/>
      <c r="BH573" s="46"/>
      <c r="BI573" s="46"/>
      <c r="BJ573" s="46"/>
      <c r="BK573" s="46"/>
      <c r="BL573" s="46"/>
      <c r="BM573" s="46"/>
      <c r="BN573" s="46"/>
      <c r="BO573" s="46"/>
      <c r="BP573" s="46"/>
      <c r="BQ573" s="46"/>
      <c r="BR573" s="46"/>
      <c r="BS573" s="46"/>
      <c r="BT573" s="46"/>
      <c r="BU573" s="46"/>
      <c r="BV573" s="46"/>
      <c r="BW573" s="46"/>
      <c r="BX573" s="46"/>
      <c r="BY573" s="46"/>
      <c r="BZ573" s="46"/>
      <c r="CA573" s="46"/>
      <c r="CB573" s="46"/>
      <c r="CC573" s="46"/>
    </row>
    <row r="574">
      <c r="A574" s="87" t="str">
        <f>IFERROR(__xludf.DUMMYFUNCTION("""COMPUTED_VALUE"""),"839")</f>
        <v>839</v>
      </c>
      <c r="B574" s="46" t="str">
        <f>IFERROR(__xludf.DUMMYFUNCTION("""COMPUTED_VALUE"""),"Lote campestre en vereda Los Medios")</f>
        <v>Lote campestre en vereda Los Medios</v>
      </c>
      <c r="C574" s="46" t="str">
        <f>IFERROR(__xludf.DUMMYFUNCTION("""COMPUTED_VALUE"""),"Lote")</f>
        <v>Lote</v>
      </c>
      <c r="D574" s="46"/>
      <c r="E574" s="46"/>
      <c r="F574" s="90">
        <f>IFERROR(__xludf.DUMMYFUNCTION("""COMPUTED_VALUE"""),8.5E8)</f>
        <v>850000000</v>
      </c>
      <c r="G574" s="46" t="str">
        <f>IFERROR(__xludf.DUMMYFUNCTION("""COMPUTED_VALUE"""),"$500'000.000 a $1.000'000.000")</f>
        <v>$500'000.000 a $1.000'000.000</v>
      </c>
      <c r="H574" s="46"/>
      <c r="I574" s="46"/>
      <c r="J574" s="46" t="str">
        <f>IFERROR(__xludf.DUMMYFUNCTION("""COMPUTED_VALUE"""),"Rural")</f>
        <v>Rural</v>
      </c>
      <c r="K574" s="87"/>
      <c r="L574" s="46">
        <f>IFERROR(__xludf.DUMMYFUNCTION("""COMPUTED_VALUE"""),4.0)</f>
        <v>4</v>
      </c>
      <c r="M574" s="46"/>
      <c r="N574" s="46">
        <f>IFERROR(__xludf.DUMMYFUNCTION("""COMPUTED_VALUE"""),3.0)</f>
        <v>3</v>
      </c>
      <c r="O574" s="46">
        <f>IFERROR(__xludf.DUMMYFUNCTION("""COMPUTED_VALUE"""),3.0)</f>
        <v>3</v>
      </c>
      <c r="P574" s="46">
        <f>IFERROR(__xludf.DUMMYFUNCTION("""COMPUTED_VALUE"""),1.0)</f>
        <v>1</v>
      </c>
      <c r="Q574" s="92">
        <f>IFERROR(__xludf.DUMMYFUNCTION("""COMPUTED_VALUE"""),0.0)</f>
        <v>0</v>
      </c>
      <c r="R574" s="92">
        <f>IFERROR(__xludf.DUMMYFUNCTION("""COMPUTED_VALUE"""),5000.0)</f>
        <v>5000</v>
      </c>
      <c r="S574" s="87" t="str">
        <f>IFERROR(__xludf.DUMMYFUNCTION("""COMPUTED_VALUE""")," ")</f>
        <v> </v>
      </c>
      <c r="T574" s="46" t="str">
        <f>IFERROR(__xludf.DUMMYFUNCTION("""COMPUTED_VALUE"""),"Rivera")</f>
        <v>Rivera</v>
      </c>
      <c r="U574" s="87"/>
      <c r="V574" s="46"/>
      <c r="W574" s="46"/>
      <c r="X574" s="46"/>
      <c r="Y574" s="46" t="str">
        <f>IFERROR(__xludf.DUMMYFUNCTION("""COMPUTED_VALUE"""),"No tiene")</f>
        <v>No tiene</v>
      </c>
      <c r="Z574" s="90"/>
      <c r="AA574" s="33" t="str">
        <f>IFERROR(__xludf.DUMMYFUNCTION("""COMPUTED_VALUE"""),"No aplica")</f>
        <v>No aplica</v>
      </c>
      <c r="AB574" s="96" t="str">
        <f>IFERROR(__xludf.DUMMYFUNCTION("""COMPUTED_VALUE"""),"https://photos.app.goo.gl/U9oiHuzLdw3BCKPH9")</f>
        <v>https://photos.app.goo.gl/U9oiHuzLdw3BCKPH9</v>
      </c>
      <c r="AC574" s="46"/>
      <c r="AD574" s="46"/>
      <c r="AE574" s="46"/>
      <c r="AF574" s="46" t="str">
        <f>IFERROR(__xludf.DUMMYFUNCTION("""COMPUTED_VALUE"""),"semi-integral")</f>
        <v>semi-integral</v>
      </c>
      <c r="AG574" s="46"/>
      <c r="AH574" s="46" t="str">
        <f>IFERROR(__xludf.DUMMYFUNCTION("""COMPUTED_VALUE"""),"Aliado")</f>
        <v>Aliado</v>
      </c>
      <c r="AI574" s="92" t="str">
        <f>IFERROR(__xludf.DUMMYFUNCTION("""COMPUTED_VALUE"""),"https://lh3.googleusercontent.com/pw/AP1GczPI9mKLuowiZUuxbienglgLETCOd1lRJO1qOwelMg0q-rqt9tlVNQXIRzFcoaUEDiveqlmqVFeM_uIxSbAH1u6DMIlZPQgPzIzOhGRh8Lv79lMctXwp=w1200|https://lh3.googleusercontent.com/pw/AP1GczM6ME7XIaAKvEr38GXDzIegXdihN2DA8isl3Oj1BRlnfhmWad"&amp;"H1c6lTk1d3MgWgudFdtlSHeoSGl_mNbgcpIK1q1OxFNsuSRplnSERxzkTdEIw7d7c3=w1200|https://lh3.googleusercontent.com/pw/AP1GczNQXzc9WHEHSVTNGzaQHEAnkXTMXrYnDXF97vX3IE8Hk_OFYFgy_J-cZlowWO3jtiH9YThrE04YkchB1HSsp2cK_NdWkEfnIguyn5yjqFjbVM9rZibo=w1200|https://lh3.google"&amp;"usercontent.com/pw/AP1GczNTqjlIcPqtDartPfUd72g_NOp6PrtOlQ2h9DJmrbTQYr_T2TknWCbMdtAJixMCYLyYg5ArYgB5J7X14z6eQl6ArNdD1w2NFx2oKITmSoD3t83v1781=w1200|https://lh3.googleusercontent.com/pw/AP1GczP63UmuaFfJkZD4A7a2TOcAkpkCIHOLjf1g3Xf08HjtJwprny2bgsP8JqOWBfoQZ4cO"&amp;"FuS_PdKmRAIgiJDrvUtbYtpg9V5EJRriZQinFvAWzosmxMut=w1200|https://lh3.googleusercontent.com/pw/AP1GczPdqf0xtTe0WIJlLRdOP6c28QYS8wfMMytVAw5F_goaq-5PKLNd__DZNsx9x9QtuMo1qttBJosrCJJluNbWHAHYP0jmOhgu2z93A25W-wcFcq16AS5e=w1200|https://lh3.googleusercontent.com/pw"&amp;"/AP1GczNoE--DGHOST8rnFf768BhJ5huUTD-BQnOoSzKrHN2k5ywZ1LsYXcqhqMiTlWkfD6mXjpzKvr9LKUueMvewY9M6MyNbtuLKsGPZArIdo8_qttdf_0yq=w1200|https://lh3.googleusercontent.com/pw/AP1GczP-uqbTpmMu6LKcu-YcKbdmApElXmX4S4JjsNLlLAWDptaQ69z7eH7_WWdMko52CyqVtVR5Au-nJCONDxOry_"&amp;"HrDYYOTv-_Jxwou7EZC9vTf3Wsdy-B=w1200|https://lh3.googleusercontent.com/pw/AP1GczMP_SLLYBTOqrAiFCMhhk9Z5XskGEmH6mHNg9pkRWZoBhSUpNcOGAzu6F8J0z9OLhvStrsgRoRVjxRvpOXJ_X4o5W_trCg8gTn6a93M7wzOad8W7Nyx=w1200|https://lh3.googleusercontent.com/pw/AP1GczMWtDTGJvWO_"&amp;"tBmVhVppkuA7wZzLqUhP5ME6vqHNa79GMk-7VSXSnaFFK9SRiaQ34n2y2bj4rhJVzUChCWOiq-87vpbU1ObYTn-HHtHOHFya_1a3kf7=w1200|https://lh3.googleusercontent.com/pw/AP1GczN6f2lxb7pJhXpAFRvJ7wTZSmM0FtxH41pEE_7m1nI-cGn2Szvy1uKKd0Zn-L9uqg3t8ULebL-UMYhdY9crUeAnROnXP4XCj2fPv6zv"&amp;"8Ruk1CasTDwS=w1200|https://lh3.googleusercontent.com/pw/AP1GczO_FHvzpvIw2VNWjbPKyPdOz8aJ0rT5E1gt_0ILFf2_V7vt97An4Ylp9sRDG-VcJjaCejYmm_eYcRKiv-04VYkX7L2PRkBquY6i1TyegzKbx-XGhh8K=w1200|https://lh3.googleusercontent.com/pw/AP1GczPF_XGN4u0HLSGSCHtcR7eEbicZ_aG"&amp;"G0Ldcsv1IbVlCmtiKLwwR4_rMhfZcL6zmQun70t56WRCHtoqr3IyOGBo-PXK22TD0eeEQvBgk897bSxTMgjoI=w1200|https://lh3.googleusercontent.com/pw/AP1GczOtO0gZmSSdSammDx_f5uwBRNxKRH0c2jFPxJXD5OHS7s4tcEszWNmK2WuAI4lcaUY5A1vSu-wd0C-jiX2lc9XAF2zfLx6uSoJvS1QnzGopqM71BBIY=w1200"&amp;"|https://lh3.googleusercontent.com/pw/AP1GczMLAzi5EpYXzre-dv45I5yBReaHrJ5TxLKwfY-nDe35JwZs1Kl0CnnIXobVnrjGFU2dfXf8BlWDXgK74bOiJb9L1jXsRm_IM6RQmtz1l8Rn3aokn04F=w1200|https://lh3.googleusercontent.com/pw/AP1GczNADRyX56X1gXAeGmXD1DjiSYqDUTEJaFo3qrU7ocdohgaOg"&amp;"vHCLI66lV4ziAqz6GMx9kw1f5fL5x0wMdWPXeeuvHiWaE3zG1duzi-caL1YbhNs4Ee4=w1200|https://lh3.googleusercontent.com/pw/AP1GczOwtNChQEicRgAWKyyUJjG5NXaRsGS8clEzfKw80QxyxXXMt3Smfl3n8N_tFEVfUh_kUzAmtp7Vo41gIXP0iibxTEUhy5l_-Ip0wRBF7UQezMe-GRK3=w1200|https://lh3.googl"&amp;"eusercontent.com/pw/AP1GczObfyFdSpOyeNMEHpiv6_KI0ZvQ-Jsmc4C_slinfpoyebs3YfPJwFsqqAjyuGjrPtboeG_6XwQycLzk2aCXXrhQ955R6-qlMKUxTiItXzMftpHAgrHy=w1200|https://lh3.googleusercontent.com/pw/AP1GczMZikNzHhw_IlpkqLxt1XiyBLuJE0j7R3CJlA0fzbDQAmfREjXg0JNnt1Fl3-Oiu85"&amp;"s624S5QExm7dT6Ln2XYA1lffOE3LftWxY2-OHyw9SBR-946XX=w1200|https://lh3.googleusercontent.com/pw/AP1GczMQ125I52Pgh2htU6nudpPuucSAhuLGBvgkARYV9OlU1g9FF2-mCcL1WF4v21um0xgwjRetprMBisizok5oLFE5uUop-KaAM7TkPTMJfV9SFm04E8Ln=w1200|https://lh3.googleusercontent.com/p"&amp;"w/AP1GczONVx4lfe58av8G5vew8dwOvlE9gSqLPuoxbLmq3vG8AYWntEjx3fWXbh_Tr4OldCxToDjr46TauvOCgAr80leByiL9q4Iw3nBoD2Qv-0PY_SFNXdhn=w1200|https://lh3.googleusercontent.com/pw/AP1GczOJ7rxG8ODJ30ZD0Fc_h_xJX1ei8bZdgadMQGCLYHot9c0NuT_3ZC0e947UgLff7op6rAz5YTyYUamxhc-ft"&amp;"1D3fXBkq3KqhDEtXuH6djW4v3a0XeP-=w1200|https://lh3.googleusercontent.com/pw/AP1GczOsNozUtfMEfZeGfbjPVhsP4aMtpzXm7CEHbpQyC2kxX74_jjlP9z6AmGy729U9P6vv5dXUeApV0N53TV047P3UVIMUktSXaiOr8FyN6pjjDHxPqCQH=w1200|https://lh3.googleusercontent.com/pw/AP1GczN-dHZbDFgo"&amp;"TMpV8_DdKp1V6ICK35RUPJbKuuuCGKEGsZ5rjJt4clBh28XKZSoJTDXUDy5KnnHba8vClOwVVRcFVmoohhBxw4sA-CXiEzDf6nbsMbMI=w1200")</f>
        <v>https://lh3.googleusercontent.com/pw/AP1GczPI9mKLuowiZUuxbienglgLETCOd1lRJO1qOwelMg0q-rqt9tlVNQXIRzFcoaUEDiveqlmqVFeM_uIxSbAH1u6DMIlZPQgPzIzOhGRh8Lv79lMctXwp=w1200|https://lh3.googleusercontent.com/pw/AP1GczM6ME7XIaAKvEr38GXDzIegXdihN2DA8isl3Oj1BRlnfhmWadH1c6lTk1d3MgWgudFdtlSHeoSGl_mNbgcpIK1q1OxFNsuSRplnSERxzkTdEIw7d7c3=w1200|https://lh3.googleusercontent.com/pw/AP1GczNQXzc9WHEHSVTNGzaQHEAnkXTMXrYnDXF97vX3IE8Hk_OFYFgy_J-cZlowWO3jtiH9YThrE04YkchB1HSsp2cK_NdWkEfnIguyn5yjqFjbVM9rZibo=w1200|https://lh3.googleusercontent.com/pw/AP1GczNTqjlIcPqtDartPfUd72g_NOp6PrtOlQ2h9DJmrbTQYr_T2TknWCbMdtAJixMCYLyYg5ArYgB5J7X14z6eQl6ArNdD1w2NFx2oKITmSoD3t83v1781=w1200|https://lh3.googleusercontent.com/pw/AP1GczP63UmuaFfJkZD4A7a2TOcAkpkCIHOLjf1g3Xf08HjtJwprny2bgsP8JqOWBfoQZ4cOFuS_PdKmRAIgiJDrvUtbYtpg9V5EJRriZQinFvAWzosmxMut=w1200|https://lh3.googleusercontent.com/pw/AP1GczPdqf0xtTe0WIJlLRdOP6c28QYS8wfMMytVAw5F_goaq-5PKLNd__DZNsx9x9QtuMo1qttBJosrCJJluNbWHAHYP0jmOhgu2z93A25W-wcFcq16AS5e=w1200|https://lh3.googleusercontent.com/pw/AP1GczNoE--DGHOST8rnFf768BhJ5huUTD-BQnOoSzKrHN2k5ywZ1LsYXcqhqMiTlWkfD6mXjpzKvr9LKUueMvewY9M6MyNbtuLKsGPZArIdo8_qttdf_0yq=w1200|https://lh3.googleusercontent.com/pw/AP1GczP-uqbTpmMu6LKcu-YcKbdmApElXmX4S4JjsNLlLAWDptaQ69z7eH7_WWdMko52CyqVtVR5Au-nJCONDxOry_HrDYYOTv-_Jxwou7EZC9vTf3Wsdy-B=w1200|https://lh3.googleusercontent.com/pw/AP1GczMP_SLLYBTOqrAiFCMhhk9Z5XskGEmH6mHNg9pkRWZoBhSUpNcOGAzu6F8J0z9OLhvStrsgRoRVjxRvpOXJ_X4o5W_trCg8gTn6a93M7wzOad8W7Nyx=w1200|https://lh3.googleusercontent.com/pw/AP1GczMWtDTGJvWO_tBmVhVppkuA7wZzLqUhP5ME6vqHNa79GMk-7VSXSnaFFK9SRiaQ34n2y2bj4rhJVzUChCWOiq-87vpbU1ObYTn-HHtHOHFya_1a3kf7=w1200|https://lh3.googleusercontent.com/pw/AP1GczN6f2lxb7pJhXpAFRvJ7wTZSmM0FtxH41pEE_7m1nI-cGn2Szvy1uKKd0Zn-L9uqg3t8ULebL-UMYhdY9crUeAnROnXP4XCj2fPv6zv8Ruk1CasTDwS=w1200|https://lh3.googleusercontent.com/pw/AP1GczO_FHvzpvIw2VNWjbPKyPdOz8aJ0rT5E1gt_0ILFf2_V7vt97An4Ylp9sRDG-VcJjaCejYmm_eYcRKiv-04VYkX7L2PRkBquY6i1TyegzKbx-XGhh8K=w1200|https://lh3.googleusercontent.com/pw/AP1GczPF_XGN4u0HLSGSCHtcR7eEbicZ_aGG0Ldcsv1IbVlCmtiKLwwR4_rMhfZcL6zmQun70t56WRCHtoqr3IyOGBo-PXK22TD0eeEQvBgk897bSxTMgjoI=w1200|https://lh3.googleusercontent.com/pw/AP1GczOtO0gZmSSdSammDx_f5uwBRNxKRH0c2jFPxJXD5OHS7s4tcEszWNmK2WuAI4lcaUY5A1vSu-wd0C-jiX2lc9XAF2zfLx6uSoJvS1QnzGopqM71BBIY=w1200|https://lh3.googleusercontent.com/pw/AP1GczMLAzi5EpYXzre-dv45I5yBReaHrJ5TxLKwfY-nDe35JwZs1Kl0CnnIXobVnrjGFU2dfXf8BlWDXgK74bOiJb9L1jXsRm_IM6RQmtz1l8Rn3aokn04F=w1200|https://lh3.googleusercontent.com/pw/AP1GczNADRyX56X1gXAeGmXD1DjiSYqDUTEJaFo3qrU7ocdohgaOgvHCLI66lV4ziAqz6GMx9kw1f5fL5x0wMdWPXeeuvHiWaE3zG1duzi-caL1YbhNs4Ee4=w1200|https://lh3.googleusercontent.com/pw/AP1GczOwtNChQEicRgAWKyyUJjG5NXaRsGS8clEzfKw80QxyxXXMt3Smfl3n8N_tFEVfUh_kUzAmtp7Vo41gIXP0iibxTEUhy5l_-Ip0wRBF7UQezMe-GRK3=w1200|https://lh3.googleusercontent.com/pw/AP1GczObfyFdSpOyeNMEHpiv6_KI0ZvQ-Jsmc4C_slinfpoyebs3YfPJwFsqqAjyuGjrPtboeG_6XwQycLzk2aCXXrhQ955R6-qlMKUxTiItXzMftpHAgrHy=w1200|https://lh3.googleusercontent.com/pw/AP1GczMZikNzHhw_IlpkqLxt1XiyBLuJE0j7R3CJlA0fzbDQAmfREjXg0JNnt1Fl3-Oiu85s624S5QExm7dT6Ln2XYA1lffOE3LftWxY2-OHyw9SBR-946XX=w1200|https://lh3.googleusercontent.com/pw/AP1GczMQ125I52Pgh2htU6nudpPuucSAhuLGBvgkARYV9OlU1g9FF2-mCcL1WF4v21um0xgwjRetprMBisizok5oLFE5uUop-KaAM7TkPTMJfV9SFm04E8Ln=w1200|https://lh3.googleusercontent.com/pw/AP1GczONVx4lfe58av8G5vew8dwOvlE9gSqLPuoxbLmq3vG8AYWntEjx3fWXbh_Tr4OldCxToDjr46TauvOCgAr80leByiL9q4Iw3nBoD2Qv-0PY_SFNXdhn=w1200|https://lh3.googleusercontent.com/pw/AP1GczOJ7rxG8ODJ30ZD0Fc_h_xJX1ei8bZdgadMQGCLYHot9c0NuT_3ZC0e947UgLff7op6rAz5YTyYUamxhc-ft1D3fXBkq3KqhDEtXuH6djW4v3a0XeP-=w1200|https://lh3.googleusercontent.com/pw/AP1GczOsNozUtfMEfZeGfbjPVhsP4aMtpzXm7CEHbpQyC2kxX74_jjlP9z6AmGy729U9P6vv5dXUeApV0N53TV047P3UVIMUktSXaiOr8FyN6pjjDHxPqCQH=w1200|https://lh3.googleusercontent.com/pw/AP1GczN-dHZbDFgoTMpV8_DdKp1V6ICK35RUPJbKuuuCGKEGsZ5rjJt4clBh28XKZSoJTDXUDy5KnnHba8vClOwVVRcFVmoohhBxw4sA-CXiEzDf6nbsMbMI=w1200</v>
      </c>
      <c r="AJ574" s="46"/>
      <c r="AK574" s="46"/>
      <c r="AL574" s="46"/>
      <c r="AM574" s="46"/>
      <c r="AN574" s="46"/>
      <c r="AO574" s="46"/>
      <c r="AP574" s="46"/>
      <c r="AQ574" s="46"/>
      <c r="AR574" s="46"/>
      <c r="AS574" s="46"/>
      <c r="AT574" s="46"/>
      <c r="AU574" s="46"/>
      <c r="AV574" s="46"/>
      <c r="AW574" s="46"/>
      <c r="AX574" s="46"/>
      <c r="AY574" s="46"/>
      <c r="AZ574" s="46"/>
      <c r="BA574" s="46"/>
      <c r="BB574" s="46"/>
      <c r="BC574" s="46"/>
      <c r="BD574" s="46"/>
      <c r="BE574" s="46"/>
      <c r="BF574" s="46"/>
      <c r="BG574" s="46"/>
      <c r="BH574" s="46"/>
      <c r="BI574" s="46"/>
      <c r="BJ574" s="46"/>
      <c r="BK574" s="46"/>
      <c r="BL574" s="46"/>
      <c r="BM574" s="46"/>
      <c r="BN574" s="46"/>
      <c r="BO574" s="46"/>
      <c r="BP574" s="46"/>
      <c r="BQ574" s="46"/>
      <c r="BR574" s="46"/>
      <c r="BS574" s="46"/>
      <c r="BT574" s="46"/>
      <c r="BU574" s="46"/>
      <c r="BV574" s="46"/>
      <c r="BW574" s="46"/>
      <c r="BX574" s="46"/>
      <c r="BY574" s="46"/>
      <c r="BZ574" s="46"/>
      <c r="CA574" s="46"/>
      <c r="CB574" s="46"/>
      <c r="CC574" s="46"/>
    </row>
    <row r="575">
      <c r="A575" s="87" t="str">
        <f>IFERROR(__xludf.DUMMYFUNCTION("""COMPUTED_VALUE"""),"440")</f>
        <v>440</v>
      </c>
      <c r="B575" s="46" t="str">
        <f>IFERROR(__xludf.DUMMYFUNCTION("""COMPUTED_VALUE"""),"Finca cafetera  - Acevedo - Huila")</f>
        <v>Finca cafetera  - Acevedo - Huila</v>
      </c>
      <c r="C575" s="46" t="str">
        <f>IFERROR(__xludf.DUMMYFUNCTION("""COMPUTED_VALUE"""),"Finca")</f>
        <v>Finca</v>
      </c>
      <c r="D575" s="46"/>
      <c r="E575" s="46"/>
      <c r="F575" s="90">
        <f>IFERROR(__xludf.DUMMYFUNCTION("""COMPUTED_VALUE"""),7.2E8)</f>
        <v>720000000</v>
      </c>
      <c r="G575" s="46" t="str">
        <f>IFERROR(__xludf.DUMMYFUNCTION("""COMPUTED_VALUE"""),"$500'000.000 a $1.000'000.000")</f>
        <v>$500'000.000 a $1.000'000.000</v>
      </c>
      <c r="H575" s="46"/>
      <c r="I575" s="46"/>
      <c r="J575" s="46" t="str">
        <f>IFERROR(__xludf.DUMMYFUNCTION("""COMPUTED_VALUE"""),"Rural")</f>
        <v>Rural</v>
      </c>
      <c r="K575" s="87"/>
      <c r="L575" s="46">
        <f>IFERROR(__xludf.DUMMYFUNCTION("""COMPUTED_VALUE"""),3.0)</f>
        <v>3</v>
      </c>
      <c r="M575" s="46"/>
      <c r="N575" s="46">
        <f>IFERROR(__xludf.DUMMYFUNCTION("""COMPUTED_VALUE"""),1.0)</f>
        <v>1</v>
      </c>
      <c r="O575" s="46">
        <f>IFERROR(__xludf.DUMMYFUNCTION("""COMPUTED_VALUE"""),1.0)</f>
        <v>1</v>
      </c>
      <c r="P575" s="46">
        <f>IFERROR(__xludf.DUMMYFUNCTION("""COMPUTED_VALUE"""),1.0)</f>
        <v>1</v>
      </c>
      <c r="Q575" s="92">
        <f>IFERROR(__xludf.DUMMYFUNCTION("""COMPUTED_VALUE"""),350.0)</f>
        <v>350</v>
      </c>
      <c r="R575" s="92">
        <f>IFERROR(__xludf.DUMMYFUNCTION("""COMPUTED_VALUE"""),60000.0)</f>
        <v>60000</v>
      </c>
      <c r="S575" s="87"/>
      <c r="T575" s="46" t="str">
        <f>IFERROR(__xludf.DUMMYFUNCTION("""COMPUTED_VALUE"""),"Acevedo")</f>
        <v>Acevedo</v>
      </c>
      <c r="U575" s="87"/>
      <c r="V575" s="46"/>
      <c r="W575" s="46"/>
      <c r="X575" s="46">
        <f>IFERROR(__xludf.DUMMYFUNCTION("""COMPUTED_VALUE"""),1.0)</f>
        <v>1</v>
      </c>
      <c r="Y575" s="46" t="str">
        <f>IFERROR(__xludf.DUMMYFUNCTION("""COMPUTED_VALUE"""),"No tiene")</f>
        <v>No tiene</v>
      </c>
      <c r="Z575" s="90" t="str">
        <f>IFERROR(__xludf.DUMMYFUNCTION("""COMPUTED_VALUE"""),"No aplica")</f>
        <v>No aplica</v>
      </c>
      <c r="AA575" s="33" t="str">
        <f>IFERROR(__xludf.DUMMYFUNCTION("""COMPUTED_VALUE"""),"No aplica")</f>
        <v>No aplica</v>
      </c>
      <c r="AB575" s="96" t="str">
        <f>IFERROR(__xludf.DUMMYFUNCTION("""COMPUTED_VALUE"""),"https://photos.app.goo.gl/Ytu55xhsKD1QXyvXA")</f>
        <v>https://photos.app.goo.gl/Ytu55xhsKD1QXyvXA</v>
      </c>
      <c r="AC575" s="46" t="str">
        <f>IFERROR(__xludf.DUMMYFUNCTION("""COMPUTED_VALUE"""),"Finca cafetera con área de 6 Hectáreas. Carretera hasta la finca. Casa en Material que consta de: Sala, comedor, 3 habitaciones, cocina, baño. Servicio de Energía y Acueducto. Beneficiadero de café. Secadero. Huerta casera.")</f>
        <v>Finca cafetera con área de 6 Hectáreas. Carretera hasta la finca. Casa en Material que consta de: Sala, comedor, 3 habitaciones, cocina, baño. Servicio de Energía y Acueducto. Beneficiadero de café. Secadero. Huerta casera.</v>
      </c>
      <c r="AD575" s="46" t="str">
        <f>IFERROR(__xludf.DUMMYFUNCTION("""COMPUTED_VALUE"""),"A 20 minutos del municipio de Acevedo. Cuenta con 14 mil Árboles de café. 11 mil árboles de café primera producción. Cultivo de plátano y banano. El rio Acevedo pasa cerca")</f>
        <v>A 20 minutos del municipio de Acevedo. Cuenta con 14 mil Árboles de café. 11 mil árboles de café primera producción. Cultivo de plátano y banano. El rio Acevedo pasa cerca</v>
      </c>
      <c r="AE575" s="46"/>
      <c r="AF575" s="46" t="str">
        <f>IFERROR(__xludf.DUMMYFUNCTION("""COMPUTED_VALUE"""),"básica")</f>
        <v>básica</v>
      </c>
      <c r="AG575" s="46"/>
      <c r="AH575" s="46" t="str">
        <f>IFERROR(__xludf.DUMMYFUNCTION("""COMPUTED_VALUE"""),"Aliado")</f>
        <v>Aliado</v>
      </c>
      <c r="AI575" s="92" t="str">
        <f>IFERROR(__xludf.DUMMYFUNCTION("""COMPUTED_VALUE"""),"https://lh3.googleusercontent.com/pw/AP1GczN0KK0-S7XMsnfGh5G6uOCgXjQBtfYiova-Jk1j6O-6cYlbvVjc56ao4qZ7qWxKAp2HmNk_6IpemvYOsxMKnNXy2mh4eDBqm9Du4WoPPcnJh74_Bz4O=w1200|https://lh3.googleusercontent.com/pw/AP1GczOKNqPR154_T0dz6-Hazr32dEa9Ys9xfaq1UM98TwDiiSgACt"&amp;"mhQmbIffO33zOSzhCfPT45YObLTbIw9-HQ42HoymdRQh8V3fAMTta9ovtSihNc2a2A=w1200|https://lh3.googleusercontent.com/pw/AP1GczNP623ceFKzCibGMYfMc08mPJb4mYBkM7a1LQgfPPbitWK4Vi9EW4gcHzcd2AyfAIzDRPcE4N-vvzcVf6cFyBrJ41j0QUJ9QjTDX45or5mzuYtepXgZ=w1200|https://lh3.google"&amp;"usercontent.com/pw/AP1GczMhk5Wo_fOYwR7h2vS8BVwB6VPEcvSn1A2Pr2iwOD7A9VvR3xZwUMXIxyoHDb2i5ZCi056akoYNLLbuafOEwFqlKqFMiRFP37onjiKJgy-DkBIhBB4Z=w1200|https://lh3.googleusercontent.com/pw/AP1GczN-pVjp_wgkAnu-j8UkdRGDw4rH9lOZzySv4wFsf1te6fjHN9r9f-8EONFv4a22-CcT"&amp;"njB_iPI88sFiqQKT9yFA2ChE_KfqsPtPGwvS8oKo1vl1rO9u=w1200|https://lh3.googleusercontent.com/pw/AP1GczOetUzuVXBoU-Zwa43_sTcPHIbw6EZxeOOSL5lD-WEo1-p-lTgFuOpndlSEJ3LdVP6o2AvhTEp4cnLlucRZ2neORl19zNXAm8lgAvjE7m-E2HEr6E07=w1200|https://lh3.googleusercontent.com/pw"&amp;"/AP1GczOr35WeB_jsnse8UMzX4D72DadpoMgB7DuFCo58hFA-KM36Fvo9A8hZK8gfGuipYoU-o19v1Oxp8LaqXmB2Y-BXDkVSTgjWrcaWRCU0R92JTbAtgc-s=w1200|https://lh3.googleusercontent.com/pw/AP1GczOvzfF66sTAvFdwbdHfTnzxirYOD76USheV90FNbilF4heqMp8XoOkZBAkl0mara-XZ6TXArQt85oJgvBm2Ax"&amp;"bUn_8vVwIrwT74wbJQeQ-DCLDqwpd8=w1200|https://lh3.googleusercontent.com/pw/AP1GczOHEdF_NFjTwU_d0LekuHPVbuGQuuuRTp7Ad8sxRg2ZxWO1I8EANYaVib9q3lH44RAoQVRatMZ8YTj-XU-CtXmmQjF1voPB8ABl65w-vjkGhk_LfDAB=w1200")</f>
        <v>https://lh3.googleusercontent.com/pw/AP1GczN0KK0-S7XMsnfGh5G6uOCgXjQBtfYiova-Jk1j6O-6cYlbvVjc56ao4qZ7qWxKAp2HmNk_6IpemvYOsxMKnNXy2mh4eDBqm9Du4WoPPcnJh74_Bz4O=w1200|https://lh3.googleusercontent.com/pw/AP1GczOKNqPR154_T0dz6-Hazr32dEa9Ys9xfaq1UM98TwDiiSgACtmhQmbIffO33zOSzhCfPT45YObLTbIw9-HQ42HoymdRQh8V3fAMTta9ovtSihNc2a2A=w1200|https://lh3.googleusercontent.com/pw/AP1GczNP623ceFKzCibGMYfMc08mPJb4mYBkM7a1LQgfPPbitWK4Vi9EW4gcHzcd2AyfAIzDRPcE4N-vvzcVf6cFyBrJ41j0QUJ9QjTDX45or5mzuYtepXgZ=w1200|https://lh3.googleusercontent.com/pw/AP1GczMhk5Wo_fOYwR7h2vS8BVwB6VPEcvSn1A2Pr2iwOD7A9VvR3xZwUMXIxyoHDb2i5ZCi056akoYNLLbuafOEwFqlKqFMiRFP37onjiKJgy-DkBIhBB4Z=w1200|https://lh3.googleusercontent.com/pw/AP1GczN-pVjp_wgkAnu-j8UkdRGDw4rH9lOZzySv4wFsf1te6fjHN9r9f-8EONFv4a22-CcTnjB_iPI88sFiqQKT9yFA2ChE_KfqsPtPGwvS8oKo1vl1rO9u=w1200|https://lh3.googleusercontent.com/pw/AP1GczOetUzuVXBoU-Zwa43_sTcPHIbw6EZxeOOSL5lD-WEo1-p-lTgFuOpndlSEJ3LdVP6o2AvhTEp4cnLlucRZ2neORl19zNXAm8lgAvjE7m-E2HEr6E07=w1200|https://lh3.googleusercontent.com/pw/AP1GczOr35WeB_jsnse8UMzX4D72DadpoMgB7DuFCo58hFA-KM36Fvo9A8hZK8gfGuipYoU-o19v1Oxp8LaqXmB2Y-BXDkVSTgjWrcaWRCU0R92JTbAtgc-s=w1200|https://lh3.googleusercontent.com/pw/AP1GczOvzfF66sTAvFdwbdHfTnzxirYOD76USheV90FNbilF4heqMp8XoOkZBAkl0mara-XZ6TXArQt85oJgvBm2AxbUn_8vVwIrwT74wbJQeQ-DCLDqwpd8=w1200|https://lh3.googleusercontent.com/pw/AP1GczOHEdF_NFjTwU_d0LekuHPVbuGQuuuRTp7Ad8sxRg2ZxWO1I8EANYaVib9q3lH44RAoQVRatMZ8YTj-XU-CtXmmQjF1voPB8ABl65w-vjkGhk_LfDAB=w1200</v>
      </c>
      <c r="AJ575" s="46"/>
      <c r="AK575" s="46"/>
      <c r="AL575" s="46"/>
      <c r="AM575" s="46"/>
      <c r="AN575" s="46"/>
      <c r="AO575" s="46"/>
      <c r="AP575" s="46"/>
      <c r="AQ575" s="46"/>
      <c r="AR575" s="46"/>
      <c r="AS575" s="46"/>
      <c r="AT575" s="46"/>
      <c r="AU575" s="46"/>
      <c r="AV575" s="46"/>
      <c r="AW575" s="46"/>
      <c r="AX575" s="46"/>
      <c r="AY575" s="46"/>
      <c r="AZ575" s="46"/>
      <c r="BA575" s="46"/>
      <c r="BB575" s="46"/>
      <c r="BC575" s="46"/>
      <c r="BD575" s="46"/>
      <c r="BE575" s="46"/>
      <c r="BF575" s="46"/>
      <c r="BG575" s="46"/>
      <c r="BH575" s="46"/>
      <c r="BI575" s="46"/>
      <c r="BJ575" s="46"/>
      <c r="BK575" s="46"/>
      <c r="BL575" s="46"/>
      <c r="BM575" s="46"/>
      <c r="BN575" s="46"/>
      <c r="BO575" s="46"/>
      <c r="BP575" s="46"/>
      <c r="BQ575" s="46"/>
      <c r="BR575" s="46"/>
      <c r="BS575" s="46"/>
      <c r="BT575" s="46"/>
      <c r="BU575" s="46"/>
      <c r="BV575" s="46"/>
      <c r="BW575" s="46"/>
      <c r="BX575" s="46"/>
      <c r="BY575" s="46"/>
      <c r="BZ575" s="46"/>
      <c r="CA575" s="46"/>
      <c r="CB575" s="46"/>
      <c r="CC575" s="46"/>
    </row>
    <row r="576">
      <c r="A576" s="87" t="str">
        <f>IFERROR(__xludf.DUMMYFUNCTION("""COMPUTED_VALUE"""),"308")</f>
        <v>308</v>
      </c>
      <c r="B576" s="46" t="str">
        <f>IFERROR(__xludf.DUMMYFUNCTION("""COMPUTED_VALUE"""),"Casa en barrio El Altico")</f>
        <v>Casa en barrio El Altico</v>
      </c>
      <c r="C576" s="46" t="str">
        <f>IFERROR(__xludf.DUMMYFUNCTION("""COMPUTED_VALUE"""),"Casa")</f>
        <v>Casa</v>
      </c>
      <c r="D576" s="46" t="str">
        <f>IFERROR(__xludf.DUMMYFUNCTION("""COMPUTED_VALUE"""),"El Altico")</f>
        <v>El Altico</v>
      </c>
      <c r="E576" s="90"/>
      <c r="F576" s="90">
        <f>IFERROR(__xludf.DUMMYFUNCTION("""COMPUTED_VALUE"""),7.0E8)</f>
        <v>700000000</v>
      </c>
      <c r="G576" s="46" t="str">
        <f>IFERROR(__xludf.DUMMYFUNCTION("""COMPUTED_VALUE"""),"$500'000.000 a $1.000'000.000")</f>
        <v>$500'000.000 a $1.000'000.000</v>
      </c>
      <c r="H576" s="46"/>
      <c r="I576" s="46"/>
      <c r="J576" s="46" t="str">
        <f>IFERROR(__xludf.DUMMYFUNCTION("""COMPUTED_VALUE"""),"Centro")</f>
        <v>Centro</v>
      </c>
      <c r="K576" s="87"/>
      <c r="L576" s="46">
        <f>IFERROR(__xludf.DUMMYFUNCTION("""COMPUTED_VALUE"""),3.0)</f>
        <v>3</v>
      </c>
      <c r="M576" s="46"/>
      <c r="N576" s="46">
        <f>IFERROR(__xludf.DUMMYFUNCTION("""COMPUTED_VALUE"""),4.0)</f>
        <v>4</v>
      </c>
      <c r="O576" s="46">
        <f>IFERROR(__xludf.DUMMYFUNCTION("""COMPUTED_VALUE"""),6.0)</f>
        <v>6</v>
      </c>
      <c r="P576" s="46">
        <f>IFERROR(__xludf.DUMMYFUNCTION("""COMPUTED_VALUE"""),2.0)</f>
        <v>2</v>
      </c>
      <c r="Q576" s="92">
        <f>IFERROR(__xludf.DUMMYFUNCTION("""COMPUTED_VALUE"""),341.0)</f>
        <v>341</v>
      </c>
      <c r="R576" s="92">
        <f>IFERROR(__xludf.DUMMYFUNCTION("""COMPUTED_VALUE"""),140.0)</f>
        <v>140</v>
      </c>
      <c r="S576" s="87" t="str">
        <f>IFERROR(__xludf.DUMMYFUNCTION("""COMPUTED_VALUE""")," ")</f>
        <v> </v>
      </c>
      <c r="T576" s="46" t="str">
        <f>IFERROR(__xludf.DUMMYFUNCTION("""COMPUTED_VALUE"""),"Neiva")</f>
        <v>Neiva</v>
      </c>
      <c r="U576" s="87" t="str">
        <f>IFERROR(__xludf.DUMMYFUNCTION("""COMPUTED_VALUE"""),"3")</f>
        <v>3</v>
      </c>
      <c r="V576" s="46" t="str">
        <f>IFERROR(__xludf.DUMMYFUNCTION("""COMPUTED_VALUE"""),"Medianera")</f>
        <v>Medianera</v>
      </c>
      <c r="W576" s="46"/>
      <c r="X576" s="46">
        <f>IFERROR(__xludf.DUMMYFUNCTION("""COMPUTED_VALUE"""),3.0)</f>
        <v>3</v>
      </c>
      <c r="Y576" s="46" t="str">
        <f>IFERROR(__xludf.DUMMYFUNCTION("""COMPUTED_VALUE"""),"No tiene")</f>
        <v>No tiene</v>
      </c>
      <c r="Z576" s="90" t="str">
        <f>IFERROR(__xludf.DUMMYFUNCTION("""COMPUTED_VALUE"""),"No aplica")</f>
        <v>No aplica</v>
      </c>
      <c r="AA576" s="33" t="str">
        <f>IFERROR(__xludf.DUMMYFUNCTION("""COMPUTED_VALUE"""),"No aplica")</f>
        <v>No aplica</v>
      </c>
      <c r="AB576" s="96" t="str">
        <f>IFERROR(__xludf.DUMMYFUNCTION("""COMPUTED_VALUE"""),"https://photos.app.goo.gl/3XfG2hwg8YG5k6Xf6")</f>
        <v>https://photos.app.goo.gl/3XfG2hwg8YG5k6Xf6</v>
      </c>
      <c r="AC576" s="46"/>
      <c r="AD576" s="46" t="str">
        <f>IFERROR(__xludf.DUMMYFUNCTION("""COMPUTED_VALUE"""),"Casa bien ubicada.. Con reja ante jardín y sobre vía amplia.")</f>
        <v>Casa bien ubicada.. Con reja ante jardín y sobre vía amplia.</v>
      </c>
      <c r="AE576" s="46"/>
      <c r="AF576" s="46" t="str">
        <f>IFERROR(__xludf.DUMMYFUNCTION("""COMPUTED_VALUE"""),"integral")</f>
        <v>integral</v>
      </c>
      <c r="AG576" s="46"/>
      <c r="AH576" s="46" t="str">
        <f>IFERROR(__xludf.DUMMYFUNCTION("""COMPUTED_VALUE"""),"Aliado")</f>
        <v>Aliado</v>
      </c>
      <c r="AI576" s="92" t="str">
        <f>IFERROR(__xludf.DUMMYFUNCTION("""COMPUTED_VALUE"""),"https://lh3.googleusercontent.com/pw/AP1GczOUnyeZu708I0Zj4qaJtYPi4r2lzLsF1CVaZM9WwdeEK7LKI-tZqv1C6oHZfPLGRGlaNmtVAnhlcJYkl5ZraPeHZVx-McVeAwERk--0AtOgwkvB1nb0=w1200|https://lh3.googleusercontent.com/pw/AP1GczM3I7PI7QKjfHqc9h1_pyvCjMXGhA5TdMIsH1U8xOFuJD_OAt"&amp;"Rge3yVz0JWK-IyO1hTZSDRPkAWXeH_95i_YYl5tbFDBIIho8JmW1uwEv0upWiJc4Sg=w1200|https://lh3.googleusercontent.com/pw/AP1GczPP9OqCHOuBF3JY3bSYQISUDl5iPFRdxrsGeIP863mgIIkywNMZuBjFOq8UbRm7dZdRHEFFdJpRBy3v-qW9xL6A4hBkSWK8a8dKur5CwhZQjxOX39dB=w1200|https://lh3.google"&amp;"usercontent.com/pw/AP1GczMnkLuzeA3Jn7kdmbjnXg98MGeopAs-kz0NQQbREmR0uOAflVTk7gPQnHAcNRY30ttVAue31yHnQKHCQwWW7dENMola6boEUWudhTL9ZAoWoI-RlmwP=w1200|https://lh3.googleusercontent.com/pw/AP1GczM_Zzqfg4l0kFrvFoBouyUDDX-xgOECJAkotrzqqPuVKjDmjdKVvh7HQBDYVjvQLfYY"&amp;"me00JiJBg8bb9i7kf_6WLZh7Y_hHof55NyjjH6EK65IO0ZEp=w1200|https://lh3.googleusercontent.com/pw/AP1GczM6y4wWcyhl9J-yKew9zZyL1RShnO4JnQ6QjXFT3O95fqGuLq8E8JnriATkwkAvRP5ibjR2oEZBFL9M9uuHVBGIS9S3EIGNX0C8E093wCp9O4iyMs4m=w1200|https://lh3.googleusercontent.com/pw"&amp;"/AP1GczOQroqlphjISAgrbQ2HYYrkAVXZ-4qhKpLsbyn8FBzjDRbT0Y8kirpEjuMaM49KIglEAoxb8UOV7vIyEjifR28-8or9O-qEvCdsF6kZR6-HwQE_1B2b=w1200|https://lh3.googleusercontent.com/pw/AP1GczOMEGDrGQXVjSi6SWNi_BkPzpXHMkI4zfkecCyamw_hNRvmAKdySguOdy_o4ISfbFtLSnn75wY_MacSzeXFun"&amp;"uMvBLvYjtGd0EayrwbMppKzdp_xOc6=w1200|https://lh3.googleusercontent.com/pw/AP1GczO0mZ-JDVQNVZuU8dTJTFC0WrEVfFdjRGPzAYTKtOd_AUTrrXStasmt0plIyXDuGPSgy23MJTWJUZg1NSbdmVR7HZEpYI9U4qGJL9dxHJiICLeqLOiw=w1200|https://lh3.googleusercontent.com/pw/AP1GczP0T9ej06bU6"&amp;"Df3H7ZgfNLSal9AliqNmNz1Gfps2SVVSbOBp7wIUlP9HrV5DEc7P5y7jUJXn9LcPWiEswVgLJjLg9aK_ntchPB2tgGkmbw3CJjeT2gB=w1200|https://lh3.googleusercontent.com/pw/AP1GczPrDbIP8_zmLthvwWl2HI6ot1eonHUy7PvxKb2uSe9zMDNU6H15PgUgtGHjQ69hsg22cxKMJuiuZ6GiefNnhk3EDzyHUjDW5vB7KnfW"&amp;"tiGezpYW1Uvb=w1200|https://lh3.googleusercontent.com/pw/AP1GczM-rje57BZbuBOWvUKMa0k9eJzQnE7HMJPZKUqrwxdv2XVxNaWTu5J5DCyuEFfrVIDdWE8HfrO09j-8hpxN1b5J4MLt2kdutRXR7ZW1W7iMxtZQHvy-=w1200")</f>
        <v>https://lh3.googleusercontent.com/pw/AP1GczOUnyeZu708I0Zj4qaJtYPi4r2lzLsF1CVaZM9WwdeEK7LKI-tZqv1C6oHZfPLGRGlaNmtVAnhlcJYkl5ZraPeHZVx-McVeAwERk--0AtOgwkvB1nb0=w1200|https://lh3.googleusercontent.com/pw/AP1GczM3I7PI7QKjfHqc9h1_pyvCjMXGhA5TdMIsH1U8xOFuJD_OAtRge3yVz0JWK-IyO1hTZSDRPkAWXeH_95i_YYl5tbFDBIIho8JmW1uwEv0upWiJc4Sg=w1200|https://lh3.googleusercontent.com/pw/AP1GczPP9OqCHOuBF3JY3bSYQISUDl5iPFRdxrsGeIP863mgIIkywNMZuBjFOq8UbRm7dZdRHEFFdJpRBy3v-qW9xL6A4hBkSWK8a8dKur5CwhZQjxOX39dB=w1200|https://lh3.googleusercontent.com/pw/AP1GczMnkLuzeA3Jn7kdmbjnXg98MGeopAs-kz0NQQbREmR0uOAflVTk7gPQnHAcNRY30ttVAue31yHnQKHCQwWW7dENMola6boEUWudhTL9ZAoWoI-RlmwP=w1200|https://lh3.googleusercontent.com/pw/AP1GczM_Zzqfg4l0kFrvFoBouyUDDX-xgOECJAkotrzqqPuVKjDmjdKVvh7HQBDYVjvQLfYYme00JiJBg8bb9i7kf_6WLZh7Y_hHof55NyjjH6EK65IO0ZEp=w1200|https://lh3.googleusercontent.com/pw/AP1GczM6y4wWcyhl9J-yKew9zZyL1RShnO4JnQ6QjXFT3O95fqGuLq8E8JnriATkwkAvRP5ibjR2oEZBFL9M9uuHVBGIS9S3EIGNX0C8E093wCp9O4iyMs4m=w1200|https://lh3.googleusercontent.com/pw/AP1GczOQroqlphjISAgrbQ2HYYrkAVXZ-4qhKpLsbyn8FBzjDRbT0Y8kirpEjuMaM49KIglEAoxb8UOV7vIyEjifR28-8or9O-qEvCdsF6kZR6-HwQE_1B2b=w1200|https://lh3.googleusercontent.com/pw/AP1GczOMEGDrGQXVjSi6SWNi_BkPzpXHMkI4zfkecCyamw_hNRvmAKdySguOdy_o4ISfbFtLSnn75wY_MacSzeXFunuMvBLvYjtGd0EayrwbMppKzdp_xOc6=w1200|https://lh3.googleusercontent.com/pw/AP1GczO0mZ-JDVQNVZuU8dTJTFC0WrEVfFdjRGPzAYTKtOd_AUTrrXStasmt0plIyXDuGPSgy23MJTWJUZg1NSbdmVR7HZEpYI9U4qGJL9dxHJiICLeqLOiw=w1200|https://lh3.googleusercontent.com/pw/AP1GczP0T9ej06bU6Df3H7ZgfNLSal9AliqNmNz1Gfps2SVVSbOBp7wIUlP9HrV5DEc7P5y7jUJXn9LcPWiEswVgLJjLg9aK_ntchPB2tgGkmbw3CJjeT2gB=w1200|https://lh3.googleusercontent.com/pw/AP1GczPrDbIP8_zmLthvwWl2HI6ot1eonHUy7PvxKb2uSe9zMDNU6H15PgUgtGHjQ69hsg22cxKMJuiuZ6GiefNnhk3EDzyHUjDW5vB7KnfWtiGezpYW1Uvb=w1200|https://lh3.googleusercontent.com/pw/AP1GczM-rje57BZbuBOWvUKMa0k9eJzQnE7HMJPZKUqrwxdv2XVxNaWTu5J5DCyuEFfrVIDdWE8HfrO09j-8hpxN1b5J4MLt2kdutRXR7ZW1W7iMxtZQHvy-=w1200</v>
      </c>
      <c r="AJ576" s="46"/>
      <c r="AK576" s="46"/>
      <c r="AL576" s="46"/>
      <c r="AM576" s="46"/>
      <c r="AN576" s="46"/>
      <c r="AO576" s="46"/>
      <c r="AP576" s="46"/>
      <c r="AQ576" s="46"/>
      <c r="AR576" s="46"/>
      <c r="AS576" s="46"/>
      <c r="AT576" s="46"/>
      <c r="AU576" s="46"/>
      <c r="AV576" s="46"/>
      <c r="AW576" s="46"/>
      <c r="AX576" s="46"/>
      <c r="AY576" s="46"/>
      <c r="AZ576" s="46"/>
      <c r="BA576" s="46"/>
      <c r="BB576" s="46"/>
      <c r="BC576" s="46"/>
      <c r="BD576" s="46"/>
      <c r="BE576" s="46"/>
      <c r="BF576" s="46"/>
      <c r="BG576" s="46"/>
      <c r="BH576" s="46"/>
      <c r="BI576" s="46"/>
      <c r="BJ576" s="46"/>
      <c r="BK576" s="46"/>
      <c r="BL576" s="46"/>
      <c r="BM576" s="46"/>
      <c r="BN576" s="46"/>
      <c r="BO576" s="46"/>
      <c r="BP576" s="46"/>
      <c r="BQ576" s="46"/>
      <c r="BR576" s="46"/>
      <c r="BS576" s="46"/>
      <c r="BT576" s="46"/>
      <c r="BU576" s="46"/>
      <c r="BV576" s="46"/>
      <c r="BW576" s="46"/>
      <c r="BX576" s="46"/>
      <c r="BY576" s="46"/>
      <c r="BZ576" s="46"/>
      <c r="CA576" s="46"/>
      <c r="CB576" s="46"/>
      <c r="CC576" s="46"/>
    </row>
    <row r="577">
      <c r="A577" s="87" t="str">
        <f>IFERROR(__xludf.DUMMYFUNCTION("""COMPUTED_VALUE"""),"695")</f>
        <v>695</v>
      </c>
      <c r="B577" s="46" t="str">
        <f>IFERROR(__xludf.DUMMYFUNCTION("""COMPUTED_VALUE"""),"Casa campestre - Tocaima - Cund")</f>
        <v>Casa campestre - Tocaima - Cund</v>
      </c>
      <c r="C577" s="46" t="str">
        <f>IFERROR(__xludf.DUMMYFUNCTION("""COMPUTED_VALUE"""),"Casa campestre")</f>
        <v>Casa campestre</v>
      </c>
      <c r="D577" s="46"/>
      <c r="E577" s="46"/>
      <c r="F577" s="90">
        <f>IFERROR(__xludf.DUMMYFUNCTION("""COMPUTED_VALUE"""),6.6E8)</f>
        <v>660000000</v>
      </c>
      <c r="G577" s="46" t="str">
        <f>IFERROR(__xludf.DUMMYFUNCTION("""COMPUTED_VALUE"""),"$500'000.000 a $1.000'000.000")</f>
        <v>$500'000.000 a $1.000'000.000</v>
      </c>
      <c r="H577" s="46"/>
      <c r="I577" s="46"/>
      <c r="J577" s="46" t="str">
        <f>IFERROR(__xludf.DUMMYFUNCTION("""COMPUTED_VALUE"""),"Norte")</f>
        <v>Norte</v>
      </c>
      <c r="K577" s="87"/>
      <c r="L577" s="46">
        <f>IFERROR(__xludf.DUMMYFUNCTION("""COMPUTED_VALUE"""),3.0)</f>
        <v>3</v>
      </c>
      <c r="M577" s="46"/>
      <c r="N577" s="46">
        <f>IFERROR(__xludf.DUMMYFUNCTION("""COMPUTED_VALUE"""),3.0)</f>
        <v>3</v>
      </c>
      <c r="O577" s="46">
        <f>IFERROR(__xludf.DUMMYFUNCTION("""COMPUTED_VALUE"""),5.0)</f>
        <v>5</v>
      </c>
      <c r="P577" s="46">
        <f>IFERROR(__xludf.DUMMYFUNCTION("""COMPUTED_VALUE"""),1.0)</f>
        <v>1</v>
      </c>
      <c r="Q577" s="92">
        <f>IFERROR(__xludf.DUMMYFUNCTION("""COMPUTED_VALUE"""),190.0)</f>
        <v>190</v>
      </c>
      <c r="R577" s="92">
        <f>IFERROR(__xludf.DUMMYFUNCTION("""COMPUTED_VALUE"""),1300.0)</f>
        <v>1300</v>
      </c>
      <c r="S577" s="87" t="str">
        <f>IFERROR(__xludf.DUMMYFUNCTION("""COMPUTED_VALUE""")," ")</f>
        <v> </v>
      </c>
      <c r="T577" s="46" t="str">
        <f>IFERROR(__xludf.DUMMYFUNCTION("""COMPUTED_VALUE"""),"Neiva")</f>
        <v>Neiva</v>
      </c>
      <c r="U577" s="87"/>
      <c r="V577" s="46"/>
      <c r="W577" s="46"/>
      <c r="X577" s="46">
        <f>IFERROR(__xludf.DUMMYFUNCTION("""COMPUTED_VALUE"""),3.0)</f>
        <v>3</v>
      </c>
      <c r="Y577" s="46" t="str">
        <f>IFERROR(__xludf.DUMMYFUNCTION("""COMPUTED_VALUE"""),"No tiene")</f>
        <v>No tiene</v>
      </c>
      <c r="Z577" s="90" t="str">
        <f>IFERROR(__xludf.DUMMYFUNCTION("""COMPUTED_VALUE"""),"No aplica")</f>
        <v>No aplica</v>
      </c>
      <c r="AA577" s="33" t="str">
        <f>IFERROR(__xludf.DUMMYFUNCTION("""COMPUTED_VALUE"""),"No aplica")</f>
        <v>No aplica</v>
      </c>
      <c r="AB577" s="144" t="str">
        <f>IFERROR(__xludf.DUMMYFUNCTION("""COMPUTED_VALUE"""),"https://photos.app.goo.gl/KnRzKZfAeUUk4PH5A")</f>
        <v>https://photos.app.goo.gl/KnRzKZfAeUUk4PH5A</v>
      </c>
      <c r="AC577" s="46" t="str">
        <f>IFERROR(__xludf.DUMMYFUNCTION("""COMPUTED_VALUE"""),"Predio villa luz, área total 1300 mt2, área construida 190.0 mt2, vía pavimentada en buen estado, servicio de agua, luz, gas estructura para dos pisos, base viga de piso tiene 12 columnas 3 habitaciones halle sala - comedor cocina integral zona de ropas 3"&amp;" baños tanque elevado de 1000 lts, parqueadero para 5 vehículos kiosco árboles frutales.")</f>
        <v>Predio villa luz, área total 1300 mt2, área construida 190.0 mt2, vía pavimentada en buen estado, servicio de agua, luz, gas estructura para dos pisos, base viga de piso tiene 12 columnas 3 habitaciones halle sala - comedor cocina integral zona de ropas 3 baños tanque elevado de 1000 lts, parqueadero para 5 vehículos kiosco árboles frutales.</v>
      </c>
      <c r="AD577" s="46" t="str">
        <f>IFERROR(__xludf.DUMMYFUNCTION("""COMPUTED_VALUE"""),"Casa campestre independiente. A 10 minutos del pueblo")</f>
        <v>Casa campestre independiente. A 10 minutos del pueblo</v>
      </c>
      <c r="AE577" s="46"/>
      <c r="AF577" s="46" t="str">
        <f>IFERROR(__xludf.DUMMYFUNCTION("""COMPUTED_VALUE"""),"integral")</f>
        <v>integral</v>
      </c>
      <c r="AG577" s="46"/>
      <c r="AH577" s="46" t="str">
        <f>IFERROR(__xludf.DUMMYFUNCTION("""COMPUTED_VALUE"""),"Aliado")</f>
        <v>Aliado</v>
      </c>
      <c r="AI577" s="92" t="str">
        <f>IFERROR(__xludf.DUMMYFUNCTION("""COMPUTED_VALUE"""),"https://lh3.googleusercontent.com/pw/AP1GczO_XW2c_-9ZLvIIQPn2HlPpspUD0Xp4lPDjyOMe-5OaniInX8oBY20FoCNpRV5ZlB_jlhKa54YuvLlwT0NDTfeOPneb_jPtF0gUaSvvbZ8XOI-ICXqD=w1200|https://lh3.googleusercontent.com/pw/AP1GczOz1eVUnVL8ohSysht3H5bj8wvZcoUVPLXolApxIJZazOAtPM"&amp;"cnZMNnKg36nADg-7CQBnS6g0X7iPXWjWmJTgyASuZiqhi99kwOLaYkBQIUsxi2nQkh=w1200|https://lh3.googleusercontent.com/pw/AP1GczPaurAGcZxq1qbyIXlQAow16KBiZsVabZ2e-mxdt9rBPGld1vy7L7V1SRcKNI2IPntQfrPLgPWlOWfomKFWSnHaGXnRRDv5nF8fyC9LlHZZqxgqN29T=w1200|https://lh3.google"&amp;"usercontent.com/pw/AP1GczO-CMpqEdFJ0-4HU3RVv5du3r0jE7Ct-TSxvg7zpWHWx7IcDWhTP5hGL2iGjwBictFiIg_PGws7y_ZKTmTD0GmdcmGdjs0sBty1x6g0HvPInGBXrOPY=w1200|https://lh3.googleusercontent.com/pw/AP1GczPat6Q9WTAnqw7uAofDbHu3TZ4EzqlAgnthp78PltmIfbeybvUAVCtlWcT65cNqG2-F"&amp;"EfG5IhR3HSPOywB3GILYOMgpvAi5tLHsOA4s9zJGTomEechF=w1200|https://lh3.googleusercontent.com/pw/AP1GczMiC2vVB63sUAFy33rZkstODvRPcemqO4c83d5jRAmL_PMyhVn84CkMBzKmsBnMz6V_5IA_-BlOTlbfAw_kl7zIjgRJMMQWQHT8TN4T79HEN6rkJc3a=w1200|https://lh3.googleusercontent.com/pw"&amp;"/AP1GczO7KRWb9JIlBf-kYGf0sGAHwEhFDu8iLyzzTiaU4vZpWgO8kTPU_P7PJ1upymRJLJK0tIonWmZkhSI0RQaqPEiLYDnaS0XKV8GExpmlPv3GLbJfsDut=w1200|https://lh3.googleusercontent.com/pw/AP1GczMr4nTGVbqrdx8LVFE3SoAJQCnycV_2EoUIsSIny9N4qC7SyXYSk-hnWG9lS5fTKD41rjploIva_vJMoVQqUi"&amp;"Uho3nHEQnJCq3wzpA955aqezO1uSsu=w1200|https://lh3.googleusercontent.com/pw/AP1GczNoXjUTX3nNU3X0EWXlH-Xu9X92pOBJSdrpm8Q1qsWaMOFqGxKGUZzfdyfSN4eOlARUD2XcLsZsakDF28enk4DFhEmcG97BgTnSHC7XBS67u-2SmsXM=w1200|https://lh3.googleusercontent.com/pw/AP1GczOgk6V5TCMqL"&amp;"4JOU05MEfuGZCiYpg5x0bJ7kolS5QMv4coTXk6a-2inntK1jo2JL6p0grv5PyyyirPbfT7xlZOGTdWBtHyJCddysOjPAtkwf0UPM1b1=w1200|https://lh3.googleusercontent.com/pw/AP1GczOAbV7Ws2PpTji2Dx7eJU55bcAgQb__ZF35UMVFqVX4UYcw_e8K1o35SiTHM_uD2Se4ekoDdhdjit_JJM6r-a1QWSYxRPo2b_qz_g9n"&amp;"RWG2C4Licxo5=w1200|https://lh3.googleusercontent.com/pw/AP1GczPEHM6hphsXDIH0FRrRXkzwyKREfusCFmShEScJ9N-ERCrJUC6dALh4Ltb4nGrVL2la-s3yf88mBjfuW722TyJwsPKbTAfzWMcGMYlfKNxUoe1Lkqyw=w1200|https://lh3.googleusercontent.com/pw/AP1GczNoegQGqdZiRyysgTd4IK9c6d3r7iY"&amp;"cdXGiFV1ffJf75k4Dtc4VGxzPGtI2zFvoaMYZCX2r3SCo62mK9PQt4UYSkA6m-HseKwKCYUpkgBPthZdDqTtR=w1200|https://lh3.googleusercontent.com/pw/AP1GczPP_cNqGN2zAqS2QrGccdS59bl1KZZiPrcDFhpWovXLktx1W7Hk1-ITb14CJKr8NPXzoFqGxiWkHoFPrJUlNFY0noMdjKeUgb-dwmsH9yC1GzY_gYmk=w1200"&amp;"|https://lh3.googleusercontent.com/pw/AP1GczOyYPYGjdMXq1RZs5QEoCjHn_zItL7zVvS10WLa9RjnPqum-Om-751opIADZw0ArFaKEVpvVsW1HATubJDMqyhpSl06nxwwpTU2PPkCqruSL_EwTZBO=w1200|https://lh3.googleusercontent.com/pw/AP1GczMzC-N3HkDvY4d0BOP9UYNBPCYqAtmMdUmFZQBjFlw-4u-Qb"&amp;"3bqmteHwF4KlzmgucEr0FZq7cpRnTDFoTuXNcCxHtAc4I6z7EFcM-OLEuQ_eqclZ0pQ=w1200|https://lh3.googleusercontent.com/pw/AP1GczMgp1x3Z6Y8Ekn4nsfvzjnYQJcYSHPobFUsYa8ROGVPnPeCGIGlZCc70kaAO772HJuC-cCf_jzkaH7_7MD5eq3KLKL7oXumfXoEQfjCtnPcEXQxAFHs=w1200|https://lh3.googl"&amp;"eusercontent.com/pw/AP1GczMxwe4xy5WS6cmrIzYBsJZUMZDSuTBDRWvdcLDONgMS7ISCuclqyIbOo3mAygf-FIExwuN6Kw_P3Orc8PMjxMvaWaSI_bHDq5_HYpvWPB4hiuLo08Ph=w1200|https://lh3.googleusercontent.com/pw/AP1GczMBVVqY8FkK4iAU3AHk-JZlAULt8BcK26e-BYZGB_BjrQwl0Qz4vAx8zUp2p0Bxtgf"&amp;"nFcvXFEyuvoF6mew1Rpj7_fVwoW6kAY5tI15CBDDWHbvKJh4i=w1200")</f>
        <v>https://lh3.googleusercontent.com/pw/AP1GczO_XW2c_-9ZLvIIQPn2HlPpspUD0Xp4lPDjyOMe-5OaniInX8oBY20FoCNpRV5ZlB_jlhKa54YuvLlwT0NDTfeOPneb_jPtF0gUaSvvbZ8XOI-ICXqD=w1200|https://lh3.googleusercontent.com/pw/AP1GczOz1eVUnVL8ohSysht3H5bj8wvZcoUVPLXolApxIJZazOAtPMcnZMNnKg36nADg-7CQBnS6g0X7iPXWjWmJTgyASuZiqhi99kwOLaYkBQIUsxi2nQkh=w1200|https://lh3.googleusercontent.com/pw/AP1GczPaurAGcZxq1qbyIXlQAow16KBiZsVabZ2e-mxdt9rBPGld1vy7L7V1SRcKNI2IPntQfrPLgPWlOWfomKFWSnHaGXnRRDv5nF8fyC9LlHZZqxgqN29T=w1200|https://lh3.googleusercontent.com/pw/AP1GczO-CMpqEdFJ0-4HU3RVv5du3r0jE7Ct-TSxvg7zpWHWx7IcDWhTP5hGL2iGjwBictFiIg_PGws7y_ZKTmTD0GmdcmGdjs0sBty1x6g0HvPInGBXrOPY=w1200|https://lh3.googleusercontent.com/pw/AP1GczPat6Q9WTAnqw7uAofDbHu3TZ4EzqlAgnthp78PltmIfbeybvUAVCtlWcT65cNqG2-FEfG5IhR3HSPOywB3GILYOMgpvAi5tLHsOA4s9zJGTomEechF=w1200|https://lh3.googleusercontent.com/pw/AP1GczMiC2vVB63sUAFy33rZkstODvRPcemqO4c83d5jRAmL_PMyhVn84CkMBzKmsBnMz6V_5IA_-BlOTlbfAw_kl7zIjgRJMMQWQHT8TN4T79HEN6rkJc3a=w1200|https://lh3.googleusercontent.com/pw/AP1GczO7KRWb9JIlBf-kYGf0sGAHwEhFDu8iLyzzTiaU4vZpWgO8kTPU_P7PJ1upymRJLJK0tIonWmZkhSI0RQaqPEiLYDnaS0XKV8GExpmlPv3GLbJfsDut=w1200|https://lh3.googleusercontent.com/pw/AP1GczMr4nTGVbqrdx8LVFE3SoAJQCnycV_2EoUIsSIny9N4qC7SyXYSk-hnWG9lS5fTKD41rjploIva_vJMoVQqUiUho3nHEQnJCq3wzpA955aqezO1uSsu=w1200|https://lh3.googleusercontent.com/pw/AP1GczNoXjUTX3nNU3X0EWXlH-Xu9X92pOBJSdrpm8Q1qsWaMOFqGxKGUZzfdyfSN4eOlARUD2XcLsZsakDF28enk4DFhEmcG97BgTnSHC7XBS67u-2SmsXM=w1200|https://lh3.googleusercontent.com/pw/AP1GczOgk6V5TCMqL4JOU05MEfuGZCiYpg5x0bJ7kolS5QMv4coTXk6a-2inntK1jo2JL6p0grv5PyyyirPbfT7xlZOGTdWBtHyJCddysOjPAtkwf0UPM1b1=w1200|https://lh3.googleusercontent.com/pw/AP1GczOAbV7Ws2PpTji2Dx7eJU55bcAgQb__ZF35UMVFqVX4UYcw_e8K1o35SiTHM_uD2Se4ekoDdhdjit_JJM6r-a1QWSYxRPo2b_qz_g9nRWG2C4Licxo5=w1200|https://lh3.googleusercontent.com/pw/AP1GczPEHM6hphsXDIH0FRrRXkzwyKREfusCFmShEScJ9N-ERCrJUC6dALh4Ltb4nGrVL2la-s3yf88mBjfuW722TyJwsPKbTAfzWMcGMYlfKNxUoe1Lkqyw=w1200|https://lh3.googleusercontent.com/pw/AP1GczNoegQGqdZiRyysgTd4IK9c6d3r7iYcdXGiFV1ffJf75k4Dtc4VGxzPGtI2zFvoaMYZCX2r3SCo62mK9PQt4UYSkA6m-HseKwKCYUpkgBPthZdDqTtR=w1200|https://lh3.googleusercontent.com/pw/AP1GczPP_cNqGN2zAqS2QrGccdS59bl1KZZiPrcDFhpWovXLktx1W7Hk1-ITb14CJKr8NPXzoFqGxiWkHoFPrJUlNFY0noMdjKeUgb-dwmsH9yC1GzY_gYmk=w1200|https://lh3.googleusercontent.com/pw/AP1GczOyYPYGjdMXq1RZs5QEoCjHn_zItL7zVvS10WLa9RjnPqum-Om-751opIADZw0ArFaKEVpvVsW1HATubJDMqyhpSl06nxwwpTU2PPkCqruSL_EwTZBO=w1200|https://lh3.googleusercontent.com/pw/AP1GczMzC-N3HkDvY4d0BOP9UYNBPCYqAtmMdUmFZQBjFlw-4u-Qb3bqmteHwF4KlzmgucEr0FZq7cpRnTDFoTuXNcCxHtAc4I6z7EFcM-OLEuQ_eqclZ0pQ=w1200|https://lh3.googleusercontent.com/pw/AP1GczMgp1x3Z6Y8Ekn4nsfvzjnYQJcYSHPobFUsYa8ROGVPnPeCGIGlZCc70kaAO772HJuC-cCf_jzkaH7_7MD5eq3KLKL7oXumfXoEQfjCtnPcEXQxAFHs=w1200|https://lh3.googleusercontent.com/pw/AP1GczMxwe4xy5WS6cmrIzYBsJZUMZDSuTBDRWvdcLDONgMS7ISCuclqyIbOo3mAygf-FIExwuN6Kw_P3Orc8PMjxMvaWaSI_bHDq5_HYpvWPB4hiuLo08Ph=w1200|https://lh3.googleusercontent.com/pw/AP1GczMBVVqY8FkK4iAU3AHk-JZlAULt8BcK26e-BYZGB_BjrQwl0Qz4vAx8zUp2p0BxtgfnFcvXFEyuvoF6mew1Rpj7_fVwoW6kAY5tI15CBDDWHbvKJh4i=w1200</v>
      </c>
      <c r="AJ577" s="46"/>
      <c r="AK577" s="46"/>
      <c r="AL577" s="46"/>
      <c r="AM577" s="46"/>
      <c r="AN577" s="46"/>
      <c r="AO577" s="46"/>
      <c r="AP577" s="46"/>
      <c r="AQ577" s="46"/>
      <c r="AR577" s="46"/>
      <c r="AS577" s="46"/>
      <c r="AT577" s="46"/>
      <c r="AU577" s="46"/>
      <c r="AV577" s="46"/>
      <c r="AW577" s="46"/>
      <c r="AX577" s="46"/>
      <c r="AY577" s="46"/>
      <c r="AZ577" s="46"/>
      <c r="BA577" s="46"/>
      <c r="BB577" s="46"/>
      <c r="BC577" s="46"/>
      <c r="BD577" s="46"/>
      <c r="BE577" s="46"/>
      <c r="BF577" s="46"/>
      <c r="BG577" s="46"/>
      <c r="BH577" s="46"/>
      <c r="BI577" s="46"/>
      <c r="BJ577" s="46"/>
      <c r="BK577" s="46"/>
      <c r="BL577" s="46"/>
      <c r="BM577" s="46"/>
      <c r="BN577" s="46"/>
      <c r="BO577" s="46"/>
      <c r="BP577" s="46"/>
      <c r="BQ577" s="46"/>
      <c r="BR577" s="46"/>
      <c r="BS577" s="46"/>
      <c r="BT577" s="46"/>
      <c r="BU577" s="46"/>
      <c r="BV577" s="46"/>
      <c r="BW577" s="46"/>
      <c r="BX577" s="46"/>
      <c r="BY577" s="46"/>
      <c r="BZ577" s="46"/>
      <c r="CA577" s="46"/>
      <c r="CB577" s="46"/>
      <c r="CC577" s="46"/>
    </row>
    <row r="578">
      <c r="A578" s="87" t="str">
        <f>IFERROR(__xludf.DUMMYFUNCTION("""COMPUTED_VALUE"""),"560")</f>
        <v>560</v>
      </c>
      <c r="B578" s="46" t="str">
        <f>IFERROR(__xludf.DUMMYFUNCTION("""COMPUTED_VALUE"""),"Casa en barrio Manzanares")</f>
        <v>Casa en barrio Manzanares</v>
      </c>
      <c r="C578" s="46" t="str">
        <f>IFERROR(__xludf.DUMMYFUNCTION("""COMPUTED_VALUE"""),"Casa")</f>
        <v>Casa</v>
      </c>
      <c r="D578" s="46" t="str">
        <f>IFERROR(__xludf.DUMMYFUNCTION("""COMPUTED_VALUE"""),"Manzanares")</f>
        <v>Manzanares</v>
      </c>
      <c r="E578" s="46"/>
      <c r="F578" s="90">
        <f>IFERROR(__xludf.DUMMYFUNCTION("""COMPUTED_VALUE"""),6.0E8)</f>
        <v>600000000</v>
      </c>
      <c r="G578" s="46" t="str">
        <f>IFERROR(__xludf.DUMMYFUNCTION("""COMPUTED_VALUE"""),"$500'000.000 a $1.000'000.000")</f>
        <v>$500'000.000 a $1.000'000.000</v>
      </c>
      <c r="H578" s="46"/>
      <c r="I578" s="46"/>
      <c r="J578" s="46" t="str">
        <f>IFERROR(__xludf.DUMMYFUNCTION("""COMPUTED_VALUE"""),"Sur")</f>
        <v>Sur</v>
      </c>
      <c r="K578" s="87" t="str">
        <f>IFERROR(__xludf.DUMMYFUNCTION("""COMPUTED_VALUE"""),"9")</f>
        <v>9</v>
      </c>
      <c r="L578" s="46">
        <f>IFERROR(__xludf.DUMMYFUNCTION("""COMPUTED_VALUE"""),8.0)</f>
        <v>8</v>
      </c>
      <c r="M578" s="46"/>
      <c r="N578" s="46">
        <f>IFERROR(__xludf.DUMMYFUNCTION("""COMPUTED_VALUE"""),3.0)</f>
        <v>3</v>
      </c>
      <c r="O578" s="46">
        <f>IFERROR(__xludf.DUMMYFUNCTION("""COMPUTED_VALUE"""),2.0)</f>
        <v>2</v>
      </c>
      <c r="P578" s="46">
        <f>IFERROR(__xludf.DUMMYFUNCTION("""COMPUTED_VALUE"""),3.0)</f>
        <v>3</v>
      </c>
      <c r="Q578" s="92"/>
      <c r="R578" s="92"/>
      <c r="S578" s="87" t="str">
        <f>IFERROR(__xludf.DUMMYFUNCTION("""COMPUTED_VALUE""")," ")</f>
        <v> </v>
      </c>
      <c r="T578" s="46" t="str">
        <f>IFERROR(__xludf.DUMMYFUNCTION("""COMPUTED_VALUE"""),"Neiva")</f>
        <v>Neiva</v>
      </c>
      <c r="U578" s="87" t="str">
        <f>IFERROR(__xludf.DUMMYFUNCTION("""COMPUTED_VALUE"""),"2")</f>
        <v>2</v>
      </c>
      <c r="V578" s="46" t="str">
        <f>IFERROR(__xludf.DUMMYFUNCTION("""COMPUTED_VALUE"""),"Esquinera")</f>
        <v>Esquinera</v>
      </c>
      <c r="W578" s="46"/>
      <c r="X578" s="46">
        <f>IFERROR(__xludf.DUMMYFUNCTION("""COMPUTED_VALUE"""),3.0)</f>
        <v>3</v>
      </c>
      <c r="Y578" s="46" t="str">
        <f>IFERROR(__xludf.DUMMYFUNCTION("""COMPUTED_VALUE"""),"No tiene")</f>
        <v>No tiene</v>
      </c>
      <c r="Z578" s="90" t="str">
        <f>IFERROR(__xludf.DUMMYFUNCTION("""COMPUTED_VALUE"""),"No aplica")</f>
        <v>No aplica</v>
      </c>
      <c r="AA578" s="33" t="str">
        <f>IFERROR(__xludf.DUMMYFUNCTION("""COMPUTED_VALUE"""),"No aplica")</f>
        <v>No aplica</v>
      </c>
      <c r="AB578" s="144" t="str">
        <f>IFERROR(__xludf.DUMMYFUNCTION("""COMPUTED_VALUE"""),"https://photos.google.com/share/AF1QipNEpFEP1oRCUi8AR4dtRsQepqsNvK-5RZKzI22VnP9hOBzzogOWr2XKZcJ5lLHA0g?key=U1g1M2pySy1HZ1ZBM0ZBV0ZwY1hmbnU3TVpoY2NR")</f>
        <v>https://photos.google.com/share/AF1QipNEpFEP1oRCUi8AR4dtRsQepqsNvK-5RZKzI22VnP9hOBzzogOWr2XKZcJ5lLHA0g?key=U1g1M2pySy1HZ1ZBM0ZBV0ZwY1hmbnU3TVpoY2NR</v>
      </c>
      <c r="AC578" s="46"/>
      <c r="AD578" s="46" t="str">
        <f>IFERROR(__xludf.DUMMYFUNCTION("""COMPUTED_VALUE"""),"Cuenta con estudio, sala de TV, balcón, terraza.")</f>
        <v>Cuenta con estudio, sala de TV, balcón, terraza.</v>
      </c>
      <c r="AE578" s="46"/>
      <c r="AF578" s="46" t="str">
        <f>IFERROR(__xludf.DUMMYFUNCTION("""COMPUTED_VALUE"""),"integral")</f>
        <v>integral</v>
      </c>
      <c r="AG578" s="46"/>
      <c r="AH578" s="46" t="str">
        <f>IFERROR(__xludf.DUMMYFUNCTION("""COMPUTED_VALUE"""),"Aliado")</f>
        <v>Aliado</v>
      </c>
      <c r="AI578" s="92" t="str">
        <f>IFERROR(__xludf.DUMMYFUNCTION("""COMPUTED_VALUE"""),"https://lh3.googleusercontent.com/pw/AP1GczNQoquejrZ0qsNwl11Hb9XrH5yTlMiLeIWKEV8iVgJdbjesqv6SR542gAAb2OQ9tgCmX9B66kO60yVNlyDsF6NW9PCWyF7679YoRvq5R0BCykc63xvW=w1200|https://lh3.googleusercontent.com/pw/AP1GczNo4vORsKlvoYWUXQ4B12PJeWUn85djdBmIhddgV-PlKy1JH_"&amp;"6pxJ8jxEsfbYcKhKJI-LW_laXcNkBh3oflpQJVAsaUMSKzfppGREWfsR9zuKmKd4u4=w1200|https://lh3.googleusercontent.com/pw/AP1GczNq4S7QvU0mXxozn8LUHDPpaM7fjMTgmB5XPCdDQWvjX6NMR_Lb3ExMy8j5wDbP_gsztnj3NKFa4WLEZOwUm_cjcz8dTxrsvBz6QCUbwuCFFFlDLIDf=w1200|https://lh3.google"&amp;"usercontent.com/pw/AP1GczOp6URPxo7hTpz_JI4I_j4lxyoAyGpR6e3H9D2O5uXi290A-wC7dwPxhbLS8BMezF-UKmsUZQh-oh_iZsGZCAHcAEzOX3JQkWR2xvQoMHYtpFORrUYX=w1200|https://lh3.googleusercontent.com/pw/AP1GczPDFYw7a0tisxFCNzEMJPCwfp_ebw1_M7ihefMMzu1R4tZq7JgUBph963dRNDwt04U4"&amp;"yPJHqjHoUSfHhUEIg4Gl4RE4WEq1j2x8LLX9d1yU2aj_CHZU=w1200|https://lh3.googleusercontent.com/pw/AP1GczMD6JaDMlcw8FsUk8qOyboQKVfis6Hp1oulm60YjuVbjAbZD-MGw0rd3MSmz-KT0Ad8JqFQl79DfeRCEcYdowbGJd-4i83onLUi_m6nbe97lPnAxJ7M=w1200|https://lh3.googleusercontent.com/pw"&amp;"/AP1GczNltMXLjdaT2S-2DD2bYb_unQF3DhIOwLudXPXArEosMC2eB0RItmzNXiqmcTOJG478ChA0khWnqmzHdQ3NXs58-yp99sXWSv_lT5MMj291j-EnENFW=w1200|https://lh3.googleusercontent.com/pw/AP1GczM6ftnJBTT003DGuigxDaGUc9LFgnEMeqk-8-uHAlxRmGaANQOxmlCJSXw8QGjnUtU6T--el07nWXzwGboK3u"&amp;"QvUCFaZTmLIZyymNWhO2Qy8TcjHqUG=w1200|https://lh3.googleusercontent.com/pw/AP1GczPAxI7LWDRPsOehGP7gaz3j1F0ioeaBHIxsmJpz5uTBBbBXPCUj1ZMufsPoZfWvTCmMtEKUme3c1nSO2gajxtbSBURKU0Jtq0qnq1KZ9HCxMGCz1Gr-=w1200|https://lh3.googleusercontent.com/pw/AP1GczMNACl1s53sg"&amp;"m56PMC-QZiZJqHTMXXO2zayou5kVbpT1TLdiCaTdE9xU6elMMXbbJ3QCD5B_6tKKsQ30H2sixYxnAC3Z6XCt61x7O6XBObBS8iz4PPZ=w1200|https://lh3.googleusercontent.com/pw/AP1GczPZzjqGq1r3geRIOFrz22Qg2k9-zrY-3hvuXp7AGvAZ6RMu1JozYAhtoJhO5URuli4C0IjKTjPYGkQhyLhwwuWZ_vlMlaGRSuzVYIrV"&amp;"lzqGt9hrYPk5=w1200|https://lh3.googleusercontent.com/pw/AP1GczNJ8NNAM1LwFdOjDRQXSTUh4E7RYuzpZZeiv9yDDJ0aIRYx1DoI4JQxx7M0SW_vsV40C_2yrCsflTKjhbxleFd9Pfn_w75bsBhgE4YRThBTpMrKpGz4=w1200|https://lh3.googleusercontent.com/pw/AP1GczNPl8dWzDhz4SfS1kf0WztziudFLL7"&amp;"nATaDaNTS83gtKA-MZ9rxHl0oAmhYfhdUDc4ZLlA3vHcbRg6TvGlWx9LsMBTpbKr-AAjozg6SuZG71LnmJGUt=w1200|https://lh3.googleusercontent.com/pw/AP1GczOZVV0l1FVd6bvOLoiGs-rwxtVoZv7ys3mLXD8uFUGH1u-MQHJbaXAZXych4DeUD_GHUw5_qTp-8_em0QqnBkT70x27h_DenLmaBWxtC3GxLhGck311=w1200"&amp;"|https://lh3.googleusercontent.com/pw/AP1GczNM_xLHQg8zMlulK--oRvBssVGIWOgbe9F0G2wZWyCo7riVgE-n1VqTmXZbstAFGMbR-95761kPmDCd20Y5Q083zuq8z2yjhGFM9LA9wleJaapNaqNN=w1200|https://lh3.googleusercontent.com/pw/AP1GczMUJNR9AtiAoZD0EBn3h2PBWSWeLz0W8i-PXxXpTOS1E3TfB"&amp;"7Si2AM6CTEi0-CCxfPKP3kccwKVJmS5G3oHaaXMT-zW7xTCF3KxtCpucMh9_K8Q4nMX=w1200")</f>
        <v>https://lh3.googleusercontent.com/pw/AP1GczNQoquejrZ0qsNwl11Hb9XrH5yTlMiLeIWKEV8iVgJdbjesqv6SR542gAAb2OQ9tgCmX9B66kO60yVNlyDsF6NW9PCWyF7679YoRvq5R0BCykc63xvW=w1200|https://lh3.googleusercontent.com/pw/AP1GczNo4vORsKlvoYWUXQ4B12PJeWUn85djdBmIhddgV-PlKy1JH_6pxJ8jxEsfbYcKhKJI-LW_laXcNkBh3oflpQJVAsaUMSKzfppGREWfsR9zuKmKd4u4=w1200|https://lh3.googleusercontent.com/pw/AP1GczNq4S7QvU0mXxozn8LUHDPpaM7fjMTgmB5XPCdDQWvjX6NMR_Lb3ExMy8j5wDbP_gsztnj3NKFa4WLEZOwUm_cjcz8dTxrsvBz6QCUbwuCFFFlDLIDf=w1200|https://lh3.googleusercontent.com/pw/AP1GczOp6URPxo7hTpz_JI4I_j4lxyoAyGpR6e3H9D2O5uXi290A-wC7dwPxhbLS8BMezF-UKmsUZQh-oh_iZsGZCAHcAEzOX3JQkWR2xvQoMHYtpFORrUYX=w1200|https://lh3.googleusercontent.com/pw/AP1GczPDFYw7a0tisxFCNzEMJPCwfp_ebw1_M7ihefMMzu1R4tZq7JgUBph963dRNDwt04U4yPJHqjHoUSfHhUEIg4Gl4RE4WEq1j2x8LLX9d1yU2aj_CHZU=w1200|https://lh3.googleusercontent.com/pw/AP1GczMD6JaDMlcw8FsUk8qOyboQKVfis6Hp1oulm60YjuVbjAbZD-MGw0rd3MSmz-KT0Ad8JqFQl79DfeRCEcYdowbGJd-4i83onLUi_m6nbe97lPnAxJ7M=w1200|https://lh3.googleusercontent.com/pw/AP1GczNltMXLjdaT2S-2DD2bYb_unQF3DhIOwLudXPXArEosMC2eB0RItmzNXiqmcTOJG478ChA0khWnqmzHdQ3NXs58-yp99sXWSv_lT5MMj291j-EnENFW=w1200|https://lh3.googleusercontent.com/pw/AP1GczM6ftnJBTT003DGuigxDaGUc9LFgnEMeqk-8-uHAlxRmGaANQOxmlCJSXw8QGjnUtU6T--el07nWXzwGboK3uQvUCFaZTmLIZyymNWhO2Qy8TcjHqUG=w1200|https://lh3.googleusercontent.com/pw/AP1GczPAxI7LWDRPsOehGP7gaz3j1F0ioeaBHIxsmJpz5uTBBbBXPCUj1ZMufsPoZfWvTCmMtEKUme3c1nSO2gajxtbSBURKU0Jtq0qnq1KZ9HCxMGCz1Gr-=w1200|https://lh3.googleusercontent.com/pw/AP1GczMNACl1s53sgm56PMC-QZiZJqHTMXXO2zayou5kVbpT1TLdiCaTdE9xU6elMMXbbJ3QCD5B_6tKKsQ30H2sixYxnAC3Z6XCt61x7O6XBObBS8iz4PPZ=w1200|https://lh3.googleusercontent.com/pw/AP1GczPZzjqGq1r3geRIOFrz22Qg2k9-zrY-3hvuXp7AGvAZ6RMu1JozYAhtoJhO5URuli4C0IjKTjPYGkQhyLhwwuWZ_vlMlaGRSuzVYIrVlzqGt9hrYPk5=w1200|https://lh3.googleusercontent.com/pw/AP1GczNJ8NNAM1LwFdOjDRQXSTUh4E7RYuzpZZeiv9yDDJ0aIRYx1DoI4JQxx7M0SW_vsV40C_2yrCsflTKjhbxleFd9Pfn_w75bsBhgE4YRThBTpMrKpGz4=w1200|https://lh3.googleusercontent.com/pw/AP1GczNPl8dWzDhz4SfS1kf0WztziudFLL7nATaDaNTS83gtKA-MZ9rxHl0oAmhYfhdUDc4ZLlA3vHcbRg6TvGlWx9LsMBTpbKr-AAjozg6SuZG71LnmJGUt=w1200|https://lh3.googleusercontent.com/pw/AP1GczOZVV0l1FVd6bvOLoiGs-rwxtVoZv7ys3mLXD8uFUGH1u-MQHJbaXAZXych4DeUD_GHUw5_qTp-8_em0QqnBkT70x27h_DenLmaBWxtC3GxLhGck311=w1200|https://lh3.googleusercontent.com/pw/AP1GczNM_xLHQg8zMlulK--oRvBssVGIWOgbe9F0G2wZWyCo7riVgE-n1VqTmXZbstAFGMbR-95761kPmDCd20Y5Q083zuq8z2yjhGFM9LA9wleJaapNaqNN=w1200|https://lh3.googleusercontent.com/pw/AP1GczMUJNR9AtiAoZD0EBn3h2PBWSWeLz0W8i-PXxXpTOS1E3TfB7Si2AM6CTEi0-CCxfPKP3kccwKVJmS5G3oHaaXMT-zW7xTCF3KxtCpucMh9_K8Q4nMX=w1200</v>
      </c>
      <c r="AJ578" s="46"/>
      <c r="AK578" s="46"/>
      <c r="AL578" s="46"/>
      <c r="AM578" s="46"/>
      <c r="AN578" s="46"/>
      <c r="AO578" s="46"/>
      <c r="AP578" s="46"/>
      <c r="AQ578" s="46"/>
      <c r="AR578" s="46"/>
      <c r="AS578" s="46"/>
      <c r="AT578" s="46"/>
      <c r="AU578" s="46"/>
      <c r="AV578" s="46"/>
      <c r="AW578" s="46"/>
      <c r="AX578" s="46"/>
      <c r="AY578" s="46"/>
      <c r="AZ578" s="46"/>
      <c r="BA578" s="46"/>
      <c r="BB578" s="46"/>
      <c r="BC578" s="46"/>
      <c r="BD578" s="46"/>
      <c r="BE578" s="46"/>
      <c r="BF578" s="46"/>
      <c r="BG578" s="46"/>
      <c r="BH578" s="46"/>
      <c r="BI578" s="46"/>
      <c r="BJ578" s="46"/>
      <c r="BK578" s="46"/>
      <c r="BL578" s="46"/>
      <c r="BM578" s="46"/>
      <c r="BN578" s="46"/>
      <c r="BO578" s="46"/>
      <c r="BP578" s="46"/>
      <c r="BQ578" s="46"/>
      <c r="BR578" s="46"/>
      <c r="BS578" s="46"/>
      <c r="BT578" s="46"/>
      <c r="BU578" s="46"/>
      <c r="BV578" s="46"/>
      <c r="BW578" s="46"/>
      <c r="BX578" s="46"/>
      <c r="BY578" s="46"/>
      <c r="BZ578" s="46"/>
      <c r="CA578" s="46"/>
      <c r="CB578" s="46"/>
      <c r="CC578" s="46"/>
    </row>
    <row r="579">
      <c r="A579" s="87" t="str">
        <f>IFERROR(__xludf.DUMMYFUNCTION("""COMPUTED_VALUE"""),"397")</f>
        <v>397</v>
      </c>
      <c r="B579" s="46" t="str">
        <f>IFERROR(__xludf.DUMMYFUNCTION("""COMPUTED_VALUE"""),"Casa campestre en La Ulloa")</f>
        <v>Casa campestre en La Ulloa</v>
      </c>
      <c r="C579" s="46" t="str">
        <f>IFERROR(__xludf.DUMMYFUNCTION("""COMPUTED_VALUE"""),"Casa campestre")</f>
        <v>Casa campestre</v>
      </c>
      <c r="D579" s="46"/>
      <c r="E579" s="46"/>
      <c r="F579" s="90">
        <f>IFERROR(__xludf.DUMMYFUNCTION("""COMPUTED_VALUE"""),5.5E8)</f>
        <v>550000000</v>
      </c>
      <c r="G579" s="46" t="str">
        <f>IFERROR(__xludf.DUMMYFUNCTION("""COMPUTED_VALUE"""),"$500'000.000 a $1.000'000.000")</f>
        <v>$500'000.000 a $1.000'000.000</v>
      </c>
      <c r="H579" s="46"/>
      <c r="I579" s="46"/>
      <c r="J579" s="46" t="str">
        <f>IFERROR(__xludf.DUMMYFUNCTION("""COMPUTED_VALUE"""),"Sur")</f>
        <v>Sur</v>
      </c>
      <c r="K579" s="87"/>
      <c r="L579" s="46">
        <f>IFERROR(__xludf.DUMMYFUNCTION("""COMPUTED_VALUE"""),3.0)</f>
        <v>3</v>
      </c>
      <c r="M579" s="46"/>
      <c r="N579" s="46">
        <f>IFERROR(__xludf.DUMMYFUNCTION("""COMPUTED_VALUE"""),4.0)</f>
        <v>4</v>
      </c>
      <c r="O579" s="46">
        <f>IFERROR(__xludf.DUMMYFUNCTION("""COMPUTED_VALUE"""),3.0)</f>
        <v>3</v>
      </c>
      <c r="P579" s="46">
        <f>IFERROR(__xludf.DUMMYFUNCTION("""COMPUTED_VALUE"""),1.0)</f>
        <v>1</v>
      </c>
      <c r="Q579" s="92">
        <f>IFERROR(__xludf.DUMMYFUNCTION("""COMPUTED_VALUE"""),250.0)</f>
        <v>250</v>
      </c>
      <c r="R579" s="92">
        <f>IFERROR(__xludf.DUMMYFUNCTION("""COMPUTED_VALUE"""),350.0)</f>
        <v>350</v>
      </c>
      <c r="S579" s="87" t="str">
        <f>IFERROR(__xludf.DUMMYFUNCTION("""COMPUTED_VALUE""")," ")</f>
        <v> </v>
      </c>
      <c r="T579" s="46" t="str">
        <f>IFERROR(__xludf.DUMMYFUNCTION("""COMPUTED_VALUE"""),"Ulloa")</f>
        <v>Ulloa</v>
      </c>
      <c r="U579" s="87"/>
      <c r="V579" s="46">
        <f>IFERROR(__xludf.DUMMYFUNCTION("""COMPUTED_VALUE"""),0.0)</f>
        <v>0</v>
      </c>
      <c r="W579" s="46"/>
      <c r="X579" s="46">
        <f>IFERROR(__xludf.DUMMYFUNCTION("""COMPUTED_VALUE"""),1.0)</f>
        <v>1</v>
      </c>
      <c r="Y579" s="46" t="str">
        <f>IFERROR(__xludf.DUMMYFUNCTION("""COMPUTED_VALUE"""),"No tiene")</f>
        <v>No tiene</v>
      </c>
      <c r="Z579" s="90" t="str">
        <f>IFERROR(__xludf.DUMMYFUNCTION("""COMPUTED_VALUE"""),"No aplica")</f>
        <v>No aplica</v>
      </c>
      <c r="AA579" s="33" t="str">
        <f>IFERROR(__xludf.DUMMYFUNCTION("""COMPUTED_VALUE"""),"No aplica")</f>
        <v>No aplica</v>
      </c>
      <c r="AB579" s="96" t="str">
        <f>IFERROR(__xludf.DUMMYFUNCTION("""COMPUTED_VALUE"""),"https://photos.app.goo.gl/fCUjtWstEHSnQnfFA")</f>
        <v>https://photos.app.goo.gl/fCUjtWstEHSnQnfFA</v>
      </c>
      <c r="AC579" s="46" t="str">
        <f>IFERROR(__xludf.DUMMYFUNCTION("""COMPUTED_VALUE"""),"Material constructivo la guadua, piso en cerámica y tableta roja, carpinteria metálica y madera.")</f>
        <v>Material constructivo la guadua, piso en cerámica y tableta roja, carpinteria metálica y madera.</v>
      </c>
      <c r="AD579" s="46" t="str">
        <f>IFERROR(__xludf.DUMMYFUNCTION("""COMPUTED_VALUE"""),"Ubicada a 300 ml de la vía principal.")</f>
        <v>Ubicada a 300 ml de la vía principal.</v>
      </c>
      <c r="AE579" s="46"/>
      <c r="AF579" s="46" t="str">
        <f>IFERROR(__xludf.DUMMYFUNCTION("""COMPUTED_VALUE"""),"integral")</f>
        <v>integral</v>
      </c>
      <c r="AG579" s="46"/>
      <c r="AH579" s="46" t="str">
        <f>IFERROR(__xludf.DUMMYFUNCTION("""COMPUTED_VALUE"""),"Aliado")</f>
        <v>Aliado</v>
      </c>
      <c r="AI579" s="92" t="str">
        <f>IFERROR(__xludf.DUMMYFUNCTION("""COMPUTED_VALUE"""),"https://lh3.googleusercontent.com/pw/AP1GczPlEkJhZAWZoglGe__Nn_CX3N2PdNlNmm7p_LFvUdOCnkxVJD04dO7S9Ur0RdfQff4PxCdUnlIawxg2_U1SiOYTg0gQQ0JJtHLuL9VB3eOmgTEqJTP_=w1200|https://lh3.googleusercontent.com/pw/AP1GczNGVKVH1-oYUeOVCXj0mOrEPYFX3owX4Pjir3kch6dubqfoeP"&amp;"5r18SyBPB1VcbUQ71tqOVwqupJsYjWTWsF4M0c952z6_tnuDGuswx4r8wnmBGNXIOj=w1200|https://lh3.googleusercontent.com/pw/AP1GczPcZsboXil5711APhcr851ftjvdT7TSoA0F4XMhj7WqZi3YZK52dY_CpfgqeJ9kWdcLW_xJVwzhB_KyYT20v5W4ZBSy6fb23gBecut-lC-2niJohK9v=w1200|https://lh3.google"&amp;"usercontent.com/pw/AP1GczPtElNvTnm9l2Q0JLSFjIQzfFFbcWe-roejgHm75U33ctsLFec7Hl9y3aMuPgdt1mSsQSEZHIsfHJyl0OMB_8QDZxCa7oDjR-4J9vBMlbYB2EneKKby=w1200|https://lh3.googleusercontent.com/pw/AP1GczO-XfzXnZYLAvM7w5CPjq2S4QKjEUWuvOrcepokntpWWanWBguV-rcP2OoD8hZO9WRS"&amp;"bqWAnvYw2J57DUHCWQs_dnz7ihTj31dIY-Hjf8l6hkLNLMy7=w1200|https://lh3.googleusercontent.com/pw/AP1GczMb4_CYFQIvDsjroELgSjBGCIdARAwmRyeRxsvPtrhvt-iy3CPoaoUaIaQF5QDoHyLOH3jceVWvva-ftD44baZrwZaRigCeMaG99jnpMd81sKT__2Vb=w1200|https://lh3.googleusercontent.com/pw"&amp;"/AP1GczOwqHM4qKKPU0NpGikynGqmrYK43YT8FxXvYtiQ1OBt0NgLZ4klw3VqNx484p0yhPF4DSXSEvYgIgGmQnv35r6l9JyChYbEPRaCBHx_3GNwzkghPlaN=w1200|https://lh3.googleusercontent.com/pw/AP1GczNWFFSOawH6imJ8IiQLoTct4B6otJjx7RKl9pWjL2_5v_CEw7SKslRtSmpE9BqB_uemZKpzOJC6byHGsZLMrf"&amp;"zhwEsEBwFl56nQbvzTGP3W767CTGWm=w1200|https://lh3.googleusercontent.com/pw/AP1GczMDWeSC1OzjarmX_kuOqYXQZzIFxjIGYtP78GkQMZT0hVHWdW-I1ZRqdFJB71FWJaD9N2c5ASLAxZ0Mr8jm1AkXTBtp81rvYaIqnBf4ljw7jB1QllR3=w1200|https://lh3.googleusercontent.com/pw/AP1GczMUHgm65RmAg"&amp;"cBGV0f4quygGNNe8cmqqt_5XpDh9RYV2UPYtZleWoxTnHPhaSaQebmIDsKXQ7F5FmPQgeFJ60FXMYWquHXCdjiPoXXEqLPRzo_NTv3B=w1200|https://lh3.googleusercontent.com/pw/AP1GczMNBrweJFXeac-utX2wSQ9DA5Kli3ZUbDrqHSUDYs09VDRdbyhyHfkkd-J5KiqBnW_nRekWo84UJh2TxF8YnJBrOfMXwlPRoIIwRJuf"&amp;"fXxJueWCZfHl=w1200")</f>
        <v>https://lh3.googleusercontent.com/pw/AP1GczPlEkJhZAWZoglGe__Nn_CX3N2PdNlNmm7p_LFvUdOCnkxVJD04dO7S9Ur0RdfQff4PxCdUnlIawxg2_U1SiOYTg0gQQ0JJtHLuL9VB3eOmgTEqJTP_=w1200|https://lh3.googleusercontent.com/pw/AP1GczNGVKVH1-oYUeOVCXj0mOrEPYFX3owX4Pjir3kch6dubqfoeP5r18SyBPB1VcbUQ71tqOVwqupJsYjWTWsF4M0c952z6_tnuDGuswx4r8wnmBGNXIOj=w1200|https://lh3.googleusercontent.com/pw/AP1GczPcZsboXil5711APhcr851ftjvdT7TSoA0F4XMhj7WqZi3YZK52dY_CpfgqeJ9kWdcLW_xJVwzhB_KyYT20v5W4ZBSy6fb23gBecut-lC-2niJohK9v=w1200|https://lh3.googleusercontent.com/pw/AP1GczPtElNvTnm9l2Q0JLSFjIQzfFFbcWe-roejgHm75U33ctsLFec7Hl9y3aMuPgdt1mSsQSEZHIsfHJyl0OMB_8QDZxCa7oDjR-4J9vBMlbYB2EneKKby=w1200|https://lh3.googleusercontent.com/pw/AP1GczO-XfzXnZYLAvM7w5CPjq2S4QKjEUWuvOrcepokntpWWanWBguV-rcP2OoD8hZO9WRSbqWAnvYw2J57DUHCWQs_dnz7ihTj31dIY-Hjf8l6hkLNLMy7=w1200|https://lh3.googleusercontent.com/pw/AP1GczMb4_CYFQIvDsjroELgSjBGCIdARAwmRyeRxsvPtrhvt-iy3CPoaoUaIaQF5QDoHyLOH3jceVWvva-ftD44baZrwZaRigCeMaG99jnpMd81sKT__2Vb=w1200|https://lh3.googleusercontent.com/pw/AP1GczOwqHM4qKKPU0NpGikynGqmrYK43YT8FxXvYtiQ1OBt0NgLZ4klw3VqNx484p0yhPF4DSXSEvYgIgGmQnv35r6l9JyChYbEPRaCBHx_3GNwzkghPlaN=w1200|https://lh3.googleusercontent.com/pw/AP1GczNWFFSOawH6imJ8IiQLoTct4B6otJjx7RKl9pWjL2_5v_CEw7SKslRtSmpE9BqB_uemZKpzOJC6byHGsZLMrfzhwEsEBwFl56nQbvzTGP3W767CTGWm=w1200|https://lh3.googleusercontent.com/pw/AP1GczMDWeSC1OzjarmX_kuOqYXQZzIFxjIGYtP78GkQMZT0hVHWdW-I1ZRqdFJB71FWJaD9N2c5ASLAxZ0Mr8jm1AkXTBtp81rvYaIqnBf4ljw7jB1QllR3=w1200|https://lh3.googleusercontent.com/pw/AP1GczMUHgm65RmAgcBGV0f4quygGNNe8cmqqt_5XpDh9RYV2UPYtZleWoxTnHPhaSaQebmIDsKXQ7F5FmPQgeFJ60FXMYWquHXCdjiPoXXEqLPRzo_NTv3B=w1200|https://lh3.googleusercontent.com/pw/AP1GczMNBrweJFXeac-utX2wSQ9DA5Kli3ZUbDrqHSUDYs09VDRdbyhyHfkkd-J5KiqBnW_nRekWo84UJh2TxF8YnJBrOfMXwlPRoIIwRJuffXxJueWCZfHl=w1200</v>
      </c>
      <c r="AJ579" s="46"/>
      <c r="AK579" s="46"/>
      <c r="AL579" s="46"/>
      <c r="AM579" s="46"/>
      <c r="AN579" s="46"/>
      <c r="AO579" s="46"/>
      <c r="AP579" s="46"/>
      <c r="AQ579" s="46"/>
      <c r="AR579" s="46"/>
      <c r="AS579" s="46"/>
      <c r="AT579" s="46"/>
      <c r="AU579" s="46"/>
      <c r="AV579" s="46"/>
      <c r="AW579" s="46"/>
      <c r="AX579" s="46"/>
      <c r="AY579" s="46"/>
      <c r="AZ579" s="46"/>
      <c r="BA579" s="46"/>
      <c r="BB579" s="46"/>
      <c r="BC579" s="46"/>
      <c r="BD579" s="46"/>
      <c r="BE579" s="46"/>
      <c r="BF579" s="46"/>
      <c r="BG579" s="46"/>
      <c r="BH579" s="46"/>
      <c r="BI579" s="46"/>
      <c r="BJ579" s="46"/>
      <c r="BK579" s="46"/>
      <c r="BL579" s="46"/>
      <c r="BM579" s="46"/>
      <c r="BN579" s="46"/>
      <c r="BO579" s="46"/>
      <c r="BP579" s="46"/>
      <c r="BQ579" s="46"/>
      <c r="BR579" s="46"/>
      <c r="BS579" s="46"/>
      <c r="BT579" s="46"/>
      <c r="BU579" s="46"/>
      <c r="BV579" s="46"/>
      <c r="BW579" s="46"/>
      <c r="BX579" s="46"/>
      <c r="BY579" s="46"/>
      <c r="BZ579" s="46"/>
      <c r="CA579" s="46"/>
      <c r="CB579" s="46"/>
      <c r="CC579" s="46"/>
    </row>
    <row r="580">
      <c r="A580" s="87" t="str">
        <f>IFERROR(__xludf.DUMMYFUNCTION("""COMPUTED_VALUE"""),"829")</f>
        <v>829</v>
      </c>
      <c r="B580" s="46" t="str">
        <f>IFERROR(__xludf.DUMMYFUNCTION("""COMPUTED_VALUE"""),"Finca arrocera -  El Juncal ")</f>
        <v>Finca arrocera -  El Juncal </v>
      </c>
      <c r="C580" s="46" t="str">
        <f>IFERROR(__xludf.DUMMYFUNCTION("""COMPUTED_VALUE"""),"Finca")</f>
        <v>Finca</v>
      </c>
      <c r="D580" s="46"/>
      <c r="E580" s="46"/>
      <c r="F580" s="90">
        <f>IFERROR(__xludf.DUMMYFUNCTION("""COMPUTED_VALUE"""),4.9E8)</f>
        <v>490000000</v>
      </c>
      <c r="G580" s="46" t="str">
        <f>IFERROR(__xludf.DUMMYFUNCTION("""COMPUTED_VALUE"""),"$400'000.000 a $500'000.000")</f>
        <v>$400'000.000 a $500'000.000</v>
      </c>
      <c r="H580" s="46"/>
      <c r="I580" s="46"/>
      <c r="J580" s="46" t="str">
        <f>IFERROR(__xludf.DUMMYFUNCTION("""COMPUTED_VALUE"""),"Sur")</f>
        <v>Sur</v>
      </c>
      <c r="K580" s="87"/>
      <c r="L580" s="46">
        <f>IFERROR(__xludf.DUMMYFUNCTION("""COMPUTED_VALUE"""),2.0)</f>
        <v>2</v>
      </c>
      <c r="M580" s="46"/>
      <c r="N580" s="46">
        <f>IFERROR(__xludf.DUMMYFUNCTION("""COMPUTED_VALUE"""),1.0)</f>
        <v>1</v>
      </c>
      <c r="O580" s="46">
        <f>IFERROR(__xludf.DUMMYFUNCTION("""COMPUTED_VALUE"""),1.0)</f>
        <v>1</v>
      </c>
      <c r="P580" s="46">
        <f>IFERROR(__xludf.DUMMYFUNCTION("""COMPUTED_VALUE"""),1.0)</f>
        <v>1</v>
      </c>
      <c r="Q580" s="92">
        <f>IFERROR(__xludf.DUMMYFUNCTION("""COMPUTED_VALUE"""),90.0)</f>
        <v>90</v>
      </c>
      <c r="R580" s="92">
        <f>IFERROR(__xludf.DUMMYFUNCTION("""COMPUTED_VALUE"""),20000.0)</f>
        <v>20000</v>
      </c>
      <c r="S580" s="87" t="str">
        <f>IFERROR(__xludf.DUMMYFUNCTION("""COMPUTED_VALUE""")," ")</f>
        <v> </v>
      </c>
      <c r="T580" s="46" t="str">
        <f>IFERROR(__xludf.DUMMYFUNCTION("""COMPUTED_VALUE"""),"El Juncal")</f>
        <v>El Juncal</v>
      </c>
      <c r="U580" s="87"/>
      <c r="V580" s="46"/>
      <c r="W580" s="46"/>
      <c r="X580" s="46">
        <f>IFERROR(__xludf.DUMMYFUNCTION("""COMPUTED_VALUE"""),2.0)</f>
        <v>2</v>
      </c>
      <c r="Y580" s="46" t="str">
        <f>IFERROR(__xludf.DUMMYFUNCTION("""COMPUTED_VALUE"""),"No tiene")</f>
        <v>No tiene</v>
      </c>
      <c r="Z580" s="90" t="str">
        <f>IFERROR(__xludf.DUMMYFUNCTION("""COMPUTED_VALUE"""),"No aplica")</f>
        <v>No aplica</v>
      </c>
      <c r="AA580" s="33" t="str">
        <f>IFERROR(__xludf.DUMMYFUNCTION("""COMPUTED_VALUE"""),"No aplica")</f>
        <v>No aplica</v>
      </c>
      <c r="AB580" s="96" t="str">
        <f>IFERROR(__xludf.DUMMYFUNCTION("""COMPUTED_VALUE"""),"https://photos.app.goo.gl/9NMMQpnA1siP9d3o9")</f>
        <v>https://photos.app.goo.gl/9NMMQpnA1siP9d3o9</v>
      </c>
      <c r="AC580" s="46" t="str">
        <f>IFERROR(__xludf.DUMMYFUNCTION("""COMPUTED_VALUE"""),"Cuenta con: Agua. Energía. Casa Distribución: 2 habitaciones, baño, cocina, zona de lavandería. Area: 20.000m².")</f>
        <v>Cuenta con: Agua. Energía. Casa Distribución: 2 habitaciones, baño, cocina, zona de lavandería. Area: 20.000m².</v>
      </c>
      <c r="AD580" s="46" t="str">
        <f>IFERROR(__xludf.DUMMYFUNCTION("""COMPUTED_VALUE"""),"El terreno es adecuado para el cultivo de arroz. Cuenta con buen agua.")</f>
        <v>El terreno es adecuado para el cultivo de arroz. Cuenta con buen agua.</v>
      </c>
      <c r="AE580" s="46"/>
      <c r="AF580" s="46" t="str">
        <f>IFERROR(__xludf.DUMMYFUNCTION("""COMPUTED_VALUE"""),"básica")</f>
        <v>básica</v>
      </c>
      <c r="AG580" s="46"/>
      <c r="AH580" s="46" t="str">
        <f>IFERROR(__xludf.DUMMYFUNCTION("""COMPUTED_VALUE"""),"Aliado")</f>
        <v>Aliado</v>
      </c>
      <c r="AI580" s="92" t="str">
        <f>IFERROR(__xludf.DUMMYFUNCTION("""COMPUTED_VALUE"""),"https://lh3.googleusercontent.com/pw/AP1GczMFJm_rregBBWAYg_6C-3AMp7h4Sc_dmZEgCErJwMbz7wyJoE0LG9HOlJ7KiYf271KMOlVgxIBDjNShI_o-EiHzn4ApyqNHXu4qOdng7-5yGYUbIGgF=w1200|https://lh3.googleusercontent.com/pw/AP1GczOvl2kA0MMw2YHRWKVOgzCD9qrOuLVHEZV_Zp8eFERUOKI2k2"&amp;"ZjoMrUZrJo0Cyi_4yDq9DLWcYFoN0CjFIiFP6nDM6vLGyJERB932-VsFkME2zTeRA4=w1200|https://lh3.googleusercontent.com/pw/AP1GczMHEuRPM-7x1FFR0e0pQVvZCNLNgX3LfFAiKIjzafYX9l-zsu7LEMiF-8Y9iFiIa3OYloWr1gq8atXBKHT936ZRN9J55SpjMZ-9FphYbPQSy0harAIC=w1200|https://lh3.google"&amp;"usercontent.com/pw/AP1GczPF3tEuCKZQS-kVy9BOTAUtIGLLNe5jI84c_YvdmQ0j5roxR0KkPoC7Y7bpjhwhNhnPPE6TkgM5guxOkSHJTZp6zcWKYf02972oF2zl5rY-z8oZh2wO=w1200|https://lh3.googleusercontent.com/pw/AP1GczPvU1Tb4q2dRJEQV_If6d6-IOerP_6CcT7GH9D-XzW5aT2aOMBHZq16XDNvYTwcuP0n"&amp;"8ChDYykoCLyeKrQOT5tCGVJKTX4zSW_MHMoFyG83ZXFlr-Jq=w1200|https://lh3.googleusercontent.com/pw/AP1GczPCgmOycJpYJWxgLQR5iV6fZFY_mo4fmzlco0ZGt1nZKVPCCjXQIRnSeAwjC4WNZw6vTejx5S82rU-hf5HulemUCdzZQwaIM4WkEYmE-jbMQUrjVhwF=w1200|https://lh3.googleusercontent.com/pw"&amp;"/AP1GczNCKNugHnQjk_Ngxr0yuBbZk_FFMQo_TVR56_1mk6ewOXIH9KrHzBwEExsgkmP6oXZE68o_htUIht8Yn7W-A3GSQ25faEu7LyDMOW5E_6HsCuoaIPRY=w1200|https://lh3.googleusercontent.com/pw/AP1GczMEx3dodQqa4gNCponHMA2_BY6fEvefnksjOOAcyKI-HhJWfH-AaIniC8CEwqHwe3tOcVpVCnq7sk_-CCoYb3"&amp;"eYJsSM_KUEv99aq6vQ5eMt5yWatuXK=w1200")</f>
        <v>https://lh3.googleusercontent.com/pw/AP1GczMFJm_rregBBWAYg_6C-3AMp7h4Sc_dmZEgCErJwMbz7wyJoE0LG9HOlJ7KiYf271KMOlVgxIBDjNShI_o-EiHzn4ApyqNHXu4qOdng7-5yGYUbIGgF=w1200|https://lh3.googleusercontent.com/pw/AP1GczOvl2kA0MMw2YHRWKVOgzCD9qrOuLVHEZV_Zp8eFERUOKI2k2ZjoMrUZrJo0Cyi_4yDq9DLWcYFoN0CjFIiFP6nDM6vLGyJERB932-VsFkME2zTeRA4=w1200|https://lh3.googleusercontent.com/pw/AP1GczMHEuRPM-7x1FFR0e0pQVvZCNLNgX3LfFAiKIjzafYX9l-zsu7LEMiF-8Y9iFiIa3OYloWr1gq8atXBKHT936ZRN9J55SpjMZ-9FphYbPQSy0harAIC=w1200|https://lh3.googleusercontent.com/pw/AP1GczPF3tEuCKZQS-kVy9BOTAUtIGLLNe5jI84c_YvdmQ0j5roxR0KkPoC7Y7bpjhwhNhnPPE6TkgM5guxOkSHJTZp6zcWKYf02972oF2zl5rY-z8oZh2wO=w1200|https://lh3.googleusercontent.com/pw/AP1GczPvU1Tb4q2dRJEQV_If6d6-IOerP_6CcT7GH9D-XzW5aT2aOMBHZq16XDNvYTwcuP0n8ChDYykoCLyeKrQOT5tCGVJKTX4zSW_MHMoFyG83ZXFlr-Jq=w1200|https://lh3.googleusercontent.com/pw/AP1GczPCgmOycJpYJWxgLQR5iV6fZFY_mo4fmzlco0ZGt1nZKVPCCjXQIRnSeAwjC4WNZw6vTejx5S82rU-hf5HulemUCdzZQwaIM4WkEYmE-jbMQUrjVhwF=w1200|https://lh3.googleusercontent.com/pw/AP1GczNCKNugHnQjk_Ngxr0yuBbZk_FFMQo_TVR56_1mk6ewOXIH9KrHzBwEExsgkmP6oXZE68o_htUIht8Yn7W-A3GSQ25faEu7LyDMOW5E_6HsCuoaIPRY=w1200|https://lh3.googleusercontent.com/pw/AP1GczMEx3dodQqa4gNCponHMA2_BY6fEvefnksjOOAcyKI-HhJWfH-AaIniC8CEwqHwe3tOcVpVCnq7sk_-CCoYb3eYJsSM_KUEv99aq6vQ5eMt5yWatuXK=w1200</v>
      </c>
      <c r="AJ580" s="46"/>
      <c r="AK580" s="46"/>
      <c r="AL580" s="46"/>
      <c r="AM580" s="46"/>
      <c r="AN580" s="46"/>
      <c r="AO580" s="46"/>
      <c r="AP580" s="46"/>
      <c r="AQ580" s="46"/>
      <c r="AR580" s="46"/>
      <c r="AS580" s="46"/>
      <c r="AT580" s="46"/>
      <c r="AU580" s="46"/>
      <c r="AV580" s="46"/>
      <c r="AW580" s="46"/>
      <c r="AX580" s="46"/>
      <c r="AY580" s="46"/>
      <c r="AZ580" s="46"/>
      <c r="BA580" s="46"/>
      <c r="BB580" s="46"/>
      <c r="BC580" s="46"/>
      <c r="BD580" s="46"/>
      <c r="BE580" s="46"/>
      <c r="BF580" s="46"/>
      <c r="BG580" s="46"/>
      <c r="BH580" s="46"/>
      <c r="BI580" s="46"/>
      <c r="BJ580" s="46"/>
      <c r="BK580" s="46"/>
      <c r="BL580" s="46"/>
      <c r="BM580" s="46"/>
      <c r="BN580" s="46"/>
      <c r="BO580" s="46"/>
      <c r="BP580" s="46"/>
      <c r="BQ580" s="46"/>
      <c r="BR580" s="46"/>
      <c r="BS580" s="46"/>
      <c r="BT580" s="46"/>
      <c r="BU580" s="46"/>
      <c r="BV580" s="46"/>
      <c r="BW580" s="46"/>
      <c r="BX580" s="46"/>
      <c r="BY580" s="46"/>
      <c r="BZ580" s="46"/>
      <c r="CA580" s="46"/>
      <c r="CB580" s="46"/>
      <c r="CC580" s="46"/>
    </row>
    <row r="581">
      <c r="A581" s="87" t="str">
        <f>IFERROR(__xludf.DUMMYFUNCTION("""COMPUTED_VALUE"""),"426")</f>
        <v>426</v>
      </c>
      <c r="B581" s="46" t="str">
        <f>IFERROR(__xludf.DUMMYFUNCTION("""COMPUTED_VALUE"""),"Casa en barrio Calixto")</f>
        <v>Casa en barrio Calixto</v>
      </c>
      <c r="C581" s="46" t="str">
        <f>IFERROR(__xludf.DUMMYFUNCTION("""COMPUTED_VALUE"""),"Casa")</f>
        <v>Casa</v>
      </c>
      <c r="D581" s="90" t="str">
        <f>IFERROR(__xludf.DUMMYFUNCTION("""COMPUTED_VALUE"""),"Calixto")</f>
        <v>Calixto</v>
      </c>
      <c r="E581" s="46"/>
      <c r="F581" s="90">
        <f>IFERROR(__xludf.DUMMYFUNCTION("""COMPUTED_VALUE"""),4.5E8)</f>
        <v>450000000</v>
      </c>
      <c r="G581" s="46" t="str">
        <f>IFERROR(__xludf.DUMMYFUNCTION("""COMPUTED_VALUE"""),"$400'000.000 a $500'000.000")</f>
        <v>$400'000.000 a $500'000.000</v>
      </c>
      <c r="H581" s="46"/>
      <c r="I581" s="46"/>
      <c r="J581" s="46" t="str">
        <f>IFERROR(__xludf.DUMMYFUNCTION("""COMPUTED_VALUE"""),"Centro")</f>
        <v>Centro</v>
      </c>
      <c r="K581" s="87" t="str">
        <f>IFERROR(__xludf.DUMMYFUNCTION("""COMPUTED_VALUE"""),"7")</f>
        <v>7</v>
      </c>
      <c r="L581" s="46">
        <f>IFERROR(__xludf.DUMMYFUNCTION("""COMPUTED_VALUE"""),6.0)</f>
        <v>6</v>
      </c>
      <c r="M581" s="46"/>
      <c r="N581" s="46">
        <f>IFERROR(__xludf.DUMMYFUNCTION("""COMPUTED_VALUE"""),5.0)</f>
        <v>5</v>
      </c>
      <c r="O581" s="46">
        <f>IFERROR(__xludf.DUMMYFUNCTION("""COMPUTED_VALUE"""),1.0)</f>
        <v>1</v>
      </c>
      <c r="P581" s="46">
        <f>IFERROR(__xludf.DUMMYFUNCTION("""COMPUTED_VALUE"""),2.0)</f>
        <v>2</v>
      </c>
      <c r="Q581" s="92"/>
      <c r="R581" s="92">
        <f>IFERROR(__xludf.DUMMYFUNCTION("""COMPUTED_VALUE"""),161.0)</f>
        <v>161</v>
      </c>
      <c r="S581" s="87" t="str">
        <f>IFERROR(__xludf.DUMMYFUNCTION("""COMPUTED_VALUE""")," ")</f>
        <v> </v>
      </c>
      <c r="T581" s="46" t="str">
        <f>IFERROR(__xludf.DUMMYFUNCTION("""COMPUTED_VALUE"""),"Neiva")</f>
        <v>Neiva</v>
      </c>
      <c r="U581" s="87" t="str">
        <f>IFERROR(__xludf.DUMMYFUNCTION("""COMPUTED_VALUE"""),"3")</f>
        <v>3</v>
      </c>
      <c r="V581" s="46" t="str">
        <f>IFERROR(__xludf.DUMMYFUNCTION("""COMPUTED_VALUE"""),"Medianera")</f>
        <v>Medianera</v>
      </c>
      <c r="W581" s="46"/>
      <c r="X581" s="46">
        <f>IFERROR(__xludf.DUMMYFUNCTION("""COMPUTED_VALUE"""),6.0)</f>
        <v>6</v>
      </c>
      <c r="Y581" s="46" t="str">
        <f>IFERROR(__xludf.DUMMYFUNCTION("""COMPUTED_VALUE"""),"No tiene")</f>
        <v>No tiene</v>
      </c>
      <c r="Z581" s="90" t="str">
        <f>IFERROR(__xludf.DUMMYFUNCTION("""COMPUTED_VALUE"""),"No aplica")</f>
        <v>No aplica</v>
      </c>
      <c r="AA581" s="33" t="str">
        <f>IFERROR(__xludf.DUMMYFUNCTION("""COMPUTED_VALUE"""),"No aplica")</f>
        <v>No aplica</v>
      </c>
      <c r="AB581" s="144" t="str">
        <f>IFERROR(__xludf.DUMMYFUNCTION("""COMPUTED_VALUE"""),"https://photos.app.goo.gl/un7tmg3uPkrvrHgF7")</f>
        <v>https://photos.app.goo.gl/un7tmg3uPkrvrHgF7</v>
      </c>
      <c r="AC581" s="46"/>
      <c r="AD581" s="46"/>
      <c r="AE581" s="46"/>
      <c r="AF581" s="46" t="str">
        <f>IFERROR(__xludf.DUMMYFUNCTION("""COMPUTED_VALUE"""),"integral")</f>
        <v>integral</v>
      </c>
      <c r="AG581" s="46"/>
      <c r="AH581" s="46" t="str">
        <f>IFERROR(__xludf.DUMMYFUNCTION("""COMPUTED_VALUE"""),"Aliado")</f>
        <v>Aliado</v>
      </c>
      <c r="AI581" s="92" t="str">
        <f>IFERROR(__xludf.DUMMYFUNCTION("""COMPUTED_VALUE"""),"https://lh3.googleusercontent.com/pw/AP1GczNZ6jCZmRslNexbbGCSljz6cBmSwM_LUp7IVBF_iTf5UV9mVt75qIe_vIA10ivkBBm1JtIxDDO_Hwo89sLoEAxTifi1uiUM71rUDHsMqmZGBJ4Rk-4V=w1200|https://lh3.googleusercontent.com/pw/AP1GczMjaMTEVlqgHOd3dtRVHKVIpA8vaB46TtLu3lnWv3Eoc6TIK4"&amp;"Jdx6tgLcC3rpDJ9KIIV-QjaJOzWh3BY8kxJLKjIVpdgSUiYKV_yh2tyU637DYgjEYH=w1200|https://lh3.googleusercontent.com/pw/AP1GczMueo_7YtvUt9GCLE7is4IU8AXQlJIhLSLBja-QcpVi-TFgI6VYGAAqsfmfLhl-LIU2oDRZMrtdiq4P1X6VnMZ4k19dc7Z9XsH341nn09IBkbHmzJDb=w1200|https://lh3.google"&amp;"usercontent.com/pw/AP1GczPhFpics1Q3-h8STuqbeheD8CRqPvczE03tMIx7E-OWz7FD1bi2eO1OiwTowdMOFViW4A6Bz8Ws8r6LDyHrJD84KCuLniKKwdXY_BEO1RpEybaids2c=w1200|https://lh3.googleusercontent.com/pw/AP1GczNKqtx3pOQMFAUiMtGixk0WAl-_1_AJwqB0qwfn26NT1pMztt0p6d9U93MzCDucQrnN"&amp;"f5spepiWDOneWF9sZmRj9lodl_4HdrUhRPFGRBpim96KyfIm=w1200|https://lh3.googleusercontent.com/pw/AP1GczNd2Vz0Y_gIBQb0FV7--J_R1Ko-ieKagrSIF3NLQdnu79MUNK5HC8WFtYHXJfyiarA1_ub5wRC762c8P0-QmvxP5ywklBgD7T6MNWZdH8mEYyL0Ilf5=w1200|https://lh3.googleusercontent.com/pw"&amp;"/AP1GczOSDYkqu7x5oRdTZ4yM8-SvgX36cNGtJVmSKh1VMLi2nuXDdlW_ayP2dhr5MnmaPmPu1O6tXI36jMXToEf5-ca5Oj5ulBO8LXin5edhAUANz7IvFr4r=w1200|https://lh3.googleusercontent.com/pw/AP1GczM5ZHiSj3KgBG0r-QSVF02ZZvbS03j-CAclcfgSLeFZO8ZQaKwqcITXrTnTWKY0nbWyeP160cntpXfo_PhU3w"&amp;"E-HXIFqP29CuzMX9DWM6gxnGTkRUiG=w1200|https://lh3.googleusercontent.com/pw/AP1GczP1zPglT85-dFQfmKkKqhquTnps3CEda5LJnhCZiF7al1nHoy_cKWiHe3-a9p-NgrNbtAsm8dHdpZTmvhqgCFsAtZ0wdzT9qLOjo8fmnmIotdhpyefF=w1200|https://lh3.googleusercontent.com/pw/AP1GczNhKZEv3s_Kh"&amp;"EGwWGsXP_0jT72eEVIkTIwbp6IOMJRFKI2vu8zQUwyWn81CPMxtfoj5EhEk_0rgXWPHNeKKXAOONqRsEAKegcQoui8Oec29rIfeqgOq=w1200|https://lh3.googleusercontent.com/pw/AP1GczP09tYXSJZO02n5E0GcfywiQvoIKIkeFmBxB_ZA7q2AeZ67j2qMTaZOvX7QrWUQffGd4Q-vcIfLUpX8x8YxYLI3UnDDyq9TIF3vHx-O"&amp;"Kzi-B8z1PjK_=w1200|https://lh3.googleusercontent.com/pw/AP1GczM8pMSR9pAE0G1jglx5CaSYEBjvA6m1kTqhZoAUEdkA1nLOQU0HwcxEqH6t6Woogtglu53uMZDmxs6kHHY-SFPGUfTmGCunoDtQLOzXtOWuJqUNCn_z=w1200|https://lh3.googleusercontent.com/pw/AP1GczMCAhaAaxMRsEmrbGS47gc24ei_cbA"&amp;"CQ-LOoNMp9_pX5lGGXSLfpI3ltKHwiY0FMEqtqsXAFDs389lWAOB-H_OQs1ivK1Mx2ZXcKnIWfVuLXCrZ8C6g=w1200|https://lh3.googleusercontent.com/pw/AP1GczMEQrzg4PDvGjgTvfsaUwM4QT11CDpGYDj_SUzyS0SkpnjYlPbEFKiWr4wYQcSQnlIPmiP3a0n0tpueBLI6AvEtzH8fJ3qOOOJazYTOCGA1Z1Ga4noW=w1200"&amp;"|https://lh3.googleusercontent.com/pw/AP1GczPJ7FIZyLCrFPvlaRwJhNR9Y-de-TQIRyTJZ7aYHkNuHTlheijBWXpPZ2_N98Gp17U88FtLttD4zjI9e30jmxu6UrYpT45xW7Sz7t34s93EnLkMgMZe=w1200|https://lh3.googleusercontent.com/pw/AP1GczMdjxT-Yq-FcZ-E-IGRktgxiIQ30oAqus11HIVIg7bDdZgfz"&amp;"qkg8-QVsnBJOAZBMEi3nMSdce90hCeLJLTzaII7U1YDgqlbH_FAzBr_r-Mj3oOZnKDM=w1200|https://lh3.googleusercontent.com/pw/AP1GczOGbfRqjWu6_ilFzVDSmuF7vCNu7kODitnRp_m7riRA3Q9at1nLmBxAIkFdOcuc9DqvDzoEKgI4rnCR3tn4kUUV8Q91eHSdXpJzvR7zNOElLoFLK1SX=w1200|https://lh3.googl"&amp;"eusercontent.com/pw/AP1GczPnDi8NmRotUorqmWxUAgmQ3ldHD2dVZAgNqSE_ZgQRQ0z7BEcdUIpHeYFbxaS4SpnwH5aGA32AywISohYgNiZIWIg6Rons_ao0CMkPFII3G1MJ2i1z=w1200|https://lh3.googleusercontent.com/pw/AP1GczPJeFzqJz8kXeVWL8S4ti7ZWON9lXklfJNRxny9Jg00wUtCaZWteGjiplOHsjrJQ_5"&amp;"4Zue2kizgRTAXxiF7STR4QIwsICts5V_aytq7QeN9l_lmcMbV=w1200|https://lh3.googleusercontent.com/pw/AP1GczMdHahsjn-YVRckPDx5BEdFCKNb1WP45CLymT1vyxTL6uv8gWLaUoDAGnTuli95C3TnOVgqRqnsyva8SX9Xa2e1AQpli76asheQo8Cj3cNQ7o1XX_qb=w1200|https://lh3.googleusercontent.com/p"&amp;"w/AP1GczOx_ANg8a4mQM3zDaz_ovamUBsqBRRabpon4rQMfRo9eWNM5PRuFdRHUvMzKpU36A4suepac4-T4dv1-RS-7Fts8j88nynAkCHLIvVX7yE08YB9bzoT=w1200|https://lh3.googleusercontent.com/pw/AP1GczPF0AsVz6xKSvanxqLlQnAuhkC45r_kRvHqBB87_rXroRXhm4k9zqrKq0a7gscs7Jk8dpYTf6fV4jp0Mu7qO"&amp;"vJjO1kNDiqaL6WhUNPf7zpXD9kFEDSD=w1200|https://lh3.googleusercontent.com/pw/AP1GczOBwbdEGd9JBqYJOWZ7dUPEkksmJwvmauyCqPxvSgIOiuV-Rvw1V8klwvX5D1QuWTZmJccf62zIe4bwuSPzguCJNOFQ49Z6EtRZd_WdoxDM7MLhLiIc=w1200|https://lh3.googleusercontent.com/pw/AP1GczPc-6mF8Ekg"&amp;"9VIOifJhbaOizzTbP9CIzaoY6i2pGFlWRhRFbP2_2iPvzKdMKXKVUAefjz5i1qtCsy4sgdmamvKokAL560FJSupmkRT4MwNgwlKUVHsR=w1200|https://lh3.googleusercontent.com/pw/AP1GczN9sIbgt9RAGbO7aBAvkS7yjp3Aw0CY3Ei01_DBrDt6FDAgrtWb1qWpKEzwG5ccBxwitpXhvvSGwms5xiIvxF6DtlziPmEW2F-Zn_J"&amp;"uMS-4Vs9-0rM4=w1200|https://lh3.googleusercontent.com/pw/AP1GczMnXjvUkQr_rsHc2dHBZjPU1YW7BjNBKtZR2GrO169bMKwRouW-qfeSrPdN5UI0tQ7VUuzW7Cb5PM0o6bNQ5mA2f979rzPV82_e45drYQO1amqJNccO=w1200")</f>
        <v>https://lh3.googleusercontent.com/pw/AP1GczNZ6jCZmRslNexbbGCSljz6cBmSwM_LUp7IVBF_iTf5UV9mVt75qIe_vIA10ivkBBm1JtIxDDO_Hwo89sLoEAxTifi1uiUM71rUDHsMqmZGBJ4Rk-4V=w1200|https://lh3.googleusercontent.com/pw/AP1GczMjaMTEVlqgHOd3dtRVHKVIpA8vaB46TtLu3lnWv3Eoc6TIK4Jdx6tgLcC3rpDJ9KIIV-QjaJOzWh3BY8kxJLKjIVpdgSUiYKV_yh2tyU637DYgjEYH=w1200|https://lh3.googleusercontent.com/pw/AP1GczMueo_7YtvUt9GCLE7is4IU8AXQlJIhLSLBja-QcpVi-TFgI6VYGAAqsfmfLhl-LIU2oDRZMrtdiq4P1X6VnMZ4k19dc7Z9XsH341nn09IBkbHmzJDb=w1200|https://lh3.googleusercontent.com/pw/AP1GczPhFpics1Q3-h8STuqbeheD8CRqPvczE03tMIx7E-OWz7FD1bi2eO1OiwTowdMOFViW4A6Bz8Ws8r6LDyHrJD84KCuLniKKwdXY_BEO1RpEybaids2c=w1200|https://lh3.googleusercontent.com/pw/AP1GczNKqtx3pOQMFAUiMtGixk0WAl-_1_AJwqB0qwfn26NT1pMztt0p6d9U93MzCDucQrnNf5spepiWDOneWF9sZmRj9lodl_4HdrUhRPFGRBpim96KyfIm=w1200|https://lh3.googleusercontent.com/pw/AP1GczNd2Vz0Y_gIBQb0FV7--J_R1Ko-ieKagrSIF3NLQdnu79MUNK5HC8WFtYHXJfyiarA1_ub5wRC762c8P0-QmvxP5ywklBgD7T6MNWZdH8mEYyL0Ilf5=w1200|https://lh3.googleusercontent.com/pw/AP1GczOSDYkqu7x5oRdTZ4yM8-SvgX36cNGtJVmSKh1VMLi2nuXDdlW_ayP2dhr5MnmaPmPu1O6tXI36jMXToEf5-ca5Oj5ulBO8LXin5edhAUANz7IvFr4r=w1200|https://lh3.googleusercontent.com/pw/AP1GczM5ZHiSj3KgBG0r-QSVF02ZZvbS03j-CAclcfgSLeFZO8ZQaKwqcITXrTnTWKY0nbWyeP160cntpXfo_PhU3wE-HXIFqP29CuzMX9DWM6gxnGTkRUiG=w1200|https://lh3.googleusercontent.com/pw/AP1GczP1zPglT85-dFQfmKkKqhquTnps3CEda5LJnhCZiF7al1nHoy_cKWiHe3-a9p-NgrNbtAsm8dHdpZTmvhqgCFsAtZ0wdzT9qLOjo8fmnmIotdhpyefF=w1200|https://lh3.googleusercontent.com/pw/AP1GczNhKZEv3s_KhEGwWGsXP_0jT72eEVIkTIwbp6IOMJRFKI2vu8zQUwyWn81CPMxtfoj5EhEk_0rgXWPHNeKKXAOONqRsEAKegcQoui8Oec29rIfeqgOq=w1200|https://lh3.googleusercontent.com/pw/AP1GczP09tYXSJZO02n5E0GcfywiQvoIKIkeFmBxB_ZA7q2AeZ67j2qMTaZOvX7QrWUQffGd4Q-vcIfLUpX8x8YxYLI3UnDDyq9TIF3vHx-OKzi-B8z1PjK_=w1200|https://lh3.googleusercontent.com/pw/AP1GczM8pMSR9pAE0G1jglx5CaSYEBjvA6m1kTqhZoAUEdkA1nLOQU0HwcxEqH6t6Woogtglu53uMZDmxs6kHHY-SFPGUfTmGCunoDtQLOzXtOWuJqUNCn_z=w1200|https://lh3.googleusercontent.com/pw/AP1GczMCAhaAaxMRsEmrbGS47gc24ei_cbACQ-LOoNMp9_pX5lGGXSLfpI3ltKHwiY0FMEqtqsXAFDs389lWAOB-H_OQs1ivK1Mx2ZXcKnIWfVuLXCrZ8C6g=w1200|https://lh3.googleusercontent.com/pw/AP1GczMEQrzg4PDvGjgTvfsaUwM4QT11CDpGYDj_SUzyS0SkpnjYlPbEFKiWr4wYQcSQnlIPmiP3a0n0tpueBLI6AvEtzH8fJ3qOOOJazYTOCGA1Z1Ga4noW=w1200|https://lh3.googleusercontent.com/pw/AP1GczPJ7FIZyLCrFPvlaRwJhNR9Y-de-TQIRyTJZ7aYHkNuHTlheijBWXpPZ2_N98Gp17U88FtLttD4zjI9e30jmxu6UrYpT45xW7Sz7t34s93EnLkMgMZe=w1200|https://lh3.googleusercontent.com/pw/AP1GczMdjxT-Yq-FcZ-E-IGRktgxiIQ30oAqus11HIVIg7bDdZgfzqkg8-QVsnBJOAZBMEi3nMSdce90hCeLJLTzaII7U1YDgqlbH_FAzBr_r-Mj3oOZnKDM=w1200|https://lh3.googleusercontent.com/pw/AP1GczOGbfRqjWu6_ilFzVDSmuF7vCNu7kODitnRp_m7riRA3Q9at1nLmBxAIkFdOcuc9DqvDzoEKgI4rnCR3tn4kUUV8Q91eHSdXpJzvR7zNOElLoFLK1SX=w1200|https://lh3.googleusercontent.com/pw/AP1GczPnDi8NmRotUorqmWxUAgmQ3ldHD2dVZAgNqSE_ZgQRQ0z7BEcdUIpHeYFbxaS4SpnwH5aGA32AywISohYgNiZIWIg6Rons_ao0CMkPFII3G1MJ2i1z=w1200|https://lh3.googleusercontent.com/pw/AP1GczPJeFzqJz8kXeVWL8S4ti7ZWON9lXklfJNRxny9Jg00wUtCaZWteGjiplOHsjrJQ_54Zue2kizgRTAXxiF7STR4QIwsICts5V_aytq7QeN9l_lmcMbV=w1200|https://lh3.googleusercontent.com/pw/AP1GczMdHahsjn-YVRckPDx5BEdFCKNb1WP45CLymT1vyxTL6uv8gWLaUoDAGnTuli95C3TnOVgqRqnsyva8SX9Xa2e1AQpli76asheQo8Cj3cNQ7o1XX_qb=w1200|https://lh3.googleusercontent.com/pw/AP1GczOx_ANg8a4mQM3zDaz_ovamUBsqBRRabpon4rQMfRo9eWNM5PRuFdRHUvMzKpU36A4suepac4-T4dv1-RS-7Fts8j88nynAkCHLIvVX7yE08YB9bzoT=w1200|https://lh3.googleusercontent.com/pw/AP1GczPF0AsVz6xKSvanxqLlQnAuhkC45r_kRvHqBB87_rXroRXhm4k9zqrKq0a7gscs7Jk8dpYTf6fV4jp0Mu7qOvJjO1kNDiqaL6WhUNPf7zpXD9kFEDSD=w1200|https://lh3.googleusercontent.com/pw/AP1GczOBwbdEGd9JBqYJOWZ7dUPEkksmJwvmauyCqPxvSgIOiuV-Rvw1V8klwvX5D1QuWTZmJccf62zIe4bwuSPzguCJNOFQ49Z6EtRZd_WdoxDM7MLhLiIc=w1200|https://lh3.googleusercontent.com/pw/AP1GczPc-6mF8Ekg9VIOifJhbaOizzTbP9CIzaoY6i2pGFlWRhRFbP2_2iPvzKdMKXKVUAefjz5i1qtCsy4sgdmamvKokAL560FJSupmkRT4MwNgwlKUVHsR=w1200|https://lh3.googleusercontent.com/pw/AP1GczN9sIbgt9RAGbO7aBAvkS7yjp3Aw0CY3Ei01_DBrDt6FDAgrtWb1qWpKEzwG5ccBxwitpXhvvSGwms5xiIvxF6DtlziPmEW2F-Zn_JuMS-4Vs9-0rM4=w1200|https://lh3.googleusercontent.com/pw/AP1GczMnXjvUkQr_rsHc2dHBZjPU1YW7BjNBKtZR2GrO169bMKwRouW-qfeSrPdN5UI0tQ7VUuzW7Cb5PM0o6bNQ5mA2f979rzPV82_e45drYQO1amqJNccO=w1200</v>
      </c>
      <c r="AJ581" s="46"/>
      <c r="AK581" s="46"/>
      <c r="AL581" s="46"/>
      <c r="AM581" s="46"/>
      <c r="AN581" s="46"/>
      <c r="AO581" s="46"/>
      <c r="AP581" s="46"/>
      <c r="AQ581" s="46"/>
      <c r="AR581" s="46"/>
      <c r="AS581" s="46"/>
      <c r="AT581" s="46"/>
      <c r="AU581" s="46"/>
      <c r="AV581" s="46"/>
      <c r="AW581" s="46"/>
      <c r="AX581" s="46"/>
      <c r="AY581" s="46"/>
      <c r="AZ581" s="46"/>
      <c r="BA581" s="46"/>
      <c r="BB581" s="46"/>
      <c r="BC581" s="46"/>
      <c r="BD581" s="46"/>
      <c r="BE581" s="46"/>
      <c r="BF581" s="46"/>
      <c r="BG581" s="46"/>
      <c r="BH581" s="46"/>
      <c r="BI581" s="46"/>
      <c r="BJ581" s="46"/>
      <c r="BK581" s="46"/>
      <c r="BL581" s="46"/>
      <c r="BM581" s="46"/>
      <c r="BN581" s="46"/>
      <c r="BO581" s="46"/>
      <c r="BP581" s="46"/>
      <c r="BQ581" s="46"/>
      <c r="BR581" s="46"/>
      <c r="BS581" s="46"/>
      <c r="BT581" s="46"/>
      <c r="BU581" s="46"/>
      <c r="BV581" s="46"/>
      <c r="BW581" s="46"/>
      <c r="BX581" s="46"/>
      <c r="BY581" s="46"/>
      <c r="BZ581" s="46"/>
      <c r="CA581" s="46"/>
      <c r="CB581" s="46"/>
      <c r="CC581" s="46"/>
    </row>
    <row r="582">
      <c r="A582" s="87" t="str">
        <f>IFERROR(__xludf.DUMMYFUNCTION("""COMPUTED_VALUE"""),"816")</f>
        <v>816</v>
      </c>
      <c r="B582" s="46" t="str">
        <f>IFERROR(__xludf.DUMMYFUNCTION("""COMPUTED_VALUE"""),"Casa en conjunto Residencial Terranova - Pitalito")</f>
        <v>Casa en conjunto Residencial Terranova - Pitalito</v>
      </c>
      <c r="C582" s="46" t="str">
        <f>IFERROR(__xludf.DUMMYFUNCTION("""COMPUTED_VALUE"""),"Casa en conjunto")</f>
        <v>Casa en conjunto</v>
      </c>
      <c r="D582" s="46"/>
      <c r="E582" s="46" t="str">
        <f>IFERROR(__xludf.DUMMYFUNCTION("""COMPUTED_VALUE"""),"Conjunto Residencial Terranova")</f>
        <v>Conjunto Residencial Terranova</v>
      </c>
      <c r="F582" s="90">
        <f>IFERROR(__xludf.DUMMYFUNCTION("""COMPUTED_VALUE"""),4.3E8)</f>
        <v>430000000</v>
      </c>
      <c r="G582" s="46" t="str">
        <f>IFERROR(__xludf.DUMMYFUNCTION("""COMPUTED_VALUE"""),"$400'000.000 a $500'000.000")</f>
        <v>$400'000.000 a $500'000.000</v>
      </c>
      <c r="H582" s="46"/>
      <c r="I582" s="46"/>
      <c r="J582" s="46"/>
      <c r="K582" s="87"/>
      <c r="L582" s="46">
        <f>IFERROR(__xludf.DUMMYFUNCTION("""COMPUTED_VALUE"""),3.0)</f>
        <v>3</v>
      </c>
      <c r="M582" s="46"/>
      <c r="N582" s="46">
        <f>IFERROR(__xludf.DUMMYFUNCTION("""COMPUTED_VALUE"""),2.0)</f>
        <v>2</v>
      </c>
      <c r="O582" s="46">
        <f>IFERROR(__xludf.DUMMYFUNCTION("""COMPUTED_VALUE"""),1.0)</f>
        <v>1</v>
      </c>
      <c r="P582" s="46">
        <f>IFERROR(__xludf.DUMMYFUNCTION("""COMPUTED_VALUE"""),1.0)</f>
        <v>1</v>
      </c>
      <c r="Q582" s="92">
        <f>IFERROR(__xludf.DUMMYFUNCTION("""COMPUTED_VALUE"""),0.0)</f>
        <v>0</v>
      </c>
      <c r="R582" s="92">
        <f>IFERROR(__xludf.DUMMYFUNCTION("""COMPUTED_VALUE"""),107.52)</f>
        <v>107.52</v>
      </c>
      <c r="S582" s="87" t="str">
        <f>IFERROR(__xludf.DUMMYFUNCTION("""COMPUTED_VALUE""")," ")</f>
        <v> </v>
      </c>
      <c r="T582" s="46" t="str">
        <f>IFERROR(__xludf.DUMMYFUNCTION("""COMPUTED_VALUE"""),"Pitalito")</f>
        <v>Pitalito</v>
      </c>
      <c r="U582" s="87" t="str">
        <f>IFERROR(__xludf.DUMMYFUNCTION("""COMPUTED_VALUE"""),"4")</f>
        <v>4</v>
      </c>
      <c r="V582" s="46" t="str">
        <f>IFERROR(__xludf.DUMMYFUNCTION("""COMPUTED_VALUE"""),"Medianera")</f>
        <v>Medianera</v>
      </c>
      <c r="W582" s="46"/>
      <c r="X582" s="46">
        <f>IFERROR(__xludf.DUMMYFUNCTION("""COMPUTED_VALUE"""),3.0)</f>
        <v>3</v>
      </c>
      <c r="Y582" s="46" t="str">
        <f>IFERROR(__xludf.DUMMYFUNCTION("""COMPUTED_VALUE"""),"Social")</f>
        <v>Social</v>
      </c>
      <c r="Z582" s="90"/>
      <c r="AA582" s="33" t="str">
        <f>IFERROR(__xludf.DUMMYFUNCTION("""COMPUTED_VALUE"""),"No aplica")</f>
        <v>No aplica</v>
      </c>
      <c r="AB582" s="96" t="str">
        <f>IFERROR(__xludf.DUMMYFUNCTION("""COMPUTED_VALUE"""),"https://photos.app.goo.gl/4MEtp4jzgwQ22gkt9")</f>
        <v>https://photos.app.goo.gl/4MEtp4jzgwQ22gkt9</v>
      </c>
      <c r="AC582" s="46" t="str">
        <f>IFERROR(__xludf.DUMMYFUNCTION("""COMPUTED_VALUE"""),"La casa en conjunto se distribuye así: 3 habitaciones con closet. 2 baños (Social y privado). Sala Comedor. Cocina integral. Patio de ropas. Parqueadero privado. 2 zonas para adecuar a su gusto. Estrato 4.  Area:107.52 m².")</f>
        <v>La casa en conjunto se distribuye así: 3 habitaciones con closet. 2 baños (Social y privado). Sala Comedor. Cocina integral. Patio de ropas. Parqueadero privado. 2 zonas para adecuar a su gusto. Estrato 4.  Area:107.52 m².</v>
      </c>
      <c r="AD582" s="46" t="str">
        <f>IFERROR(__xludf.DUMMYFUNCTION("""COMPUTED_VALUE"""),"Zonas comunes: (piscina, salón social, parque infantil, zonas de mascota, gimnasio, zona de lavandería, senderos ecológicos, parqueaderos visitantes, vigilancia y portería 24/7).")</f>
        <v>Zonas comunes: (piscina, salón social, parque infantil, zonas de mascota, gimnasio, zona de lavandería, senderos ecológicos, parqueaderos visitantes, vigilancia y portería 24/7).</v>
      </c>
      <c r="AE582" s="46"/>
      <c r="AF582" s="46" t="str">
        <f>IFERROR(__xludf.DUMMYFUNCTION("""COMPUTED_VALUE"""),"integral")</f>
        <v>integral</v>
      </c>
      <c r="AG582" s="46"/>
      <c r="AH582" s="46" t="str">
        <f>IFERROR(__xludf.DUMMYFUNCTION("""COMPUTED_VALUE"""),"Aliado")</f>
        <v>Aliado</v>
      </c>
      <c r="AI582" s="92" t="str">
        <f>IFERROR(__xludf.DUMMYFUNCTION("""COMPUTED_VALUE"""),"https://lh3.googleusercontent.com/pw/AP1GczPyt9fhe2HESJdRqgj1aTuRvBMBJI2bAJMbDvpKq3DaTFG0Mqj9jfITfpmJJJ-H9ZE_IsVoTSpt2LpZFbdTjAtyt_op19U39zAGmxJWbv_1AQQsuXZs=w1200|https://lh3.googleusercontent.com/pw/AP1GczOaWMgYL9nOV-__3Z0SnYLS27nDRyWGQZJMn7QYhl824fH0Ds"&amp;"d5SpmFWcbLghtOLHacs5cmtO--2tXtb_-ZmjSEmoqs_qnPdYAqLJ0ocI3nJJJdQheI=w1200|https://lh3.googleusercontent.com/pw/AP1GczOU1xIEtD8BQOBiPWBuXjQSg8vLUjHY33lYhp413Sk44FpCrPrjEawN0DB5_NGbzm3yNnxq49GzajbzRWa2ARepUTq5t-Vd0KgbTLZtMzNmidBU7EPQ=w1200|https://lh3.google"&amp;"usercontent.com/pw/AP1GczOGRTpIrZLnoH4EJeUBqj42tazpMIjlId5N56k-p3QNS-GalquXrruA_qPy_yGkiDpZdNDx4Ehs_ALK1sQmNaeSBjYdyBRW2Ou8G1U8WzxpaJvrkjnL=w1200|https://lh3.googleusercontent.com/pw/AP1GczOUI88qGla7RrLZL-PnXnv2-tDKXLOY9IhAG_T8dmdUVz9ithdKibaSyWX1i1mKD5ow"&amp;"x7ldu5Eu9SViUVEC5Tb8k4T6QWtMkagJb0z8Opa0Fy2KtaIE=w1200|https://lh3.googleusercontent.com/pw/AP1GczM_T7WtPBg8-1BG3VXdy_AkuVehCeCxvBNMoeFYdrcYMwPQb-U5V2oBZAe5r93Nh5QTABmbDgtNc5QFmdfZVEfmfFOQb1ux92T7h7HX615z0JWSxd4s=w1200|https://lh3.googleusercontent.com/pw"&amp;"/AP1GczO-hkCzPc-eYvdDhkj6cCmztvs0K1G3TpNH8-YScw5r84C8wiJB6zuGTPxMqJbmKih2OLQ1MqBrOvy75jORRftImAM9rf68paT5cx18YCulORShX7EY=w1200|https://lh3.googleusercontent.com/pw/AP1GczOpCAaAgrq2okJWhqW-GaBy0VGGL4GiuYgiW-u615-HG2lIad2OhLkRQ2JrY-uMIy6x4coOE4gnv0L5jIcISp"&amp;"8b7wYgW4ZEPDEBzu5OmrOrCjpwbtFh=w1200|https://lh3.googleusercontent.com/pw/AP1GczPjICk-9KrBDzTWgeN5j7NAkBfIbe6z1IKRrNW039J5hgpN70pIpyJsvJrPH0gPsmETThHpfpda3KnjKivmcX8OMctKY7iiQksndD_MqZHo8TZ_-1Kw=w1200|https://lh3.googleusercontent.com/pw/AP1GczMwnQt3rNE_8"&amp;"wI8qER-CZuvuhlctMNvVqJ2yOeA0SVsKGXkFKOROP22qIBcvG_a-W2qT1Ujzn46TY1aIMDPNA2115gDxKnyApJSOX1FfDjZ-2lE11HV=w1200|https://lh3.googleusercontent.com/pw/AP1GczNWIVLISqQUasBrvVf02gujn7fWTVN_EGQboAdbcl9Vpd6OF46-6V1GTmL8CRcy2w6YIr8sRdrnS-n4HEuggUrbaC8ozUm_O89XI_u2"&amp;"YCN0yTbv7vUM=w1200|https://lh3.googleusercontent.com/pw/AP1GczPXr-v2mB-48XTxs5PrcjIxsiZyVInqxzk8gP4erAB9LWPH4quPeAI0M9lbRLYq01E8C5Y8H_3ti4xv1KzX3xChFnhBxrFkNgKvccrfo_GQvd5IMo_W=w1200|https://lh3.googleusercontent.com/pw/AP1GczNnexxyQXNMRcqeTYgOiQKFiLNKMGq"&amp;"gM1Pqu0mXKZav27nfwpTyJPs8JfPrzZ54PYa4cEW_j6dmZRvst343E6gOoEM5-aucuJI4a42uVXW2-BRcyCNP=w1200")</f>
        <v>https://lh3.googleusercontent.com/pw/AP1GczPyt9fhe2HESJdRqgj1aTuRvBMBJI2bAJMbDvpKq3DaTFG0Mqj9jfITfpmJJJ-H9ZE_IsVoTSpt2LpZFbdTjAtyt_op19U39zAGmxJWbv_1AQQsuXZs=w1200|https://lh3.googleusercontent.com/pw/AP1GczOaWMgYL9nOV-__3Z0SnYLS27nDRyWGQZJMn7QYhl824fH0Dsd5SpmFWcbLghtOLHacs5cmtO--2tXtb_-ZmjSEmoqs_qnPdYAqLJ0ocI3nJJJdQheI=w1200|https://lh3.googleusercontent.com/pw/AP1GczOU1xIEtD8BQOBiPWBuXjQSg8vLUjHY33lYhp413Sk44FpCrPrjEawN0DB5_NGbzm3yNnxq49GzajbzRWa2ARepUTq5t-Vd0KgbTLZtMzNmidBU7EPQ=w1200|https://lh3.googleusercontent.com/pw/AP1GczOGRTpIrZLnoH4EJeUBqj42tazpMIjlId5N56k-p3QNS-GalquXrruA_qPy_yGkiDpZdNDx4Ehs_ALK1sQmNaeSBjYdyBRW2Ou8G1U8WzxpaJvrkjnL=w1200|https://lh3.googleusercontent.com/pw/AP1GczOUI88qGla7RrLZL-PnXnv2-tDKXLOY9IhAG_T8dmdUVz9ithdKibaSyWX1i1mKD5owx7ldu5Eu9SViUVEC5Tb8k4T6QWtMkagJb0z8Opa0Fy2KtaIE=w1200|https://lh3.googleusercontent.com/pw/AP1GczM_T7WtPBg8-1BG3VXdy_AkuVehCeCxvBNMoeFYdrcYMwPQb-U5V2oBZAe5r93Nh5QTABmbDgtNc5QFmdfZVEfmfFOQb1ux92T7h7HX615z0JWSxd4s=w1200|https://lh3.googleusercontent.com/pw/AP1GczO-hkCzPc-eYvdDhkj6cCmztvs0K1G3TpNH8-YScw5r84C8wiJB6zuGTPxMqJbmKih2OLQ1MqBrOvy75jORRftImAM9rf68paT5cx18YCulORShX7EY=w1200|https://lh3.googleusercontent.com/pw/AP1GczOpCAaAgrq2okJWhqW-GaBy0VGGL4GiuYgiW-u615-HG2lIad2OhLkRQ2JrY-uMIy6x4coOE4gnv0L5jIcISp8b7wYgW4ZEPDEBzu5OmrOrCjpwbtFh=w1200|https://lh3.googleusercontent.com/pw/AP1GczPjICk-9KrBDzTWgeN5j7NAkBfIbe6z1IKRrNW039J5hgpN70pIpyJsvJrPH0gPsmETThHpfpda3KnjKivmcX8OMctKY7iiQksndD_MqZHo8TZ_-1Kw=w1200|https://lh3.googleusercontent.com/pw/AP1GczMwnQt3rNE_8wI8qER-CZuvuhlctMNvVqJ2yOeA0SVsKGXkFKOROP22qIBcvG_a-W2qT1Ujzn46TY1aIMDPNA2115gDxKnyApJSOX1FfDjZ-2lE11HV=w1200|https://lh3.googleusercontent.com/pw/AP1GczNWIVLISqQUasBrvVf02gujn7fWTVN_EGQboAdbcl9Vpd6OF46-6V1GTmL8CRcy2w6YIr8sRdrnS-n4HEuggUrbaC8ozUm_O89XI_u2YCN0yTbv7vUM=w1200|https://lh3.googleusercontent.com/pw/AP1GczPXr-v2mB-48XTxs5PrcjIxsiZyVInqxzk8gP4erAB9LWPH4quPeAI0M9lbRLYq01E8C5Y8H_3ti4xv1KzX3xChFnhBxrFkNgKvccrfo_GQvd5IMo_W=w1200|https://lh3.googleusercontent.com/pw/AP1GczNnexxyQXNMRcqeTYgOiQKFiLNKMGqgM1Pqu0mXKZav27nfwpTyJPs8JfPrzZ54PYa4cEW_j6dmZRvst343E6gOoEM5-aucuJI4a42uVXW2-BRcyCNP=w1200</v>
      </c>
      <c r="AJ582" s="46"/>
      <c r="AK582" s="46"/>
      <c r="AL582" s="46"/>
      <c r="AM582" s="46"/>
      <c r="AN582" s="46"/>
      <c r="AO582" s="46"/>
      <c r="AP582" s="46"/>
      <c r="AQ582" s="46"/>
      <c r="AR582" s="46"/>
      <c r="AS582" s="46"/>
      <c r="AT582" s="46"/>
      <c r="AU582" s="46"/>
      <c r="AV582" s="46"/>
      <c r="AW582" s="46"/>
      <c r="AX582" s="46"/>
      <c r="AY582" s="46"/>
      <c r="AZ582" s="46"/>
      <c r="BA582" s="46"/>
      <c r="BB582" s="46"/>
      <c r="BC582" s="46"/>
      <c r="BD582" s="46"/>
      <c r="BE582" s="46"/>
      <c r="BF582" s="46"/>
      <c r="BG582" s="46"/>
      <c r="BH582" s="46"/>
      <c r="BI582" s="46"/>
      <c r="BJ582" s="46"/>
      <c r="BK582" s="46"/>
      <c r="BL582" s="46"/>
      <c r="BM582" s="46"/>
      <c r="BN582" s="46"/>
      <c r="BO582" s="46"/>
      <c r="BP582" s="46"/>
      <c r="BQ582" s="46"/>
      <c r="BR582" s="46"/>
      <c r="BS582" s="46"/>
      <c r="BT582" s="46"/>
      <c r="BU582" s="46"/>
      <c r="BV582" s="46"/>
      <c r="BW582" s="46"/>
      <c r="BX582" s="46"/>
      <c r="BY582" s="46"/>
      <c r="BZ582" s="46"/>
      <c r="CA582" s="46"/>
      <c r="CB582" s="46"/>
      <c r="CC582" s="46"/>
    </row>
    <row r="583">
      <c r="A583" s="87" t="str">
        <f>IFERROR(__xludf.DUMMYFUNCTION("""COMPUTED_VALUE"""),"815")</f>
        <v>815</v>
      </c>
      <c r="B583" s="46" t="str">
        <f>IFERROR(__xludf.DUMMYFUNCTION("""COMPUTED_VALUE"""),"Finca cafetera - La Plata - Huila")</f>
        <v>Finca cafetera - La Plata - Huila</v>
      </c>
      <c r="C583" s="46" t="str">
        <f>IFERROR(__xludf.DUMMYFUNCTION("""COMPUTED_VALUE"""),"Finca")</f>
        <v>Finca</v>
      </c>
      <c r="D583" s="46"/>
      <c r="E583" s="46"/>
      <c r="F583" s="90">
        <f>IFERROR(__xludf.DUMMYFUNCTION("""COMPUTED_VALUE"""),4.0E8)</f>
        <v>400000000</v>
      </c>
      <c r="G583" s="46" t="str">
        <f>IFERROR(__xludf.DUMMYFUNCTION("""COMPUTED_VALUE"""),"$400'000.000 a $500'000.000")</f>
        <v>$400'000.000 a $500'000.000</v>
      </c>
      <c r="H583" s="46"/>
      <c r="I583" s="46"/>
      <c r="J583" s="46" t="str">
        <f>IFERROR(__xludf.DUMMYFUNCTION("""COMPUTED_VALUE"""),"Rural")</f>
        <v>Rural</v>
      </c>
      <c r="K583" s="87"/>
      <c r="L583" s="46">
        <f>IFERROR(__xludf.DUMMYFUNCTION("""COMPUTED_VALUE"""),4.0)</f>
        <v>4</v>
      </c>
      <c r="M583" s="46"/>
      <c r="N583" s="46">
        <f>IFERROR(__xludf.DUMMYFUNCTION("""COMPUTED_VALUE"""),2.0)</f>
        <v>2</v>
      </c>
      <c r="O583" s="46">
        <f>IFERROR(__xludf.DUMMYFUNCTION("""COMPUTED_VALUE"""),1.0)</f>
        <v>1</v>
      </c>
      <c r="P583" s="46">
        <f>IFERROR(__xludf.DUMMYFUNCTION("""COMPUTED_VALUE"""),2.0)</f>
        <v>2</v>
      </c>
      <c r="Q583" s="92">
        <f>IFERROR(__xludf.DUMMYFUNCTION("""COMPUTED_VALUE"""),0.0)</f>
        <v>0</v>
      </c>
      <c r="R583" s="92">
        <f>IFERROR(__xludf.DUMMYFUNCTION("""COMPUTED_VALUE"""),140000.0)</f>
        <v>140000</v>
      </c>
      <c r="S583" s="87"/>
      <c r="T583" s="46" t="str">
        <f>IFERROR(__xludf.DUMMYFUNCTION("""COMPUTED_VALUE"""),"La Plata")</f>
        <v>La Plata</v>
      </c>
      <c r="U583" s="87"/>
      <c r="V583" s="46"/>
      <c r="W583" s="46"/>
      <c r="X583" s="46">
        <f>IFERROR(__xludf.DUMMYFUNCTION("""COMPUTED_VALUE"""),2.0)</f>
        <v>2</v>
      </c>
      <c r="Y583" s="46" t="str">
        <f>IFERROR(__xludf.DUMMYFUNCTION("""COMPUTED_VALUE"""),"No tiene")</f>
        <v>No tiene</v>
      </c>
      <c r="Z583" s="90" t="str">
        <f>IFERROR(__xludf.DUMMYFUNCTION("""COMPUTED_VALUE"""),"No aplica")</f>
        <v>No aplica</v>
      </c>
      <c r="AA583" s="33" t="str">
        <f>IFERROR(__xludf.DUMMYFUNCTION("""COMPUTED_VALUE"""),"No aplica")</f>
        <v>No aplica</v>
      </c>
      <c r="AB583" s="96" t="str">
        <f>IFERROR(__xludf.DUMMYFUNCTION("""COMPUTED_VALUE"""),"https://photos.app.goo.gl/mYoAuthzWF9UmPrF7")</f>
        <v>https://photos.app.goo.gl/mYoAuthzWF9UmPrF7</v>
      </c>
      <c r="AC583" s="46" t="str">
        <f>IFERROR(__xludf.DUMMYFUNCTION("""COMPUTED_VALUE"""),"Finca ubicada en la Vereda Alto Retiro.  Área de 14 Hectáreas. Agua propia para el consumo. Cultivos de Café. Rastrojos para cultivos de pan coger.")</f>
        <v>Finca ubicada en la Vereda Alto Retiro.  Área de 14 Hectáreas. Agua propia para el consumo. Cultivos de Café. Rastrojos para cultivos de pan coger.</v>
      </c>
      <c r="AD583" s="46" t="str">
        <f>IFERROR(__xludf.DUMMYFUNCTION("""COMPUTED_VALUE"""),"Carretera hasta la finca. servicio de energía. Casa de dos Plantas en madera. Beneficiadero de café. 10.000 plantas de café para trasplantar.")</f>
        <v>Carretera hasta la finca. servicio de energía. Casa de dos Plantas en madera. Beneficiadero de café. 10.000 plantas de café para trasplantar.</v>
      </c>
      <c r="AE583" s="46"/>
      <c r="AF583" s="46" t="str">
        <f>IFERROR(__xludf.DUMMYFUNCTION("""COMPUTED_VALUE"""),"básica")</f>
        <v>básica</v>
      </c>
      <c r="AG583" s="46"/>
      <c r="AH583" s="46" t="str">
        <f>IFERROR(__xludf.DUMMYFUNCTION("""COMPUTED_VALUE"""),"Aliado")</f>
        <v>Aliado</v>
      </c>
      <c r="AI583" s="92" t="str">
        <f>IFERROR(__xludf.DUMMYFUNCTION("""COMPUTED_VALUE"""),"https://lh3.googleusercontent.com/pw/AP1GczNxoUh5UdhkFSlcd3CDvAj1qBJHoglnArC1TdIVfDLm7dgOE9WFT_D50a9PC-WFOOV1LjlQsAGEK22xuLl05_Dg6rlibjAUZazaS4tidh1cMeAiCu-s=w1200|https://lh3.googleusercontent.com/pw/AP1GczMv3LLb7FCLwCl70Zl8aaHd2jYump39-xIW8ZakN7FwtcURTs"&amp;"UvTfbgRMc1q-3XGguHdL_Ym1Rmq7SRJor0UHCchKkO9AqH7mAPMG2dvFA3nr3YuOoM=w1200|https://lh3.googleusercontent.com/pw/AP1GczOgYDXUgCN0xJh9T6HZ5cGgWwPNGW24CQslCj9xWv57OBDOeLkMOlsceNCNbAQ5fftI336AQT1j4KTnhNpr6UU3AghuX4eIpg4UGIeEG0RxlGhTlWG2=w1200|https://lh3.google"&amp;"usercontent.com/pw/AP1GczMPrCZiicm-Pyf8SCEHjFGrk-D6vBW6MWgkGHxm5z4GWw21MrsTo6uH3AEvrK-lmfad4XE-MoYFHcmvkkb7dqQAoO17W6N-wOfuwHiwD2x4bRm3YLgp=w1200|https://lh3.googleusercontent.com/pw/AP1GczOKqrxWaSaWg1vczk20g1sD_nHCdhNqb1nMghtGLfCX1NT1Jj5E3kmyfC4bK3G3AvFZ"&amp;"oVeiVoezshL0jYJwNSUwjY6V4boBPmCxK8wZgt_OepPdVecM=w1200|https://lh3.googleusercontent.com/pw/AP1GczNHn648ir9T7-4pZE6Wjs-Eabn8fEEUiIJ3Ja1BSeru-nzX9tgtFqejhAX-Z8kTf4RdIWciVKS8ZjSMwvag_gGWDRDNP5sEC3lyqAwaWRH0Sv8pdnu4=w1200|https://lh3.googleusercontent.com/pw"&amp;"/AP1GczP6Nz8XNVitiel4Cfh66GzBCRsBjbovbNxNXN5yRAohx1wJlaLgEVFHHKiK2VczVgHZHgJxgrSAWDVNQUA1FxFXo8SVTZnwEZuygzy4QZj_fGoPqT6l=w1200|https://lh3.googleusercontent.com/pw/AP1GczMtq_vvvBfayIgJD8VlUoAIO1bQc2rXhKB96jEInHm1tEv2oJsZ9ENNaMdwtzfr6v6Ebc5CUhUncYyRl6FPQk"&amp;"esfyd0E3P1vSGYNYwZTQAGCSoaStBD=w1200|https://lh3.googleusercontent.com/pw/AP1GczNbq3JCdkyadMhRRDkomfnMNAQLh_UvW1REoriG6pDtu5PRFg_eNaLLICq5_7Wt-Dl3et8V9BMQsu67BR2txBGlpwHWzeN61ABHhPHoj7lJHWZ3S98t=w1200|https://lh3.googleusercontent.com/pw/AP1GczMsF2w3Gh6E6"&amp;"Np4pzxBshQyR4gm_-n81mfUHnvPGG-nI3h7BlrV-4SEnVWYYgCIvsHWCaCO2esNXeQXRhtQpdxHKpn7eAdZdRC8Eo0vU7EB9yW-tFJq=w1200")</f>
        <v>https://lh3.googleusercontent.com/pw/AP1GczNxoUh5UdhkFSlcd3CDvAj1qBJHoglnArC1TdIVfDLm7dgOE9WFT_D50a9PC-WFOOV1LjlQsAGEK22xuLl05_Dg6rlibjAUZazaS4tidh1cMeAiCu-s=w1200|https://lh3.googleusercontent.com/pw/AP1GczMv3LLb7FCLwCl70Zl8aaHd2jYump39-xIW8ZakN7FwtcURTsUvTfbgRMc1q-3XGguHdL_Ym1Rmq7SRJor0UHCchKkO9AqH7mAPMG2dvFA3nr3YuOoM=w1200|https://lh3.googleusercontent.com/pw/AP1GczOgYDXUgCN0xJh9T6HZ5cGgWwPNGW24CQslCj9xWv57OBDOeLkMOlsceNCNbAQ5fftI336AQT1j4KTnhNpr6UU3AghuX4eIpg4UGIeEG0RxlGhTlWG2=w1200|https://lh3.googleusercontent.com/pw/AP1GczMPrCZiicm-Pyf8SCEHjFGrk-D6vBW6MWgkGHxm5z4GWw21MrsTo6uH3AEvrK-lmfad4XE-MoYFHcmvkkb7dqQAoO17W6N-wOfuwHiwD2x4bRm3YLgp=w1200|https://lh3.googleusercontent.com/pw/AP1GczOKqrxWaSaWg1vczk20g1sD_nHCdhNqb1nMghtGLfCX1NT1Jj5E3kmyfC4bK3G3AvFZoVeiVoezshL0jYJwNSUwjY6V4boBPmCxK8wZgt_OepPdVecM=w1200|https://lh3.googleusercontent.com/pw/AP1GczNHn648ir9T7-4pZE6Wjs-Eabn8fEEUiIJ3Ja1BSeru-nzX9tgtFqejhAX-Z8kTf4RdIWciVKS8ZjSMwvag_gGWDRDNP5sEC3lyqAwaWRH0Sv8pdnu4=w1200|https://lh3.googleusercontent.com/pw/AP1GczP6Nz8XNVitiel4Cfh66GzBCRsBjbovbNxNXN5yRAohx1wJlaLgEVFHHKiK2VczVgHZHgJxgrSAWDVNQUA1FxFXo8SVTZnwEZuygzy4QZj_fGoPqT6l=w1200|https://lh3.googleusercontent.com/pw/AP1GczMtq_vvvBfayIgJD8VlUoAIO1bQc2rXhKB96jEInHm1tEv2oJsZ9ENNaMdwtzfr6v6Ebc5CUhUncYyRl6FPQkesfyd0E3P1vSGYNYwZTQAGCSoaStBD=w1200|https://lh3.googleusercontent.com/pw/AP1GczNbq3JCdkyadMhRRDkomfnMNAQLh_UvW1REoriG6pDtu5PRFg_eNaLLICq5_7Wt-Dl3et8V9BMQsu67BR2txBGlpwHWzeN61ABHhPHoj7lJHWZ3S98t=w1200|https://lh3.googleusercontent.com/pw/AP1GczMsF2w3Gh6E6Np4pzxBshQyR4gm_-n81mfUHnvPGG-nI3h7BlrV-4SEnVWYYgCIvsHWCaCO2esNXeQXRhtQpdxHKpn7eAdZdRC8Eo0vU7EB9yW-tFJq=w1200</v>
      </c>
      <c r="AJ583" s="46"/>
      <c r="AK583" s="46"/>
      <c r="AL583" s="46"/>
      <c r="AM583" s="46"/>
      <c r="AN583" s="46"/>
      <c r="AO583" s="46"/>
      <c r="AP583" s="46"/>
      <c r="AQ583" s="46"/>
      <c r="AR583" s="46"/>
      <c r="AS583" s="46"/>
      <c r="AT583" s="46"/>
      <c r="AU583" s="46"/>
      <c r="AV583" s="46"/>
      <c r="AW583" s="46"/>
      <c r="AX583" s="46"/>
      <c r="AY583" s="46"/>
      <c r="AZ583" s="46"/>
      <c r="BA583" s="46"/>
      <c r="BB583" s="46"/>
      <c r="BC583" s="46"/>
      <c r="BD583" s="46"/>
      <c r="BE583" s="46"/>
      <c r="BF583" s="46"/>
      <c r="BG583" s="46"/>
      <c r="BH583" s="46"/>
      <c r="BI583" s="46"/>
      <c r="BJ583" s="46"/>
      <c r="BK583" s="46"/>
      <c r="BL583" s="46"/>
      <c r="BM583" s="46"/>
      <c r="BN583" s="46"/>
      <c r="BO583" s="46"/>
      <c r="BP583" s="46"/>
      <c r="BQ583" s="46"/>
      <c r="BR583" s="46"/>
      <c r="BS583" s="46"/>
      <c r="BT583" s="46"/>
      <c r="BU583" s="46"/>
      <c r="BV583" s="46"/>
      <c r="BW583" s="46"/>
      <c r="BX583" s="46"/>
      <c r="BY583" s="46"/>
      <c r="BZ583" s="46"/>
      <c r="CA583" s="46"/>
      <c r="CB583" s="46"/>
      <c r="CC583" s="46"/>
    </row>
    <row r="584">
      <c r="A584" s="87" t="str">
        <f>IFERROR(__xludf.DUMMYFUNCTION("""COMPUTED_VALUE"""),"089")</f>
        <v>089</v>
      </c>
      <c r="B584" s="46" t="str">
        <f>IFERROR(__xludf.DUMMYFUNCTION("""COMPUTED_VALUE"""),"Finca agrícola - Vda. San Nicolas - Villa vieja - Huila")</f>
        <v>Finca agrícola - Vda. San Nicolas - Villa vieja - Huila</v>
      </c>
      <c r="C584" s="46" t="str">
        <f>IFERROR(__xludf.DUMMYFUNCTION("""COMPUTED_VALUE"""),"Finca")</f>
        <v>Finca</v>
      </c>
      <c r="D584" s="46"/>
      <c r="E584" s="46"/>
      <c r="F584" s="90">
        <f>IFERROR(__xludf.DUMMYFUNCTION("""COMPUTED_VALUE"""),3.6E8)</f>
        <v>360000000</v>
      </c>
      <c r="G584" s="46" t="str">
        <f>IFERROR(__xludf.DUMMYFUNCTION("""COMPUTED_VALUE"""),"$300'000.000 a $400'000.000")</f>
        <v>$300'000.000 a $400'000.000</v>
      </c>
      <c r="H584" s="46"/>
      <c r="I584" s="46"/>
      <c r="J584" s="46" t="str">
        <f>IFERROR(__xludf.DUMMYFUNCTION("""COMPUTED_VALUE"""),"Rural")</f>
        <v>Rural</v>
      </c>
      <c r="K584" s="87"/>
      <c r="L584" s="46">
        <f>IFERROR(__xludf.DUMMYFUNCTION("""COMPUTED_VALUE"""),4.0)</f>
        <v>4</v>
      </c>
      <c r="M584" s="46"/>
      <c r="N584" s="46">
        <f>IFERROR(__xludf.DUMMYFUNCTION("""COMPUTED_VALUE"""),2.0)</f>
        <v>2</v>
      </c>
      <c r="O584" s="46">
        <f>IFERROR(__xludf.DUMMYFUNCTION("""COMPUTED_VALUE"""),2.0)</f>
        <v>2</v>
      </c>
      <c r="P584" s="46">
        <f>IFERROR(__xludf.DUMMYFUNCTION("""COMPUTED_VALUE"""),1.0)</f>
        <v>1</v>
      </c>
      <c r="Q584" s="92">
        <f>IFERROR(__xludf.DUMMYFUNCTION("""COMPUTED_VALUE"""),450.0)</f>
        <v>450</v>
      </c>
      <c r="R584" s="92">
        <f>IFERROR(__xludf.DUMMYFUNCTION("""COMPUTED_VALUE"""),105000.0)</f>
        <v>105000</v>
      </c>
      <c r="S584" s="87"/>
      <c r="T584" s="46" t="str">
        <f>IFERROR(__xludf.DUMMYFUNCTION("""COMPUTED_VALUE"""),"Villa vieja")</f>
        <v>Villa vieja</v>
      </c>
      <c r="U584" s="87"/>
      <c r="V584" s="46"/>
      <c r="W584" s="46"/>
      <c r="X584" s="46">
        <f>IFERROR(__xludf.DUMMYFUNCTION("""COMPUTED_VALUE"""),2.0)</f>
        <v>2</v>
      </c>
      <c r="Y584" s="46" t="str">
        <f>IFERROR(__xludf.DUMMYFUNCTION("""COMPUTED_VALUE"""),"No tiene")</f>
        <v>No tiene</v>
      </c>
      <c r="Z584" s="90" t="str">
        <f>IFERROR(__xludf.DUMMYFUNCTION("""COMPUTED_VALUE"""),"No aplica")</f>
        <v>No aplica</v>
      </c>
      <c r="AA584" s="33" t="str">
        <f>IFERROR(__xludf.DUMMYFUNCTION("""COMPUTED_VALUE"""),"No aplica")</f>
        <v>No aplica</v>
      </c>
      <c r="AB584" s="96" t="str">
        <f>IFERROR(__xludf.DUMMYFUNCTION("""COMPUTED_VALUE"""),"https://photos.app.goo.gl/dFRpeLkKxkXqADSf8")</f>
        <v>https://photos.app.goo.gl/dFRpeLkKxkXqADSf8</v>
      </c>
      <c r="AC584" s="46" t="str">
        <f>IFERROR(__xludf.DUMMYFUNCTION("""COMPUTED_VALUE"""),"La finca cuenta con casa en bahareque de 4 habitaciones, cocina, sala, baños en material. Tiene energía eléctrica y también para energía solar. Cochera pequeña para 8 cerdos. Galpón para 150 pollos. Motobomba de 6 pulgadas con motor para riego de cultivos"&amp;". Cuarto para herramientas y abonos.")</f>
        <v>La finca cuenta con casa en bahareque de 4 habitaciones, cocina, sala, baños en material. Tiene energía eléctrica y también para energía solar. Cochera pequeña para 8 cerdos. Galpón para 150 pollos. Motobomba de 6 pulgadas con motor para riego de cultivos. Cuarto para herramientas y abonos.</v>
      </c>
      <c r="AD584" s="46" t="str">
        <f>IFERROR(__xludf.DUMMYFUNCTION("""COMPUTED_VALUE"""),"Área 10.5 Hectáreas. 3 de ellas tiene limón pajarito sembrado en producción. 1.5 tiene plátano, yuca y caña. 1.6 hectáreas en potrero con cercas eléctricas. Documentos al día. Agua. Cuenta con nacedero de agua y aljibe propio. Colinda con el rio Magdalena"&amp;" de sur a norte y con la quebrada Tatacoa de oeste a este. Finca ubicada a hora y media de Neiva. Carretera hasta la finca.")</f>
        <v>Área 10.5 Hectáreas. 3 de ellas tiene limón pajarito sembrado en producción. 1.5 tiene plátano, yuca y caña. 1.6 hectáreas en potrero con cercas eléctricas. Documentos al día. Agua. Cuenta con nacedero de agua y aljibe propio. Colinda con el rio Magdalena de sur a norte y con la quebrada Tatacoa de oeste a este. Finca ubicada a hora y media de Neiva. Carretera hasta la finca.</v>
      </c>
      <c r="AE584" s="46"/>
      <c r="AF584" s="46" t="str">
        <f>IFERROR(__xludf.DUMMYFUNCTION("""COMPUTED_VALUE"""),"semi-integral")</f>
        <v>semi-integral</v>
      </c>
      <c r="AG584" s="46"/>
      <c r="AH584" s="46" t="str">
        <f>IFERROR(__xludf.DUMMYFUNCTION("""COMPUTED_VALUE"""),"Aliado")</f>
        <v>Aliado</v>
      </c>
      <c r="AI584" s="92" t="str">
        <f>IFERROR(__xludf.DUMMYFUNCTION("""COMPUTED_VALUE"""),"https://lh3.googleusercontent.com/pw/AP1GczOtoTXPGkPTc83aFIFWGQbpclVe3IUI5JhXNhyOFNlrUi6Zc9XMLlFQbsyo0otPDYbYQ08h_I_s_0N27EjMLgZ8dSWr7Zj2QISJJ2zdczhbVdllMqVx=w1200|https://lh3.googleusercontent.com/pw/AP1GczNatFQVcPkbx4_PCrvlGDlPZpcplg7QUiBMJnaKZjDxk9kSdk"&amp;"-aiqkk14W_yE5PRuK09WaymCDVQXPnBss17XCdYJKpXOFOKdshDe_gAOAGaKt7ASxQ=w1200|https://lh3.googleusercontent.com/pw/AP1GczNgWHumIzc5Io4cx89AccrEUBCJcN3x7Ky1uireznCP7_HuvW5vTWUGX7Wq0CIGhBJMvfwRf1ZtgWmui0TpaSBvKSVPAWeCNVntajFHrnyoh8EJQCF0=w1200|https://lh3.google"&amp;"usercontent.com/pw/AP1GczP2xJly20FQc3-BYqUr85XUe2NBk6smd3SLeOBYKhJ6JTzwSLbLifUlUk6_bGZwlwiapGgQm0RMR6pHQY8ib_Woq0fU35MYz2vlt1pmWFA4oVaeLz5D=w1200|https://lh3.googleusercontent.com/pw/AP1GczOcqE8lJfTETxB29pGNcgVYbTuT9wJyChI47T9mjKPOx907WT_si4sHh7k0W-_n0IYO"&amp;"9FZJ_aLxFRAjz4441EextwcaC0-NO-UlZLM2VHYS-1PvIIMU=w1200|https://lh3.googleusercontent.com/pw/AP1GczNWzQO5t5Ih-vH6kuB7C_V9_vQpRx7P5119Zq8cf0w3E-EzUpy9w6BhKGK9N6FjfwuNl-BKcvEL4Z1EP4kchT99Vsu3xi_C3IdBmYLUwW_OPTKjMIdp=w1200|https://lh3.googleusercontent.com/pw"&amp;"/AP1GczN8VCaDPyHmHhPcACkcA0o8Zc_X64q0R7pu5Jx8EYhtgqr7YFqmOj4S-u4djktLVifRzrZ5DOKigBhcEpV1ziQXeSQij2zSph8XMesMAYn013bCYDat=w1200|https://lh3.googleusercontent.com/pw/AP1GczNcDZr_pP5vic4p_W3DGm8u-4iMUVv0XadUty9MBZdh7kubCZqliAQGQae-OzHXeA567rp3sXhjtA0ymvzxhM"&amp;"3LoG6NRoJfBlNx7D_S4S4E5wWvqVCF=w1200|https://lh3.googleusercontent.com/pw/AP1GczPNPg9L9Mq26f1QxLXzOFLXojVy4wPbosY93Mk4LpKgxxvznMU_T8Kfd9vMIqzRWulYgzMKWoY4FmuGw9I-_9SdcNKHRLano698NNjmUa-0fSH-DKdK=w1200|https://lh3.googleusercontent.com/pw/AP1GczPQfBqiF4S54"&amp;"vMJM3TpBXqcnMEqPHf28NAfWCeYxdaaxBYdljaMHankt__an60C-8uEG_eJaqy-cCFa3kumpCmBAEhqJuObXPsM3LIHV49XJzV5GNUB=w1200|https://lh3.googleusercontent.com/pw/AP1GczOBt24Oul1-sK4hQrYYsBe6m7nR7PyoqWj9t0qKk58brII-onbr0Qh4NRPwA81xWK6yfhQH3di09eHsFTmKRtqv5gQv0-lwzxPUYV0v"&amp;"pC98lk_wKjyj=w1200|https://lh3.googleusercontent.com/pw/AP1GczPg4C7zkIo95OKY4EEqykcho493rQOUt_T_DpXcBe4bLk3tKm3Y8JicmrvM6aFAbEqSC_882E59lufrvFcfLwsH3Tn0c0O6TXlJTsPX1ZNUk_1Cv0VU=w1200|https://lh3.googleusercontent.com/pw/AP1GczNG8PYt3zfigtNj8jeFzGQULYnvbzM"&amp;"VtIDy4ohJ6VpoU1oSvmPKuAvjTK-xaX0mWA76qRcgx-hdGPY-6Gq8DQA6AIDwt5jzavK8DESMdv6C_zi5Eel6=w1200|https://lh3.googleusercontent.com/pw/AP1GczPq7csbbFk5nFJNQ4hR3BdcWct1Q3f5LDdk8PqYsz3e3wcLb0Lakzcr94HvxGizVlDBNH4j8eGlRJtiwWlV3RnsZK37DttG1U8n0tKYE_00blZMA8z1=w1200"&amp;"|https://lh3.googleusercontent.com/pw/AP1GczMtGpjH_VYTmQuw0CNL5aP6rvoYhe54lgeZjpzv7kbdpojkEKy77_lo064WJpJ51fm45-KqhSgvJZor1YoMmv2_WBPKOHAYQccXsNlyE1D5AWEhAFKv=w1200|https://lh3.googleusercontent.com/pw/AP1GczOrWmeso06x-3ZPZWv0gHpAnNkWfXYg6UgZXv4zjFoNNlpBU"&amp;"Zreb_BKNowZSHQzpd_LizSn6LHYi2G1WjEJ3OHFy11ZXrjD0Q80ZRbwCKOSvgP98UHB=w1200|https://lh3.googleusercontent.com/pw/AP1GczPykw4hTH-yeogcHcB8EmDQvWDtRBcV-z3C9YFucA4Ouc-z6lOerdcSQiK_k_wTOSG-GqWUCvBxba0wVOoFBuxxvpkpNjr6TCugog_jmhOUbsjgcx42=w1200|https://lh3.googl"&amp;"eusercontent.com/pw/AP1GczM6ToJfwYeuLKJiqswnY64BwsHHAq_GkuvrdLnJvRI7eU-2joWI4QaJ9DNFxi-IZG5x_HkV1UZSwG1acxsdNH22BqCO7WAnyw7-ZFj1e8kAwwxpHCez=w1200|https://lh3.googleusercontent.com/pw/AP1GczPq2m9dFCKI1MriS_7YqJDMFdXVRSgtPhld0VolM2CD-L0Da6CFFsh8GLMEsSQIM1b"&amp;"GkkfD48WqiUlhZ_hLv_aStVrDWeDvbfE2q9jyQenJP8Q1zcnZ=w1200")</f>
        <v>https://lh3.googleusercontent.com/pw/AP1GczOtoTXPGkPTc83aFIFWGQbpclVe3IUI5JhXNhyOFNlrUi6Zc9XMLlFQbsyo0otPDYbYQ08h_I_s_0N27EjMLgZ8dSWr7Zj2QISJJ2zdczhbVdllMqVx=w1200|https://lh3.googleusercontent.com/pw/AP1GczNatFQVcPkbx4_PCrvlGDlPZpcplg7QUiBMJnaKZjDxk9kSdk-aiqkk14W_yE5PRuK09WaymCDVQXPnBss17XCdYJKpXOFOKdshDe_gAOAGaKt7ASxQ=w1200|https://lh3.googleusercontent.com/pw/AP1GczNgWHumIzc5Io4cx89AccrEUBCJcN3x7Ky1uireznCP7_HuvW5vTWUGX7Wq0CIGhBJMvfwRf1ZtgWmui0TpaSBvKSVPAWeCNVntajFHrnyoh8EJQCF0=w1200|https://lh3.googleusercontent.com/pw/AP1GczP2xJly20FQc3-BYqUr85XUe2NBk6smd3SLeOBYKhJ6JTzwSLbLifUlUk6_bGZwlwiapGgQm0RMR6pHQY8ib_Woq0fU35MYz2vlt1pmWFA4oVaeLz5D=w1200|https://lh3.googleusercontent.com/pw/AP1GczOcqE8lJfTETxB29pGNcgVYbTuT9wJyChI47T9mjKPOx907WT_si4sHh7k0W-_n0IYO9FZJ_aLxFRAjz4441EextwcaC0-NO-UlZLM2VHYS-1PvIIMU=w1200|https://lh3.googleusercontent.com/pw/AP1GczNWzQO5t5Ih-vH6kuB7C_V9_vQpRx7P5119Zq8cf0w3E-EzUpy9w6BhKGK9N6FjfwuNl-BKcvEL4Z1EP4kchT99Vsu3xi_C3IdBmYLUwW_OPTKjMIdp=w1200|https://lh3.googleusercontent.com/pw/AP1GczN8VCaDPyHmHhPcACkcA0o8Zc_X64q0R7pu5Jx8EYhtgqr7YFqmOj4S-u4djktLVifRzrZ5DOKigBhcEpV1ziQXeSQij2zSph8XMesMAYn013bCYDat=w1200|https://lh3.googleusercontent.com/pw/AP1GczNcDZr_pP5vic4p_W3DGm8u-4iMUVv0XadUty9MBZdh7kubCZqliAQGQae-OzHXeA567rp3sXhjtA0ymvzxhM3LoG6NRoJfBlNx7D_S4S4E5wWvqVCF=w1200|https://lh3.googleusercontent.com/pw/AP1GczPNPg9L9Mq26f1QxLXzOFLXojVy4wPbosY93Mk4LpKgxxvznMU_T8Kfd9vMIqzRWulYgzMKWoY4FmuGw9I-_9SdcNKHRLano698NNjmUa-0fSH-DKdK=w1200|https://lh3.googleusercontent.com/pw/AP1GczPQfBqiF4S54vMJM3TpBXqcnMEqPHf28NAfWCeYxdaaxBYdljaMHankt__an60C-8uEG_eJaqy-cCFa3kumpCmBAEhqJuObXPsM3LIHV49XJzV5GNUB=w1200|https://lh3.googleusercontent.com/pw/AP1GczOBt24Oul1-sK4hQrYYsBe6m7nR7PyoqWj9t0qKk58brII-onbr0Qh4NRPwA81xWK6yfhQH3di09eHsFTmKRtqv5gQv0-lwzxPUYV0vpC98lk_wKjyj=w1200|https://lh3.googleusercontent.com/pw/AP1GczPg4C7zkIo95OKY4EEqykcho493rQOUt_T_DpXcBe4bLk3tKm3Y8JicmrvM6aFAbEqSC_882E59lufrvFcfLwsH3Tn0c0O6TXlJTsPX1ZNUk_1Cv0VU=w1200|https://lh3.googleusercontent.com/pw/AP1GczNG8PYt3zfigtNj8jeFzGQULYnvbzMVtIDy4ohJ6VpoU1oSvmPKuAvjTK-xaX0mWA76qRcgx-hdGPY-6Gq8DQA6AIDwt5jzavK8DESMdv6C_zi5Eel6=w1200|https://lh3.googleusercontent.com/pw/AP1GczPq7csbbFk5nFJNQ4hR3BdcWct1Q3f5LDdk8PqYsz3e3wcLb0Lakzcr94HvxGizVlDBNH4j8eGlRJtiwWlV3RnsZK37DttG1U8n0tKYE_00blZMA8z1=w1200|https://lh3.googleusercontent.com/pw/AP1GczMtGpjH_VYTmQuw0CNL5aP6rvoYhe54lgeZjpzv7kbdpojkEKy77_lo064WJpJ51fm45-KqhSgvJZor1YoMmv2_WBPKOHAYQccXsNlyE1D5AWEhAFKv=w1200|https://lh3.googleusercontent.com/pw/AP1GczOrWmeso06x-3ZPZWv0gHpAnNkWfXYg6UgZXv4zjFoNNlpBUZreb_BKNowZSHQzpd_LizSn6LHYi2G1WjEJ3OHFy11ZXrjD0Q80ZRbwCKOSvgP98UHB=w1200|https://lh3.googleusercontent.com/pw/AP1GczPykw4hTH-yeogcHcB8EmDQvWDtRBcV-z3C9YFucA4Ouc-z6lOerdcSQiK_k_wTOSG-GqWUCvBxba0wVOoFBuxxvpkpNjr6TCugog_jmhOUbsjgcx42=w1200|https://lh3.googleusercontent.com/pw/AP1GczM6ToJfwYeuLKJiqswnY64BwsHHAq_GkuvrdLnJvRI7eU-2joWI4QaJ9DNFxi-IZG5x_HkV1UZSwG1acxsdNH22BqCO7WAnyw7-ZFj1e8kAwwxpHCez=w1200|https://lh3.googleusercontent.com/pw/AP1GczPq2m9dFCKI1MriS_7YqJDMFdXVRSgtPhld0VolM2CD-L0Da6CFFsh8GLMEsSQIM1bGkkfD48WqiUlhZ_hLv_aStVrDWeDvbfE2q9jyQenJP8Q1zcnZ=w1200</v>
      </c>
      <c r="AJ584" s="46"/>
      <c r="AK584" s="46"/>
      <c r="AL584" s="46"/>
      <c r="AM584" s="46"/>
      <c r="AN584" s="46"/>
      <c r="AO584" s="46"/>
      <c r="AP584" s="46"/>
      <c r="AQ584" s="46"/>
      <c r="AR584" s="46"/>
      <c r="AS584" s="46"/>
      <c r="AT584" s="46"/>
      <c r="AU584" s="46"/>
      <c r="AV584" s="46"/>
      <c r="AW584" s="46"/>
      <c r="AX584" s="46"/>
      <c r="AY584" s="46"/>
      <c r="AZ584" s="46"/>
      <c r="BA584" s="46"/>
      <c r="BB584" s="46"/>
      <c r="BC584" s="46"/>
      <c r="BD584" s="46"/>
      <c r="BE584" s="46"/>
      <c r="BF584" s="46"/>
      <c r="BG584" s="46"/>
      <c r="BH584" s="46"/>
      <c r="BI584" s="46"/>
      <c r="BJ584" s="46"/>
      <c r="BK584" s="46"/>
      <c r="BL584" s="46"/>
      <c r="BM584" s="46"/>
      <c r="BN584" s="46"/>
      <c r="BO584" s="46"/>
      <c r="BP584" s="46"/>
      <c r="BQ584" s="46"/>
      <c r="BR584" s="46"/>
      <c r="BS584" s="46"/>
      <c r="BT584" s="46"/>
      <c r="BU584" s="46"/>
      <c r="BV584" s="46"/>
      <c r="BW584" s="46"/>
      <c r="BX584" s="46"/>
      <c r="BY584" s="46"/>
      <c r="BZ584" s="46"/>
      <c r="CA584" s="46"/>
      <c r="CB584" s="46"/>
      <c r="CC584" s="46"/>
    </row>
    <row r="585">
      <c r="A585" s="87" t="str">
        <f>IFERROR(__xludf.DUMMYFUNCTION("""COMPUTED_VALUE"""),"171")</f>
        <v>171</v>
      </c>
      <c r="B585" s="46" t="str">
        <f>IFERROR(__xludf.DUMMYFUNCTION("""COMPUTED_VALUE"""),"Lote en campestre en conjunto Condominio San Sebastian - Palermo")</f>
        <v>Lote en campestre en conjunto Condominio San Sebastian - Palermo</v>
      </c>
      <c r="C585" s="46" t="str">
        <f>IFERROR(__xludf.DUMMYFUNCTION("""COMPUTED_VALUE"""),"Lote campestre en conjunto")</f>
        <v>Lote campestre en conjunto</v>
      </c>
      <c r="D585" s="46"/>
      <c r="E585" s="90" t="str">
        <f>IFERROR(__xludf.DUMMYFUNCTION("""COMPUTED_VALUE"""),"Conjunto Condominio Campestre San Sbastian")</f>
        <v>Conjunto Condominio Campestre San Sbastian</v>
      </c>
      <c r="F585" s="90">
        <f>IFERROR(__xludf.DUMMYFUNCTION("""COMPUTED_VALUE"""),3.0E8)</f>
        <v>300000000</v>
      </c>
      <c r="G585" s="46" t="str">
        <f>IFERROR(__xludf.DUMMYFUNCTION("""COMPUTED_VALUE"""),"$300'000.000 a $400'000.000")</f>
        <v>$300'000.000 a $400'000.000</v>
      </c>
      <c r="H585" s="46"/>
      <c r="I585" s="46"/>
      <c r="J585" s="46" t="str">
        <f>IFERROR(__xludf.DUMMYFUNCTION("""COMPUTED_VALUE"""),"Sur")</f>
        <v>Sur</v>
      </c>
      <c r="K585" s="87"/>
      <c r="L585" s="46">
        <f>IFERROR(__xludf.DUMMYFUNCTION("""COMPUTED_VALUE"""),0.0)</f>
        <v>0</v>
      </c>
      <c r="M585" s="46"/>
      <c r="N585" s="46">
        <f>IFERROR(__xludf.DUMMYFUNCTION("""COMPUTED_VALUE"""),0.0)</f>
        <v>0</v>
      </c>
      <c r="O585" s="46">
        <f>IFERROR(__xludf.DUMMYFUNCTION("""COMPUTED_VALUE"""),0.0)</f>
        <v>0</v>
      </c>
      <c r="P585" s="46">
        <f>IFERROR(__xludf.DUMMYFUNCTION("""COMPUTED_VALUE"""),0.0)</f>
        <v>0</v>
      </c>
      <c r="Q585" s="92">
        <f>IFERROR(__xludf.DUMMYFUNCTION("""COMPUTED_VALUE"""),0.0)</f>
        <v>0</v>
      </c>
      <c r="R585" s="92">
        <f>IFERROR(__xludf.DUMMYFUNCTION("""COMPUTED_VALUE"""),1500.0)</f>
        <v>1500</v>
      </c>
      <c r="S585" s="87" t="str">
        <f>IFERROR(__xludf.DUMMYFUNCTION("""COMPUTED_VALUE""")," ")</f>
        <v> </v>
      </c>
      <c r="T585" s="46" t="str">
        <f>IFERROR(__xludf.DUMMYFUNCTION("""COMPUTED_VALUE"""),"Palermo")</f>
        <v>Palermo</v>
      </c>
      <c r="U585" s="87"/>
      <c r="V585" s="46" t="str">
        <f>IFERROR(__xludf.DUMMYFUNCTION("""COMPUTED_VALUE"""),"Esquinera")</f>
        <v>Esquinera</v>
      </c>
      <c r="W585" s="46"/>
      <c r="X585" s="46">
        <f>IFERROR(__xludf.DUMMYFUNCTION("""COMPUTED_VALUE"""),0.0)</f>
        <v>0</v>
      </c>
      <c r="Y585" s="46" t="str">
        <f>IFERROR(__xludf.DUMMYFUNCTION("""COMPUTED_VALUE"""),"Social")</f>
        <v>Social</v>
      </c>
      <c r="Z585" s="90"/>
      <c r="AA585" s="33" t="str">
        <f>IFERROR(__xludf.DUMMYFUNCTION("""COMPUTED_VALUE"""),"No aplica")</f>
        <v>No aplica</v>
      </c>
      <c r="AB585" s="96" t="str">
        <f>IFERROR(__xludf.DUMMYFUNCTION("""COMPUTED_VALUE"""),"https://photos.app.goo.gl/1FF1hSPMdyRTQRrr9")</f>
        <v>https://photos.app.goo.gl/1FF1hSPMdyRTQRrr9</v>
      </c>
      <c r="AC585" s="46" t="str">
        <f>IFERROR(__xludf.DUMMYFUNCTION("""COMPUTED_VALUE"""),"A 10 Minutos de Neiva. Cuenta con Energía Solar. Acueducto Propio. Alcantarillado. Gas Domiciliario.")</f>
        <v>A 10 Minutos de Neiva. Cuenta con Energía Solar. Acueducto Propio. Alcantarillado. Gas Domiciliario.</v>
      </c>
      <c r="AD585" s="46" t="str">
        <f>IFERROR(__xludf.DUMMYFUNCTION("""COMPUTED_VALUE"""),"El conjunto cuenta con lago de Pesca Deportiva. Pista de Cross. Salón Social. Capilla. Canchas Deportivas. Parque Infantil Gimnasio. Área de 1500 m2.")</f>
        <v>El conjunto cuenta con lago de Pesca Deportiva. Pista de Cross. Salón Social. Capilla. Canchas Deportivas. Parque Infantil Gimnasio. Área de 1500 m2.</v>
      </c>
      <c r="AE585" s="46"/>
      <c r="AF585" s="46">
        <f>IFERROR(__xludf.DUMMYFUNCTION("""COMPUTED_VALUE"""),0.0)</f>
        <v>0</v>
      </c>
      <c r="AG585" s="46"/>
      <c r="AH585" s="46" t="str">
        <f>IFERROR(__xludf.DUMMYFUNCTION("""COMPUTED_VALUE"""),"Aliado")</f>
        <v>Aliado</v>
      </c>
      <c r="AI585" s="92" t="str">
        <f>IFERROR(__xludf.DUMMYFUNCTION("""COMPUTED_VALUE"""),"https://lh3.googleusercontent.com/pw/AP1GczPiduRZlbPeXlDrj6RHU-psCpa2YDezMUBhQtay2TPqm1K3NL3FleO0_-gQc205vcmuDPpK3cNUSLa6aVEQ-YIVUxSY6mYSQDrLcCNLPAqpg0WPmrZ9=w1200|https://lh3.googleusercontent.com/pw/AP1GczOUSgpCNucWuKKH3VBZv5q_sQPd6AAA6KXcRfuuGasGg9emxf"&amp;"2esc25DBQmUSrmUVQanbfpSlXiAVtyCMw15jk9zXkakjJG1215YdNuTXQuGWfgmou-=w1200|https://lh3.googleusercontent.com/pw/AP1GczN5IAYqBbluu9553V5i7VOJC-FjWAFvoI9e9F_xn0xuK8VSwaBX7TBun2oRD4jQ02mbBx0ZsHs0ImpA2Caq4ZRPr_zkx92hfbD4Z_Jwk7lQpapDKWdh=w1200|https://lh3.google"&amp;"usercontent.com/pw/AP1GczM9ij8DukSlnmE8rlMDp0-a8dIAzK_SyIYnOEJ2KEVcyTWFbmCuvD4BmEP8CityZvlAPcbokd4RxNpbsyOXUZg99PKxiZkhAycOuJvsYrUmqf3B6_g2=w1200|https://lh3.googleusercontent.com/pw/AP1GczONQhI6JxqtftWjeTzro4n8q5uXCFTrdnHTHsss0f7ZLOX1sYvgyXuBdYDAvR0bS5B2"&amp;"qOVnXOLAtyCLVIkAAIIQ0M4wnKW1vuccr5RxhFRDxhbfK6-5=w1200|https://lh3.googleusercontent.com/pw/AP1GczNaBA-2zkJ3UoHwGRSynyezPI6FdvP-Ub2MjTYyelxS9T5o3xqTplWef-U5iMtYLK3UU9ti58bD2FGNvKrOY15Zj0ebW1cmu5MmQgXoY5wA7cMQ6dB-=w1200|https://lh3.googleusercontent.com/pw"&amp;"/AP1GczMbsFOB5tTiSt-ZAlI1z-q-xz3QwSkJIw9ZytI-4XxMIZVo0gannmZWnfM5mG8WGGFm3rypMuzA0Gwfj-y535_zYtQOU1DSpq5w6joP1jgKEo18euVq=w1200|https://lh3.googleusercontent.com/pw/AP1GczMglrxMCT9LVS3OWju14Ce6WfpN2EOmX7etSolvGpbb9DSWJSIk0cABQlkuJ29pA2EHVDTskba6Y5zk_yHw-f"&amp;"EsHlb49DPomZygcZ4zYQGPy2DNOcHU=w1200|https://lh3.googleusercontent.com/pw/AP1GczObbRgCsQcAUatcFNIyKPj1_1fmBZ_FOM57Hq9D3V2yLXbz4l25lgNV3Yl4SF0i_AN0KWTKgwb5kuei5isD1fCMo5lipF6MN6uECFK8IMejp531kU4N=w1200|https://lh3.googleusercontent.com/pw/AP1GczNVFZtZHhozT"&amp;"TsjVfs0PANa4IBHhi0iM9Cqba-VwrwGvIpxKhOGyotl2ShOsOkGMwmjUSMWl8Aaph0CRwI-tV8qhqUaGe2sPuUMMC1SLPNRmCj0haAG=w1200")</f>
        <v>https://lh3.googleusercontent.com/pw/AP1GczPiduRZlbPeXlDrj6RHU-psCpa2YDezMUBhQtay2TPqm1K3NL3FleO0_-gQc205vcmuDPpK3cNUSLa6aVEQ-YIVUxSY6mYSQDrLcCNLPAqpg0WPmrZ9=w1200|https://lh3.googleusercontent.com/pw/AP1GczOUSgpCNucWuKKH3VBZv5q_sQPd6AAA6KXcRfuuGasGg9emxf2esc25DBQmUSrmUVQanbfpSlXiAVtyCMw15jk9zXkakjJG1215YdNuTXQuGWfgmou-=w1200|https://lh3.googleusercontent.com/pw/AP1GczN5IAYqBbluu9553V5i7VOJC-FjWAFvoI9e9F_xn0xuK8VSwaBX7TBun2oRD4jQ02mbBx0ZsHs0ImpA2Caq4ZRPr_zkx92hfbD4Z_Jwk7lQpapDKWdh=w1200|https://lh3.googleusercontent.com/pw/AP1GczM9ij8DukSlnmE8rlMDp0-a8dIAzK_SyIYnOEJ2KEVcyTWFbmCuvD4BmEP8CityZvlAPcbokd4RxNpbsyOXUZg99PKxiZkhAycOuJvsYrUmqf3B6_g2=w1200|https://lh3.googleusercontent.com/pw/AP1GczONQhI6JxqtftWjeTzro4n8q5uXCFTrdnHTHsss0f7ZLOX1sYvgyXuBdYDAvR0bS5B2qOVnXOLAtyCLVIkAAIIQ0M4wnKW1vuccr5RxhFRDxhbfK6-5=w1200|https://lh3.googleusercontent.com/pw/AP1GczNaBA-2zkJ3UoHwGRSynyezPI6FdvP-Ub2MjTYyelxS9T5o3xqTplWef-U5iMtYLK3UU9ti58bD2FGNvKrOY15Zj0ebW1cmu5MmQgXoY5wA7cMQ6dB-=w1200|https://lh3.googleusercontent.com/pw/AP1GczMbsFOB5tTiSt-ZAlI1z-q-xz3QwSkJIw9ZytI-4XxMIZVo0gannmZWnfM5mG8WGGFm3rypMuzA0Gwfj-y535_zYtQOU1DSpq5w6joP1jgKEo18euVq=w1200|https://lh3.googleusercontent.com/pw/AP1GczMglrxMCT9LVS3OWju14Ce6WfpN2EOmX7etSolvGpbb9DSWJSIk0cABQlkuJ29pA2EHVDTskba6Y5zk_yHw-fEsHlb49DPomZygcZ4zYQGPy2DNOcHU=w1200|https://lh3.googleusercontent.com/pw/AP1GczObbRgCsQcAUatcFNIyKPj1_1fmBZ_FOM57Hq9D3V2yLXbz4l25lgNV3Yl4SF0i_AN0KWTKgwb5kuei5isD1fCMo5lipF6MN6uECFK8IMejp531kU4N=w1200|https://lh3.googleusercontent.com/pw/AP1GczNVFZtZHhozTTsjVfs0PANa4IBHhi0iM9Cqba-VwrwGvIpxKhOGyotl2ShOsOkGMwmjUSMWl8Aaph0CRwI-tV8qhqUaGe2sPuUMMC1SLPNRmCj0haAG=w1200</v>
      </c>
      <c r="AJ585" s="46"/>
      <c r="AK585" s="46"/>
      <c r="AL585" s="46"/>
      <c r="AM585" s="46"/>
      <c r="AN585" s="46"/>
      <c r="AO585" s="46"/>
      <c r="AP585" s="46"/>
      <c r="AQ585" s="46"/>
      <c r="AR585" s="46"/>
      <c r="AS585" s="46"/>
      <c r="AT585" s="46"/>
      <c r="AU585" s="46"/>
      <c r="AV585" s="46"/>
      <c r="AW585" s="46"/>
      <c r="AX585" s="46"/>
      <c r="AY585" s="46"/>
      <c r="AZ585" s="46"/>
      <c r="BA585" s="46"/>
      <c r="BB585" s="46"/>
      <c r="BC585" s="46"/>
      <c r="BD585" s="46"/>
      <c r="BE585" s="46"/>
      <c r="BF585" s="46"/>
      <c r="BG585" s="46"/>
      <c r="BH585" s="46"/>
      <c r="BI585" s="46"/>
      <c r="BJ585" s="46"/>
      <c r="BK585" s="46"/>
      <c r="BL585" s="46"/>
      <c r="BM585" s="46"/>
      <c r="BN585" s="46"/>
      <c r="BO585" s="46"/>
      <c r="BP585" s="46"/>
      <c r="BQ585" s="46"/>
      <c r="BR585" s="46"/>
      <c r="BS585" s="46"/>
      <c r="BT585" s="46"/>
      <c r="BU585" s="46"/>
      <c r="BV585" s="46"/>
      <c r="BW585" s="46"/>
      <c r="BX585" s="46"/>
      <c r="BY585" s="46"/>
      <c r="BZ585" s="46"/>
      <c r="CA585" s="46"/>
      <c r="CB585" s="46"/>
      <c r="CC585" s="46"/>
    </row>
    <row r="586">
      <c r="A586" s="87" t="str">
        <f>IFERROR(__xludf.DUMMYFUNCTION("""COMPUTED_VALUE"""),"132")</f>
        <v>132</v>
      </c>
      <c r="B586" s="46" t="str">
        <f>IFERROR(__xludf.DUMMYFUNCTION("""COMPUTED_VALUE"""),"Casa en barrio El Tesoro")</f>
        <v>Casa en barrio El Tesoro</v>
      </c>
      <c r="C586" s="46" t="str">
        <f>IFERROR(__xludf.DUMMYFUNCTION("""COMPUTED_VALUE"""),"Casa")</f>
        <v>Casa</v>
      </c>
      <c r="D586" s="46" t="str">
        <f>IFERROR(__xludf.DUMMYFUNCTION("""COMPUTED_VALUE"""),"El Tesoro")</f>
        <v>El Tesoro</v>
      </c>
      <c r="E586" s="46"/>
      <c r="F586" s="90">
        <f>IFERROR(__xludf.DUMMYFUNCTION("""COMPUTED_VALUE"""),3.0E8)</f>
        <v>300000000</v>
      </c>
      <c r="G586" s="46" t="str">
        <f>IFERROR(__xludf.DUMMYFUNCTION("""COMPUTED_VALUE"""),"$300'000.000 a $400'000.000")</f>
        <v>$300'000.000 a $400'000.000</v>
      </c>
      <c r="H586" s="46"/>
      <c r="I586" s="46"/>
      <c r="J586" s="46" t="str">
        <f>IFERROR(__xludf.DUMMYFUNCTION("""COMPUTED_VALUE"""),"Oriente")</f>
        <v>Oriente</v>
      </c>
      <c r="K586" s="87" t="str">
        <f>IFERROR(__xludf.DUMMYFUNCTION("""COMPUTED_VALUE"""),"10")</f>
        <v>10</v>
      </c>
      <c r="L586" s="46">
        <f>IFERROR(__xludf.DUMMYFUNCTION("""COMPUTED_VALUE"""),4.0)</f>
        <v>4</v>
      </c>
      <c r="M586" s="46"/>
      <c r="N586" s="46">
        <f>IFERROR(__xludf.DUMMYFUNCTION("""COMPUTED_VALUE"""),1.0)</f>
        <v>1</v>
      </c>
      <c r="O586" s="46"/>
      <c r="P586" s="46">
        <f>IFERROR(__xludf.DUMMYFUNCTION("""COMPUTED_VALUE"""),2.0)</f>
        <v>2</v>
      </c>
      <c r="Q586" s="92">
        <f>IFERROR(__xludf.DUMMYFUNCTION("""COMPUTED_VALUE"""),126.0)</f>
        <v>126</v>
      </c>
      <c r="R586" s="92"/>
      <c r="S586" s="87" t="str">
        <f>IFERROR(__xludf.DUMMYFUNCTION("""COMPUTED_VALUE""")," ")</f>
        <v> </v>
      </c>
      <c r="T586" s="46" t="str">
        <f>IFERROR(__xludf.DUMMYFUNCTION("""COMPUTED_VALUE"""),"Neiva")</f>
        <v>Neiva</v>
      </c>
      <c r="U586" s="87" t="str">
        <f>IFERROR(__xludf.DUMMYFUNCTION("""COMPUTED_VALUE"""),"2")</f>
        <v>2</v>
      </c>
      <c r="V586" s="46" t="str">
        <f>IFERROR(__xludf.DUMMYFUNCTION("""COMPUTED_VALUE"""),"Medianera")</f>
        <v>Medianera</v>
      </c>
      <c r="W586" s="46"/>
      <c r="X586" s="46">
        <f>IFERROR(__xludf.DUMMYFUNCTION("""COMPUTED_VALUE"""),0.0)</f>
        <v>0</v>
      </c>
      <c r="Y586" s="46" t="str">
        <f>IFERROR(__xludf.DUMMYFUNCTION("""COMPUTED_VALUE"""),"No tiene")</f>
        <v>No tiene</v>
      </c>
      <c r="Z586" s="90" t="str">
        <f>IFERROR(__xludf.DUMMYFUNCTION("""COMPUTED_VALUE"""),"No aplica")</f>
        <v>No aplica</v>
      </c>
      <c r="AA586" s="33" t="str">
        <f>IFERROR(__xludf.DUMMYFUNCTION("""COMPUTED_VALUE"""),"No aplica")</f>
        <v>No aplica</v>
      </c>
      <c r="AB586" s="144" t="str">
        <f>IFERROR(__xludf.DUMMYFUNCTION("""COMPUTED_VALUE"""),"https://photos.google.com/share/AF1QipMCki-kqHhOmS69tHMmgs1D7ZJ9qNSNHx6SeZXWE8qpo6kAaNUu--AC9PTAVRIfcw?key=cW1UeDNFSk1ldGlUMFYzd0lMOHFPb0tURG96UWRn")</f>
        <v>https://photos.google.com/share/AF1QipMCki-kqHhOmS69tHMmgs1D7ZJ9qNSNHx6SeZXWE8qpo6kAaNUu--AC9PTAVRIfcw?key=cW1UeDNFSk1ldGlUMFYzd0lMOHFPb0tURG96UWRn</v>
      </c>
      <c r="AC586" s="46"/>
      <c r="AD586" s="46" t="str">
        <f>IFERROR(__xludf.DUMMYFUNCTION("""COMPUTED_VALUE"""),"Placa segundo piso techada")</f>
        <v>Placa segundo piso techada</v>
      </c>
      <c r="AE586" s="46"/>
      <c r="AF586" s="46" t="str">
        <f>IFERROR(__xludf.DUMMYFUNCTION("""COMPUTED_VALUE"""),"integral")</f>
        <v>integral</v>
      </c>
      <c r="AG586" s="46"/>
      <c r="AH586" s="46" t="str">
        <f>IFERROR(__xludf.DUMMYFUNCTION("""COMPUTED_VALUE"""),"Aliado")</f>
        <v>Aliado</v>
      </c>
      <c r="AI586" s="92" t="str">
        <f>IFERROR(__xludf.DUMMYFUNCTION("""COMPUTED_VALUE"""),"https://lh3.googleusercontent.com/pw/AP1GczM-UF7JlHcCtPq3EqTgSGe9jw3nazob4Kg02c3As-J2haKNAcRy3jccbqj2j0TF488v5CXeVkVfKYcvrKvEN5GFhaoK4zheyQwsPMGb-rhBLMoQ3Ggs=w1200|https://lh3.googleusercontent.com/pw/AP1GczM9pCo_o7A05uEqTYTjG-75qRE5oWh4YFiZKieyUY-6a1nfTd"&amp;"djtvdUr84etKP5Xti3EH_o6cV6F9K3j7CEGtRFJAmsgcOoWjPDKkkrkzr8CNulGp51=w1200|https://lh3.googleusercontent.com/pw/AP1GczP6iaYYPLveQx6h7PWwbQGs8Zd1o4dWLdcKh4svho-eORU08xVgMK0bR21ETuRA7SWNCtKeiNR71RwizpyLS_j8lOhCXcn9CCysS5WMjQIO7HSGFw1F=w1200|https://lh3.google"&amp;"usercontent.com/pw/AP1GczNU0MVDTNIgnv85XVhZz2w14Ux9gEZfPnYTcYAVlsqFysPGGGx8J5bu-DpvAdUK9KiJIk0LScO_XDEm0JZ_dh7HsU8t-CqGUKO5xGcjnt4Q3lLo9JEW=w1200|https://lh3.googleusercontent.com/pw/AP1GczPO4O48P4xy6tT69SNT4w6skshzz2Y_iAp5Ncrerhq2mOoalHQfEuewPztbP99IIbTE"&amp;"vfeUfejmj-ODbAW4oLnVR6LkGtEyf_k_DUQ3cgsykeSmTjKJ=w1200|https://lh3.googleusercontent.com/pw/AP1GczNNAe-1BjbsUgdM9J8_ewXUhGL1BKNpmOhV6cFCISGselps6pLaltsvc8KWRrp0f9tdViHGlJalJP4lrlI4yReVCvyskx5z29jV2suKRnBsQWxtM1RR=w1200|https://lh3.googleusercontent.com/pw"&amp;"/AP1GczOITgaTOwjLTvz3znn3copF5vT19y8c9zU5BaHpZS4Ah4G0dlqJXhVVcqtK0VtXneiUBxgXy57SNRiQN6OOg3OSP__5YdTQd2CQAnxT36RriekxnojC=w1200")</f>
        <v>https://lh3.googleusercontent.com/pw/AP1GczM-UF7JlHcCtPq3EqTgSGe9jw3nazob4Kg02c3As-J2haKNAcRy3jccbqj2j0TF488v5CXeVkVfKYcvrKvEN5GFhaoK4zheyQwsPMGb-rhBLMoQ3Ggs=w1200|https://lh3.googleusercontent.com/pw/AP1GczM9pCo_o7A05uEqTYTjG-75qRE5oWh4YFiZKieyUY-6a1nfTddjtvdUr84etKP5Xti3EH_o6cV6F9K3j7CEGtRFJAmsgcOoWjPDKkkrkzr8CNulGp51=w1200|https://lh3.googleusercontent.com/pw/AP1GczP6iaYYPLveQx6h7PWwbQGs8Zd1o4dWLdcKh4svho-eORU08xVgMK0bR21ETuRA7SWNCtKeiNR71RwizpyLS_j8lOhCXcn9CCysS5WMjQIO7HSGFw1F=w1200|https://lh3.googleusercontent.com/pw/AP1GczNU0MVDTNIgnv85XVhZz2w14Ux9gEZfPnYTcYAVlsqFysPGGGx8J5bu-DpvAdUK9KiJIk0LScO_XDEm0JZ_dh7HsU8t-CqGUKO5xGcjnt4Q3lLo9JEW=w1200|https://lh3.googleusercontent.com/pw/AP1GczPO4O48P4xy6tT69SNT4w6skshzz2Y_iAp5Ncrerhq2mOoalHQfEuewPztbP99IIbTEvfeUfejmj-ODbAW4oLnVR6LkGtEyf_k_DUQ3cgsykeSmTjKJ=w1200|https://lh3.googleusercontent.com/pw/AP1GczNNAe-1BjbsUgdM9J8_ewXUhGL1BKNpmOhV6cFCISGselps6pLaltsvc8KWRrp0f9tdViHGlJalJP4lrlI4yReVCvyskx5z29jV2suKRnBsQWxtM1RR=w1200|https://lh3.googleusercontent.com/pw/AP1GczOITgaTOwjLTvz3znn3copF5vT19y8c9zU5BaHpZS4Ah4G0dlqJXhVVcqtK0VtXneiUBxgXy57SNRiQN6OOg3OSP__5YdTQd2CQAnxT36RriekxnojC=w1200</v>
      </c>
      <c r="AJ586" s="46"/>
      <c r="AK586" s="46"/>
      <c r="AL586" s="46"/>
      <c r="AM586" s="46"/>
      <c r="AN586" s="46"/>
      <c r="AO586" s="46"/>
      <c r="AP586" s="46"/>
      <c r="AQ586" s="46"/>
      <c r="AR586" s="46"/>
      <c r="AS586" s="46"/>
      <c r="AT586" s="46"/>
      <c r="AU586" s="46"/>
      <c r="AV586" s="46"/>
      <c r="AW586" s="46"/>
      <c r="AX586" s="46"/>
      <c r="AY586" s="46"/>
      <c r="AZ586" s="46"/>
      <c r="BA586" s="46"/>
      <c r="BB586" s="46"/>
      <c r="BC586" s="46"/>
      <c r="BD586" s="46"/>
      <c r="BE586" s="46"/>
      <c r="BF586" s="46"/>
      <c r="BG586" s="46"/>
      <c r="BH586" s="46"/>
      <c r="BI586" s="46"/>
      <c r="BJ586" s="46"/>
      <c r="BK586" s="46"/>
      <c r="BL586" s="46"/>
      <c r="BM586" s="46"/>
      <c r="BN586" s="46"/>
      <c r="BO586" s="46"/>
      <c r="BP586" s="46"/>
      <c r="BQ586" s="46"/>
      <c r="BR586" s="46"/>
      <c r="BS586" s="46"/>
      <c r="BT586" s="46"/>
      <c r="BU586" s="46"/>
      <c r="BV586" s="46"/>
      <c r="BW586" s="46"/>
      <c r="BX586" s="46"/>
      <c r="BY586" s="46"/>
      <c r="BZ586" s="46"/>
      <c r="CA586" s="46"/>
      <c r="CB586" s="46"/>
      <c r="CC586" s="46"/>
    </row>
    <row r="587">
      <c r="A587" s="87" t="str">
        <f>IFERROR(__xludf.DUMMYFUNCTION("""COMPUTED_VALUE"""),"725")</f>
        <v>725</v>
      </c>
      <c r="B587" s="46" t="str">
        <f>IFERROR(__xludf.DUMMYFUNCTION("""COMPUTED_VALUE"""),"Apartamento en Conjunto  Residencial Terravento -  Sur-Or")</f>
        <v>Apartamento en Conjunto  Residencial Terravento -  Sur-Or</v>
      </c>
      <c r="C587" s="46" t="str">
        <f>IFERROR(__xludf.DUMMYFUNCTION("""COMPUTED_VALUE"""),"Apartamento en conjunto")</f>
        <v>Apartamento en conjunto</v>
      </c>
      <c r="D587" s="46"/>
      <c r="E587" s="90" t="str">
        <f>IFERROR(__xludf.DUMMYFUNCTION("""COMPUTED_VALUE"""),"Conjunto Residencial Terravento")</f>
        <v>Conjunto Residencial Terravento</v>
      </c>
      <c r="F587" s="90">
        <f>IFERROR(__xludf.DUMMYFUNCTION("""COMPUTED_VALUE"""),2.8E8)</f>
        <v>280000000</v>
      </c>
      <c r="G587" s="46" t="str">
        <f>IFERROR(__xludf.DUMMYFUNCTION("""COMPUTED_VALUE"""),"$200'000.000 a $300'000.000")</f>
        <v>$200'000.000 a $300'000.000</v>
      </c>
      <c r="H587" s="46"/>
      <c r="I587" s="46"/>
      <c r="J587" s="46" t="str">
        <f>IFERROR(__xludf.DUMMYFUNCTION("""COMPUTED_VALUE"""),"Sur")</f>
        <v>Sur</v>
      </c>
      <c r="K587" s="87" t="str">
        <f>IFERROR(__xludf.DUMMYFUNCTION("""COMPUTED_VALUE"""),"6")</f>
        <v>6</v>
      </c>
      <c r="L587" s="46">
        <f>IFERROR(__xludf.DUMMYFUNCTION("""COMPUTED_VALUE"""),3.0)</f>
        <v>3</v>
      </c>
      <c r="M587" s="46"/>
      <c r="N587" s="46">
        <f>IFERROR(__xludf.DUMMYFUNCTION("""COMPUTED_VALUE"""),2.0)</f>
        <v>2</v>
      </c>
      <c r="O587" s="46">
        <f>IFERROR(__xludf.DUMMYFUNCTION("""COMPUTED_VALUE"""),2.0)</f>
        <v>2</v>
      </c>
      <c r="P587" s="46">
        <f>IFERROR(__xludf.DUMMYFUNCTION("""COMPUTED_VALUE"""),3.0)</f>
        <v>3</v>
      </c>
      <c r="Q587" s="92">
        <f>IFERROR(__xludf.DUMMYFUNCTION("""COMPUTED_VALUE"""),95.0)</f>
        <v>95</v>
      </c>
      <c r="R587" s="92">
        <f>IFERROR(__xludf.DUMMYFUNCTION("""COMPUTED_VALUE"""),95.0)</f>
        <v>95</v>
      </c>
      <c r="S587" s="87" t="str">
        <f>IFERROR(__xludf.DUMMYFUNCTION("""COMPUTED_VALUE""")," ")</f>
        <v> </v>
      </c>
      <c r="T587" s="46" t="str">
        <f>IFERROR(__xludf.DUMMYFUNCTION("""COMPUTED_VALUE"""),"Neiva")</f>
        <v>Neiva</v>
      </c>
      <c r="U587" s="87" t="str">
        <f>IFERROR(__xludf.DUMMYFUNCTION("""COMPUTED_VALUE"""),"3")</f>
        <v>3</v>
      </c>
      <c r="V587" s="46" t="str">
        <f>IFERROR(__xludf.DUMMYFUNCTION("""COMPUTED_VALUE"""),"3er.")</f>
        <v>3er.</v>
      </c>
      <c r="W587" s="46"/>
      <c r="X587" s="46">
        <f>IFERROR(__xludf.DUMMYFUNCTION("""COMPUTED_VALUE"""),3.0)</f>
        <v>3</v>
      </c>
      <c r="Y587" s="46" t="str">
        <f>IFERROR(__xludf.DUMMYFUNCTION("""COMPUTED_VALUE"""),"Social")</f>
        <v>Social</v>
      </c>
      <c r="Z587" s="90"/>
      <c r="AA587" s="33" t="str">
        <f>IFERROR(__xludf.DUMMYFUNCTION("""COMPUTED_VALUE"""),"No aplica")</f>
        <v>No aplica</v>
      </c>
      <c r="AB587" s="96" t="str">
        <f>IFERROR(__xludf.DUMMYFUNCTION("""COMPUTED_VALUE"""),"https://photos.app.goo.gl/12KY9ToTsDFbGKdj9")</f>
        <v>https://photos.app.goo.gl/12KY9ToTsDFbGKdj9</v>
      </c>
      <c r="AC587" s="46" t="str">
        <f>IFERROR(__xludf.DUMMYFUNCTION("""COMPUTED_VALUE"""),"Apartamento con buenos acabados, piso en porcelanato, vidrio templado y cocina integral.")</f>
        <v>Apartamento con buenos acabados, piso en porcelanato, vidrio templado y cocina integral.</v>
      </c>
      <c r="AD587" s="46" t="str">
        <f>IFERROR(__xludf.DUMMYFUNCTION("""COMPUTED_VALUE"""),"Conjunto ubicado sobre  avenida principal.")</f>
        <v>Conjunto ubicado sobre  avenida principal.</v>
      </c>
      <c r="AE587" s="46"/>
      <c r="AF587" s="46" t="str">
        <f>IFERROR(__xludf.DUMMYFUNCTION("""COMPUTED_VALUE"""),"integral")</f>
        <v>integral</v>
      </c>
      <c r="AG587" s="46"/>
      <c r="AH587" s="46" t="str">
        <f>IFERROR(__xludf.DUMMYFUNCTION("""COMPUTED_VALUE"""),"Aliado")</f>
        <v>Aliado</v>
      </c>
      <c r="AI587" s="92" t="str">
        <f>IFERROR(__xludf.DUMMYFUNCTION("""COMPUTED_VALUE"""),"https://lh3.googleusercontent.com/pw/AP1GczMJKLF5eMCsgV4RED4XDdBRAFBwCiYz4fnDx4qvb4shKOCH9OI4vLLqelFTyimBr9lsqZjzBO4-kQI7A3lhbzkkqrVhPyu6c98e_lHQ5r3bffeKjJG4=w1200|https://lh3.googleusercontent.com/pw/AP1GczNgXtKesT8wT6gLhDiq5ne9SC9KgsP4F4Ot4XES6G7ZRz3Rbs"&amp;"PlXPBcUbXFthS3K_XlmbCKt351PJSU4cz0EMH_A3mUHULNFJp-hn_sZhxE8iBN2XrM=w1200|https://lh3.googleusercontent.com/pw/AP1GczPNqTqQJRkgQyFnduV2CqAvznJaoLP0OOWjMmAnTh4Of7QoV_8xnEmXtwyN4LWgqEp8ZhgKvxuxp4O96CQn2Aews3hSr29GXYLCoMCh5Y5qNsaKE7rz=w1200|https://lh3.google"&amp;"usercontent.com/pw/AP1GczPpEVteksrw9FzKH9YZhfL8tUwiP9l7MxOUdDms0YfG6F5z2eSKrBLCB9xI4tmklh8Vvt-wghznx-VRUbmO44RcHTKpC1_pYuS8WE0d3ajHq5LwQaHn=w1200|https://lh3.googleusercontent.com/pw/AP1GczMuLys-WfKSCEDYUMefrzz88I8xo-gd7zb8vynExLNUt_e-oxL9LokR0_XXy1_sxxgf"&amp;"S4opCf71naxymxDC9KNHr2FJ09sw1TNELZgVvezpl6wfgEls=w1200|https://lh3.googleusercontent.com/pw/AP1GczNcowAfpPVj9OcB6kwJMn6h50YjO4qFXrrXvFz8hu1LgWHfUWgyrzQg36CIuqYkqbrogHGoC4HK2dTyh7bD0V3xa6Pj3IirCBT4I-ycV_MmF9mPkiEf=w1200|https://lh3.googleusercontent.com/pw"&amp;"/AP1GczORiz8camo7HJbe482cJ9Eq71hV1wR_r2vXGM6y_Ikn4cqV_Oz0e48YHxce6QmkFp3nqb9VCnmRMBf8FQKMzFDJrFuxXNtNoyRzoXPie-YCcNls0nrL=w1200|https://lh3.googleusercontent.com/pw/AP1GczOcH5XheOuaf5WyIRIiKES3xPO6TEnXcDHYQAD2LE1zsWRShTSj7VkXPtQAgR_zYulXmFD9jHWW3mCzmc9_oi"&amp;"qRg3X7NZlumn5uH83Fu8HtqOfi4yHS=w1200|https://lh3.googleusercontent.com/pw/AP1GczM-KWzjOERmUjfqnhnbWns3GibvMOcf6bkvUdX4rDZv2JAWXhgxcg_sjA90S7D-cqpE30pt-ZuU3AAbN-MKIMhb4wpWhFfrQDnGA8YPHvBkjAZQVaEI=w1200|https://lh3.googleusercontent.com/pw/AP1GczMMnj5_x6J-c"&amp;"f27GphlZAIFPBf6MCP_hkB23Q97A3JXBz06JSGrgDQ_B3M7z5JgICMOOsQbZN7FiYCV8THIRcDF20RYBK95X4FYtqXUKQvXCaxhYAbs=w1200|https://lh3.googleusercontent.com/pw/AP1GczPaSmIXX-41NAHiWncIm8e0ZdhejobpPEtMaGv9xFz5CMSptvbYXLSB8Z7DnjJ7raXGP2E22Oj42IT0v8St112RwLHoRZ8fovE-OIdp"&amp;"2OsYcNL92mbP=w1200")</f>
        <v>https://lh3.googleusercontent.com/pw/AP1GczMJKLF5eMCsgV4RED4XDdBRAFBwCiYz4fnDx4qvb4shKOCH9OI4vLLqelFTyimBr9lsqZjzBO4-kQI7A3lhbzkkqrVhPyu6c98e_lHQ5r3bffeKjJG4=w1200|https://lh3.googleusercontent.com/pw/AP1GczNgXtKesT8wT6gLhDiq5ne9SC9KgsP4F4Ot4XES6G7ZRz3RbsPlXPBcUbXFthS3K_XlmbCKt351PJSU4cz0EMH_A3mUHULNFJp-hn_sZhxE8iBN2XrM=w1200|https://lh3.googleusercontent.com/pw/AP1GczPNqTqQJRkgQyFnduV2CqAvznJaoLP0OOWjMmAnTh4Of7QoV_8xnEmXtwyN4LWgqEp8ZhgKvxuxp4O96CQn2Aews3hSr29GXYLCoMCh5Y5qNsaKE7rz=w1200|https://lh3.googleusercontent.com/pw/AP1GczPpEVteksrw9FzKH9YZhfL8tUwiP9l7MxOUdDms0YfG6F5z2eSKrBLCB9xI4tmklh8Vvt-wghznx-VRUbmO44RcHTKpC1_pYuS8WE0d3ajHq5LwQaHn=w1200|https://lh3.googleusercontent.com/pw/AP1GczMuLys-WfKSCEDYUMefrzz88I8xo-gd7zb8vynExLNUt_e-oxL9LokR0_XXy1_sxxgfS4opCf71naxymxDC9KNHr2FJ09sw1TNELZgVvezpl6wfgEls=w1200|https://lh3.googleusercontent.com/pw/AP1GczNcowAfpPVj9OcB6kwJMn6h50YjO4qFXrrXvFz8hu1LgWHfUWgyrzQg36CIuqYkqbrogHGoC4HK2dTyh7bD0V3xa6Pj3IirCBT4I-ycV_MmF9mPkiEf=w1200|https://lh3.googleusercontent.com/pw/AP1GczORiz8camo7HJbe482cJ9Eq71hV1wR_r2vXGM6y_Ikn4cqV_Oz0e48YHxce6QmkFp3nqb9VCnmRMBf8FQKMzFDJrFuxXNtNoyRzoXPie-YCcNls0nrL=w1200|https://lh3.googleusercontent.com/pw/AP1GczOcH5XheOuaf5WyIRIiKES3xPO6TEnXcDHYQAD2LE1zsWRShTSj7VkXPtQAgR_zYulXmFD9jHWW3mCzmc9_oiqRg3X7NZlumn5uH83Fu8HtqOfi4yHS=w1200|https://lh3.googleusercontent.com/pw/AP1GczM-KWzjOERmUjfqnhnbWns3GibvMOcf6bkvUdX4rDZv2JAWXhgxcg_sjA90S7D-cqpE30pt-ZuU3AAbN-MKIMhb4wpWhFfrQDnGA8YPHvBkjAZQVaEI=w1200|https://lh3.googleusercontent.com/pw/AP1GczMMnj5_x6J-cf27GphlZAIFPBf6MCP_hkB23Q97A3JXBz06JSGrgDQ_B3M7z5JgICMOOsQbZN7FiYCV8THIRcDF20RYBK95X4FYtqXUKQvXCaxhYAbs=w1200|https://lh3.googleusercontent.com/pw/AP1GczPaSmIXX-41NAHiWncIm8e0ZdhejobpPEtMaGv9xFz5CMSptvbYXLSB8Z7DnjJ7raXGP2E22Oj42IT0v8St112RwLHoRZ8fovE-OIdp2OsYcNL92mbP=w1200</v>
      </c>
      <c r="AJ587" s="46"/>
      <c r="AK587" s="46"/>
      <c r="AL587" s="46"/>
      <c r="AM587" s="46"/>
      <c r="AN587" s="46"/>
      <c r="AO587" s="46"/>
      <c r="AP587" s="46"/>
      <c r="AQ587" s="46"/>
      <c r="AR587" s="46"/>
      <c r="AS587" s="46"/>
      <c r="AT587" s="46"/>
      <c r="AU587" s="46"/>
      <c r="AV587" s="46"/>
      <c r="AW587" s="46"/>
      <c r="AX587" s="46"/>
      <c r="AY587" s="46"/>
      <c r="AZ587" s="46"/>
      <c r="BA587" s="46"/>
      <c r="BB587" s="46"/>
      <c r="BC587" s="46"/>
      <c r="BD587" s="46"/>
      <c r="BE587" s="46"/>
      <c r="BF587" s="46"/>
      <c r="BG587" s="46"/>
      <c r="BH587" s="46"/>
      <c r="BI587" s="46"/>
      <c r="BJ587" s="46"/>
      <c r="BK587" s="46"/>
      <c r="BL587" s="46"/>
      <c r="BM587" s="46"/>
      <c r="BN587" s="46"/>
      <c r="BO587" s="46"/>
      <c r="BP587" s="46"/>
      <c r="BQ587" s="46"/>
      <c r="BR587" s="46"/>
      <c r="BS587" s="46"/>
      <c r="BT587" s="46"/>
      <c r="BU587" s="46"/>
      <c r="BV587" s="46"/>
      <c r="BW587" s="46"/>
      <c r="BX587" s="46"/>
      <c r="BY587" s="46"/>
      <c r="BZ587" s="46"/>
      <c r="CA587" s="46"/>
      <c r="CB587" s="46"/>
      <c r="CC587" s="46"/>
    </row>
    <row r="588">
      <c r="A588" s="87" t="str">
        <f>IFERROR(__xludf.DUMMYFUNCTION("""COMPUTED_VALUE"""),"754")</f>
        <v>754</v>
      </c>
      <c r="B588" s="46" t="str">
        <f>IFERROR(__xludf.DUMMYFUNCTION("""COMPUTED_VALUE"""),"Finca campestre - Vda. San Antonio bajo - Aipe - Huila")</f>
        <v>Finca campestre - Vda. San Antonio bajo - Aipe - Huila</v>
      </c>
      <c r="C588" s="46" t="str">
        <f>IFERROR(__xludf.DUMMYFUNCTION("""COMPUTED_VALUE"""),"Finca")</f>
        <v>Finca</v>
      </c>
      <c r="D588" s="46"/>
      <c r="E588" s="46"/>
      <c r="F588" s="90">
        <f>IFERROR(__xludf.DUMMYFUNCTION("""COMPUTED_VALUE"""),2.7E8)</f>
        <v>270000000</v>
      </c>
      <c r="G588" s="46" t="str">
        <f>IFERROR(__xludf.DUMMYFUNCTION("""COMPUTED_VALUE"""),"$200'000.000 a $300'000.000")</f>
        <v>$200'000.000 a $300'000.000</v>
      </c>
      <c r="H588" s="46"/>
      <c r="I588" s="46"/>
      <c r="J588" s="46" t="str">
        <f>IFERROR(__xludf.DUMMYFUNCTION("""COMPUTED_VALUE"""),"Rural")</f>
        <v>Rural</v>
      </c>
      <c r="K588" s="87"/>
      <c r="L588" s="46">
        <f>IFERROR(__xludf.DUMMYFUNCTION("""COMPUTED_VALUE"""),4.0)</f>
        <v>4</v>
      </c>
      <c r="M588" s="46"/>
      <c r="N588" s="46">
        <f>IFERROR(__xludf.DUMMYFUNCTION("""COMPUTED_VALUE"""),2.0)</f>
        <v>2</v>
      </c>
      <c r="O588" s="46">
        <f>IFERROR(__xludf.DUMMYFUNCTION("""COMPUTED_VALUE"""),2.0)</f>
        <v>2</v>
      </c>
      <c r="P588" s="46">
        <f>IFERROR(__xludf.DUMMYFUNCTION("""COMPUTED_VALUE"""),1.0)</f>
        <v>1</v>
      </c>
      <c r="Q588" s="92">
        <f>IFERROR(__xludf.DUMMYFUNCTION("""COMPUTED_VALUE"""),0.0)</f>
        <v>0</v>
      </c>
      <c r="R588" s="92">
        <f>IFERROR(__xludf.DUMMYFUNCTION("""COMPUTED_VALUE"""),25000.0)</f>
        <v>25000</v>
      </c>
      <c r="S588" s="87"/>
      <c r="T588" s="46" t="str">
        <f>IFERROR(__xludf.DUMMYFUNCTION("""COMPUTED_VALUE"""),"Aipe")</f>
        <v>Aipe</v>
      </c>
      <c r="U588" s="87"/>
      <c r="V588" s="46"/>
      <c r="W588" s="46"/>
      <c r="X588" s="46">
        <f>IFERROR(__xludf.DUMMYFUNCTION("""COMPUTED_VALUE"""),2.0)</f>
        <v>2</v>
      </c>
      <c r="Y588" s="46" t="str">
        <f>IFERROR(__xludf.DUMMYFUNCTION("""COMPUTED_VALUE"""),"No tiene")</f>
        <v>No tiene</v>
      </c>
      <c r="Z588" s="90" t="str">
        <f>IFERROR(__xludf.DUMMYFUNCTION("""COMPUTED_VALUE"""),"No aplica")</f>
        <v>No aplica</v>
      </c>
      <c r="AA588" s="33" t="str">
        <f>IFERROR(__xludf.DUMMYFUNCTION("""COMPUTED_VALUE"""),"No aplica")</f>
        <v>No aplica</v>
      </c>
      <c r="AB588" s="96" t="str">
        <f>IFERROR(__xludf.DUMMYFUNCTION("""COMPUTED_VALUE"""),"https://photos.app.goo.gl/6jb9FH6SUESxsMnQ7")</f>
        <v>https://photos.app.goo.gl/6jb9FH6SUESxsMnQ7</v>
      </c>
      <c r="AC588" s="46" t="str">
        <f>IFERROR(__xludf.DUMMYFUNCTION("""COMPUTED_VALUE"""),"Cuenta con Piscina. Casa Campestre de 4 Habitaciones. Sala Comedor2 Baños. Cocina. Semi-integral. Horno de Leña. Zona BQQ.")</f>
        <v>Cuenta con Piscina. Casa Campestre de 4 Habitaciones. Sala Comedor2 Baños. Cocina. Semi-integral. Horno de Leña. Zona BQQ.</v>
      </c>
      <c r="AD588" s="46" t="str">
        <f>IFERROR(__xludf.DUMMYFUNCTION("""COMPUTED_VALUE"""),"La finca tiene un área de 3 Has totalmente planas. 2.5 Has para cultivar. Ubicada a orilla de la carretera principal. Vereda San Antonio Bajo. Posee Lago. Agua por acueducto y aljibe. Energía Eléctrica. Cerca al río Bache.")</f>
        <v>La finca tiene un área de 3 Has totalmente planas. 2.5 Has para cultivar. Ubicada a orilla de la carretera principal. Vereda San Antonio Bajo. Posee Lago. Agua por acueducto y aljibe. Energía Eléctrica. Cerca al río Bache.</v>
      </c>
      <c r="AE588" s="46"/>
      <c r="AF588" s="46" t="str">
        <f>IFERROR(__xludf.DUMMYFUNCTION("""COMPUTED_VALUE"""),"semi-integral")</f>
        <v>semi-integral</v>
      </c>
      <c r="AG588" s="46"/>
      <c r="AH588" s="46" t="str">
        <f>IFERROR(__xludf.DUMMYFUNCTION("""COMPUTED_VALUE"""),"Aliado")</f>
        <v>Aliado</v>
      </c>
      <c r="AI588" s="92" t="str">
        <f>IFERROR(__xludf.DUMMYFUNCTION("""COMPUTED_VALUE"""),"https://lh3.googleusercontent.com/pw/AP1GczMHmBoJc_I6ES5SPec-oiZYVdSaefRu4paQTh3k_TvduCXxh7ZJUxxqBc9NCz5q7HV7_5_pCkbSWLrR2i2W63gRRyQ577LithrMruQPUjPzO3QwIoCu=w1200|https://lh3.googleusercontent.com/pw/AP1GczOb32x9ewVRiVCMA7VcKrOB3JwK1OFwVihgA_jIVXuE7mH4mn"&amp;"7qq_Ce9oxx4bhvheWva3fsLxHld6y0ALnlKSfgA04TJQZK9FboAY3qLLOVk0YkyQSn=w1200|https://lh3.googleusercontent.com/pw/AP1GczMQJHLaA7z38s3LPqQnf2xWvpzROXROAoDVIpNHIL-EIwKLCZz8ZGUZlHfF8xVloIajAX_9YddvtyuyVSmPgOhxNvaGGyXS3RTXBRGSMme8O1AAaJlM=w1200|https://lh3.google"&amp;"usercontent.com/pw/AP1GczN_maCdZkNgaMcRjgbKHYsk-oj_hOwPZUbv3USK73FKhIw7SFPoxiz635XKyekTWDNXIo2daXLf6lnmuVsubXxSjWg9GLRcAiByIQhvsfAaNfE3siaT=w1200|https://lh3.googleusercontent.com/pw/AP1GczN69F3EYR3ZfNX_2heCZ4CNsvRQk67AgKKT6u8LQtAXFH87XvBvpa5H-cz13L_SoJq4"&amp;"ByMSr3O_WAF8aGkMUUiMaZR_oYbUlACqFeySSfRP9gwn3eP_=w1200|https://lh3.googleusercontent.com/pw/AP1GczN11uw32t4bSrBSGywmmnyZiIKiIl3N-XDsfIPq4LaqBqea29pkZyHGYcWJKPuZUkTXSNAXE82SEq-fvha7ZsPjncDFmxW33TWCXv_cqxr4mwJhLSbT=w1200|https://lh3.googleusercontent.com/pw"&amp;"/AP1GczM9dfn8JiTbyUuqzDridBR1GrdutdKMQSMKoJYQBifBzogaD0dbVl46YT216zR5KSIyqkbh9Az3jFNpD3ybM_mjhYz_CNpzfgvn4IMXMRSnDJBf2Eli=w1200|https://lh3.googleusercontent.com/pw/AP1GczOkBsdZSTYUZmPRHhoxBxRD5fLkEADrO-Zm4dr8-yqBerzZZWmE16dNe5rduyya3LspX6p9rpfCUMZdkqAOHR"&amp;"5C1yV4eiBkgRq6oCLyKH8CWvLqy51q=w1200|https://lh3.googleusercontent.com/pw/AP1GczNBAQXMg72zJdDQpX45PbrzXT8aitEUuTZSDrl_lt6v9ZaSuKxJxFZgSQMaN6rx7aQ0QbmW1RY4BSNWRvzfyalUQmPhAz7z0mKTulueNKUe_oMJNoNI=w1200|https://lh3.googleusercontent.com/pw/AP1GczOOUwUKFXHmb"&amp;"e9jyhJPBILN1koY2hARktbFNk2UANbpSyr8LzAVDNzN0c8745n8_Qk8ky-U8N_Zkir3FSPJTegI-T-lZo3zGz3MxJeBo-RF2kNHIjX-=w1200|https://lh3.googleusercontent.com/pw/AP1GczN_DYWYYqYK3kSW88P210oN8s4AxcTPWZvrmQ9_b9pYeAGsLmvth2ggWiCI8d0102bgKQMZMH1G6qZv-8dl765gohG3iBQ4zy_LP9PK"&amp;"T26qNjnYa7Ek=w1200|https://lh3.googleusercontent.com/pw/AP1GczODpS5VIP5I0-J-qn9fd_-JHBP_S-52wjzEwisEyjII6dIlZNlZJjtEXHhZPwsArv_8R5XT7Ezv2mHZEtARVafDO-tE6sdwOkd3_h28EDXCtJUq26Ie=w1200|https://lh3.googleusercontent.com/pw/AP1GczOoxrgbJvOsKS5XIQ7mHBWwbWm6Qjy"&amp;"RW0_-4icnE6JB7vj8weVHmNV3p4MNXQ-2bxJG5YeDl2CVxp6Rt7RONS60_bXW33XMa71spE6gEnPyNY7DqiWo=w1200|https://lh3.googleusercontent.com/pw/AP1GczMpf4DByrDQFmaJDaSqy24y-EGb2Onog9djRx8gFXxw95IdZ8QMNY_Zz6_BWJvYSg0wJ_drwWsOnGYuJXxzUt0JDS09ktZq7kM1OvAAu2baKKDTq2p3=w1200"&amp;"|https://lh3.googleusercontent.com/pw/AP1GczMAa9dqhRpK5qJsodk0oX1lu50LxM9OaMrHoc2i0yoCpYPU8oplL00u1h4i0rVJjjg2_lmbifVH3u4Am3P-W2b6lYQ9yXwqybiW2YnKZcud-WXD6HRN=w1200")</f>
        <v>https://lh3.googleusercontent.com/pw/AP1GczMHmBoJc_I6ES5SPec-oiZYVdSaefRu4paQTh3k_TvduCXxh7ZJUxxqBc9NCz5q7HV7_5_pCkbSWLrR2i2W63gRRyQ577LithrMruQPUjPzO3QwIoCu=w1200|https://lh3.googleusercontent.com/pw/AP1GczOb32x9ewVRiVCMA7VcKrOB3JwK1OFwVihgA_jIVXuE7mH4mn7qq_Ce9oxx4bhvheWva3fsLxHld6y0ALnlKSfgA04TJQZK9FboAY3qLLOVk0YkyQSn=w1200|https://lh3.googleusercontent.com/pw/AP1GczMQJHLaA7z38s3LPqQnf2xWvpzROXROAoDVIpNHIL-EIwKLCZz8ZGUZlHfF8xVloIajAX_9YddvtyuyVSmPgOhxNvaGGyXS3RTXBRGSMme8O1AAaJlM=w1200|https://lh3.googleusercontent.com/pw/AP1GczN_maCdZkNgaMcRjgbKHYsk-oj_hOwPZUbv3USK73FKhIw7SFPoxiz635XKyekTWDNXIo2daXLf6lnmuVsubXxSjWg9GLRcAiByIQhvsfAaNfE3siaT=w1200|https://lh3.googleusercontent.com/pw/AP1GczN69F3EYR3ZfNX_2heCZ4CNsvRQk67AgKKT6u8LQtAXFH87XvBvpa5H-cz13L_SoJq4ByMSr3O_WAF8aGkMUUiMaZR_oYbUlACqFeySSfRP9gwn3eP_=w1200|https://lh3.googleusercontent.com/pw/AP1GczN11uw32t4bSrBSGywmmnyZiIKiIl3N-XDsfIPq4LaqBqea29pkZyHGYcWJKPuZUkTXSNAXE82SEq-fvha7ZsPjncDFmxW33TWCXv_cqxr4mwJhLSbT=w1200|https://lh3.googleusercontent.com/pw/AP1GczM9dfn8JiTbyUuqzDridBR1GrdutdKMQSMKoJYQBifBzogaD0dbVl46YT216zR5KSIyqkbh9Az3jFNpD3ybM_mjhYz_CNpzfgvn4IMXMRSnDJBf2Eli=w1200|https://lh3.googleusercontent.com/pw/AP1GczOkBsdZSTYUZmPRHhoxBxRD5fLkEADrO-Zm4dr8-yqBerzZZWmE16dNe5rduyya3LspX6p9rpfCUMZdkqAOHR5C1yV4eiBkgRq6oCLyKH8CWvLqy51q=w1200|https://lh3.googleusercontent.com/pw/AP1GczNBAQXMg72zJdDQpX45PbrzXT8aitEUuTZSDrl_lt6v9ZaSuKxJxFZgSQMaN6rx7aQ0QbmW1RY4BSNWRvzfyalUQmPhAz7z0mKTulueNKUe_oMJNoNI=w1200|https://lh3.googleusercontent.com/pw/AP1GczOOUwUKFXHmbe9jyhJPBILN1koY2hARktbFNk2UANbpSyr8LzAVDNzN0c8745n8_Qk8ky-U8N_Zkir3FSPJTegI-T-lZo3zGz3MxJeBo-RF2kNHIjX-=w1200|https://lh3.googleusercontent.com/pw/AP1GczN_DYWYYqYK3kSW88P210oN8s4AxcTPWZvrmQ9_b9pYeAGsLmvth2ggWiCI8d0102bgKQMZMH1G6qZv-8dl765gohG3iBQ4zy_LP9PKT26qNjnYa7Ek=w1200|https://lh3.googleusercontent.com/pw/AP1GczODpS5VIP5I0-J-qn9fd_-JHBP_S-52wjzEwisEyjII6dIlZNlZJjtEXHhZPwsArv_8R5XT7Ezv2mHZEtARVafDO-tE6sdwOkd3_h28EDXCtJUq26Ie=w1200|https://lh3.googleusercontent.com/pw/AP1GczOoxrgbJvOsKS5XIQ7mHBWwbWm6QjyRW0_-4icnE6JB7vj8weVHmNV3p4MNXQ-2bxJG5YeDl2CVxp6Rt7RONS60_bXW33XMa71spE6gEnPyNY7DqiWo=w1200|https://lh3.googleusercontent.com/pw/AP1GczMpf4DByrDQFmaJDaSqy24y-EGb2Onog9djRx8gFXxw95IdZ8QMNY_Zz6_BWJvYSg0wJ_drwWsOnGYuJXxzUt0JDS09ktZq7kM1OvAAu2baKKDTq2p3=w1200|https://lh3.googleusercontent.com/pw/AP1GczMAa9dqhRpK5qJsodk0oX1lu50LxM9OaMrHoc2i0yoCpYPU8oplL00u1h4i0rVJjjg2_lmbifVH3u4Am3P-W2b6lYQ9yXwqybiW2YnKZcud-WXD6HRN=w1200</v>
      </c>
      <c r="AJ588" s="46"/>
      <c r="AK588" s="46"/>
      <c r="AL588" s="46"/>
      <c r="AM588" s="46"/>
      <c r="AN588" s="46"/>
      <c r="AO588" s="46"/>
      <c r="AP588" s="46"/>
      <c r="AQ588" s="46"/>
      <c r="AR588" s="46"/>
      <c r="AS588" s="46"/>
      <c r="AT588" s="46"/>
      <c r="AU588" s="46"/>
      <c r="AV588" s="46"/>
      <c r="AW588" s="46"/>
      <c r="AX588" s="46"/>
      <c r="AY588" s="46"/>
      <c r="AZ588" s="46"/>
      <c r="BA588" s="46"/>
      <c r="BB588" s="46"/>
      <c r="BC588" s="46"/>
      <c r="BD588" s="46"/>
      <c r="BE588" s="46"/>
      <c r="BF588" s="46"/>
      <c r="BG588" s="46"/>
      <c r="BH588" s="46"/>
      <c r="BI588" s="46"/>
      <c r="BJ588" s="46"/>
      <c r="BK588" s="46"/>
      <c r="BL588" s="46"/>
      <c r="BM588" s="46"/>
      <c r="BN588" s="46"/>
      <c r="BO588" s="46"/>
      <c r="BP588" s="46"/>
      <c r="BQ588" s="46"/>
      <c r="BR588" s="46"/>
      <c r="BS588" s="46"/>
      <c r="BT588" s="46"/>
      <c r="BU588" s="46"/>
      <c r="BV588" s="46"/>
      <c r="BW588" s="46"/>
      <c r="BX588" s="46"/>
      <c r="BY588" s="46"/>
      <c r="BZ588" s="46"/>
      <c r="CA588" s="46"/>
      <c r="CB588" s="46"/>
      <c r="CC588" s="46"/>
    </row>
    <row r="589">
      <c r="A589" s="87" t="str">
        <f>IFERROR(__xludf.DUMMYFUNCTION("""COMPUTED_VALUE"""),"759")</f>
        <v>759</v>
      </c>
      <c r="B589" s="46" t="str">
        <f>IFERROR(__xludf.DUMMYFUNCTION("""COMPUTED_VALUE"""),"Casa con 3 Apartamentos Indep. en barrio Villa Regina - Oriente")</f>
        <v>Casa con 3 Apartamentos Indep. en barrio Villa Regina - Oriente</v>
      </c>
      <c r="C589" s="46" t="str">
        <f>IFERROR(__xludf.DUMMYFUNCTION("""COMPUTED_VALUE"""),"Casa rentable")</f>
        <v>Casa rentable</v>
      </c>
      <c r="D589" s="46" t="str">
        <f>IFERROR(__xludf.DUMMYFUNCTION("""COMPUTED_VALUE"""),"Villa Regina")</f>
        <v>Villa Regina</v>
      </c>
      <c r="E589" s="90"/>
      <c r="F589" s="90">
        <f>IFERROR(__xludf.DUMMYFUNCTION("""COMPUTED_VALUE"""),2.5E8)</f>
        <v>250000000</v>
      </c>
      <c r="G589" s="46" t="str">
        <f>IFERROR(__xludf.DUMMYFUNCTION("""COMPUTED_VALUE"""),"$200'000.000 a $300'000.000")</f>
        <v>$200'000.000 a $300'000.000</v>
      </c>
      <c r="H589" s="46"/>
      <c r="I589" s="46"/>
      <c r="J589" s="46" t="str">
        <f>IFERROR(__xludf.DUMMYFUNCTION("""COMPUTED_VALUE"""),"Oriente")</f>
        <v>Oriente</v>
      </c>
      <c r="K589" s="87" t="str">
        <f>IFERROR(__xludf.DUMMYFUNCTION("""COMPUTED_VALUE"""),"5")</f>
        <v>5</v>
      </c>
      <c r="L589" s="46">
        <f>IFERROR(__xludf.DUMMYFUNCTION("""COMPUTED_VALUE"""),8.0)</f>
        <v>8</v>
      </c>
      <c r="M589" s="46"/>
      <c r="N589" s="46">
        <f>IFERROR(__xludf.DUMMYFUNCTION("""COMPUTED_VALUE"""),5.0)</f>
        <v>5</v>
      </c>
      <c r="O589" s="46">
        <f>IFERROR(__xludf.DUMMYFUNCTION("""COMPUTED_VALUE"""),1.0)</f>
        <v>1</v>
      </c>
      <c r="P589" s="46">
        <f>IFERROR(__xludf.DUMMYFUNCTION("""COMPUTED_VALUE"""),3.0)</f>
        <v>3</v>
      </c>
      <c r="Q589" s="92">
        <f>IFERROR(__xludf.DUMMYFUNCTION("""COMPUTED_VALUE"""),216.0)</f>
        <v>216</v>
      </c>
      <c r="R589" s="92">
        <f>IFERROR(__xludf.DUMMYFUNCTION("""COMPUTED_VALUE"""),72.0)</f>
        <v>72</v>
      </c>
      <c r="S589" s="87" t="str">
        <f>IFERROR(__xludf.DUMMYFUNCTION("""COMPUTED_VALUE"""),"Rentabilidad $1,800,000")</f>
        <v>Rentabilidad $1,800,000</v>
      </c>
      <c r="T589" s="46" t="str">
        <f>IFERROR(__xludf.DUMMYFUNCTION("""COMPUTED_VALUE"""),"Neiva")</f>
        <v>Neiva</v>
      </c>
      <c r="U589" s="87" t="str">
        <f>IFERROR(__xludf.DUMMYFUNCTION("""COMPUTED_VALUE"""),"2")</f>
        <v>2</v>
      </c>
      <c r="V589" s="46" t="str">
        <f>IFERROR(__xludf.DUMMYFUNCTION("""COMPUTED_VALUE"""),"Medianera")</f>
        <v>Medianera</v>
      </c>
      <c r="W589" s="46"/>
      <c r="X589" s="46">
        <f>IFERROR(__xludf.DUMMYFUNCTION("""COMPUTED_VALUE"""),2.0)</f>
        <v>2</v>
      </c>
      <c r="Y589" s="46" t="str">
        <f>IFERROR(__xludf.DUMMYFUNCTION("""COMPUTED_VALUE"""),"No tiene")</f>
        <v>No tiene</v>
      </c>
      <c r="Z589" s="90" t="str">
        <f>IFERROR(__xludf.DUMMYFUNCTION("""COMPUTED_VALUE"""),"No aplica")</f>
        <v>No aplica</v>
      </c>
      <c r="AA589" s="33" t="str">
        <f>IFERROR(__xludf.DUMMYFUNCTION("""COMPUTED_VALUE"""),"12 años")</f>
        <v>12 años</v>
      </c>
      <c r="AB589" s="96" t="str">
        <f>IFERROR(__xludf.DUMMYFUNCTION("""COMPUTED_VALUE"""),"https://photos.app.goo.gl/njhRsdhCaWpEKh3C7")</f>
        <v>https://photos.app.goo.gl/njhRsdhCaWpEKh3C7</v>
      </c>
      <c r="AC589" s="46" t="str">
        <f>IFERROR(__xludf.DUMMYFUNCTION("""COMPUTED_VALUE"""),"Casa de 3 pisos con 3 Apartamentos, en 2do y 3er piso en obra gris.")</f>
        <v>Casa de 3 pisos con 3 Apartamentos, en 2do y 3er piso en obra gris.</v>
      </c>
      <c r="AD589" s="46" t="str">
        <f>IFERROR(__xludf.DUMMYFUNCTION("""COMPUTED_VALUE"""),"Buena ubicación.")</f>
        <v>Buena ubicación.</v>
      </c>
      <c r="AE589" s="46"/>
      <c r="AF589" s="46" t="str">
        <f>IFERROR(__xludf.DUMMYFUNCTION("""COMPUTED_VALUE"""),"básica")</f>
        <v>básica</v>
      </c>
      <c r="AG589" s="46"/>
      <c r="AH589" s="46" t="str">
        <f>IFERROR(__xludf.DUMMYFUNCTION("""COMPUTED_VALUE"""),"Aliado")</f>
        <v>Aliado</v>
      </c>
      <c r="AI589" s="92" t="str">
        <f>IFERROR(__xludf.DUMMYFUNCTION("""COMPUTED_VALUE"""),"https://lh3.googleusercontent.com/pw/AP1GczMAmG7AeVt0Nwq9bHWPl4qMqgAOvdd6btBrKVLZtAhASyOaHMsMcgvo_coiQFMV1t9huHjly99WOtvF59lUE0EM5j1scfgJylIlqsZUktrfwULCDRmv=w1200|https://lh3.googleusercontent.com/pw/AP1GczMCPNH_a_CSPiuoZPGVp_GMSusXlPd4aXU-oa5pmPvcbvsGgh"&amp;"QCva-lrNyTKtFhrapqdhku4LzNzUvDpfwobI1hGuflXzr77UXUDXEpBTQKU1aSuHKz=w1200")</f>
        <v>https://lh3.googleusercontent.com/pw/AP1GczMAmG7AeVt0Nwq9bHWPl4qMqgAOvdd6btBrKVLZtAhASyOaHMsMcgvo_coiQFMV1t9huHjly99WOtvF59lUE0EM5j1scfgJylIlqsZUktrfwULCDRmv=w1200|https://lh3.googleusercontent.com/pw/AP1GczMCPNH_a_CSPiuoZPGVp_GMSusXlPd4aXU-oa5pmPvcbvsGghQCva-lrNyTKtFhrapqdhku4LzNzUvDpfwobI1hGuflXzr77UXUDXEpBTQKU1aSuHKz=w1200</v>
      </c>
      <c r="AJ589" s="46"/>
      <c r="AK589" s="46"/>
      <c r="AL589" s="46"/>
      <c r="AM589" s="46"/>
      <c r="AN589" s="46"/>
      <c r="AO589" s="46"/>
      <c r="AP589" s="46"/>
      <c r="AQ589" s="46"/>
      <c r="AR589" s="46"/>
      <c r="AS589" s="46"/>
      <c r="AT589" s="46"/>
      <c r="AU589" s="46"/>
      <c r="AV589" s="46"/>
      <c r="AW589" s="46"/>
      <c r="AX589" s="46"/>
      <c r="AY589" s="46"/>
      <c r="AZ589" s="46"/>
      <c r="BA589" s="46"/>
      <c r="BB589" s="46"/>
      <c r="BC589" s="46"/>
      <c r="BD589" s="46"/>
      <c r="BE589" s="46"/>
      <c r="BF589" s="46"/>
      <c r="BG589" s="46"/>
      <c r="BH589" s="46"/>
      <c r="BI589" s="46"/>
      <c r="BJ589" s="46"/>
      <c r="BK589" s="46"/>
      <c r="BL589" s="46"/>
      <c r="BM589" s="46"/>
      <c r="BN589" s="46"/>
      <c r="BO589" s="46"/>
      <c r="BP589" s="46"/>
      <c r="BQ589" s="46"/>
      <c r="BR589" s="46"/>
      <c r="BS589" s="46"/>
      <c r="BT589" s="46"/>
      <c r="BU589" s="46"/>
      <c r="BV589" s="46"/>
      <c r="BW589" s="46"/>
      <c r="BX589" s="46"/>
      <c r="BY589" s="46"/>
      <c r="BZ589" s="46"/>
      <c r="CA589" s="46"/>
      <c r="CB589" s="46"/>
      <c r="CC589" s="46"/>
    </row>
    <row r="590">
      <c r="A590" s="87" t="str">
        <f>IFERROR(__xludf.DUMMYFUNCTION("""COMPUTED_VALUE"""),"745")</f>
        <v>745</v>
      </c>
      <c r="B590" s="46" t="str">
        <f>IFERROR(__xludf.DUMMYFUNCTION("""COMPUTED_VALUE"""),"Casa con 3 Apartamentos Indep. en barrio Timanco - Sur")</f>
        <v>Casa con 3 Apartamentos Indep. en barrio Timanco - Sur</v>
      </c>
      <c r="C590" s="46" t="str">
        <f>IFERROR(__xludf.DUMMYFUNCTION("""COMPUTED_VALUE"""),"Casa rentable")</f>
        <v>Casa rentable</v>
      </c>
      <c r="D590" s="46" t="str">
        <f>IFERROR(__xludf.DUMMYFUNCTION("""COMPUTED_VALUE"""),"Timanco")</f>
        <v>Timanco</v>
      </c>
      <c r="E590" s="90"/>
      <c r="F590" s="90">
        <f>IFERROR(__xludf.DUMMYFUNCTION("""COMPUTED_VALUE"""),2.5E8)</f>
        <v>250000000</v>
      </c>
      <c r="G590" s="46" t="str">
        <f>IFERROR(__xludf.DUMMYFUNCTION("""COMPUTED_VALUE"""),"$200'000.000 a $300'000.000")</f>
        <v>$200'000.000 a $300'000.000</v>
      </c>
      <c r="H590" s="46"/>
      <c r="I590" s="46"/>
      <c r="J590" s="46" t="str">
        <f>IFERROR(__xludf.DUMMYFUNCTION("""COMPUTED_VALUE"""),"Sur")</f>
        <v>Sur</v>
      </c>
      <c r="K590" s="87"/>
      <c r="L590" s="46">
        <f>IFERROR(__xludf.DUMMYFUNCTION("""COMPUTED_VALUE"""),6.0)</f>
        <v>6</v>
      </c>
      <c r="M590" s="46"/>
      <c r="N590" s="46">
        <f>IFERROR(__xludf.DUMMYFUNCTION("""COMPUTED_VALUE"""),3.0)</f>
        <v>3</v>
      </c>
      <c r="O590" s="46">
        <f>IFERROR(__xludf.DUMMYFUNCTION("""COMPUTED_VALUE"""),0.0)</f>
        <v>0</v>
      </c>
      <c r="P590" s="46">
        <f>IFERROR(__xludf.DUMMYFUNCTION("""COMPUTED_VALUE"""),2.0)</f>
        <v>2</v>
      </c>
      <c r="Q590" s="92">
        <f>IFERROR(__xludf.DUMMYFUNCTION("""COMPUTED_VALUE"""),118.0)</f>
        <v>118</v>
      </c>
      <c r="R590" s="92">
        <f>IFERROR(__xludf.DUMMYFUNCTION("""COMPUTED_VALUE"""),72.0)</f>
        <v>72</v>
      </c>
      <c r="S590" s="87" t="str">
        <f>IFERROR(__xludf.DUMMYFUNCTION("""COMPUTED_VALUE"""),"Rentabilidad $1,200,000")</f>
        <v>Rentabilidad $1,200,000</v>
      </c>
      <c r="T590" s="46" t="str">
        <f>IFERROR(__xludf.DUMMYFUNCTION("""COMPUTED_VALUE"""),"Neiva")</f>
        <v>Neiva</v>
      </c>
      <c r="U590" s="87" t="str">
        <f>IFERROR(__xludf.DUMMYFUNCTION("""COMPUTED_VALUE"""),"2")</f>
        <v>2</v>
      </c>
      <c r="V590" s="46" t="str">
        <f>IFERROR(__xludf.DUMMYFUNCTION("""COMPUTED_VALUE"""),"Medianera")</f>
        <v>Medianera</v>
      </c>
      <c r="W590" s="46"/>
      <c r="X590" s="46">
        <f>IFERROR(__xludf.DUMMYFUNCTION("""COMPUTED_VALUE"""),3.0)</f>
        <v>3</v>
      </c>
      <c r="Y590" s="46" t="str">
        <f>IFERROR(__xludf.DUMMYFUNCTION("""COMPUTED_VALUE"""),"No tiene")</f>
        <v>No tiene</v>
      </c>
      <c r="Z590" s="90" t="str">
        <f>IFERROR(__xludf.DUMMYFUNCTION("""COMPUTED_VALUE"""),"No aplica")</f>
        <v>No aplica</v>
      </c>
      <c r="AA590" s="33" t="str">
        <f>IFERROR(__xludf.DUMMYFUNCTION("""COMPUTED_VALUE"""),"No aplica")</f>
        <v>No aplica</v>
      </c>
      <c r="AB590" s="96" t="str">
        <f>IFERROR(__xludf.DUMMYFUNCTION("""COMPUTED_VALUE"""),"https://photos.app.goo.gl/5hVHez48KrVZiWBG9")</f>
        <v>https://photos.app.goo.gl/5hVHez48KrVZiWBG9</v>
      </c>
      <c r="AC590" s="46" t="str">
        <f>IFERROR(__xludf.DUMMYFUNCTION("""COMPUTED_VALUE"""),"Casa rentable ubicda sobre vía amplia.")</f>
        <v>Casa rentable ubicda sobre vía amplia.</v>
      </c>
      <c r="AD590" s="46" t="str">
        <f>IFERROR(__xludf.DUMMYFUNCTION("""COMPUTED_VALUE"""),"Cuenta con reja antejardín, servicios publicos independientes.")</f>
        <v>Cuenta con reja antejardín, servicios publicos independientes.</v>
      </c>
      <c r="AE590" s="46"/>
      <c r="AF590" s="46" t="str">
        <f>IFERROR(__xludf.DUMMYFUNCTION("""COMPUTED_VALUE"""),"básica")</f>
        <v>básica</v>
      </c>
      <c r="AG590" s="46"/>
      <c r="AH590" s="46" t="str">
        <f>IFERROR(__xludf.DUMMYFUNCTION("""COMPUTED_VALUE"""),"Aliado")</f>
        <v>Aliado</v>
      </c>
      <c r="AI590" s="92" t="str">
        <f>IFERROR(__xludf.DUMMYFUNCTION("""COMPUTED_VALUE"""),"https://lh3.googleusercontent.com/pw/AP1GczOzLg2ly4m06PMV-wCeoEWEo3jgou_FMdcN6TbR7OyPdklxqb-1lw2PZ0Gd7zSxKTR9yHgBeaZ_JHs5e7Qildsv6mP8s6Fj5M50FoCqxMamAqVgpiOX=w1200|https://lh3.googleusercontent.com/pw/AP1GczOrCy2_clcO35TrDf3sTFRg_GnXuNh72LdQ_1jpQpd-NkilyS"&amp;"hXkHgqK8u6rsRwj_hs4Y7rOnGn_i7goKNKB5Oa-he4_OGB-utvxEe8lcxwYpDjMRqu=w1200|https://lh3.googleusercontent.com/pw/AP1GczOW1KjW7KJ6TzItiGfkD5-IifaWEIIlgH0wM8h3k_PVjkgH7AHqGRY4gbeI6pDnTTbSPo5COu7453ENBc1LhNBl3ucpvCcxDngwHXWEJfJYuGzfiOl4=w1200|https://lh3.google"&amp;"usercontent.com/pw/AP1GczPuUXY5AkVMYLQXAQRKfaFhe-BrdcKzaVPMa4hTbIUpaBVMcKpBRBMdItVEYNHzxstJhymwrguYbAsAHMLiD3Eey6yXv-CZZLfChCtEhKxPz9kzi-B8=w1200|https://lh3.googleusercontent.com/pw/AP1GczPrelehPnmddepxpxJZDV01QHnpgiwgljg4n9YXf5l-eW9v8DyRTWyOtXMXEagiP0FK"&amp;"CsbuPIS6oA-cXvg4Yqj3JefVFbO8bM-jx1YdLsezz1gSMbtb=w1200|https://lh3.googleusercontent.com/pw/AP1GczNq3kB5gaPFYQVEEPvRT1Gp4e8_JMFp1WV3VH-W9ntm90GMEBKgJbIeyWL_YuExHIncAj9RF03lDEJm0Dn9tBqeNjtEippBtqBa0kFxUez1q5zEaeu4=w1200|https://lh3.googleusercontent.com/pw"&amp;"/AP1GczMpK9GX4xn5dD2KWrtUnZYcM5bnD94mROKhOIr8YO69c3XplTtYDd68vaXaUo6wTh9_gUKlptMWFBijcvlHIPjW_EPTchmwVfky2xG3JsasEyZbSqD5=w1200|https://lh3.googleusercontent.com/pw/AP1GczOpWMxB6DKPd2_4lkL2LCwMJrqPG66ac9LqFiaFcIL0pHX0g6nOkcPj2RQjS_1TAfYKyB58Cnp8shRO22M1LH"&amp;"9-z3SQ_-Trs1hi_IJEAiMFBtEpd2c0=w1200|https://lh3.googleusercontent.com/pw/AP1GczO3jWmFcDxN6gDex1nmpJ8pGKZWK8FZjQtazen-cREXlEz-jjDFi_WdSvzjMo_D5ErCyzKdNv9st19gMQMsjeO61TVS9Jq4Mv5fRMeZyi6FbAdT3czp=w1200|https://lh3.googleusercontent.com/pw/AP1GczNDOXH-k1Eft"&amp;"_v-0fE-S1S9MFgQsCSjWQeP4_8B_J8FZaeAAB3M0o9iENcHkfBBfM7DZ1udYEqnb7AyIyVuK8NNi--qnJNVqPkf83R4KrbeH4eITPqg=w1200|https://lh3.googleusercontent.com/pw/AP1GczNKAveUJefDGKeyW2nhF5SkyvpMy4u4uGrvC2wZishbc-wFR5T4ZCcbu-Zs_IifCCu7I51Xo0ukHPnVQdAwfeWhdKkWfKPx7SDjldKi"&amp;"E--iO0P7HpOk=w1200|https://lh3.googleusercontent.com/pw/AP1GczN7dvr2H3pZqOHJVzRLpWhHWg_S7BomX3p7OZzinjzyuDRZxZ0ghQ6XNWYLvYrrvnv2wvQKv-2H-0_ZnPxcpgWxL8WRrBrJYsdl-_11WxX2bfgzNNLu=w1200|https://lh3.googleusercontent.com/pw/AP1GczP3q1uUL_mOmflajw6GVqPx3wpS-jX"&amp;"JRcp57ihO7eoSsbEOk9zW-OlebzJddt2lilBBL7M0_y7I23hbnP1KiFyyPpplu2hjSpa7NUXA6HQEwR4kXeeT=w1200|https://lh3.googleusercontent.com/pw/AP1GczN31uAvpZMXlDtoSRAcTrSy7GAZ4rzycM3z8gy4stYcEMHQ1yIUr-ZnFEJzAEMTttlhmC_wAbJTOdjai9M9_RM5gdqXoPYKXQIS98QHZvQUoHaFB4nu=w1200"&amp;"|https://lh3.googleusercontent.com/pw/AP1GczPU9ZwPsQRAIdwpl1XAvHCb7EVZoLnSbfJ1oFEAxIVEY9q33NvV5ikZ65TWVNY8AZQcjYpRCw-qqj0ZbhTmw1VsrQ6cngqd_R1hV4oogrCFqf4Gg_bc=w1200|https://lh3.googleusercontent.com/pw/AP1GczMnaAT1NkUd9pU0-wigWpJu-5pWsT75Kv_Ye-DWOYgzAc0rS"&amp;"_IhK9JkuYHO1AH16jyDgMbxXdmUkFjKbmFyH9XO-f2Yp0Nwqb65NUErAYqNhe0ELM2p=w1200|https://lh3.googleusercontent.com/pw/AP1GczPcDsJwBjh1L_8glc1DFakaxVe_bw3R3-Dm3sWJ2POMU9RPJaxAvec0u8i2Wr_cZLe1-sRW_L4CRT0RD_zxHgfXM-nav1CmlrGeoQLCqjiAcQRUIJmr=w1200|https://lh3.googl"&amp;"eusercontent.com/pw/AP1GczN6hk0ZWizhz7zBwidwedPYgFx1pgS-zYMvNpXrC0aReu6Y2DGQTIGWqZQ8_9Ldk3C0n1mp-FigQV2CrcdGYN4BZrPHut_6HqVnReMx_iP8ZihzMfQo=w1200|https://lh3.googleusercontent.com/pw/AP1GczNQmxsjcYIsiOJ5Ulw4Y9xzg-Rha8E9oZelbc2nHi9wn1fVhsB-tHLhRNrlWrsKAWb"&amp;"lhy_KGMpZNicO9uO4f9EmXqX0WG1bEsRYUi3FPsJ5HSerP2mv=w1200|https://lh3.googleusercontent.com/pw/AP1GczPVvNoIMBiiYsjfAhl2hCnVMWJndPCbgxOqCoq3KoOV2lt16iSPHJGNIoRiU6n7Gll5m-jiMLDC9WVWj5pIVRx_lyxYbkQs_SNPqq1boxThWaGSQFk6=w1200|https://lh3.googleusercontent.com/p"&amp;"w/AP1GczPbqzvSZKjrUBuF3CqBOYKM6YPaAkvLm6Y04jR5S_3dfiXJrPLlIhGfEX5rtbQy839s1GEyGPm5dN13D3kxj7PTmXBidd2iJEkrqoa07YLwmdKRdaOc=w1200")</f>
        <v>https://lh3.googleusercontent.com/pw/AP1GczOzLg2ly4m06PMV-wCeoEWEo3jgou_FMdcN6TbR7OyPdklxqb-1lw2PZ0Gd7zSxKTR9yHgBeaZ_JHs5e7Qildsv6mP8s6Fj5M50FoCqxMamAqVgpiOX=w1200|https://lh3.googleusercontent.com/pw/AP1GczOrCy2_clcO35TrDf3sTFRg_GnXuNh72LdQ_1jpQpd-NkilyShXkHgqK8u6rsRwj_hs4Y7rOnGn_i7goKNKB5Oa-he4_OGB-utvxEe8lcxwYpDjMRqu=w1200|https://lh3.googleusercontent.com/pw/AP1GczOW1KjW7KJ6TzItiGfkD5-IifaWEIIlgH0wM8h3k_PVjkgH7AHqGRY4gbeI6pDnTTbSPo5COu7453ENBc1LhNBl3ucpvCcxDngwHXWEJfJYuGzfiOl4=w1200|https://lh3.googleusercontent.com/pw/AP1GczPuUXY5AkVMYLQXAQRKfaFhe-BrdcKzaVPMa4hTbIUpaBVMcKpBRBMdItVEYNHzxstJhymwrguYbAsAHMLiD3Eey6yXv-CZZLfChCtEhKxPz9kzi-B8=w1200|https://lh3.googleusercontent.com/pw/AP1GczPrelehPnmddepxpxJZDV01QHnpgiwgljg4n9YXf5l-eW9v8DyRTWyOtXMXEagiP0FKCsbuPIS6oA-cXvg4Yqj3JefVFbO8bM-jx1YdLsezz1gSMbtb=w1200|https://lh3.googleusercontent.com/pw/AP1GczNq3kB5gaPFYQVEEPvRT1Gp4e8_JMFp1WV3VH-W9ntm90GMEBKgJbIeyWL_YuExHIncAj9RF03lDEJm0Dn9tBqeNjtEippBtqBa0kFxUez1q5zEaeu4=w1200|https://lh3.googleusercontent.com/pw/AP1GczMpK9GX4xn5dD2KWrtUnZYcM5bnD94mROKhOIr8YO69c3XplTtYDd68vaXaUo6wTh9_gUKlptMWFBijcvlHIPjW_EPTchmwVfky2xG3JsasEyZbSqD5=w1200|https://lh3.googleusercontent.com/pw/AP1GczOpWMxB6DKPd2_4lkL2LCwMJrqPG66ac9LqFiaFcIL0pHX0g6nOkcPj2RQjS_1TAfYKyB58Cnp8shRO22M1LH9-z3SQ_-Trs1hi_IJEAiMFBtEpd2c0=w1200|https://lh3.googleusercontent.com/pw/AP1GczO3jWmFcDxN6gDex1nmpJ8pGKZWK8FZjQtazen-cREXlEz-jjDFi_WdSvzjMo_D5ErCyzKdNv9st19gMQMsjeO61TVS9Jq4Mv5fRMeZyi6FbAdT3czp=w1200|https://lh3.googleusercontent.com/pw/AP1GczNDOXH-k1Eft_v-0fE-S1S9MFgQsCSjWQeP4_8B_J8FZaeAAB3M0o9iENcHkfBBfM7DZ1udYEqnb7AyIyVuK8NNi--qnJNVqPkf83R4KrbeH4eITPqg=w1200|https://lh3.googleusercontent.com/pw/AP1GczNKAveUJefDGKeyW2nhF5SkyvpMy4u4uGrvC2wZishbc-wFR5T4ZCcbu-Zs_IifCCu7I51Xo0ukHPnVQdAwfeWhdKkWfKPx7SDjldKiE--iO0P7HpOk=w1200|https://lh3.googleusercontent.com/pw/AP1GczN7dvr2H3pZqOHJVzRLpWhHWg_S7BomX3p7OZzinjzyuDRZxZ0ghQ6XNWYLvYrrvnv2wvQKv-2H-0_ZnPxcpgWxL8WRrBrJYsdl-_11WxX2bfgzNNLu=w1200|https://lh3.googleusercontent.com/pw/AP1GczP3q1uUL_mOmflajw6GVqPx3wpS-jXJRcp57ihO7eoSsbEOk9zW-OlebzJddt2lilBBL7M0_y7I23hbnP1KiFyyPpplu2hjSpa7NUXA6HQEwR4kXeeT=w1200|https://lh3.googleusercontent.com/pw/AP1GczN31uAvpZMXlDtoSRAcTrSy7GAZ4rzycM3z8gy4stYcEMHQ1yIUr-ZnFEJzAEMTttlhmC_wAbJTOdjai9M9_RM5gdqXoPYKXQIS98QHZvQUoHaFB4nu=w1200|https://lh3.googleusercontent.com/pw/AP1GczPU9ZwPsQRAIdwpl1XAvHCb7EVZoLnSbfJ1oFEAxIVEY9q33NvV5ikZ65TWVNY8AZQcjYpRCw-qqj0ZbhTmw1VsrQ6cngqd_R1hV4oogrCFqf4Gg_bc=w1200|https://lh3.googleusercontent.com/pw/AP1GczMnaAT1NkUd9pU0-wigWpJu-5pWsT75Kv_Ye-DWOYgzAc0rS_IhK9JkuYHO1AH16jyDgMbxXdmUkFjKbmFyH9XO-f2Yp0Nwqb65NUErAYqNhe0ELM2p=w1200|https://lh3.googleusercontent.com/pw/AP1GczPcDsJwBjh1L_8glc1DFakaxVe_bw3R3-Dm3sWJ2POMU9RPJaxAvec0u8i2Wr_cZLe1-sRW_L4CRT0RD_zxHgfXM-nav1CmlrGeoQLCqjiAcQRUIJmr=w1200|https://lh3.googleusercontent.com/pw/AP1GczN6hk0ZWizhz7zBwidwedPYgFx1pgS-zYMvNpXrC0aReu6Y2DGQTIGWqZQ8_9Ldk3C0n1mp-FigQV2CrcdGYN4BZrPHut_6HqVnReMx_iP8ZihzMfQo=w1200|https://lh3.googleusercontent.com/pw/AP1GczNQmxsjcYIsiOJ5Ulw4Y9xzg-Rha8E9oZelbc2nHi9wn1fVhsB-tHLhRNrlWrsKAWblhy_KGMpZNicO9uO4f9EmXqX0WG1bEsRYUi3FPsJ5HSerP2mv=w1200|https://lh3.googleusercontent.com/pw/AP1GczPVvNoIMBiiYsjfAhl2hCnVMWJndPCbgxOqCoq3KoOV2lt16iSPHJGNIoRiU6n7Gll5m-jiMLDC9WVWj5pIVRx_lyxYbkQs_SNPqq1boxThWaGSQFk6=w1200|https://lh3.googleusercontent.com/pw/AP1GczPbqzvSZKjrUBuF3CqBOYKM6YPaAkvLm6Y04jR5S_3dfiXJrPLlIhGfEX5rtbQy839s1GEyGPm5dN13D3kxj7PTmXBidd2iJEkrqoa07YLwmdKRdaOc=w1200</v>
      </c>
      <c r="AJ590" s="46"/>
      <c r="AK590" s="46"/>
      <c r="AL590" s="46"/>
      <c r="AM590" s="46"/>
      <c r="AN590" s="46"/>
      <c r="AO590" s="46"/>
      <c r="AP590" s="46"/>
      <c r="AQ590" s="46"/>
      <c r="AR590" s="46"/>
      <c r="AS590" s="46"/>
      <c r="AT590" s="46"/>
      <c r="AU590" s="46"/>
      <c r="AV590" s="46"/>
      <c r="AW590" s="46"/>
      <c r="AX590" s="46"/>
      <c r="AY590" s="46"/>
      <c r="AZ590" s="46"/>
      <c r="BA590" s="46"/>
      <c r="BB590" s="46"/>
      <c r="BC590" s="46"/>
      <c r="BD590" s="46"/>
      <c r="BE590" s="46"/>
      <c r="BF590" s="46"/>
      <c r="BG590" s="46"/>
      <c r="BH590" s="46"/>
      <c r="BI590" s="46"/>
      <c r="BJ590" s="46"/>
      <c r="BK590" s="46"/>
      <c r="BL590" s="46"/>
      <c r="BM590" s="46"/>
      <c r="BN590" s="46"/>
      <c r="BO590" s="46"/>
      <c r="BP590" s="46"/>
      <c r="BQ590" s="46"/>
      <c r="BR590" s="46"/>
      <c r="BS590" s="46"/>
      <c r="BT590" s="46"/>
      <c r="BU590" s="46"/>
      <c r="BV590" s="46"/>
      <c r="BW590" s="46"/>
      <c r="BX590" s="46"/>
      <c r="BY590" s="46"/>
      <c r="BZ590" s="46"/>
      <c r="CA590" s="46"/>
      <c r="CB590" s="46"/>
      <c r="CC590" s="46"/>
    </row>
    <row r="591">
      <c r="A591" s="87" t="str">
        <f>IFERROR(__xludf.DUMMYFUNCTION("""COMPUTED_VALUE"""),"296")</f>
        <v>296</v>
      </c>
      <c r="B591" s="46" t="str">
        <f>IFERROR(__xludf.DUMMYFUNCTION("""COMPUTED_VALUE"""),"Casa en barrio El Vergel")</f>
        <v>Casa en barrio El Vergel</v>
      </c>
      <c r="C591" s="46" t="str">
        <f>IFERROR(__xludf.DUMMYFUNCTION("""COMPUTED_VALUE"""),"Casa")</f>
        <v>Casa</v>
      </c>
      <c r="D591" s="46" t="str">
        <f>IFERROR(__xludf.DUMMYFUNCTION("""COMPUTED_VALUE"""),"El Vergel")</f>
        <v>El Vergel</v>
      </c>
      <c r="E591" s="46"/>
      <c r="F591" s="90">
        <f>IFERROR(__xludf.DUMMYFUNCTION("""COMPUTED_VALUE"""),2.5E8)</f>
        <v>250000000</v>
      </c>
      <c r="G591" s="46" t="str">
        <f>IFERROR(__xludf.DUMMYFUNCTION("""COMPUTED_VALUE"""),"$200'000.000 a $300'000.000")</f>
        <v>$200'000.000 a $300'000.000</v>
      </c>
      <c r="H591" s="46"/>
      <c r="I591" s="46"/>
      <c r="J591" s="46" t="str">
        <f>IFERROR(__xludf.DUMMYFUNCTION("""COMPUTED_VALUE"""),"Oriente")</f>
        <v>Oriente</v>
      </c>
      <c r="K591" s="87"/>
      <c r="L591" s="46">
        <f>IFERROR(__xludf.DUMMYFUNCTION("""COMPUTED_VALUE"""),3.0)</f>
        <v>3</v>
      </c>
      <c r="M591" s="46"/>
      <c r="N591" s="46">
        <f>IFERROR(__xludf.DUMMYFUNCTION("""COMPUTED_VALUE"""),2.0)</f>
        <v>2</v>
      </c>
      <c r="O591" s="46">
        <f>IFERROR(__xludf.DUMMYFUNCTION("""COMPUTED_VALUE"""),1.0)</f>
        <v>1</v>
      </c>
      <c r="P591" s="46">
        <f>IFERROR(__xludf.DUMMYFUNCTION("""COMPUTED_VALUE"""),2.0)</f>
        <v>2</v>
      </c>
      <c r="Q591" s="92">
        <f>IFERROR(__xludf.DUMMYFUNCTION("""COMPUTED_VALUE"""),140.0)</f>
        <v>140</v>
      </c>
      <c r="R591" s="92">
        <f>IFERROR(__xludf.DUMMYFUNCTION("""COMPUTED_VALUE"""),75.0)</f>
        <v>75</v>
      </c>
      <c r="S591" s="87" t="str">
        <f>IFERROR(__xludf.DUMMYFUNCTION("""COMPUTED_VALUE""")," ")</f>
        <v> </v>
      </c>
      <c r="T591" s="46" t="str">
        <f>IFERROR(__xludf.DUMMYFUNCTION("""COMPUTED_VALUE"""),"Neiva")</f>
        <v>Neiva</v>
      </c>
      <c r="U591" s="87" t="str">
        <f>IFERROR(__xludf.DUMMYFUNCTION("""COMPUTED_VALUE"""),"3")</f>
        <v>3</v>
      </c>
      <c r="V591" s="46" t="str">
        <f>IFERROR(__xludf.DUMMYFUNCTION("""COMPUTED_VALUE"""),"Medianera")</f>
        <v>Medianera</v>
      </c>
      <c r="W591" s="46"/>
      <c r="X591" s="46">
        <f>IFERROR(__xludf.DUMMYFUNCTION("""COMPUTED_VALUE"""),3.0)</f>
        <v>3</v>
      </c>
      <c r="Y591" s="46" t="str">
        <f>IFERROR(__xludf.DUMMYFUNCTION("""COMPUTED_VALUE"""),"No tiene")</f>
        <v>No tiene</v>
      </c>
      <c r="Z591" s="90" t="str">
        <f>IFERROR(__xludf.DUMMYFUNCTION("""COMPUTED_VALUE"""),"No aplica")</f>
        <v>No aplica</v>
      </c>
      <c r="AA591" s="33" t="str">
        <f>IFERROR(__xludf.DUMMYFUNCTION("""COMPUTED_VALUE"""),"No aplica")</f>
        <v>No aplica</v>
      </c>
      <c r="AB591" s="144" t="str">
        <f>IFERROR(__xludf.DUMMYFUNCTION("""COMPUTED_VALUE"""),"https://photos.app.goo.gl/xKNp33EXDgcMb5fg8")</f>
        <v>https://photos.app.goo.gl/xKNp33EXDgcMb5fg8</v>
      </c>
      <c r="AC591" s="46" t="str">
        <f>IFERROR(__xludf.DUMMYFUNCTION("""COMPUTED_VALUE"""),"Con buenos acabados, piso en marmol, molduras en yeso, carpinteria en madera y metálica. Cielo raso en Machembre.")</f>
        <v>Con buenos acabados, piso en marmol, molduras en yeso, carpinteria en madera y metálica. Cielo raso en Machembre.</v>
      </c>
      <c r="AD591" s="46" t="str">
        <f>IFERROR(__xludf.DUMMYFUNCTION("""COMPUTED_VALUE"""),"Casa bien ubicada con reja antejardín.")</f>
        <v>Casa bien ubicada con reja antejardín.</v>
      </c>
      <c r="AE591" s="46"/>
      <c r="AF591" s="46" t="str">
        <f>IFERROR(__xludf.DUMMYFUNCTION("""COMPUTED_VALUE"""),"integral")</f>
        <v>integral</v>
      </c>
      <c r="AG591" s="46"/>
      <c r="AH591" s="46" t="str">
        <f>IFERROR(__xludf.DUMMYFUNCTION("""COMPUTED_VALUE"""),"Aliado")</f>
        <v>Aliado</v>
      </c>
      <c r="AI591" s="92" t="str">
        <f>IFERROR(__xludf.DUMMYFUNCTION("""COMPUTED_VALUE"""),"https://lh3.googleusercontent.com/pw/AP1GczN2Gi9WHdDiG7JXqBZ-K-7fHGPiOwD3vO3tFXBoG5Z-3CutfsTpVZk5C7S54AdnYHNC6biYSXI-qrXtrClsP5StIadso9_lz_anreiCPOTk_iNDUZG1=w1200|https://lh3.googleusercontent.com/pw/AP1GczOYhbcMLp8Fulcj-wW16UyXAQypjLOqLIAwEr3tZbIvbYZjo0"&amp;"ql_qPdvbVncSgr_jxXMP9LKdfiFi81MUyQtQHgcqHNgddsuj38V4KIlBAQRP8qucWB=w1200|https://lh3.googleusercontent.com/pw/AP1GczOgcVc9DmIq9kdkv0hrKDbUu1tABxNmFzYUy5yQOu8O1PwpInkTrg0f7Hx-dl21I0UPUiH2p2ttxkbhfoQCE6QbZ_yolT7N07CFfM3hbmCU0Lj2tl_6=w1200|https://lh3.google"&amp;"usercontent.com/pw/AP1GczMJAPYh6diUrfpDUXpvIutc9Zio-gE1brISQKzBNReDDj_zB3QftXbV63JO-GF5vRF7uZgAp_31aYWJ7h_8-_P7p4t6cg2MsNaP7gh_unGEfZHkYgyA=w1200|https://lh3.googleusercontent.com/pw/AP1GczPzpTUTmRweT4L4HPIOrc11U7ZDPFqt-wpeVzaTLB3-4xqlDbNjne6-Kif3DZeld3ju"&amp;"C99BeGtwlxc47LeoSRI-bC6JZH3Jr_TVfNv6uEiwFd9_5ss3=w1200|https://lh3.googleusercontent.com/pw/AP1GczOouW3dSQrZ6Ic6JFYFXMQtUD11EJZJ_ezrTFWBqHghrdYqDtj6kLpEZphIlsxCdZk22iE_RQyK5Mh2J-IJ8zCAunK1Dmcab5FwGzxxu0Ml9vCRgfay=w1200|https://lh3.googleusercontent.com/pw"&amp;"/AP1GczP6YE42YrbrMDIGxrwsL16nakkgz43dkUI-BAviniPGNDSTpjfRPvHXeLOdsidfTJHug8D5TaCYIDQDEC8iqqO09Md5yh-zaXlQwmIi39ic25UTRh1-=w1200|https://lh3.googleusercontent.com/pw/AP1GczNOw6fNI27tCwmz6WD7JiLmryF1fZfX6-sFVizq2zLp3B12nrkqLRiRxdnUQiSxsT0nO-SMfibMXZS-ByHxTy"&amp;"IUMAlhEz0CkzsFMdDKviL-f3i5lsw2=w1200|https://lh3.googleusercontent.com/pw/AP1GczMnoNA6yrwrYWnX1QSIWKSO14fyQPYzNcoGGGPznjqY4YBDlhs5z2VWaD-YW7YVsFsGv6nojgKhVt4iuNJgx3ahek1gvashjfUkU9os3Sqj5C0dw_4D=w1200|https://lh3.googleusercontent.com/pw/AP1GczM5EK3AnlXJd"&amp;"5Qn0uNanxqviPZEGJEQYqB8U09o5WnFqPV1Ir71qp_5rE5HTbZt9rVSAk8LWD6bnTWpF7oJU7AHnILMCEswUEGBpBDF67JExfnb3E6g=w1200|https://lh3.googleusercontent.com/pw/AP1GczOzO9fn5jp1QhfbjWD6BmVEWnyZ7QKIO4BBJ5ZzM_9F6SaVFkPKTyxw_q1PRxhnh-f6tDqo9D0MhiPaCYt7kXIHKxoRikJlDu6nsU0S"&amp;"bEyeHsqHDphy=w1200")</f>
        <v>https://lh3.googleusercontent.com/pw/AP1GczN2Gi9WHdDiG7JXqBZ-K-7fHGPiOwD3vO3tFXBoG5Z-3CutfsTpVZk5C7S54AdnYHNC6biYSXI-qrXtrClsP5StIadso9_lz_anreiCPOTk_iNDUZG1=w1200|https://lh3.googleusercontent.com/pw/AP1GczOYhbcMLp8Fulcj-wW16UyXAQypjLOqLIAwEr3tZbIvbYZjo0ql_qPdvbVncSgr_jxXMP9LKdfiFi81MUyQtQHgcqHNgddsuj38V4KIlBAQRP8qucWB=w1200|https://lh3.googleusercontent.com/pw/AP1GczOgcVc9DmIq9kdkv0hrKDbUu1tABxNmFzYUy5yQOu8O1PwpInkTrg0f7Hx-dl21I0UPUiH2p2ttxkbhfoQCE6QbZ_yolT7N07CFfM3hbmCU0Lj2tl_6=w1200|https://lh3.googleusercontent.com/pw/AP1GczMJAPYh6diUrfpDUXpvIutc9Zio-gE1brISQKzBNReDDj_zB3QftXbV63JO-GF5vRF7uZgAp_31aYWJ7h_8-_P7p4t6cg2MsNaP7gh_unGEfZHkYgyA=w1200|https://lh3.googleusercontent.com/pw/AP1GczPzpTUTmRweT4L4HPIOrc11U7ZDPFqt-wpeVzaTLB3-4xqlDbNjne6-Kif3DZeld3juC99BeGtwlxc47LeoSRI-bC6JZH3Jr_TVfNv6uEiwFd9_5ss3=w1200|https://lh3.googleusercontent.com/pw/AP1GczOouW3dSQrZ6Ic6JFYFXMQtUD11EJZJ_ezrTFWBqHghrdYqDtj6kLpEZphIlsxCdZk22iE_RQyK5Mh2J-IJ8zCAunK1Dmcab5FwGzxxu0Ml9vCRgfay=w1200|https://lh3.googleusercontent.com/pw/AP1GczP6YE42YrbrMDIGxrwsL16nakkgz43dkUI-BAviniPGNDSTpjfRPvHXeLOdsidfTJHug8D5TaCYIDQDEC8iqqO09Md5yh-zaXlQwmIi39ic25UTRh1-=w1200|https://lh3.googleusercontent.com/pw/AP1GczNOw6fNI27tCwmz6WD7JiLmryF1fZfX6-sFVizq2zLp3B12nrkqLRiRxdnUQiSxsT0nO-SMfibMXZS-ByHxTyIUMAlhEz0CkzsFMdDKviL-f3i5lsw2=w1200|https://lh3.googleusercontent.com/pw/AP1GczMnoNA6yrwrYWnX1QSIWKSO14fyQPYzNcoGGGPznjqY4YBDlhs5z2VWaD-YW7YVsFsGv6nojgKhVt4iuNJgx3ahek1gvashjfUkU9os3Sqj5C0dw_4D=w1200|https://lh3.googleusercontent.com/pw/AP1GczM5EK3AnlXJd5Qn0uNanxqviPZEGJEQYqB8U09o5WnFqPV1Ir71qp_5rE5HTbZt9rVSAk8LWD6bnTWpF7oJU7AHnILMCEswUEGBpBDF67JExfnb3E6g=w1200|https://lh3.googleusercontent.com/pw/AP1GczOzO9fn5jp1QhfbjWD6BmVEWnyZ7QKIO4BBJ5ZzM_9F6SaVFkPKTyxw_q1PRxhnh-f6tDqo9D0MhiPaCYt7kXIHKxoRikJlDu6nsU0SbEyeHsqHDphy=w1200</v>
      </c>
      <c r="AJ591" s="46"/>
      <c r="AK591" s="46"/>
      <c r="AL591" s="46"/>
      <c r="AM591" s="46"/>
      <c r="AN591" s="46"/>
      <c r="AO591" s="46"/>
      <c r="AP591" s="46"/>
      <c r="AQ591" s="46"/>
      <c r="AR591" s="46"/>
      <c r="AS591" s="46"/>
      <c r="AT591" s="46"/>
      <c r="AU591" s="46"/>
      <c r="AV591" s="46"/>
      <c r="AW591" s="46"/>
      <c r="AX591" s="46"/>
      <c r="AY591" s="46"/>
      <c r="AZ591" s="46"/>
      <c r="BA591" s="46"/>
      <c r="BB591" s="46"/>
      <c r="BC591" s="46"/>
      <c r="BD591" s="46"/>
      <c r="BE591" s="46"/>
      <c r="BF591" s="46"/>
      <c r="BG591" s="46"/>
      <c r="BH591" s="46"/>
      <c r="BI591" s="46"/>
      <c r="BJ591" s="46"/>
      <c r="BK591" s="46"/>
      <c r="BL591" s="46"/>
      <c r="BM591" s="46"/>
      <c r="BN591" s="46"/>
      <c r="BO591" s="46"/>
      <c r="BP591" s="46"/>
      <c r="BQ591" s="46"/>
      <c r="BR591" s="46"/>
      <c r="BS591" s="46"/>
      <c r="BT591" s="46"/>
      <c r="BU591" s="46"/>
      <c r="BV591" s="46"/>
      <c r="BW591" s="46"/>
      <c r="BX591" s="46"/>
      <c r="BY591" s="46"/>
      <c r="BZ591" s="46"/>
      <c r="CA591" s="46"/>
      <c r="CB591" s="46"/>
      <c r="CC591" s="46"/>
    </row>
    <row r="592">
      <c r="A592" s="87" t="str">
        <f>IFERROR(__xludf.DUMMYFUNCTION("""COMPUTED_VALUE"""),"121")</f>
        <v>121</v>
      </c>
      <c r="B592" s="46" t="str">
        <f>IFERROR(__xludf.DUMMYFUNCTION("""COMPUTED_VALUE"""),"Casa con 2 Apartamentos independientes en barrio Manzanares")</f>
        <v>Casa con 2 Apartamentos independientes en barrio Manzanares</v>
      </c>
      <c r="C592" s="46" t="str">
        <f>IFERROR(__xludf.DUMMYFUNCTION("""COMPUTED_VALUE"""),"Casa rentable")</f>
        <v>Casa rentable</v>
      </c>
      <c r="D592" s="90" t="str">
        <f>IFERROR(__xludf.DUMMYFUNCTION("""COMPUTED_VALUE"""),"Manzanares")</f>
        <v>Manzanares</v>
      </c>
      <c r="E592" s="46"/>
      <c r="F592" s="90">
        <f>IFERROR(__xludf.DUMMYFUNCTION("""COMPUTED_VALUE"""),2.5E8)</f>
        <v>250000000</v>
      </c>
      <c r="G592" s="46" t="str">
        <f>IFERROR(__xludf.DUMMYFUNCTION("""COMPUTED_VALUE"""),"$200'000.000 a $300'000.000")</f>
        <v>$200'000.000 a $300'000.000</v>
      </c>
      <c r="H592" s="46"/>
      <c r="I592" s="46"/>
      <c r="J592" s="46" t="str">
        <f>IFERROR(__xludf.DUMMYFUNCTION("""COMPUTED_VALUE"""),"Sur")</f>
        <v>Sur</v>
      </c>
      <c r="K592" s="87"/>
      <c r="L592" s="46">
        <f>IFERROR(__xludf.DUMMYFUNCTION("""COMPUTED_VALUE"""),6.0)</f>
        <v>6</v>
      </c>
      <c r="M592" s="46"/>
      <c r="N592" s="46">
        <f>IFERROR(__xludf.DUMMYFUNCTION("""COMPUTED_VALUE"""),4.0)</f>
        <v>4</v>
      </c>
      <c r="O592" s="46">
        <f>IFERROR(__xludf.DUMMYFUNCTION("""COMPUTED_VALUE"""),1.0)</f>
        <v>1</v>
      </c>
      <c r="P592" s="46">
        <f>IFERROR(__xludf.DUMMYFUNCTION("""COMPUTED_VALUE"""),2.0)</f>
        <v>2</v>
      </c>
      <c r="Q592" s="92">
        <f>IFERROR(__xludf.DUMMYFUNCTION("""COMPUTED_VALUE"""),250.0)</f>
        <v>250</v>
      </c>
      <c r="R592" s="92">
        <f>IFERROR(__xludf.DUMMYFUNCTION("""COMPUTED_VALUE"""),133.0)</f>
        <v>133</v>
      </c>
      <c r="S592" s="87" t="str">
        <f>IFERROR(__xludf.DUMMYFUNCTION("""COMPUTED_VALUE"""),"Rentabilidad $1,400,000")</f>
        <v>Rentabilidad $1,400,000</v>
      </c>
      <c r="T592" s="46" t="str">
        <f>IFERROR(__xludf.DUMMYFUNCTION("""COMPUTED_VALUE"""),"Neiva")</f>
        <v>Neiva</v>
      </c>
      <c r="U592" s="87" t="str">
        <f>IFERROR(__xludf.DUMMYFUNCTION("""COMPUTED_VALUE"""),"3")</f>
        <v>3</v>
      </c>
      <c r="V592" s="46" t="str">
        <f>IFERROR(__xludf.DUMMYFUNCTION("""COMPUTED_VALUE"""),"Medianera")</f>
        <v>Medianera</v>
      </c>
      <c r="W592" s="46"/>
      <c r="X592" s="46">
        <f>IFERROR(__xludf.DUMMYFUNCTION("""COMPUTED_VALUE"""),4.0)</f>
        <v>4</v>
      </c>
      <c r="Y592" s="46" t="str">
        <f>IFERROR(__xludf.DUMMYFUNCTION("""COMPUTED_VALUE"""),"No tiene")</f>
        <v>No tiene</v>
      </c>
      <c r="Z592" s="90" t="str">
        <f>IFERROR(__xludf.DUMMYFUNCTION("""COMPUTED_VALUE"""),"No aplica")</f>
        <v>No aplica</v>
      </c>
      <c r="AA592" s="33" t="str">
        <f>IFERROR(__xludf.DUMMYFUNCTION("""COMPUTED_VALUE"""),"15 años")</f>
        <v>15 años</v>
      </c>
      <c r="AB592" s="144" t="str">
        <f>IFERROR(__xludf.DUMMYFUNCTION("""COMPUTED_VALUE"""),"https://photos.app.goo.gl/e4kdGUcPMGtZrknc9")</f>
        <v>https://photos.app.goo.gl/e4kdGUcPMGtZrknc9</v>
      </c>
      <c r="AC592" s="46" t="str">
        <f>IFERROR(__xludf.DUMMYFUNCTION("""COMPUTED_VALUE"""),"Piso en marmol, Cielo raso en driwall, molduras en yeso. Carpintería en madera.")</f>
        <v>Piso en marmol, Cielo raso en driwall, molduras en yeso. Carpintería en madera.</v>
      </c>
      <c r="AD592" s="46" t="str">
        <f>IFERROR(__xludf.DUMMYFUNCTION("""COMPUTED_VALUE"""),"Ubicada sobre vía amplia. Cuenta con reja antejardín y Viga canal.")</f>
        <v>Ubicada sobre vía amplia. Cuenta con reja antejardín y Viga canal.</v>
      </c>
      <c r="AE592" s="46"/>
      <c r="AF592" s="46" t="str">
        <f>IFERROR(__xludf.DUMMYFUNCTION("""COMPUTED_VALUE"""),"semi-integral")</f>
        <v>semi-integral</v>
      </c>
      <c r="AG592" s="46"/>
      <c r="AH592" s="46" t="str">
        <f>IFERROR(__xludf.DUMMYFUNCTION("""COMPUTED_VALUE"""),"Aliado")</f>
        <v>Aliado</v>
      </c>
      <c r="AI592" s="92" t="str">
        <f>IFERROR(__xludf.DUMMYFUNCTION("""COMPUTED_VALUE"""),"https://lh3.googleusercontent.com/pw/AP1GczOcF5zXr93AUkWdxKLrs8x8KT6I9sFuupp_aALAGL4biIm2JgIETW6vzKWVqU-gVyD66guCRQVghp-AzwP0NDwhjhDFYEbXMGP4NM6nkg6mWc_mLpQ9=w1200|https://lh3.googleusercontent.com/pw/AP1GczOzp0eHg8xa6asOSI25rmwKzsZte8vZf4KvVzGIgur7jTnzBr"&amp;"1AUiuIz3dMgQ5Es4SUjGXwapI4PQOk41tqrl1M9QOMIXofqozSWLK2G2AgIsO-Pt6e=w1200|https://lh3.googleusercontent.com/pw/AP1GczOvTMTo2BlpcglrOCVogkb_CPc3YmUJunKhm5h9Dc7GJm2RjcF5iKqqsMtGe6cuC_G-9yST0FMytY0V1QIsd54lK2WTuauUfBwtXukxfKh6dA7Zn70F=w1200|https://lh3.google"&amp;"usercontent.com/pw/AP1GczPAQqWb7JegLRXvPzi8txeno8glgQUXCshlXruQ_0bIcGyu8tM0z0_TJwgZCms8yfXf9BTjfN9OuH95D_BaP6xdLdk4sKo11UJJPQ57PdJG5RjKo32A=w1200|https://lh3.googleusercontent.com/pw/AP1GczMpXI6IvJsK9TCSxkXeCriiaNBuBTBE9TZ-c3edHO8cHxY5caa3gg_INoQ02jiezFXf"&amp;"ZDWdPrF32J0sP5Sh24X6MxGbkD32Gq3ynQYqMvv5FtJpfG1k=w1200")</f>
        <v>https://lh3.googleusercontent.com/pw/AP1GczOcF5zXr93AUkWdxKLrs8x8KT6I9sFuupp_aALAGL4biIm2JgIETW6vzKWVqU-gVyD66guCRQVghp-AzwP0NDwhjhDFYEbXMGP4NM6nkg6mWc_mLpQ9=w1200|https://lh3.googleusercontent.com/pw/AP1GczOzp0eHg8xa6asOSI25rmwKzsZte8vZf4KvVzGIgur7jTnzBr1AUiuIz3dMgQ5Es4SUjGXwapI4PQOk41tqrl1M9QOMIXofqozSWLK2G2AgIsO-Pt6e=w1200|https://lh3.googleusercontent.com/pw/AP1GczOvTMTo2BlpcglrOCVogkb_CPc3YmUJunKhm5h9Dc7GJm2RjcF5iKqqsMtGe6cuC_G-9yST0FMytY0V1QIsd54lK2WTuauUfBwtXukxfKh6dA7Zn70F=w1200|https://lh3.googleusercontent.com/pw/AP1GczPAQqWb7JegLRXvPzi8txeno8glgQUXCshlXruQ_0bIcGyu8tM0z0_TJwgZCms8yfXf9BTjfN9OuH95D_BaP6xdLdk4sKo11UJJPQ57PdJG5RjKo32A=w1200|https://lh3.googleusercontent.com/pw/AP1GczMpXI6IvJsK9TCSxkXeCriiaNBuBTBE9TZ-c3edHO8cHxY5caa3gg_INoQ02jiezFXfZDWdPrF32J0sP5Sh24X6MxGbkD32Gq3ynQYqMvv5FtJpfG1k=w1200</v>
      </c>
      <c r="AJ592" s="46"/>
      <c r="AK592" s="46"/>
      <c r="AL592" s="46"/>
      <c r="AM592" s="46"/>
      <c r="AN592" s="46"/>
      <c r="AO592" s="46"/>
      <c r="AP592" s="46"/>
      <c r="AQ592" s="46"/>
      <c r="AR592" s="46"/>
      <c r="AS592" s="46"/>
      <c r="AT592" s="46"/>
      <c r="AU592" s="46"/>
      <c r="AV592" s="46"/>
      <c r="AW592" s="46"/>
      <c r="AX592" s="46"/>
      <c r="AY592" s="46"/>
      <c r="AZ592" s="46"/>
      <c r="BA592" s="46"/>
      <c r="BB592" s="46"/>
      <c r="BC592" s="46"/>
      <c r="BD592" s="46"/>
      <c r="BE592" s="46"/>
      <c r="BF592" s="46"/>
      <c r="BG592" s="46"/>
      <c r="BH592" s="46"/>
      <c r="BI592" s="46"/>
      <c r="BJ592" s="46"/>
      <c r="BK592" s="46"/>
      <c r="BL592" s="46"/>
      <c r="BM592" s="46"/>
      <c r="BN592" s="46"/>
      <c r="BO592" s="46"/>
      <c r="BP592" s="46"/>
      <c r="BQ592" s="46"/>
      <c r="BR592" s="46"/>
      <c r="BS592" s="46"/>
      <c r="BT592" s="46"/>
      <c r="BU592" s="46"/>
      <c r="BV592" s="46"/>
      <c r="BW592" s="46"/>
      <c r="BX592" s="46"/>
      <c r="BY592" s="46"/>
      <c r="BZ592" s="46"/>
      <c r="CA592" s="46"/>
      <c r="CB592" s="46"/>
      <c r="CC592" s="46"/>
    </row>
    <row r="593">
      <c r="A593" s="87" t="str">
        <f>IFERROR(__xludf.DUMMYFUNCTION("""COMPUTED_VALUE"""),"602")</f>
        <v>602</v>
      </c>
      <c r="B593" s="46" t="str">
        <f>IFERROR(__xludf.DUMMYFUNCTION("""COMPUTED_VALUE"""),"Casa con local en barrio Tercer Milenio")</f>
        <v>Casa con local en barrio Tercer Milenio</v>
      </c>
      <c r="C593" s="46" t="str">
        <f>IFERROR(__xludf.DUMMYFUNCTION("""COMPUTED_VALUE"""),"Casa rentable")</f>
        <v>Casa rentable</v>
      </c>
      <c r="D593" s="46" t="str">
        <f>IFERROR(__xludf.DUMMYFUNCTION("""COMPUTED_VALUE"""),"Tercer Milenio")</f>
        <v>Tercer Milenio</v>
      </c>
      <c r="E593" s="90"/>
      <c r="F593" s="90">
        <f>IFERROR(__xludf.DUMMYFUNCTION("""COMPUTED_VALUE"""),2.4E8)</f>
        <v>240000000</v>
      </c>
      <c r="G593" s="46" t="str">
        <f>IFERROR(__xludf.DUMMYFUNCTION("""COMPUTED_VALUE"""),"$200'000.000 a $300'000.000")</f>
        <v>$200'000.000 a $300'000.000</v>
      </c>
      <c r="H593" s="46"/>
      <c r="I593" s="46"/>
      <c r="J593" s="46" t="str">
        <f>IFERROR(__xludf.DUMMYFUNCTION("""COMPUTED_VALUE"""),"Norte")</f>
        <v>Norte</v>
      </c>
      <c r="K593" s="87"/>
      <c r="L593" s="46">
        <f>IFERROR(__xludf.DUMMYFUNCTION("""COMPUTED_VALUE"""),2.0)</f>
        <v>2</v>
      </c>
      <c r="M593" s="46"/>
      <c r="N593" s="46">
        <f>IFERROR(__xludf.DUMMYFUNCTION("""COMPUTED_VALUE"""),2.0)</f>
        <v>2</v>
      </c>
      <c r="O593" s="46">
        <f>IFERROR(__xludf.DUMMYFUNCTION("""COMPUTED_VALUE"""),1.0)</f>
        <v>1</v>
      </c>
      <c r="P593" s="46">
        <f>IFERROR(__xludf.DUMMYFUNCTION("""COMPUTED_VALUE"""),1.0)</f>
        <v>1</v>
      </c>
      <c r="Q593" s="92">
        <f>IFERROR(__xludf.DUMMYFUNCTION("""COMPUTED_VALUE"""),145.45)</f>
        <v>145.45</v>
      </c>
      <c r="R593" s="92">
        <f>IFERROR(__xludf.DUMMYFUNCTION("""COMPUTED_VALUE"""),145.45)</f>
        <v>145.45</v>
      </c>
      <c r="S593" s="87" t="str">
        <f>IFERROR(__xludf.DUMMYFUNCTION("""COMPUTED_VALUE""")," ")</f>
        <v> </v>
      </c>
      <c r="T593" s="46" t="str">
        <f>IFERROR(__xludf.DUMMYFUNCTION("""COMPUTED_VALUE"""),"Neiva")</f>
        <v>Neiva</v>
      </c>
      <c r="U593" s="87" t="str">
        <f>IFERROR(__xludf.DUMMYFUNCTION("""COMPUTED_VALUE"""),"3")</f>
        <v>3</v>
      </c>
      <c r="V593" s="46" t="str">
        <f>IFERROR(__xludf.DUMMYFUNCTION("""COMPUTED_VALUE"""),"Esquinera")</f>
        <v>Esquinera</v>
      </c>
      <c r="W593" s="46"/>
      <c r="X593" s="46">
        <f>IFERROR(__xludf.DUMMYFUNCTION("""COMPUTED_VALUE"""),1.0)</f>
        <v>1</v>
      </c>
      <c r="Y593" s="46" t="str">
        <f>IFERROR(__xludf.DUMMYFUNCTION("""COMPUTED_VALUE"""),"No tiene")</f>
        <v>No tiene</v>
      </c>
      <c r="Z593" s="90" t="str">
        <f>IFERROR(__xludf.DUMMYFUNCTION("""COMPUTED_VALUE"""),"No aplica")</f>
        <v>No aplica</v>
      </c>
      <c r="AA593" s="33" t="str">
        <f>IFERROR(__xludf.DUMMYFUNCTION("""COMPUTED_VALUE"""),"No aplica")</f>
        <v>No aplica</v>
      </c>
      <c r="AB593" s="96" t="str">
        <f>IFERROR(__xludf.DUMMYFUNCTION("""COMPUTED_VALUE"""),"https://photos.app.goo.gl/ZnHwzqG9DE7wfV3A8")</f>
        <v>https://photos.app.goo.gl/ZnHwzqG9DE7wfV3A8</v>
      </c>
      <c r="AC593" s="46"/>
      <c r="AD593" s="46" t="str">
        <f>IFERROR(__xludf.DUMMYFUNCTION("""COMPUTED_VALUE"""),"Bien ubicada. Sobre vía amplia.")</f>
        <v>Bien ubicada. Sobre vía amplia.</v>
      </c>
      <c r="AE593" s="46"/>
      <c r="AF593" s="46" t="str">
        <f>IFERROR(__xludf.DUMMYFUNCTION("""COMPUTED_VALUE"""),"básica")</f>
        <v>básica</v>
      </c>
      <c r="AG593" s="46"/>
      <c r="AH593" s="46" t="str">
        <f>IFERROR(__xludf.DUMMYFUNCTION("""COMPUTED_VALUE"""),"Aliado")</f>
        <v>Aliado</v>
      </c>
      <c r="AI593" s="92" t="str">
        <f>IFERROR(__xludf.DUMMYFUNCTION("""COMPUTED_VALUE"""),"https://lh3.googleusercontent.com/pw/AP1GczN1mFUvpcAcCED9ng628pJcDjgbhrGhGwMfVCmKaEHY-EXnv4VwD1-nms_iedV3z2HwAjcP2cHDY3GivwOO2lK_fajhvZpnwJBsnvHugEYqnThyrRRj=w1200|https://lh3.googleusercontent.com/pw/AP1GczMBHCUcoemQhEHdzmoJ4DBU_HUf1EEXf1ikA2Ml-1Wx0pMtjS"&amp;"5Yfrq0oZ-A3FwDmQQ_Yt8svwKFeRULrp_h1A7aAOVcXiz4-s54qyv9AqPO4KIv544N=w1200")</f>
        <v>https://lh3.googleusercontent.com/pw/AP1GczN1mFUvpcAcCED9ng628pJcDjgbhrGhGwMfVCmKaEHY-EXnv4VwD1-nms_iedV3z2HwAjcP2cHDY3GivwOO2lK_fajhvZpnwJBsnvHugEYqnThyrRRj=w1200|https://lh3.googleusercontent.com/pw/AP1GczMBHCUcoemQhEHdzmoJ4DBU_HUf1EEXf1ikA2Ml-1Wx0pMtjS5Yfrq0oZ-A3FwDmQQ_Yt8svwKFeRULrp_h1A7aAOVcXiz4-s54qyv9AqPO4KIv544N=w1200</v>
      </c>
      <c r="AJ593" s="46"/>
      <c r="AK593" s="46"/>
      <c r="AL593" s="46"/>
      <c r="AM593" s="46"/>
      <c r="AN593" s="46"/>
      <c r="AO593" s="46"/>
      <c r="AP593" s="46"/>
      <c r="AQ593" s="46"/>
      <c r="AR593" s="46"/>
      <c r="AS593" s="46"/>
      <c r="AT593" s="46"/>
      <c r="AU593" s="46"/>
      <c r="AV593" s="46"/>
      <c r="AW593" s="46"/>
      <c r="AX593" s="46"/>
      <c r="AY593" s="46"/>
      <c r="AZ593" s="46"/>
      <c r="BA593" s="46"/>
      <c r="BB593" s="46"/>
      <c r="BC593" s="46"/>
      <c r="BD593" s="46"/>
      <c r="BE593" s="46"/>
      <c r="BF593" s="46"/>
      <c r="BG593" s="46"/>
      <c r="BH593" s="46"/>
      <c r="BI593" s="46"/>
      <c r="BJ593" s="46"/>
      <c r="BK593" s="46"/>
      <c r="BL593" s="46"/>
      <c r="BM593" s="46"/>
      <c r="BN593" s="46"/>
      <c r="BO593" s="46"/>
      <c r="BP593" s="46"/>
      <c r="BQ593" s="46"/>
      <c r="BR593" s="46"/>
      <c r="BS593" s="46"/>
      <c r="BT593" s="46"/>
      <c r="BU593" s="46"/>
      <c r="BV593" s="46"/>
      <c r="BW593" s="46"/>
      <c r="BX593" s="46"/>
      <c r="BY593" s="46"/>
      <c r="BZ593" s="46"/>
      <c r="CA593" s="46"/>
      <c r="CB593" s="46"/>
      <c r="CC593" s="46"/>
    </row>
    <row r="594">
      <c r="A594" s="87" t="str">
        <f>IFERROR(__xludf.DUMMYFUNCTION("""COMPUTED_VALUE"""),"387")</f>
        <v>387</v>
      </c>
      <c r="B594" s="46" t="str">
        <f>IFERROR(__xludf.DUMMYFUNCTION("""COMPUTED_VALUE"""),"Casa de dos pisos independientes en barrio La Arbolea")</f>
        <v>Casa de dos pisos independientes en barrio La Arbolea</v>
      </c>
      <c r="C594" s="46" t="str">
        <f>IFERROR(__xludf.DUMMYFUNCTION("""COMPUTED_VALUE"""),"Casa rentable")</f>
        <v>Casa rentable</v>
      </c>
      <c r="D594" s="46" t="str">
        <f>IFERROR(__xludf.DUMMYFUNCTION("""COMPUTED_VALUE"""),"La Arbolea")</f>
        <v>La Arbolea</v>
      </c>
      <c r="E594" s="46"/>
      <c r="F594" s="90">
        <f>IFERROR(__xludf.DUMMYFUNCTION("""COMPUTED_VALUE"""),2.4E8)</f>
        <v>240000000</v>
      </c>
      <c r="G594" s="46" t="str">
        <f>IFERROR(__xludf.DUMMYFUNCTION("""COMPUTED_VALUE"""),"$200'000.000 a $300'000.000")</f>
        <v>$200'000.000 a $300'000.000</v>
      </c>
      <c r="H594" s="46"/>
      <c r="I594" s="46"/>
      <c r="J594" s="46" t="str">
        <f>IFERROR(__xludf.DUMMYFUNCTION("""COMPUTED_VALUE"""),"Oriente")</f>
        <v>Oriente</v>
      </c>
      <c r="K594" s="87" t="str">
        <f>IFERROR(__xludf.DUMMYFUNCTION("""COMPUTED_VALUE"""),"5")</f>
        <v>5</v>
      </c>
      <c r="L594" s="46">
        <f>IFERROR(__xludf.DUMMYFUNCTION("""COMPUTED_VALUE"""),5.0)</f>
        <v>5</v>
      </c>
      <c r="M594" s="46"/>
      <c r="N594" s="46">
        <f>IFERROR(__xludf.DUMMYFUNCTION("""COMPUTED_VALUE"""),2.0)</f>
        <v>2</v>
      </c>
      <c r="O594" s="46">
        <f>IFERROR(__xludf.DUMMYFUNCTION("""COMPUTED_VALUE"""),0.0)</f>
        <v>0</v>
      </c>
      <c r="P594" s="46">
        <f>IFERROR(__xludf.DUMMYFUNCTION("""COMPUTED_VALUE"""),2.0)</f>
        <v>2</v>
      </c>
      <c r="Q594" s="92">
        <f>IFERROR(__xludf.DUMMYFUNCTION("""COMPUTED_VALUE"""),130.0)</f>
        <v>130</v>
      </c>
      <c r="R594" s="92">
        <f>IFERROR(__xludf.DUMMYFUNCTION("""COMPUTED_VALUE"""),71.0)</f>
        <v>71</v>
      </c>
      <c r="S594" s="87" t="str">
        <f>IFERROR(__xludf.DUMMYFUNCTION("""COMPUTED_VALUE"""),"Rentabilidad $1,300,000")</f>
        <v>Rentabilidad $1,300,000</v>
      </c>
      <c r="T594" s="46" t="str">
        <f>IFERROR(__xludf.DUMMYFUNCTION("""COMPUTED_VALUE"""),"Neiva")</f>
        <v>Neiva</v>
      </c>
      <c r="U594" s="87" t="str">
        <f>IFERROR(__xludf.DUMMYFUNCTION("""COMPUTED_VALUE"""),"3")</f>
        <v>3</v>
      </c>
      <c r="V594" s="46" t="str">
        <f>IFERROR(__xludf.DUMMYFUNCTION("""COMPUTED_VALUE"""),"Medianera")</f>
        <v>Medianera</v>
      </c>
      <c r="W594" s="46"/>
      <c r="X594" s="46">
        <f>IFERROR(__xludf.DUMMYFUNCTION("""COMPUTED_VALUE"""),2.0)</f>
        <v>2</v>
      </c>
      <c r="Y594" s="46" t="str">
        <f>IFERROR(__xludf.DUMMYFUNCTION("""COMPUTED_VALUE"""),"No tiene")</f>
        <v>No tiene</v>
      </c>
      <c r="Z594" s="90" t="str">
        <f>IFERROR(__xludf.DUMMYFUNCTION("""COMPUTED_VALUE"""),"No aplica")</f>
        <v>No aplica</v>
      </c>
      <c r="AA594" s="33" t="str">
        <f>IFERROR(__xludf.DUMMYFUNCTION("""COMPUTED_VALUE"""),"15 años")</f>
        <v>15 años</v>
      </c>
      <c r="AB594" s="144" t="str">
        <f>IFERROR(__xludf.DUMMYFUNCTION("""COMPUTED_VALUE"""),"https://photos.app.goo.gl/KqtSRVhNXziKMU729")</f>
        <v>https://photos.app.goo.gl/KqtSRVhNXziKMU729</v>
      </c>
      <c r="AC594" s="46" t="str">
        <f>IFERROR(__xludf.DUMMYFUNCTION("""COMPUTED_VALUE"""),"Cuenta con buenos acabados.")</f>
        <v>Cuenta con buenos acabados.</v>
      </c>
      <c r="AD594" s="46" t="str">
        <f>IFERROR(__xludf.DUMMYFUNCTION("""COMPUTED_VALUE"""),"Buena ubicación.")</f>
        <v>Buena ubicación.</v>
      </c>
      <c r="AE594" s="46"/>
      <c r="AF594" s="46" t="str">
        <f>IFERROR(__xludf.DUMMYFUNCTION("""COMPUTED_VALUE"""),"semi-integral")</f>
        <v>semi-integral</v>
      </c>
      <c r="AG594" s="46"/>
      <c r="AH594" s="46" t="str">
        <f>IFERROR(__xludf.DUMMYFUNCTION("""COMPUTED_VALUE"""),"Aliado")</f>
        <v>Aliado</v>
      </c>
      <c r="AI594" s="92" t="str">
        <f>IFERROR(__xludf.DUMMYFUNCTION("""COMPUTED_VALUE"""),"https://lh3.googleusercontent.com/pw/AP1GczMOoBOSa7eVuSZGnXQ-gU33-6FONJFJGAUEAIn1LnWnLTquc30c-NUwvWG37fUSO2_vyFbQAN1A5Fbyk7Di4IXMrXrxyLIFwuYCArMI9SJpQSFtu97r=w1200|https://lh3.googleusercontent.com/pw/AP1GczO82tMwHRpVcctCUPCF8LvqVBFG2_nLFpGL1c07wQFsW-JryG"&amp;"dsHsyDYOJhGudkqD0IZqTBh_RGlV5orpGzEy7Z7vCUpTmPHgjz9ZsVDS_fgebtnwo1=w1200|https://lh3.googleusercontent.com/pw/AP1GczPTER5A-YBtrDdJGnrXd4lLQbT2YNo9omKnWQ4xUV6YFhutDQEbD7MnY1tgfgURAO3bN-W2F0C8r1O8oU65RvijjjFHG79n7PiHNdx-a_1IYwY5JCzZ=w1200|https://lh3.google"&amp;"usercontent.com/pw/AP1GczNOV50QAENbrxEfhIkjEAUEz7f21eunqr9YnXL--5pOrpTH5FGh4Km3uN5ozQ3VTCdVaB-ZpfNjCAghFCKTGuMVF1Pb8VeShH1XJ3gHWUXY0AXrt2GZ=w1200|https://lh3.googleusercontent.com/pw/AP1GczOBRx9sSSrWWojy1eUJHx0qYNI26KaHnhZoFdZvpI81Fk36_2cVmd153Vbcifz3Kdcm"&amp;"HdnxXyexdtO3o705MCwYmGEmlRzWaXww43vWgKR2sswNzuyd=w1200")</f>
        <v>https://lh3.googleusercontent.com/pw/AP1GczMOoBOSa7eVuSZGnXQ-gU33-6FONJFJGAUEAIn1LnWnLTquc30c-NUwvWG37fUSO2_vyFbQAN1A5Fbyk7Di4IXMrXrxyLIFwuYCArMI9SJpQSFtu97r=w1200|https://lh3.googleusercontent.com/pw/AP1GczO82tMwHRpVcctCUPCF8LvqVBFG2_nLFpGL1c07wQFsW-JryGdsHsyDYOJhGudkqD0IZqTBh_RGlV5orpGzEy7Z7vCUpTmPHgjz9ZsVDS_fgebtnwo1=w1200|https://lh3.googleusercontent.com/pw/AP1GczPTER5A-YBtrDdJGnrXd4lLQbT2YNo9omKnWQ4xUV6YFhutDQEbD7MnY1tgfgURAO3bN-W2F0C8r1O8oU65RvijjjFHG79n7PiHNdx-a_1IYwY5JCzZ=w1200|https://lh3.googleusercontent.com/pw/AP1GczNOV50QAENbrxEfhIkjEAUEz7f21eunqr9YnXL--5pOrpTH5FGh4Km3uN5ozQ3VTCdVaB-ZpfNjCAghFCKTGuMVF1Pb8VeShH1XJ3gHWUXY0AXrt2GZ=w1200|https://lh3.googleusercontent.com/pw/AP1GczOBRx9sSSrWWojy1eUJHx0qYNI26KaHnhZoFdZvpI81Fk36_2cVmd153Vbcifz3KdcmHdnxXyexdtO3o705MCwYmGEmlRzWaXww43vWgKR2sswNzuyd=w1200</v>
      </c>
      <c r="AJ594" s="46"/>
      <c r="AK594" s="46"/>
      <c r="AL594" s="46"/>
      <c r="AM594" s="46"/>
      <c r="AN594" s="46"/>
      <c r="AO594" s="46"/>
      <c r="AP594" s="46"/>
      <c r="AQ594" s="46"/>
      <c r="AR594" s="46"/>
      <c r="AS594" s="46"/>
      <c r="AT594" s="46"/>
      <c r="AU594" s="46"/>
      <c r="AV594" s="46"/>
      <c r="AW594" s="46"/>
      <c r="AX594" s="46"/>
      <c r="AY594" s="46"/>
      <c r="AZ594" s="46"/>
      <c r="BA594" s="46"/>
      <c r="BB594" s="46"/>
      <c r="BC594" s="46"/>
      <c r="BD594" s="46"/>
      <c r="BE594" s="46"/>
      <c r="BF594" s="46"/>
      <c r="BG594" s="46"/>
      <c r="BH594" s="46"/>
      <c r="BI594" s="46"/>
      <c r="BJ594" s="46"/>
      <c r="BK594" s="46"/>
      <c r="BL594" s="46"/>
      <c r="BM594" s="46"/>
      <c r="BN594" s="46"/>
      <c r="BO594" s="46"/>
      <c r="BP594" s="46"/>
      <c r="BQ594" s="46"/>
      <c r="BR594" s="46"/>
      <c r="BS594" s="46"/>
      <c r="BT594" s="46"/>
      <c r="BU594" s="46"/>
      <c r="BV594" s="46"/>
      <c r="BW594" s="46"/>
      <c r="BX594" s="46"/>
      <c r="BY594" s="46"/>
      <c r="BZ594" s="46"/>
      <c r="CA594" s="46"/>
      <c r="CB594" s="46"/>
      <c r="CC594" s="46"/>
    </row>
    <row r="595">
      <c r="A595" s="87" t="str">
        <f>IFERROR(__xludf.DUMMYFUNCTION("""COMPUTED_VALUE"""),"828")</f>
        <v>828</v>
      </c>
      <c r="B595" s="46" t="str">
        <f>IFERROR(__xludf.DUMMYFUNCTION("""COMPUTED_VALUE"""),"Casa en Puerto Wilches - Depto. Santander")</f>
        <v>Casa en Puerto Wilches - Depto. Santander</v>
      </c>
      <c r="C595" s="46" t="str">
        <f>IFERROR(__xludf.DUMMYFUNCTION("""COMPUTED_VALUE"""),"Casa")</f>
        <v>Casa</v>
      </c>
      <c r="D595" s="46"/>
      <c r="E595" s="46"/>
      <c r="F595" s="90">
        <f>IFERROR(__xludf.DUMMYFUNCTION("""COMPUTED_VALUE"""),2.2E8)</f>
        <v>220000000</v>
      </c>
      <c r="G595" s="46" t="str">
        <f>IFERROR(__xludf.DUMMYFUNCTION("""COMPUTED_VALUE"""),"$200'000.000 a $300'000.000")</f>
        <v>$200'000.000 a $300'000.000</v>
      </c>
      <c r="H595" s="46"/>
      <c r="I595" s="46"/>
      <c r="J595" s="46" t="str">
        <f>IFERROR(__xludf.DUMMYFUNCTION("""COMPUTED_VALUE"""),"Norte")</f>
        <v>Norte</v>
      </c>
      <c r="K595" s="87"/>
      <c r="L595" s="46">
        <f>IFERROR(__xludf.DUMMYFUNCTION("""COMPUTED_VALUE"""),4.0)</f>
        <v>4</v>
      </c>
      <c r="M595" s="46"/>
      <c r="N595" s="46">
        <f>IFERROR(__xludf.DUMMYFUNCTION("""COMPUTED_VALUE"""),2.0)</f>
        <v>2</v>
      </c>
      <c r="O595" s="46">
        <f>IFERROR(__xludf.DUMMYFUNCTION("""COMPUTED_VALUE"""),1.0)</f>
        <v>1</v>
      </c>
      <c r="P595" s="46">
        <f>IFERROR(__xludf.DUMMYFUNCTION("""COMPUTED_VALUE"""),1.0)</f>
        <v>1</v>
      </c>
      <c r="Q595" s="92">
        <f>IFERROR(__xludf.DUMMYFUNCTION("""COMPUTED_VALUE"""),170.0)</f>
        <v>170</v>
      </c>
      <c r="R595" s="92">
        <f>IFERROR(__xludf.DUMMYFUNCTION("""COMPUTED_VALUE"""),180.0)</f>
        <v>180</v>
      </c>
      <c r="S595" s="87" t="str">
        <f>IFERROR(__xludf.DUMMYFUNCTION("""COMPUTED_VALUE""")," ")</f>
        <v> </v>
      </c>
      <c r="T595" s="46" t="str">
        <f>IFERROR(__xludf.DUMMYFUNCTION("""COMPUTED_VALUE"""),"Puerto Wilches")</f>
        <v>Puerto Wilches</v>
      </c>
      <c r="U595" s="87" t="str">
        <f>IFERROR(__xludf.DUMMYFUNCTION("""COMPUTED_VALUE"""),"3")</f>
        <v>3</v>
      </c>
      <c r="V595" s="46" t="str">
        <f>IFERROR(__xludf.DUMMYFUNCTION("""COMPUTED_VALUE"""),"Medianera")</f>
        <v>Medianera</v>
      </c>
      <c r="W595" s="46"/>
      <c r="X595" s="46">
        <f>IFERROR(__xludf.DUMMYFUNCTION("""COMPUTED_VALUE"""),4.0)</f>
        <v>4</v>
      </c>
      <c r="Y595" s="46" t="str">
        <f>IFERROR(__xludf.DUMMYFUNCTION("""COMPUTED_VALUE"""),"No tiene")</f>
        <v>No tiene</v>
      </c>
      <c r="Z595" s="90" t="str">
        <f>IFERROR(__xludf.DUMMYFUNCTION("""COMPUTED_VALUE"""),"No aplica")</f>
        <v>No aplica</v>
      </c>
      <c r="AA595" s="33" t="str">
        <f>IFERROR(__xludf.DUMMYFUNCTION("""COMPUTED_VALUE"""),"No aplica")</f>
        <v>No aplica</v>
      </c>
      <c r="AB595" s="96" t="str">
        <f>IFERROR(__xludf.DUMMYFUNCTION("""COMPUTED_VALUE"""),"https://photos.app.goo.gl/a8MxrCvZWDAr1c1R6")</f>
        <v>https://photos.app.goo.gl/a8MxrCvZWDAr1c1R6</v>
      </c>
      <c r="AC595" s="46" t="str">
        <f>IFERROR(__xludf.DUMMYFUNCTION("""COMPUTED_VALUE"""),"Cuenta con 4 habitaciones (3 con aire acondicionado y principal con closet). 2 baños (social y privado). Sala comedor. Cocina integral. Zona de ropas.  Area: 180.0m².")</f>
        <v>Cuenta con 4 habitaciones (3 con aire acondicionado y principal con closet). 2 baños (social y privado). Sala comedor. Cocina integral. Zona de ropas.  Area: 180.0m².</v>
      </c>
      <c r="AD595" s="46" t="str">
        <f>IFERROR(__xludf.DUMMYFUNCTION("""COMPUTED_VALUE"""),"Casa ubicada en Puerto Wilches - Departamento de Santander.")</f>
        <v>Casa ubicada en Puerto Wilches - Departamento de Santander.</v>
      </c>
      <c r="AE595" s="46"/>
      <c r="AF595" s="46" t="str">
        <f>IFERROR(__xludf.DUMMYFUNCTION("""COMPUTED_VALUE"""),"semi-integral")</f>
        <v>semi-integral</v>
      </c>
      <c r="AG595" s="46"/>
      <c r="AH595" s="46" t="str">
        <f>IFERROR(__xludf.DUMMYFUNCTION("""COMPUTED_VALUE"""),"Aliado")</f>
        <v>Aliado</v>
      </c>
      <c r="AI595" s="92" t="str">
        <f>IFERROR(__xludf.DUMMYFUNCTION("""COMPUTED_VALUE"""),"https://lh3.googleusercontent.com/pw/AP1GczMP3qj4hZ8KVSg4Ws-BpzxYCISd4EVpS4H9xn4NzAXjJ9YIVeqUBUZY5aIRYXJx_RWGyu373KuO5E3cZDfuDoyP7cP_SjU42NSJn8_IYK2nd8PScHTA=w1200|https://lh3.googleusercontent.com/pw/AP1GczN_SVhLdfbNbwX2jAJjVtYpmXqyxnsXDyBBh88OiX1m5U8UG0"&amp;"F61ApHah6MTOp-h0LBVBDmz9-q9jdyFBvhbqGMTb5iMh01yitGOQA-5Pcgdbd1LYgQ=w1200|https://lh3.googleusercontent.com/pw/AP1GczNwq0hPjjJQ3ZLH3NfKrfgZG-uTj2oNYt9rmaye1zF_Nx0xU7__37EbuBDhV2i1-7NHd7edm80vYOGqN66-HhchcHFKP04QhudHXctBqqTNiGWYwqny=w1200|https://lh3.google"&amp;"usercontent.com/pw/AP1GczPkE7j1Iw-ZELNS0qwrdZQrunUSSX3BPC7ECQ4tPohufwTOGN56CXA1KkaH8iJ19vcWMcSHUhYDtRFxFdVyij3gurZfjzPmp-Hrg5U43p1xNzSCTSBG=w1200|https://lh3.googleusercontent.com/pw/AP1GczNdLmBa0gNgDOT_aSCH3IZ6EPB9HhBz6jivnSYSJj_r5iZ1DYVigWngR9nEHBQM28au"&amp;"sjAI9Gf3Z_iRwsC7CIbvgfYua5IKNuAdDwR3Zd_yanAxXggT=w1200|https://lh3.googleusercontent.com/pw/AP1GczNhRznK7fGiOo7tio0W4TGkP3PchKHL-OsJYU0lhxDBD9xIoIKRlLrqG5wYxicVtcow_NnoWomJBnLC9JKuz9RB5m1yjEgFDinGqXjcteITyK5X2pLl=w1200|https://lh3.googleusercontent.com/pw"&amp;"/AP1GczP58Icap7Lxm2LNvEakWWYvtHx7N206EfScBLYgVG1QlYneakK6DF1_mszAGgiJASq7YdiAgBQPMXkbZbortN8NFndN9Nn3kG1S_hmK9_OGO-blUqM8=w1200|https://lh3.googleusercontent.com/pw/AP1GczMxYxau-0btrz1ABGHLFMR5MPD2vo8dVDokEeC3SGPQQEU-pyxRRB1VHFVAe1GNBG0LpVuO7ZXJITFJWs7B0a"&amp;"EkY01Ne4DlbHDH6_kVN3ZtCiDJFBnQ=w1200")</f>
        <v>https://lh3.googleusercontent.com/pw/AP1GczMP3qj4hZ8KVSg4Ws-BpzxYCISd4EVpS4H9xn4NzAXjJ9YIVeqUBUZY5aIRYXJx_RWGyu373KuO5E3cZDfuDoyP7cP_SjU42NSJn8_IYK2nd8PScHTA=w1200|https://lh3.googleusercontent.com/pw/AP1GczN_SVhLdfbNbwX2jAJjVtYpmXqyxnsXDyBBh88OiX1m5U8UG0F61ApHah6MTOp-h0LBVBDmz9-q9jdyFBvhbqGMTb5iMh01yitGOQA-5Pcgdbd1LYgQ=w1200|https://lh3.googleusercontent.com/pw/AP1GczNwq0hPjjJQ3ZLH3NfKrfgZG-uTj2oNYt9rmaye1zF_Nx0xU7__37EbuBDhV2i1-7NHd7edm80vYOGqN66-HhchcHFKP04QhudHXctBqqTNiGWYwqny=w1200|https://lh3.googleusercontent.com/pw/AP1GczPkE7j1Iw-ZELNS0qwrdZQrunUSSX3BPC7ECQ4tPohufwTOGN56CXA1KkaH8iJ19vcWMcSHUhYDtRFxFdVyij3gurZfjzPmp-Hrg5U43p1xNzSCTSBG=w1200|https://lh3.googleusercontent.com/pw/AP1GczNdLmBa0gNgDOT_aSCH3IZ6EPB9HhBz6jivnSYSJj_r5iZ1DYVigWngR9nEHBQM28ausjAI9Gf3Z_iRwsC7CIbvgfYua5IKNuAdDwR3Zd_yanAxXggT=w1200|https://lh3.googleusercontent.com/pw/AP1GczNhRznK7fGiOo7tio0W4TGkP3PchKHL-OsJYU0lhxDBD9xIoIKRlLrqG5wYxicVtcow_NnoWomJBnLC9JKuz9RB5m1yjEgFDinGqXjcteITyK5X2pLl=w1200|https://lh3.googleusercontent.com/pw/AP1GczP58Icap7Lxm2LNvEakWWYvtHx7N206EfScBLYgVG1QlYneakK6DF1_mszAGgiJASq7YdiAgBQPMXkbZbortN8NFndN9Nn3kG1S_hmK9_OGO-blUqM8=w1200|https://lh3.googleusercontent.com/pw/AP1GczMxYxau-0btrz1ABGHLFMR5MPD2vo8dVDokEeC3SGPQQEU-pyxRRB1VHFVAe1GNBG0LpVuO7ZXJITFJWs7B0aEkY01Ne4DlbHDH6_kVN3ZtCiDJFBnQ=w1200</v>
      </c>
      <c r="AJ595" s="46"/>
      <c r="AK595" s="46"/>
      <c r="AL595" s="46"/>
      <c r="AM595" s="46"/>
      <c r="AN595" s="46"/>
      <c r="AO595" s="46"/>
      <c r="AP595" s="46"/>
      <c r="AQ595" s="46"/>
      <c r="AR595" s="46"/>
      <c r="AS595" s="46"/>
      <c r="AT595" s="46"/>
      <c r="AU595" s="46"/>
      <c r="AV595" s="46"/>
      <c r="AW595" s="46"/>
      <c r="AX595" s="46"/>
      <c r="AY595" s="46"/>
      <c r="AZ595" s="46"/>
      <c r="BA595" s="46"/>
      <c r="BB595" s="46"/>
      <c r="BC595" s="46"/>
      <c r="BD595" s="46"/>
      <c r="BE595" s="46"/>
      <c r="BF595" s="46"/>
      <c r="BG595" s="46"/>
      <c r="BH595" s="46"/>
      <c r="BI595" s="46"/>
      <c r="BJ595" s="46"/>
      <c r="BK595" s="46"/>
      <c r="BL595" s="46"/>
      <c r="BM595" s="46"/>
      <c r="BN595" s="46"/>
      <c r="BO595" s="46"/>
      <c r="BP595" s="46"/>
      <c r="BQ595" s="46"/>
      <c r="BR595" s="46"/>
      <c r="BS595" s="46"/>
      <c r="BT595" s="46"/>
      <c r="BU595" s="46"/>
      <c r="BV595" s="46"/>
      <c r="BW595" s="46"/>
      <c r="BX595" s="46"/>
      <c r="BY595" s="46"/>
      <c r="BZ595" s="46"/>
      <c r="CA595" s="46"/>
      <c r="CB595" s="46"/>
      <c r="CC595" s="46"/>
    </row>
    <row r="596">
      <c r="A596" s="87" t="str">
        <f>IFERROR(__xludf.DUMMYFUNCTION("""COMPUTED_VALUE"""),"827")</f>
        <v>827</v>
      </c>
      <c r="B596" s="46" t="str">
        <f>IFERROR(__xludf.DUMMYFUNCTION("""COMPUTED_VALUE"""),"Lote campestre en Conjunto Condominio San Sebastian - Palermo")</f>
        <v>Lote campestre en Conjunto Condominio San Sebastian - Palermo</v>
      </c>
      <c r="C596" s="46" t="str">
        <f>IFERROR(__xludf.DUMMYFUNCTION("""COMPUTED_VALUE"""),"Lote campestre en conjunto")</f>
        <v>Lote campestre en conjunto</v>
      </c>
      <c r="D596" s="46"/>
      <c r="E596" s="46" t="str">
        <f>IFERROR(__xludf.DUMMYFUNCTION("""COMPUTED_VALUE"""),"Conjunto San Sebastian")</f>
        <v>Conjunto San Sebastian</v>
      </c>
      <c r="F596" s="90">
        <f>IFERROR(__xludf.DUMMYFUNCTION("""COMPUTED_VALUE"""),2.2E8)</f>
        <v>220000000</v>
      </c>
      <c r="G596" s="46" t="str">
        <f>IFERROR(__xludf.DUMMYFUNCTION("""COMPUTED_VALUE"""),"$200'000.000 a $300'000.000")</f>
        <v>$200'000.000 a $300'000.000</v>
      </c>
      <c r="H596" s="46"/>
      <c r="I596" s="46"/>
      <c r="J596" s="46" t="str">
        <f>IFERROR(__xludf.DUMMYFUNCTION("""COMPUTED_VALUE"""),"Sur")</f>
        <v>Sur</v>
      </c>
      <c r="K596" s="87"/>
      <c r="L596" s="46">
        <f>IFERROR(__xludf.DUMMYFUNCTION("""COMPUTED_VALUE"""),0.0)</f>
        <v>0</v>
      </c>
      <c r="M596" s="46"/>
      <c r="N596" s="46">
        <f>IFERROR(__xludf.DUMMYFUNCTION("""COMPUTED_VALUE"""),0.0)</f>
        <v>0</v>
      </c>
      <c r="O596" s="46">
        <f>IFERROR(__xludf.DUMMYFUNCTION("""COMPUTED_VALUE"""),0.0)</f>
        <v>0</v>
      </c>
      <c r="P596" s="46">
        <f>IFERROR(__xludf.DUMMYFUNCTION("""COMPUTED_VALUE"""),0.0)</f>
        <v>0</v>
      </c>
      <c r="Q596" s="92">
        <f>IFERROR(__xludf.DUMMYFUNCTION("""COMPUTED_VALUE"""),0.0)</f>
        <v>0</v>
      </c>
      <c r="R596" s="92">
        <f>IFERROR(__xludf.DUMMYFUNCTION("""COMPUTED_VALUE"""),1600.0)</f>
        <v>1600</v>
      </c>
      <c r="S596" s="87" t="str">
        <f>IFERROR(__xludf.DUMMYFUNCTION("""COMPUTED_VALUE""")," ")</f>
        <v> </v>
      </c>
      <c r="T596" s="46" t="str">
        <f>IFERROR(__xludf.DUMMYFUNCTION("""COMPUTED_VALUE"""),"Palermo")</f>
        <v>Palermo</v>
      </c>
      <c r="U596" s="87" t="str">
        <f>IFERROR(__xludf.DUMMYFUNCTION("""COMPUTED_VALUE"""),"3")</f>
        <v>3</v>
      </c>
      <c r="V596" s="46" t="str">
        <f>IFERROR(__xludf.DUMMYFUNCTION("""COMPUTED_VALUE"""),"Medianera")</f>
        <v>Medianera</v>
      </c>
      <c r="W596" s="46"/>
      <c r="X596" s="46">
        <f>IFERROR(__xludf.DUMMYFUNCTION("""COMPUTED_VALUE"""),0.0)</f>
        <v>0</v>
      </c>
      <c r="Y596" s="46" t="str">
        <f>IFERROR(__xludf.DUMMYFUNCTION("""COMPUTED_VALUE"""),"Social")</f>
        <v>Social</v>
      </c>
      <c r="Z596" s="90"/>
      <c r="AA596" s="33" t="str">
        <f>IFERROR(__xludf.DUMMYFUNCTION("""COMPUTED_VALUE"""),"No aplica")</f>
        <v>No aplica</v>
      </c>
      <c r="AB596" s="96" t="str">
        <f>IFERROR(__xludf.DUMMYFUNCTION("""COMPUTED_VALUE"""),"https://photos.app.goo.gl/dL22s1zpCPWB7fd58")</f>
        <v>https://photos.app.goo.gl/dL22s1zpCPWB7fd58</v>
      </c>
      <c r="AC596" s="46" t="str">
        <f>IFERROR(__xludf.DUMMYFUNCTION("""COMPUTED_VALUE"""),"Zonas comunes:( Salón social, piscina, gimnasio, vigilancia las 24 horas).")</f>
        <v>Zonas comunes:( Salón social, piscina, gimnasio, vigilancia las 24 horas).</v>
      </c>
      <c r="AD596" s="46" t="str">
        <f>IFERROR(__xludf.DUMMYFUNCTION("""COMPUTED_VALUE"""),"Conjunto con buenas áreas para desarrollar proyectos de vida. Área:1600m² - Servicio de agua y energía.")</f>
        <v>Conjunto con buenas áreas para desarrollar proyectos de vida. Área:1600m² - Servicio de agua y energía.</v>
      </c>
      <c r="AE596" s="46"/>
      <c r="AF596" s="46">
        <f>IFERROR(__xludf.DUMMYFUNCTION("""COMPUTED_VALUE"""),0.0)</f>
        <v>0</v>
      </c>
      <c r="AG596" s="46"/>
      <c r="AH596" s="46" t="str">
        <f>IFERROR(__xludf.DUMMYFUNCTION("""COMPUTED_VALUE"""),"Aliado")</f>
        <v>Aliado</v>
      </c>
      <c r="AI596" s="92" t="str">
        <f>IFERROR(__xludf.DUMMYFUNCTION("""COMPUTED_VALUE"""),"https://lh3.googleusercontent.com/pw/AP1GczO9GgwdL5nOF-KCEetrlTG-pHEM4BE2CCWPYMJ0et5AyyFvaNZOMbbeuyk5PuExGUdwdl67Mrt14Wpno8HPXDsXasJlzzGxMN3nrmbislkYsnQKrwQo=w1200|https://lh3.googleusercontent.com/pw/AP1GczO7mURPYnKkGHuFfxNlnqvb_1SPLvHihhutJ81XkW7AOCTzLX"&amp;"DXxu9cAX04tB33rlN210o-xK638RltNcYCd-D3q7P_10YiRogRA7rLawQkk8jD9Fwi=w1200|https://lh3.googleusercontent.com/pw/AP1GczP9og4Rh63CenH4KgQARiKGlI-vqXK6DASzh3wPc-XC1tHCUCOifs8Sy00hrIr4CCRN3Zd3t1Sb9MT2oCoKf016Khrsxv_cuminJU8ZfgZl1uQXoEw9=w1200|https://lh3.google"&amp;"usercontent.com/pw/AP1GczOPliMLNGJyr2Cv-By1UJtyIYPtWorkq7Dksylqd5IC4DmL-ikwsb2revR3mmWOP01BOLwvOyP-opQaeUXbM6QdIJmRne3DJRcVva9jEPMkS5i-5woi=w1200|https://lh3.googleusercontent.com/pw/AP1GczPXkhac5kzVCJhyA9-ap-6uO8TfiORxOLFnQDwO3jvSa5OKNidj99AQPSCp8dI1blEd"&amp;"ZDm1sKnAtdXlbdXo_Php65xURXvMTpfazLr3F4VCZ2_StkhT=w1200|https://lh3.googleusercontent.com/pw/AP1GczPJld1cedRuMIeIO0LNPfymoUsHEyaUuEMftORo5VVsFPNOwGUV6F8s33Qa_DwTSsnpfdNVoAx-IjlihlydgOFs4MQ9PnH8nJqdKKJFBHg_kksF2kki=w1200|https://lh3.googleusercontent.com/pw"&amp;"/AP1GczOhUPT3v3-ppVxLlC1SnzKuYWyxpdV3OV8gIP-4VzcnIz4DGFLbjKs_mBW3A41--LCtEfNzUjx3CGrgDkROetTLtmpUPx_8Q4j4s-aa92NgGPIgLuR0=w1200|https://lh3.googleusercontent.com/pw/AP1GczOvqGb9Wn2-ihu0IqTSdxGc69DaZ435xoMl2fq0WkuIy1BUdAbEArarPsT_s2LyhBx3vPW3lrpqMPukY1J6ms"&amp;"LFCG74fa3YB0qTplk4SMkfT_-N4iRx=w1200|https://lh3.googleusercontent.com/pw/AP1GczNlz8WgrB2bab-BMriVLkwMGhQrC4E6a12lDgync2xLWj5JzoE5CPQsghDP7td9Ps5CNxhigDs9imZec9Q7nsammCu7WW8JjYsyJB0_aFzKxC869uSo=w1200|https://lh3.googleusercontent.com/pw/AP1GczPgQqpA367cD"&amp;"gDG1m0vfIn9S3dWVIbP6nohjwPsxyxKhiEwoJfLGW6gcT-Y54KBnZcpnDCWQ3rtrgwb77Mg7Fzq4JZsukwH62h96cNAAWMoLqHoVald=w1200")</f>
        <v>https://lh3.googleusercontent.com/pw/AP1GczO9GgwdL5nOF-KCEetrlTG-pHEM4BE2CCWPYMJ0et5AyyFvaNZOMbbeuyk5PuExGUdwdl67Mrt14Wpno8HPXDsXasJlzzGxMN3nrmbislkYsnQKrwQo=w1200|https://lh3.googleusercontent.com/pw/AP1GczO7mURPYnKkGHuFfxNlnqvb_1SPLvHihhutJ81XkW7AOCTzLXDXxu9cAX04tB33rlN210o-xK638RltNcYCd-D3q7P_10YiRogRA7rLawQkk8jD9Fwi=w1200|https://lh3.googleusercontent.com/pw/AP1GczP9og4Rh63CenH4KgQARiKGlI-vqXK6DASzh3wPc-XC1tHCUCOifs8Sy00hrIr4CCRN3Zd3t1Sb9MT2oCoKf016Khrsxv_cuminJU8ZfgZl1uQXoEw9=w1200|https://lh3.googleusercontent.com/pw/AP1GczOPliMLNGJyr2Cv-By1UJtyIYPtWorkq7Dksylqd5IC4DmL-ikwsb2revR3mmWOP01BOLwvOyP-opQaeUXbM6QdIJmRne3DJRcVva9jEPMkS5i-5woi=w1200|https://lh3.googleusercontent.com/pw/AP1GczPXkhac5kzVCJhyA9-ap-6uO8TfiORxOLFnQDwO3jvSa5OKNidj99AQPSCp8dI1blEdZDm1sKnAtdXlbdXo_Php65xURXvMTpfazLr3F4VCZ2_StkhT=w1200|https://lh3.googleusercontent.com/pw/AP1GczPJld1cedRuMIeIO0LNPfymoUsHEyaUuEMftORo5VVsFPNOwGUV6F8s33Qa_DwTSsnpfdNVoAx-IjlihlydgOFs4MQ9PnH8nJqdKKJFBHg_kksF2kki=w1200|https://lh3.googleusercontent.com/pw/AP1GczOhUPT3v3-ppVxLlC1SnzKuYWyxpdV3OV8gIP-4VzcnIz4DGFLbjKs_mBW3A41--LCtEfNzUjx3CGrgDkROetTLtmpUPx_8Q4j4s-aa92NgGPIgLuR0=w1200|https://lh3.googleusercontent.com/pw/AP1GczOvqGb9Wn2-ihu0IqTSdxGc69DaZ435xoMl2fq0WkuIy1BUdAbEArarPsT_s2LyhBx3vPW3lrpqMPukY1J6msLFCG74fa3YB0qTplk4SMkfT_-N4iRx=w1200|https://lh3.googleusercontent.com/pw/AP1GczNlz8WgrB2bab-BMriVLkwMGhQrC4E6a12lDgync2xLWj5JzoE5CPQsghDP7td9Ps5CNxhigDs9imZec9Q7nsammCu7WW8JjYsyJB0_aFzKxC869uSo=w1200|https://lh3.googleusercontent.com/pw/AP1GczPgQqpA367cDgDG1m0vfIn9S3dWVIbP6nohjwPsxyxKhiEwoJfLGW6gcT-Y54KBnZcpnDCWQ3rtrgwb77Mg7Fzq4JZsukwH62h96cNAAWMoLqHoVald=w1200</v>
      </c>
      <c r="AJ596" s="46"/>
      <c r="AK596" s="46"/>
      <c r="AL596" s="46"/>
      <c r="AM596" s="46"/>
      <c r="AN596" s="46"/>
      <c r="AO596" s="46"/>
      <c r="AP596" s="46"/>
      <c r="AQ596" s="46"/>
      <c r="AR596" s="46"/>
      <c r="AS596" s="46"/>
      <c r="AT596" s="46"/>
      <c r="AU596" s="46"/>
      <c r="AV596" s="46"/>
      <c r="AW596" s="46"/>
      <c r="AX596" s="46"/>
      <c r="AY596" s="46"/>
      <c r="AZ596" s="46"/>
      <c r="BA596" s="46"/>
      <c r="BB596" s="46"/>
      <c r="BC596" s="46"/>
      <c r="BD596" s="46"/>
      <c r="BE596" s="46"/>
      <c r="BF596" s="46"/>
      <c r="BG596" s="46"/>
      <c r="BH596" s="46"/>
      <c r="BI596" s="46"/>
      <c r="BJ596" s="46"/>
      <c r="BK596" s="46"/>
      <c r="BL596" s="46"/>
      <c r="BM596" s="46"/>
      <c r="BN596" s="46"/>
      <c r="BO596" s="46"/>
      <c r="BP596" s="46"/>
      <c r="BQ596" s="46"/>
      <c r="BR596" s="46"/>
      <c r="BS596" s="46"/>
      <c r="BT596" s="46"/>
      <c r="BU596" s="46"/>
      <c r="BV596" s="46"/>
      <c r="BW596" s="46"/>
      <c r="BX596" s="46"/>
      <c r="BY596" s="46"/>
      <c r="BZ596" s="46"/>
      <c r="CA596" s="46"/>
      <c r="CB596" s="46"/>
      <c r="CC596" s="46"/>
    </row>
    <row r="597">
      <c r="A597" s="87" t="str">
        <f>IFERROR(__xludf.DUMMYFUNCTION("""COMPUTED_VALUE"""),"539")</f>
        <v>539</v>
      </c>
      <c r="B597" s="46" t="str">
        <f>IFERROR(__xludf.DUMMYFUNCTION("""COMPUTED_VALUE"""),"Apartamento en agrupación de vivienda El Otún")</f>
        <v>Apartamento en agrupación de vivienda El Otún</v>
      </c>
      <c r="C597" s="46" t="str">
        <f>IFERROR(__xludf.DUMMYFUNCTION("""COMPUTED_VALUE"""),"Apartamento en conjunto")</f>
        <v>Apartamento en conjunto</v>
      </c>
      <c r="D597" s="46" t="str">
        <f>IFERROR(__xludf.DUMMYFUNCTION("""COMPUTED_VALUE"""),"El Tesoro")</f>
        <v>El Tesoro</v>
      </c>
      <c r="E597" s="90" t="str">
        <f>IFERROR(__xludf.DUMMYFUNCTION("""COMPUTED_VALUE"""),"El Otún")</f>
        <v>El Otún</v>
      </c>
      <c r="F597" s="90">
        <f>IFERROR(__xludf.DUMMYFUNCTION("""COMPUTED_VALUE"""),1.7E8)</f>
        <v>170000000</v>
      </c>
      <c r="G597" s="46" t="str">
        <f>IFERROR(__xludf.DUMMYFUNCTION("""COMPUTED_VALUE"""),"$100'000.000 a $200'000.000")</f>
        <v>$100'000.000 a $200'000.000</v>
      </c>
      <c r="H597" s="46"/>
      <c r="I597" s="46"/>
      <c r="J597" s="46" t="str">
        <f>IFERROR(__xludf.DUMMYFUNCTION("""COMPUTED_VALUE"""),"Oriente")</f>
        <v>Oriente</v>
      </c>
      <c r="K597" s="87" t="str">
        <f>IFERROR(__xludf.DUMMYFUNCTION("""COMPUTED_VALUE"""),"10")</f>
        <v>10</v>
      </c>
      <c r="L597" s="46">
        <f>IFERROR(__xludf.DUMMYFUNCTION("""COMPUTED_VALUE"""),3.0)</f>
        <v>3</v>
      </c>
      <c r="M597" s="46"/>
      <c r="N597" s="46">
        <f>IFERROR(__xludf.DUMMYFUNCTION("""COMPUTED_VALUE"""),2.0)</f>
        <v>2</v>
      </c>
      <c r="O597" s="46">
        <f>IFERROR(__xludf.DUMMYFUNCTION("""COMPUTED_VALUE"""),0.0)</f>
        <v>0</v>
      </c>
      <c r="P597" s="46">
        <f>IFERROR(__xludf.DUMMYFUNCTION("""COMPUTED_VALUE"""),1.0)</f>
        <v>1</v>
      </c>
      <c r="Q597" s="92">
        <f>IFERROR(__xludf.DUMMYFUNCTION("""COMPUTED_VALUE"""),62.0)</f>
        <v>62</v>
      </c>
      <c r="R597" s="92"/>
      <c r="S597" s="87" t="str">
        <f>IFERROR(__xludf.DUMMYFUNCTION("""COMPUTED_VALUE""")," ")</f>
        <v> </v>
      </c>
      <c r="T597" s="46" t="str">
        <f>IFERROR(__xludf.DUMMYFUNCTION("""COMPUTED_VALUE"""),"Neiva")</f>
        <v>Neiva</v>
      </c>
      <c r="U597" s="87" t="str">
        <f>IFERROR(__xludf.DUMMYFUNCTION("""COMPUTED_VALUE"""),"3")</f>
        <v>3</v>
      </c>
      <c r="V597" s="46"/>
      <c r="W597" s="46"/>
      <c r="X597" s="46">
        <f>IFERROR(__xludf.DUMMYFUNCTION("""COMPUTED_VALUE"""),1.0)</f>
        <v>1</v>
      </c>
      <c r="Y597" s="46" t="str">
        <f>IFERROR(__xludf.DUMMYFUNCTION("""COMPUTED_VALUE"""),"Social")</f>
        <v>Social</v>
      </c>
      <c r="Z597" s="90" t="str">
        <f>IFERROR(__xludf.DUMMYFUNCTION("""COMPUTED_VALUE"""),"No aplica")</f>
        <v>No aplica</v>
      </c>
      <c r="AA597" s="33" t="str">
        <f>IFERROR(__xludf.DUMMYFUNCTION("""COMPUTED_VALUE"""),"No aplica")</f>
        <v>No aplica</v>
      </c>
      <c r="AB597" s="96" t="str">
        <f>IFERROR(__xludf.DUMMYFUNCTION("""COMPUTED_VALUE"""),"https://photos.google.com/share/AF1QipNj9gQB3R7dHrBxXeYYTc4TzRjpwNlpinw1PJzYNjhbEp_3Sq5i-dAUOWPgNnMnnQ?key=WUtKcXdFMlFZbkpzYUxNS2MtSklEekZoOV9tSVJn")</f>
        <v>https://photos.google.com/share/AF1QipNj9gQB3R7dHrBxXeYYTc4TzRjpwNlpinw1PJzYNjhbEp_3Sq5i-dAUOWPgNnMnnQ?key=WUtKcXdFMlFZbkpzYUxNS2MtSklEekZoOV9tSVJn</v>
      </c>
      <c r="AC597" s="46"/>
      <c r="AD597" s="46" t="str">
        <f>IFERROR(__xludf.DUMMYFUNCTION("""COMPUTED_VALUE"""),"El conjunto cuenta con Salón comunal, parque infantil, piscina, cancha deportiva, seguridad privada")</f>
        <v>El conjunto cuenta con Salón comunal, parque infantil, piscina, cancha deportiva, seguridad privada</v>
      </c>
      <c r="AE597" s="46"/>
      <c r="AF597" s="46" t="str">
        <f>IFERROR(__xludf.DUMMYFUNCTION("""COMPUTED_VALUE"""),"integral")</f>
        <v>integral</v>
      </c>
      <c r="AG597" s="46"/>
      <c r="AH597" s="46" t="str">
        <f>IFERROR(__xludf.DUMMYFUNCTION("""COMPUTED_VALUE"""),"Aliado")</f>
        <v>Aliado</v>
      </c>
      <c r="AI597" s="92" t="str">
        <f>IFERROR(__xludf.DUMMYFUNCTION("""COMPUTED_VALUE"""),"https://lh3.googleusercontent.com/pw/AP1GczNC4qs0o8OwDZudbdIk2k2Mbyt-kVxDtmB7uvaX62DCSiDT6ues-9pD2pz4xqZXxQ1-8UkXki9CKOP6BfvsZGVskfjhQrn9brEghponZI0Ptf5t_N-o=w1200|https://lh3.googleusercontent.com/pw/AP1GczM_AFXSzBNr61ezZUPfgBsM6Kf_y2DfQVo-CBT5FDsygkLBg8"&amp;"WTOaZW_aeAiMundtjQS8TrVBAhUNY9a23WoxaCj0M3ih1SuIvVpdPQauaz3VGJFHq9=w1200|https://lh3.googleusercontent.com/pw/AP1GczMfyO3fJZuNrffSwYrZcI7d6zgO6N_uy3LDqn3UGfXx23vu7Tr1lJ1xHG_Ln1HQYs38S9YC15YejxgydhQ8usUd7gwTPDZbSAPIIiK6XDX2alVURpfn=w1200|https://lh3.google"&amp;"usercontent.com/pw/AP1GczOsKSQ7Tr5WTP_p66Etj9D8P5kl4ZxtA4q4I8SuY7MrztXr1bNMZmTTXoLbNzdMtL9t7hh2ItHpDkJyscimONsWC1w_3tYfI6n4R5BFIoGkOsBi56vg=w1200|https://lh3.googleusercontent.com/pw/AP1GczPspPUxE9r-pAGJNH7bszfnRvyHyAOIiUmvIMB0VqlIKShckNoZV4RmjiyM6ojppmKx"&amp;"_Ycm2rIri8TR32PZfcTRYnTcTPN2thhBNI0p4tw_RlA7Rjwv=w1200|https://lh3.googleusercontent.com/pw/AP1GczN2mHC8ybYDa0xJllEs7MVEu-p42eAyD-S4AzYcFDH8ZBBb6x26yaMFbnjbyQw3cTalDzB2lY3sz5ao0D6N5ApY6e0zdeBDUjy2rMTdf2aFwvx-Jque=w1200|https://lh3.googleusercontent.com/pw"&amp;"/AP1GczMPBiUgOftCWr3BxSYhvauv8uSbgErsxDfiD1nUBaR4jI1PHKtxdHV7pE5wvuZckpeamSmG2ZKwa57pHigNXFuK2l_Kj2dPnNco8-s758FB-QV5q8BX=w1200|https://lh3.googleusercontent.com/pw/AP1GczP7oL7FY71Txvjnz-55hpSXzw-R8bUA_aJok0WUGAzTeL9cOPBLocA46rkOyDVgp0X-dKENeoKDQ-wCfERvjT"&amp;"ww2iTVwWLJlewdAs91JcGIR85xdH9p=w1200|https://lh3.googleusercontent.com/pw/AP1GczOjpSlYL6VmDORZAWq576h8BmfhGv4sTSLTdGMsD6gRJZgxcC3KzCEcglRKkL_Wih-yD8PXtX8JZDLN1L5hAGz3VmVqnIbhGQXBiep0COuAN4NBQc6T=w1200|https://lh3.googleusercontent.com/pw/AP1GczMNBw4HQX1p_"&amp;"aisMCL5X4yDG__OnxsDQyikrdzURUJW7XSvpEEZdsNIvfzXMOaRcDo0SIMlvR9tP_rIRzjdETd0YXtH_m5Q340J2uGsnaPh13S2tYxr=w1200")</f>
        <v>https://lh3.googleusercontent.com/pw/AP1GczNC4qs0o8OwDZudbdIk2k2Mbyt-kVxDtmB7uvaX62DCSiDT6ues-9pD2pz4xqZXxQ1-8UkXki9CKOP6BfvsZGVskfjhQrn9brEghponZI0Ptf5t_N-o=w1200|https://lh3.googleusercontent.com/pw/AP1GczM_AFXSzBNr61ezZUPfgBsM6Kf_y2DfQVo-CBT5FDsygkLBg8WTOaZW_aeAiMundtjQS8TrVBAhUNY9a23WoxaCj0M3ih1SuIvVpdPQauaz3VGJFHq9=w1200|https://lh3.googleusercontent.com/pw/AP1GczMfyO3fJZuNrffSwYrZcI7d6zgO6N_uy3LDqn3UGfXx23vu7Tr1lJ1xHG_Ln1HQYs38S9YC15YejxgydhQ8usUd7gwTPDZbSAPIIiK6XDX2alVURpfn=w1200|https://lh3.googleusercontent.com/pw/AP1GczOsKSQ7Tr5WTP_p66Etj9D8P5kl4ZxtA4q4I8SuY7MrztXr1bNMZmTTXoLbNzdMtL9t7hh2ItHpDkJyscimONsWC1w_3tYfI6n4R5BFIoGkOsBi56vg=w1200|https://lh3.googleusercontent.com/pw/AP1GczPspPUxE9r-pAGJNH7bszfnRvyHyAOIiUmvIMB0VqlIKShckNoZV4RmjiyM6ojppmKx_Ycm2rIri8TR32PZfcTRYnTcTPN2thhBNI0p4tw_RlA7Rjwv=w1200|https://lh3.googleusercontent.com/pw/AP1GczN2mHC8ybYDa0xJllEs7MVEu-p42eAyD-S4AzYcFDH8ZBBb6x26yaMFbnjbyQw3cTalDzB2lY3sz5ao0D6N5ApY6e0zdeBDUjy2rMTdf2aFwvx-Jque=w1200|https://lh3.googleusercontent.com/pw/AP1GczMPBiUgOftCWr3BxSYhvauv8uSbgErsxDfiD1nUBaR4jI1PHKtxdHV7pE5wvuZckpeamSmG2ZKwa57pHigNXFuK2l_Kj2dPnNco8-s758FB-QV5q8BX=w1200|https://lh3.googleusercontent.com/pw/AP1GczP7oL7FY71Txvjnz-55hpSXzw-R8bUA_aJok0WUGAzTeL9cOPBLocA46rkOyDVgp0X-dKENeoKDQ-wCfERvjTww2iTVwWLJlewdAs91JcGIR85xdH9p=w1200|https://lh3.googleusercontent.com/pw/AP1GczOjpSlYL6VmDORZAWq576h8BmfhGv4sTSLTdGMsD6gRJZgxcC3KzCEcglRKkL_Wih-yD8PXtX8JZDLN1L5hAGz3VmVqnIbhGQXBiep0COuAN4NBQc6T=w1200|https://lh3.googleusercontent.com/pw/AP1GczMNBw4HQX1p_aisMCL5X4yDG__OnxsDQyikrdzURUJW7XSvpEEZdsNIvfzXMOaRcDo0SIMlvR9tP_rIRzjdETd0YXtH_m5Q340J2uGsnaPh13S2tYxr=w1200</v>
      </c>
      <c r="AJ597" s="46"/>
      <c r="AK597" s="46"/>
      <c r="AL597" s="46"/>
      <c r="AM597" s="46"/>
      <c r="AN597" s="46"/>
      <c r="AO597" s="46"/>
      <c r="AP597" s="46"/>
      <c r="AQ597" s="46"/>
      <c r="AR597" s="46"/>
      <c r="AS597" s="46"/>
      <c r="AT597" s="46"/>
      <c r="AU597" s="46"/>
      <c r="AV597" s="46"/>
      <c r="AW597" s="46"/>
      <c r="AX597" s="46"/>
      <c r="AY597" s="46"/>
      <c r="AZ597" s="46"/>
      <c r="BA597" s="46"/>
      <c r="BB597" s="46"/>
      <c r="BC597" s="46"/>
      <c r="BD597" s="46"/>
      <c r="BE597" s="46"/>
      <c r="BF597" s="46"/>
      <c r="BG597" s="46"/>
      <c r="BH597" s="46"/>
      <c r="BI597" s="46"/>
      <c r="BJ597" s="46"/>
      <c r="BK597" s="46"/>
      <c r="BL597" s="46"/>
      <c r="BM597" s="46"/>
      <c r="BN597" s="46"/>
      <c r="BO597" s="46"/>
      <c r="BP597" s="46"/>
      <c r="BQ597" s="46"/>
      <c r="BR597" s="46"/>
      <c r="BS597" s="46"/>
      <c r="BT597" s="46"/>
      <c r="BU597" s="46"/>
      <c r="BV597" s="46"/>
      <c r="BW597" s="46"/>
      <c r="BX597" s="46"/>
      <c r="BY597" s="46"/>
      <c r="BZ597" s="46"/>
      <c r="CA597" s="46"/>
      <c r="CB597" s="46"/>
      <c r="CC597" s="46"/>
    </row>
    <row r="598">
      <c r="A598" s="87" t="str">
        <f>IFERROR(__xludf.DUMMYFUNCTION("""COMPUTED_VALUE"""),"288")</f>
        <v>288</v>
      </c>
      <c r="B598" s="46" t="str">
        <f>IFERROR(__xludf.DUMMYFUNCTION("""COMPUTED_VALUE"""),"Casa en barrio Caracoli")</f>
        <v>Casa en barrio Caracoli</v>
      </c>
      <c r="C598" s="46" t="str">
        <f>IFERROR(__xludf.DUMMYFUNCTION("""COMPUTED_VALUE"""),"Casa")</f>
        <v>Casa</v>
      </c>
      <c r="D598" s="46" t="str">
        <f>IFERROR(__xludf.DUMMYFUNCTION("""COMPUTED_VALUE"""),"Caracoli")</f>
        <v>Caracoli</v>
      </c>
      <c r="E598" s="46"/>
      <c r="F598" s="90">
        <f>IFERROR(__xludf.DUMMYFUNCTION("""COMPUTED_VALUE"""),1.7E8)</f>
        <v>170000000</v>
      </c>
      <c r="G598" s="46" t="str">
        <f>IFERROR(__xludf.DUMMYFUNCTION("""COMPUTED_VALUE"""),"$100'000.000 a $200'000.000")</f>
        <v>$100'000.000 a $200'000.000</v>
      </c>
      <c r="H598" s="46"/>
      <c r="I598" s="46"/>
      <c r="J598" s="46" t="str">
        <f>IFERROR(__xludf.DUMMYFUNCTION("""COMPUTED_VALUE"""),"Occidente")</f>
        <v>Occidente</v>
      </c>
      <c r="K598" s="87"/>
      <c r="L598" s="46">
        <f>IFERROR(__xludf.DUMMYFUNCTION("""COMPUTED_VALUE"""),3.0)</f>
        <v>3</v>
      </c>
      <c r="M598" s="46"/>
      <c r="N598" s="46">
        <f>IFERROR(__xludf.DUMMYFUNCTION("""COMPUTED_VALUE"""),1.0)</f>
        <v>1</v>
      </c>
      <c r="O598" s="46">
        <f>IFERROR(__xludf.DUMMYFUNCTION("""COMPUTED_VALUE"""),1.0)</f>
        <v>1</v>
      </c>
      <c r="P598" s="46">
        <f>IFERROR(__xludf.DUMMYFUNCTION("""COMPUTED_VALUE"""),1.0)</f>
        <v>1</v>
      </c>
      <c r="Q598" s="92"/>
      <c r="R598" s="92"/>
      <c r="S598" s="87" t="str">
        <f>IFERROR(__xludf.DUMMYFUNCTION("""COMPUTED_VALUE""")," ")</f>
        <v> </v>
      </c>
      <c r="T598" s="46" t="str">
        <f>IFERROR(__xludf.DUMMYFUNCTION("""COMPUTED_VALUE"""),"Neiva")</f>
        <v>Neiva</v>
      </c>
      <c r="U598" s="87" t="str">
        <f>IFERROR(__xludf.DUMMYFUNCTION("""COMPUTED_VALUE"""),"2")</f>
        <v>2</v>
      </c>
      <c r="V598" s="46" t="str">
        <f>IFERROR(__xludf.DUMMYFUNCTION("""COMPUTED_VALUE"""),"Medianera")</f>
        <v>Medianera</v>
      </c>
      <c r="W598" s="46"/>
      <c r="X598" s="46">
        <f>IFERROR(__xludf.DUMMYFUNCTION("""COMPUTED_VALUE"""),0.0)</f>
        <v>0</v>
      </c>
      <c r="Y598" s="46" t="str">
        <f>IFERROR(__xludf.DUMMYFUNCTION("""COMPUTED_VALUE"""),"No tiene")</f>
        <v>No tiene</v>
      </c>
      <c r="Z598" s="90" t="str">
        <f>IFERROR(__xludf.DUMMYFUNCTION("""COMPUTED_VALUE"""),"No aplica")</f>
        <v>No aplica</v>
      </c>
      <c r="AA598" s="33" t="str">
        <f>IFERROR(__xludf.DUMMYFUNCTION("""COMPUTED_VALUE"""),"No aplica")</f>
        <v>No aplica</v>
      </c>
      <c r="AB598" s="144" t="str">
        <f>IFERROR(__xludf.DUMMYFUNCTION("""COMPUTED_VALUE"""),"https://photos.app.goo.gl/zZKCPkV8CR3TGAYdA")</f>
        <v>https://photos.app.goo.gl/zZKCPkV8CR3TGAYdA</v>
      </c>
      <c r="AC598" s="46"/>
      <c r="AD598" s="46"/>
      <c r="AE598" s="46"/>
      <c r="AF598" s="46" t="str">
        <f>IFERROR(__xludf.DUMMYFUNCTION("""COMPUTED_VALUE"""),"básica")</f>
        <v>básica</v>
      </c>
      <c r="AG598" s="46"/>
      <c r="AH598" s="46" t="str">
        <f>IFERROR(__xludf.DUMMYFUNCTION("""COMPUTED_VALUE"""),"Aliado")</f>
        <v>Aliado</v>
      </c>
      <c r="AI598" s="92" t="str">
        <f>IFERROR(__xludf.DUMMYFUNCTION("""COMPUTED_VALUE"""),"https://lh3.googleusercontent.com/pw/AP1GczM73OQMaalXUbWO0e-qNrhoVz3ZX0I7RDj1MpEMqa2w3E6pV2D9LSOVpZK4Ajv5HZx4a0XhyYIlB6_reBza45hgoBmVvlanmo5B4gqwCY6wmTlXwC1Y=w1200|https://lh3.googleusercontent.com/pw/AP1GczMACvUJM-mESVcEHzgUIHU_qNAKy5aCge3xqa-jJ_ks7IYSYK"&amp;"L0hqVC_VWzWZfJTd37bQLIybMPRCwNwqwmKGhEDDjij95wcF_iPo82SoCmvXOj4lRd=w1200|https://lh3.googleusercontent.com/pw/AP1GczNGTiHfxGAmG6EEMb4lYCStORxN0HPg0cf3gqd_VGWDTQjwaygAGdTchZEnkety3_urZtYSVCbUEugd3q1mPmOvv66tTVOHDY70TiYTdJL0CeS2zVCI=w1200|https://lh3.google"&amp;"usercontent.com/pw/AP1GczOMDsFRcLury319O3brICyUYIccZDbC0P0GASesZrlugYGtMhn7fLjZvWCqHkXKJFlaR-VGYsVOAHk8figVPdSWaYdCZ8r5KWyJxG-InjocP-6ZZC6e=w1200")</f>
        <v>https://lh3.googleusercontent.com/pw/AP1GczM73OQMaalXUbWO0e-qNrhoVz3ZX0I7RDj1MpEMqa2w3E6pV2D9LSOVpZK4Ajv5HZx4a0XhyYIlB6_reBza45hgoBmVvlanmo5B4gqwCY6wmTlXwC1Y=w1200|https://lh3.googleusercontent.com/pw/AP1GczMACvUJM-mESVcEHzgUIHU_qNAKy5aCge3xqa-jJ_ks7IYSYKL0hqVC_VWzWZfJTd37bQLIybMPRCwNwqwmKGhEDDjij95wcF_iPo82SoCmvXOj4lRd=w1200|https://lh3.googleusercontent.com/pw/AP1GczNGTiHfxGAmG6EEMb4lYCStORxN0HPg0cf3gqd_VGWDTQjwaygAGdTchZEnkety3_urZtYSVCbUEugd3q1mPmOvv66tTVOHDY70TiYTdJL0CeS2zVCI=w1200|https://lh3.googleusercontent.com/pw/AP1GczOMDsFRcLury319O3brICyUYIccZDbC0P0GASesZrlugYGtMhn7fLjZvWCqHkXKJFlaR-VGYsVOAHk8figVPdSWaYdCZ8r5KWyJxG-InjocP-6ZZC6e=w1200</v>
      </c>
      <c r="AJ598" s="46"/>
      <c r="AK598" s="46"/>
      <c r="AL598" s="46"/>
      <c r="AM598" s="46"/>
      <c r="AN598" s="46"/>
      <c r="AO598" s="46"/>
      <c r="AP598" s="46"/>
      <c r="AQ598" s="46"/>
      <c r="AR598" s="46"/>
      <c r="AS598" s="46"/>
      <c r="AT598" s="46"/>
      <c r="AU598" s="46"/>
      <c r="AV598" s="46"/>
      <c r="AW598" s="46"/>
      <c r="AX598" s="46"/>
      <c r="AY598" s="46"/>
      <c r="AZ598" s="46"/>
      <c r="BA598" s="46"/>
      <c r="BB598" s="46"/>
      <c r="BC598" s="46"/>
      <c r="BD598" s="46"/>
      <c r="BE598" s="46"/>
      <c r="BF598" s="46"/>
      <c r="BG598" s="46"/>
      <c r="BH598" s="46"/>
      <c r="BI598" s="46"/>
      <c r="BJ598" s="46"/>
      <c r="BK598" s="46"/>
      <c r="BL598" s="46"/>
      <c r="BM598" s="46"/>
      <c r="BN598" s="46"/>
      <c r="BO598" s="46"/>
      <c r="BP598" s="46"/>
      <c r="BQ598" s="46"/>
      <c r="BR598" s="46"/>
      <c r="BS598" s="46"/>
      <c r="BT598" s="46"/>
      <c r="BU598" s="46"/>
      <c r="BV598" s="46"/>
      <c r="BW598" s="46"/>
      <c r="BX598" s="46"/>
      <c r="BY598" s="46"/>
      <c r="BZ598" s="46"/>
      <c r="CA598" s="46"/>
      <c r="CB598" s="46"/>
      <c r="CC598" s="46"/>
    </row>
    <row r="599">
      <c r="A599" s="87" t="str">
        <f>IFERROR(__xludf.DUMMYFUNCTION("""COMPUTED_VALUE"""),"763")</f>
        <v>763</v>
      </c>
      <c r="B599" s="46" t="str">
        <f>IFERROR(__xludf.DUMMYFUNCTION("""COMPUTED_VALUE"""),"Lote en conjunto - La Ulloa")</f>
        <v>Lote en conjunto - La Ulloa</v>
      </c>
      <c r="C599" s="46" t="str">
        <f>IFERROR(__xludf.DUMMYFUNCTION("""COMPUTED_VALUE"""),"Lote en conjunto")</f>
        <v>Lote en conjunto</v>
      </c>
      <c r="D599" s="46"/>
      <c r="E599" s="90"/>
      <c r="F599" s="90">
        <f>IFERROR(__xludf.DUMMYFUNCTION("""COMPUTED_VALUE"""),1.68E8)</f>
        <v>168000000</v>
      </c>
      <c r="G599" s="46" t="str">
        <f>IFERROR(__xludf.DUMMYFUNCTION("""COMPUTED_VALUE"""),"$100'000.000 a $200'000.000")</f>
        <v>$100'000.000 a $200'000.000</v>
      </c>
      <c r="H599" s="46"/>
      <c r="I599" s="46"/>
      <c r="J599" s="46" t="str">
        <f>IFERROR(__xludf.DUMMYFUNCTION("""COMPUTED_VALUE"""),"Sur")</f>
        <v>Sur</v>
      </c>
      <c r="K599" s="87"/>
      <c r="L599" s="46">
        <f>IFERROR(__xludf.DUMMYFUNCTION("""COMPUTED_VALUE"""),0.0)</f>
        <v>0</v>
      </c>
      <c r="M599" s="46"/>
      <c r="N599" s="46">
        <f>IFERROR(__xludf.DUMMYFUNCTION("""COMPUTED_VALUE"""),0.0)</f>
        <v>0</v>
      </c>
      <c r="O599" s="46">
        <f>IFERROR(__xludf.DUMMYFUNCTION("""COMPUTED_VALUE"""),0.0)</f>
        <v>0</v>
      </c>
      <c r="P599" s="46">
        <f>IFERROR(__xludf.DUMMYFUNCTION("""COMPUTED_VALUE"""),0.0)</f>
        <v>0</v>
      </c>
      <c r="Q599" s="92">
        <f>IFERROR(__xludf.DUMMYFUNCTION("""COMPUTED_VALUE"""),0.0)</f>
        <v>0</v>
      </c>
      <c r="R599" s="92">
        <f>IFERROR(__xludf.DUMMYFUNCTION("""COMPUTED_VALUE"""),1686.0)</f>
        <v>1686</v>
      </c>
      <c r="S599" s="87" t="str">
        <f>IFERROR(__xludf.DUMMYFUNCTION("""COMPUTED_VALUE""")," ")</f>
        <v> </v>
      </c>
      <c r="T599" s="46" t="str">
        <f>IFERROR(__xludf.DUMMYFUNCTION("""COMPUTED_VALUE"""),"Ulloa")</f>
        <v>Ulloa</v>
      </c>
      <c r="U599" s="87"/>
      <c r="V599" s="46" t="str">
        <f>IFERROR(__xludf.DUMMYFUNCTION("""COMPUTED_VALUE"""),"Esquinera")</f>
        <v>Esquinera</v>
      </c>
      <c r="W599" s="46"/>
      <c r="X599" s="46">
        <f>IFERROR(__xludf.DUMMYFUNCTION("""COMPUTED_VALUE"""),0.0)</f>
        <v>0</v>
      </c>
      <c r="Y599" s="46" t="str">
        <f>IFERROR(__xludf.DUMMYFUNCTION("""COMPUTED_VALUE"""),"No tiene")</f>
        <v>No tiene</v>
      </c>
      <c r="Z599" s="90"/>
      <c r="AA599" s="33" t="str">
        <f>IFERROR(__xludf.DUMMYFUNCTION("""COMPUTED_VALUE"""),"No aplica")</f>
        <v>No aplica</v>
      </c>
      <c r="AB599" s="96" t="str">
        <f>IFERROR(__xludf.DUMMYFUNCTION("""COMPUTED_VALUE"""),"https://photos.app.goo.gl/WTMnnt5EHKpRZXqs5")</f>
        <v>https://photos.app.goo.gl/WTMnnt5EHKpRZXqs5</v>
      </c>
      <c r="AC599" s="46" t="str">
        <f>IFERROR(__xludf.DUMMYFUNCTION("""COMPUTED_VALUE"""),"Lote 1 - Area: 1.510 m2 - Precio $151.000.000 ==Lote 3 - Area: 1.686 m2 - Precio $168.600.000  == Lote 5- Area: 1.215 m2 - Precio $121.500.000 == Lote 10 - Area: 1.210 m2 - Precio $96.800.000 == Lote 11 - Area: 651 m2 - Precio $52.080.000 == Lote 12 - Are"&amp;"a: 1.282 m2 - Precio $128.200.000 == Lote 19 - Area: 1.509 m2 - Precio $150.900.000 == Lote 21 - Area: 1.573 m2 - Precio $173.030.000")</f>
        <v>Lote 1 - Area: 1.510 m2 - Precio $151.000.000 ==Lote 3 - Area: 1.686 m2 - Precio $168.600.000  == Lote 5- Area: 1.215 m2 - Precio $121.500.000 == Lote 10 - Area: 1.210 m2 - Precio $96.800.000 == Lote 11 - Area: 651 m2 - Precio $52.080.000 == Lote 12 - Area: 1.282 m2 - Precio $128.200.000 == Lote 19 - Area: 1.509 m2 - Precio $150.900.000 == Lote 21 - Area: 1.573 m2 - Precio $173.030.000</v>
      </c>
      <c r="AD599" s="46" t="str">
        <f>IFERROR(__xludf.DUMMYFUNCTION("""COMPUTED_VALUE"""),"Lotes bien ubicados, en sector turistico.")</f>
        <v>Lotes bien ubicados, en sector turistico.</v>
      </c>
      <c r="AE599" s="46"/>
      <c r="AF599" s="46">
        <f>IFERROR(__xludf.DUMMYFUNCTION("""COMPUTED_VALUE"""),0.0)</f>
        <v>0</v>
      </c>
      <c r="AG599" s="46"/>
      <c r="AH599" s="46" t="str">
        <f>IFERROR(__xludf.DUMMYFUNCTION("""COMPUTED_VALUE"""),"Aliado")</f>
        <v>Aliado</v>
      </c>
      <c r="AI599" s="92" t="str">
        <f>IFERROR(__xludf.DUMMYFUNCTION("""COMPUTED_VALUE"""),"https://lh3.googleusercontent.com/pw/AP1GczPetDrbiQPsfi_Lc-K_6YwIe40HcmoebMZPW3_gvoaDYY2Mok5CWTa5WUIxa3AV5GCd4YjunaWZdzRTW56ROrcNd7v53v8rtUh5E3MrzDAb2GJb_rZp=w1200|https://lh3.googleusercontent.com/pw/AP1GczPEgzzifxhgczX-fbFlO6J9phJ8XwchUVhSx19A_Nyqe-sBha"&amp;"D80LI5aUO_ZnWAcjsQXPMQKWfE022K6WhycLfq1rI0VIPkRuNZDTy6-gHAeI8dnEcA=w1200|https://lh3.googleusercontent.com/pw/AP1GczO2Qr2wkO8DqU1XxkDww_58GZO304YNo02aKvO3DNkZUW8PkB9tsXXawWf0WR0BKrcEHDp0jmAZ7hhabHTDOFmyXtXSYKPkpjpqeFZVM9fW_ybqvdZb=w1200|https://lh3.google"&amp;"usercontent.com/pw/AP1GczPXUT6G1fBRnZ3GkIcdj9FIaLT8SA091uFawZ3RE_GPAbIybg9xG_rcedoY576tPQ6aF59fF6uxEsrppGaQ0C16Ns47pMcCrxGzclPj59JyM9a0v97s=w1200|https://lh3.googleusercontent.com/pw/AP1GczPzIWR7mvs8FueRZJtP57wcTz-sioIfWtW62TItlVmnJOSpjrjlkkPDOfINnBc2uMIz"&amp;"L3MB1__KIWdAeWeFxwu0GnABU7JrovTDG7Ylwr23aj2nY1Td=w1200|https://lh3.googleusercontent.com/pw/AP1GczM711UyrXcbLFZmCDGoQWq66luvWfygjm_Y3fGfgZwWRtRTBkJ8xc2C6BMprktEvQpTB4aHdX1mkBb-OXYM1Ydzb2C1q354rRlglNHlJUofKjH_y-8C=w1200|https://lh3.googleusercontent.com/pw"&amp;"/AP1GczP2zmRJ85yh5gHCm_Uy0pQIrBG0XcK-kCMU-rv9zPYCyNx1Xqub81ABQ9T4VpaUKYx3Foa3oDdB4FxqIE0h13xW5hev9KDA1nHtFKdKCkhDkGTd-X67=w1200|https://lh3.googleusercontent.com/pw/AP1GczNu54hc9O5nOjysf9dKacG-B2X7uoZOwJ32Twwq995A-6Xqm41tCnzAUtNnj9IP2ROmBc0AGebNI_kY0c5yTK"&amp;"VG584ApAZtRTYpJXPGSDQNH3S7_JAU=w1200|https://lh3.googleusercontent.com/pw/AP1GczOohs9-BFGZh3ji5tOv7ddGwGf5fqrO3q-YmaLYBq7xwCQhRNGTVyk7NzEyqmM7bNx86Jm0umCsT6YEz9TenAoGqDNXRtJBk9LJKgc0J7fNkSHJsSCi=w1200|https://lh3.googleusercontent.com/pw/AP1GczPTdL8su6cGH"&amp;"GXilIUv0njKeapwWdtpcV697Dlq8v3I_YMu62Nv4U4iMfGE_lAg2eTAQX7VLt0IQPz4JHxe37GEZfKeeIpAnPZyS-s6arXuz0JU7GnK=w1200")</f>
        <v>https://lh3.googleusercontent.com/pw/AP1GczPetDrbiQPsfi_Lc-K_6YwIe40HcmoebMZPW3_gvoaDYY2Mok5CWTa5WUIxa3AV5GCd4YjunaWZdzRTW56ROrcNd7v53v8rtUh5E3MrzDAb2GJb_rZp=w1200|https://lh3.googleusercontent.com/pw/AP1GczPEgzzifxhgczX-fbFlO6J9phJ8XwchUVhSx19A_Nyqe-sBhaD80LI5aUO_ZnWAcjsQXPMQKWfE022K6WhycLfq1rI0VIPkRuNZDTy6-gHAeI8dnEcA=w1200|https://lh3.googleusercontent.com/pw/AP1GczO2Qr2wkO8DqU1XxkDww_58GZO304YNo02aKvO3DNkZUW8PkB9tsXXawWf0WR0BKrcEHDp0jmAZ7hhabHTDOFmyXtXSYKPkpjpqeFZVM9fW_ybqvdZb=w1200|https://lh3.googleusercontent.com/pw/AP1GczPXUT6G1fBRnZ3GkIcdj9FIaLT8SA091uFawZ3RE_GPAbIybg9xG_rcedoY576tPQ6aF59fF6uxEsrppGaQ0C16Ns47pMcCrxGzclPj59JyM9a0v97s=w1200|https://lh3.googleusercontent.com/pw/AP1GczPzIWR7mvs8FueRZJtP57wcTz-sioIfWtW62TItlVmnJOSpjrjlkkPDOfINnBc2uMIzL3MB1__KIWdAeWeFxwu0GnABU7JrovTDG7Ylwr23aj2nY1Td=w1200|https://lh3.googleusercontent.com/pw/AP1GczM711UyrXcbLFZmCDGoQWq66luvWfygjm_Y3fGfgZwWRtRTBkJ8xc2C6BMprktEvQpTB4aHdX1mkBb-OXYM1Ydzb2C1q354rRlglNHlJUofKjH_y-8C=w1200|https://lh3.googleusercontent.com/pw/AP1GczP2zmRJ85yh5gHCm_Uy0pQIrBG0XcK-kCMU-rv9zPYCyNx1Xqub81ABQ9T4VpaUKYx3Foa3oDdB4FxqIE0h13xW5hev9KDA1nHtFKdKCkhDkGTd-X67=w1200|https://lh3.googleusercontent.com/pw/AP1GczNu54hc9O5nOjysf9dKacG-B2X7uoZOwJ32Twwq995A-6Xqm41tCnzAUtNnj9IP2ROmBc0AGebNI_kY0c5yTKVG584ApAZtRTYpJXPGSDQNH3S7_JAU=w1200|https://lh3.googleusercontent.com/pw/AP1GczOohs9-BFGZh3ji5tOv7ddGwGf5fqrO3q-YmaLYBq7xwCQhRNGTVyk7NzEyqmM7bNx86Jm0umCsT6YEz9TenAoGqDNXRtJBk9LJKgc0J7fNkSHJsSCi=w1200|https://lh3.googleusercontent.com/pw/AP1GczPTdL8su6cGHGXilIUv0njKeapwWdtpcV697Dlq8v3I_YMu62Nv4U4iMfGE_lAg2eTAQX7VLt0IQPz4JHxe37GEZfKeeIpAnPZyS-s6arXuz0JU7GnK=w1200</v>
      </c>
      <c r="AJ599" s="46"/>
      <c r="AK599" s="46"/>
      <c r="AL599" s="46"/>
      <c r="AM599" s="46"/>
      <c r="AN599" s="46"/>
      <c r="AO599" s="46"/>
      <c r="AP599" s="46"/>
      <c r="AQ599" s="46"/>
      <c r="AR599" s="46"/>
      <c r="AS599" s="46"/>
      <c r="AT599" s="46"/>
      <c r="AU599" s="46"/>
      <c r="AV599" s="46"/>
      <c r="AW599" s="46"/>
      <c r="AX599" s="46"/>
      <c r="AY599" s="46"/>
      <c r="AZ599" s="46"/>
      <c r="BA599" s="46"/>
      <c r="BB599" s="46"/>
      <c r="BC599" s="46"/>
      <c r="BD599" s="46"/>
      <c r="BE599" s="46"/>
      <c r="BF599" s="46"/>
      <c r="BG599" s="46"/>
      <c r="BH599" s="46"/>
      <c r="BI599" s="46"/>
      <c r="BJ599" s="46"/>
      <c r="BK599" s="46"/>
      <c r="BL599" s="46"/>
      <c r="BM599" s="46"/>
      <c r="BN599" s="46"/>
      <c r="BO599" s="46"/>
      <c r="BP599" s="46"/>
      <c r="BQ599" s="46"/>
      <c r="BR599" s="46"/>
      <c r="BS599" s="46"/>
      <c r="BT599" s="46"/>
      <c r="BU599" s="46"/>
      <c r="BV599" s="46"/>
      <c r="BW599" s="46"/>
      <c r="BX599" s="46"/>
      <c r="BY599" s="46"/>
      <c r="BZ599" s="46"/>
      <c r="CA599" s="46"/>
      <c r="CB599" s="46"/>
      <c r="CC599" s="46"/>
    </row>
    <row r="600">
      <c r="A600" s="87" t="str">
        <f>IFERROR(__xludf.DUMMYFUNCTION("""COMPUTED_VALUE"""),"809")</f>
        <v>809</v>
      </c>
      <c r="B600" s="46" t="str">
        <f>IFERROR(__xludf.DUMMYFUNCTION("""COMPUTED_VALUE"""),"Finca cafetera - La Plata - Huila")</f>
        <v>Finca cafetera - La Plata - Huila</v>
      </c>
      <c r="C600" s="46" t="str">
        <f>IFERROR(__xludf.DUMMYFUNCTION("""COMPUTED_VALUE"""),"Finca")</f>
        <v>Finca</v>
      </c>
      <c r="D600" s="46"/>
      <c r="E600" s="46"/>
      <c r="F600" s="90">
        <f>IFERROR(__xludf.DUMMYFUNCTION("""COMPUTED_VALUE"""),1.5E8)</f>
        <v>150000000</v>
      </c>
      <c r="G600" s="46" t="str">
        <f>IFERROR(__xludf.DUMMYFUNCTION("""COMPUTED_VALUE"""),"$100'000.000 a $200'000.000")</f>
        <v>$100'000.000 a $200'000.000</v>
      </c>
      <c r="H600" s="46"/>
      <c r="I600" s="46"/>
      <c r="J600" s="46" t="str">
        <f>IFERROR(__xludf.DUMMYFUNCTION("""COMPUTED_VALUE"""),"Rural")</f>
        <v>Rural</v>
      </c>
      <c r="K600" s="87"/>
      <c r="L600" s="46">
        <f>IFERROR(__xludf.DUMMYFUNCTION("""COMPUTED_VALUE"""),3.0)</f>
        <v>3</v>
      </c>
      <c r="M600" s="46"/>
      <c r="N600" s="46">
        <f>IFERROR(__xludf.DUMMYFUNCTION("""COMPUTED_VALUE"""),1.0)</f>
        <v>1</v>
      </c>
      <c r="O600" s="46">
        <f>IFERROR(__xludf.DUMMYFUNCTION("""COMPUTED_VALUE"""),1.0)</f>
        <v>1</v>
      </c>
      <c r="P600" s="46">
        <f>IFERROR(__xludf.DUMMYFUNCTION("""COMPUTED_VALUE"""),1.0)</f>
        <v>1</v>
      </c>
      <c r="Q600" s="92">
        <f>IFERROR(__xludf.DUMMYFUNCTION("""COMPUTED_VALUE"""),0.0)</f>
        <v>0</v>
      </c>
      <c r="R600" s="92">
        <f>IFERROR(__xludf.DUMMYFUNCTION("""COMPUTED_VALUE"""),25000.0)</f>
        <v>25000</v>
      </c>
      <c r="S600" s="87"/>
      <c r="T600" s="46" t="str">
        <f>IFERROR(__xludf.DUMMYFUNCTION("""COMPUTED_VALUE"""),"La Plata")</f>
        <v>La Plata</v>
      </c>
      <c r="U600" s="87"/>
      <c r="V600" s="46"/>
      <c r="W600" s="46"/>
      <c r="X600" s="46">
        <f>IFERROR(__xludf.DUMMYFUNCTION("""COMPUTED_VALUE"""),1.0)</f>
        <v>1</v>
      </c>
      <c r="Y600" s="46" t="str">
        <f>IFERROR(__xludf.DUMMYFUNCTION("""COMPUTED_VALUE"""),"No tiene")</f>
        <v>No tiene</v>
      </c>
      <c r="Z600" s="90" t="str">
        <f>IFERROR(__xludf.DUMMYFUNCTION("""COMPUTED_VALUE"""),"No aplica")</f>
        <v>No aplica</v>
      </c>
      <c r="AA600" s="33" t="str">
        <f>IFERROR(__xludf.DUMMYFUNCTION("""COMPUTED_VALUE"""),"No aplica")</f>
        <v>No aplica</v>
      </c>
      <c r="AB600" s="96" t="str">
        <f>IFERROR(__xludf.DUMMYFUNCTION("""COMPUTED_VALUE"""),"https://photos.app.goo.gl/5FucuZSJddDN96Jk8")</f>
        <v>https://photos.app.goo.gl/5FucuZSJddDN96Jk8</v>
      </c>
      <c r="AC600" s="46" t="str">
        <f>IFERROR(__xludf.DUMMYFUNCTION("""COMPUTED_VALUE"""),"Área de 2.5 Hectárea. A Cinco minutos del Pueblo. Casa nueva en Bahareque. Beneficiadero de Café Con dos Puntos de Agua para el consumo.")</f>
        <v>Área de 2.5 Hectárea. A Cinco minutos del Pueblo. Casa nueva en Bahareque. Beneficiadero de Café Con dos Puntos de Agua para el consumo.</v>
      </c>
      <c r="AD600" s="46" t="str">
        <f>IFERROR(__xludf.DUMMYFUNCTION("""COMPUTED_VALUE"""),"Cuenta con 18 mil árboles de café. Arboles maderables de Cedro. Plantas de Yuca, Plátano, Aguacate y Frutales. Carretera pasa por la finca")</f>
        <v>Cuenta con 18 mil árboles de café. Arboles maderables de Cedro. Plantas de Yuca, Plátano, Aguacate y Frutales. Carretera pasa por la finca</v>
      </c>
      <c r="AE600" s="46"/>
      <c r="AF600" s="46" t="str">
        <f>IFERROR(__xludf.DUMMYFUNCTION("""COMPUTED_VALUE"""),"básica")</f>
        <v>básica</v>
      </c>
      <c r="AG600" s="46"/>
      <c r="AH600" s="46" t="str">
        <f>IFERROR(__xludf.DUMMYFUNCTION("""COMPUTED_VALUE"""),"Aliado")</f>
        <v>Aliado</v>
      </c>
      <c r="AI600" s="92" t="str">
        <f>IFERROR(__xludf.DUMMYFUNCTION("""COMPUTED_VALUE"""),"https://lh3.googleusercontent.com/pw/AP1GczMT5PxOIk_XArPm5Z4AvCzZ-vW-OqKmyAhhyIRa8fXcaln7tc5ik1pxQy_1etSbVCS7YJKKmnp_UlgSprO992Y4_8QE6CJYL7-WwyB1IWdu7wmlc_wl=w1200|https://lh3.googleusercontent.com/pw/AP1GczOkkxL1LvMJBMs_mDebVbHRNhQXZIixQbiP1fRZdPKkibd3El"&amp;"zFxS_69UfcRUqIaRszpZIko76fAwRKw4KQRvMOiO2BuPAULI5RlLSHnc_CLAUjgczr=w1200|https://lh3.googleusercontent.com/pw/AP1GczNKP7rbQY_NYqIry4ANOYWgszO4n-tRpG-eUdvD8BIjM0DJFwkvT-1vBLAa1i3SbzoQLTLCAZZwXXKap2mr0MRKWWI5vBkqkRj6ZGWZDnfHlv7BMO4W=w1200|https://lh3.google"&amp;"usercontent.com/pw/AP1GczMSVxPsUm6djCr40lTfCaFSwBjbfrD0lQvleQ3fy3AscMXpQCYW57mi7YaNqy2CoRNVs7SF2l2Rp2lIfgS1UvrLKn0nrgKabgK3M6SO1viSxG2q-a6k=w1200|https://lh3.googleusercontent.com/pw/AP1GczPQz6KjzZrUjMYCMCTdoq6jETLUzMTlbBE5EU37jCA1ZQN0IJVjqv6GF0uI5lhIFv5M"&amp;"v-2E5c4-WCJDnK_8L7BRDdTEzJcZ0aoDgLjTsMN57pxMXgoP=w1200|https://lh3.googleusercontent.com/pw/AP1GczPIMOUuomTPlKnU9581OOIFf55RfOAbytXpEOpClDtxH6AZvx_OIMEZzXKBiQFFPy72JbQsEFHLUZS2FBUNUDz8RB0kQg-S8Agqgg2QQSDFjAy95r_G=w1200|https://lh3.googleusercontent.com/pw"&amp;"/AP1GczOSBwtoBCvT1t67ohHF4GFihAyfXWMt0_P2QvU2fzgT0hHmEj37FzP5NChLa0MdmjwQI-T3PaoWODemRKWukQA8CnslMnLn3Dtfa6BESByUML6z59R8=w1200|https://lh3.googleusercontent.com/pw/AP1GczPh0Qa69Ro8GpRjApxfemIw-3tyL6QpOItm1_ibs7_aFxS4SX_Pu9hv-i-lrL_6TbftOMhOpwUyk7SzJikKGG"&amp;"HISNtghZ0EzV7w1HGtOChaz9h2GXUz=w1200|https://lh3.googleusercontent.com/pw/AP1GczPkgNnOT4UWmcUfeSctOy7AdXvzdl2oQKra-je_7x1Sl8j6PLgmE0vqMZLJGNT-1AnEYyzc5B0Z4JPKISvlaLC640pmi5Ww9ZEavzhydD6gIqiT99cy=w1200")</f>
        <v>https://lh3.googleusercontent.com/pw/AP1GczMT5PxOIk_XArPm5Z4AvCzZ-vW-OqKmyAhhyIRa8fXcaln7tc5ik1pxQy_1etSbVCS7YJKKmnp_UlgSprO992Y4_8QE6CJYL7-WwyB1IWdu7wmlc_wl=w1200|https://lh3.googleusercontent.com/pw/AP1GczOkkxL1LvMJBMs_mDebVbHRNhQXZIixQbiP1fRZdPKkibd3ElzFxS_69UfcRUqIaRszpZIko76fAwRKw4KQRvMOiO2BuPAULI5RlLSHnc_CLAUjgczr=w1200|https://lh3.googleusercontent.com/pw/AP1GczNKP7rbQY_NYqIry4ANOYWgszO4n-tRpG-eUdvD8BIjM0DJFwkvT-1vBLAa1i3SbzoQLTLCAZZwXXKap2mr0MRKWWI5vBkqkRj6ZGWZDnfHlv7BMO4W=w1200|https://lh3.googleusercontent.com/pw/AP1GczMSVxPsUm6djCr40lTfCaFSwBjbfrD0lQvleQ3fy3AscMXpQCYW57mi7YaNqy2CoRNVs7SF2l2Rp2lIfgS1UvrLKn0nrgKabgK3M6SO1viSxG2q-a6k=w1200|https://lh3.googleusercontent.com/pw/AP1GczPQz6KjzZrUjMYCMCTdoq6jETLUzMTlbBE5EU37jCA1ZQN0IJVjqv6GF0uI5lhIFv5Mv-2E5c4-WCJDnK_8L7BRDdTEzJcZ0aoDgLjTsMN57pxMXgoP=w1200|https://lh3.googleusercontent.com/pw/AP1GczPIMOUuomTPlKnU9581OOIFf55RfOAbytXpEOpClDtxH6AZvx_OIMEZzXKBiQFFPy72JbQsEFHLUZS2FBUNUDz8RB0kQg-S8Agqgg2QQSDFjAy95r_G=w1200|https://lh3.googleusercontent.com/pw/AP1GczOSBwtoBCvT1t67ohHF4GFihAyfXWMt0_P2QvU2fzgT0hHmEj37FzP5NChLa0MdmjwQI-T3PaoWODemRKWukQA8CnslMnLn3Dtfa6BESByUML6z59R8=w1200|https://lh3.googleusercontent.com/pw/AP1GczPh0Qa69Ro8GpRjApxfemIw-3tyL6QpOItm1_ibs7_aFxS4SX_Pu9hv-i-lrL_6TbftOMhOpwUyk7SzJikKGGHISNtghZ0EzV7w1HGtOChaz9h2GXUz=w1200|https://lh3.googleusercontent.com/pw/AP1GczPkgNnOT4UWmcUfeSctOy7AdXvzdl2oQKra-je_7x1Sl8j6PLgmE0vqMZLJGNT-1AnEYyzc5B0Z4JPKISvlaLC640pmi5Ww9ZEavzhydD6gIqiT99cy=w1200</v>
      </c>
      <c r="AJ600" s="46"/>
      <c r="AK600" s="46"/>
      <c r="AL600" s="46"/>
      <c r="AM600" s="46"/>
      <c r="AN600" s="46"/>
      <c r="AO600" s="46"/>
      <c r="AP600" s="46"/>
      <c r="AQ600" s="46"/>
      <c r="AR600" s="46"/>
      <c r="AS600" s="46"/>
      <c r="AT600" s="46"/>
      <c r="AU600" s="46"/>
      <c r="AV600" s="46"/>
      <c r="AW600" s="46"/>
      <c r="AX600" s="46"/>
      <c r="AY600" s="46"/>
      <c r="AZ600" s="46"/>
      <c r="BA600" s="46"/>
      <c r="BB600" s="46"/>
      <c r="BC600" s="46"/>
      <c r="BD600" s="46"/>
      <c r="BE600" s="46"/>
      <c r="BF600" s="46"/>
      <c r="BG600" s="46"/>
      <c r="BH600" s="46"/>
      <c r="BI600" s="46"/>
      <c r="BJ600" s="46"/>
      <c r="BK600" s="46"/>
      <c r="BL600" s="46"/>
      <c r="BM600" s="46"/>
      <c r="BN600" s="46"/>
      <c r="BO600" s="46"/>
      <c r="BP600" s="46"/>
      <c r="BQ600" s="46"/>
      <c r="BR600" s="46"/>
      <c r="BS600" s="46"/>
      <c r="BT600" s="46"/>
      <c r="BU600" s="46"/>
      <c r="BV600" s="46"/>
      <c r="BW600" s="46"/>
      <c r="BX600" s="46"/>
      <c r="BY600" s="46"/>
      <c r="BZ600" s="46"/>
      <c r="CA600" s="46"/>
      <c r="CB600" s="46"/>
      <c r="CC600" s="46"/>
    </row>
    <row r="601">
      <c r="A601" s="87" t="str">
        <f>IFERROR(__xludf.DUMMYFUNCTION("""COMPUTED_VALUE"""),"672")</f>
        <v>672</v>
      </c>
      <c r="B601" s="46" t="str">
        <f>IFERROR(__xludf.DUMMYFUNCTION("""COMPUTED_VALUE"""),"Lote en conjunto Colinas del Lago - Vía Neiva - Palermo")</f>
        <v>Lote en conjunto Colinas del Lago - Vía Neiva - Palermo</v>
      </c>
      <c r="C601" s="46" t="str">
        <f>IFERROR(__xludf.DUMMYFUNCTION("""COMPUTED_VALUE"""),"Lote en conjunto")</f>
        <v>Lote en conjunto</v>
      </c>
      <c r="D601" s="46"/>
      <c r="E601" s="46" t="str">
        <f>IFERROR(__xludf.DUMMYFUNCTION("""COMPUTED_VALUE"""),"Conjunto Colinas del lago")</f>
        <v>Conjunto Colinas del lago</v>
      </c>
      <c r="F601" s="90">
        <f>IFERROR(__xludf.DUMMYFUNCTION("""COMPUTED_VALUE"""),1.5E8)</f>
        <v>150000000</v>
      </c>
      <c r="G601" s="46" t="str">
        <f>IFERROR(__xludf.DUMMYFUNCTION("""COMPUTED_VALUE"""),"$100'000.000 a $200'000.000")</f>
        <v>$100'000.000 a $200'000.000</v>
      </c>
      <c r="H601" s="46"/>
      <c r="I601" s="46"/>
      <c r="J601" s="46" t="str">
        <f>IFERROR(__xludf.DUMMYFUNCTION("""COMPUTED_VALUE"""),"Sur")</f>
        <v>Sur</v>
      </c>
      <c r="K601" s="87"/>
      <c r="L601" s="46">
        <f>IFERROR(__xludf.DUMMYFUNCTION("""COMPUTED_VALUE"""),0.0)</f>
        <v>0</v>
      </c>
      <c r="M601" s="46"/>
      <c r="N601" s="46">
        <f>IFERROR(__xludf.DUMMYFUNCTION("""COMPUTED_VALUE"""),0.0)</f>
        <v>0</v>
      </c>
      <c r="O601" s="46">
        <f>IFERROR(__xludf.DUMMYFUNCTION("""COMPUTED_VALUE"""),0.0)</f>
        <v>0</v>
      </c>
      <c r="P601" s="46">
        <f>IFERROR(__xludf.DUMMYFUNCTION("""COMPUTED_VALUE"""),0.0)</f>
        <v>0</v>
      </c>
      <c r="Q601" s="92">
        <f>IFERROR(__xludf.DUMMYFUNCTION("""COMPUTED_VALUE"""),0.0)</f>
        <v>0</v>
      </c>
      <c r="R601" s="92">
        <f>IFERROR(__xludf.DUMMYFUNCTION("""COMPUTED_VALUE"""),727.0)</f>
        <v>727</v>
      </c>
      <c r="S601" s="87" t="str">
        <f>IFERROR(__xludf.DUMMYFUNCTION("""COMPUTED_VALUE""")," ")</f>
        <v> </v>
      </c>
      <c r="T601" s="46" t="str">
        <f>IFERROR(__xludf.DUMMYFUNCTION("""COMPUTED_VALUE"""),"Palermo")</f>
        <v>Palermo</v>
      </c>
      <c r="U601" s="87"/>
      <c r="V601" s="46" t="str">
        <f>IFERROR(__xludf.DUMMYFUNCTION("""COMPUTED_VALUE"""),"Esquinera")</f>
        <v>Esquinera</v>
      </c>
      <c r="W601" s="46"/>
      <c r="X601" s="46">
        <f>IFERROR(__xludf.DUMMYFUNCTION("""COMPUTED_VALUE"""),0.0)</f>
        <v>0</v>
      </c>
      <c r="Y601" s="46" t="str">
        <f>IFERROR(__xludf.DUMMYFUNCTION("""COMPUTED_VALUE"""),"No tiene")</f>
        <v>No tiene</v>
      </c>
      <c r="Z601" s="90"/>
      <c r="AA601" s="33" t="str">
        <f>IFERROR(__xludf.DUMMYFUNCTION("""COMPUTED_VALUE"""),"No aplica")</f>
        <v>No aplica</v>
      </c>
      <c r="AB601" s="144" t="str">
        <f>IFERROR(__xludf.DUMMYFUNCTION("""COMPUTED_VALUE"""),"https://photos.app.goo.gl/i6Kbc3G8hK7pxDdY8")</f>
        <v>https://photos.app.goo.gl/i6Kbc3G8hK7pxDdY8</v>
      </c>
      <c r="AC601" s="46" t="str">
        <f>IFERROR(__xludf.DUMMYFUNCTION("""COMPUTED_VALUE"""),"Lote esquinero, área 727 m 2 de 22 frente* 34 m de fondo. Tiene agua propia ( aljibe) luz Conjunto de casas campestres.")</f>
        <v>Lote esquinero, área 727 m 2 de 22 frente* 34 m de fondo. Tiene agua propia ( aljibe) luz Conjunto de casas campestres.</v>
      </c>
      <c r="AD601" s="46" t="str">
        <f>IFERROR(__xludf.DUMMYFUNCTION("""COMPUTED_VALUE"""),"Conjunto bien ubicado.")</f>
        <v>Conjunto bien ubicado.</v>
      </c>
      <c r="AE601" s="46"/>
      <c r="AF601" s="46">
        <f>IFERROR(__xludf.DUMMYFUNCTION("""COMPUTED_VALUE"""),0.0)</f>
        <v>0</v>
      </c>
      <c r="AG601" s="46"/>
      <c r="AH601" s="46" t="str">
        <f>IFERROR(__xludf.DUMMYFUNCTION("""COMPUTED_VALUE"""),"Aliado")</f>
        <v>Aliado</v>
      </c>
      <c r="AI601" s="92" t="str">
        <f>IFERROR(__xludf.DUMMYFUNCTION("""COMPUTED_VALUE"""),"https://lh3.googleusercontent.com/pw/AP1GczO_KSmwbInPiuOM95Vf7rRbpJqMh0OCCug3GBU1QroLiM3dup_LpssAXp4xQuOxl2KxLxwkOdvPb7XkcY1LVg9el9ivW6UwJsth6pmC5b2gsrpx8cFF=w1200|https://lh3.googleusercontent.com/pw/AP1GczPyIEMBXmQl8DD1EJdni1y9X8UrwcmF6ObsLOCi8XjCjkwQXJ"&amp;"xS7Fmwpn20kguWGs2JxmX0mCKOf0kcYu9e_T2cwnnpyQkqtGvKTss9U3vVLsf58m5a=w1200|https://lh3.googleusercontent.com/pw/AP1GczOygrv9oodggZv2w5QfoyGVJ3on5loJhm3aTpVNQjoVdlnQ7tPjQRkEWoDCjIX9Rdyv_JPhhYyvFmcMNDS-jouxwK-3wvS-N7lOFqNqZiCqxonAMb8N=w1200|https://lh3.google"&amp;"usercontent.com/pw/AP1GczPumP3qgj9RReVr54-OVjh09YlMBwEMX7n6LeiXqiSBcicJ8XNIvX_Tu2KaDJJAHzaicZYyDE90KD7SIq8Pebm0lLhuwMHZnUQEgFdrqGu_kEgvn0ou=w1200|https://lh3.googleusercontent.com/pw/AP1GczOTQiqhSvGiwFkMBxRYD34So-4vkNsBQh3MDLQYIjWMWiUBwFnQzNvug1MY3WDY6nv6"&amp;"QBGNN5hEFTqawTEIbgDT0vnfhiCFSYKUsXsZ-hitfj--OZlz=w1200|https://lh3.googleusercontent.com/pw/AP1GczNaREPlPo5U_GdNczX9EKifs5oUfF2VXS6coQ9T88McP29ViNVmJvIn6UI6qE9rC6kSUY5hfP_g7CiwDY6vKJYLnPzwtKRdkA2AyhAmC4LFGcqklJRD=w1200|https://lh3.googleusercontent.com/pw"&amp;"/AP1GczNe7Mx1GLT0PLPPxmhlxXBRhJovsPTbhSD90oZl-5HIDw0pPIlrglzET9xdY5ZFLXKqLy0vxtFRgeliuibx-uxlU0AML__oiYlyGC-E9iibtpq6P_b1=w1200")</f>
        <v>https://lh3.googleusercontent.com/pw/AP1GczO_KSmwbInPiuOM95Vf7rRbpJqMh0OCCug3GBU1QroLiM3dup_LpssAXp4xQuOxl2KxLxwkOdvPb7XkcY1LVg9el9ivW6UwJsth6pmC5b2gsrpx8cFF=w1200|https://lh3.googleusercontent.com/pw/AP1GczPyIEMBXmQl8DD1EJdni1y9X8UrwcmF6ObsLOCi8XjCjkwQXJxS7Fmwpn20kguWGs2JxmX0mCKOf0kcYu9e_T2cwnnpyQkqtGvKTss9U3vVLsf58m5a=w1200|https://lh3.googleusercontent.com/pw/AP1GczOygrv9oodggZv2w5QfoyGVJ3on5loJhm3aTpVNQjoVdlnQ7tPjQRkEWoDCjIX9Rdyv_JPhhYyvFmcMNDS-jouxwK-3wvS-N7lOFqNqZiCqxonAMb8N=w1200|https://lh3.googleusercontent.com/pw/AP1GczPumP3qgj9RReVr54-OVjh09YlMBwEMX7n6LeiXqiSBcicJ8XNIvX_Tu2KaDJJAHzaicZYyDE90KD7SIq8Pebm0lLhuwMHZnUQEgFdrqGu_kEgvn0ou=w1200|https://lh3.googleusercontent.com/pw/AP1GczOTQiqhSvGiwFkMBxRYD34So-4vkNsBQh3MDLQYIjWMWiUBwFnQzNvug1MY3WDY6nv6QBGNN5hEFTqawTEIbgDT0vnfhiCFSYKUsXsZ-hitfj--OZlz=w1200|https://lh3.googleusercontent.com/pw/AP1GczNaREPlPo5U_GdNczX9EKifs5oUfF2VXS6coQ9T88McP29ViNVmJvIn6UI6qE9rC6kSUY5hfP_g7CiwDY6vKJYLnPzwtKRdkA2AyhAmC4LFGcqklJRD=w1200|https://lh3.googleusercontent.com/pw/AP1GczNe7Mx1GLT0PLPPxmhlxXBRhJovsPTbhSD90oZl-5HIDw0pPIlrglzET9xdY5ZFLXKqLy0vxtFRgeliuibx-uxlU0AML__oiYlyGC-E9iibtpq6P_b1=w1200</v>
      </c>
      <c r="AJ601" s="46"/>
      <c r="AK601" s="46"/>
      <c r="AL601" s="46"/>
      <c r="AM601" s="46"/>
      <c r="AN601" s="46"/>
      <c r="AO601" s="46"/>
      <c r="AP601" s="46"/>
      <c r="AQ601" s="46"/>
      <c r="AR601" s="46"/>
      <c r="AS601" s="46"/>
      <c r="AT601" s="46"/>
      <c r="AU601" s="46"/>
      <c r="AV601" s="46"/>
      <c r="AW601" s="46"/>
      <c r="AX601" s="46"/>
      <c r="AY601" s="46"/>
      <c r="AZ601" s="46"/>
      <c r="BA601" s="46"/>
      <c r="BB601" s="46"/>
      <c r="BC601" s="46"/>
      <c r="BD601" s="46"/>
      <c r="BE601" s="46"/>
      <c r="BF601" s="46"/>
      <c r="BG601" s="46"/>
      <c r="BH601" s="46"/>
      <c r="BI601" s="46"/>
      <c r="BJ601" s="46"/>
      <c r="BK601" s="46"/>
      <c r="BL601" s="46"/>
      <c r="BM601" s="46"/>
      <c r="BN601" s="46"/>
      <c r="BO601" s="46"/>
      <c r="BP601" s="46"/>
      <c r="BQ601" s="46"/>
      <c r="BR601" s="46"/>
      <c r="BS601" s="46"/>
      <c r="BT601" s="46"/>
      <c r="BU601" s="46"/>
      <c r="BV601" s="46"/>
      <c r="BW601" s="46"/>
      <c r="BX601" s="46"/>
      <c r="BY601" s="46"/>
      <c r="BZ601" s="46"/>
      <c r="CA601" s="46"/>
      <c r="CB601" s="46"/>
      <c r="CC601" s="46"/>
    </row>
    <row r="602">
      <c r="A602" s="87" t="str">
        <f>IFERROR(__xludf.DUMMYFUNCTION("""COMPUTED_VALUE"""),"606")</f>
        <v>606</v>
      </c>
      <c r="B602" s="46" t="str">
        <f>IFERROR(__xludf.DUMMYFUNCTION("""COMPUTED_VALUE"""),"Casa de 3 apartaestudios en barrio Alfonso López")</f>
        <v>Casa de 3 apartaestudios en barrio Alfonso López</v>
      </c>
      <c r="C602" s="46" t="str">
        <f>IFERROR(__xludf.DUMMYFUNCTION("""COMPUTED_VALUE"""),"Casa rentable")</f>
        <v>Casa rentable</v>
      </c>
      <c r="D602" s="46" t="str">
        <f>IFERROR(__xludf.DUMMYFUNCTION("""COMPUTED_VALUE"""),"Alfonso López")</f>
        <v>Alfonso López</v>
      </c>
      <c r="E602" s="90"/>
      <c r="F602" s="90">
        <f>IFERROR(__xludf.DUMMYFUNCTION("""COMPUTED_VALUE"""),1.5E8)</f>
        <v>150000000</v>
      </c>
      <c r="G602" s="46" t="str">
        <f>IFERROR(__xludf.DUMMYFUNCTION("""COMPUTED_VALUE"""),"$100'000.000 a $200'000.000")</f>
        <v>$100'000.000 a $200'000.000</v>
      </c>
      <c r="H602" s="46"/>
      <c r="I602" s="46"/>
      <c r="J602" s="46" t="str">
        <f>IFERROR(__xludf.DUMMYFUNCTION("""COMPUTED_VALUE"""),"Sur")</f>
        <v>Sur</v>
      </c>
      <c r="K602" s="87" t="str">
        <f>IFERROR(__xludf.DUMMYFUNCTION("""COMPUTED_VALUE"""),"8")</f>
        <v>8</v>
      </c>
      <c r="L602" s="46">
        <f>IFERROR(__xludf.DUMMYFUNCTION("""COMPUTED_VALUE"""),3.0)</f>
        <v>3</v>
      </c>
      <c r="M602" s="46"/>
      <c r="N602" s="46">
        <f>IFERROR(__xludf.DUMMYFUNCTION("""COMPUTED_VALUE"""),3.0)</f>
        <v>3</v>
      </c>
      <c r="O602" s="46">
        <f>IFERROR(__xludf.DUMMYFUNCTION("""COMPUTED_VALUE"""),0.0)</f>
        <v>0</v>
      </c>
      <c r="P602" s="46">
        <f>IFERROR(__xludf.DUMMYFUNCTION("""COMPUTED_VALUE"""),1.0)</f>
        <v>1</v>
      </c>
      <c r="Q602" s="92">
        <f>IFERROR(__xludf.DUMMYFUNCTION("""COMPUTED_VALUE"""),108.0)</f>
        <v>108</v>
      </c>
      <c r="R602" s="92"/>
      <c r="S602" s="87" t="str">
        <f>IFERROR(__xludf.DUMMYFUNCTION("""COMPUTED_VALUE""")," ")</f>
        <v> </v>
      </c>
      <c r="T602" s="46" t="str">
        <f>IFERROR(__xludf.DUMMYFUNCTION("""COMPUTED_VALUE"""),"Neiva")</f>
        <v>Neiva</v>
      </c>
      <c r="U602" s="87" t="str">
        <f>IFERROR(__xludf.DUMMYFUNCTION("""COMPUTED_VALUE"""),"2")</f>
        <v>2</v>
      </c>
      <c r="V602" s="46" t="str">
        <f>IFERROR(__xludf.DUMMYFUNCTION("""COMPUTED_VALUE"""),"Esquinera")</f>
        <v>Esquinera</v>
      </c>
      <c r="W602" s="46"/>
      <c r="X602" s="46">
        <f>IFERROR(__xludf.DUMMYFUNCTION("""COMPUTED_VALUE"""),0.0)</f>
        <v>0</v>
      </c>
      <c r="Y602" s="46" t="str">
        <f>IFERROR(__xludf.DUMMYFUNCTION("""COMPUTED_VALUE"""),"No tiene")</f>
        <v>No tiene</v>
      </c>
      <c r="Z602" s="90" t="str">
        <f>IFERROR(__xludf.DUMMYFUNCTION("""COMPUTED_VALUE"""),"No aplica")</f>
        <v>No aplica</v>
      </c>
      <c r="AA602" s="33" t="str">
        <f>IFERROR(__xludf.DUMMYFUNCTION("""COMPUTED_VALUE"""),"No aplica")</f>
        <v>No aplica</v>
      </c>
      <c r="AB602" s="96" t="str">
        <f>IFERROR(__xludf.DUMMYFUNCTION("""COMPUTED_VALUE"""),"https://photos.app.goo.gl/2gXD48edVC7ABKfB6")</f>
        <v>https://photos.app.goo.gl/2gXD48edVC7ABKfB6</v>
      </c>
      <c r="AC602" s="46" t="str">
        <f>IFERROR(__xludf.DUMMYFUNCTION("""COMPUTED_VALUE"""),"Cada apartaestudio cuenta con 1 habitación y un baño.  Sala-comedor, cocina, lavadero. ")</f>
        <v>Cada apartaestudio cuenta con 1 habitación y un baño.  Sala-comedor, cocina, lavadero. </v>
      </c>
      <c r="AD602" s="46" t="str">
        <f>IFERROR(__xludf.DUMMYFUNCTION("""COMPUTED_VALUE"""),"Servicios públicos independientes. Uno de los apartaestudios con patio pequeño.")</f>
        <v>Servicios públicos independientes. Uno de los apartaestudios con patio pequeño.</v>
      </c>
      <c r="AE602" s="46"/>
      <c r="AF602" s="46" t="str">
        <f>IFERROR(__xludf.DUMMYFUNCTION("""COMPUTED_VALUE"""),"básica")</f>
        <v>básica</v>
      </c>
      <c r="AG602" s="46"/>
      <c r="AH602" s="46" t="str">
        <f>IFERROR(__xludf.DUMMYFUNCTION("""COMPUTED_VALUE"""),"Aliado")</f>
        <v>Aliado</v>
      </c>
      <c r="AI602" s="92" t="str">
        <f>IFERROR(__xludf.DUMMYFUNCTION("""COMPUTED_VALUE"""),"https://lh3.googleusercontent.com/pw/AP1GczOMRbW_vdAMMDo7S5bWPObDchpeIpBYkUB1Xek-XvP1N27Ss2UX3-Mx0KYLhN1sZNib2fYgqU_O-ZtW0a1q3OzI1xXrr1pdwtiJHarFg2pbnvU75OMS=w1200|https://lh3.googleusercontent.com/pw/AP1GczMJTiU8aLeBeokR1U0uv9aK14J7Z3YMTTWbMsEFPm140ZCMJ9"&amp;"tCAcXQ5HuH6-nly4WkH8b741sc1_FDelA9iZ1a_sr-n2OdN50W9HEpXlfSdMnRDYlr=w1200|https://lh3.googleusercontent.com/pw/AP1GczOevt-cj1tlSSOYYbv-BOpB9tYv9uR4IwFz4fYdIudGn1LraVcbl43ycEGfT8iKwu3xZ9f6kueo7cD2TRzVPzbaNjS3j6dA-vbXgdBHgbQN-mW7WptD=w1200|https://lh3.google"&amp;"usercontent.com/pw/AP1GczOJHli2RTvoaLs6G7Yw9t50cuidULyBFQs78CdfzJcdYPWyu7-c75fKj4460ldfqaMyAwSHxTzQulER7yBlQZrHnYVtjeywSQyo7552d9Jmb1IiQU_Q=w1200|https://lh3.googleusercontent.com/pw/AP1GczN9obGyeweM80evqn2-b82VD_mqK9I-bkdIaa-XSP7HiMBuXt-pUjwiaaBdGggk-qO1"&amp;"IBvpjqGhb3vB676mFzyMddVNsbbgff9kuFrNPJ1gmFSDJIS2=w1200|https://lh3.googleusercontent.com/pw/AP1GczMzJJ5JGkXfmGCp4X0UhCTvy3UOmSVWeITh5XKCF2gn4rRXUDFSCvagN2w6ni5YL0_CFkMn9BkdDJ8S0KMzSkGM9CE6Bq1cgEG2otvgkMQZckhx6ppf=w1200|https://lh3.googleusercontent.com/pw"&amp;"/AP1GczOdp84A6PIkVPvBaw1SjycGQqlmqPuHx53rg9VVsfr52cVKl6XW5hXUq6E5_KnMYHqZ9id2T87i2tYbCcTVSJfpK63vwDvB8EjMAsTRgS1MNl4eyXep=w1200")</f>
        <v>https://lh3.googleusercontent.com/pw/AP1GczOMRbW_vdAMMDo7S5bWPObDchpeIpBYkUB1Xek-XvP1N27Ss2UX3-Mx0KYLhN1sZNib2fYgqU_O-ZtW0a1q3OzI1xXrr1pdwtiJHarFg2pbnvU75OMS=w1200|https://lh3.googleusercontent.com/pw/AP1GczMJTiU8aLeBeokR1U0uv9aK14J7Z3YMTTWbMsEFPm140ZCMJ9tCAcXQ5HuH6-nly4WkH8b741sc1_FDelA9iZ1a_sr-n2OdN50W9HEpXlfSdMnRDYlr=w1200|https://lh3.googleusercontent.com/pw/AP1GczOevt-cj1tlSSOYYbv-BOpB9tYv9uR4IwFz4fYdIudGn1LraVcbl43ycEGfT8iKwu3xZ9f6kueo7cD2TRzVPzbaNjS3j6dA-vbXgdBHgbQN-mW7WptD=w1200|https://lh3.googleusercontent.com/pw/AP1GczOJHli2RTvoaLs6G7Yw9t50cuidULyBFQs78CdfzJcdYPWyu7-c75fKj4460ldfqaMyAwSHxTzQulER7yBlQZrHnYVtjeywSQyo7552d9Jmb1IiQU_Q=w1200|https://lh3.googleusercontent.com/pw/AP1GczN9obGyeweM80evqn2-b82VD_mqK9I-bkdIaa-XSP7HiMBuXt-pUjwiaaBdGggk-qO1IBvpjqGhb3vB676mFzyMddVNsbbgff9kuFrNPJ1gmFSDJIS2=w1200|https://lh3.googleusercontent.com/pw/AP1GczMzJJ5JGkXfmGCp4X0UhCTvy3UOmSVWeITh5XKCF2gn4rRXUDFSCvagN2w6ni5YL0_CFkMn9BkdDJ8S0KMzSkGM9CE6Bq1cgEG2otvgkMQZckhx6ppf=w1200|https://lh3.googleusercontent.com/pw/AP1GczOdp84A6PIkVPvBaw1SjycGQqlmqPuHx53rg9VVsfr52cVKl6XW5hXUq6E5_KnMYHqZ9id2T87i2tYbCcTVSJfpK63vwDvB8EjMAsTRgS1MNl4eyXep=w1200</v>
      </c>
      <c r="AJ602" s="46"/>
      <c r="AK602" s="46"/>
      <c r="AL602" s="46"/>
      <c r="AM602" s="46"/>
      <c r="AN602" s="46"/>
      <c r="AO602" s="46"/>
      <c r="AP602" s="46"/>
      <c r="AQ602" s="46"/>
      <c r="AR602" s="46"/>
      <c r="AS602" s="46"/>
      <c r="AT602" s="46"/>
      <c r="AU602" s="46"/>
      <c r="AV602" s="46"/>
      <c r="AW602" s="46"/>
      <c r="AX602" s="46"/>
      <c r="AY602" s="46"/>
      <c r="AZ602" s="46"/>
      <c r="BA602" s="46"/>
      <c r="BB602" s="46"/>
      <c r="BC602" s="46"/>
      <c r="BD602" s="46"/>
      <c r="BE602" s="46"/>
      <c r="BF602" s="46"/>
      <c r="BG602" s="46"/>
      <c r="BH602" s="46"/>
      <c r="BI602" s="46"/>
      <c r="BJ602" s="46"/>
      <c r="BK602" s="46"/>
      <c r="BL602" s="46"/>
      <c r="BM602" s="46"/>
      <c r="BN602" s="46"/>
      <c r="BO602" s="46"/>
      <c r="BP602" s="46"/>
      <c r="BQ602" s="46"/>
      <c r="BR602" s="46"/>
      <c r="BS602" s="46"/>
      <c r="BT602" s="46"/>
      <c r="BU602" s="46"/>
      <c r="BV602" s="46"/>
      <c r="BW602" s="46"/>
      <c r="BX602" s="46"/>
      <c r="BY602" s="46"/>
      <c r="BZ602" s="46"/>
      <c r="CA602" s="46"/>
      <c r="CB602" s="46"/>
      <c r="CC602" s="46"/>
    </row>
    <row r="603">
      <c r="A603" s="87" t="str">
        <f>IFERROR(__xludf.DUMMYFUNCTION("""COMPUTED_VALUE"""),"727")</f>
        <v>727</v>
      </c>
      <c r="B603" s="46" t="str">
        <f>IFERROR(__xludf.DUMMYFUNCTION("""COMPUTED_VALUE"""),"Lote en conjunto Campestre  Valle de la Rivera - Rivera")</f>
        <v>Lote en conjunto Campestre  Valle de la Rivera - Rivera</v>
      </c>
      <c r="C603" s="46" t="str">
        <f>IFERROR(__xludf.DUMMYFUNCTION("""COMPUTED_VALUE"""),"Lote en conjunto")</f>
        <v>Lote en conjunto</v>
      </c>
      <c r="D603" s="46"/>
      <c r="E603" s="90" t="str">
        <f>IFERROR(__xludf.DUMMYFUNCTION("""COMPUTED_VALUE"""),"Conjunto Valles de la Rivera")</f>
        <v>Conjunto Valles de la Rivera</v>
      </c>
      <c r="F603" s="90">
        <f>IFERROR(__xludf.DUMMYFUNCTION("""COMPUTED_VALUE"""),1.3E8)</f>
        <v>130000000</v>
      </c>
      <c r="G603" s="46" t="str">
        <f>IFERROR(__xludf.DUMMYFUNCTION("""COMPUTED_VALUE"""),"$100'000.000 a $200'000.000")</f>
        <v>$100'000.000 a $200'000.000</v>
      </c>
      <c r="H603" s="46"/>
      <c r="I603" s="46"/>
      <c r="J603" s="46" t="str">
        <f>IFERROR(__xludf.DUMMYFUNCTION("""COMPUTED_VALUE"""),"Sur")</f>
        <v>Sur</v>
      </c>
      <c r="K603" s="87"/>
      <c r="L603" s="46">
        <f>IFERROR(__xludf.DUMMYFUNCTION("""COMPUTED_VALUE"""),0.0)</f>
        <v>0</v>
      </c>
      <c r="M603" s="46"/>
      <c r="N603" s="46">
        <f>IFERROR(__xludf.DUMMYFUNCTION("""COMPUTED_VALUE"""),0.0)</f>
        <v>0</v>
      </c>
      <c r="O603" s="46">
        <f>IFERROR(__xludf.DUMMYFUNCTION("""COMPUTED_VALUE"""),0.0)</f>
        <v>0</v>
      </c>
      <c r="P603" s="46">
        <f>IFERROR(__xludf.DUMMYFUNCTION("""COMPUTED_VALUE"""),0.0)</f>
        <v>0</v>
      </c>
      <c r="Q603" s="92">
        <f>IFERROR(__xludf.DUMMYFUNCTION("""COMPUTED_VALUE"""),0.0)</f>
        <v>0</v>
      </c>
      <c r="R603" s="92">
        <f>IFERROR(__xludf.DUMMYFUNCTION("""COMPUTED_VALUE"""),2200.0)</f>
        <v>2200</v>
      </c>
      <c r="S603" s="87" t="str">
        <f>IFERROR(__xludf.DUMMYFUNCTION("""COMPUTED_VALUE""")," ")</f>
        <v> </v>
      </c>
      <c r="T603" s="46" t="str">
        <f>IFERROR(__xludf.DUMMYFUNCTION("""COMPUTED_VALUE"""),"Rivera")</f>
        <v>Rivera</v>
      </c>
      <c r="U603" s="87"/>
      <c r="V603" s="46" t="str">
        <f>IFERROR(__xludf.DUMMYFUNCTION("""COMPUTED_VALUE"""),"Medianera")</f>
        <v>Medianera</v>
      </c>
      <c r="W603" s="46"/>
      <c r="X603" s="46">
        <f>IFERROR(__xludf.DUMMYFUNCTION("""COMPUTED_VALUE"""),0.0)</f>
        <v>0</v>
      </c>
      <c r="Y603" s="46" t="str">
        <f>IFERROR(__xludf.DUMMYFUNCTION("""COMPUTED_VALUE"""),"No tiene")</f>
        <v>No tiene</v>
      </c>
      <c r="Z603" s="90"/>
      <c r="AA603" s="33" t="str">
        <f>IFERROR(__xludf.DUMMYFUNCTION("""COMPUTED_VALUE"""),"No aplica")</f>
        <v>No aplica</v>
      </c>
      <c r="AB603" s="96" t="str">
        <f>IFERROR(__xludf.DUMMYFUNCTION("""COMPUTED_VALUE"""),"https://photos.app.goo.gl/tq2vYLM9xDjvymGs5")</f>
        <v>https://photos.app.goo.gl/tq2vYLM9xDjvymGs5</v>
      </c>
      <c r="AC603" s="46" t="str">
        <f>IFERROR(__xludf.DUMMYFUNCTION("""COMPUTED_VALUE"""),"Lote con servicios públicos.")</f>
        <v>Lote con servicios públicos.</v>
      </c>
      <c r="AD603" s="46" t="str">
        <f>IFERROR(__xludf.DUMMYFUNCTION("""COMPUTED_VALUE"""),"Conjunto bien ubicado en sector turistico.")</f>
        <v>Conjunto bien ubicado en sector turistico.</v>
      </c>
      <c r="AE603" s="46"/>
      <c r="AF603" s="46">
        <f>IFERROR(__xludf.DUMMYFUNCTION("""COMPUTED_VALUE"""),0.0)</f>
        <v>0</v>
      </c>
      <c r="AG603" s="46"/>
      <c r="AH603" s="46" t="str">
        <f>IFERROR(__xludf.DUMMYFUNCTION("""COMPUTED_VALUE"""),"Aliado")</f>
        <v>Aliado</v>
      </c>
      <c r="AI603" s="92" t="str">
        <f>IFERROR(__xludf.DUMMYFUNCTION("""COMPUTED_VALUE"""),"https://lh3.googleusercontent.com/pw/AP1GczOl-itToLcPQa9p8-WYXZ-kJDrpN1Kfj_jACPMd8iYdmbEkkFsJsv-4H_ytOWH4S1RDG9-fpPP3XPF_ZmpujPye910pXPYJOVWpXTsKI7N30Ojfdafp=w1200|https://lh3.googleusercontent.com/pw/AP1GczORKXxymnmkg6ja5GcxdTiQQatb22CctXiaOoMu0gn4q_-ZtH"&amp;"sFLjC0_ndi3K0oZPnu3IHj3rRY4nDRherrnSj-qXw3tMOmTKsz1St0IhFtbTIwVw70=w1200|https://lh3.googleusercontent.com/pw/AP1GczOrofhhpIrPKl8IYDdIQb2YdkQyZ__tPfB76EH93WZvBQ8-Si6hIBqPKmVhUGPTI75WuKwWLXUfeWgEQ92Sbe-6nkt7pmLaw0LpUZ7mAYU4qc01-bSL=w1200|https://lh3.google"&amp;"usercontent.com/pw/AP1GczMeEWxUFVBde0_dfVAhq8N9ltjpl6AfX2z5Iad7BrXBc8hc3AfHek799ehXjUAEoN5oJxXCIJEOA3DR4rcn-YG9wv0huG67TzSXhTSPmpkcJhXKaeSD=w1200|https://lh3.googleusercontent.com/pw/AP1GczMPA_S0JyiPVbvDvuxzJ8_nd2U8zjEl7Foi95UEtePHK4n2Y5v7MM_heGnerkyWK9pY"&amp;"PCqDvbuo9JEGf8BJlWZ0YsqTwUn897bb_oJAw8usX-frm23b=w1200|https://lh3.googleusercontent.com/pw/AP1GczMU9cLw-kYXx9r3Ps0JOHMVp5e3g6WGWgJXFKAU_Yfd0usumu-fv0CtHySo60xiZB1J4XALEftovaeVsNhu8GW27bfg2HEvYIZmMzEjZ7IwXVOQbA49=w1200|https://lh3.googleusercontent.com/pw"&amp;"/AP1GczNzdXK1PApK_6buqyxtQHXJ6dIl2Viy67NdqLaVZKd8tx4xr91prs6oJdQ9LIPRcPHen4ABIrBU48SCx_VYrotjr5bk6hrIpDtau11o3Gzoql6zuCQi=w1200|https://lh3.googleusercontent.com/pw/AP1GczNGJDW2rDPDddX2QDDOOeGaUS_Yi74TJZSRnFcC3Ft4HNWJqDbnxlzcqiimC39XwjcHM9byv8e9ZQZehlxMGH"&amp;"5qho7mG5im3jvm-ePL3dt9PFlLc_md=w1200|https://lh3.googleusercontent.com/pw/AP1GczN4D5-P4mpviombprTbJkKy9mZfdBGrcLG3hRNt0fbqJI2e7nJjbcpY7-cEYC9Egm-EGgl7PuSs1VbAHFHfDZ7n8bcCgnOfNQeLD1St8E-oeY5hYHVq=w1200")</f>
        <v>https://lh3.googleusercontent.com/pw/AP1GczOl-itToLcPQa9p8-WYXZ-kJDrpN1Kfj_jACPMd8iYdmbEkkFsJsv-4H_ytOWH4S1RDG9-fpPP3XPF_ZmpujPye910pXPYJOVWpXTsKI7N30Ojfdafp=w1200|https://lh3.googleusercontent.com/pw/AP1GczORKXxymnmkg6ja5GcxdTiQQatb22CctXiaOoMu0gn4q_-ZtHsFLjC0_ndi3K0oZPnu3IHj3rRY4nDRherrnSj-qXw3tMOmTKsz1St0IhFtbTIwVw70=w1200|https://lh3.googleusercontent.com/pw/AP1GczOrofhhpIrPKl8IYDdIQb2YdkQyZ__tPfB76EH93WZvBQ8-Si6hIBqPKmVhUGPTI75WuKwWLXUfeWgEQ92Sbe-6nkt7pmLaw0LpUZ7mAYU4qc01-bSL=w1200|https://lh3.googleusercontent.com/pw/AP1GczMeEWxUFVBde0_dfVAhq8N9ltjpl6AfX2z5Iad7BrXBc8hc3AfHek799ehXjUAEoN5oJxXCIJEOA3DR4rcn-YG9wv0huG67TzSXhTSPmpkcJhXKaeSD=w1200|https://lh3.googleusercontent.com/pw/AP1GczMPA_S0JyiPVbvDvuxzJ8_nd2U8zjEl7Foi95UEtePHK4n2Y5v7MM_heGnerkyWK9pYPCqDvbuo9JEGf8BJlWZ0YsqTwUn897bb_oJAw8usX-frm23b=w1200|https://lh3.googleusercontent.com/pw/AP1GczMU9cLw-kYXx9r3Ps0JOHMVp5e3g6WGWgJXFKAU_Yfd0usumu-fv0CtHySo60xiZB1J4XALEftovaeVsNhu8GW27bfg2HEvYIZmMzEjZ7IwXVOQbA49=w1200|https://lh3.googleusercontent.com/pw/AP1GczNzdXK1PApK_6buqyxtQHXJ6dIl2Viy67NdqLaVZKd8tx4xr91prs6oJdQ9LIPRcPHen4ABIrBU48SCx_VYrotjr5bk6hrIpDtau11o3Gzoql6zuCQi=w1200|https://lh3.googleusercontent.com/pw/AP1GczNGJDW2rDPDddX2QDDOOeGaUS_Yi74TJZSRnFcC3Ft4HNWJqDbnxlzcqiimC39XwjcHM9byv8e9ZQZehlxMGH5qho7mG5im3jvm-ePL3dt9PFlLc_md=w1200|https://lh3.googleusercontent.com/pw/AP1GczN4D5-P4mpviombprTbJkKy9mZfdBGrcLG3hRNt0fbqJI2e7nJjbcpY7-cEYC9Egm-EGgl7PuSs1VbAHFHfDZ7n8bcCgnOfNQeLD1St8E-oeY5hYHVq=w1200</v>
      </c>
      <c r="AJ603" s="46"/>
      <c r="AK603" s="46"/>
      <c r="AL603" s="46"/>
      <c r="AM603" s="46"/>
      <c r="AN603" s="46"/>
      <c r="AO603" s="46"/>
      <c r="AP603" s="46"/>
      <c r="AQ603" s="46"/>
      <c r="AR603" s="46"/>
      <c r="AS603" s="46"/>
      <c r="AT603" s="46"/>
      <c r="AU603" s="46"/>
      <c r="AV603" s="46"/>
      <c r="AW603" s="46"/>
      <c r="AX603" s="46"/>
      <c r="AY603" s="46"/>
      <c r="AZ603" s="46"/>
      <c r="BA603" s="46"/>
      <c r="BB603" s="46"/>
      <c r="BC603" s="46"/>
      <c r="BD603" s="46"/>
      <c r="BE603" s="46"/>
      <c r="BF603" s="46"/>
      <c r="BG603" s="46"/>
      <c r="BH603" s="46"/>
      <c r="BI603" s="46"/>
      <c r="BJ603" s="46"/>
      <c r="BK603" s="46"/>
      <c r="BL603" s="46"/>
      <c r="BM603" s="46"/>
      <c r="BN603" s="46"/>
      <c r="BO603" s="46"/>
      <c r="BP603" s="46"/>
      <c r="BQ603" s="46"/>
      <c r="BR603" s="46"/>
      <c r="BS603" s="46"/>
      <c r="BT603" s="46"/>
      <c r="BU603" s="46"/>
      <c r="BV603" s="46"/>
      <c r="BW603" s="46"/>
      <c r="BX603" s="46"/>
      <c r="BY603" s="46"/>
      <c r="BZ603" s="46"/>
      <c r="CA603" s="46"/>
      <c r="CB603" s="46"/>
      <c r="CC603" s="46"/>
    </row>
    <row r="604">
      <c r="A604" s="87" t="str">
        <f>IFERROR(__xludf.DUMMYFUNCTION("""COMPUTED_VALUE"""),"081")</f>
        <v>081</v>
      </c>
      <c r="B604" s="46" t="str">
        <f>IFERROR(__xludf.DUMMYFUNCTION("""COMPUTED_VALUE"""),"Lote rural - Vda. El Arenoso - Rivera")</f>
        <v>Lote rural - Vda. El Arenoso - Rivera</v>
      </c>
      <c r="C604" s="46" t="str">
        <f>IFERROR(__xludf.DUMMYFUNCTION("""COMPUTED_VALUE"""),"Lote")</f>
        <v>Lote</v>
      </c>
      <c r="D604" s="46"/>
      <c r="E604" s="46"/>
      <c r="F604" s="90">
        <f>IFERROR(__xludf.DUMMYFUNCTION("""COMPUTED_VALUE"""),1.3E8)</f>
        <v>130000000</v>
      </c>
      <c r="G604" s="46" t="str">
        <f>IFERROR(__xludf.DUMMYFUNCTION("""COMPUTED_VALUE"""),"$100'000.000 a $200'000.000")</f>
        <v>$100'000.000 a $200'000.000</v>
      </c>
      <c r="H604" s="46"/>
      <c r="I604" s="46"/>
      <c r="J604" s="46" t="str">
        <f>IFERROR(__xludf.DUMMYFUNCTION("""COMPUTED_VALUE"""),"Sur")</f>
        <v>Sur</v>
      </c>
      <c r="K604" s="87"/>
      <c r="L604" s="46">
        <f>IFERROR(__xludf.DUMMYFUNCTION("""COMPUTED_VALUE"""),0.0)</f>
        <v>0</v>
      </c>
      <c r="M604" s="46"/>
      <c r="N604" s="46">
        <f>IFERROR(__xludf.DUMMYFUNCTION("""COMPUTED_VALUE"""),0.0)</f>
        <v>0</v>
      </c>
      <c r="O604" s="46">
        <f>IFERROR(__xludf.DUMMYFUNCTION("""COMPUTED_VALUE"""),0.0)</f>
        <v>0</v>
      </c>
      <c r="P604" s="46">
        <f>IFERROR(__xludf.DUMMYFUNCTION("""COMPUTED_VALUE"""),0.0)</f>
        <v>0</v>
      </c>
      <c r="Q604" s="92">
        <f>IFERROR(__xludf.DUMMYFUNCTION("""COMPUTED_VALUE"""),0.0)</f>
        <v>0</v>
      </c>
      <c r="R604" s="92">
        <f>IFERROR(__xludf.DUMMYFUNCTION("""COMPUTED_VALUE"""),3000.0)</f>
        <v>3000</v>
      </c>
      <c r="S604" s="87" t="str">
        <f>IFERROR(__xludf.DUMMYFUNCTION("""COMPUTED_VALUE""")," ")</f>
        <v> </v>
      </c>
      <c r="T604" s="46" t="str">
        <f>IFERROR(__xludf.DUMMYFUNCTION("""COMPUTED_VALUE"""),"Rivera")</f>
        <v>Rivera</v>
      </c>
      <c r="U604" s="87"/>
      <c r="V604" s="46"/>
      <c r="W604" s="46"/>
      <c r="X604" s="46">
        <f>IFERROR(__xludf.DUMMYFUNCTION("""COMPUTED_VALUE"""),0.0)</f>
        <v>0</v>
      </c>
      <c r="Y604" s="46" t="str">
        <f>IFERROR(__xludf.DUMMYFUNCTION("""COMPUTED_VALUE"""),"No tiene")</f>
        <v>No tiene</v>
      </c>
      <c r="Z604" s="90"/>
      <c r="AA604" s="33" t="str">
        <f>IFERROR(__xludf.DUMMYFUNCTION("""COMPUTED_VALUE"""),"No aplica")</f>
        <v>No aplica</v>
      </c>
      <c r="AB604" s="96" t="str">
        <f>IFERROR(__xludf.DUMMYFUNCTION("""COMPUTED_VALUE"""),"https://photos.app.goo.gl/aP9DhRuiosR7ri5XA")</f>
        <v>https://photos.app.goo.gl/aP9DhRuiosR7ri5XA</v>
      </c>
      <c r="AC604" s="46" t="str">
        <f>IFERROR(__xludf.DUMMYFUNCTION("""COMPUTED_VALUE"""),"Área:  3000 M2. Excelente terreno para construir.")</f>
        <v>Área:  3000 M2. Excelente terreno para construir.</v>
      </c>
      <c r="AD604" s="46" t="str">
        <f>IFERROR(__xludf.DUMMYFUNCTION("""COMPUTED_VALUE"""),"A 15 minutos de Neiva. A 5 Minutos de la vía principal hacia Rivera – Huila.")</f>
        <v>A 15 minutos de Neiva. A 5 Minutos de la vía principal hacia Rivera – Huila.</v>
      </c>
      <c r="AE604" s="46"/>
      <c r="AF604" s="46">
        <f>IFERROR(__xludf.DUMMYFUNCTION("""COMPUTED_VALUE"""),0.0)</f>
        <v>0</v>
      </c>
      <c r="AG604" s="46"/>
      <c r="AH604" s="46" t="str">
        <f>IFERROR(__xludf.DUMMYFUNCTION("""COMPUTED_VALUE"""),"Aliado")</f>
        <v>Aliado</v>
      </c>
      <c r="AI604" s="92" t="str">
        <f>IFERROR(__xludf.DUMMYFUNCTION("""COMPUTED_VALUE"""),"https://lh3.googleusercontent.com/pw/AP1GczNsFy120A-RM5FibqE4jfWpyO6OwYnDmcrWOXL_Mo6Yytqrhk3nNXKJABORUTzhu4M-fiDXKxY3-BJo1pYWkp6aBwhwW0mEz0q-nUxSMQ6c0fD2abzG=w1200|https://lh3.googleusercontent.com/pw/AP1GczNcYW66smA-ln57-9aY6tGr36vClKPOYoxgwm5SGCerJ_Sxth"&amp;"poZ9RquNTTUA--qqIRTBZGPIQBBeNjsXACjJgLMWnSvDgNWBOvobMg3JWqzD6i9Xni=w1200|https://lh3.googleusercontent.com/pw/AP1GczMuWrNEu91C3A86fSn4pNqUaRTsvgSbb_9DaD35ldY0Q5cLG8avnoOJPBtIBu2_s8prmZjDOUcDbnpGAfYSchM9nHgeMGMD-DFBNpcmWG9OhqW2TRU7=w1200")</f>
        <v>https://lh3.googleusercontent.com/pw/AP1GczNsFy120A-RM5FibqE4jfWpyO6OwYnDmcrWOXL_Mo6Yytqrhk3nNXKJABORUTzhu4M-fiDXKxY3-BJo1pYWkp6aBwhwW0mEz0q-nUxSMQ6c0fD2abzG=w1200|https://lh3.googleusercontent.com/pw/AP1GczNcYW66smA-ln57-9aY6tGr36vClKPOYoxgwm5SGCerJ_SxthpoZ9RquNTTUA--qqIRTBZGPIQBBeNjsXACjJgLMWnSvDgNWBOvobMg3JWqzD6i9Xni=w1200|https://lh3.googleusercontent.com/pw/AP1GczMuWrNEu91C3A86fSn4pNqUaRTsvgSbb_9DaD35ldY0Q5cLG8avnoOJPBtIBu2_s8prmZjDOUcDbnpGAfYSchM9nHgeMGMD-DFBNpcmWG9OhqW2TRU7=w1200</v>
      </c>
      <c r="AJ604" s="46"/>
      <c r="AK604" s="46"/>
      <c r="AL604" s="46"/>
      <c r="AM604" s="46"/>
      <c r="AN604" s="46"/>
      <c r="AO604" s="46"/>
      <c r="AP604" s="46"/>
      <c r="AQ604" s="46"/>
      <c r="AR604" s="46"/>
      <c r="AS604" s="46"/>
      <c r="AT604" s="46"/>
      <c r="AU604" s="46"/>
      <c r="AV604" s="46"/>
      <c r="AW604" s="46"/>
      <c r="AX604" s="46"/>
      <c r="AY604" s="46"/>
      <c r="AZ604" s="46"/>
      <c r="BA604" s="46"/>
      <c r="BB604" s="46"/>
      <c r="BC604" s="46"/>
      <c r="BD604" s="46"/>
      <c r="BE604" s="46"/>
      <c r="BF604" s="46"/>
      <c r="BG604" s="46"/>
      <c r="BH604" s="46"/>
      <c r="BI604" s="46"/>
      <c r="BJ604" s="46"/>
      <c r="BK604" s="46"/>
      <c r="BL604" s="46"/>
      <c r="BM604" s="46"/>
      <c r="BN604" s="46"/>
      <c r="BO604" s="46"/>
      <c r="BP604" s="46"/>
      <c r="BQ604" s="46"/>
      <c r="BR604" s="46"/>
      <c r="BS604" s="46"/>
      <c r="BT604" s="46"/>
      <c r="BU604" s="46"/>
      <c r="BV604" s="46"/>
      <c r="BW604" s="46"/>
      <c r="BX604" s="46"/>
      <c r="BY604" s="46"/>
      <c r="BZ604" s="46"/>
      <c r="CA604" s="46"/>
      <c r="CB604" s="46"/>
      <c r="CC604" s="46"/>
    </row>
    <row r="605">
      <c r="A605" s="87" t="str">
        <f>IFERROR(__xludf.DUMMYFUNCTION("""COMPUTED_VALUE"""),"514")</f>
        <v>514</v>
      </c>
      <c r="B605" s="46" t="str">
        <f>IFERROR(__xludf.DUMMYFUNCTION("""COMPUTED_VALUE"""),"Casa en barrio Caracoli")</f>
        <v>Casa en barrio Caracoli</v>
      </c>
      <c r="C605" s="46" t="str">
        <f>IFERROR(__xludf.DUMMYFUNCTION("""COMPUTED_VALUE"""),"Casa")</f>
        <v>Casa</v>
      </c>
      <c r="D605" s="90" t="str">
        <f>IFERROR(__xludf.DUMMYFUNCTION("""COMPUTED_VALUE"""),"Caracoli")</f>
        <v>Caracoli</v>
      </c>
      <c r="E605" s="46"/>
      <c r="F605" s="90">
        <f>IFERROR(__xludf.DUMMYFUNCTION("""COMPUTED_VALUE"""),1.2E8)</f>
        <v>120000000</v>
      </c>
      <c r="G605" s="46" t="str">
        <f>IFERROR(__xludf.DUMMYFUNCTION("""COMPUTED_VALUE"""),"$100'000.000 a $200'000.000")</f>
        <v>$100'000.000 a $200'000.000</v>
      </c>
      <c r="H605" s="46"/>
      <c r="I605" s="46"/>
      <c r="J605" s="46" t="str">
        <f>IFERROR(__xludf.DUMMYFUNCTION("""COMPUTED_VALUE"""),"Centro")</f>
        <v>Centro</v>
      </c>
      <c r="K605" s="87" t="str">
        <f>IFERROR(__xludf.DUMMYFUNCTION("""COMPUTED_VALUE"""),"3")</f>
        <v>3</v>
      </c>
      <c r="L605" s="46">
        <f>IFERROR(__xludf.DUMMYFUNCTION("""COMPUTED_VALUE"""),4.0)</f>
        <v>4</v>
      </c>
      <c r="M605" s="46"/>
      <c r="N605" s="46">
        <f>IFERROR(__xludf.DUMMYFUNCTION("""COMPUTED_VALUE"""),1.0)</f>
        <v>1</v>
      </c>
      <c r="O605" s="46">
        <f>IFERROR(__xludf.DUMMYFUNCTION("""COMPUTED_VALUE"""),0.0)</f>
        <v>0</v>
      </c>
      <c r="P605" s="46">
        <f>IFERROR(__xludf.DUMMYFUNCTION("""COMPUTED_VALUE"""),1.0)</f>
        <v>1</v>
      </c>
      <c r="Q605" s="92"/>
      <c r="R605" s="92">
        <f>IFERROR(__xludf.DUMMYFUNCTION("""COMPUTED_VALUE"""),72.0)</f>
        <v>72</v>
      </c>
      <c r="S605" s="87" t="str">
        <f>IFERROR(__xludf.DUMMYFUNCTION("""COMPUTED_VALUE""")," ")</f>
        <v> </v>
      </c>
      <c r="T605" s="46" t="str">
        <f>IFERROR(__xludf.DUMMYFUNCTION("""COMPUTED_VALUE"""),"Neiva")</f>
        <v>Neiva</v>
      </c>
      <c r="U605" s="87" t="str">
        <f>IFERROR(__xludf.DUMMYFUNCTION("""COMPUTED_VALUE"""),"2")</f>
        <v>2</v>
      </c>
      <c r="V605" s="46" t="str">
        <f>IFERROR(__xludf.DUMMYFUNCTION("""COMPUTED_VALUE"""),"Medianera")</f>
        <v>Medianera</v>
      </c>
      <c r="W605" s="46"/>
      <c r="X605" s="46">
        <f>IFERROR(__xludf.DUMMYFUNCTION("""COMPUTED_VALUE"""),0.0)</f>
        <v>0</v>
      </c>
      <c r="Y605" s="46" t="str">
        <f>IFERROR(__xludf.DUMMYFUNCTION("""COMPUTED_VALUE"""),"No tiene")</f>
        <v>No tiene</v>
      </c>
      <c r="Z605" s="90" t="str">
        <f>IFERROR(__xludf.DUMMYFUNCTION("""COMPUTED_VALUE"""),"No aplica")</f>
        <v>No aplica</v>
      </c>
      <c r="AA605" s="33" t="str">
        <f>IFERROR(__xludf.DUMMYFUNCTION("""COMPUTED_VALUE"""),"No aplica")</f>
        <v>No aplica</v>
      </c>
      <c r="AB605" s="144" t="str">
        <f>IFERROR(__xludf.DUMMYFUNCTION("""COMPUTED_VALUE"""),"https://photos.app.goo.gl/TALfxmABfxfFnYte6")</f>
        <v>https://photos.app.goo.gl/TALfxmABfxfFnYte6</v>
      </c>
      <c r="AC605" s="46"/>
      <c r="AD605" s="46"/>
      <c r="AE605" s="46"/>
      <c r="AF605" s="46" t="str">
        <f>IFERROR(__xludf.DUMMYFUNCTION("""COMPUTED_VALUE"""),"básica")</f>
        <v>básica</v>
      </c>
      <c r="AG605" s="46"/>
      <c r="AH605" s="46" t="str">
        <f>IFERROR(__xludf.DUMMYFUNCTION("""COMPUTED_VALUE"""),"Aliado")</f>
        <v>Aliado</v>
      </c>
      <c r="AI605" s="92" t="str">
        <f>IFERROR(__xludf.DUMMYFUNCTION("""COMPUTED_VALUE"""),"https://lh3.googleusercontent.com/pw/AP1GczPvRZgXGVvq1CLka4o2zdKtsh6ofGaSUYHmuT8QUqJxNKe7bpmClCripg5ya-iBHMm_7DvdZFFMtTfNHkS729cN1ccz-Nn36TYZqOZQIbr51JkJG5Z1=w1200|https://lh3.googleusercontent.com/pw/AP1GczPztoVGoheMynF27nqZyfIn-EsDfayQ1PoE0QYuKYWR-jEYXl"&amp;"5FaEE7NsUwazMYeJ4OJiinQgzIU1jmmU9N3mDbi_UPljwcCWfXKhyXAZEdPQHwfEow=w1200|https://lh3.googleusercontent.com/pw/AP1GczPvcFABnDOQB2Jza13KnYRFaS55PgNwwqEWxJp7ItCKDIP0KD8qQGDUj9ndPluf6UoxBMNSTJRGg1lAnsFzmzZeYlPvh85oaqG6PNQ62EqYN7bQJZ5A=w1200|https://lh3.google"&amp;"usercontent.com/pw/AP1GczOYd3fQS_6RQuEqCUHE5g7iR-qyRld8GwZn7VxjLqR8wXhCouhOgcfS53PzJLk4ZCP0PxsiyejrlJiywzbr0MImrBXCWcpzT9X6ih9f2W9ENWlhqF_D=w1200|https://lh3.googleusercontent.com/pw/AP1GczPio5rYK2AH4U1H_o-CS5__HrfVQxbS7R5rlIuHVsSVVvNcZUnROuD-Kv3Cs3lGtY10"&amp;"qSytuhqIz8IOnuooebWu1q6ZHfoKLJbZRTSKRIz9aEXxF5pN=w1200|https://lh3.googleusercontent.com/pw/AP1GczO57QCRewkN36t8hcM1f39IC6oBqNRn9pnG981xFyRAfCvMeXLD52BlWuM3UQ58_VoYwToDIsrP2ePT6TWkqRA8QywdmwbAXqYzlS4FpVL1iq3VREEc=w1200|https://lh3.googleusercontent.com/pw"&amp;"/AP1GczNI29U_PaQzNgWRJKZrClSy963V8zY7uu43OLpoYvDhBVC45ouFpbv2wTil6MglPc5FVP82m48Cc_g9EaARygmCeW9gCb-5w-f_3Evs6LY0tFO4hIO1=w1200|https://lh3.googleusercontent.com/pw/AP1GczNXVedTs6pdXEzLTK9WbgZpD3WZKtE1BCSCefKRau1BFLNm4jvZkpsbBxF8hMPZzuQK07RrHQIJgz4X2b7fd_"&amp;"06p0-VXaWX8LjjOpgjnFoHr--ToXqP=w1200")</f>
        <v>https://lh3.googleusercontent.com/pw/AP1GczPvRZgXGVvq1CLka4o2zdKtsh6ofGaSUYHmuT8QUqJxNKe7bpmClCripg5ya-iBHMm_7DvdZFFMtTfNHkS729cN1ccz-Nn36TYZqOZQIbr51JkJG5Z1=w1200|https://lh3.googleusercontent.com/pw/AP1GczPztoVGoheMynF27nqZyfIn-EsDfayQ1PoE0QYuKYWR-jEYXl5FaEE7NsUwazMYeJ4OJiinQgzIU1jmmU9N3mDbi_UPljwcCWfXKhyXAZEdPQHwfEow=w1200|https://lh3.googleusercontent.com/pw/AP1GczPvcFABnDOQB2Jza13KnYRFaS55PgNwwqEWxJp7ItCKDIP0KD8qQGDUj9ndPluf6UoxBMNSTJRGg1lAnsFzmzZeYlPvh85oaqG6PNQ62EqYN7bQJZ5A=w1200|https://lh3.googleusercontent.com/pw/AP1GczOYd3fQS_6RQuEqCUHE5g7iR-qyRld8GwZn7VxjLqR8wXhCouhOgcfS53PzJLk4ZCP0PxsiyejrlJiywzbr0MImrBXCWcpzT9X6ih9f2W9ENWlhqF_D=w1200|https://lh3.googleusercontent.com/pw/AP1GczPio5rYK2AH4U1H_o-CS5__HrfVQxbS7R5rlIuHVsSVVvNcZUnROuD-Kv3Cs3lGtY10qSytuhqIz8IOnuooebWu1q6ZHfoKLJbZRTSKRIz9aEXxF5pN=w1200|https://lh3.googleusercontent.com/pw/AP1GczO57QCRewkN36t8hcM1f39IC6oBqNRn9pnG981xFyRAfCvMeXLD52BlWuM3UQ58_VoYwToDIsrP2ePT6TWkqRA8QywdmwbAXqYzlS4FpVL1iq3VREEc=w1200|https://lh3.googleusercontent.com/pw/AP1GczNI29U_PaQzNgWRJKZrClSy963V8zY7uu43OLpoYvDhBVC45ouFpbv2wTil6MglPc5FVP82m48Cc_g9EaARygmCeW9gCb-5w-f_3Evs6LY0tFO4hIO1=w1200|https://lh3.googleusercontent.com/pw/AP1GczNXVedTs6pdXEzLTK9WbgZpD3WZKtE1BCSCefKRau1BFLNm4jvZkpsbBxF8hMPZzuQK07RrHQIJgz4X2b7fd_06p0-VXaWX8LjjOpgjnFoHr--ToXqP=w1200</v>
      </c>
      <c r="AJ605" s="46"/>
      <c r="AK605" s="46"/>
      <c r="AL605" s="46"/>
      <c r="AM605" s="46"/>
      <c r="AN605" s="46"/>
      <c r="AO605" s="46"/>
      <c r="AP605" s="46"/>
      <c r="AQ605" s="46"/>
      <c r="AR605" s="46"/>
      <c r="AS605" s="46"/>
      <c r="AT605" s="46"/>
      <c r="AU605" s="46"/>
      <c r="AV605" s="46"/>
      <c r="AW605" s="46"/>
      <c r="AX605" s="46"/>
      <c r="AY605" s="46"/>
      <c r="AZ605" s="46"/>
      <c r="BA605" s="46"/>
      <c r="BB605" s="46"/>
      <c r="BC605" s="46"/>
      <c r="BD605" s="46"/>
      <c r="BE605" s="46"/>
      <c r="BF605" s="46"/>
      <c r="BG605" s="46"/>
      <c r="BH605" s="46"/>
      <c r="BI605" s="46"/>
      <c r="BJ605" s="46"/>
      <c r="BK605" s="46"/>
      <c r="BL605" s="46"/>
      <c r="BM605" s="46"/>
      <c r="BN605" s="46"/>
      <c r="BO605" s="46"/>
      <c r="BP605" s="46"/>
      <c r="BQ605" s="46"/>
      <c r="BR605" s="46"/>
      <c r="BS605" s="46"/>
      <c r="BT605" s="46"/>
      <c r="BU605" s="46"/>
      <c r="BV605" s="46"/>
      <c r="BW605" s="46"/>
      <c r="BX605" s="46"/>
      <c r="BY605" s="46"/>
      <c r="BZ605" s="46"/>
      <c r="CA605" s="46"/>
      <c r="CB605" s="46"/>
      <c r="CC605" s="46"/>
    </row>
    <row r="606">
      <c r="A606" s="87" t="str">
        <f>IFERROR(__xludf.DUMMYFUNCTION("""COMPUTED_VALUE"""),"449")</f>
        <v>449</v>
      </c>
      <c r="B606" s="46" t="str">
        <f>IFERROR(__xludf.DUMMYFUNCTION("""COMPUTED_VALUE"""),"Casa en el barrio Limonar")</f>
        <v>Casa en el barrio Limonar</v>
      </c>
      <c r="C606" s="46" t="str">
        <f>IFERROR(__xludf.DUMMYFUNCTION("""COMPUTED_VALUE"""),"Casa")</f>
        <v>Casa</v>
      </c>
      <c r="D606" s="46" t="str">
        <f>IFERROR(__xludf.DUMMYFUNCTION("""COMPUTED_VALUE"""),"Limonar")</f>
        <v>Limonar</v>
      </c>
      <c r="E606" s="46"/>
      <c r="F606" s="90">
        <f>IFERROR(__xludf.DUMMYFUNCTION("""COMPUTED_VALUE"""),1.15E8)</f>
        <v>115000000</v>
      </c>
      <c r="G606" s="46" t="str">
        <f>IFERROR(__xludf.DUMMYFUNCTION("""COMPUTED_VALUE"""),"$100'000.000 a $200'000.000")</f>
        <v>$100'000.000 a $200'000.000</v>
      </c>
      <c r="H606" s="46"/>
      <c r="I606" s="46"/>
      <c r="J606" s="46" t="str">
        <f>IFERROR(__xludf.DUMMYFUNCTION("""COMPUTED_VALUE"""),"Sur")</f>
        <v>Sur</v>
      </c>
      <c r="K606" s="87" t="str">
        <f>IFERROR(__xludf.DUMMYFUNCTION("""COMPUTED_VALUE"""),"6")</f>
        <v>6</v>
      </c>
      <c r="L606" s="46">
        <f>IFERROR(__xludf.DUMMYFUNCTION("""COMPUTED_VALUE"""),2.0)</f>
        <v>2</v>
      </c>
      <c r="M606" s="46"/>
      <c r="N606" s="46">
        <f>IFERROR(__xludf.DUMMYFUNCTION("""COMPUTED_VALUE"""),1.0)</f>
        <v>1</v>
      </c>
      <c r="O606" s="46">
        <f>IFERROR(__xludf.DUMMYFUNCTION("""COMPUTED_VALUE"""),1.0)</f>
        <v>1</v>
      </c>
      <c r="P606" s="46">
        <f>IFERROR(__xludf.DUMMYFUNCTION("""COMPUTED_VALUE"""),1.0)</f>
        <v>1</v>
      </c>
      <c r="Q606" s="92">
        <f>IFERROR(__xludf.DUMMYFUNCTION("""COMPUTED_VALUE"""),91.0)</f>
        <v>91</v>
      </c>
      <c r="R606" s="92">
        <f>IFERROR(__xludf.DUMMYFUNCTION("""COMPUTED_VALUE"""),91.0)</f>
        <v>91</v>
      </c>
      <c r="S606" s="87" t="str">
        <f>IFERROR(__xludf.DUMMYFUNCTION("""COMPUTED_VALUE""")," ")</f>
        <v> </v>
      </c>
      <c r="T606" s="46" t="str">
        <f>IFERROR(__xludf.DUMMYFUNCTION("""COMPUTED_VALUE"""),"Neiva")</f>
        <v>Neiva</v>
      </c>
      <c r="U606" s="87" t="str">
        <f>IFERROR(__xludf.DUMMYFUNCTION("""COMPUTED_VALUE"""),"2")</f>
        <v>2</v>
      </c>
      <c r="V606" s="46" t="str">
        <f>IFERROR(__xludf.DUMMYFUNCTION("""COMPUTED_VALUE"""),"Medianera")</f>
        <v>Medianera</v>
      </c>
      <c r="W606" s="46"/>
      <c r="X606" s="46">
        <f>IFERROR(__xludf.DUMMYFUNCTION("""COMPUTED_VALUE"""),0.0)</f>
        <v>0</v>
      </c>
      <c r="Y606" s="46"/>
      <c r="Z606" s="90" t="str">
        <f>IFERROR(__xludf.DUMMYFUNCTION("""COMPUTED_VALUE"""),"No aplica")</f>
        <v>No aplica</v>
      </c>
      <c r="AA606" s="33" t="str">
        <f>IFERROR(__xludf.DUMMYFUNCTION("""COMPUTED_VALUE"""),"No aplica")</f>
        <v>No aplica</v>
      </c>
      <c r="AB606" s="96" t="str">
        <f>IFERROR(__xludf.DUMMYFUNCTION("""COMPUTED_VALUE"""),"https://photos.app.goo.gl/qMuba87kZvLGuv9P6")</f>
        <v>https://photos.app.goo.gl/qMuba87kZvLGuv9P6</v>
      </c>
      <c r="AC606" s="46"/>
      <c r="AD606" s="46" t="str">
        <f>IFERROR(__xludf.DUMMYFUNCTION("""COMPUTED_VALUE"""),"Reja exterior, cielo raso en PVC, pisos en tableta")</f>
        <v>Reja exterior, cielo raso en PVC, pisos en tableta</v>
      </c>
      <c r="AE606" s="46"/>
      <c r="AF606" s="46" t="str">
        <f>IFERROR(__xludf.DUMMYFUNCTION("""COMPUTED_VALUE"""),"integral")</f>
        <v>integral</v>
      </c>
      <c r="AG606" s="46"/>
      <c r="AH606" s="46" t="str">
        <f>IFERROR(__xludf.DUMMYFUNCTION("""COMPUTED_VALUE"""),"Aliado")</f>
        <v>Aliado</v>
      </c>
      <c r="AI606" s="92" t="str">
        <f>IFERROR(__xludf.DUMMYFUNCTION("""COMPUTED_VALUE"""),"https://lh3.googleusercontent.com/pw/AP1GczPjpissvfrglQMA1MeVXsh5oj3AS9Qpr1E5WOuQvsTa73iURVQfoL_MaibMZqBBtlIAYBD-2tsoFz8C9We0sCU9QHZh0bqIOGXY7zE3a7NoLRJCxHUO=w1200|https://lh3.googleusercontent.com/pw/AP1GczM7XGuFzo_zTfF5PSpnxu8eYbNid4tHHQgmZyzQxH7i56OQK4"&amp;"-cxNV9-8OmcbfPwA5c5tSYSjT1IzD7Pp7outOr9Nnjv-Rfn5tOgdGCvW1Vgy-OSFoW=w1200|https://lh3.googleusercontent.com/pw/AP1GczOaQcg7DxWTc36wHFLFWPsp7fPOrRmIkvzlNqaWFowj-fZazVxZC1G-tVyJPHcH9q9lhwnGNOEXtccMqZh7rEIQ4pgVhfzkIKNYoIjMfDzDncqpXDWc=w1200|https://lh3.google"&amp;"usercontent.com/pw/AP1GczOzJXzJv9UpE9-l8Ti5NCzFgwDW8cJPorKYvazqZllEgwai8qAWLaNh5R8YPSBk5Il3-HF_sViPohH60FnixP-AE4uzuCptJW8_UJXlkIpntXdD54-4=w1200|https://lh3.googleusercontent.com/pw/AP1GczOZahyD9lEgrEXjuDOOk5gZWUpwx5Mglg_D58uNX5ZXPS6lPMovgKjPJ3F-Q8USUC98"&amp;"fKZkV55x61BdjFSHgR8yJmrEZNy0PGzoQTPHDM-RcXf4KMLA=w1200|https://lh3.googleusercontent.com/pw/AP1GczMCVa-ZuQLgzKQP2p34AI9icKYPPmBi_GdEu50BYhgoIMJz8jc1oF5MuNhNRHPrOz2BjrZQ8L6MA60I5SKRbwFwTHMmg8SyEbCT3v46V2iG22GfsiQm=w1200")</f>
        <v>https://lh3.googleusercontent.com/pw/AP1GczPjpissvfrglQMA1MeVXsh5oj3AS9Qpr1E5WOuQvsTa73iURVQfoL_MaibMZqBBtlIAYBD-2tsoFz8C9We0sCU9QHZh0bqIOGXY7zE3a7NoLRJCxHUO=w1200|https://lh3.googleusercontent.com/pw/AP1GczM7XGuFzo_zTfF5PSpnxu8eYbNid4tHHQgmZyzQxH7i56OQK4-cxNV9-8OmcbfPwA5c5tSYSjT1IzD7Pp7outOr9Nnjv-Rfn5tOgdGCvW1Vgy-OSFoW=w1200|https://lh3.googleusercontent.com/pw/AP1GczOaQcg7DxWTc36wHFLFWPsp7fPOrRmIkvzlNqaWFowj-fZazVxZC1G-tVyJPHcH9q9lhwnGNOEXtccMqZh7rEIQ4pgVhfzkIKNYoIjMfDzDncqpXDWc=w1200|https://lh3.googleusercontent.com/pw/AP1GczOzJXzJv9UpE9-l8Ti5NCzFgwDW8cJPorKYvazqZllEgwai8qAWLaNh5R8YPSBk5Il3-HF_sViPohH60FnixP-AE4uzuCptJW8_UJXlkIpntXdD54-4=w1200|https://lh3.googleusercontent.com/pw/AP1GczOZahyD9lEgrEXjuDOOk5gZWUpwx5Mglg_D58uNX5ZXPS6lPMovgKjPJ3F-Q8USUC98fKZkV55x61BdjFSHgR8yJmrEZNy0PGzoQTPHDM-RcXf4KMLA=w1200|https://lh3.googleusercontent.com/pw/AP1GczMCVa-ZuQLgzKQP2p34AI9icKYPPmBi_GdEu50BYhgoIMJz8jc1oF5MuNhNRHPrOz2BjrZQ8L6MA60I5SKRbwFwTHMmg8SyEbCT3v46V2iG22GfsiQm=w1200</v>
      </c>
      <c r="AJ606" s="46"/>
      <c r="AK606" s="46"/>
      <c r="AL606" s="46"/>
      <c r="AM606" s="46"/>
      <c r="AN606" s="46"/>
      <c r="AO606" s="46"/>
      <c r="AP606" s="46"/>
      <c r="AQ606" s="46"/>
      <c r="AR606" s="46"/>
      <c r="AS606" s="46"/>
      <c r="AT606" s="46"/>
      <c r="AU606" s="46"/>
      <c r="AV606" s="46"/>
      <c r="AW606" s="46"/>
      <c r="AX606" s="46"/>
      <c r="AY606" s="46"/>
      <c r="AZ606" s="46"/>
      <c r="BA606" s="46"/>
      <c r="BB606" s="46"/>
      <c r="BC606" s="46"/>
      <c r="BD606" s="46"/>
      <c r="BE606" s="46"/>
      <c r="BF606" s="46"/>
      <c r="BG606" s="46"/>
      <c r="BH606" s="46"/>
      <c r="BI606" s="46"/>
      <c r="BJ606" s="46"/>
      <c r="BK606" s="46"/>
      <c r="BL606" s="46"/>
      <c r="BM606" s="46"/>
      <c r="BN606" s="46"/>
      <c r="BO606" s="46"/>
      <c r="BP606" s="46"/>
      <c r="BQ606" s="46"/>
      <c r="BR606" s="46"/>
      <c r="BS606" s="46"/>
      <c r="BT606" s="46"/>
      <c r="BU606" s="46"/>
      <c r="BV606" s="46"/>
      <c r="BW606" s="46"/>
      <c r="BX606" s="46"/>
      <c r="BY606" s="46"/>
      <c r="BZ606" s="46"/>
      <c r="CA606" s="46"/>
      <c r="CB606" s="46"/>
      <c r="CC606" s="46"/>
    </row>
    <row r="607">
      <c r="A607" s="87" t="str">
        <f>IFERROR(__xludf.DUMMYFUNCTION("""COMPUTED_VALUE"""),"738")</f>
        <v>738</v>
      </c>
      <c r="B607" s="46" t="str">
        <f>IFERROR(__xludf.DUMMYFUNCTION("""COMPUTED_VALUE"""),"Casa lote - Norte")</f>
        <v>Casa lote - Norte</v>
      </c>
      <c r="C607" s="46" t="str">
        <f>IFERROR(__xludf.DUMMYFUNCTION("""COMPUTED_VALUE"""),"Casa lote")</f>
        <v>Casa lote</v>
      </c>
      <c r="D607" s="46"/>
      <c r="E607" s="90"/>
      <c r="F607" s="90">
        <f>IFERROR(__xludf.DUMMYFUNCTION("""COMPUTED_VALUE"""),1.04E8)</f>
        <v>104000000</v>
      </c>
      <c r="G607" s="46" t="str">
        <f>IFERROR(__xludf.DUMMYFUNCTION("""COMPUTED_VALUE"""),"$100'000.000 a $200'000.000")</f>
        <v>$100'000.000 a $200'000.000</v>
      </c>
      <c r="H607" s="46"/>
      <c r="I607" s="46"/>
      <c r="J607" s="46" t="str">
        <f>IFERROR(__xludf.DUMMYFUNCTION("""COMPUTED_VALUE"""),"Norte")</f>
        <v>Norte</v>
      </c>
      <c r="K607" s="87"/>
      <c r="L607" s="46">
        <f>IFERROR(__xludf.DUMMYFUNCTION("""COMPUTED_VALUE"""),3.0)</f>
        <v>3</v>
      </c>
      <c r="M607" s="46"/>
      <c r="N607" s="46">
        <f>IFERROR(__xludf.DUMMYFUNCTION("""COMPUTED_VALUE"""),1.0)</f>
        <v>1</v>
      </c>
      <c r="O607" s="46">
        <f>IFERROR(__xludf.DUMMYFUNCTION("""COMPUTED_VALUE"""),1.0)</f>
        <v>1</v>
      </c>
      <c r="P607" s="46">
        <f>IFERROR(__xludf.DUMMYFUNCTION("""COMPUTED_VALUE"""),1.0)</f>
        <v>1</v>
      </c>
      <c r="Q607" s="92">
        <f>IFERROR(__xludf.DUMMYFUNCTION("""COMPUTED_VALUE"""),150.0)</f>
        <v>150</v>
      </c>
      <c r="R607" s="92">
        <f>IFERROR(__xludf.DUMMYFUNCTION("""COMPUTED_VALUE"""),450.0)</f>
        <v>450</v>
      </c>
      <c r="S607" s="87" t="str">
        <f>IFERROR(__xludf.DUMMYFUNCTION("""COMPUTED_VALUE""")," ")</f>
        <v> </v>
      </c>
      <c r="T607" s="46" t="str">
        <f>IFERROR(__xludf.DUMMYFUNCTION("""COMPUTED_VALUE"""),"Neiva")</f>
        <v>Neiva</v>
      </c>
      <c r="U607" s="87"/>
      <c r="V607" s="46"/>
      <c r="W607" s="46"/>
      <c r="X607" s="46">
        <f>IFERROR(__xludf.DUMMYFUNCTION("""COMPUTED_VALUE"""),0.0)</f>
        <v>0</v>
      </c>
      <c r="Y607" s="46" t="str">
        <f>IFERROR(__xludf.DUMMYFUNCTION("""COMPUTED_VALUE"""),"No tiene")</f>
        <v>No tiene</v>
      </c>
      <c r="Z607" s="90"/>
      <c r="AA607" s="33" t="str">
        <f>IFERROR(__xludf.DUMMYFUNCTION("""COMPUTED_VALUE"""),"No aplica")</f>
        <v>No aplica</v>
      </c>
      <c r="AB607" s="96" t="str">
        <f>IFERROR(__xludf.DUMMYFUNCTION("""COMPUTED_VALUE"""),"https://photos.app.goo.gl/tZrDt4WKBk2vyeH99")</f>
        <v>https://photos.app.goo.gl/tZrDt4WKBk2vyeH99</v>
      </c>
      <c r="AC607" s="46" t="str">
        <f>IFERROR(__xludf.DUMMYFUNCTION("""COMPUTED_VALUE"""),"Casa lote ubicado con cercanía al río Magdalena.")</f>
        <v>Casa lote ubicado con cercanía al río Magdalena.</v>
      </c>
      <c r="AD607" s="46"/>
      <c r="AE607" s="46"/>
      <c r="AF607" s="46" t="str">
        <f>IFERROR(__xludf.DUMMYFUNCTION("""COMPUTED_VALUE"""),"básica")</f>
        <v>básica</v>
      </c>
      <c r="AG607" s="46"/>
      <c r="AH607" s="46" t="str">
        <f>IFERROR(__xludf.DUMMYFUNCTION("""COMPUTED_VALUE"""),"Aliado")</f>
        <v>Aliado</v>
      </c>
      <c r="AI607" s="92" t="str">
        <f>IFERROR(__xludf.DUMMYFUNCTION("""COMPUTED_VALUE"""),"https://lh3.googleusercontent.com/pw/AP1GczN2a7602LoEbkTNgSMH8IaP3k6hxYNvV073gnImuC5Ip7AqJTDmz1KYi_Gj3qAaXdK5TXeISXkkIsn-3phqHUdozpNIyHJXiyMa1Lz_9KkwfHDWW-oL=w1200|https://lh3.googleusercontent.com/pw/AP1GczO4it7NHcb9qSJZQHIyjowuKAVdFdgV0y3t8lJWBW4btRx_Ag"&amp;"MYlTcOU1L8mIC2D0HyalDlP1bRhyuUnSgBN8qf0648vJrEhnQ9buCXRks7yXLjDmLc=w1200|https://lh3.googleusercontent.com/pw/AP1GczMScpGsPKr-PDjcniWqvcHuMudLX8O_eCFLZg5rLKwTjZuSWBleVQICK6SWJ3zwY8QeOwuhDnCLVlxNfxWgCPwKuKIvLW9ygvNnlkRP6NcUd24YWSO6=w1200|https://lh3.google"&amp;"usercontent.com/pw/AP1GczOs_h_keyvxZb_Axmr_UV1rsRor8Bt8PDUPcqnPjS_dVhC3-xeIYvY_fB9_0532iozFb6sm8FgtTtM3Tpdtm9xTUuUYVj9-aPeAhstyfZu87AEYRS21=w1200|https://lh3.googleusercontent.com/pw/AP1GczO1O_FU12C0Or-ino_bO-WYhgWR_EHNf8JNMj9pue_k4XG9zMCoXNvAUKBB1IS0PNol"&amp;"D3KJh6-RWvxnFMfL6RO5tLRrnAGn75C0noggkRHIF7E-nyPd=w1200|https://lh3.googleusercontent.com/pw/AP1GczOGUd3d-TS4MVB65wPBsDD3TFETzqjK6i25I7dfdinafPx6-WsjsGy2UBl20ZiwPTOGvRvX0eoK-onppY9zUfwJZFpEdUmyA7TwiHiWO-bU6DwumINC=w1200|https://lh3.googleusercontent.com/pw"&amp;"/AP1GczPd7iOnzg78BCafEbvNm4gG7rB-3vboOIGDvv84Fezh7GBZuqaAtOYxLxXvVl0Ni2lGVic9KQqhAM4zh6KQJRfyXLDvxHzVrumDzjk_W4fJPsLjiUjr=w1200|https://lh3.googleusercontent.com/pw/AP1GczPTvLxWZ5YcmnDXEjDtggm5yjzkvq3efJ9RZzoz43AqzP0YWNYwItX6ZgxQAyUvsdFXAX2B4K9lWUdqAKe_iq"&amp;"y7sBNysxgONiOKnSPNbnQLzuvYMTtg=w1200|https://lh3.googleusercontent.com/pw/AP1GczNUteF6d1PWQi5yuS0HBwIEdeRNoF4sAAHqFZYHFpcWBfFFlvWmGaoRLIewVqD3nAGWfaKItBeyWJ4z9JnYa9wm7GenfMxQbiEtQzlctli5z7Qe9igk=w1200|https://lh3.googleusercontent.com/pw/AP1GczOUCu-sJMJHI"&amp;"xAgluGDuTYqCLNuPQEJSXrLKG_qZDyAxV5v_-Xwk0m2JRF3FlwKrcPANU6r6baVkmhxnz5W_cCuX3rWckC08KN70riPaU-tvcHc3W0m=w1200|https://lh3.googleusercontent.com/pw/AP1GczPyDUsIuloRzzO-xIRV0lijqRQaECDooH2phhWoMX_uncxk4DpGpnR_qZDZRQsN6z_vj44PU9R2aPcSgtIzQmvdu6Mkq6f9TNTN_W3t"&amp;"2hvCh-Xq68iu=w1200")</f>
        <v>https://lh3.googleusercontent.com/pw/AP1GczN2a7602LoEbkTNgSMH8IaP3k6hxYNvV073gnImuC5Ip7AqJTDmz1KYi_Gj3qAaXdK5TXeISXkkIsn-3phqHUdozpNIyHJXiyMa1Lz_9KkwfHDWW-oL=w1200|https://lh3.googleusercontent.com/pw/AP1GczO4it7NHcb9qSJZQHIyjowuKAVdFdgV0y3t8lJWBW4btRx_AgMYlTcOU1L8mIC2D0HyalDlP1bRhyuUnSgBN8qf0648vJrEhnQ9buCXRks7yXLjDmLc=w1200|https://lh3.googleusercontent.com/pw/AP1GczMScpGsPKr-PDjcniWqvcHuMudLX8O_eCFLZg5rLKwTjZuSWBleVQICK6SWJ3zwY8QeOwuhDnCLVlxNfxWgCPwKuKIvLW9ygvNnlkRP6NcUd24YWSO6=w1200|https://lh3.googleusercontent.com/pw/AP1GczOs_h_keyvxZb_Axmr_UV1rsRor8Bt8PDUPcqnPjS_dVhC3-xeIYvY_fB9_0532iozFb6sm8FgtTtM3Tpdtm9xTUuUYVj9-aPeAhstyfZu87AEYRS21=w1200|https://lh3.googleusercontent.com/pw/AP1GczO1O_FU12C0Or-ino_bO-WYhgWR_EHNf8JNMj9pue_k4XG9zMCoXNvAUKBB1IS0PNolD3KJh6-RWvxnFMfL6RO5tLRrnAGn75C0noggkRHIF7E-nyPd=w1200|https://lh3.googleusercontent.com/pw/AP1GczOGUd3d-TS4MVB65wPBsDD3TFETzqjK6i25I7dfdinafPx6-WsjsGy2UBl20ZiwPTOGvRvX0eoK-onppY9zUfwJZFpEdUmyA7TwiHiWO-bU6DwumINC=w1200|https://lh3.googleusercontent.com/pw/AP1GczPd7iOnzg78BCafEbvNm4gG7rB-3vboOIGDvv84Fezh7GBZuqaAtOYxLxXvVl0Ni2lGVic9KQqhAM4zh6KQJRfyXLDvxHzVrumDzjk_W4fJPsLjiUjr=w1200|https://lh3.googleusercontent.com/pw/AP1GczPTvLxWZ5YcmnDXEjDtggm5yjzkvq3efJ9RZzoz43AqzP0YWNYwItX6ZgxQAyUvsdFXAX2B4K9lWUdqAKe_iqy7sBNysxgONiOKnSPNbnQLzuvYMTtg=w1200|https://lh3.googleusercontent.com/pw/AP1GczNUteF6d1PWQi5yuS0HBwIEdeRNoF4sAAHqFZYHFpcWBfFFlvWmGaoRLIewVqD3nAGWfaKItBeyWJ4z9JnYa9wm7GenfMxQbiEtQzlctli5z7Qe9igk=w1200|https://lh3.googleusercontent.com/pw/AP1GczOUCu-sJMJHIxAgluGDuTYqCLNuPQEJSXrLKG_qZDyAxV5v_-Xwk0m2JRF3FlwKrcPANU6r6baVkmhxnz5W_cCuX3rWckC08KN70riPaU-tvcHc3W0m=w1200|https://lh3.googleusercontent.com/pw/AP1GczPyDUsIuloRzzO-xIRV0lijqRQaECDooH2phhWoMX_uncxk4DpGpnR_qZDZRQsN6z_vj44PU9R2aPcSgtIzQmvdu6Mkq6f9TNTN_W3t2hvCh-Xq68iu=w1200</v>
      </c>
      <c r="AJ607" s="46"/>
      <c r="AK607" s="46"/>
      <c r="AL607" s="46"/>
      <c r="AM607" s="46"/>
      <c r="AN607" s="46"/>
      <c r="AO607" s="46"/>
      <c r="AP607" s="46"/>
      <c r="AQ607" s="46"/>
      <c r="AR607" s="46"/>
      <c r="AS607" s="46"/>
      <c r="AT607" s="46"/>
      <c r="AU607" s="46"/>
      <c r="AV607" s="46"/>
      <c r="AW607" s="46"/>
      <c r="AX607" s="46"/>
      <c r="AY607" s="46"/>
      <c r="AZ607" s="46"/>
      <c r="BA607" s="46"/>
      <c r="BB607" s="46"/>
      <c r="BC607" s="46"/>
      <c r="BD607" s="46"/>
      <c r="BE607" s="46"/>
      <c r="BF607" s="46"/>
      <c r="BG607" s="46"/>
      <c r="BH607" s="46"/>
      <c r="BI607" s="46"/>
      <c r="BJ607" s="46"/>
      <c r="BK607" s="46"/>
      <c r="BL607" s="46"/>
      <c r="BM607" s="46"/>
      <c r="BN607" s="46"/>
      <c r="BO607" s="46"/>
      <c r="BP607" s="46"/>
      <c r="BQ607" s="46"/>
      <c r="BR607" s="46"/>
      <c r="BS607" s="46"/>
      <c r="BT607" s="46"/>
      <c r="BU607" s="46"/>
      <c r="BV607" s="46"/>
      <c r="BW607" s="46"/>
      <c r="BX607" s="46"/>
      <c r="BY607" s="46"/>
      <c r="BZ607" s="46"/>
      <c r="CA607" s="46"/>
      <c r="CB607" s="46"/>
      <c r="CC607" s="46"/>
    </row>
    <row r="608">
      <c r="A608" s="87" t="str">
        <f>IFERROR(__xludf.DUMMYFUNCTION("""COMPUTED_VALUE"""),"541")</f>
        <v>541</v>
      </c>
      <c r="B608" s="46" t="str">
        <f>IFERROR(__xludf.DUMMYFUNCTION("""COMPUTED_VALUE"""),"Casa en barrio Praderas del Norte")</f>
        <v>Casa en barrio Praderas del Norte</v>
      </c>
      <c r="C608" s="46" t="str">
        <f>IFERROR(__xludf.DUMMYFUNCTION("""COMPUTED_VALUE"""),"Casa")</f>
        <v>Casa</v>
      </c>
      <c r="D608" s="46" t="str">
        <f>IFERROR(__xludf.DUMMYFUNCTION("""COMPUTED_VALUE"""),"Praderas del Norte")</f>
        <v>Praderas del Norte</v>
      </c>
      <c r="E608" s="46"/>
      <c r="F608" s="90">
        <f>IFERROR(__xludf.DUMMYFUNCTION("""COMPUTED_VALUE"""),9.5E7)</f>
        <v>95000000</v>
      </c>
      <c r="G608" s="46" t="str">
        <f>IFERROR(__xludf.DUMMYFUNCTION("""COMPUTED_VALUE"""),"$0 a $100'000.000")</f>
        <v>$0 a $100'000.000</v>
      </c>
      <c r="H608" s="46"/>
      <c r="I608" s="46"/>
      <c r="J608" s="46" t="str">
        <f>IFERROR(__xludf.DUMMYFUNCTION("""COMPUTED_VALUE"""),"Norte")</f>
        <v>Norte</v>
      </c>
      <c r="K608" s="87" t="str">
        <f>IFERROR(__xludf.DUMMYFUNCTION("""COMPUTED_VALUE"""),"9")</f>
        <v>9</v>
      </c>
      <c r="L608" s="46">
        <f>IFERROR(__xludf.DUMMYFUNCTION("""COMPUTED_VALUE"""),3.0)</f>
        <v>3</v>
      </c>
      <c r="M608" s="46"/>
      <c r="N608" s="46">
        <f>IFERROR(__xludf.DUMMYFUNCTION("""COMPUTED_VALUE"""),1.0)</f>
        <v>1</v>
      </c>
      <c r="O608" s="46">
        <f>IFERROR(__xludf.DUMMYFUNCTION("""COMPUTED_VALUE"""),0.0)</f>
        <v>0</v>
      </c>
      <c r="P608" s="46">
        <f>IFERROR(__xludf.DUMMYFUNCTION("""COMPUTED_VALUE"""),1.0)</f>
        <v>1</v>
      </c>
      <c r="Q608" s="92">
        <f>IFERROR(__xludf.DUMMYFUNCTION("""COMPUTED_VALUE"""),72.0)</f>
        <v>72</v>
      </c>
      <c r="R608" s="92">
        <f>IFERROR(__xludf.DUMMYFUNCTION("""COMPUTED_VALUE"""),84.0)</f>
        <v>84</v>
      </c>
      <c r="S608" s="87" t="str">
        <f>IFERROR(__xludf.DUMMYFUNCTION("""COMPUTED_VALUE""")," ")</f>
        <v> </v>
      </c>
      <c r="T608" s="46" t="str">
        <f>IFERROR(__xludf.DUMMYFUNCTION("""COMPUTED_VALUE"""),"Neiva")</f>
        <v>Neiva</v>
      </c>
      <c r="U608" s="87" t="str">
        <f>IFERROR(__xludf.DUMMYFUNCTION("""COMPUTED_VALUE"""),"2")</f>
        <v>2</v>
      </c>
      <c r="V608" s="46" t="str">
        <f>IFERROR(__xludf.DUMMYFUNCTION("""COMPUTED_VALUE"""),"Medianera")</f>
        <v>Medianera</v>
      </c>
      <c r="W608" s="46"/>
      <c r="X608" s="46">
        <f>IFERROR(__xludf.DUMMYFUNCTION("""COMPUTED_VALUE"""),0.0)</f>
        <v>0</v>
      </c>
      <c r="Y608" s="46" t="str">
        <f>IFERROR(__xludf.DUMMYFUNCTION("""COMPUTED_VALUE"""),"No tiene")</f>
        <v>No tiene</v>
      </c>
      <c r="Z608" s="90" t="str">
        <f>IFERROR(__xludf.DUMMYFUNCTION("""COMPUTED_VALUE"""),"No aplica")</f>
        <v>No aplica</v>
      </c>
      <c r="AA608" s="33" t="str">
        <f>IFERROR(__xludf.DUMMYFUNCTION("""COMPUTED_VALUE"""),"No aplica")</f>
        <v>No aplica</v>
      </c>
      <c r="AB608" s="144" t="str">
        <f>IFERROR(__xludf.DUMMYFUNCTION("""COMPUTED_VALUE"""),"https://photos.google.com/share/AF1QipOlbIhMdp6Tg-e0dW2HSdMdKDvtMDBFp8PYE_wbDqfYLJFnJ4aB49_D-eysAdzlEQ?key=T0pwTXNvbVQ3QXMzWmttaWZkbDdETU0zenRwTVNB")</f>
        <v>https://photos.google.com/share/AF1QipOlbIhMdp6Tg-e0dW2HSdMdKDvtMDBFp8PYE_wbDqfYLJFnJ4aB49_D-eysAdzlEQ?key=T0pwTXNvbVQ3QXMzWmttaWZkbDdETU0zenRwTVNB</v>
      </c>
      <c r="AC608" s="46" t="str">
        <f>IFERROR(__xludf.DUMMYFUNCTION("""COMPUTED_VALUE"""),"Piso en cerámica, cielo razo en icopor, con lamparas led de empotrar, área de servicios y baño enchapados, división puerta en acrilico con perfileria metálica.")</f>
        <v>Piso en cerámica, cielo razo en icopor, con lamparas led de empotrar, área de servicios y baño enchapados, división puerta en acrilico con perfileria metálica.</v>
      </c>
      <c r="AD608" s="46" t="str">
        <f>IFERROR(__xludf.DUMMYFUNCTION("""COMPUTED_VALUE"""),"Casa medianera, ubicada sobre vía vehicular.")</f>
        <v>Casa medianera, ubicada sobre vía vehicular.</v>
      </c>
      <c r="AE608" s="46"/>
      <c r="AF608" s="46" t="str">
        <f>IFERROR(__xludf.DUMMYFUNCTION("""COMPUTED_VALUE"""),"básica")</f>
        <v>básica</v>
      </c>
      <c r="AG608" s="46"/>
      <c r="AH608" s="46" t="str">
        <f>IFERROR(__xludf.DUMMYFUNCTION("""COMPUTED_VALUE"""),"Aliado")</f>
        <v>Aliado</v>
      </c>
      <c r="AI608" s="92" t="str">
        <f>IFERROR(__xludf.DUMMYFUNCTION("""COMPUTED_VALUE"""),"https://lh3.googleusercontent.com/pw/AP1GczOi8mdVE5Jo0WD9TV73Nrmm7h4j5-nIjfd-cs8glhWbBSlq2AvcIDBV5wWY0BGSmtbCNQJTKPF4ph9921zdht9C6ZZqgVqR9TDUonegwBPJELI48OeD=w1200|https://lh3.googleusercontent.com/pw/AP1GczNsG21m5TxUWjB363JDQVpxf0YGnQZKMmcnU19PU1aPmpQNqr"&amp;"rAbNNXHRatVD6KTL__MrNMCw2zgl3e1Qx8gsNzYvon6Uc1woys9OehyQvXuV4jJii-=w1200|https://lh3.googleusercontent.com/pw/AP1GczPnR9t2UoxZkJ6KBqMzSGqr_EfOxjd2bfSL8cfBkW-nP1Jas_k5KndIY_cjM1136o0i1miQwjqPo_fegmxKeFe_Z_JFuWED9EEN0rLnfmRO1DUxLAAE=w1200|https://lh3.google"&amp;"usercontent.com/pw/AP1GczNfEa0RpAXaOpXDK-FjpwzXNtulqixnm6-xbxoByKHNycipXfG5wt7AVqWiTyyGmB8BLXVG9m8SlHd-4yg6-u-dO_mUpOj6S5GCEoIw5jyE03YdZCBQ=w1200|https://lh3.googleusercontent.com/pw/AP1GczOl1ZKKwbPGZF-VAGcUMfEiDuDAwh25xMEFD0qo6s5lwKjfx64nj917xqzNvan5AeK8"&amp;"aS9_8Mj6f6AxkNHXPm_TKP1ZPjkIWRQZt4rfbk6DusEBCWCy=w1200|https://lh3.googleusercontent.com/pw/AP1GczOJoTMeLcoa_Fu1ewFcyhHBn3pSYmLftArVfL29i4xIUibsAkgH500UkyL7VFbUSyNEnCDo2vwWM9-QETM_v4Zn7s9q6xb5OIttLHndBKh2kj2_EZom=w1200|https://lh3.googleusercontent.com/pw"&amp;"/AP1GczOfdZOc1p3r7fj2dhYmrhihXuDJn-HvOvye-l1BYwWVZGwWUeunv9PCWw-MJutkNdXmhC0Be4iDFjcBNTnmczjlIr5EHODUNa8mKo6zfVqcdmwC0kZv=w1200|https://lh3.googleusercontent.com/pw/AP1GczMikSeXV0hNmYFprSdTlSdngSWW53cJv3KZd36DZYF1JbIi5IXGW5QUmuFqEAJ7TqMrXTZ7ushRAw_ihOWDIf"&amp;"N16x-gXaXMYFbCMXN_tdwVhtFkDwr-=w1200|https://lh3.googleusercontent.com/pw/AP1GczP6h0jqqocQ1zfXnvYrRzeDYgQuNUqEkoGuFgUJAJ80JrR0BwgzU5bA7MM6uR7ioB5YgCs1D2gIzjoGSoQB7DVAnUc3gr_Vo2jF58r4hSAHgZFRYAI5=w1200|https://lh3.googleusercontent.com/pw/AP1GczMwVhzBUbe67"&amp;"Zn_jNBDi9rhDWF99cZ1G3MowWAvM-ri7aOPLqkwJgnHmQh1nOuyEfXyAFR0bPAeb9YZP__aln3-bwy9z1n-HhQPe3Ji-0O8JtF3UGVK=w1200")</f>
        <v>https://lh3.googleusercontent.com/pw/AP1GczOi8mdVE5Jo0WD9TV73Nrmm7h4j5-nIjfd-cs8glhWbBSlq2AvcIDBV5wWY0BGSmtbCNQJTKPF4ph9921zdht9C6ZZqgVqR9TDUonegwBPJELI48OeD=w1200|https://lh3.googleusercontent.com/pw/AP1GczNsG21m5TxUWjB363JDQVpxf0YGnQZKMmcnU19PU1aPmpQNqrrAbNNXHRatVD6KTL__MrNMCw2zgl3e1Qx8gsNzYvon6Uc1woys9OehyQvXuV4jJii-=w1200|https://lh3.googleusercontent.com/pw/AP1GczPnR9t2UoxZkJ6KBqMzSGqr_EfOxjd2bfSL8cfBkW-nP1Jas_k5KndIY_cjM1136o0i1miQwjqPo_fegmxKeFe_Z_JFuWED9EEN0rLnfmRO1DUxLAAE=w1200|https://lh3.googleusercontent.com/pw/AP1GczNfEa0RpAXaOpXDK-FjpwzXNtulqixnm6-xbxoByKHNycipXfG5wt7AVqWiTyyGmB8BLXVG9m8SlHd-4yg6-u-dO_mUpOj6S5GCEoIw5jyE03YdZCBQ=w1200|https://lh3.googleusercontent.com/pw/AP1GczOl1ZKKwbPGZF-VAGcUMfEiDuDAwh25xMEFD0qo6s5lwKjfx64nj917xqzNvan5AeK8aS9_8Mj6f6AxkNHXPm_TKP1ZPjkIWRQZt4rfbk6DusEBCWCy=w1200|https://lh3.googleusercontent.com/pw/AP1GczOJoTMeLcoa_Fu1ewFcyhHBn3pSYmLftArVfL29i4xIUibsAkgH500UkyL7VFbUSyNEnCDo2vwWM9-QETM_v4Zn7s9q6xb5OIttLHndBKh2kj2_EZom=w1200|https://lh3.googleusercontent.com/pw/AP1GczOfdZOc1p3r7fj2dhYmrhihXuDJn-HvOvye-l1BYwWVZGwWUeunv9PCWw-MJutkNdXmhC0Be4iDFjcBNTnmczjlIr5EHODUNa8mKo6zfVqcdmwC0kZv=w1200|https://lh3.googleusercontent.com/pw/AP1GczMikSeXV0hNmYFprSdTlSdngSWW53cJv3KZd36DZYF1JbIi5IXGW5QUmuFqEAJ7TqMrXTZ7ushRAw_ihOWDIfN16x-gXaXMYFbCMXN_tdwVhtFkDwr-=w1200|https://lh3.googleusercontent.com/pw/AP1GczP6h0jqqocQ1zfXnvYrRzeDYgQuNUqEkoGuFgUJAJ80JrR0BwgzU5bA7MM6uR7ioB5YgCs1D2gIzjoGSoQB7DVAnUc3gr_Vo2jF58r4hSAHgZFRYAI5=w1200|https://lh3.googleusercontent.com/pw/AP1GczMwVhzBUbe67Zn_jNBDi9rhDWF99cZ1G3MowWAvM-ri7aOPLqkwJgnHmQh1nOuyEfXyAFR0bPAeb9YZP__aln3-bwy9z1n-HhQPe3Ji-0O8JtF3UGVK=w1200</v>
      </c>
      <c r="AJ608" s="46"/>
      <c r="AK608" s="46"/>
      <c r="AL608" s="46"/>
      <c r="AM608" s="46"/>
      <c r="AN608" s="46"/>
      <c r="AO608" s="46"/>
      <c r="AP608" s="46"/>
      <c r="AQ608" s="46"/>
      <c r="AR608" s="46"/>
      <c r="AS608" s="46"/>
      <c r="AT608" s="46"/>
      <c r="AU608" s="46"/>
      <c r="AV608" s="46"/>
      <c r="AW608" s="46"/>
      <c r="AX608" s="46"/>
      <c r="AY608" s="46"/>
      <c r="AZ608" s="46"/>
      <c r="BA608" s="46"/>
      <c r="BB608" s="46"/>
      <c r="BC608" s="46"/>
      <c r="BD608" s="46"/>
      <c r="BE608" s="46"/>
      <c r="BF608" s="46"/>
      <c r="BG608" s="46"/>
      <c r="BH608" s="46"/>
      <c r="BI608" s="46"/>
      <c r="BJ608" s="46"/>
      <c r="BK608" s="46"/>
      <c r="BL608" s="46"/>
      <c r="BM608" s="46"/>
      <c r="BN608" s="46"/>
      <c r="BO608" s="46"/>
      <c r="BP608" s="46"/>
      <c r="BQ608" s="46"/>
      <c r="BR608" s="46"/>
      <c r="BS608" s="46"/>
      <c r="BT608" s="46"/>
      <c r="BU608" s="46"/>
      <c r="BV608" s="46"/>
      <c r="BW608" s="46"/>
      <c r="BX608" s="46"/>
      <c r="BY608" s="46"/>
      <c r="BZ608" s="46"/>
      <c r="CA608" s="46"/>
      <c r="CB608" s="46"/>
      <c r="CC608" s="46"/>
    </row>
    <row r="609">
      <c r="A609" s="87" t="str">
        <f>IFERROR(__xludf.DUMMYFUNCTION("""COMPUTED_VALUE"""),"642")</f>
        <v>642</v>
      </c>
      <c r="B609" s="46" t="str">
        <f>IFERROR(__xludf.DUMMYFUNCTION("""COMPUTED_VALUE"""),"Lote en conjunto Kanan Vda. Los Medios - Rivera")</f>
        <v>Lote en conjunto Kanan Vda. Los Medios - Rivera</v>
      </c>
      <c r="C609" s="46" t="str">
        <f>IFERROR(__xludf.DUMMYFUNCTION("""COMPUTED_VALUE"""),"Lote en conjunto")</f>
        <v>Lote en conjunto</v>
      </c>
      <c r="D609" s="46"/>
      <c r="E609" s="90" t="str">
        <f>IFERROR(__xludf.DUMMYFUNCTION("""COMPUTED_VALUE"""),"Conjunto Kanan")</f>
        <v>Conjunto Kanan</v>
      </c>
      <c r="F609" s="90">
        <f>IFERROR(__xludf.DUMMYFUNCTION("""COMPUTED_VALUE"""),9.0E7)</f>
        <v>90000000</v>
      </c>
      <c r="G609" s="46" t="str">
        <f>IFERROR(__xludf.DUMMYFUNCTION("""COMPUTED_VALUE"""),"$0 a $100'000.000")</f>
        <v>$0 a $100'000.000</v>
      </c>
      <c r="H609" s="46"/>
      <c r="I609" s="46"/>
      <c r="J609" s="46" t="str">
        <f>IFERROR(__xludf.DUMMYFUNCTION("""COMPUTED_VALUE"""),"Sur")</f>
        <v>Sur</v>
      </c>
      <c r="K609" s="87"/>
      <c r="L609" s="46">
        <f>IFERROR(__xludf.DUMMYFUNCTION("""COMPUTED_VALUE"""),0.0)</f>
        <v>0</v>
      </c>
      <c r="M609" s="46"/>
      <c r="N609" s="46">
        <f>IFERROR(__xludf.DUMMYFUNCTION("""COMPUTED_VALUE"""),0.0)</f>
        <v>0</v>
      </c>
      <c r="O609" s="46">
        <f>IFERROR(__xludf.DUMMYFUNCTION("""COMPUTED_VALUE"""),0.0)</f>
        <v>0</v>
      </c>
      <c r="P609" s="46">
        <f>IFERROR(__xludf.DUMMYFUNCTION("""COMPUTED_VALUE"""),0.0)</f>
        <v>0</v>
      </c>
      <c r="Q609" s="92">
        <f>IFERROR(__xludf.DUMMYFUNCTION("""COMPUTED_VALUE"""),0.0)</f>
        <v>0</v>
      </c>
      <c r="R609" s="92">
        <f>IFERROR(__xludf.DUMMYFUNCTION("""COMPUTED_VALUE"""),2300.0)</f>
        <v>2300</v>
      </c>
      <c r="S609" s="87" t="str">
        <f>IFERROR(__xludf.DUMMYFUNCTION("""COMPUTED_VALUE""")," ")</f>
        <v> </v>
      </c>
      <c r="T609" s="46" t="str">
        <f>IFERROR(__xludf.DUMMYFUNCTION("""COMPUTED_VALUE"""),"Rivera")</f>
        <v>Rivera</v>
      </c>
      <c r="U609" s="87"/>
      <c r="V609" s="46" t="str">
        <f>IFERROR(__xludf.DUMMYFUNCTION("""COMPUTED_VALUE"""),"Medianera")</f>
        <v>Medianera</v>
      </c>
      <c r="W609" s="46"/>
      <c r="X609" s="46">
        <f>IFERROR(__xludf.DUMMYFUNCTION("""COMPUTED_VALUE"""),0.0)</f>
        <v>0</v>
      </c>
      <c r="Y609" s="46" t="str">
        <f>IFERROR(__xludf.DUMMYFUNCTION("""COMPUTED_VALUE"""),"No tiene")</f>
        <v>No tiene</v>
      </c>
      <c r="Z609" s="90"/>
      <c r="AA609" s="33" t="str">
        <f>IFERROR(__xludf.DUMMYFUNCTION("""COMPUTED_VALUE"""),"No aplica")</f>
        <v>No aplica</v>
      </c>
      <c r="AB609" s="96" t="str">
        <f>IFERROR(__xludf.DUMMYFUNCTION("""COMPUTED_VALUE"""),"https://photos.app.goo.gl/kpDLaMkzB7hdAdtb6")</f>
        <v>https://photos.app.goo.gl/kpDLaMkzB7hdAdtb6</v>
      </c>
      <c r="AC609" s="46" t="str">
        <f>IFERROR(__xludf.DUMMYFUNCTION("""COMPUTED_VALUE"""),"Conjunto Kanan a 10 minutos de la vía principal. Terreno de alta valorización.")</f>
        <v>Conjunto Kanan a 10 minutos de la vía principal. Terreno de alta valorización.</v>
      </c>
      <c r="AD609" s="46" t="str">
        <f>IFERROR(__xludf.DUMMYFUNCTION("""COMPUTED_VALUE"""),"Área de 2.300 M2. Dimensión 36.0 ml x 64.0 ml.")</f>
        <v>Área de 2.300 M2. Dimensión 36.0 ml x 64.0 ml.</v>
      </c>
      <c r="AE609" s="46"/>
      <c r="AF609" s="46">
        <f>IFERROR(__xludf.DUMMYFUNCTION("""COMPUTED_VALUE"""),0.0)</f>
        <v>0</v>
      </c>
      <c r="AG609" s="46"/>
      <c r="AH609" s="46" t="str">
        <f>IFERROR(__xludf.DUMMYFUNCTION("""COMPUTED_VALUE"""),"Aliado")</f>
        <v>Aliado</v>
      </c>
      <c r="AI609" s="92" t="str">
        <f>IFERROR(__xludf.DUMMYFUNCTION("""COMPUTED_VALUE"""),"https://lh3.googleusercontent.com/pw/AP1GczNJUgVc9WPudqYX9JFmT98BGikbNMiWvQBjN4xDBMJXpXnsXfUWcuPrx8IaMHKhtRtQg8MN544eDtWVNsDlVuck7awPMQLbnb-ERER7mUskOmrRfWT-=w1200|https://lh3.googleusercontent.com/pw/AP1GczOdnFrZ_QQTAF24ZFOV3SVcfpm8-Sbhae2FS8eQMxHqotptty"&amp;"NrYfkGqM2X8wvguU8PUBIr7qwI3--mvvWCKwf0g6ShkyJlrxCfbc4_psAM0m57OuV7=w1200|https://lh3.googleusercontent.com/pw/AP1GczMuWXBjPohi5tfR8-Q6sush-UR26RAK5xxwIpA19VLAVAkp7khmkNRdyGdIGJJoHhUoO72Ra5AQ-r_fZYGdQTUnaFfrnXHXiHZcYKAxUJSo6M9inEPj=w1200|https://lh3.google"&amp;"usercontent.com/pw/AP1GczPal-PqV7d6OYd96FCF6SIMrMrR_FLFgIUyvOu4V-YfBrf6GAetTrCiB1mLopgqE4X7EBZ_UVwhpXCAAmCMl3u4VFKI7zc3d5_oBi18gJdFBJtBnU8D=w1200|https://lh3.googleusercontent.com/pw/AP1GczM3IUOL42sSRj6gIkMO7PaAWaveuvPy1OxEZs2S4cGCt8rOp9o2dUrF6TgaQx45FSJh"&amp;"GZ5W74r4UAZuIhtUs3ccD6ObAzd1chx8GdzJxxs2BD_nUI8X=w1200|https://lh3.googleusercontent.com/pw/AP1GczMmR86YxaQpdXFD5iKw-uFhYDTNx2oBTHsh0UIF6M8OC__gLxKLI2vrqiJhXFvuvwv-Oa_pA-Bm8l47CVbLKdsTNcLHZpD0d_6wvae-ffShakKdiIqg=w1200|https://lh3.googleusercontent.com/pw"&amp;"/AP1GczMzDQTyuu7uqbpuI9yAfVXfhewVM7CfDI6BmKnKgbTfP8TIwzBie1ugHLD8UBQ88FzNsCmrA25Mfghd-dHKEgNIIP1coP-R5K4IYv2mH2l7-etJ68fl=w1200|https://lh3.googleusercontent.com/pw/AP1GczNMMUZZ7BgXZw7y5RMagaZEwVkmFzJjVeJ855cwbeSnrlgTEe_iqxTBAkk2DfJ37fDipglT4nIYm0alRolK8p"&amp;"vXQ_xqU-lJQOAoAkHz4Pqo9TvD9eYk=w1200")</f>
        <v>https://lh3.googleusercontent.com/pw/AP1GczNJUgVc9WPudqYX9JFmT98BGikbNMiWvQBjN4xDBMJXpXnsXfUWcuPrx8IaMHKhtRtQg8MN544eDtWVNsDlVuck7awPMQLbnb-ERER7mUskOmrRfWT-=w1200|https://lh3.googleusercontent.com/pw/AP1GczOdnFrZ_QQTAF24ZFOV3SVcfpm8-Sbhae2FS8eQMxHqotpttyNrYfkGqM2X8wvguU8PUBIr7qwI3--mvvWCKwf0g6ShkyJlrxCfbc4_psAM0m57OuV7=w1200|https://lh3.googleusercontent.com/pw/AP1GczMuWXBjPohi5tfR8-Q6sush-UR26RAK5xxwIpA19VLAVAkp7khmkNRdyGdIGJJoHhUoO72Ra5AQ-r_fZYGdQTUnaFfrnXHXiHZcYKAxUJSo6M9inEPj=w1200|https://lh3.googleusercontent.com/pw/AP1GczPal-PqV7d6OYd96FCF6SIMrMrR_FLFgIUyvOu4V-YfBrf6GAetTrCiB1mLopgqE4X7EBZ_UVwhpXCAAmCMl3u4VFKI7zc3d5_oBi18gJdFBJtBnU8D=w1200|https://lh3.googleusercontent.com/pw/AP1GczM3IUOL42sSRj6gIkMO7PaAWaveuvPy1OxEZs2S4cGCt8rOp9o2dUrF6TgaQx45FSJhGZ5W74r4UAZuIhtUs3ccD6ObAzd1chx8GdzJxxs2BD_nUI8X=w1200|https://lh3.googleusercontent.com/pw/AP1GczMmR86YxaQpdXFD5iKw-uFhYDTNx2oBTHsh0UIF6M8OC__gLxKLI2vrqiJhXFvuvwv-Oa_pA-Bm8l47CVbLKdsTNcLHZpD0d_6wvae-ffShakKdiIqg=w1200|https://lh3.googleusercontent.com/pw/AP1GczMzDQTyuu7uqbpuI9yAfVXfhewVM7CfDI6BmKnKgbTfP8TIwzBie1ugHLD8UBQ88FzNsCmrA25Mfghd-dHKEgNIIP1coP-R5K4IYv2mH2l7-etJ68fl=w1200|https://lh3.googleusercontent.com/pw/AP1GczNMMUZZ7BgXZw7y5RMagaZEwVkmFzJjVeJ855cwbeSnrlgTEe_iqxTBAkk2DfJ37fDipglT4nIYm0alRolK8pvXQ_xqU-lJQOAoAkHz4Pqo9TvD9eYk=w1200</v>
      </c>
      <c r="AJ609" s="46"/>
      <c r="AK609" s="46"/>
      <c r="AL609" s="46"/>
      <c r="AM609" s="46"/>
      <c r="AN609" s="46"/>
      <c r="AO609" s="46"/>
      <c r="AP609" s="46"/>
      <c r="AQ609" s="46"/>
      <c r="AR609" s="46"/>
      <c r="AS609" s="46"/>
      <c r="AT609" s="46"/>
      <c r="AU609" s="46"/>
      <c r="AV609" s="46"/>
      <c r="AW609" s="46"/>
      <c r="AX609" s="46"/>
      <c r="AY609" s="46"/>
      <c r="AZ609" s="46"/>
      <c r="BA609" s="46"/>
      <c r="BB609" s="46"/>
      <c r="BC609" s="46"/>
      <c r="BD609" s="46"/>
      <c r="BE609" s="46"/>
      <c r="BF609" s="46"/>
      <c r="BG609" s="46"/>
      <c r="BH609" s="46"/>
      <c r="BI609" s="46"/>
      <c r="BJ609" s="46"/>
      <c r="BK609" s="46"/>
      <c r="BL609" s="46"/>
      <c r="BM609" s="46"/>
      <c r="BN609" s="46"/>
      <c r="BO609" s="46"/>
      <c r="BP609" s="46"/>
      <c r="BQ609" s="46"/>
      <c r="BR609" s="46"/>
      <c r="BS609" s="46"/>
      <c r="BT609" s="46"/>
      <c r="BU609" s="46"/>
      <c r="BV609" s="46"/>
      <c r="BW609" s="46"/>
      <c r="BX609" s="46"/>
      <c r="BY609" s="46"/>
      <c r="BZ609" s="46"/>
      <c r="CA609" s="46"/>
      <c r="CB609" s="46"/>
      <c r="CC609" s="46"/>
    </row>
    <row r="610">
      <c r="A610" s="46">
        <f>IFERROR(__xludf.DUMMYFUNCTION("""COMPUTED_VALUE"""),844.0)</f>
        <v>844</v>
      </c>
      <c r="B610" s="46" t="str">
        <f>IFERROR(__xludf.DUMMYFUNCTION("""COMPUTED_VALUE"""),"Apartamento en Bosques de San Luis - Sur")</f>
        <v>Apartamento en Bosques de San Luis - Sur</v>
      </c>
      <c r="C610" s="46" t="str">
        <f>IFERROR(__xludf.DUMMYFUNCTION("""COMPUTED_VALUE"""),"Apartamento en conjunto")</f>
        <v>Apartamento en conjunto</v>
      </c>
      <c r="D610" s="46"/>
      <c r="E610" s="46" t="str">
        <f>IFERROR(__xludf.DUMMYFUNCTION("""COMPUTED_VALUE"""),"Bosques de San Luis")</f>
        <v>Bosques de San Luis</v>
      </c>
      <c r="F610" s="90">
        <f>IFERROR(__xludf.DUMMYFUNCTION("""COMPUTED_VALUE"""),8.7E7)</f>
        <v>87000000</v>
      </c>
      <c r="G610" s="46" t="str">
        <f>IFERROR(__xludf.DUMMYFUNCTION("""COMPUTED_VALUE"""),"$0 a $100'000.000")</f>
        <v>$0 a $100'000.000</v>
      </c>
      <c r="H610" s="46"/>
      <c r="I610" s="46"/>
      <c r="J610" s="46" t="str">
        <f>IFERROR(__xludf.DUMMYFUNCTION("""COMPUTED_VALUE"""),"Sur")</f>
        <v>Sur</v>
      </c>
      <c r="K610" s="46">
        <f>IFERROR(__xludf.DUMMYFUNCTION("""COMPUTED_VALUE"""),6.0)</f>
        <v>6</v>
      </c>
      <c r="L610" s="46">
        <f>IFERROR(__xludf.DUMMYFUNCTION("""COMPUTED_VALUE"""),3.0)</f>
        <v>3</v>
      </c>
      <c r="M610" s="46"/>
      <c r="N610" s="46">
        <f>IFERROR(__xludf.DUMMYFUNCTION("""COMPUTED_VALUE"""),2.0)</f>
        <v>2</v>
      </c>
      <c r="O610" s="46">
        <f>IFERROR(__xludf.DUMMYFUNCTION("""COMPUTED_VALUE"""),1.0)</f>
        <v>1</v>
      </c>
      <c r="P610" s="46">
        <f>IFERROR(__xludf.DUMMYFUNCTION("""COMPUTED_VALUE"""),5.0)</f>
        <v>5</v>
      </c>
      <c r="Q610" s="46">
        <f>IFERROR(__xludf.DUMMYFUNCTION("""COMPUTED_VALUE"""),50.81)</f>
        <v>50.81</v>
      </c>
      <c r="R610" s="46">
        <f>IFERROR(__xludf.DUMMYFUNCTION("""COMPUTED_VALUE"""),50.81)</f>
        <v>50.81</v>
      </c>
      <c r="S610" s="46"/>
      <c r="T610" s="46" t="str">
        <f>IFERROR(__xludf.DUMMYFUNCTION("""COMPUTED_VALUE"""),"Neiva")</f>
        <v>Neiva</v>
      </c>
      <c r="U610" s="46">
        <f>IFERROR(__xludf.DUMMYFUNCTION("""COMPUTED_VALUE"""),2.0)</f>
        <v>2</v>
      </c>
      <c r="V610" s="46" t="str">
        <f>IFERROR(__xludf.DUMMYFUNCTION("""COMPUTED_VALUE"""),"5to.")</f>
        <v>5to.</v>
      </c>
      <c r="W610" s="46"/>
      <c r="X610" s="46">
        <f>IFERROR(__xludf.DUMMYFUNCTION("""COMPUTED_VALUE"""),0.0)</f>
        <v>0</v>
      </c>
      <c r="Y610" s="46" t="str">
        <f>IFERROR(__xludf.DUMMYFUNCTION("""COMPUTED_VALUE"""),"No tiene")</f>
        <v>No tiene</v>
      </c>
      <c r="Z610" s="90">
        <f>IFERROR(__xludf.DUMMYFUNCTION("""COMPUTED_VALUE"""),30000.0)</f>
        <v>30000</v>
      </c>
      <c r="AA610" s="33" t="str">
        <f>IFERROR(__xludf.DUMMYFUNCTION("""COMPUTED_VALUE"""),"No aplica")</f>
        <v>No aplica</v>
      </c>
      <c r="AB610" s="96" t="str">
        <f>IFERROR(__xludf.DUMMYFUNCTION("""COMPUTED_VALUE"""),"https://photos.app.goo.gl/AqvzBt2FU4rJzBZ77")</f>
        <v>https://photos.app.goo.gl/AqvzBt2FU4rJzBZ77</v>
      </c>
      <c r="AC610" s="46" t="str">
        <f>IFERROR(__xludf.DUMMYFUNCTION("""COMPUTED_VALUE"""),"Se vende apartamento en conjunto Bosques de San Luis, al sur de Neiva, el apartamento esta en el 5to piso, cuenta con 2 habitaciones y un estudio que podria adaptarse para una 3ra habitación.")</f>
        <v>Se vende apartamento en conjunto Bosques de San Luis, al sur de Neiva, el apartamento esta en el 5to piso, cuenta con 2 habitaciones y un estudio que podria adaptarse para una 3ra habitación.</v>
      </c>
      <c r="AD610" s="46"/>
      <c r="AE610" s="46"/>
      <c r="AF610" s="46" t="str">
        <f>IFERROR(__xludf.DUMMYFUNCTION("""COMPUTED_VALUE"""),"básica")</f>
        <v>básica</v>
      </c>
      <c r="AG610" s="46"/>
      <c r="AH610" s="46" t="str">
        <f>IFERROR(__xludf.DUMMYFUNCTION("""COMPUTED_VALUE"""),"Aliado")</f>
        <v>Aliado</v>
      </c>
      <c r="AI610" s="46" t="str">
        <f>IFERROR(__xludf.DUMMYFUNCTION("""COMPUTED_VALUE"""),"https://lh3.googleusercontent.com/pw/AP1GczMC-esvTg6vHy_mb_QslzXWH2538_LH7tbYMec_ourYsogKECy_Vwuj1pcImXB4VJwAPXrHfj2qvncWdQNNjT3UNIDuBT59--S75qmYO2NpX-Tv9Ti5=w1200|https://lh3.googleusercontent.com/pw/AP1GczNq6ggQEP8-4__Jk4F1olv0rZeqEcd0YmLwb3l38hbuTlJ_nQ"&amp;"V_B7k9gmd0cAt9jGMpWY8Pv1t0tyrJGbYFytU9pTfQ3RlXheQS4i8EsUYgE5Fth5_u=w1200|https://lh3.googleusercontent.com/pw/AP1GczMMCkQhsTc-8mUXib0zQw7CtiqY4RBPScdTo5CEQnWWXEWE3OO6nLJwyNB3nuDTYPx_MsA-S4djzQ0no_cPr0VMidxIm5B4BOffD_0GFLlORTZJok5J=w1200|https://lh3.google"&amp;"usercontent.com/pw/AP1GczMwyhUOMfXuSjFsdYk2Z9nz2DPrAm5qS2qnALLxfVfW1vty5QGLwoHY0F4BiioEwe0HohjY6Om5QcdHIFPR2kTICM6O6efE1vqtoBn7DyLnj2lTluqj=w1200|https://lh3.googleusercontent.com/pw/AP1GczPwThU5qOknF93OZ1V-_73g721ZFUFrXhyAMYiGDgJ7QLCdeermiYgdQC9RzuS9hX8x"&amp;"jtMpAn-rHp0tZR6kxU7Whf4tRegwFCf3OZtBxD1pxZq-sfSB=w1200|https://lh3.googleusercontent.com/pw/AP1GczOna-qkguCwP1_ShwSldWk7LPP8HFqmUlx5uAUqv-QnkHuXwksj3Pyb9faL0TGk_5voB_KhKwpDBbB_eFtPqr4lk9kjRU6P7II1xmLgyHWSzjBElg95=w1200|https://lh3.googleusercontent.com/pw"&amp;"/AP1GczNWAVTWbaVNks4zqX6jqHrO9FkQLvYGYcNvhb5esnnWj2QNbqoDf3ibnjsFLYWnwle7MMZabN6xl-87bnvFheAog7fDKtxlBPZi0lgjA_F2HL816idd=w1200")</f>
        <v>https://lh3.googleusercontent.com/pw/AP1GczMC-esvTg6vHy_mb_QslzXWH2538_LH7tbYMec_ourYsogKECy_Vwuj1pcImXB4VJwAPXrHfj2qvncWdQNNjT3UNIDuBT59--S75qmYO2NpX-Tv9Ti5=w1200|https://lh3.googleusercontent.com/pw/AP1GczNq6ggQEP8-4__Jk4F1olv0rZeqEcd0YmLwb3l38hbuTlJ_nQV_B7k9gmd0cAt9jGMpWY8Pv1t0tyrJGbYFytU9pTfQ3RlXheQS4i8EsUYgE5Fth5_u=w1200|https://lh3.googleusercontent.com/pw/AP1GczMMCkQhsTc-8mUXib0zQw7CtiqY4RBPScdTo5CEQnWWXEWE3OO6nLJwyNB3nuDTYPx_MsA-S4djzQ0no_cPr0VMidxIm5B4BOffD_0GFLlORTZJok5J=w1200|https://lh3.googleusercontent.com/pw/AP1GczMwyhUOMfXuSjFsdYk2Z9nz2DPrAm5qS2qnALLxfVfW1vty5QGLwoHY0F4BiioEwe0HohjY6Om5QcdHIFPR2kTICM6O6efE1vqtoBn7DyLnj2lTluqj=w1200|https://lh3.googleusercontent.com/pw/AP1GczPwThU5qOknF93OZ1V-_73g721ZFUFrXhyAMYiGDgJ7QLCdeermiYgdQC9RzuS9hX8xjtMpAn-rHp0tZR6kxU7Whf4tRegwFCf3OZtBxD1pxZq-sfSB=w1200|https://lh3.googleusercontent.com/pw/AP1GczOna-qkguCwP1_ShwSldWk7LPP8HFqmUlx5uAUqv-QnkHuXwksj3Pyb9faL0TGk_5voB_KhKwpDBbB_eFtPqr4lk9kjRU6P7II1xmLgyHWSzjBElg95=w1200|https://lh3.googleusercontent.com/pw/AP1GczNWAVTWbaVNks4zqX6jqHrO9FkQLvYGYcNvhb5esnnWj2QNbqoDf3ibnjsFLYWnwle7MMZabN6xl-87bnvFheAog7fDKtxlBPZi0lgjA_F2HL816idd=w1200</v>
      </c>
      <c r="AJ610" s="46"/>
      <c r="AK610" s="46"/>
      <c r="AL610" s="46"/>
      <c r="AM610" s="46"/>
      <c r="AN610" s="46"/>
      <c r="AO610" s="46"/>
      <c r="AP610" s="46"/>
      <c r="AQ610" s="46"/>
      <c r="AR610" s="46"/>
      <c r="AS610" s="46"/>
      <c r="AT610" s="46"/>
      <c r="AU610" s="46"/>
      <c r="AV610" s="46"/>
      <c r="AW610" s="46"/>
      <c r="AX610" s="46"/>
      <c r="AY610" s="46"/>
      <c r="AZ610" s="46"/>
      <c r="BA610" s="46"/>
      <c r="BB610" s="46"/>
      <c r="BC610" s="46"/>
      <c r="BD610" s="46"/>
      <c r="BE610" s="46"/>
      <c r="BF610" s="46"/>
      <c r="BG610" s="46"/>
      <c r="BH610" s="46"/>
      <c r="BI610" s="46"/>
      <c r="BJ610" s="46"/>
      <c r="BK610" s="46"/>
      <c r="BL610" s="46"/>
      <c r="BM610" s="46"/>
      <c r="BN610" s="46"/>
      <c r="BO610" s="46"/>
      <c r="BP610" s="46"/>
      <c r="BQ610" s="46"/>
      <c r="BR610" s="46"/>
      <c r="BS610" s="46"/>
      <c r="BT610" s="46"/>
      <c r="BU610" s="46"/>
      <c r="BV610" s="46"/>
      <c r="BW610" s="46"/>
      <c r="BX610" s="46"/>
      <c r="BY610" s="46"/>
      <c r="BZ610" s="46"/>
      <c r="CA610" s="46"/>
      <c r="CB610" s="46"/>
      <c r="CC610" s="46"/>
    </row>
    <row r="611">
      <c r="A611" s="87" t="str">
        <f>IFERROR(__xludf.DUMMYFUNCTION("""COMPUTED_VALUE"""),"739")</f>
        <v>739</v>
      </c>
      <c r="B611" s="46" t="str">
        <f>IFERROR(__xludf.DUMMYFUNCTION("""COMPUTED_VALUE"""),"Lote campestre en conjunto Condominio Campestre Valle Grande - Sur - Palermo")</f>
        <v>Lote campestre en conjunto Condominio Campestre Valle Grande - Sur - Palermo</v>
      </c>
      <c r="C611" s="46" t="str">
        <f>IFERROR(__xludf.DUMMYFUNCTION("""COMPUTED_VALUE"""),"Lote  campestre en conjunto")</f>
        <v>Lote  campestre en conjunto</v>
      </c>
      <c r="D611" s="46"/>
      <c r="E611" s="90" t="str">
        <f>IFERROR(__xludf.DUMMYFUNCTION("""COMPUTED_VALUE"""),"Conjunto Condominio Valle Grande")</f>
        <v>Conjunto Condominio Valle Grande</v>
      </c>
      <c r="F611" s="90">
        <f>IFERROR(__xludf.DUMMYFUNCTION("""COMPUTED_VALUE"""),6.5E7)</f>
        <v>65000000</v>
      </c>
      <c r="G611" s="46" t="str">
        <f>IFERROR(__xludf.DUMMYFUNCTION("""COMPUTED_VALUE"""),"$0 a $100'000.000")</f>
        <v>$0 a $100'000.000</v>
      </c>
      <c r="H611" s="46"/>
      <c r="I611" s="46"/>
      <c r="J611" s="46" t="str">
        <f>IFERROR(__xludf.DUMMYFUNCTION("""COMPUTED_VALUE"""),"Sur")</f>
        <v>Sur</v>
      </c>
      <c r="K611" s="87"/>
      <c r="L611" s="46">
        <f>IFERROR(__xludf.DUMMYFUNCTION("""COMPUTED_VALUE"""),0.0)</f>
        <v>0</v>
      </c>
      <c r="M611" s="46"/>
      <c r="N611" s="46">
        <f>IFERROR(__xludf.DUMMYFUNCTION("""COMPUTED_VALUE"""),0.0)</f>
        <v>0</v>
      </c>
      <c r="O611" s="46">
        <f>IFERROR(__xludf.DUMMYFUNCTION("""COMPUTED_VALUE"""),0.0)</f>
        <v>0</v>
      </c>
      <c r="P611" s="46">
        <f>IFERROR(__xludf.DUMMYFUNCTION("""COMPUTED_VALUE"""),0.0)</f>
        <v>0</v>
      </c>
      <c r="Q611" s="92">
        <f>IFERROR(__xludf.DUMMYFUNCTION("""COMPUTED_VALUE"""),0.0)</f>
        <v>0</v>
      </c>
      <c r="R611" s="92">
        <f>IFERROR(__xludf.DUMMYFUNCTION("""COMPUTED_VALUE"""),400.0)</f>
        <v>400</v>
      </c>
      <c r="S611" s="87" t="str">
        <f>IFERROR(__xludf.DUMMYFUNCTION("""COMPUTED_VALUE""")," ")</f>
        <v> </v>
      </c>
      <c r="T611" s="46" t="str">
        <f>IFERROR(__xludf.DUMMYFUNCTION("""COMPUTED_VALUE"""),"Juncal")</f>
        <v>Juncal</v>
      </c>
      <c r="U611" s="87"/>
      <c r="V611" s="46" t="str">
        <f>IFERROR(__xludf.DUMMYFUNCTION("""COMPUTED_VALUE"""),"Medianera")</f>
        <v>Medianera</v>
      </c>
      <c r="W611" s="46"/>
      <c r="X611" s="46">
        <f>IFERROR(__xludf.DUMMYFUNCTION("""COMPUTED_VALUE"""),0.0)</f>
        <v>0</v>
      </c>
      <c r="Y611" s="46" t="str">
        <f>IFERROR(__xludf.DUMMYFUNCTION("""COMPUTED_VALUE"""),"Social")</f>
        <v>Social</v>
      </c>
      <c r="Z611" s="90"/>
      <c r="AA611" s="33" t="str">
        <f>IFERROR(__xludf.DUMMYFUNCTION("""COMPUTED_VALUE"""),"No aplica")</f>
        <v>No aplica</v>
      </c>
      <c r="AB611" s="96" t="str">
        <f>IFERROR(__xludf.DUMMYFUNCTION("""COMPUTED_VALUE"""),"https://photos.app.goo.gl/DiXtovCaoiD77WHT7")</f>
        <v>https://photos.app.goo.gl/DiXtovCaoiD77WHT7</v>
      </c>
      <c r="AC611" s="46" t="str">
        <f>IFERROR(__xludf.DUMMYFUNCTION("""COMPUTED_VALUE"""),"Área de 400m2. A 2 Km vía el Juncal. Ubicado frente a la vía Nacional. Con servicio de agua, energía y gas domiciliario. Conjunto cuenta con: Piscina. Capilla. Polideportivo. Cancha de Tenis. Vigilancia Privada.")</f>
        <v>Área de 400m2. A 2 Km vía el Juncal. Ubicado frente a la vía Nacional. Con servicio de agua, energía y gas domiciliario. Conjunto cuenta con: Piscina. Capilla. Polideportivo. Cancha de Tenis. Vigilancia Privada.</v>
      </c>
      <c r="AD611" s="46" t="str">
        <f>IFERROR(__xludf.DUMMYFUNCTION("""COMPUTED_VALUE"""),"Conjunto bien ubicado.")</f>
        <v>Conjunto bien ubicado.</v>
      </c>
      <c r="AE611" s="46"/>
      <c r="AF611" s="46">
        <f>IFERROR(__xludf.DUMMYFUNCTION("""COMPUTED_VALUE"""),0.0)</f>
        <v>0</v>
      </c>
      <c r="AG611" s="46"/>
      <c r="AH611" s="46" t="str">
        <f>IFERROR(__xludf.DUMMYFUNCTION("""COMPUTED_VALUE"""),"Aliado")</f>
        <v>Aliado</v>
      </c>
      <c r="AI611" s="92" t="str">
        <f>IFERROR(__xludf.DUMMYFUNCTION("""COMPUTED_VALUE"""),"https://lh3.googleusercontent.com/pw/AP1GczOR5utyfUlFUCZvqcS-8-6zW3MFwwxGZaCmVFb5GotKZkzCyZvE1QHW26wq9M88JdvNA2f_XGVGcSnkFSFKoWgwjGp1jxGwKDgWqoncH_Qk_38Z74ja=w1200|https://lh3.googleusercontent.com/pw/AP1GczPiSCI1GIWlp_frAljy66TDVITfRjtSBxB0FKF6_L3WdE3C6Q"&amp;"0h3EEI6pIYWHa_ozhyEs5PzNmxhdd7Xu-uUvr5pTwf3Cnfd9kfVqWLNftAcmpKZbnd=w1200|https://lh3.googleusercontent.com/pw/AP1GczMDPCR480c47utnICs2QRdT8hqDfNL23ktVuGAz5FweSCsQgtEnhtl94htAPI2DM12ppzm5WDsxthGybrgfbt1FmFIbC7FLntfyAIXxC57uvjLm6KFl=w1200|https://lh3.google"&amp;"usercontent.com/pw/AP1GczNq730vvWzPQOQ5zDf_aKxRVLsxT2EHSrr65lYwXxUFUHBID3Gmk-2qdmtMRq9Sku8O0IQUE6gjbcsXMPG-SOQV3C4Q2Q_kusBfYSScW5peszsxGhbv=w1200|https://lh3.googleusercontent.com/pw/AP1GczMgw4c5HHA7lAmnpdCp59nV3QcOoFaOFyGaNJRFCc3MTYuyhkEF3kd9Z_NWaQO9os0h"&amp;"GxVGSTZIKG_SQftqQTYXAXyRV3P4mpsFOjOljm6V33w7OrvY=w1200|https://lh3.googleusercontent.com/pw/AP1GczNrC87zEpG4CPuKzwsTWDIuKC24ka9FfAYbbWyFtoANfSRzcxswZJ7iOwMnr2bn0SoH-U6P8JwlydGrX7Zx-Fnz0aVtggkU8BmMNYUpBqoLeJ9heJcq=w1200|https://lh3.googleusercontent.com/pw"&amp;"/AP1GczPlwXZObaBsUTMFwPyK7agTRGCQkHAVSHPfvjnkPfR2ucVuVn87JnBRRVdMibc6NlGLqDT2qUs7YaJQRFx7RTSe0T5ckRgsUmCgMxd09cls-YA_AWVl=w1200|https://lh3.googleusercontent.com/pw/AP1GczOSmzFk84nIVj4Tv3r-PChkUms6Yk1Inb98JRSb7PH9jng3iRWHXrWBayPKWczFdNZZJP3cw2nO0TTv8EqxGk"&amp;"MVMug-NP2o-PokZKuBh8FphcmBE_xt=w1200|https://lh3.googleusercontent.com/pw/AP1GczOA3E_I9lMOWpd55VxXJJWudtE_SzHhOdctakhYj08Iuu9xQDDhoPu8PscxEYvjqI1WzKAzCUYOnwCH9irO5vUKHet_EjJ4cRF7Xa9C1NVKGYZR9jUI=w1200|https://lh3.googleusercontent.com/pw/AP1GczO6GT0Xi1bfc"&amp;"fRbwegzSNuh1l1gBY0xLh3L5-B8_PqVWZCw1BEVnsdmNluZnpiAWEkHjsEiqON5DHShaHasQqSIQJs4A8r9zz5I75qoNhkbRug_Inr9=w1200|https://lh3.googleusercontent.com/pw/AP1GczOQAGhqAX4KC1FsrbdN1fC0F3dPiWdgyKOjrlSrPREK8375frVq44SaFeyc0CB-43ARgG0nFqWSHiGe99nIwTmYlvLa7mh9h7Wp4HI9"&amp;"-dqX5Kx2Xmaf=w1200")</f>
        <v>https://lh3.googleusercontent.com/pw/AP1GczOR5utyfUlFUCZvqcS-8-6zW3MFwwxGZaCmVFb5GotKZkzCyZvE1QHW26wq9M88JdvNA2f_XGVGcSnkFSFKoWgwjGp1jxGwKDgWqoncH_Qk_38Z74ja=w1200|https://lh3.googleusercontent.com/pw/AP1GczPiSCI1GIWlp_frAljy66TDVITfRjtSBxB0FKF6_L3WdE3C6Q0h3EEI6pIYWHa_ozhyEs5PzNmxhdd7Xu-uUvr5pTwf3Cnfd9kfVqWLNftAcmpKZbnd=w1200|https://lh3.googleusercontent.com/pw/AP1GczMDPCR480c47utnICs2QRdT8hqDfNL23ktVuGAz5FweSCsQgtEnhtl94htAPI2DM12ppzm5WDsxthGybrgfbt1FmFIbC7FLntfyAIXxC57uvjLm6KFl=w1200|https://lh3.googleusercontent.com/pw/AP1GczNq730vvWzPQOQ5zDf_aKxRVLsxT2EHSrr65lYwXxUFUHBID3Gmk-2qdmtMRq9Sku8O0IQUE6gjbcsXMPG-SOQV3C4Q2Q_kusBfYSScW5peszsxGhbv=w1200|https://lh3.googleusercontent.com/pw/AP1GczMgw4c5HHA7lAmnpdCp59nV3QcOoFaOFyGaNJRFCc3MTYuyhkEF3kd9Z_NWaQO9os0hGxVGSTZIKG_SQftqQTYXAXyRV3P4mpsFOjOljm6V33w7OrvY=w1200|https://lh3.googleusercontent.com/pw/AP1GczNrC87zEpG4CPuKzwsTWDIuKC24ka9FfAYbbWyFtoANfSRzcxswZJ7iOwMnr2bn0SoH-U6P8JwlydGrX7Zx-Fnz0aVtggkU8BmMNYUpBqoLeJ9heJcq=w1200|https://lh3.googleusercontent.com/pw/AP1GczPlwXZObaBsUTMFwPyK7agTRGCQkHAVSHPfvjnkPfR2ucVuVn87JnBRRVdMibc6NlGLqDT2qUs7YaJQRFx7RTSe0T5ckRgsUmCgMxd09cls-YA_AWVl=w1200|https://lh3.googleusercontent.com/pw/AP1GczOSmzFk84nIVj4Tv3r-PChkUms6Yk1Inb98JRSb7PH9jng3iRWHXrWBayPKWczFdNZZJP3cw2nO0TTv8EqxGkMVMug-NP2o-PokZKuBh8FphcmBE_xt=w1200|https://lh3.googleusercontent.com/pw/AP1GczOA3E_I9lMOWpd55VxXJJWudtE_SzHhOdctakhYj08Iuu9xQDDhoPu8PscxEYvjqI1WzKAzCUYOnwCH9irO5vUKHet_EjJ4cRF7Xa9C1NVKGYZR9jUI=w1200|https://lh3.googleusercontent.com/pw/AP1GczO6GT0Xi1bfcfRbwegzSNuh1l1gBY0xLh3L5-B8_PqVWZCw1BEVnsdmNluZnpiAWEkHjsEiqON5DHShaHasQqSIQJs4A8r9zz5I75qoNhkbRug_Inr9=w1200|https://lh3.googleusercontent.com/pw/AP1GczOQAGhqAX4KC1FsrbdN1fC0F3dPiWdgyKOjrlSrPREK8375frVq44SaFeyc0CB-43ARgG0nFqWSHiGe99nIwTmYlvLa7mh9h7Wp4HI9-dqX5Kx2Xmaf=w1200</v>
      </c>
      <c r="AJ611" s="46"/>
      <c r="AK611" s="46"/>
      <c r="AL611" s="46"/>
      <c r="AM611" s="46"/>
      <c r="AN611" s="46"/>
      <c r="AO611" s="46"/>
      <c r="AP611" s="46"/>
      <c r="AQ611" s="46"/>
      <c r="AR611" s="46"/>
      <c r="AS611" s="46"/>
      <c r="AT611" s="46"/>
      <c r="AU611" s="46"/>
      <c r="AV611" s="46"/>
      <c r="AW611" s="46"/>
      <c r="AX611" s="46"/>
      <c r="AY611" s="46"/>
      <c r="AZ611" s="46"/>
      <c r="BA611" s="46"/>
      <c r="BB611" s="46"/>
      <c r="BC611" s="46"/>
      <c r="BD611" s="46"/>
      <c r="BE611" s="46"/>
      <c r="BF611" s="46"/>
      <c r="BG611" s="46"/>
      <c r="BH611" s="46"/>
      <c r="BI611" s="46"/>
      <c r="BJ611" s="46"/>
      <c r="BK611" s="46"/>
      <c r="BL611" s="46"/>
      <c r="BM611" s="46"/>
      <c r="BN611" s="46"/>
      <c r="BO611" s="46"/>
      <c r="BP611" s="46"/>
      <c r="BQ611" s="46"/>
      <c r="BR611" s="46"/>
      <c r="BS611" s="46"/>
      <c r="BT611" s="46"/>
      <c r="BU611" s="46"/>
      <c r="BV611" s="46"/>
      <c r="BW611" s="46"/>
      <c r="BX611" s="46"/>
      <c r="BY611" s="46"/>
      <c r="BZ611" s="46"/>
      <c r="CA611" s="46"/>
      <c r="CB611" s="46"/>
      <c r="CC611" s="46"/>
    </row>
    <row r="612">
      <c r="A612" s="87" t="str">
        <f>IFERROR(__xludf.DUMMYFUNCTION("""COMPUTED_VALUE"""),"723")</f>
        <v>723</v>
      </c>
      <c r="B612" s="46" t="str">
        <f>IFERROR(__xludf.DUMMYFUNCTION("""COMPUTED_VALUE"""),"Lote campestre en conjunto Condominio Campestre Valle Grande - Sur - Palermo ")</f>
        <v>Lote campestre en conjunto Condominio Campestre Valle Grande - Sur - Palermo </v>
      </c>
      <c r="C612" s="46" t="str">
        <f>IFERROR(__xludf.DUMMYFUNCTION("""COMPUTED_VALUE"""),"Lote campestre en conjunto")</f>
        <v>Lote campestre en conjunto</v>
      </c>
      <c r="D612" s="46"/>
      <c r="E612" s="90" t="str">
        <f>IFERROR(__xludf.DUMMYFUNCTION("""COMPUTED_VALUE"""),"Conjunto Valle Grande")</f>
        <v>Conjunto Valle Grande</v>
      </c>
      <c r="F612" s="90">
        <f>IFERROR(__xludf.DUMMYFUNCTION("""COMPUTED_VALUE"""),6.2E7)</f>
        <v>62000000</v>
      </c>
      <c r="G612" s="46" t="str">
        <f>IFERROR(__xludf.DUMMYFUNCTION("""COMPUTED_VALUE"""),"$0 a $100'000.000")</f>
        <v>$0 a $100'000.000</v>
      </c>
      <c r="H612" s="46"/>
      <c r="I612" s="46"/>
      <c r="J612" s="46" t="str">
        <f>IFERROR(__xludf.DUMMYFUNCTION("""COMPUTED_VALUE"""),"Sur")</f>
        <v>Sur</v>
      </c>
      <c r="K612" s="87"/>
      <c r="L612" s="46">
        <f>IFERROR(__xludf.DUMMYFUNCTION("""COMPUTED_VALUE"""),0.0)</f>
        <v>0</v>
      </c>
      <c r="M612" s="46"/>
      <c r="N612" s="46">
        <f>IFERROR(__xludf.DUMMYFUNCTION("""COMPUTED_VALUE"""),0.0)</f>
        <v>0</v>
      </c>
      <c r="O612" s="46">
        <f>IFERROR(__xludf.DUMMYFUNCTION("""COMPUTED_VALUE"""),0.0)</f>
        <v>0</v>
      </c>
      <c r="P612" s="46">
        <f>IFERROR(__xludf.DUMMYFUNCTION("""COMPUTED_VALUE"""),0.0)</f>
        <v>0</v>
      </c>
      <c r="Q612" s="92">
        <f>IFERROR(__xludf.DUMMYFUNCTION("""COMPUTED_VALUE"""),0.0)</f>
        <v>0</v>
      </c>
      <c r="R612" s="92">
        <f>IFERROR(__xludf.DUMMYFUNCTION("""COMPUTED_VALUE"""),421.31)</f>
        <v>421.31</v>
      </c>
      <c r="S612" s="87" t="str">
        <f>IFERROR(__xludf.DUMMYFUNCTION("""COMPUTED_VALUE""")," ")</f>
        <v> </v>
      </c>
      <c r="T612" s="46" t="str">
        <f>IFERROR(__xludf.DUMMYFUNCTION("""COMPUTED_VALUE"""),"Juncal")</f>
        <v>Juncal</v>
      </c>
      <c r="U612" s="87"/>
      <c r="V612" s="46" t="str">
        <f>IFERROR(__xludf.DUMMYFUNCTION("""COMPUTED_VALUE"""),"Medianera")</f>
        <v>Medianera</v>
      </c>
      <c r="W612" s="46"/>
      <c r="X612" s="46">
        <f>IFERROR(__xludf.DUMMYFUNCTION("""COMPUTED_VALUE"""),0.0)</f>
        <v>0</v>
      </c>
      <c r="Y612" s="46" t="str">
        <f>IFERROR(__xludf.DUMMYFUNCTION("""COMPUTED_VALUE"""),"No tiene")</f>
        <v>No tiene</v>
      </c>
      <c r="Z612" s="90"/>
      <c r="AA612" s="33" t="str">
        <f>IFERROR(__xludf.DUMMYFUNCTION("""COMPUTED_VALUE"""),"No aplica")</f>
        <v>No aplica</v>
      </c>
      <c r="AB612" s="96" t="str">
        <f>IFERROR(__xludf.DUMMYFUNCTION("""COMPUTED_VALUE"""),"https://photos.app.goo.gl/NKKu3bzYBztQUS9LA")</f>
        <v>https://photos.app.goo.gl/NKKu3bzYBztQUS9LA</v>
      </c>
      <c r="AC612" s="46" t="str">
        <f>IFERROR(__xludf.DUMMYFUNCTION("""COMPUTED_VALUE"""),"Condominio Campestre Valle Grande. Ubicado a 2Km vía al Juncal. Con Red de Energía Eléctrica, Agua, Alcantarillado y gas domiciliario.")</f>
        <v>Condominio Campestre Valle Grande. Ubicado a 2Km vía al Juncal. Con Red de Energía Eléctrica, Agua, Alcantarillado y gas domiciliario.</v>
      </c>
      <c r="AD612" s="46" t="str">
        <f>IFERROR(__xludf.DUMMYFUNCTION("""COMPUTED_VALUE"""),"Area social: Piscina. Capilla. BBQ Polideportivo Cancha de Tenis.")</f>
        <v>Area social: Piscina. Capilla. BBQ Polideportivo Cancha de Tenis.</v>
      </c>
      <c r="AE612" s="46"/>
      <c r="AF612" s="46">
        <f>IFERROR(__xludf.DUMMYFUNCTION("""COMPUTED_VALUE"""),0.0)</f>
        <v>0</v>
      </c>
      <c r="AG612" s="46"/>
      <c r="AH612" s="46" t="str">
        <f>IFERROR(__xludf.DUMMYFUNCTION("""COMPUTED_VALUE"""),"Aliado")</f>
        <v>Aliado</v>
      </c>
      <c r="AI612" s="92" t="str">
        <f>IFERROR(__xludf.DUMMYFUNCTION("""COMPUTED_VALUE"""),"https://lh3.googleusercontent.com/pw/AP1GczM3W6fN0UpcODgFAsdZheUGIT62j2OhYdL-GcLPEhi9xIzZ24q9pU_VisMBo6ksPWLjpW5cGHIyXguA0cHGmrFUJQ-flo7GmbssywmQWIDUoxlNXgBO=w1200|https://lh3.googleusercontent.com/pw/AP1GczMeTYi-Z8OQdGbYgfJ-S32N5MpFOvoviTshoTNdfBAeR-QUJ3"&amp;"IwG35lQinzZPAe7maPSrUvEPFH67x4CgIK0f_CpSNbyVTRnUhpIBiJ8Q7EWhR3lhxU=w1200|https://lh3.googleusercontent.com/pw/AP1GczNHCpbpKXwdIcMlnnFNw9yGnoldObAhJWJ-Oc9dWeOLAiAfhencq65G_GrkSfP1En5ggZRxzAYlyczJO5WMt3Fh8BmC8IZ-O27yS26jVsZPhv2bSRBx=w1200|https://lh3.google"&amp;"usercontent.com/pw/AP1GczNUKO2HNI3yJK30Sjl1sDyGRKaDC6RugB9Kf4UlUf-ZRyJrJBDklKqsmapecKw4tq_nzqQ6L5CxDoNl00QTNSgMg5OZHujLbTtDcvm2C84B9U5yygVA=w1200|https://lh3.googleusercontent.com/pw/AP1GczNsX4B30diYr2ukyuxGWF4qsnZc0_JMqzjlYyosh-nG1WQ56lFwL4ydNqHfUoY5AINI"&amp;"XZqnbwjc52hgRb454Ck98P6KsLyeflHZudLaXA8Hx1mbddQ-=w1200|https://lh3.googleusercontent.com/pw/AP1GczM41v6X8wd3XTScfAsaYpKf2UcjTVu3trtGH_y5x0PKaPyrHFmYCCZ3PY11hWFaEfGQRHEpst5rSlZdDTVDwTpKz9Ph9YgPuWsZmhwvhdAx5fcTBF97=w1200|https://lh3.googleusercontent.com/pw"&amp;"/AP1GczNQlJOsD4UkjM6W7EjxLyyziUISXKDzi7LckiAJBBmLDhay4E2SEVaUqzpUCaEOObqG6nDWLqpyB0RUe1LE-KRnEHEIDe3YLjEd-QPjkxIIcOu4zNJQ=w1200|https://lh3.googleusercontent.com/pw/AP1GczOHKlqHA8kT5TsYnVSOhOMh0Il3ejR27IFrSKMhhZUNdv3HtM3WLzcKZFr54CSWKhyF0J10rOliq03xWEqgKD"&amp;"ZTugJjefAMGFDQQN4a93M_g_OICGCO=w1200|https://lh3.googleusercontent.com/pw/AP1GczNKkoJyUebIZ1Z0VRo08e8oypwgskJk02X5SP-swCrdvcPc-VQ2E-uYm_utIO9zZJi-14wLKaZ_w0eg87rHkdAP5G-RjdQtRKZE1bKBxqfLQOAz7S_i=w1200|https://lh3.googleusercontent.com/pw/AP1GczMiydit2nx6J"&amp;"tgKlRKE7xJlVacF9YgmUgIAk-s_SKos5-J201vRFW9fJ3Gj7j7El2uNlddkQG9yGAlTpObm2uqV8-lHWc06XB9SOQlCm8AI8ZnOME8Z=w1200|https://lh3.googleusercontent.com/pw/AP1GczOWmyqJ-_ETa4sbTdNh-s15uMNkfoYIGuu9W1iR4dtP448RgrB_XRvRMjFNeNp5rJRVKOiVPQ5UCIQ3p-5s6H0Po7EaGQv_-ztlPFi9"&amp;"h7Cs_xN03NKJ=w1200|https://lh3.googleusercontent.com/pw/AP1GczMhodQiihNgeJ7NgSee4DqUP-9QDxX0ra6sQosUaGbwpOhzl_nXoW6oanlZkPfOgAfl0KNawELSxVV0qpceil25Ms9XYmsKIe0fU3Wn6FeWb13l-e1j=w1200|https://lh3.googleusercontent.com/pw/AP1GczNP1N9aXzA0LAbQMIhGT-kZbXh_KlM"&amp;"lbs1cCwH8mTpvlx4QNqcA2RHDeMluylr4CnFvM9ERP5wh0X3ZKaqLQ2C7NsX1u6cs3xi91xfDGqorvdbjxsfg=w1200|https://lh3.googleusercontent.com/pw/AP1GczOx0ZazCCOI4FpjAzsTz6YgPPkZqrab7_3_REP_DfMOQPXuFSVn09A6nWIUgdnSRLGz2Yw5-MRani--3gccPvwlUDE1xO8lspMJuq7FYeIQgAc44UkT=w1200"&amp;"|https://lh3.googleusercontent.com/pw/AP1GczMEW4lf4SmGjDXMvHaXOGMkOVtqcDHR-_WYkUr3u9fqfI1d-wfeH4wW4xn0aN9VgAMXtBUWvplim0H09gWCEoFh9zUyQ5l0kyeS1A_QOOAfFy5Uesm6=w1200|https://lh3.googleusercontent.com/pw/AP1GczP5sFFmsFoRZlP-zV9__cfMXhD7P-VqjLnrnCjIGPi2Vsc7w"&amp;"PFOTghMZk1YQ_NNOD-LZ4dFqobOS3KLowlKIFFw-ogXa4oibtl-vhJscGikXh8MKdXE=w1200")</f>
        <v>https://lh3.googleusercontent.com/pw/AP1GczM3W6fN0UpcODgFAsdZheUGIT62j2OhYdL-GcLPEhi9xIzZ24q9pU_VisMBo6ksPWLjpW5cGHIyXguA0cHGmrFUJQ-flo7GmbssywmQWIDUoxlNXgBO=w1200|https://lh3.googleusercontent.com/pw/AP1GczMeTYi-Z8OQdGbYgfJ-S32N5MpFOvoviTshoTNdfBAeR-QUJ3IwG35lQinzZPAe7maPSrUvEPFH67x4CgIK0f_CpSNbyVTRnUhpIBiJ8Q7EWhR3lhxU=w1200|https://lh3.googleusercontent.com/pw/AP1GczNHCpbpKXwdIcMlnnFNw9yGnoldObAhJWJ-Oc9dWeOLAiAfhencq65G_GrkSfP1En5ggZRxzAYlyczJO5WMt3Fh8BmC8IZ-O27yS26jVsZPhv2bSRBx=w1200|https://lh3.googleusercontent.com/pw/AP1GczNUKO2HNI3yJK30Sjl1sDyGRKaDC6RugB9Kf4UlUf-ZRyJrJBDklKqsmapecKw4tq_nzqQ6L5CxDoNl00QTNSgMg5OZHujLbTtDcvm2C84B9U5yygVA=w1200|https://lh3.googleusercontent.com/pw/AP1GczNsX4B30diYr2ukyuxGWF4qsnZc0_JMqzjlYyosh-nG1WQ56lFwL4ydNqHfUoY5AINIXZqnbwjc52hgRb454Ck98P6KsLyeflHZudLaXA8Hx1mbddQ-=w1200|https://lh3.googleusercontent.com/pw/AP1GczM41v6X8wd3XTScfAsaYpKf2UcjTVu3trtGH_y5x0PKaPyrHFmYCCZ3PY11hWFaEfGQRHEpst5rSlZdDTVDwTpKz9Ph9YgPuWsZmhwvhdAx5fcTBF97=w1200|https://lh3.googleusercontent.com/pw/AP1GczNQlJOsD4UkjM6W7EjxLyyziUISXKDzi7LckiAJBBmLDhay4E2SEVaUqzpUCaEOObqG6nDWLqpyB0RUe1LE-KRnEHEIDe3YLjEd-QPjkxIIcOu4zNJQ=w1200|https://lh3.googleusercontent.com/pw/AP1GczOHKlqHA8kT5TsYnVSOhOMh0Il3ejR27IFrSKMhhZUNdv3HtM3WLzcKZFr54CSWKhyF0J10rOliq03xWEqgKDZTugJjefAMGFDQQN4a93M_g_OICGCO=w1200|https://lh3.googleusercontent.com/pw/AP1GczNKkoJyUebIZ1Z0VRo08e8oypwgskJk02X5SP-swCrdvcPc-VQ2E-uYm_utIO9zZJi-14wLKaZ_w0eg87rHkdAP5G-RjdQtRKZE1bKBxqfLQOAz7S_i=w1200|https://lh3.googleusercontent.com/pw/AP1GczMiydit2nx6JtgKlRKE7xJlVacF9YgmUgIAk-s_SKos5-J201vRFW9fJ3Gj7j7El2uNlddkQG9yGAlTpObm2uqV8-lHWc06XB9SOQlCm8AI8ZnOME8Z=w1200|https://lh3.googleusercontent.com/pw/AP1GczOWmyqJ-_ETa4sbTdNh-s15uMNkfoYIGuu9W1iR4dtP448RgrB_XRvRMjFNeNp5rJRVKOiVPQ5UCIQ3p-5s6H0Po7EaGQv_-ztlPFi9h7Cs_xN03NKJ=w1200|https://lh3.googleusercontent.com/pw/AP1GczMhodQiihNgeJ7NgSee4DqUP-9QDxX0ra6sQosUaGbwpOhzl_nXoW6oanlZkPfOgAfl0KNawELSxVV0qpceil25Ms9XYmsKIe0fU3Wn6FeWb13l-e1j=w1200|https://lh3.googleusercontent.com/pw/AP1GczNP1N9aXzA0LAbQMIhGT-kZbXh_KlMlbs1cCwH8mTpvlx4QNqcA2RHDeMluylr4CnFvM9ERP5wh0X3ZKaqLQ2C7NsX1u6cs3xi91xfDGqorvdbjxsfg=w1200|https://lh3.googleusercontent.com/pw/AP1GczOx0ZazCCOI4FpjAzsTz6YgPPkZqrab7_3_REP_DfMOQPXuFSVn09A6nWIUgdnSRLGz2Yw5-MRani--3gccPvwlUDE1xO8lspMJuq7FYeIQgAc44UkT=w1200|https://lh3.googleusercontent.com/pw/AP1GczMEW4lf4SmGjDXMvHaXOGMkOVtqcDHR-_WYkUr3u9fqfI1d-wfeH4wW4xn0aN9VgAMXtBUWvplim0H09gWCEoFh9zUyQ5l0kyeS1A_QOOAfFy5Uesm6=w1200|https://lh3.googleusercontent.com/pw/AP1GczP5sFFmsFoRZlP-zV9__cfMXhD7P-VqjLnrnCjIGPi2Vsc7wPFOTghMZk1YQ_NNOD-LZ4dFqobOS3KLowlKIFFw-ogXa4oibtl-vhJscGikXh8MKdXE=w1200</v>
      </c>
      <c r="AJ612" s="46"/>
      <c r="AK612" s="46"/>
      <c r="AL612" s="46"/>
      <c r="AM612" s="46"/>
      <c r="AN612" s="46"/>
      <c r="AO612" s="46"/>
      <c r="AP612" s="46"/>
      <c r="AQ612" s="46"/>
      <c r="AR612" s="46"/>
      <c r="AS612" s="46"/>
      <c r="AT612" s="46"/>
      <c r="AU612" s="46"/>
      <c r="AV612" s="46"/>
      <c r="AW612" s="46"/>
      <c r="AX612" s="46"/>
      <c r="AY612" s="46"/>
      <c r="AZ612" s="46"/>
      <c r="BA612" s="46"/>
      <c r="BB612" s="46"/>
      <c r="BC612" s="46"/>
      <c r="BD612" s="46"/>
      <c r="BE612" s="46"/>
      <c r="BF612" s="46"/>
      <c r="BG612" s="46"/>
      <c r="BH612" s="46"/>
      <c r="BI612" s="46"/>
      <c r="BJ612" s="46"/>
      <c r="BK612" s="46"/>
      <c r="BL612" s="46"/>
      <c r="BM612" s="46"/>
      <c r="BN612" s="46"/>
      <c r="BO612" s="46"/>
      <c r="BP612" s="46"/>
      <c r="BQ612" s="46"/>
      <c r="BR612" s="46"/>
      <c r="BS612" s="46"/>
      <c r="BT612" s="46"/>
      <c r="BU612" s="46"/>
      <c r="BV612" s="46"/>
      <c r="BW612" s="46"/>
      <c r="BX612" s="46"/>
      <c r="BY612" s="46"/>
      <c r="BZ612" s="46"/>
      <c r="CA612" s="46"/>
      <c r="CB612" s="46"/>
      <c r="CC612" s="46"/>
    </row>
    <row r="613">
      <c r="A613" s="87" t="str">
        <f>IFERROR(__xludf.DUMMYFUNCTION("""COMPUTED_VALUE"""),"693")</f>
        <v>693</v>
      </c>
      <c r="B613" s="46" t="str">
        <f>IFERROR(__xludf.DUMMYFUNCTION("""COMPUTED_VALUE"""),"Oficina en Centro Comercial Megacentro")</f>
        <v>Oficina en Centro Comercial Megacentro</v>
      </c>
      <c r="C613" s="46" t="str">
        <f>IFERROR(__xludf.DUMMYFUNCTION("""COMPUTED_VALUE"""),"Oficina")</f>
        <v>Oficina</v>
      </c>
      <c r="D613" s="46" t="str">
        <f>IFERROR(__xludf.DUMMYFUNCTION("""COMPUTED_VALUE"""),"Centro")</f>
        <v>Centro</v>
      </c>
      <c r="E613" s="46"/>
      <c r="F613" s="90">
        <f>IFERROR(__xludf.DUMMYFUNCTION("""COMPUTED_VALUE"""),6.0E7)</f>
        <v>60000000</v>
      </c>
      <c r="G613" s="46" t="str">
        <f>IFERROR(__xludf.DUMMYFUNCTION("""COMPUTED_VALUE"""),"$0 a $100'000.000")</f>
        <v>$0 a $100'000.000</v>
      </c>
      <c r="H613" s="46"/>
      <c r="I613" s="46"/>
      <c r="J613" s="46" t="str">
        <f>IFERROR(__xludf.DUMMYFUNCTION("""COMPUTED_VALUE"""),"Centro")</f>
        <v>Centro</v>
      </c>
      <c r="K613" s="87" t="str">
        <f>IFERROR(__xludf.DUMMYFUNCTION("""COMPUTED_VALUE"""),"4")</f>
        <v>4</v>
      </c>
      <c r="L613" s="46">
        <f>IFERROR(__xludf.DUMMYFUNCTION("""COMPUTED_VALUE"""),0.0)</f>
        <v>0</v>
      </c>
      <c r="M613" s="46"/>
      <c r="N613" s="46" t="str">
        <f>IFERROR(__xludf.DUMMYFUNCTION("""COMPUTED_VALUE"""),"Social")</f>
        <v>Social</v>
      </c>
      <c r="O613" s="46">
        <f>IFERROR(__xludf.DUMMYFUNCTION("""COMPUTED_VALUE"""),0.0)</f>
        <v>0</v>
      </c>
      <c r="P613" s="46">
        <f>IFERROR(__xludf.DUMMYFUNCTION("""COMPUTED_VALUE"""),2.0)</f>
        <v>2</v>
      </c>
      <c r="Q613" s="92">
        <f>IFERROR(__xludf.DUMMYFUNCTION("""COMPUTED_VALUE"""),15.5)</f>
        <v>15.5</v>
      </c>
      <c r="R613" s="92">
        <f>IFERROR(__xludf.DUMMYFUNCTION("""COMPUTED_VALUE"""),15.5)</f>
        <v>15.5</v>
      </c>
      <c r="S613" s="87" t="str">
        <f>IFERROR(__xludf.DUMMYFUNCTION("""COMPUTED_VALUE""")," ")</f>
        <v> </v>
      </c>
      <c r="T613" s="46" t="str">
        <f>IFERROR(__xludf.DUMMYFUNCTION("""COMPUTED_VALUE"""),"Neiva")</f>
        <v>Neiva</v>
      </c>
      <c r="U613" s="87" t="str">
        <f>IFERROR(__xludf.DUMMYFUNCTION("""COMPUTED_VALUE"""),"Comercial")</f>
        <v>Comercial</v>
      </c>
      <c r="V613" s="46" t="str">
        <f>IFERROR(__xludf.DUMMYFUNCTION("""COMPUTED_VALUE"""),"2do.")</f>
        <v>2do.</v>
      </c>
      <c r="W613" s="46"/>
      <c r="X613" s="46">
        <f>IFERROR(__xludf.DUMMYFUNCTION("""COMPUTED_VALUE"""),0.0)</f>
        <v>0</v>
      </c>
      <c r="Y613" s="46" t="str">
        <f>IFERROR(__xludf.DUMMYFUNCTION("""COMPUTED_VALUE"""),"No tiene")</f>
        <v>No tiene</v>
      </c>
      <c r="Z613" s="90">
        <f>IFERROR(__xludf.DUMMYFUNCTION("""COMPUTED_VALUE"""),650000.0)</f>
        <v>650000</v>
      </c>
      <c r="AA613" s="33" t="str">
        <f>IFERROR(__xludf.DUMMYFUNCTION("""COMPUTED_VALUE"""),"No aplica")</f>
        <v>No aplica</v>
      </c>
      <c r="AB613" s="144" t="str">
        <f>IFERROR(__xludf.DUMMYFUNCTION("""COMPUTED_VALUE"""),"https://photos.app.goo.gl/ypJTrchMTyy9WZPw6")</f>
        <v>https://photos.app.goo.gl/ypJTrchMTyy9WZPw6</v>
      </c>
      <c r="AC613" s="46" t="str">
        <f>IFERROR(__xludf.DUMMYFUNCTION("""COMPUTED_VALUE"""),"Área de 15.5m2, Excelente ubicación. Valor admón. $ 116.000. Aire Acondicionado. Mueble en madera empotrado. Valor arriendo $650.000 incluido admón.")</f>
        <v>Área de 15.5m2, Excelente ubicación. Valor admón. $ 116.000. Aire Acondicionado. Mueble en madera empotrado. Valor arriendo $650.000 incluido admón.</v>
      </c>
      <c r="AD613" s="46" t="str">
        <f>IFERROR(__xludf.DUMMYFUNCTION("""COMPUTED_VALUE"""),"Oficina bien ubicada.")</f>
        <v>Oficina bien ubicada.</v>
      </c>
      <c r="AE613" s="46"/>
      <c r="AF613" s="46">
        <f>IFERROR(__xludf.DUMMYFUNCTION("""COMPUTED_VALUE"""),0.0)</f>
        <v>0</v>
      </c>
      <c r="AG613" s="46"/>
      <c r="AH613" s="46" t="str">
        <f>IFERROR(__xludf.DUMMYFUNCTION("""COMPUTED_VALUE"""),"Aliado")</f>
        <v>Aliado</v>
      </c>
      <c r="AI613" s="92" t="str">
        <f>IFERROR(__xludf.DUMMYFUNCTION("""COMPUTED_VALUE"""),"https://lh3.googleusercontent.com/pw/AP1GczP_he0ZRjyNft9KU8pEpWGTuxH3CryQlmNis9exly-awc22VLzUfkvoZJ-OvpoZWdYM6SkEGgQaGfcZHOhFmI_t8r50vohlv8xad9_UEfD_34IV5MU7=w1200|https://lh3.googleusercontent.com/pw/AP1GczPmUzmqElBP5ewvzCzK7YLQ3S4wocVzrxoq_gHSrff4VaVIHQ"&amp;"lK8DKRGX5Bgnpc-6JE3pHYjhRSDZmDBk40TcupcgxtYReI9QCj5JgxAxACOOWwUkvs=w1200|https://lh3.googleusercontent.com/pw/AP1GczMz-QDHQfxe7M5j0CyUVEx_8uJG2RQ9Y9eGZIbQbyEVAyrZNWzhGGLvWeQJzCSvCJhUZG0NUHseS0KFgF9aGcE-R2qrx7RwcrMKArbWFKMCee5dBEQf=w1200|https://lh3.google"&amp;"usercontent.com/pw/AP1GczNQpNtMLi54lzsMs1h1Fv5oIXDcUexE5U6j5xwrQlVn4BNtIjlIfLbPPV_fIg_nrQVzPttgOYzR3Lp9XbATsrKn3nt3Mnu7jlsgijjm2uD2NPvlD6jY=w1200|https://lh3.googleusercontent.com/pw/AP1GczPCFecQlvxmIonYk_x16hnhIs_C8ZLKoAjqFs0kli3yaXo6VlCYLo5mBxFgxb3kF5RH"&amp;"H2-bOA4RmlNx0o6YrURXJdbZMkPyEGQBPutDOSjwuOBYDO-H=w1200|https://lh3.googleusercontent.com/pw/AP1GczNudn2Gv44clVW6lqhWIL8LkLDM9kd5jGjxap0TqzZ2FW_qTFDYnV3EGdgizBg5tEzR97qY8BbdvzzHwmN1S0TnCAY0lBIsaCjmSWQBgHQ6U0gXBxgT=w1200")</f>
        <v>https://lh3.googleusercontent.com/pw/AP1GczP_he0ZRjyNft9KU8pEpWGTuxH3CryQlmNis9exly-awc22VLzUfkvoZJ-OvpoZWdYM6SkEGgQaGfcZHOhFmI_t8r50vohlv8xad9_UEfD_34IV5MU7=w1200|https://lh3.googleusercontent.com/pw/AP1GczPmUzmqElBP5ewvzCzK7YLQ3S4wocVzrxoq_gHSrff4VaVIHQlK8DKRGX5Bgnpc-6JE3pHYjhRSDZmDBk40TcupcgxtYReI9QCj5JgxAxACOOWwUkvs=w1200|https://lh3.googleusercontent.com/pw/AP1GczMz-QDHQfxe7M5j0CyUVEx_8uJG2RQ9Y9eGZIbQbyEVAyrZNWzhGGLvWeQJzCSvCJhUZG0NUHseS0KFgF9aGcE-R2qrx7RwcrMKArbWFKMCee5dBEQf=w1200|https://lh3.googleusercontent.com/pw/AP1GczNQpNtMLi54lzsMs1h1Fv5oIXDcUexE5U6j5xwrQlVn4BNtIjlIfLbPPV_fIg_nrQVzPttgOYzR3Lp9XbATsrKn3nt3Mnu7jlsgijjm2uD2NPvlD6jY=w1200|https://lh3.googleusercontent.com/pw/AP1GczPCFecQlvxmIonYk_x16hnhIs_C8ZLKoAjqFs0kli3yaXo6VlCYLo5mBxFgxb3kF5RHH2-bOA4RmlNx0o6YrURXJdbZMkPyEGQBPutDOSjwuOBYDO-H=w1200|https://lh3.googleusercontent.com/pw/AP1GczNudn2Gv44clVW6lqhWIL8LkLDM9kd5jGjxap0TqzZ2FW_qTFDYnV3EGdgizBg5tEzR97qY8BbdvzzHwmN1S0TnCAY0lBIsaCjmSWQBgHQ6U0gXBxgT=w1200</v>
      </c>
      <c r="AJ613" s="46"/>
      <c r="AK613" s="46"/>
      <c r="AL613" s="46"/>
      <c r="AM613" s="46"/>
      <c r="AN613" s="46"/>
      <c r="AO613" s="46"/>
      <c r="AP613" s="46"/>
      <c r="AQ613" s="46"/>
      <c r="AR613" s="46"/>
      <c r="AS613" s="46"/>
      <c r="AT613" s="46"/>
      <c r="AU613" s="46"/>
      <c r="AV613" s="46"/>
      <c r="AW613" s="46"/>
      <c r="AX613" s="46"/>
      <c r="AY613" s="46"/>
      <c r="AZ613" s="46"/>
      <c r="BA613" s="46"/>
      <c r="BB613" s="46"/>
      <c r="BC613" s="46"/>
      <c r="BD613" s="46"/>
      <c r="BE613" s="46"/>
      <c r="BF613" s="46"/>
      <c r="BG613" s="46"/>
      <c r="BH613" s="46"/>
      <c r="BI613" s="46"/>
      <c r="BJ613" s="46"/>
      <c r="BK613" s="46"/>
      <c r="BL613" s="46"/>
      <c r="BM613" s="46"/>
      <c r="BN613" s="46"/>
      <c r="BO613" s="46"/>
      <c r="BP613" s="46"/>
      <c r="BQ613" s="46"/>
      <c r="BR613" s="46"/>
      <c r="BS613" s="46"/>
      <c r="BT613" s="46"/>
      <c r="BU613" s="46"/>
      <c r="BV613" s="46"/>
      <c r="BW613" s="46"/>
      <c r="BX613" s="46"/>
      <c r="BY613" s="46"/>
      <c r="BZ613" s="46"/>
      <c r="CA613" s="46"/>
      <c r="CB613" s="46"/>
      <c r="CC613" s="46"/>
    </row>
    <row r="614">
      <c r="A614" s="87" t="str">
        <f>IFERROR(__xludf.DUMMYFUNCTION("""COMPUTED_VALUE"""),"455")</f>
        <v>455</v>
      </c>
      <c r="B614" s="46" t="str">
        <f>IFERROR(__xludf.DUMMYFUNCTION("""COMPUTED_VALUE"""),"Casa con apartamento en barrio Prado Norte")</f>
        <v>Casa con apartamento en barrio Prado Norte</v>
      </c>
      <c r="C614" s="46" t="str">
        <f>IFERROR(__xludf.DUMMYFUNCTION("""COMPUTED_VALUE"""),"Casa rentable")</f>
        <v>Casa rentable</v>
      </c>
      <c r="D614" s="46" t="str">
        <f>IFERROR(__xludf.DUMMYFUNCTION("""COMPUTED_VALUE"""),"Prado Norte")</f>
        <v>Prado Norte</v>
      </c>
      <c r="E614" s="90"/>
      <c r="F614" s="90">
        <f>IFERROR(__xludf.DUMMYFUNCTION("""COMPUTED_VALUE"""),3.5E8)</f>
        <v>350000000</v>
      </c>
      <c r="G614" s="46" t="str">
        <f>IFERROR(__xludf.DUMMYFUNCTION("""COMPUTED_VALUE"""),"$300'000.000 a $400'000.000")</f>
        <v>$300'000.000 a $400'000.000</v>
      </c>
      <c r="H614" s="46"/>
      <c r="I614" s="46"/>
      <c r="J614" s="46" t="str">
        <f>IFERROR(__xludf.DUMMYFUNCTION("""COMPUTED_VALUE"""),"Norte")</f>
        <v>Norte</v>
      </c>
      <c r="K614" s="87" t="str">
        <f>IFERROR(__xludf.DUMMYFUNCTION("""COMPUTED_VALUE"""),"2")</f>
        <v>2</v>
      </c>
      <c r="L614" s="46">
        <f>IFERROR(__xludf.DUMMYFUNCTION("""COMPUTED_VALUE"""),6.0)</f>
        <v>6</v>
      </c>
      <c r="M614" s="46"/>
      <c r="N614" s="46">
        <f>IFERROR(__xludf.DUMMYFUNCTION("""COMPUTED_VALUE"""),6.0)</f>
        <v>6</v>
      </c>
      <c r="O614" s="46">
        <f>IFERROR(__xludf.DUMMYFUNCTION("""COMPUTED_VALUE"""),1.0)</f>
        <v>1</v>
      </c>
      <c r="P614" s="46">
        <f>IFERROR(__xludf.DUMMYFUNCTION("""COMPUTED_VALUE"""),3.0)</f>
        <v>3</v>
      </c>
      <c r="Q614" s="92">
        <f>IFERROR(__xludf.DUMMYFUNCTION("""COMPUTED_VALUE"""),412.0)</f>
        <v>412</v>
      </c>
      <c r="R614" s="92"/>
      <c r="S614" s="87" t="str">
        <f>IFERROR(__xludf.DUMMYFUNCTION("""COMPUTED_VALUE""")," ")</f>
        <v> </v>
      </c>
      <c r="T614" s="46" t="str">
        <f>IFERROR(__xludf.DUMMYFUNCTION("""COMPUTED_VALUE"""),"Neiva")</f>
        <v>Neiva</v>
      </c>
      <c r="U614" s="87" t="str">
        <f>IFERROR(__xludf.DUMMYFUNCTION("""COMPUTED_VALUE"""),"2")</f>
        <v>2</v>
      </c>
      <c r="V614" s="46" t="str">
        <f>IFERROR(__xludf.DUMMYFUNCTION("""COMPUTED_VALUE"""),"Medianera")</f>
        <v>Medianera</v>
      </c>
      <c r="W614" s="46"/>
      <c r="X614" s="46">
        <f>IFERROR(__xludf.DUMMYFUNCTION("""COMPUTED_VALUE"""),5.0)</f>
        <v>5</v>
      </c>
      <c r="Y614" s="46" t="str">
        <f>IFERROR(__xludf.DUMMYFUNCTION("""COMPUTED_VALUE"""),"No tiene")</f>
        <v>No tiene</v>
      </c>
      <c r="Z614" s="90" t="str">
        <f>IFERROR(__xludf.DUMMYFUNCTION("""COMPUTED_VALUE"""),"No aplica")</f>
        <v>No aplica</v>
      </c>
      <c r="AA614" s="33" t="str">
        <f>IFERROR(__xludf.DUMMYFUNCTION("""COMPUTED_VALUE"""),"No aplica")</f>
        <v>No aplica</v>
      </c>
      <c r="AB614" s="96" t="str">
        <f>IFERROR(__xludf.DUMMYFUNCTION("""COMPUTED_VALUE"""),"https://photos.google.com/share/AF1QipM70sLWGl_pxst2SkbALIZJmVKudYk6E3me_lqrk4G6zqvgUsJ3PGSMBd5_eVy4Mw?key=MnlneFFXS1JaZlB5V1VDU2hlSFVvQndsRi1ydS1n")</f>
        <v>https://photos.google.com/share/AF1QipM70sLWGl_pxst2SkbALIZJmVKudYk6E3me_lqrk4G6zqvgUsJ3PGSMBd5_eVy4Mw?key=MnlneFFXS1JaZlB5V1VDU2hlSFVvQndsRi1ydS1n</v>
      </c>
      <c r="AC614" s="46"/>
      <c r="AD614" s="46" t="str">
        <f>IFERROR(__xludf.DUMMYFUNCTION("""COMPUTED_VALUE"""),"Cuenta con terraza, cocina adicional con BBQ, balcón amplio, Estudio")</f>
        <v>Cuenta con terraza, cocina adicional con BBQ, balcón amplio, Estudio</v>
      </c>
      <c r="AE614" s="46"/>
      <c r="AF614" s="46" t="str">
        <f>IFERROR(__xludf.DUMMYFUNCTION("""COMPUTED_VALUE"""),"integral")</f>
        <v>integral</v>
      </c>
      <c r="AG614" s="46"/>
      <c r="AH614" s="46" t="str">
        <f>IFERROR(__xludf.DUMMYFUNCTION("""COMPUTED_VALUE"""),"Aliado")</f>
        <v>Aliado</v>
      </c>
      <c r="AI614" s="92" t="str">
        <f>IFERROR(__xludf.DUMMYFUNCTION("""COMPUTED_VALUE"""),"https://lh3.googleusercontent.com/pw/AP1GczOZAoh4ynjjc8BTRTLya-jlwGGJoZoUDqx29DWrjhlUJVjUxVbL5EnncU4RMKBPwDb_iBmtX7USJ7VDpFnzzTiE-7I-A_Ya6gquTANnyoSG9jb3VUpF=w1200|https://lh3.googleusercontent.com/pw/AP1GczOLlUXHCcpN_AD3VJeOjgrqBNSsxlsk2afdow8RlKesFd_zlw"&amp;"n2QK1fG-p7PYmZyO4EvFGiDCZzxlKhtEoybx0cYbFnCRJL4slbLRxmtxTphu8mQCf7=w1200|https://lh3.googleusercontent.com/pw/AP1GczNOJOXEqqYO_EGnaH048Oxi9OgKh1DH-YmItvdvpc_Mjwcca6Rgftw8PuYoU1sDj0ERwUfaC4zlCJ6uWuYGqW7b2b_vED3WeStNyLRYnG0ORmFcPAJM=w1200|https://lh3.google"&amp;"usercontent.com/pw/AP1GczPmb_bXChQ-3NdcpIU9U_tgwwulhqaG7N4Fk8s6jG9hWN1VjYnDEDTc7DFqtP16606Aee-i2PDvwB5AprP2gs4qyKeONKkK7hcmTuZnDgPARxPcZ-z3=w1200|https://lh3.googleusercontent.com/pw/AP1GczO_L4LroqDs9BsXhN74jaAbAR23PW-Dr_rWD4uTO378qeZealbBTVNH975BPibTZQou"&amp;"HFpkZNY6PQ6lFSglpraI0yDLdX7bGulcKIFzMyC2Luys0TLy=w1200|https://lh3.googleusercontent.com/pw/AP1GczMXEHQOxVnXj5Pwpiur4aHV45Up6DmHd2m7GBzrj87hXnU0RWHKaO4BHRPKw32XqTQfaNA9orOUguqTuK6cC00GeIIXeMYHaPFXiTRxRFcOrTlsoAqe=w1200|https://lh3.googleusercontent.com/pw"&amp;"/AP1GczNmip0mkWUgvh5ZCbuqKDfaX2K0gCUDzM4kpryeIcoMP6ptzKkmk0m-7PgSGz8Jxr3hI26_UROgjttbXzx40p4pPmEWePCpSYBAr-MXTlE78yFpkBak=w1200|https://lh3.googleusercontent.com/pw/AP1GczOzNZSHPaUg9doZe1BJDDvEX5NAqDsUSkuVh7K3sHdpGCQwQpfnB1YeKlfkPaHfLpsiAhW4cIBC495Om_dX-s"&amp;"Zr8oEgf5ZAXW_DRJQTh06f4lCQz_q9=w1200|https://lh3.googleusercontent.com/pw/AP1GczPfQXDBC2Oqxwwz2bDsNqzzgs1ZZIhNc6AgZnEnLA9jAODnp7kN5V3y19xmyBGrJ52CZLuYnvlKJ0auBaVk0R-TLCGfolU9GA-Z_zaGs51DKWOPnv5b=w1200|https://lh3.googleusercontent.com/pw/AP1GczN0X2Sb-ezfx"&amp;"faSw10RV2xYwWRggR4L6z34YRbamDe_wkOyX-dNq3Q97-dLwgtVED3PnFTJ6AR7jG9Jsv1bJ_Jo5D8Unhuylb-RFnHywuid2miauFAc=w1200|https://lh3.googleusercontent.com/pw/AP1GczO_YGtbsvS_ZCue0xunkYC6-l9_epxFyKsnBTT5QL_myfHmR5kcsDbkG7aYCSrajU0fV4j9Ersd4btmhaq52h6byPWbR-1NVII18Ocb"&amp;"3pfOR45rujeA=w1200|https://lh3.googleusercontent.com/pw/AP1GczNXnBwi-vbgnCOBWUO5Bj0AjSqb3TeY2-zfOZcp_LhFXgONOGLKOrnA8Kf5VcNX8SEEBDfBnshe_Dxeqp8etyOL9v1ThhFdjagb2RI-ccluhL4r15e8=w1200|https://lh3.googleusercontent.com/pw/AP1GczPP4vz3B3RhwrKS4IWuxc6qJW7NEoF"&amp;"vgGA_32FVrszy9LQGMx3x2vbBvkbz3n_1NAc4eTDlzZV1FSNvjR-TwBHBYNBDusMqw-MgRigVUcufLSLpP8Kp=w1200|https://lh3.googleusercontent.com/pw/AP1GczM_jkc9XwMb-WRN3hWEgBv5tdSesMkc66bqengOcCBvkLdDILooyl6JIVpoeFg47zPquEH0fc9nIzJbbYNhTAUVqNr1sp8QBcyWfUdGkdeeAjpzBW11=w1200"&amp;"|https://lh3.googleusercontent.com/pw/AP1GczPRGp1DLAIMdGZlsAbQP7HdlvqG2LSPypbmolOXmfU-ibatmfQGtyPqxdw-v27LFJuumoh1Mx8rKpMhJzfCAHTS0oHl2X4APbdEsMPxzwoKvd2aSCmG=w1200|https://lh3.googleusercontent.com/pw/AP1GczM-DRnpOoweRCFVDsHt3zUYNAzomoAUxsVc5KYrLbZQa7597"&amp;"Z3JKo4CHYAPV5gqbwu37AmjQ7QY0qm50yTztAsUZV1vsRzsO4ciqZURYNKtzq3dH-qW=w1200|https://lh3.googleusercontent.com/pw/AP1GczPkyXxFPla6Bvyk2o1jo2blMDQDfddHQwIVLOMJR_N62ORx8IIZTqjgM5we1jxgHUswIbv1fL3y4RRbrinynOGiUXqQRdBXY0-hpbDEEaFiQYgFzYU5=w1200|https://lh3.googl"&amp;"eusercontent.com/pw/AP1GczMxONQz7EQ9Lc00sh-1eappz7N4PGM_pHuOz0Swhira7WpFBmYRY81Pmt51zYx9FCNFwoZv-iVkxaaWr4-ORwNvpU3Oson8vX-uV50eu0kGuXDd4scn=w1200|https://lh3.googleusercontent.com/pw/AP1GczNVqTSwjKHykG-QRqbw298h5lemuY-S2FkaaiSZpUhIVInLNyze6l58LjLuA-jDJYK"&amp;"Snh9Fuu2vBhPJVgOhy_b07LPPnC2i9Q3Yl8go3DDCIc0Saxia=w1200|https://lh3.googleusercontent.com/pw/AP1GczOtAB26VEiYzCzcyQ8Kp6f-VlEp6Qby-w5NiYSBrrRasYaLK5pu4XqTTe-xIMHXZUMSEvMO0cI9X9lz-WKv6h8cHpqCY1moI7LGiEZtmRgkkcb0iQ54=w1200|https://lh3.googleusercontent.com/p"&amp;"w/AP1GczPQEqAxvlJpkTsOAqg9ZqpIa-tdZrlthUkmnDKAB1tOwX5Ghl54XI6SsVRPYo6tOob9gsJuTpVIn_1gDHSwv3Ub83WcTy124iFa0ZYxRLVwCEfTs6S4=w1200|https://lh3.googleusercontent.com/pw/AP1GczPdg4MnN8BJ1Gc2Hbcfc8WuFnztH7cqst2DlBP1r3CcCicqdGcbkxp89PH4xeP7lvEFOP_rHWynnYkUrNb-4"&amp;"E2NPTbbBR27Tc5Sg9SjygOkyICai242=w1200|https://lh3.googleusercontent.com/pw/AP1GczN181Sk39hQpk8h9SOOrXdfholuqQpf5tb8O_wSctC9Xcd5MyFraNtWd5B0bRJUExPtKziJYWsIyQgCy9SAO4xJKygaB-22IxrIVVC6KmintsKnBpLa=w1200|https://lh3.googleusercontent.com/pw/AP1GczMB1iyI_1Gv"&amp;"SOXcfj8O8_ZdZaFJ48w4wNykKokC3DZ3q7l8cjtw1b-I7YncMm1rW5_VnHhUixEv15mHPjivioT9DkbmPAnOZpiOxZGNNUS-R1GKcY9C=w1200|https://lh3.googleusercontent.com/pw/AP1GczNwK3Jp_BAF1jMCrsPC-jqAWqOnhKKoXTZOcNMFjZXzhTmezR9ZmTwq5KKiFj7fIoMiz_bxG2vdkyPGYqlE1-P9i3tRdt1LOf5tky9"&amp;"PgfAcA2sUtyDi=w1200|https://lh3.googleusercontent.com/pw/AP1GczPPn7t8elOD0BI8PHOPnW6UXKpeUW0A0jpp4l30n8t0UXxIzFaaQIS1i2MH6lverlgzuIQGkoUErT-7fGkYbUwpBxJ2MZFwcO6a4YNpY9IhF33rZ2uG=w1200")</f>
        <v>https://lh3.googleusercontent.com/pw/AP1GczOZAoh4ynjjc8BTRTLya-jlwGGJoZoUDqx29DWrjhlUJVjUxVbL5EnncU4RMKBPwDb_iBmtX7USJ7VDpFnzzTiE-7I-A_Ya6gquTANnyoSG9jb3VUpF=w1200|https://lh3.googleusercontent.com/pw/AP1GczOLlUXHCcpN_AD3VJeOjgrqBNSsxlsk2afdow8RlKesFd_zlwn2QK1fG-p7PYmZyO4EvFGiDCZzxlKhtEoybx0cYbFnCRJL4slbLRxmtxTphu8mQCf7=w1200|https://lh3.googleusercontent.com/pw/AP1GczNOJOXEqqYO_EGnaH048Oxi9OgKh1DH-YmItvdvpc_Mjwcca6Rgftw8PuYoU1sDj0ERwUfaC4zlCJ6uWuYGqW7b2b_vED3WeStNyLRYnG0ORmFcPAJM=w1200|https://lh3.googleusercontent.com/pw/AP1GczPmb_bXChQ-3NdcpIU9U_tgwwulhqaG7N4Fk8s6jG9hWN1VjYnDEDTc7DFqtP16606Aee-i2PDvwB5AprP2gs4qyKeONKkK7hcmTuZnDgPARxPcZ-z3=w1200|https://lh3.googleusercontent.com/pw/AP1GczO_L4LroqDs9BsXhN74jaAbAR23PW-Dr_rWD4uTO378qeZealbBTVNH975BPibTZQouHFpkZNY6PQ6lFSglpraI0yDLdX7bGulcKIFzMyC2Luys0TLy=w1200|https://lh3.googleusercontent.com/pw/AP1GczMXEHQOxVnXj5Pwpiur4aHV45Up6DmHd2m7GBzrj87hXnU0RWHKaO4BHRPKw32XqTQfaNA9orOUguqTuK6cC00GeIIXeMYHaPFXiTRxRFcOrTlsoAqe=w1200|https://lh3.googleusercontent.com/pw/AP1GczNmip0mkWUgvh5ZCbuqKDfaX2K0gCUDzM4kpryeIcoMP6ptzKkmk0m-7PgSGz8Jxr3hI26_UROgjttbXzx40p4pPmEWePCpSYBAr-MXTlE78yFpkBak=w1200|https://lh3.googleusercontent.com/pw/AP1GczOzNZSHPaUg9doZe1BJDDvEX5NAqDsUSkuVh7K3sHdpGCQwQpfnB1YeKlfkPaHfLpsiAhW4cIBC495Om_dX-sZr8oEgf5ZAXW_DRJQTh06f4lCQz_q9=w1200|https://lh3.googleusercontent.com/pw/AP1GczPfQXDBC2Oqxwwz2bDsNqzzgs1ZZIhNc6AgZnEnLA9jAODnp7kN5V3y19xmyBGrJ52CZLuYnvlKJ0auBaVk0R-TLCGfolU9GA-Z_zaGs51DKWOPnv5b=w1200|https://lh3.googleusercontent.com/pw/AP1GczN0X2Sb-ezfxfaSw10RV2xYwWRggR4L6z34YRbamDe_wkOyX-dNq3Q97-dLwgtVED3PnFTJ6AR7jG9Jsv1bJ_Jo5D8Unhuylb-RFnHywuid2miauFAc=w1200|https://lh3.googleusercontent.com/pw/AP1GczO_YGtbsvS_ZCue0xunkYC6-l9_epxFyKsnBTT5QL_myfHmR5kcsDbkG7aYCSrajU0fV4j9Ersd4btmhaq52h6byPWbR-1NVII18Ocb3pfOR45rujeA=w1200|https://lh3.googleusercontent.com/pw/AP1GczNXnBwi-vbgnCOBWUO5Bj0AjSqb3TeY2-zfOZcp_LhFXgONOGLKOrnA8Kf5VcNX8SEEBDfBnshe_Dxeqp8etyOL9v1ThhFdjagb2RI-ccluhL4r15e8=w1200|https://lh3.googleusercontent.com/pw/AP1GczPP4vz3B3RhwrKS4IWuxc6qJW7NEoFvgGA_32FVrszy9LQGMx3x2vbBvkbz3n_1NAc4eTDlzZV1FSNvjR-TwBHBYNBDusMqw-MgRigVUcufLSLpP8Kp=w1200|https://lh3.googleusercontent.com/pw/AP1GczM_jkc9XwMb-WRN3hWEgBv5tdSesMkc66bqengOcCBvkLdDILooyl6JIVpoeFg47zPquEH0fc9nIzJbbYNhTAUVqNr1sp8QBcyWfUdGkdeeAjpzBW11=w1200|https://lh3.googleusercontent.com/pw/AP1GczPRGp1DLAIMdGZlsAbQP7HdlvqG2LSPypbmolOXmfU-ibatmfQGtyPqxdw-v27LFJuumoh1Mx8rKpMhJzfCAHTS0oHl2X4APbdEsMPxzwoKvd2aSCmG=w1200|https://lh3.googleusercontent.com/pw/AP1GczM-DRnpOoweRCFVDsHt3zUYNAzomoAUxsVc5KYrLbZQa7597Z3JKo4CHYAPV5gqbwu37AmjQ7QY0qm50yTztAsUZV1vsRzsO4ciqZURYNKtzq3dH-qW=w1200|https://lh3.googleusercontent.com/pw/AP1GczPkyXxFPla6Bvyk2o1jo2blMDQDfddHQwIVLOMJR_N62ORx8IIZTqjgM5we1jxgHUswIbv1fL3y4RRbrinynOGiUXqQRdBXY0-hpbDEEaFiQYgFzYU5=w1200|https://lh3.googleusercontent.com/pw/AP1GczMxONQz7EQ9Lc00sh-1eappz7N4PGM_pHuOz0Swhira7WpFBmYRY81Pmt51zYx9FCNFwoZv-iVkxaaWr4-ORwNvpU3Oson8vX-uV50eu0kGuXDd4scn=w1200|https://lh3.googleusercontent.com/pw/AP1GczNVqTSwjKHykG-QRqbw298h5lemuY-S2FkaaiSZpUhIVInLNyze6l58LjLuA-jDJYKSnh9Fuu2vBhPJVgOhy_b07LPPnC2i9Q3Yl8go3DDCIc0Saxia=w1200|https://lh3.googleusercontent.com/pw/AP1GczOtAB26VEiYzCzcyQ8Kp6f-VlEp6Qby-w5NiYSBrrRasYaLK5pu4XqTTe-xIMHXZUMSEvMO0cI9X9lz-WKv6h8cHpqCY1moI7LGiEZtmRgkkcb0iQ54=w1200|https://lh3.googleusercontent.com/pw/AP1GczPQEqAxvlJpkTsOAqg9ZqpIa-tdZrlthUkmnDKAB1tOwX5Ghl54XI6SsVRPYo6tOob9gsJuTpVIn_1gDHSwv3Ub83WcTy124iFa0ZYxRLVwCEfTs6S4=w1200|https://lh3.googleusercontent.com/pw/AP1GczPdg4MnN8BJ1Gc2Hbcfc8WuFnztH7cqst2DlBP1r3CcCicqdGcbkxp89PH4xeP7lvEFOP_rHWynnYkUrNb-4E2NPTbbBR27Tc5Sg9SjygOkyICai242=w1200|https://lh3.googleusercontent.com/pw/AP1GczN181Sk39hQpk8h9SOOrXdfholuqQpf5tb8O_wSctC9Xcd5MyFraNtWd5B0bRJUExPtKziJYWsIyQgCy9SAO4xJKygaB-22IxrIVVC6KmintsKnBpLa=w1200|https://lh3.googleusercontent.com/pw/AP1GczMB1iyI_1GvSOXcfj8O8_ZdZaFJ48w4wNykKokC3DZ3q7l8cjtw1b-I7YncMm1rW5_VnHhUixEv15mHPjivioT9DkbmPAnOZpiOxZGNNUS-R1GKcY9C=w1200|https://lh3.googleusercontent.com/pw/AP1GczNwK3Jp_BAF1jMCrsPC-jqAWqOnhKKoXTZOcNMFjZXzhTmezR9ZmTwq5KKiFj7fIoMiz_bxG2vdkyPGYqlE1-P9i3tRdt1LOf5tky9PgfAcA2sUtyDi=w1200|https://lh3.googleusercontent.com/pw/AP1GczPPn7t8elOD0BI8PHOPnW6UXKpeUW0A0jpp4l30n8t0UXxIzFaaQIS1i2MH6lverlgzuIQGkoUErT-7fGkYbUwpBxJ2MZFwcO6a4YNpY9IhF33rZ2uG=w1200</v>
      </c>
      <c r="AJ614" s="46"/>
      <c r="AK614" s="46"/>
      <c r="AL614" s="46"/>
      <c r="AM614" s="46"/>
      <c r="AN614" s="46"/>
      <c r="AO614" s="46"/>
      <c r="AP614" s="46"/>
      <c r="AQ614" s="46"/>
      <c r="AR614" s="46"/>
      <c r="AS614" s="46"/>
      <c r="AT614" s="46"/>
      <c r="AU614" s="46"/>
      <c r="AV614" s="46"/>
      <c r="AW614" s="46"/>
      <c r="AX614" s="46"/>
      <c r="AY614" s="46"/>
      <c r="AZ614" s="46"/>
      <c r="BA614" s="46"/>
      <c r="BB614" s="46"/>
      <c r="BC614" s="46"/>
      <c r="BD614" s="46"/>
      <c r="BE614" s="46"/>
      <c r="BF614" s="46"/>
      <c r="BG614" s="46"/>
      <c r="BH614" s="46"/>
      <c r="BI614" s="46"/>
      <c r="BJ614" s="46"/>
      <c r="BK614" s="46"/>
      <c r="BL614" s="46"/>
      <c r="BM614" s="46"/>
      <c r="BN614" s="46"/>
      <c r="BO614" s="46"/>
      <c r="BP614" s="46"/>
      <c r="BQ614" s="46"/>
      <c r="BR614" s="46"/>
      <c r="BS614" s="46"/>
      <c r="BT614" s="46"/>
      <c r="BU614" s="46"/>
      <c r="BV614" s="46"/>
      <c r="BW614" s="46"/>
      <c r="BX614" s="46"/>
      <c r="BY614" s="46"/>
      <c r="BZ614" s="46"/>
      <c r="CA614" s="46"/>
      <c r="CB614" s="46"/>
      <c r="CC614" s="46"/>
    </row>
    <row r="615">
      <c r="A615" s="87" t="str">
        <f>IFERROR(__xludf.DUMMYFUNCTION("""COMPUTED_VALUE"""),"823")</f>
        <v>823</v>
      </c>
      <c r="B615" s="46" t="str">
        <f>IFERROR(__xludf.DUMMYFUNCTION("""COMPUTED_VALUE"""),"Lote en conjunto Residencial La Orquídea - Rivera ")</f>
        <v>Lote en conjunto Residencial La Orquídea - Rivera </v>
      </c>
      <c r="C615" s="46" t="str">
        <f>IFERROR(__xludf.DUMMYFUNCTION("""COMPUTED_VALUE"""),"Lote en conjunto")</f>
        <v>Lote en conjunto</v>
      </c>
      <c r="D615" s="46" t="str">
        <f>IFERROR(__xludf.DUMMYFUNCTION("""COMPUTED_VALUE"""),"La Orquídea")</f>
        <v>La Orquídea</v>
      </c>
      <c r="E615" s="46"/>
      <c r="F615" s="90">
        <f>IFERROR(__xludf.DUMMYFUNCTION("""COMPUTED_VALUE"""),8.5E7)</f>
        <v>85000000</v>
      </c>
      <c r="G615" s="46"/>
      <c r="H615" s="46"/>
      <c r="I615" s="46"/>
      <c r="J615" s="46" t="str">
        <f>IFERROR(__xludf.DUMMYFUNCTION("""COMPUTED_VALUE"""),"Sur")</f>
        <v>Sur</v>
      </c>
      <c r="K615" s="87"/>
      <c r="L615" s="46">
        <f>IFERROR(__xludf.DUMMYFUNCTION("""COMPUTED_VALUE"""),0.0)</f>
        <v>0</v>
      </c>
      <c r="M615" s="46"/>
      <c r="N615" s="46">
        <f>IFERROR(__xludf.DUMMYFUNCTION("""COMPUTED_VALUE"""),0.0)</f>
        <v>0</v>
      </c>
      <c r="O615" s="46">
        <f>IFERROR(__xludf.DUMMYFUNCTION("""COMPUTED_VALUE"""),0.0)</f>
        <v>0</v>
      </c>
      <c r="P615" s="46">
        <f>IFERROR(__xludf.DUMMYFUNCTION("""COMPUTED_VALUE"""),0.0)</f>
        <v>0</v>
      </c>
      <c r="Q615" s="92">
        <f>IFERROR(__xludf.DUMMYFUNCTION("""COMPUTED_VALUE"""),90.01)</f>
        <v>90.01</v>
      </c>
      <c r="R615" s="92">
        <f>IFERROR(__xludf.DUMMYFUNCTION("""COMPUTED_VALUE"""),90.01)</f>
        <v>90.01</v>
      </c>
      <c r="S615" s="87" t="str">
        <f>IFERROR(__xludf.DUMMYFUNCTION("""COMPUTED_VALUE""")," ")</f>
        <v> </v>
      </c>
      <c r="T615" s="46" t="str">
        <f>IFERROR(__xludf.DUMMYFUNCTION("""COMPUTED_VALUE"""),"Rivera")</f>
        <v>Rivera</v>
      </c>
      <c r="U615" s="87" t="str">
        <f>IFERROR(__xludf.DUMMYFUNCTION("""COMPUTED_VALUE"""),"3")</f>
        <v>3</v>
      </c>
      <c r="V615" s="46" t="str">
        <f>IFERROR(__xludf.DUMMYFUNCTION("""COMPUTED_VALUE"""),"Medianera")</f>
        <v>Medianera</v>
      </c>
      <c r="W615" s="46"/>
      <c r="X615" s="46">
        <f>IFERROR(__xludf.DUMMYFUNCTION("""COMPUTED_VALUE"""),0.0)</f>
        <v>0</v>
      </c>
      <c r="Y615" s="46" t="str">
        <f>IFERROR(__xludf.DUMMYFUNCTION("""COMPUTED_VALUE"""),"Social")</f>
        <v>Social</v>
      </c>
      <c r="Z615" s="90"/>
      <c r="AA615" s="33" t="str">
        <f>IFERROR(__xludf.DUMMYFUNCTION("""COMPUTED_VALUE"""),"No aplica")</f>
        <v>No aplica</v>
      </c>
      <c r="AB615" s="96" t="str">
        <f>IFERROR(__xludf.DUMMYFUNCTION("""COMPUTED_VALUE"""),"https://photos.app.goo.gl/5gPGx5fy2wLrYz8J7")</f>
        <v>https://photos.app.goo.gl/5gPGx5fy2wLrYz8J7</v>
      </c>
      <c r="AC615" s="46" t="str">
        <f>IFERROR(__xludf.DUMMYFUNCTION("""COMPUTED_VALUE"""),"Lote ubicado en el municipio de Rivera Huila, con una extensión de 90.01 m².")</f>
        <v>Lote ubicado en el municipio de Rivera Huila, con una extensión de 90.01 m².</v>
      </c>
      <c r="AD615" s="46" t="str">
        <f>IFERROR(__xludf.DUMMYFUNCTION("""COMPUTED_VALUE"""),"El lote cuenta con la disponibilidad para la instalación y adecuación de servicios públicos (Acueducto, Alcantarillado, Energía Eléctrica Gas).")</f>
        <v>El lote cuenta con la disponibilidad para la instalación y adecuación de servicios públicos (Acueducto, Alcantarillado, Energía Eléctrica Gas).</v>
      </c>
      <c r="AE615" s="46"/>
      <c r="AF615" s="46">
        <f>IFERROR(__xludf.DUMMYFUNCTION("""COMPUTED_VALUE"""),0.0)</f>
        <v>0</v>
      </c>
      <c r="AG615" s="46"/>
      <c r="AH615" s="46" t="str">
        <f>IFERROR(__xludf.DUMMYFUNCTION("""COMPUTED_VALUE"""),"Aliado")</f>
        <v>Aliado</v>
      </c>
      <c r="AI615" s="92" t="str">
        <f>IFERROR(__xludf.DUMMYFUNCTION("""COMPUTED_VALUE"""),"https://lh3.googleusercontent.com/pw/AP1GczPBFjNP2g3mTXLcAJiPr5vx9R5lFfuqMsfqlozJjm4uqer47IZEHWpmQlfIKXdVMGe6tNFX06EBEGcRlqlV29OHhIS7xHeUMmjnhLp7fjQJeaqYl-4M=w1200|https://lh3.googleusercontent.com/pw/AP1GczMUbmRcJSTX4owTZXS_DVV9WJJXfRZD2935cHf_tiWU2tcVEW"&amp;"yYO_B6qyHHv_AHEbVkQBY9y88ECByZmOMYWcJeIaaBIDHYlb3DjzeYs-G3GMRrZKJf=w1200")</f>
        <v>https://lh3.googleusercontent.com/pw/AP1GczPBFjNP2g3mTXLcAJiPr5vx9R5lFfuqMsfqlozJjm4uqer47IZEHWpmQlfIKXdVMGe6tNFX06EBEGcRlqlV29OHhIS7xHeUMmjnhLp7fjQJeaqYl-4M=w1200|https://lh3.googleusercontent.com/pw/AP1GczMUbmRcJSTX4owTZXS_DVV9WJJXfRZD2935cHf_tiWU2tcVEWyYO_B6qyHHv_AHEbVkQBY9y88ECByZmOMYWcJeIaaBIDHYlb3DjzeYs-G3GMRrZKJf=w1200</v>
      </c>
      <c r="AJ615" s="46"/>
      <c r="AK615" s="46"/>
      <c r="AL615" s="46"/>
      <c r="AM615" s="46"/>
      <c r="AN615" s="46"/>
      <c r="AO615" s="46"/>
      <c r="AP615" s="46"/>
      <c r="AQ615" s="46"/>
      <c r="AR615" s="46"/>
      <c r="AS615" s="46"/>
      <c r="AT615" s="46"/>
      <c r="AU615" s="46"/>
      <c r="AV615" s="46"/>
      <c r="AW615" s="46"/>
      <c r="AX615" s="46"/>
      <c r="AY615" s="46"/>
      <c r="AZ615" s="46"/>
      <c r="BA615" s="46"/>
      <c r="BB615" s="46"/>
      <c r="BC615" s="46"/>
      <c r="BD615" s="46"/>
      <c r="BE615" s="46"/>
      <c r="BF615" s="46"/>
      <c r="BG615" s="46"/>
      <c r="BH615" s="46"/>
      <c r="BI615" s="46"/>
      <c r="BJ615" s="46"/>
      <c r="BK615" s="46"/>
      <c r="BL615" s="46"/>
      <c r="BM615" s="46"/>
      <c r="BN615" s="46"/>
      <c r="BO615" s="46"/>
      <c r="BP615" s="46"/>
      <c r="BQ615" s="46"/>
      <c r="BR615" s="46"/>
      <c r="BS615" s="46"/>
      <c r="BT615" s="46"/>
      <c r="BU615" s="46"/>
      <c r="BV615" s="46"/>
      <c r="BW615" s="46"/>
      <c r="BX615" s="46"/>
      <c r="BY615" s="46"/>
      <c r="BZ615" s="46"/>
      <c r="CA615" s="46"/>
      <c r="CB615" s="46"/>
      <c r="CC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c r="AJ616" s="46"/>
      <c r="AK616" s="46"/>
      <c r="AL616" s="46"/>
      <c r="AM616" s="46"/>
      <c r="AN616" s="46"/>
      <c r="AO616" s="46"/>
      <c r="AP616" s="46"/>
      <c r="AQ616" s="46"/>
      <c r="AR616" s="46"/>
      <c r="AS616" s="46"/>
      <c r="AT616" s="46"/>
      <c r="AU616" s="46"/>
      <c r="AV616" s="46"/>
      <c r="AW616" s="46"/>
      <c r="AX616" s="46"/>
      <c r="AY616" s="46"/>
      <c r="AZ616" s="46"/>
      <c r="BA616" s="46"/>
      <c r="BB616" s="46"/>
      <c r="BC616" s="46"/>
      <c r="BD616" s="46"/>
      <c r="BE616" s="46"/>
      <c r="BF616" s="46"/>
      <c r="BG616" s="46"/>
      <c r="BH616" s="46"/>
      <c r="BI616" s="46"/>
      <c r="BJ616" s="46"/>
      <c r="BK616" s="46"/>
      <c r="BL616" s="46"/>
      <c r="BM616" s="46"/>
      <c r="BN616" s="46"/>
      <c r="BO616" s="46"/>
      <c r="BP616" s="46"/>
      <c r="BQ616" s="46"/>
      <c r="BR616" s="46"/>
      <c r="BS616" s="46"/>
      <c r="BT616" s="46"/>
      <c r="BU616" s="46"/>
      <c r="BV616" s="46"/>
      <c r="BW616" s="46"/>
      <c r="BX616" s="46"/>
      <c r="BY616" s="46"/>
      <c r="BZ616" s="46"/>
      <c r="CA616" s="46"/>
      <c r="CB616" s="46"/>
      <c r="CC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c r="AM617" s="46"/>
      <c r="AN617" s="46"/>
      <c r="AO617" s="46"/>
      <c r="AP617" s="46"/>
      <c r="AQ617" s="46"/>
      <c r="AR617" s="46"/>
      <c r="AS617" s="46"/>
      <c r="AT617" s="46"/>
      <c r="AU617" s="46"/>
      <c r="AV617" s="46"/>
      <c r="AW617" s="46"/>
      <c r="AX617" s="46"/>
      <c r="AY617" s="46"/>
      <c r="AZ617" s="46"/>
      <c r="BA617" s="46"/>
      <c r="BB617" s="46"/>
      <c r="BC617" s="46"/>
      <c r="BD617" s="46"/>
      <c r="BE617" s="46"/>
      <c r="BF617" s="46"/>
      <c r="BG617" s="46"/>
      <c r="BH617" s="46"/>
      <c r="BI617" s="46"/>
      <c r="BJ617" s="46"/>
      <c r="BK617" s="46"/>
      <c r="BL617" s="46"/>
      <c r="BM617" s="46"/>
      <c r="BN617" s="46"/>
      <c r="BO617" s="46"/>
      <c r="BP617" s="46"/>
      <c r="BQ617" s="46"/>
      <c r="BR617" s="46"/>
      <c r="BS617" s="46"/>
      <c r="BT617" s="46"/>
      <c r="BU617" s="46"/>
      <c r="BV617" s="46"/>
      <c r="BW617" s="46"/>
      <c r="BX617" s="46"/>
      <c r="BY617" s="46"/>
      <c r="BZ617" s="46"/>
      <c r="CA617" s="46"/>
      <c r="CB617" s="46"/>
      <c r="CC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c r="AM618" s="46"/>
      <c r="AN618" s="46"/>
      <c r="AO618" s="46"/>
      <c r="AP618" s="46"/>
      <c r="AQ618" s="46"/>
      <c r="AR618" s="46"/>
      <c r="AS618" s="46"/>
      <c r="AT618" s="46"/>
      <c r="AU618" s="46"/>
      <c r="AV618" s="46"/>
      <c r="AW618" s="46"/>
      <c r="AX618" s="46"/>
      <c r="AY618" s="46"/>
      <c r="AZ618" s="46"/>
      <c r="BA618" s="46"/>
      <c r="BB618" s="46"/>
      <c r="BC618" s="46"/>
      <c r="BD618" s="46"/>
      <c r="BE618" s="46"/>
      <c r="BF618" s="46"/>
      <c r="BG618" s="46"/>
      <c r="BH618" s="46"/>
      <c r="BI618" s="46"/>
      <c r="BJ618" s="46"/>
      <c r="BK618" s="46"/>
      <c r="BL618" s="46"/>
      <c r="BM618" s="46"/>
      <c r="BN618" s="46"/>
      <c r="BO618" s="46"/>
      <c r="BP618" s="46"/>
      <c r="BQ618" s="46"/>
      <c r="BR618" s="46"/>
      <c r="BS618" s="46"/>
      <c r="BT618" s="46"/>
      <c r="BU618" s="46"/>
      <c r="BV618" s="46"/>
      <c r="BW618" s="46"/>
      <c r="BX618" s="46"/>
      <c r="BY618" s="46"/>
      <c r="BZ618" s="46"/>
      <c r="CA618" s="46"/>
      <c r="CB618" s="46"/>
      <c r="CC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c r="AM619" s="46"/>
      <c r="AN619" s="46"/>
      <c r="AO619" s="46"/>
      <c r="AP619" s="46"/>
      <c r="AQ619" s="46"/>
      <c r="AR619" s="46"/>
      <c r="AS619" s="46"/>
      <c r="AT619" s="46"/>
      <c r="AU619" s="46"/>
      <c r="AV619" s="46"/>
      <c r="AW619" s="46"/>
      <c r="AX619" s="46"/>
      <c r="AY619" s="46"/>
      <c r="AZ619" s="46"/>
      <c r="BA619" s="46"/>
      <c r="BB619" s="46"/>
      <c r="BC619" s="46"/>
      <c r="BD619" s="46"/>
      <c r="BE619" s="46"/>
      <c r="BF619" s="46"/>
      <c r="BG619" s="46"/>
      <c r="BH619" s="46"/>
      <c r="BI619" s="46"/>
      <c r="BJ619" s="46"/>
      <c r="BK619" s="46"/>
      <c r="BL619" s="46"/>
      <c r="BM619" s="46"/>
      <c r="BN619" s="46"/>
      <c r="BO619" s="46"/>
      <c r="BP619" s="46"/>
      <c r="BQ619" s="46"/>
      <c r="BR619" s="46"/>
      <c r="BS619" s="46"/>
      <c r="BT619" s="46"/>
      <c r="BU619" s="46"/>
      <c r="BV619" s="46"/>
      <c r="BW619" s="46"/>
      <c r="BX619" s="46"/>
      <c r="BY619" s="46"/>
      <c r="BZ619" s="46"/>
      <c r="CA619" s="46"/>
      <c r="CB619" s="46"/>
      <c r="CC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c r="AM620" s="46"/>
      <c r="AN620" s="46"/>
      <c r="AO620" s="46"/>
      <c r="AP620" s="46"/>
      <c r="AQ620" s="46"/>
      <c r="AR620" s="46"/>
      <c r="AS620" s="46"/>
      <c r="AT620" s="46"/>
      <c r="AU620" s="46"/>
      <c r="AV620" s="46"/>
      <c r="AW620" s="46"/>
      <c r="AX620" s="46"/>
      <c r="AY620" s="46"/>
      <c r="AZ620" s="46"/>
      <c r="BA620" s="46"/>
      <c r="BB620" s="46"/>
      <c r="BC620" s="46"/>
      <c r="BD620" s="46"/>
      <c r="BE620" s="46"/>
      <c r="BF620" s="46"/>
      <c r="BG620" s="46"/>
      <c r="BH620" s="46"/>
      <c r="BI620" s="46"/>
      <c r="BJ620" s="46"/>
      <c r="BK620" s="46"/>
      <c r="BL620" s="46"/>
      <c r="BM620" s="46"/>
      <c r="BN620" s="46"/>
      <c r="BO620" s="46"/>
      <c r="BP620" s="46"/>
      <c r="BQ620" s="46"/>
      <c r="BR620" s="46"/>
      <c r="BS620" s="46"/>
      <c r="BT620" s="46"/>
      <c r="BU620" s="46"/>
      <c r="BV620" s="46"/>
      <c r="BW620" s="46"/>
      <c r="BX620" s="46"/>
      <c r="BY620" s="46"/>
      <c r="BZ620" s="46"/>
      <c r="CA620" s="46"/>
      <c r="CB620" s="46"/>
      <c r="CC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c r="AJ621" s="46"/>
      <c r="AK621" s="46"/>
      <c r="AL621" s="46"/>
      <c r="AM621" s="46"/>
      <c r="AN621" s="46"/>
      <c r="AO621" s="46"/>
      <c r="AP621" s="46"/>
      <c r="AQ621" s="46"/>
      <c r="AR621" s="46"/>
      <c r="AS621" s="46"/>
      <c r="AT621" s="46"/>
      <c r="AU621" s="46"/>
      <c r="AV621" s="46"/>
      <c r="AW621" s="46"/>
      <c r="AX621" s="46"/>
      <c r="AY621" s="46"/>
      <c r="AZ621" s="46"/>
      <c r="BA621" s="46"/>
      <c r="BB621" s="46"/>
      <c r="BC621" s="46"/>
      <c r="BD621" s="46"/>
      <c r="BE621" s="46"/>
      <c r="BF621" s="46"/>
      <c r="BG621" s="46"/>
      <c r="BH621" s="46"/>
      <c r="BI621" s="46"/>
      <c r="BJ621" s="46"/>
      <c r="BK621" s="46"/>
      <c r="BL621" s="46"/>
      <c r="BM621" s="46"/>
      <c r="BN621" s="46"/>
      <c r="BO621" s="46"/>
      <c r="BP621" s="46"/>
      <c r="BQ621" s="46"/>
      <c r="BR621" s="46"/>
      <c r="BS621" s="46"/>
      <c r="BT621" s="46"/>
      <c r="BU621" s="46"/>
      <c r="BV621" s="46"/>
      <c r="BW621" s="46"/>
      <c r="BX621" s="46"/>
      <c r="BY621" s="46"/>
      <c r="BZ621" s="46"/>
      <c r="CA621" s="46"/>
      <c r="CB621" s="46"/>
      <c r="CC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c r="AM622" s="46"/>
      <c r="AN622" s="46"/>
      <c r="AO622" s="46"/>
      <c r="AP622" s="46"/>
      <c r="AQ622" s="46"/>
      <c r="AR622" s="46"/>
      <c r="AS622" s="46"/>
      <c r="AT622" s="46"/>
      <c r="AU622" s="46"/>
      <c r="AV622" s="46"/>
      <c r="AW622" s="46"/>
      <c r="AX622" s="46"/>
      <c r="AY622" s="46"/>
      <c r="AZ622" s="46"/>
      <c r="BA622" s="46"/>
      <c r="BB622" s="46"/>
      <c r="BC622" s="46"/>
      <c r="BD622" s="46"/>
      <c r="BE622" s="46"/>
      <c r="BF622" s="46"/>
      <c r="BG622" s="46"/>
      <c r="BH622" s="46"/>
      <c r="BI622" s="46"/>
      <c r="BJ622" s="46"/>
      <c r="BK622" s="46"/>
      <c r="BL622" s="46"/>
      <c r="BM622" s="46"/>
      <c r="BN622" s="46"/>
      <c r="BO622" s="46"/>
      <c r="BP622" s="46"/>
      <c r="BQ622" s="46"/>
      <c r="BR622" s="46"/>
      <c r="BS622" s="46"/>
      <c r="BT622" s="46"/>
      <c r="BU622" s="46"/>
      <c r="BV622" s="46"/>
      <c r="BW622" s="46"/>
      <c r="BX622" s="46"/>
      <c r="BY622" s="46"/>
      <c r="BZ622" s="46"/>
      <c r="CA622" s="46"/>
      <c r="CB622" s="46"/>
      <c r="CC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c r="AM623" s="46"/>
      <c r="AN623" s="46"/>
      <c r="AO623" s="46"/>
      <c r="AP623" s="46"/>
      <c r="AQ623" s="46"/>
      <c r="AR623" s="46"/>
      <c r="AS623" s="46"/>
      <c r="AT623" s="46"/>
      <c r="AU623" s="46"/>
      <c r="AV623" s="46"/>
      <c r="AW623" s="46"/>
      <c r="AX623" s="46"/>
      <c r="AY623" s="46"/>
      <c r="AZ623" s="46"/>
      <c r="BA623" s="46"/>
      <c r="BB623" s="46"/>
      <c r="BC623" s="46"/>
      <c r="BD623" s="46"/>
      <c r="BE623" s="46"/>
      <c r="BF623" s="46"/>
      <c r="BG623" s="46"/>
      <c r="BH623" s="46"/>
      <c r="BI623" s="46"/>
      <c r="BJ623" s="46"/>
      <c r="BK623" s="46"/>
      <c r="BL623" s="46"/>
      <c r="BM623" s="46"/>
      <c r="BN623" s="46"/>
      <c r="BO623" s="46"/>
      <c r="BP623" s="46"/>
      <c r="BQ623" s="46"/>
      <c r="BR623" s="46"/>
      <c r="BS623" s="46"/>
      <c r="BT623" s="46"/>
      <c r="BU623" s="46"/>
      <c r="BV623" s="46"/>
      <c r="BW623" s="46"/>
      <c r="BX623" s="46"/>
      <c r="BY623" s="46"/>
      <c r="BZ623" s="46"/>
      <c r="CA623" s="46"/>
      <c r="CB623" s="46"/>
      <c r="CC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c r="AM624" s="46"/>
      <c r="AN624" s="46"/>
      <c r="AO624" s="46"/>
      <c r="AP624" s="46"/>
      <c r="AQ624" s="46"/>
      <c r="AR624" s="46"/>
      <c r="AS624" s="46"/>
      <c r="AT624" s="46"/>
      <c r="AU624" s="46"/>
      <c r="AV624" s="46"/>
      <c r="AW624" s="46"/>
      <c r="AX624" s="46"/>
      <c r="AY624" s="46"/>
      <c r="AZ624" s="46"/>
      <c r="BA624" s="46"/>
      <c r="BB624" s="46"/>
      <c r="BC624" s="46"/>
      <c r="BD624" s="46"/>
      <c r="BE624" s="46"/>
      <c r="BF624" s="46"/>
      <c r="BG624" s="46"/>
      <c r="BH624" s="46"/>
      <c r="BI624" s="46"/>
      <c r="BJ624" s="46"/>
      <c r="BK624" s="46"/>
      <c r="BL624" s="46"/>
      <c r="BM624" s="46"/>
      <c r="BN624" s="46"/>
      <c r="BO624" s="46"/>
      <c r="BP624" s="46"/>
      <c r="BQ624" s="46"/>
      <c r="BR624" s="46"/>
      <c r="BS624" s="46"/>
      <c r="BT624" s="46"/>
      <c r="BU624" s="46"/>
      <c r="BV624" s="46"/>
      <c r="BW624" s="46"/>
      <c r="BX624" s="46"/>
      <c r="BY624" s="46"/>
      <c r="BZ624" s="46"/>
      <c r="CA624" s="46"/>
      <c r="CB624" s="46"/>
      <c r="CC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c r="AM625" s="46"/>
      <c r="AN625" s="46"/>
      <c r="AO625" s="46"/>
      <c r="AP625" s="46"/>
      <c r="AQ625" s="46"/>
      <c r="AR625" s="46"/>
      <c r="AS625" s="46"/>
      <c r="AT625" s="46"/>
      <c r="AU625" s="46"/>
      <c r="AV625" s="46"/>
      <c r="AW625" s="46"/>
      <c r="AX625" s="46"/>
      <c r="AY625" s="46"/>
      <c r="AZ625" s="46"/>
      <c r="BA625" s="46"/>
      <c r="BB625" s="46"/>
      <c r="BC625" s="46"/>
      <c r="BD625" s="46"/>
      <c r="BE625" s="46"/>
      <c r="BF625" s="46"/>
      <c r="BG625" s="46"/>
      <c r="BH625" s="46"/>
      <c r="BI625" s="46"/>
      <c r="BJ625" s="46"/>
      <c r="BK625" s="46"/>
      <c r="BL625" s="46"/>
      <c r="BM625" s="46"/>
      <c r="BN625" s="46"/>
      <c r="BO625" s="46"/>
      <c r="BP625" s="46"/>
      <c r="BQ625" s="46"/>
      <c r="BR625" s="46"/>
      <c r="BS625" s="46"/>
      <c r="BT625" s="46"/>
      <c r="BU625" s="46"/>
      <c r="BV625" s="46"/>
      <c r="BW625" s="46"/>
      <c r="BX625" s="46"/>
      <c r="BY625" s="46"/>
      <c r="BZ625" s="46"/>
      <c r="CA625" s="46"/>
      <c r="CB625" s="46"/>
      <c r="CC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c r="AM626" s="46"/>
      <c r="AN626" s="46"/>
      <c r="AO626" s="46"/>
      <c r="AP626" s="46"/>
      <c r="AQ626" s="46"/>
      <c r="AR626" s="46"/>
      <c r="AS626" s="46"/>
      <c r="AT626" s="46"/>
      <c r="AU626" s="46"/>
      <c r="AV626" s="46"/>
      <c r="AW626" s="46"/>
      <c r="AX626" s="46"/>
      <c r="AY626" s="46"/>
      <c r="AZ626" s="46"/>
      <c r="BA626" s="46"/>
      <c r="BB626" s="46"/>
      <c r="BC626" s="46"/>
      <c r="BD626" s="46"/>
      <c r="BE626" s="46"/>
      <c r="BF626" s="46"/>
      <c r="BG626" s="46"/>
      <c r="BH626" s="46"/>
      <c r="BI626" s="46"/>
      <c r="BJ626" s="46"/>
      <c r="BK626" s="46"/>
      <c r="BL626" s="46"/>
      <c r="BM626" s="46"/>
      <c r="BN626" s="46"/>
      <c r="BO626" s="46"/>
      <c r="BP626" s="46"/>
      <c r="BQ626" s="46"/>
      <c r="BR626" s="46"/>
      <c r="BS626" s="46"/>
      <c r="BT626" s="46"/>
      <c r="BU626" s="46"/>
      <c r="BV626" s="46"/>
      <c r="BW626" s="46"/>
      <c r="BX626" s="46"/>
      <c r="BY626" s="46"/>
      <c r="BZ626" s="46"/>
      <c r="CA626" s="46"/>
      <c r="CB626" s="46"/>
      <c r="CC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c r="AJ627" s="46"/>
      <c r="AK627" s="46"/>
      <c r="AL627" s="46"/>
      <c r="AM627" s="46"/>
      <c r="AN627" s="46"/>
      <c r="AO627" s="46"/>
      <c r="AP627" s="46"/>
      <c r="AQ627" s="46"/>
      <c r="AR627" s="46"/>
      <c r="AS627" s="46"/>
      <c r="AT627" s="46"/>
      <c r="AU627" s="46"/>
      <c r="AV627" s="46"/>
      <c r="AW627" s="46"/>
      <c r="AX627" s="46"/>
      <c r="AY627" s="46"/>
      <c r="AZ627" s="46"/>
      <c r="BA627" s="46"/>
      <c r="BB627" s="46"/>
      <c r="BC627" s="46"/>
      <c r="BD627" s="46"/>
      <c r="BE627" s="46"/>
      <c r="BF627" s="46"/>
      <c r="BG627" s="46"/>
      <c r="BH627" s="46"/>
      <c r="BI627" s="46"/>
      <c r="BJ627" s="46"/>
      <c r="BK627" s="46"/>
      <c r="BL627" s="46"/>
      <c r="BM627" s="46"/>
      <c r="BN627" s="46"/>
      <c r="BO627" s="46"/>
      <c r="BP627" s="46"/>
      <c r="BQ627" s="46"/>
      <c r="BR627" s="46"/>
      <c r="BS627" s="46"/>
      <c r="BT627" s="46"/>
      <c r="BU627" s="46"/>
      <c r="BV627" s="46"/>
      <c r="BW627" s="46"/>
      <c r="BX627" s="46"/>
      <c r="BY627" s="46"/>
      <c r="BZ627" s="46"/>
      <c r="CA627" s="46"/>
      <c r="CB627" s="46"/>
      <c r="CC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c r="AM628" s="46"/>
      <c r="AN628" s="46"/>
      <c r="AO628" s="46"/>
      <c r="AP628" s="46"/>
      <c r="AQ628" s="46"/>
      <c r="AR628" s="46"/>
      <c r="AS628" s="46"/>
      <c r="AT628" s="46"/>
      <c r="AU628" s="46"/>
      <c r="AV628" s="46"/>
      <c r="AW628" s="46"/>
      <c r="AX628" s="46"/>
      <c r="AY628" s="46"/>
      <c r="AZ628" s="46"/>
      <c r="BA628" s="46"/>
      <c r="BB628" s="46"/>
      <c r="BC628" s="46"/>
      <c r="BD628" s="46"/>
      <c r="BE628" s="46"/>
      <c r="BF628" s="46"/>
      <c r="BG628" s="46"/>
      <c r="BH628" s="46"/>
      <c r="BI628" s="46"/>
      <c r="BJ628" s="46"/>
      <c r="BK628" s="46"/>
      <c r="BL628" s="46"/>
      <c r="BM628" s="46"/>
      <c r="BN628" s="46"/>
      <c r="BO628" s="46"/>
      <c r="BP628" s="46"/>
      <c r="BQ628" s="46"/>
      <c r="BR628" s="46"/>
      <c r="BS628" s="46"/>
      <c r="BT628" s="46"/>
      <c r="BU628" s="46"/>
      <c r="BV628" s="46"/>
      <c r="BW628" s="46"/>
      <c r="BX628" s="46"/>
      <c r="BY628" s="46"/>
      <c r="BZ628" s="46"/>
      <c r="CA628" s="46"/>
      <c r="CB628" s="46"/>
      <c r="CC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c r="AM629" s="46"/>
      <c r="AN629" s="46"/>
      <c r="AO629" s="46"/>
      <c r="AP629" s="46"/>
      <c r="AQ629" s="46"/>
      <c r="AR629" s="46"/>
      <c r="AS629" s="46"/>
      <c r="AT629" s="46"/>
      <c r="AU629" s="46"/>
      <c r="AV629" s="46"/>
      <c r="AW629" s="46"/>
      <c r="AX629" s="46"/>
      <c r="AY629" s="46"/>
      <c r="AZ629" s="46"/>
      <c r="BA629" s="46"/>
      <c r="BB629" s="46"/>
      <c r="BC629" s="46"/>
      <c r="BD629" s="46"/>
      <c r="BE629" s="46"/>
      <c r="BF629" s="46"/>
      <c r="BG629" s="46"/>
      <c r="BH629" s="46"/>
      <c r="BI629" s="46"/>
      <c r="BJ629" s="46"/>
      <c r="BK629" s="46"/>
      <c r="BL629" s="46"/>
      <c r="BM629" s="46"/>
      <c r="BN629" s="46"/>
      <c r="BO629" s="46"/>
      <c r="BP629" s="46"/>
      <c r="BQ629" s="46"/>
      <c r="BR629" s="46"/>
      <c r="BS629" s="46"/>
      <c r="BT629" s="46"/>
      <c r="BU629" s="46"/>
      <c r="BV629" s="46"/>
      <c r="BW629" s="46"/>
      <c r="BX629" s="46"/>
      <c r="BY629" s="46"/>
      <c r="BZ629" s="46"/>
      <c r="CA629" s="46"/>
      <c r="CB629" s="46"/>
      <c r="CC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c r="AM630" s="46"/>
      <c r="AN630" s="46"/>
      <c r="AO630" s="46"/>
      <c r="AP630" s="46"/>
      <c r="AQ630" s="46"/>
      <c r="AR630" s="46"/>
      <c r="AS630" s="46"/>
      <c r="AT630" s="46"/>
      <c r="AU630" s="46"/>
      <c r="AV630" s="46"/>
      <c r="AW630" s="46"/>
      <c r="AX630" s="46"/>
      <c r="AY630" s="46"/>
      <c r="AZ630" s="46"/>
      <c r="BA630" s="46"/>
      <c r="BB630" s="46"/>
      <c r="BC630" s="46"/>
      <c r="BD630" s="46"/>
      <c r="BE630" s="46"/>
      <c r="BF630" s="46"/>
      <c r="BG630" s="46"/>
      <c r="BH630" s="46"/>
      <c r="BI630" s="46"/>
      <c r="BJ630" s="46"/>
      <c r="BK630" s="46"/>
      <c r="BL630" s="46"/>
      <c r="BM630" s="46"/>
      <c r="BN630" s="46"/>
      <c r="BO630" s="46"/>
      <c r="BP630" s="46"/>
      <c r="BQ630" s="46"/>
      <c r="BR630" s="46"/>
      <c r="BS630" s="46"/>
      <c r="BT630" s="46"/>
      <c r="BU630" s="46"/>
      <c r="BV630" s="46"/>
      <c r="BW630" s="46"/>
      <c r="BX630" s="46"/>
      <c r="BY630" s="46"/>
      <c r="BZ630" s="46"/>
      <c r="CA630" s="46"/>
      <c r="CB630" s="46"/>
      <c r="CC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c r="AM631" s="46"/>
      <c r="AN631" s="46"/>
      <c r="AO631" s="46"/>
      <c r="AP631" s="46"/>
      <c r="AQ631" s="46"/>
      <c r="AR631" s="46"/>
      <c r="AS631" s="46"/>
      <c r="AT631" s="46"/>
      <c r="AU631" s="46"/>
      <c r="AV631" s="46"/>
      <c r="AW631" s="46"/>
      <c r="AX631" s="46"/>
      <c r="AY631" s="46"/>
      <c r="AZ631" s="46"/>
      <c r="BA631" s="46"/>
      <c r="BB631" s="46"/>
      <c r="BC631" s="46"/>
      <c r="BD631" s="46"/>
      <c r="BE631" s="46"/>
      <c r="BF631" s="46"/>
      <c r="BG631" s="46"/>
      <c r="BH631" s="46"/>
      <c r="BI631" s="46"/>
      <c r="BJ631" s="46"/>
      <c r="BK631" s="46"/>
      <c r="BL631" s="46"/>
      <c r="BM631" s="46"/>
      <c r="BN631" s="46"/>
      <c r="BO631" s="46"/>
      <c r="BP631" s="46"/>
      <c r="BQ631" s="46"/>
      <c r="BR631" s="46"/>
      <c r="BS631" s="46"/>
      <c r="BT631" s="46"/>
      <c r="BU631" s="46"/>
      <c r="BV631" s="46"/>
      <c r="BW631" s="46"/>
      <c r="BX631" s="46"/>
      <c r="BY631" s="46"/>
      <c r="BZ631" s="46"/>
      <c r="CA631" s="46"/>
      <c r="CB631" s="46"/>
      <c r="CC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c r="AM632" s="46"/>
      <c r="AN632" s="46"/>
      <c r="AO632" s="46"/>
      <c r="AP632" s="46"/>
      <c r="AQ632" s="46"/>
      <c r="AR632" s="46"/>
      <c r="AS632" s="46"/>
      <c r="AT632" s="46"/>
      <c r="AU632" s="46"/>
      <c r="AV632" s="46"/>
      <c r="AW632" s="46"/>
      <c r="AX632" s="46"/>
      <c r="AY632" s="46"/>
      <c r="AZ632" s="46"/>
      <c r="BA632" s="46"/>
      <c r="BB632" s="46"/>
      <c r="BC632" s="46"/>
      <c r="BD632" s="46"/>
      <c r="BE632" s="46"/>
      <c r="BF632" s="46"/>
      <c r="BG632" s="46"/>
      <c r="BH632" s="46"/>
      <c r="BI632" s="46"/>
      <c r="BJ632" s="46"/>
      <c r="BK632" s="46"/>
      <c r="BL632" s="46"/>
      <c r="BM632" s="46"/>
      <c r="BN632" s="46"/>
      <c r="BO632" s="46"/>
      <c r="BP632" s="46"/>
      <c r="BQ632" s="46"/>
      <c r="BR632" s="46"/>
      <c r="BS632" s="46"/>
      <c r="BT632" s="46"/>
      <c r="BU632" s="46"/>
      <c r="BV632" s="46"/>
      <c r="BW632" s="46"/>
      <c r="BX632" s="46"/>
      <c r="BY632" s="46"/>
      <c r="BZ632" s="46"/>
      <c r="CA632" s="46"/>
      <c r="CB632" s="46"/>
      <c r="CC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c r="AM633" s="46"/>
      <c r="AN633" s="46"/>
      <c r="AO633" s="46"/>
      <c r="AP633" s="46"/>
      <c r="AQ633" s="46"/>
      <c r="AR633" s="46"/>
      <c r="AS633" s="46"/>
      <c r="AT633" s="46"/>
      <c r="AU633" s="46"/>
      <c r="AV633" s="46"/>
      <c r="AW633" s="46"/>
      <c r="AX633" s="46"/>
      <c r="AY633" s="46"/>
      <c r="AZ633" s="46"/>
      <c r="BA633" s="46"/>
      <c r="BB633" s="46"/>
      <c r="BC633" s="46"/>
      <c r="BD633" s="46"/>
      <c r="BE633" s="46"/>
      <c r="BF633" s="46"/>
      <c r="BG633" s="46"/>
      <c r="BH633" s="46"/>
      <c r="BI633" s="46"/>
      <c r="BJ633" s="46"/>
      <c r="BK633" s="46"/>
      <c r="BL633" s="46"/>
      <c r="BM633" s="46"/>
      <c r="BN633" s="46"/>
      <c r="BO633" s="46"/>
      <c r="BP633" s="46"/>
      <c r="BQ633" s="46"/>
      <c r="BR633" s="46"/>
      <c r="BS633" s="46"/>
      <c r="BT633" s="46"/>
      <c r="BU633" s="46"/>
      <c r="BV633" s="46"/>
      <c r="BW633" s="46"/>
      <c r="BX633" s="46"/>
      <c r="BY633" s="46"/>
      <c r="BZ633" s="46"/>
      <c r="CA633" s="46"/>
      <c r="CB633" s="46"/>
      <c r="CC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c r="AM634" s="46"/>
      <c r="AN634" s="46"/>
      <c r="AO634" s="46"/>
      <c r="AP634" s="46"/>
      <c r="AQ634" s="46"/>
      <c r="AR634" s="46"/>
      <c r="AS634" s="46"/>
      <c r="AT634" s="46"/>
      <c r="AU634" s="46"/>
      <c r="AV634" s="46"/>
      <c r="AW634" s="46"/>
      <c r="AX634" s="46"/>
      <c r="AY634" s="46"/>
      <c r="AZ634" s="46"/>
      <c r="BA634" s="46"/>
      <c r="BB634" s="46"/>
      <c r="BC634" s="46"/>
      <c r="BD634" s="46"/>
      <c r="BE634" s="46"/>
      <c r="BF634" s="46"/>
      <c r="BG634" s="46"/>
      <c r="BH634" s="46"/>
      <c r="BI634" s="46"/>
      <c r="BJ634" s="46"/>
      <c r="BK634" s="46"/>
      <c r="BL634" s="46"/>
      <c r="BM634" s="46"/>
      <c r="BN634" s="46"/>
      <c r="BO634" s="46"/>
      <c r="BP634" s="46"/>
      <c r="BQ634" s="46"/>
      <c r="BR634" s="46"/>
      <c r="BS634" s="46"/>
      <c r="BT634" s="46"/>
      <c r="BU634" s="46"/>
      <c r="BV634" s="46"/>
      <c r="BW634" s="46"/>
      <c r="BX634" s="46"/>
      <c r="BY634" s="46"/>
      <c r="BZ634" s="46"/>
      <c r="CA634" s="46"/>
      <c r="CB634" s="46"/>
      <c r="CC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c r="AM635" s="46"/>
      <c r="AN635" s="46"/>
      <c r="AO635" s="46"/>
      <c r="AP635" s="46"/>
      <c r="AQ635" s="46"/>
      <c r="AR635" s="46"/>
      <c r="AS635" s="46"/>
      <c r="AT635" s="46"/>
      <c r="AU635" s="46"/>
      <c r="AV635" s="46"/>
      <c r="AW635" s="46"/>
      <c r="AX635" s="46"/>
      <c r="AY635" s="46"/>
      <c r="AZ635" s="46"/>
      <c r="BA635" s="46"/>
      <c r="BB635" s="46"/>
      <c r="BC635" s="46"/>
      <c r="BD635" s="46"/>
      <c r="BE635" s="46"/>
      <c r="BF635" s="46"/>
      <c r="BG635" s="46"/>
      <c r="BH635" s="46"/>
      <c r="BI635" s="46"/>
      <c r="BJ635" s="46"/>
      <c r="BK635" s="46"/>
      <c r="BL635" s="46"/>
      <c r="BM635" s="46"/>
      <c r="BN635" s="46"/>
      <c r="BO635" s="46"/>
      <c r="BP635" s="46"/>
      <c r="BQ635" s="46"/>
      <c r="BR635" s="46"/>
      <c r="BS635" s="46"/>
      <c r="BT635" s="46"/>
      <c r="BU635" s="46"/>
      <c r="BV635" s="46"/>
      <c r="BW635" s="46"/>
      <c r="BX635" s="46"/>
      <c r="BY635" s="46"/>
      <c r="BZ635" s="46"/>
      <c r="CA635" s="46"/>
      <c r="CB635" s="46"/>
      <c r="CC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c r="AM636" s="46"/>
      <c r="AN636" s="46"/>
      <c r="AO636" s="46"/>
      <c r="AP636" s="46"/>
      <c r="AQ636" s="46"/>
      <c r="AR636" s="46"/>
      <c r="AS636" s="46"/>
      <c r="AT636" s="46"/>
      <c r="AU636" s="46"/>
      <c r="AV636" s="46"/>
      <c r="AW636" s="46"/>
      <c r="AX636" s="46"/>
      <c r="AY636" s="46"/>
      <c r="AZ636" s="46"/>
      <c r="BA636" s="46"/>
      <c r="BB636" s="46"/>
      <c r="BC636" s="46"/>
      <c r="BD636" s="46"/>
      <c r="BE636" s="46"/>
      <c r="BF636" s="46"/>
      <c r="BG636" s="46"/>
      <c r="BH636" s="46"/>
      <c r="BI636" s="46"/>
      <c r="BJ636" s="46"/>
      <c r="BK636" s="46"/>
      <c r="BL636" s="46"/>
      <c r="BM636" s="46"/>
      <c r="BN636" s="46"/>
      <c r="BO636" s="46"/>
      <c r="BP636" s="46"/>
      <c r="BQ636" s="46"/>
      <c r="BR636" s="46"/>
      <c r="BS636" s="46"/>
      <c r="BT636" s="46"/>
      <c r="BU636" s="46"/>
      <c r="BV636" s="46"/>
      <c r="BW636" s="46"/>
      <c r="BX636" s="46"/>
      <c r="BY636" s="46"/>
      <c r="BZ636" s="46"/>
      <c r="CA636" s="46"/>
      <c r="CB636" s="46"/>
      <c r="CC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c r="AM637" s="46"/>
      <c r="AN637" s="46"/>
      <c r="AO637" s="46"/>
      <c r="AP637" s="46"/>
      <c r="AQ637" s="46"/>
      <c r="AR637" s="46"/>
      <c r="AS637" s="46"/>
      <c r="AT637" s="46"/>
      <c r="AU637" s="46"/>
      <c r="AV637" s="46"/>
      <c r="AW637" s="46"/>
      <c r="AX637" s="46"/>
      <c r="AY637" s="46"/>
      <c r="AZ637" s="46"/>
      <c r="BA637" s="46"/>
      <c r="BB637" s="46"/>
      <c r="BC637" s="46"/>
      <c r="BD637" s="46"/>
      <c r="BE637" s="46"/>
      <c r="BF637" s="46"/>
      <c r="BG637" s="46"/>
      <c r="BH637" s="46"/>
      <c r="BI637" s="46"/>
      <c r="BJ637" s="46"/>
      <c r="BK637" s="46"/>
      <c r="BL637" s="46"/>
      <c r="BM637" s="46"/>
      <c r="BN637" s="46"/>
      <c r="BO637" s="46"/>
      <c r="BP637" s="46"/>
      <c r="BQ637" s="46"/>
      <c r="BR637" s="46"/>
      <c r="BS637" s="46"/>
      <c r="BT637" s="46"/>
      <c r="BU637" s="46"/>
      <c r="BV637" s="46"/>
      <c r="BW637" s="46"/>
      <c r="BX637" s="46"/>
      <c r="BY637" s="46"/>
      <c r="BZ637" s="46"/>
      <c r="CA637" s="46"/>
      <c r="CB637" s="46"/>
      <c r="CC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c r="AM638" s="46"/>
      <c r="AN638" s="46"/>
      <c r="AO638" s="46"/>
      <c r="AP638" s="46"/>
      <c r="AQ638" s="46"/>
      <c r="AR638" s="46"/>
      <c r="AS638" s="46"/>
      <c r="AT638" s="46"/>
      <c r="AU638" s="46"/>
      <c r="AV638" s="46"/>
      <c r="AW638" s="46"/>
      <c r="AX638" s="46"/>
      <c r="AY638" s="46"/>
      <c r="AZ638" s="46"/>
      <c r="BA638" s="46"/>
      <c r="BB638" s="46"/>
      <c r="BC638" s="46"/>
      <c r="BD638" s="46"/>
      <c r="BE638" s="46"/>
      <c r="BF638" s="46"/>
      <c r="BG638" s="46"/>
      <c r="BH638" s="46"/>
      <c r="BI638" s="46"/>
      <c r="BJ638" s="46"/>
      <c r="BK638" s="46"/>
      <c r="BL638" s="46"/>
      <c r="BM638" s="46"/>
      <c r="BN638" s="46"/>
      <c r="BO638" s="46"/>
      <c r="BP638" s="46"/>
      <c r="BQ638" s="46"/>
      <c r="BR638" s="46"/>
      <c r="BS638" s="46"/>
      <c r="BT638" s="46"/>
      <c r="BU638" s="46"/>
      <c r="BV638" s="46"/>
      <c r="BW638" s="46"/>
      <c r="BX638" s="46"/>
      <c r="BY638" s="46"/>
      <c r="BZ638" s="46"/>
      <c r="CA638" s="46"/>
      <c r="CB638" s="46"/>
      <c r="CC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c r="AM639" s="46"/>
      <c r="AN639" s="46"/>
      <c r="AO639" s="46"/>
      <c r="AP639" s="46"/>
      <c r="AQ639" s="46"/>
      <c r="AR639" s="46"/>
      <c r="AS639" s="46"/>
      <c r="AT639" s="46"/>
      <c r="AU639" s="46"/>
      <c r="AV639" s="46"/>
      <c r="AW639" s="46"/>
      <c r="AX639" s="46"/>
      <c r="AY639" s="46"/>
      <c r="AZ639" s="46"/>
      <c r="BA639" s="46"/>
      <c r="BB639" s="46"/>
      <c r="BC639" s="46"/>
      <c r="BD639" s="46"/>
      <c r="BE639" s="46"/>
      <c r="BF639" s="46"/>
      <c r="BG639" s="46"/>
      <c r="BH639" s="46"/>
      <c r="BI639" s="46"/>
      <c r="BJ639" s="46"/>
      <c r="BK639" s="46"/>
      <c r="BL639" s="46"/>
      <c r="BM639" s="46"/>
      <c r="BN639" s="46"/>
      <c r="BO639" s="46"/>
      <c r="BP639" s="46"/>
      <c r="BQ639" s="46"/>
      <c r="BR639" s="46"/>
      <c r="BS639" s="46"/>
      <c r="BT639" s="46"/>
      <c r="BU639" s="46"/>
      <c r="BV639" s="46"/>
      <c r="BW639" s="46"/>
      <c r="BX639" s="46"/>
      <c r="BY639" s="46"/>
      <c r="BZ639" s="46"/>
      <c r="CA639" s="46"/>
      <c r="CB639" s="46"/>
      <c r="CC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c r="AM640" s="46"/>
      <c r="AN640" s="46"/>
      <c r="AO640" s="46"/>
      <c r="AP640" s="46"/>
      <c r="AQ640" s="46"/>
      <c r="AR640" s="46"/>
      <c r="AS640" s="46"/>
      <c r="AT640" s="46"/>
      <c r="AU640" s="46"/>
      <c r="AV640" s="46"/>
      <c r="AW640" s="46"/>
      <c r="AX640" s="46"/>
      <c r="AY640" s="46"/>
      <c r="AZ640" s="46"/>
      <c r="BA640" s="46"/>
      <c r="BB640" s="46"/>
      <c r="BC640" s="46"/>
      <c r="BD640" s="46"/>
      <c r="BE640" s="46"/>
      <c r="BF640" s="46"/>
      <c r="BG640" s="46"/>
      <c r="BH640" s="46"/>
      <c r="BI640" s="46"/>
      <c r="BJ640" s="46"/>
      <c r="BK640" s="46"/>
      <c r="BL640" s="46"/>
      <c r="BM640" s="46"/>
      <c r="BN640" s="46"/>
      <c r="BO640" s="46"/>
      <c r="BP640" s="46"/>
      <c r="BQ640" s="46"/>
      <c r="BR640" s="46"/>
      <c r="BS640" s="46"/>
      <c r="BT640" s="46"/>
      <c r="BU640" s="46"/>
      <c r="BV640" s="46"/>
      <c r="BW640" s="46"/>
      <c r="BX640" s="46"/>
      <c r="BY640" s="46"/>
      <c r="BZ640" s="46"/>
      <c r="CA640" s="46"/>
      <c r="CB640" s="46"/>
      <c r="CC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c r="AM641" s="46"/>
      <c r="AN641" s="46"/>
      <c r="AO641" s="46"/>
      <c r="AP641" s="46"/>
      <c r="AQ641" s="46"/>
      <c r="AR641" s="46"/>
      <c r="AS641" s="46"/>
      <c r="AT641" s="46"/>
      <c r="AU641" s="46"/>
      <c r="AV641" s="46"/>
      <c r="AW641" s="46"/>
      <c r="AX641" s="46"/>
      <c r="AY641" s="46"/>
      <c r="AZ641" s="46"/>
      <c r="BA641" s="46"/>
      <c r="BB641" s="46"/>
      <c r="BC641" s="46"/>
      <c r="BD641" s="46"/>
      <c r="BE641" s="46"/>
      <c r="BF641" s="46"/>
      <c r="BG641" s="46"/>
      <c r="BH641" s="46"/>
      <c r="BI641" s="46"/>
      <c r="BJ641" s="46"/>
      <c r="BK641" s="46"/>
      <c r="BL641" s="46"/>
      <c r="BM641" s="46"/>
      <c r="BN641" s="46"/>
      <c r="BO641" s="46"/>
      <c r="BP641" s="46"/>
      <c r="BQ641" s="46"/>
      <c r="BR641" s="46"/>
      <c r="BS641" s="46"/>
      <c r="BT641" s="46"/>
      <c r="BU641" s="46"/>
      <c r="BV641" s="46"/>
      <c r="BW641" s="46"/>
      <c r="BX641" s="46"/>
      <c r="BY641" s="46"/>
      <c r="BZ641" s="46"/>
      <c r="CA641" s="46"/>
      <c r="CB641" s="46"/>
      <c r="CC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c r="AM642" s="46"/>
      <c r="AN642" s="46"/>
      <c r="AO642" s="46"/>
      <c r="AP642" s="46"/>
      <c r="AQ642" s="46"/>
      <c r="AR642" s="46"/>
      <c r="AS642" s="46"/>
      <c r="AT642" s="46"/>
      <c r="AU642" s="46"/>
      <c r="AV642" s="46"/>
      <c r="AW642" s="46"/>
      <c r="AX642" s="46"/>
      <c r="AY642" s="46"/>
      <c r="AZ642" s="46"/>
      <c r="BA642" s="46"/>
      <c r="BB642" s="46"/>
      <c r="BC642" s="46"/>
      <c r="BD642" s="46"/>
      <c r="BE642" s="46"/>
      <c r="BF642" s="46"/>
      <c r="BG642" s="46"/>
      <c r="BH642" s="46"/>
      <c r="BI642" s="46"/>
      <c r="BJ642" s="46"/>
      <c r="BK642" s="46"/>
      <c r="BL642" s="46"/>
      <c r="BM642" s="46"/>
      <c r="BN642" s="46"/>
      <c r="BO642" s="46"/>
      <c r="BP642" s="46"/>
      <c r="BQ642" s="46"/>
      <c r="BR642" s="46"/>
      <c r="BS642" s="46"/>
      <c r="BT642" s="46"/>
      <c r="BU642" s="46"/>
      <c r="BV642" s="46"/>
      <c r="BW642" s="46"/>
      <c r="BX642" s="46"/>
      <c r="BY642" s="46"/>
      <c r="BZ642" s="46"/>
      <c r="CA642" s="46"/>
      <c r="CB642" s="46"/>
      <c r="CC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c r="AJ643" s="46"/>
      <c r="AK643" s="46"/>
      <c r="AL643" s="46"/>
      <c r="AM643" s="46"/>
      <c r="AN643" s="46"/>
      <c r="AO643" s="46"/>
      <c r="AP643" s="46"/>
      <c r="AQ643" s="46"/>
      <c r="AR643" s="46"/>
      <c r="AS643" s="46"/>
      <c r="AT643" s="46"/>
      <c r="AU643" s="46"/>
      <c r="AV643" s="46"/>
      <c r="AW643" s="46"/>
      <c r="AX643" s="46"/>
      <c r="AY643" s="46"/>
      <c r="AZ643" s="46"/>
      <c r="BA643" s="46"/>
      <c r="BB643" s="46"/>
      <c r="BC643" s="46"/>
      <c r="BD643" s="46"/>
      <c r="BE643" s="46"/>
      <c r="BF643" s="46"/>
      <c r="BG643" s="46"/>
      <c r="BH643" s="46"/>
      <c r="BI643" s="46"/>
      <c r="BJ643" s="46"/>
      <c r="BK643" s="46"/>
      <c r="BL643" s="46"/>
      <c r="BM643" s="46"/>
      <c r="BN643" s="46"/>
      <c r="BO643" s="46"/>
      <c r="BP643" s="46"/>
      <c r="BQ643" s="46"/>
      <c r="BR643" s="46"/>
      <c r="BS643" s="46"/>
      <c r="BT643" s="46"/>
      <c r="BU643" s="46"/>
      <c r="BV643" s="46"/>
      <c r="BW643" s="46"/>
      <c r="BX643" s="46"/>
      <c r="BY643" s="46"/>
      <c r="BZ643" s="46"/>
      <c r="CA643" s="46"/>
      <c r="CB643" s="46"/>
      <c r="CC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c r="AJ644" s="46"/>
      <c r="AK644" s="46"/>
      <c r="AL644" s="46"/>
      <c r="AM644" s="46"/>
      <c r="AN644" s="46"/>
      <c r="AO644" s="46"/>
      <c r="AP644" s="46"/>
      <c r="AQ644" s="46"/>
      <c r="AR644" s="46"/>
      <c r="AS644" s="46"/>
      <c r="AT644" s="46"/>
      <c r="AU644" s="46"/>
      <c r="AV644" s="46"/>
      <c r="AW644" s="46"/>
      <c r="AX644" s="46"/>
      <c r="AY644" s="46"/>
      <c r="AZ644" s="46"/>
      <c r="BA644" s="46"/>
      <c r="BB644" s="46"/>
      <c r="BC644" s="46"/>
      <c r="BD644" s="46"/>
      <c r="BE644" s="46"/>
      <c r="BF644" s="46"/>
      <c r="BG644" s="46"/>
      <c r="BH644" s="46"/>
      <c r="BI644" s="46"/>
      <c r="BJ644" s="46"/>
      <c r="BK644" s="46"/>
      <c r="BL644" s="46"/>
      <c r="BM644" s="46"/>
      <c r="BN644" s="46"/>
      <c r="BO644" s="46"/>
      <c r="BP644" s="46"/>
      <c r="BQ644" s="46"/>
      <c r="BR644" s="46"/>
      <c r="BS644" s="46"/>
      <c r="BT644" s="46"/>
      <c r="BU644" s="46"/>
      <c r="BV644" s="46"/>
      <c r="BW644" s="46"/>
      <c r="BX644" s="46"/>
      <c r="BY644" s="46"/>
      <c r="BZ644" s="46"/>
      <c r="CA644" s="46"/>
      <c r="CB644" s="46"/>
      <c r="CC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c r="AJ645" s="46"/>
      <c r="AK645" s="46"/>
      <c r="AL645" s="46"/>
      <c r="AM645" s="46"/>
      <c r="AN645" s="46"/>
      <c r="AO645" s="46"/>
      <c r="AP645" s="46"/>
      <c r="AQ645" s="46"/>
      <c r="AR645" s="46"/>
      <c r="AS645" s="46"/>
      <c r="AT645" s="46"/>
      <c r="AU645" s="46"/>
      <c r="AV645" s="46"/>
      <c r="AW645" s="46"/>
      <c r="AX645" s="46"/>
      <c r="AY645" s="46"/>
      <c r="AZ645" s="46"/>
      <c r="BA645" s="46"/>
      <c r="BB645" s="46"/>
      <c r="BC645" s="46"/>
      <c r="BD645" s="46"/>
      <c r="BE645" s="46"/>
      <c r="BF645" s="46"/>
      <c r="BG645" s="46"/>
      <c r="BH645" s="46"/>
      <c r="BI645" s="46"/>
      <c r="BJ645" s="46"/>
      <c r="BK645" s="46"/>
      <c r="BL645" s="46"/>
      <c r="BM645" s="46"/>
      <c r="BN645" s="46"/>
      <c r="BO645" s="46"/>
      <c r="BP645" s="46"/>
      <c r="BQ645" s="46"/>
      <c r="BR645" s="46"/>
      <c r="BS645" s="46"/>
      <c r="BT645" s="46"/>
      <c r="BU645" s="46"/>
      <c r="BV645" s="46"/>
      <c r="BW645" s="46"/>
      <c r="BX645" s="46"/>
      <c r="BY645" s="46"/>
      <c r="BZ645" s="46"/>
      <c r="CA645" s="46"/>
      <c r="CB645" s="46"/>
      <c r="CC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c r="AJ646" s="46"/>
      <c r="AK646" s="46"/>
      <c r="AL646" s="46"/>
      <c r="AM646" s="46"/>
      <c r="AN646" s="46"/>
      <c r="AO646" s="46"/>
      <c r="AP646" s="46"/>
      <c r="AQ646" s="46"/>
      <c r="AR646" s="46"/>
      <c r="AS646" s="46"/>
      <c r="AT646" s="46"/>
      <c r="AU646" s="46"/>
      <c r="AV646" s="46"/>
      <c r="AW646" s="46"/>
      <c r="AX646" s="46"/>
      <c r="AY646" s="46"/>
      <c r="AZ646" s="46"/>
      <c r="BA646" s="46"/>
      <c r="BB646" s="46"/>
      <c r="BC646" s="46"/>
      <c r="BD646" s="46"/>
      <c r="BE646" s="46"/>
      <c r="BF646" s="46"/>
      <c r="BG646" s="46"/>
      <c r="BH646" s="46"/>
      <c r="BI646" s="46"/>
      <c r="BJ646" s="46"/>
      <c r="BK646" s="46"/>
      <c r="BL646" s="46"/>
      <c r="BM646" s="46"/>
      <c r="BN646" s="46"/>
      <c r="BO646" s="46"/>
      <c r="BP646" s="46"/>
      <c r="BQ646" s="46"/>
      <c r="BR646" s="46"/>
      <c r="BS646" s="46"/>
      <c r="BT646" s="46"/>
      <c r="BU646" s="46"/>
      <c r="BV646" s="46"/>
      <c r="BW646" s="46"/>
      <c r="BX646" s="46"/>
      <c r="BY646" s="46"/>
      <c r="BZ646" s="46"/>
      <c r="CA646" s="46"/>
      <c r="CB646" s="46"/>
      <c r="CC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c r="AJ647" s="46"/>
      <c r="AK647" s="46"/>
      <c r="AL647" s="46"/>
      <c r="AM647" s="46"/>
      <c r="AN647" s="46"/>
      <c r="AO647" s="46"/>
      <c r="AP647" s="46"/>
      <c r="AQ647" s="46"/>
      <c r="AR647" s="46"/>
      <c r="AS647" s="46"/>
      <c r="AT647" s="46"/>
      <c r="AU647" s="46"/>
      <c r="AV647" s="46"/>
      <c r="AW647" s="46"/>
      <c r="AX647" s="46"/>
      <c r="AY647" s="46"/>
      <c r="AZ647" s="46"/>
      <c r="BA647" s="46"/>
      <c r="BB647" s="46"/>
      <c r="BC647" s="46"/>
      <c r="BD647" s="46"/>
      <c r="BE647" s="46"/>
      <c r="BF647" s="46"/>
      <c r="BG647" s="46"/>
      <c r="BH647" s="46"/>
      <c r="BI647" s="46"/>
      <c r="BJ647" s="46"/>
      <c r="BK647" s="46"/>
      <c r="BL647" s="46"/>
      <c r="BM647" s="46"/>
      <c r="BN647" s="46"/>
      <c r="BO647" s="46"/>
      <c r="BP647" s="46"/>
      <c r="BQ647" s="46"/>
      <c r="BR647" s="46"/>
      <c r="BS647" s="46"/>
      <c r="BT647" s="46"/>
      <c r="BU647" s="46"/>
      <c r="BV647" s="46"/>
      <c r="BW647" s="46"/>
      <c r="BX647" s="46"/>
      <c r="BY647" s="46"/>
      <c r="BZ647" s="46"/>
      <c r="CA647" s="46"/>
      <c r="CB647" s="46"/>
      <c r="CC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c r="AJ648" s="46"/>
      <c r="AK648" s="46"/>
      <c r="AL648" s="46"/>
      <c r="AM648" s="46"/>
      <c r="AN648" s="46"/>
      <c r="AO648" s="46"/>
      <c r="AP648" s="46"/>
      <c r="AQ648" s="46"/>
      <c r="AR648" s="46"/>
      <c r="AS648" s="46"/>
      <c r="AT648" s="46"/>
      <c r="AU648" s="46"/>
      <c r="AV648" s="46"/>
      <c r="AW648" s="46"/>
      <c r="AX648" s="46"/>
      <c r="AY648" s="46"/>
      <c r="AZ648" s="46"/>
      <c r="BA648" s="46"/>
      <c r="BB648" s="46"/>
      <c r="BC648" s="46"/>
      <c r="BD648" s="46"/>
      <c r="BE648" s="46"/>
      <c r="BF648" s="46"/>
      <c r="BG648" s="46"/>
      <c r="BH648" s="46"/>
      <c r="BI648" s="46"/>
      <c r="BJ648" s="46"/>
      <c r="BK648" s="46"/>
      <c r="BL648" s="46"/>
      <c r="BM648" s="46"/>
      <c r="BN648" s="46"/>
      <c r="BO648" s="46"/>
      <c r="BP648" s="46"/>
      <c r="BQ648" s="46"/>
      <c r="BR648" s="46"/>
      <c r="BS648" s="46"/>
      <c r="BT648" s="46"/>
      <c r="BU648" s="46"/>
      <c r="BV648" s="46"/>
      <c r="BW648" s="46"/>
      <c r="BX648" s="46"/>
      <c r="BY648" s="46"/>
      <c r="BZ648" s="46"/>
      <c r="CA648" s="46"/>
      <c r="CB648" s="46"/>
      <c r="CC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c r="AJ649" s="46"/>
      <c r="AK649" s="46"/>
      <c r="AL649" s="46"/>
      <c r="AM649" s="46"/>
      <c r="AN649" s="46"/>
      <c r="AO649" s="46"/>
      <c r="AP649" s="46"/>
      <c r="AQ649" s="46"/>
      <c r="AR649" s="46"/>
      <c r="AS649" s="46"/>
      <c r="AT649" s="46"/>
      <c r="AU649" s="46"/>
      <c r="AV649" s="46"/>
      <c r="AW649" s="46"/>
      <c r="AX649" s="46"/>
      <c r="AY649" s="46"/>
      <c r="AZ649" s="46"/>
      <c r="BA649" s="46"/>
      <c r="BB649" s="46"/>
      <c r="BC649" s="46"/>
      <c r="BD649" s="46"/>
      <c r="BE649" s="46"/>
      <c r="BF649" s="46"/>
      <c r="BG649" s="46"/>
      <c r="BH649" s="46"/>
      <c r="BI649" s="46"/>
      <c r="BJ649" s="46"/>
      <c r="BK649" s="46"/>
      <c r="BL649" s="46"/>
      <c r="BM649" s="46"/>
      <c r="BN649" s="46"/>
      <c r="BO649" s="46"/>
      <c r="BP649" s="46"/>
      <c r="BQ649" s="46"/>
      <c r="BR649" s="46"/>
      <c r="BS649" s="46"/>
      <c r="BT649" s="46"/>
      <c r="BU649" s="46"/>
      <c r="BV649" s="46"/>
      <c r="BW649" s="46"/>
      <c r="BX649" s="46"/>
      <c r="BY649" s="46"/>
      <c r="BZ649" s="46"/>
      <c r="CA649" s="46"/>
      <c r="CB649" s="46"/>
      <c r="CC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c r="AJ650" s="46"/>
      <c r="AK650" s="46"/>
      <c r="AL650" s="46"/>
      <c r="AM650" s="46"/>
      <c r="AN650" s="46"/>
      <c r="AO650" s="46"/>
      <c r="AP650" s="46"/>
      <c r="AQ650" s="46"/>
      <c r="AR650" s="46"/>
      <c r="AS650" s="46"/>
      <c r="AT650" s="46"/>
      <c r="AU650" s="46"/>
      <c r="AV650" s="46"/>
      <c r="AW650" s="46"/>
      <c r="AX650" s="46"/>
      <c r="AY650" s="46"/>
      <c r="AZ650" s="46"/>
      <c r="BA650" s="46"/>
      <c r="BB650" s="46"/>
      <c r="BC650" s="46"/>
      <c r="BD650" s="46"/>
      <c r="BE650" s="46"/>
      <c r="BF650" s="46"/>
      <c r="BG650" s="46"/>
      <c r="BH650" s="46"/>
      <c r="BI650" s="46"/>
      <c r="BJ650" s="46"/>
      <c r="BK650" s="46"/>
      <c r="BL650" s="46"/>
      <c r="BM650" s="46"/>
      <c r="BN650" s="46"/>
      <c r="BO650" s="46"/>
      <c r="BP650" s="46"/>
      <c r="BQ650" s="46"/>
      <c r="BR650" s="46"/>
      <c r="BS650" s="46"/>
      <c r="BT650" s="46"/>
      <c r="BU650" s="46"/>
      <c r="BV650" s="46"/>
      <c r="BW650" s="46"/>
      <c r="BX650" s="46"/>
      <c r="BY650" s="46"/>
      <c r="BZ650" s="46"/>
      <c r="CA650" s="46"/>
      <c r="CB650" s="46"/>
      <c r="CC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c r="AJ651" s="46"/>
      <c r="AK651" s="46"/>
      <c r="AL651" s="46"/>
      <c r="AM651" s="46"/>
      <c r="AN651" s="46"/>
      <c r="AO651" s="46"/>
      <c r="AP651" s="46"/>
      <c r="AQ651" s="46"/>
      <c r="AR651" s="46"/>
      <c r="AS651" s="46"/>
      <c r="AT651" s="46"/>
      <c r="AU651" s="46"/>
      <c r="AV651" s="46"/>
      <c r="AW651" s="46"/>
      <c r="AX651" s="46"/>
      <c r="AY651" s="46"/>
      <c r="AZ651" s="46"/>
      <c r="BA651" s="46"/>
      <c r="BB651" s="46"/>
      <c r="BC651" s="46"/>
      <c r="BD651" s="46"/>
      <c r="BE651" s="46"/>
      <c r="BF651" s="46"/>
      <c r="BG651" s="46"/>
      <c r="BH651" s="46"/>
      <c r="BI651" s="46"/>
      <c r="BJ651" s="46"/>
      <c r="BK651" s="46"/>
      <c r="BL651" s="46"/>
      <c r="BM651" s="46"/>
      <c r="BN651" s="46"/>
      <c r="BO651" s="46"/>
      <c r="BP651" s="46"/>
      <c r="BQ651" s="46"/>
      <c r="BR651" s="46"/>
      <c r="BS651" s="46"/>
      <c r="BT651" s="46"/>
      <c r="BU651" s="46"/>
      <c r="BV651" s="46"/>
      <c r="BW651" s="46"/>
      <c r="BX651" s="46"/>
      <c r="BY651" s="46"/>
      <c r="BZ651" s="46"/>
      <c r="CA651" s="46"/>
      <c r="CB651" s="46"/>
      <c r="CC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c r="AJ652" s="46"/>
      <c r="AK652" s="46"/>
      <c r="AL652" s="46"/>
      <c r="AM652" s="46"/>
      <c r="AN652" s="46"/>
      <c r="AO652" s="46"/>
      <c r="AP652" s="46"/>
      <c r="AQ652" s="46"/>
      <c r="AR652" s="46"/>
      <c r="AS652" s="46"/>
      <c r="AT652" s="46"/>
      <c r="AU652" s="46"/>
      <c r="AV652" s="46"/>
      <c r="AW652" s="46"/>
      <c r="AX652" s="46"/>
      <c r="AY652" s="46"/>
      <c r="AZ652" s="46"/>
      <c r="BA652" s="46"/>
      <c r="BB652" s="46"/>
      <c r="BC652" s="46"/>
      <c r="BD652" s="46"/>
      <c r="BE652" s="46"/>
      <c r="BF652" s="46"/>
      <c r="BG652" s="46"/>
      <c r="BH652" s="46"/>
      <c r="BI652" s="46"/>
      <c r="BJ652" s="46"/>
      <c r="BK652" s="46"/>
      <c r="BL652" s="46"/>
      <c r="BM652" s="46"/>
      <c r="BN652" s="46"/>
      <c r="BO652" s="46"/>
      <c r="BP652" s="46"/>
      <c r="BQ652" s="46"/>
      <c r="BR652" s="46"/>
      <c r="BS652" s="46"/>
      <c r="BT652" s="46"/>
      <c r="BU652" s="46"/>
      <c r="BV652" s="46"/>
      <c r="BW652" s="46"/>
      <c r="BX652" s="46"/>
      <c r="BY652" s="46"/>
      <c r="BZ652" s="46"/>
      <c r="CA652" s="46"/>
      <c r="CB652" s="46"/>
      <c r="CC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c r="AM653" s="46"/>
      <c r="AN653" s="46"/>
      <c r="AO653" s="46"/>
      <c r="AP653" s="46"/>
      <c r="AQ653" s="46"/>
      <c r="AR653" s="46"/>
      <c r="AS653" s="46"/>
      <c r="AT653" s="46"/>
      <c r="AU653" s="46"/>
      <c r="AV653" s="46"/>
      <c r="AW653" s="46"/>
      <c r="AX653" s="46"/>
      <c r="AY653" s="46"/>
      <c r="AZ653" s="46"/>
      <c r="BA653" s="46"/>
      <c r="BB653" s="46"/>
      <c r="BC653" s="46"/>
      <c r="BD653" s="46"/>
      <c r="BE653" s="46"/>
      <c r="BF653" s="46"/>
      <c r="BG653" s="46"/>
      <c r="BH653" s="46"/>
      <c r="BI653" s="46"/>
      <c r="BJ653" s="46"/>
      <c r="BK653" s="46"/>
      <c r="BL653" s="46"/>
      <c r="BM653" s="46"/>
      <c r="BN653" s="46"/>
      <c r="BO653" s="46"/>
      <c r="BP653" s="46"/>
      <c r="BQ653" s="46"/>
      <c r="BR653" s="46"/>
      <c r="BS653" s="46"/>
      <c r="BT653" s="46"/>
      <c r="BU653" s="46"/>
      <c r="BV653" s="46"/>
      <c r="BW653" s="46"/>
      <c r="BX653" s="46"/>
      <c r="BY653" s="46"/>
      <c r="BZ653" s="46"/>
      <c r="CA653" s="46"/>
      <c r="CB653" s="46"/>
      <c r="CC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c r="AM654" s="46"/>
      <c r="AN654" s="46"/>
      <c r="AO654" s="46"/>
      <c r="AP654" s="46"/>
      <c r="AQ654" s="46"/>
      <c r="AR654" s="46"/>
      <c r="AS654" s="46"/>
      <c r="AT654" s="46"/>
      <c r="AU654" s="46"/>
      <c r="AV654" s="46"/>
      <c r="AW654" s="46"/>
      <c r="AX654" s="46"/>
      <c r="AY654" s="46"/>
      <c r="AZ654" s="46"/>
      <c r="BA654" s="46"/>
      <c r="BB654" s="46"/>
      <c r="BC654" s="46"/>
      <c r="BD654" s="46"/>
      <c r="BE654" s="46"/>
      <c r="BF654" s="46"/>
      <c r="BG654" s="46"/>
      <c r="BH654" s="46"/>
      <c r="BI654" s="46"/>
      <c r="BJ654" s="46"/>
      <c r="BK654" s="46"/>
      <c r="BL654" s="46"/>
      <c r="BM654" s="46"/>
      <c r="BN654" s="46"/>
      <c r="BO654" s="46"/>
      <c r="BP654" s="46"/>
      <c r="BQ654" s="46"/>
      <c r="BR654" s="46"/>
      <c r="BS654" s="46"/>
      <c r="BT654" s="46"/>
      <c r="BU654" s="46"/>
      <c r="BV654" s="46"/>
      <c r="BW654" s="46"/>
      <c r="BX654" s="46"/>
      <c r="BY654" s="46"/>
      <c r="BZ654" s="46"/>
      <c r="CA654" s="46"/>
      <c r="CB654" s="46"/>
      <c r="CC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c r="AJ655" s="46"/>
      <c r="AK655" s="46"/>
      <c r="AL655" s="46"/>
      <c r="AM655" s="46"/>
      <c r="AN655" s="46"/>
      <c r="AO655" s="46"/>
      <c r="AP655" s="46"/>
      <c r="AQ655" s="46"/>
      <c r="AR655" s="46"/>
      <c r="AS655" s="46"/>
      <c r="AT655" s="46"/>
      <c r="AU655" s="46"/>
      <c r="AV655" s="46"/>
      <c r="AW655" s="46"/>
      <c r="AX655" s="46"/>
      <c r="AY655" s="46"/>
      <c r="AZ655" s="46"/>
      <c r="BA655" s="46"/>
      <c r="BB655" s="46"/>
      <c r="BC655" s="46"/>
      <c r="BD655" s="46"/>
      <c r="BE655" s="46"/>
      <c r="BF655" s="46"/>
      <c r="BG655" s="46"/>
      <c r="BH655" s="46"/>
      <c r="BI655" s="46"/>
      <c r="BJ655" s="46"/>
      <c r="BK655" s="46"/>
      <c r="BL655" s="46"/>
      <c r="BM655" s="46"/>
      <c r="BN655" s="46"/>
      <c r="BO655" s="46"/>
      <c r="BP655" s="46"/>
      <c r="BQ655" s="46"/>
      <c r="BR655" s="46"/>
      <c r="BS655" s="46"/>
      <c r="BT655" s="46"/>
      <c r="BU655" s="46"/>
      <c r="BV655" s="46"/>
      <c r="BW655" s="46"/>
      <c r="BX655" s="46"/>
      <c r="BY655" s="46"/>
      <c r="BZ655" s="46"/>
      <c r="CA655" s="46"/>
      <c r="CB655" s="46"/>
      <c r="CC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c r="AJ656" s="46"/>
      <c r="AK656" s="46"/>
      <c r="AL656" s="46"/>
      <c r="AM656" s="46"/>
      <c r="AN656" s="46"/>
      <c r="AO656" s="46"/>
      <c r="AP656" s="46"/>
      <c r="AQ656" s="46"/>
      <c r="AR656" s="46"/>
      <c r="AS656" s="46"/>
      <c r="AT656" s="46"/>
      <c r="AU656" s="46"/>
      <c r="AV656" s="46"/>
      <c r="AW656" s="46"/>
      <c r="AX656" s="46"/>
      <c r="AY656" s="46"/>
      <c r="AZ656" s="46"/>
      <c r="BA656" s="46"/>
      <c r="BB656" s="46"/>
      <c r="BC656" s="46"/>
      <c r="BD656" s="46"/>
      <c r="BE656" s="46"/>
      <c r="BF656" s="46"/>
      <c r="BG656" s="46"/>
      <c r="BH656" s="46"/>
      <c r="BI656" s="46"/>
      <c r="BJ656" s="46"/>
      <c r="BK656" s="46"/>
      <c r="BL656" s="46"/>
      <c r="BM656" s="46"/>
      <c r="BN656" s="46"/>
      <c r="BO656" s="46"/>
      <c r="BP656" s="46"/>
      <c r="BQ656" s="46"/>
      <c r="BR656" s="46"/>
      <c r="BS656" s="46"/>
      <c r="BT656" s="46"/>
      <c r="BU656" s="46"/>
      <c r="BV656" s="46"/>
      <c r="BW656" s="46"/>
      <c r="BX656" s="46"/>
      <c r="BY656" s="46"/>
      <c r="BZ656" s="46"/>
      <c r="CA656" s="46"/>
      <c r="CB656" s="46"/>
      <c r="CC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c r="AJ657" s="46"/>
      <c r="AK657" s="46"/>
      <c r="AL657" s="46"/>
      <c r="AM657" s="46"/>
      <c r="AN657" s="46"/>
      <c r="AO657" s="46"/>
      <c r="AP657" s="46"/>
      <c r="AQ657" s="46"/>
      <c r="AR657" s="46"/>
      <c r="AS657" s="46"/>
      <c r="AT657" s="46"/>
      <c r="AU657" s="46"/>
      <c r="AV657" s="46"/>
      <c r="AW657" s="46"/>
      <c r="AX657" s="46"/>
      <c r="AY657" s="46"/>
      <c r="AZ657" s="46"/>
      <c r="BA657" s="46"/>
      <c r="BB657" s="46"/>
      <c r="BC657" s="46"/>
      <c r="BD657" s="46"/>
      <c r="BE657" s="46"/>
      <c r="BF657" s="46"/>
      <c r="BG657" s="46"/>
      <c r="BH657" s="46"/>
      <c r="BI657" s="46"/>
      <c r="BJ657" s="46"/>
      <c r="BK657" s="46"/>
      <c r="BL657" s="46"/>
      <c r="BM657" s="46"/>
      <c r="BN657" s="46"/>
      <c r="BO657" s="46"/>
      <c r="BP657" s="46"/>
      <c r="BQ657" s="46"/>
      <c r="BR657" s="46"/>
      <c r="BS657" s="46"/>
      <c r="BT657" s="46"/>
      <c r="BU657" s="46"/>
      <c r="BV657" s="46"/>
      <c r="BW657" s="46"/>
      <c r="BX657" s="46"/>
      <c r="BY657" s="46"/>
      <c r="BZ657" s="46"/>
      <c r="CA657" s="46"/>
      <c r="CB657" s="46"/>
      <c r="CC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c r="AM658" s="46"/>
      <c r="AN658" s="46"/>
      <c r="AO658" s="46"/>
      <c r="AP658" s="46"/>
      <c r="AQ658" s="46"/>
      <c r="AR658" s="46"/>
      <c r="AS658" s="46"/>
      <c r="AT658" s="46"/>
      <c r="AU658" s="46"/>
      <c r="AV658" s="46"/>
      <c r="AW658" s="46"/>
      <c r="AX658" s="46"/>
      <c r="AY658" s="46"/>
      <c r="AZ658" s="46"/>
      <c r="BA658" s="46"/>
      <c r="BB658" s="46"/>
      <c r="BC658" s="46"/>
      <c r="BD658" s="46"/>
      <c r="BE658" s="46"/>
      <c r="BF658" s="46"/>
      <c r="BG658" s="46"/>
      <c r="BH658" s="46"/>
      <c r="BI658" s="46"/>
      <c r="BJ658" s="46"/>
      <c r="BK658" s="46"/>
      <c r="BL658" s="46"/>
      <c r="BM658" s="46"/>
      <c r="BN658" s="46"/>
      <c r="BO658" s="46"/>
      <c r="BP658" s="46"/>
      <c r="BQ658" s="46"/>
      <c r="BR658" s="46"/>
      <c r="BS658" s="46"/>
      <c r="BT658" s="46"/>
      <c r="BU658" s="46"/>
      <c r="BV658" s="46"/>
      <c r="BW658" s="46"/>
      <c r="BX658" s="46"/>
      <c r="BY658" s="46"/>
      <c r="BZ658" s="46"/>
      <c r="CA658" s="46"/>
      <c r="CB658" s="46"/>
      <c r="CC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c r="AM659" s="46"/>
      <c r="AN659" s="46"/>
      <c r="AO659" s="46"/>
      <c r="AP659" s="46"/>
      <c r="AQ659" s="46"/>
      <c r="AR659" s="46"/>
      <c r="AS659" s="46"/>
      <c r="AT659" s="46"/>
      <c r="AU659" s="46"/>
      <c r="AV659" s="46"/>
      <c r="AW659" s="46"/>
      <c r="AX659" s="46"/>
      <c r="AY659" s="46"/>
      <c r="AZ659" s="46"/>
      <c r="BA659" s="46"/>
      <c r="BB659" s="46"/>
      <c r="BC659" s="46"/>
      <c r="BD659" s="46"/>
      <c r="BE659" s="46"/>
      <c r="BF659" s="46"/>
      <c r="BG659" s="46"/>
      <c r="BH659" s="46"/>
      <c r="BI659" s="46"/>
      <c r="BJ659" s="46"/>
      <c r="BK659" s="46"/>
      <c r="BL659" s="46"/>
      <c r="BM659" s="46"/>
      <c r="BN659" s="46"/>
      <c r="BO659" s="46"/>
      <c r="BP659" s="46"/>
      <c r="BQ659" s="46"/>
      <c r="BR659" s="46"/>
      <c r="BS659" s="46"/>
      <c r="BT659" s="46"/>
      <c r="BU659" s="46"/>
      <c r="BV659" s="46"/>
      <c r="BW659" s="46"/>
      <c r="BX659" s="46"/>
      <c r="BY659" s="46"/>
      <c r="BZ659" s="46"/>
      <c r="CA659" s="46"/>
      <c r="CB659" s="46"/>
      <c r="CC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c r="AJ660" s="46"/>
      <c r="AK660" s="46"/>
      <c r="AL660" s="46"/>
      <c r="AM660" s="46"/>
      <c r="AN660" s="46"/>
      <c r="AO660" s="46"/>
      <c r="AP660" s="46"/>
      <c r="AQ660" s="46"/>
      <c r="AR660" s="46"/>
      <c r="AS660" s="46"/>
      <c r="AT660" s="46"/>
      <c r="AU660" s="46"/>
      <c r="AV660" s="46"/>
      <c r="AW660" s="46"/>
      <c r="AX660" s="46"/>
      <c r="AY660" s="46"/>
      <c r="AZ660" s="46"/>
      <c r="BA660" s="46"/>
      <c r="BB660" s="46"/>
      <c r="BC660" s="46"/>
      <c r="BD660" s="46"/>
      <c r="BE660" s="46"/>
      <c r="BF660" s="46"/>
      <c r="BG660" s="46"/>
      <c r="BH660" s="46"/>
      <c r="BI660" s="46"/>
      <c r="BJ660" s="46"/>
      <c r="BK660" s="46"/>
      <c r="BL660" s="46"/>
      <c r="BM660" s="46"/>
      <c r="BN660" s="46"/>
      <c r="BO660" s="46"/>
      <c r="BP660" s="46"/>
      <c r="BQ660" s="46"/>
      <c r="BR660" s="46"/>
      <c r="BS660" s="46"/>
      <c r="BT660" s="46"/>
      <c r="BU660" s="46"/>
      <c r="BV660" s="46"/>
      <c r="BW660" s="46"/>
      <c r="BX660" s="46"/>
      <c r="BY660" s="46"/>
      <c r="BZ660" s="46"/>
      <c r="CA660" s="46"/>
      <c r="CB660" s="46"/>
      <c r="CC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c r="AJ661" s="46"/>
      <c r="AK661" s="46"/>
      <c r="AL661" s="46"/>
      <c r="AM661" s="46"/>
      <c r="AN661" s="46"/>
      <c r="AO661" s="46"/>
      <c r="AP661" s="46"/>
      <c r="AQ661" s="46"/>
      <c r="AR661" s="46"/>
      <c r="AS661" s="46"/>
      <c r="AT661" s="46"/>
      <c r="AU661" s="46"/>
      <c r="AV661" s="46"/>
      <c r="AW661" s="46"/>
      <c r="AX661" s="46"/>
      <c r="AY661" s="46"/>
      <c r="AZ661" s="46"/>
      <c r="BA661" s="46"/>
      <c r="BB661" s="46"/>
      <c r="BC661" s="46"/>
      <c r="BD661" s="46"/>
      <c r="BE661" s="46"/>
      <c r="BF661" s="46"/>
      <c r="BG661" s="46"/>
      <c r="BH661" s="46"/>
      <c r="BI661" s="46"/>
      <c r="BJ661" s="46"/>
      <c r="BK661" s="46"/>
      <c r="BL661" s="46"/>
      <c r="BM661" s="46"/>
      <c r="BN661" s="46"/>
      <c r="BO661" s="46"/>
      <c r="BP661" s="46"/>
      <c r="BQ661" s="46"/>
      <c r="BR661" s="46"/>
      <c r="BS661" s="46"/>
      <c r="BT661" s="46"/>
      <c r="BU661" s="46"/>
      <c r="BV661" s="46"/>
      <c r="BW661" s="46"/>
      <c r="BX661" s="46"/>
      <c r="BY661" s="46"/>
      <c r="BZ661" s="46"/>
      <c r="CA661" s="46"/>
      <c r="CB661" s="46"/>
      <c r="CC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c r="AJ662" s="46"/>
      <c r="AK662" s="46"/>
      <c r="AL662" s="46"/>
      <c r="AM662" s="46"/>
      <c r="AN662" s="46"/>
      <c r="AO662" s="46"/>
      <c r="AP662" s="46"/>
      <c r="AQ662" s="46"/>
      <c r="AR662" s="46"/>
      <c r="AS662" s="46"/>
      <c r="AT662" s="46"/>
      <c r="AU662" s="46"/>
      <c r="AV662" s="46"/>
      <c r="AW662" s="46"/>
      <c r="AX662" s="46"/>
      <c r="AY662" s="46"/>
      <c r="AZ662" s="46"/>
      <c r="BA662" s="46"/>
      <c r="BB662" s="46"/>
      <c r="BC662" s="46"/>
      <c r="BD662" s="46"/>
      <c r="BE662" s="46"/>
      <c r="BF662" s="46"/>
      <c r="BG662" s="46"/>
      <c r="BH662" s="46"/>
      <c r="BI662" s="46"/>
      <c r="BJ662" s="46"/>
      <c r="BK662" s="46"/>
      <c r="BL662" s="46"/>
      <c r="BM662" s="46"/>
      <c r="BN662" s="46"/>
      <c r="BO662" s="46"/>
      <c r="BP662" s="46"/>
      <c r="BQ662" s="46"/>
      <c r="BR662" s="46"/>
      <c r="BS662" s="46"/>
      <c r="BT662" s="46"/>
      <c r="BU662" s="46"/>
      <c r="BV662" s="46"/>
      <c r="BW662" s="46"/>
      <c r="BX662" s="46"/>
      <c r="BY662" s="46"/>
      <c r="BZ662" s="46"/>
      <c r="CA662" s="46"/>
      <c r="CB662" s="46"/>
      <c r="CC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c r="AM663" s="46"/>
      <c r="AN663" s="46"/>
      <c r="AO663" s="46"/>
      <c r="AP663" s="46"/>
      <c r="AQ663" s="46"/>
      <c r="AR663" s="46"/>
      <c r="AS663" s="46"/>
      <c r="AT663" s="46"/>
      <c r="AU663" s="46"/>
      <c r="AV663" s="46"/>
      <c r="AW663" s="46"/>
      <c r="AX663" s="46"/>
      <c r="AY663" s="46"/>
      <c r="AZ663" s="46"/>
      <c r="BA663" s="46"/>
      <c r="BB663" s="46"/>
      <c r="BC663" s="46"/>
      <c r="BD663" s="46"/>
      <c r="BE663" s="46"/>
      <c r="BF663" s="46"/>
      <c r="BG663" s="46"/>
      <c r="BH663" s="46"/>
      <c r="BI663" s="46"/>
      <c r="BJ663" s="46"/>
      <c r="BK663" s="46"/>
      <c r="BL663" s="46"/>
      <c r="BM663" s="46"/>
      <c r="BN663" s="46"/>
      <c r="BO663" s="46"/>
      <c r="BP663" s="46"/>
      <c r="BQ663" s="46"/>
      <c r="BR663" s="46"/>
      <c r="BS663" s="46"/>
      <c r="BT663" s="46"/>
      <c r="BU663" s="46"/>
      <c r="BV663" s="46"/>
      <c r="BW663" s="46"/>
      <c r="BX663" s="46"/>
      <c r="BY663" s="46"/>
      <c r="BZ663" s="46"/>
      <c r="CA663" s="46"/>
      <c r="CB663" s="46"/>
      <c r="CC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c r="AM664" s="46"/>
      <c r="AN664" s="46"/>
      <c r="AO664" s="46"/>
      <c r="AP664" s="46"/>
      <c r="AQ664" s="46"/>
      <c r="AR664" s="46"/>
      <c r="AS664" s="46"/>
      <c r="AT664" s="46"/>
      <c r="AU664" s="46"/>
      <c r="AV664" s="46"/>
      <c r="AW664" s="46"/>
      <c r="AX664" s="46"/>
      <c r="AY664" s="46"/>
      <c r="AZ664" s="46"/>
      <c r="BA664" s="46"/>
      <c r="BB664" s="46"/>
      <c r="BC664" s="46"/>
      <c r="BD664" s="46"/>
      <c r="BE664" s="46"/>
      <c r="BF664" s="46"/>
      <c r="BG664" s="46"/>
      <c r="BH664" s="46"/>
      <c r="BI664" s="46"/>
      <c r="BJ664" s="46"/>
      <c r="BK664" s="46"/>
      <c r="BL664" s="46"/>
      <c r="BM664" s="46"/>
      <c r="BN664" s="46"/>
      <c r="BO664" s="46"/>
      <c r="BP664" s="46"/>
      <c r="BQ664" s="46"/>
      <c r="BR664" s="46"/>
      <c r="BS664" s="46"/>
      <c r="BT664" s="46"/>
      <c r="BU664" s="46"/>
      <c r="BV664" s="46"/>
      <c r="BW664" s="46"/>
      <c r="BX664" s="46"/>
      <c r="BY664" s="46"/>
      <c r="BZ664" s="46"/>
      <c r="CA664" s="46"/>
      <c r="CB664" s="46"/>
      <c r="CC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c r="AJ665" s="46"/>
      <c r="AK665" s="46"/>
      <c r="AL665" s="46"/>
      <c r="AM665" s="46"/>
      <c r="AN665" s="46"/>
      <c r="AO665" s="46"/>
      <c r="AP665" s="46"/>
      <c r="AQ665" s="46"/>
      <c r="AR665" s="46"/>
      <c r="AS665" s="46"/>
      <c r="AT665" s="46"/>
      <c r="AU665" s="46"/>
      <c r="AV665" s="46"/>
      <c r="AW665" s="46"/>
      <c r="AX665" s="46"/>
      <c r="AY665" s="46"/>
      <c r="AZ665" s="46"/>
      <c r="BA665" s="46"/>
      <c r="BB665" s="46"/>
      <c r="BC665" s="46"/>
      <c r="BD665" s="46"/>
      <c r="BE665" s="46"/>
      <c r="BF665" s="46"/>
      <c r="BG665" s="46"/>
      <c r="BH665" s="46"/>
      <c r="BI665" s="46"/>
      <c r="BJ665" s="46"/>
      <c r="BK665" s="46"/>
      <c r="BL665" s="46"/>
      <c r="BM665" s="46"/>
      <c r="BN665" s="46"/>
      <c r="BO665" s="46"/>
      <c r="BP665" s="46"/>
      <c r="BQ665" s="46"/>
      <c r="BR665" s="46"/>
      <c r="BS665" s="46"/>
      <c r="BT665" s="46"/>
      <c r="BU665" s="46"/>
      <c r="BV665" s="46"/>
      <c r="BW665" s="46"/>
      <c r="BX665" s="46"/>
      <c r="BY665" s="46"/>
      <c r="BZ665" s="46"/>
      <c r="CA665" s="46"/>
      <c r="CB665" s="46"/>
      <c r="CC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c r="AJ666" s="46"/>
      <c r="AK666" s="46"/>
      <c r="AL666" s="46"/>
      <c r="AM666" s="46"/>
      <c r="AN666" s="46"/>
      <c r="AO666" s="46"/>
      <c r="AP666" s="46"/>
      <c r="AQ666" s="46"/>
      <c r="AR666" s="46"/>
      <c r="AS666" s="46"/>
      <c r="AT666" s="46"/>
      <c r="AU666" s="46"/>
      <c r="AV666" s="46"/>
      <c r="AW666" s="46"/>
      <c r="AX666" s="46"/>
      <c r="AY666" s="46"/>
      <c r="AZ666" s="46"/>
      <c r="BA666" s="46"/>
      <c r="BB666" s="46"/>
      <c r="BC666" s="46"/>
      <c r="BD666" s="46"/>
      <c r="BE666" s="46"/>
      <c r="BF666" s="46"/>
      <c r="BG666" s="46"/>
      <c r="BH666" s="46"/>
      <c r="BI666" s="46"/>
      <c r="BJ666" s="46"/>
      <c r="BK666" s="46"/>
      <c r="BL666" s="46"/>
      <c r="BM666" s="46"/>
      <c r="BN666" s="46"/>
      <c r="BO666" s="46"/>
      <c r="BP666" s="46"/>
      <c r="BQ666" s="46"/>
      <c r="BR666" s="46"/>
      <c r="BS666" s="46"/>
      <c r="BT666" s="46"/>
      <c r="BU666" s="46"/>
      <c r="BV666" s="46"/>
      <c r="BW666" s="46"/>
      <c r="BX666" s="46"/>
      <c r="BY666" s="46"/>
      <c r="BZ666" s="46"/>
      <c r="CA666" s="46"/>
      <c r="CB666" s="46"/>
      <c r="CC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c r="AM667" s="46"/>
      <c r="AN667" s="46"/>
      <c r="AO667" s="46"/>
      <c r="AP667" s="46"/>
      <c r="AQ667" s="46"/>
      <c r="AR667" s="46"/>
      <c r="AS667" s="46"/>
      <c r="AT667" s="46"/>
      <c r="AU667" s="46"/>
      <c r="AV667" s="46"/>
      <c r="AW667" s="46"/>
      <c r="AX667" s="46"/>
      <c r="AY667" s="46"/>
      <c r="AZ667" s="46"/>
      <c r="BA667" s="46"/>
      <c r="BB667" s="46"/>
      <c r="BC667" s="46"/>
      <c r="BD667" s="46"/>
      <c r="BE667" s="46"/>
      <c r="BF667" s="46"/>
      <c r="BG667" s="46"/>
      <c r="BH667" s="46"/>
      <c r="BI667" s="46"/>
      <c r="BJ667" s="46"/>
      <c r="BK667" s="46"/>
      <c r="BL667" s="46"/>
      <c r="BM667" s="46"/>
      <c r="BN667" s="46"/>
      <c r="BO667" s="46"/>
      <c r="BP667" s="46"/>
      <c r="BQ667" s="46"/>
      <c r="BR667" s="46"/>
      <c r="BS667" s="46"/>
      <c r="BT667" s="46"/>
      <c r="BU667" s="46"/>
      <c r="BV667" s="46"/>
      <c r="BW667" s="46"/>
      <c r="BX667" s="46"/>
      <c r="BY667" s="46"/>
      <c r="BZ667" s="46"/>
      <c r="CA667" s="46"/>
      <c r="CB667" s="46"/>
      <c r="CC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c r="AM668" s="46"/>
      <c r="AN668" s="46"/>
      <c r="AO668" s="46"/>
      <c r="AP668" s="46"/>
      <c r="AQ668" s="46"/>
      <c r="AR668" s="46"/>
      <c r="AS668" s="46"/>
      <c r="AT668" s="46"/>
      <c r="AU668" s="46"/>
      <c r="AV668" s="46"/>
      <c r="AW668" s="46"/>
      <c r="AX668" s="46"/>
      <c r="AY668" s="46"/>
      <c r="AZ668" s="46"/>
      <c r="BA668" s="46"/>
      <c r="BB668" s="46"/>
      <c r="BC668" s="46"/>
      <c r="BD668" s="46"/>
      <c r="BE668" s="46"/>
      <c r="BF668" s="46"/>
      <c r="BG668" s="46"/>
      <c r="BH668" s="46"/>
      <c r="BI668" s="46"/>
      <c r="BJ668" s="46"/>
      <c r="BK668" s="46"/>
      <c r="BL668" s="46"/>
      <c r="BM668" s="46"/>
      <c r="BN668" s="46"/>
      <c r="BO668" s="46"/>
      <c r="BP668" s="46"/>
      <c r="BQ668" s="46"/>
      <c r="BR668" s="46"/>
      <c r="BS668" s="46"/>
      <c r="BT668" s="46"/>
      <c r="BU668" s="46"/>
      <c r="BV668" s="46"/>
      <c r="BW668" s="46"/>
      <c r="BX668" s="46"/>
      <c r="BY668" s="46"/>
      <c r="BZ668" s="46"/>
      <c r="CA668" s="46"/>
      <c r="CB668" s="46"/>
      <c r="CC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c r="AJ669" s="46"/>
      <c r="AK669" s="46"/>
      <c r="AL669" s="46"/>
      <c r="AM669" s="46"/>
      <c r="AN669" s="46"/>
      <c r="AO669" s="46"/>
      <c r="AP669" s="46"/>
      <c r="AQ669" s="46"/>
      <c r="AR669" s="46"/>
      <c r="AS669" s="46"/>
      <c r="AT669" s="46"/>
      <c r="AU669" s="46"/>
      <c r="AV669" s="46"/>
      <c r="AW669" s="46"/>
      <c r="AX669" s="46"/>
      <c r="AY669" s="46"/>
      <c r="AZ669" s="46"/>
      <c r="BA669" s="46"/>
      <c r="BB669" s="46"/>
      <c r="BC669" s="46"/>
      <c r="BD669" s="46"/>
      <c r="BE669" s="46"/>
      <c r="BF669" s="46"/>
      <c r="BG669" s="46"/>
      <c r="BH669" s="46"/>
      <c r="BI669" s="46"/>
      <c r="BJ669" s="46"/>
      <c r="BK669" s="46"/>
      <c r="BL669" s="46"/>
      <c r="BM669" s="46"/>
      <c r="BN669" s="46"/>
      <c r="BO669" s="46"/>
      <c r="BP669" s="46"/>
      <c r="BQ669" s="46"/>
      <c r="BR669" s="46"/>
      <c r="BS669" s="46"/>
      <c r="BT669" s="46"/>
      <c r="BU669" s="46"/>
      <c r="BV669" s="46"/>
      <c r="BW669" s="46"/>
      <c r="BX669" s="46"/>
      <c r="BY669" s="46"/>
      <c r="BZ669" s="46"/>
      <c r="CA669" s="46"/>
      <c r="CB669" s="46"/>
      <c r="CC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c r="AM670" s="46"/>
      <c r="AN670" s="46"/>
      <c r="AO670" s="46"/>
      <c r="AP670" s="46"/>
      <c r="AQ670" s="46"/>
      <c r="AR670" s="46"/>
      <c r="AS670" s="46"/>
      <c r="AT670" s="46"/>
      <c r="AU670" s="46"/>
      <c r="AV670" s="46"/>
      <c r="AW670" s="46"/>
      <c r="AX670" s="46"/>
      <c r="AY670" s="46"/>
      <c r="AZ670" s="46"/>
      <c r="BA670" s="46"/>
      <c r="BB670" s="46"/>
      <c r="BC670" s="46"/>
      <c r="BD670" s="46"/>
      <c r="BE670" s="46"/>
      <c r="BF670" s="46"/>
      <c r="BG670" s="46"/>
      <c r="BH670" s="46"/>
      <c r="BI670" s="46"/>
      <c r="BJ670" s="46"/>
      <c r="BK670" s="46"/>
      <c r="BL670" s="46"/>
      <c r="BM670" s="46"/>
      <c r="BN670" s="46"/>
      <c r="BO670" s="46"/>
      <c r="BP670" s="46"/>
      <c r="BQ670" s="46"/>
      <c r="BR670" s="46"/>
      <c r="BS670" s="46"/>
      <c r="BT670" s="46"/>
      <c r="BU670" s="46"/>
      <c r="BV670" s="46"/>
      <c r="BW670" s="46"/>
      <c r="BX670" s="46"/>
      <c r="BY670" s="46"/>
      <c r="BZ670" s="46"/>
      <c r="CA670" s="46"/>
      <c r="CB670" s="46"/>
      <c r="CC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c r="AJ671" s="46"/>
      <c r="AK671" s="46"/>
      <c r="AL671" s="46"/>
      <c r="AM671" s="46"/>
      <c r="AN671" s="46"/>
      <c r="AO671" s="46"/>
      <c r="AP671" s="46"/>
      <c r="AQ671" s="46"/>
      <c r="AR671" s="46"/>
      <c r="AS671" s="46"/>
      <c r="AT671" s="46"/>
      <c r="AU671" s="46"/>
      <c r="AV671" s="46"/>
      <c r="AW671" s="46"/>
      <c r="AX671" s="46"/>
      <c r="AY671" s="46"/>
      <c r="AZ671" s="46"/>
      <c r="BA671" s="46"/>
      <c r="BB671" s="46"/>
      <c r="BC671" s="46"/>
      <c r="BD671" s="46"/>
      <c r="BE671" s="46"/>
      <c r="BF671" s="46"/>
      <c r="BG671" s="46"/>
      <c r="BH671" s="46"/>
      <c r="BI671" s="46"/>
      <c r="BJ671" s="46"/>
      <c r="BK671" s="46"/>
      <c r="BL671" s="46"/>
      <c r="BM671" s="46"/>
      <c r="BN671" s="46"/>
      <c r="BO671" s="46"/>
      <c r="BP671" s="46"/>
      <c r="BQ671" s="46"/>
      <c r="BR671" s="46"/>
      <c r="BS671" s="46"/>
      <c r="BT671" s="46"/>
      <c r="BU671" s="46"/>
      <c r="BV671" s="46"/>
      <c r="BW671" s="46"/>
      <c r="BX671" s="46"/>
      <c r="BY671" s="46"/>
      <c r="BZ671" s="46"/>
      <c r="CA671" s="46"/>
      <c r="CB671" s="46"/>
      <c r="CC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c r="AM672" s="46"/>
      <c r="AN672" s="46"/>
      <c r="AO672" s="46"/>
      <c r="AP672" s="46"/>
      <c r="AQ672" s="46"/>
      <c r="AR672" s="46"/>
      <c r="AS672" s="46"/>
      <c r="AT672" s="46"/>
      <c r="AU672" s="46"/>
      <c r="AV672" s="46"/>
      <c r="AW672" s="46"/>
      <c r="AX672" s="46"/>
      <c r="AY672" s="46"/>
      <c r="AZ672" s="46"/>
      <c r="BA672" s="46"/>
      <c r="BB672" s="46"/>
      <c r="BC672" s="46"/>
      <c r="BD672" s="46"/>
      <c r="BE672" s="46"/>
      <c r="BF672" s="46"/>
      <c r="BG672" s="46"/>
      <c r="BH672" s="46"/>
      <c r="BI672" s="46"/>
      <c r="BJ672" s="46"/>
      <c r="BK672" s="46"/>
      <c r="BL672" s="46"/>
      <c r="BM672" s="46"/>
      <c r="BN672" s="46"/>
      <c r="BO672" s="46"/>
      <c r="BP672" s="46"/>
      <c r="BQ672" s="46"/>
      <c r="BR672" s="46"/>
      <c r="BS672" s="46"/>
      <c r="BT672" s="46"/>
      <c r="BU672" s="46"/>
      <c r="BV672" s="46"/>
      <c r="BW672" s="46"/>
      <c r="BX672" s="46"/>
      <c r="BY672" s="46"/>
      <c r="BZ672" s="46"/>
      <c r="CA672" s="46"/>
      <c r="CB672" s="46"/>
      <c r="CC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c r="AM673" s="46"/>
      <c r="AN673" s="46"/>
      <c r="AO673" s="46"/>
      <c r="AP673" s="46"/>
      <c r="AQ673" s="46"/>
      <c r="AR673" s="46"/>
      <c r="AS673" s="46"/>
      <c r="AT673" s="46"/>
      <c r="AU673" s="46"/>
      <c r="AV673" s="46"/>
      <c r="AW673" s="46"/>
      <c r="AX673" s="46"/>
      <c r="AY673" s="46"/>
      <c r="AZ673" s="46"/>
      <c r="BA673" s="46"/>
      <c r="BB673" s="46"/>
      <c r="BC673" s="46"/>
      <c r="BD673" s="46"/>
      <c r="BE673" s="46"/>
      <c r="BF673" s="46"/>
      <c r="BG673" s="46"/>
      <c r="BH673" s="46"/>
      <c r="BI673" s="46"/>
      <c r="BJ673" s="46"/>
      <c r="BK673" s="46"/>
      <c r="BL673" s="46"/>
      <c r="BM673" s="46"/>
      <c r="BN673" s="46"/>
      <c r="BO673" s="46"/>
      <c r="BP673" s="46"/>
      <c r="BQ673" s="46"/>
      <c r="BR673" s="46"/>
      <c r="BS673" s="46"/>
      <c r="BT673" s="46"/>
      <c r="BU673" s="46"/>
      <c r="BV673" s="46"/>
      <c r="BW673" s="46"/>
      <c r="BX673" s="46"/>
      <c r="BY673" s="46"/>
      <c r="BZ673" s="46"/>
      <c r="CA673" s="46"/>
      <c r="CB673" s="46"/>
      <c r="CC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c r="AJ674" s="46"/>
      <c r="AK674" s="46"/>
      <c r="AL674" s="46"/>
      <c r="AM674" s="46"/>
      <c r="AN674" s="46"/>
      <c r="AO674" s="46"/>
      <c r="AP674" s="46"/>
      <c r="AQ674" s="46"/>
      <c r="AR674" s="46"/>
      <c r="AS674" s="46"/>
      <c r="AT674" s="46"/>
      <c r="AU674" s="46"/>
      <c r="AV674" s="46"/>
      <c r="AW674" s="46"/>
      <c r="AX674" s="46"/>
      <c r="AY674" s="46"/>
      <c r="AZ674" s="46"/>
      <c r="BA674" s="46"/>
      <c r="BB674" s="46"/>
      <c r="BC674" s="46"/>
      <c r="BD674" s="46"/>
      <c r="BE674" s="46"/>
      <c r="BF674" s="46"/>
      <c r="BG674" s="46"/>
      <c r="BH674" s="46"/>
      <c r="BI674" s="46"/>
      <c r="BJ674" s="46"/>
      <c r="BK674" s="46"/>
      <c r="BL674" s="46"/>
      <c r="BM674" s="46"/>
      <c r="BN674" s="46"/>
      <c r="BO674" s="46"/>
      <c r="BP674" s="46"/>
      <c r="BQ674" s="46"/>
      <c r="BR674" s="46"/>
      <c r="BS674" s="46"/>
      <c r="BT674" s="46"/>
      <c r="BU674" s="46"/>
      <c r="BV674" s="46"/>
      <c r="BW674" s="46"/>
      <c r="BX674" s="46"/>
      <c r="BY674" s="46"/>
      <c r="BZ674" s="46"/>
      <c r="CA674" s="46"/>
      <c r="CB674" s="46"/>
      <c r="CC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c r="AJ675" s="46"/>
      <c r="AK675" s="46"/>
      <c r="AL675" s="46"/>
      <c r="AM675" s="46"/>
      <c r="AN675" s="46"/>
      <c r="AO675" s="46"/>
      <c r="AP675" s="46"/>
      <c r="AQ675" s="46"/>
      <c r="AR675" s="46"/>
      <c r="AS675" s="46"/>
      <c r="AT675" s="46"/>
      <c r="AU675" s="46"/>
      <c r="AV675" s="46"/>
      <c r="AW675" s="46"/>
      <c r="AX675" s="46"/>
      <c r="AY675" s="46"/>
      <c r="AZ675" s="46"/>
      <c r="BA675" s="46"/>
      <c r="BB675" s="46"/>
      <c r="BC675" s="46"/>
      <c r="BD675" s="46"/>
      <c r="BE675" s="46"/>
      <c r="BF675" s="46"/>
      <c r="BG675" s="46"/>
      <c r="BH675" s="46"/>
      <c r="BI675" s="46"/>
      <c r="BJ675" s="46"/>
      <c r="BK675" s="46"/>
      <c r="BL675" s="46"/>
      <c r="BM675" s="46"/>
      <c r="BN675" s="46"/>
      <c r="BO675" s="46"/>
      <c r="BP675" s="46"/>
      <c r="BQ675" s="46"/>
      <c r="BR675" s="46"/>
      <c r="BS675" s="46"/>
      <c r="BT675" s="46"/>
      <c r="BU675" s="46"/>
      <c r="BV675" s="46"/>
      <c r="BW675" s="46"/>
      <c r="BX675" s="46"/>
      <c r="BY675" s="46"/>
      <c r="BZ675" s="46"/>
      <c r="CA675" s="46"/>
      <c r="CB675" s="46"/>
      <c r="CC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c r="AJ676" s="46"/>
      <c r="AK676" s="46"/>
      <c r="AL676" s="46"/>
      <c r="AM676" s="46"/>
      <c r="AN676" s="46"/>
      <c r="AO676" s="46"/>
      <c r="AP676" s="46"/>
      <c r="AQ676" s="46"/>
      <c r="AR676" s="46"/>
      <c r="AS676" s="46"/>
      <c r="AT676" s="46"/>
      <c r="AU676" s="46"/>
      <c r="AV676" s="46"/>
      <c r="AW676" s="46"/>
      <c r="AX676" s="46"/>
      <c r="AY676" s="46"/>
      <c r="AZ676" s="46"/>
      <c r="BA676" s="46"/>
      <c r="BB676" s="46"/>
      <c r="BC676" s="46"/>
      <c r="BD676" s="46"/>
      <c r="BE676" s="46"/>
      <c r="BF676" s="46"/>
      <c r="BG676" s="46"/>
      <c r="BH676" s="46"/>
      <c r="BI676" s="46"/>
      <c r="BJ676" s="46"/>
      <c r="BK676" s="46"/>
      <c r="BL676" s="46"/>
      <c r="BM676" s="46"/>
      <c r="BN676" s="46"/>
      <c r="BO676" s="46"/>
      <c r="BP676" s="46"/>
      <c r="BQ676" s="46"/>
      <c r="BR676" s="46"/>
      <c r="BS676" s="46"/>
      <c r="BT676" s="46"/>
      <c r="BU676" s="46"/>
      <c r="BV676" s="46"/>
      <c r="BW676" s="46"/>
      <c r="BX676" s="46"/>
      <c r="BY676" s="46"/>
      <c r="BZ676" s="46"/>
      <c r="CA676" s="46"/>
      <c r="CB676" s="46"/>
      <c r="CC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c r="AM677" s="46"/>
      <c r="AN677" s="46"/>
      <c r="AO677" s="46"/>
      <c r="AP677" s="46"/>
      <c r="AQ677" s="46"/>
      <c r="AR677" s="46"/>
      <c r="AS677" s="46"/>
      <c r="AT677" s="46"/>
      <c r="AU677" s="46"/>
      <c r="AV677" s="46"/>
      <c r="AW677" s="46"/>
      <c r="AX677" s="46"/>
      <c r="AY677" s="46"/>
      <c r="AZ677" s="46"/>
      <c r="BA677" s="46"/>
      <c r="BB677" s="46"/>
      <c r="BC677" s="46"/>
      <c r="BD677" s="46"/>
      <c r="BE677" s="46"/>
      <c r="BF677" s="46"/>
      <c r="BG677" s="46"/>
      <c r="BH677" s="46"/>
      <c r="BI677" s="46"/>
      <c r="BJ677" s="46"/>
      <c r="BK677" s="46"/>
      <c r="BL677" s="46"/>
      <c r="BM677" s="46"/>
      <c r="BN677" s="46"/>
      <c r="BO677" s="46"/>
      <c r="BP677" s="46"/>
      <c r="BQ677" s="46"/>
      <c r="BR677" s="46"/>
      <c r="BS677" s="46"/>
      <c r="BT677" s="46"/>
      <c r="BU677" s="46"/>
      <c r="BV677" s="46"/>
      <c r="BW677" s="46"/>
      <c r="BX677" s="46"/>
      <c r="BY677" s="46"/>
      <c r="BZ677" s="46"/>
      <c r="CA677" s="46"/>
      <c r="CB677" s="46"/>
      <c r="CC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c r="AM678" s="46"/>
      <c r="AN678" s="46"/>
      <c r="AO678" s="46"/>
      <c r="AP678" s="46"/>
      <c r="AQ678" s="46"/>
      <c r="AR678" s="46"/>
      <c r="AS678" s="46"/>
      <c r="AT678" s="46"/>
      <c r="AU678" s="46"/>
      <c r="AV678" s="46"/>
      <c r="AW678" s="46"/>
      <c r="AX678" s="46"/>
      <c r="AY678" s="46"/>
      <c r="AZ678" s="46"/>
      <c r="BA678" s="46"/>
      <c r="BB678" s="46"/>
      <c r="BC678" s="46"/>
      <c r="BD678" s="46"/>
      <c r="BE678" s="46"/>
      <c r="BF678" s="46"/>
      <c r="BG678" s="46"/>
      <c r="BH678" s="46"/>
      <c r="BI678" s="46"/>
      <c r="BJ678" s="46"/>
      <c r="BK678" s="46"/>
      <c r="BL678" s="46"/>
      <c r="BM678" s="46"/>
      <c r="BN678" s="46"/>
      <c r="BO678" s="46"/>
      <c r="BP678" s="46"/>
      <c r="BQ678" s="46"/>
      <c r="BR678" s="46"/>
      <c r="BS678" s="46"/>
      <c r="BT678" s="46"/>
      <c r="BU678" s="46"/>
      <c r="BV678" s="46"/>
      <c r="BW678" s="46"/>
      <c r="BX678" s="46"/>
      <c r="BY678" s="46"/>
      <c r="BZ678" s="46"/>
      <c r="CA678" s="46"/>
      <c r="CB678" s="46"/>
      <c r="CC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c r="AJ679" s="46"/>
      <c r="AK679" s="46"/>
      <c r="AL679" s="46"/>
      <c r="AM679" s="46"/>
      <c r="AN679" s="46"/>
      <c r="AO679" s="46"/>
      <c r="AP679" s="46"/>
      <c r="AQ679" s="46"/>
      <c r="AR679" s="46"/>
      <c r="AS679" s="46"/>
      <c r="AT679" s="46"/>
      <c r="AU679" s="46"/>
      <c r="AV679" s="46"/>
      <c r="AW679" s="46"/>
      <c r="AX679" s="46"/>
      <c r="AY679" s="46"/>
      <c r="AZ679" s="46"/>
      <c r="BA679" s="46"/>
      <c r="BB679" s="46"/>
      <c r="BC679" s="46"/>
      <c r="BD679" s="46"/>
      <c r="BE679" s="46"/>
      <c r="BF679" s="46"/>
      <c r="BG679" s="46"/>
      <c r="BH679" s="46"/>
      <c r="BI679" s="46"/>
      <c r="BJ679" s="46"/>
      <c r="BK679" s="46"/>
      <c r="BL679" s="46"/>
      <c r="BM679" s="46"/>
      <c r="BN679" s="46"/>
      <c r="BO679" s="46"/>
      <c r="BP679" s="46"/>
      <c r="BQ679" s="46"/>
      <c r="BR679" s="46"/>
      <c r="BS679" s="46"/>
      <c r="BT679" s="46"/>
      <c r="BU679" s="46"/>
      <c r="BV679" s="46"/>
      <c r="BW679" s="46"/>
      <c r="BX679" s="46"/>
      <c r="BY679" s="46"/>
      <c r="BZ679" s="46"/>
      <c r="CA679" s="46"/>
      <c r="CB679" s="46"/>
      <c r="CC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c r="AJ680" s="46"/>
      <c r="AK680" s="46"/>
      <c r="AL680" s="46"/>
      <c r="AM680" s="46"/>
      <c r="AN680" s="46"/>
      <c r="AO680" s="46"/>
      <c r="AP680" s="46"/>
      <c r="AQ680" s="46"/>
      <c r="AR680" s="46"/>
      <c r="AS680" s="46"/>
      <c r="AT680" s="46"/>
      <c r="AU680" s="46"/>
      <c r="AV680" s="46"/>
      <c r="AW680" s="46"/>
      <c r="AX680" s="46"/>
      <c r="AY680" s="46"/>
      <c r="AZ680" s="46"/>
      <c r="BA680" s="46"/>
      <c r="BB680" s="46"/>
      <c r="BC680" s="46"/>
      <c r="BD680" s="46"/>
      <c r="BE680" s="46"/>
      <c r="BF680" s="46"/>
      <c r="BG680" s="46"/>
      <c r="BH680" s="46"/>
      <c r="BI680" s="46"/>
      <c r="BJ680" s="46"/>
      <c r="BK680" s="46"/>
      <c r="BL680" s="46"/>
      <c r="BM680" s="46"/>
      <c r="BN680" s="46"/>
      <c r="BO680" s="46"/>
      <c r="BP680" s="46"/>
      <c r="BQ680" s="46"/>
      <c r="BR680" s="46"/>
      <c r="BS680" s="46"/>
      <c r="BT680" s="46"/>
      <c r="BU680" s="46"/>
      <c r="BV680" s="46"/>
      <c r="BW680" s="46"/>
      <c r="BX680" s="46"/>
      <c r="BY680" s="46"/>
      <c r="BZ680" s="46"/>
      <c r="CA680" s="46"/>
      <c r="CB680" s="46"/>
      <c r="CC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c r="AJ681" s="46"/>
      <c r="AK681" s="46"/>
      <c r="AL681" s="46"/>
      <c r="AM681" s="46"/>
      <c r="AN681" s="46"/>
      <c r="AO681" s="46"/>
      <c r="AP681" s="46"/>
      <c r="AQ681" s="46"/>
      <c r="AR681" s="46"/>
      <c r="AS681" s="46"/>
      <c r="AT681" s="46"/>
      <c r="AU681" s="46"/>
      <c r="AV681" s="46"/>
      <c r="AW681" s="46"/>
      <c r="AX681" s="46"/>
      <c r="AY681" s="46"/>
      <c r="AZ681" s="46"/>
      <c r="BA681" s="46"/>
      <c r="BB681" s="46"/>
      <c r="BC681" s="46"/>
      <c r="BD681" s="46"/>
      <c r="BE681" s="46"/>
      <c r="BF681" s="46"/>
      <c r="BG681" s="46"/>
      <c r="BH681" s="46"/>
      <c r="BI681" s="46"/>
      <c r="BJ681" s="46"/>
      <c r="BK681" s="46"/>
      <c r="BL681" s="46"/>
      <c r="BM681" s="46"/>
      <c r="BN681" s="46"/>
      <c r="BO681" s="46"/>
      <c r="BP681" s="46"/>
      <c r="BQ681" s="46"/>
      <c r="BR681" s="46"/>
      <c r="BS681" s="46"/>
      <c r="BT681" s="46"/>
      <c r="BU681" s="46"/>
      <c r="BV681" s="46"/>
      <c r="BW681" s="46"/>
      <c r="BX681" s="46"/>
      <c r="BY681" s="46"/>
      <c r="BZ681" s="46"/>
      <c r="CA681" s="46"/>
      <c r="CB681" s="46"/>
      <c r="CC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c r="AJ682" s="46"/>
      <c r="AK682" s="46"/>
      <c r="AL682" s="46"/>
      <c r="AM682" s="46"/>
      <c r="AN682" s="46"/>
      <c r="AO682" s="46"/>
      <c r="AP682" s="46"/>
      <c r="AQ682" s="46"/>
      <c r="AR682" s="46"/>
      <c r="AS682" s="46"/>
      <c r="AT682" s="46"/>
      <c r="AU682" s="46"/>
      <c r="AV682" s="46"/>
      <c r="AW682" s="46"/>
      <c r="AX682" s="46"/>
      <c r="AY682" s="46"/>
      <c r="AZ682" s="46"/>
      <c r="BA682" s="46"/>
      <c r="BB682" s="46"/>
      <c r="BC682" s="46"/>
      <c r="BD682" s="46"/>
      <c r="BE682" s="46"/>
      <c r="BF682" s="46"/>
      <c r="BG682" s="46"/>
      <c r="BH682" s="46"/>
      <c r="BI682" s="46"/>
      <c r="BJ682" s="46"/>
      <c r="BK682" s="46"/>
      <c r="BL682" s="46"/>
      <c r="BM682" s="46"/>
      <c r="BN682" s="46"/>
      <c r="BO682" s="46"/>
      <c r="BP682" s="46"/>
      <c r="BQ682" s="46"/>
      <c r="BR682" s="46"/>
      <c r="BS682" s="46"/>
      <c r="BT682" s="46"/>
      <c r="BU682" s="46"/>
      <c r="BV682" s="46"/>
      <c r="BW682" s="46"/>
      <c r="BX682" s="46"/>
      <c r="BY682" s="46"/>
      <c r="BZ682" s="46"/>
      <c r="CA682" s="46"/>
      <c r="CB682" s="46"/>
      <c r="CC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c r="AJ683" s="46"/>
      <c r="AK683" s="46"/>
      <c r="AL683" s="46"/>
      <c r="AM683" s="46"/>
      <c r="AN683" s="46"/>
      <c r="AO683" s="46"/>
      <c r="AP683" s="46"/>
      <c r="AQ683" s="46"/>
      <c r="AR683" s="46"/>
      <c r="AS683" s="46"/>
      <c r="AT683" s="46"/>
      <c r="AU683" s="46"/>
      <c r="AV683" s="46"/>
      <c r="AW683" s="46"/>
      <c r="AX683" s="46"/>
      <c r="AY683" s="46"/>
      <c r="AZ683" s="46"/>
      <c r="BA683" s="46"/>
      <c r="BB683" s="46"/>
      <c r="BC683" s="46"/>
      <c r="BD683" s="46"/>
      <c r="BE683" s="46"/>
      <c r="BF683" s="46"/>
      <c r="BG683" s="46"/>
      <c r="BH683" s="46"/>
      <c r="BI683" s="46"/>
      <c r="BJ683" s="46"/>
      <c r="BK683" s="46"/>
      <c r="BL683" s="46"/>
      <c r="BM683" s="46"/>
      <c r="BN683" s="46"/>
      <c r="BO683" s="46"/>
      <c r="BP683" s="46"/>
      <c r="BQ683" s="46"/>
      <c r="BR683" s="46"/>
      <c r="BS683" s="46"/>
      <c r="BT683" s="46"/>
      <c r="BU683" s="46"/>
      <c r="BV683" s="46"/>
      <c r="BW683" s="46"/>
      <c r="BX683" s="46"/>
      <c r="BY683" s="46"/>
      <c r="BZ683" s="46"/>
      <c r="CA683" s="46"/>
      <c r="CB683" s="46"/>
      <c r="CC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c r="AJ684" s="46"/>
      <c r="AK684" s="46"/>
      <c r="AL684" s="46"/>
      <c r="AM684" s="46"/>
      <c r="AN684" s="46"/>
      <c r="AO684" s="46"/>
      <c r="AP684" s="46"/>
      <c r="AQ684" s="46"/>
      <c r="AR684" s="46"/>
      <c r="AS684" s="46"/>
      <c r="AT684" s="46"/>
      <c r="AU684" s="46"/>
      <c r="AV684" s="46"/>
      <c r="AW684" s="46"/>
      <c r="AX684" s="46"/>
      <c r="AY684" s="46"/>
      <c r="AZ684" s="46"/>
      <c r="BA684" s="46"/>
      <c r="BB684" s="46"/>
      <c r="BC684" s="46"/>
      <c r="BD684" s="46"/>
      <c r="BE684" s="46"/>
      <c r="BF684" s="46"/>
      <c r="BG684" s="46"/>
      <c r="BH684" s="46"/>
      <c r="BI684" s="46"/>
      <c r="BJ684" s="46"/>
      <c r="BK684" s="46"/>
      <c r="BL684" s="46"/>
      <c r="BM684" s="46"/>
      <c r="BN684" s="46"/>
      <c r="BO684" s="46"/>
      <c r="BP684" s="46"/>
      <c r="BQ684" s="46"/>
      <c r="BR684" s="46"/>
      <c r="BS684" s="46"/>
      <c r="BT684" s="46"/>
      <c r="BU684" s="46"/>
      <c r="BV684" s="46"/>
      <c r="BW684" s="46"/>
      <c r="BX684" s="46"/>
      <c r="BY684" s="46"/>
      <c r="BZ684" s="46"/>
      <c r="CA684" s="46"/>
      <c r="CB684" s="46"/>
      <c r="CC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c r="AJ685" s="46"/>
      <c r="AK685" s="46"/>
      <c r="AL685" s="46"/>
      <c r="AM685" s="46"/>
      <c r="AN685" s="46"/>
      <c r="AO685" s="46"/>
      <c r="AP685" s="46"/>
      <c r="AQ685" s="46"/>
      <c r="AR685" s="46"/>
      <c r="AS685" s="46"/>
      <c r="AT685" s="46"/>
      <c r="AU685" s="46"/>
      <c r="AV685" s="46"/>
      <c r="AW685" s="46"/>
      <c r="AX685" s="46"/>
      <c r="AY685" s="46"/>
      <c r="AZ685" s="46"/>
      <c r="BA685" s="46"/>
      <c r="BB685" s="46"/>
      <c r="BC685" s="46"/>
      <c r="BD685" s="46"/>
      <c r="BE685" s="46"/>
      <c r="BF685" s="46"/>
      <c r="BG685" s="46"/>
      <c r="BH685" s="46"/>
      <c r="BI685" s="46"/>
      <c r="BJ685" s="46"/>
      <c r="BK685" s="46"/>
      <c r="BL685" s="46"/>
      <c r="BM685" s="46"/>
      <c r="BN685" s="46"/>
      <c r="BO685" s="46"/>
      <c r="BP685" s="46"/>
      <c r="BQ685" s="46"/>
      <c r="BR685" s="46"/>
      <c r="BS685" s="46"/>
      <c r="BT685" s="46"/>
      <c r="BU685" s="46"/>
      <c r="BV685" s="46"/>
      <c r="BW685" s="46"/>
      <c r="BX685" s="46"/>
      <c r="BY685" s="46"/>
      <c r="BZ685" s="46"/>
      <c r="CA685" s="46"/>
      <c r="CB685" s="46"/>
      <c r="CC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c r="AJ686" s="46"/>
      <c r="AK686" s="46"/>
      <c r="AL686" s="46"/>
      <c r="AM686" s="46"/>
      <c r="AN686" s="46"/>
      <c r="AO686" s="46"/>
      <c r="AP686" s="46"/>
      <c r="AQ686" s="46"/>
      <c r="AR686" s="46"/>
      <c r="AS686" s="46"/>
      <c r="AT686" s="46"/>
      <c r="AU686" s="46"/>
      <c r="AV686" s="46"/>
      <c r="AW686" s="46"/>
      <c r="AX686" s="46"/>
      <c r="AY686" s="46"/>
      <c r="AZ686" s="46"/>
      <c r="BA686" s="46"/>
      <c r="BB686" s="46"/>
      <c r="BC686" s="46"/>
      <c r="BD686" s="46"/>
      <c r="BE686" s="46"/>
      <c r="BF686" s="46"/>
      <c r="BG686" s="46"/>
      <c r="BH686" s="46"/>
      <c r="BI686" s="46"/>
      <c r="BJ686" s="46"/>
      <c r="BK686" s="46"/>
      <c r="BL686" s="46"/>
      <c r="BM686" s="46"/>
      <c r="BN686" s="46"/>
      <c r="BO686" s="46"/>
      <c r="BP686" s="46"/>
      <c r="BQ686" s="46"/>
      <c r="BR686" s="46"/>
      <c r="BS686" s="46"/>
      <c r="BT686" s="46"/>
      <c r="BU686" s="46"/>
      <c r="BV686" s="46"/>
      <c r="BW686" s="46"/>
      <c r="BX686" s="46"/>
      <c r="BY686" s="46"/>
      <c r="BZ686" s="46"/>
      <c r="CA686" s="46"/>
      <c r="CB686" s="46"/>
      <c r="CC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c r="AJ687" s="46"/>
      <c r="AK687" s="46"/>
      <c r="AL687" s="46"/>
      <c r="AM687" s="46"/>
      <c r="AN687" s="46"/>
      <c r="AO687" s="46"/>
      <c r="AP687" s="46"/>
      <c r="AQ687" s="46"/>
      <c r="AR687" s="46"/>
      <c r="AS687" s="46"/>
      <c r="AT687" s="46"/>
      <c r="AU687" s="46"/>
      <c r="AV687" s="46"/>
      <c r="AW687" s="46"/>
      <c r="AX687" s="46"/>
      <c r="AY687" s="46"/>
      <c r="AZ687" s="46"/>
      <c r="BA687" s="46"/>
      <c r="BB687" s="46"/>
      <c r="BC687" s="46"/>
      <c r="BD687" s="46"/>
      <c r="BE687" s="46"/>
      <c r="BF687" s="46"/>
      <c r="BG687" s="46"/>
      <c r="BH687" s="46"/>
      <c r="BI687" s="46"/>
      <c r="BJ687" s="46"/>
      <c r="BK687" s="46"/>
      <c r="BL687" s="46"/>
      <c r="BM687" s="46"/>
      <c r="BN687" s="46"/>
      <c r="BO687" s="46"/>
      <c r="BP687" s="46"/>
      <c r="BQ687" s="46"/>
      <c r="BR687" s="46"/>
      <c r="BS687" s="46"/>
      <c r="BT687" s="46"/>
      <c r="BU687" s="46"/>
      <c r="BV687" s="46"/>
      <c r="BW687" s="46"/>
      <c r="BX687" s="46"/>
      <c r="BY687" s="46"/>
      <c r="BZ687" s="46"/>
      <c r="CA687" s="46"/>
      <c r="CB687" s="46"/>
      <c r="CC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c r="AJ688" s="46"/>
      <c r="AK688" s="46"/>
      <c r="AL688" s="46"/>
      <c r="AM688" s="46"/>
      <c r="AN688" s="46"/>
      <c r="AO688" s="46"/>
      <c r="AP688" s="46"/>
      <c r="AQ688" s="46"/>
      <c r="AR688" s="46"/>
      <c r="AS688" s="46"/>
      <c r="AT688" s="46"/>
      <c r="AU688" s="46"/>
      <c r="AV688" s="46"/>
      <c r="AW688" s="46"/>
      <c r="AX688" s="46"/>
      <c r="AY688" s="46"/>
      <c r="AZ688" s="46"/>
      <c r="BA688" s="46"/>
      <c r="BB688" s="46"/>
      <c r="BC688" s="46"/>
      <c r="BD688" s="46"/>
      <c r="BE688" s="46"/>
      <c r="BF688" s="46"/>
      <c r="BG688" s="46"/>
      <c r="BH688" s="46"/>
      <c r="BI688" s="46"/>
      <c r="BJ688" s="46"/>
      <c r="BK688" s="46"/>
      <c r="BL688" s="46"/>
      <c r="BM688" s="46"/>
      <c r="BN688" s="46"/>
      <c r="BO688" s="46"/>
      <c r="BP688" s="46"/>
      <c r="BQ688" s="46"/>
      <c r="BR688" s="46"/>
      <c r="BS688" s="46"/>
      <c r="BT688" s="46"/>
      <c r="BU688" s="46"/>
      <c r="BV688" s="46"/>
      <c r="BW688" s="46"/>
      <c r="BX688" s="46"/>
      <c r="BY688" s="46"/>
      <c r="BZ688" s="46"/>
      <c r="CA688" s="46"/>
      <c r="CB688" s="46"/>
      <c r="CC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c r="AJ689" s="46"/>
      <c r="AK689" s="46"/>
      <c r="AL689" s="46"/>
      <c r="AM689" s="46"/>
      <c r="AN689" s="46"/>
      <c r="AO689" s="46"/>
      <c r="AP689" s="46"/>
      <c r="AQ689" s="46"/>
      <c r="AR689" s="46"/>
      <c r="AS689" s="46"/>
      <c r="AT689" s="46"/>
      <c r="AU689" s="46"/>
      <c r="AV689" s="46"/>
      <c r="AW689" s="46"/>
      <c r="AX689" s="46"/>
      <c r="AY689" s="46"/>
      <c r="AZ689" s="46"/>
      <c r="BA689" s="46"/>
      <c r="BB689" s="46"/>
      <c r="BC689" s="46"/>
      <c r="BD689" s="46"/>
      <c r="BE689" s="46"/>
      <c r="BF689" s="46"/>
      <c r="BG689" s="46"/>
      <c r="BH689" s="46"/>
      <c r="BI689" s="46"/>
      <c r="BJ689" s="46"/>
      <c r="BK689" s="46"/>
      <c r="BL689" s="46"/>
      <c r="BM689" s="46"/>
      <c r="BN689" s="46"/>
      <c r="BO689" s="46"/>
      <c r="BP689" s="46"/>
      <c r="BQ689" s="46"/>
      <c r="BR689" s="46"/>
      <c r="BS689" s="46"/>
      <c r="BT689" s="46"/>
      <c r="BU689" s="46"/>
      <c r="BV689" s="46"/>
      <c r="BW689" s="46"/>
      <c r="BX689" s="46"/>
      <c r="BY689" s="46"/>
      <c r="BZ689" s="46"/>
      <c r="CA689" s="46"/>
      <c r="CB689" s="46"/>
      <c r="CC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c r="AJ690" s="46"/>
      <c r="AK690" s="46"/>
      <c r="AL690" s="46"/>
      <c r="AM690" s="46"/>
      <c r="AN690" s="46"/>
      <c r="AO690" s="46"/>
      <c r="AP690" s="46"/>
      <c r="AQ690" s="46"/>
      <c r="AR690" s="46"/>
      <c r="AS690" s="46"/>
      <c r="AT690" s="46"/>
      <c r="AU690" s="46"/>
      <c r="AV690" s="46"/>
      <c r="AW690" s="46"/>
      <c r="AX690" s="46"/>
      <c r="AY690" s="46"/>
      <c r="AZ690" s="46"/>
      <c r="BA690" s="46"/>
      <c r="BB690" s="46"/>
      <c r="BC690" s="46"/>
      <c r="BD690" s="46"/>
      <c r="BE690" s="46"/>
      <c r="BF690" s="46"/>
      <c r="BG690" s="46"/>
      <c r="BH690" s="46"/>
      <c r="BI690" s="46"/>
      <c r="BJ690" s="46"/>
      <c r="BK690" s="46"/>
      <c r="BL690" s="46"/>
      <c r="BM690" s="46"/>
      <c r="BN690" s="46"/>
      <c r="BO690" s="46"/>
      <c r="BP690" s="46"/>
      <c r="BQ690" s="46"/>
      <c r="BR690" s="46"/>
      <c r="BS690" s="46"/>
      <c r="BT690" s="46"/>
      <c r="BU690" s="46"/>
      <c r="BV690" s="46"/>
      <c r="BW690" s="46"/>
      <c r="BX690" s="46"/>
      <c r="BY690" s="46"/>
      <c r="BZ690" s="46"/>
      <c r="CA690" s="46"/>
      <c r="CB690" s="46"/>
      <c r="CC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c r="AJ691" s="46"/>
      <c r="AK691" s="46"/>
      <c r="AL691" s="46"/>
      <c r="AM691" s="46"/>
      <c r="AN691" s="46"/>
      <c r="AO691" s="46"/>
      <c r="AP691" s="46"/>
      <c r="AQ691" s="46"/>
      <c r="AR691" s="46"/>
      <c r="AS691" s="46"/>
      <c r="AT691" s="46"/>
      <c r="AU691" s="46"/>
      <c r="AV691" s="46"/>
      <c r="AW691" s="46"/>
      <c r="AX691" s="46"/>
      <c r="AY691" s="46"/>
      <c r="AZ691" s="46"/>
      <c r="BA691" s="46"/>
      <c r="BB691" s="46"/>
      <c r="BC691" s="46"/>
      <c r="BD691" s="46"/>
      <c r="BE691" s="46"/>
      <c r="BF691" s="46"/>
      <c r="BG691" s="46"/>
      <c r="BH691" s="46"/>
      <c r="BI691" s="46"/>
      <c r="BJ691" s="46"/>
      <c r="BK691" s="46"/>
      <c r="BL691" s="46"/>
      <c r="BM691" s="46"/>
      <c r="BN691" s="46"/>
      <c r="BO691" s="46"/>
      <c r="BP691" s="46"/>
      <c r="BQ691" s="46"/>
      <c r="BR691" s="46"/>
      <c r="BS691" s="46"/>
      <c r="BT691" s="46"/>
      <c r="BU691" s="46"/>
      <c r="BV691" s="46"/>
      <c r="BW691" s="46"/>
      <c r="BX691" s="46"/>
      <c r="BY691" s="46"/>
      <c r="BZ691" s="46"/>
      <c r="CA691" s="46"/>
      <c r="CB691" s="46"/>
      <c r="CC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c r="AJ692" s="46"/>
      <c r="AK692" s="46"/>
      <c r="AL692" s="46"/>
      <c r="AM692" s="46"/>
      <c r="AN692" s="46"/>
      <c r="AO692" s="46"/>
      <c r="AP692" s="46"/>
      <c r="AQ692" s="46"/>
      <c r="AR692" s="46"/>
      <c r="AS692" s="46"/>
      <c r="AT692" s="46"/>
      <c r="AU692" s="46"/>
      <c r="AV692" s="46"/>
      <c r="AW692" s="46"/>
      <c r="AX692" s="46"/>
      <c r="AY692" s="46"/>
      <c r="AZ692" s="46"/>
      <c r="BA692" s="46"/>
      <c r="BB692" s="46"/>
      <c r="BC692" s="46"/>
      <c r="BD692" s="46"/>
      <c r="BE692" s="46"/>
      <c r="BF692" s="46"/>
      <c r="BG692" s="46"/>
      <c r="BH692" s="46"/>
      <c r="BI692" s="46"/>
      <c r="BJ692" s="46"/>
      <c r="BK692" s="46"/>
      <c r="BL692" s="46"/>
      <c r="BM692" s="46"/>
      <c r="BN692" s="46"/>
      <c r="BO692" s="46"/>
      <c r="BP692" s="46"/>
      <c r="BQ692" s="46"/>
      <c r="BR692" s="46"/>
      <c r="BS692" s="46"/>
      <c r="BT692" s="46"/>
      <c r="BU692" s="46"/>
      <c r="BV692" s="46"/>
      <c r="BW692" s="46"/>
      <c r="BX692" s="46"/>
      <c r="BY692" s="46"/>
      <c r="BZ692" s="46"/>
      <c r="CA692" s="46"/>
      <c r="CB692" s="46"/>
      <c r="CC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c r="AJ693" s="46"/>
      <c r="AK693" s="46"/>
      <c r="AL693" s="46"/>
      <c r="AM693" s="46"/>
      <c r="AN693" s="46"/>
      <c r="AO693" s="46"/>
      <c r="AP693" s="46"/>
      <c r="AQ693" s="46"/>
      <c r="AR693" s="46"/>
      <c r="AS693" s="46"/>
      <c r="AT693" s="46"/>
      <c r="AU693" s="46"/>
      <c r="AV693" s="46"/>
      <c r="AW693" s="46"/>
      <c r="AX693" s="46"/>
      <c r="AY693" s="46"/>
      <c r="AZ693" s="46"/>
      <c r="BA693" s="46"/>
      <c r="BB693" s="46"/>
      <c r="BC693" s="46"/>
      <c r="BD693" s="46"/>
      <c r="BE693" s="46"/>
      <c r="BF693" s="46"/>
      <c r="BG693" s="46"/>
      <c r="BH693" s="46"/>
      <c r="BI693" s="46"/>
      <c r="BJ693" s="46"/>
      <c r="BK693" s="46"/>
      <c r="BL693" s="46"/>
      <c r="BM693" s="46"/>
      <c r="BN693" s="46"/>
      <c r="BO693" s="46"/>
      <c r="BP693" s="46"/>
      <c r="BQ693" s="46"/>
      <c r="BR693" s="46"/>
      <c r="BS693" s="46"/>
      <c r="BT693" s="46"/>
      <c r="BU693" s="46"/>
      <c r="BV693" s="46"/>
      <c r="BW693" s="46"/>
      <c r="BX693" s="46"/>
      <c r="BY693" s="46"/>
      <c r="BZ693" s="46"/>
      <c r="CA693" s="46"/>
      <c r="CB693" s="46"/>
      <c r="CC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c r="AJ694" s="46"/>
      <c r="AK694" s="46"/>
      <c r="AL694" s="46"/>
      <c r="AM694" s="46"/>
      <c r="AN694" s="46"/>
      <c r="AO694" s="46"/>
      <c r="AP694" s="46"/>
      <c r="AQ694" s="46"/>
      <c r="AR694" s="46"/>
      <c r="AS694" s="46"/>
      <c r="AT694" s="46"/>
      <c r="AU694" s="46"/>
      <c r="AV694" s="46"/>
      <c r="AW694" s="46"/>
      <c r="AX694" s="46"/>
      <c r="AY694" s="46"/>
      <c r="AZ694" s="46"/>
      <c r="BA694" s="46"/>
      <c r="BB694" s="46"/>
      <c r="BC694" s="46"/>
      <c r="BD694" s="46"/>
      <c r="BE694" s="46"/>
      <c r="BF694" s="46"/>
      <c r="BG694" s="46"/>
      <c r="BH694" s="46"/>
      <c r="BI694" s="46"/>
      <c r="BJ694" s="46"/>
      <c r="BK694" s="46"/>
      <c r="BL694" s="46"/>
      <c r="BM694" s="46"/>
      <c r="BN694" s="46"/>
      <c r="BO694" s="46"/>
      <c r="BP694" s="46"/>
      <c r="BQ694" s="46"/>
      <c r="BR694" s="46"/>
      <c r="BS694" s="46"/>
      <c r="BT694" s="46"/>
      <c r="BU694" s="46"/>
      <c r="BV694" s="46"/>
      <c r="BW694" s="46"/>
      <c r="BX694" s="46"/>
      <c r="BY694" s="46"/>
      <c r="BZ694" s="46"/>
      <c r="CA694" s="46"/>
      <c r="CB694" s="46"/>
      <c r="CC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c r="AM695" s="46"/>
      <c r="AN695" s="46"/>
      <c r="AO695" s="46"/>
      <c r="AP695" s="46"/>
      <c r="AQ695" s="46"/>
      <c r="AR695" s="46"/>
      <c r="AS695" s="46"/>
      <c r="AT695" s="46"/>
      <c r="AU695" s="46"/>
      <c r="AV695" s="46"/>
      <c r="AW695" s="46"/>
      <c r="AX695" s="46"/>
      <c r="AY695" s="46"/>
      <c r="AZ695" s="46"/>
      <c r="BA695" s="46"/>
      <c r="BB695" s="46"/>
      <c r="BC695" s="46"/>
      <c r="BD695" s="46"/>
      <c r="BE695" s="46"/>
      <c r="BF695" s="46"/>
      <c r="BG695" s="46"/>
      <c r="BH695" s="46"/>
      <c r="BI695" s="46"/>
      <c r="BJ695" s="46"/>
      <c r="BK695" s="46"/>
      <c r="BL695" s="46"/>
      <c r="BM695" s="46"/>
      <c r="BN695" s="46"/>
      <c r="BO695" s="46"/>
      <c r="BP695" s="46"/>
      <c r="BQ695" s="46"/>
      <c r="BR695" s="46"/>
      <c r="BS695" s="46"/>
      <c r="BT695" s="46"/>
      <c r="BU695" s="46"/>
      <c r="BV695" s="46"/>
      <c r="BW695" s="46"/>
      <c r="BX695" s="46"/>
      <c r="BY695" s="46"/>
      <c r="BZ695" s="46"/>
      <c r="CA695" s="46"/>
      <c r="CB695" s="46"/>
      <c r="CC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c r="AM696" s="46"/>
      <c r="AN696" s="46"/>
      <c r="AO696" s="46"/>
      <c r="AP696" s="46"/>
      <c r="AQ696" s="46"/>
      <c r="AR696" s="46"/>
      <c r="AS696" s="46"/>
      <c r="AT696" s="46"/>
      <c r="AU696" s="46"/>
      <c r="AV696" s="46"/>
      <c r="AW696" s="46"/>
      <c r="AX696" s="46"/>
      <c r="AY696" s="46"/>
      <c r="AZ696" s="46"/>
      <c r="BA696" s="46"/>
      <c r="BB696" s="46"/>
      <c r="BC696" s="46"/>
      <c r="BD696" s="46"/>
      <c r="BE696" s="46"/>
      <c r="BF696" s="46"/>
      <c r="BG696" s="46"/>
      <c r="BH696" s="46"/>
      <c r="BI696" s="46"/>
      <c r="BJ696" s="46"/>
      <c r="BK696" s="46"/>
      <c r="BL696" s="46"/>
      <c r="BM696" s="46"/>
      <c r="BN696" s="46"/>
      <c r="BO696" s="46"/>
      <c r="BP696" s="46"/>
      <c r="BQ696" s="46"/>
      <c r="BR696" s="46"/>
      <c r="BS696" s="46"/>
      <c r="BT696" s="46"/>
      <c r="BU696" s="46"/>
      <c r="BV696" s="46"/>
      <c r="BW696" s="46"/>
      <c r="BX696" s="46"/>
      <c r="BY696" s="46"/>
      <c r="BZ696" s="46"/>
      <c r="CA696" s="46"/>
      <c r="CB696" s="46"/>
      <c r="CC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c r="AJ697" s="46"/>
      <c r="AK697" s="46"/>
      <c r="AL697" s="46"/>
      <c r="AM697" s="46"/>
      <c r="AN697" s="46"/>
      <c r="AO697" s="46"/>
      <c r="AP697" s="46"/>
      <c r="AQ697" s="46"/>
      <c r="AR697" s="46"/>
      <c r="AS697" s="46"/>
      <c r="AT697" s="46"/>
      <c r="AU697" s="46"/>
      <c r="AV697" s="46"/>
      <c r="AW697" s="46"/>
      <c r="AX697" s="46"/>
      <c r="AY697" s="46"/>
      <c r="AZ697" s="46"/>
      <c r="BA697" s="46"/>
      <c r="BB697" s="46"/>
      <c r="BC697" s="46"/>
      <c r="BD697" s="46"/>
      <c r="BE697" s="46"/>
      <c r="BF697" s="46"/>
      <c r="BG697" s="46"/>
      <c r="BH697" s="46"/>
      <c r="BI697" s="46"/>
      <c r="BJ697" s="46"/>
      <c r="BK697" s="46"/>
      <c r="BL697" s="46"/>
      <c r="BM697" s="46"/>
      <c r="BN697" s="46"/>
      <c r="BO697" s="46"/>
      <c r="BP697" s="46"/>
      <c r="BQ697" s="46"/>
      <c r="BR697" s="46"/>
      <c r="BS697" s="46"/>
      <c r="BT697" s="46"/>
      <c r="BU697" s="46"/>
      <c r="BV697" s="46"/>
      <c r="BW697" s="46"/>
      <c r="BX697" s="46"/>
      <c r="BY697" s="46"/>
      <c r="BZ697" s="46"/>
      <c r="CA697" s="46"/>
      <c r="CB697" s="46"/>
      <c r="CC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c r="AM698" s="46"/>
      <c r="AN698" s="46"/>
      <c r="AO698" s="46"/>
      <c r="AP698" s="46"/>
      <c r="AQ698" s="46"/>
      <c r="AR698" s="46"/>
      <c r="AS698" s="46"/>
      <c r="AT698" s="46"/>
      <c r="AU698" s="46"/>
      <c r="AV698" s="46"/>
      <c r="AW698" s="46"/>
      <c r="AX698" s="46"/>
      <c r="AY698" s="46"/>
      <c r="AZ698" s="46"/>
      <c r="BA698" s="46"/>
      <c r="BB698" s="46"/>
      <c r="BC698" s="46"/>
      <c r="BD698" s="46"/>
      <c r="BE698" s="46"/>
      <c r="BF698" s="46"/>
      <c r="BG698" s="46"/>
      <c r="BH698" s="46"/>
      <c r="BI698" s="46"/>
      <c r="BJ698" s="46"/>
      <c r="BK698" s="46"/>
      <c r="BL698" s="46"/>
      <c r="BM698" s="46"/>
      <c r="BN698" s="46"/>
      <c r="BO698" s="46"/>
      <c r="BP698" s="46"/>
      <c r="BQ698" s="46"/>
      <c r="BR698" s="46"/>
      <c r="BS698" s="46"/>
      <c r="BT698" s="46"/>
      <c r="BU698" s="46"/>
      <c r="BV698" s="46"/>
      <c r="BW698" s="46"/>
      <c r="BX698" s="46"/>
      <c r="BY698" s="46"/>
      <c r="BZ698" s="46"/>
      <c r="CA698" s="46"/>
      <c r="CB698" s="46"/>
      <c r="CC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c r="AM699" s="46"/>
      <c r="AN699" s="46"/>
      <c r="AO699" s="46"/>
      <c r="AP699" s="46"/>
      <c r="AQ699" s="46"/>
      <c r="AR699" s="46"/>
      <c r="AS699" s="46"/>
      <c r="AT699" s="46"/>
      <c r="AU699" s="46"/>
      <c r="AV699" s="46"/>
      <c r="AW699" s="46"/>
      <c r="AX699" s="46"/>
      <c r="AY699" s="46"/>
      <c r="AZ699" s="46"/>
      <c r="BA699" s="46"/>
      <c r="BB699" s="46"/>
      <c r="BC699" s="46"/>
      <c r="BD699" s="46"/>
      <c r="BE699" s="46"/>
      <c r="BF699" s="46"/>
      <c r="BG699" s="46"/>
      <c r="BH699" s="46"/>
      <c r="BI699" s="46"/>
      <c r="BJ699" s="46"/>
      <c r="BK699" s="46"/>
      <c r="BL699" s="46"/>
      <c r="BM699" s="46"/>
      <c r="BN699" s="46"/>
      <c r="BO699" s="46"/>
      <c r="BP699" s="46"/>
      <c r="BQ699" s="46"/>
      <c r="BR699" s="46"/>
      <c r="BS699" s="46"/>
      <c r="BT699" s="46"/>
      <c r="BU699" s="46"/>
      <c r="BV699" s="46"/>
      <c r="BW699" s="46"/>
      <c r="BX699" s="46"/>
      <c r="BY699" s="46"/>
      <c r="BZ699" s="46"/>
      <c r="CA699" s="46"/>
      <c r="CB699" s="46"/>
      <c r="CC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c r="AJ700" s="46"/>
      <c r="AK700" s="46"/>
      <c r="AL700" s="46"/>
      <c r="AM700" s="46"/>
      <c r="AN700" s="46"/>
      <c r="AO700" s="46"/>
      <c r="AP700" s="46"/>
      <c r="AQ700" s="46"/>
      <c r="AR700" s="46"/>
      <c r="AS700" s="46"/>
      <c r="AT700" s="46"/>
      <c r="AU700" s="46"/>
      <c r="AV700" s="46"/>
      <c r="AW700" s="46"/>
      <c r="AX700" s="46"/>
      <c r="AY700" s="46"/>
      <c r="AZ700" s="46"/>
      <c r="BA700" s="46"/>
      <c r="BB700" s="46"/>
      <c r="BC700" s="46"/>
      <c r="BD700" s="46"/>
      <c r="BE700" s="46"/>
      <c r="BF700" s="46"/>
      <c r="BG700" s="46"/>
      <c r="BH700" s="46"/>
      <c r="BI700" s="46"/>
      <c r="BJ700" s="46"/>
      <c r="BK700" s="46"/>
      <c r="BL700" s="46"/>
      <c r="BM700" s="46"/>
      <c r="BN700" s="46"/>
      <c r="BO700" s="46"/>
      <c r="BP700" s="46"/>
      <c r="BQ700" s="46"/>
      <c r="BR700" s="46"/>
      <c r="BS700" s="46"/>
      <c r="BT700" s="46"/>
      <c r="BU700" s="46"/>
      <c r="BV700" s="46"/>
      <c r="BW700" s="46"/>
      <c r="BX700" s="46"/>
      <c r="BY700" s="46"/>
      <c r="BZ700" s="46"/>
      <c r="CA700" s="46"/>
      <c r="CB700" s="46"/>
      <c r="CC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c r="AJ701" s="46"/>
      <c r="AK701" s="46"/>
      <c r="AL701" s="46"/>
      <c r="AM701" s="46"/>
      <c r="AN701" s="46"/>
      <c r="AO701" s="46"/>
      <c r="AP701" s="46"/>
      <c r="AQ701" s="46"/>
      <c r="AR701" s="46"/>
      <c r="AS701" s="46"/>
      <c r="AT701" s="46"/>
      <c r="AU701" s="46"/>
      <c r="AV701" s="46"/>
      <c r="AW701" s="46"/>
      <c r="AX701" s="46"/>
      <c r="AY701" s="46"/>
      <c r="AZ701" s="46"/>
      <c r="BA701" s="46"/>
      <c r="BB701" s="46"/>
      <c r="BC701" s="46"/>
      <c r="BD701" s="46"/>
      <c r="BE701" s="46"/>
      <c r="BF701" s="46"/>
      <c r="BG701" s="46"/>
      <c r="BH701" s="46"/>
      <c r="BI701" s="46"/>
      <c r="BJ701" s="46"/>
      <c r="BK701" s="46"/>
      <c r="BL701" s="46"/>
      <c r="BM701" s="46"/>
      <c r="BN701" s="46"/>
      <c r="BO701" s="46"/>
      <c r="BP701" s="46"/>
      <c r="BQ701" s="46"/>
      <c r="BR701" s="46"/>
      <c r="BS701" s="46"/>
      <c r="BT701" s="46"/>
      <c r="BU701" s="46"/>
      <c r="BV701" s="46"/>
      <c r="BW701" s="46"/>
      <c r="BX701" s="46"/>
      <c r="BY701" s="46"/>
      <c r="BZ701" s="46"/>
      <c r="CA701" s="46"/>
      <c r="CB701" s="46"/>
      <c r="CC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c r="AJ702" s="46"/>
      <c r="AK702" s="46"/>
      <c r="AL702" s="46"/>
      <c r="AM702" s="46"/>
      <c r="AN702" s="46"/>
      <c r="AO702" s="46"/>
      <c r="AP702" s="46"/>
      <c r="AQ702" s="46"/>
      <c r="AR702" s="46"/>
      <c r="AS702" s="46"/>
      <c r="AT702" s="46"/>
      <c r="AU702" s="46"/>
      <c r="AV702" s="46"/>
      <c r="AW702" s="46"/>
      <c r="AX702" s="46"/>
      <c r="AY702" s="46"/>
      <c r="AZ702" s="46"/>
      <c r="BA702" s="46"/>
      <c r="BB702" s="46"/>
      <c r="BC702" s="46"/>
      <c r="BD702" s="46"/>
      <c r="BE702" s="46"/>
      <c r="BF702" s="46"/>
      <c r="BG702" s="46"/>
      <c r="BH702" s="46"/>
      <c r="BI702" s="46"/>
      <c r="BJ702" s="46"/>
      <c r="BK702" s="46"/>
      <c r="BL702" s="46"/>
      <c r="BM702" s="46"/>
      <c r="BN702" s="46"/>
      <c r="BO702" s="46"/>
      <c r="BP702" s="46"/>
      <c r="BQ702" s="46"/>
      <c r="BR702" s="46"/>
      <c r="BS702" s="46"/>
      <c r="BT702" s="46"/>
      <c r="BU702" s="46"/>
      <c r="BV702" s="46"/>
      <c r="BW702" s="46"/>
      <c r="BX702" s="46"/>
      <c r="BY702" s="46"/>
      <c r="BZ702" s="46"/>
      <c r="CA702" s="46"/>
      <c r="CB702" s="46"/>
      <c r="CC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c r="AJ703" s="46"/>
      <c r="AK703" s="46"/>
      <c r="AL703" s="46"/>
      <c r="AM703" s="46"/>
      <c r="AN703" s="46"/>
      <c r="AO703" s="46"/>
      <c r="AP703" s="46"/>
      <c r="AQ703" s="46"/>
      <c r="AR703" s="46"/>
      <c r="AS703" s="46"/>
      <c r="AT703" s="46"/>
      <c r="AU703" s="46"/>
      <c r="AV703" s="46"/>
      <c r="AW703" s="46"/>
      <c r="AX703" s="46"/>
      <c r="AY703" s="46"/>
      <c r="AZ703" s="46"/>
      <c r="BA703" s="46"/>
      <c r="BB703" s="46"/>
      <c r="BC703" s="46"/>
      <c r="BD703" s="46"/>
      <c r="BE703" s="46"/>
      <c r="BF703" s="46"/>
      <c r="BG703" s="46"/>
      <c r="BH703" s="46"/>
      <c r="BI703" s="46"/>
      <c r="BJ703" s="46"/>
      <c r="BK703" s="46"/>
      <c r="BL703" s="46"/>
      <c r="BM703" s="46"/>
      <c r="BN703" s="46"/>
      <c r="BO703" s="46"/>
      <c r="BP703" s="46"/>
      <c r="BQ703" s="46"/>
      <c r="BR703" s="46"/>
      <c r="BS703" s="46"/>
      <c r="BT703" s="46"/>
      <c r="BU703" s="46"/>
      <c r="BV703" s="46"/>
      <c r="BW703" s="46"/>
      <c r="BX703" s="46"/>
      <c r="BY703" s="46"/>
      <c r="BZ703" s="46"/>
      <c r="CA703" s="46"/>
      <c r="CB703" s="46"/>
      <c r="CC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c r="AJ704" s="46"/>
      <c r="AK704" s="46"/>
      <c r="AL704" s="46"/>
      <c r="AM704" s="46"/>
      <c r="AN704" s="46"/>
      <c r="AO704" s="46"/>
      <c r="AP704" s="46"/>
      <c r="AQ704" s="46"/>
      <c r="AR704" s="46"/>
      <c r="AS704" s="46"/>
      <c r="AT704" s="46"/>
      <c r="AU704" s="46"/>
      <c r="AV704" s="46"/>
      <c r="AW704" s="46"/>
      <c r="AX704" s="46"/>
      <c r="AY704" s="46"/>
      <c r="AZ704" s="46"/>
      <c r="BA704" s="46"/>
      <c r="BB704" s="46"/>
      <c r="BC704" s="46"/>
      <c r="BD704" s="46"/>
      <c r="BE704" s="46"/>
      <c r="BF704" s="46"/>
      <c r="BG704" s="46"/>
      <c r="BH704" s="46"/>
      <c r="BI704" s="46"/>
      <c r="BJ704" s="46"/>
      <c r="BK704" s="46"/>
      <c r="BL704" s="46"/>
      <c r="BM704" s="46"/>
      <c r="BN704" s="46"/>
      <c r="BO704" s="46"/>
      <c r="BP704" s="46"/>
      <c r="BQ704" s="46"/>
      <c r="BR704" s="46"/>
      <c r="BS704" s="46"/>
      <c r="BT704" s="46"/>
      <c r="BU704" s="46"/>
      <c r="BV704" s="46"/>
      <c r="BW704" s="46"/>
      <c r="BX704" s="46"/>
      <c r="BY704" s="46"/>
      <c r="BZ704" s="46"/>
      <c r="CA704" s="46"/>
      <c r="CB704" s="46"/>
      <c r="CC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c r="AJ705" s="46"/>
      <c r="AK705" s="46"/>
      <c r="AL705" s="46"/>
      <c r="AM705" s="46"/>
      <c r="AN705" s="46"/>
      <c r="AO705" s="46"/>
      <c r="AP705" s="46"/>
      <c r="AQ705" s="46"/>
      <c r="AR705" s="46"/>
      <c r="AS705" s="46"/>
      <c r="AT705" s="46"/>
      <c r="AU705" s="46"/>
      <c r="AV705" s="46"/>
      <c r="AW705" s="46"/>
      <c r="AX705" s="46"/>
      <c r="AY705" s="46"/>
      <c r="AZ705" s="46"/>
      <c r="BA705" s="46"/>
      <c r="BB705" s="46"/>
      <c r="BC705" s="46"/>
      <c r="BD705" s="46"/>
      <c r="BE705" s="46"/>
      <c r="BF705" s="46"/>
      <c r="BG705" s="46"/>
      <c r="BH705" s="46"/>
      <c r="BI705" s="46"/>
      <c r="BJ705" s="46"/>
      <c r="BK705" s="46"/>
      <c r="BL705" s="46"/>
      <c r="BM705" s="46"/>
      <c r="BN705" s="46"/>
      <c r="BO705" s="46"/>
      <c r="BP705" s="46"/>
      <c r="BQ705" s="46"/>
      <c r="BR705" s="46"/>
      <c r="BS705" s="46"/>
      <c r="BT705" s="46"/>
      <c r="BU705" s="46"/>
      <c r="BV705" s="46"/>
      <c r="BW705" s="46"/>
      <c r="BX705" s="46"/>
      <c r="BY705" s="46"/>
      <c r="BZ705" s="46"/>
      <c r="CA705" s="46"/>
      <c r="CB705" s="46"/>
      <c r="CC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c r="AJ706" s="46"/>
      <c r="AK706" s="46"/>
      <c r="AL706" s="46"/>
      <c r="AM706" s="46"/>
      <c r="AN706" s="46"/>
      <c r="AO706" s="46"/>
      <c r="AP706" s="46"/>
      <c r="AQ706" s="46"/>
      <c r="AR706" s="46"/>
      <c r="AS706" s="46"/>
      <c r="AT706" s="46"/>
      <c r="AU706" s="46"/>
      <c r="AV706" s="46"/>
      <c r="AW706" s="46"/>
      <c r="AX706" s="46"/>
      <c r="AY706" s="46"/>
      <c r="AZ706" s="46"/>
      <c r="BA706" s="46"/>
      <c r="BB706" s="46"/>
      <c r="BC706" s="46"/>
      <c r="BD706" s="46"/>
      <c r="BE706" s="46"/>
      <c r="BF706" s="46"/>
      <c r="BG706" s="46"/>
      <c r="BH706" s="46"/>
      <c r="BI706" s="46"/>
      <c r="BJ706" s="46"/>
      <c r="BK706" s="46"/>
      <c r="BL706" s="46"/>
      <c r="BM706" s="46"/>
      <c r="BN706" s="46"/>
      <c r="BO706" s="46"/>
      <c r="BP706" s="46"/>
      <c r="BQ706" s="46"/>
      <c r="BR706" s="46"/>
      <c r="BS706" s="46"/>
      <c r="BT706" s="46"/>
      <c r="BU706" s="46"/>
      <c r="BV706" s="46"/>
      <c r="BW706" s="46"/>
      <c r="BX706" s="46"/>
      <c r="BY706" s="46"/>
      <c r="BZ706" s="46"/>
      <c r="CA706" s="46"/>
      <c r="CB706" s="46"/>
      <c r="CC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c r="AJ707" s="46"/>
      <c r="AK707" s="46"/>
      <c r="AL707" s="46"/>
      <c r="AM707" s="46"/>
      <c r="AN707" s="46"/>
      <c r="AO707" s="46"/>
      <c r="AP707" s="46"/>
      <c r="AQ707" s="46"/>
      <c r="AR707" s="46"/>
      <c r="AS707" s="46"/>
      <c r="AT707" s="46"/>
      <c r="AU707" s="46"/>
      <c r="AV707" s="46"/>
      <c r="AW707" s="46"/>
      <c r="AX707" s="46"/>
      <c r="AY707" s="46"/>
      <c r="AZ707" s="46"/>
      <c r="BA707" s="46"/>
      <c r="BB707" s="46"/>
      <c r="BC707" s="46"/>
      <c r="BD707" s="46"/>
      <c r="BE707" s="46"/>
      <c r="BF707" s="46"/>
      <c r="BG707" s="46"/>
      <c r="BH707" s="46"/>
      <c r="BI707" s="46"/>
      <c r="BJ707" s="46"/>
      <c r="BK707" s="46"/>
      <c r="BL707" s="46"/>
      <c r="BM707" s="46"/>
      <c r="BN707" s="46"/>
      <c r="BO707" s="46"/>
      <c r="BP707" s="46"/>
      <c r="BQ707" s="46"/>
      <c r="BR707" s="46"/>
      <c r="BS707" s="46"/>
      <c r="BT707" s="46"/>
      <c r="BU707" s="46"/>
      <c r="BV707" s="46"/>
      <c r="BW707" s="46"/>
      <c r="BX707" s="46"/>
      <c r="BY707" s="46"/>
      <c r="BZ707" s="46"/>
      <c r="CA707" s="46"/>
      <c r="CB707" s="46"/>
      <c r="CC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c r="AJ708" s="46"/>
      <c r="AK708" s="46"/>
      <c r="AL708" s="46"/>
      <c r="AM708" s="46"/>
      <c r="AN708" s="46"/>
      <c r="AO708" s="46"/>
      <c r="AP708" s="46"/>
      <c r="AQ708" s="46"/>
      <c r="AR708" s="46"/>
      <c r="AS708" s="46"/>
      <c r="AT708" s="46"/>
      <c r="AU708" s="46"/>
      <c r="AV708" s="46"/>
      <c r="AW708" s="46"/>
      <c r="AX708" s="46"/>
      <c r="AY708" s="46"/>
      <c r="AZ708" s="46"/>
      <c r="BA708" s="46"/>
      <c r="BB708" s="46"/>
      <c r="BC708" s="46"/>
      <c r="BD708" s="46"/>
      <c r="BE708" s="46"/>
      <c r="BF708" s="46"/>
      <c r="BG708" s="46"/>
      <c r="BH708" s="46"/>
      <c r="BI708" s="46"/>
      <c r="BJ708" s="46"/>
      <c r="BK708" s="46"/>
      <c r="BL708" s="46"/>
      <c r="BM708" s="46"/>
      <c r="BN708" s="46"/>
      <c r="BO708" s="46"/>
      <c r="BP708" s="46"/>
      <c r="BQ708" s="46"/>
      <c r="BR708" s="46"/>
      <c r="BS708" s="46"/>
      <c r="BT708" s="46"/>
      <c r="BU708" s="46"/>
      <c r="BV708" s="46"/>
      <c r="BW708" s="46"/>
      <c r="BX708" s="46"/>
      <c r="BY708" s="46"/>
      <c r="BZ708" s="46"/>
      <c r="CA708" s="46"/>
      <c r="CB708" s="46"/>
      <c r="CC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c r="AJ709" s="46"/>
      <c r="AK709" s="46"/>
      <c r="AL709" s="46"/>
      <c r="AM709" s="46"/>
      <c r="AN709" s="46"/>
      <c r="AO709" s="46"/>
      <c r="AP709" s="46"/>
      <c r="AQ709" s="46"/>
      <c r="AR709" s="46"/>
      <c r="AS709" s="46"/>
      <c r="AT709" s="46"/>
      <c r="AU709" s="46"/>
      <c r="AV709" s="46"/>
      <c r="AW709" s="46"/>
      <c r="AX709" s="46"/>
      <c r="AY709" s="46"/>
      <c r="AZ709" s="46"/>
      <c r="BA709" s="46"/>
      <c r="BB709" s="46"/>
      <c r="BC709" s="46"/>
      <c r="BD709" s="46"/>
      <c r="BE709" s="46"/>
      <c r="BF709" s="46"/>
      <c r="BG709" s="46"/>
      <c r="BH709" s="46"/>
      <c r="BI709" s="46"/>
      <c r="BJ709" s="46"/>
      <c r="BK709" s="46"/>
      <c r="BL709" s="46"/>
      <c r="BM709" s="46"/>
      <c r="BN709" s="46"/>
      <c r="BO709" s="46"/>
      <c r="BP709" s="46"/>
      <c r="BQ709" s="46"/>
      <c r="BR709" s="46"/>
      <c r="BS709" s="46"/>
      <c r="BT709" s="46"/>
      <c r="BU709" s="46"/>
      <c r="BV709" s="46"/>
      <c r="BW709" s="46"/>
      <c r="BX709" s="46"/>
      <c r="BY709" s="46"/>
      <c r="BZ709" s="46"/>
      <c r="CA709" s="46"/>
      <c r="CB709" s="46"/>
      <c r="CC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c r="AJ710" s="46"/>
      <c r="AK710" s="46"/>
      <c r="AL710" s="46"/>
      <c r="AM710" s="46"/>
      <c r="AN710" s="46"/>
      <c r="AO710" s="46"/>
      <c r="AP710" s="46"/>
      <c r="AQ710" s="46"/>
      <c r="AR710" s="46"/>
      <c r="AS710" s="46"/>
      <c r="AT710" s="46"/>
      <c r="AU710" s="46"/>
      <c r="AV710" s="46"/>
      <c r="AW710" s="46"/>
      <c r="AX710" s="46"/>
      <c r="AY710" s="46"/>
      <c r="AZ710" s="46"/>
      <c r="BA710" s="46"/>
      <c r="BB710" s="46"/>
      <c r="BC710" s="46"/>
      <c r="BD710" s="46"/>
      <c r="BE710" s="46"/>
      <c r="BF710" s="46"/>
      <c r="BG710" s="46"/>
      <c r="BH710" s="46"/>
      <c r="BI710" s="46"/>
      <c r="BJ710" s="46"/>
      <c r="BK710" s="46"/>
      <c r="BL710" s="46"/>
      <c r="BM710" s="46"/>
      <c r="BN710" s="46"/>
      <c r="BO710" s="46"/>
      <c r="BP710" s="46"/>
      <c r="BQ710" s="46"/>
      <c r="BR710" s="46"/>
      <c r="BS710" s="46"/>
      <c r="BT710" s="46"/>
      <c r="BU710" s="46"/>
      <c r="BV710" s="46"/>
      <c r="BW710" s="46"/>
      <c r="BX710" s="46"/>
      <c r="BY710" s="46"/>
      <c r="BZ710" s="46"/>
      <c r="CA710" s="46"/>
      <c r="CB710" s="46"/>
      <c r="CC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c r="AJ711" s="46"/>
      <c r="AK711" s="46"/>
      <c r="AL711" s="46"/>
      <c r="AM711" s="46"/>
      <c r="AN711" s="46"/>
      <c r="AO711" s="46"/>
      <c r="AP711" s="46"/>
      <c r="AQ711" s="46"/>
      <c r="AR711" s="46"/>
      <c r="AS711" s="46"/>
      <c r="AT711" s="46"/>
      <c r="AU711" s="46"/>
      <c r="AV711" s="46"/>
      <c r="AW711" s="46"/>
      <c r="AX711" s="46"/>
      <c r="AY711" s="46"/>
      <c r="AZ711" s="46"/>
      <c r="BA711" s="46"/>
      <c r="BB711" s="46"/>
      <c r="BC711" s="46"/>
      <c r="BD711" s="46"/>
      <c r="BE711" s="46"/>
      <c r="BF711" s="46"/>
      <c r="BG711" s="46"/>
      <c r="BH711" s="46"/>
      <c r="BI711" s="46"/>
      <c r="BJ711" s="46"/>
      <c r="BK711" s="46"/>
      <c r="BL711" s="46"/>
      <c r="BM711" s="46"/>
      <c r="BN711" s="46"/>
      <c r="BO711" s="46"/>
      <c r="BP711" s="46"/>
      <c r="BQ711" s="46"/>
      <c r="BR711" s="46"/>
      <c r="BS711" s="46"/>
      <c r="BT711" s="46"/>
      <c r="BU711" s="46"/>
      <c r="BV711" s="46"/>
      <c r="BW711" s="46"/>
      <c r="BX711" s="46"/>
      <c r="BY711" s="46"/>
      <c r="BZ711" s="46"/>
      <c r="CA711" s="46"/>
      <c r="CB711" s="46"/>
      <c r="CC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c r="AJ712" s="46"/>
      <c r="AK712" s="46"/>
      <c r="AL712" s="46"/>
      <c r="AM712" s="46"/>
      <c r="AN712" s="46"/>
      <c r="AO712" s="46"/>
      <c r="AP712" s="46"/>
      <c r="AQ712" s="46"/>
      <c r="AR712" s="46"/>
      <c r="AS712" s="46"/>
      <c r="AT712" s="46"/>
      <c r="AU712" s="46"/>
      <c r="AV712" s="46"/>
      <c r="AW712" s="46"/>
      <c r="AX712" s="46"/>
      <c r="AY712" s="46"/>
      <c r="AZ712" s="46"/>
      <c r="BA712" s="46"/>
      <c r="BB712" s="46"/>
      <c r="BC712" s="46"/>
      <c r="BD712" s="46"/>
      <c r="BE712" s="46"/>
      <c r="BF712" s="46"/>
      <c r="BG712" s="46"/>
      <c r="BH712" s="46"/>
      <c r="BI712" s="46"/>
      <c r="BJ712" s="46"/>
      <c r="BK712" s="46"/>
      <c r="BL712" s="46"/>
      <c r="BM712" s="46"/>
      <c r="BN712" s="46"/>
      <c r="BO712" s="46"/>
      <c r="BP712" s="46"/>
      <c r="BQ712" s="46"/>
      <c r="BR712" s="46"/>
      <c r="BS712" s="46"/>
      <c r="BT712" s="46"/>
      <c r="BU712" s="46"/>
      <c r="BV712" s="46"/>
      <c r="BW712" s="46"/>
      <c r="BX712" s="46"/>
      <c r="BY712" s="46"/>
      <c r="BZ712" s="46"/>
      <c r="CA712" s="46"/>
      <c r="CB712" s="46"/>
      <c r="CC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c r="AJ713" s="46"/>
      <c r="AK713" s="46"/>
      <c r="AL713" s="46"/>
      <c r="AM713" s="46"/>
      <c r="AN713" s="46"/>
      <c r="AO713" s="46"/>
      <c r="AP713" s="46"/>
      <c r="AQ713" s="46"/>
      <c r="AR713" s="46"/>
      <c r="AS713" s="46"/>
      <c r="AT713" s="46"/>
      <c r="AU713" s="46"/>
      <c r="AV713" s="46"/>
      <c r="AW713" s="46"/>
      <c r="AX713" s="46"/>
      <c r="AY713" s="46"/>
      <c r="AZ713" s="46"/>
      <c r="BA713" s="46"/>
      <c r="BB713" s="46"/>
      <c r="BC713" s="46"/>
      <c r="BD713" s="46"/>
      <c r="BE713" s="46"/>
      <c r="BF713" s="46"/>
      <c r="BG713" s="46"/>
      <c r="BH713" s="46"/>
      <c r="BI713" s="46"/>
      <c r="BJ713" s="46"/>
      <c r="BK713" s="46"/>
      <c r="BL713" s="46"/>
      <c r="BM713" s="46"/>
      <c r="BN713" s="46"/>
      <c r="BO713" s="46"/>
      <c r="BP713" s="46"/>
      <c r="BQ713" s="46"/>
      <c r="BR713" s="46"/>
      <c r="BS713" s="46"/>
      <c r="BT713" s="46"/>
      <c r="BU713" s="46"/>
      <c r="BV713" s="46"/>
      <c r="BW713" s="46"/>
      <c r="BX713" s="46"/>
      <c r="BY713" s="46"/>
      <c r="BZ713" s="46"/>
      <c r="CA713" s="46"/>
      <c r="CB713" s="46"/>
      <c r="CC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c r="AJ714" s="46"/>
      <c r="AK714" s="46"/>
      <c r="AL714" s="46"/>
      <c r="AM714" s="46"/>
      <c r="AN714" s="46"/>
      <c r="AO714" s="46"/>
      <c r="AP714" s="46"/>
      <c r="AQ714" s="46"/>
      <c r="AR714" s="46"/>
      <c r="AS714" s="46"/>
      <c r="AT714" s="46"/>
      <c r="AU714" s="46"/>
      <c r="AV714" s="46"/>
      <c r="AW714" s="46"/>
      <c r="AX714" s="46"/>
      <c r="AY714" s="46"/>
      <c r="AZ714" s="46"/>
      <c r="BA714" s="46"/>
      <c r="BB714" s="46"/>
      <c r="BC714" s="46"/>
      <c r="BD714" s="46"/>
      <c r="BE714" s="46"/>
      <c r="BF714" s="46"/>
      <c r="BG714" s="46"/>
      <c r="BH714" s="46"/>
      <c r="BI714" s="46"/>
      <c r="BJ714" s="46"/>
      <c r="BK714" s="46"/>
      <c r="BL714" s="46"/>
      <c r="BM714" s="46"/>
      <c r="BN714" s="46"/>
      <c r="BO714" s="46"/>
      <c r="BP714" s="46"/>
      <c r="BQ714" s="46"/>
      <c r="BR714" s="46"/>
      <c r="BS714" s="46"/>
      <c r="BT714" s="46"/>
      <c r="BU714" s="46"/>
      <c r="BV714" s="46"/>
      <c r="BW714" s="46"/>
      <c r="BX714" s="46"/>
      <c r="BY714" s="46"/>
      <c r="BZ714" s="46"/>
      <c r="CA714" s="46"/>
      <c r="CB714" s="46"/>
      <c r="CC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c r="AJ715" s="46"/>
      <c r="AK715" s="46"/>
      <c r="AL715" s="46"/>
      <c r="AM715" s="46"/>
      <c r="AN715" s="46"/>
      <c r="AO715" s="46"/>
      <c r="AP715" s="46"/>
      <c r="AQ715" s="46"/>
      <c r="AR715" s="46"/>
      <c r="AS715" s="46"/>
      <c r="AT715" s="46"/>
      <c r="AU715" s="46"/>
      <c r="AV715" s="46"/>
      <c r="AW715" s="46"/>
      <c r="AX715" s="46"/>
      <c r="AY715" s="46"/>
      <c r="AZ715" s="46"/>
      <c r="BA715" s="46"/>
      <c r="BB715" s="46"/>
      <c r="BC715" s="46"/>
      <c r="BD715" s="46"/>
      <c r="BE715" s="46"/>
      <c r="BF715" s="46"/>
      <c r="BG715" s="46"/>
      <c r="BH715" s="46"/>
      <c r="BI715" s="46"/>
      <c r="BJ715" s="46"/>
      <c r="BK715" s="46"/>
      <c r="BL715" s="46"/>
      <c r="BM715" s="46"/>
      <c r="BN715" s="46"/>
      <c r="BO715" s="46"/>
      <c r="BP715" s="46"/>
      <c r="BQ715" s="46"/>
      <c r="BR715" s="46"/>
      <c r="BS715" s="46"/>
      <c r="BT715" s="46"/>
      <c r="BU715" s="46"/>
      <c r="BV715" s="46"/>
      <c r="BW715" s="46"/>
      <c r="BX715" s="46"/>
      <c r="BY715" s="46"/>
      <c r="BZ715" s="46"/>
      <c r="CA715" s="46"/>
      <c r="CB715" s="46"/>
      <c r="CC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c r="AJ716" s="46"/>
      <c r="AK716" s="46"/>
      <c r="AL716" s="46"/>
      <c r="AM716" s="46"/>
      <c r="AN716" s="46"/>
      <c r="AO716" s="46"/>
      <c r="AP716" s="46"/>
      <c r="AQ716" s="46"/>
      <c r="AR716" s="46"/>
      <c r="AS716" s="46"/>
      <c r="AT716" s="46"/>
      <c r="AU716" s="46"/>
      <c r="AV716" s="46"/>
      <c r="AW716" s="46"/>
      <c r="AX716" s="46"/>
      <c r="AY716" s="46"/>
      <c r="AZ716" s="46"/>
      <c r="BA716" s="46"/>
      <c r="BB716" s="46"/>
      <c r="BC716" s="46"/>
      <c r="BD716" s="46"/>
      <c r="BE716" s="46"/>
      <c r="BF716" s="46"/>
      <c r="BG716" s="46"/>
      <c r="BH716" s="46"/>
      <c r="BI716" s="46"/>
      <c r="BJ716" s="46"/>
      <c r="BK716" s="46"/>
      <c r="BL716" s="46"/>
      <c r="BM716" s="46"/>
      <c r="BN716" s="46"/>
      <c r="BO716" s="46"/>
      <c r="BP716" s="46"/>
      <c r="BQ716" s="46"/>
      <c r="BR716" s="46"/>
      <c r="BS716" s="46"/>
      <c r="BT716" s="46"/>
      <c r="BU716" s="46"/>
      <c r="BV716" s="46"/>
      <c r="BW716" s="46"/>
      <c r="BX716" s="46"/>
      <c r="BY716" s="46"/>
      <c r="BZ716" s="46"/>
      <c r="CA716" s="46"/>
      <c r="CB716" s="46"/>
      <c r="CC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c r="AJ717" s="46"/>
      <c r="AK717" s="46"/>
      <c r="AL717" s="46"/>
      <c r="AM717" s="46"/>
      <c r="AN717" s="46"/>
      <c r="AO717" s="46"/>
      <c r="AP717" s="46"/>
      <c r="AQ717" s="46"/>
      <c r="AR717" s="46"/>
      <c r="AS717" s="46"/>
      <c r="AT717" s="46"/>
      <c r="AU717" s="46"/>
      <c r="AV717" s="46"/>
      <c r="AW717" s="46"/>
      <c r="AX717" s="46"/>
      <c r="AY717" s="46"/>
      <c r="AZ717" s="46"/>
      <c r="BA717" s="46"/>
      <c r="BB717" s="46"/>
      <c r="BC717" s="46"/>
      <c r="BD717" s="46"/>
      <c r="BE717" s="46"/>
      <c r="BF717" s="46"/>
      <c r="BG717" s="46"/>
      <c r="BH717" s="46"/>
      <c r="BI717" s="46"/>
      <c r="BJ717" s="46"/>
      <c r="BK717" s="46"/>
      <c r="BL717" s="46"/>
      <c r="BM717" s="46"/>
      <c r="BN717" s="46"/>
      <c r="BO717" s="46"/>
      <c r="BP717" s="46"/>
      <c r="BQ717" s="46"/>
      <c r="BR717" s="46"/>
      <c r="BS717" s="46"/>
      <c r="BT717" s="46"/>
      <c r="BU717" s="46"/>
      <c r="BV717" s="46"/>
      <c r="BW717" s="46"/>
      <c r="BX717" s="46"/>
      <c r="BY717" s="46"/>
      <c r="BZ717" s="46"/>
      <c r="CA717" s="46"/>
      <c r="CB717" s="46"/>
      <c r="CC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c r="AJ718" s="46"/>
      <c r="AK718" s="46"/>
      <c r="AL718" s="46"/>
      <c r="AM718" s="46"/>
      <c r="AN718" s="46"/>
      <c r="AO718" s="46"/>
      <c r="AP718" s="46"/>
      <c r="AQ718" s="46"/>
      <c r="AR718" s="46"/>
      <c r="AS718" s="46"/>
      <c r="AT718" s="46"/>
      <c r="AU718" s="46"/>
      <c r="AV718" s="46"/>
      <c r="AW718" s="46"/>
      <c r="AX718" s="46"/>
      <c r="AY718" s="46"/>
      <c r="AZ718" s="46"/>
      <c r="BA718" s="46"/>
      <c r="BB718" s="46"/>
      <c r="BC718" s="46"/>
      <c r="BD718" s="46"/>
      <c r="BE718" s="46"/>
      <c r="BF718" s="46"/>
      <c r="BG718" s="46"/>
      <c r="BH718" s="46"/>
      <c r="BI718" s="46"/>
      <c r="BJ718" s="46"/>
      <c r="BK718" s="46"/>
      <c r="BL718" s="46"/>
      <c r="BM718" s="46"/>
      <c r="BN718" s="46"/>
      <c r="BO718" s="46"/>
      <c r="BP718" s="46"/>
      <c r="BQ718" s="46"/>
      <c r="BR718" s="46"/>
      <c r="BS718" s="46"/>
      <c r="BT718" s="46"/>
      <c r="BU718" s="46"/>
      <c r="BV718" s="46"/>
      <c r="BW718" s="46"/>
      <c r="BX718" s="46"/>
      <c r="BY718" s="46"/>
      <c r="BZ718" s="46"/>
      <c r="CA718" s="46"/>
      <c r="CB718" s="46"/>
      <c r="CC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c r="AJ719" s="46"/>
      <c r="AK719" s="46"/>
      <c r="AL719" s="46"/>
      <c r="AM719" s="46"/>
      <c r="AN719" s="46"/>
      <c r="AO719" s="46"/>
      <c r="AP719" s="46"/>
      <c r="AQ719" s="46"/>
      <c r="AR719" s="46"/>
      <c r="AS719" s="46"/>
      <c r="AT719" s="46"/>
      <c r="AU719" s="46"/>
      <c r="AV719" s="46"/>
      <c r="AW719" s="46"/>
      <c r="AX719" s="46"/>
      <c r="AY719" s="46"/>
      <c r="AZ719" s="46"/>
      <c r="BA719" s="46"/>
      <c r="BB719" s="46"/>
      <c r="BC719" s="46"/>
      <c r="BD719" s="46"/>
      <c r="BE719" s="46"/>
      <c r="BF719" s="46"/>
      <c r="BG719" s="46"/>
      <c r="BH719" s="46"/>
      <c r="BI719" s="46"/>
      <c r="BJ719" s="46"/>
      <c r="BK719" s="46"/>
      <c r="BL719" s="46"/>
      <c r="BM719" s="46"/>
      <c r="BN719" s="46"/>
      <c r="BO719" s="46"/>
      <c r="BP719" s="46"/>
      <c r="BQ719" s="46"/>
      <c r="BR719" s="46"/>
      <c r="BS719" s="46"/>
      <c r="BT719" s="46"/>
      <c r="BU719" s="46"/>
      <c r="BV719" s="46"/>
      <c r="BW719" s="46"/>
      <c r="BX719" s="46"/>
      <c r="BY719" s="46"/>
      <c r="BZ719" s="46"/>
      <c r="CA719" s="46"/>
      <c r="CB719" s="46"/>
      <c r="CC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c r="AM720" s="46"/>
      <c r="AN720" s="46"/>
      <c r="AO720" s="46"/>
      <c r="AP720" s="46"/>
      <c r="AQ720" s="46"/>
      <c r="AR720" s="46"/>
      <c r="AS720" s="46"/>
      <c r="AT720" s="46"/>
      <c r="AU720" s="46"/>
      <c r="AV720" s="46"/>
      <c r="AW720" s="46"/>
      <c r="AX720" s="46"/>
      <c r="AY720" s="46"/>
      <c r="AZ720" s="46"/>
      <c r="BA720" s="46"/>
      <c r="BB720" s="46"/>
      <c r="BC720" s="46"/>
      <c r="BD720" s="46"/>
      <c r="BE720" s="46"/>
      <c r="BF720" s="46"/>
      <c r="BG720" s="46"/>
      <c r="BH720" s="46"/>
      <c r="BI720" s="46"/>
      <c r="BJ720" s="46"/>
      <c r="BK720" s="46"/>
      <c r="BL720" s="46"/>
      <c r="BM720" s="46"/>
      <c r="BN720" s="46"/>
      <c r="BO720" s="46"/>
      <c r="BP720" s="46"/>
      <c r="BQ720" s="46"/>
      <c r="BR720" s="46"/>
      <c r="BS720" s="46"/>
      <c r="BT720" s="46"/>
      <c r="BU720" s="46"/>
      <c r="BV720" s="46"/>
      <c r="BW720" s="46"/>
      <c r="BX720" s="46"/>
      <c r="BY720" s="46"/>
      <c r="BZ720" s="46"/>
      <c r="CA720" s="46"/>
      <c r="CB720" s="46"/>
      <c r="CC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c r="AM721" s="46"/>
      <c r="AN721" s="46"/>
      <c r="AO721" s="46"/>
      <c r="AP721" s="46"/>
      <c r="AQ721" s="46"/>
      <c r="AR721" s="46"/>
      <c r="AS721" s="46"/>
      <c r="AT721" s="46"/>
      <c r="AU721" s="46"/>
      <c r="AV721" s="46"/>
      <c r="AW721" s="46"/>
      <c r="AX721" s="46"/>
      <c r="AY721" s="46"/>
      <c r="AZ721" s="46"/>
      <c r="BA721" s="46"/>
      <c r="BB721" s="46"/>
      <c r="BC721" s="46"/>
      <c r="BD721" s="46"/>
      <c r="BE721" s="46"/>
      <c r="BF721" s="46"/>
      <c r="BG721" s="46"/>
      <c r="BH721" s="46"/>
      <c r="BI721" s="46"/>
      <c r="BJ721" s="46"/>
      <c r="BK721" s="46"/>
      <c r="BL721" s="46"/>
      <c r="BM721" s="46"/>
      <c r="BN721" s="46"/>
      <c r="BO721" s="46"/>
      <c r="BP721" s="46"/>
      <c r="BQ721" s="46"/>
      <c r="BR721" s="46"/>
      <c r="BS721" s="46"/>
      <c r="BT721" s="46"/>
      <c r="BU721" s="46"/>
      <c r="BV721" s="46"/>
      <c r="BW721" s="46"/>
      <c r="BX721" s="46"/>
      <c r="BY721" s="46"/>
      <c r="BZ721" s="46"/>
      <c r="CA721" s="46"/>
      <c r="CB721" s="46"/>
      <c r="CC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c r="AJ722" s="46"/>
      <c r="AK722" s="46"/>
      <c r="AL722" s="46"/>
      <c r="AM722" s="46"/>
      <c r="AN722" s="46"/>
      <c r="AO722" s="46"/>
      <c r="AP722" s="46"/>
      <c r="AQ722" s="46"/>
      <c r="AR722" s="46"/>
      <c r="AS722" s="46"/>
      <c r="AT722" s="46"/>
      <c r="AU722" s="46"/>
      <c r="AV722" s="46"/>
      <c r="AW722" s="46"/>
      <c r="AX722" s="46"/>
      <c r="AY722" s="46"/>
      <c r="AZ722" s="46"/>
      <c r="BA722" s="46"/>
      <c r="BB722" s="46"/>
      <c r="BC722" s="46"/>
      <c r="BD722" s="46"/>
      <c r="BE722" s="46"/>
      <c r="BF722" s="46"/>
      <c r="BG722" s="46"/>
      <c r="BH722" s="46"/>
      <c r="BI722" s="46"/>
      <c r="BJ722" s="46"/>
      <c r="BK722" s="46"/>
      <c r="BL722" s="46"/>
      <c r="BM722" s="46"/>
      <c r="BN722" s="46"/>
      <c r="BO722" s="46"/>
      <c r="BP722" s="46"/>
      <c r="BQ722" s="46"/>
      <c r="BR722" s="46"/>
      <c r="BS722" s="46"/>
      <c r="BT722" s="46"/>
      <c r="BU722" s="46"/>
      <c r="BV722" s="46"/>
      <c r="BW722" s="46"/>
      <c r="BX722" s="46"/>
      <c r="BY722" s="46"/>
      <c r="BZ722" s="46"/>
      <c r="CA722" s="46"/>
      <c r="CB722" s="46"/>
      <c r="CC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c r="AJ723" s="46"/>
      <c r="AK723" s="46"/>
      <c r="AL723" s="46"/>
      <c r="AM723" s="46"/>
      <c r="AN723" s="46"/>
      <c r="AO723" s="46"/>
      <c r="AP723" s="46"/>
      <c r="AQ723" s="46"/>
      <c r="AR723" s="46"/>
      <c r="AS723" s="46"/>
      <c r="AT723" s="46"/>
      <c r="AU723" s="46"/>
      <c r="AV723" s="46"/>
      <c r="AW723" s="46"/>
      <c r="AX723" s="46"/>
      <c r="AY723" s="46"/>
      <c r="AZ723" s="46"/>
      <c r="BA723" s="46"/>
      <c r="BB723" s="46"/>
      <c r="BC723" s="46"/>
      <c r="BD723" s="46"/>
      <c r="BE723" s="46"/>
      <c r="BF723" s="46"/>
      <c r="BG723" s="46"/>
      <c r="BH723" s="46"/>
      <c r="BI723" s="46"/>
      <c r="BJ723" s="46"/>
      <c r="BK723" s="46"/>
      <c r="BL723" s="46"/>
      <c r="BM723" s="46"/>
      <c r="BN723" s="46"/>
      <c r="BO723" s="46"/>
      <c r="BP723" s="46"/>
      <c r="BQ723" s="46"/>
      <c r="BR723" s="46"/>
      <c r="BS723" s="46"/>
      <c r="BT723" s="46"/>
      <c r="BU723" s="46"/>
      <c r="BV723" s="46"/>
      <c r="BW723" s="46"/>
      <c r="BX723" s="46"/>
      <c r="BY723" s="46"/>
      <c r="BZ723" s="46"/>
      <c r="CA723" s="46"/>
      <c r="CB723" s="46"/>
      <c r="CC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c r="AJ724" s="46"/>
      <c r="AK724" s="46"/>
      <c r="AL724" s="46"/>
      <c r="AM724" s="46"/>
      <c r="AN724" s="46"/>
      <c r="AO724" s="46"/>
      <c r="AP724" s="46"/>
      <c r="AQ724" s="46"/>
      <c r="AR724" s="46"/>
      <c r="AS724" s="46"/>
      <c r="AT724" s="46"/>
      <c r="AU724" s="46"/>
      <c r="AV724" s="46"/>
      <c r="AW724" s="46"/>
      <c r="AX724" s="46"/>
      <c r="AY724" s="46"/>
      <c r="AZ724" s="46"/>
      <c r="BA724" s="46"/>
      <c r="BB724" s="46"/>
      <c r="BC724" s="46"/>
      <c r="BD724" s="46"/>
      <c r="BE724" s="46"/>
      <c r="BF724" s="46"/>
      <c r="BG724" s="46"/>
      <c r="BH724" s="46"/>
      <c r="BI724" s="46"/>
      <c r="BJ724" s="46"/>
      <c r="BK724" s="46"/>
      <c r="BL724" s="46"/>
      <c r="BM724" s="46"/>
      <c r="BN724" s="46"/>
      <c r="BO724" s="46"/>
      <c r="BP724" s="46"/>
      <c r="BQ724" s="46"/>
      <c r="BR724" s="46"/>
      <c r="BS724" s="46"/>
      <c r="BT724" s="46"/>
      <c r="BU724" s="46"/>
      <c r="BV724" s="46"/>
      <c r="BW724" s="46"/>
      <c r="BX724" s="46"/>
      <c r="BY724" s="46"/>
      <c r="BZ724" s="46"/>
      <c r="CA724" s="46"/>
      <c r="CB724" s="46"/>
      <c r="CC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c r="AM725" s="46"/>
      <c r="AN725" s="46"/>
      <c r="AO725" s="46"/>
      <c r="AP725" s="46"/>
      <c r="AQ725" s="46"/>
      <c r="AR725" s="46"/>
      <c r="AS725" s="46"/>
      <c r="AT725" s="46"/>
      <c r="AU725" s="46"/>
      <c r="AV725" s="46"/>
      <c r="AW725" s="46"/>
      <c r="AX725" s="46"/>
      <c r="AY725" s="46"/>
      <c r="AZ725" s="46"/>
      <c r="BA725" s="46"/>
      <c r="BB725" s="46"/>
      <c r="BC725" s="46"/>
      <c r="BD725" s="46"/>
      <c r="BE725" s="46"/>
      <c r="BF725" s="46"/>
      <c r="BG725" s="46"/>
      <c r="BH725" s="46"/>
      <c r="BI725" s="46"/>
      <c r="BJ725" s="46"/>
      <c r="BK725" s="46"/>
      <c r="BL725" s="46"/>
      <c r="BM725" s="46"/>
      <c r="BN725" s="46"/>
      <c r="BO725" s="46"/>
      <c r="BP725" s="46"/>
      <c r="BQ725" s="46"/>
      <c r="BR725" s="46"/>
      <c r="BS725" s="46"/>
      <c r="BT725" s="46"/>
      <c r="BU725" s="46"/>
      <c r="BV725" s="46"/>
      <c r="BW725" s="46"/>
      <c r="BX725" s="46"/>
      <c r="BY725" s="46"/>
      <c r="BZ725" s="46"/>
      <c r="CA725" s="46"/>
      <c r="CB725" s="46"/>
      <c r="CC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c r="AM726" s="46"/>
      <c r="AN726" s="46"/>
      <c r="AO726" s="46"/>
      <c r="AP726" s="46"/>
      <c r="AQ726" s="46"/>
      <c r="AR726" s="46"/>
      <c r="AS726" s="46"/>
      <c r="AT726" s="46"/>
      <c r="AU726" s="46"/>
      <c r="AV726" s="46"/>
      <c r="AW726" s="46"/>
      <c r="AX726" s="46"/>
      <c r="AY726" s="46"/>
      <c r="AZ726" s="46"/>
      <c r="BA726" s="46"/>
      <c r="BB726" s="46"/>
      <c r="BC726" s="46"/>
      <c r="BD726" s="46"/>
      <c r="BE726" s="46"/>
      <c r="BF726" s="46"/>
      <c r="BG726" s="46"/>
      <c r="BH726" s="46"/>
      <c r="BI726" s="46"/>
      <c r="BJ726" s="46"/>
      <c r="BK726" s="46"/>
      <c r="BL726" s="46"/>
      <c r="BM726" s="46"/>
      <c r="BN726" s="46"/>
      <c r="BO726" s="46"/>
      <c r="BP726" s="46"/>
      <c r="BQ726" s="46"/>
      <c r="BR726" s="46"/>
      <c r="BS726" s="46"/>
      <c r="BT726" s="46"/>
      <c r="BU726" s="46"/>
      <c r="BV726" s="46"/>
      <c r="BW726" s="46"/>
      <c r="BX726" s="46"/>
      <c r="BY726" s="46"/>
      <c r="BZ726" s="46"/>
      <c r="CA726" s="46"/>
      <c r="CB726" s="46"/>
      <c r="CC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c r="AJ727" s="46"/>
      <c r="AK727" s="46"/>
      <c r="AL727" s="46"/>
      <c r="AM727" s="46"/>
      <c r="AN727" s="46"/>
      <c r="AO727" s="46"/>
      <c r="AP727" s="46"/>
      <c r="AQ727" s="46"/>
      <c r="AR727" s="46"/>
      <c r="AS727" s="46"/>
      <c r="AT727" s="46"/>
      <c r="AU727" s="46"/>
      <c r="AV727" s="46"/>
      <c r="AW727" s="46"/>
      <c r="AX727" s="46"/>
      <c r="AY727" s="46"/>
      <c r="AZ727" s="46"/>
      <c r="BA727" s="46"/>
      <c r="BB727" s="46"/>
      <c r="BC727" s="46"/>
      <c r="BD727" s="46"/>
      <c r="BE727" s="46"/>
      <c r="BF727" s="46"/>
      <c r="BG727" s="46"/>
      <c r="BH727" s="46"/>
      <c r="BI727" s="46"/>
      <c r="BJ727" s="46"/>
      <c r="BK727" s="46"/>
      <c r="BL727" s="46"/>
      <c r="BM727" s="46"/>
      <c r="BN727" s="46"/>
      <c r="BO727" s="46"/>
      <c r="BP727" s="46"/>
      <c r="BQ727" s="46"/>
      <c r="BR727" s="46"/>
      <c r="BS727" s="46"/>
      <c r="BT727" s="46"/>
      <c r="BU727" s="46"/>
      <c r="BV727" s="46"/>
      <c r="BW727" s="46"/>
      <c r="BX727" s="46"/>
      <c r="BY727" s="46"/>
      <c r="BZ727" s="46"/>
      <c r="CA727" s="46"/>
      <c r="CB727" s="46"/>
      <c r="CC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c r="AJ728" s="46"/>
      <c r="AK728" s="46"/>
      <c r="AL728" s="46"/>
      <c r="AM728" s="46"/>
      <c r="AN728" s="46"/>
      <c r="AO728" s="46"/>
      <c r="AP728" s="46"/>
      <c r="AQ728" s="46"/>
      <c r="AR728" s="46"/>
      <c r="AS728" s="46"/>
      <c r="AT728" s="46"/>
      <c r="AU728" s="46"/>
      <c r="AV728" s="46"/>
      <c r="AW728" s="46"/>
      <c r="AX728" s="46"/>
      <c r="AY728" s="46"/>
      <c r="AZ728" s="46"/>
      <c r="BA728" s="46"/>
      <c r="BB728" s="46"/>
      <c r="BC728" s="46"/>
      <c r="BD728" s="46"/>
      <c r="BE728" s="46"/>
      <c r="BF728" s="46"/>
      <c r="BG728" s="46"/>
      <c r="BH728" s="46"/>
      <c r="BI728" s="46"/>
      <c r="BJ728" s="46"/>
      <c r="BK728" s="46"/>
      <c r="BL728" s="46"/>
      <c r="BM728" s="46"/>
      <c r="BN728" s="46"/>
      <c r="BO728" s="46"/>
      <c r="BP728" s="46"/>
      <c r="BQ728" s="46"/>
      <c r="BR728" s="46"/>
      <c r="BS728" s="46"/>
      <c r="BT728" s="46"/>
      <c r="BU728" s="46"/>
      <c r="BV728" s="46"/>
      <c r="BW728" s="46"/>
      <c r="BX728" s="46"/>
      <c r="BY728" s="46"/>
      <c r="BZ728" s="46"/>
      <c r="CA728" s="46"/>
      <c r="CB728" s="46"/>
      <c r="CC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c r="AJ729" s="46"/>
      <c r="AK729" s="46"/>
      <c r="AL729" s="46"/>
      <c r="AM729" s="46"/>
      <c r="AN729" s="46"/>
      <c r="AO729" s="46"/>
      <c r="AP729" s="46"/>
      <c r="AQ729" s="46"/>
      <c r="AR729" s="46"/>
      <c r="AS729" s="46"/>
      <c r="AT729" s="46"/>
      <c r="AU729" s="46"/>
      <c r="AV729" s="46"/>
      <c r="AW729" s="46"/>
      <c r="AX729" s="46"/>
      <c r="AY729" s="46"/>
      <c r="AZ729" s="46"/>
      <c r="BA729" s="46"/>
      <c r="BB729" s="46"/>
      <c r="BC729" s="46"/>
      <c r="BD729" s="46"/>
      <c r="BE729" s="46"/>
      <c r="BF729" s="46"/>
      <c r="BG729" s="46"/>
      <c r="BH729" s="46"/>
      <c r="BI729" s="46"/>
      <c r="BJ729" s="46"/>
      <c r="BK729" s="46"/>
      <c r="BL729" s="46"/>
      <c r="BM729" s="46"/>
      <c r="BN729" s="46"/>
      <c r="BO729" s="46"/>
      <c r="BP729" s="46"/>
      <c r="BQ729" s="46"/>
      <c r="BR729" s="46"/>
      <c r="BS729" s="46"/>
      <c r="BT729" s="46"/>
      <c r="BU729" s="46"/>
      <c r="BV729" s="46"/>
      <c r="BW729" s="46"/>
      <c r="BX729" s="46"/>
      <c r="BY729" s="46"/>
      <c r="BZ729" s="46"/>
      <c r="CA729" s="46"/>
      <c r="CB729" s="46"/>
      <c r="CC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c r="AM730" s="46"/>
      <c r="AN730" s="46"/>
      <c r="AO730" s="46"/>
      <c r="AP730" s="46"/>
      <c r="AQ730" s="46"/>
      <c r="AR730" s="46"/>
      <c r="AS730" s="46"/>
      <c r="AT730" s="46"/>
      <c r="AU730" s="46"/>
      <c r="AV730" s="46"/>
      <c r="AW730" s="46"/>
      <c r="AX730" s="46"/>
      <c r="AY730" s="46"/>
      <c r="AZ730" s="46"/>
      <c r="BA730" s="46"/>
      <c r="BB730" s="46"/>
      <c r="BC730" s="46"/>
      <c r="BD730" s="46"/>
      <c r="BE730" s="46"/>
      <c r="BF730" s="46"/>
      <c r="BG730" s="46"/>
      <c r="BH730" s="46"/>
      <c r="BI730" s="46"/>
      <c r="BJ730" s="46"/>
      <c r="BK730" s="46"/>
      <c r="BL730" s="46"/>
      <c r="BM730" s="46"/>
      <c r="BN730" s="46"/>
      <c r="BO730" s="46"/>
      <c r="BP730" s="46"/>
      <c r="BQ730" s="46"/>
      <c r="BR730" s="46"/>
      <c r="BS730" s="46"/>
      <c r="BT730" s="46"/>
      <c r="BU730" s="46"/>
      <c r="BV730" s="46"/>
      <c r="BW730" s="46"/>
      <c r="BX730" s="46"/>
      <c r="BY730" s="46"/>
      <c r="BZ730" s="46"/>
      <c r="CA730" s="46"/>
      <c r="CB730" s="46"/>
      <c r="CC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c r="AM731" s="46"/>
      <c r="AN731" s="46"/>
      <c r="AO731" s="46"/>
      <c r="AP731" s="46"/>
      <c r="AQ731" s="46"/>
      <c r="AR731" s="46"/>
      <c r="AS731" s="46"/>
      <c r="AT731" s="46"/>
      <c r="AU731" s="46"/>
      <c r="AV731" s="46"/>
      <c r="AW731" s="46"/>
      <c r="AX731" s="46"/>
      <c r="AY731" s="46"/>
      <c r="AZ731" s="46"/>
      <c r="BA731" s="46"/>
      <c r="BB731" s="46"/>
      <c r="BC731" s="46"/>
      <c r="BD731" s="46"/>
      <c r="BE731" s="46"/>
      <c r="BF731" s="46"/>
      <c r="BG731" s="46"/>
      <c r="BH731" s="46"/>
      <c r="BI731" s="46"/>
      <c r="BJ731" s="46"/>
      <c r="BK731" s="46"/>
      <c r="BL731" s="46"/>
      <c r="BM731" s="46"/>
      <c r="BN731" s="46"/>
      <c r="BO731" s="46"/>
      <c r="BP731" s="46"/>
      <c r="BQ731" s="46"/>
      <c r="BR731" s="46"/>
      <c r="BS731" s="46"/>
      <c r="BT731" s="46"/>
      <c r="BU731" s="46"/>
      <c r="BV731" s="46"/>
      <c r="BW731" s="46"/>
      <c r="BX731" s="46"/>
      <c r="BY731" s="46"/>
      <c r="BZ731" s="46"/>
      <c r="CA731" s="46"/>
      <c r="CB731" s="46"/>
      <c r="CC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c r="AL732" s="46"/>
      <c r="AM732" s="46"/>
      <c r="AN732" s="46"/>
      <c r="AO732" s="46"/>
      <c r="AP732" s="46"/>
      <c r="AQ732" s="46"/>
      <c r="AR732" s="46"/>
      <c r="AS732" s="46"/>
      <c r="AT732" s="46"/>
      <c r="AU732" s="46"/>
      <c r="AV732" s="46"/>
      <c r="AW732" s="46"/>
      <c r="AX732" s="46"/>
      <c r="AY732" s="46"/>
      <c r="AZ732" s="46"/>
      <c r="BA732" s="46"/>
      <c r="BB732" s="46"/>
      <c r="BC732" s="46"/>
      <c r="BD732" s="46"/>
      <c r="BE732" s="46"/>
      <c r="BF732" s="46"/>
      <c r="BG732" s="46"/>
      <c r="BH732" s="46"/>
      <c r="BI732" s="46"/>
      <c r="BJ732" s="46"/>
      <c r="BK732" s="46"/>
      <c r="BL732" s="46"/>
      <c r="BM732" s="46"/>
      <c r="BN732" s="46"/>
      <c r="BO732" s="46"/>
      <c r="BP732" s="46"/>
      <c r="BQ732" s="46"/>
      <c r="BR732" s="46"/>
      <c r="BS732" s="46"/>
      <c r="BT732" s="46"/>
      <c r="BU732" s="46"/>
      <c r="BV732" s="46"/>
      <c r="BW732" s="46"/>
      <c r="BX732" s="46"/>
      <c r="BY732" s="46"/>
      <c r="BZ732" s="46"/>
      <c r="CA732" s="46"/>
      <c r="CB732" s="46"/>
      <c r="CC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c r="AL733" s="46"/>
      <c r="AM733" s="46"/>
      <c r="AN733" s="46"/>
      <c r="AO733" s="46"/>
      <c r="AP733" s="46"/>
      <c r="AQ733" s="46"/>
      <c r="AR733" s="46"/>
      <c r="AS733" s="46"/>
      <c r="AT733" s="46"/>
      <c r="AU733" s="46"/>
      <c r="AV733" s="46"/>
      <c r="AW733" s="46"/>
      <c r="AX733" s="46"/>
      <c r="AY733" s="46"/>
      <c r="AZ733" s="46"/>
      <c r="BA733" s="46"/>
      <c r="BB733" s="46"/>
      <c r="BC733" s="46"/>
      <c r="BD733" s="46"/>
      <c r="BE733" s="46"/>
      <c r="BF733" s="46"/>
      <c r="BG733" s="46"/>
      <c r="BH733" s="46"/>
      <c r="BI733" s="46"/>
      <c r="BJ733" s="46"/>
      <c r="BK733" s="46"/>
      <c r="BL733" s="46"/>
      <c r="BM733" s="46"/>
      <c r="BN733" s="46"/>
      <c r="BO733" s="46"/>
      <c r="BP733" s="46"/>
      <c r="BQ733" s="46"/>
      <c r="BR733" s="46"/>
      <c r="BS733" s="46"/>
      <c r="BT733" s="46"/>
      <c r="BU733" s="46"/>
      <c r="BV733" s="46"/>
      <c r="BW733" s="46"/>
      <c r="BX733" s="46"/>
      <c r="BY733" s="46"/>
      <c r="BZ733" s="46"/>
      <c r="CA733" s="46"/>
      <c r="CB733" s="46"/>
      <c r="CC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c r="AL734" s="46"/>
      <c r="AM734" s="46"/>
      <c r="AN734" s="46"/>
      <c r="AO734" s="46"/>
      <c r="AP734" s="46"/>
      <c r="AQ734" s="46"/>
      <c r="AR734" s="46"/>
      <c r="AS734" s="46"/>
      <c r="AT734" s="46"/>
      <c r="AU734" s="46"/>
      <c r="AV734" s="46"/>
      <c r="AW734" s="46"/>
      <c r="AX734" s="46"/>
      <c r="AY734" s="46"/>
      <c r="AZ734" s="46"/>
      <c r="BA734" s="46"/>
      <c r="BB734" s="46"/>
      <c r="BC734" s="46"/>
      <c r="BD734" s="46"/>
      <c r="BE734" s="46"/>
      <c r="BF734" s="46"/>
      <c r="BG734" s="46"/>
      <c r="BH734" s="46"/>
      <c r="BI734" s="46"/>
      <c r="BJ734" s="46"/>
      <c r="BK734" s="46"/>
      <c r="BL734" s="46"/>
      <c r="BM734" s="46"/>
      <c r="BN734" s="46"/>
      <c r="BO734" s="46"/>
      <c r="BP734" s="46"/>
      <c r="BQ734" s="46"/>
      <c r="BR734" s="46"/>
      <c r="BS734" s="46"/>
      <c r="BT734" s="46"/>
      <c r="BU734" s="46"/>
      <c r="BV734" s="46"/>
      <c r="BW734" s="46"/>
      <c r="BX734" s="46"/>
      <c r="BY734" s="46"/>
      <c r="BZ734" s="46"/>
      <c r="CA734" s="46"/>
      <c r="CB734" s="46"/>
      <c r="CC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c r="AL735" s="46"/>
      <c r="AM735" s="46"/>
      <c r="AN735" s="46"/>
      <c r="AO735" s="46"/>
      <c r="AP735" s="46"/>
      <c r="AQ735" s="46"/>
      <c r="AR735" s="46"/>
      <c r="AS735" s="46"/>
      <c r="AT735" s="46"/>
      <c r="AU735" s="46"/>
      <c r="AV735" s="46"/>
      <c r="AW735" s="46"/>
      <c r="AX735" s="46"/>
      <c r="AY735" s="46"/>
      <c r="AZ735" s="46"/>
      <c r="BA735" s="46"/>
      <c r="BB735" s="46"/>
      <c r="BC735" s="46"/>
      <c r="BD735" s="46"/>
      <c r="BE735" s="46"/>
      <c r="BF735" s="46"/>
      <c r="BG735" s="46"/>
      <c r="BH735" s="46"/>
      <c r="BI735" s="46"/>
      <c r="BJ735" s="46"/>
      <c r="BK735" s="46"/>
      <c r="BL735" s="46"/>
      <c r="BM735" s="46"/>
      <c r="BN735" s="46"/>
      <c r="BO735" s="46"/>
      <c r="BP735" s="46"/>
      <c r="BQ735" s="46"/>
      <c r="BR735" s="46"/>
      <c r="BS735" s="46"/>
      <c r="BT735" s="46"/>
      <c r="BU735" s="46"/>
      <c r="BV735" s="46"/>
      <c r="BW735" s="46"/>
      <c r="BX735" s="46"/>
      <c r="BY735" s="46"/>
      <c r="BZ735" s="46"/>
      <c r="CA735" s="46"/>
      <c r="CB735" s="46"/>
      <c r="CC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c r="AL736" s="46"/>
      <c r="AM736" s="46"/>
      <c r="AN736" s="46"/>
      <c r="AO736" s="46"/>
      <c r="AP736" s="46"/>
      <c r="AQ736" s="46"/>
      <c r="AR736" s="46"/>
      <c r="AS736" s="46"/>
      <c r="AT736" s="46"/>
      <c r="AU736" s="46"/>
      <c r="AV736" s="46"/>
      <c r="AW736" s="46"/>
      <c r="AX736" s="46"/>
      <c r="AY736" s="46"/>
      <c r="AZ736" s="46"/>
      <c r="BA736" s="46"/>
      <c r="BB736" s="46"/>
      <c r="BC736" s="46"/>
      <c r="BD736" s="46"/>
      <c r="BE736" s="46"/>
      <c r="BF736" s="46"/>
      <c r="BG736" s="46"/>
      <c r="BH736" s="46"/>
      <c r="BI736" s="46"/>
      <c r="BJ736" s="46"/>
      <c r="BK736" s="46"/>
      <c r="BL736" s="46"/>
      <c r="BM736" s="46"/>
      <c r="BN736" s="46"/>
      <c r="BO736" s="46"/>
      <c r="BP736" s="46"/>
      <c r="BQ736" s="46"/>
      <c r="BR736" s="46"/>
      <c r="BS736" s="46"/>
      <c r="BT736" s="46"/>
      <c r="BU736" s="46"/>
      <c r="BV736" s="46"/>
      <c r="BW736" s="46"/>
      <c r="BX736" s="46"/>
      <c r="BY736" s="46"/>
      <c r="BZ736" s="46"/>
      <c r="CA736" s="46"/>
      <c r="CB736" s="46"/>
      <c r="CC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46"/>
      <c r="BB737" s="46"/>
      <c r="BC737" s="46"/>
      <c r="BD737" s="46"/>
      <c r="BE737" s="46"/>
      <c r="BF737" s="46"/>
      <c r="BG737" s="46"/>
      <c r="BH737" s="46"/>
      <c r="BI737" s="46"/>
      <c r="BJ737" s="46"/>
      <c r="BK737" s="46"/>
      <c r="BL737" s="46"/>
      <c r="BM737" s="46"/>
      <c r="BN737" s="46"/>
      <c r="BO737" s="46"/>
      <c r="BP737" s="46"/>
      <c r="BQ737" s="46"/>
      <c r="BR737" s="46"/>
      <c r="BS737" s="46"/>
      <c r="BT737" s="46"/>
      <c r="BU737" s="46"/>
      <c r="BV737" s="46"/>
      <c r="BW737" s="46"/>
      <c r="BX737" s="46"/>
      <c r="BY737" s="46"/>
      <c r="BZ737" s="46"/>
      <c r="CA737" s="46"/>
      <c r="CB737" s="46"/>
      <c r="CC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c r="AM738" s="46"/>
      <c r="AN738" s="46"/>
      <c r="AO738" s="46"/>
      <c r="AP738" s="46"/>
      <c r="AQ738" s="46"/>
      <c r="AR738" s="46"/>
      <c r="AS738" s="46"/>
      <c r="AT738" s="46"/>
      <c r="AU738" s="46"/>
      <c r="AV738" s="46"/>
      <c r="AW738" s="46"/>
      <c r="AX738" s="46"/>
      <c r="AY738" s="46"/>
      <c r="AZ738" s="46"/>
      <c r="BA738" s="46"/>
      <c r="BB738" s="46"/>
      <c r="BC738" s="46"/>
      <c r="BD738" s="46"/>
      <c r="BE738" s="46"/>
      <c r="BF738" s="46"/>
      <c r="BG738" s="46"/>
      <c r="BH738" s="46"/>
      <c r="BI738" s="46"/>
      <c r="BJ738" s="46"/>
      <c r="BK738" s="46"/>
      <c r="BL738" s="46"/>
      <c r="BM738" s="46"/>
      <c r="BN738" s="46"/>
      <c r="BO738" s="46"/>
      <c r="BP738" s="46"/>
      <c r="BQ738" s="46"/>
      <c r="BR738" s="46"/>
      <c r="BS738" s="46"/>
      <c r="BT738" s="46"/>
      <c r="BU738" s="46"/>
      <c r="BV738" s="46"/>
      <c r="BW738" s="46"/>
      <c r="BX738" s="46"/>
      <c r="BY738" s="46"/>
      <c r="BZ738" s="46"/>
      <c r="CA738" s="46"/>
      <c r="CB738" s="46"/>
      <c r="CC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c r="AL739" s="46"/>
      <c r="AM739" s="46"/>
      <c r="AN739" s="46"/>
      <c r="AO739" s="46"/>
      <c r="AP739" s="46"/>
      <c r="AQ739" s="46"/>
      <c r="AR739" s="46"/>
      <c r="AS739" s="46"/>
      <c r="AT739" s="46"/>
      <c r="AU739" s="46"/>
      <c r="AV739" s="46"/>
      <c r="AW739" s="46"/>
      <c r="AX739" s="46"/>
      <c r="AY739" s="46"/>
      <c r="AZ739" s="46"/>
      <c r="BA739" s="46"/>
      <c r="BB739" s="46"/>
      <c r="BC739" s="46"/>
      <c r="BD739" s="46"/>
      <c r="BE739" s="46"/>
      <c r="BF739" s="46"/>
      <c r="BG739" s="46"/>
      <c r="BH739" s="46"/>
      <c r="BI739" s="46"/>
      <c r="BJ739" s="46"/>
      <c r="BK739" s="46"/>
      <c r="BL739" s="46"/>
      <c r="BM739" s="46"/>
      <c r="BN739" s="46"/>
      <c r="BO739" s="46"/>
      <c r="BP739" s="46"/>
      <c r="BQ739" s="46"/>
      <c r="BR739" s="46"/>
      <c r="BS739" s="46"/>
      <c r="BT739" s="46"/>
      <c r="BU739" s="46"/>
      <c r="BV739" s="46"/>
      <c r="BW739" s="46"/>
      <c r="BX739" s="46"/>
      <c r="BY739" s="46"/>
      <c r="BZ739" s="46"/>
      <c r="CA739" s="46"/>
      <c r="CB739" s="46"/>
      <c r="CC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c r="AL740" s="46"/>
      <c r="AM740" s="46"/>
      <c r="AN740" s="46"/>
      <c r="AO740" s="46"/>
      <c r="AP740" s="46"/>
      <c r="AQ740" s="46"/>
      <c r="AR740" s="46"/>
      <c r="AS740" s="46"/>
      <c r="AT740" s="46"/>
      <c r="AU740" s="46"/>
      <c r="AV740" s="46"/>
      <c r="AW740" s="46"/>
      <c r="AX740" s="46"/>
      <c r="AY740" s="46"/>
      <c r="AZ740" s="46"/>
      <c r="BA740" s="46"/>
      <c r="BB740" s="46"/>
      <c r="BC740" s="46"/>
      <c r="BD740" s="46"/>
      <c r="BE740" s="46"/>
      <c r="BF740" s="46"/>
      <c r="BG740" s="46"/>
      <c r="BH740" s="46"/>
      <c r="BI740" s="46"/>
      <c r="BJ740" s="46"/>
      <c r="BK740" s="46"/>
      <c r="BL740" s="46"/>
      <c r="BM740" s="46"/>
      <c r="BN740" s="46"/>
      <c r="BO740" s="46"/>
      <c r="BP740" s="46"/>
      <c r="BQ740" s="46"/>
      <c r="BR740" s="46"/>
      <c r="BS740" s="46"/>
      <c r="BT740" s="46"/>
      <c r="BU740" s="46"/>
      <c r="BV740" s="46"/>
      <c r="BW740" s="46"/>
      <c r="BX740" s="46"/>
      <c r="BY740" s="46"/>
      <c r="BZ740" s="46"/>
      <c r="CA740" s="46"/>
      <c r="CB740" s="46"/>
      <c r="CC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c r="AL741" s="46"/>
      <c r="AM741" s="46"/>
      <c r="AN741" s="46"/>
      <c r="AO741" s="46"/>
      <c r="AP741" s="46"/>
      <c r="AQ741" s="46"/>
      <c r="AR741" s="46"/>
      <c r="AS741" s="46"/>
      <c r="AT741" s="46"/>
      <c r="AU741" s="46"/>
      <c r="AV741" s="46"/>
      <c r="AW741" s="46"/>
      <c r="AX741" s="46"/>
      <c r="AY741" s="46"/>
      <c r="AZ741" s="46"/>
      <c r="BA741" s="46"/>
      <c r="BB741" s="46"/>
      <c r="BC741" s="46"/>
      <c r="BD741" s="46"/>
      <c r="BE741" s="46"/>
      <c r="BF741" s="46"/>
      <c r="BG741" s="46"/>
      <c r="BH741" s="46"/>
      <c r="BI741" s="46"/>
      <c r="BJ741" s="46"/>
      <c r="BK741" s="46"/>
      <c r="BL741" s="46"/>
      <c r="BM741" s="46"/>
      <c r="BN741" s="46"/>
      <c r="BO741" s="46"/>
      <c r="BP741" s="46"/>
      <c r="BQ741" s="46"/>
      <c r="BR741" s="46"/>
      <c r="BS741" s="46"/>
      <c r="BT741" s="46"/>
      <c r="BU741" s="46"/>
      <c r="BV741" s="46"/>
      <c r="BW741" s="46"/>
      <c r="BX741" s="46"/>
      <c r="BY741" s="46"/>
      <c r="BZ741" s="46"/>
      <c r="CA741" s="46"/>
      <c r="CB741" s="46"/>
      <c r="CC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c r="AL742" s="46"/>
      <c r="AM742" s="46"/>
      <c r="AN742" s="46"/>
      <c r="AO742" s="46"/>
      <c r="AP742" s="46"/>
      <c r="AQ742" s="46"/>
      <c r="AR742" s="46"/>
      <c r="AS742" s="46"/>
      <c r="AT742" s="46"/>
      <c r="AU742" s="46"/>
      <c r="AV742" s="46"/>
      <c r="AW742" s="46"/>
      <c r="AX742" s="46"/>
      <c r="AY742" s="46"/>
      <c r="AZ742" s="46"/>
      <c r="BA742" s="46"/>
      <c r="BB742" s="46"/>
      <c r="BC742" s="46"/>
      <c r="BD742" s="46"/>
      <c r="BE742" s="46"/>
      <c r="BF742" s="46"/>
      <c r="BG742" s="46"/>
      <c r="BH742" s="46"/>
      <c r="BI742" s="46"/>
      <c r="BJ742" s="46"/>
      <c r="BK742" s="46"/>
      <c r="BL742" s="46"/>
      <c r="BM742" s="46"/>
      <c r="BN742" s="46"/>
      <c r="BO742" s="46"/>
      <c r="BP742" s="46"/>
      <c r="BQ742" s="46"/>
      <c r="BR742" s="46"/>
      <c r="BS742" s="46"/>
      <c r="BT742" s="46"/>
      <c r="BU742" s="46"/>
      <c r="BV742" s="46"/>
      <c r="BW742" s="46"/>
      <c r="BX742" s="46"/>
      <c r="BY742" s="46"/>
      <c r="BZ742" s="46"/>
      <c r="CA742" s="46"/>
      <c r="CB742" s="46"/>
      <c r="CC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c r="AL743" s="46"/>
      <c r="AM743" s="46"/>
      <c r="AN743" s="46"/>
      <c r="AO743" s="46"/>
      <c r="AP743" s="46"/>
      <c r="AQ743" s="46"/>
      <c r="AR743" s="46"/>
      <c r="AS743" s="46"/>
      <c r="AT743" s="46"/>
      <c r="AU743" s="46"/>
      <c r="AV743" s="46"/>
      <c r="AW743" s="46"/>
      <c r="AX743" s="46"/>
      <c r="AY743" s="46"/>
      <c r="AZ743" s="46"/>
      <c r="BA743" s="46"/>
      <c r="BB743" s="46"/>
      <c r="BC743" s="46"/>
      <c r="BD743" s="46"/>
      <c r="BE743" s="46"/>
      <c r="BF743" s="46"/>
      <c r="BG743" s="46"/>
      <c r="BH743" s="46"/>
      <c r="BI743" s="46"/>
      <c r="BJ743" s="46"/>
      <c r="BK743" s="46"/>
      <c r="BL743" s="46"/>
      <c r="BM743" s="46"/>
      <c r="BN743" s="46"/>
      <c r="BO743" s="46"/>
      <c r="BP743" s="46"/>
      <c r="BQ743" s="46"/>
      <c r="BR743" s="46"/>
      <c r="BS743" s="46"/>
      <c r="BT743" s="46"/>
      <c r="BU743" s="46"/>
      <c r="BV743" s="46"/>
      <c r="BW743" s="46"/>
      <c r="BX743" s="46"/>
      <c r="BY743" s="46"/>
      <c r="BZ743" s="46"/>
      <c r="CA743" s="46"/>
      <c r="CB743" s="46"/>
      <c r="CC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c r="AL744" s="46"/>
      <c r="AM744" s="46"/>
      <c r="AN744" s="46"/>
      <c r="AO744" s="46"/>
      <c r="AP744" s="46"/>
      <c r="AQ744" s="46"/>
      <c r="AR744" s="46"/>
      <c r="AS744" s="46"/>
      <c r="AT744" s="46"/>
      <c r="AU744" s="46"/>
      <c r="AV744" s="46"/>
      <c r="AW744" s="46"/>
      <c r="AX744" s="46"/>
      <c r="AY744" s="46"/>
      <c r="AZ744" s="46"/>
      <c r="BA744" s="46"/>
      <c r="BB744" s="46"/>
      <c r="BC744" s="46"/>
      <c r="BD744" s="46"/>
      <c r="BE744" s="46"/>
      <c r="BF744" s="46"/>
      <c r="BG744" s="46"/>
      <c r="BH744" s="46"/>
      <c r="BI744" s="46"/>
      <c r="BJ744" s="46"/>
      <c r="BK744" s="46"/>
      <c r="BL744" s="46"/>
      <c r="BM744" s="46"/>
      <c r="BN744" s="46"/>
      <c r="BO744" s="46"/>
      <c r="BP744" s="46"/>
      <c r="BQ744" s="46"/>
      <c r="BR744" s="46"/>
      <c r="BS744" s="46"/>
      <c r="BT744" s="46"/>
      <c r="BU744" s="46"/>
      <c r="BV744" s="46"/>
      <c r="BW744" s="46"/>
      <c r="BX744" s="46"/>
      <c r="BY744" s="46"/>
      <c r="BZ744" s="46"/>
      <c r="CA744" s="46"/>
      <c r="CB744" s="46"/>
      <c r="CC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c r="AL745" s="46"/>
      <c r="AM745" s="46"/>
      <c r="AN745" s="46"/>
      <c r="AO745" s="46"/>
      <c r="AP745" s="46"/>
      <c r="AQ745" s="46"/>
      <c r="AR745" s="46"/>
      <c r="AS745" s="46"/>
      <c r="AT745" s="46"/>
      <c r="AU745" s="46"/>
      <c r="AV745" s="46"/>
      <c r="AW745" s="46"/>
      <c r="AX745" s="46"/>
      <c r="AY745" s="46"/>
      <c r="AZ745" s="46"/>
      <c r="BA745" s="46"/>
      <c r="BB745" s="46"/>
      <c r="BC745" s="46"/>
      <c r="BD745" s="46"/>
      <c r="BE745" s="46"/>
      <c r="BF745" s="46"/>
      <c r="BG745" s="46"/>
      <c r="BH745" s="46"/>
      <c r="BI745" s="46"/>
      <c r="BJ745" s="46"/>
      <c r="BK745" s="46"/>
      <c r="BL745" s="46"/>
      <c r="BM745" s="46"/>
      <c r="BN745" s="46"/>
      <c r="BO745" s="46"/>
      <c r="BP745" s="46"/>
      <c r="BQ745" s="46"/>
      <c r="BR745" s="46"/>
      <c r="BS745" s="46"/>
      <c r="BT745" s="46"/>
      <c r="BU745" s="46"/>
      <c r="BV745" s="46"/>
      <c r="BW745" s="46"/>
      <c r="BX745" s="46"/>
      <c r="BY745" s="46"/>
      <c r="BZ745" s="46"/>
      <c r="CA745" s="46"/>
      <c r="CB745" s="46"/>
      <c r="CC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c r="AL746" s="46"/>
      <c r="AM746" s="46"/>
      <c r="AN746" s="46"/>
      <c r="AO746" s="46"/>
      <c r="AP746" s="46"/>
      <c r="AQ746" s="46"/>
      <c r="AR746" s="46"/>
      <c r="AS746" s="46"/>
      <c r="AT746" s="46"/>
      <c r="AU746" s="46"/>
      <c r="AV746" s="46"/>
      <c r="AW746" s="46"/>
      <c r="AX746" s="46"/>
      <c r="AY746" s="46"/>
      <c r="AZ746" s="46"/>
      <c r="BA746" s="46"/>
      <c r="BB746" s="46"/>
      <c r="BC746" s="46"/>
      <c r="BD746" s="46"/>
      <c r="BE746" s="46"/>
      <c r="BF746" s="46"/>
      <c r="BG746" s="46"/>
      <c r="BH746" s="46"/>
      <c r="BI746" s="46"/>
      <c r="BJ746" s="46"/>
      <c r="BK746" s="46"/>
      <c r="BL746" s="46"/>
      <c r="BM746" s="46"/>
      <c r="BN746" s="46"/>
      <c r="BO746" s="46"/>
      <c r="BP746" s="46"/>
      <c r="BQ746" s="46"/>
      <c r="BR746" s="46"/>
      <c r="BS746" s="46"/>
      <c r="BT746" s="46"/>
      <c r="BU746" s="46"/>
      <c r="BV746" s="46"/>
      <c r="BW746" s="46"/>
      <c r="BX746" s="46"/>
      <c r="BY746" s="46"/>
      <c r="BZ746" s="46"/>
      <c r="CA746" s="46"/>
      <c r="CB746" s="46"/>
      <c r="CC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c r="AL747" s="46"/>
      <c r="AM747" s="46"/>
      <c r="AN747" s="46"/>
      <c r="AO747" s="46"/>
      <c r="AP747" s="46"/>
      <c r="AQ747" s="46"/>
      <c r="AR747" s="46"/>
      <c r="AS747" s="46"/>
      <c r="AT747" s="46"/>
      <c r="AU747" s="46"/>
      <c r="AV747" s="46"/>
      <c r="AW747" s="46"/>
      <c r="AX747" s="46"/>
      <c r="AY747" s="46"/>
      <c r="AZ747" s="46"/>
      <c r="BA747" s="46"/>
      <c r="BB747" s="46"/>
      <c r="BC747" s="46"/>
      <c r="BD747" s="46"/>
      <c r="BE747" s="46"/>
      <c r="BF747" s="46"/>
      <c r="BG747" s="46"/>
      <c r="BH747" s="46"/>
      <c r="BI747" s="46"/>
      <c r="BJ747" s="46"/>
      <c r="BK747" s="46"/>
      <c r="BL747" s="46"/>
      <c r="BM747" s="46"/>
      <c r="BN747" s="46"/>
      <c r="BO747" s="46"/>
      <c r="BP747" s="46"/>
      <c r="BQ747" s="46"/>
      <c r="BR747" s="46"/>
      <c r="BS747" s="46"/>
      <c r="BT747" s="46"/>
      <c r="BU747" s="46"/>
      <c r="BV747" s="46"/>
      <c r="BW747" s="46"/>
      <c r="BX747" s="46"/>
      <c r="BY747" s="46"/>
      <c r="BZ747" s="46"/>
      <c r="CA747" s="46"/>
      <c r="CB747" s="46"/>
      <c r="CC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c r="AM748" s="46"/>
      <c r="AN748" s="46"/>
      <c r="AO748" s="46"/>
      <c r="AP748" s="46"/>
      <c r="AQ748" s="46"/>
      <c r="AR748" s="46"/>
      <c r="AS748" s="46"/>
      <c r="AT748" s="46"/>
      <c r="AU748" s="46"/>
      <c r="AV748" s="46"/>
      <c r="AW748" s="46"/>
      <c r="AX748" s="46"/>
      <c r="AY748" s="46"/>
      <c r="AZ748" s="46"/>
      <c r="BA748" s="46"/>
      <c r="BB748" s="46"/>
      <c r="BC748" s="46"/>
      <c r="BD748" s="46"/>
      <c r="BE748" s="46"/>
      <c r="BF748" s="46"/>
      <c r="BG748" s="46"/>
      <c r="BH748" s="46"/>
      <c r="BI748" s="46"/>
      <c r="BJ748" s="46"/>
      <c r="BK748" s="46"/>
      <c r="BL748" s="46"/>
      <c r="BM748" s="46"/>
      <c r="BN748" s="46"/>
      <c r="BO748" s="46"/>
      <c r="BP748" s="46"/>
      <c r="BQ748" s="46"/>
      <c r="BR748" s="46"/>
      <c r="BS748" s="46"/>
      <c r="BT748" s="46"/>
      <c r="BU748" s="46"/>
      <c r="BV748" s="46"/>
      <c r="BW748" s="46"/>
      <c r="BX748" s="46"/>
      <c r="BY748" s="46"/>
      <c r="BZ748" s="46"/>
      <c r="CA748" s="46"/>
      <c r="CB748" s="46"/>
      <c r="CC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c r="AM749" s="46"/>
      <c r="AN749" s="46"/>
      <c r="AO749" s="46"/>
      <c r="AP749" s="46"/>
      <c r="AQ749" s="46"/>
      <c r="AR749" s="46"/>
      <c r="AS749" s="46"/>
      <c r="AT749" s="46"/>
      <c r="AU749" s="46"/>
      <c r="AV749" s="46"/>
      <c r="AW749" s="46"/>
      <c r="AX749" s="46"/>
      <c r="AY749" s="46"/>
      <c r="AZ749" s="46"/>
      <c r="BA749" s="46"/>
      <c r="BB749" s="46"/>
      <c r="BC749" s="46"/>
      <c r="BD749" s="46"/>
      <c r="BE749" s="46"/>
      <c r="BF749" s="46"/>
      <c r="BG749" s="46"/>
      <c r="BH749" s="46"/>
      <c r="BI749" s="46"/>
      <c r="BJ749" s="46"/>
      <c r="BK749" s="46"/>
      <c r="BL749" s="46"/>
      <c r="BM749" s="46"/>
      <c r="BN749" s="46"/>
      <c r="BO749" s="46"/>
      <c r="BP749" s="46"/>
      <c r="BQ749" s="46"/>
      <c r="BR749" s="46"/>
      <c r="BS749" s="46"/>
      <c r="BT749" s="46"/>
      <c r="BU749" s="46"/>
      <c r="BV749" s="46"/>
      <c r="BW749" s="46"/>
      <c r="BX749" s="46"/>
      <c r="BY749" s="46"/>
      <c r="BZ749" s="46"/>
      <c r="CA749" s="46"/>
      <c r="CB749" s="46"/>
      <c r="CC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c r="AL750" s="46"/>
      <c r="AM750" s="46"/>
      <c r="AN750" s="46"/>
      <c r="AO750" s="46"/>
      <c r="AP750" s="46"/>
      <c r="AQ750" s="46"/>
      <c r="AR750" s="46"/>
      <c r="AS750" s="46"/>
      <c r="AT750" s="46"/>
      <c r="AU750" s="46"/>
      <c r="AV750" s="46"/>
      <c r="AW750" s="46"/>
      <c r="AX750" s="46"/>
      <c r="AY750" s="46"/>
      <c r="AZ750" s="46"/>
      <c r="BA750" s="46"/>
      <c r="BB750" s="46"/>
      <c r="BC750" s="46"/>
      <c r="BD750" s="46"/>
      <c r="BE750" s="46"/>
      <c r="BF750" s="46"/>
      <c r="BG750" s="46"/>
      <c r="BH750" s="46"/>
      <c r="BI750" s="46"/>
      <c r="BJ750" s="46"/>
      <c r="BK750" s="46"/>
      <c r="BL750" s="46"/>
      <c r="BM750" s="46"/>
      <c r="BN750" s="46"/>
      <c r="BO750" s="46"/>
      <c r="BP750" s="46"/>
      <c r="BQ750" s="46"/>
      <c r="BR750" s="46"/>
      <c r="BS750" s="46"/>
      <c r="BT750" s="46"/>
      <c r="BU750" s="46"/>
      <c r="BV750" s="46"/>
      <c r="BW750" s="46"/>
      <c r="BX750" s="46"/>
      <c r="BY750" s="46"/>
      <c r="BZ750" s="46"/>
      <c r="CA750" s="46"/>
      <c r="CB750" s="46"/>
      <c r="CC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c r="AL751" s="46"/>
      <c r="AM751" s="46"/>
      <c r="AN751" s="46"/>
      <c r="AO751" s="46"/>
      <c r="AP751" s="46"/>
      <c r="AQ751" s="46"/>
      <c r="AR751" s="46"/>
      <c r="AS751" s="46"/>
      <c r="AT751" s="46"/>
      <c r="AU751" s="46"/>
      <c r="AV751" s="46"/>
      <c r="AW751" s="46"/>
      <c r="AX751" s="46"/>
      <c r="AY751" s="46"/>
      <c r="AZ751" s="46"/>
      <c r="BA751" s="46"/>
      <c r="BB751" s="46"/>
      <c r="BC751" s="46"/>
      <c r="BD751" s="46"/>
      <c r="BE751" s="46"/>
      <c r="BF751" s="46"/>
      <c r="BG751" s="46"/>
      <c r="BH751" s="46"/>
      <c r="BI751" s="46"/>
      <c r="BJ751" s="46"/>
      <c r="BK751" s="46"/>
      <c r="BL751" s="46"/>
      <c r="BM751" s="46"/>
      <c r="BN751" s="46"/>
      <c r="BO751" s="46"/>
      <c r="BP751" s="46"/>
      <c r="BQ751" s="46"/>
      <c r="BR751" s="46"/>
      <c r="BS751" s="46"/>
      <c r="BT751" s="46"/>
      <c r="BU751" s="46"/>
      <c r="BV751" s="46"/>
      <c r="BW751" s="46"/>
      <c r="BX751" s="46"/>
      <c r="BY751" s="46"/>
      <c r="BZ751" s="46"/>
      <c r="CA751" s="46"/>
      <c r="CB751" s="46"/>
      <c r="CC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c r="AL752" s="46"/>
      <c r="AM752" s="46"/>
      <c r="AN752" s="46"/>
      <c r="AO752" s="46"/>
      <c r="AP752" s="46"/>
      <c r="AQ752" s="46"/>
      <c r="AR752" s="46"/>
      <c r="AS752" s="46"/>
      <c r="AT752" s="46"/>
      <c r="AU752" s="46"/>
      <c r="AV752" s="46"/>
      <c r="AW752" s="46"/>
      <c r="AX752" s="46"/>
      <c r="AY752" s="46"/>
      <c r="AZ752" s="46"/>
      <c r="BA752" s="46"/>
      <c r="BB752" s="46"/>
      <c r="BC752" s="46"/>
      <c r="BD752" s="46"/>
      <c r="BE752" s="46"/>
      <c r="BF752" s="46"/>
      <c r="BG752" s="46"/>
      <c r="BH752" s="46"/>
      <c r="BI752" s="46"/>
      <c r="BJ752" s="46"/>
      <c r="BK752" s="46"/>
      <c r="BL752" s="46"/>
      <c r="BM752" s="46"/>
      <c r="BN752" s="46"/>
      <c r="BO752" s="46"/>
      <c r="BP752" s="46"/>
      <c r="BQ752" s="46"/>
      <c r="BR752" s="46"/>
      <c r="BS752" s="46"/>
      <c r="BT752" s="46"/>
      <c r="BU752" s="46"/>
      <c r="BV752" s="46"/>
      <c r="BW752" s="46"/>
      <c r="BX752" s="46"/>
      <c r="BY752" s="46"/>
      <c r="BZ752" s="46"/>
      <c r="CA752" s="46"/>
      <c r="CB752" s="46"/>
      <c r="CC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c r="AL753" s="46"/>
      <c r="AM753" s="46"/>
      <c r="AN753" s="46"/>
      <c r="AO753" s="46"/>
      <c r="AP753" s="46"/>
      <c r="AQ753" s="46"/>
      <c r="AR753" s="46"/>
      <c r="AS753" s="46"/>
      <c r="AT753" s="46"/>
      <c r="AU753" s="46"/>
      <c r="AV753" s="46"/>
      <c r="AW753" s="46"/>
      <c r="AX753" s="46"/>
      <c r="AY753" s="46"/>
      <c r="AZ753" s="46"/>
      <c r="BA753" s="46"/>
      <c r="BB753" s="46"/>
      <c r="BC753" s="46"/>
      <c r="BD753" s="46"/>
      <c r="BE753" s="46"/>
      <c r="BF753" s="46"/>
      <c r="BG753" s="46"/>
      <c r="BH753" s="46"/>
      <c r="BI753" s="46"/>
      <c r="BJ753" s="46"/>
      <c r="BK753" s="46"/>
      <c r="BL753" s="46"/>
      <c r="BM753" s="46"/>
      <c r="BN753" s="46"/>
      <c r="BO753" s="46"/>
      <c r="BP753" s="46"/>
      <c r="BQ753" s="46"/>
      <c r="BR753" s="46"/>
      <c r="BS753" s="46"/>
      <c r="BT753" s="46"/>
      <c r="BU753" s="46"/>
      <c r="BV753" s="46"/>
      <c r="BW753" s="46"/>
      <c r="BX753" s="46"/>
      <c r="BY753" s="46"/>
      <c r="BZ753" s="46"/>
      <c r="CA753" s="46"/>
      <c r="CB753" s="46"/>
      <c r="CC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c r="AL754" s="46"/>
      <c r="AM754" s="46"/>
      <c r="AN754" s="46"/>
      <c r="AO754" s="46"/>
      <c r="AP754" s="46"/>
      <c r="AQ754" s="46"/>
      <c r="AR754" s="46"/>
      <c r="AS754" s="46"/>
      <c r="AT754" s="46"/>
      <c r="AU754" s="46"/>
      <c r="AV754" s="46"/>
      <c r="AW754" s="46"/>
      <c r="AX754" s="46"/>
      <c r="AY754" s="46"/>
      <c r="AZ754" s="46"/>
      <c r="BA754" s="46"/>
      <c r="BB754" s="46"/>
      <c r="BC754" s="46"/>
      <c r="BD754" s="46"/>
      <c r="BE754" s="46"/>
      <c r="BF754" s="46"/>
      <c r="BG754" s="46"/>
      <c r="BH754" s="46"/>
      <c r="BI754" s="46"/>
      <c r="BJ754" s="46"/>
      <c r="BK754" s="46"/>
      <c r="BL754" s="46"/>
      <c r="BM754" s="46"/>
      <c r="BN754" s="46"/>
      <c r="BO754" s="46"/>
      <c r="BP754" s="46"/>
      <c r="BQ754" s="46"/>
      <c r="BR754" s="46"/>
      <c r="BS754" s="46"/>
      <c r="BT754" s="46"/>
      <c r="BU754" s="46"/>
      <c r="BV754" s="46"/>
      <c r="BW754" s="46"/>
      <c r="BX754" s="46"/>
      <c r="BY754" s="46"/>
      <c r="BZ754" s="46"/>
      <c r="CA754" s="46"/>
      <c r="CB754" s="46"/>
      <c r="CC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c r="AL755" s="46"/>
      <c r="AM755" s="46"/>
      <c r="AN755" s="46"/>
      <c r="AO755" s="46"/>
      <c r="AP755" s="46"/>
      <c r="AQ755" s="46"/>
      <c r="AR755" s="46"/>
      <c r="AS755" s="46"/>
      <c r="AT755" s="46"/>
      <c r="AU755" s="46"/>
      <c r="AV755" s="46"/>
      <c r="AW755" s="46"/>
      <c r="AX755" s="46"/>
      <c r="AY755" s="46"/>
      <c r="AZ755" s="46"/>
      <c r="BA755" s="46"/>
      <c r="BB755" s="46"/>
      <c r="BC755" s="46"/>
      <c r="BD755" s="46"/>
      <c r="BE755" s="46"/>
      <c r="BF755" s="46"/>
      <c r="BG755" s="46"/>
      <c r="BH755" s="46"/>
      <c r="BI755" s="46"/>
      <c r="BJ755" s="46"/>
      <c r="BK755" s="46"/>
      <c r="BL755" s="46"/>
      <c r="BM755" s="46"/>
      <c r="BN755" s="46"/>
      <c r="BO755" s="46"/>
      <c r="BP755" s="46"/>
      <c r="BQ755" s="46"/>
      <c r="BR755" s="46"/>
      <c r="BS755" s="46"/>
      <c r="BT755" s="46"/>
      <c r="BU755" s="46"/>
      <c r="BV755" s="46"/>
      <c r="BW755" s="46"/>
      <c r="BX755" s="46"/>
      <c r="BY755" s="46"/>
      <c r="BZ755" s="46"/>
      <c r="CA755" s="46"/>
      <c r="CB755" s="46"/>
      <c r="CC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c r="AL756" s="46"/>
      <c r="AM756" s="46"/>
      <c r="AN756" s="46"/>
      <c r="AO756" s="46"/>
      <c r="AP756" s="46"/>
      <c r="AQ756" s="46"/>
      <c r="AR756" s="46"/>
      <c r="AS756" s="46"/>
      <c r="AT756" s="46"/>
      <c r="AU756" s="46"/>
      <c r="AV756" s="46"/>
      <c r="AW756" s="46"/>
      <c r="AX756" s="46"/>
      <c r="AY756" s="46"/>
      <c r="AZ756" s="46"/>
      <c r="BA756" s="46"/>
      <c r="BB756" s="46"/>
      <c r="BC756" s="46"/>
      <c r="BD756" s="46"/>
      <c r="BE756" s="46"/>
      <c r="BF756" s="46"/>
      <c r="BG756" s="46"/>
      <c r="BH756" s="46"/>
      <c r="BI756" s="46"/>
      <c r="BJ756" s="46"/>
      <c r="BK756" s="46"/>
      <c r="BL756" s="46"/>
      <c r="BM756" s="46"/>
      <c r="BN756" s="46"/>
      <c r="BO756" s="46"/>
      <c r="BP756" s="46"/>
      <c r="BQ756" s="46"/>
      <c r="BR756" s="46"/>
      <c r="BS756" s="46"/>
      <c r="BT756" s="46"/>
      <c r="BU756" s="46"/>
      <c r="BV756" s="46"/>
      <c r="BW756" s="46"/>
      <c r="BX756" s="46"/>
      <c r="BY756" s="46"/>
      <c r="BZ756" s="46"/>
      <c r="CA756" s="46"/>
      <c r="CB756" s="46"/>
      <c r="CC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c r="AL757" s="46"/>
      <c r="AM757" s="46"/>
      <c r="AN757" s="46"/>
      <c r="AO757" s="46"/>
      <c r="AP757" s="46"/>
      <c r="AQ757" s="46"/>
      <c r="AR757" s="46"/>
      <c r="AS757" s="46"/>
      <c r="AT757" s="46"/>
      <c r="AU757" s="46"/>
      <c r="AV757" s="46"/>
      <c r="AW757" s="46"/>
      <c r="AX757" s="46"/>
      <c r="AY757" s="46"/>
      <c r="AZ757" s="46"/>
      <c r="BA757" s="46"/>
      <c r="BB757" s="46"/>
      <c r="BC757" s="46"/>
      <c r="BD757" s="46"/>
      <c r="BE757" s="46"/>
      <c r="BF757" s="46"/>
      <c r="BG757" s="46"/>
      <c r="BH757" s="46"/>
      <c r="BI757" s="46"/>
      <c r="BJ757" s="46"/>
      <c r="BK757" s="46"/>
      <c r="BL757" s="46"/>
      <c r="BM757" s="46"/>
      <c r="BN757" s="46"/>
      <c r="BO757" s="46"/>
      <c r="BP757" s="46"/>
      <c r="BQ757" s="46"/>
      <c r="BR757" s="46"/>
      <c r="BS757" s="46"/>
      <c r="BT757" s="46"/>
      <c r="BU757" s="46"/>
      <c r="BV757" s="46"/>
      <c r="BW757" s="46"/>
      <c r="BX757" s="46"/>
      <c r="BY757" s="46"/>
      <c r="BZ757" s="46"/>
      <c r="CA757" s="46"/>
      <c r="CB757" s="46"/>
      <c r="CC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c r="AL758" s="46"/>
      <c r="AM758" s="46"/>
      <c r="AN758" s="46"/>
      <c r="AO758" s="46"/>
      <c r="AP758" s="46"/>
      <c r="AQ758" s="46"/>
      <c r="AR758" s="46"/>
      <c r="AS758" s="46"/>
      <c r="AT758" s="46"/>
      <c r="AU758" s="46"/>
      <c r="AV758" s="46"/>
      <c r="AW758" s="46"/>
      <c r="AX758" s="46"/>
      <c r="AY758" s="46"/>
      <c r="AZ758" s="46"/>
      <c r="BA758" s="46"/>
      <c r="BB758" s="46"/>
      <c r="BC758" s="46"/>
      <c r="BD758" s="46"/>
      <c r="BE758" s="46"/>
      <c r="BF758" s="46"/>
      <c r="BG758" s="46"/>
      <c r="BH758" s="46"/>
      <c r="BI758" s="46"/>
      <c r="BJ758" s="46"/>
      <c r="BK758" s="46"/>
      <c r="BL758" s="46"/>
      <c r="BM758" s="46"/>
      <c r="BN758" s="46"/>
      <c r="BO758" s="46"/>
      <c r="BP758" s="46"/>
      <c r="BQ758" s="46"/>
      <c r="BR758" s="46"/>
      <c r="BS758" s="46"/>
      <c r="BT758" s="46"/>
      <c r="BU758" s="46"/>
      <c r="BV758" s="46"/>
      <c r="BW758" s="46"/>
      <c r="BX758" s="46"/>
      <c r="BY758" s="46"/>
      <c r="BZ758" s="46"/>
      <c r="CA758" s="46"/>
      <c r="CB758" s="46"/>
      <c r="CC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c r="AM759" s="46"/>
      <c r="AN759" s="46"/>
      <c r="AO759" s="46"/>
      <c r="AP759" s="46"/>
      <c r="AQ759" s="46"/>
      <c r="AR759" s="46"/>
      <c r="AS759" s="46"/>
      <c r="AT759" s="46"/>
      <c r="AU759" s="46"/>
      <c r="AV759" s="46"/>
      <c r="AW759" s="46"/>
      <c r="AX759" s="46"/>
      <c r="AY759" s="46"/>
      <c r="AZ759" s="46"/>
      <c r="BA759" s="46"/>
      <c r="BB759" s="46"/>
      <c r="BC759" s="46"/>
      <c r="BD759" s="46"/>
      <c r="BE759" s="46"/>
      <c r="BF759" s="46"/>
      <c r="BG759" s="46"/>
      <c r="BH759" s="46"/>
      <c r="BI759" s="46"/>
      <c r="BJ759" s="46"/>
      <c r="BK759" s="46"/>
      <c r="BL759" s="46"/>
      <c r="BM759" s="46"/>
      <c r="BN759" s="46"/>
      <c r="BO759" s="46"/>
      <c r="BP759" s="46"/>
      <c r="BQ759" s="46"/>
      <c r="BR759" s="46"/>
      <c r="BS759" s="46"/>
      <c r="BT759" s="46"/>
      <c r="BU759" s="46"/>
      <c r="BV759" s="46"/>
      <c r="BW759" s="46"/>
      <c r="BX759" s="46"/>
      <c r="BY759" s="46"/>
      <c r="BZ759" s="46"/>
      <c r="CA759" s="46"/>
      <c r="CB759" s="46"/>
      <c r="CC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c r="AM760" s="46"/>
      <c r="AN760" s="46"/>
      <c r="AO760" s="46"/>
      <c r="AP760" s="46"/>
      <c r="AQ760" s="46"/>
      <c r="AR760" s="46"/>
      <c r="AS760" s="46"/>
      <c r="AT760" s="46"/>
      <c r="AU760" s="46"/>
      <c r="AV760" s="46"/>
      <c r="AW760" s="46"/>
      <c r="AX760" s="46"/>
      <c r="AY760" s="46"/>
      <c r="AZ760" s="46"/>
      <c r="BA760" s="46"/>
      <c r="BB760" s="46"/>
      <c r="BC760" s="46"/>
      <c r="BD760" s="46"/>
      <c r="BE760" s="46"/>
      <c r="BF760" s="46"/>
      <c r="BG760" s="46"/>
      <c r="BH760" s="46"/>
      <c r="BI760" s="46"/>
      <c r="BJ760" s="46"/>
      <c r="BK760" s="46"/>
      <c r="BL760" s="46"/>
      <c r="BM760" s="46"/>
      <c r="BN760" s="46"/>
      <c r="BO760" s="46"/>
      <c r="BP760" s="46"/>
      <c r="BQ760" s="46"/>
      <c r="BR760" s="46"/>
      <c r="BS760" s="46"/>
      <c r="BT760" s="46"/>
      <c r="BU760" s="46"/>
      <c r="BV760" s="46"/>
      <c r="BW760" s="46"/>
      <c r="BX760" s="46"/>
      <c r="BY760" s="46"/>
      <c r="BZ760" s="46"/>
      <c r="CA760" s="46"/>
      <c r="CB760" s="46"/>
      <c r="CC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c r="AL761" s="46"/>
      <c r="AM761" s="46"/>
      <c r="AN761" s="46"/>
      <c r="AO761" s="46"/>
      <c r="AP761" s="46"/>
      <c r="AQ761" s="46"/>
      <c r="AR761" s="46"/>
      <c r="AS761" s="46"/>
      <c r="AT761" s="46"/>
      <c r="AU761" s="46"/>
      <c r="AV761" s="46"/>
      <c r="AW761" s="46"/>
      <c r="AX761" s="46"/>
      <c r="AY761" s="46"/>
      <c r="AZ761" s="46"/>
      <c r="BA761" s="46"/>
      <c r="BB761" s="46"/>
      <c r="BC761" s="46"/>
      <c r="BD761" s="46"/>
      <c r="BE761" s="46"/>
      <c r="BF761" s="46"/>
      <c r="BG761" s="46"/>
      <c r="BH761" s="46"/>
      <c r="BI761" s="46"/>
      <c r="BJ761" s="46"/>
      <c r="BK761" s="46"/>
      <c r="BL761" s="46"/>
      <c r="BM761" s="46"/>
      <c r="BN761" s="46"/>
      <c r="BO761" s="46"/>
      <c r="BP761" s="46"/>
      <c r="BQ761" s="46"/>
      <c r="BR761" s="46"/>
      <c r="BS761" s="46"/>
      <c r="BT761" s="46"/>
      <c r="BU761" s="46"/>
      <c r="BV761" s="46"/>
      <c r="BW761" s="46"/>
      <c r="BX761" s="46"/>
      <c r="BY761" s="46"/>
      <c r="BZ761" s="46"/>
      <c r="CA761" s="46"/>
      <c r="CB761" s="46"/>
      <c r="CC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c r="AL762" s="46"/>
      <c r="AM762" s="46"/>
      <c r="AN762" s="46"/>
      <c r="AO762" s="46"/>
      <c r="AP762" s="46"/>
      <c r="AQ762" s="46"/>
      <c r="AR762" s="46"/>
      <c r="AS762" s="46"/>
      <c r="AT762" s="46"/>
      <c r="AU762" s="46"/>
      <c r="AV762" s="46"/>
      <c r="AW762" s="46"/>
      <c r="AX762" s="46"/>
      <c r="AY762" s="46"/>
      <c r="AZ762" s="46"/>
      <c r="BA762" s="46"/>
      <c r="BB762" s="46"/>
      <c r="BC762" s="46"/>
      <c r="BD762" s="46"/>
      <c r="BE762" s="46"/>
      <c r="BF762" s="46"/>
      <c r="BG762" s="46"/>
      <c r="BH762" s="46"/>
      <c r="BI762" s="46"/>
      <c r="BJ762" s="46"/>
      <c r="BK762" s="46"/>
      <c r="BL762" s="46"/>
      <c r="BM762" s="46"/>
      <c r="BN762" s="46"/>
      <c r="BO762" s="46"/>
      <c r="BP762" s="46"/>
      <c r="BQ762" s="46"/>
      <c r="BR762" s="46"/>
      <c r="BS762" s="46"/>
      <c r="BT762" s="46"/>
      <c r="BU762" s="46"/>
      <c r="BV762" s="46"/>
      <c r="BW762" s="46"/>
      <c r="BX762" s="46"/>
      <c r="BY762" s="46"/>
      <c r="BZ762" s="46"/>
      <c r="CA762" s="46"/>
      <c r="CB762" s="46"/>
      <c r="CC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c r="AL763" s="46"/>
      <c r="AM763" s="46"/>
      <c r="AN763" s="46"/>
      <c r="AO763" s="46"/>
      <c r="AP763" s="46"/>
      <c r="AQ763" s="46"/>
      <c r="AR763" s="46"/>
      <c r="AS763" s="46"/>
      <c r="AT763" s="46"/>
      <c r="AU763" s="46"/>
      <c r="AV763" s="46"/>
      <c r="AW763" s="46"/>
      <c r="AX763" s="46"/>
      <c r="AY763" s="46"/>
      <c r="AZ763" s="46"/>
      <c r="BA763" s="46"/>
      <c r="BB763" s="46"/>
      <c r="BC763" s="46"/>
      <c r="BD763" s="46"/>
      <c r="BE763" s="46"/>
      <c r="BF763" s="46"/>
      <c r="BG763" s="46"/>
      <c r="BH763" s="46"/>
      <c r="BI763" s="46"/>
      <c r="BJ763" s="46"/>
      <c r="BK763" s="46"/>
      <c r="BL763" s="46"/>
      <c r="BM763" s="46"/>
      <c r="BN763" s="46"/>
      <c r="BO763" s="46"/>
      <c r="BP763" s="46"/>
      <c r="BQ763" s="46"/>
      <c r="BR763" s="46"/>
      <c r="BS763" s="46"/>
      <c r="BT763" s="46"/>
      <c r="BU763" s="46"/>
      <c r="BV763" s="46"/>
      <c r="BW763" s="46"/>
      <c r="BX763" s="46"/>
      <c r="BY763" s="46"/>
      <c r="BZ763" s="46"/>
      <c r="CA763" s="46"/>
      <c r="CB763" s="46"/>
      <c r="CC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c r="AL764" s="46"/>
      <c r="AM764" s="46"/>
      <c r="AN764" s="46"/>
      <c r="AO764" s="46"/>
      <c r="AP764" s="46"/>
      <c r="AQ764" s="46"/>
      <c r="AR764" s="46"/>
      <c r="AS764" s="46"/>
      <c r="AT764" s="46"/>
      <c r="AU764" s="46"/>
      <c r="AV764" s="46"/>
      <c r="AW764" s="46"/>
      <c r="AX764" s="46"/>
      <c r="AY764" s="46"/>
      <c r="AZ764" s="46"/>
      <c r="BA764" s="46"/>
      <c r="BB764" s="46"/>
      <c r="BC764" s="46"/>
      <c r="BD764" s="46"/>
      <c r="BE764" s="46"/>
      <c r="BF764" s="46"/>
      <c r="BG764" s="46"/>
      <c r="BH764" s="46"/>
      <c r="BI764" s="46"/>
      <c r="BJ764" s="46"/>
      <c r="BK764" s="46"/>
      <c r="BL764" s="46"/>
      <c r="BM764" s="46"/>
      <c r="BN764" s="46"/>
      <c r="BO764" s="46"/>
      <c r="BP764" s="46"/>
      <c r="BQ764" s="46"/>
      <c r="BR764" s="46"/>
      <c r="BS764" s="46"/>
      <c r="BT764" s="46"/>
      <c r="BU764" s="46"/>
      <c r="BV764" s="46"/>
      <c r="BW764" s="46"/>
      <c r="BX764" s="46"/>
      <c r="BY764" s="46"/>
      <c r="BZ764" s="46"/>
      <c r="CA764" s="46"/>
      <c r="CB764" s="46"/>
      <c r="CC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c r="AL765" s="46"/>
      <c r="AM765" s="46"/>
      <c r="AN765" s="46"/>
      <c r="AO765" s="46"/>
      <c r="AP765" s="46"/>
      <c r="AQ765" s="46"/>
      <c r="AR765" s="46"/>
      <c r="AS765" s="46"/>
      <c r="AT765" s="46"/>
      <c r="AU765" s="46"/>
      <c r="AV765" s="46"/>
      <c r="AW765" s="46"/>
      <c r="AX765" s="46"/>
      <c r="AY765" s="46"/>
      <c r="AZ765" s="46"/>
      <c r="BA765" s="46"/>
      <c r="BB765" s="46"/>
      <c r="BC765" s="46"/>
      <c r="BD765" s="46"/>
      <c r="BE765" s="46"/>
      <c r="BF765" s="46"/>
      <c r="BG765" s="46"/>
      <c r="BH765" s="46"/>
      <c r="BI765" s="46"/>
      <c r="BJ765" s="46"/>
      <c r="BK765" s="46"/>
      <c r="BL765" s="46"/>
      <c r="BM765" s="46"/>
      <c r="BN765" s="46"/>
      <c r="BO765" s="46"/>
      <c r="BP765" s="46"/>
      <c r="BQ765" s="46"/>
      <c r="BR765" s="46"/>
      <c r="BS765" s="46"/>
      <c r="BT765" s="46"/>
      <c r="BU765" s="46"/>
      <c r="BV765" s="46"/>
      <c r="BW765" s="46"/>
      <c r="BX765" s="46"/>
      <c r="BY765" s="46"/>
      <c r="BZ765" s="46"/>
      <c r="CA765" s="46"/>
      <c r="CB765" s="46"/>
      <c r="CC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c r="AL766" s="46"/>
      <c r="AM766" s="46"/>
      <c r="AN766" s="46"/>
      <c r="AO766" s="46"/>
      <c r="AP766" s="46"/>
      <c r="AQ766" s="46"/>
      <c r="AR766" s="46"/>
      <c r="AS766" s="46"/>
      <c r="AT766" s="46"/>
      <c r="AU766" s="46"/>
      <c r="AV766" s="46"/>
      <c r="AW766" s="46"/>
      <c r="AX766" s="46"/>
      <c r="AY766" s="46"/>
      <c r="AZ766" s="46"/>
      <c r="BA766" s="46"/>
      <c r="BB766" s="46"/>
      <c r="BC766" s="46"/>
      <c r="BD766" s="46"/>
      <c r="BE766" s="46"/>
      <c r="BF766" s="46"/>
      <c r="BG766" s="46"/>
      <c r="BH766" s="46"/>
      <c r="BI766" s="46"/>
      <c r="BJ766" s="46"/>
      <c r="BK766" s="46"/>
      <c r="BL766" s="46"/>
      <c r="BM766" s="46"/>
      <c r="BN766" s="46"/>
      <c r="BO766" s="46"/>
      <c r="BP766" s="46"/>
      <c r="BQ766" s="46"/>
      <c r="BR766" s="46"/>
      <c r="BS766" s="46"/>
      <c r="BT766" s="46"/>
      <c r="BU766" s="46"/>
      <c r="BV766" s="46"/>
      <c r="BW766" s="46"/>
      <c r="BX766" s="46"/>
      <c r="BY766" s="46"/>
      <c r="BZ766" s="46"/>
      <c r="CA766" s="46"/>
      <c r="CB766" s="46"/>
      <c r="CC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c r="AM767" s="46"/>
      <c r="AN767" s="46"/>
      <c r="AO767" s="46"/>
      <c r="AP767" s="46"/>
      <c r="AQ767" s="46"/>
      <c r="AR767" s="46"/>
      <c r="AS767" s="46"/>
      <c r="AT767" s="46"/>
      <c r="AU767" s="46"/>
      <c r="AV767" s="46"/>
      <c r="AW767" s="46"/>
      <c r="AX767" s="46"/>
      <c r="AY767" s="46"/>
      <c r="AZ767" s="46"/>
      <c r="BA767" s="46"/>
      <c r="BB767" s="46"/>
      <c r="BC767" s="46"/>
      <c r="BD767" s="46"/>
      <c r="BE767" s="46"/>
      <c r="BF767" s="46"/>
      <c r="BG767" s="46"/>
      <c r="BH767" s="46"/>
      <c r="BI767" s="46"/>
      <c r="BJ767" s="46"/>
      <c r="BK767" s="46"/>
      <c r="BL767" s="46"/>
      <c r="BM767" s="46"/>
      <c r="BN767" s="46"/>
      <c r="BO767" s="46"/>
      <c r="BP767" s="46"/>
      <c r="BQ767" s="46"/>
      <c r="BR767" s="46"/>
      <c r="BS767" s="46"/>
      <c r="BT767" s="46"/>
      <c r="BU767" s="46"/>
      <c r="BV767" s="46"/>
      <c r="BW767" s="46"/>
      <c r="BX767" s="46"/>
      <c r="BY767" s="46"/>
      <c r="BZ767" s="46"/>
      <c r="CA767" s="46"/>
      <c r="CB767" s="46"/>
      <c r="CC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c r="AL768" s="46"/>
      <c r="AM768" s="46"/>
      <c r="AN768" s="46"/>
      <c r="AO768" s="46"/>
      <c r="AP768" s="46"/>
      <c r="AQ768" s="46"/>
      <c r="AR768" s="46"/>
      <c r="AS768" s="46"/>
      <c r="AT768" s="46"/>
      <c r="AU768" s="46"/>
      <c r="AV768" s="46"/>
      <c r="AW768" s="46"/>
      <c r="AX768" s="46"/>
      <c r="AY768" s="46"/>
      <c r="AZ768" s="46"/>
      <c r="BA768" s="46"/>
      <c r="BB768" s="46"/>
      <c r="BC768" s="46"/>
      <c r="BD768" s="46"/>
      <c r="BE768" s="46"/>
      <c r="BF768" s="46"/>
      <c r="BG768" s="46"/>
      <c r="BH768" s="46"/>
      <c r="BI768" s="46"/>
      <c r="BJ768" s="46"/>
      <c r="BK768" s="46"/>
      <c r="BL768" s="46"/>
      <c r="BM768" s="46"/>
      <c r="BN768" s="46"/>
      <c r="BO768" s="46"/>
      <c r="BP768" s="46"/>
      <c r="BQ768" s="46"/>
      <c r="BR768" s="46"/>
      <c r="BS768" s="46"/>
      <c r="BT768" s="46"/>
      <c r="BU768" s="46"/>
      <c r="BV768" s="46"/>
      <c r="BW768" s="46"/>
      <c r="BX768" s="46"/>
      <c r="BY768" s="46"/>
      <c r="BZ768" s="46"/>
      <c r="CA768" s="46"/>
      <c r="CB768" s="46"/>
      <c r="CC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c r="AL769" s="46"/>
      <c r="AM769" s="46"/>
      <c r="AN769" s="46"/>
      <c r="AO769" s="46"/>
      <c r="AP769" s="46"/>
      <c r="AQ769" s="46"/>
      <c r="AR769" s="46"/>
      <c r="AS769" s="46"/>
      <c r="AT769" s="46"/>
      <c r="AU769" s="46"/>
      <c r="AV769" s="46"/>
      <c r="AW769" s="46"/>
      <c r="AX769" s="46"/>
      <c r="AY769" s="46"/>
      <c r="AZ769" s="46"/>
      <c r="BA769" s="46"/>
      <c r="BB769" s="46"/>
      <c r="BC769" s="46"/>
      <c r="BD769" s="46"/>
      <c r="BE769" s="46"/>
      <c r="BF769" s="46"/>
      <c r="BG769" s="46"/>
      <c r="BH769" s="46"/>
      <c r="BI769" s="46"/>
      <c r="BJ769" s="46"/>
      <c r="BK769" s="46"/>
      <c r="BL769" s="46"/>
      <c r="BM769" s="46"/>
      <c r="BN769" s="46"/>
      <c r="BO769" s="46"/>
      <c r="BP769" s="46"/>
      <c r="BQ769" s="46"/>
      <c r="BR769" s="46"/>
      <c r="BS769" s="46"/>
      <c r="BT769" s="46"/>
      <c r="BU769" s="46"/>
      <c r="BV769" s="46"/>
      <c r="BW769" s="46"/>
      <c r="BX769" s="46"/>
      <c r="BY769" s="46"/>
      <c r="BZ769" s="46"/>
      <c r="CA769" s="46"/>
      <c r="CB769" s="46"/>
      <c r="CC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c r="AM770" s="46"/>
      <c r="AN770" s="46"/>
      <c r="AO770" s="46"/>
      <c r="AP770" s="46"/>
      <c r="AQ770" s="46"/>
      <c r="AR770" s="46"/>
      <c r="AS770" s="46"/>
      <c r="AT770" s="46"/>
      <c r="AU770" s="46"/>
      <c r="AV770" s="46"/>
      <c r="AW770" s="46"/>
      <c r="AX770" s="46"/>
      <c r="AY770" s="46"/>
      <c r="AZ770" s="46"/>
      <c r="BA770" s="46"/>
      <c r="BB770" s="46"/>
      <c r="BC770" s="46"/>
      <c r="BD770" s="46"/>
      <c r="BE770" s="46"/>
      <c r="BF770" s="46"/>
      <c r="BG770" s="46"/>
      <c r="BH770" s="46"/>
      <c r="BI770" s="46"/>
      <c r="BJ770" s="46"/>
      <c r="BK770" s="46"/>
      <c r="BL770" s="46"/>
      <c r="BM770" s="46"/>
      <c r="BN770" s="46"/>
      <c r="BO770" s="46"/>
      <c r="BP770" s="46"/>
      <c r="BQ770" s="46"/>
      <c r="BR770" s="46"/>
      <c r="BS770" s="46"/>
      <c r="BT770" s="46"/>
      <c r="BU770" s="46"/>
      <c r="BV770" s="46"/>
      <c r="BW770" s="46"/>
      <c r="BX770" s="46"/>
      <c r="BY770" s="46"/>
      <c r="BZ770" s="46"/>
      <c r="CA770" s="46"/>
      <c r="CB770" s="46"/>
      <c r="CC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c r="AM771" s="46"/>
      <c r="AN771" s="46"/>
      <c r="AO771" s="46"/>
      <c r="AP771" s="46"/>
      <c r="AQ771" s="46"/>
      <c r="AR771" s="46"/>
      <c r="AS771" s="46"/>
      <c r="AT771" s="46"/>
      <c r="AU771" s="46"/>
      <c r="AV771" s="46"/>
      <c r="AW771" s="46"/>
      <c r="AX771" s="46"/>
      <c r="AY771" s="46"/>
      <c r="AZ771" s="46"/>
      <c r="BA771" s="46"/>
      <c r="BB771" s="46"/>
      <c r="BC771" s="46"/>
      <c r="BD771" s="46"/>
      <c r="BE771" s="46"/>
      <c r="BF771" s="46"/>
      <c r="BG771" s="46"/>
      <c r="BH771" s="46"/>
      <c r="BI771" s="46"/>
      <c r="BJ771" s="46"/>
      <c r="BK771" s="46"/>
      <c r="BL771" s="46"/>
      <c r="BM771" s="46"/>
      <c r="BN771" s="46"/>
      <c r="BO771" s="46"/>
      <c r="BP771" s="46"/>
      <c r="BQ771" s="46"/>
      <c r="BR771" s="46"/>
      <c r="BS771" s="46"/>
      <c r="BT771" s="46"/>
      <c r="BU771" s="46"/>
      <c r="BV771" s="46"/>
      <c r="BW771" s="46"/>
      <c r="BX771" s="46"/>
      <c r="BY771" s="46"/>
      <c r="BZ771" s="46"/>
      <c r="CA771" s="46"/>
      <c r="CB771" s="46"/>
      <c r="CC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c r="AM772" s="46"/>
      <c r="AN772" s="46"/>
      <c r="AO772" s="46"/>
      <c r="AP772" s="46"/>
      <c r="AQ772" s="46"/>
      <c r="AR772" s="46"/>
      <c r="AS772" s="46"/>
      <c r="AT772" s="46"/>
      <c r="AU772" s="46"/>
      <c r="AV772" s="46"/>
      <c r="AW772" s="46"/>
      <c r="AX772" s="46"/>
      <c r="AY772" s="46"/>
      <c r="AZ772" s="46"/>
      <c r="BA772" s="46"/>
      <c r="BB772" s="46"/>
      <c r="BC772" s="46"/>
      <c r="BD772" s="46"/>
      <c r="BE772" s="46"/>
      <c r="BF772" s="46"/>
      <c r="BG772" s="46"/>
      <c r="BH772" s="46"/>
      <c r="BI772" s="46"/>
      <c r="BJ772" s="46"/>
      <c r="BK772" s="46"/>
      <c r="BL772" s="46"/>
      <c r="BM772" s="46"/>
      <c r="BN772" s="46"/>
      <c r="BO772" s="46"/>
      <c r="BP772" s="46"/>
      <c r="BQ772" s="46"/>
      <c r="BR772" s="46"/>
      <c r="BS772" s="46"/>
      <c r="BT772" s="46"/>
      <c r="BU772" s="46"/>
      <c r="BV772" s="46"/>
      <c r="BW772" s="46"/>
      <c r="BX772" s="46"/>
      <c r="BY772" s="46"/>
      <c r="BZ772" s="46"/>
      <c r="CA772" s="46"/>
      <c r="CB772" s="46"/>
      <c r="CC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c r="AM773" s="46"/>
      <c r="AN773" s="46"/>
      <c r="AO773" s="46"/>
      <c r="AP773" s="46"/>
      <c r="AQ773" s="46"/>
      <c r="AR773" s="46"/>
      <c r="AS773" s="46"/>
      <c r="AT773" s="46"/>
      <c r="AU773" s="46"/>
      <c r="AV773" s="46"/>
      <c r="AW773" s="46"/>
      <c r="AX773" s="46"/>
      <c r="AY773" s="46"/>
      <c r="AZ773" s="46"/>
      <c r="BA773" s="46"/>
      <c r="BB773" s="46"/>
      <c r="BC773" s="46"/>
      <c r="BD773" s="46"/>
      <c r="BE773" s="46"/>
      <c r="BF773" s="46"/>
      <c r="BG773" s="46"/>
      <c r="BH773" s="46"/>
      <c r="BI773" s="46"/>
      <c r="BJ773" s="46"/>
      <c r="BK773" s="46"/>
      <c r="BL773" s="46"/>
      <c r="BM773" s="46"/>
      <c r="BN773" s="46"/>
      <c r="BO773" s="46"/>
      <c r="BP773" s="46"/>
      <c r="BQ773" s="46"/>
      <c r="BR773" s="46"/>
      <c r="BS773" s="46"/>
      <c r="BT773" s="46"/>
      <c r="BU773" s="46"/>
      <c r="BV773" s="46"/>
      <c r="BW773" s="46"/>
      <c r="BX773" s="46"/>
      <c r="BY773" s="46"/>
      <c r="BZ773" s="46"/>
      <c r="CA773" s="46"/>
      <c r="CB773" s="46"/>
      <c r="CC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c r="AM774" s="46"/>
      <c r="AN774" s="46"/>
      <c r="AO774" s="46"/>
      <c r="AP774" s="46"/>
      <c r="AQ774" s="46"/>
      <c r="AR774" s="46"/>
      <c r="AS774" s="46"/>
      <c r="AT774" s="46"/>
      <c r="AU774" s="46"/>
      <c r="AV774" s="46"/>
      <c r="AW774" s="46"/>
      <c r="AX774" s="46"/>
      <c r="AY774" s="46"/>
      <c r="AZ774" s="46"/>
      <c r="BA774" s="46"/>
      <c r="BB774" s="46"/>
      <c r="BC774" s="46"/>
      <c r="BD774" s="46"/>
      <c r="BE774" s="46"/>
      <c r="BF774" s="46"/>
      <c r="BG774" s="46"/>
      <c r="BH774" s="46"/>
      <c r="BI774" s="46"/>
      <c r="BJ774" s="46"/>
      <c r="BK774" s="46"/>
      <c r="BL774" s="46"/>
      <c r="BM774" s="46"/>
      <c r="BN774" s="46"/>
      <c r="BO774" s="46"/>
      <c r="BP774" s="46"/>
      <c r="BQ774" s="46"/>
      <c r="BR774" s="46"/>
      <c r="BS774" s="46"/>
      <c r="BT774" s="46"/>
      <c r="BU774" s="46"/>
      <c r="BV774" s="46"/>
      <c r="BW774" s="46"/>
      <c r="BX774" s="46"/>
      <c r="BY774" s="46"/>
      <c r="BZ774" s="46"/>
      <c r="CA774" s="46"/>
      <c r="CB774" s="46"/>
      <c r="CC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c r="AM775" s="46"/>
      <c r="AN775" s="46"/>
      <c r="AO775" s="46"/>
      <c r="AP775" s="46"/>
      <c r="AQ775" s="46"/>
      <c r="AR775" s="46"/>
      <c r="AS775" s="46"/>
      <c r="AT775" s="46"/>
      <c r="AU775" s="46"/>
      <c r="AV775" s="46"/>
      <c r="AW775" s="46"/>
      <c r="AX775" s="46"/>
      <c r="AY775" s="46"/>
      <c r="AZ775" s="46"/>
      <c r="BA775" s="46"/>
      <c r="BB775" s="46"/>
      <c r="BC775" s="46"/>
      <c r="BD775" s="46"/>
      <c r="BE775" s="46"/>
      <c r="BF775" s="46"/>
      <c r="BG775" s="46"/>
      <c r="BH775" s="46"/>
      <c r="BI775" s="46"/>
      <c r="BJ775" s="46"/>
      <c r="BK775" s="46"/>
      <c r="BL775" s="46"/>
      <c r="BM775" s="46"/>
      <c r="BN775" s="46"/>
      <c r="BO775" s="46"/>
      <c r="BP775" s="46"/>
      <c r="BQ775" s="46"/>
      <c r="BR775" s="46"/>
      <c r="BS775" s="46"/>
      <c r="BT775" s="46"/>
      <c r="BU775" s="46"/>
      <c r="BV775" s="46"/>
      <c r="BW775" s="46"/>
      <c r="BX775" s="46"/>
      <c r="BY775" s="46"/>
      <c r="BZ775" s="46"/>
      <c r="CA775" s="46"/>
      <c r="CB775" s="46"/>
      <c r="CC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c r="AM776" s="46"/>
      <c r="AN776" s="46"/>
      <c r="AO776" s="46"/>
      <c r="AP776" s="46"/>
      <c r="AQ776" s="46"/>
      <c r="AR776" s="46"/>
      <c r="AS776" s="46"/>
      <c r="AT776" s="46"/>
      <c r="AU776" s="46"/>
      <c r="AV776" s="46"/>
      <c r="AW776" s="46"/>
      <c r="AX776" s="46"/>
      <c r="AY776" s="46"/>
      <c r="AZ776" s="46"/>
      <c r="BA776" s="46"/>
      <c r="BB776" s="46"/>
      <c r="BC776" s="46"/>
      <c r="BD776" s="46"/>
      <c r="BE776" s="46"/>
      <c r="BF776" s="46"/>
      <c r="BG776" s="46"/>
      <c r="BH776" s="46"/>
      <c r="BI776" s="46"/>
      <c r="BJ776" s="46"/>
      <c r="BK776" s="46"/>
      <c r="BL776" s="46"/>
      <c r="BM776" s="46"/>
      <c r="BN776" s="46"/>
      <c r="BO776" s="46"/>
      <c r="BP776" s="46"/>
      <c r="BQ776" s="46"/>
      <c r="BR776" s="46"/>
      <c r="BS776" s="46"/>
      <c r="BT776" s="46"/>
      <c r="BU776" s="46"/>
      <c r="BV776" s="46"/>
      <c r="BW776" s="46"/>
      <c r="BX776" s="46"/>
      <c r="BY776" s="46"/>
      <c r="BZ776" s="46"/>
      <c r="CA776" s="46"/>
      <c r="CB776" s="46"/>
      <c r="CC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c r="AM777" s="46"/>
      <c r="AN777" s="46"/>
      <c r="AO777" s="46"/>
      <c r="AP777" s="46"/>
      <c r="AQ777" s="46"/>
      <c r="AR777" s="46"/>
      <c r="AS777" s="46"/>
      <c r="AT777" s="46"/>
      <c r="AU777" s="46"/>
      <c r="AV777" s="46"/>
      <c r="AW777" s="46"/>
      <c r="AX777" s="46"/>
      <c r="AY777" s="46"/>
      <c r="AZ777" s="46"/>
      <c r="BA777" s="46"/>
      <c r="BB777" s="46"/>
      <c r="BC777" s="46"/>
      <c r="BD777" s="46"/>
      <c r="BE777" s="46"/>
      <c r="BF777" s="46"/>
      <c r="BG777" s="46"/>
      <c r="BH777" s="46"/>
      <c r="BI777" s="46"/>
      <c r="BJ777" s="46"/>
      <c r="BK777" s="46"/>
      <c r="BL777" s="46"/>
      <c r="BM777" s="46"/>
      <c r="BN777" s="46"/>
      <c r="BO777" s="46"/>
      <c r="BP777" s="46"/>
      <c r="BQ777" s="46"/>
      <c r="BR777" s="46"/>
      <c r="BS777" s="46"/>
      <c r="BT777" s="46"/>
      <c r="BU777" s="46"/>
      <c r="BV777" s="46"/>
      <c r="BW777" s="46"/>
      <c r="BX777" s="46"/>
      <c r="BY777" s="46"/>
      <c r="BZ777" s="46"/>
      <c r="CA777" s="46"/>
      <c r="CB777" s="46"/>
      <c r="CC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c r="AM778" s="46"/>
      <c r="AN778" s="46"/>
      <c r="AO778" s="46"/>
      <c r="AP778" s="46"/>
      <c r="AQ778" s="46"/>
      <c r="AR778" s="46"/>
      <c r="AS778" s="46"/>
      <c r="AT778" s="46"/>
      <c r="AU778" s="46"/>
      <c r="AV778" s="46"/>
      <c r="AW778" s="46"/>
      <c r="AX778" s="46"/>
      <c r="AY778" s="46"/>
      <c r="AZ778" s="46"/>
      <c r="BA778" s="46"/>
      <c r="BB778" s="46"/>
      <c r="BC778" s="46"/>
      <c r="BD778" s="46"/>
      <c r="BE778" s="46"/>
      <c r="BF778" s="46"/>
      <c r="BG778" s="46"/>
      <c r="BH778" s="46"/>
      <c r="BI778" s="46"/>
      <c r="BJ778" s="46"/>
      <c r="BK778" s="46"/>
      <c r="BL778" s="46"/>
      <c r="BM778" s="46"/>
      <c r="BN778" s="46"/>
      <c r="BO778" s="46"/>
      <c r="BP778" s="46"/>
      <c r="BQ778" s="46"/>
      <c r="BR778" s="46"/>
      <c r="BS778" s="46"/>
      <c r="BT778" s="46"/>
      <c r="BU778" s="46"/>
      <c r="BV778" s="46"/>
      <c r="BW778" s="46"/>
      <c r="BX778" s="46"/>
      <c r="BY778" s="46"/>
      <c r="BZ778" s="46"/>
      <c r="CA778" s="46"/>
      <c r="CB778" s="46"/>
      <c r="CC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c r="AM779" s="46"/>
      <c r="AN779" s="46"/>
      <c r="AO779" s="46"/>
      <c r="AP779" s="46"/>
      <c r="AQ779" s="46"/>
      <c r="AR779" s="46"/>
      <c r="AS779" s="46"/>
      <c r="AT779" s="46"/>
      <c r="AU779" s="46"/>
      <c r="AV779" s="46"/>
      <c r="AW779" s="46"/>
      <c r="AX779" s="46"/>
      <c r="AY779" s="46"/>
      <c r="AZ779" s="46"/>
      <c r="BA779" s="46"/>
      <c r="BB779" s="46"/>
      <c r="BC779" s="46"/>
      <c r="BD779" s="46"/>
      <c r="BE779" s="46"/>
      <c r="BF779" s="46"/>
      <c r="BG779" s="46"/>
      <c r="BH779" s="46"/>
      <c r="BI779" s="46"/>
      <c r="BJ779" s="46"/>
      <c r="BK779" s="46"/>
      <c r="BL779" s="46"/>
      <c r="BM779" s="46"/>
      <c r="BN779" s="46"/>
      <c r="BO779" s="46"/>
      <c r="BP779" s="46"/>
      <c r="BQ779" s="46"/>
      <c r="BR779" s="46"/>
      <c r="BS779" s="46"/>
      <c r="BT779" s="46"/>
      <c r="BU779" s="46"/>
      <c r="BV779" s="46"/>
      <c r="BW779" s="46"/>
      <c r="BX779" s="46"/>
      <c r="BY779" s="46"/>
      <c r="BZ779" s="46"/>
      <c r="CA779" s="46"/>
      <c r="CB779" s="46"/>
      <c r="CC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c r="AM780" s="46"/>
      <c r="AN780" s="46"/>
      <c r="AO780" s="46"/>
      <c r="AP780" s="46"/>
      <c r="AQ780" s="46"/>
      <c r="AR780" s="46"/>
      <c r="AS780" s="46"/>
      <c r="AT780" s="46"/>
      <c r="AU780" s="46"/>
      <c r="AV780" s="46"/>
      <c r="AW780" s="46"/>
      <c r="AX780" s="46"/>
      <c r="AY780" s="46"/>
      <c r="AZ780" s="46"/>
      <c r="BA780" s="46"/>
      <c r="BB780" s="46"/>
      <c r="BC780" s="46"/>
      <c r="BD780" s="46"/>
      <c r="BE780" s="46"/>
      <c r="BF780" s="46"/>
      <c r="BG780" s="46"/>
      <c r="BH780" s="46"/>
      <c r="BI780" s="46"/>
      <c r="BJ780" s="46"/>
      <c r="BK780" s="46"/>
      <c r="BL780" s="46"/>
      <c r="BM780" s="46"/>
      <c r="BN780" s="46"/>
      <c r="BO780" s="46"/>
      <c r="BP780" s="46"/>
      <c r="BQ780" s="46"/>
      <c r="BR780" s="46"/>
      <c r="BS780" s="46"/>
      <c r="BT780" s="46"/>
      <c r="BU780" s="46"/>
      <c r="BV780" s="46"/>
      <c r="BW780" s="46"/>
      <c r="BX780" s="46"/>
      <c r="BY780" s="46"/>
      <c r="BZ780" s="46"/>
      <c r="CA780" s="46"/>
      <c r="CB780" s="46"/>
      <c r="CC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c r="AM781" s="46"/>
      <c r="AN781" s="46"/>
      <c r="AO781" s="46"/>
      <c r="AP781" s="46"/>
      <c r="AQ781" s="46"/>
      <c r="AR781" s="46"/>
      <c r="AS781" s="46"/>
      <c r="AT781" s="46"/>
      <c r="AU781" s="46"/>
      <c r="AV781" s="46"/>
      <c r="AW781" s="46"/>
      <c r="AX781" s="46"/>
      <c r="AY781" s="46"/>
      <c r="AZ781" s="46"/>
      <c r="BA781" s="46"/>
      <c r="BB781" s="46"/>
      <c r="BC781" s="46"/>
      <c r="BD781" s="46"/>
      <c r="BE781" s="46"/>
      <c r="BF781" s="46"/>
      <c r="BG781" s="46"/>
      <c r="BH781" s="46"/>
      <c r="BI781" s="46"/>
      <c r="BJ781" s="46"/>
      <c r="BK781" s="46"/>
      <c r="BL781" s="46"/>
      <c r="BM781" s="46"/>
      <c r="BN781" s="46"/>
      <c r="BO781" s="46"/>
      <c r="BP781" s="46"/>
      <c r="BQ781" s="46"/>
      <c r="BR781" s="46"/>
      <c r="BS781" s="46"/>
      <c r="BT781" s="46"/>
      <c r="BU781" s="46"/>
      <c r="BV781" s="46"/>
      <c r="BW781" s="46"/>
      <c r="BX781" s="46"/>
      <c r="BY781" s="46"/>
      <c r="BZ781" s="46"/>
      <c r="CA781" s="46"/>
      <c r="CB781" s="46"/>
      <c r="CC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c r="AM782" s="46"/>
      <c r="AN782" s="46"/>
      <c r="AO782" s="46"/>
      <c r="AP782" s="46"/>
      <c r="AQ782" s="46"/>
      <c r="AR782" s="46"/>
      <c r="AS782" s="46"/>
      <c r="AT782" s="46"/>
      <c r="AU782" s="46"/>
      <c r="AV782" s="46"/>
      <c r="AW782" s="46"/>
      <c r="AX782" s="46"/>
      <c r="AY782" s="46"/>
      <c r="AZ782" s="46"/>
      <c r="BA782" s="46"/>
      <c r="BB782" s="46"/>
      <c r="BC782" s="46"/>
      <c r="BD782" s="46"/>
      <c r="BE782" s="46"/>
      <c r="BF782" s="46"/>
      <c r="BG782" s="46"/>
      <c r="BH782" s="46"/>
      <c r="BI782" s="46"/>
      <c r="BJ782" s="46"/>
      <c r="BK782" s="46"/>
      <c r="BL782" s="46"/>
      <c r="BM782" s="46"/>
      <c r="BN782" s="46"/>
      <c r="BO782" s="46"/>
      <c r="BP782" s="46"/>
      <c r="BQ782" s="46"/>
      <c r="BR782" s="46"/>
      <c r="BS782" s="46"/>
      <c r="BT782" s="46"/>
      <c r="BU782" s="46"/>
      <c r="BV782" s="46"/>
      <c r="BW782" s="46"/>
      <c r="BX782" s="46"/>
      <c r="BY782" s="46"/>
      <c r="BZ782" s="46"/>
      <c r="CA782" s="46"/>
      <c r="CB782" s="46"/>
      <c r="CC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c r="AM783" s="46"/>
      <c r="AN783" s="46"/>
      <c r="AO783" s="46"/>
      <c r="AP783" s="46"/>
      <c r="AQ783" s="46"/>
      <c r="AR783" s="46"/>
      <c r="AS783" s="46"/>
      <c r="AT783" s="46"/>
      <c r="AU783" s="46"/>
      <c r="AV783" s="46"/>
      <c r="AW783" s="46"/>
      <c r="AX783" s="46"/>
      <c r="AY783" s="46"/>
      <c r="AZ783" s="46"/>
      <c r="BA783" s="46"/>
      <c r="BB783" s="46"/>
      <c r="BC783" s="46"/>
      <c r="BD783" s="46"/>
      <c r="BE783" s="46"/>
      <c r="BF783" s="46"/>
      <c r="BG783" s="46"/>
      <c r="BH783" s="46"/>
      <c r="BI783" s="46"/>
      <c r="BJ783" s="46"/>
      <c r="BK783" s="46"/>
      <c r="BL783" s="46"/>
      <c r="BM783" s="46"/>
      <c r="BN783" s="46"/>
      <c r="BO783" s="46"/>
      <c r="BP783" s="46"/>
      <c r="BQ783" s="46"/>
      <c r="BR783" s="46"/>
      <c r="BS783" s="46"/>
      <c r="BT783" s="46"/>
      <c r="BU783" s="46"/>
      <c r="BV783" s="46"/>
      <c r="BW783" s="46"/>
      <c r="BX783" s="46"/>
      <c r="BY783" s="46"/>
      <c r="BZ783" s="46"/>
      <c r="CA783" s="46"/>
      <c r="CB783" s="46"/>
      <c r="CC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c r="AM784" s="46"/>
      <c r="AN784" s="46"/>
      <c r="AO784" s="46"/>
      <c r="AP784" s="46"/>
      <c r="AQ784" s="46"/>
      <c r="AR784" s="46"/>
      <c r="AS784" s="46"/>
      <c r="AT784" s="46"/>
      <c r="AU784" s="46"/>
      <c r="AV784" s="46"/>
      <c r="AW784" s="46"/>
      <c r="AX784" s="46"/>
      <c r="AY784" s="46"/>
      <c r="AZ784" s="46"/>
      <c r="BA784" s="46"/>
      <c r="BB784" s="46"/>
      <c r="BC784" s="46"/>
      <c r="BD784" s="46"/>
      <c r="BE784" s="46"/>
      <c r="BF784" s="46"/>
      <c r="BG784" s="46"/>
      <c r="BH784" s="46"/>
      <c r="BI784" s="46"/>
      <c r="BJ784" s="46"/>
      <c r="BK784" s="46"/>
      <c r="BL784" s="46"/>
      <c r="BM784" s="46"/>
      <c r="BN784" s="46"/>
      <c r="BO784" s="46"/>
      <c r="BP784" s="46"/>
      <c r="BQ784" s="46"/>
      <c r="BR784" s="46"/>
      <c r="BS784" s="46"/>
      <c r="BT784" s="46"/>
      <c r="BU784" s="46"/>
      <c r="BV784" s="46"/>
      <c r="BW784" s="46"/>
      <c r="BX784" s="46"/>
      <c r="BY784" s="46"/>
      <c r="BZ784" s="46"/>
      <c r="CA784" s="46"/>
      <c r="CB784" s="46"/>
      <c r="CC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c r="AM785" s="46"/>
      <c r="AN785" s="46"/>
      <c r="AO785" s="46"/>
      <c r="AP785" s="46"/>
      <c r="AQ785" s="46"/>
      <c r="AR785" s="46"/>
      <c r="AS785" s="46"/>
      <c r="AT785" s="46"/>
      <c r="AU785" s="46"/>
      <c r="AV785" s="46"/>
      <c r="AW785" s="46"/>
      <c r="AX785" s="46"/>
      <c r="AY785" s="46"/>
      <c r="AZ785" s="46"/>
      <c r="BA785" s="46"/>
      <c r="BB785" s="46"/>
      <c r="BC785" s="46"/>
      <c r="BD785" s="46"/>
      <c r="BE785" s="46"/>
      <c r="BF785" s="46"/>
      <c r="BG785" s="46"/>
      <c r="BH785" s="46"/>
      <c r="BI785" s="46"/>
      <c r="BJ785" s="46"/>
      <c r="BK785" s="46"/>
      <c r="BL785" s="46"/>
      <c r="BM785" s="46"/>
      <c r="BN785" s="46"/>
      <c r="BO785" s="46"/>
      <c r="BP785" s="46"/>
      <c r="BQ785" s="46"/>
      <c r="BR785" s="46"/>
      <c r="BS785" s="46"/>
      <c r="BT785" s="46"/>
      <c r="BU785" s="46"/>
      <c r="BV785" s="46"/>
      <c r="BW785" s="46"/>
      <c r="BX785" s="46"/>
      <c r="BY785" s="46"/>
      <c r="BZ785" s="46"/>
      <c r="CA785" s="46"/>
      <c r="CB785" s="46"/>
      <c r="CC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c r="AM786" s="46"/>
      <c r="AN786" s="46"/>
      <c r="AO786" s="46"/>
      <c r="AP786" s="46"/>
      <c r="AQ786" s="46"/>
      <c r="AR786" s="46"/>
      <c r="AS786" s="46"/>
      <c r="AT786" s="46"/>
      <c r="AU786" s="46"/>
      <c r="AV786" s="46"/>
      <c r="AW786" s="46"/>
      <c r="AX786" s="46"/>
      <c r="AY786" s="46"/>
      <c r="AZ786" s="46"/>
      <c r="BA786" s="46"/>
      <c r="BB786" s="46"/>
      <c r="BC786" s="46"/>
      <c r="BD786" s="46"/>
      <c r="BE786" s="46"/>
      <c r="BF786" s="46"/>
      <c r="BG786" s="46"/>
      <c r="BH786" s="46"/>
      <c r="BI786" s="46"/>
      <c r="BJ786" s="46"/>
      <c r="BK786" s="46"/>
      <c r="BL786" s="46"/>
      <c r="BM786" s="46"/>
      <c r="BN786" s="46"/>
      <c r="BO786" s="46"/>
      <c r="BP786" s="46"/>
      <c r="BQ786" s="46"/>
      <c r="BR786" s="46"/>
      <c r="BS786" s="46"/>
      <c r="BT786" s="46"/>
      <c r="BU786" s="46"/>
      <c r="BV786" s="46"/>
      <c r="BW786" s="46"/>
      <c r="BX786" s="46"/>
      <c r="BY786" s="46"/>
      <c r="BZ786" s="46"/>
      <c r="CA786" s="46"/>
      <c r="CB786" s="46"/>
      <c r="CC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c r="AM787" s="46"/>
      <c r="AN787" s="46"/>
      <c r="AO787" s="46"/>
      <c r="AP787" s="46"/>
      <c r="AQ787" s="46"/>
      <c r="AR787" s="46"/>
      <c r="AS787" s="46"/>
      <c r="AT787" s="46"/>
      <c r="AU787" s="46"/>
      <c r="AV787" s="46"/>
      <c r="AW787" s="46"/>
      <c r="AX787" s="46"/>
      <c r="AY787" s="46"/>
      <c r="AZ787" s="46"/>
      <c r="BA787" s="46"/>
      <c r="BB787" s="46"/>
      <c r="BC787" s="46"/>
      <c r="BD787" s="46"/>
      <c r="BE787" s="46"/>
      <c r="BF787" s="46"/>
      <c r="BG787" s="46"/>
      <c r="BH787" s="46"/>
      <c r="BI787" s="46"/>
      <c r="BJ787" s="46"/>
      <c r="BK787" s="46"/>
      <c r="BL787" s="46"/>
      <c r="BM787" s="46"/>
      <c r="BN787" s="46"/>
      <c r="BO787" s="46"/>
      <c r="BP787" s="46"/>
      <c r="BQ787" s="46"/>
      <c r="BR787" s="46"/>
      <c r="BS787" s="46"/>
      <c r="BT787" s="46"/>
      <c r="BU787" s="46"/>
      <c r="BV787" s="46"/>
      <c r="BW787" s="46"/>
      <c r="BX787" s="46"/>
      <c r="BY787" s="46"/>
      <c r="BZ787" s="46"/>
      <c r="CA787" s="46"/>
      <c r="CB787" s="46"/>
      <c r="CC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c r="AM788" s="46"/>
      <c r="AN788" s="46"/>
      <c r="AO788" s="46"/>
      <c r="AP788" s="46"/>
      <c r="AQ788" s="46"/>
      <c r="AR788" s="46"/>
      <c r="AS788" s="46"/>
      <c r="AT788" s="46"/>
      <c r="AU788" s="46"/>
      <c r="AV788" s="46"/>
      <c r="AW788" s="46"/>
      <c r="AX788" s="46"/>
      <c r="AY788" s="46"/>
      <c r="AZ788" s="46"/>
      <c r="BA788" s="46"/>
      <c r="BB788" s="46"/>
      <c r="BC788" s="46"/>
      <c r="BD788" s="46"/>
      <c r="BE788" s="46"/>
      <c r="BF788" s="46"/>
      <c r="BG788" s="46"/>
      <c r="BH788" s="46"/>
      <c r="BI788" s="46"/>
      <c r="BJ788" s="46"/>
      <c r="BK788" s="46"/>
      <c r="BL788" s="46"/>
      <c r="BM788" s="46"/>
      <c r="BN788" s="46"/>
      <c r="BO788" s="46"/>
      <c r="BP788" s="46"/>
      <c r="BQ788" s="46"/>
      <c r="BR788" s="46"/>
      <c r="BS788" s="46"/>
      <c r="BT788" s="46"/>
      <c r="BU788" s="46"/>
      <c r="BV788" s="46"/>
      <c r="BW788" s="46"/>
      <c r="BX788" s="46"/>
      <c r="BY788" s="46"/>
      <c r="BZ788" s="46"/>
      <c r="CA788" s="46"/>
      <c r="CB788" s="46"/>
      <c r="CC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c r="AM789" s="46"/>
      <c r="AN789" s="46"/>
      <c r="AO789" s="46"/>
      <c r="AP789" s="46"/>
      <c r="AQ789" s="46"/>
      <c r="AR789" s="46"/>
      <c r="AS789" s="46"/>
      <c r="AT789" s="46"/>
      <c r="AU789" s="46"/>
      <c r="AV789" s="46"/>
      <c r="AW789" s="46"/>
      <c r="AX789" s="46"/>
      <c r="AY789" s="46"/>
      <c r="AZ789" s="46"/>
      <c r="BA789" s="46"/>
      <c r="BB789" s="46"/>
      <c r="BC789" s="46"/>
      <c r="BD789" s="46"/>
      <c r="BE789" s="46"/>
      <c r="BF789" s="46"/>
      <c r="BG789" s="46"/>
      <c r="BH789" s="46"/>
      <c r="BI789" s="46"/>
      <c r="BJ789" s="46"/>
      <c r="BK789" s="46"/>
      <c r="BL789" s="46"/>
      <c r="BM789" s="46"/>
      <c r="BN789" s="46"/>
      <c r="BO789" s="46"/>
      <c r="BP789" s="46"/>
      <c r="BQ789" s="46"/>
      <c r="BR789" s="46"/>
      <c r="BS789" s="46"/>
      <c r="BT789" s="46"/>
      <c r="BU789" s="46"/>
      <c r="BV789" s="46"/>
      <c r="BW789" s="46"/>
      <c r="BX789" s="46"/>
      <c r="BY789" s="46"/>
      <c r="BZ789" s="46"/>
      <c r="CA789" s="46"/>
      <c r="CB789" s="46"/>
      <c r="CC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c r="AM790" s="46"/>
      <c r="AN790" s="46"/>
      <c r="AO790" s="46"/>
      <c r="AP790" s="46"/>
      <c r="AQ790" s="46"/>
      <c r="AR790" s="46"/>
      <c r="AS790" s="46"/>
      <c r="AT790" s="46"/>
      <c r="AU790" s="46"/>
      <c r="AV790" s="46"/>
      <c r="AW790" s="46"/>
      <c r="AX790" s="46"/>
      <c r="AY790" s="46"/>
      <c r="AZ790" s="46"/>
      <c r="BA790" s="46"/>
      <c r="BB790" s="46"/>
      <c r="BC790" s="46"/>
      <c r="BD790" s="46"/>
      <c r="BE790" s="46"/>
      <c r="BF790" s="46"/>
      <c r="BG790" s="46"/>
      <c r="BH790" s="46"/>
      <c r="BI790" s="46"/>
      <c r="BJ790" s="46"/>
      <c r="BK790" s="46"/>
      <c r="BL790" s="46"/>
      <c r="BM790" s="46"/>
      <c r="BN790" s="46"/>
      <c r="BO790" s="46"/>
      <c r="BP790" s="46"/>
      <c r="BQ790" s="46"/>
      <c r="BR790" s="46"/>
      <c r="BS790" s="46"/>
      <c r="BT790" s="46"/>
      <c r="BU790" s="46"/>
      <c r="BV790" s="46"/>
      <c r="BW790" s="46"/>
      <c r="BX790" s="46"/>
      <c r="BY790" s="46"/>
      <c r="BZ790" s="46"/>
      <c r="CA790" s="46"/>
      <c r="CB790" s="46"/>
      <c r="CC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c r="AM791" s="46"/>
      <c r="AN791" s="46"/>
      <c r="AO791" s="46"/>
      <c r="AP791" s="46"/>
      <c r="AQ791" s="46"/>
      <c r="AR791" s="46"/>
      <c r="AS791" s="46"/>
      <c r="AT791" s="46"/>
      <c r="AU791" s="46"/>
      <c r="AV791" s="46"/>
      <c r="AW791" s="46"/>
      <c r="AX791" s="46"/>
      <c r="AY791" s="46"/>
      <c r="AZ791" s="46"/>
      <c r="BA791" s="46"/>
      <c r="BB791" s="46"/>
      <c r="BC791" s="46"/>
      <c r="BD791" s="46"/>
      <c r="BE791" s="46"/>
      <c r="BF791" s="46"/>
      <c r="BG791" s="46"/>
      <c r="BH791" s="46"/>
      <c r="BI791" s="46"/>
      <c r="BJ791" s="46"/>
      <c r="BK791" s="46"/>
      <c r="BL791" s="46"/>
      <c r="BM791" s="46"/>
      <c r="BN791" s="46"/>
      <c r="BO791" s="46"/>
      <c r="BP791" s="46"/>
      <c r="BQ791" s="46"/>
      <c r="BR791" s="46"/>
      <c r="BS791" s="46"/>
      <c r="BT791" s="46"/>
      <c r="BU791" s="46"/>
      <c r="BV791" s="46"/>
      <c r="BW791" s="46"/>
      <c r="BX791" s="46"/>
      <c r="BY791" s="46"/>
      <c r="BZ791" s="46"/>
      <c r="CA791" s="46"/>
      <c r="CB791" s="46"/>
      <c r="CC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c r="AM792" s="46"/>
      <c r="AN792" s="46"/>
      <c r="AO792" s="46"/>
      <c r="AP792" s="46"/>
      <c r="AQ792" s="46"/>
      <c r="AR792" s="46"/>
      <c r="AS792" s="46"/>
      <c r="AT792" s="46"/>
      <c r="AU792" s="46"/>
      <c r="AV792" s="46"/>
      <c r="AW792" s="46"/>
      <c r="AX792" s="46"/>
      <c r="AY792" s="46"/>
      <c r="AZ792" s="46"/>
      <c r="BA792" s="46"/>
      <c r="BB792" s="46"/>
      <c r="BC792" s="46"/>
      <c r="BD792" s="46"/>
      <c r="BE792" s="46"/>
      <c r="BF792" s="46"/>
      <c r="BG792" s="46"/>
      <c r="BH792" s="46"/>
      <c r="BI792" s="46"/>
      <c r="BJ792" s="46"/>
      <c r="BK792" s="46"/>
      <c r="BL792" s="46"/>
      <c r="BM792" s="46"/>
      <c r="BN792" s="46"/>
      <c r="BO792" s="46"/>
      <c r="BP792" s="46"/>
      <c r="BQ792" s="46"/>
      <c r="BR792" s="46"/>
      <c r="BS792" s="46"/>
      <c r="BT792" s="46"/>
      <c r="BU792" s="46"/>
      <c r="BV792" s="46"/>
      <c r="BW792" s="46"/>
      <c r="BX792" s="46"/>
      <c r="BY792" s="46"/>
      <c r="BZ792" s="46"/>
      <c r="CA792" s="46"/>
      <c r="CB792" s="46"/>
      <c r="CC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c r="AM793" s="46"/>
      <c r="AN793" s="46"/>
      <c r="AO793" s="46"/>
      <c r="AP793" s="46"/>
      <c r="AQ793" s="46"/>
      <c r="AR793" s="46"/>
      <c r="AS793" s="46"/>
      <c r="AT793" s="46"/>
      <c r="AU793" s="46"/>
      <c r="AV793" s="46"/>
      <c r="AW793" s="46"/>
      <c r="AX793" s="46"/>
      <c r="AY793" s="46"/>
      <c r="AZ793" s="46"/>
      <c r="BA793" s="46"/>
      <c r="BB793" s="46"/>
      <c r="BC793" s="46"/>
      <c r="BD793" s="46"/>
      <c r="BE793" s="46"/>
      <c r="BF793" s="46"/>
      <c r="BG793" s="46"/>
      <c r="BH793" s="46"/>
      <c r="BI793" s="46"/>
      <c r="BJ793" s="46"/>
      <c r="BK793" s="46"/>
      <c r="BL793" s="46"/>
      <c r="BM793" s="46"/>
      <c r="BN793" s="46"/>
      <c r="BO793" s="46"/>
      <c r="BP793" s="46"/>
      <c r="BQ793" s="46"/>
      <c r="BR793" s="46"/>
      <c r="BS793" s="46"/>
      <c r="BT793" s="46"/>
      <c r="BU793" s="46"/>
      <c r="BV793" s="46"/>
      <c r="BW793" s="46"/>
      <c r="BX793" s="46"/>
      <c r="BY793" s="46"/>
      <c r="BZ793" s="46"/>
      <c r="CA793" s="46"/>
      <c r="CB793" s="46"/>
      <c r="CC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c r="AM794" s="46"/>
      <c r="AN794" s="46"/>
      <c r="AO794" s="46"/>
      <c r="AP794" s="46"/>
      <c r="AQ794" s="46"/>
      <c r="AR794" s="46"/>
      <c r="AS794" s="46"/>
      <c r="AT794" s="46"/>
      <c r="AU794" s="46"/>
      <c r="AV794" s="46"/>
      <c r="AW794" s="46"/>
      <c r="AX794" s="46"/>
      <c r="AY794" s="46"/>
      <c r="AZ794" s="46"/>
      <c r="BA794" s="46"/>
      <c r="BB794" s="46"/>
      <c r="BC794" s="46"/>
      <c r="BD794" s="46"/>
      <c r="BE794" s="46"/>
      <c r="BF794" s="46"/>
      <c r="BG794" s="46"/>
      <c r="BH794" s="46"/>
      <c r="BI794" s="46"/>
      <c r="BJ794" s="46"/>
      <c r="BK794" s="46"/>
      <c r="BL794" s="46"/>
      <c r="BM794" s="46"/>
      <c r="BN794" s="46"/>
      <c r="BO794" s="46"/>
      <c r="BP794" s="46"/>
      <c r="BQ794" s="46"/>
      <c r="BR794" s="46"/>
      <c r="BS794" s="46"/>
      <c r="BT794" s="46"/>
      <c r="BU794" s="46"/>
      <c r="BV794" s="46"/>
      <c r="BW794" s="46"/>
      <c r="BX794" s="46"/>
      <c r="BY794" s="46"/>
      <c r="BZ794" s="46"/>
      <c r="CA794" s="46"/>
      <c r="CB794" s="46"/>
      <c r="CC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c r="AM795" s="46"/>
      <c r="AN795" s="46"/>
      <c r="AO795" s="46"/>
      <c r="AP795" s="46"/>
      <c r="AQ795" s="46"/>
      <c r="AR795" s="46"/>
      <c r="AS795" s="46"/>
      <c r="AT795" s="46"/>
      <c r="AU795" s="46"/>
      <c r="AV795" s="46"/>
      <c r="AW795" s="46"/>
      <c r="AX795" s="46"/>
      <c r="AY795" s="46"/>
      <c r="AZ795" s="46"/>
      <c r="BA795" s="46"/>
      <c r="BB795" s="46"/>
      <c r="BC795" s="46"/>
      <c r="BD795" s="46"/>
      <c r="BE795" s="46"/>
      <c r="BF795" s="46"/>
      <c r="BG795" s="46"/>
      <c r="BH795" s="46"/>
      <c r="BI795" s="46"/>
      <c r="BJ795" s="46"/>
      <c r="BK795" s="46"/>
      <c r="BL795" s="46"/>
      <c r="BM795" s="46"/>
      <c r="BN795" s="46"/>
      <c r="BO795" s="46"/>
      <c r="BP795" s="46"/>
      <c r="BQ795" s="46"/>
      <c r="BR795" s="46"/>
      <c r="BS795" s="46"/>
      <c r="BT795" s="46"/>
      <c r="BU795" s="46"/>
      <c r="BV795" s="46"/>
      <c r="BW795" s="46"/>
      <c r="BX795" s="46"/>
      <c r="BY795" s="46"/>
      <c r="BZ795" s="46"/>
      <c r="CA795" s="46"/>
      <c r="CB795" s="46"/>
      <c r="CC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c r="AM796" s="46"/>
      <c r="AN796" s="46"/>
      <c r="AO796" s="46"/>
      <c r="AP796" s="46"/>
      <c r="AQ796" s="46"/>
      <c r="AR796" s="46"/>
      <c r="AS796" s="46"/>
      <c r="AT796" s="46"/>
      <c r="AU796" s="46"/>
      <c r="AV796" s="46"/>
      <c r="AW796" s="46"/>
      <c r="AX796" s="46"/>
      <c r="AY796" s="46"/>
      <c r="AZ796" s="46"/>
      <c r="BA796" s="46"/>
      <c r="BB796" s="46"/>
      <c r="BC796" s="46"/>
      <c r="BD796" s="46"/>
      <c r="BE796" s="46"/>
      <c r="BF796" s="46"/>
      <c r="BG796" s="46"/>
      <c r="BH796" s="46"/>
      <c r="BI796" s="46"/>
      <c r="BJ796" s="46"/>
      <c r="BK796" s="46"/>
      <c r="BL796" s="46"/>
      <c r="BM796" s="46"/>
      <c r="BN796" s="46"/>
      <c r="BO796" s="46"/>
      <c r="BP796" s="46"/>
      <c r="BQ796" s="46"/>
      <c r="BR796" s="46"/>
      <c r="BS796" s="46"/>
      <c r="BT796" s="46"/>
      <c r="BU796" s="46"/>
      <c r="BV796" s="46"/>
      <c r="BW796" s="46"/>
      <c r="BX796" s="46"/>
      <c r="BY796" s="46"/>
      <c r="BZ796" s="46"/>
      <c r="CA796" s="46"/>
      <c r="CB796" s="46"/>
      <c r="CC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c r="AM797" s="46"/>
      <c r="AN797" s="46"/>
      <c r="AO797" s="46"/>
      <c r="AP797" s="46"/>
      <c r="AQ797" s="46"/>
      <c r="AR797" s="46"/>
      <c r="AS797" s="46"/>
      <c r="AT797" s="46"/>
      <c r="AU797" s="46"/>
      <c r="AV797" s="46"/>
      <c r="AW797" s="46"/>
      <c r="AX797" s="46"/>
      <c r="AY797" s="46"/>
      <c r="AZ797" s="46"/>
      <c r="BA797" s="46"/>
      <c r="BB797" s="46"/>
      <c r="BC797" s="46"/>
      <c r="BD797" s="46"/>
      <c r="BE797" s="46"/>
      <c r="BF797" s="46"/>
      <c r="BG797" s="46"/>
      <c r="BH797" s="46"/>
      <c r="BI797" s="46"/>
      <c r="BJ797" s="46"/>
      <c r="BK797" s="46"/>
      <c r="BL797" s="46"/>
      <c r="BM797" s="46"/>
      <c r="BN797" s="46"/>
      <c r="BO797" s="46"/>
      <c r="BP797" s="46"/>
      <c r="BQ797" s="46"/>
      <c r="BR797" s="46"/>
      <c r="BS797" s="46"/>
      <c r="BT797" s="46"/>
      <c r="BU797" s="46"/>
      <c r="BV797" s="46"/>
      <c r="BW797" s="46"/>
      <c r="BX797" s="46"/>
      <c r="BY797" s="46"/>
      <c r="BZ797" s="46"/>
      <c r="CA797" s="46"/>
      <c r="CB797" s="46"/>
      <c r="CC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c r="AM798" s="46"/>
      <c r="AN798" s="46"/>
      <c r="AO798" s="46"/>
      <c r="AP798" s="46"/>
      <c r="AQ798" s="46"/>
      <c r="AR798" s="46"/>
      <c r="AS798" s="46"/>
      <c r="AT798" s="46"/>
      <c r="AU798" s="46"/>
      <c r="AV798" s="46"/>
      <c r="AW798" s="46"/>
      <c r="AX798" s="46"/>
      <c r="AY798" s="46"/>
      <c r="AZ798" s="46"/>
      <c r="BA798" s="46"/>
      <c r="BB798" s="46"/>
      <c r="BC798" s="46"/>
      <c r="BD798" s="46"/>
      <c r="BE798" s="46"/>
      <c r="BF798" s="46"/>
      <c r="BG798" s="46"/>
      <c r="BH798" s="46"/>
      <c r="BI798" s="46"/>
      <c r="BJ798" s="46"/>
      <c r="BK798" s="46"/>
      <c r="BL798" s="46"/>
      <c r="BM798" s="46"/>
      <c r="BN798" s="46"/>
      <c r="BO798" s="46"/>
      <c r="BP798" s="46"/>
      <c r="BQ798" s="46"/>
      <c r="BR798" s="46"/>
      <c r="BS798" s="46"/>
      <c r="BT798" s="46"/>
      <c r="BU798" s="46"/>
      <c r="BV798" s="46"/>
      <c r="BW798" s="46"/>
      <c r="BX798" s="46"/>
      <c r="BY798" s="46"/>
      <c r="BZ798" s="46"/>
      <c r="CA798" s="46"/>
      <c r="CB798" s="46"/>
      <c r="CC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c r="AM799" s="46"/>
      <c r="AN799" s="46"/>
      <c r="AO799" s="46"/>
      <c r="AP799" s="46"/>
      <c r="AQ799" s="46"/>
      <c r="AR799" s="46"/>
      <c r="AS799" s="46"/>
      <c r="AT799" s="46"/>
      <c r="AU799" s="46"/>
      <c r="AV799" s="46"/>
      <c r="AW799" s="46"/>
      <c r="AX799" s="46"/>
      <c r="AY799" s="46"/>
      <c r="AZ799" s="46"/>
      <c r="BA799" s="46"/>
      <c r="BB799" s="46"/>
      <c r="BC799" s="46"/>
      <c r="BD799" s="46"/>
      <c r="BE799" s="46"/>
      <c r="BF799" s="46"/>
      <c r="BG799" s="46"/>
      <c r="BH799" s="46"/>
      <c r="BI799" s="46"/>
      <c r="BJ799" s="46"/>
      <c r="BK799" s="46"/>
      <c r="BL799" s="46"/>
      <c r="BM799" s="46"/>
      <c r="BN799" s="46"/>
      <c r="BO799" s="46"/>
      <c r="BP799" s="46"/>
      <c r="BQ799" s="46"/>
      <c r="BR799" s="46"/>
      <c r="BS799" s="46"/>
      <c r="BT799" s="46"/>
      <c r="BU799" s="46"/>
      <c r="BV799" s="46"/>
      <c r="BW799" s="46"/>
      <c r="BX799" s="46"/>
      <c r="BY799" s="46"/>
      <c r="BZ799" s="46"/>
      <c r="CA799" s="46"/>
      <c r="CB799" s="46"/>
      <c r="CC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c r="AM800" s="46"/>
      <c r="AN800" s="46"/>
      <c r="AO800" s="46"/>
      <c r="AP800" s="46"/>
      <c r="AQ800" s="46"/>
      <c r="AR800" s="46"/>
      <c r="AS800" s="46"/>
      <c r="AT800" s="46"/>
      <c r="AU800" s="46"/>
      <c r="AV800" s="46"/>
      <c r="AW800" s="46"/>
      <c r="AX800" s="46"/>
      <c r="AY800" s="46"/>
      <c r="AZ800" s="46"/>
      <c r="BA800" s="46"/>
      <c r="BB800" s="46"/>
      <c r="BC800" s="46"/>
      <c r="BD800" s="46"/>
      <c r="BE800" s="46"/>
      <c r="BF800" s="46"/>
      <c r="BG800" s="46"/>
      <c r="BH800" s="46"/>
      <c r="BI800" s="46"/>
      <c r="BJ800" s="46"/>
      <c r="BK800" s="46"/>
      <c r="BL800" s="46"/>
      <c r="BM800" s="46"/>
      <c r="BN800" s="46"/>
      <c r="BO800" s="46"/>
      <c r="BP800" s="46"/>
      <c r="BQ800" s="46"/>
      <c r="BR800" s="46"/>
      <c r="BS800" s="46"/>
      <c r="BT800" s="46"/>
      <c r="BU800" s="46"/>
      <c r="BV800" s="46"/>
      <c r="BW800" s="46"/>
      <c r="BX800" s="46"/>
      <c r="BY800" s="46"/>
      <c r="BZ800" s="46"/>
      <c r="CA800" s="46"/>
      <c r="CB800" s="46"/>
      <c r="CC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c r="AM801" s="46"/>
      <c r="AN801" s="46"/>
      <c r="AO801" s="46"/>
      <c r="AP801" s="46"/>
      <c r="AQ801" s="46"/>
      <c r="AR801" s="46"/>
      <c r="AS801" s="46"/>
      <c r="AT801" s="46"/>
      <c r="AU801" s="46"/>
      <c r="AV801" s="46"/>
      <c r="AW801" s="46"/>
      <c r="AX801" s="46"/>
      <c r="AY801" s="46"/>
      <c r="AZ801" s="46"/>
      <c r="BA801" s="46"/>
      <c r="BB801" s="46"/>
      <c r="BC801" s="46"/>
      <c r="BD801" s="46"/>
      <c r="BE801" s="46"/>
      <c r="BF801" s="46"/>
      <c r="BG801" s="46"/>
      <c r="BH801" s="46"/>
      <c r="BI801" s="46"/>
      <c r="BJ801" s="46"/>
      <c r="BK801" s="46"/>
      <c r="BL801" s="46"/>
      <c r="BM801" s="46"/>
      <c r="BN801" s="46"/>
      <c r="BO801" s="46"/>
      <c r="BP801" s="46"/>
      <c r="BQ801" s="46"/>
      <c r="BR801" s="46"/>
      <c r="BS801" s="46"/>
      <c r="BT801" s="46"/>
      <c r="BU801" s="46"/>
      <c r="BV801" s="46"/>
      <c r="BW801" s="46"/>
      <c r="BX801" s="46"/>
      <c r="BY801" s="46"/>
      <c r="BZ801" s="46"/>
      <c r="CA801" s="46"/>
      <c r="CB801" s="46"/>
      <c r="CC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c r="AM802" s="46"/>
      <c r="AN802" s="46"/>
      <c r="AO802" s="46"/>
      <c r="AP802" s="46"/>
      <c r="AQ802" s="46"/>
      <c r="AR802" s="46"/>
      <c r="AS802" s="46"/>
      <c r="AT802" s="46"/>
      <c r="AU802" s="46"/>
      <c r="AV802" s="46"/>
      <c r="AW802" s="46"/>
      <c r="AX802" s="46"/>
      <c r="AY802" s="46"/>
      <c r="AZ802" s="46"/>
      <c r="BA802" s="46"/>
      <c r="BB802" s="46"/>
      <c r="BC802" s="46"/>
      <c r="BD802" s="46"/>
      <c r="BE802" s="46"/>
      <c r="BF802" s="46"/>
      <c r="BG802" s="46"/>
      <c r="BH802" s="46"/>
      <c r="BI802" s="46"/>
      <c r="BJ802" s="46"/>
      <c r="BK802" s="46"/>
      <c r="BL802" s="46"/>
      <c r="BM802" s="46"/>
      <c r="BN802" s="46"/>
      <c r="BO802" s="46"/>
      <c r="BP802" s="46"/>
      <c r="BQ802" s="46"/>
      <c r="BR802" s="46"/>
      <c r="BS802" s="46"/>
      <c r="BT802" s="46"/>
      <c r="BU802" s="46"/>
      <c r="BV802" s="46"/>
      <c r="BW802" s="46"/>
      <c r="BX802" s="46"/>
      <c r="BY802" s="46"/>
      <c r="BZ802" s="46"/>
      <c r="CA802" s="46"/>
      <c r="CB802" s="46"/>
      <c r="CC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c r="AM803" s="46"/>
      <c r="AN803" s="46"/>
      <c r="AO803" s="46"/>
      <c r="AP803" s="46"/>
      <c r="AQ803" s="46"/>
      <c r="AR803" s="46"/>
      <c r="AS803" s="46"/>
      <c r="AT803" s="46"/>
      <c r="AU803" s="46"/>
      <c r="AV803" s="46"/>
      <c r="AW803" s="46"/>
      <c r="AX803" s="46"/>
      <c r="AY803" s="46"/>
      <c r="AZ803" s="46"/>
      <c r="BA803" s="46"/>
      <c r="BB803" s="46"/>
      <c r="BC803" s="46"/>
      <c r="BD803" s="46"/>
      <c r="BE803" s="46"/>
      <c r="BF803" s="46"/>
      <c r="BG803" s="46"/>
      <c r="BH803" s="46"/>
      <c r="BI803" s="46"/>
      <c r="BJ803" s="46"/>
      <c r="BK803" s="46"/>
      <c r="BL803" s="46"/>
      <c r="BM803" s="46"/>
      <c r="BN803" s="46"/>
      <c r="BO803" s="46"/>
      <c r="BP803" s="46"/>
      <c r="BQ803" s="46"/>
      <c r="BR803" s="46"/>
      <c r="BS803" s="46"/>
      <c r="BT803" s="46"/>
      <c r="BU803" s="46"/>
      <c r="BV803" s="46"/>
      <c r="BW803" s="46"/>
      <c r="BX803" s="46"/>
      <c r="BY803" s="46"/>
      <c r="BZ803" s="46"/>
      <c r="CA803" s="46"/>
      <c r="CB803" s="46"/>
      <c r="CC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c r="AM804" s="46"/>
      <c r="AN804" s="46"/>
      <c r="AO804" s="46"/>
      <c r="AP804" s="46"/>
      <c r="AQ804" s="46"/>
      <c r="AR804" s="46"/>
      <c r="AS804" s="46"/>
      <c r="AT804" s="46"/>
      <c r="AU804" s="46"/>
      <c r="AV804" s="46"/>
      <c r="AW804" s="46"/>
      <c r="AX804" s="46"/>
      <c r="AY804" s="46"/>
      <c r="AZ804" s="46"/>
      <c r="BA804" s="46"/>
      <c r="BB804" s="46"/>
      <c r="BC804" s="46"/>
      <c r="BD804" s="46"/>
      <c r="BE804" s="46"/>
      <c r="BF804" s="46"/>
      <c r="BG804" s="46"/>
      <c r="BH804" s="46"/>
      <c r="BI804" s="46"/>
      <c r="BJ804" s="46"/>
      <c r="BK804" s="46"/>
      <c r="BL804" s="46"/>
      <c r="BM804" s="46"/>
      <c r="BN804" s="46"/>
      <c r="BO804" s="46"/>
      <c r="BP804" s="46"/>
      <c r="BQ804" s="46"/>
      <c r="BR804" s="46"/>
      <c r="BS804" s="46"/>
      <c r="BT804" s="46"/>
      <c r="BU804" s="46"/>
      <c r="BV804" s="46"/>
      <c r="BW804" s="46"/>
      <c r="BX804" s="46"/>
      <c r="BY804" s="46"/>
      <c r="BZ804" s="46"/>
      <c r="CA804" s="46"/>
      <c r="CB804" s="46"/>
      <c r="CC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c r="AM805" s="46"/>
      <c r="AN805" s="46"/>
      <c r="AO805" s="46"/>
      <c r="AP805" s="46"/>
      <c r="AQ805" s="46"/>
      <c r="AR805" s="46"/>
      <c r="AS805" s="46"/>
      <c r="AT805" s="46"/>
      <c r="AU805" s="46"/>
      <c r="AV805" s="46"/>
      <c r="AW805" s="46"/>
      <c r="AX805" s="46"/>
      <c r="AY805" s="46"/>
      <c r="AZ805" s="46"/>
      <c r="BA805" s="46"/>
      <c r="BB805" s="46"/>
      <c r="BC805" s="46"/>
      <c r="BD805" s="46"/>
      <c r="BE805" s="46"/>
      <c r="BF805" s="46"/>
      <c r="BG805" s="46"/>
      <c r="BH805" s="46"/>
      <c r="BI805" s="46"/>
      <c r="BJ805" s="46"/>
      <c r="BK805" s="46"/>
      <c r="BL805" s="46"/>
      <c r="BM805" s="46"/>
      <c r="BN805" s="46"/>
      <c r="BO805" s="46"/>
      <c r="BP805" s="46"/>
      <c r="BQ805" s="46"/>
      <c r="BR805" s="46"/>
      <c r="BS805" s="46"/>
      <c r="BT805" s="46"/>
      <c r="BU805" s="46"/>
      <c r="BV805" s="46"/>
      <c r="BW805" s="46"/>
      <c r="BX805" s="46"/>
      <c r="BY805" s="46"/>
      <c r="BZ805" s="46"/>
      <c r="CA805" s="46"/>
      <c r="CB805" s="46"/>
      <c r="CC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c r="AM806" s="46"/>
      <c r="AN806" s="46"/>
      <c r="AO806" s="46"/>
      <c r="AP806" s="46"/>
      <c r="AQ806" s="46"/>
      <c r="AR806" s="46"/>
      <c r="AS806" s="46"/>
      <c r="AT806" s="46"/>
      <c r="AU806" s="46"/>
      <c r="AV806" s="46"/>
      <c r="AW806" s="46"/>
      <c r="AX806" s="46"/>
      <c r="AY806" s="46"/>
      <c r="AZ806" s="46"/>
      <c r="BA806" s="46"/>
      <c r="BB806" s="46"/>
      <c r="BC806" s="46"/>
      <c r="BD806" s="46"/>
      <c r="BE806" s="46"/>
      <c r="BF806" s="46"/>
      <c r="BG806" s="46"/>
      <c r="BH806" s="46"/>
      <c r="BI806" s="46"/>
      <c r="BJ806" s="46"/>
      <c r="BK806" s="46"/>
      <c r="BL806" s="46"/>
      <c r="BM806" s="46"/>
      <c r="BN806" s="46"/>
      <c r="BO806" s="46"/>
      <c r="BP806" s="46"/>
      <c r="BQ806" s="46"/>
      <c r="BR806" s="46"/>
      <c r="BS806" s="46"/>
      <c r="BT806" s="46"/>
      <c r="BU806" s="46"/>
      <c r="BV806" s="46"/>
      <c r="BW806" s="46"/>
      <c r="BX806" s="46"/>
      <c r="BY806" s="46"/>
      <c r="BZ806" s="46"/>
      <c r="CA806" s="46"/>
      <c r="CB806" s="46"/>
      <c r="CC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c r="AM807" s="46"/>
      <c r="AN807" s="46"/>
      <c r="AO807" s="46"/>
      <c r="AP807" s="46"/>
      <c r="AQ807" s="46"/>
      <c r="AR807" s="46"/>
      <c r="AS807" s="46"/>
      <c r="AT807" s="46"/>
      <c r="AU807" s="46"/>
      <c r="AV807" s="46"/>
      <c r="AW807" s="46"/>
      <c r="AX807" s="46"/>
      <c r="AY807" s="46"/>
      <c r="AZ807" s="46"/>
      <c r="BA807" s="46"/>
      <c r="BB807" s="46"/>
      <c r="BC807" s="46"/>
      <c r="BD807" s="46"/>
      <c r="BE807" s="46"/>
      <c r="BF807" s="46"/>
      <c r="BG807" s="46"/>
      <c r="BH807" s="46"/>
      <c r="BI807" s="46"/>
      <c r="BJ807" s="46"/>
      <c r="BK807" s="46"/>
      <c r="BL807" s="46"/>
      <c r="BM807" s="46"/>
      <c r="BN807" s="46"/>
      <c r="BO807" s="46"/>
      <c r="BP807" s="46"/>
      <c r="BQ807" s="46"/>
      <c r="BR807" s="46"/>
      <c r="BS807" s="46"/>
      <c r="BT807" s="46"/>
      <c r="BU807" s="46"/>
      <c r="BV807" s="46"/>
      <c r="BW807" s="46"/>
      <c r="BX807" s="46"/>
      <c r="BY807" s="46"/>
      <c r="BZ807" s="46"/>
      <c r="CA807" s="46"/>
      <c r="CB807" s="46"/>
      <c r="CC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c r="AM808" s="46"/>
      <c r="AN808" s="46"/>
      <c r="AO808" s="46"/>
      <c r="AP808" s="46"/>
      <c r="AQ808" s="46"/>
      <c r="AR808" s="46"/>
      <c r="AS808" s="46"/>
      <c r="AT808" s="46"/>
      <c r="AU808" s="46"/>
      <c r="AV808" s="46"/>
      <c r="AW808" s="46"/>
      <c r="AX808" s="46"/>
      <c r="AY808" s="46"/>
      <c r="AZ808" s="46"/>
      <c r="BA808" s="46"/>
      <c r="BB808" s="46"/>
      <c r="BC808" s="46"/>
      <c r="BD808" s="46"/>
      <c r="BE808" s="46"/>
      <c r="BF808" s="46"/>
      <c r="BG808" s="46"/>
      <c r="BH808" s="46"/>
      <c r="BI808" s="46"/>
      <c r="BJ808" s="46"/>
      <c r="BK808" s="46"/>
      <c r="BL808" s="46"/>
      <c r="BM808" s="46"/>
      <c r="BN808" s="46"/>
      <c r="BO808" s="46"/>
      <c r="BP808" s="46"/>
      <c r="BQ808" s="46"/>
      <c r="BR808" s="46"/>
      <c r="BS808" s="46"/>
      <c r="BT808" s="46"/>
      <c r="BU808" s="46"/>
      <c r="BV808" s="46"/>
      <c r="BW808" s="46"/>
      <c r="BX808" s="46"/>
      <c r="BY808" s="46"/>
      <c r="BZ808" s="46"/>
      <c r="CA808" s="46"/>
      <c r="CB808" s="46"/>
      <c r="CC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c r="AM809" s="46"/>
      <c r="AN809" s="46"/>
      <c r="AO809" s="46"/>
      <c r="AP809" s="46"/>
      <c r="AQ809" s="46"/>
      <c r="AR809" s="46"/>
      <c r="AS809" s="46"/>
      <c r="AT809" s="46"/>
      <c r="AU809" s="46"/>
      <c r="AV809" s="46"/>
      <c r="AW809" s="46"/>
      <c r="AX809" s="46"/>
      <c r="AY809" s="46"/>
      <c r="AZ809" s="46"/>
      <c r="BA809" s="46"/>
      <c r="BB809" s="46"/>
      <c r="BC809" s="46"/>
      <c r="BD809" s="46"/>
      <c r="BE809" s="46"/>
      <c r="BF809" s="46"/>
      <c r="BG809" s="46"/>
      <c r="BH809" s="46"/>
      <c r="BI809" s="46"/>
      <c r="BJ809" s="46"/>
      <c r="BK809" s="46"/>
      <c r="BL809" s="46"/>
      <c r="BM809" s="46"/>
      <c r="BN809" s="46"/>
      <c r="BO809" s="46"/>
      <c r="BP809" s="46"/>
      <c r="BQ809" s="46"/>
      <c r="BR809" s="46"/>
      <c r="BS809" s="46"/>
      <c r="BT809" s="46"/>
      <c r="BU809" s="46"/>
      <c r="BV809" s="46"/>
      <c r="BW809" s="46"/>
      <c r="BX809" s="46"/>
      <c r="BY809" s="46"/>
      <c r="BZ809" s="46"/>
      <c r="CA809" s="46"/>
      <c r="CB809" s="46"/>
      <c r="CC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c r="AM810" s="46"/>
      <c r="AN810" s="46"/>
      <c r="AO810" s="46"/>
      <c r="AP810" s="46"/>
      <c r="AQ810" s="46"/>
      <c r="AR810" s="46"/>
      <c r="AS810" s="46"/>
      <c r="AT810" s="46"/>
      <c r="AU810" s="46"/>
      <c r="AV810" s="46"/>
      <c r="AW810" s="46"/>
      <c r="AX810" s="46"/>
      <c r="AY810" s="46"/>
      <c r="AZ810" s="46"/>
      <c r="BA810" s="46"/>
      <c r="BB810" s="46"/>
      <c r="BC810" s="46"/>
      <c r="BD810" s="46"/>
      <c r="BE810" s="46"/>
      <c r="BF810" s="46"/>
      <c r="BG810" s="46"/>
      <c r="BH810" s="46"/>
      <c r="BI810" s="46"/>
      <c r="BJ810" s="46"/>
      <c r="BK810" s="46"/>
      <c r="BL810" s="46"/>
      <c r="BM810" s="46"/>
      <c r="BN810" s="46"/>
      <c r="BO810" s="46"/>
      <c r="BP810" s="46"/>
      <c r="BQ810" s="46"/>
      <c r="BR810" s="46"/>
      <c r="BS810" s="46"/>
      <c r="BT810" s="46"/>
      <c r="BU810" s="46"/>
      <c r="BV810" s="46"/>
      <c r="BW810" s="46"/>
      <c r="BX810" s="46"/>
      <c r="BY810" s="46"/>
      <c r="BZ810" s="46"/>
      <c r="CA810" s="46"/>
      <c r="CB810" s="46"/>
      <c r="CC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c r="AM811" s="46"/>
      <c r="AN811" s="46"/>
      <c r="AO811" s="46"/>
      <c r="AP811" s="46"/>
      <c r="AQ811" s="46"/>
      <c r="AR811" s="46"/>
      <c r="AS811" s="46"/>
      <c r="AT811" s="46"/>
      <c r="AU811" s="46"/>
      <c r="AV811" s="46"/>
      <c r="AW811" s="46"/>
      <c r="AX811" s="46"/>
      <c r="AY811" s="46"/>
      <c r="AZ811" s="46"/>
      <c r="BA811" s="46"/>
      <c r="BB811" s="46"/>
      <c r="BC811" s="46"/>
      <c r="BD811" s="46"/>
      <c r="BE811" s="46"/>
      <c r="BF811" s="46"/>
      <c r="BG811" s="46"/>
      <c r="BH811" s="46"/>
      <c r="BI811" s="46"/>
      <c r="BJ811" s="46"/>
      <c r="BK811" s="46"/>
      <c r="BL811" s="46"/>
      <c r="BM811" s="46"/>
      <c r="BN811" s="46"/>
      <c r="BO811" s="46"/>
      <c r="BP811" s="46"/>
      <c r="BQ811" s="46"/>
      <c r="BR811" s="46"/>
      <c r="BS811" s="46"/>
      <c r="BT811" s="46"/>
      <c r="BU811" s="46"/>
      <c r="BV811" s="46"/>
      <c r="BW811" s="46"/>
      <c r="BX811" s="46"/>
      <c r="BY811" s="46"/>
      <c r="BZ811" s="46"/>
      <c r="CA811" s="46"/>
      <c r="CB811" s="46"/>
      <c r="CC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c r="AM812" s="46"/>
      <c r="AN812" s="46"/>
      <c r="AO812" s="46"/>
      <c r="AP812" s="46"/>
      <c r="AQ812" s="46"/>
      <c r="AR812" s="46"/>
      <c r="AS812" s="46"/>
      <c r="AT812" s="46"/>
      <c r="AU812" s="46"/>
      <c r="AV812" s="46"/>
      <c r="AW812" s="46"/>
      <c r="AX812" s="46"/>
      <c r="AY812" s="46"/>
      <c r="AZ812" s="46"/>
      <c r="BA812" s="46"/>
      <c r="BB812" s="46"/>
      <c r="BC812" s="46"/>
      <c r="BD812" s="46"/>
      <c r="BE812" s="46"/>
      <c r="BF812" s="46"/>
      <c r="BG812" s="46"/>
      <c r="BH812" s="46"/>
      <c r="BI812" s="46"/>
      <c r="BJ812" s="46"/>
      <c r="BK812" s="46"/>
      <c r="BL812" s="46"/>
      <c r="BM812" s="46"/>
      <c r="BN812" s="46"/>
      <c r="BO812" s="46"/>
      <c r="BP812" s="46"/>
      <c r="BQ812" s="46"/>
      <c r="BR812" s="46"/>
      <c r="BS812" s="46"/>
      <c r="BT812" s="46"/>
      <c r="BU812" s="46"/>
      <c r="BV812" s="46"/>
      <c r="BW812" s="46"/>
      <c r="BX812" s="46"/>
      <c r="BY812" s="46"/>
      <c r="BZ812" s="46"/>
      <c r="CA812" s="46"/>
      <c r="CB812" s="46"/>
      <c r="CC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c r="AN813" s="46"/>
      <c r="AO813" s="46"/>
      <c r="AP813" s="46"/>
      <c r="AQ813" s="46"/>
      <c r="AR813" s="46"/>
      <c r="AS813" s="46"/>
      <c r="AT813" s="46"/>
      <c r="AU813" s="46"/>
      <c r="AV813" s="46"/>
      <c r="AW813" s="46"/>
      <c r="AX813" s="46"/>
      <c r="AY813" s="46"/>
      <c r="AZ813" s="46"/>
      <c r="BA813" s="46"/>
      <c r="BB813" s="46"/>
      <c r="BC813" s="46"/>
      <c r="BD813" s="46"/>
      <c r="BE813" s="46"/>
      <c r="BF813" s="46"/>
      <c r="BG813" s="46"/>
      <c r="BH813" s="46"/>
      <c r="BI813" s="46"/>
      <c r="BJ813" s="46"/>
      <c r="BK813" s="46"/>
      <c r="BL813" s="46"/>
      <c r="BM813" s="46"/>
      <c r="BN813" s="46"/>
      <c r="BO813" s="46"/>
      <c r="BP813" s="46"/>
      <c r="BQ813" s="46"/>
      <c r="BR813" s="46"/>
      <c r="BS813" s="46"/>
      <c r="BT813" s="46"/>
      <c r="BU813" s="46"/>
      <c r="BV813" s="46"/>
      <c r="BW813" s="46"/>
      <c r="BX813" s="46"/>
      <c r="BY813" s="46"/>
      <c r="BZ813" s="46"/>
      <c r="CA813" s="46"/>
      <c r="CB813" s="46"/>
      <c r="CC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c r="AN814" s="46"/>
      <c r="AO814" s="46"/>
      <c r="AP814" s="46"/>
      <c r="AQ814" s="46"/>
      <c r="AR814" s="46"/>
      <c r="AS814" s="46"/>
      <c r="AT814" s="46"/>
      <c r="AU814" s="46"/>
      <c r="AV814" s="46"/>
      <c r="AW814" s="46"/>
      <c r="AX814" s="46"/>
      <c r="AY814" s="46"/>
      <c r="AZ814" s="46"/>
      <c r="BA814" s="46"/>
      <c r="BB814" s="46"/>
      <c r="BC814" s="46"/>
      <c r="BD814" s="46"/>
      <c r="BE814" s="46"/>
      <c r="BF814" s="46"/>
      <c r="BG814" s="46"/>
      <c r="BH814" s="46"/>
      <c r="BI814" s="46"/>
      <c r="BJ814" s="46"/>
      <c r="BK814" s="46"/>
      <c r="BL814" s="46"/>
      <c r="BM814" s="46"/>
      <c r="BN814" s="46"/>
      <c r="BO814" s="46"/>
      <c r="BP814" s="46"/>
      <c r="BQ814" s="46"/>
      <c r="BR814" s="46"/>
      <c r="BS814" s="46"/>
      <c r="BT814" s="46"/>
      <c r="BU814" s="46"/>
      <c r="BV814" s="46"/>
      <c r="BW814" s="46"/>
      <c r="BX814" s="46"/>
      <c r="BY814" s="46"/>
      <c r="BZ814" s="46"/>
      <c r="CA814" s="46"/>
      <c r="CB814" s="46"/>
      <c r="CC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c r="AM815" s="46"/>
      <c r="AN815" s="46"/>
      <c r="AO815" s="46"/>
      <c r="AP815" s="46"/>
      <c r="AQ815" s="46"/>
      <c r="AR815" s="46"/>
      <c r="AS815" s="46"/>
      <c r="AT815" s="46"/>
      <c r="AU815" s="46"/>
      <c r="AV815" s="46"/>
      <c r="AW815" s="46"/>
      <c r="AX815" s="46"/>
      <c r="AY815" s="46"/>
      <c r="AZ815" s="46"/>
      <c r="BA815" s="46"/>
      <c r="BB815" s="46"/>
      <c r="BC815" s="46"/>
      <c r="BD815" s="46"/>
      <c r="BE815" s="46"/>
      <c r="BF815" s="46"/>
      <c r="BG815" s="46"/>
      <c r="BH815" s="46"/>
      <c r="BI815" s="46"/>
      <c r="BJ815" s="46"/>
      <c r="BK815" s="46"/>
      <c r="BL815" s="46"/>
      <c r="BM815" s="46"/>
      <c r="BN815" s="46"/>
      <c r="BO815" s="46"/>
      <c r="BP815" s="46"/>
      <c r="BQ815" s="46"/>
      <c r="BR815" s="46"/>
      <c r="BS815" s="46"/>
      <c r="BT815" s="46"/>
      <c r="BU815" s="46"/>
      <c r="BV815" s="46"/>
      <c r="BW815" s="46"/>
      <c r="BX815" s="46"/>
      <c r="BY815" s="46"/>
      <c r="BZ815" s="46"/>
      <c r="CA815" s="46"/>
      <c r="CB815" s="46"/>
      <c r="CC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c r="AM816" s="46"/>
      <c r="AN816" s="46"/>
      <c r="AO816" s="46"/>
      <c r="AP816" s="46"/>
      <c r="AQ816" s="46"/>
      <c r="AR816" s="46"/>
      <c r="AS816" s="46"/>
      <c r="AT816" s="46"/>
      <c r="AU816" s="46"/>
      <c r="AV816" s="46"/>
      <c r="AW816" s="46"/>
      <c r="AX816" s="46"/>
      <c r="AY816" s="46"/>
      <c r="AZ816" s="46"/>
      <c r="BA816" s="46"/>
      <c r="BB816" s="46"/>
      <c r="BC816" s="46"/>
      <c r="BD816" s="46"/>
      <c r="BE816" s="46"/>
      <c r="BF816" s="46"/>
      <c r="BG816" s="46"/>
      <c r="BH816" s="46"/>
      <c r="BI816" s="46"/>
      <c r="BJ816" s="46"/>
      <c r="BK816" s="46"/>
      <c r="BL816" s="46"/>
      <c r="BM816" s="46"/>
      <c r="BN816" s="46"/>
      <c r="BO816" s="46"/>
      <c r="BP816" s="46"/>
      <c r="BQ816" s="46"/>
      <c r="BR816" s="46"/>
      <c r="BS816" s="46"/>
      <c r="BT816" s="46"/>
      <c r="BU816" s="46"/>
      <c r="BV816" s="46"/>
      <c r="BW816" s="46"/>
      <c r="BX816" s="46"/>
      <c r="BY816" s="46"/>
      <c r="BZ816" s="46"/>
      <c r="CA816" s="46"/>
      <c r="CB816" s="46"/>
      <c r="CC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c r="AM817" s="46"/>
      <c r="AN817" s="46"/>
      <c r="AO817" s="46"/>
      <c r="AP817" s="46"/>
      <c r="AQ817" s="46"/>
      <c r="AR817" s="46"/>
      <c r="AS817" s="46"/>
      <c r="AT817" s="46"/>
      <c r="AU817" s="46"/>
      <c r="AV817" s="46"/>
      <c r="AW817" s="46"/>
      <c r="AX817" s="46"/>
      <c r="AY817" s="46"/>
      <c r="AZ817" s="46"/>
      <c r="BA817" s="46"/>
      <c r="BB817" s="46"/>
      <c r="BC817" s="46"/>
      <c r="BD817" s="46"/>
      <c r="BE817" s="46"/>
      <c r="BF817" s="46"/>
      <c r="BG817" s="46"/>
      <c r="BH817" s="46"/>
      <c r="BI817" s="46"/>
      <c r="BJ817" s="46"/>
      <c r="BK817" s="46"/>
      <c r="BL817" s="46"/>
      <c r="BM817" s="46"/>
      <c r="BN817" s="46"/>
      <c r="BO817" s="46"/>
      <c r="BP817" s="46"/>
      <c r="BQ817" s="46"/>
      <c r="BR817" s="46"/>
      <c r="BS817" s="46"/>
      <c r="BT817" s="46"/>
      <c r="BU817" s="46"/>
      <c r="BV817" s="46"/>
      <c r="BW817" s="46"/>
      <c r="BX817" s="46"/>
      <c r="BY817" s="46"/>
      <c r="BZ817" s="46"/>
      <c r="CA817" s="46"/>
      <c r="CB817" s="46"/>
      <c r="CC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c r="AN818" s="46"/>
      <c r="AO818" s="46"/>
      <c r="AP818" s="46"/>
      <c r="AQ818" s="46"/>
      <c r="AR818" s="46"/>
      <c r="AS818" s="46"/>
      <c r="AT818" s="46"/>
      <c r="AU818" s="46"/>
      <c r="AV818" s="46"/>
      <c r="AW818" s="46"/>
      <c r="AX818" s="46"/>
      <c r="AY818" s="46"/>
      <c r="AZ818" s="46"/>
      <c r="BA818" s="46"/>
      <c r="BB818" s="46"/>
      <c r="BC818" s="46"/>
      <c r="BD818" s="46"/>
      <c r="BE818" s="46"/>
      <c r="BF818" s="46"/>
      <c r="BG818" s="46"/>
      <c r="BH818" s="46"/>
      <c r="BI818" s="46"/>
      <c r="BJ818" s="46"/>
      <c r="BK818" s="46"/>
      <c r="BL818" s="46"/>
      <c r="BM818" s="46"/>
      <c r="BN818" s="46"/>
      <c r="BO818" s="46"/>
      <c r="BP818" s="46"/>
      <c r="BQ818" s="46"/>
      <c r="BR818" s="46"/>
      <c r="BS818" s="46"/>
      <c r="BT818" s="46"/>
      <c r="BU818" s="46"/>
      <c r="BV818" s="46"/>
      <c r="BW818" s="46"/>
      <c r="BX818" s="46"/>
      <c r="BY818" s="46"/>
      <c r="BZ818" s="46"/>
      <c r="CA818" s="46"/>
      <c r="CB818" s="46"/>
      <c r="CC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c r="AN819" s="46"/>
      <c r="AO819" s="46"/>
      <c r="AP819" s="46"/>
      <c r="AQ819" s="46"/>
      <c r="AR819" s="46"/>
      <c r="AS819" s="46"/>
      <c r="AT819" s="46"/>
      <c r="AU819" s="46"/>
      <c r="AV819" s="46"/>
      <c r="AW819" s="46"/>
      <c r="AX819" s="46"/>
      <c r="AY819" s="46"/>
      <c r="AZ819" s="46"/>
      <c r="BA819" s="46"/>
      <c r="BB819" s="46"/>
      <c r="BC819" s="46"/>
      <c r="BD819" s="46"/>
      <c r="BE819" s="46"/>
      <c r="BF819" s="46"/>
      <c r="BG819" s="46"/>
      <c r="BH819" s="46"/>
      <c r="BI819" s="46"/>
      <c r="BJ819" s="46"/>
      <c r="BK819" s="46"/>
      <c r="BL819" s="46"/>
      <c r="BM819" s="46"/>
      <c r="BN819" s="46"/>
      <c r="BO819" s="46"/>
      <c r="BP819" s="46"/>
      <c r="BQ819" s="46"/>
      <c r="BR819" s="46"/>
      <c r="BS819" s="46"/>
      <c r="BT819" s="46"/>
      <c r="BU819" s="46"/>
      <c r="BV819" s="46"/>
      <c r="BW819" s="46"/>
      <c r="BX819" s="46"/>
      <c r="BY819" s="46"/>
      <c r="BZ819" s="46"/>
      <c r="CA819" s="46"/>
      <c r="CB819" s="46"/>
      <c r="CC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c r="BA820" s="46"/>
      <c r="BB820" s="46"/>
      <c r="BC820" s="46"/>
      <c r="BD820" s="46"/>
      <c r="BE820" s="46"/>
      <c r="BF820" s="46"/>
      <c r="BG820" s="46"/>
      <c r="BH820" s="46"/>
      <c r="BI820" s="46"/>
      <c r="BJ820" s="46"/>
      <c r="BK820" s="46"/>
      <c r="BL820" s="46"/>
      <c r="BM820" s="46"/>
      <c r="BN820" s="46"/>
      <c r="BO820" s="46"/>
      <c r="BP820" s="46"/>
      <c r="BQ820" s="46"/>
      <c r="BR820" s="46"/>
      <c r="BS820" s="46"/>
      <c r="BT820" s="46"/>
      <c r="BU820" s="46"/>
      <c r="BV820" s="46"/>
      <c r="BW820" s="46"/>
      <c r="BX820" s="46"/>
      <c r="BY820" s="46"/>
      <c r="BZ820" s="46"/>
      <c r="CA820" s="46"/>
      <c r="CB820" s="46"/>
      <c r="CC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c r="BA821" s="46"/>
      <c r="BB821" s="46"/>
      <c r="BC821" s="46"/>
      <c r="BD821" s="46"/>
      <c r="BE821" s="46"/>
      <c r="BF821" s="46"/>
      <c r="BG821" s="46"/>
      <c r="BH821" s="46"/>
      <c r="BI821" s="46"/>
      <c r="BJ821" s="46"/>
      <c r="BK821" s="46"/>
      <c r="BL821" s="46"/>
      <c r="BM821" s="46"/>
      <c r="BN821" s="46"/>
      <c r="BO821" s="46"/>
      <c r="BP821" s="46"/>
      <c r="BQ821" s="46"/>
      <c r="BR821" s="46"/>
      <c r="BS821" s="46"/>
      <c r="BT821" s="46"/>
      <c r="BU821" s="46"/>
      <c r="BV821" s="46"/>
      <c r="BW821" s="46"/>
      <c r="BX821" s="46"/>
      <c r="BY821" s="46"/>
      <c r="BZ821" s="46"/>
      <c r="CA821" s="46"/>
      <c r="CB821" s="46"/>
      <c r="CC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c r="BA822" s="46"/>
      <c r="BB822" s="46"/>
      <c r="BC822" s="46"/>
      <c r="BD822" s="46"/>
      <c r="BE822" s="46"/>
      <c r="BF822" s="46"/>
      <c r="BG822" s="46"/>
      <c r="BH822" s="46"/>
      <c r="BI822" s="46"/>
      <c r="BJ822" s="46"/>
      <c r="BK822" s="46"/>
      <c r="BL822" s="46"/>
      <c r="BM822" s="46"/>
      <c r="BN822" s="46"/>
      <c r="BO822" s="46"/>
      <c r="BP822" s="46"/>
      <c r="BQ822" s="46"/>
      <c r="BR822" s="46"/>
      <c r="BS822" s="46"/>
      <c r="BT822" s="46"/>
      <c r="BU822" s="46"/>
      <c r="BV822" s="46"/>
      <c r="BW822" s="46"/>
      <c r="BX822" s="46"/>
      <c r="BY822" s="46"/>
      <c r="BZ822" s="46"/>
      <c r="CA822" s="46"/>
      <c r="CB822" s="46"/>
      <c r="CC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c r="AM823" s="46"/>
      <c r="AN823" s="46"/>
      <c r="AO823" s="46"/>
      <c r="AP823" s="46"/>
      <c r="AQ823" s="46"/>
      <c r="AR823" s="46"/>
      <c r="AS823" s="46"/>
      <c r="AT823" s="46"/>
      <c r="AU823" s="46"/>
      <c r="AV823" s="46"/>
      <c r="AW823" s="46"/>
      <c r="AX823" s="46"/>
      <c r="AY823" s="46"/>
      <c r="AZ823" s="46"/>
      <c r="BA823" s="46"/>
      <c r="BB823" s="46"/>
      <c r="BC823" s="46"/>
      <c r="BD823" s="46"/>
      <c r="BE823" s="46"/>
      <c r="BF823" s="46"/>
      <c r="BG823" s="46"/>
      <c r="BH823" s="46"/>
      <c r="BI823" s="46"/>
      <c r="BJ823" s="46"/>
      <c r="BK823" s="46"/>
      <c r="BL823" s="46"/>
      <c r="BM823" s="46"/>
      <c r="BN823" s="46"/>
      <c r="BO823" s="46"/>
      <c r="BP823" s="46"/>
      <c r="BQ823" s="46"/>
      <c r="BR823" s="46"/>
      <c r="BS823" s="46"/>
      <c r="BT823" s="46"/>
      <c r="BU823" s="46"/>
      <c r="BV823" s="46"/>
      <c r="BW823" s="46"/>
      <c r="BX823" s="46"/>
      <c r="BY823" s="46"/>
      <c r="BZ823" s="46"/>
      <c r="CA823" s="46"/>
      <c r="CB823" s="46"/>
      <c r="CC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c r="AM824" s="46"/>
      <c r="AN824" s="46"/>
      <c r="AO824" s="46"/>
      <c r="AP824" s="46"/>
      <c r="AQ824" s="46"/>
      <c r="AR824" s="46"/>
      <c r="AS824" s="46"/>
      <c r="AT824" s="46"/>
      <c r="AU824" s="46"/>
      <c r="AV824" s="46"/>
      <c r="AW824" s="46"/>
      <c r="AX824" s="46"/>
      <c r="AY824" s="46"/>
      <c r="AZ824" s="46"/>
      <c r="BA824" s="46"/>
      <c r="BB824" s="46"/>
      <c r="BC824" s="46"/>
      <c r="BD824" s="46"/>
      <c r="BE824" s="46"/>
      <c r="BF824" s="46"/>
      <c r="BG824" s="46"/>
      <c r="BH824" s="46"/>
      <c r="BI824" s="46"/>
      <c r="BJ824" s="46"/>
      <c r="BK824" s="46"/>
      <c r="BL824" s="46"/>
      <c r="BM824" s="46"/>
      <c r="BN824" s="46"/>
      <c r="BO824" s="46"/>
      <c r="BP824" s="46"/>
      <c r="BQ824" s="46"/>
      <c r="BR824" s="46"/>
      <c r="BS824" s="46"/>
      <c r="BT824" s="46"/>
      <c r="BU824" s="46"/>
      <c r="BV824" s="46"/>
      <c r="BW824" s="46"/>
      <c r="BX824" s="46"/>
      <c r="BY824" s="46"/>
      <c r="BZ824" s="46"/>
      <c r="CA824" s="46"/>
      <c r="CB824" s="46"/>
      <c r="CC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c r="AN825" s="46"/>
      <c r="AO825" s="46"/>
      <c r="AP825" s="46"/>
      <c r="AQ825" s="46"/>
      <c r="AR825" s="46"/>
      <c r="AS825" s="46"/>
      <c r="AT825" s="46"/>
      <c r="AU825" s="46"/>
      <c r="AV825" s="46"/>
      <c r="AW825" s="46"/>
      <c r="AX825" s="46"/>
      <c r="AY825" s="46"/>
      <c r="AZ825" s="46"/>
      <c r="BA825" s="46"/>
      <c r="BB825" s="46"/>
      <c r="BC825" s="46"/>
      <c r="BD825" s="46"/>
      <c r="BE825" s="46"/>
      <c r="BF825" s="46"/>
      <c r="BG825" s="46"/>
      <c r="BH825" s="46"/>
      <c r="BI825" s="46"/>
      <c r="BJ825" s="46"/>
      <c r="BK825" s="46"/>
      <c r="BL825" s="46"/>
      <c r="BM825" s="46"/>
      <c r="BN825" s="46"/>
      <c r="BO825" s="46"/>
      <c r="BP825" s="46"/>
      <c r="BQ825" s="46"/>
      <c r="BR825" s="46"/>
      <c r="BS825" s="46"/>
      <c r="BT825" s="46"/>
      <c r="BU825" s="46"/>
      <c r="BV825" s="46"/>
      <c r="BW825" s="46"/>
      <c r="BX825" s="46"/>
      <c r="BY825" s="46"/>
      <c r="BZ825" s="46"/>
      <c r="CA825" s="46"/>
      <c r="CB825" s="46"/>
      <c r="CC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c r="BA826" s="46"/>
      <c r="BB826" s="46"/>
      <c r="BC826" s="46"/>
      <c r="BD826" s="46"/>
      <c r="BE826" s="46"/>
      <c r="BF826" s="46"/>
      <c r="BG826" s="46"/>
      <c r="BH826" s="46"/>
      <c r="BI826" s="46"/>
      <c r="BJ826" s="46"/>
      <c r="BK826" s="46"/>
      <c r="BL826" s="46"/>
      <c r="BM826" s="46"/>
      <c r="BN826" s="46"/>
      <c r="BO826" s="46"/>
      <c r="BP826" s="46"/>
      <c r="BQ826" s="46"/>
      <c r="BR826" s="46"/>
      <c r="BS826" s="46"/>
      <c r="BT826" s="46"/>
      <c r="BU826" s="46"/>
      <c r="BV826" s="46"/>
      <c r="BW826" s="46"/>
      <c r="BX826" s="46"/>
      <c r="BY826" s="46"/>
      <c r="BZ826" s="46"/>
      <c r="CA826" s="46"/>
      <c r="CB826" s="46"/>
      <c r="CC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c r="BA827" s="46"/>
      <c r="BB827" s="46"/>
      <c r="BC827" s="46"/>
      <c r="BD827" s="46"/>
      <c r="BE827" s="46"/>
      <c r="BF827" s="46"/>
      <c r="BG827" s="46"/>
      <c r="BH827" s="46"/>
      <c r="BI827" s="46"/>
      <c r="BJ827" s="46"/>
      <c r="BK827" s="46"/>
      <c r="BL827" s="46"/>
      <c r="BM827" s="46"/>
      <c r="BN827" s="46"/>
      <c r="BO827" s="46"/>
      <c r="BP827" s="46"/>
      <c r="BQ827" s="46"/>
      <c r="BR827" s="46"/>
      <c r="BS827" s="46"/>
      <c r="BT827" s="46"/>
      <c r="BU827" s="46"/>
      <c r="BV827" s="46"/>
      <c r="BW827" s="46"/>
      <c r="BX827" s="46"/>
      <c r="BY827" s="46"/>
      <c r="BZ827" s="46"/>
      <c r="CA827" s="46"/>
      <c r="CB827" s="46"/>
      <c r="CC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c r="AN828" s="46"/>
      <c r="AO828" s="46"/>
      <c r="AP828" s="46"/>
      <c r="AQ828" s="46"/>
      <c r="AR828" s="46"/>
      <c r="AS828" s="46"/>
      <c r="AT828" s="46"/>
      <c r="AU828" s="46"/>
      <c r="AV828" s="46"/>
      <c r="AW828" s="46"/>
      <c r="AX828" s="46"/>
      <c r="AY828" s="46"/>
      <c r="AZ828" s="46"/>
      <c r="BA828" s="46"/>
      <c r="BB828" s="46"/>
      <c r="BC828" s="46"/>
      <c r="BD828" s="46"/>
      <c r="BE828" s="46"/>
      <c r="BF828" s="46"/>
      <c r="BG828" s="46"/>
      <c r="BH828" s="46"/>
      <c r="BI828" s="46"/>
      <c r="BJ828" s="46"/>
      <c r="BK828" s="46"/>
      <c r="BL828" s="46"/>
      <c r="BM828" s="46"/>
      <c r="BN828" s="46"/>
      <c r="BO828" s="46"/>
      <c r="BP828" s="46"/>
      <c r="BQ828" s="46"/>
      <c r="BR828" s="46"/>
      <c r="BS828" s="46"/>
      <c r="BT828" s="46"/>
      <c r="BU828" s="46"/>
      <c r="BV828" s="46"/>
      <c r="BW828" s="46"/>
      <c r="BX828" s="46"/>
      <c r="BY828" s="46"/>
      <c r="BZ828" s="46"/>
      <c r="CA828" s="46"/>
      <c r="CB828" s="46"/>
      <c r="CC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c r="AN829" s="46"/>
      <c r="AO829" s="46"/>
      <c r="AP829" s="46"/>
      <c r="AQ829" s="46"/>
      <c r="AR829" s="46"/>
      <c r="AS829" s="46"/>
      <c r="AT829" s="46"/>
      <c r="AU829" s="46"/>
      <c r="AV829" s="46"/>
      <c r="AW829" s="46"/>
      <c r="AX829" s="46"/>
      <c r="AY829" s="46"/>
      <c r="AZ829" s="46"/>
      <c r="BA829" s="46"/>
      <c r="BB829" s="46"/>
      <c r="BC829" s="46"/>
      <c r="BD829" s="46"/>
      <c r="BE829" s="46"/>
      <c r="BF829" s="46"/>
      <c r="BG829" s="46"/>
      <c r="BH829" s="46"/>
      <c r="BI829" s="46"/>
      <c r="BJ829" s="46"/>
      <c r="BK829" s="46"/>
      <c r="BL829" s="46"/>
      <c r="BM829" s="46"/>
      <c r="BN829" s="46"/>
      <c r="BO829" s="46"/>
      <c r="BP829" s="46"/>
      <c r="BQ829" s="46"/>
      <c r="BR829" s="46"/>
      <c r="BS829" s="46"/>
      <c r="BT829" s="46"/>
      <c r="BU829" s="46"/>
      <c r="BV829" s="46"/>
      <c r="BW829" s="46"/>
      <c r="BX829" s="46"/>
      <c r="BY829" s="46"/>
      <c r="BZ829" s="46"/>
      <c r="CA829" s="46"/>
      <c r="CB829" s="46"/>
      <c r="CC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c r="AM830" s="46"/>
      <c r="AN830" s="46"/>
      <c r="AO830" s="46"/>
      <c r="AP830" s="46"/>
      <c r="AQ830" s="46"/>
      <c r="AR830" s="46"/>
      <c r="AS830" s="46"/>
      <c r="AT830" s="46"/>
      <c r="AU830" s="46"/>
      <c r="AV830" s="46"/>
      <c r="AW830" s="46"/>
      <c r="AX830" s="46"/>
      <c r="AY830" s="46"/>
      <c r="AZ830" s="46"/>
      <c r="BA830" s="46"/>
      <c r="BB830" s="46"/>
      <c r="BC830" s="46"/>
      <c r="BD830" s="46"/>
      <c r="BE830" s="46"/>
      <c r="BF830" s="46"/>
      <c r="BG830" s="46"/>
      <c r="BH830" s="46"/>
      <c r="BI830" s="46"/>
      <c r="BJ830" s="46"/>
      <c r="BK830" s="46"/>
      <c r="BL830" s="46"/>
      <c r="BM830" s="46"/>
      <c r="BN830" s="46"/>
      <c r="BO830" s="46"/>
      <c r="BP830" s="46"/>
      <c r="BQ830" s="46"/>
      <c r="BR830" s="46"/>
      <c r="BS830" s="46"/>
      <c r="BT830" s="46"/>
      <c r="BU830" s="46"/>
      <c r="BV830" s="46"/>
      <c r="BW830" s="46"/>
      <c r="BX830" s="46"/>
      <c r="BY830" s="46"/>
      <c r="BZ830" s="46"/>
      <c r="CA830" s="46"/>
      <c r="CB830" s="46"/>
      <c r="CC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c r="AM831" s="46"/>
      <c r="AN831" s="46"/>
      <c r="AO831" s="46"/>
      <c r="AP831" s="46"/>
      <c r="AQ831" s="46"/>
      <c r="AR831" s="46"/>
      <c r="AS831" s="46"/>
      <c r="AT831" s="46"/>
      <c r="AU831" s="46"/>
      <c r="AV831" s="46"/>
      <c r="AW831" s="46"/>
      <c r="AX831" s="46"/>
      <c r="AY831" s="46"/>
      <c r="AZ831" s="46"/>
      <c r="BA831" s="46"/>
      <c r="BB831" s="46"/>
      <c r="BC831" s="46"/>
      <c r="BD831" s="46"/>
      <c r="BE831" s="46"/>
      <c r="BF831" s="46"/>
      <c r="BG831" s="46"/>
      <c r="BH831" s="46"/>
      <c r="BI831" s="46"/>
      <c r="BJ831" s="46"/>
      <c r="BK831" s="46"/>
      <c r="BL831" s="46"/>
      <c r="BM831" s="46"/>
      <c r="BN831" s="46"/>
      <c r="BO831" s="46"/>
      <c r="BP831" s="46"/>
      <c r="BQ831" s="46"/>
      <c r="BR831" s="46"/>
      <c r="BS831" s="46"/>
      <c r="BT831" s="46"/>
      <c r="BU831" s="46"/>
      <c r="BV831" s="46"/>
      <c r="BW831" s="46"/>
      <c r="BX831" s="46"/>
      <c r="BY831" s="46"/>
      <c r="BZ831" s="46"/>
      <c r="CA831" s="46"/>
      <c r="CB831" s="46"/>
      <c r="CC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c r="AM832" s="46"/>
      <c r="AN832" s="46"/>
      <c r="AO832" s="46"/>
      <c r="AP832" s="46"/>
      <c r="AQ832" s="46"/>
      <c r="AR832" s="46"/>
      <c r="AS832" s="46"/>
      <c r="AT832" s="46"/>
      <c r="AU832" s="46"/>
      <c r="AV832" s="46"/>
      <c r="AW832" s="46"/>
      <c r="AX832" s="46"/>
      <c r="AY832" s="46"/>
      <c r="AZ832" s="46"/>
      <c r="BA832" s="46"/>
      <c r="BB832" s="46"/>
      <c r="BC832" s="46"/>
      <c r="BD832" s="46"/>
      <c r="BE832" s="46"/>
      <c r="BF832" s="46"/>
      <c r="BG832" s="46"/>
      <c r="BH832" s="46"/>
      <c r="BI832" s="46"/>
      <c r="BJ832" s="46"/>
      <c r="BK832" s="46"/>
      <c r="BL832" s="46"/>
      <c r="BM832" s="46"/>
      <c r="BN832" s="46"/>
      <c r="BO832" s="46"/>
      <c r="BP832" s="46"/>
      <c r="BQ832" s="46"/>
      <c r="BR832" s="46"/>
      <c r="BS832" s="46"/>
      <c r="BT832" s="46"/>
      <c r="BU832" s="46"/>
      <c r="BV832" s="46"/>
      <c r="BW832" s="46"/>
      <c r="BX832" s="46"/>
      <c r="BY832" s="46"/>
      <c r="BZ832" s="46"/>
      <c r="CA832" s="46"/>
      <c r="CB832" s="46"/>
      <c r="CC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c r="AN833" s="46"/>
      <c r="AO833" s="46"/>
      <c r="AP833" s="46"/>
      <c r="AQ833" s="46"/>
      <c r="AR833" s="46"/>
      <c r="AS833" s="46"/>
      <c r="AT833" s="46"/>
      <c r="AU833" s="46"/>
      <c r="AV833" s="46"/>
      <c r="AW833" s="46"/>
      <c r="AX833" s="46"/>
      <c r="AY833" s="46"/>
      <c r="AZ833" s="46"/>
      <c r="BA833" s="46"/>
      <c r="BB833" s="46"/>
      <c r="BC833" s="46"/>
      <c r="BD833" s="46"/>
      <c r="BE833" s="46"/>
      <c r="BF833" s="46"/>
      <c r="BG833" s="46"/>
      <c r="BH833" s="46"/>
      <c r="BI833" s="46"/>
      <c r="BJ833" s="46"/>
      <c r="BK833" s="46"/>
      <c r="BL833" s="46"/>
      <c r="BM833" s="46"/>
      <c r="BN833" s="46"/>
      <c r="BO833" s="46"/>
      <c r="BP833" s="46"/>
      <c r="BQ833" s="46"/>
      <c r="BR833" s="46"/>
      <c r="BS833" s="46"/>
      <c r="BT833" s="46"/>
      <c r="BU833" s="46"/>
      <c r="BV833" s="46"/>
      <c r="BW833" s="46"/>
      <c r="BX833" s="46"/>
      <c r="BY833" s="46"/>
      <c r="BZ833" s="46"/>
      <c r="CA833" s="46"/>
      <c r="CB833" s="46"/>
      <c r="CC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c r="AN834" s="46"/>
      <c r="AO834" s="46"/>
      <c r="AP834" s="46"/>
      <c r="AQ834" s="46"/>
      <c r="AR834" s="46"/>
      <c r="AS834" s="46"/>
      <c r="AT834" s="46"/>
      <c r="AU834" s="46"/>
      <c r="AV834" s="46"/>
      <c r="AW834" s="46"/>
      <c r="AX834" s="46"/>
      <c r="AY834" s="46"/>
      <c r="AZ834" s="46"/>
      <c r="BA834" s="46"/>
      <c r="BB834" s="46"/>
      <c r="BC834" s="46"/>
      <c r="BD834" s="46"/>
      <c r="BE834" s="46"/>
      <c r="BF834" s="46"/>
      <c r="BG834" s="46"/>
      <c r="BH834" s="46"/>
      <c r="BI834" s="46"/>
      <c r="BJ834" s="46"/>
      <c r="BK834" s="46"/>
      <c r="BL834" s="46"/>
      <c r="BM834" s="46"/>
      <c r="BN834" s="46"/>
      <c r="BO834" s="46"/>
      <c r="BP834" s="46"/>
      <c r="BQ834" s="46"/>
      <c r="BR834" s="46"/>
      <c r="BS834" s="46"/>
      <c r="BT834" s="46"/>
      <c r="BU834" s="46"/>
      <c r="BV834" s="46"/>
      <c r="BW834" s="46"/>
      <c r="BX834" s="46"/>
      <c r="BY834" s="46"/>
      <c r="BZ834" s="46"/>
      <c r="CA834" s="46"/>
      <c r="CB834" s="46"/>
      <c r="CC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c r="AN835" s="46"/>
      <c r="AO835" s="46"/>
      <c r="AP835" s="46"/>
      <c r="AQ835" s="46"/>
      <c r="AR835" s="46"/>
      <c r="AS835" s="46"/>
      <c r="AT835" s="46"/>
      <c r="AU835" s="46"/>
      <c r="AV835" s="46"/>
      <c r="AW835" s="46"/>
      <c r="AX835" s="46"/>
      <c r="AY835" s="46"/>
      <c r="AZ835" s="46"/>
      <c r="BA835" s="46"/>
      <c r="BB835" s="46"/>
      <c r="BC835" s="46"/>
      <c r="BD835" s="46"/>
      <c r="BE835" s="46"/>
      <c r="BF835" s="46"/>
      <c r="BG835" s="46"/>
      <c r="BH835" s="46"/>
      <c r="BI835" s="46"/>
      <c r="BJ835" s="46"/>
      <c r="BK835" s="46"/>
      <c r="BL835" s="46"/>
      <c r="BM835" s="46"/>
      <c r="BN835" s="46"/>
      <c r="BO835" s="46"/>
      <c r="BP835" s="46"/>
      <c r="BQ835" s="46"/>
      <c r="BR835" s="46"/>
      <c r="BS835" s="46"/>
      <c r="BT835" s="46"/>
      <c r="BU835" s="46"/>
      <c r="BV835" s="46"/>
      <c r="BW835" s="46"/>
      <c r="BX835" s="46"/>
      <c r="BY835" s="46"/>
      <c r="BZ835" s="46"/>
      <c r="CA835" s="46"/>
      <c r="CB835" s="46"/>
      <c r="CC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c r="AM836" s="46"/>
      <c r="AN836" s="46"/>
      <c r="AO836" s="46"/>
      <c r="AP836" s="46"/>
      <c r="AQ836" s="46"/>
      <c r="AR836" s="46"/>
      <c r="AS836" s="46"/>
      <c r="AT836" s="46"/>
      <c r="AU836" s="46"/>
      <c r="AV836" s="46"/>
      <c r="AW836" s="46"/>
      <c r="AX836" s="46"/>
      <c r="AY836" s="46"/>
      <c r="AZ836" s="46"/>
      <c r="BA836" s="46"/>
      <c r="BB836" s="46"/>
      <c r="BC836" s="46"/>
      <c r="BD836" s="46"/>
      <c r="BE836" s="46"/>
      <c r="BF836" s="46"/>
      <c r="BG836" s="46"/>
      <c r="BH836" s="46"/>
      <c r="BI836" s="46"/>
      <c r="BJ836" s="46"/>
      <c r="BK836" s="46"/>
      <c r="BL836" s="46"/>
      <c r="BM836" s="46"/>
      <c r="BN836" s="46"/>
      <c r="BO836" s="46"/>
      <c r="BP836" s="46"/>
      <c r="BQ836" s="46"/>
      <c r="BR836" s="46"/>
      <c r="BS836" s="46"/>
      <c r="BT836" s="46"/>
      <c r="BU836" s="46"/>
      <c r="BV836" s="46"/>
      <c r="BW836" s="46"/>
      <c r="BX836" s="46"/>
      <c r="BY836" s="46"/>
      <c r="BZ836" s="46"/>
      <c r="CA836" s="46"/>
      <c r="CB836" s="46"/>
      <c r="CC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c r="AM837" s="46"/>
      <c r="AN837" s="46"/>
      <c r="AO837" s="46"/>
      <c r="AP837" s="46"/>
      <c r="AQ837" s="46"/>
      <c r="AR837" s="46"/>
      <c r="AS837" s="46"/>
      <c r="AT837" s="46"/>
      <c r="AU837" s="46"/>
      <c r="AV837" s="46"/>
      <c r="AW837" s="46"/>
      <c r="AX837" s="46"/>
      <c r="AY837" s="46"/>
      <c r="AZ837" s="46"/>
      <c r="BA837" s="46"/>
      <c r="BB837" s="46"/>
      <c r="BC837" s="46"/>
      <c r="BD837" s="46"/>
      <c r="BE837" s="46"/>
      <c r="BF837" s="46"/>
      <c r="BG837" s="46"/>
      <c r="BH837" s="46"/>
      <c r="BI837" s="46"/>
      <c r="BJ837" s="46"/>
      <c r="BK837" s="46"/>
      <c r="BL837" s="46"/>
      <c r="BM837" s="46"/>
      <c r="BN837" s="46"/>
      <c r="BO837" s="46"/>
      <c r="BP837" s="46"/>
      <c r="BQ837" s="46"/>
      <c r="BR837" s="46"/>
      <c r="BS837" s="46"/>
      <c r="BT837" s="46"/>
      <c r="BU837" s="46"/>
      <c r="BV837" s="46"/>
      <c r="BW837" s="46"/>
      <c r="BX837" s="46"/>
      <c r="BY837" s="46"/>
      <c r="BZ837" s="46"/>
      <c r="CA837" s="46"/>
      <c r="CB837" s="46"/>
      <c r="CC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c r="AM838" s="46"/>
      <c r="AN838" s="46"/>
      <c r="AO838" s="46"/>
      <c r="AP838" s="46"/>
      <c r="AQ838" s="46"/>
      <c r="AR838" s="46"/>
      <c r="AS838" s="46"/>
      <c r="AT838" s="46"/>
      <c r="AU838" s="46"/>
      <c r="AV838" s="46"/>
      <c r="AW838" s="46"/>
      <c r="AX838" s="46"/>
      <c r="AY838" s="46"/>
      <c r="AZ838" s="46"/>
      <c r="BA838" s="46"/>
      <c r="BB838" s="46"/>
      <c r="BC838" s="46"/>
      <c r="BD838" s="46"/>
      <c r="BE838" s="46"/>
      <c r="BF838" s="46"/>
      <c r="BG838" s="46"/>
      <c r="BH838" s="46"/>
      <c r="BI838" s="46"/>
      <c r="BJ838" s="46"/>
      <c r="BK838" s="46"/>
      <c r="BL838" s="46"/>
      <c r="BM838" s="46"/>
      <c r="BN838" s="46"/>
      <c r="BO838" s="46"/>
      <c r="BP838" s="46"/>
      <c r="BQ838" s="46"/>
      <c r="BR838" s="46"/>
      <c r="BS838" s="46"/>
      <c r="BT838" s="46"/>
      <c r="BU838" s="46"/>
      <c r="BV838" s="46"/>
      <c r="BW838" s="46"/>
      <c r="BX838" s="46"/>
      <c r="BY838" s="46"/>
      <c r="BZ838" s="46"/>
      <c r="CA838" s="46"/>
      <c r="CB838" s="46"/>
      <c r="CC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c r="AM839" s="46"/>
      <c r="AN839" s="46"/>
      <c r="AO839" s="46"/>
      <c r="AP839" s="46"/>
      <c r="AQ839" s="46"/>
      <c r="AR839" s="46"/>
      <c r="AS839" s="46"/>
      <c r="AT839" s="46"/>
      <c r="AU839" s="46"/>
      <c r="AV839" s="46"/>
      <c r="AW839" s="46"/>
      <c r="AX839" s="46"/>
      <c r="AY839" s="46"/>
      <c r="AZ839" s="46"/>
      <c r="BA839" s="46"/>
      <c r="BB839" s="46"/>
      <c r="BC839" s="46"/>
      <c r="BD839" s="46"/>
      <c r="BE839" s="46"/>
      <c r="BF839" s="46"/>
      <c r="BG839" s="46"/>
      <c r="BH839" s="46"/>
      <c r="BI839" s="46"/>
      <c r="BJ839" s="46"/>
      <c r="BK839" s="46"/>
      <c r="BL839" s="46"/>
      <c r="BM839" s="46"/>
      <c r="BN839" s="46"/>
      <c r="BO839" s="46"/>
      <c r="BP839" s="46"/>
      <c r="BQ839" s="46"/>
      <c r="BR839" s="46"/>
      <c r="BS839" s="46"/>
      <c r="BT839" s="46"/>
      <c r="BU839" s="46"/>
      <c r="BV839" s="46"/>
      <c r="BW839" s="46"/>
      <c r="BX839" s="46"/>
      <c r="BY839" s="46"/>
      <c r="BZ839" s="46"/>
      <c r="CA839" s="46"/>
      <c r="CB839" s="46"/>
      <c r="CC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c r="AM840" s="46"/>
      <c r="AN840" s="46"/>
      <c r="AO840" s="46"/>
      <c r="AP840" s="46"/>
      <c r="AQ840" s="46"/>
      <c r="AR840" s="46"/>
      <c r="AS840" s="46"/>
      <c r="AT840" s="46"/>
      <c r="AU840" s="46"/>
      <c r="AV840" s="46"/>
      <c r="AW840" s="46"/>
      <c r="AX840" s="46"/>
      <c r="AY840" s="46"/>
      <c r="AZ840" s="46"/>
      <c r="BA840" s="46"/>
      <c r="BB840" s="46"/>
      <c r="BC840" s="46"/>
      <c r="BD840" s="46"/>
      <c r="BE840" s="46"/>
      <c r="BF840" s="46"/>
      <c r="BG840" s="46"/>
      <c r="BH840" s="46"/>
      <c r="BI840" s="46"/>
      <c r="BJ840" s="46"/>
      <c r="BK840" s="46"/>
      <c r="BL840" s="46"/>
      <c r="BM840" s="46"/>
      <c r="BN840" s="46"/>
      <c r="BO840" s="46"/>
      <c r="BP840" s="46"/>
      <c r="BQ840" s="46"/>
      <c r="BR840" s="46"/>
      <c r="BS840" s="46"/>
      <c r="BT840" s="46"/>
      <c r="BU840" s="46"/>
      <c r="BV840" s="46"/>
      <c r="BW840" s="46"/>
      <c r="BX840" s="46"/>
      <c r="BY840" s="46"/>
      <c r="BZ840" s="46"/>
      <c r="CA840" s="46"/>
      <c r="CB840" s="46"/>
      <c r="CC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c r="AM841" s="46"/>
      <c r="AN841" s="46"/>
      <c r="AO841" s="46"/>
      <c r="AP841" s="46"/>
      <c r="AQ841" s="46"/>
      <c r="AR841" s="46"/>
      <c r="AS841" s="46"/>
      <c r="AT841" s="46"/>
      <c r="AU841" s="46"/>
      <c r="AV841" s="46"/>
      <c r="AW841" s="46"/>
      <c r="AX841" s="46"/>
      <c r="AY841" s="46"/>
      <c r="AZ841" s="46"/>
      <c r="BA841" s="46"/>
      <c r="BB841" s="46"/>
      <c r="BC841" s="46"/>
      <c r="BD841" s="46"/>
      <c r="BE841" s="46"/>
      <c r="BF841" s="46"/>
      <c r="BG841" s="46"/>
      <c r="BH841" s="46"/>
      <c r="BI841" s="46"/>
      <c r="BJ841" s="46"/>
      <c r="BK841" s="46"/>
      <c r="BL841" s="46"/>
      <c r="BM841" s="46"/>
      <c r="BN841" s="46"/>
      <c r="BO841" s="46"/>
      <c r="BP841" s="46"/>
      <c r="BQ841" s="46"/>
      <c r="BR841" s="46"/>
      <c r="BS841" s="46"/>
      <c r="BT841" s="46"/>
      <c r="BU841" s="46"/>
      <c r="BV841" s="46"/>
      <c r="BW841" s="46"/>
      <c r="BX841" s="46"/>
      <c r="BY841" s="46"/>
      <c r="BZ841" s="46"/>
      <c r="CA841" s="46"/>
      <c r="CB841" s="46"/>
      <c r="CC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c r="BA842" s="46"/>
      <c r="BB842" s="46"/>
      <c r="BC842" s="46"/>
      <c r="BD842" s="46"/>
      <c r="BE842" s="46"/>
      <c r="BF842" s="46"/>
      <c r="BG842" s="46"/>
      <c r="BH842" s="46"/>
      <c r="BI842" s="46"/>
      <c r="BJ842" s="46"/>
      <c r="BK842" s="46"/>
      <c r="BL842" s="46"/>
      <c r="BM842" s="46"/>
      <c r="BN842" s="46"/>
      <c r="BO842" s="46"/>
      <c r="BP842" s="46"/>
      <c r="BQ842" s="46"/>
      <c r="BR842" s="46"/>
      <c r="BS842" s="46"/>
      <c r="BT842" s="46"/>
      <c r="BU842" s="46"/>
      <c r="BV842" s="46"/>
      <c r="BW842" s="46"/>
      <c r="BX842" s="46"/>
      <c r="BY842" s="46"/>
      <c r="BZ842" s="46"/>
      <c r="CA842" s="46"/>
      <c r="CB842" s="46"/>
      <c r="CC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c r="BA843" s="46"/>
      <c r="BB843" s="46"/>
      <c r="BC843" s="46"/>
      <c r="BD843" s="46"/>
      <c r="BE843" s="46"/>
      <c r="BF843" s="46"/>
      <c r="BG843" s="46"/>
      <c r="BH843" s="46"/>
      <c r="BI843" s="46"/>
      <c r="BJ843" s="46"/>
      <c r="BK843" s="46"/>
      <c r="BL843" s="46"/>
      <c r="BM843" s="46"/>
      <c r="BN843" s="46"/>
      <c r="BO843" s="46"/>
      <c r="BP843" s="46"/>
      <c r="BQ843" s="46"/>
      <c r="BR843" s="46"/>
      <c r="BS843" s="46"/>
      <c r="BT843" s="46"/>
      <c r="BU843" s="46"/>
      <c r="BV843" s="46"/>
      <c r="BW843" s="46"/>
      <c r="BX843" s="46"/>
      <c r="BY843" s="46"/>
      <c r="BZ843" s="46"/>
      <c r="CA843" s="46"/>
      <c r="CB843" s="46"/>
      <c r="CC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c r="BA844" s="46"/>
      <c r="BB844" s="46"/>
      <c r="BC844" s="46"/>
      <c r="BD844" s="46"/>
      <c r="BE844" s="46"/>
      <c r="BF844" s="46"/>
      <c r="BG844" s="46"/>
      <c r="BH844" s="46"/>
      <c r="BI844" s="46"/>
      <c r="BJ844" s="46"/>
      <c r="BK844" s="46"/>
      <c r="BL844" s="46"/>
      <c r="BM844" s="46"/>
      <c r="BN844" s="46"/>
      <c r="BO844" s="46"/>
      <c r="BP844" s="46"/>
      <c r="BQ844" s="46"/>
      <c r="BR844" s="46"/>
      <c r="BS844" s="46"/>
      <c r="BT844" s="46"/>
      <c r="BU844" s="46"/>
      <c r="BV844" s="46"/>
      <c r="BW844" s="46"/>
      <c r="BX844" s="46"/>
      <c r="BY844" s="46"/>
      <c r="BZ844" s="46"/>
      <c r="CA844" s="46"/>
      <c r="CB844" s="46"/>
      <c r="CC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c r="AM845" s="46"/>
      <c r="AN845" s="46"/>
      <c r="AO845" s="46"/>
      <c r="AP845" s="46"/>
      <c r="AQ845" s="46"/>
      <c r="AR845" s="46"/>
      <c r="AS845" s="46"/>
      <c r="AT845" s="46"/>
      <c r="AU845" s="46"/>
      <c r="AV845" s="46"/>
      <c r="AW845" s="46"/>
      <c r="AX845" s="46"/>
      <c r="AY845" s="46"/>
      <c r="AZ845" s="46"/>
      <c r="BA845" s="46"/>
      <c r="BB845" s="46"/>
      <c r="BC845" s="46"/>
      <c r="BD845" s="46"/>
      <c r="BE845" s="46"/>
      <c r="BF845" s="46"/>
      <c r="BG845" s="46"/>
      <c r="BH845" s="46"/>
      <c r="BI845" s="46"/>
      <c r="BJ845" s="46"/>
      <c r="BK845" s="46"/>
      <c r="BL845" s="46"/>
      <c r="BM845" s="46"/>
      <c r="BN845" s="46"/>
      <c r="BO845" s="46"/>
      <c r="BP845" s="46"/>
      <c r="BQ845" s="46"/>
      <c r="BR845" s="46"/>
      <c r="BS845" s="46"/>
      <c r="BT845" s="46"/>
      <c r="BU845" s="46"/>
      <c r="BV845" s="46"/>
      <c r="BW845" s="46"/>
      <c r="BX845" s="46"/>
      <c r="BY845" s="46"/>
      <c r="BZ845" s="46"/>
      <c r="CA845" s="46"/>
      <c r="CB845" s="46"/>
      <c r="CC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c r="BA846" s="46"/>
      <c r="BB846" s="46"/>
      <c r="BC846" s="46"/>
      <c r="BD846" s="46"/>
      <c r="BE846" s="46"/>
      <c r="BF846" s="46"/>
      <c r="BG846" s="46"/>
      <c r="BH846" s="46"/>
      <c r="BI846" s="46"/>
      <c r="BJ846" s="46"/>
      <c r="BK846" s="46"/>
      <c r="BL846" s="46"/>
      <c r="BM846" s="46"/>
      <c r="BN846" s="46"/>
      <c r="BO846" s="46"/>
      <c r="BP846" s="46"/>
      <c r="BQ846" s="46"/>
      <c r="BR846" s="46"/>
      <c r="BS846" s="46"/>
      <c r="BT846" s="46"/>
      <c r="BU846" s="46"/>
      <c r="BV846" s="46"/>
      <c r="BW846" s="46"/>
      <c r="BX846" s="46"/>
      <c r="BY846" s="46"/>
      <c r="BZ846" s="46"/>
      <c r="CA846" s="46"/>
      <c r="CB846" s="46"/>
      <c r="CC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c r="BA847" s="46"/>
      <c r="BB847" s="46"/>
      <c r="BC847" s="46"/>
      <c r="BD847" s="46"/>
      <c r="BE847" s="46"/>
      <c r="BF847" s="46"/>
      <c r="BG847" s="46"/>
      <c r="BH847" s="46"/>
      <c r="BI847" s="46"/>
      <c r="BJ847" s="46"/>
      <c r="BK847" s="46"/>
      <c r="BL847" s="46"/>
      <c r="BM847" s="46"/>
      <c r="BN847" s="46"/>
      <c r="BO847" s="46"/>
      <c r="BP847" s="46"/>
      <c r="BQ847" s="46"/>
      <c r="BR847" s="46"/>
      <c r="BS847" s="46"/>
      <c r="BT847" s="46"/>
      <c r="BU847" s="46"/>
      <c r="BV847" s="46"/>
      <c r="BW847" s="46"/>
      <c r="BX847" s="46"/>
      <c r="BY847" s="46"/>
      <c r="BZ847" s="46"/>
      <c r="CA847" s="46"/>
      <c r="CB847" s="46"/>
      <c r="CC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c r="AN848" s="46"/>
      <c r="AO848" s="46"/>
      <c r="AP848" s="46"/>
      <c r="AQ848" s="46"/>
      <c r="AR848" s="46"/>
      <c r="AS848" s="46"/>
      <c r="AT848" s="46"/>
      <c r="AU848" s="46"/>
      <c r="AV848" s="46"/>
      <c r="AW848" s="46"/>
      <c r="AX848" s="46"/>
      <c r="AY848" s="46"/>
      <c r="AZ848" s="46"/>
      <c r="BA848" s="46"/>
      <c r="BB848" s="46"/>
      <c r="BC848" s="46"/>
      <c r="BD848" s="46"/>
      <c r="BE848" s="46"/>
      <c r="BF848" s="46"/>
      <c r="BG848" s="46"/>
      <c r="BH848" s="46"/>
      <c r="BI848" s="46"/>
      <c r="BJ848" s="46"/>
      <c r="BK848" s="46"/>
      <c r="BL848" s="46"/>
      <c r="BM848" s="46"/>
      <c r="BN848" s="46"/>
      <c r="BO848" s="46"/>
      <c r="BP848" s="46"/>
      <c r="BQ848" s="46"/>
      <c r="BR848" s="46"/>
      <c r="BS848" s="46"/>
      <c r="BT848" s="46"/>
      <c r="BU848" s="46"/>
      <c r="BV848" s="46"/>
      <c r="BW848" s="46"/>
      <c r="BX848" s="46"/>
      <c r="BY848" s="46"/>
      <c r="BZ848" s="46"/>
      <c r="CA848" s="46"/>
      <c r="CB848" s="46"/>
      <c r="CC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c r="BA849" s="46"/>
      <c r="BB849" s="46"/>
      <c r="BC849" s="46"/>
      <c r="BD849" s="46"/>
      <c r="BE849" s="46"/>
      <c r="BF849" s="46"/>
      <c r="BG849" s="46"/>
      <c r="BH849" s="46"/>
      <c r="BI849" s="46"/>
      <c r="BJ849" s="46"/>
      <c r="BK849" s="46"/>
      <c r="BL849" s="46"/>
      <c r="BM849" s="46"/>
      <c r="BN849" s="46"/>
      <c r="BO849" s="46"/>
      <c r="BP849" s="46"/>
      <c r="BQ849" s="46"/>
      <c r="BR849" s="46"/>
      <c r="BS849" s="46"/>
      <c r="BT849" s="46"/>
      <c r="BU849" s="46"/>
      <c r="BV849" s="46"/>
      <c r="BW849" s="46"/>
      <c r="BX849" s="46"/>
      <c r="BY849" s="46"/>
      <c r="BZ849" s="46"/>
      <c r="CA849" s="46"/>
      <c r="CB849" s="46"/>
      <c r="CC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c r="BA850" s="46"/>
      <c r="BB850" s="46"/>
      <c r="BC850" s="46"/>
      <c r="BD850" s="46"/>
      <c r="BE850" s="46"/>
      <c r="BF850" s="46"/>
      <c r="BG850" s="46"/>
      <c r="BH850" s="46"/>
      <c r="BI850" s="46"/>
      <c r="BJ850" s="46"/>
      <c r="BK850" s="46"/>
      <c r="BL850" s="46"/>
      <c r="BM850" s="46"/>
      <c r="BN850" s="46"/>
      <c r="BO850" s="46"/>
      <c r="BP850" s="46"/>
      <c r="BQ850" s="46"/>
      <c r="BR850" s="46"/>
      <c r="BS850" s="46"/>
      <c r="BT850" s="46"/>
      <c r="BU850" s="46"/>
      <c r="BV850" s="46"/>
      <c r="BW850" s="46"/>
      <c r="BX850" s="46"/>
      <c r="BY850" s="46"/>
      <c r="BZ850" s="46"/>
      <c r="CA850" s="46"/>
      <c r="CB850" s="46"/>
      <c r="CC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c r="AM851" s="46"/>
      <c r="AN851" s="46"/>
      <c r="AO851" s="46"/>
      <c r="AP851" s="46"/>
      <c r="AQ851" s="46"/>
      <c r="AR851" s="46"/>
      <c r="AS851" s="46"/>
      <c r="AT851" s="46"/>
      <c r="AU851" s="46"/>
      <c r="AV851" s="46"/>
      <c r="AW851" s="46"/>
      <c r="AX851" s="46"/>
      <c r="AY851" s="46"/>
      <c r="AZ851" s="46"/>
      <c r="BA851" s="46"/>
      <c r="BB851" s="46"/>
      <c r="BC851" s="46"/>
      <c r="BD851" s="46"/>
      <c r="BE851" s="46"/>
      <c r="BF851" s="46"/>
      <c r="BG851" s="46"/>
      <c r="BH851" s="46"/>
      <c r="BI851" s="46"/>
      <c r="BJ851" s="46"/>
      <c r="BK851" s="46"/>
      <c r="BL851" s="46"/>
      <c r="BM851" s="46"/>
      <c r="BN851" s="46"/>
      <c r="BO851" s="46"/>
      <c r="BP851" s="46"/>
      <c r="BQ851" s="46"/>
      <c r="BR851" s="46"/>
      <c r="BS851" s="46"/>
      <c r="BT851" s="46"/>
      <c r="BU851" s="46"/>
      <c r="BV851" s="46"/>
      <c r="BW851" s="46"/>
      <c r="BX851" s="46"/>
      <c r="BY851" s="46"/>
      <c r="BZ851" s="46"/>
      <c r="CA851" s="46"/>
      <c r="CB851" s="46"/>
      <c r="CC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c r="AM852" s="46"/>
      <c r="AN852" s="46"/>
      <c r="AO852" s="46"/>
      <c r="AP852" s="46"/>
      <c r="AQ852" s="46"/>
      <c r="AR852" s="46"/>
      <c r="AS852" s="46"/>
      <c r="AT852" s="46"/>
      <c r="AU852" s="46"/>
      <c r="AV852" s="46"/>
      <c r="AW852" s="46"/>
      <c r="AX852" s="46"/>
      <c r="AY852" s="46"/>
      <c r="AZ852" s="46"/>
      <c r="BA852" s="46"/>
      <c r="BB852" s="46"/>
      <c r="BC852" s="46"/>
      <c r="BD852" s="46"/>
      <c r="BE852" s="46"/>
      <c r="BF852" s="46"/>
      <c r="BG852" s="46"/>
      <c r="BH852" s="46"/>
      <c r="BI852" s="46"/>
      <c r="BJ852" s="46"/>
      <c r="BK852" s="46"/>
      <c r="BL852" s="46"/>
      <c r="BM852" s="46"/>
      <c r="BN852" s="46"/>
      <c r="BO852" s="46"/>
      <c r="BP852" s="46"/>
      <c r="BQ852" s="46"/>
      <c r="BR852" s="46"/>
      <c r="BS852" s="46"/>
      <c r="BT852" s="46"/>
      <c r="BU852" s="46"/>
      <c r="BV852" s="46"/>
      <c r="BW852" s="46"/>
      <c r="BX852" s="46"/>
      <c r="BY852" s="46"/>
      <c r="BZ852" s="46"/>
      <c r="CA852" s="46"/>
      <c r="CB852" s="46"/>
      <c r="CC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c r="AM853" s="46"/>
      <c r="AN853" s="46"/>
      <c r="AO853" s="46"/>
      <c r="AP853" s="46"/>
      <c r="AQ853" s="46"/>
      <c r="AR853" s="46"/>
      <c r="AS853" s="46"/>
      <c r="AT853" s="46"/>
      <c r="AU853" s="46"/>
      <c r="AV853" s="46"/>
      <c r="AW853" s="46"/>
      <c r="AX853" s="46"/>
      <c r="AY853" s="46"/>
      <c r="AZ853" s="46"/>
      <c r="BA853" s="46"/>
      <c r="BB853" s="46"/>
      <c r="BC853" s="46"/>
      <c r="BD853" s="46"/>
      <c r="BE853" s="46"/>
      <c r="BF853" s="46"/>
      <c r="BG853" s="46"/>
      <c r="BH853" s="46"/>
      <c r="BI853" s="46"/>
      <c r="BJ853" s="46"/>
      <c r="BK853" s="46"/>
      <c r="BL853" s="46"/>
      <c r="BM853" s="46"/>
      <c r="BN853" s="46"/>
      <c r="BO853" s="46"/>
      <c r="BP853" s="46"/>
      <c r="BQ853" s="46"/>
      <c r="BR853" s="46"/>
      <c r="BS853" s="46"/>
      <c r="BT853" s="46"/>
      <c r="BU853" s="46"/>
      <c r="BV853" s="46"/>
      <c r="BW853" s="46"/>
      <c r="BX853" s="46"/>
      <c r="BY853" s="46"/>
      <c r="BZ853" s="46"/>
      <c r="CA853" s="46"/>
      <c r="CB853" s="46"/>
      <c r="CC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c r="AL854" s="46"/>
      <c r="AM854" s="46"/>
      <c r="AN854" s="46"/>
      <c r="AO854" s="46"/>
      <c r="AP854" s="46"/>
      <c r="AQ854" s="46"/>
      <c r="AR854" s="46"/>
      <c r="AS854" s="46"/>
      <c r="AT854" s="46"/>
      <c r="AU854" s="46"/>
      <c r="AV854" s="46"/>
      <c r="AW854" s="46"/>
      <c r="AX854" s="46"/>
      <c r="AY854" s="46"/>
      <c r="AZ854" s="46"/>
      <c r="BA854" s="46"/>
      <c r="BB854" s="46"/>
      <c r="BC854" s="46"/>
      <c r="BD854" s="46"/>
      <c r="BE854" s="46"/>
      <c r="BF854" s="46"/>
      <c r="BG854" s="46"/>
      <c r="BH854" s="46"/>
      <c r="BI854" s="46"/>
      <c r="BJ854" s="46"/>
      <c r="BK854" s="46"/>
      <c r="BL854" s="46"/>
      <c r="BM854" s="46"/>
      <c r="BN854" s="46"/>
      <c r="BO854" s="46"/>
      <c r="BP854" s="46"/>
      <c r="BQ854" s="46"/>
      <c r="BR854" s="46"/>
      <c r="BS854" s="46"/>
      <c r="BT854" s="46"/>
      <c r="BU854" s="46"/>
      <c r="BV854" s="46"/>
      <c r="BW854" s="46"/>
      <c r="BX854" s="46"/>
      <c r="BY854" s="46"/>
      <c r="BZ854" s="46"/>
      <c r="CA854" s="46"/>
      <c r="CB854" s="46"/>
      <c r="CC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c r="AM855" s="46"/>
      <c r="AN855" s="46"/>
      <c r="AO855" s="46"/>
      <c r="AP855" s="46"/>
      <c r="AQ855" s="46"/>
      <c r="AR855" s="46"/>
      <c r="AS855" s="46"/>
      <c r="AT855" s="46"/>
      <c r="AU855" s="46"/>
      <c r="AV855" s="46"/>
      <c r="AW855" s="46"/>
      <c r="AX855" s="46"/>
      <c r="AY855" s="46"/>
      <c r="AZ855" s="46"/>
      <c r="BA855" s="46"/>
      <c r="BB855" s="46"/>
      <c r="BC855" s="46"/>
      <c r="BD855" s="46"/>
      <c r="BE855" s="46"/>
      <c r="BF855" s="46"/>
      <c r="BG855" s="46"/>
      <c r="BH855" s="46"/>
      <c r="BI855" s="46"/>
      <c r="BJ855" s="46"/>
      <c r="BK855" s="46"/>
      <c r="BL855" s="46"/>
      <c r="BM855" s="46"/>
      <c r="BN855" s="46"/>
      <c r="BO855" s="46"/>
      <c r="BP855" s="46"/>
      <c r="BQ855" s="46"/>
      <c r="BR855" s="46"/>
      <c r="BS855" s="46"/>
      <c r="BT855" s="46"/>
      <c r="BU855" s="46"/>
      <c r="BV855" s="46"/>
      <c r="BW855" s="46"/>
      <c r="BX855" s="46"/>
      <c r="BY855" s="46"/>
      <c r="BZ855" s="46"/>
      <c r="CA855" s="46"/>
      <c r="CB855" s="46"/>
      <c r="CC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c r="AM856" s="46"/>
      <c r="AN856" s="46"/>
      <c r="AO856" s="46"/>
      <c r="AP856" s="46"/>
      <c r="AQ856" s="46"/>
      <c r="AR856" s="46"/>
      <c r="AS856" s="46"/>
      <c r="AT856" s="46"/>
      <c r="AU856" s="46"/>
      <c r="AV856" s="46"/>
      <c r="AW856" s="46"/>
      <c r="AX856" s="46"/>
      <c r="AY856" s="46"/>
      <c r="AZ856" s="46"/>
      <c r="BA856" s="46"/>
      <c r="BB856" s="46"/>
      <c r="BC856" s="46"/>
      <c r="BD856" s="46"/>
      <c r="BE856" s="46"/>
      <c r="BF856" s="46"/>
      <c r="BG856" s="46"/>
      <c r="BH856" s="46"/>
      <c r="BI856" s="46"/>
      <c r="BJ856" s="46"/>
      <c r="BK856" s="46"/>
      <c r="BL856" s="46"/>
      <c r="BM856" s="46"/>
      <c r="BN856" s="46"/>
      <c r="BO856" s="46"/>
      <c r="BP856" s="46"/>
      <c r="BQ856" s="46"/>
      <c r="BR856" s="46"/>
      <c r="BS856" s="46"/>
      <c r="BT856" s="46"/>
      <c r="BU856" s="46"/>
      <c r="BV856" s="46"/>
      <c r="BW856" s="46"/>
      <c r="BX856" s="46"/>
      <c r="BY856" s="46"/>
      <c r="BZ856" s="46"/>
      <c r="CA856" s="46"/>
      <c r="CB856" s="46"/>
      <c r="CC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c r="BA857" s="46"/>
      <c r="BB857" s="46"/>
      <c r="BC857" s="46"/>
      <c r="BD857" s="46"/>
      <c r="BE857" s="46"/>
      <c r="BF857" s="46"/>
      <c r="BG857" s="46"/>
      <c r="BH857" s="46"/>
      <c r="BI857" s="46"/>
      <c r="BJ857" s="46"/>
      <c r="BK857" s="46"/>
      <c r="BL857" s="46"/>
      <c r="BM857" s="46"/>
      <c r="BN857" s="46"/>
      <c r="BO857" s="46"/>
      <c r="BP857" s="46"/>
      <c r="BQ857" s="46"/>
      <c r="BR857" s="46"/>
      <c r="BS857" s="46"/>
      <c r="BT857" s="46"/>
      <c r="BU857" s="46"/>
      <c r="BV857" s="46"/>
      <c r="BW857" s="46"/>
      <c r="BX857" s="46"/>
      <c r="BY857" s="46"/>
      <c r="BZ857" s="46"/>
      <c r="CA857" s="46"/>
      <c r="CB857" s="46"/>
      <c r="CC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c r="AN858" s="46"/>
      <c r="AO858" s="46"/>
      <c r="AP858" s="46"/>
      <c r="AQ858" s="46"/>
      <c r="AR858" s="46"/>
      <c r="AS858" s="46"/>
      <c r="AT858" s="46"/>
      <c r="AU858" s="46"/>
      <c r="AV858" s="46"/>
      <c r="AW858" s="46"/>
      <c r="AX858" s="46"/>
      <c r="AY858" s="46"/>
      <c r="AZ858" s="46"/>
      <c r="BA858" s="46"/>
      <c r="BB858" s="46"/>
      <c r="BC858" s="46"/>
      <c r="BD858" s="46"/>
      <c r="BE858" s="46"/>
      <c r="BF858" s="46"/>
      <c r="BG858" s="46"/>
      <c r="BH858" s="46"/>
      <c r="BI858" s="46"/>
      <c r="BJ858" s="46"/>
      <c r="BK858" s="46"/>
      <c r="BL858" s="46"/>
      <c r="BM858" s="46"/>
      <c r="BN858" s="46"/>
      <c r="BO858" s="46"/>
      <c r="BP858" s="46"/>
      <c r="BQ858" s="46"/>
      <c r="BR858" s="46"/>
      <c r="BS858" s="46"/>
      <c r="BT858" s="46"/>
      <c r="BU858" s="46"/>
      <c r="BV858" s="46"/>
      <c r="BW858" s="46"/>
      <c r="BX858" s="46"/>
      <c r="BY858" s="46"/>
      <c r="BZ858" s="46"/>
      <c r="CA858" s="46"/>
      <c r="CB858" s="46"/>
      <c r="CC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c r="BA859" s="46"/>
      <c r="BB859" s="46"/>
      <c r="BC859" s="46"/>
      <c r="BD859" s="46"/>
      <c r="BE859" s="46"/>
      <c r="BF859" s="46"/>
      <c r="BG859" s="46"/>
      <c r="BH859" s="46"/>
      <c r="BI859" s="46"/>
      <c r="BJ859" s="46"/>
      <c r="BK859" s="46"/>
      <c r="BL859" s="46"/>
      <c r="BM859" s="46"/>
      <c r="BN859" s="46"/>
      <c r="BO859" s="46"/>
      <c r="BP859" s="46"/>
      <c r="BQ859" s="46"/>
      <c r="BR859" s="46"/>
      <c r="BS859" s="46"/>
      <c r="BT859" s="46"/>
      <c r="BU859" s="46"/>
      <c r="BV859" s="46"/>
      <c r="BW859" s="46"/>
      <c r="BX859" s="46"/>
      <c r="BY859" s="46"/>
      <c r="BZ859" s="46"/>
      <c r="CA859" s="46"/>
      <c r="CB859" s="46"/>
      <c r="CC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c r="AM860" s="46"/>
      <c r="AN860" s="46"/>
      <c r="AO860" s="46"/>
      <c r="AP860" s="46"/>
      <c r="AQ860" s="46"/>
      <c r="AR860" s="46"/>
      <c r="AS860" s="46"/>
      <c r="AT860" s="46"/>
      <c r="AU860" s="46"/>
      <c r="AV860" s="46"/>
      <c r="AW860" s="46"/>
      <c r="AX860" s="46"/>
      <c r="AY860" s="46"/>
      <c r="AZ860" s="46"/>
      <c r="BA860" s="46"/>
      <c r="BB860" s="46"/>
      <c r="BC860" s="46"/>
      <c r="BD860" s="46"/>
      <c r="BE860" s="46"/>
      <c r="BF860" s="46"/>
      <c r="BG860" s="46"/>
      <c r="BH860" s="46"/>
      <c r="BI860" s="46"/>
      <c r="BJ860" s="46"/>
      <c r="BK860" s="46"/>
      <c r="BL860" s="46"/>
      <c r="BM860" s="46"/>
      <c r="BN860" s="46"/>
      <c r="BO860" s="46"/>
      <c r="BP860" s="46"/>
      <c r="BQ860" s="46"/>
      <c r="BR860" s="46"/>
      <c r="BS860" s="46"/>
      <c r="BT860" s="46"/>
      <c r="BU860" s="46"/>
      <c r="BV860" s="46"/>
      <c r="BW860" s="46"/>
      <c r="BX860" s="46"/>
      <c r="BY860" s="46"/>
      <c r="BZ860" s="46"/>
      <c r="CA860" s="46"/>
      <c r="CB860" s="46"/>
      <c r="CC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c r="BA861" s="46"/>
      <c r="BB861" s="46"/>
      <c r="BC861" s="46"/>
      <c r="BD861" s="46"/>
      <c r="BE861" s="46"/>
      <c r="BF861" s="46"/>
      <c r="BG861" s="46"/>
      <c r="BH861" s="46"/>
      <c r="BI861" s="46"/>
      <c r="BJ861" s="46"/>
      <c r="BK861" s="46"/>
      <c r="BL861" s="46"/>
      <c r="BM861" s="46"/>
      <c r="BN861" s="46"/>
      <c r="BO861" s="46"/>
      <c r="BP861" s="46"/>
      <c r="BQ861" s="46"/>
      <c r="BR861" s="46"/>
      <c r="BS861" s="46"/>
      <c r="BT861" s="46"/>
      <c r="BU861" s="46"/>
      <c r="BV861" s="46"/>
      <c r="BW861" s="46"/>
      <c r="BX861" s="46"/>
      <c r="BY861" s="46"/>
      <c r="BZ861" s="46"/>
      <c r="CA861" s="46"/>
      <c r="CB861" s="46"/>
      <c r="CC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c r="AN862" s="46"/>
      <c r="AO862" s="46"/>
      <c r="AP862" s="46"/>
      <c r="AQ862" s="46"/>
      <c r="AR862" s="46"/>
      <c r="AS862" s="46"/>
      <c r="AT862" s="46"/>
      <c r="AU862" s="46"/>
      <c r="AV862" s="46"/>
      <c r="AW862" s="46"/>
      <c r="AX862" s="46"/>
      <c r="AY862" s="46"/>
      <c r="AZ862" s="46"/>
      <c r="BA862" s="46"/>
      <c r="BB862" s="46"/>
      <c r="BC862" s="46"/>
      <c r="BD862" s="46"/>
      <c r="BE862" s="46"/>
      <c r="BF862" s="46"/>
      <c r="BG862" s="46"/>
      <c r="BH862" s="46"/>
      <c r="BI862" s="46"/>
      <c r="BJ862" s="46"/>
      <c r="BK862" s="46"/>
      <c r="BL862" s="46"/>
      <c r="BM862" s="46"/>
      <c r="BN862" s="46"/>
      <c r="BO862" s="46"/>
      <c r="BP862" s="46"/>
      <c r="BQ862" s="46"/>
      <c r="BR862" s="46"/>
      <c r="BS862" s="46"/>
      <c r="BT862" s="46"/>
      <c r="BU862" s="46"/>
      <c r="BV862" s="46"/>
      <c r="BW862" s="46"/>
      <c r="BX862" s="46"/>
      <c r="BY862" s="46"/>
      <c r="BZ862" s="46"/>
      <c r="CA862" s="46"/>
      <c r="CB862" s="46"/>
      <c r="CC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c r="BA863" s="46"/>
      <c r="BB863" s="46"/>
      <c r="BC863" s="46"/>
      <c r="BD863" s="46"/>
      <c r="BE863" s="46"/>
      <c r="BF863" s="46"/>
      <c r="BG863" s="46"/>
      <c r="BH863" s="46"/>
      <c r="BI863" s="46"/>
      <c r="BJ863" s="46"/>
      <c r="BK863" s="46"/>
      <c r="BL863" s="46"/>
      <c r="BM863" s="46"/>
      <c r="BN863" s="46"/>
      <c r="BO863" s="46"/>
      <c r="BP863" s="46"/>
      <c r="BQ863" s="46"/>
      <c r="BR863" s="46"/>
      <c r="BS863" s="46"/>
      <c r="BT863" s="46"/>
      <c r="BU863" s="46"/>
      <c r="BV863" s="46"/>
      <c r="BW863" s="46"/>
      <c r="BX863" s="46"/>
      <c r="BY863" s="46"/>
      <c r="BZ863" s="46"/>
      <c r="CA863" s="46"/>
      <c r="CB863" s="46"/>
      <c r="CC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c r="AM864" s="46"/>
      <c r="AN864" s="46"/>
      <c r="AO864" s="46"/>
      <c r="AP864" s="46"/>
      <c r="AQ864" s="46"/>
      <c r="AR864" s="46"/>
      <c r="AS864" s="46"/>
      <c r="AT864" s="46"/>
      <c r="AU864" s="46"/>
      <c r="AV864" s="46"/>
      <c r="AW864" s="46"/>
      <c r="AX864" s="46"/>
      <c r="AY864" s="46"/>
      <c r="AZ864" s="46"/>
      <c r="BA864" s="46"/>
      <c r="BB864" s="46"/>
      <c r="BC864" s="46"/>
      <c r="BD864" s="46"/>
      <c r="BE864" s="46"/>
      <c r="BF864" s="46"/>
      <c r="BG864" s="46"/>
      <c r="BH864" s="46"/>
      <c r="BI864" s="46"/>
      <c r="BJ864" s="46"/>
      <c r="BK864" s="46"/>
      <c r="BL864" s="46"/>
      <c r="BM864" s="46"/>
      <c r="BN864" s="46"/>
      <c r="BO864" s="46"/>
      <c r="BP864" s="46"/>
      <c r="BQ864" s="46"/>
      <c r="BR864" s="46"/>
      <c r="BS864" s="46"/>
      <c r="BT864" s="46"/>
      <c r="BU864" s="46"/>
      <c r="BV864" s="46"/>
      <c r="BW864" s="46"/>
      <c r="BX864" s="46"/>
      <c r="BY864" s="46"/>
      <c r="BZ864" s="46"/>
      <c r="CA864" s="46"/>
      <c r="CB864" s="46"/>
      <c r="CC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c r="AN865" s="46"/>
      <c r="AO865" s="46"/>
      <c r="AP865" s="46"/>
      <c r="AQ865" s="46"/>
      <c r="AR865" s="46"/>
      <c r="AS865" s="46"/>
      <c r="AT865" s="46"/>
      <c r="AU865" s="46"/>
      <c r="AV865" s="46"/>
      <c r="AW865" s="46"/>
      <c r="AX865" s="46"/>
      <c r="AY865" s="46"/>
      <c r="AZ865" s="46"/>
      <c r="BA865" s="46"/>
      <c r="BB865" s="46"/>
      <c r="BC865" s="46"/>
      <c r="BD865" s="46"/>
      <c r="BE865" s="46"/>
      <c r="BF865" s="46"/>
      <c r="BG865" s="46"/>
      <c r="BH865" s="46"/>
      <c r="BI865" s="46"/>
      <c r="BJ865" s="46"/>
      <c r="BK865" s="46"/>
      <c r="BL865" s="46"/>
      <c r="BM865" s="46"/>
      <c r="BN865" s="46"/>
      <c r="BO865" s="46"/>
      <c r="BP865" s="46"/>
      <c r="BQ865" s="46"/>
      <c r="BR865" s="46"/>
      <c r="BS865" s="46"/>
      <c r="BT865" s="46"/>
      <c r="BU865" s="46"/>
      <c r="BV865" s="46"/>
      <c r="BW865" s="46"/>
      <c r="BX865" s="46"/>
      <c r="BY865" s="46"/>
      <c r="BZ865" s="46"/>
      <c r="CA865" s="46"/>
      <c r="CB865" s="46"/>
      <c r="CC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c r="AN866" s="46"/>
      <c r="AO866" s="46"/>
      <c r="AP866" s="46"/>
      <c r="AQ866" s="46"/>
      <c r="AR866" s="46"/>
      <c r="AS866" s="46"/>
      <c r="AT866" s="46"/>
      <c r="AU866" s="46"/>
      <c r="AV866" s="46"/>
      <c r="AW866" s="46"/>
      <c r="AX866" s="46"/>
      <c r="AY866" s="46"/>
      <c r="AZ866" s="46"/>
      <c r="BA866" s="46"/>
      <c r="BB866" s="46"/>
      <c r="BC866" s="46"/>
      <c r="BD866" s="46"/>
      <c r="BE866" s="46"/>
      <c r="BF866" s="46"/>
      <c r="BG866" s="46"/>
      <c r="BH866" s="46"/>
      <c r="BI866" s="46"/>
      <c r="BJ866" s="46"/>
      <c r="BK866" s="46"/>
      <c r="BL866" s="46"/>
      <c r="BM866" s="46"/>
      <c r="BN866" s="46"/>
      <c r="BO866" s="46"/>
      <c r="BP866" s="46"/>
      <c r="BQ866" s="46"/>
      <c r="BR866" s="46"/>
      <c r="BS866" s="46"/>
      <c r="BT866" s="46"/>
      <c r="BU866" s="46"/>
      <c r="BV866" s="46"/>
      <c r="BW866" s="46"/>
      <c r="BX866" s="46"/>
      <c r="BY866" s="46"/>
      <c r="BZ866" s="46"/>
      <c r="CA866" s="46"/>
      <c r="CB866" s="46"/>
      <c r="CC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c r="AN867" s="46"/>
      <c r="AO867" s="46"/>
      <c r="AP867" s="46"/>
      <c r="AQ867" s="46"/>
      <c r="AR867" s="46"/>
      <c r="AS867" s="46"/>
      <c r="AT867" s="46"/>
      <c r="AU867" s="46"/>
      <c r="AV867" s="46"/>
      <c r="AW867" s="46"/>
      <c r="AX867" s="46"/>
      <c r="AY867" s="46"/>
      <c r="AZ867" s="46"/>
      <c r="BA867" s="46"/>
      <c r="BB867" s="46"/>
      <c r="BC867" s="46"/>
      <c r="BD867" s="46"/>
      <c r="BE867" s="46"/>
      <c r="BF867" s="46"/>
      <c r="BG867" s="46"/>
      <c r="BH867" s="46"/>
      <c r="BI867" s="46"/>
      <c r="BJ867" s="46"/>
      <c r="BK867" s="46"/>
      <c r="BL867" s="46"/>
      <c r="BM867" s="46"/>
      <c r="BN867" s="46"/>
      <c r="BO867" s="46"/>
      <c r="BP867" s="46"/>
      <c r="BQ867" s="46"/>
      <c r="BR867" s="46"/>
      <c r="BS867" s="46"/>
      <c r="BT867" s="46"/>
      <c r="BU867" s="46"/>
      <c r="BV867" s="46"/>
      <c r="BW867" s="46"/>
      <c r="BX867" s="46"/>
      <c r="BY867" s="46"/>
      <c r="BZ867" s="46"/>
      <c r="CA867" s="46"/>
      <c r="CB867" s="46"/>
      <c r="CC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c r="AM868" s="46"/>
      <c r="AN868" s="46"/>
      <c r="AO868" s="46"/>
      <c r="AP868" s="46"/>
      <c r="AQ868" s="46"/>
      <c r="AR868" s="46"/>
      <c r="AS868" s="46"/>
      <c r="AT868" s="46"/>
      <c r="AU868" s="46"/>
      <c r="AV868" s="46"/>
      <c r="AW868" s="46"/>
      <c r="AX868" s="46"/>
      <c r="AY868" s="46"/>
      <c r="AZ868" s="46"/>
      <c r="BA868" s="46"/>
      <c r="BB868" s="46"/>
      <c r="BC868" s="46"/>
      <c r="BD868" s="46"/>
      <c r="BE868" s="46"/>
      <c r="BF868" s="46"/>
      <c r="BG868" s="46"/>
      <c r="BH868" s="46"/>
      <c r="BI868" s="46"/>
      <c r="BJ868" s="46"/>
      <c r="BK868" s="46"/>
      <c r="BL868" s="46"/>
      <c r="BM868" s="46"/>
      <c r="BN868" s="46"/>
      <c r="BO868" s="46"/>
      <c r="BP868" s="46"/>
      <c r="BQ868" s="46"/>
      <c r="BR868" s="46"/>
      <c r="BS868" s="46"/>
      <c r="BT868" s="46"/>
      <c r="BU868" s="46"/>
      <c r="BV868" s="46"/>
      <c r="BW868" s="46"/>
      <c r="BX868" s="46"/>
      <c r="BY868" s="46"/>
      <c r="BZ868" s="46"/>
      <c r="CA868" s="46"/>
      <c r="CB868" s="46"/>
      <c r="CC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c r="AM869" s="46"/>
      <c r="AN869" s="46"/>
      <c r="AO869" s="46"/>
      <c r="AP869" s="46"/>
      <c r="AQ869" s="46"/>
      <c r="AR869" s="46"/>
      <c r="AS869" s="46"/>
      <c r="AT869" s="46"/>
      <c r="AU869" s="46"/>
      <c r="AV869" s="46"/>
      <c r="AW869" s="46"/>
      <c r="AX869" s="46"/>
      <c r="AY869" s="46"/>
      <c r="AZ869" s="46"/>
      <c r="BA869" s="46"/>
      <c r="BB869" s="46"/>
      <c r="BC869" s="46"/>
      <c r="BD869" s="46"/>
      <c r="BE869" s="46"/>
      <c r="BF869" s="46"/>
      <c r="BG869" s="46"/>
      <c r="BH869" s="46"/>
      <c r="BI869" s="46"/>
      <c r="BJ869" s="46"/>
      <c r="BK869" s="46"/>
      <c r="BL869" s="46"/>
      <c r="BM869" s="46"/>
      <c r="BN869" s="46"/>
      <c r="BO869" s="46"/>
      <c r="BP869" s="46"/>
      <c r="BQ869" s="46"/>
      <c r="BR869" s="46"/>
      <c r="BS869" s="46"/>
      <c r="BT869" s="46"/>
      <c r="BU869" s="46"/>
      <c r="BV869" s="46"/>
      <c r="BW869" s="46"/>
      <c r="BX869" s="46"/>
      <c r="BY869" s="46"/>
      <c r="BZ869" s="46"/>
      <c r="CA869" s="46"/>
      <c r="CB869" s="46"/>
      <c r="CC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c r="AN870" s="46"/>
      <c r="AO870" s="46"/>
      <c r="AP870" s="46"/>
      <c r="AQ870" s="46"/>
      <c r="AR870" s="46"/>
      <c r="AS870" s="46"/>
      <c r="AT870" s="46"/>
      <c r="AU870" s="46"/>
      <c r="AV870" s="46"/>
      <c r="AW870" s="46"/>
      <c r="AX870" s="46"/>
      <c r="AY870" s="46"/>
      <c r="AZ870" s="46"/>
      <c r="BA870" s="46"/>
      <c r="BB870" s="46"/>
      <c r="BC870" s="46"/>
      <c r="BD870" s="46"/>
      <c r="BE870" s="46"/>
      <c r="BF870" s="46"/>
      <c r="BG870" s="46"/>
      <c r="BH870" s="46"/>
      <c r="BI870" s="46"/>
      <c r="BJ870" s="46"/>
      <c r="BK870" s="46"/>
      <c r="BL870" s="46"/>
      <c r="BM870" s="46"/>
      <c r="BN870" s="46"/>
      <c r="BO870" s="46"/>
      <c r="BP870" s="46"/>
      <c r="BQ870" s="46"/>
      <c r="BR870" s="46"/>
      <c r="BS870" s="46"/>
      <c r="BT870" s="46"/>
      <c r="BU870" s="46"/>
      <c r="BV870" s="46"/>
      <c r="BW870" s="46"/>
      <c r="BX870" s="46"/>
      <c r="BY870" s="46"/>
      <c r="BZ870" s="46"/>
      <c r="CA870" s="46"/>
      <c r="CB870" s="46"/>
      <c r="CC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c r="BA871" s="46"/>
      <c r="BB871" s="46"/>
      <c r="BC871" s="46"/>
      <c r="BD871" s="46"/>
      <c r="BE871" s="46"/>
      <c r="BF871" s="46"/>
      <c r="BG871" s="46"/>
      <c r="BH871" s="46"/>
      <c r="BI871" s="46"/>
      <c r="BJ871" s="46"/>
      <c r="BK871" s="46"/>
      <c r="BL871" s="46"/>
      <c r="BM871" s="46"/>
      <c r="BN871" s="46"/>
      <c r="BO871" s="46"/>
      <c r="BP871" s="46"/>
      <c r="BQ871" s="46"/>
      <c r="BR871" s="46"/>
      <c r="BS871" s="46"/>
      <c r="BT871" s="46"/>
      <c r="BU871" s="46"/>
      <c r="BV871" s="46"/>
      <c r="BW871" s="46"/>
      <c r="BX871" s="46"/>
      <c r="BY871" s="46"/>
      <c r="BZ871" s="46"/>
      <c r="CA871" s="46"/>
      <c r="CB871" s="46"/>
      <c r="CC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c r="AM872" s="46"/>
      <c r="AN872" s="46"/>
      <c r="AO872" s="46"/>
      <c r="AP872" s="46"/>
      <c r="AQ872" s="46"/>
      <c r="AR872" s="46"/>
      <c r="AS872" s="46"/>
      <c r="AT872" s="46"/>
      <c r="AU872" s="46"/>
      <c r="AV872" s="46"/>
      <c r="AW872" s="46"/>
      <c r="AX872" s="46"/>
      <c r="AY872" s="46"/>
      <c r="AZ872" s="46"/>
      <c r="BA872" s="46"/>
      <c r="BB872" s="46"/>
      <c r="BC872" s="46"/>
      <c r="BD872" s="46"/>
      <c r="BE872" s="46"/>
      <c r="BF872" s="46"/>
      <c r="BG872" s="46"/>
      <c r="BH872" s="46"/>
      <c r="BI872" s="46"/>
      <c r="BJ872" s="46"/>
      <c r="BK872" s="46"/>
      <c r="BL872" s="46"/>
      <c r="BM872" s="46"/>
      <c r="BN872" s="46"/>
      <c r="BO872" s="46"/>
      <c r="BP872" s="46"/>
      <c r="BQ872" s="46"/>
      <c r="BR872" s="46"/>
      <c r="BS872" s="46"/>
      <c r="BT872" s="46"/>
      <c r="BU872" s="46"/>
      <c r="BV872" s="46"/>
      <c r="BW872" s="46"/>
      <c r="BX872" s="46"/>
      <c r="BY872" s="46"/>
      <c r="BZ872" s="46"/>
      <c r="CA872" s="46"/>
      <c r="CB872" s="46"/>
      <c r="CC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c r="BA873" s="46"/>
      <c r="BB873" s="46"/>
      <c r="BC873" s="46"/>
      <c r="BD873" s="46"/>
      <c r="BE873" s="46"/>
      <c r="BF873" s="46"/>
      <c r="BG873" s="46"/>
      <c r="BH873" s="46"/>
      <c r="BI873" s="46"/>
      <c r="BJ873" s="46"/>
      <c r="BK873" s="46"/>
      <c r="BL873" s="46"/>
      <c r="BM873" s="46"/>
      <c r="BN873" s="46"/>
      <c r="BO873" s="46"/>
      <c r="BP873" s="46"/>
      <c r="BQ873" s="46"/>
      <c r="BR873" s="46"/>
      <c r="BS873" s="46"/>
      <c r="BT873" s="46"/>
      <c r="BU873" s="46"/>
      <c r="BV873" s="46"/>
      <c r="BW873" s="46"/>
      <c r="BX873" s="46"/>
      <c r="BY873" s="46"/>
      <c r="BZ873" s="46"/>
      <c r="CA873" s="46"/>
      <c r="CB873" s="46"/>
      <c r="CC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c r="AM874" s="46"/>
      <c r="AN874" s="46"/>
      <c r="AO874" s="46"/>
      <c r="AP874" s="46"/>
      <c r="AQ874" s="46"/>
      <c r="AR874" s="46"/>
      <c r="AS874" s="46"/>
      <c r="AT874" s="46"/>
      <c r="AU874" s="46"/>
      <c r="AV874" s="46"/>
      <c r="AW874" s="46"/>
      <c r="AX874" s="46"/>
      <c r="AY874" s="46"/>
      <c r="AZ874" s="46"/>
      <c r="BA874" s="46"/>
      <c r="BB874" s="46"/>
      <c r="BC874" s="46"/>
      <c r="BD874" s="46"/>
      <c r="BE874" s="46"/>
      <c r="BF874" s="46"/>
      <c r="BG874" s="46"/>
      <c r="BH874" s="46"/>
      <c r="BI874" s="46"/>
      <c r="BJ874" s="46"/>
      <c r="BK874" s="46"/>
      <c r="BL874" s="46"/>
      <c r="BM874" s="46"/>
      <c r="BN874" s="46"/>
      <c r="BO874" s="46"/>
      <c r="BP874" s="46"/>
      <c r="BQ874" s="46"/>
      <c r="BR874" s="46"/>
      <c r="BS874" s="46"/>
      <c r="BT874" s="46"/>
      <c r="BU874" s="46"/>
      <c r="BV874" s="46"/>
      <c r="BW874" s="46"/>
      <c r="BX874" s="46"/>
      <c r="BY874" s="46"/>
      <c r="BZ874" s="46"/>
      <c r="CA874" s="46"/>
      <c r="CB874" s="46"/>
      <c r="CC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c r="AM875" s="46"/>
      <c r="AN875" s="46"/>
      <c r="AO875" s="46"/>
      <c r="AP875" s="46"/>
      <c r="AQ875" s="46"/>
      <c r="AR875" s="46"/>
      <c r="AS875" s="46"/>
      <c r="AT875" s="46"/>
      <c r="AU875" s="46"/>
      <c r="AV875" s="46"/>
      <c r="AW875" s="46"/>
      <c r="AX875" s="46"/>
      <c r="AY875" s="46"/>
      <c r="AZ875" s="46"/>
      <c r="BA875" s="46"/>
      <c r="BB875" s="46"/>
      <c r="BC875" s="46"/>
      <c r="BD875" s="46"/>
      <c r="BE875" s="46"/>
      <c r="BF875" s="46"/>
      <c r="BG875" s="46"/>
      <c r="BH875" s="46"/>
      <c r="BI875" s="46"/>
      <c r="BJ875" s="46"/>
      <c r="BK875" s="46"/>
      <c r="BL875" s="46"/>
      <c r="BM875" s="46"/>
      <c r="BN875" s="46"/>
      <c r="BO875" s="46"/>
      <c r="BP875" s="46"/>
      <c r="BQ875" s="46"/>
      <c r="BR875" s="46"/>
      <c r="BS875" s="46"/>
      <c r="BT875" s="46"/>
      <c r="BU875" s="46"/>
      <c r="BV875" s="46"/>
      <c r="BW875" s="46"/>
      <c r="BX875" s="46"/>
      <c r="BY875" s="46"/>
      <c r="BZ875" s="46"/>
      <c r="CA875" s="46"/>
      <c r="CB875" s="46"/>
      <c r="CC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c r="BA876" s="46"/>
      <c r="BB876" s="46"/>
      <c r="BC876" s="46"/>
      <c r="BD876" s="46"/>
      <c r="BE876" s="46"/>
      <c r="BF876" s="46"/>
      <c r="BG876" s="46"/>
      <c r="BH876" s="46"/>
      <c r="BI876" s="46"/>
      <c r="BJ876" s="46"/>
      <c r="BK876" s="46"/>
      <c r="BL876" s="46"/>
      <c r="BM876" s="46"/>
      <c r="BN876" s="46"/>
      <c r="BO876" s="46"/>
      <c r="BP876" s="46"/>
      <c r="BQ876" s="46"/>
      <c r="BR876" s="46"/>
      <c r="BS876" s="46"/>
      <c r="BT876" s="46"/>
      <c r="BU876" s="46"/>
      <c r="BV876" s="46"/>
      <c r="BW876" s="46"/>
      <c r="BX876" s="46"/>
      <c r="BY876" s="46"/>
      <c r="BZ876" s="46"/>
      <c r="CA876" s="46"/>
      <c r="CB876" s="46"/>
      <c r="CC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c r="AN877" s="46"/>
      <c r="AO877" s="46"/>
      <c r="AP877" s="46"/>
      <c r="AQ877" s="46"/>
      <c r="AR877" s="46"/>
      <c r="AS877" s="46"/>
      <c r="AT877" s="46"/>
      <c r="AU877" s="46"/>
      <c r="AV877" s="46"/>
      <c r="AW877" s="46"/>
      <c r="AX877" s="46"/>
      <c r="AY877" s="46"/>
      <c r="AZ877" s="46"/>
      <c r="BA877" s="46"/>
      <c r="BB877" s="46"/>
      <c r="BC877" s="46"/>
      <c r="BD877" s="46"/>
      <c r="BE877" s="46"/>
      <c r="BF877" s="46"/>
      <c r="BG877" s="46"/>
      <c r="BH877" s="46"/>
      <c r="BI877" s="46"/>
      <c r="BJ877" s="46"/>
      <c r="BK877" s="46"/>
      <c r="BL877" s="46"/>
      <c r="BM877" s="46"/>
      <c r="BN877" s="46"/>
      <c r="BO877" s="46"/>
      <c r="BP877" s="46"/>
      <c r="BQ877" s="46"/>
      <c r="BR877" s="46"/>
      <c r="BS877" s="46"/>
      <c r="BT877" s="46"/>
      <c r="BU877" s="46"/>
      <c r="BV877" s="46"/>
      <c r="BW877" s="46"/>
      <c r="BX877" s="46"/>
      <c r="BY877" s="46"/>
      <c r="BZ877" s="46"/>
      <c r="CA877" s="46"/>
      <c r="CB877" s="46"/>
      <c r="CC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c r="AN878" s="46"/>
      <c r="AO878" s="46"/>
      <c r="AP878" s="46"/>
      <c r="AQ878" s="46"/>
      <c r="AR878" s="46"/>
      <c r="AS878" s="46"/>
      <c r="AT878" s="46"/>
      <c r="AU878" s="46"/>
      <c r="AV878" s="46"/>
      <c r="AW878" s="46"/>
      <c r="AX878" s="46"/>
      <c r="AY878" s="46"/>
      <c r="AZ878" s="46"/>
      <c r="BA878" s="46"/>
      <c r="BB878" s="46"/>
      <c r="BC878" s="46"/>
      <c r="BD878" s="46"/>
      <c r="BE878" s="46"/>
      <c r="BF878" s="46"/>
      <c r="BG878" s="46"/>
      <c r="BH878" s="46"/>
      <c r="BI878" s="46"/>
      <c r="BJ878" s="46"/>
      <c r="BK878" s="46"/>
      <c r="BL878" s="46"/>
      <c r="BM878" s="46"/>
      <c r="BN878" s="46"/>
      <c r="BO878" s="46"/>
      <c r="BP878" s="46"/>
      <c r="BQ878" s="46"/>
      <c r="BR878" s="46"/>
      <c r="BS878" s="46"/>
      <c r="BT878" s="46"/>
      <c r="BU878" s="46"/>
      <c r="BV878" s="46"/>
      <c r="BW878" s="46"/>
      <c r="BX878" s="46"/>
      <c r="BY878" s="46"/>
      <c r="BZ878" s="46"/>
      <c r="CA878" s="46"/>
      <c r="CB878" s="46"/>
      <c r="CC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c r="AM879" s="46"/>
      <c r="AN879" s="46"/>
      <c r="AO879" s="46"/>
      <c r="AP879" s="46"/>
      <c r="AQ879" s="46"/>
      <c r="AR879" s="46"/>
      <c r="AS879" s="46"/>
      <c r="AT879" s="46"/>
      <c r="AU879" s="46"/>
      <c r="AV879" s="46"/>
      <c r="AW879" s="46"/>
      <c r="AX879" s="46"/>
      <c r="AY879" s="46"/>
      <c r="AZ879" s="46"/>
      <c r="BA879" s="46"/>
      <c r="BB879" s="46"/>
      <c r="BC879" s="46"/>
      <c r="BD879" s="46"/>
      <c r="BE879" s="46"/>
      <c r="BF879" s="46"/>
      <c r="BG879" s="46"/>
      <c r="BH879" s="46"/>
      <c r="BI879" s="46"/>
      <c r="BJ879" s="46"/>
      <c r="BK879" s="46"/>
      <c r="BL879" s="46"/>
      <c r="BM879" s="46"/>
      <c r="BN879" s="46"/>
      <c r="BO879" s="46"/>
      <c r="BP879" s="46"/>
      <c r="BQ879" s="46"/>
      <c r="BR879" s="46"/>
      <c r="BS879" s="46"/>
      <c r="BT879" s="46"/>
      <c r="BU879" s="46"/>
      <c r="BV879" s="46"/>
      <c r="BW879" s="46"/>
      <c r="BX879" s="46"/>
      <c r="BY879" s="46"/>
      <c r="BZ879" s="46"/>
      <c r="CA879" s="46"/>
      <c r="CB879" s="46"/>
      <c r="CC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c r="AM880" s="46"/>
      <c r="AN880" s="46"/>
      <c r="AO880" s="46"/>
      <c r="AP880" s="46"/>
      <c r="AQ880" s="46"/>
      <c r="AR880" s="46"/>
      <c r="AS880" s="46"/>
      <c r="AT880" s="46"/>
      <c r="AU880" s="46"/>
      <c r="AV880" s="46"/>
      <c r="AW880" s="46"/>
      <c r="AX880" s="46"/>
      <c r="AY880" s="46"/>
      <c r="AZ880" s="46"/>
      <c r="BA880" s="46"/>
      <c r="BB880" s="46"/>
      <c r="BC880" s="46"/>
      <c r="BD880" s="46"/>
      <c r="BE880" s="46"/>
      <c r="BF880" s="46"/>
      <c r="BG880" s="46"/>
      <c r="BH880" s="46"/>
      <c r="BI880" s="46"/>
      <c r="BJ880" s="46"/>
      <c r="BK880" s="46"/>
      <c r="BL880" s="46"/>
      <c r="BM880" s="46"/>
      <c r="BN880" s="46"/>
      <c r="BO880" s="46"/>
      <c r="BP880" s="46"/>
      <c r="BQ880" s="46"/>
      <c r="BR880" s="46"/>
      <c r="BS880" s="46"/>
      <c r="BT880" s="46"/>
      <c r="BU880" s="46"/>
      <c r="BV880" s="46"/>
      <c r="BW880" s="46"/>
      <c r="BX880" s="46"/>
      <c r="BY880" s="46"/>
      <c r="BZ880" s="46"/>
      <c r="CA880" s="46"/>
      <c r="CB880" s="46"/>
      <c r="CC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c r="AN881" s="46"/>
      <c r="AO881" s="46"/>
      <c r="AP881" s="46"/>
      <c r="AQ881" s="46"/>
      <c r="AR881" s="46"/>
      <c r="AS881" s="46"/>
      <c r="AT881" s="46"/>
      <c r="AU881" s="46"/>
      <c r="AV881" s="46"/>
      <c r="AW881" s="46"/>
      <c r="AX881" s="46"/>
      <c r="AY881" s="46"/>
      <c r="AZ881" s="46"/>
      <c r="BA881" s="46"/>
      <c r="BB881" s="46"/>
      <c r="BC881" s="46"/>
      <c r="BD881" s="46"/>
      <c r="BE881" s="46"/>
      <c r="BF881" s="46"/>
      <c r="BG881" s="46"/>
      <c r="BH881" s="46"/>
      <c r="BI881" s="46"/>
      <c r="BJ881" s="46"/>
      <c r="BK881" s="46"/>
      <c r="BL881" s="46"/>
      <c r="BM881" s="46"/>
      <c r="BN881" s="46"/>
      <c r="BO881" s="46"/>
      <c r="BP881" s="46"/>
      <c r="BQ881" s="46"/>
      <c r="BR881" s="46"/>
      <c r="BS881" s="46"/>
      <c r="BT881" s="46"/>
      <c r="BU881" s="46"/>
      <c r="BV881" s="46"/>
      <c r="BW881" s="46"/>
      <c r="BX881" s="46"/>
      <c r="BY881" s="46"/>
      <c r="BZ881" s="46"/>
      <c r="CA881" s="46"/>
      <c r="CB881" s="46"/>
      <c r="CC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c r="AN882" s="46"/>
      <c r="AO882" s="46"/>
      <c r="AP882" s="46"/>
      <c r="AQ882" s="46"/>
      <c r="AR882" s="46"/>
      <c r="AS882" s="46"/>
      <c r="AT882" s="46"/>
      <c r="AU882" s="46"/>
      <c r="AV882" s="46"/>
      <c r="AW882" s="46"/>
      <c r="AX882" s="46"/>
      <c r="AY882" s="46"/>
      <c r="AZ882" s="46"/>
      <c r="BA882" s="46"/>
      <c r="BB882" s="46"/>
      <c r="BC882" s="46"/>
      <c r="BD882" s="46"/>
      <c r="BE882" s="46"/>
      <c r="BF882" s="46"/>
      <c r="BG882" s="46"/>
      <c r="BH882" s="46"/>
      <c r="BI882" s="46"/>
      <c r="BJ882" s="46"/>
      <c r="BK882" s="46"/>
      <c r="BL882" s="46"/>
      <c r="BM882" s="46"/>
      <c r="BN882" s="46"/>
      <c r="BO882" s="46"/>
      <c r="BP882" s="46"/>
      <c r="BQ882" s="46"/>
      <c r="BR882" s="46"/>
      <c r="BS882" s="46"/>
      <c r="BT882" s="46"/>
      <c r="BU882" s="46"/>
      <c r="BV882" s="46"/>
      <c r="BW882" s="46"/>
      <c r="BX882" s="46"/>
      <c r="BY882" s="46"/>
      <c r="BZ882" s="46"/>
      <c r="CA882" s="46"/>
      <c r="CB882" s="46"/>
      <c r="CC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c r="AM883" s="46"/>
      <c r="AN883" s="46"/>
      <c r="AO883" s="46"/>
      <c r="AP883" s="46"/>
      <c r="AQ883" s="46"/>
      <c r="AR883" s="46"/>
      <c r="AS883" s="46"/>
      <c r="AT883" s="46"/>
      <c r="AU883" s="46"/>
      <c r="AV883" s="46"/>
      <c r="AW883" s="46"/>
      <c r="AX883" s="46"/>
      <c r="AY883" s="46"/>
      <c r="AZ883" s="46"/>
      <c r="BA883" s="46"/>
      <c r="BB883" s="46"/>
      <c r="BC883" s="46"/>
      <c r="BD883" s="46"/>
      <c r="BE883" s="46"/>
      <c r="BF883" s="46"/>
      <c r="BG883" s="46"/>
      <c r="BH883" s="46"/>
      <c r="BI883" s="46"/>
      <c r="BJ883" s="46"/>
      <c r="BK883" s="46"/>
      <c r="BL883" s="46"/>
      <c r="BM883" s="46"/>
      <c r="BN883" s="46"/>
      <c r="BO883" s="46"/>
      <c r="BP883" s="46"/>
      <c r="BQ883" s="46"/>
      <c r="BR883" s="46"/>
      <c r="BS883" s="46"/>
      <c r="BT883" s="46"/>
      <c r="BU883" s="46"/>
      <c r="BV883" s="46"/>
      <c r="BW883" s="46"/>
      <c r="BX883" s="46"/>
      <c r="BY883" s="46"/>
      <c r="BZ883" s="46"/>
      <c r="CA883" s="46"/>
      <c r="CB883" s="46"/>
      <c r="CC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c r="BA884" s="46"/>
      <c r="BB884" s="46"/>
      <c r="BC884" s="46"/>
      <c r="BD884" s="46"/>
      <c r="BE884" s="46"/>
      <c r="BF884" s="46"/>
      <c r="BG884" s="46"/>
      <c r="BH884" s="46"/>
      <c r="BI884" s="46"/>
      <c r="BJ884" s="46"/>
      <c r="BK884" s="46"/>
      <c r="BL884" s="46"/>
      <c r="BM884" s="46"/>
      <c r="BN884" s="46"/>
      <c r="BO884" s="46"/>
      <c r="BP884" s="46"/>
      <c r="BQ884" s="46"/>
      <c r="BR884" s="46"/>
      <c r="BS884" s="46"/>
      <c r="BT884" s="46"/>
      <c r="BU884" s="46"/>
      <c r="BV884" s="46"/>
      <c r="BW884" s="46"/>
      <c r="BX884" s="46"/>
      <c r="BY884" s="46"/>
      <c r="BZ884" s="46"/>
      <c r="CA884" s="46"/>
      <c r="CB884" s="46"/>
      <c r="CC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c r="AN885" s="46"/>
      <c r="AO885" s="46"/>
      <c r="AP885" s="46"/>
      <c r="AQ885" s="46"/>
      <c r="AR885" s="46"/>
      <c r="AS885" s="46"/>
      <c r="AT885" s="46"/>
      <c r="AU885" s="46"/>
      <c r="AV885" s="46"/>
      <c r="AW885" s="46"/>
      <c r="AX885" s="46"/>
      <c r="AY885" s="46"/>
      <c r="AZ885" s="46"/>
      <c r="BA885" s="46"/>
      <c r="BB885" s="46"/>
      <c r="BC885" s="46"/>
      <c r="BD885" s="46"/>
      <c r="BE885" s="46"/>
      <c r="BF885" s="46"/>
      <c r="BG885" s="46"/>
      <c r="BH885" s="46"/>
      <c r="BI885" s="46"/>
      <c r="BJ885" s="46"/>
      <c r="BK885" s="46"/>
      <c r="BL885" s="46"/>
      <c r="BM885" s="46"/>
      <c r="BN885" s="46"/>
      <c r="BO885" s="46"/>
      <c r="BP885" s="46"/>
      <c r="BQ885" s="46"/>
      <c r="BR885" s="46"/>
      <c r="BS885" s="46"/>
      <c r="BT885" s="46"/>
      <c r="BU885" s="46"/>
      <c r="BV885" s="46"/>
      <c r="BW885" s="46"/>
      <c r="BX885" s="46"/>
      <c r="BY885" s="46"/>
      <c r="BZ885" s="46"/>
      <c r="CA885" s="46"/>
      <c r="CB885" s="46"/>
      <c r="CC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c r="AM886" s="46"/>
      <c r="AN886" s="46"/>
      <c r="AO886" s="46"/>
      <c r="AP886" s="46"/>
      <c r="AQ886" s="46"/>
      <c r="AR886" s="46"/>
      <c r="AS886" s="46"/>
      <c r="AT886" s="46"/>
      <c r="AU886" s="46"/>
      <c r="AV886" s="46"/>
      <c r="AW886" s="46"/>
      <c r="AX886" s="46"/>
      <c r="AY886" s="46"/>
      <c r="AZ886" s="46"/>
      <c r="BA886" s="46"/>
      <c r="BB886" s="46"/>
      <c r="BC886" s="46"/>
      <c r="BD886" s="46"/>
      <c r="BE886" s="46"/>
      <c r="BF886" s="46"/>
      <c r="BG886" s="46"/>
      <c r="BH886" s="46"/>
      <c r="BI886" s="46"/>
      <c r="BJ886" s="46"/>
      <c r="BK886" s="46"/>
      <c r="BL886" s="46"/>
      <c r="BM886" s="46"/>
      <c r="BN886" s="46"/>
      <c r="BO886" s="46"/>
      <c r="BP886" s="46"/>
      <c r="BQ886" s="46"/>
      <c r="BR886" s="46"/>
      <c r="BS886" s="46"/>
      <c r="BT886" s="46"/>
      <c r="BU886" s="46"/>
      <c r="BV886" s="46"/>
      <c r="BW886" s="46"/>
      <c r="BX886" s="46"/>
      <c r="BY886" s="46"/>
      <c r="BZ886" s="46"/>
      <c r="CA886" s="46"/>
      <c r="CB886" s="46"/>
      <c r="CC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c r="AM887" s="46"/>
      <c r="AN887" s="46"/>
      <c r="AO887" s="46"/>
      <c r="AP887" s="46"/>
      <c r="AQ887" s="46"/>
      <c r="AR887" s="46"/>
      <c r="AS887" s="46"/>
      <c r="AT887" s="46"/>
      <c r="AU887" s="46"/>
      <c r="AV887" s="46"/>
      <c r="AW887" s="46"/>
      <c r="AX887" s="46"/>
      <c r="AY887" s="46"/>
      <c r="AZ887" s="46"/>
      <c r="BA887" s="46"/>
      <c r="BB887" s="46"/>
      <c r="BC887" s="46"/>
      <c r="BD887" s="46"/>
      <c r="BE887" s="46"/>
      <c r="BF887" s="46"/>
      <c r="BG887" s="46"/>
      <c r="BH887" s="46"/>
      <c r="BI887" s="46"/>
      <c r="BJ887" s="46"/>
      <c r="BK887" s="46"/>
      <c r="BL887" s="46"/>
      <c r="BM887" s="46"/>
      <c r="BN887" s="46"/>
      <c r="BO887" s="46"/>
      <c r="BP887" s="46"/>
      <c r="BQ887" s="46"/>
      <c r="BR887" s="46"/>
      <c r="BS887" s="46"/>
      <c r="BT887" s="46"/>
      <c r="BU887" s="46"/>
      <c r="BV887" s="46"/>
      <c r="BW887" s="46"/>
      <c r="BX887" s="46"/>
      <c r="BY887" s="46"/>
      <c r="BZ887" s="46"/>
      <c r="CA887" s="46"/>
      <c r="CB887" s="46"/>
      <c r="CC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c r="AN888" s="46"/>
      <c r="AO888" s="46"/>
      <c r="AP888" s="46"/>
      <c r="AQ888" s="46"/>
      <c r="AR888" s="46"/>
      <c r="AS888" s="46"/>
      <c r="AT888" s="46"/>
      <c r="AU888" s="46"/>
      <c r="AV888" s="46"/>
      <c r="AW888" s="46"/>
      <c r="AX888" s="46"/>
      <c r="AY888" s="46"/>
      <c r="AZ888" s="46"/>
      <c r="BA888" s="46"/>
      <c r="BB888" s="46"/>
      <c r="BC888" s="46"/>
      <c r="BD888" s="46"/>
      <c r="BE888" s="46"/>
      <c r="BF888" s="46"/>
      <c r="BG888" s="46"/>
      <c r="BH888" s="46"/>
      <c r="BI888" s="46"/>
      <c r="BJ888" s="46"/>
      <c r="BK888" s="46"/>
      <c r="BL888" s="46"/>
      <c r="BM888" s="46"/>
      <c r="BN888" s="46"/>
      <c r="BO888" s="46"/>
      <c r="BP888" s="46"/>
      <c r="BQ888" s="46"/>
      <c r="BR888" s="46"/>
      <c r="BS888" s="46"/>
      <c r="BT888" s="46"/>
      <c r="BU888" s="46"/>
      <c r="BV888" s="46"/>
      <c r="BW888" s="46"/>
      <c r="BX888" s="46"/>
      <c r="BY888" s="46"/>
      <c r="BZ888" s="46"/>
      <c r="CA888" s="46"/>
      <c r="CB888" s="46"/>
      <c r="CC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c r="AN889" s="46"/>
      <c r="AO889" s="46"/>
      <c r="AP889" s="46"/>
      <c r="AQ889" s="46"/>
      <c r="AR889" s="46"/>
      <c r="AS889" s="46"/>
      <c r="AT889" s="46"/>
      <c r="AU889" s="46"/>
      <c r="AV889" s="46"/>
      <c r="AW889" s="46"/>
      <c r="AX889" s="46"/>
      <c r="AY889" s="46"/>
      <c r="AZ889" s="46"/>
      <c r="BA889" s="46"/>
      <c r="BB889" s="46"/>
      <c r="BC889" s="46"/>
      <c r="BD889" s="46"/>
      <c r="BE889" s="46"/>
      <c r="BF889" s="46"/>
      <c r="BG889" s="46"/>
      <c r="BH889" s="46"/>
      <c r="BI889" s="46"/>
      <c r="BJ889" s="46"/>
      <c r="BK889" s="46"/>
      <c r="BL889" s="46"/>
      <c r="BM889" s="46"/>
      <c r="BN889" s="46"/>
      <c r="BO889" s="46"/>
      <c r="BP889" s="46"/>
      <c r="BQ889" s="46"/>
      <c r="BR889" s="46"/>
      <c r="BS889" s="46"/>
      <c r="BT889" s="46"/>
      <c r="BU889" s="46"/>
      <c r="BV889" s="46"/>
      <c r="BW889" s="46"/>
      <c r="BX889" s="46"/>
      <c r="BY889" s="46"/>
      <c r="BZ889" s="46"/>
      <c r="CA889" s="46"/>
      <c r="CB889" s="46"/>
      <c r="CC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c r="BA890" s="46"/>
      <c r="BB890" s="46"/>
      <c r="BC890" s="46"/>
      <c r="BD890" s="46"/>
      <c r="BE890" s="46"/>
      <c r="BF890" s="46"/>
      <c r="BG890" s="46"/>
      <c r="BH890" s="46"/>
      <c r="BI890" s="46"/>
      <c r="BJ890" s="46"/>
      <c r="BK890" s="46"/>
      <c r="BL890" s="46"/>
      <c r="BM890" s="46"/>
      <c r="BN890" s="46"/>
      <c r="BO890" s="46"/>
      <c r="BP890" s="46"/>
      <c r="BQ890" s="46"/>
      <c r="BR890" s="46"/>
      <c r="BS890" s="46"/>
      <c r="BT890" s="46"/>
      <c r="BU890" s="46"/>
      <c r="BV890" s="46"/>
      <c r="BW890" s="46"/>
      <c r="BX890" s="46"/>
      <c r="BY890" s="46"/>
      <c r="BZ890" s="46"/>
      <c r="CA890" s="46"/>
      <c r="CB890" s="46"/>
      <c r="CC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c r="AM891" s="46"/>
      <c r="AN891" s="46"/>
      <c r="AO891" s="46"/>
      <c r="AP891" s="46"/>
      <c r="AQ891" s="46"/>
      <c r="AR891" s="46"/>
      <c r="AS891" s="46"/>
      <c r="AT891" s="46"/>
      <c r="AU891" s="46"/>
      <c r="AV891" s="46"/>
      <c r="AW891" s="46"/>
      <c r="AX891" s="46"/>
      <c r="AY891" s="46"/>
      <c r="AZ891" s="46"/>
      <c r="BA891" s="46"/>
      <c r="BB891" s="46"/>
      <c r="BC891" s="46"/>
      <c r="BD891" s="46"/>
      <c r="BE891" s="46"/>
      <c r="BF891" s="46"/>
      <c r="BG891" s="46"/>
      <c r="BH891" s="46"/>
      <c r="BI891" s="46"/>
      <c r="BJ891" s="46"/>
      <c r="BK891" s="46"/>
      <c r="BL891" s="46"/>
      <c r="BM891" s="46"/>
      <c r="BN891" s="46"/>
      <c r="BO891" s="46"/>
      <c r="BP891" s="46"/>
      <c r="BQ891" s="46"/>
      <c r="BR891" s="46"/>
      <c r="BS891" s="46"/>
      <c r="BT891" s="46"/>
      <c r="BU891" s="46"/>
      <c r="BV891" s="46"/>
      <c r="BW891" s="46"/>
      <c r="BX891" s="46"/>
      <c r="BY891" s="46"/>
      <c r="BZ891" s="46"/>
      <c r="CA891" s="46"/>
      <c r="CB891" s="46"/>
      <c r="CC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c r="AM892" s="46"/>
      <c r="AN892" s="46"/>
      <c r="AO892" s="46"/>
      <c r="AP892" s="46"/>
      <c r="AQ892" s="46"/>
      <c r="AR892" s="46"/>
      <c r="AS892" s="46"/>
      <c r="AT892" s="46"/>
      <c r="AU892" s="46"/>
      <c r="AV892" s="46"/>
      <c r="AW892" s="46"/>
      <c r="AX892" s="46"/>
      <c r="AY892" s="46"/>
      <c r="AZ892" s="46"/>
      <c r="BA892" s="46"/>
      <c r="BB892" s="46"/>
      <c r="BC892" s="46"/>
      <c r="BD892" s="46"/>
      <c r="BE892" s="46"/>
      <c r="BF892" s="46"/>
      <c r="BG892" s="46"/>
      <c r="BH892" s="46"/>
      <c r="BI892" s="46"/>
      <c r="BJ892" s="46"/>
      <c r="BK892" s="46"/>
      <c r="BL892" s="46"/>
      <c r="BM892" s="46"/>
      <c r="BN892" s="46"/>
      <c r="BO892" s="46"/>
      <c r="BP892" s="46"/>
      <c r="BQ892" s="46"/>
      <c r="BR892" s="46"/>
      <c r="BS892" s="46"/>
      <c r="BT892" s="46"/>
      <c r="BU892" s="46"/>
      <c r="BV892" s="46"/>
      <c r="BW892" s="46"/>
      <c r="BX892" s="46"/>
      <c r="BY892" s="46"/>
      <c r="BZ892" s="46"/>
      <c r="CA892" s="46"/>
      <c r="CB892" s="46"/>
      <c r="CC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c r="AN893" s="46"/>
      <c r="AO893" s="46"/>
      <c r="AP893" s="46"/>
      <c r="AQ893" s="46"/>
      <c r="AR893" s="46"/>
      <c r="AS893" s="46"/>
      <c r="AT893" s="46"/>
      <c r="AU893" s="46"/>
      <c r="AV893" s="46"/>
      <c r="AW893" s="46"/>
      <c r="AX893" s="46"/>
      <c r="AY893" s="46"/>
      <c r="AZ893" s="46"/>
      <c r="BA893" s="46"/>
      <c r="BB893" s="46"/>
      <c r="BC893" s="46"/>
      <c r="BD893" s="46"/>
      <c r="BE893" s="46"/>
      <c r="BF893" s="46"/>
      <c r="BG893" s="46"/>
      <c r="BH893" s="46"/>
      <c r="BI893" s="46"/>
      <c r="BJ893" s="46"/>
      <c r="BK893" s="46"/>
      <c r="BL893" s="46"/>
      <c r="BM893" s="46"/>
      <c r="BN893" s="46"/>
      <c r="BO893" s="46"/>
      <c r="BP893" s="46"/>
      <c r="BQ893" s="46"/>
      <c r="BR893" s="46"/>
      <c r="BS893" s="46"/>
      <c r="BT893" s="46"/>
      <c r="BU893" s="46"/>
      <c r="BV893" s="46"/>
      <c r="BW893" s="46"/>
      <c r="BX893" s="46"/>
      <c r="BY893" s="46"/>
      <c r="BZ893" s="46"/>
      <c r="CA893" s="46"/>
      <c r="CB893" s="46"/>
      <c r="CC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c r="AN894" s="46"/>
      <c r="AO894" s="46"/>
      <c r="AP894" s="46"/>
      <c r="AQ894" s="46"/>
      <c r="AR894" s="46"/>
      <c r="AS894" s="46"/>
      <c r="AT894" s="46"/>
      <c r="AU894" s="46"/>
      <c r="AV894" s="46"/>
      <c r="AW894" s="46"/>
      <c r="AX894" s="46"/>
      <c r="AY894" s="46"/>
      <c r="AZ894" s="46"/>
      <c r="BA894" s="46"/>
      <c r="BB894" s="46"/>
      <c r="BC894" s="46"/>
      <c r="BD894" s="46"/>
      <c r="BE894" s="46"/>
      <c r="BF894" s="46"/>
      <c r="BG894" s="46"/>
      <c r="BH894" s="46"/>
      <c r="BI894" s="46"/>
      <c r="BJ894" s="46"/>
      <c r="BK894" s="46"/>
      <c r="BL894" s="46"/>
      <c r="BM894" s="46"/>
      <c r="BN894" s="46"/>
      <c r="BO894" s="46"/>
      <c r="BP894" s="46"/>
      <c r="BQ894" s="46"/>
      <c r="BR894" s="46"/>
      <c r="BS894" s="46"/>
      <c r="BT894" s="46"/>
      <c r="BU894" s="46"/>
      <c r="BV894" s="46"/>
      <c r="BW894" s="46"/>
      <c r="BX894" s="46"/>
      <c r="BY894" s="46"/>
      <c r="BZ894" s="46"/>
      <c r="CA894" s="46"/>
      <c r="CB894" s="46"/>
      <c r="CC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c r="AM895" s="46"/>
      <c r="AN895" s="46"/>
      <c r="AO895" s="46"/>
      <c r="AP895" s="46"/>
      <c r="AQ895" s="46"/>
      <c r="AR895" s="46"/>
      <c r="AS895" s="46"/>
      <c r="AT895" s="46"/>
      <c r="AU895" s="46"/>
      <c r="AV895" s="46"/>
      <c r="AW895" s="46"/>
      <c r="AX895" s="46"/>
      <c r="AY895" s="46"/>
      <c r="AZ895" s="46"/>
      <c r="BA895" s="46"/>
      <c r="BB895" s="46"/>
      <c r="BC895" s="46"/>
      <c r="BD895" s="46"/>
      <c r="BE895" s="46"/>
      <c r="BF895" s="46"/>
      <c r="BG895" s="46"/>
      <c r="BH895" s="46"/>
      <c r="BI895" s="46"/>
      <c r="BJ895" s="46"/>
      <c r="BK895" s="46"/>
      <c r="BL895" s="46"/>
      <c r="BM895" s="46"/>
      <c r="BN895" s="46"/>
      <c r="BO895" s="46"/>
      <c r="BP895" s="46"/>
      <c r="BQ895" s="46"/>
      <c r="BR895" s="46"/>
      <c r="BS895" s="46"/>
      <c r="BT895" s="46"/>
      <c r="BU895" s="46"/>
      <c r="BV895" s="46"/>
      <c r="BW895" s="46"/>
      <c r="BX895" s="46"/>
      <c r="BY895" s="46"/>
      <c r="BZ895" s="46"/>
      <c r="CA895" s="46"/>
      <c r="CB895" s="46"/>
      <c r="CC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c r="BA896" s="46"/>
      <c r="BB896" s="46"/>
      <c r="BC896" s="46"/>
      <c r="BD896" s="46"/>
      <c r="BE896" s="46"/>
      <c r="BF896" s="46"/>
      <c r="BG896" s="46"/>
      <c r="BH896" s="46"/>
      <c r="BI896" s="46"/>
      <c r="BJ896" s="46"/>
      <c r="BK896" s="46"/>
      <c r="BL896" s="46"/>
      <c r="BM896" s="46"/>
      <c r="BN896" s="46"/>
      <c r="BO896" s="46"/>
      <c r="BP896" s="46"/>
      <c r="BQ896" s="46"/>
      <c r="BR896" s="46"/>
      <c r="BS896" s="46"/>
      <c r="BT896" s="46"/>
      <c r="BU896" s="46"/>
      <c r="BV896" s="46"/>
      <c r="BW896" s="46"/>
      <c r="BX896" s="46"/>
      <c r="BY896" s="46"/>
      <c r="BZ896" s="46"/>
      <c r="CA896" s="46"/>
      <c r="CB896" s="46"/>
      <c r="CC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c r="AM897" s="46"/>
      <c r="AN897" s="46"/>
      <c r="AO897" s="46"/>
      <c r="AP897" s="46"/>
      <c r="AQ897" s="46"/>
      <c r="AR897" s="46"/>
      <c r="AS897" s="46"/>
      <c r="AT897" s="46"/>
      <c r="AU897" s="46"/>
      <c r="AV897" s="46"/>
      <c r="AW897" s="46"/>
      <c r="AX897" s="46"/>
      <c r="AY897" s="46"/>
      <c r="AZ897" s="46"/>
      <c r="BA897" s="46"/>
      <c r="BB897" s="46"/>
      <c r="BC897" s="46"/>
      <c r="BD897" s="46"/>
      <c r="BE897" s="46"/>
      <c r="BF897" s="46"/>
      <c r="BG897" s="46"/>
      <c r="BH897" s="46"/>
      <c r="BI897" s="46"/>
      <c r="BJ897" s="46"/>
      <c r="BK897" s="46"/>
      <c r="BL897" s="46"/>
      <c r="BM897" s="46"/>
      <c r="BN897" s="46"/>
      <c r="BO897" s="46"/>
      <c r="BP897" s="46"/>
      <c r="BQ897" s="46"/>
      <c r="BR897" s="46"/>
      <c r="BS897" s="46"/>
      <c r="BT897" s="46"/>
      <c r="BU897" s="46"/>
      <c r="BV897" s="46"/>
      <c r="BW897" s="46"/>
      <c r="BX897" s="46"/>
      <c r="BY897" s="46"/>
      <c r="BZ897" s="46"/>
      <c r="CA897" s="46"/>
      <c r="CB897" s="46"/>
      <c r="CC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c r="AN898" s="46"/>
      <c r="AO898" s="46"/>
      <c r="AP898" s="46"/>
      <c r="AQ898" s="46"/>
      <c r="AR898" s="46"/>
      <c r="AS898" s="46"/>
      <c r="AT898" s="46"/>
      <c r="AU898" s="46"/>
      <c r="AV898" s="46"/>
      <c r="AW898" s="46"/>
      <c r="AX898" s="46"/>
      <c r="AY898" s="46"/>
      <c r="AZ898" s="46"/>
      <c r="BA898" s="46"/>
      <c r="BB898" s="46"/>
      <c r="BC898" s="46"/>
      <c r="BD898" s="46"/>
      <c r="BE898" s="46"/>
      <c r="BF898" s="46"/>
      <c r="BG898" s="46"/>
      <c r="BH898" s="46"/>
      <c r="BI898" s="46"/>
      <c r="BJ898" s="46"/>
      <c r="BK898" s="46"/>
      <c r="BL898" s="46"/>
      <c r="BM898" s="46"/>
      <c r="BN898" s="46"/>
      <c r="BO898" s="46"/>
      <c r="BP898" s="46"/>
      <c r="BQ898" s="46"/>
      <c r="BR898" s="46"/>
      <c r="BS898" s="46"/>
      <c r="BT898" s="46"/>
      <c r="BU898" s="46"/>
      <c r="BV898" s="46"/>
      <c r="BW898" s="46"/>
      <c r="BX898" s="46"/>
      <c r="BY898" s="46"/>
      <c r="BZ898" s="46"/>
      <c r="CA898" s="46"/>
      <c r="CB898" s="46"/>
      <c r="CC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c r="AM899" s="46"/>
      <c r="AN899" s="46"/>
      <c r="AO899" s="46"/>
      <c r="AP899" s="46"/>
      <c r="AQ899" s="46"/>
      <c r="AR899" s="46"/>
      <c r="AS899" s="46"/>
      <c r="AT899" s="46"/>
      <c r="AU899" s="46"/>
      <c r="AV899" s="46"/>
      <c r="AW899" s="46"/>
      <c r="AX899" s="46"/>
      <c r="AY899" s="46"/>
      <c r="AZ899" s="46"/>
      <c r="BA899" s="46"/>
      <c r="BB899" s="46"/>
      <c r="BC899" s="46"/>
      <c r="BD899" s="46"/>
      <c r="BE899" s="46"/>
      <c r="BF899" s="46"/>
      <c r="BG899" s="46"/>
      <c r="BH899" s="46"/>
      <c r="BI899" s="46"/>
      <c r="BJ899" s="46"/>
      <c r="BK899" s="46"/>
      <c r="BL899" s="46"/>
      <c r="BM899" s="46"/>
      <c r="BN899" s="46"/>
      <c r="BO899" s="46"/>
      <c r="BP899" s="46"/>
      <c r="BQ899" s="46"/>
      <c r="BR899" s="46"/>
      <c r="BS899" s="46"/>
      <c r="BT899" s="46"/>
      <c r="BU899" s="46"/>
      <c r="BV899" s="46"/>
      <c r="BW899" s="46"/>
      <c r="BX899" s="46"/>
      <c r="BY899" s="46"/>
      <c r="BZ899" s="46"/>
      <c r="CA899" s="46"/>
      <c r="CB899" s="46"/>
      <c r="CC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c r="AN900" s="46"/>
      <c r="AO900" s="46"/>
      <c r="AP900" s="46"/>
      <c r="AQ900" s="46"/>
      <c r="AR900" s="46"/>
      <c r="AS900" s="46"/>
      <c r="AT900" s="46"/>
      <c r="AU900" s="46"/>
      <c r="AV900" s="46"/>
      <c r="AW900" s="46"/>
      <c r="AX900" s="46"/>
      <c r="AY900" s="46"/>
      <c r="AZ900" s="46"/>
      <c r="BA900" s="46"/>
      <c r="BB900" s="46"/>
      <c r="BC900" s="46"/>
      <c r="BD900" s="46"/>
      <c r="BE900" s="46"/>
      <c r="BF900" s="46"/>
      <c r="BG900" s="46"/>
      <c r="BH900" s="46"/>
      <c r="BI900" s="46"/>
      <c r="BJ900" s="46"/>
      <c r="BK900" s="46"/>
      <c r="BL900" s="46"/>
      <c r="BM900" s="46"/>
      <c r="BN900" s="46"/>
      <c r="BO900" s="46"/>
      <c r="BP900" s="46"/>
      <c r="BQ900" s="46"/>
      <c r="BR900" s="46"/>
      <c r="BS900" s="46"/>
      <c r="BT900" s="46"/>
      <c r="BU900" s="46"/>
      <c r="BV900" s="46"/>
      <c r="BW900" s="46"/>
      <c r="BX900" s="46"/>
      <c r="BY900" s="46"/>
      <c r="BZ900" s="46"/>
      <c r="CA900" s="46"/>
      <c r="CB900" s="46"/>
      <c r="CC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c r="AM901" s="46"/>
      <c r="AN901" s="46"/>
      <c r="AO901" s="46"/>
      <c r="AP901" s="46"/>
      <c r="AQ901" s="46"/>
      <c r="AR901" s="46"/>
      <c r="AS901" s="46"/>
      <c r="AT901" s="46"/>
      <c r="AU901" s="46"/>
      <c r="AV901" s="46"/>
      <c r="AW901" s="46"/>
      <c r="AX901" s="46"/>
      <c r="AY901" s="46"/>
      <c r="AZ901" s="46"/>
      <c r="BA901" s="46"/>
      <c r="BB901" s="46"/>
      <c r="BC901" s="46"/>
      <c r="BD901" s="46"/>
      <c r="BE901" s="46"/>
      <c r="BF901" s="46"/>
      <c r="BG901" s="46"/>
      <c r="BH901" s="46"/>
      <c r="BI901" s="46"/>
      <c r="BJ901" s="46"/>
      <c r="BK901" s="46"/>
      <c r="BL901" s="46"/>
      <c r="BM901" s="46"/>
      <c r="BN901" s="46"/>
      <c r="BO901" s="46"/>
      <c r="BP901" s="46"/>
      <c r="BQ901" s="46"/>
      <c r="BR901" s="46"/>
      <c r="BS901" s="46"/>
      <c r="BT901" s="46"/>
      <c r="BU901" s="46"/>
      <c r="BV901" s="46"/>
      <c r="BW901" s="46"/>
      <c r="BX901" s="46"/>
      <c r="BY901" s="46"/>
      <c r="BZ901" s="46"/>
      <c r="CA901" s="46"/>
      <c r="CB901" s="46"/>
      <c r="CC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c r="AN902" s="46"/>
      <c r="AO902" s="46"/>
      <c r="AP902" s="46"/>
      <c r="AQ902" s="46"/>
      <c r="AR902" s="46"/>
      <c r="AS902" s="46"/>
      <c r="AT902" s="46"/>
      <c r="AU902" s="46"/>
      <c r="AV902" s="46"/>
      <c r="AW902" s="46"/>
      <c r="AX902" s="46"/>
      <c r="AY902" s="46"/>
      <c r="AZ902" s="46"/>
      <c r="BA902" s="46"/>
      <c r="BB902" s="46"/>
      <c r="BC902" s="46"/>
      <c r="BD902" s="46"/>
      <c r="BE902" s="46"/>
      <c r="BF902" s="46"/>
      <c r="BG902" s="46"/>
      <c r="BH902" s="46"/>
      <c r="BI902" s="46"/>
      <c r="BJ902" s="46"/>
      <c r="BK902" s="46"/>
      <c r="BL902" s="46"/>
      <c r="BM902" s="46"/>
      <c r="BN902" s="46"/>
      <c r="BO902" s="46"/>
      <c r="BP902" s="46"/>
      <c r="BQ902" s="46"/>
      <c r="BR902" s="46"/>
      <c r="BS902" s="46"/>
      <c r="BT902" s="46"/>
      <c r="BU902" s="46"/>
      <c r="BV902" s="46"/>
      <c r="BW902" s="46"/>
      <c r="BX902" s="46"/>
      <c r="BY902" s="46"/>
      <c r="BZ902" s="46"/>
      <c r="CA902" s="46"/>
      <c r="CB902" s="46"/>
      <c r="CC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c r="AM903" s="46"/>
      <c r="AN903" s="46"/>
      <c r="AO903" s="46"/>
      <c r="AP903" s="46"/>
      <c r="AQ903" s="46"/>
      <c r="AR903" s="46"/>
      <c r="AS903" s="46"/>
      <c r="AT903" s="46"/>
      <c r="AU903" s="46"/>
      <c r="AV903" s="46"/>
      <c r="AW903" s="46"/>
      <c r="AX903" s="46"/>
      <c r="AY903" s="46"/>
      <c r="AZ903" s="46"/>
      <c r="BA903" s="46"/>
      <c r="BB903" s="46"/>
      <c r="BC903" s="46"/>
      <c r="BD903" s="46"/>
      <c r="BE903" s="46"/>
      <c r="BF903" s="46"/>
      <c r="BG903" s="46"/>
      <c r="BH903" s="46"/>
      <c r="BI903" s="46"/>
      <c r="BJ903" s="46"/>
      <c r="BK903" s="46"/>
      <c r="BL903" s="46"/>
      <c r="BM903" s="46"/>
      <c r="BN903" s="46"/>
      <c r="BO903" s="46"/>
      <c r="BP903" s="46"/>
      <c r="BQ903" s="46"/>
      <c r="BR903" s="46"/>
      <c r="BS903" s="46"/>
      <c r="BT903" s="46"/>
      <c r="BU903" s="46"/>
      <c r="BV903" s="46"/>
      <c r="BW903" s="46"/>
      <c r="BX903" s="46"/>
      <c r="BY903" s="46"/>
      <c r="BZ903" s="46"/>
      <c r="CA903" s="46"/>
      <c r="CB903" s="46"/>
      <c r="CC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c r="AN904" s="46"/>
      <c r="AO904" s="46"/>
      <c r="AP904" s="46"/>
      <c r="AQ904" s="46"/>
      <c r="AR904" s="46"/>
      <c r="AS904" s="46"/>
      <c r="AT904" s="46"/>
      <c r="AU904" s="46"/>
      <c r="AV904" s="46"/>
      <c r="AW904" s="46"/>
      <c r="AX904" s="46"/>
      <c r="AY904" s="46"/>
      <c r="AZ904" s="46"/>
      <c r="BA904" s="46"/>
      <c r="BB904" s="46"/>
      <c r="BC904" s="46"/>
      <c r="BD904" s="46"/>
      <c r="BE904" s="46"/>
      <c r="BF904" s="46"/>
      <c r="BG904" s="46"/>
      <c r="BH904" s="46"/>
      <c r="BI904" s="46"/>
      <c r="BJ904" s="46"/>
      <c r="BK904" s="46"/>
      <c r="BL904" s="46"/>
      <c r="BM904" s="46"/>
      <c r="BN904" s="46"/>
      <c r="BO904" s="46"/>
      <c r="BP904" s="46"/>
      <c r="BQ904" s="46"/>
      <c r="BR904" s="46"/>
      <c r="BS904" s="46"/>
      <c r="BT904" s="46"/>
      <c r="BU904" s="46"/>
      <c r="BV904" s="46"/>
      <c r="BW904" s="46"/>
      <c r="BX904" s="46"/>
      <c r="BY904" s="46"/>
      <c r="BZ904" s="46"/>
      <c r="CA904" s="46"/>
      <c r="CB904" s="46"/>
      <c r="CC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c r="AM905" s="46"/>
      <c r="AN905" s="46"/>
      <c r="AO905" s="46"/>
      <c r="AP905" s="46"/>
      <c r="AQ905" s="46"/>
      <c r="AR905" s="46"/>
      <c r="AS905" s="46"/>
      <c r="AT905" s="46"/>
      <c r="AU905" s="46"/>
      <c r="AV905" s="46"/>
      <c r="AW905" s="46"/>
      <c r="AX905" s="46"/>
      <c r="AY905" s="46"/>
      <c r="AZ905" s="46"/>
      <c r="BA905" s="46"/>
      <c r="BB905" s="46"/>
      <c r="BC905" s="46"/>
      <c r="BD905" s="46"/>
      <c r="BE905" s="46"/>
      <c r="BF905" s="46"/>
      <c r="BG905" s="46"/>
      <c r="BH905" s="46"/>
      <c r="BI905" s="46"/>
      <c r="BJ905" s="46"/>
      <c r="BK905" s="46"/>
      <c r="BL905" s="46"/>
      <c r="BM905" s="46"/>
      <c r="BN905" s="46"/>
      <c r="BO905" s="46"/>
      <c r="BP905" s="46"/>
      <c r="BQ905" s="46"/>
      <c r="BR905" s="46"/>
      <c r="BS905" s="46"/>
      <c r="BT905" s="46"/>
      <c r="BU905" s="46"/>
      <c r="BV905" s="46"/>
      <c r="BW905" s="46"/>
      <c r="BX905" s="46"/>
      <c r="BY905" s="46"/>
      <c r="BZ905" s="46"/>
      <c r="CA905" s="46"/>
      <c r="CB905" s="46"/>
      <c r="CC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c r="BA906" s="46"/>
      <c r="BB906" s="46"/>
      <c r="BC906" s="46"/>
      <c r="BD906" s="46"/>
      <c r="BE906" s="46"/>
      <c r="BF906" s="46"/>
      <c r="BG906" s="46"/>
      <c r="BH906" s="46"/>
      <c r="BI906" s="46"/>
      <c r="BJ906" s="46"/>
      <c r="BK906" s="46"/>
      <c r="BL906" s="46"/>
      <c r="BM906" s="46"/>
      <c r="BN906" s="46"/>
      <c r="BO906" s="46"/>
      <c r="BP906" s="46"/>
      <c r="BQ906" s="46"/>
      <c r="BR906" s="46"/>
      <c r="BS906" s="46"/>
      <c r="BT906" s="46"/>
      <c r="BU906" s="46"/>
      <c r="BV906" s="46"/>
      <c r="BW906" s="46"/>
      <c r="BX906" s="46"/>
      <c r="BY906" s="46"/>
      <c r="BZ906" s="46"/>
      <c r="CA906" s="46"/>
      <c r="CB906" s="46"/>
      <c r="CC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c r="AM907" s="46"/>
      <c r="AN907" s="46"/>
      <c r="AO907" s="46"/>
      <c r="AP907" s="46"/>
      <c r="AQ907" s="46"/>
      <c r="AR907" s="46"/>
      <c r="AS907" s="46"/>
      <c r="AT907" s="46"/>
      <c r="AU907" s="46"/>
      <c r="AV907" s="46"/>
      <c r="AW907" s="46"/>
      <c r="AX907" s="46"/>
      <c r="AY907" s="46"/>
      <c r="AZ907" s="46"/>
      <c r="BA907" s="46"/>
      <c r="BB907" s="46"/>
      <c r="BC907" s="46"/>
      <c r="BD907" s="46"/>
      <c r="BE907" s="46"/>
      <c r="BF907" s="46"/>
      <c r="BG907" s="46"/>
      <c r="BH907" s="46"/>
      <c r="BI907" s="46"/>
      <c r="BJ907" s="46"/>
      <c r="BK907" s="46"/>
      <c r="BL907" s="46"/>
      <c r="BM907" s="46"/>
      <c r="BN907" s="46"/>
      <c r="BO907" s="46"/>
      <c r="BP907" s="46"/>
      <c r="BQ907" s="46"/>
      <c r="BR907" s="46"/>
      <c r="BS907" s="46"/>
      <c r="BT907" s="46"/>
      <c r="BU907" s="46"/>
      <c r="BV907" s="46"/>
      <c r="BW907" s="46"/>
      <c r="BX907" s="46"/>
      <c r="BY907" s="46"/>
      <c r="BZ907" s="46"/>
      <c r="CA907" s="46"/>
      <c r="CB907" s="46"/>
      <c r="CC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c r="AM908" s="46"/>
      <c r="AN908" s="46"/>
      <c r="AO908" s="46"/>
      <c r="AP908" s="46"/>
      <c r="AQ908" s="46"/>
      <c r="AR908" s="46"/>
      <c r="AS908" s="46"/>
      <c r="AT908" s="46"/>
      <c r="AU908" s="46"/>
      <c r="AV908" s="46"/>
      <c r="AW908" s="46"/>
      <c r="AX908" s="46"/>
      <c r="AY908" s="46"/>
      <c r="AZ908" s="46"/>
      <c r="BA908" s="46"/>
      <c r="BB908" s="46"/>
      <c r="BC908" s="46"/>
      <c r="BD908" s="46"/>
      <c r="BE908" s="46"/>
      <c r="BF908" s="46"/>
      <c r="BG908" s="46"/>
      <c r="BH908" s="46"/>
      <c r="BI908" s="46"/>
      <c r="BJ908" s="46"/>
      <c r="BK908" s="46"/>
      <c r="BL908" s="46"/>
      <c r="BM908" s="46"/>
      <c r="BN908" s="46"/>
      <c r="BO908" s="46"/>
      <c r="BP908" s="46"/>
      <c r="BQ908" s="46"/>
      <c r="BR908" s="46"/>
      <c r="BS908" s="46"/>
      <c r="BT908" s="46"/>
      <c r="BU908" s="46"/>
      <c r="BV908" s="46"/>
      <c r="BW908" s="46"/>
      <c r="BX908" s="46"/>
      <c r="BY908" s="46"/>
      <c r="BZ908" s="46"/>
      <c r="CA908" s="46"/>
      <c r="CB908" s="46"/>
      <c r="CC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c r="AM909" s="46"/>
      <c r="AN909" s="46"/>
      <c r="AO909" s="46"/>
      <c r="AP909" s="46"/>
      <c r="AQ909" s="46"/>
      <c r="AR909" s="46"/>
      <c r="AS909" s="46"/>
      <c r="AT909" s="46"/>
      <c r="AU909" s="46"/>
      <c r="AV909" s="46"/>
      <c r="AW909" s="46"/>
      <c r="AX909" s="46"/>
      <c r="AY909" s="46"/>
      <c r="AZ909" s="46"/>
      <c r="BA909" s="46"/>
      <c r="BB909" s="46"/>
      <c r="BC909" s="46"/>
      <c r="BD909" s="46"/>
      <c r="BE909" s="46"/>
      <c r="BF909" s="46"/>
      <c r="BG909" s="46"/>
      <c r="BH909" s="46"/>
      <c r="BI909" s="46"/>
      <c r="BJ909" s="46"/>
      <c r="BK909" s="46"/>
      <c r="BL909" s="46"/>
      <c r="BM909" s="46"/>
      <c r="BN909" s="46"/>
      <c r="BO909" s="46"/>
      <c r="BP909" s="46"/>
      <c r="BQ909" s="46"/>
      <c r="BR909" s="46"/>
      <c r="BS909" s="46"/>
      <c r="BT909" s="46"/>
      <c r="BU909" s="46"/>
      <c r="BV909" s="46"/>
      <c r="BW909" s="46"/>
      <c r="BX909" s="46"/>
      <c r="BY909" s="46"/>
      <c r="BZ909" s="46"/>
      <c r="CA909" s="46"/>
      <c r="CB909" s="46"/>
      <c r="CC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c r="AN910" s="46"/>
      <c r="AO910" s="46"/>
      <c r="AP910" s="46"/>
      <c r="AQ910" s="46"/>
      <c r="AR910" s="46"/>
      <c r="AS910" s="46"/>
      <c r="AT910" s="46"/>
      <c r="AU910" s="46"/>
      <c r="AV910" s="46"/>
      <c r="AW910" s="46"/>
      <c r="AX910" s="46"/>
      <c r="AY910" s="46"/>
      <c r="AZ910" s="46"/>
      <c r="BA910" s="46"/>
      <c r="BB910" s="46"/>
      <c r="BC910" s="46"/>
      <c r="BD910" s="46"/>
      <c r="BE910" s="46"/>
      <c r="BF910" s="46"/>
      <c r="BG910" s="46"/>
      <c r="BH910" s="46"/>
      <c r="BI910" s="46"/>
      <c r="BJ910" s="46"/>
      <c r="BK910" s="46"/>
      <c r="BL910" s="46"/>
      <c r="BM910" s="46"/>
      <c r="BN910" s="46"/>
      <c r="BO910" s="46"/>
      <c r="BP910" s="46"/>
      <c r="BQ910" s="46"/>
      <c r="BR910" s="46"/>
      <c r="BS910" s="46"/>
      <c r="BT910" s="46"/>
      <c r="BU910" s="46"/>
      <c r="BV910" s="46"/>
      <c r="BW910" s="46"/>
      <c r="BX910" s="46"/>
      <c r="BY910" s="46"/>
      <c r="BZ910" s="46"/>
      <c r="CA910" s="46"/>
      <c r="CB910" s="46"/>
      <c r="CC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c r="BA911" s="46"/>
      <c r="BB911" s="46"/>
      <c r="BC911" s="46"/>
      <c r="BD911" s="46"/>
      <c r="BE911" s="46"/>
      <c r="BF911" s="46"/>
      <c r="BG911" s="46"/>
      <c r="BH911" s="46"/>
      <c r="BI911" s="46"/>
      <c r="BJ911" s="46"/>
      <c r="BK911" s="46"/>
      <c r="BL911" s="46"/>
      <c r="BM911" s="46"/>
      <c r="BN911" s="46"/>
      <c r="BO911" s="46"/>
      <c r="BP911" s="46"/>
      <c r="BQ911" s="46"/>
      <c r="BR911" s="46"/>
      <c r="BS911" s="46"/>
      <c r="BT911" s="46"/>
      <c r="BU911" s="46"/>
      <c r="BV911" s="46"/>
      <c r="BW911" s="46"/>
      <c r="BX911" s="46"/>
      <c r="BY911" s="46"/>
      <c r="BZ911" s="46"/>
      <c r="CA911" s="46"/>
      <c r="CB911" s="46"/>
      <c r="CC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c r="AM912" s="46"/>
      <c r="AN912" s="46"/>
      <c r="AO912" s="46"/>
      <c r="AP912" s="46"/>
      <c r="AQ912" s="46"/>
      <c r="AR912" s="46"/>
      <c r="AS912" s="46"/>
      <c r="AT912" s="46"/>
      <c r="AU912" s="46"/>
      <c r="AV912" s="46"/>
      <c r="AW912" s="46"/>
      <c r="AX912" s="46"/>
      <c r="AY912" s="46"/>
      <c r="AZ912" s="46"/>
      <c r="BA912" s="46"/>
      <c r="BB912" s="46"/>
      <c r="BC912" s="46"/>
      <c r="BD912" s="46"/>
      <c r="BE912" s="46"/>
      <c r="BF912" s="46"/>
      <c r="BG912" s="46"/>
      <c r="BH912" s="46"/>
      <c r="BI912" s="46"/>
      <c r="BJ912" s="46"/>
      <c r="BK912" s="46"/>
      <c r="BL912" s="46"/>
      <c r="BM912" s="46"/>
      <c r="BN912" s="46"/>
      <c r="BO912" s="46"/>
      <c r="BP912" s="46"/>
      <c r="BQ912" s="46"/>
      <c r="BR912" s="46"/>
      <c r="BS912" s="46"/>
      <c r="BT912" s="46"/>
      <c r="BU912" s="46"/>
      <c r="BV912" s="46"/>
      <c r="BW912" s="46"/>
      <c r="BX912" s="46"/>
      <c r="BY912" s="46"/>
      <c r="BZ912" s="46"/>
      <c r="CA912" s="46"/>
      <c r="CB912" s="46"/>
      <c r="CC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c r="AM913" s="46"/>
      <c r="AN913" s="46"/>
      <c r="AO913" s="46"/>
      <c r="AP913" s="46"/>
      <c r="AQ913" s="46"/>
      <c r="AR913" s="46"/>
      <c r="AS913" s="46"/>
      <c r="AT913" s="46"/>
      <c r="AU913" s="46"/>
      <c r="AV913" s="46"/>
      <c r="AW913" s="46"/>
      <c r="AX913" s="46"/>
      <c r="AY913" s="46"/>
      <c r="AZ913" s="46"/>
      <c r="BA913" s="46"/>
      <c r="BB913" s="46"/>
      <c r="BC913" s="46"/>
      <c r="BD913" s="46"/>
      <c r="BE913" s="46"/>
      <c r="BF913" s="46"/>
      <c r="BG913" s="46"/>
      <c r="BH913" s="46"/>
      <c r="BI913" s="46"/>
      <c r="BJ913" s="46"/>
      <c r="BK913" s="46"/>
      <c r="BL913" s="46"/>
      <c r="BM913" s="46"/>
      <c r="BN913" s="46"/>
      <c r="BO913" s="46"/>
      <c r="BP913" s="46"/>
      <c r="BQ913" s="46"/>
      <c r="BR913" s="46"/>
      <c r="BS913" s="46"/>
      <c r="BT913" s="46"/>
      <c r="BU913" s="46"/>
      <c r="BV913" s="46"/>
      <c r="BW913" s="46"/>
      <c r="BX913" s="46"/>
      <c r="BY913" s="46"/>
      <c r="BZ913" s="46"/>
      <c r="CA913" s="46"/>
      <c r="CB913" s="46"/>
      <c r="CC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c r="AM914" s="46"/>
      <c r="AN914" s="46"/>
      <c r="AO914" s="46"/>
      <c r="AP914" s="46"/>
      <c r="AQ914" s="46"/>
      <c r="AR914" s="46"/>
      <c r="AS914" s="46"/>
      <c r="AT914" s="46"/>
      <c r="AU914" s="46"/>
      <c r="AV914" s="46"/>
      <c r="AW914" s="46"/>
      <c r="AX914" s="46"/>
      <c r="AY914" s="46"/>
      <c r="AZ914" s="46"/>
      <c r="BA914" s="46"/>
      <c r="BB914" s="46"/>
      <c r="BC914" s="46"/>
      <c r="BD914" s="46"/>
      <c r="BE914" s="46"/>
      <c r="BF914" s="46"/>
      <c r="BG914" s="46"/>
      <c r="BH914" s="46"/>
      <c r="BI914" s="46"/>
      <c r="BJ914" s="46"/>
      <c r="BK914" s="46"/>
      <c r="BL914" s="46"/>
      <c r="BM914" s="46"/>
      <c r="BN914" s="46"/>
      <c r="BO914" s="46"/>
      <c r="BP914" s="46"/>
      <c r="BQ914" s="46"/>
      <c r="BR914" s="46"/>
      <c r="BS914" s="46"/>
      <c r="BT914" s="46"/>
      <c r="BU914" s="46"/>
      <c r="BV914" s="46"/>
      <c r="BW914" s="46"/>
      <c r="BX914" s="46"/>
      <c r="BY914" s="46"/>
      <c r="BZ914" s="46"/>
      <c r="CA914" s="46"/>
      <c r="CB914" s="46"/>
      <c r="CC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c r="AN915" s="46"/>
      <c r="AO915" s="46"/>
      <c r="AP915" s="46"/>
      <c r="AQ915" s="46"/>
      <c r="AR915" s="46"/>
      <c r="AS915" s="46"/>
      <c r="AT915" s="46"/>
      <c r="AU915" s="46"/>
      <c r="AV915" s="46"/>
      <c r="AW915" s="46"/>
      <c r="AX915" s="46"/>
      <c r="AY915" s="46"/>
      <c r="AZ915" s="46"/>
      <c r="BA915" s="46"/>
      <c r="BB915" s="46"/>
      <c r="BC915" s="46"/>
      <c r="BD915" s="46"/>
      <c r="BE915" s="46"/>
      <c r="BF915" s="46"/>
      <c r="BG915" s="46"/>
      <c r="BH915" s="46"/>
      <c r="BI915" s="46"/>
      <c r="BJ915" s="46"/>
      <c r="BK915" s="46"/>
      <c r="BL915" s="46"/>
      <c r="BM915" s="46"/>
      <c r="BN915" s="46"/>
      <c r="BO915" s="46"/>
      <c r="BP915" s="46"/>
      <c r="BQ915" s="46"/>
      <c r="BR915" s="46"/>
      <c r="BS915" s="46"/>
      <c r="BT915" s="46"/>
      <c r="BU915" s="46"/>
      <c r="BV915" s="46"/>
      <c r="BW915" s="46"/>
      <c r="BX915" s="46"/>
      <c r="BY915" s="46"/>
      <c r="BZ915" s="46"/>
      <c r="CA915" s="46"/>
      <c r="CB915" s="46"/>
      <c r="CC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c r="AM916" s="46"/>
      <c r="AN916" s="46"/>
      <c r="AO916" s="46"/>
      <c r="AP916" s="46"/>
      <c r="AQ916" s="46"/>
      <c r="AR916" s="46"/>
      <c r="AS916" s="46"/>
      <c r="AT916" s="46"/>
      <c r="AU916" s="46"/>
      <c r="AV916" s="46"/>
      <c r="AW916" s="46"/>
      <c r="AX916" s="46"/>
      <c r="AY916" s="46"/>
      <c r="AZ916" s="46"/>
      <c r="BA916" s="46"/>
      <c r="BB916" s="46"/>
      <c r="BC916" s="46"/>
      <c r="BD916" s="46"/>
      <c r="BE916" s="46"/>
      <c r="BF916" s="46"/>
      <c r="BG916" s="46"/>
      <c r="BH916" s="46"/>
      <c r="BI916" s="46"/>
      <c r="BJ916" s="46"/>
      <c r="BK916" s="46"/>
      <c r="BL916" s="46"/>
      <c r="BM916" s="46"/>
      <c r="BN916" s="46"/>
      <c r="BO916" s="46"/>
      <c r="BP916" s="46"/>
      <c r="BQ916" s="46"/>
      <c r="BR916" s="46"/>
      <c r="BS916" s="46"/>
      <c r="BT916" s="46"/>
      <c r="BU916" s="46"/>
      <c r="BV916" s="46"/>
      <c r="BW916" s="46"/>
      <c r="BX916" s="46"/>
      <c r="BY916" s="46"/>
      <c r="BZ916" s="46"/>
      <c r="CA916" s="46"/>
      <c r="CB916" s="46"/>
      <c r="CC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c r="AN917" s="46"/>
      <c r="AO917" s="46"/>
      <c r="AP917" s="46"/>
      <c r="AQ917" s="46"/>
      <c r="AR917" s="46"/>
      <c r="AS917" s="46"/>
      <c r="AT917" s="46"/>
      <c r="AU917" s="46"/>
      <c r="AV917" s="46"/>
      <c r="AW917" s="46"/>
      <c r="AX917" s="46"/>
      <c r="AY917" s="46"/>
      <c r="AZ917" s="46"/>
      <c r="BA917" s="46"/>
      <c r="BB917" s="46"/>
      <c r="BC917" s="46"/>
      <c r="BD917" s="46"/>
      <c r="BE917" s="46"/>
      <c r="BF917" s="46"/>
      <c r="BG917" s="46"/>
      <c r="BH917" s="46"/>
      <c r="BI917" s="46"/>
      <c r="BJ917" s="46"/>
      <c r="BK917" s="46"/>
      <c r="BL917" s="46"/>
      <c r="BM917" s="46"/>
      <c r="BN917" s="46"/>
      <c r="BO917" s="46"/>
      <c r="BP917" s="46"/>
      <c r="BQ917" s="46"/>
      <c r="BR917" s="46"/>
      <c r="BS917" s="46"/>
      <c r="BT917" s="46"/>
      <c r="BU917" s="46"/>
      <c r="BV917" s="46"/>
      <c r="BW917" s="46"/>
      <c r="BX917" s="46"/>
      <c r="BY917" s="46"/>
      <c r="BZ917" s="46"/>
      <c r="CA917" s="46"/>
      <c r="CB917" s="46"/>
      <c r="CC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c r="AN918" s="46"/>
      <c r="AO918" s="46"/>
      <c r="AP918" s="46"/>
      <c r="AQ918" s="46"/>
      <c r="AR918" s="46"/>
      <c r="AS918" s="46"/>
      <c r="AT918" s="46"/>
      <c r="AU918" s="46"/>
      <c r="AV918" s="46"/>
      <c r="AW918" s="46"/>
      <c r="AX918" s="46"/>
      <c r="AY918" s="46"/>
      <c r="AZ918" s="46"/>
      <c r="BA918" s="46"/>
      <c r="BB918" s="46"/>
      <c r="BC918" s="46"/>
      <c r="BD918" s="46"/>
      <c r="BE918" s="46"/>
      <c r="BF918" s="46"/>
      <c r="BG918" s="46"/>
      <c r="BH918" s="46"/>
      <c r="BI918" s="46"/>
      <c r="BJ918" s="46"/>
      <c r="BK918" s="46"/>
      <c r="BL918" s="46"/>
      <c r="BM918" s="46"/>
      <c r="BN918" s="46"/>
      <c r="BO918" s="46"/>
      <c r="BP918" s="46"/>
      <c r="BQ918" s="46"/>
      <c r="BR918" s="46"/>
      <c r="BS918" s="46"/>
      <c r="BT918" s="46"/>
      <c r="BU918" s="46"/>
      <c r="BV918" s="46"/>
      <c r="BW918" s="46"/>
      <c r="BX918" s="46"/>
      <c r="BY918" s="46"/>
      <c r="BZ918" s="46"/>
      <c r="CA918" s="46"/>
      <c r="CB918" s="46"/>
      <c r="CC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c r="AM919" s="46"/>
      <c r="AN919" s="46"/>
      <c r="AO919" s="46"/>
      <c r="AP919" s="46"/>
      <c r="AQ919" s="46"/>
      <c r="AR919" s="46"/>
      <c r="AS919" s="46"/>
      <c r="AT919" s="46"/>
      <c r="AU919" s="46"/>
      <c r="AV919" s="46"/>
      <c r="AW919" s="46"/>
      <c r="AX919" s="46"/>
      <c r="AY919" s="46"/>
      <c r="AZ919" s="46"/>
      <c r="BA919" s="46"/>
      <c r="BB919" s="46"/>
      <c r="BC919" s="46"/>
      <c r="BD919" s="46"/>
      <c r="BE919" s="46"/>
      <c r="BF919" s="46"/>
      <c r="BG919" s="46"/>
      <c r="BH919" s="46"/>
      <c r="BI919" s="46"/>
      <c r="BJ919" s="46"/>
      <c r="BK919" s="46"/>
      <c r="BL919" s="46"/>
      <c r="BM919" s="46"/>
      <c r="BN919" s="46"/>
      <c r="BO919" s="46"/>
      <c r="BP919" s="46"/>
      <c r="BQ919" s="46"/>
      <c r="BR919" s="46"/>
      <c r="BS919" s="46"/>
      <c r="BT919" s="46"/>
      <c r="BU919" s="46"/>
      <c r="BV919" s="46"/>
      <c r="BW919" s="46"/>
      <c r="BX919" s="46"/>
      <c r="BY919" s="46"/>
      <c r="BZ919" s="46"/>
      <c r="CA919" s="46"/>
      <c r="CB919" s="46"/>
      <c r="CC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c r="AM920" s="46"/>
      <c r="AN920" s="46"/>
      <c r="AO920" s="46"/>
      <c r="AP920" s="46"/>
      <c r="AQ920" s="46"/>
      <c r="AR920" s="46"/>
      <c r="AS920" s="46"/>
      <c r="AT920" s="46"/>
      <c r="AU920" s="46"/>
      <c r="AV920" s="46"/>
      <c r="AW920" s="46"/>
      <c r="AX920" s="46"/>
      <c r="AY920" s="46"/>
      <c r="AZ920" s="46"/>
      <c r="BA920" s="46"/>
      <c r="BB920" s="46"/>
      <c r="BC920" s="46"/>
      <c r="BD920" s="46"/>
      <c r="BE920" s="46"/>
      <c r="BF920" s="46"/>
      <c r="BG920" s="46"/>
      <c r="BH920" s="46"/>
      <c r="BI920" s="46"/>
      <c r="BJ920" s="46"/>
      <c r="BK920" s="46"/>
      <c r="BL920" s="46"/>
      <c r="BM920" s="46"/>
      <c r="BN920" s="46"/>
      <c r="BO920" s="46"/>
      <c r="BP920" s="46"/>
      <c r="BQ920" s="46"/>
      <c r="BR920" s="46"/>
      <c r="BS920" s="46"/>
      <c r="BT920" s="46"/>
      <c r="BU920" s="46"/>
      <c r="BV920" s="46"/>
      <c r="BW920" s="46"/>
      <c r="BX920" s="46"/>
      <c r="BY920" s="46"/>
      <c r="BZ920" s="46"/>
      <c r="CA920" s="46"/>
      <c r="CB920" s="46"/>
      <c r="CC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c r="AM921" s="46"/>
      <c r="AN921" s="46"/>
      <c r="AO921" s="46"/>
      <c r="AP921" s="46"/>
      <c r="AQ921" s="46"/>
      <c r="AR921" s="46"/>
      <c r="AS921" s="46"/>
      <c r="AT921" s="46"/>
      <c r="AU921" s="46"/>
      <c r="AV921" s="46"/>
      <c r="AW921" s="46"/>
      <c r="AX921" s="46"/>
      <c r="AY921" s="46"/>
      <c r="AZ921" s="46"/>
      <c r="BA921" s="46"/>
      <c r="BB921" s="46"/>
      <c r="BC921" s="46"/>
      <c r="BD921" s="46"/>
      <c r="BE921" s="46"/>
      <c r="BF921" s="46"/>
      <c r="BG921" s="46"/>
      <c r="BH921" s="46"/>
      <c r="BI921" s="46"/>
      <c r="BJ921" s="46"/>
      <c r="BK921" s="46"/>
      <c r="BL921" s="46"/>
      <c r="BM921" s="46"/>
      <c r="BN921" s="46"/>
      <c r="BO921" s="46"/>
      <c r="BP921" s="46"/>
      <c r="BQ921" s="46"/>
      <c r="BR921" s="46"/>
      <c r="BS921" s="46"/>
      <c r="BT921" s="46"/>
      <c r="BU921" s="46"/>
      <c r="BV921" s="46"/>
      <c r="BW921" s="46"/>
      <c r="BX921" s="46"/>
      <c r="BY921" s="46"/>
      <c r="BZ921" s="46"/>
      <c r="CA921" s="46"/>
      <c r="CB921" s="46"/>
      <c r="CC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c r="AM922" s="46"/>
      <c r="AN922" s="46"/>
      <c r="AO922" s="46"/>
      <c r="AP922" s="46"/>
      <c r="AQ922" s="46"/>
      <c r="AR922" s="46"/>
      <c r="AS922" s="46"/>
      <c r="AT922" s="46"/>
      <c r="AU922" s="46"/>
      <c r="AV922" s="46"/>
      <c r="AW922" s="46"/>
      <c r="AX922" s="46"/>
      <c r="AY922" s="46"/>
      <c r="AZ922" s="46"/>
      <c r="BA922" s="46"/>
      <c r="BB922" s="46"/>
      <c r="BC922" s="46"/>
      <c r="BD922" s="46"/>
      <c r="BE922" s="46"/>
      <c r="BF922" s="46"/>
      <c r="BG922" s="46"/>
      <c r="BH922" s="46"/>
      <c r="BI922" s="46"/>
      <c r="BJ922" s="46"/>
      <c r="BK922" s="46"/>
      <c r="BL922" s="46"/>
      <c r="BM922" s="46"/>
      <c r="BN922" s="46"/>
      <c r="BO922" s="46"/>
      <c r="BP922" s="46"/>
      <c r="BQ922" s="46"/>
      <c r="BR922" s="46"/>
      <c r="BS922" s="46"/>
      <c r="BT922" s="46"/>
      <c r="BU922" s="46"/>
      <c r="BV922" s="46"/>
      <c r="BW922" s="46"/>
      <c r="BX922" s="46"/>
      <c r="BY922" s="46"/>
      <c r="BZ922" s="46"/>
      <c r="CA922" s="46"/>
      <c r="CB922" s="46"/>
      <c r="CC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c r="AM923" s="46"/>
      <c r="AN923" s="46"/>
      <c r="AO923" s="46"/>
      <c r="AP923" s="46"/>
      <c r="AQ923" s="46"/>
      <c r="AR923" s="46"/>
      <c r="AS923" s="46"/>
      <c r="AT923" s="46"/>
      <c r="AU923" s="46"/>
      <c r="AV923" s="46"/>
      <c r="AW923" s="46"/>
      <c r="AX923" s="46"/>
      <c r="AY923" s="46"/>
      <c r="AZ923" s="46"/>
      <c r="BA923" s="46"/>
      <c r="BB923" s="46"/>
      <c r="BC923" s="46"/>
      <c r="BD923" s="46"/>
      <c r="BE923" s="46"/>
      <c r="BF923" s="46"/>
      <c r="BG923" s="46"/>
      <c r="BH923" s="46"/>
      <c r="BI923" s="46"/>
      <c r="BJ923" s="46"/>
      <c r="BK923" s="46"/>
      <c r="BL923" s="46"/>
      <c r="BM923" s="46"/>
      <c r="BN923" s="46"/>
      <c r="BO923" s="46"/>
      <c r="BP923" s="46"/>
      <c r="BQ923" s="46"/>
      <c r="BR923" s="46"/>
      <c r="BS923" s="46"/>
      <c r="BT923" s="46"/>
      <c r="BU923" s="46"/>
      <c r="BV923" s="46"/>
      <c r="BW923" s="46"/>
      <c r="BX923" s="46"/>
      <c r="BY923" s="46"/>
      <c r="BZ923" s="46"/>
      <c r="CA923" s="46"/>
      <c r="CB923" s="46"/>
      <c r="CC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c r="AM924" s="46"/>
      <c r="AN924" s="46"/>
      <c r="AO924" s="46"/>
      <c r="AP924" s="46"/>
      <c r="AQ924" s="46"/>
      <c r="AR924" s="46"/>
      <c r="AS924" s="46"/>
      <c r="AT924" s="46"/>
      <c r="AU924" s="46"/>
      <c r="AV924" s="46"/>
      <c r="AW924" s="46"/>
      <c r="AX924" s="46"/>
      <c r="AY924" s="46"/>
      <c r="AZ924" s="46"/>
      <c r="BA924" s="46"/>
      <c r="BB924" s="46"/>
      <c r="BC924" s="46"/>
      <c r="BD924" s="46"/>
      <c r="BE924" s="46"/>
      <c r="BF924" s="46"/>
      <c r="BG924" s="46"/>
      <c r="BH924" s="46"/>
      <c r="BI924" s="46"/>
      <c r="BJ924" s="46"/>
      <c r="BK924" s="46"/>
      <c r="BL924" s="46"/>
      <c r="BM924" s="46"/>
      <c r="BN924" s="46"/>
      <c r="BO924" s="46"/>
      <c r="BP924" s="46"/>
      <c r="BQ924" s="46"/>
      <c r="BR924" s="46"/>
      <c r="BS924" s="46"/>
      <c r="BT924" s="46"/>
      <c r="BU924" s="46"/>
      <c r="BV924" s="46"/>
      <c r="BW924" s="46"/>
      <c r="BX924" s="46"/>
      <c r="BY924" s="46"/>
      <c r="BZ924" s="46"/>
      <c r="CA924" s="46"/>
      <c r="CB924" s="46"/>
      <c r="CC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c r="AM925" s="46"/>
      <c r="AN925" s="46"/>
      <c r="AO925" s="46"/>
      <c r="AP925" s="46"/>
      <c r="AQ925" s="46"/>
      <c r="AR925" s="46"/>
      <c r="AS925" s="46"/>
      <c r="AT925" s="46"/>
      <c r="AU925" s="46"/>
      <c r="AV925" s="46"/>
      <c r="AW925" s="46"/>
      <c r="AX925" s="46"/>
      <c r="AY925" s="46"/>
      <c r="AZ925" s="46"/>
      <c r="BA925" s="46"/>
      <c r="BB925" s="46"/>
      <c r="BC925" s="46"/>
      <c r="BD925" s="46"/>
      <c r="BE925" s="46"/>
      <c r="BF925" s="46"/>
      <c r="BG925" s="46"/>
      <c r="BH925" s="46"/>
      <c r="BI925" s="46"/>
      <c r="BJ925" s="46"/>
      <c r="BK925" s="46"/>
      <c r="BL925" s="46"/>
      <c r="BM925" s="46"/>
      <c r="BN925" s="46"/>
      <c r="BO925" s="46"/>
      <c r="BP925" s="46"/>
      <c r="BQ925" s="46"/>
      <c r="BR925" s="46"/>
      <c r="BS925" s="46"/>
      <c r="BT925" s="46"/>
      <c r="BU925" s="46"/>
      <c r="BV925" s="46"/>
      <c r="BW925" s="46"/>
      <c r="BX925" s="46"/>
      <c r="BY925" s="46"/>
      <c r="BZ925" s="46"/>
      <c r="CA925" s="46"/>
      <c r="CB925" s="46"/>
      <c r="CC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c r="AM926" s="46"/>
      <c r="AN926" s="46"/>
      <c r="AO926" s="46"/>
      <c r="AP926" s="46"/>
      <c r="AQ926" s="46"/>
      <c r="AR926" s="46"/>
      <c r="AS926" s="46"/>
      <c r="AT926" s="46"/>
      <c r="AU926" s="46"/>
      <c r="AV926" s="46"/>
      <c r="AW926" s="46"/>
      <c r="AX926" s="46"/>
      <c r="AY926" s="46"/>
      <c r="AZ926" s="46"/>
      <c r="BA926" s="46"/>
      <c r="BB926" s="46"/>
      <c r="BC926" s="46"/>
      <c r="BD926" s="46"/>
      <c r="BE926" s="46"/>
      <c r="BF926" s="46"/>
      <c r="BG926" s="46"/>
      <c r="BH926" s="46"/>
      <c r="BI926" s="46"/>
      <c r="BJ926" s="46"/>
      <c r="BK926" s="46"/>
      <c r="BL926" s="46"/>
      <c r="BM926" s="46"/>
      <c r="BN926" s="46"/>
      <c r="BO926" s="46"/>
      <c r="BP926" s="46"/>
      <c r="BQ926" s="46"/>
      <c r="BR926" s="46"/>
      <c r="BS926" s="46"/>
      <c r="BT926" s="46"/>
      <c r="BU926" s="46"/>
      <c r="BV926" s="46"/>
      <c r="BW926" s="46"/>
      <c r="BX926" s="46"/>
      <c r="BY926" s="46"/>
      <c r="BZ926" s="46"/>
      <c r="CA926" s="46"/>
      <c r="CB926" s="46"/>
      <c r="CC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c r="AM927" s="46"/>
      <c r="AN927" s="46"/>
      <c r="AO927" s="46"/>
      <c r="AP927" s="46"/>
      <c r="AQ927" s="46"/>
      <c r="AR927" s="46"/>
      <c r="AS927" s="46"/>
      <c r="AT927" s="46"/>
      <c r="AU927" s="46"/>
      <c r="AV927" s="46"/>
      <c r="AW927" s="46"/>
      <c r="AX927" s="46"/>
      <c r="AY927" s="46"/>
      <c r="AZ927" s="46"/>
      <c r="BA927" s="46"/>
      <c r="BB927" s="46"/>
      <c r="BC927" s="46"/>
      <c r="BD927" s="46"/>
      <c r="BE927" s="46"/>
      <c r="BF927" s="46"/>
      <c r="BG927" s="46"/>
      <c r="BH927" s="46"/>
      <c r="BI927" s="46"/>
      <c r="BJ927" s="46"/>
      <c r="BK927" s="46"/>
      <c r="BL927" s="46"/>
      <c r="BM927" s="46"/>
      <c r="BN927" s="46"/>
      <c r="BO927" s="46"/>
      <c r="BP927" s="46"/>
      <c r="BQ927" s="46"/>
      <c r="BR927" s="46"/>
      <c r="BS927" s="46"/>
      <c r="BT927" s="46"/>
      <c r="BU927" s="46"/>
      <c r="BV927" s="46"/>
      <c r="BW927" s="46"/>
      <c r="BX927" s="46"/>
      <c r="BY927" s="46"/>
      <c r="BZ927" s="46"/>
      <c r="CA927" s="46"/>
      <c r="CB927" s="46"/>
      <c r="CC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c r="AM928" s="46"/>
      <c r="AN928" s="46"/>
      <c r="AO928" s="46"/>
      <c r="AP928" s="46"/>
      <c r="AQ928" s="46"/>
      <c r="AR928" s="46"/>
      <c r="AS928" s="46"/>
      <c r="AT928" s="46"/>
      <c r="AU928" s="46"/>
      <c r="AV928" s="46"/>
      <c r="AW928" s="46"/>
      <c r="AX928" s="46"/>
      <c r="AY928" s="46"/>
      <c r="AZ928" s="46"/>
      <c r="BA928" s="46"/>
      <c r="BB928" s="46"/>
      <c r="BC928" s="46"/>
      <c r="BD928" s="46"/>
      <c r="BE928" s="46"/>
      <c r="BF928" s="46"/>
      <c r="BG928" s="46"/>
      <c r="BH928" s="46"/>
      <c r="BI928" s="46"/>
      <c r="BJ928" s="46"/>
      <c r="BK928" s="46"/>
      <c r="BL928" s="46"/>
      <c r="BM928" s="46"/>
      <c r="BN928" s="46"/>
      <c r="BO928" s="46"/>
      <c r="BP928" s="46"/>
      <c r="BQ928" s="46"/>
      <c r="BR928" s="46"/>
      <c r="BS928" s="46"/>
      <c r="BT928" s="46"/>
      <c r="BU928" s="46"/>
      <c r="BV928" s="46"/>
      <c r="BW928" s="46"/>
      <c r="BX928" s="46"/>
      <c r="BY928" s="46"/>
      <c r="BZ928" s="46"/>
      <c r="CA928" s="46"/>
      <c r="CB928" s="46"/>
      <c r="CC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c r="AL929" s="46"/>
      <c r="AM929" s="46"/>
      <c r="AN929" s="46"/>
      <c r="AO929" s="46"/>
      <c r="AP929" s="46"/>
      <c r="AQ929" s="46"/>
      <c r="AR929" s="46"/>
      <c r="AS929" s="46"/>
      <c r="AT929" s="46"/>
      <c r="AU929" s="46"/>
      <c r="AV929" s="46"/>
      <c r="AW929" s="46"/>
      <c r="AX929" s="46"/>
      <c r="AY929" s="46"/>
      <c r="AZ929" s="46"/>
      <c r="BA929" s="46"/>
      <c r="BB929" s="46"/>
      <c r="BC929" s="46"/>
      <c r="BD929" s="46"/>
      <c r="BE929" s="46"/>
      <c r="BF929" s="46"/>
      <c r="BG929" s="46"/>
      <c r="BH929" s="46"/>
      <c r="BI929" s="46"/>
      <c r="BJ929" s="46"/>
      <c r="BK929" s="46"/>
      <c r="BL929" s="46"/>
      <c r="BM929" s="46"/>
      <c r="BN929" s="46"/>
      <c r="BO929" s="46"/>
      <c r="BP929" s="46"/>
      <c r="BQ929" s="46"/>
      <c r="BR929" s="46"/>
      <c r="BS929" s="46"/>
      <c r="BT929" s="46"/>
      <c r="BU929" s="46"/>
      <c r="BV929" s="46"/>
      <c r="BW929" s="46"/>
      <c r="BX929" s="46"/>
      <c r="BY929" s="46"/>
      <c r="BZ929" s="46"/>
      <c r="CA929" s="46"/>
      <c r="CB929" s="46"/>
      <c r="CC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c r="AM930" s="46"/>
      <c r="AN930" s="46"/>
      <c r="AO930" s="46"/>
      <c r="AP930" s="46"/>
      <c r="AQ930" s="46"/>
      <c r="AR930" s="46"/>
      <c r="AS930" s="46"/>
      <c r="AT930" s="46"/>
      <c r="AU930" s="46"/>
      <c r="AV930" s="46"/>
      <c r="AW930" s="46"/>
      <c r="AX930" s="46"/>
      <c r="AY930" s="46"/>
      <c r="AZ930" s="46"/>
      <c r="BA930" s="46"/>
      <c r="BB930" s="46"/>
      <c r="BC930" s="46"/>
      <c r="BD930" s="46"/>
      <c r="BE930" s="46"/>
      <c r="BF930" s="46"/>
      <c r="BG930" s="46"/>
      <c r="BH930" s="46"/>
      <c r="BI930" s="46"/>
      <c r="BJ930" s="46"/>
      <c r="BK930" s="46"/>
      <c r="BL930" s="46"/>
      <c r="BM930" s="46"/>
      <c r="BN930" s="46"/>
      <c r="BO930" s="46"/>
      <c r="BP930" s="46"/>
      <c r="BQ930" s="46"/>
      <c r="BR930" s="46"/>
      <c r="BS930" s="46"/>
      <c r="BT930" s="46"/>
      <c r="BU930" s="46"/>
      <c r="BV930" s="46"/>
      <c r="BW930" s="46"/>
      <c r="BX930" s="46"/>
      <c r="BY930" s="46"/>
      <c r="BZ930" s="46"/>
      <c r="CA930" s="46"/>
      <c r="CB930" s="46"/>
      <c r="CC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c r="AM931" s="46"/>
      <c r="AN931" s="46"/>
      <c r="AO931" s="46"/>
      <c r="AP931" s="46"/>
      <c r="AQ931" s="46"/>
      <c r="AR931" s="46"/>
      <c r="AS931" s="46"/>
      <c r="AT931" s="46"/>
      <c r="AU931" s="46"/>
      <c r="AV931" s="46"/>
      <c r="AW931" s="46"/>
      <c r="AX931" s="46"/>
      <c r="AY931" s="46"/>
      <c r="AZ931" s="46"/>
      <c r="BA931" s="46"/>
      <c r="BB931" s="46"/>
      <c r="BC931" s="46"/>
      <c r="BD931" s="46"/>
      <c r="BE931" s="46"/>
      <c r="BF931" s="46"/>
      <c r="BG931" s="46"/>
      <c r="BH931" s="46"/>
      <c r="BI931" s="46"/>
      <c r="BJ931" s="46"/>
      <c r="BK931" s="46"/>
      <c r="BL931" s="46"/>
      <c r="BM931" s="46"/>
      <c r="BN931" s="46"/>
      <c r="BO931" s="46"/>
      <c r="BP931" s="46"/>
      <c r="BQ931" s="46"/>
      <c r="BR931" s="46"/>
      <c r="BS931" s="46"/>
      <c r="BT931" s="46"/>
      <c r="BU931" s="46"/>
      <c r="BV931" s="46"/>
      <c r="BW931" s="46"/>
      <c r="BX931" s="46"/>
      <c r="BY931" s="46"/>
      <c r="BZ931" s="46"/>
      <c r="CA931" s="46"/>
      <c r="CB931" s="46"/>
      <c r="CC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c r="AM932" s="46"/>
      <c r="AN932" s="46"/>
      <c r="AO932" s="46"/>
      <c r="AP932" s="46"/>
      <c r="AQ932" s="46"/>
      <c r="AR932" s="46"/>
      <c r="AS932" s="46"/>
      <c r="AT932" s="46"/>
      <c r="AU932" s="46"/>
      <c r="AV932" s="46"/>
      <c r="AW932" s="46"/>
      <c r="AX932" s="46"/>
      <c r="AY932" s="46"/>
      <c r="AZ932" s="46"/>
      <c r="BA932" s="46"/>
      <c r="BB932" s="46"/>
      <c r="BC932" s="46"/>
      <c r="BD932" s="46"/>
      <c r="BE932" s="46"/>
      <c r="BF932" s="46"/>
      <c r="BG932" s="46"/>
      <c r="BH932" s="46"/>
      <c r="BI932" s="46"/>
      <c r="BJ932" s="46"/>
      <c r="BK932" s="46"/>
      <c r="BL932" s="46"/>
      <c r="BM932" s="46"/>
      <c r="BN932" s="46"/>
      <c r="BO932" s="46"/>
      <c r="BP932" s="46"/>
      <c r="BQ932" s="46"/>
      <c r="BR932" s="46"/>
      <c r="BS932" s="46"/>
      <c r="BT932" s="46"/>
      <c r="BU932" s="46"/>
      <c r="BV932" s="46"/>
      <c r="BW932" s="46"/>
      <c r="BX932" s="46"/>
      <c r="BY932" s="46"/>
      <c r="BZ932" s="46"/>
      <c r="CA932" s="46"/>
      <c r="CB932" s="46"/>
      <c r="CC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c r="AM933" s="46"/>
      <c r="AN933" s="46"/>
      <c r="AO933" s="46"/>
      <c r="AP933" s="46"/>
      <c r="AQ933" s="46"/>
      <c r="AR933" s="46"/>
      <c r="AS933" s="46"/>
      <c r="AT933" s="46"/>
      <c r="AU933" s="46"/>
      <c r="AV933" s="46"/>
      <c r="AW933" s="46"/>
      <c r="AX933" s="46"/>
      <c r="AY933" s="46"/>
      <c r="AZ933" s="46"/>
      <c r="BA933" s="46"/>
      <c r="BB933" s="46"/>
      <c r="BC933" s="46"/>
      <c r="BD933" s="46"/>
      <c r="BE933" s="46"/>
      <c r="BF933" s="46"/>
      <c r="BG933" s="46"/>
      <c r="BH933" s="46"/>
      <c r="BI933" s="46"/>
      <c r="BJ933" s="46"/>
      <c r="BK933" s="46"/>
      <c r="BL933" s="46"/>
      <c r="BM933" s="46"/>
      <c r="BN933" s="46"/>
      <c r="BO933" s="46"/>
      <c r="BP933" s="46"/>
      <c r="BQ933" s="46"/>
      <c r="BR933" s="46"/>
      <c r="BS933" s="46"/>
      <c r="BT933" s="46"/>
      <c r="BU933" s="46"/>
      <c r="BV933" s="46"/>
      <c r="BW933" s="46"/>
      <c r="BX933" s="46"/>
      <c r="BY933" s="46"/>
      <c r="BZ933" s="46"/>
      <c r="CA933" s="46"/>
      <c r="CB933" s="46"/>
      <c r="CC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c r="AL934" s="46"/>
      <c r="AM934" s="46"/>
      <c r="AN934" s="46"/>
      <c r="AO934" s="46"/>
      <c r="AP934" s="46"/>
      <c r="AQ934" s="46"/>
      <c r="AR934" s="46"/>
      <c r="AS934" s="46"/>
      <c r="AT934" s="46"/>
      <c r="AU934" s="46"/>
      <c r="AV934" s="46"/>
      <c r="AW934" s="46"/>
      <c r="AX934" s="46"/>
      <c r="AY934" s="46"/>
      <c r="AZ934" s="46"/>
      <c r="BA934" s="46"/>
      <c r="BB934" s="46"/>
      <c r="BC934" s="46"/>
      <c r="BD934" s="46"/>
      <c r="BE934" s="46"/>
      <c r="BF934" s="46"/>
      <c r="BG934" s="46"/>
      <c r="BH934" s="46"/>
      <c r="BI934" s="46"/>
      <c r="BJ934" s="46"/>
      <c r="BK934" s="46"/>
      <c r="BL934" s="46"/>
      <c r="BM934" s="46"/>
      <c r="BN934" s="46"/>
      <c r="BO934" s="46"/>
      <c r="BP934" s="46"/>
      <c r="BQ934" s="46"/>
      <c r="BR934" s="46"/>
      <c r="BS934" s="46"/>
      <c r="BT934" s="46"/>
      <c r="BU934" s="46"/>
      <c r="BV934" s="46"/>
      <c r="BW934" s="46"/>
      <c r="BX934" s="46"/>
      <c r="BY934" s="46"/>
      <c r="BZ934" s="46"/>
      <c r="CA934" s="46"/>
      <c r="CB934" s="46"/>
      <c r="CC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c r="AM935" s="46"/>
      <c r="AN935" s="46"/>
      <c r="AO935" s="46"/>
      <c r="AP935" s="46"/>
      <c r="AQ935" s="46"/>
      <c r="AR935" s="46"/>
      <c r="AS935" s="46"/>
      <c r="AT935" s="46"/>
      <c r="AU935" s="46"/>
      <c r="AV935" s="46"/>
      <c r="AW935" s="46"/>
      <c r="AX935" s="46"/>
      <c r="AY935" s="46"/>
      <c r="AZ935" s="46"/>
      <c r="BA935" s="46"/>
      <c r="BB935" s="46"/>
      <c r="BC935" s="46"/>
      <c r="BD935" s="46"/>
      <c r="BE935" s="46"/>
      <c r="BF935" s="46"/>
      <c r="BG935" s="46"/>
      <c r="BH935" s="46"/>
      <c r="BI935" s="46"/>
      <c r="BJ935" s="46"/>
      <c r="BK935" s="46"/>
      <c r="BL935" s="46"/>
      <c r="BM935" s="46"/>
      <c r="BN935" s="46"/>
      <c r="BO935" s="46"/>
      <c r="BP935" s="46"/>
      <c r="BQ935" s="46"/>
      <c r="BR935" s="46"/>
      <c r="BS935" s="46"/>
      <c r="BT935" s="46"/>
      <c r="BU935" s="46"/>
      <c r="BV935" s="46"/>
      <c r="BW935" s="46"/>
      <c r="BX935" s="46"/>
      <c r="BY935" s="46"/>
      <c r="BZ935" s="46"/>
      <c r="CA935" s="46"/>
      <c r="CB935" s="46"/>
      <c r="CC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c r="AM936" s="46"/>
      <c r="AN936" s="46"/>
      <c r="AO936" s="46"/>
      <c r="AP936" s="46"/>
      <c r="AQ936" s="46"/>
      <c r="AR936" s="46"/>
      <c r="AS936" s="46"/>
      <c r="AT936" s="46"/>
      <c r="AU936" s="46"/>
      <c r="AV936" s="46"/>
      <c r="AW936" s="46"/>
      <c r="AX936" s="46"/>
      <c r="AY936" s="46"/>
      <c r="AZ936" s="46"/>
      <c r="BA936" s="46"/>
      <c r="BB936" s="46"/>
      <c r="BC936" s="46"/>
      <c r="BD936" s="46"/>
      <c r="BE936" s="46"/>
      <c r="BF936" s="46"/>
      <c r="BG936" s="46"/>
      <c r="BH936" s="46"/>
      <c r="BI936" s="46"/>
      <c r="BJ936" s="46"/>
      <c r="BK936" s="46"/>
      <c r="BL936" s="46"/>
      <c r="BM936" s="46"/>
      <c r="BN936" s="46"/>
      <c r="BO936" s="46"/>
      <c r="BP936" s="46"/>
      <c r="BQ936" s="46"/>
      <c r="BR936" s="46"/>
      <c r="BS936" s="46"/>
      <c r="BT936" s="46"/>
      <c r="BU936" s="46"/>
      <c r="BV936" s="46"/>
      <c r="BW936" s="46"/>
      <c r="BX936" s="46"/>
      <c r="BY936" s="46"/>
      <c r="BZ936" s="46"/>
      <c r="CA936" s="46"/>
      <c r="CB936" s="46"/>
      <c r="CC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c r="AM937" s="46"/>
      <c r="AN937" s="46"/>
      <c r="AO937" s="46"/>
      <c r="AP937" s="46"/>
      <c r="AQ937" s="46"/>
      <c r="AR937" s="46"/>
      <c r="AS937" s="46"/>
      <c r="AT937" s="46"/>
      <c r="AU937" s="46"/>
      <c r="AV937" s="46"/>
      <c r="AW937" s="46"/>
      <c r="AX937" s="46"/>
      <c r="AY937" s="46"/>
      <c r="AZ937" s="46"/>
      <c r="BA937" s="46"/>
      <c r="BB937" s="46"/>
      <c r="BC937" s="46"/>
      <c r="BD937" s="46"/>
      <c r="BE937" s="46"/>
      <c r="BF937" s="46"/>
      <c r="BG937" s="46"/>
      <c r="BH937" s="46"/>
      <c r="BI937" s="46"/>
      <c r="BJ937" s="46"/>
      <c r="BK937" s="46"/>
      <c r="BL937" s="46"/>
      <c r="BM937" s="46"/>
      <c r="BN937" s="46"/>
      <c r="BO937" s="46"/>
      <c r="BP937" s="46"/>
      <c r="BQ937" s="46"/>
      <c r="BR937" s="46"/>
      <c r="BS937" s="46"/>
      <c r="BT937" s="46"/>
      <c r="BU937" s="46"/>
      <c r="BV937" s="46"/>
      <c r="BW937" s="46"/>
      <c r="BX937" s="46"/>
      <c r="BY937" s="46"/>
      <c r="BZ937" s="46"/>
      <c r="CA937" s="46"/>
      <c r="CB937" s="46"/>
      <c r="CC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c r="AM938" s="46"/>
      <c r="AN938" s="46"/>
      <c r="AO938" s="46"/>
      <c r="AP938" s="46"/>
      <c r="AQ938" s="46"/>
      <c r="AR938" s="46"/>
      <c r="AS938" s="46"/>
      <c r="AT938" s="46"/>
      <c r="AU938" s="46"/>
      <c r="AV938" s="46"/>
      <c r="AW938" s="46"/>
      <c r="AX938" s="46"/>
      <c r="AY938" s="46"/>
      <c r="AZ938" s="46"/>
      <c r="BA938" s="46"/>
      <c r="BB938" s="46"/>
      <c r="BC938" s="46"/>
      <c r="BD938" s="46"/>
      <c r="BE938" s="46"/>
      <c r="BF938" s="46"/>
      <c r="BG938" s="46"/>
      <c r="BH938" s="46"/>
      <c r="BI938" s="46"/>
      <c r="BJ938" s="46"/>
      <c r="BK938" s="46"/>
      <c r="BL938" s="46"/>
      <c r="BM938" s="46"/>
      <c r="BN938" s="46"/>
      <c r="BO938" s="46"/>
      <c r="BP938" s="46"/>
      <c r="BQ938" s="46"/>
      <c r="BR938" s="46"/>
      <c r="BS938" s="46"/>
      <c r="BT938" s="46"/>
      <c r="BU938" s="46"/>
      <c r="BV938" s="46"/>
      <c r="BW938" s="46"/>
      <c r="BX938" s="46"/>
      <c r="BY938" s="46"/>
      <c r="BZ938" s="46"/>
      <c r="CA938" s="46"/>
      <c r="CB938" s="46"/>
      <c r="CC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c r="AM939" s="46"/>
      <c r="AN939" s="46"/>
      <c r="AO939" s="46"/>
      <c r="AP939" s="46"/>
      <c r="AQ939" s="46"/>
      <c r="AR939" s="46"/>
      <c r="AS939" s="46"/>
      <c r="AT939" s="46"/>
      <c r="AU939" s="46"/>
      <c r="AV939" s="46"/>
      <c r="AW939" s="46"/>
      <c r="AX939" s="46"/>
      <c r="AY939" s="46"/>
      <c r="AZ939" s="46"/>
      <c r="BA939" s="46"/>
      <c r="BB939" s="46"/>
      <c r="BC939" s="46"/>
      <c r="BD939" s="46"/>
      <c r="BE939" s="46"/>
      <c r="BF939" s="46"/>
      <c r="BG939" s="46"/>
      <c r="BH939" s="46"/>
      <c r="BI939" s="46"/>
      <c r="BJ939" s="46"/>
      <c r="BK939" s="46"/>
      <c r="BL939" s="46"/>
      <c r="BM939" s="46"/>
      <c r="BN939" s="46"/>
      <c r="BO939" s="46"/>
      <c r="BP939" s="46"/>
      <c r="BQ939" s="46"/>
      <c r="BR939" s="46"/>
      <c r="BS939" s="46"/>
      <c r="BT939" s="46"/>
      <c r="BU939" s="46"/>
      <c r="BV939" s="46"/>
      <c r="BW939" s="46"/>
      <c r="BX939" s="46"/>
      <c r="BY939" s="46"/>
      <c r="BZ939" s="46"/>
      <c r="CA939" s="46"/>
      <c r="CB939" s="46"/>
      <c r="CC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c r="AM940" s="46"/>
      <c r="AN940" s="46"/>
      <c r="AO940" s="46"/>
      <c r="AP940" s="46"/>
      <c r="AQ940" s="46"/>
      <c r="AR940" s="46"/>
      <c r="AS940" s="46"/>
      <c r="AT940" s="46"/>
      <c r="AU940" s="46"/>
      <c r="AV940" s="46"/>
      <c r="AW940" s="46"/>
      <c r="AX940" s="46"/>
      <c r="AY940" s="46"/>
      <c r="AZ940" s="46"/>
      <c r="BA940" s="46"/>
      <c r="BB940" s="46"/>
      <c r="BC940" s="46"/>
      <c r="BD940" s="46"/>
      <c r="BE940" s="46"/>
      <c r="BF940" s="46"/>
      <c r="BG940" s="46"/>
      <c r="BH940" s="46"/>
      <c r="BI940" s="46"/>
      <c r="BJ940" s="46"/>
      <c r="BK940" s="46"/>
      <c r="BL940" s="46"/>
      <c r="BM940" s="46"/>
      <c r="BN940" s="46"/>
      <c r="BO940" s="46"/>
      <c r="BP940" s="46"/>
      <c r="BQ940" s="46"/>
      <c r="BR940" s="46"/>
      <c r="BS940" s="46"/>
      <c r="BT940" s="46"/>
      <c r="BU940" s="46"/>
      <c r="BV940" s="46"/>
      <c r="BW940" s="46"/>
      <c r="BX940" s="46"/>
      <c r="BY940" s="46"/>
      <c r="BZ940" s="46"/>
      <c r="CA940" s="46"/>
      <c r="CB940" s="46"/>
      <c r="CC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c r="AM941" s="46"/>
      <c r="AN941" s="46"/>
      <c r="AO941" s="46"/>
      <c r="AP941" s="46"/>
      <c r="AQ941" s="46"/>
      <c r="AR941" s="46"/>
      <c r="AS941" s="46"/>
      <c r="AT941" s="46"/>
      <c r="AU941" s="46"/>
      <c r="AV941" s="46"/>
      <c r="AW941" s="46"/>
      <c r="AX941" s="46"/>
      <c r="AY941" s="46"/>
      <c r="AZ941" s="46"/>
      <c r="BA941" s="46"/>
      <c r="BB941" s="46"/>
      <c r="BC941" s="46"/>
      <c r="BD941" s="46"/>
      <c r="BE941" s="46"/>
      <c r="BF941" s="46"/>
      <c r="BG941" s="46"/>
      <c r="BH941" s="46"/>
      <c r="BI941" s="46"/>
      <c r="BJ941" s="46"/>
      <c r="BK941" s="46"/>
      <c r="BL941" s="46"/>
      <c r="BM941" s="46"/>
      <c r="BN941" s="46"/>
      <c r="BO941" s="46"/>
      <c r="BP941" s="46"/>
      <c r="BQ941" s="46"/>
      <c r="BR941" s="46"/>
      <c r="BS941" s="46"/>
      <c r="BT941" s="46"/>
      <c r="BU941" s="46"/>
      <c r="BV941" s="46"/>
      <c r="BW941" s="46"/>
      <c r="BX941" s="46"/>
      <c r="BY941" s="46"/>
      <c r="BZ941" s="46"/>
      <c r="CA941" s="46"/>
      <c r="CB941" s="46"/>
      <c r="CC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c r="AJ942" s="46"/>
      <c r="AK942" s="46"/>
      <c r="AL942" s="46"/>
      <c r="AM942" s="46"/>
      <c r="AN942" s="46"/>
      <c r="AO942" s="46"/>
      <c r="AP942" s="46"/>
      <c r="AQ942" s="46"/>
      <c r="AR942" s="46"/>
      <c r="AS942" s="46"/>
      <c r="AT942" s="46"/>
      <c r="AU942" s="46"/>
      <c r="AV942" s="46"/>
      <c r="AW942" s="46"/>
      <c r="AX942" s="46"/>
      <c r="AY942" s="46"/>
      <c r="AZ942" s="46"/>
      <c r="BA942" s="46"/>
      <c r="BB942" s="46"/>
      <c r="BC942" s="46"/>
      <c r="BD942" s="46"/>
      <c r="BE942" s="46"/>
      <c r="BF942" s="46"/>
      <c r="BG942" s="46"/>
      <c r="BH942" s="46"/>
      <c r="BI942" s="46"/>
      <c r="BJ942" s="46"/>
      <c r="BK942" s="46"/>
      <c r="BL942" s="46"/>
      <c r="BM942" s="46"/>
      <c r="BN942" s="46"/>
      <c r="BO942" s="46"/>
      <c r="BP942" s="46"/>
      <c r="BQ942" s="46"/>
      <c r="BR942" s="46"/>
      <c r="BS942" s="46"/>
      <c r="BT942" s="46"/>
      <c r="BU942" s="46"/>
      <c r="BV942" s="46"/>
      <c r="BW942" s="46"/>
      <c r="BX942" s="46"/>
      <c r="BY942" s="46"/>
      <c r="BZ942" s="46"/>
      <c r="CA942" s="46"/>
      <c r="CB942" s="46"/>
      <c r="CC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c r="AL943" s="46"/>
      <c r="AM943" s="46"/>
      <c r="AN943" s="46"/>
      <c r="AO943" s="46"/>
      <c r="AP943" s="46"/>
      <c r="AQ943" s="46"/>
      <c r="AR943" s="46"/>
      <c r="AS943" s="46"/>
      <c r="AT943" s="46"/>
      <c r="AU943" s="46"/>
      <c r="AV943" s="46"/>
      <c r="AW943" s="46"/>
      <c r="AX943" s="46"/>
      <c r="AY943" s="46"/>
      <c r="AZ943" s="46"/>
      <c r="BA943" s="46"/>
      <c r="BB943" s="46"/>
      <c r="BC943" s="46"/>
      <c r="BD943" s="46"/>
      <c r="BE943" s="46"/>
      <c r="BF943" s="46"/>
      <c r="BG943" s="46"/>
      <c r="BH943" s="46"/>
      <c r="BI943" s="46"/>
      <c r="BJ943" s="46"/>
      <c r="BK943" s="46"/>
      <c r="BL943" s="46"/>
      <c r="BM943" s="46"/>
      <c r="BN943" s="46"/>
      <c r="BO943" s="46"/>
      <c r="BP943" s="46"/>
      <c r="BQ943" s="46"/>
      <c r="BR943" s="46"/>
      <c r="BS943" s="46"/>
      <c r="BT943" s="46"/>
      <c r="BU943" s="46"/>
      <c r="BV943" s="46"/>
      <c r="BW943" s="46"/>
      <c r="BX943" s="46"/>
      <c r="BY943" s="46"/>
      <c r="BZ943" s="46"/>
      <c r="CA943" s="46"/>
      <c r="CB943" s="46"/>
      <c r="CC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c r="AL944" s="46"/>
      <c r="AM944" s="46"/>
      <c r="AN944" s="46"/>
      <c r="AO944" s="46"/>
      <c r="AP944" s="46"/>
      <c r="AQ944" s="46"/>
      <c r="AR944" s="46"/>
      <c r="AS944" s="46"/>
      <c r="AT944" s="46"/>
      <c r="AU944" s="46"/>
      <c r="AV944" s="46"/>
      <c r="AW944" s="46"/>
      <c r="AX944" s="46"/>
      <c r="AY944" s="46"/>
      <c r="AZ944" s="46"/>
      <c r="BA944" s="46"/>
      <c r="BB944" s="46"/>
      <c r="BC944" s="46"/>
      <c r="BD944" s="46"/>
      <c r="BE944" s="46"/>
      <c r="BF944" s="46"/>
      <c r="BG944" s="46"/>
      <c r="BH944" s="46"/>
      <c r="BI944" s="46"/>
      <c r="BJ944" s="46"/>
      <c r="BK944" s="46"/>
      <c r="BL944" s="46"/>
      <c r="BM944" s="46"/>
      <c r="BN944" s="46"/>
      <c r="BO944" s="46"/>
      <c r="BP944" s="46"/>
      <c r="BQ944" s="46"/>
      <c r="BR944" s="46"/>
      <c r="BS944" s="46"/>
      <c r="BT944" s="46"/>
      <c r="BU944" s="46"/>
      <c r="BV944" s="46"/>
      <c r="BW944" s="46"/>
      <c r="BX944" s="46"/>
      <c r="BY944" s="46"/>
      <c r="BZ944" s="46"/>
      <c r="CA944" s="46"/>
      <c r="CB944" s="46"/>
      <c r="CC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c r="AL945" s="46"/>
      <c r="AM945" s="46"/>
      <c r="AN945" s="46"/>
      <c r="AO945" s="46"/>
      <c r="AP945" s="46"/>
      <c r="AQ945" s="46"/>
      <c r="AR945" s="46"/>
      <c r="AS945" s="46"/>
      <c r="AT945" s="46"/>
      <c r="AU945" s="46"/>
      <c r="AV945" s="46"/>
      <c r="AW945" s="46"/>
      <c r="AX945" s="46"/>
      <c r="AY945" s="46"/>
      <c r="AZ945" s="46"/>
      <c r="BA945" s="46"/>
      <c r="BB945" s="46"/>
      <c r="BC945" s="46"/>
      <c r="BD945" s="46"/>
      <c r="BE945" s="46"/>
      <c r="BF945" s="46"/>
      <c r="BG945" s="46"/>
      <c r="BH945" s="46"/>
      <c r="BI945" s="46"/>
      <c r="BJ945" s="46"/>
      <c r="BK945" s="46"/>
      <c r="BL945" s="46"/>
      <c r="BM945" s="46"/>
      <c r="BN945" s="46"/>
      <c r="BO945" s="46"/>
      <c r="BP945" s="46"/>
      <c r="BQ945" s="46"/>
      <c r="BR945" s="46"/>
      <c r="BS945" s="46"/>
      <c r="BT945" s="46"/>
      <c r="BU945" s="46"/>
      <c r="BV945" s="46"/>
      <c r="BW945" s="46"/>
      <c r="BX945" s="46"/>
      <c r="BY945" s="46"/>
      <c r="BZ945" s="46"/>
      <c r="CA945" s="46"/>
      <c r="CB945" s="46"/>
      <c r="CC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c r="AL946" s="46"/>
      <c r="AM946" s="46"/>
      <c r="AN946" s="46"/>
      <c r="AO946" s="46"/>
      <c r="AP946" s="46"/>
      <c r="AQ946" s="46"/>
      <c r="AR946" s="46"/>
      <c r="AS946" s="46"/>
      <c r="AT946" s="46"/>
      <c r="AU946" s="46"/>
      <c r="AV946" s="46"/>
      <c r="AW946" s="46"/>
      <c r="AX946" s="46"/>
      <c r="AY946" s="46"/>
      <c r="AZ946" s="46"/>
      <c r="BA946" s="46"/>
      <c r="BB946" s="46"/>
      <c r="BC946" s="46"/>
      <c r="BD946" s="46"/>
      <c r="BE946" s="46"/>
      <c r="BF946" s="46"/>
      <c r="BG946" s="46"/>
      <c r="BH946" s="46"/>
      <c r="BI946" s="46"/>
      <c r="BJ946" s="46"/>
      <c r="BK946" s="46"/>
      <c r="BL946" s="46"/>
      <c r="BM946" s="46"/>
      <c r="BN946" s="46"/>
      <c r="BO946" s="46"/>
      <c r="BP946" s="46"/>
      <c r="BQ946" s="46"/>
      <c r="BR946" s="46"/>
      <c r="BS946" s="46"/>
      <c r="BT946" s="46"/>
      <c r="BU946" s="46"/>
      <c r="BV946" s="46"/>
      <c r="BW946" s="46"/>
      <c r="BX946" s="46"/>
      <c r="BY946" s="46"/>
      <c r="BZ946" s="46"/>
      <c r="CA946" s="46"/>
      <c r="CB946" s="46"/>
      <c r="CC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c r="AJ947" s="46"/>
      <c r="AK947" s="46"/>
      <c r="AL947" s="46"/>
      <c r="AM947" s="46"/>
      <c r="AN947" s="46"/>
      <c r="AO947" s="46"/>
      <c r="AP947" s="46"/>
      <c r="AQ947" s="46"/>
      <c r="AR947" s="46"/>
      <c r="AS947" s="46"/>
      <c r="AT947" s="46"/>
      <c r="AU947" s="46"/>
      <c r="AV947" s="46"/>
      <c r="AW947" s="46"/>
      <c r="AX947" s="46"/>
      <c r="AY947" s="46"/>
      <c r="AZ947" s="46"/>
      <c r="BA947" s="46"/>
      <c r="BB947" s="46"/>
      <c r="BC947" s="46"/>
      <c r="BD947" s="46"/>
      <c r="BE947" s="46"/>
      <c r="BF947" s="46"/>
      <c r="BG947" s="46"/>
      <c r="BH947" s="46"/>
      <c r="BI947" s="46"/>
      <c r="BJ947" s="46"/>
      <c r="BK947" s="46"/>
      <c r="BL947" s="46"/>
      <c r="BM947" s="46"/>
      <c r="BN947" s="46"/>
      <c r="BO947" s="46"/>
      <c r="BP947" s="46"/>
      <c r="BQ947" s="46"/>
      <c r="BR947" s="46"/>
      <c r="BS947" s="46"/>
      <c r="BT947" s="46"/>
      <c r="BU947" s="46"/>
      <c r="BV947" s="46"/>
      <c r="BW947" s="46"/>
      <c r="BX947" s="46"/>
      <c r="BY947" s="46"/>
      <c r="BZ947" s="46"/>
      <c r="CA947" s="46"/>
      <c r="CB947" s="46"/>
      <c r="CC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c r="AM948" s="46"/>
      <c r="AN948" s="46"/>
      <c r="AO948" s="46"/>
      <c r="AP948" s="46"/>
      <c r="AQ948" s="46"/>
      <c r="AR948" s="46"/>
      <c r="AS948" s="46"/>
      <c r="AT948" s="46"/>
      <c r="AU948" s="46"/>
      <c r="AV948" s="46"/>
      <c r="AW948" s="46"/>
      <c r="AX948" s="46"/>
      <c r="AY948" s="46"/>
      <c r="AZ948" s="46"/>
      <c r="BA948" s="46"/>
      <c r="BB948" s="46"/>
      <c r="BC948" s="46"/>
      <c r="BD948" s="46"/>
      <c r="BE948" s="46"/>
      <c r="BF948" s="46"/>
      <c r="BG948" s="46"/>
      <c r="BH948" s="46"/>
      <c r="BI948" s="46"/>
      <c r="BJ948" s="46"/>
      <c r="BK948" s="46"/>
      <c r="BL948" s="46"/>
      <c r="BM948" s="46"/>
      <c r="BN948" s="46"/>
      <c r="BO948" s="46"/>
      <c r="BP948" s="46"/>
      <c r="BQ948" s="46"/>
      <c r="BR948" s="46"/>
      <c r="BS948" s="46"/>
      <c r="BT948" s="46"/>
      <c r="BU948" s="46"/>
      <c r="BV948" s="46"/>
      <c r="BW948" s="46"/>
      <c r="BX948" s="46"/>
      <c r="BY948" s="46"/>
      <c r="BZ948" s="46"/>
      <c r="CA948" s="46"/>
      <c r="CB948" s="46"/>
      <c r="CC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c r="AL949" s="46"/>
      <c r="AM949" s="46"/>
      <c r="AN949" s="46"/>
      <c r="AO949" s="46"/>
      <c r="AP949" s="46"/>
      <c r="AQ949" s="46"/>
      <c r="AR949" s="46"/>
      <c r="AS949" s="46"/>
      <c r="AT949" s="46"/>
      <c r="AU949" s="46"/>
      <c r="AV949" s="46"/>
      <c r="AW949" s="46"/>
      <c r="AX949" s="46"/>
      <c r="AY949" s="46"/>
      <c r="AZ949" s="46"/>
      <c r="BA949" s="46"/>
      <c r="BB949" s="46"/>
      <c r="BC949" s="46"/>
      <c r="BD949" s="46"/>
      <c r="BE949" s="46"/>
      <c r="BF949" s="46"/>
      <c r="BG949" s="46"/>
      <c r="BH949" s="46"/>
      <c r="BI949" s="46"/>
      <c r="BJ949" s="46"/>
      <c r="BK949" s="46"/>
      <c r="BL949" s="46"/>
      <c r="BM949" s="46"/>
      <c r="BN949" s="46"/>
      <c r="BO949" s="46"/>
      <c r="BP949" s="46"/>
      <c r="BQ949" s="46"/>
      <c r="BR949" s="46"/>
      <c r="BS949" s="46"/>
      <c r="BT949" s="46"/>
      <c r="BU949" s="46"/>
      <c r="BV949" s="46"/>
      <c r="BW949" s="46"/>
      <c r="BX949" s="46"/>
      <c r="BY949" s="46"/>
      <c r="BZ949" s="46"/>
      <c r="CA949" s="46"/>
      <c r="CB949" s="46"/>
      <c r="CC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c r="AL950" s="46"/>
      <c r="AM950" s="46"/>
      <c r="AN950" s="46"/>
      <c r="AO950" s="46"/>
      <c r="AP950" s="46"/>
      <c r="AQ950" s="46"/>
      <c r="AR950" s="46"/>
      <c r="AS950" s="46"/>
      <c r="AT950" s="46"/>
      <c r="AU950" s="46"/>
      <c r="AV950" s="46"/>
      <c r="AW950" s="46"/>
      <c r="AX950" s="46"/>
      <c r="AY950" s="46"/>
      <c r="AZ950" s="46"/>
      <c r="BA950" s="46"/>
      <c r="BB950" s="46"/>
      <c r="BC950" s="46"/>
      <c r="BD950" s="46"/>
      <c r="BE950" s="46"/>
      <c r="BF950" s="46"/>
      <c r="BG950" s="46"/>
      <c r="BH950" s="46"/>
      <c r="BI950" s="46"/>
      <c r="BJ950" s="46"/>
      <c r="BK950" s="46"/>
      <c r="BL950" s="46"/>
      <c r="BM950" s="46"/>
      <c r="BN950" s="46"/>
      <c r="BO950" s="46"/>
      <c r="BP950" s="46"/>
      <c r="BQ950" s="46"/>
      <c r="BR950" s="46"/>
      <c r="BS950" s="46"/>
      <c r="BT950" s="46"/>
      <c r="BU950" s="46"/>
      <c r="BV950" s="46"/>
      <c r="BW950" s="46"/>
      <c r="BX950" s="46"/>
      <c r="BY950" s="46"/>
      <c r="BZ950" s="46"/>
      <c r="CA950" s="46"/>
      <c r="CB950" s="46"/>
      <c r="CC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c r="AM951" s="46"/>
      <c r="AN951" s="46"/>
      <c r="AO951" s="46"/>
      <c r="AP951" s="46"/>
      <c r="AQ951" s="46"/>
      <c r="AR951" s="46"/>
      <c r="AS951" s="46"/>
      <c r="AT951" s="46"/>
      <c r="AU951" s="46"/>
      <c r="AV951" s="46"/>
      <c r="AW951" s="46"/>
      <c r="AX951" s="46"/>
      <c r="AY951" s="46"/>
      <c r="AZ951" s="46"/>
      <c r="BA951" s="46"/>
      <c r="BB951" s="46"/>
      <c r="BC951" s="46"/>
      <c r="BD951" s="46"/>
      <c r="BE951" s="46"/>
      <c r="BF951" s="46"/>
      <c r="BG951" s="46"/>
      <c r="BH951" s="46"/>
      <c r="BI951" s="46"/>
      <c r="BJ951" s="46"/>
      <c r="BK951" s="46"/>
      <c r="BL951" s="46"/>
      <c r="BM951" s="46"/>
      <c r="BN951" s="46"/>
      <c r="BO951" s="46"/>
      <c r="BP951" s="46"/>
      <c r="BQ951" s="46"/>
      <c r="BR951" s="46"/>
      <c r="BS951" s="46"/>
      <c r="BT951" s="46"/>
      <c r="BU951" s="46"/>
      <c r="BV951" s="46"/>
      <c r="BW951" s="46"/>
      <c r="BX951" s="46"/>
      <c r="BY951" s="46"/>
      <c r="BZ951" s="46"/>
      <c r="CA951" s="46"/>
      <c r="CB951" s="46"/>
      <c r="CC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c r="AM952" s="46"/>
      <c r="AN952" s="46"/>
      <c r="AO952" s="46"/>
      <c r="AP952" s="46"/>
      <c r="AQ952" s="46"/>
      <c r="AR952" s="46"/>
      <c r="AS952" s="46"/>
      <c r="AT952" s="46"/>
      <c r="AU952" s="46"/>
      <c r="AV952" s="46"/>
      <c r="AW952" s="46"/>
      <c r="AX952" s="46"/>
      <c r="AY952" s="46"/>
      <c r="AZ952" s="46"/>
      <c r="BA952" s="46"/>
      <c r="BB952" s="46"/>
      <c r="BC952" s="46"/>
      <c r="BD952" s="46"/>
      <c r="BE952" s="46"/>
      <c r="BF952" s="46"/>
      <c r="BG952" s="46"/>
      <c r="BH952" s="46"/>
      <c r="BI952" s="46"/>
      <c r="BJ952" s="46"/>
      <c r="BK952" s="46"/>
      <c r="BL952" s="46"/>
      <c r="BM952" s="46"/>
      <c r="BN952" s="46"/>
      <c r="BO952" s="46"/>
      <c r="BP952" s="46"/>
      <c r="BQ952" s="46"/>
      <c r="BR952" s="46"/>
      <c r="BS952" s="46"/>
      <c r="BT952" s="46"/>
      <c r="BU952" s="46"/>
      <c r="BV952" s="46"/>
      <c r="BW952" s="46"/>
      <c r="BX952" s="46"/>
      <c r="BY952" s="46"/>
      <c r="BZ952" s="46"/>
      <c r="CA952" s="46"/>
      <c r="CB952" s="46"/>
      <c r="CC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c r="AL953" s="46"/>
      <c r="AM953" s="46"/>
      <c r="AN953" s="46"/>
      <c r="AO953" s="46"/>
      <c r="AP953" s="46"/>
      <c r="AQ953" s="46"/>
      <c r="AR953" s="46"/>
      <c r="AS953" s="46"/>
      <c r="AT953" s="46"/>
      <c r="AU953" s="46"/>
      <c r="AV953" s="46"/>
      <c r="AW953" s="46"/>
      <c r="AX953" s="46"/>
      <c r="AY953" s="46"/>
      <c r="AZ953" s="46"/>
      <c r="BA953" s="46"/>
      <c r="BB953" s="46"/>
      <c r="BC953" s="46"/>
      <c r="BD953" s="46"/>
      <c r="BE953" s="46"/>
      <c r="BF953" s="46"/>
      <c r="BG953" s="46"/>
      <c r="BH953" s="46"/>
      <c r="BI953" s="46"/>
      <c r="BJ953" s="46"/>
      <c r="BK953" s="46"/>
      <c r="BL953" s="46"/>
      <c r="BM953" s="46"/>
      <c r="BN953" s="46"/>
      <c r="BO953" s="46"/>
      <c r="BP953" s="46"/>
      <c r="BQ953" s="46"/>
      <c r="BR953" s="46"/>
      <c r="BS953" s="46"/>
      <c r="BT953" s="46"/>
      <c r="BU953" s="46"/>
      <c r="BV953" s="46"/>
      <c r="BW953" s="46"/>
      <c r="BX953" s="46"/>
      <c r="BY953" s="46"/>
      <c r="BZ953" s="46"/>
      <c r="CA953" s="46"/>
      <c r="CB953" s="46"/>
      <c r="CC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c r="AL954" s="46"/>
      <c r="AM954" s="46"/>
      <c r="AN954" s="46"/>
      <c r="AO954" s="46"/>
      <c r="AP954" s="46"/>
      <c r="AQ954" s="46"/>
      <c r="AR954" s="46"/>
      <c r="AS954" s="46"/>
      <c r="AT954" s="46"/>
      <c r="AU954" s="46"/>
      <c r="AV954" s="46"/>
      <c r="AW954" s="46"/>
      <c r="AX954" s="46"/>
      <c r="AY954" s="46"/>
      <c r="AZ954" s="46"/>
      <c r="BA954" s="46"/>
      <c r="BB954" s="46"/>
      <c r="BC954" s="46"/>
      <c r="BD954" s="46"/>
      <c r="BE954" s="46"/>
      <c r="BF954" s="46"/>
      <c r="BG954" s="46"/>
      <c r="BH954" s="46"/>
      <c r="BI954" s="46"/>
      <c r="BJ954" s="46"/>
      <c r="BK954" s="46"/>
      <c r="BL954" s="46"/>
      <c r="BM954" s="46"/>
      <c r="BN954" s="46"/>
      <c r="BO954" s="46"/>
      <c r="BP954" s="46"/>
      <c r="BQ954" s="46"/>
      <c r="BR954" s="46"/>
      <c r="BS954" s="46"/>
      <c r="BT954" s="46"/>
      <c r="BU954" s="46"/>
      <c r="BV954" s="46"/>
      <c r="BW954" s="46"/>
      <c r="BX954" s="46"/>
      <c r="BY954" s="46"/>
      <c r="BZ954" s="46"/>
      <c r="CA954" s="46"/>
      <c r="CB954" s="46"/>
      <c r="CC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c r="AL955" s="46"/>
      <c r="AM955" s="46"/>
      <c r="AN955" s="46"/>
      <c r="AO955" s="46"/>
      <c r="AP955" s="46"/>
      <c r="AQ955" s="46"/>
      <c r="AR955" s="46"/>
      <c r="AS955" s="46"/>
      <c r="AT955" s="46"/>
      <c r="AU955" s="46"/>
      <c r="AV955" s="46"/>
      <c r="AW955" s="46"/>
      <c r="AX955" s="46"/>
      <c r="AY955" s="46"/>
      <c r="AZ955" s="46"/>
      <c r="BA955" s="46"/>
      <c r="BB955" s="46"/>
      <c r="BC955" s="46"/>
      <c r="BD955" s="46"/>
      <c r="BE955" s="46"/>
      <c r="BF955" s="46"/>
      <c r="BG955" s="46"/>
      <c r="BH955" s="46"/>
      <c r="BI955" s="46"/>
      <c r="BJ955" s="46"/>
      <c r="BK955" s="46"/>
      <c r="BL955" s="46"/>
      <c r="BM955" s="46"/>
      <c r="BN955" s="46"/>
      <c r="BO955" s="46"/>
      <c r="BP955" s="46"/>
      <c r="BQ955" s="46"/>
      <c r="BR955" s="46"/>
      <c r="BS955" s="46"/>
      <c r="BT955" s="46"/>
      <c r="BU955" s="46"/>
      <c r="BV955" s="46"/>
      <c r="BW955" s="46"/>
      <c r="BX955" s="46"/>
      <c r="BY955" s="46"/>
      <c r="BZ955" s="46"/>
      <c r="CA955" s="46"/>
      <c r="CB955" s="46"/>
      <c r="CC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c r="AL956" s="46"/>
      <c r="AM956" s="46"/>
      <c r="AN956" s="46"/>
      <c r="AO956" s="46"/>
      <c r="AP956" s="46"/>
      <c r="AQ956" s="46"/>
      <c r="AR956" s="46"/>
      <c r="AS956" s="46"/>
      <c r="AT956" s="46"/>
      <c r="AU956" s="46"/>
      <c r="AV956" s="46"/>
      <c r="AW956" s="46"/>
      <c r="AX956" s="46"/>
      <c r="AY956" s="46"/>
      <c r="AZ956" s="46"/>
      <c r="BA956" s="46"/>
      <c r="BB956" s="46"/>
      <c r="BC956" s="46"/>
      <c r="BD956" s="46"/>
      <c r="BE956" s="46"/>
      <c r="BF956" s="46"/>
      <c r="BG956" s="46"/>
      <c r="BH956" s="46"/>
      <c r="BI956" s="46"/>
      <c r="BJ956" s="46"/>
      <c r="BK956" s="46"/>
      <c r="BL956" s="46"/>
      <c r="BM956" s="46"/>
      <c r="BN956" s="46"/>
      <c r="BO956" s="46"/>
      <c r="BP956" s="46"/>
      <c r="BQ956" s="46"/>
      <c r="BR956" s="46"/>
      <c r="BS956" s="46"/>
      <c r="BT956" s="46"/>
      <c r="BU956" s="46"/>
      <c r="BV956" s="46"/>
      <c r="BW956" s="46"/>
      <c r="BX956" s="46"/>
      <c r="BY956" s="46"/>
      <c r="BZ956" s="46"/>
      <c r="CA956" s="46"/>
      <c r="CB956" s="46"/>
      <c r="CC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c r="AL957" s="46"/>
      <c r="AM957" s="46"/>
      <c r="AN957" s="46"/>
      <c r="AO957" s="46"/>
      <c r="AP957" s="46"/>
      <c r="AQ957" s="46"/>
      <c r="AR957" s="46"/>
      <c r="AS957" s="46"/>
      <c r="AT957" s="46"/>
      <c r="AU957" s="46"/>
      <c r="AV957" s="46"/>
      <c r="AW957" s="46"/>
      <c r="AX957" s="46"/>
      <c r="AY957" s="46"/>
      <c r="AZ957" s="46"/>
      <c r="BA957" s="46"/>
      <c r="BB957" s="46"/>
      <c r="BC957" s="46"/>
      <c r="BD957" s="46"/>
      <c r="BE957" s="46"/>
      <c r="BF957" s="46"/>
      <c r="BG957" s="46"/>
      <c r="BH957" s="46"/>
      <c r="BI957" s="46"/>
      <c r="BJ957" s="46"/>
      <c r="BK957" s="46"/>
      <c r="BL957" s="46"/>
      <c r="BM957" s="46"/>
      <c r="BN957" s="46"/>
      <c r="BO957" s="46"/>
      <c r="BP957" s="46"/>
      <c r="BQ957" s="46"/>
      <c r="BR957" s="46"/>
      <c r="BS957" s="46"/>
      <c r="BT957" s="46"/>
      <c r="BU957" s="46"/>
      <c r="BV957" s="46"/>
      <c r="BW957" s="46"/>
      <c r="BX957" s="46"/>
      <c r="BY957" s="46"/>
      <c r="BZ957" s="46"/>
      <c r="CA957" s="46"/>
      <c r="CB957" s="46"/>
      <c r="CC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c r="AL958" s="46"/>
      <c r="AM958" s="46"/>
      <c r="AN958" s="46"/>
      <c r="AO958" s="46"/>
      <c r="AP958" s="46"/>
      <c r="AQ958" s="46"/>
      <c r="AR958" s="46"/>
      <c r="AS958" s="46"/>
      <c r="AT958" s="46"/>
      <c r="AU958" s="46"/>
      <c r="AV958" s="46"/>
      <c r="AW958" s="46"/>
      <c r="AX958" s="46"/>
      <c r="AY958" s="46"/>
      <c r="AZ958" s="46"/>
      <c r="BA958" s="46"/>
      <c r="BB958" s="46"/>
      <c r="BC958" s="46"/>
      <c r="BD958" s="46"/>
      <c r="BE958" s="46"/>
      <c r="BF958" s="46"/>
      <c r="BG958" s="46"/>
      <c r="BH958" s="46"/>
      <c r="BI958" s="46"/>
      <c r="BJ958" s="46"/>
      <c r="BK958" s="46"/>
      <c r="BL958" s="46"/>
      <c r="BM958" s="46"/>
      <c r="BN958" s="46"/>
      <c r="BO958" s="46"/>
      <c r="BP958" s="46"/>
      <c r="BQ958" s="46"/>
      <c r="BR958" s="46"/>
      <c r="BS958" s="46"/>
      <c r="BT958" s="46"/>
      <c r="BU958" s="46"/>
      <c r="BV958" s="46"/>
      <c r="BW958" s="46"/>
      <c r="BX958" s="46"/>
      <c r="BY958" s="46"/>
      <c r="BZ958" s="46"/>
      <c r="CA958" s="46"/>
      <c r="CB958" s="46"/>
      <c r="CC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c r="AJ959" s="46"/>
      <c r="AK959" s="46"/>
      <c r="AL959" s="46"/>
      <c r="AM959" s="46"/>
      <c r="AN959" s="46"/>
      <c r="AO959" s="46"/>
      <c r="AP959" s="46"/>
      <c r="AQ959" s="46"/>
      <c r="AR959" s="46"/>
      <c r="AS959" s="46"/>
      <c r="AT959" s="46"/>
      <c r="AU959" s="46"/>
      <c r="AV959" s="46"/>
      <c r="AW959" s="46"/>
      <c r="AX959" s="46"/>
      <c r="AY959" s="46"/>
      <c r="AZ959" s="46"/>
      <c r="BA959" s="46"/>
      <c r="BB959" s="46"/>
      <c r="BC959" s="46"/>
      <c r="BD959" s="46"/>
      <c r="BE959" s="46"/>
      <c r="BF959" s="46"/>
      <c r="BG959" s="46"/>
      <c r="BH959" s="46"/>
      <c r="BI959" s="46"/>
      <c r="BJ959" s="46"/>
      <c r="BK959" s="46"/>
      <c r="BL959" s="46"/>
      <c r="BM959" s="46"/>
      <c r="BN959" s="46"/>
      <c r="BO959" s="46"/>
      <c r="BP959" s="46"/>
      <c r="BQ959" s="46"/>
      <c r="BR959" s="46"/>
      <c r="BS959" s="46"/>
      <c r="BT959" s="46"/>
      <c r="BU959" s="46"/>
      <c r="BV959" s="46"/>
      <c r="BW959" s="46"/>
      <c r="BX959" s="46"/>
      <c r="BY959" s="46"/>
      <c r="BZ959" s="46"/>
      <c r="CA959" s="46"/>
      <c r="CB959" s="46"/>
      <c r="CC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c r="AL960" s="46"/>
      <c r="AM960" s="46"/>
      <c r="AN960" s="46"/>
      <c r="AO960" s="46"/>
      <c r="AP960" s="46"/>
      <c r="AQ960" s="46"/>
      <c r="AR960" s="46"/>
      <c r="AS960" s="46"/>
      <c r="AT960" s="46"/>
      <c r="AU960" s="46"/>
      <c r="AV960" s="46"/>
      <c r="AW960" s="46"/>
      <c r="AX960" s="46"/>
      <c r="AY960" s="46"/>
      <c r="AZ960" s="46"/>
      <c r="BA960" s="46"/>
      <c r="BB960" s="46"/>
      <c r="BC960" s="46"/>
      <c r="BD960" s="46"/>
      <c r="BE960" s="46"/>
      <c r="BF960" s="46"/>
      <c r="BG960" s="46"/>
      <c r="BH960" s="46"/>
      <c r="BI960" s="46"/>
      <c r="BJ960" s="46"/>
      <c r="BK960" s="46"/>
      <c r="BL960" s="46"/>
      <c r="BM960" s="46"/>
      <c r="BN960" s="46"/>
      <c r="BO960" s="46"/>
      <c r="BP960" s="46"/>
      <c r="BQ960" s="46"/>
      <c r="BR960" s="46"/>
      <c r="BS960" s="46"/>
      <c r="BT960" s="46"/>
      <c r="BU960" s="46"/>
      <c r="BV960" s="46"/>
      <c r="BW960" s="46"/>
      <c r="BX960" s="46"/>
      <c r="BY960" s="46"/>
      <c r="BZ960" s="46"/>
      <c r="CA960" s="46"/>
      <c r="CB960" s="46"/>
      <c r="CC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c r="AL961" s="46"/>
      <c r="AM961" s="46"/>
      <c r="AN961" s="46"/>
      <c r="AO961" s="46"/>
      <c r="AP961" s="46"/>
      <c r="AQ961" s="46"/>
      <c r="AR961" s="46"/>
      <c r="AS961" s="46"/>
      <c r="AT961" s="46"/>
      <c r="AU961" s="46"/>
      <c r="AV961" s="46"/>
      <c r="AW961" s="46"/>
      <c r="AX961" s="46"/>
      <c r="AY961" s="46"/>
      <c r="AZ961" s="46"/>
      <c r="BA961" s="46"/>
      <c r="BB961" s="46"/>
      <c r="BC961" s="46"/>
      <c r="BD961" s="46"/>
      <c r="BE961" s="46"/>
      <c r="BF961" s="46"/>
      <c r="BG961" s="46"/>
      <c r="BH961" s="46"/>
      <c r="BI961" s="46"/>
      <c r="BJ961" s="46"/>
      <c r="BK961" s="46"/>
      <c r="BL961" s="46"/>
      <c r="BM961" s="46"/>
      <c r="BN961" s="46"/>
      <c r="BO961" s="46"/>
      <c r="BP961" s="46"/>
      <c r="BQ961" s="46"/>
      <c r="BR961" s="46"/>
      <c r="BS961" s="46"/>
      <c r="BT961" s="46"/>
      <c r="BU961" s="46"/>
      <c r="BV961" s="46"/>
      <c r="BW961" s="46"/>
      <c r="BX961" s="46"/>
      <c r="BY961" s="46"/>
      <c r="BZ961" s="46"/>
      <c r="CA961" s="46"/>
      <c r="CB961" s="46"/>
      <c r="CC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c r="AL962" s="46"/>
      <c r="AM962" s="46"/>
      <c r="AN962" s="46"/>
      <c r="AO962" s="46"/>
      <c r="AP962" s="46"/>
      <c r="AQ962" s="46"/>
      <c r="AR962" s="46"/>
      <c r="AS962" s="46"/>
      <c r="AT962" s="46"/>
      <c r="AU962" s="46"/>
      <c r="AV962" s="46"/>
      <c r="AW962" s="46"/>
      <c r="AX962" s="46"/>
      <c r="AY962" s="46"/>
      <c r="AZ962" s="46"/>
      <c r="BA962" s="46"/>
      <c r="BB962" s="46"/>
      <c r="BC962" s="46"/>
      <c r="BD962" s="46"/>
      <c r="BE962" s="46"/>
      <c r="BF962" s="46"/>
      <c r="BG962" s="46"/>
      <c r="BH962" s="46"/>
      <c r="BI962" s="46"/>
      <c r="BJ962" s="46"/>
      <c r="BK962" s="46"/>
      <c r="BL962" s="46"/>
      <c r="BM962" s="46"/>
      <c r="BN962" s="46"/>
      <c r="BO962" s="46"/>
      <c r="BP962" s="46"/>
      <c r="BQ962" s="46"/>
      <c r="BR962" s="46"/>
      <c r="BS962" s="46"/>
      <c r="BT962" s="46"/>
      <c r="BU962" s="46"/>
      <c r="BV962" s="46"/>
      <c r="BW962" s="46"/>
      <c r="BX962" s="46"/>
      <c r="BY962" s="46"/>
      <c r="BZ962" s="46"/>
      <c r="CA962" s="46"/>
      <c r="CB962" s="46"/>
      <c r="CC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c r="AL963" s="46"/>
      <c r="AM963" s="46"/>
      <c r="AN963" s="46"/>
      <c r="AO963" s="46"/>
      <c r="AP963" s="46"/>
      <c r="AQ963" s="46"/>
      <c r="AR963" s="46"/>
      <c r="AS963" s="46"/>
      <c r="AT963" s="46"/>
      <c r="AU963" s="46"/>
      <c r="AV963" s="46"/>
      <c r="AW963" s="46"/>
      <c r="AX963" s="46"/>
      <c r="AY963" s="46"/>
      <c r="AZ963" s="46"/>
      <c r="BA963" s="46"/>
      <c r="BB963" s="46"/>
      <c r="BC963" s="46"/>
      <c r="BD963" s="46"/>
      <c r="BE963" s="46"/>
      <c r="BF963" s="46"/>
      <c r="BG963" s="46"/>
      <c r="BH963" s="46"/>
      <c r="BI963" s="46"/>
      <c r="BJ963" s="46"/>
      <c r="BK963" s="46"/>
      <c r="BL963" s="46"/>
      <c r="BM963" s="46"/>
      <c r="BN963" s="46"/>
      <c r="BO963" s="46"/>
      <c r="BP963" s="46"/>
      <c r="BQ963" s="46"/>
      <c r="BR963" s="46"/>
      <c r="BS963" s="46"/>
      <c r="BT963" s="46"/>
      <c r="BU963" s="46"/>
      <c r="BV963" s="46"/>
      <c r="BW963" s="46"/>
      <c r="BX963" s="46"/>
      <c r="BY963" s="46"/>
      <c r="BZ963" s="46"/>
      <c r="CA963" s="46"/>
      <c r="CB963" s="46"/>
      <c r="CC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c r="AJ964" s="46"/>
      <c r="AK964" s="46"/>
      <c r="AL964" s="46"/>
      <c r="AM964" s="46"/>
      <c r="AN964" s="46"/>
      <c r="AO964" s="46"/>
      <c r="AP964" s="46"/>
      <c r="AQ964" s="46"/>
      <c r="AR964" s="46"/>
      <c r="AS964" s="46"/>
      <c r="AT964" s="46"/>
      <c r="AU964" s="46"/>
      <c r="AV964" s="46"/>
      <c r="AW964" s="46"/>
      <c r="AX964" s="46"/>
      <c r="AY964" s="46"/>
      <c r="AZ964" s="46"/>
      <c r="BA964" s="46"/>
      <c r="BB964" s="46"/>
      <c r="BC964" s="46"/>
      <c r="BD964" s="46"/>
      <c r="BE964" s="46"/>
      <c r="BF964" s="46"/>
      <c r="BG964" s="46"/>
      <c r="BH964" s="46"/>
      <c r="BI964" s="46"/>
      <c r="BJ964" s="46"/>
      <c r="BK964" s="46"/>
      <c r="BL964" s="46"/>
      <c r="BM964" s="46"/>
      <c r="BN964" s="46"/>
      <c r="BO964" s="46"/>
      <c r="BP964" s="46"/>
      <c r="BQ964" s="46"/>
      <c r="BR964" s="46"/>
      <c r="BS964" s="46"/>
      <c r="BT964" s="46"/>
      <c r="BU964" s="46"/>
      <c r="BV964" s="46"/>
      <c r="BW964" s="46"/>
      <c r="BX964" s="46"/>
      <c r="BY964" s="46"/>
      <c r="BZ964" s="46"/>
      <c r="CA964" s="46"/>
      <c r="CB964" s="46"/>
      <c r="CC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c r="AJ965" s="46"/>
      <c r="AK965" s="46"/>
      <c r="AL965" s="46"/>
      <c r="AM965" s="46"/>
      <c r="AN965" s="46"/>
      <c r="AO965" s="46"/>
      <c r="AP965" s="46"/>
      <c r="AQ965" s="46"/>
      <c r="AR965" s="46"/>
      <c r="AS965" s="46"/>
      <c r="AT965" s="46"/>
      <c r="AU965" s="46"/>
      <c r="AV965" s="46"/>
      <c r="AW965" s="46"/>
      <c r="AX965" s="46"/>
      <c r="AY965" s="46"/>
      <c r="AZ965" s="46"/>
      <c r="BA965" s="46"/>
      <c r="BB965" s="46"/>
      <c r="BC965" s="46"/>
      <c r="BD965" s="46"/>
      <c r="BE965" s="46"/>
      <c r="BF965" s="46"/>
      <c r="BG965" s="46"/>
      <c r="BH965" s="46"/>
      <c r="BI965" s="46"/>
      <c r="BJ965" s="46"/>
      <c r="BK965" s="46"/>
      <c r="BL965" s="46"/>
      <c r="BM965" s="46"/>
      <c r="BN965" s="46"/>
      <c r="BO965" s="46"/>
      <c r="BP965" s="46"/>
      <c r="BQ965" s="46"/>
      <c r="BR965" s="46"/>
      <c r="BS965" s="46"/>
      <c r="BT965" s="46"/>
      <c r="BU965" s="46"/>
      <c r="BV965" s="46"/>
      <c r="BW965" s="46"/>
      <c r="BX965" s="46"/>
      <c r="BY965" s="46"/>
      <c r="BZ965" s="46"/>
      <c r="CA965" s="46"/>
      <c r="CB965" s="46"/>
      <c r="CC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c r="AJ966" s="46"/>
      <c r="AK966" s="46"/>
      <c r="AL966" s="46"/>
      <c r="AM966" s="46"/>
      <c r="AN966" s="46"/>
      <c r="AO966" s="46"/>
      <c r="AP966" s="46"/>
      <c r="AQ966" s="46"/>
      <c r="AR966" s="46"/>
      <c r="AS966" s="46"/>
      <c r="AT966" s="46"/>
      <c r="AU966" s="46"/>
      <c r="AV966" s="46"/>
      <c r="AW966" s="46"/>
      <c r="AX966" s="46"/>
      <c r="AY966" s="46"/>
      <c r="AZ966" s="46"/>
      <c r="BA966" s="46"/>
      <c r="BB966" s="46"/>
      <c r="BC966" s="46"/>
      <c r="BD966" s="46"/>
      <c r="BE966" s="46"/>
      <c r="BF966" s="46"/>
      <c r="BG966" s="46"/>
      <c r="BH966" s="46"/>
      <c r="BI966" s="46"/>
      <c r="BJ966" s="46"/>
      <c r="BK966" s="46"/>
      <c r="BL966" s="46"/>
      <c r="BM966" s="46"/>
      <c r="BN966" s="46"/>
      <c r="BO966" s="46"/>
      <c r="BP966" s="46"/>
      <c r="BQ966" s="46"/>
      <c r="BR966" s="46"/>
      <c r="BS966" s="46"/>
      <c r="BT966" s="46"/>
      <c r="BU966" s="46"/>
      <c r="BV966" s="46"/>
      <c r="BW966" s="46"/>
      <c r="BX966" s="46"/>
      <c r="BY966" s="46"/>
      <c r="BZ966" s="46"/>
      <c r="CA966" s="46"/>
      <c r="CB966" s="46"/>
      <c r="CC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c r="AJ967" s="46"/>
      <c r="AK967" s="46"/>
      <c r="AL967" s="46"/>
      <c r="AM967" s="46"/>
      <c r="AN967" s="46"/>
      <c r="AO967" s="46"/>
      <c r="AP967" s="46"/>
      <c r="AQ967" s="46"/>
      <c r="AR967" s="46"/>
      <c r="AS967" s="46"/>
      <c r="AT967" s="46"/>
      <c r="AU967" s="46"/>
      <c r="AV967" s="46"/>
      <c r="AW967" s="46"/>
      <c r="AX967" s="46"/>
      <c r="AY967" s="46"/>
      <c r="AZ967" s="46"/>
      <c r="BA967" s="46"/>
      <c r="BB967" s="46"/>
      <c r="BC967" s="46"/>
      <c r="BD967" s="46"/>
      <c r="BE967" s="46"/>
      <c r="BF967" s="46"/>
      <c r="BG967" s="46"/>
      <c r="BH967" s="46"/>
      <c r="BI967" s="46"/>
      <c r="BJ967" s="46"/>
      <c r="BK967" s="46"/>
      <c r="BL967" s="46"/>
      <c r="BM967" s="46"/>
      <c r="BN967" s="46"/>
      <c r="BO967" s="46"/>
      <c r="BP967" s="46"/>
      <c r="BQ967" s="46"/>
      <c r="BR967" s="46"/>
      <c r="BS967" s="46"/>
      <c r="BT967" s="46"/>
      <c r="BU967" s="46"/>
      <c r="BV967" s="46"/>
      <c r="BW967" s="46"/>
      <c r="BX967" s="46"/>
      <c r="BY967" s="46"/>
      <c r="BZ967" s="46"/>
      <c r="CA967" s="46"/>
      <c r="CB967" s="46"/>
      <c r="CC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c r="AJ968" s="46"/>
      <c r="AK968" s="46"/>
      <c r="AL968" s="46"/>
      <c r="AM968" s="46"/>
      <c r="AN968" s="46"/>
      <c r="AO968" s="46"/>
      <c r="AP968" s="46"/>
      <c r="AQ968" s="46"/>
      <c r="AR968" s="46"/>
      <c r="AS968" s="46"/>
      <c r="AT968" s="46"/>
      <c r="AU968" s="46"/>
      <c r="AV968" s="46"/>
      <c r="AW968" s="46"/>
      <c r="AX968" s="46"/>
      <c r="AY968" s="46"/>
      <c r="AZ968" s="46"/>
      <c r="BA968" s="46"/>
      <c r="BB968" s="46"/>
      <c r="BC968" s="46"/>
      <c r="BD968" s="46"/>
      <c r="BE968" s="46"/>
      <c r="BF968" s="46"/>
      <c r="BG968" s="46"/>
      <c r="BH968" s="46"/>
      <c r="BI968" s="46"/>
      <c r="BJ968" s="46"/>
      <c r="BK968" s="46"/>
      <c r="BL968" s="46"/>
      <c r="BM968" s="46"/>
      <c r="BN968" s="46"/>
      <c r="BO968" s="46"/>
      <c r="BP968" s="46"/>
      <c r="BQ968" s="46"/>
      <c r="BR968" s="46"/>
      <c r="BS968" s="46"/>
      <c r="BT968" s="46"/>
      <c r="BU968" s="46"/>
      <c r="BV968" s="46"/>
      <c r="BW968" s="46"/>
      <c r="BX968" s="46"/>
      <c r="BY968" s="46"/>
      <c r="BZ968" s="46"/>
      <c r="CA968" s="46"/>
      <c r="CB968" s="46"/>
      <c r="CC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c r="AJ969" s="46"/>
      <c r="AK969" s="46"/>
      <c r="AL969" s="46"/>
      <c r="AM969" s="46"/>
      <c r="AN969" s="46"/>
      <c r="AO969" s="46"/>
      <c r="AP969" s="46"/>
      <c r="AQ969" s="46"/>
      <c r="AR969" s="46"/>
      <c r="AS969" s="46"/>
      <c r="AT969" s="46"/>
      <c r="AU969" s="46"/>
      <c r="AV969" s="46"/>
      <c r="AW969" s="46"/>
      <c r="AX969" s="46"/>
      <c r="AY969" s="46"/>
      <c r="AZ969" s="46"/>
      <c r="BA969" s="46"/>
      <c r="BB969" s="46"/>
      <c r="BC969" s="46"/>
      <c r="BD969" s="46"/>
      <c r="BE969" s="46"/>
      <c r="BF969" s="46"/>
      <c r="BG969" s="46"/>
      <c r="BH969" s="46"/>
      <c r="BI969" s="46"/>
      <c r="BJ969" s="46"/>
      <c r="BK969" s="46"/>
      <c r="BL969" s="46"/>
      <c r="BM969" s="46"/>
      <c r="BN969" s="46"/>
      <c r="BO969" s="46"/>
      <c r="BP969" s="46"/>
      <c r="BQ969" s="46"/>
      <c r="BR969" s="46"/>
      <c r="BS969" s="46"/>
      <c r="BT969" s="46"/>
      <c r="BU969" s="46"/>
      <c r="BV969" s="46"/>
      <c r="BW969" s="46"/>
      <c r="BX969" s="46"/>
      <c r="BY969" s="46"/>
      <c r="BZ969" s="46"/>
      <c r="CA969" s="46"/>
      <c r="CB969" s="46"/>
      <c r="CC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c r="AB970" s="46"/>
      <c r="AC970" s="46"/>
      <c r="AD970" s="46"/>
      <c r="AE970" s="46"/>
      <c r="AF970" s="46"/>
      <c r="AG970" s="46"/>
      <c r="AH970" s="46"/>
      <c r="AI970" s="46"/>
      <c r="AJ970" s="46"/>
      <c r="AK970" s="46"/>
      <c r="AL970" s="46"/>
      <c r="AM970" s="46"/>
      <c r="AN970" s="46"/>
      <c r="AO970" s="46"/>
      <c r="AP970" s="46"/>
      <c r="AQ970" s="46"/>
      <c r="AR970" s="46"/>
      <c r="AS970" s="46"/>
      <c r="AT970" s="46"/>
      <c r="AU970" s="46"/>
      <c r="AV970" s="46"/>
      <c r="AW970" s="46"/>
      <c r="AX970" s="46"/>
      <c r="AY970" s="46"/>
      <c r="AZ970" s="46"/>
      <c r="BA970" s="46"/>
      <c r="BB970" s="46"/>
      <c r="BC970" s="46"/>
      <c r="BD970" s="46"/>
      <c r="BE970" s="46"/>
      <c r="BF970" s="46"/>
      <c r="BG970" s="46"/>
      <c r="BH970" s="46"/>
      <c r="BI970" s="46"/>
      <c r="BJ970" s="46"/>
      <c r="BK970" s="46"/>
      <c r="BL970" s="46"/>
      <c r="BM970" s="46"/>
      <c r="BN970" s="46"/>
      <c r="BO970" s="46"/>
      <c r="BP970" s="46"/>
      <c r="BQ970" s="46"/>
      <c r="BR970" s="46"/>
      <c r="BS970" s="46"/>
      <c r="BT970" s="46"/>
      <c r="BU970" s="46"/>
      <c r="BV970" s="46"/>
      <c r="BW970" s="46"/>
      <c r="BX970" s="46"/>
      <c r="BY970" s="46"/>
      <c r="BZ970" s="46"/>
      <c r="CA970" s="46"/>
      <c r="CB970" s="46"/>
      <c r="CC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c r="AB971" s="46"/>
      <c r="AC971" s="46"/>
      <c r="AD971" s="46"/>
      <c r="AE971" s="46"/>
      <c r="AF971" s="46"/>
      <c r="AG971" s="46"/>
      <c r="AH971" s="46"/>
      <c r="AI971" s="46"/>
      <c r="AJ971" s="46"/>
      <c r="AK971" s="46"/>
      <c r="AL971" s="46"/>
      <c r="AM971" s="46"/>
      <c r="AN971" s="46"/>
      <c r="AO971" s="46"/>
      <c r="AP971" s="46"/>
      <c r="AQ971" s="46"/>
      <c r="AR971" s="46"/>
      <c r="AS971" s="46"/>
      <c r="AT971" s="46"/>
      <c r="AU971" s="46"/>
      <c r="AV971" s="46"/>
      <c r="AW971" s="46"/>
      <c r="AX971" s="46"/>
      <c r="AY971" s="46"/>
      <c r="AZ971" s="46"/>
      <c r="BA971" s="46"/>
      <c r="BB971" s="46"/>
      <c r="BC971" s="46"/>
      <c r="BD971" s="46"/>
      <c r="BE971" s="46"/>
      <c r="BF971" s="46"/>
      <c r="BG971" s="46"/>
      <c r="BH971" s="46"/>
      <c r="BI971" s="46"/>
      <c r="BJ971" s="46"/>
      <c r="BK971" s="46"/>
      <c r="BL971" s="46"/>
      <c r="BM971" s="46"/>
      <c r="BN971" s="46"/>
      <c r="BO971" s="46"/>
      <c r="BP971" s="46"/>
      <c r="BQ971" s="46"/>
      <c r="BR971" s="46"/>
      <c r="BS971" s="46"/>
      <c r="BT971" s="46"/>
      <c r="BU971" s="46"/>
      <c r="BV971" s="46"/>
      <c r="BW971" s="46"/>
      <c r="BX971" s="46"/>
      <c r="BY971" s="46"/>
      <c r="BZ971" s="46"/>
      <c r="CA971" s="46"/>
      <c r="CB971" s="46"/>
      <c r="CC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c r="AB972" s="46"/>
      <c r="AC972" s="46"/>
      <c r="AD972" s="46"/>
      <c r="AE972" s="46"/>
      <c r="AF972" s="46"/>
      <c r="AG972" s="46"/>
      <c r="AH972" s="46"/>
      <c r="AI972" s="46"/>
      <c r="AJ972" s="46"/>
      <c r="AK972" s="46"/>
      <c r="AL972" s="46"/>
      <c r="AM972" s="46"/>
      <c r="AN972" s="46"/>
      <c r="AO972" s="46"/>
      <c r="AP972" s="46"/>
      <c r="AQ972" s="46"/>
      <c r="AR972" s="46"/>
      <c r="AS972" s="46"/>
      <c r="AT972" s="46"/>
      <c r="AU972" s="46"/>
      <c r="AV972" s="46"/>
      <c r="AW972" s="46"/>
      <c r="AX972" s="46"/>
      <c r="AY972" s="46"/>
      <c r="AZ972" s="46"/>
      <c r="BA972" s="46"/>
      <c r="BB972" s="46"/>
      <c r="BC972" s="46"/>
      <c r="BD972" s="46"/>
      <c r="BE972" s="46"/>
      <c r="BF972" s="46"/>
      <c r="BG972" s="46"/>
      <c r="BH972" s="46"/>
      <c r="BI972" s="46"/>
      <c r="BJ972" s="46"/>
      <c r="BK972" s="46"/>
      <c r="BL972" s="46"/>
      <c r="BM972" s="46"/>
      <c r="BN972" s="46"/>
      <c r="BO972" s="46"/>
      <c r="BP972" s="46"/>
      <c r="BQ972" s="46"/>
      <c r="BR972" s="46"/>
      <c r="BS972" s="46"/>
      <c r="BT972" s="46"/>
      <c r="BU972" s="46"/>
      <c r="BV972" s="46"/>
      <c r="BW972" s="46"/>
      <c r="BX972" s="46"/>
      <c r="BY972" s="46"/>
      <c r="BZ972" s="46"/>
      <c r="CA972" s="46"/>
      <c r="CB972" s="46"/>
      <c r="CC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c r="AB973" s="46"/>
      <c r="AC973" s="46"/>
      <c r="AD973" s="46"/>
      <c r="AE973" s="46"/>
      <c r="AF973" s="46"/>
      <c r="AG973" s="46"/>
      <c r="AH973" s="46"/>
      <c r="AI973" s="46"/>
      <c r="AJ973" s="46"/>
      <c r="AK973" s="46"/>
      <c r="AL973" s="46"/>
      <c r="AM973" s="46"/>
      <c r="AN973" s="46"/>
      <c r="AO973" s="46"/>
      <c r="AP973" s="46"/>
      <c r="AQ973" s="46"/>
      <c r="AR973" s="46"/>
      <c r="AS973" s="46"/>
      <c r="AT973" s="46"/>
      <c r="AU973" s="46"/>
      <c r="AV973" s="46"/>
      <c r="AW973" s="46"/>
      <c r="AX973" s="46"/>
      <c r="AY973" s="46"/>
      <c r="AZ973" s="46"/>
      <c r="BA973" s="46"/>
      <c r="BB973" s="46"/>
      <c r="BC973" s="46"/>
      <c r="BD973" s="46"/>
      <c r="BE973" s="46"/>
      <c r="BF973" s="46"/>
      <c r="BG973" s="46"/>
      <c r="BH973" s="46"/>
      <c r="BI973" s="46"/>
      <c r="BJ973" s="46"/>
      <c r="BK973" s="46"/>
      <c r="BL973" s="46"/>
      <c r="BM973" s="46"/>
      <c r="BN973" s="46"/>
      <c r="BO973" s="46"/>
      <c r="BP973" s="46"/>
      <c r="BQ973" s="46"/>
      <c r="BR973" s="46"/>
      <c r="BS973" s="46"/>
      <c r="BT973" s="46"/>
      <c r="BU973" s="46"/>
      <c r="BV973" s="46"/>
      <c r="BW973" s="46"/>
      <c r="BX973" s="46"/>
      <c r="BY973" s="46"/>
      <c r="BZ973" s="46"/>
      <c r="CA973" s="46"/>
      <c r="CB973" s="46"/>
      <c r="CC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c r="AB974" s="46"/>
      <c r="AC974" s="46"/>
      <c r="AD974" s="46"/>
      <c r="AE974" s="46"/>
      <c r="AF974" s="46"/>
      <c r="AG974" s="46"/>
      <c r="AH974" s="46"/>
      <c r="AI974" s="46"/>
      <c r="AJ974" s="46"/>
      <c r="AK974" s="46"/>
      <c r="AL974" s="46"/>
      <c r="AM974" s="46"/>
      <c r="AN974" s="46"/>
      <c r="AO974" s="46"/>
      <c r="AP974" s="46"/>
      <c r="AQ974" s="46"/>
      <c r="AR974" s="46"/>
      <c r="AS974" s="46"/>
      <c r="AT974" s="46"/>
      <c r="AU974" s="46"/>
      <c r="AV974" s="46"/>
      <c r="AW974" s="46"/>
      <c r="AX974" s="46"/>
      <c r="AY974" s="46"/>
      <c r="AZ974" s="46"/>
      <c r="BA974" s="46"/>
      <c r="BB974" s="46"/>
      <c r="BC974" s="46"/>
      <c r="BD974" s="46"/>
      <c r="BE974" s="46"/>
      <c r="BF974" s="46"/>
      <c r="BG974" s="46"/>
      <c r="BH974" s="46"/>
      <c r="BI974" s="46"/>
      <c r="BJ974" s="46"/>
      <c r="BK974" s="46"/>
      <c r="BL974" s="46"/>
      <c r="BM974" s="46"/>
      <c r="BN974" s="46"/>
      <c r="BO974" s="46"/>
      <c r="BP974" s="46"/>
      <c r="BQ974" s="46"/>
      <c r="BR974" s="46"/>
      <c r="BS974" s="46"/>
      <c r="BT974" s="46"/>
      <c r="BU974" s="46"/>
      <c r="BV974" s="46"/>
      <c r="BW974" s="46"/>
      <c r="BX974" s="46"/>
      <c r="BY974" s="46"/>
      <c r="BZ974" s="46"/>
      <c r="CA974" s="46"/>
      <c r="CB974" s="46"/>
      <c r="CC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c r="AB975" s="46"/>
      <c r="AC975" s="46"/>
      <c r="AD975" s="46"/>
      <c r="AE975" s="46"/>
      <c r="AF975" s="46"/>
      <c r="AG975" s="46"/>
      <c r="AH975" s="46"/>
      <c r="AI975" s="46"/>
      <c r="AJ975" s="46"/>
      <c r="AK975" s="46"/>
      <c r="AL975" s="46"/>
      <c r="AM975" s="46"/>
      <c r="AN975" s="46"/>
      <c r="AO975" s="46"/>
      <c r="AP975" s="46"/>
      <c r="AQ975" s="46"/>
      <c r="AR975" s="46"/>
      <c r="AS975" s="46"/>
      <c r="AT975" s="46"/>
      <c r="AU975" s="46"/>
      <c r="AV975" s="46"/>
      <c r="AW975" s="46"/>
      <c r="AX975" s="46"/>
      <c r="AY975" s="46"/>
      <c r="AZ975" s="46"/>
      <c r="BA975" s="46"/>
      <c r="BB975" s="46"/>
      <c r="BC975" s="46"/>
      <c r="BD975" s="46"/>
      <c r="BE975" s="46"/>
      <c r="BF975" s="46"/>
      <c r="BG975" s="46"/>
      <c r="BH975" s="46"/>
      <c r="BI975" s="46"/>
      <c r="BJ975" s="46"/>
      <c r="BK975" s="46"/>
      <c r="BL975" s="46"/>
      <c r="BM975" s="46"/>
      <c r="BN975" s="46"/>
      <c r="BO975" s="46"/>
      <c r="BP975" s="46"/>
      <c r="BQ975" s="46"/>
      <c r="BR975" s="46"/>
      <c r="BS975" s="46"/>
      <c r="BT975" s="46"/>
      <c r="BU975" s="46"/>
      <c r="BV975" s="46"/>
      <c r="BW975" s="46"/>
      <c r="BX975" s="46"/>
      <c r="BY975" s="46"/>
      <c r="BZ975" s="46"/>
      <c r="CA975" s="46"/>
      <c r="CB975" s="46"/>
      <c r="CC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c r="AB976" s="46"/>
      <c r="AC976" s="46"/>
      <c r="AD976" s="46"/>
      <c r="AE976" s="46"/>
      <c r="AF976" s="46"/>
      <c r="AG976" s="46"/>
      <c r="AH976" s="46"/>
      <c r="AI976" s="46"/>
      <c r="AJ976" s="46"/>
      <c r="AK976" s="46"/>
      <c r="AL976" s="46"/>
      <c r="AM976" s="46"/>
      <c r="AN976" s="46"/>
      <c r="AO976" s="46"/>
      <c r="AP976" s="46"/>
      <c r="AQ976" s="46"/>
      <c r="AR976" s="46"/>
      <c r="AS976" s="46"/>
      <c r="AT976" s="46"/>
      <c r="AU976" s="46"/>
      <c r="AV976" s="46"/>
      <c r="AW976" s="46"/>
      <c r="AX976" s="46"/>
      <c r="AY976" s="46"/>
      <c r="AZ976" s="46"/>
      <c r="BA976" s="46"/>
      <c r="BB976" s="46"/>
      <c r="BC976" s="46"/>
      <c r="BD976" s="46"/>
      <c r="BE976" s="46"/>
      <c r="BF976" s="46"/>
      <c r="BG976" s="46"/>
      <c r="BH976" s="46"/>
      <c r="BI976" s="46"/>
      <c r="BJ976" s="46"/>
      <c r="BK976" s="46"/>
      <c r="BL976" s="46"/>
      <c r="BM976" s="46"/>
      <c r="BN976" s="46"/>
      <c r="BO976" s="46"/>
      <c r="BP976" s="46"/>
      <c r="BQ976" s="46"/>
      <c r="BR976" s="46"/>
      <c r="BS976" s="46"/>
      <c r="BT976" s="46"/>
      <c r="BU976" s="46"/>
      <c r="BV976" s="46"/>
      <c r="BW976" s="46"/>
      <c r="BX976" s="46"/>
      <c r="BY976" s="46"/>
      <c r="BZ976" s="46"/>
      <c r="CA976" s="46"/>
      <c r="CB976" s="46"/>
      <c r="CC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c r="AB977" s="46"/>
      <c r="AC977" s="46"/>
      <c r="AD977" s="46"/>
      <c r="AE977" s="46"/>
      <c r="AF977" s="46"/>
      <c r="AG977" s="46"/>
      <c r="AH977" s="46"/>
      <c r="AI977" s="46"/>
      <c r="AJ977" s="46"/>
      <c r="AK977" s="46"/>
      <c r="AL977" s="46"/>
      <c r="AM977" s="46"/>
      <c r="AN977" s="46"/>
      <c r="AO977" s="46"/>
      <c r="AP977" s="46"/>
      <c r="AQ977" s="46"/>
      <c r="AR977" s="46"/>
      <c r="AS977" s="46"/>
      <c r="AT977" s="46"/>
      <c r="AU977" s="46"/>
      <c r="AV977" s="46"/>
      <c r="AW977" s="46"/>
      <c r="AX977" s="46"/>
      <c r="AY977" s="46"/>
      <c r="AZ977" s="46"/>
      <c r="BA977" s="46"/>
      <c r="BB977" s="46"/>
      <c r="BC977" s="46"/>
      <c r="BD977" s="46"/>
      <c r="BE977" s="46"/>
      <c r="BF977" s="46"/>
      <c r="BG977" s="46"/>
      <c r="BH977" s="46"/>
      <c r="BI977" s="46"/>
      <c r="BJ977" s="46"/>
      <c r="BK977" s="46"/>
      <c r="BL977" s="46"/>
      <c r="BM977" s="46"/>
      <c r="BN977" s="46"/>
      <c r="BO977" s="46"/>
      <c r="BP977" s="46"/>
      <c r="BQ977" s="46"/>
      <c r="BR977" s="46"/>
      <c r="BS977" s="46"/>
      <c r="BT977" s="46"/>
      <c r="BU977" s="46"/>
      <c r="BV977" s="46"/>
      <c r="BW977" s="46"/>
      <c r="BX977" s="46"/>
      <c r="BY977" s="46"/>
      <c r="BZ977" s="46"/>
      <c r="CA977" s="46"/>
      <c r="CB977" s="46"/>
      <c r="CC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c r="AB978" s="46"/>
      <c r="AC978" s="46"/>
      <c r="AD978" s="46"/>
      <c r="AE978" s="46"/>
      <c r="AF978" s="46"/>
      <c r="AG978" s="46"/>
      <c r="AH978" s="46"/>
      <c r="AI978" s="46"/>
      <c r="AJ978" s="46"/>
      <c r="AK978" s="46"/>
      <c r="AL978" s="46"/>
      <c r="AM978" s="46"/>
      <c r="AN978" s="46"/>
      <c r="AO978" s="46"/>
      <c r="AP978" s="46"/>
      <c r="AQ978" s="46"/>
      <c r="AR978" s="46"/>
      <c r="AS978" s="46"/>
      <c r="AT978" s="46"/>
      <c r="AU978" s="46"/>
      <c r="AV978" s="46"/>
      <c r="AW978" s="46"/>
      <c r="AX978" s="46"/>
      <c r="AY978" s="46"/>
      <c r="AZ978" s="46"/>
      <c r="BA978" s="46"/>
      <c r="BB978" s="46"/>
      <c r="BC978" s="46"/>
      <c r="BD978" s="46"/>
      <c r="BE978" s="46"/>
      <c r="BF978" s="46"/>
      <c r="BG978" s="46"/>
      <c r="BH978" s="46"/>
      <c r="BI978" s="46"/>
      <c r="BJ978" s="46"/>
      <c r="BK978" s="46"/>
      <c r="BL978" s="46"/>
      <c r="BM978" s="46"/>
      <c r="BN978" s="46"/>
      <c r="BO978" s="46"/>
      <c r="BP978" s="46"/>
      <c r="BQ978" s="46"/>
      <c r="BR978" s="46"/>
      <c r="BS978" s="46"/>
      <c r="BT978" s="46"/>
      <c r="BU978" s="46"/>
      <c r="BV978" s="46"/>
      <c r="BW978" s="46"/>
      <c r="BX978" s="46"/>
      <c r="BY978" s="46"/>
      <c r="BZ978" s="46"/>
      <c r="CA978" s="46"/>
      <c r="CB978" s="46"/>
      <c r="CC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c r="AB979" s="46"/>
      <c r="AC979" s="46"/>
      <c r="AD979" s="46"/>
      <c r="AE979" s="46"/>
      <c r="AF979" s="46"/>
      <c r="AG979" s="46"/>
      <c r="AH979" s="46"/>
      <c r="AI979" s="46"/>
      <c r="AJ979" s="46"/>
      <c r="AK979" s="46"/>
      <c r="AL979" s="46"/>
      <c r="AM979" s="46"/>
      <c r="AN979" s="46"/>
      <c r="AO979" s="46"/>
      <c r="AP979" s="46"/>
      <c r="AQ979" s="46"/>
      <c r="AR979" s="46"/>
      <c r="AS979" s="46"/>
      <c r="AT979" s="46"/>
      <c r="AU979" s="46"/>
      <c r="AV979" s="46"/>
      <c r="AW979" s="46"/>
      <c r="AX979" s="46"/>
      <c r="AY979" s="46"/>
      <c r="AZ979" s="46"/>
      <c r="BA979" s="46"/>
      <c r="BB979" s="46"/>
      <c r="BC979" s="46"/>
      <c r="BD979" s="46"/>
      <c r="BE979" s="46"/>
      <c r="BF979" s="46"/>
      <c r="BG979" s="46"/>
      <c r="BH979" s="46"/>
      <c r="BI979" s="46"/>
      <c r="BJ979" s="46"/>
      <c r="BK979" s="46"/>
      <c r="BL979" s="46"/>
      <c r="BM979" s="46"/>
      <c r="BN979" s="46"/>
      <c r="BO979" s="46"/>
      <c r="BP979" s="46"/>
      <c r="BQ979" s="46"/>
      <c r="BR979" s="46"/>
      <c r="BS979" s="46"/>
      <c r="BT979" s="46"/>
      <c r="BU979" s="46"/>
      <c r="BV979" s="46"/>
      <c r="BW979" s="46"/>
      <c r="BX979" s="46"/>
      <c r="BY979" s="46"/>
      <c r="BZ979" s="46"/>
      <c r="CA979" s="46"/>
      <c r="CB979" s="46"/>
      <c r="CC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c r="AB980" s="46"/>
      <c r="AC980" s="46"/>
      <c r="AD980" s="46"/>
      <c r="AE980" s="46"/>
      <c r="AF980" s="46"/>
      <c r="AG980" s="46"/>
      <c r="AH980" s="46"/>
      <c r="AI980" s="46"/>
      <c r="AJ980" s="46"/>
      <c r="AK980" s="46"/>
      <c r="AL980" s="46"/>
      <c r="AM980" s="46"/>
      <c r="AN980" s="46"/>
      <c r="AO980" s="46"/>
      <c r="AP980" s="46"/>
      <c r="AQ980" s="46"/>
      <c r="AR980" s="46"/>
      <c r="AS980" s="46"/>
      <c r="AT980" s="46"/>
      <c r="AU980" s="46"/>
      <c r="AV980" s="46"/>
      <c r="AW980" s="46"/>
      <c r="AX980" s="46"/>
      <c r="AY980" s="46"/>
      <c r="AZ980" s="46"/>
      <c r="BA980" s="46"/>
      <c r="BB980" s="46"/>
      <c r="BC980" s="46"/>
      <c r="BD980" s="46"/>
      <c r="BE980" s="46"/>
      <c r="BF980" s="46"/>
      <c r="BG980" s="46"/>
      <c r="BH980" s="46"/>
      <c r="BI980" s="46"/>
      <c r="BJ980" s="46"/>
      <c r="BK980" s="46"/>
      <c r="BL980" s="46"/>
      <c r="BM980" s="46"/>
      <c r="BN980" s="46"/>
      <c r="BO980" s="46"/>
      <c r="BP980" s="46"/>
      <c r="BQ980" s="46"/>
      <c r="BR980" s="46"/>
      <c r="BS980" s="46"/>
      <c r="BT980" s="46"/>
      <c r="BU980" s="46"/>
      <c r="BV980" s="46"/>
      <c r="BW980" s="46"/>
      <c r="BX980" s="46"/>
      <c r="BY980" s="46"/>
      <c r="BZ980" s="46"/>
      <c r="CA980" s="46"/>
      <c r="CB980" s="46"/>
      <c r="CC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c r="AB981" s="46"/>
      <c r="AC981" s="46"/>
      <c r="AD981" s="46"/>
      <c r="AE981" s="46"/>
      <c r="AF981" s="46"/>
      <c r="AG981" s="46"/>
      <c r="AH981" s="46"/>
      <c r="AI981" s="46"/>
      <c r="AJ981" s="46"/>
      <c r="AK981" s="46"/>
      <c r="AL981" s="46"/>
      <c r="AM981" s="46"/>
      <c r="AN981" s="46"/>
      <c r="AO981" s="46"/>
      <c r="AP981" s="46"/>
      <c r="AQ981" s="46"/>
      <c r="AR981" s="46"/>
      <c r="AS981" s="46"/>
      <c r="AT981" s="46"/>
      <c r="AU981" s="46"/>
      <c r="AV981" s="46"/>
      <c r="AW981" s="46"/>
      <c r="AX981" s="46"/>
      <c r="AY981" s="46"/>
      <c r="AZ981" s="46"/>
      <c r="BA981" s="46"/>
      <c r="BB981" s="46"/>
      <c r="BC981" s="46"/>
      <c r="BD981" s="46"/>
      <c r="BE981" s="46"/>
      <c r="BF981" s="46"/>
      <c r="BG981" s="46"/>
      <c r="BH981" s="46"/>
      <c r="BI981" s="46"/>
      <c r="BJ981" s="46"/>
      <c r="BK981" s="46"/>
      <c r="BL981" s="46"/>
      <c r="BM981" s="46"/>
      <c r="BN981" s="46"/>
      <c r="BO981" s="46"/>
      <c r="BP981" s="46"/>
      <c r="BQ981" s="46"/>
      <c r="BR981" s="46"/>
      <c r="BS981" s="46"/>
      <c r="BT981" s="46"/>
      <c r="BU981" s="46"/>
      <c r="BV981" s="46"/>
      <c r="BW981" s="46"/>
      <c r="BX981" s="46"/>
      <c r="BY981" s="46"/>
      <c r="BZ981" s="46"/>
      <c r="CA981" s="46"/>
      <c r="CB981" s="46"/>
      <c r="CC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c r="AB982" s="46"/>
      <c r="AC982" s="46"/>
      <c r="AD982" s="46"/>
      <c r="AE982" s="46"/>
      <c r="AF982" s="46"/>
      <c r="AG982" s="46"/>
      <c r="AH982" s="46"/>
      <c r="AI982" s="46"/>
      <c r="AJ982" s="46"/>
      <c r="AK982" s="46"/>
      <c r="AL982" s="46"/>
      <c r="AM982" s="46"/>
      <c r="AN982" s="46"/>
      <c r="AO982" s="46"/>
      <c r="AP982" s="46"/>
      <c r="AQ982" s="46"/>
      <c r="AR982" s="46"/>
      <c r="AS982" s="46"/>
      <c r="AT982" s="46"/>
      <c r="AU982" s="46"/>
      <c r="AV982" s="46"/>
      <c r="AW982" s="46"/>
      <c r="AX982" s="46"/>
      <c r="AY982" s="46"/>
      <c r="AZ982" s="46"/>
      <c r="BA982" s="46"/>
      <c r="BB982" s="46"/>
      <c r="BC982" s="46"/>
      <c r="BD982" s="46"/>
      <c r="BE982" s="46"/>
      <c r="BF982" s="46"/>
      <c r="BG982" s="46"/>
      <c r="BH982" s="46"/>
      <c r="BI982" s="46"/>
      <c r="BJ982" s="46"/>
      <c r="BK982" s="46"/>
      <c r="BL982" s="46"/>
      <c r="BM982" s="46"/>
      <c r="BN982" s="46"/>
      <c r="BO982" s="46"/>
      <c r="BP982" s="46"/>
      <c r="BQ982" s="46"/>
      <c r="BR982" s="46"/>
      <c r="BS982" s="46"/>
      <c r="BT982" s="46"/>
      <c r="BU982" s="46"/>
      <c r="BV982" s="46"/>
      <c r="BW982" s="46"/>
      <c r="BX982" s="46"/>
      <c r="BY982" s="46"/>
      <c r="BZ982" s="46"/>
      <c r="CA982" s="46"/>
      <c r="CB982" s="46"/>
      <c r="CC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c r="AB983" s="46"/>
      <c r="AC983" s="46"/>
      <c r="AD983" s="46"/>
      <c r="AE983" s="46"/>
      <c r="AF983" s="46"/>
      <c r="AG983" s="46"/>
      <c r="AH983" s="46"/>
      <c r="AI983" s="46"/>
      <c r="AJ983" s="46"/>
      <c r="AK983" s="46"/>
      <c r="AL983" s="46"/>
      <c r="AM983" s="46"/>
      <c r="AN983" s="46"/>
      <c r="AO983" s="46"/>
      <c r="AP983" s="46"/>
      <c r="AQ983" s="46"/>
      <c r="AR983" s="46"/>
      <c r="AS983" s="46"/>
      <c r="AT983" s="46"/>
      <c r="AU983" s="46"/>
      <c r="AV983" s="46"/>
      <c r="AW983" s="46"/>
      <c r="AX983" s="46"/>
      <c r="AY983" s="46"/>
      <c r="AZ983" s="46"/>
      <c r="BA983" s="46"/>
      <c r="BB983" s="46"/>
      <c r="BC983" s="46"/>
      <c r="BD983" s="46"/>
      <c r="BE983" s="46"/>
      <c r="BF983" s="46"/>
      <c r="BG983" s="46"/>
      <c r="BH983" s="46"/>
      <c r="BI983" s="46"/>
      <c r="BJ983" s="46"/>
      <c r="BK983" s="46"/>
      <c r="BL983" s="46"/>
      <c r="BM983" s="46"/>
      <c r="BN983" s="46"/>
      <c r="BO983" s="46"/>
      <c r="BP983" s="46"/>
      <c r="BQ983" s="46"/>
      <c r="BR983" s="46"/>
      <c r="BS983" s="46"/>
      <c r="BT983" s="46"/>
      <c r="BU983" s="46"/>
      <c r="BV983" s="46"/>
      <c r="BW983" s="46"/>
      <c r="BX983" s="46"/>
      <c r="BY983" s="46"/>
      <c r="BZ983" s="46"/>
      <c r="CA983" s="46"/>
      <c r="CB983" s="46"/>
      <c r="CC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c r="AB984" s="46"/>
      <c r="AC984" s="46"/>
      <c r="AD984" s="46"/>
      <c r="AE984" s="46"/>
      <c r="AF984" s="46"/>
      <c r="AG984" s="46"/>
      <c r="AH984" s="46"/>
      <c r="AI984" s="46"/>
      <c r="AJ984" s="46"/>
      <c r="AK984" s="46"/>
      <c r="AL984" s="46"/>
      <c r="AM984" s="46"/>
      <c r="AN984" s="46"/>
      <c r="AO984" s="46"/>
      <c r="AP984" s="46"/>
      <c r="AQ984" s="46"/>
      <c r="AR984" s="46"/>
      <c r="AS984" s="46"/>
      <c r="AT984" s="46"/>
      <c r="AU984" s="46"/>
      <c r="AV984" s="46"/>
      <c r="AW984" s="46"/>
      <c r="AX984" s="46"/>
      <c r="AY984" s="46"/>
      <c r="AZ984" s="46"/>
      <c r="BA984" s="46"/>
      <c r="BB984" s="46"/>
      <c r="BC984" s="46"/>
      <c r="BD984" s="46"/>
      <c r="BE984" s="46"/>
      <c r="BF984" s="46"/>
      <c r="BG984" s="46"/>
      <c r="BH984" s="46"/>
      <c r="BI984" s="46"/>
      <c r="BJ984" s="46"/>
      <c r="BK984" s="46"/>
      <c r="BL984" s="46"/>
      <c r="BM984" s="46"/>
      <c r="BN984" s="46"/>
      <c r="BO984" s="46"/>
      <c r="BP984" s="46"/>
      <c r="BQ984" s="46"/>
      <c r="BR984" s="46"/>
      <c r="BS984" s="46"/>
      <c r="BT984" s="46"/>
      <c r="BU984" s="46"/>
      <c r="BV984" s="46"/>
      <c r="BW984" s="46"/>
      <c r="BX984" s="46"/>
      <c r="BY984" s="46"/>
      <c r="BZ984" s="46"/>
      <c r="CA984" s="46"/>
      <c r="CB984" s="46"/>
      <c r="CC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c r="AB985" s="46"/>
      <c r="AC985" s="46"/>
      <c r="AD985" s="46"/>
      <c r="AE985" s="46"/>
      <c r="AF985" s="46"/>
      <c r="AG985" s="46"/>
      <c r="AH985" s="46"/>
      <c r="AI985" s="46"/>
      <c r="AJ985" s="46"/>
      <c r="AK985" s="46"/>
      <c r="AL985" s="46"/>
      <c r="AM985" s="46"/>
      <c r="AN985" s="46"/>
      <c r="AO985" s="46"/>
      <c r="AP985" s="46"/>
      <c r="AQ985" s="46"/>
      <c r="AR985" s="46"/>
      <c r="AS985" s="46"/>
      <c r="AT985" s="46"/>
      <c r="AU985" s="46"/>
      <c r="AV985" s="46"/>
      <c r="AW985" s="46"/>
      <c r="AX985" s="46"/>
      <c r="AY985" s="46"/>
      <c r="AZ985" s="46"/>
      <c r="BA985" s="46"/>
      <c r="BB985" s="46"/>
      <c r="BC985" s="46"/>
      <c r="BD985" s="46"/>
      <c r="BE985" s="46"/>
      <c r="BF985" s="46"/>
      <c r="BG985" s="46"/>
      <c r="BH985" s="46"/>
      <c r="BI985" s="46"/>
      <c r="BJ985" s="46"/>
      <c r="BK985" s="46"/>
      <c r="BL985" s="46"/>
      <c r="BM985" s="46"/>
      <c r="BN985" s="46"/>
      <c r="BO985" s="46"/>
      <c r="BP985" s="46"/>
      <c r="BQ985" s="46"/>
      <c r="BR985" s="46"/>
      <c r="BS985" s="46"/>
      <c r="BT985" s="46"/>
      <c r="BU985" s="46"/>
      <c r="BV985" s="46"/>
      <c r="BW985" s="46"/>
      <c r="BX985" s="46"/>
      <c r="BY985" s="46"/>
      <c r="BZ985" s="46"/>
      <c r="CA985" s="46"/>
      <c r="CB985" s="46"/>
      <c r="CC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c r="AB986" s="46"/>
      <c r="AC986" s="46"/>
      <c r="AD986" s="46"/>
      <c r="AE986" s="46"/>
      <c r="AF986" s="46"/>
      <c r="AG986" s="46"/>
      <c r="AH986" s="46"/>
      <c r="AI986" s="46"/>
      <c r="AJ986" s="46"/>
      <c r="AK986" s="46"/>
      <c r="AL986" s="46"/>
      <c r="AM986" s="46"/>
      <c r="AN986" s="46"/>
      <c r="AO986" s="46"/>
      <c r="AP986" s="46"/>
      <c r="AQ986" s="46"/>
      <c r="AR986" s="46"/>
      <c r="AS986" s="46"/>
      <c r="AT986" s="46"/>
      <c r="AU986" s="46"/>
      <c r="AV986" s="46"/>
      <c r="AW986" s="46"/>
      <c r="AX986" s="46"/>
      <c r="AY986" s="46"/>
      <c r="AZ986" s="46"/>
      <c r="BA986" s="46"/>
      <c r="BB986" s="46"/>
      <c r="BC986" s="46"/>
      <c r="BD986" s="46"/>
      <c r="BE986" s="46"/>
      <c r="BF986" s="46"/>
      <c r="BG986" s="46"/>
      <c r="BH986" s="46"/>
      <c r="BI986" s="46"/>
      <c r="BJ986" s="46"/>
      <c r="BK986" s="46"/>
      <c r="BL986" s="46"/>
      <c r="BM986" s="46"/>
      <c r="BN986" s="46"/>
      <c r="BO986" s="46"/>
      <c r="BP986" s="46"/>
      <c r="BQ986" s="46"/>
      <c r="BR986" s="46"/>
      <c r="BS986" s="46"/>
      <c r="BT986" s="46"/>
      <c r="BU986" s="46"/>
      <c r="BV986" s="46"/>
      <c r="BW986" s="46"/>
      <c r="BX986" s="46"/>
      <c r="BY986" s="46"/>
      <c r="BZ986" s="46"/>
      <c r="CA986" s="46"/>
      <c r="CB986" s="46"/>
      <c r="CC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c r="AB987" s="46"/>
      <c r="AC987" s="46"/>
      <c r="AD987" s="46"/>
      <c r="AE987" s="46"/>
      <c r="AF987" s="46"/>
      <c r="AG987" s="46"/>
      <c r="AH987" s="46"/>
      <c r="AI987" s="46"/>
      <c r="AJ987" s="46"/>
      <c r="AK987" s="46"/>
      <c r="AL987" s="46"/>
      <c r="AM987" s="46"/>
      <c r="AN987" s="46"/>
      <c r="AO987" s="46"/>
      <c r="AP987" s="46"/>
      <c r="AQ987" s="46"/>
      <c r="AR987" s="46"/>
      <c r="AS987" s="46"/>
      <c r="AT987" s="46"/>
      <c r="AU987" s="46"/>
      <c r="AV987" s="46"/>
      <c r="AW987" s="46"/>
      <c r="AX987" s="46"/>
      <c r="AY987" s="46"/>
      <c r="AZ987" s="46"/>
      <c r="BA987" s="46"/>
      <c r="BB987" s="46"/>
      <c r="BC987" s="46"/>
      <c r="BD987" s="46"/>
      <c r="BE987" s="46"/>
      <c r="BF987" s="46"/>
      <c r="BG987" s="46"/>
      <c r="BH987" s="46"/>
      <c r="BI987" s="46"/>
      <c r="BJ987" s="46"/>
      <c r="BK987" s="46"/>
      <c r="BL987" s="46"/>
      <c r="BM987" s="46"/>
      <c r="BN987" s="46"/>
      <c r="BO987" s="46"/>
      <c r="BP987" s="46"/>
      <c r="BQ987" s="46"/>
      <c r="BR987" s="46"/>
      <c r="BS987" s="46"/>
      <c r="BT987" s="46"/>
      <c r="BU987" s="46"/>
      <c r="BV987" s="46"/>
      <c r="BW987" s="46"/>
      <c r="BX987" s="46"/>
      <c r="BY987" s="46"/>
      <c r="BZ987" s="46"/>
      <c r="CA987" s="46"/>
      <c r="CB987" s="46"/>
      <c r="CC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c r="AB988" s="46"/>
      <c r="AC988" s="46"/>
      <c r="AD988" s="46"/>
      <c r="AE988" s="46"/>
      <c r="AF988" s="46"/>
      <c r="AG988" s="46"/>
      <c r="AH988" s="46"/>
      <c r="AI988" s="46"/>
      <c r="AJ988" s="46"/>
      <c r="AK988" s="46"/>
      <c r="AL988" s="46"/>
      <c r="AM988" s="46"/>
      <c r="AN988" s="46"/>
      <c r="AO988" s="46"/>
      <c r="AP988" s="46"/>
      <c r="AQ988" s="46"/>
      <c r="AR988" s="46"/>
      <c r="AS988" s="46"/>
      <c r="AT988" s="46"/>
      <c r="AU988" s="46"/>
      <c r="AV988" s="46"/>
      <c r="AW988" s="46"/>
      <c r="AX988" s="46"/>
      <c r="AY988" s="46"/>
      <c r="AZ988" s="46"/>
      <c r="BA988" s="46"/>
      <c r="BB988" s="46"/>
      <c r="BC988" s="46"/>
      <c r="BD988" s="46"/>
      <c r="BE988" s="46"/>
      <c r="BF988" s="46"/>
      <c r="BG988" s="46"/>
      <c r="BH988" s="46"/>
      <c r="BI988" s="46"/>
      <c r="BJ988" s="46"/>
      <c r="BK988" s="46"/>
      <c r="BL988" s="46"/>
      <c r="BM988" s="46"/>
      <c r="BN988" s="46"/>
      <c r="BO988" s="46"/>
      <c r="BP988" s="46"/>
      <c r="BQ988" s="46"/>
      <c r="BR988" s="46"/>
      <c r="BS988" s="46"/>
      <c r="BT988" s="46"/>
      <c r="BU988" s="46"/>
      <c r="BV988" s="46"/>
      <c r="BW988" s="46"/>
      <c r="BX988" s="46"/>
      <c r="BY988" s="46"/>
      <c r="BZ988" s="46"/>
      <c r="CA988" s="46"/>
      <c r="CB988" s="46"/>
      <c r="CC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c r="AB989" s="46"/>
      <c r="AC989" s="46"/>
      <c r="AD989" s="46"/>
      <c r="AE989" s="46"/>
      <c r="AF989" s="46"/>
      <c r="AG989" s="46"/>
      <c r="AH989" s="46"/>
      <c r="AI989" s="46"/>
      <c r="AJ989" s="46"/>
      <c r="AK989" s="46"/>
      <c r="AL989" s="46"/>
      <c r="AM989" s="46"/>
      <c r="AN989" s="46"/>
      <c r="AO989" s="46"/>
      <c r="AP989" s="46"/>
      <c r="AQ989" s="46"/>
      <c r="AR989" s="46"/>
      <c r="AS989" s="46"/>
      <c r="AT989" s="46"/>
      <c r="AU989" s="46"/>
      <c r="AV989" s="46"/>
      <c r="AW989" s="46"/>
      <c r="AX989" s="46"/>
      <c r="AY989" s="46"/>
      <c r="AZ989" s="46"/>
      <c r="BA989" s="46"/>
      <c r="BB989" s="46"/>
      <c r="BC989" s="46"/>
      <c r="BD989" s="46"/>
      <c r="BE989" s="46"/>
      <c r="BF989" s="46"/>
      <c r="BG989" s="46"/>
      <c r="BH989" s="46"/>
      <c r="BI989" s="46"/>
      <c r="BJ989" s="46"/>
      <c r="BK989" s="46"/>
      <c r="BL989" s="46"/>
      <c r="BM989" s="46"/>
      <c r="BN989" s="46"/>
      <c r="BO989" s="46"/>
      <c r="BP989" s="46"/>
      <c r="BQ989" s="46"/>
      <c r="BR989" s="46"/>
      <c r="BS989" s="46"/>
      <c r="BT989" s="46"/>
      <c r="BU989" s="46"/>
      <c r="BV989" s="46"/>
      <c r="BW989" s="46"/>
      <c r="BX989" s="46"/>
      <c r="BY989" s="46"/>
      <c r="BZ989" s="46"/>
      <c r="CA989" s="46"/>
      <c r="CB989" s="46"/>
      <c r="CC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c r="AB990" s="46"/>
      <c r="AC990" s="46"/>
      <c r="AD990" s="46"/>
      <c r="AE990" s="46"/>
      <c r="AF990" s="46"/>
      <c r="AG990" s="46"/>
      <c r="AH990" s="46"/>
      <c r="AI990" s="46"/>
      <c r="AJ990" s="46"/>
      <c r="AK990" s="46"/>
      <c r="AL990" s="46"/>
      <c r="AM990" s="46"/>
      <c r="AN990" s="46"/>
      <c r="AO990" s="46"/>
      <c r="AP990" s="46"/>
      <c r="AQ990" s="46"/>
      <c r="AR990" s="46"/>
      <c r="AS990" s="46"/>
      <c r="AT990" s="46"/>
      <c r="AU990" s="46"/>
      <c r="AV990" s="46"/>
      <c r="AW990" s="46"/>
      <c r="AX990" s="46"/>
      <c r="AY990" s="46"/>
      <c r="AZ990" s="46"/>
      <c r="BA990" s="46"/>
      <c r="BB990" s="46"/>
      <c r="BC990" s="46"/>
      <c r="BD990" s="46"/>
      <c r="BE990" s="46"/>
      <c r="BF990" s="46"/>
      <c r="BG990" s="46"/>
      <c r="BH990" s="46"/>
      <c r="BI990" s="46"/>
      <c r="BJ990" s="46"/>
      <c r="BK990" s="46"/>
      <c r="BL990" s="46"/>
      <c r="BM990" s="46"/>
      <c r="BN990" s="46"/>
      <c r="BO990" s="46"/>
      <c r="BP990" s="46"/>
      <c r="BQ990" s="46"/>
      <c r="BR990" s="46"/>
      <c r="BS990" s="46"/>
      <c r="BT990" s="46"/>
      <c r="BU990" s="46"/>
      <c r="BV990" s="46"/>
      <c r="BW990" s="46"/>
      <c r="BX990" s="46"/>
      <c r="BY990" s="46"/>
      <c r="BZ990" s="46"/>
      <c r="CA990" s="46"/>
      <c r="CB990" s="46"/>
      <c r="CC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c r="AB991" s="46"/>
      <c r="AC991" s="46"/>
      <c r="AD991" s="46"/>
      <c r="AE991" s="46"/>
      <c r="AF991" s="46"/>
      <c r="AG991" s="46"/>
      <c r="AH991" s="46"/>
      <c r="AI991" s="46"/>
      <c r="AJ991" s="46"/>
      <c r="AK991" s="46"/>
      <c r="AL991" s="46"/>
      <c r="AM991" s="46"/>
      <c r="AN991" s="46"/>
      <c r="AO991" s="46"/>
      <c r="AP991" s="46"/>
      <c r="AQ991" s="46"/>
      <c r="AR991" s="46"/>
      <c r="AS991" s="46"/>
      <c r="AT991" s="46"/>
      <c r="AU991" s="46"/>
      <c r="AV991" s="46"/>
      <c r="AW991" s="46"/>
      <c r="AX991" s="46"/>
      <c r="AY991" s="46"/>
      <c r="AZ991" s="46"/>
      <c r="BA991" s="46"/>
      <c r="BB991" s="46"/>
      <c r="BC991" s="46"/>
      <c r="BD991" s="46"/>
      <c r="BE991" s="46"/>
      <c r="BF991" s="46"/>
      <c r="BG991" s="46"/>
      <c r="BH991" s="46"/>
      <c r="BI991" s="46"/>
      <c r="BJ991" s="46"/>
      <c r="BK991" s="46"/>
      <c r="BL991" s="46"/>
      <c r="BM991" s="46"/>
      <c r="BN991" s="46"/>
      <c r="BO991" s="46"/>
      <c r="BP991" s="46"/>
      <c r="BQ991" s="46"/>
      <c r="BR991" s="46"/>
      <c r="BS991" s="46"/>
      <c r="BT991" s="46"/>
      <c r="BU991" s="46"/>
      <c r="BV991" s="46"/>
      <c r="BW991" s="46"/>
      <c r="BX991" s="46"/>
      <c r="BY991" s="46"/>
      <c r="BZ991" s="46"/>
      <c r="CA991" s="46"/>
      <c r="CB991" s="46"/>
      <c r="CC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c r="AB992" s="46"/>
      <c r="AC992" s="46"/>
      <c r="AD992" s="46"/>
      <c r="AE992" s="46"/>
      <c r="AF992" s="46"/>
      <c r="AG992" s="46"/>
      <c r="AH992" s="46"/>
      <c r="AI992" s="46"/>
      <c r="AJ992" s="46"/>
      <c r="AK992" s="46"/>
      <c r="AL992" s="46"/>
      <c r="AM992" s="46"/>
      <c r="AN992" s="46"/>
      <c r="AO992" s="46"/>
      <c r="AP992" s="46"/>
      <c r="AQ992" s="46"/>
      <c r="AR992" s="46"/>
      <c r="AS992" s="46"/>
      <c r="AT992" s="46"/>
      <c r="AU992" s="46"/>
      <c r="AV992" s="46"/>
      <c r="AW992" s="46"/>
      <c r="AX992" s="46"/>
      <c r="AY992" s="46"/>
      <c r="AZ992" s="46"/>
      <c r="BA992" s="46"/>
      <c r="BB992" s="46"/>
      <c r="BC992" s="46"/>
      <c r="BD992" s="46"/>
      <c r="BE992" s="46"/>
      <c r="BF992" s="46"/>
      <c r="BG992" s="46"/>
      <c r="BH992" s="46"/>
      <c r="BI992" s="46"/>
      <c r="BJ992" s="46"/>
      <c r="BK992" s="46"/>
      <c r="BL992" s="46"/>
      <c r="BM992" s="46"/>
      <c r="BN992" s="46"/>
      <c r="BO992" s="46"/>
      <c r="BP992" s="46"/>
      <c r="BQ992" s="46"/>
      <c r="BR992" s="46"/>
      <c r="BS992" s="46"/>
      <c r="BT992" s="46"/>
      <c r="BU992" s="46"/>
      <c r="BV992" s="46"/>
      <c r="BW992" s="46"/>
      <c r="BX992" s="46"/>
      <c r="BY992" s="46"/>
      <c r="BZ992" s="46"/>
      <c r="CA992" s="46"/>
      <c r="CB992" s="46"/>
      <c r="CC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c r="AB993" s="46"/>
      <c r="AC993" s="46"/>
      <c r="AD993" s="46"/>
      <c r="AE993" s="46"/>
      <c r="AF993" s="46"/>
      <c r="AG993" s="46"/>
      <c r="AH993" s="46"/>
      <c r="AI993" s="46"/>
      <c r="AJ993" s="46"/>
      <c r="AK993" s="46"/>
      <c r="AL993" s="46"/>
      <c r="AM993" s="46"/>
      <c r="AN993" s="46"/>
      <c r="AO993" s="46"/>
      <c r="AP993" s="46"/>
      <c r="AQ993" s="46"/>
      <c r="AR993" s="46"/>
      <c r="AS993" s="46"/>
      <c r="AT993" s="46"/>
      <c r="AU993" s="46"/>
      <c r="AV993" s="46"/>
      <c r="AW993" s="46"/>
      <c r="AX993" s="46"/>
      <c r="AY993" s="46"/>
      <c r="AZ993" s="46"/>
      <c r="BA993" s="46"/>
      <c r="BB993" s="46"/>
      <c r="BC993" s="46"/>
      <c r="BD993" s="46"/>
      <c r="BE993" s="46"/>
      <c r="BF993" s="46"/>
      <c r="BG993" s="46"/>
      <c r="BH993" s="46"/>
      <c r="BI993" s="46"/>
      <c r="BJ993" s="46"/>
      <c r="BK993" s="46"/>
      <c r="BL993" s="46"/>
      <c r="BM993" s="46"/>
      <c r="BN993" s="46"/>
      <c r="BO993" s="46"/>
      <c r="BP993" s="46"/>
      <c r="BQ993" s="46"/>
      <c r="BR993" s="46"/>
      <c r="BS993" s="46"/>
      <c r="BT993" s="46"/>
      <c r="BU993" s="46"/>
      <c r="BV993" s="46"/>
      <c r="BW993" s="46"/>
      <c r="BX993" s="46"/>
      <c r="BY993" s="46"/>
      <c r="BZ993" s="46"/>
      <c r="CA993" s="46"/>
      <c r="CB993" s="46"/>
      <c r="CC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c r="AB994" s="46"/>
      <c r="AC994" s="46"/>
      <c r="AD994" s="46"/>
      <c r="AE994" s="46"/>
      <c r="AF994" s="46"/>
      <c r="AG994" s="46"/>
      <c r="AH994" s="46"/>
      <c r="AI994" s="46"/>
      <c r="AJ994" s="46"/>
      <c r="AK994" s="46"/>
      <c r="AL994" s="46"/>
      <c r="AM994" s="46"/>
      <c r="AN994" s="46"/>
      <c r="AO994" s="46"/>
      <c r="AP994" s="46"/>
      <c r="AQ994" s="46"/>
      <c r="AR994" s="46"/>
      <c r="AS994" s="46"/>
      <c r="AT994" s="46"/>
      <c r="AU994" s="46"/>
      <c r="AV994" s="46"/>
      <c r="AW994" s="46"/>
      <c r="AX994" s="46"/>
      <c r="AY994" s="46"/>
      <c r="AZ994" s="46"/>
      <c r="BA994" s="46"/>
      <c r="BB994" s="46"/>
      <c r="BC994" s="46"/>
      <c r="BD994" s="46"/>
      <c r="BE994" s="46"/>
      <c r="BF994" s="46"/>
      <c r="BG994" s="46"/>
      <c r="BH994" s="46"/>
      <c r="BI994" s="46"/>
      <c r="BJ994" s="46"/>
      <c r="BK994" s="46"/>
      <c r="BL994" s="46"/>
      <c r="BM994" s="46"/>
      <c r="BN994" s="46"/>
      <c r="BO994" s="46"/>
      <c r="BP994" s="46"/>
      <c r="BQ994" s="46"/>
      <c r="BR994" s="46"/>
      <c r="BS994" s="46"/>
      <c r="BT994" s="46"/>
      <c r="BU994" s="46"/>
      <c r="BV994" s="46"/>
      <c r="BW994" s="46"/>
      <c r="BX994" s="46"/>
      <c r="BY994" s="46"/>
      <c r="BZ994" s="46"/>
      <c r="CA994" s="46"/>
      <c r="CB994" s="46"/>
      <c r="CC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c r="AB995" s="46"/>
      <c r="AC995" s="46"/>
      <c r="AD995" s="46"/>
      <c r="AE995" s="46"/>
      <c r="AF995" s="46"/>
      <c r="AG995" s="46"/>
      <c r="AH995" s="46"/>
      <c r="AI995" s="46"/>
      <c r="AJ995" s="46"/>
      <c r="AK995" s="46"/>
      <c r="AL995" s="46"/>
      <c r="AM995" s="46"/>
      <c r="AN995" s="46"/>
      <c r="AO995" s="46"/>
      <c r="AP995" s="46"/>
      <c r="AQ995" s="46"/>
      <c r="AR995" s="46"/>
      <c r="AS995" s="46"/>
      <c r="AT995" s="46"/>
      <c r="AU995" s="46"/>
      <c r="AV995" s="46"/>
      <c r="AW995" s="46"/>
      <c r="AX995" s="46"/>
      <c r="AY995" s="46"/>
      <c r="AZ995" s="46"/>
      <c r="BA995" s="46"/>
      <c r="BB995" s="46"/>
      <c r="BC995" s="46"/>
      <c r="BD995" s="46"/>
      <c r="BE995" s="46"/>
      <c r="BF995" s="46"/>
      <c r="BG995" s="46"/>
      <c r="BH995" s="46"/>
      <c r="BI995" s="46"/>
      <c r="BJ995" s="46"/>
      <c r="BK995" s="46"/>
      <c r="BL995" s="46"/>
      <c r="BM995" s="46"/>
      <c r="BN995" s="46"/>
      <c r="BO995" s="46"/>
      <c r="BP995" s="46"/>
      <c r="BQ995" s="46"/>
      <c r="BR995" s="46"/>
      <c r="BS995" s="46"/>
      <c r="BT995" s="46"/>
      <c r="BU995" s="46"/>
      <c r="BV995" s="46"/>
      <c r="BW995" s="46"/>
      <c r="BX995" s="46"/>
      <c r="BY995" s="46"/>
      <c r="BZ995" s="46"/>
      <c r="CA995" s="46"/>
      <c r="CB995" s="46"/>
      <c r="CC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c r="AB996" s="46"/>
      <c r="AC996" s="46"/>
      <c r="AD996" s="46"/>
      <c r="AE996" s="46"/>
      <c r="AF996" s="46"/>
      <c r="AG996" s="46"/>
      <c r="AH996" s="46"/>
      <c r="AI996" s="46"/>
      <c r="AJ996" s="46"/>
      <c r="AK996" s="46"/>
      <c r="AL996" s="46"/>
      <c r="AM996" s="46"/>
      <c r="AN996" s="46"/>
      <c r="AO996" s="46"/>
      <c r="AP996" s="46"/>
      <c r="AQ996" s="46"/>
      <c r="AR996" s="46"/>
      <c r="AS996" s="46"/>
      <c r="AT996" s="46"/>
      <c r="AU996" s="46"/>
      <c r="AV996" s="46"/>
      <c r="AW996" s="46"/>
      <c r="AX996" s="46"/>
      <c r="AY996" s="46"/>
      <c r="AZ996" s="46"/>
      <c r="BA996" s="46"/>
      <c r="BB996" s="46"/>
      <c r="BC996" s="46"/>
      <c r="BD996" s="46"/>
      <c r="BE996" s="46"/>
      <c r="BF996" s="46"/>
      <c r="BG996" s="46"/>
      <c r="BH996" s="46"/>
      <c r="BI996" s="46"/>
      <c r="BJ996" s="46"/>
      <c r="BK996" s="46"/>
      <c r="BL996" s="46"/>
      <c r="BM996" s="46"/>
      <c r="BN996" s="46"/>
      <c r="BO996" s="46"/>
      <c r="BP996" s="46"/>
      <c r="BQ996" s="46"/>
      <c r="BR996" s="46"/>
      <c r="BS996" s="46"/>
      <c r="BT996" s="46"/>
      <c r="BU996" s="46"/>
      <c r="BV996" s="46"/>
      <c r="BW996" s="46"/>
      <c r="BX996" s="46"/>
      <c r="BY996" s="46"/>
      <c r="BZ996" s="46"/>
      <c r="CA996" s="46"/>
      <c r="CB996" s="46"/>
      <c r="CC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c r="AB997" s="46"/>
      <c r="AC997" s="46"/>
      <c r="AD997" s="46"/>
      <c r="AE997" s="46"/>
      <c r="AF997" s="46"/>
      <c r="AG997" s="46"/>
      <c r="AH997" s="46"/>
      <c r="AI997" s="46"/>
      <c r="AJ997" s="46"/>
      <c r="AK997" s="46"/>
      <c r="AL997" s="46"/>
      <c r="AM997" s="46"/>
      <c r="AN997" s="46"/>
      <c r="AO997" s="46"/>
      <c r="AP997" s="46"/>
      <c r="AQ997" s="46"/>
      <c r="AR997" s="46"/>
      <c r="AS997" s="46"/>
      <c r="AT997" s="46"/>
      <c r="AU997" s="46"/>
      <c r="AV997" s="46"/>
      <c r="AW997" s="46"/>
      <c r="AX997" s="46"/>
      <c r="AY997" s="46"/>
      <c r="AZ997" s="46"/>
      <c r="BA997" s="46"/>
      <c r="BB997" s="46"/>
      <c r="BC997" s="46"/>
      <c r="BD997" s="46"/>
      <c r="BE997" s="46"/>
      <c r="BF997" s="46"/>
      <c r="BG997" s="46"/>
      <c r="BH997" s="46"/>
      <c r="BI997" s="46"/>
      <c r="BJ997" s="46"/>
      <c r="BK997" s="46"/>
      <c r="BL997" s="46"/>
      <c r="BM997" s="46"/>
      <c r="BN997" s="46"/>
      <c r="BO997" s="46"/>
      <c r="BP997" s="46"/>
      <c r="BQ997" s="46"/>
      <c r="BR997" s="46"/>
      <c r="BS997" s="46"/>
      <c r="BT997" s="46"/>
      <c r="BU997" s="46"/>
      <c r="BV997" s="46"/>
      <c r="BW997" s="46"/>
      <c r="BX997" s="46"/>
      <c r="BY997" s="46"/>
      <c r="BZ997" s="46"/>
      <c r="CA997" s="46"/>
      <c r="CB997" s="46"/>
      <c r="CC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c r="AB998" s="46"/>
      <c r="AC998" s="46"/>
      <c r="AD998" s="46"/>
      <c r="AE998" s="46"/>
      <c r="AF998" s="46"/>
      <c r="AG998" s="46"/>
      <c r="AH998" s="46"/>
      <c r="AI998" s="46"/>
      <c r="AJ998" s="46"/>
      <c r="AK998" s="46"/>
      <c r="AL998" s="46"/>
      <c r="AM998" s="46"/>
      <c r="AN998" s="46"/>
      <c r="AO998" s="46"/>
      <c r="AP998" s="46"/>
      <c r="AQ998" s="46"/>
      <c r="AR998" s="46"/>
      <c r="AS998" s="46"/>
      <c r="AT998" s="46"/>
      <c r="AU998" s="46"/>
      <c r="AV998" s="46"/>
      <c r="AW998" s="46"/>
      <c r="AX998" s="46"/>
      <c r="AY998" s="46"/>
      <c r="AZ998" s="46"/>
      <c r="BA998" s="46"/>
      <c r="BB998" s="46"/>
      <c r="BC998" s="46"/>
      <c r="BD998" s="46"/>
      <c r="BE998" s="46"/>
      <c r="BF998" s="46"/>
      <c r="BG998" s="46"/>
      <c r="BH998" s="46"/>
      <c r="BI998" s="46"/>
      <c r="BJ998" s="46"/>
      <c r="BK998" s="46"/>
      <c r="BL998" s="46"/>
      <c r="BM998" s="46"/>
      <c r="BN998" s="46"/>
      <c r="BO998" s="46"/>
      <c r="BP998" s="46"/>
      <c r="BQ998" s="46"/>
      <c r="BR998" s="46"/>
      <c r="BS998" s="46"/>
      <c r="BT998" s="46"/>
      <c r="BU998" s="46"/>
      <c r="BV998" s="46"/>
      <c r="BW998" s="46"/>
      <c r="BX998" s="46"/>
      <c r="BY998" s="46"/>
      <c r="BZ998" s="46"/>
      <c r="CA998" s="46"/>
      <c r="CB998" s="46"/>
      <c r="CC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c r="AB999" s="46"/>
      <c r="AC999" s="46"/>
      <c r="AD999" s="46"/>
      <c r="AE999" s="46"/>
      <c r="AF999" s="46"/>
      <c r="AG999" s="46"/>
      <c r="AH999" s="46"/>
      <c r="AI999" s="46"/>
      <c r="AJ999" s="46"/>
      <c r="AK999" s="46"/>
      <c r="AL999" s="46"/>
      <c r="AM999" s="46"/>
      <c r="AN999" s="46"/>
      <c r="AO999" s="46"/>
      <c r="AP999" s="46"/>
      <c r="AQ999" s="46"/>
      <c r="AR999" s="46"/>
      <c r="AS999" s="46"/>
      <c r="AT999" s="46"/>
      <c r="AU999" s="46"/>
      <c r="AV999" s="46"/>
      <c r="AW999" s="46"/>
      <c r="AX999" s="46"/>
      <c r="AY999" s="46"/>
      <c r="AZ999" s="46"/>
      <c r="BA999" s="46"/>
      <c r="BB999" s="46"/>
      <c r="BC999" s="46"/>
      <c r="BD999" s="46"/>
      <c r="BE999" s="46"/>
      <c r="BF999" s="46"/>
      <c r="BG999" s="46"/>
      <c r="BH999" s="46"/>
      <c r="BI999" s="46"/>
      <c r="BJ999" s="46"/>
      <c r="BK999" s="46"/>
      <c r="BL999" s="46"/>
      <c r="BM999" s="46"/>
      <c r="BN999" s="46"/>
      <c r="BO999" s="46"/>
      <c r="BP999" s="46"/>
      <c r="BQ999" s="46"/>
      <c r="BR999" s="46"/>
      <c r="BS999" s="46"/>
      <c r="BT999" s="46"/>
      <c r="BU999" s="46"/>
      <c r="BV999" s="46"/>
      <c r="BW999" s="46"/>
      <c r="BX999" s="46"/>
      <c r="BY999" s="46"/>
      <c r="BZ999" s="46"/>
      <c r="CA999" s="46"/>
      <c r="CB999" s="46"/>
      <c r="CC999" s="46"/>
    </row>
    <row r="1000">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c r="AB1000" s="46"/>
      <c r="AC1000" s="46"/>
      <c r="AD1000" s="46"/>
      <c r="AE1000" s="46"/>
      <c r="AF1000" s="46"/>
      <c r="AG1000" s="46"/>
      <c r="AH1000" s="46"/>
      <c r="AI1000" s="46"/>
      <c r="AJ1000" s="46"/>
      <c r="AK1000" s="46"/>
      <c r="AL1000" s="46"/>
      <c r="AM1000" s="46"/>
      <c r="AN1000" s="46"/>
      <c r="AO1000" s="46"/>
      <c r="AP1000" s="46"/>
      <c r="AQ1000" s="46"/>
      <c r="AR1000" s="46"/>
      <c r="AS1000" s="46"/>
      <c r="AT1000" s="46"/>
      <c r="AU1000" s="46"/>
      <c r="AV1000" s="46"/>
      <c r="AW1000" s="46"/>
      <c r="AX1000" s="46"/>
      <c r="AY1000" s="46"/>
      <c r="AZ1000" s="46"/>
      <c r="BA1000" s="46"/>
      <c r="BB1000" s="46"/>
      <c r="BC1000" s="46"/>
      <c r="BD1000" s="46"/>
      <c r="BE1000" s="46"/>
      <c r="BF1000" s="46"/>
      <c r="BG1000" s="46"/>
      <c r="BH1000" s="46"/>
      <c r="BI1000" s="46"/>
      <c r="BJ1000" s="46"/>
      <c r="BK1000" s="46"/>
      <c r="BL1000" s="46"/>
      <c r="BM1000" s="46"/>
      <c r="BN1000" s="46"/>
      <c r="BO1000" s="46"/>
      <c r="BP1000" s="46"/>
      <c r="BQ1000" s="46"/>
      <c r="BR1000" s="46"/>
      <c r="BS1000" s="46"/>
      <c r="BT1000" s="46"/>
      <c r="BU1000" s="46"/>
      <c r="BV1000" s="46"/>
      <c r="BW1000" s="46"/>
      <c r="BX1000" s="46"/>
      <c r="BY1000" s="46"/>
      <c r="BZ1000" s="46"/>
      <c r="CA1000" s="46"/>
      <c r="CB1000" s="46"/>
      <c r="CC1000" s="46"/>
    </row>
    <row r="1001">
      <c r="A1001" s="46"/>
      <c r="B1001" s="46"/>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c r="AA1001" s="46"/>
      <c r="AB1001" s="46"/>
      <c r="AC1001" s="46"/>
      <c r="AD1001" s="46"/>
      <c r="AE1001" s="46"/>
      <c r="AF1001" s="46"/>
      <c r="AG1001" s="46"/>
      <c r="AH1001" s="46"/>
      <c r="AI1001" s="46"/>
      <c r="AJ1001" s="46"/>
      <c r="AK1001" s="46"/>
      <c r="AL1001" s="46"/>
      <c r="AM1001" s="46"/>
      <c r="AN1001" s="46"/>
      <c r="AO1001" s="46"/>
      <c r="AP1001" s="46"/>
      <c r="AQ1001" s="46"/>
      <c r="AR1001" s="46"/>
      <c r="AS1001" s="46"/>
      <c r="AT1001" s="46"/>
      <c r="AU1001" s="46"/>
      <c r="AV1001" s="46"/>
      <c r="AW1001" s="46"/>
      <c r="AX1001" s="46"/>
      <c r="AY1001" s="46"/>
      <c r="AZ1001" s="46"/>
      <c r="BA1001" s="46"/>
      <c r="BB1001" s="46"/>
      <c r="BC1001" s="46"/>
      <c r="BD1001" s="46"/>
      <c r="BE1001" s="46"/>
      <c r="BF1001" s="46"/>
      <c r="BG1001" s="46"/>
      <c r="BH1001" s="46"/>
      <c r="BI1001" s="46"/>
      <c r="BJ1001" s="46"/>
      <c r="BK1001" s="46"/>
      <c r="BL1001" s="46"/>
      <c r="BM1001" s="46"/>
      <c r="BN1001" s="46"/>
      <c r="BO1001" s="46"/>
      <c r="BP1001" s="46"/>
      <c r="BQ1001" s="46"/>
      <c r="BR1001" s="46"/>
      <c r="BS1001" s="46"/>
      <c r="BT1001" s="46"/>
      <c r="BU1001" s="46"/>
      <c r="BV1001" s="46"/>
      <c r="BW1001" s="46"/>
      <c r="BX1001" s="46"/>
      <c r="BY1001" s="46"/>
      <c r="BZ1001" s="46"/>
      <c r="CA1001" s="46"/>
      <c r="CB1001" s="46"/>
      <c r="CC1001" s="46"/>
    </row>
  </sheetData>
  <hyperlinks>
    <hyperlink r:id="rId1" ref="AB2"/>
    <hyperlink r:id="rId2" ref="AB3"/>
    <hyperlink r:id="rId3" ref="AB4"/>
    <hyperlink r:id="rId4" ref="AB5"/>
    <hyperlink r:id="rId5" ref="AB6"/>
    <hyperlink r:id="rId6" ref="AB7"/>
    <hyperlink r:id="rId7" ref="AB8"/>
    <hyperlink r:id="rId8" ref="AB9"/>
    <hyperlink r:id="rId9" ref="AB10"/>
    <hyperlink r:id="rId10" ref="AB11"/>
    <hyperlink r:id="rId11" ref="AB12"/>
    <hyperlink r:id="rId12" ref="AB13"/>
    <hyperlink r:id="rId13" ref="AB14"/>
    <hyperlink r:id="rId14" ref="AB15"/>
    <hyperlink r:id="rId15" ref="AB16"/>
    <hyperlink r:id="rId16" ref="AB17"/>
    <hyperlink r:id="rId17" ref="AB18"/>
    <hyperlink r:id="rId18" ref="AB19"/>
    <hyperlink r:id="rId19" ref="AB20"/>
    <hyperlink r:id="rId20" ref="AB21"/>
    <hyperlink r:id="rId21" ref="AB22"/>
    <hyperlink r:id="rId22" ref="AB23"/>
    <hyperlink r:id="rId23" ref="AB24"/>
    <hyperlink r:id="rId24" ref="AB25"/>
    <hyperlink r:id="rId25" ref="AB26"/>
    <hyperlink r:id="rId26" ref="AB27"/>
    <hyperlink r:id="rId27" ref="AB28"/>
    <hyperlink r:id="rId28" ref="AB29"/>
    <hyperlink r:id="rId29" ref="AB30"/>
    <hyperlink r:id="rId30" ref="AB31"/>
    <hyperlink r:id="rId31" ref="AB32"/>
    <hyperlink r:id="rId32" ref="AB33"/>
    <hyperlink r:id="rId33" ref="AB34"/>
    <hyperlink r:id="rId34" ref="AB35"/>
    <hyperlink r:id="rId35" ref="AB36"/>
    <hyperlink r:id="rId36" ref="AB37"/>
    <hyperlink r:id="rId37" ref="AB38"/>
    <hyperlink r:id="rId38" ref="AB39"/>
    <hyperlink r:id="rId39" ref="AB40"/>
    <hyperlink r:id="rId40" ref="AB41"/>
    <hyperlink r:id="rId41" ref="AB42"/>
    <hyperlink r:id="rId42" ref="AB43"/>
    <hyperlink r:id="rId43" ref="AB44"/>
    <hyperlink r:id="rId44" ref="AB45"/>
    <hyperlink r:id="rId45" ref="AB46"/>
    <hyperlink r:id="rId46" ref="AB47"/>
    <hyperlink r:id="rId47" ref="AB48"/>
    <hyperlink r:id="rId48" ref="AB49"/>
    <hyperlink r:id="rId49" ref="AB50"/>
    <hyperlink r:id="rId50" ref="AB51"/>
    <hyperlink r:id="rId51" ref="AB52"/>
    <hyperlink r:id="rId52" ref="AB53"/>
    <hyperlink r:id="rId53" ref="AB54"/>
    <hyperlink r:id="rId54" ref="AB55"/>
    <hyperlink r:id="rId55" ref="AB56"/>
    <hyperlink r:id="rId56" ref="AB57"/>
    <hyperlink r:id="rId57" ref="AB58"/>
    <hyperlink r:id="rId58" ref="AB59"/>
    <hyperlink r:id="rId59" ref="AB60"/>
    <hyperlink r:id="rId60" ref="AB61"/>
    <hyperlink r:id="rId61" ref="AB62"/>
    <hyperlink r:id="rId62" ref="AB63"/>
    <hyperlink r:id="rId63" ref="AB64"/>
    <hyperlink r:id="rId64" ref="AB65"/>
    <hyperlink r:id="rId65" ref="AB66"/>
    <hyperlink r:id="rId66" ref="AB67"/>
    <hyperlink r:id="rId67" ref="AB68"/>
    <hyperlink r:id="rId68" ref="AB69"/>
    <hyperlink r:id="rId69" ref="AB70"/>
    <hyperlink r:id="rId70" ref="AB71"/>
    <hyperlink r:id="rId71" ref="AB72"/>
    <hyperlink r:id="rId72" ref="AB73"/>
    <hyperlink r:id="rId73" ref="AB74"/>
    <hyperlink r:id="rId74" ref="AB75"/>
    <hyperlink r:id="rId75" ref="AB76"/>
    <hyperlink r:id="rId76" ref="AB77"/>
    <hyperlink r:id="rId77" ref="AB78"/>
    <hyperlink r:id="rId78" ref="AB79"/>
    <hyperlink r:id="rId79" ref="AB80"/>
    <hyperlink r:id="rId80" ref="AB81"/>
    <hyperlink r:id="rId81" ref="AB82"/>
    <hyperlink r:id="rId82" ref="AB83"/>
    <hyperlink r:id="rId83" ref="AB84"/>
    <hyperlink r:id="rId84" ref="AB85"/>
    <hyperlink r:id="rId85" ref="AB86"/>
    <hyperlink r:id="rId86" ref="AB87"/>
    <hyperlink r:id="rId87" ref="AB88"/>
    <hyperlink r:id="rId88" ref="AB89"/>
    <hyperlink r:id="rId89" ref="AB90"/>
    <hyperlink r:id="rId90" ref="AB91"/>
    <hyperlink r:id="rId91" ref="AB92"/>
    <hyperlink r:id="rId92" ref="AB93"/>
    <hyperlink r:id="rId93" ref="AB94"/>
    <hyperlink r:id="rId94" ref="AB95"/>
    <hyperlink r:id="rId95" ref="AB96"/>
    <hyperlink r:id="rId96" ref="AB97"/>
    <hyperlink r:id="rId97" ref="AB98"/>
    <hyperlink r:id="rId98" ref="AB99"/>
    <hyperlink r:id="rId99" ref="AB100"/>
    <hyperlink r:id="rId100" ref="AB101"/>
    <hyperlink r:id="rId101" ref="AB102"/>
    <hyperlink r:id="rId102" ref="AB103"/>
    <hyperlink r:id="rId103" ref="AB104"/>
    <hyperlink r:id="rId104" ref="AB105"/>
    <hyperlink r:id="rId105" ref="AB106"/>
    <hyperlink r:id="rId106" ref="AB107"/>
    <hyperlink r:id="rId107" ref="AB108"/>
    <hyperlink r:id="rId108" ref="AB109"/>
    <hyperlink r:id="rId109" ref="AB110"/>
    <hyperlink r:id="rId110" ref="AB111"/>
    <hyperlink r:id="rId111" ref="AB112"/>
    <hyperlink r:id="rId112" ref="AB113"/>
    <hyperlink r:id="rId113" ref="AB114"/>
    <hyperlink r:id="rId114" ref="AB115"/>
    <hyperlink r:id="rId115" ref="AB116"/>
    <hyperlink r:id="rId116" ref="AB117"/>
    <hyperlink r:id="rId117" ref="AB118"/>
    <hyperlink r:id="rId118" ref="AB119"/>
    <hyperlink r:id="rId119" ref="AB120"/>
    <hyperlink r:id="rId120" ref="AB121"/>
    <hyperlink r:id="rId121" ref="AB122"/>
    <hyperlink r:id="rId122" ref="AB123"/>
    <hyperlink r:id="rId123" ref="AB124"/>
    <hyperlink r:id="rId124" ref="AB125"/>
    <hyperlink r:id="rId125" ref="AB126"/>
    <hyperlink r:id="rId126" ref="AB127"/>
    <hyperlink r:id="rId127" ref="AB128"/>
    <hyperlink r:id="rId128" ref="AB129"/>
    <hyperlink r:id="rId129" ref="AB130"/>
    <hyperlink r:id="rId130" ref="AB131"/>
    <hyperlink r:id="rId131" ref="AB132"/>
    <hyperlink r:id="rId132" ref="AB133"/>
    <hyperlink r:id="rId133" ref="AB134"/>
    <hyperlink r:id="rId134" ref="AB135"/>
    <hyperlink r:id="rId135" ref="AB136"/>
    <hyperlink r:id="rId136" ref="AB137"/>
    <hyperlink r:id="rId137" ref="AB138"/>
    <hyperlink r:id="rId138" ref="AB139"/>
    <hyperlink r:id="rId139" ref="AB140"/>
    <hyperlink r:id="rId140" ref="AB141"/>
    <hyperlink r:id="rId141" ref="AB142"/>
    <hyperlink r:id="rId142" ref="AB143"/>
    <hyperlink r:id="rId143" ref="AB144"/>
    <hyperlink r:id="rId144" ref="AB145"/>
    <hyperlink r:id="rId145" ref="AB146"/>
    <hyperlink r:id="rId146" ref="AB147"/>
    <hyperlink r:id="rId147" ref="AB148"/>
    <hyperlink r:id="rId148" ref="AB149"/>
    <hyperlink r:id="rId149" ref="AB150"/>
    <hyperlink r:id="rId150" ref="AB151"/>
    <hyperlink r:id="rId151" ref="AB152"/>
    <hyperlink r:id="rId152" ref="AB153"/>
    <hyperlink r:id="rId153" ref="AB154"/>
    <hyperlink r:id="rId154" ref="AB155"/>
    <hyperlink r:id="rId155" ref="AB156"/>
    <hyperlink r:id="rId156" ref="AB157"/>
    <hyperlink r:id="rId157" ref="AB158"/>
    <hyperlink r:id="rId158" ref="AB159"/>
    <hyperlink r:id="rId159" ref="AB160"/>
    <hyperlink r:id="rId160" ref="AB161"/>
    <hyperlink r:id="rId161" ref="AB162"/>
    <hyperlink r:id="rId162" ref="AB163"/>
    <hyperlink r:id="rId163" ref="AB164"/>
    <hyperlink r:id="rId164" ref="AB165"/>
    <hyperlink r:id="rId165" ref="AB166"/>
    <hyperlink r:id="rId166" ref="AB167"/>
    <hyperlink r:id="rId167" ref="AB168"/>
    <hyperlink r:id="rId168" ref="AB169"/>
    <hyperlink r:id="rId169" ref="AB170"/>
    <hyperlink r:id="rId170" ref="AB171"/>
    <hyperlink r:id="rId171" ref="AB172"/>
    <hyperlink r:id="rId172" ref="AB173"/>
    <hyperlink r:id="rId173" ref="AB174"/>
    <hyperlink r:id="rId174" ref="AB175"/>
    <hyperlink r:id="rId175" ref="AB176"/>
    <hyperlink r:id="rId176" ref="AB177"/>
    <hyperlink r:id="rId177" ref="AB178"/>
    <hyperlink r:id="rId178" ref="AB179"/>
    <hyperlink r:id="rId179" ref="AB180"/>
    <hyperlink r:id="rId180" ref="AB181"/>
    <hyperlink r:id="rId181" ref="AB182"/>
    <hyperlink r:id="rId182" ref="AB183"/>
    <hyperlink r:id="rId183" ref="AB184"/>
    <hyperlink r:id="rId184" ref="AB185"/>
    <hyperlink r:id="rId185" ref="AB186"/>
    <hyperlink r:id="rId186" ref="AB187"/>
    <hyperlink r:id="rId187" ref="AB188"/>
    <hyperlink r:id="rId188" ref="AB189"/>
    <hyperlink r:id="rId189" ref="AB190"/>
    <hyperlink r:id="rId190" ref="AB191"/>
    <hyperlink r:id="rId191" ref="AB192"/>
    <hyperlink r:id="rId192" ref="AB193"/>
    <hyperlink r:id="rId193" ref="AB194"/>
    <hyperlink r:id="rId194" ref="AB195"/>
    <hyperlink r:id="rId195" ref="AB196"/>
    <hyperlink r:id="rId196" ref="AB197"/>
    <hyperlink r:id="rId197" ref="AB198"/>
    <hyperlink r:id="rId198" ref="AB199"/>
    <hyperlink r:id="rId199" ref="AB200"/>
    <hyperlink r:id="rId200" ref="AB201"/>
    <hyperlink r:id="rId201" ref="AB202"/>
    <hyperlink r:id="rId202" ref="AB203"/>
    <hyperlink r:id="rId203" ref="AB204"/>
    <hyperlink r:id="rId204" ref="AB205"/>
    <hyperlink r:id="rId205" ref="AB206"/>
    <hyperlink r:id="rId206" ref="AB207"/>
    <hyperlink r:id="rId207" ref="AB208"/>
    <hyperlink r:id="rId208" ref="AB209"/>
    <hyperlink r:id="rId209" ref="AB210"/>
    <hyperlink r:id="rId210" ref="AB211"/>
    <hyperlink r:id="rId211" ref="AB212"/>
    <hyperlink r:id="rId212" ref="AB213"/>
    <hyperlink r:id="rId213" ref="AB214"/>
    <hyperlink r:id="rId214" ref="AB215"/>
    <hyperlink r:id="rId215" ref="AB216"/>
    <hyperlink r:id="rId216" ref="AB217"/>
    <hyperlink r:id="rId217" ref="AB218"/>
    <hyperlink r:id="rId218" ref="AB219"/>
    <hyperlink r:id="rId219" ref="AB220"/>
    <hyperlink r:id="rId220" ref="AB221"/>
    <hyperlink r:id="rId221" ref="AB222"/>
    <hyperlink r:id="rId222" ref="AB223"/>
    <hyperlink r:id="rId223" ref="AB224"/>
    <hyperlink r:id="rId224" ref="AB225"/>
    <hyperlink r:id="rId225" ref="AB226"/>
    <hyperlink r:id="rId226" ref="AB227"/>
    <hyperlink r:id="rId227" ref="AB228"/>
    <hyperlink r:id="rId228" ref="AB229"/>
    <hyperlink r:id="rId229" ref="AB230"/>
    <hyperlink r:id="rId230" ref="AB231"/>
    <hyperlink r:id="rId231" ref="AB232"/>
    <hyperlink r:id="rId232" ref="AB233"/>
    <hyperlink r:id="rId233" ref="AB234"/>
    <hyperlink r:id="rId234" ref="AB235"/>
    <hyperlink r:id="rId235" ref="AB236"/>
    <hyperlink r:id="rId236" ref="AB237"/>
    <hyperlink r:id="rId237" ref="AB238"/>
    <hyperlink r:id="rId238" ref="AB239"/>
    <hyperlink r:id="rId239" ref="AB240"/>
    <hyperlink r:id="rId240" ref="AB241"/>
    <hyperlink r:id="rId241" ref="AB242"/>
    <hyperlink r:id="rId242" ref="AB243"/>
    <hyperlink r:id="rId243" ref="AB244"/>
    <hyperlink r:id="rId244" ref="AB245"/>
    <hyperlink r:id="rId245" ref="AB246"/>
    <hyperlink r:id="rId246" ref="AB247"/>
    <hyperlink r:id="rId247" ref="AB248"/>
    <hyperlink r:id="rId248" ref="AB249"/>
    <hyperlink r:id="rId249" ref="AB250"/>
    <hyperlink r:id="rId250" ref="AB251"/>
    <hyperlink r:id="rId251" ref="AB252"/>
    <hyperlink r:id="rId252" ref="AB253"/>
    <hyperlink r:id="rId253" ref="AB254"/>
    <hyperlink r:id="rId254" ref="AB255"/>
    <hyperlink r:id="rId255" ref="AB256"/>
    <hyperlink r:id="rId256" ref="AB257"/>
    <hyperlink r:id="rId257" ref="AB258"/>
    <hyperlink r:id="rId258" ref="AB259"/>
    <hyperlink r:id="rId259" ref="AB260"/>
    <hyperlink r:id="rId260" ref="AB261"/>
    <hyperlink r:id="rId261" ref="AB262"/>
    <hyperlink r:id="rId262" ref="AB263"/>
    <hyperlink r:id="rId263" ref="AB264"/>
    <hyperlink r:id="rId264" ref="AB265"/>
    <hyperlink r:id="rId265" ref="AB266"/>
    <hyperlink r:id="rId266" ref="AB267"/>
    <hyperlink r:id="rId267" ref="AB268"/>
    <hyperlink r:id="rId268" ref="AB269"/>
    <hyperlink r:id="rId269" ref="AB270"/>
    <hyperlink r:id="rId270" ref="AB271"/>
    <hyperlink r:id="rId271" ref="AB272"/>
    <hyperlink r:id="rId272" ref="AB273"/>
    <hyperlink r:id="rId273" ref="AB274"/>
    <hyperlink r:id="rId274" ref="AB275"/>
    <hyperlink r:id="rId275" ref="AB276"/>
    <hyperlink r:id="rId276" ref="AB277"/>
    <hyperlink r:id="rId277" ref="AB278"/>
    <hyperlink r:id="rId278" ref="AB279"/>
    <hyperlink r:id="rId279" ref="AB280"/>
    <hyperlink r:id="rId280" ref="AB281"/>
    <hyperlink r:id="rId281" ref="AB282"/>
    <hyperlink r:id="rId282" ref="AB283"/>
    <hyperlink r:id="rId283" ref="AB284"/>
    <hyperlink r:id="rId284" ref="AB285"/>
    <hyperlink r:id="rId285" ref="AB286"/>
    <hyperlink r:id="rId286" ref="AB287"/>
    <hyperlink r:id="rId287" ref="AB288"/>
    <hyperlink r:id="rId288" ref="AB289"/>
    <hyperlink r:id="rId289" ref="AB290"/>
    <hyperlink r:id="rId290" ref="AB291"/>
    <hyperlink r:id="rId291" ref="AB292"/>
    <hyperlink r:id="rId292" ref="AB293"/>
    <hyperlink r:id="rId293" ref="AB294"/>
    <hyperlink r:id="rId294" ref="AB295"/>
    <hyperlink r:id="rId295" ref="AB296"/>
    <hyperlink r:id="rId296" ref="AB297"/>
    <hyperlink r:id="rId297" ref="AB298"/>
    <hyperlink r:id="rId298" ref="AB299"/>
    <hyperlink r:id="rId299" ref="AB300"/>
    <hyperlink r:id="rId300" ref="AB301"/>
    <hyperlink r:id="rId301" ref="AB302"/>
    <hyperlink r:id="rId302" ref="AB303"/>
    <hyperlink r:id="rId303" ref="AB304"/>
    <hyperlink r:id="rId304" ref="AB305"/>
    <hyperlink r:id="rId305" ref="AB306"/>
    <hyperlink r:id="rId306" ref="AB307"/>
    <hyperlink r:id="rId307" ref="AB308"/>
    <hyperlink r:id="rId308" ref="AB309"/>
    <hyperlink r:id="rId309" ref="AB310"/>
    <hyperlink r:id="rId310" ref="AB311"/>
    <hyperlink r:id="rId311" ref="AB312"/>
    <hyperlink r:id="rId312" ref="AB313"/>
    <hyperlink r:id="rId313" ref="AB314"/>
    <hyperlink r:id="rId314" ref="AB315"/>
    <hyperlink r:id="rId315" ref="AB316"/>
    <hyperlink r:id="rId316" ref="AB317"/>
    <hyperlink r:id="rId317" ref="AB318"/>
    <hyperlink r:id="rId318" ref="AB319"/>
    <hyperlink r:id="rId319" ref="AB320"/>
    <hyperlink r:id="rId320" ref="AB321"/>
    <hyperlink r:id="rId321" ref="AB322"/>
    <hyperlink r:id="rId322" ref="AB323"/>
    <hyperlink r:id="rId323" ref="AB324"/>
    <hyperlink r:id="rId324" ref="AB325"/>
    <hyperlink r:id="rId325" ref="AB326"/>
    <hyperlink r:id="rId326" ref="AB327"/>
    <hyperlink r:id="rId327" ref="AB328"/>
    <hyperlink r:id="rId328" ref="AB329"/>
    <hyperlink r:id="rId329" ref="AB330"/>
    <hyperlink r:id="rId330" ref="AB331"/>
    <hyperlink r:id="rId331" ref="AB332"/>
    <hyperlink r:id="rId332" ref="AB333"/>
    <hyperlink r:id="rId333" ref="AB334"/>
    <hyperlink r:id="rId334" ref="AB335"/>
    <hyperlink r:id="rId335" ref="AB336"/>
    <hyperlink r:id="rId336" ref="AB337"/>
    <hyperlink r:id="rId337" ref="AB338"/>
    <hyperlink r:id="rId338" ref="AB339"/>
    <hyperlink r:id="rId339" ref="AB340"/>
    <hyperlink r:id="rId340" ref="AB341"/>
    <hyperlink r:id="rId341" ref="AB342"/>
    <hyperlink r:id="rId342" ref="AB343"/>
    <hyperlink r:id="rId343" ref="AB344"/>
    <hyperlink r:id="rId344" ref="AB345"/>
    <hyperlink r:id="rId345" ref="AB346"/>
    <hyperlink r:id="rId346" ref="AB347"/>
    <hyperlink r:id="rId347" ref="AB348"/>
    <hyperlink r:id="rId348" ref="AB349"/>
    <hyperlink r:id="rId349" ref="AB350"/>
    <hyperlink r:id="rId350" ref="AB351"/>
    <hyperlink r:id="rId351" ref="AB352"/>
    <hyperlink r:id="rId352" ref="AB353"/>
    <hyperlink r:id="rId353" ref="AB354"/>
    <hyperlink r:id="rId354" ref="AB355"/>
    <hyperlink r:id="rId355" ref="AB356"/>
    <hyperlink r:id="rId356" ref="AB357"/>
    <hyperlink r:id="rId357" ref="AB358"/>
    <hyperlink r:id="rId358" ref="AB359"/>
    <hyperlink r:id="rId359" ref="AB360"/>
    <hyperlink r:id="rId360" ref="AB361"/>
    <hyperlink r:id="rId361" ref="AB362"/>
    <hyperlink r:id="rId362" ref="AB363"/>
    <hyperlink r:id="rId363" ref="AB364"/>
    <hyperlink r:id="rId364" ref="AB365"/>
    <hyperlink r:id="rId365" ref="AB366"/>
    <hyperlink r:id="rId366" ref="AB367"/>
    <hyperlink r:id="rId367" ref="AB368"/>
    <hyperlink r:id="rId368" ref="AB369"/>
    <hyperlink r:id="rId369" ref="AB370"/>
    <hyperlink r:id="rId370" ref="AB371"/>
    <hyperlink r:id="rId371" ref="AB372"/>
    <hyperlink r:id="rId372" ref="AB373"/>
    <hyperlink r:id="rId373" ref="AB374"/>
    <hyperlink r:id="rId374" ref="AB375"/>
    <hyperlink r:id="rId375" ref="AB376"/>
    <hyperlink r:id="rId376" ref="AB377"/>
    <hyperlink r:id="rId377" ref="AB378"/>
    <hyperlink r:id="rId378" ref="AB379"/>
    <hyperlink r:id="rId379" ref="AB380"/>
    <hyperlink r:id="rId380" ref="AB381"/>
    <hyperlink r:id="rId381" ref="AB382"/>
    <hyperlink r:id="rId382" ref="AB383"/>
    <hyperlink r:id="rId383" ref="AB384"/>
    <hyperlink r:id="rId384" ref="AB385"/>
    <hyperlink r:id="rId385" ref="AB386"/>
    <hyperlink r:id="rId386" ref="AB387"/>
    <hyperlink r:id="rId387" ref="AB388"/>
    <hyperlink r:id="rId388" ref="AB389"/>
    <hyperlink r:id="rId389" ref="AB390"/>
    <hyperlink r:id="rId390" ref="AB391"/>
    <hyperlink r:id="rId391" ref="AB392"/>
    <hyperlink r:id="rId392" ref="AB393"/>
    <hyperlink r:id="rId393" ref="AB394"/>
    <hyperlink r:id="rId394" ref="AB395"/>
    <hyperlink r:id="rId395" ref="AB396"/>
    <hyperlink r:id="rId396" ref="AB397"/>
    <hyperlink r:id="rId397" ref="AB398"/>
    <hyperlink r:id="rId398" ref="AB399"/>
    <hyperlink r:id="rId399" ref="AB400"/>
    <hyperlink r:id="rId400" ref="AB401"/>
    <hyperlink r:id="rId401" ref="AB402"/>
    <hyperlink r:id="rId402" ref="AB403"/>
    <hyperlink r:id="rId403" ref="AB404"/>
    <hyperlink r:id="rId404" ref="AB405"/>
    <hyperlink r:id="rId405" ref="AB406"/>
    <hyperlink r:id="rId406" ref="AB407"/>
    <hyperlink r:id="rId407" ref="AB408"/>
    <hyperlink r:id="rId408" ref="AB409"/>
    <hyperlink r:id="rId409" ref="AB410"/>
    <hyperlink r:id="rId410" ref="AB411"/>
    <hyperlink r:id="rId411" ref="AB412"/>
    <hyperlink r:id="rId412" ref="AB413"/>
    <hyperlink r:id="rId413" ref="AB414"/>
    <hyperlink r:id="rId414" ref="AB415"/>
    <hyperlink r:id="rId415" ref="AB416"/>
    <hyperlink r:id="rId416" ref="AB417"/>
    <hyperlink r:id="rId417" ref="AB418"/>
    <hyperlink r:id="rId418" ref="AB419"/>
    <hyperlink r:id="rId419" ref="AB420"/>
    <hyperlink r:id="rId420" ref="AB421"/>
    <hyperlink r:id="rId421" ref="AB422"/>
    <hyperlink r:id="rId422" ref="AB423"/>
    <hyperlink r:id="rId423" ref="AB424"/>
    <hyperlink r:id="rId424" ref="AB425"/>
    <hyperlink r:id="rId425" ref="AB426"/>
    <hyperlink r:id="rId426" ref="AB427"/>
    <hyperlink r:id="rId427" ref="AB428"/>
    <hyperlink r:id="rId428" ref="AB429"/>
    <hyperlink r:id="rId429" ref="AB430"/>
    <hyperlink r:id="rId430" ref="AB431"/>
    <hyperlink r:id="rId431" ref="AB432"/>
    <hyperlink r:id="rId432" ref="AB433"/>
    <hyperlink r:id="rId433" ref="AB434"/>
    <hyperlink r:id="rId434" ref="AB435"/>
    <hyperlink r:id="rId435" ref="AB436"/>
    <hyperlink r:id="rId436" ref="AB437"/>
    <hyperlink r:id="rId437" ref="AB438"/>
    <hyperlink r:id="rId438" ref="AB439"/>
    <hyperlink r:id="rId439" ref="AB440"/>
    <hyperlink r:id="rId440" ref="AB441"/>
    <hyperlink r:id="rId441" ref="AB442"/>
    <hyperlink r:id="rId442" ref="AB443"/>
    <hyperlink r:id="rId443" ref="AB444"/>
    <hyperlink r:id="rId444" ref="AB445"/>
    <hyperlink r:id="rId445" ref="AB446"/>
    <hyperlink r:id="rId446" ref="AB447"/>
    <hyperlink r:id="rId447" ref="AB448"/>
    <hyperlink r:id="rId448" ref="AB449"/>
    <hyperlink r:id="rId449" ref="AB450"/>
    <hyperlink r:id="rId450" ref="AB451"/>
    <hyperlink r:id="rId451" ref="AB452"/>
    <hyperlink r:id="rId452" ref="AB453"/>
    <hyperlink r:id="rId453" ref="AB454"/>
    <hyperlink r:id="rId454" ref="AB455"/>
    <hyperlink r:id="rId455" ref="AB456"/>
    <hyperlink r:id="rId456" ref="AB457"/>
    <hyperlink r:id="rId457" ref="AB458"/>
    <hyperlink r:id="rId458" ref="AB459"/>
    <hyperlink r:id="rId459" ref="AB460"/>
    <hyperlink r:id="rId460" ref="AB461"/>
    <hyperlink r:id="rId461" ref="AB462"/>
    <hyperlink r:id="rId462" ref="AB463"/>
    <hyperlink r:id="rId463" ref="AB464"/>
    <hyperlink r:id="rId464" ref="AB465"/>
    <hyperlink r:id="rId465" ref="AB466"/>
    <hyperlink r:id="rId466" ref="AB467"/>
    <hyperlink r:id="rId467" ref="AB468"/>
    <hyperlink r:id="rId468" ref="AB469"/>
    <hyperlink r:id="rId469" ref="AB470"/>
    <hyperlink r:id="rId470" ref="AB471"/>
    <hyperlink r:id="rId471" ref="AB472"/>
    <hyperlink r:id="rId472" ref="AB473"/>
    <hyperlink r:id="rId473" ref="AB474"/>
    <hyperlink r:id="rId474" ref="AB475"/>
    <hyperlink r:id="rId475" ref="AB476"/>
    <hyperlink r:id="rId476" ref="AB477"/>
    <hyperlink r:id="rId477" ref="AB478"/>
    <hyperlink r:id="rId478" ref="AB479"/>
    <hyperlink r:id="rId479" ref="AB480"/>
    <hyperlink r:id="rId480" ref="AB481"/>
    <hyperlink r:id="rId481" ref="AB482"/>
    <hyperlink r:id="rId482" ref="AB483"/>
    <hyperlink r:id="rId483" ref="AB484"/>
    <hyperlink r:id="rId484" ref="AB485"/>
    <hyperlink r:id="rId485" ref="AB486"/>
    <hyperlink r:id="rId486" ref="AB487"/>
    <hyperlink r:id="rId487" ref="AB488"/>
    <hyperlink r:id="rId488" ref="AB489"/>
    <hyperlink r:id="rId489" ref="AB490"/>
    <hyperlink r:id="rId490" ref="AB491"/>
    <hyperlink r:id="rId491" ref="AB492"/>
    <hyperlink r:id="rId492" ref="AB493"/>
    <hyperlink r:id="rId493" ref="AB494"/>
    <hyperlink r:id="rId494" ref="AB495"/>
    <hyperlink r:id="rId495" ref="AB496"/>
    <hyperlink r:id="rId496" ref="AB497"/>
    <hyperlink r:id="rId497" ref="AB498"/>
    <hyperlink r:id="rId498" ref="AB499"/>
    <hyperlink r:id="rId499" ref="AB500"/>
    <hyperlink r:id="rId500" ref="AB501"/>
    <hyperlink r:id="rId501" ref="AB502"/>
    <hyperlink r:id="rId502" ref="AB503"/>
    <hyperlink r:id="rId503" ref="AB504"/>
    <hyperlink r:id="rId504" ref="AB505"/>
    <hyperlink r:id="rId505" ref="AB506"/>
    <hyperlink r:id="rId506" ref="AB507"/>
    <hyperlink r:id="rId507" ref="AB508"/>
    <hyperlink r:id="rId508" ref="AB509"/>
    <hyperlink r:id="rId509" ref="AB510"/>
    <hyperlink r:id="rId510" ref="AB511"/>
    <hyperlink r:id="rId511" ref="AB512"/>
    <hyperlink r:id="rId512" ref="AB513"/>
    <hyperlink r:id="rId513" ref="AB514"/>
    <hyperlink r:id="rId514" ref="AB515"/>
    <hyperlink r:id="rId515" ref="AB516"/>
    <hyperlink r:id="rId516" ref="AB517"/>
    <hyperlink r:id="rId517" ref="AB518"/>
    <hyperlink r:id="rId518" ref="AB519"/>
    <hyperlink r:id="rId519" ref="AB520"/>
    <hyperlink r:id="rId520" ref="AB521"/>
    <hyperlink r:id="rId521" ref="AB522"/>
    <hyperlink r:id="rId522" ref="AB523"/>
    <hyperlink r:id="rId523" ref="AB524"/>
    <hyperlink r:id="rId524" ref="AB525"/>
    <hyperlink r:id="rId525" ref="AB526"/>
    <hyperlink r:id="rId526" ref="AB527"/>
    <hyperlink r:id="rId527" ref="AB528"/>
    <hyperlink r:id="rId528" ref="AB529"/>
    <hyperlink r:id="rId529" ref="AB530"/>
    <hyperlink r:id="rId530" ref="AB531"/>
    <hyperlink r:id="rId531" ref="AB532"/>
    <hyperlink r:id="rId532" ref="AB533"/>
    <hyperlink r:id="rId533" ref="AB534"/>
    <hyperlink r:id="rId534" ref="AB535"/>
    <hyperlink r:id="rId535" ref="AB536"/>
    <hyperlink r:id="rId536" ref="AB537"/>
    <hyperlink r:id="rId537" ref="AB538"/>
    <hyperlink r:id="rId538" ref="AB539"/>
    <hyperlink r:id="rId539" ref="AB540"/>
    <hyperlink r:id="rId540" ref="AB541"/>
    <hyperlink r:id="rId541" ref="AB542"/>
    <hyperlink r:id="rId542" ref="AB543"/>
    <hyperlink r:id="rId543" ref="AB544"/>
    <hyperlink r:id="rId544" ref="AB545"/>
    <hyperlink r:id="rId545" ref="AB546"/>
    <hyperlink r:id="rId546" ref="AB547"/>
    <hyperlink r:id="rId547" ref="AB548"/>
    <hyperlink r:id="rId548" ref="AB549"/>
    <hyperlink r:id="rId549" ref="AB550"/>
    <hyperlink r:id="rId550" ref="AB551"/>
    <hyperlink r:id="rId551" ref="AB552"/>
    <hyperlink r:id="rId552" ref="AB553"/>
    <hyperlink r:id="rId553" ref="AB554"/>
    <hyperlink r:id="rId554" ref="AB555"/>
    <hyperlink r:id="rId555" ref="AB556"/>
    <hyperlink r:id="rId556" ref="AB557"/>
    <hyperlink r:id="rId557" ref="AB558"/>
    <hyperlink r:id="rId558" ref="AB559"/>
    <hyperlink r:id="rId559" ref="AB560"/>
    <hyperlink r:id="rId560" ref="AB561"/>
    <hyperlink r:id="rId561" ref="AB562"/>
    <hyperlink r:id="rId562" ref="AB563"/>
    <hyperlink r:id="rId563" ref="AB564"/>
    <hyperlink r:id="rId564" ref="AB565"/>
    <hyperlink r:id="rId565" ref="AB566"/>
    <hyperlink r:id="rId566" ref="AB567"/>
    <hyperlink r:id="rId567" ref="AB568"/>
    <hyperlink r:id="rId568" ref="AB569"/>
    <hyperlink r:id="rId569" ref="AB570"/>
    <hyperlink r:id="rId570" ref="AB571"/>
    <hyperlink r:id="rId571" ref="AB572"/>
    <hyperlink r:id="rId572" ref="AB573"/>
    <hyperlink r:id="rId573" ref="AB574"/>
    <hyperlink r:id="rId574" ref="AB575"/>
    <hyperlink r:id="rId575" ref="AB576"/>
    <hyperlink r:id="rId576" ref="AB577"/>
    <hyperlink r:id="rId577" ref="AB578"/>
    <hyperlink r:id="rId578" ref="AB579"/>
    <hyperlink r:id="rId579" ref="AB580"/>
    <hyperlink r:id="rId580" ref="AB581"/>
    <hyperlink r:id="rId581" ref="AB582"/>
    <hyperlink r:id="rId582" ref="AB583"/>
    <hyperlink r:id="rId583" ref="AB584"/>
    <hyperlink r:id="rId584" ref="AB585"/>
    <hyperlink r:id="rId585" ref="AB586"/>
    <hyperlink r:id="rId586" ref="AB587"/>
    <hyperlink r:id="rId587" ref="AB588"/>
    <hyperlink r:id="rId588" ref="AB589"/>
    <hyperlink r:id="rId589" ref="AB590"/>
    <hyperlink r:id="rId590" ref="AB591"/>
    <hyperlink r:id="rId591" ref="AB592"/>
    <hyperlink r:id="rId592" ref="AB593"/>
    <hyperlink r:id="rId593" ref="AB594"/>
    <hyperlink r:id="rId594" ref="AB595"/>
    <hyperlink r:id="rId595" ref="AB596"/>
    <hyperlink r:id="rId596" ref="AB597"/>
    <hyperlink r:id="rId597" ref="AB598"/>
    <hyperlink r:id="rId598" ref="AB599"/>
    <hyperlink r:id="rId599" ref="AB600"/>
    <hyperlink r:id="rId600" ref="AB601"/>
    <hyperlink r:id="rId601" ref="AB602"/>
    <hyperlink r:id="rId602" ref="AB603"/>
    <hyperlink r:id="rId603" ref="AB604"/>
    <hyperlink r:id="rId604" ref="AB605"/>
    <hyperlink r:id="rId605" ref="AB606"/>
    <hyperlink r:id="rId606" ref="AB607"/>
    <hyperlink r:id="rId607" ref="AB608"/>
    <hyperlink r:id="rId608" ref="AB609"/>
    <hyperlink r:id="rId609" ref="AB610"/>
    <hyperlink r:id="rId610" ref="AB611"/>
    <hyperlink r:id="rId611" ref="AB612"/>
    <hyperlink r:id="rId612" ref="AB613"/>
    <hyperlink r:id="rId613" ref="AB614"/>
    <hyperlink r:id="rId614" ref="AB615"/>
  </hyperlinks>
  <drawing r:id="rId61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0.13"/>
    <col customWidth="1" min="2" max="2" width="72.25"/>
    <col customWidth="1" min="3" max="3" width="27.13"/>
    <col customWidth="1" min="4" max="4" width="19.0"/>
    <col customWidth="1" min="5" max="5" width="33.75"/>
    <col customWidth="1" min="6" max="6" width="12.63"/>
    <col customWidth="1" min="7" max="9" width="24.38"/>
    <col customWidth="1" min="10" max="10" width="12.13"/>
    <col customWidth="1" min="11" max="11" width="19.0"/>
    <col customWidth="1" min="12" max="12" width="13.88"/>
    <col customWidth="1" min="13" max="13" width="21.25"/>
    <col customWidth="1" min="14" max="15" width="8.63"/>
    <col customWidth="1" min="16" max="16" width="8.0"/>
    <col customWidth="1" min="17" max="17" width="14.63"/>
    <col customWidth="1" min="18" max="18" width="10.63"/>
    <col customWidth="1" min="19" max="19" width="21.88"/>
    <col customWidth="1" min="20" max="20" width="10.88"/>
    <col customWidth="1" min="21" max="21" width="9.25"/>
    <col customWidth="1" min="22" max="23" width="11.5"/>
    <col customWidth="1" min="24" max="24" width="8.63"/>
    <col customWidth="1" min="25" max="25" width="12.5"/>
    <col customWidth="1" min="26" max="26" width="15.63"/>
    <col customWidth="1" min="27" max="27" width="9.63"/>
    <col customWidth="1" min="28" max="28" width="14.25"/>
    <col customWidth="1" min="29" max="29" width="15.5"/>
    <col customWidth="1" min="30" max="30" width="18.0"/>
    <col customWidth="1" hidden="1" min="31" max="31" width="7.5"/>
    <col customWidth="1" min="32" max="32" width="12.0"/>
    <col customWidth="1" min="33" max="33" width="10.13"/>
    <col customWidth="1" min="34" max="34" width="10.88"/>
    <col customWidth="1" min="35" max="35" width="15.13"/>
    <col customWidth="1" min="36" max="36" width="50.0"/>
    <col customWidth="1" min="37" max="37" width="31.63"/>
    <col customWidth="1" min="38" max="38" width="29.38"/>
    <col customWidth="1" min="39" max="39" width="15.25"/>
    <col customWidth="1" min="40" max="40" width="12.88"/>
    <col customWidth="1" min="41" max="41" width="27.88"/>
    <col customWidth="1" min="42" max="44" width="34.25"/>
    <col customWidth="1" min="45" max="45" width="10.75"/>
    <col customWidth="1" min="46" max="46" width="11.63"/>
    <col customWidth="1" min="47" max="51" width="12.63"/>
    <col customWidth="1" min="52" max="52" width="10.75"/>
    <col customWidth="1" min="53" max="54" width="12.63"/>
    <col customWidth="1" min="55" max="55" width="67.38"/>
    <col customWidth="1" min="56" max="57" width="12.63"/>
    <col customWidth="1" min="58" max="58" width="89.75"/>
    <col customWidth="1" min="59" max="78" width="12.63"/>
  </cols>
  <sheetData>
    <row r="1" ht="15.75" customHeight="1">
      <c r="A1" s="7" t="s">
        <v>10</v>
      </c>
      <c r="B1" s="9" t="s">
        <v>15</v>
      </c>
      <c r="C1" s="9" t="s">
        <v>16</v>
      </c>
      <c r="D1" s="9" t="s">
        <v>0</v>
      </c>
      <c r="E1" s="10" t="s">
        <v>17</v>
      </c>
      <c r="F1" s="11" t="s">
        <v>18</v>
      </c>
      <c r="G1" s="9" t="s">
        <v>19</v>
      </c>
      <c r="H1" s="9" t="s">
        <v>20</v>
      </c>
      <c r="I1" s="9" t="s">
        <v>21</v>
      </c>
      <c r="J1" s="9" t="s">
        <v>22</v>
      </c>
      <c r="K1" s="12" t="s">
        <v>23</v>
      </c>
      <c r="L1" s="9" t="s">
        <v>24</v>
      </c>
      <c r="M1" s="9" t="s">
        <v>25</v>
      </c>
      <c r="N1" s="9" t="s">
        <v>26</v>
      </c>
      <c r="O1" s="9" t="s">
        <v>27</v>
      </c>
      <c r="P1" s="9" t="s">
        <v>28</v>
      </c>
      <c r="Q1" s="9" t="s">
        <v>29</v>
      </c>
      <c r="R1" s="13" t="s">
        <v>30</v>
      </c>
      <c r="S1" s="12" t="s">
        <v>31</v>
      </c>
      <c r="T1" s="9" t="s">
        <v>32</v>
      </c>
      <c r="U1" s="12" t="s">
        <v>9</v>
      </c>
      <c r="V1" s="9" t="s">
        <v>33</v>
      </c>
      <c r="W1" s="9" t="s">
        <v>34</v>
      </c>
      <c r="X1" s="9" t="s">
        <v>35</v>
      </c>
      <c r="Y1" s="9" t="s">
        <v>36</v>
      </c>
      <c r="Z1" s="15" t="s">
        <v>37</v>
      </c>
      <c r="AA1" s="16" t="s">
        <v>38</v>
      </c>
      <c r="AB1" s="17" t="s">
        <v>39</v>
      </c>
      <c r="AC1" s="19" t="s">
        <v>40</v>
      </c>
      <c r="AD1" s="20" t="s">
        <v>41</v>
      </c>
      <c r="AE1" s="9" t="s">
        <v>42</v>
      </c>
      <c r="AF1" s="22" t="s">
        <v>43</v>
      </c>
      <c r="AG1" s="9" t="s">
        <v>44</v>
      </c>
      <c r="AH1" s="23" t="s">
        <v>45</v>
      </c>
      <c r="AI1" s="9" t="s">
        <v>46</v>
      </c>
      <c r="AJ1" s="10" t="s">
        <v>47</v>
      </c>
      <c r="AK1" s="26" t="s">
        <v>48</v>
      </c>
      <c r="AL1" s="27" t="s">
        <v>49</v>
      </c>
      <c r="AM1" s="28" t="s">
        <v>50</v>
      </c>
      <c r="AN1" s="29" t="s">
        <v>51</v>
      </c>
      <c r="AO1" s="28" t="s">
        <v>52</v>
      </c>
      <c r="AP1" s="30" t="s">
        <v>53</v>
      </c>
      <c r="AQ1" s="30" t="s">
        <v>54</v>
      </c>
      <c r="AR1" s="30" t="s">
        <v>55</v>
      </c>
      <c r="AS1" s="31" t="s">
        <v>56</v>
      </c>
      <c r="AT1" s="28" t="s">
        <v>57</v>
      </c>
      <c r="AU1" s="28" t="s">
        <v>58</v>
      </c>
      <c r="AV1" s="28" t="s">
        <v>59</v>
      </c>
      <c r="AW1" s="28" t="s">
        <v>60</v>
      </c>
      <c r="AX1" s="32" t="s">
        <v>61</v>
      </c>
      <c r="AY1" s="32" t="s">
        <v>62</v>
      </c>
      <c r="AZ1" s="28" t="s">
        <v>63</v>
      </c>
      <c r="BC1" s="35" t="s">
        <v>64</v>
      </c>
      <c r="BD1" s="36" t="s">
        <v>65</v>
      </c>
      <c r="BE1" s="36" t="s">
        <v>66</v>
      </c>
      <c r="BF1" s="37" t="s">
        <v>67</v>
      </c>
      <c r="BG1" s="38"/>
      <c r="BH1" s="38"/>
      <c r="BI1" s="38"/>
      <c r="BJ1" s="38"/>
      <c r="BK1" s="38"/>
      <c r="BL1" s="38"/>
      <c r="BM1" s="38"/>
      <c r="BN1" s="38"/>
      <c r="BO1" s="38"/>
      <c r="BP1" s="38"/>
      <c r="BQ1" s="38"/>
      <c r="BR1" s="38"/>
      <c r="BS1" s="38"/>
      <c r="BT1" s="38"/>
      <c r="BU1" s="38"/>
      <c r="BV1" s="38"/>
      <c r="BW1" s="38"/>
      <c r="BX1" s="38"/>
      <c r="BY1" s="38"/>
      <c r="BZ1" s="38"/>
    </row>
    <row r="2" ht="15.75" customHeight="1">
      <c r="A2" s="41" t="s">
        <v>68</v>
      </c>
      <c r="B2" s="43" t="s">
        <v>69</v>
      </c>
      <c r="C2" s="43" t="s">
        <v>70</v>
      </c>
      <c r="D2" s="44" t="s">
        <v>71</v>
      </c>
      <c r="E2" s="45"/>
      <c r="F2" s="47">
        <v>2.5E8</v>
      </c>
      <c r="G2" s="44" t="str">
        <f t="shared" ref="G2:G264" si="1">IF(F2&lt;100000000,"$0 a $100'000.000",
  IF(F2&lt;200000000,"$100'000.000 a $200'000.000",
   IF(F2&lt;300000000,"$200'000.000 a $300'000.000",
    IF(F2&lt;400000000,"$300'000.000 a $400'000.000",
     IF(F2&lt;500000000,"$400'000.000 a $500'000.000",
      IF(F2&lt;1000000000,"$500'000.000 a $1.000'000.000",
       "Más de $1.000'000.000"
     ))))))</f>
        <v>$200'000.000 a $300'000.000</v>
      </c>
      <c r="H2" s="44"/>
      <c r="I2" s="44"/>
      <c r="J2" s="50" t="s">
        <v>76</v>
      </c>
      <c r="K2" s="51" t="s">
        <v>77</v>
      </c>
      <c r="L2" s="44">
        <v>4.0</v>
      </c>
      <c r="M2" s="44"/>
      <c r="N2" s="44">
        <v>2.0</v>
      </c>
      <c r="O2" s="44">
        <v>0.0</v>
      </c>
      <c r="P2" s="52">
        <v>1.0</v>
      </c>
      <c r="Q2" s="54">
        <v>117.0</v>
      </c>
      <c r="R2" s="55">
        <v>146.0</v>
      </c>
      <c r="S2" s="56" t="str">
        <f t="shared" ref="S2:S53" si="2">IF(AS2=0," ","Rentabilidad $" &amp; TEXT(AS2,"#,##0"))</f>
        <v>Rentabilidad $950,000</v>
      </c>
      <c r="T2" s="52" t="s">
        <v>78</v>
      </c>
      <c r="U2" s="57" t="s">
        <v>77</v>
      </c>
      <c r="V2" s="43" t="s">
        <v>79</v>
      </c>
      <c r="W2" s="43"/>
      <c r="X2" s="44">
        <v>0.0</v>
      </c>
      <c r="Y2" s="50" t="s">
        <v>80</v>
      </c>
      <c r="Z2" s="58" t="s">
        <v>81</v>
      </c>
      <c r="AA2" s="59" t="str">
        <f>IF(Rentabilidad=0,"No aplica",TEXT(ROUND(Precio/Rentabilidad/12,0),0) &amp; " años")</f>
        <v>22 años</v>
      </c>
      <c r="AB2" s="60"/>
      <c r="AC2" s="61"/>
      <c r="AD2" s="62"/>
      <c r="AE2" s="63"/>
      <c r="AF2" s="64" t="s">
        <v>84</v>
      </c>
      <c r="AG2" s="63"/>
      <c r="AH2" s="65" t="s">
        <v>45</v>
      </c>
      <c r="AI2" s="63"/>
      <c r="AJ2" s="45" t="s">
        <v>85</v>
      </c>
      <c r="AK2" s="50" t="s">
        <v>81</v>
      </c>
      <c r="AL2" s="45" t="s">
        <v>86</v>
      </c>
      <c r="AM2" s="52">
        <v>3.183955563E9</v>
      </c>
      <c r="AN2" s="45"/>
      <c r="AO2" s="52"/>
      <c r="AP2" s="67" t="s">
        <v>87</v>
      </c>
      <c r="AQ2" s="67"/>
      <c r="AR2" s="67"/>
      <c r="AS2" s="68">
        <v>950000.0</v>
      </c>
      <c r="AT2" s="44">
        <v>0.0</v>
      </c>
      <c r="AU2" s="52">
        <v>0.0</v>
      </c>
      <c r="AV2" s="52">
        <v>0.0</v>
      </c>
      <c r="AW2" s="43" t="s">
        <v>88</v>
      </c>
      <c r="AX2" s="52">
        <v>0.0</v>
      </c>
      <c r="AY2" s="52">
        <v>0.0</v>
      </c>
      <c r="AZ2" s="52">
        <v>0.0</v>
      </c>
      <c r="BA2" s="43" t="s">
        <v>89</v>
      </c>
      <c r="BB2" s="52">
        <v>0.0</v>
      </c>
      <c r="BC2" s="69" t="s">
        <v>90</v>
      </c>
      <c r="BD2" s="70"/>
      <c r="BE2" s="71"/>
      <c r="BF2" s="72"/>
      <c r="BG2" s="73"/>
      <c r="BH2" s="73"/>
      <c r="BI2" s="73"/>
      <c r="BJ2" s="73"/>
      <c r="BK2" s="73"/>
      <c r="BL2" s="73"/>
      <c r="BM2" s="73"/>
      <c r="BN2" s="73"/>
      <c r="BO2" s="73"/>
      <c r="BP2" s="73"/>
      <c r="BQ2" s="73"/>
      <c r="BR2" s="73"/>
      <c r="BS2" s="73"/>
      <c r="BT2" s="73"/>
      <c r="BU2" s="73"/>
      <c r="BV2" s="73"/>
      <c r="BW2" s="74"/>
      <c r="BX2" s="74"/>
      <c r="BY2" s="63"/>
      <c r="BZ2" s="63"/>
    </row>
    <row r="3" ht="15.75" customHeight="1">
      <c r="A3" s="75" t="s">
        <v>91</v>
      </c>
      <c r="B3" s="50" t="s">
        <v>92</v>
      </c>
      <c r="C3" s="50" t="s">
        <v>93</v>
      </c>
      <c r="D3" s="76"/>
      <c r="E3" s="77"/>
      <c r="F3" s="78">
        <v>1.1E9</v>
      </c>
      <c r="G3" s="44" t="str">
        <f t="shared" si="1"/>
        <v>Más de $1.000'000.000</v>
      </c>
      <c r="H3" s="44"/>
      <c r="I3" s="44"/>
      <c r="J3" s="50" t="s">
        <v>94</v>
      </c>
      <c r="K3" s="51"/>
      <c r="L3" s="50">
        <v>3.0</v>
      </c>
      <c r="M3" s="50"/>
      <c r="N3" s="50">
        <v>4.0</v>
      </c>
      <c r="O3" s="50">
        <v>6.0</v>
      </c>
      <c r="P3" s="50">
        <v>1.0</v>
      </c>
      <c r="Q3" s="79">
        <v>300.0</v>
      </c>
      <c r="R3" s="79">
        <v>1500.0</v>
      </c>
      <c r="S3" s="56" t="str">
        <f t="shared" si="2"/>
        <v> </v>
      </c>
      <c r="T3" s="50" t="s">
        <v>95</v>
      </c>
      <c r="U3" s="51" t="s">
        <v>96</v>
      </c>
      <c r="V3" s="50">
        <v>0.0</v>
      </c>
      <c r="W3" s="50"/>
      <c r="X3" s="50">
        <v>3.0</v>
      </c>
      <c r="Y3" s="50" t="s">
        <v>97</v>
      </c>
      <c r="Z3" s="80" t="s">
        <v>81</v>
      </c>
      <c r="AA3" s="81" t="s">
        <v>81</v>
      </c>
      <c r="AB3" s="82" t="s">
        <v>102</v>
      </c>
      <c r="AC3" s="83" t="s">
        <v>103</v>
      </c>
      <c r="AD3" s="83" t="s">
        <v>104</v>
      </c>
      <c r="AE3" s="63"/>
      <c r="AF3" s="64" t="s">
        <v>105</v>
      </c>
      <c r="AG3" s="65" t="s">
        <v>106</v>
      </c>
      <c r="AH3" s="65"/>
      <c r="AI3" s="65" t="s">
        <v>107</v>
      </c>
      <c r="AJ3" s="64" t="s">
        <v>108</v>
      </c>
      <c r="AK3" s="58" t="s">
        <v>81</v>
      </c>
      <c r="AL3" s="45" t="s">
        <v>109</v>
      </c>
      <c r="AM3" s="52">
        <v>3.103914892E9</v>
      </c>
      <c r="AN3" s="64">
        <v>0.0</v>
      </c>
      <c r="AO3" s="52"/>
      <c r="AP3" s="84">
        <v>0.0</v>
      </c>
      <c r="AQ3" s="84"/>
      <c r="AR3" s="84"/>
      <c r="AS3" s="85">
        <v>0.0</v>
      </c>
      <c r="AT3" s="50" t="s">
        <v>88</v>
      </c>
      <c r="AU3" s="43">
        <v>0.0</v>
      </c>
      <c r="AV3" s="43" t="s">
        <v>106</v>
      </c>
      <c r="AW3" s="43" t="s">
        <v>88</v>
      </c>
      <c r="AX3" s="43">
        <v>0.0</v>
      </c>
      <c r="AY3" s="43" t="s">
        <v>110</v>
      </c>
      <c r="AZ3" s="50">
        <v>0.0</v>
      </c>
      <c r="BA3" s="43" t="s">
        <v>89</v>
      </c>
      <c r="BB3" s="50">
        <v>0.0</v>
      </c>
      <c r="BC3" s="86"/>
      <c r="BD3" s="71"/>
      <c r="BE3" s="71"/>
      <c r="BF3" s="72" t="s">
        <v>111</v>
      </c>
      <c r="BG3" s="73"/>
      <c r="BH3" s="73"/>
      <c r="BI3" s="73"/>
      <c r="BJ3" s="73"/>
      <c r="BK3" s="73"/>
      <c r="BL3" s="73"/>
      <c r="BM3" s="73"/>
      <c r="BN3" s="73"/>
      <c r="BO3" s="73"/>
      <c r="BP3" s="73"/>
      <c r="BQ3" s="73"/>
      <c r="BR3" s="73"/>
      <c r="BS3" s="73"/>
      <c r="BT3" s="73"/>
      <c r="BU3" s="73"/>
      <c r="BV3" s="73"/>
      <c r="BW3" s="74"/>
      <c r="BX3" s="74"/>
      <c r="BY3" s="63"/>
      <c r="BZ3" s="63"/>
    </row>
    <row r="4" ht="15.75" customHeight="1">
      <c r="A4" s="75" t="s">
        <v>112</v>
      </c>
      <c r="B4" s="50" t="s">
        <v>113</v>
      </c>
      <c r="C4" s="50" t="s">
        <v>114</v>
      </c>
      <c r="D4" s="50"/>
      <c r="E4" s="64" t="s">
        <v>115</v>
      </c>
      <c r="F4" s="78">
        <v>1.25E9</v>
      </c>
      <c r="G4" s="44" t="str">
        <f t="shared" si="1"/>
        <v>Más de $1.000'000.000</v>
      </c>
      <c r="H4" s="44"/>
      <c r="I4" s="44"/>
      <c r="J4" s="50" t="s">
        <v>116</v>
      </c>
      <c r="K4" s="51"/>
      <c r="L4" s="50">
        <v>5.0</v>
      </c>
      <c r="M4" s="50"/>
      <c r="N4" s="50">
        <v>6.0</v>
      </c>
      <c r="O4" s="50">
        <v>2.0</v>
      </c>
      <c r="P4" s="50">
        <v>2.0</v>
      </c>
      <c r="Q4" s="88">
        <v>280.0</v>
      </c>
      <c r="R4" s="89">
        <v>0.0</v>
      </c>
      <c r="S4" s="56" t="str">
        <f t="shared" si="2"/>
        <v> </v>
      </c>
      <c r="T4" s="50" t="s">
        <v>78</v>
      </c>
      <c r="U4" s="51" t="s">
        <v>117</v>
      </c>
      <c r="V4" s="50" t="s">
        <v>118</v>
      </c>
      <c r="W4" s="50"/>
      <c r="X4" s="50">
        <v>5.0</v>
      </c>
      <c r="Y4" s="50" t="s">
        <v>119</v>
      </c>
      <c r="Z4" s="91"/>
      <c r="AA4" s="59" t="str">
        <f>IF(Rentabilidad=0,"No aplica",TEXT(ROUND(Precio/Rentabilidad/12,0),0) &amp; " años")</f>
        <v>No aplica</v>
      </c>
      <c r="AB4" s="82" t="s">
        <v>121</v>
      </c>
      <c r="AC4" s="83" t="s">
        <v>122</v>
      </c>
      <c r="AD4" s="83" t="s">
        <v>123</v>
      </c>
      <c r="AE4" s="63"/>
      <c r="AF4" s="64" t="s">
        <v>105</v>
      </c>
      <c r="AG4" s="65" t="s">
        <v>106</v>
      </c>
      <c r="AH4" s="63"/>
      <c r="AI4" s="65" t="s">
        <v>107</v>
      </c>
      <c r="AJ4" s="64" t="s">
        <v>124</v>
      </c>
      <c r="AK4" s="50" t="s">
        <v>81</v>
      </c>
      <c r="AL4" s="45" t="s">
        <v>109</v>
      </c>
      <c r="AM4" s="52">
        <v>3.133523454E9</v>
      </c>
      <c r="AN4" s="45">
        <v>0.0</v>
      </c>
      <c r="AO4" s="93"/>
      <c r="AP4" s="67"/>
      <c r="AQ4" s="67"/>
      <c r="AR4" s="67"/>
      <c r="AS4" s="94">
        <v>0.0</v>
      </c>
      <c r="AT4" s="65" t="s">
        <v>88</v>
      </c>
      <c r="AU4" s="50" t="s">
        <v>106</v>
      </c>
      <c r="AV4" s="50" t="s">
        <v>106</v>
      </c>
      <c r="AW4" s="50" t="s">
        <v>88</v>
      </c>
      <c r="AX4" s="50">
        <v>0.0</v>
      </c>
      <c r="AY4" s="50" t="s">
        <v>106</v>
      </c>
      <c r="AZ4" s="50">
        <v>0.0</v>
      </c>
      <c r="BA4" s="43" t="s">
        <v>89</v>
      </c>
      <c r="BB4" s="50">
        <v>0.0</v>
      </c>
      <c r="BC4" s="95"/>
      <c r="BD4" s="71"/>
      <c r="BE4" s="71"/>
      <c r="BF4" s="72" t="s">
        <v>125</v>
      </c>
      <c r="BG4" s="73"/>
      <c r="BH4" s="73"/>
      <c r="BI4" s="73"/>
      <c r="BJ4" s="73"/>
      <c r="BK4" s="73"/>
      <c r="BL4" s="73"/>
      <c r="BM4" s="73"/>
      <c r="BN4" s="73"/>
      <c r="BO4" s="73"/>
      <c r="BP4" s="73"/>
      <c r="BQ4" s="73"/>
      <c r="BR4" s="73"/>
      <c r="BS4" s="73"/>
      <c r="BT4" s="73"/>
      <c r="BU4" s="73"/>
      <c r="BV4" s="73"/>
      <c r="BW4" s="74"/>
      <c r="BX4" s="74"/>
      <c r="BY4" s="63"/>
      <c r="BZ4" s="63"/>
    </row>
    <row r="5" ht="15.75" customHeight="1">
      <c r="A5" s="75" t="s">
        <v>126</v>
      </c>
      <c r="B5" s="50" t="s">
        <v>127</v>
      </c>
      <c r="C5" s="50" t="s">
        <v>128</v>
      </c>
      <c r="D5" s="50"/>
      <c r="E5" s="64" t="s">
        <v>129</v>
      </c>
      <c r="F5" s="78">
        <v>8.6E8</v>
      </c>
      <c r="G5" s="44" t="str">
        <f t="shared" si="1"/>
        <v>$500'000.000 a $1.000'000.000</v>
      </c>
      <c r="H5" s="44"/>
      <c r="I5" s="44"/>
      <c r="J5" s="50" t="s">
        <v>116</v>
      </c>
      <c r="K5" s="51"/>
      <c r="L5" s="50">
        <v>3.0</v>
      </c>
      <c r="M5" s="50"/>
      <c r="N5" s="50">
        <v>3.0</v>
      </c>
      <c r="O5" s="50">
        <v>2.0</v>
      </c>
      <c r="P5" s="50">
        <v>2.0</v>
      </c>
      <c r="Q5" s="88">
        <v>255.0</v>
      </c>
      <c r="R5" s="88">
        <v>188.0</v>
      </c>
      <c r="S5" s="56" t="str">
        <f t="shared" si="2"/>
        <v> </v>
      </c>
      <c r="T5" s="50" t="s">
        <v>78</v>
      </c>
      <c r="U5" s="57"/>
      <c r="V5" s="50" t="s">
        <v>79</v>
      </c>
      <c r="W5" s="50"/>
      <c r="X5" s="50">
        <v>3.0</v>
      </c>
      <c r="Y5" s="50" t="s">
        <v>130</v>
      </c>
      <c r="Z5" s="58">
        <v>560000.0</v>
      </c>
      <c r="AA5" s="59" t="str">
        <f>IF(Rentabilidad=0,"No aplica",TEXT(ROUND(Precio/Rentabilidad/12,0),0) &amp; " años")</f>
        <v>No aplica</v>
      </c>
      <c r="AB5" s="82" t="s">
        <v>134</v>
      </c>
      <c r="AC5" s="97" t="s">
        <v>135</v>
      </c>
      <c r="AD5" s="97" t="s">
        <v>136</v>
      </c>
      <c r="AE5" s="63"/>
      <c r="AF5" s="64" t="s">
        <v>105</v>
      </c>
      <c r="AG5" s="65" t="s">
        <v>106</v>
      </c>
      <c r="AH5" s="63"/>
      <c r="AI5" s="65" t="s">
        <v>107</v>
      </c>
      <c r="AJ5" s="64" t="s">
        <v>124</v>
      </c>
      <c r="AK5" s="50" t="s">
        <v>81</v>
      </c>
      <c r="AL5" s="45" t="s">
        <v>109</v>
      </c>
      <c r="AM5" s="50">
        <v>3.133523454E9</v>
      </c>
      <c r="AN5" s="64">
        <v>0.0</v>
      </c>
      <c r="AO5" s="52"/>
      <c r="AP5" s="67"/>
      <c r="AQ5" s="67"/>
      <c r="AR5" s="67"/>
      <c r="AS5" s="94">
        <v>0.0</v>
      </c>
      <c r="AT5" s="65">
        <v>0.0</v>
      </c>
      <c r="AU5" s="50" t="s">
        <v>106</v>
      </c>
      <c r="AV5" s="50" t="s">
        <v>106</v>
      </c>
      <c r="AW5" s="50" t="s">
        <v>88</v>
      </c>
      <c r="AX5" s="50">
        <v>0.0</v>
      </c>
      <c r="AY5" s="50" t="s">
        <v>137</v>
      </c>
      <c r="AZ5" s="50">
        <v>0.0</v>
      </c>
      <c r="BA5" s="43" t="s">
        <v>89</v>
      </c>
      <c r="BB5" s="50">
        <v>0.0</v>
      </c>
      <c r="BC5" s="95"/>
      <c r="BD5" s="71"/>
      <c r="BE5" s="71"/>
      <c r="BF5" s="72" t="s">
        <v>138</v>
      </c>
      <c r="BG5" s="73"/>
      <c r="BH5" s="73"/>
      <c r="BI5" s="73"/>
      <c r="BJ5" s="73"/>
      <c r="BK5" s="73"/>
      <c r="BL5" s="73"/>
      <c r="BM5" s="73"/>
      <c r="BN5" s="73"/>
      <c r="BO5" s="73"/>
      <c r="BP5" s="73"/>
      <c r="BQ5" s="73"/>
      <c r="BR5" s="73"/>
      <c r="BS5" s="73"/>
      <c r="BT5" s="73"/>
      <c r="BU5" s="73"/>
      <c r="BV5" s="73"/>
      <c r="BW5" s="74"/>
      <c r="BX5" s="74"/>
      <c r="BY5" s="63"/>
      <c r="BZ5" s="63"/>
    </row>
    <row r="6" ht="15.75" customHeight="1">
      <c r="A6" s="75" t="s">
        <v>139</v>
      </c>
      <c r="B6" s="50" t="s">
        <v>140</v>
      </c>
      <c r="C6" s="50" t="s">
        <v>128</v>
      </c>
      <c r="D6" s="50"/>
      <c r="E6" s="64" t="s">
        <v>141</v>
      </c>
      <c r="F6" s="78">
        <v>7.9E8</v>
      </c>
      <c r="G6" s="44" t="str">
        <f t="shared" si="1"/>
        <v>$500'000.000 a $1.000'000.000</v>
      </c>
      <c r="H6" s="44"/>
      <c r="I6" s="44"/>
      <c r="J6" s="50" t="s">
        <v>116</v>
      </c>
      <c r="K6" s="51"/>
      <c r="L6" s="50">
        <v>4.0</v>
      </c>
      <c r="M6" s="50"/>
      <c r="N6" s="50">
        <v>3.0</v>
      </c>
      <c r="O6" s="50">
        <v>3.0</v>
      </c>
      <c r="P6" s="50">
        <v>2.0</v>
      </c>
      <c r="Q6" s="88">
        <v>255.0</v>
      </c>
      <c r="R6" s="88">
        <v>190.0</v>
      </c>
      <c r="S6" s="56" t="str">
        <f t="shared" si="2"/>
        <v> </v>
      </c>
      <c r="T6" s="50" t="s">
        <v>78</v>
      </c>
      <c r="U6" s="51" t="s">
        <v>142</v>
      </c>
      <c r="V6" s="50" t="s">
        <v>118</v>
      </c>
      <c r="W6" s="50"/>
      <c r="X6" s="50">
        <v>4.0</v>
      </c>
      <c r="Y6" s="50" t="s">
        <v>130</v>
      </c>
      <c r="Z6" s="58">
        <v>580000.0</v>
      </c>
      <c r="AA6" s="59" t="str">
        <f>IF(Rentabilidad=0,"No aplica",TEXT(ROUND(Precio/Rentabilidad/12,0),0) &amp; " años")</f>
        <v>No aplica</v>
      </c>
      <c r="AB6" s="82" t="s">
        <v>147</v>
      </c>
      <c r="AC6" s="97" t="s">
        <v>148</v>
      </c>
      <c r="AD6" s="97" t="s">
        <v>149</v>
      </c>
      <c r="AE6" s="63"/>
      <c r="AF6" s="64" t="s">
        <v>105</v>
      </c>
      <c r="AG6" s="65" t="s">
        <v>106</v>
      </c>
      <c r="AH6" s="63"/>
      <c r="AI6" s="65" t="s">
        <v>107</v>
      </c>
      <c r="AJ6" s="64" t="s">
        <v>124</v>
      </c>
      <c r="AK6" s="50" t="s">
        <v>81</v>
      </c>
      <c r="AL6" s="45" t="s">
        <v>109</v>
      </c>
      <c r="AM6" s="52">
        <v>3.133523454E9</v>
      </c>
      <c r="AN6" s="45">
        <v>0.0</v>
      </c>
      <c r="AO6" s="93"/>
      <c r="AP6" s="67"/>
      <c r="AQ6" s="67"/>
      <c r="AR6" s="67"/>
      <c r="AS6" s="94">
        <v>0.0</v>
      </c>
      <c r="AT6" s="65" t="s">
        <v>88</v>
      </c>
      <c r="AU6" s="50" t="s">
        <v>106</v>
      </c>
      <c r="AV6" s="50" t="s">
        <v>106</v>
      </c>
      <c r="AW6" s="50" t="s">
        <v>106</v>
      </c>
      <c r="AX6" s="50">
        <v>0.0</v>
      </c>
      <c r="AY6" s="50" t="s">
        <v>106</v>
      </c>
      <c r="AZ6" s="50">
        <v>0.0</v>
      </c>
      <c r="BA6" s="43" t="s">
        <v>89</v>
      </c>
      <c r="BB6" s="50">
        <v>0.0</v>
      </c>
      <c r="BC6" s="95"/>
      <c r="BD6" s="71"/>
      <c r="BE6" s="71"/>
      <c r="BF6" s="72" t="s">
        <v>150</v>
      </c>
      <c r="BG6" s="73"/>
      <c r="BH6" s="73"/>
      <c r="BI6" s="73"/>
      <c r="BJ6" s="73"/>
      <c r="BK6" s="73"/>
      <c r="BL6" s="73"/>
      <c r="BM6" s="73"/>
      <c r="BN6" s="73"/>
      <c r="BO6" s="73"/>
      <c r="BP6" s="73"/>
      <c r="BQ6" s="73"/>
      <c r="BR6" s="73"/>
      <c r="BS6" s="73"/>
      <c r="BT6" s="73"/>
      <c r="BU6" s="73"/>
      <c r="BV6" s="73"/>
      <c r="BW6" s="74"/>
      <c r="BX6" s="74"/>
      <c r="BY6" s="63"/>
      <c r="BZ6" s="63"/>
    </row>
    <row r="7" ht="15.75" customHeight="1">
      <c r="A7" s="75" t="s">
        <v>151</v>
      </c>
      <c r="B7" s="50" t="s">
        <v>152</v>
      </c>
      <c r="C7" s="50" t="s">
        <v>128</v>
      </c>
      <c r="D7" s="50"/>
      <c r="E7" s="64" t="s">
        <v>153</v>
      </c>
      <c r="F7" s="78">
        <v>7.5E8</v>
      </c>
      <c r="G7" s="44" t="str">
        <f t="shared" si="1"/>
        <v>$500'000.000 a $1.000'000.000</v>
      </c>
      <c r="H7" s="44"/>
      <c r="I7" s="44"/>
      <c r="J7" s="50" t="s">
        <v>94</v>
      </c>
      <c r="K7" s="51"/>
      <c r="L7" s="50">
        <v>3.0</v>
      </c>
      <c r="M7" s="50"/>
      <c r="N7" s="50">
        <v>3.0</v>
      </c>
      <c r="O7" s="50">
        <v>2.0</v>
      </c>
      <c r="P7" s="50">
        <v>1.0</v>
      </c>
      <c r="Q7" s="88">
        <v>170.0</v>
      </c>
      <c r="R7" s="88">
        <v>220.0</v>
      </c>
      <c r="S7" s="56" t="str">
        <f t="shared" si="2"/>
        <v> </v>
      </c>
      <c r="T7" s="50" t="s">
        <v>78</v>
      </c>
      <c r="U7" s="51" t="s">
        <v>154</v>
      </c>
      <c r="V7" s="50" t="s">
        <v>79</v>
      </c>
      <c r="W7" s="50"/>
      <c r="X7" s="50">
        <v>3.0</v>
      </c>
      <c r="Y7" s="50" t="s">
        <v>97</v>
      </c>
      <c r="Z7" s="58">
        <v>605000.0</v>
      </c>
      <c r="AA7" s="59" t="str">
        <f>IF(Rentabilidad=0,"No aplica",TEXT(ROUND(Precio/Rentabilidad/12,0),0) &amp; " años")</f>
        <v>No aplica</v>
      </c>
      <c r="AB7" s="82" t="s">
        <v>157</v>
      </c>
      <c r="AC7" s="83" t="s">
        <v>158</v>
      </c>
      <c r="AD7" s="83" t="s">
        <v>159</v>
      </c>
      <c r="AE7" s="63"/>
      <c r="AF7" s="64" t="s">
        <v>105</v>
      </c>
      <c r="AG7" s="65" t="s">
        <v>106</v>
      </c>
      <c r="AH7" s="63"/>
      <c r="AI7" s="65" t="s">
        <v>107</v>
      </c>
      <c r="AJ7" s="64" t="s">
        <v>124</v>
      </c>
      <c r="AK7" s="50" t="s">
        <v>81</v>
      </c>
      <c r="AL7" s="45" t="s">
        <v>109</v>
      </c>
      <c r="AM7" s="52">
        <v>3.133523454E9</v>
      </c>
      <c r="AN7" s="45">
        <v>0.0</v>
      </c>
      <c r="AO7" s="93"/>
      <c r="AP7" s="67"/>
      <c r="AQ7" s="67"/>
      <c r="AR7" s="67"/>
      <c r="AS7" s="94">
        <v>0.0</v>
      </c>
      <c r="AT7" s="65" t="s">
        <v>88</v>
      </c>
      <c r="AU7" s="50" t="s">
        <v>106</v>
      </c>
      <c r="AV7" s="50" t="s">
        <v>106</v>
      </c>
      <c r="AW7" s="50" t="s">
        <v>88</v>
      </c>
      <c r="AX7" s="50">
        <v>0.0</v>
      </c>
      <c r="AY7" s="50" t="s">
        <v>106</v>
      </c>
      <c r="AZ7" s="50">
        <v>0.0</v>
      </c>
      <c r="BA7" s="43" t="s">
        <v>89</v>
      </c>
      <c r="BB7" s="50">
        <v>0.0</v>
      </c>
      <c r="BC7" s="95"/>
      <c r="BD7" s="71"/>
      <c r="BE7" s="71"/>
      <c r="BF7" s="72" t="s">
        <v>160</v>
      </c>
      <c r="BG7" s="73"/>
      <c r="BH7" s="73"/>
      <c r="BI7" s="73"/>
      <c r="BJ7" s="73"/>
      <c r="BK7" s="73"/>
      <c r="BL7" s="73"/>
      <c r="BM7" s="73"/>
      <c r="BN7" s="73"/>
      <c r="BO7" s="73"/>
      <c r="BP7" s="73"/>
      <c r="BQ7" s="73"/>
      <c r="BR7" s="73"/>
      <c r="BS7" s="73"/>
      <c r="BT7" s="73"/>
      <c r="BU7" s="73"/>
      <c r="BV7" s="73"/>
      <c r="BW7" s="74"/>
      <c r="BX7" s="74"/>
      <c r="BY7" s="63"/>
      <c r="BZ7" s="63"/>
    </row>
    <row r="8" ht="15.75" customHeight="1">
      <c r="A8" s="75" t="s">
        <v>161</v>
      </c>
      <c r="B8" s="50" t="s">
        <v>152</v>
      </c>
      <c r="C8" s="50" t="s">
        <v>128</v>
      </c>
      <c r="D8" s="50"/>
      <c r="E8" s="64" t="s">
        <v>153</v>
      </c>
      <c r="F8" s="78">
        <v>7.5E8</v>
      </c>
      <c r="G8" s="44" t="str">
        <f t="shared" si="1"/>
        <v>$500'000.000 a $1.000'000.000</v>
      </c>
      <c r="H8" s="44"/>
      <c r="I8" s="44"/>
      <c r="J8" s="50" t="s">
        <v>94</v>
      </c>
      <c r="K8" s="51"/>
      <c r="L8" s="50">
        <v>3.0</v>
      </c>
      <c r="M8" s="50"/>
      <c r="N8" s="50">
        <v>4.0</v>
      </c>
      <c r="O8" s="50">
        <v>2.0</v>
      </c>
      <c r="P8" s="50">
        <v>1.0</v>
      </c>
      <c r="Q8" s="88">
        <v>174.0</v>
      </c>
      <c r="R8" s="88">
        <v>220.0</v>
      </c>
      <c r="S8" s="56" t="str">
        <f t="shared" si="2"/>
        <v> </v>
      </c>
      <c r="T8" s="50" t="s">
        <v>78</v>
      </c>
      <c r="U8" s="51" t="s">
        <v>154</v>
      </c>
      <c r="V8" s="50" t="s">
        <v>79</v>
      </c>
      <c r="W8" s="50"/>
      <c r="X8" s="50">
        <v>3.0</v>
      </c>
      <c r="Y8" s="50" t="s">
        <v>97</v>
      </c>
      <c r="Z8" s="58">
        <v>605000.0</v>
      </c>
      <c r="AA8" s="59" t="str">
        <f>IF(Rentabilidad=0,"No aplica",TEXT(ROUND(Precio/Rentabilidad/12,0),0) &amp; " años")</f>
        <v>No aplica</v>
      </c>
      <c r="AB8" s="100" t="s">
        <v>162</v>
      </c>
      <c r="AC8" s="83" t="s">
        <v>167</v>
      </c>
      <c r="AD8" s="83" t="s">
        <v>168</v>
      </c>
      <c r="AE8" s="63"/>
      <c r="AF8" s="64" t="s">
        <v>105</v>
      </c>
      <c r="AG8" s="65" t="s">
        <v>106</v>
      </c>
      <c r="AH8" s="63"/>
      <c r="AI8" s="65" t="s">
        <v>107</v>
      </c>
      <c r="AJ8" s="64" t="s">
        <v>124</v>
      </c>
      <c r="AK8" s="50" t="s">
        <v>81</v>
      </c>
      <c r="AL8" s="45" t="s">
        <v>109</v>
      </c>
      <c r="AM8" s="52">
        <v>3.133523454E9</v>
      </c>
      <c r="AN8" s="45">
        <v>0.0</v>
      </c>
      <c r="AO8" s="93"/>
      <c r="AP8" s="67"/>
      <c r="AQ8" s="67"/>
      <c r="AR8" s="67"/>
      <c r="AS8" s="94">
        <v>0.0</v>
      </c>
      <c r="AT8" s="65" t="s">
        <v>88</v>
      </c>
      <c r="AU8" s="50" t="s">
        <v>106</v>
      </c>
      <c r="AV8" s="50" t="s">
        <v>106</v>
      </c>
      <c r="AW8" s="50" t="s">
        <v>88</v>
      </c>
      <c r="AX8" s="50">
        <v>0.0</v>
      </c>
      <c r="AY8" s="50" t="s">
        <v>106</v>
      </c>
      <c r="AZ8" s="50">
        <v>0.0</v>
      </c>
      <c r="BA8" s="43" t="s">
        <v>89</v>
      </c>
      <c r="BB8" s="50">
        <v>0.0</v>
      </c>
      <c r="BC8" s="95"/>
      <c r="BD8" s="71"/>
      <c r="BE8" s="71"/>
      <c r="BF8" s="72" t="s">
        <v>169</v>
      </c>
      <c r="BG8" s="73"/>
      <c r="BH8" s="73"/>
      <c r="BI8" s="73"/>
      <c r="BJ8" s="73"/>
      <c r="BK8" s="73"/>
      <c r="BL8" s="73"/>
      <c r="BM8" s="73"/>
      <c r="BN8" s="73"/>
      <c r="BO8" s="73"/>
      <c r="BP8" s="73"/>
      <c r="BQ8" s="73"/>
      <c r="BR8" s="73"/>
      <c r="BS8" s="73"/>
      <c r="BT8" s="73"/>
      <c r="BU8" s="73"/>
      <c r="BV8" s="73"/>
      <c r="BW8" s="74"/>
      <c r="BX8" s="74"/>
      <c r="BY8" s="63"/>
      <c r="BZ8" s="63"/>
    </row>
    <row r="9" ht="15.75" customHeight="1">
      <c r="A9" s="75" t="s">
        <v>170</v>
      </c>
      <c r="B9" s="50" t="s">
        <v>171</v>
      </c>
      <c r="C9" s="50" t="s">
        <v>128</v>
      </c>
      <c r="D9" s="50"/>
      <c r="E9" s="64" t="s">
        <v>172</v>
      </c>
      <c r="F9" s="78">
        <v>5.6E8</v>
      </c>
      <c r="G9" s="44" t="str">
        <f t="shared" si="1"/>
        <v>$500'000.000 a $1.000'000.000</v>
      </c>
      <c r="H9" s="44"/>
      <c r="I9" s="44"/>
      <c r="J9" s="50" t="s">
        <v>116</v>
      </c>
      <c r="K9" s="51"/>
      <c r="L9" s="50">
        <v>3.0</v>
      </c>
      <c r="M9" s="50"/>
      <c r="N9" s="50">
        <v>3.0</v>
      </c>
      <c r="O9" s="50">
        <v>2.0</v>
      </c>
      <c r="P9" s="50">
        <v>2.0</v>
      </c>
      <c r="Q9" s="88">
        <v>180.0</v>
      </c>
      <c r="R9" s="88">
        <v>85.0</v>
      </c>
      <c r="S9" s="56" t="str">
        <f t="shared" si="2"/>
        <v> </v>
      </c>
      <c r="T9" s="50" t="s">
        <v>78</v>
      </c>
      <c r="U9" s="51" t="s">
        <v>154</v>
      </c>
      <c r="V9" s="50" t="s">
        <v>79</v>
      </c>
      <c r="W9" s="50"/>
      <c r="X9" s="50">
        <v>3.0</v>
      </c>
      <c r="Y9" s="50" t="s">
        <v>130</v>
      </c>
      <c r="Z9" s="58">
        <v>700000.0</v>
      </c>
      <c r="AA9" s="59" t="str">
        <f>IF(Rentabilidad=0,"No aplica",TEXT(ROUND(Precio/Rentabilidad/12,0),0) &amp; " años")</f>
        <v>No aplica</v>
      </c>
      <c r="AB9" s="82" t="s">
        <v>173</v>
      </c>
      <c r="AC9" s="83" t="s">
        <v>174</v>
      </c>
      <c r="AD9" s="83" t="s">
        <v>175</v>
      </c>
      <c r="AE9" s="63"/>
      <c r="AF9" s="64" t="s">
        <v>105</v>
      </c>
      <c r="AG9" s="65" t="s">
        <v>106</v>
      </c>
      <c r="AH9" s="63"/>
      <c r="AI9" s="65" t="s">
        <v>107</v>
      </c>
      <c r="AJ9" s="64" t="s">
        <v>124</v>
      </c>
      <c r="AK9" s="50" t="s">
        <v>81</v>
      </c>
      <c r="AL9" s="45" t="s">
        <v>109</v>
      </c>
      <c r="AM9" s="52">
        <v>3.133523454E9</v>
      </c>
      <c r="AN9" s="45">
        <v>0.0</v>
      </c>
      <c r="AO9" s="93"/>
      <c r="AP9" s="67"/>
      <c r="AQ9" s="67"/>
      <c r="AR9" s="67"/>
      <c r="AS9" s="94">
        <v>0.0</v>
      </c>
      <c r="AT9" s="65" t="s">
        <v>88</v>
      </c>
      <c r="AU9" s="50">
        <v>0.0</v>
      </c>
      <c r="AV9" s="50" t="s">
        <v>106</v>
      </c>
      <c r="AW9" s="50" t="s">
        <v>88</v>
      </c>
      <c r="AX9" s="50">
        <v>0.0</v>
      </c>
      <c r="AY9" s="50">
        <v>0.0</v>
      </c>
      <c r="AZ9" s="50">
        <v>0.0</v>
      </c>
      <c r="BA9" s="43" t="s">
        <v>89</v>
      </c>
      <c r="BB9" s="50">
        <v>0.0</v>
      </c>
      <c r="BC9" s="95"/>
      <c r="BD9" s="71"/>
      <c r="BE9" s="71"/>
      <c r="BF9" s="72" t="s">
        <v>176</v>
      </c>
      <c r="BG9" s="73"/>
      <c r="BH9" s="73"/>
      <c r="BI9" s="73"/>
      <c r="BJ9" s="73"/>
      <c r="BK9" s="73"/>
      <c r="BL9" s="73"/>
      <c r="BM9" s="73"/>
      <c r="BN9" s="73"/>
      <c r="BO9" s="73"/>
      <c r="BP9" s="73"/>
      <c r="BQ9" s="73"/>
      <c r="BR9" s="73"/>
      <c r="BS9" s="73"/>
      <c r="BT9" s="73"/>
      <c r="BU9" s="73"/>
      <c r="BV9" s="73"/>
      <c r="BW9" s="74"/>
      <c r="BX9" s="74"/>
      <c r="BY9" s="63"/>
      <c r="BZ9" s="63"/>
    </row>
    <row r="10" ht="15.75" customHeight="1">
      <c r="A10" s="75" t="s">
        <v>179</v>
      </c>
      <c r="B10" s="50" t="s">
        <v>181</v>
      </c>
      <c r="C10" s="50" t="s">
        <v>70</v>
      </c>
      <c r="D10" s="50" t="s">
        <v>182</v>
      </c>
      <c r="E10" s="64"/>
      <c r="F10" s="78">
        <v>4.0E8</v>
      </c>
      <c r="G10" s="44" t="str">
        <f t="shared" si="1"/>
        <v>$400'000.000 a $500'000.000</v>
      </c>
      <c r="H10" s="44"/>
      <c r="I10" s="44"/>
      <c r="J10" s="50" t="s">
        <v>183</v>
      </c>
      <c r="K10" s="51" t="s">
        <v>184</v>
      </c>
      <c r="L10" s="50">
        <v>3.0</v>
      </c>
      <c r="M10" s="50"/>
      <c r="N10" s="50">
        <v>4.0</v>
      </c>
      <c r="O10" s="50">
        <v>3.0</v>
      </c>
      <c r="P10" s="50">
        <v>2.0</v>
      </c>
      <c r="Q10" s="88">
        <v>260.0</v>
      </c>
      <c r="R10" s="88">
        <v>110.0</v>
      </c>
      <c r="S10" s="56" t="str">
        <f t="shared" si="2"/>
        <v> </v>
      </c>
      <c r="T10" s="50" t="s">
        <v>78</v>
      </c>
      <c r="U10" s="51" t="s">
        <v>77</v>
      </c>
      <c r="V10" s="50" t="s">
        <v>118</v>
      </c>
      <c r="W10" s="50"/>
      <c r="X10" s="50">
        <v>3.0</v>
      </c>
      <c r="Y10" s="50" t="s">
        <v>80</v>
      </c>
      <c r="Z10" s="58" t="s">
        <v>81</v>
      </c>
      <c r="AA10" s="59" t="str">
        <f>IF(Rentabilidad=0,"No aplica",TEXT(ROUND(Precio/Rentabilidad/12,0),0) &amp; " años")</f>
        <v>No aplica</v>
      </c>
      <c r="AB10" s="82" t="s">
        <v>185</v>
      </c>
      <c r="AC10" s="102" t="s">
        <v>186</v>
      </c>
      <c r="AD10" s="103" t="s">
        <v>187</v>
      </c>
      <c r="AE10" s="63"/>
      <c r="AF10" s="64" t="s">
        <v>105</v>
      </c>
      <c r="AG10" s="65"/>
      <c r="AH10" s="63"/>
      <c r="AI10" s="65" t="s">
        <v>107</v>
      </c>
      <c r="AJ10" s="64" t="s">
        <v>124</v>
      </c>
      <c r="AK10" s="50" t="s">
        <v>81</v>
      </c>
      <c r="AL10" s="45" t="s">
        <v>109</v>
      </c>
      <c r="AM10" s="50">
        <v>3.133523454E9</v>
      </c>
      <c r="AN10" s="64">
        <v>0.0</v>
      </c>
      <c r="AO10" s="43">
        <v>0.0</v>
      </c>
      <c r="AP10" s="84">
        <v>0.0</v>
      </c>
      <c r="AQ10" s="84"/>
      <c r="AR10" s="84"/>
      <c r="AS10" s="85">
        <v>0.0</v>
      </c>
      <c r="AT10" s="50" t="s">
        <v>88</v>
      </c>
      <c r="AU10" s="50">
        <v>0.0</v>
      </c>
      <c r="AV10" s="50" t="s">
        <v>106</v>
      </c>
      <c r="AW10" s="50" t="s">
        <v>88</v>
      </c>
      <c r="AX10" s="50">
        <v>0.0</v>
      </c>
      <c r="AY10" s="50">
        <v>0.0</v>
      </c>
      <c r="AZ10" s="50">
        <v>0.0</v>
      </c>
      <c r="BA10" s="43" t="s">
        <v>89</v>
      </c>
      <c r="BB10" s="50">
        <v>0.0</v>
      </c>
      <c r="BC10" s="95"/>
      <c r="BD10" s="71"/>
      <c r="BE10" s="71"/>
      <c r="BF10" s="72" t="s">
        <v>188</v>
      </c>
      <c r="BG10" s="73"/>
      <c r="BH10" s="73"/>
      <c r="BI10" s="73"/>
      <c r="BJ10" s="73"/>
      <c r="BK10" s="73"/>
      <c r="BL10" s="73"/>
      <c r="BM10" s="73"/>
      <c r="BN10" s="73"/>
      <c r="BO10" s="73"/>
      <c r="BP10" s="73"/>
      <c r="BQ10" s="73"/>
      <c r="BR10" s="73"/>
      <c r="BS10" s="73"/>
      <c r="BT10" s="73"/>
      <c r="BU10" s="73"/>
      <c r="BV10" s="73"/>
      <c r="BW10" s="74"/>
      <c r="BX10" s="74"/>
      <c r="BY10" s="63"/>
      <c r="BZ10" s="63"/>
    </row>
    <row r="11" ht="15.75" customHeight="1">
      <c r="A11" s="75" t="s">
        <v>189</v>
      </c>
      <c r="B11" s="50" t="s">
        <v>190</v>
      </c>
      <c r="C11" s="50" t="s">
        <v>70</v>
      </c>
      <c r="D11" s="50" t="s">
        <v>191</v>
      </c>
      <c r="E11" s="64"/>
      <c r="F11" s="78">
        <v>3.9E8</v>
      </c>
      <c r="G11" s="44" t="str">
        <f t="shared" si="1"/>
        <v>$300'000.000 a $400'000.000</v>
      </c>
      <c r="H11" s="44"/>
      <c r="I11" s="44"/>
      <c r="J11" s="50" t="s">
        <v>116</v>
      </c>
      <c r="K11" s="51" t="s">
        <v>192</v>
      </c>
      <c r="L11" s="50">
        <v>3.0</v>
      </c>
      <c r="M11" s="50"/>
      <c r="N11" s="50">
        <v>3.0</v>
      </c>
      <c r="O11" s="50">
        <v>1.0</v>
      </c>
      <c r="P11" s="50">
        <v>2.0</v>
      </c>
      <c r="Q11" s="88">
        <v>150.0</v>
      </c>
      <c r="R11" s="88">
        <v>84.0</v>
      </c>
      <c r="S11" s="56" t="str">
        <f t="shared" si="2"/>
        <v> </v>
      </c>
      <c r="T11" s="50" t="s">
        <v>78</v>
      </c>
      <c r="U11" s="51" t="s">
        <v>142</v>
      </c>
      <c r="V11" s="50" t="s">
        <v>79</v>
      </c>
      <c r="W11" s="50"/>
      <c r="X11" s="50">
        <v>3.0</v>
      </c>
      <c r="Y11" s="50" t="s">
        <v>80</v>
      </c>
      <c r="Z11" s="58" t="s">
        <v>81</v>
      </c>
      <c r="AA11" s="59" t="str">
        <f>IF(Rentabilidad=0,"No aplica",TEXT(ROUND(Precio/Rentabilidad/12,0),0) &amp; " años")</f>
        <v>No aplica</v>
      </c>
      <c r="AB11" s="82" t="s">
        <v>194</v>
      </c>
      <c r="AC11" s="83" t="s">
        <v>198</v>
      </c>
      <c r="AD11" s="83" t="s">
        <v>199</v>
      </c>
      <c r="AE11" s="63"/>
      <c r="AF11" s="64" t="s">
        <v>105</v>
      </c>
      <c r="AG11" s="65" t="s">
        <v>106</v>
      </c>
      <c r="AH11" s="63"/>
      <c r="AI11" s="65" t="s">
        <v>107</v>
      </c>
      <c r="AJ11" s="64" t="s">
        <v>124</v>
      </c>
      <c r="AK11" s="50" t="s">
        <v>81</v>
      </c>
      <c r="AL11" s="45" t="s">
        <v>109</v>
      </c>
      <c r="AM11" s="52">
        <v>3.133523454E9</v>
      </c>
      <c r="AN11" s="45">
        <v>0.0</v>
      </c>
      <c r="AO11" s="93"/>
      <c r="AP11" s="67"/>
      <c r="AQ11" s="67"/>
      <c r="AR11" s="67"/>
      <c r="AS11" s="94">
        <v>0.0</v>
      </c>
      <c r="AT11" s="65" t="s">
        <v>88</v>
      </c>
      <c r="AU11" s="50" t="s">
        <v>106</v>
      </c>
      <c r="AV11" s="50" t="s">
        <v>106</v>
      </c>
      <c r="AW11" s="50" t="s">
        <v>106</v>
      </c>
      <c r="AX11" s="50">
        <v>0.0</v>
      </c>
      <c r="AY11" s="50" t="s">
        <v>106</v>
      </c>
      <c r="AZ11" s="50">
        <v>0.0</v>
      </c>
      <c r="BA11" s="43" t="s">
        <v>89</v>
      </c>
      <c r="BB11" s="50">
        <v>0.0</v>
      </c>
      <c r="BC11" s="95"/>
      <c r="BD11" s="71"/>
      <c r="BE11" s="71"/>
      <c r="BF11" s="72" t="s">
        <v>200</v>
      </c>
      <c r="BG11" s="73"/>
      <c r="BH11" s="73"/>
      <c r="BI11" s="73"/>
      <c r="BJ11" s="73"/>
      <c r="BK11" s="73"/>
      <c r="BL11" s="73"/>
      <c r="BM11" s="73"/>
      <c r="BN11" s="73"/>
      <c r="BO11" s="73"/>
      <c r="BP11" s="73"/>
      <c r="BQ11" s="73"/>
      <c r="BR11" s="73"/>
      <c r="BS11" s="73"/>
      <c r="BT11" s="73"/>
      <c r="BU11" s="73"/>
      <c r="BV11" s="73"/>
      <c r="BW11" s="74"/>
      <c r="BX11" s="74"/>
      <c r="BY11" s="63"/>
      <c r="BZ11" s="63"/>
    </row>
    <row r="12" ht="15.75" customHeight="1">
      <c r="A12" s="75" t="s">
        <v>201</v>
      </c>
      <c r="B12" s="50" t="s">
        <v>190</v>
      </c>
      <c r="C12" s="50" t="s">
        <v>70</v>
      </c>
      <c r="D12" s="50" t="s">
        <v>191</v>
      </c>
      <c r="E12" s="64"/>
      <c r="F12" s="78">
        <v>3.9E8</v>
      </c>
      <c r="G12" s="44" t="str">
        <f t="shared" si="1"/>
        <v>$300'000.000 a $400'000.000</v>
      </c>
      <c r="H12" s="44"/>
      <c r="I12" s="44"/>
      <c r="J12" s="50" t="s">
        <v>116</v>
      </c>
      <c r="K12" s="51" t="s">
        <v>192</v>
      </c>
      <c r="L12" s="50">
        <v>4.0</v>
      </c>
      <c r="M12" s="50"/>
      <c r="N12" s="50">
        <v>3.0</v>
      </c>
      <c r="O12" s="50">
        <v>3.0</v>
      </c>
      <c r="P12" s="50">
        <v>2.0</v>
      </c>
      <c r="Q12" s="88">
        <v>157.0</v>
      </c>
      <c r="R12" s="88">
        <v>75.0</v>
      </c>
      <c r="S12" s="56" t="str">
        <f t="shared" si="2"/>
        <v> </v>
      </c>
      <c r="T12" s="50" t="s">
        <v>78</v>
      </c>
      <c r="U12" s="51" t="s">
        <v>142</v>
      </c>
      <c r="V12" s="50" t="s">
        <v>79</v>
      </c>
      <c r="W12" s="50"/>
      <c r="X12" s="50">
        <v>4.0</v>
      </c>
      <c r="Y12" s="50" t="s">
        <v>80</v>
      </c>
      <c r="Z12" s="58" t="s">
        <v>81</v>
      </c>
      <c r="AA12" s="59" t="str">
        <f>IF(Rentabilidad=0,"No aplica",TEXT(ROUND(Precio/Rentabilidad/12,0),0) &amp; " años")</f>
        <v>No aplica</v>
      </c>
      <c r="AB12" s="82" t="s">
        <v>202</v>
      </c>
      <c r="AC12" s="83" t="s">
        <v>203</v>
      </c>
      <c r="AD12" s="83" t="s">
        <v>204</v>
      </c>
      <c r="AE12" s="63"/>
      <c r="AF12" s="64" t="s">
        <v>105</v>
      </c>
      <c r="AG12" s="65" t="s">
        <v>106</v>
      </c>
      <c r="AH12" s="63"/>
      <c r="AI12" s="65" t="s">
        <v>107</v>
      </c>
      <c r="AJ12" s="64" t="s">
        <v>124</v>
      </c>
      <c r="AK12" s="50" t="s">
        <v>81</v>
      </c>
      <c r="AL12" s="45" t="s">
        <v>109</v>
      </c>
      <c r="AM12" s="52">
        <v>3.133523454E9</v>
      </c>
      <c r="AN12" s="45">
        <v>0.0</v>
      </c>
      <c r="AO12" s="93"/>
      <c r="AP12" s="67"/>
      <c r="AQ12" s="67"/>
      <c r="AR12" s="67"/>
      <c r="AS12" s="94">
        <v>0.0</v>
      </c>
      <c r="AT12" s="65" t="s">
        <v>88</v>
      </c>
      <c r="AU12" s="50">
        <v>0.0</v>
      </c>
      <c r="AV12" s="50" t="s">
        <v>106</v>
      </c>
      <c r="AW12" s="50" t="s">
        <v>106</v>
      </c>
      <c r="AX12" s="50">
        <v>0.0</v>
      </c>
      <c r="AY12" s="50">
        <v>0.0</v>
      </c>
      <c r="AZ12" s="50">
        <v>0.0</v>
      </c>
      <c r="BA12" s="43" t="s">
        <v>89</v>
      </c>
      <c r="BB12" s="50">
        <v>0.0</v>
      </c>
      <c r="BC12" s="95"/>
      <c r="BD12" s="71"/>
      <c r="BE12" s="71"/>
      <c r="BF12" s="72" t="s">
        <v>209</v>
      </c>
      <c r="BG12" s="73"/>
      <c r="BH12" s="73"/>
      <c r="BI12" s="73"/>
      <c r="BJ12" s="73"/>
      <c r="BK12" s="73"/>
      <c r="BL12" s="73"/>
      <c r="BM12" s="73"/>
      <c r="BN12" s="73"/>
      <c r="BO12" s="73"/>
      <c r="BP12" s="73"/>
      <c r="BQ12" s="73"/>
      <c r="BR12" s="73"/>
      <c r="BS12" s="73"/>
      <c r="BT12" s="73"/>
      <c r="BU12" s="73"/>
      <c r="BV12" s="73"/>
      <c r="BW12" s="74"/>
      <c r="BX12" s="74"/>
      <c r="BY12" s="63"/>
      <c r="BZ12" s="63"/>
    </row>
    <row r="13" ht="15.75" customHeight="1">
      <c r="A13" s="75" t="s">
        <v>210</v>
      </c>
      <c r="B13" s="50" t="s">
        <v>211</v>
      </c>
      <c r="C13" s="50" t="s">
        <v>70</v>
      </c>
      <c r="D13" s="50" t="s">
        <v>212</v>
      </c>
      <c r="E13" s="64"/>
      <c r="F13" s="78">
        <v>3.9E8</v>
      </c>
      <c r="G13" s="44" t="str">
        <f t="shared" si="1"/>
        <v>$300'000.000 a $400'000.000</v>
      </c>
      <c r="H13" s="44"/>
      <c r="I13" s="44"/>
      <c r="J13" s="50" t="s">
        <v>116</v>
      </c>
      <c r="K13" s="51" t="s">
        <v>192</v>
      </c>
      <c r="L13" s="50">
        <v>4.0</v>
      </c>
      <c r="M13" s="50"/>
      <c r="N13" s="50">
        <v>3.0</v>
      </c>
      <c r="O13" s="50">
        <v>1.0</v>
      </c>
      <c r="P13" s="50">
        <v>2.0</v>
      </c>
      <c r="Q13" s="88">
        <v>240.0</v>
      </c>
      <c r="R13" s="88">
        <v>103.0</v>
      </c>
      <c r="S13" s="56" t="str">
        <f t="shared" si="2"/>
        <v> </v>
      </c>
      <c r="T13" s="50" t="s">
        <v>78</v>
      </c>
      <c r="U13" s="51" t="s">
        <v>142</v>
      </c>
      <c r="V13" s="50" t="s">
        <v>79</v>
      </c>
      <c r="W13" s="50"/>
      <c r="X13" s="50">
        <v>4.0</v>
      </c>
      <c r="Y13" s="50" t="s">
        <v>80</v>
      </c>
      <c r="Z13" s="58" t="s">
        <v>81</v>
      </c>
      <c r="AA13" s="59" t="str">
        <f>IF(Rentabilidad=0,"No aplica",TEXT(ROUND(Precio/Rentabilidad/12,0),0) &amp; " años")</f>
        <v>No aplica</v>
      </c>
      <c r="AB13" s="82" t="s">
        <v>213</v>
      </c>
      <c r="AC13" s="83" t="s">
        <v>214</v>
      </c>
      <c r="AD13" s="83" t="s">
        <v>215</v>
      </c>
      <c r="AE13" s="63"/>
      <c r="AF13" s="64" t="s">
        <v>105</v>
      </c>
      <c r="AG13" s="65" t="s">
        <v>106</v>
      </c>
      <c r="AH13" s="63"/>
      <c r="AI13" s="65" t="s">
        <v>107</v>
      </c>
      <c r="AJ13" s="64" t="s">
        <v>124</v>
      </c>
      <c r="AK13" s="50" t="s">
        <v>81</v>
      </c>
      <c r="AL13" s="45" t="s">
        <v>109</v>
      </c>
      <c r="AM13" s="52">
        <v>3.133523454E9</v>
      </c>
      <c r="AN13" s="45">
        <v>0.0</v>
      </c>
      <c r="AO13" s="93"/>
      <c r="AP13" s="67"/>
      <c r="AQ13" s="67"/>
      <c r="AR13" s="67"/>
      <c r="AS13" s="94">
        <v>0.0</v>
      </c>
      <c r="AT13" s="65" t="s">
        <v>88</v>
      </c>
      <c r="AU13" s="50">
        <v>0.0</v>
      </c>
      <c r="AV13" s="50">
        <v>0.0</v>
      </c>
      <c r="AW13" s="50" t="s">
        <v>106</v>
      </c>
      <c r="AX13" s="50">
        <v>0.0</v>
      </c>
      <c r="AY13" s="50">
        <v>0.0</v>
      </c>
      <c r="AZ13" s="50">
        <v>0.0</v>
      </c>
      <c r="BA13" s="43" t="s">
        <v>89</v>
      </c>
      <c r="BB13" s="50">
        <v>0.0</v>
      </c>
      <c r="BC13" s="95"/>
      <c r="BD13" s="71"/>
      <c r="BE13" s="71"/>
      <c r="BF13" s="72" t="s">
        <v>216</v>
      </c>
      <c r="BG13" s="73"/>
      <c r="BH13" s="73"/>
      <c r="BI13" s="73"/>
      <c r="BJ13" s="73"/>
      <c r="BK13" s="73"/>
      <c r="BL13" s="73"/>
      <c r="BM13" s="73"/>
      <c r="BN13" s="73"/>
      <c r="BO13" s="73"/>
      <c r="BP13" s="73"/>
      <c r="BQ13" s="73"/>
      <c r="BR13" s="73"/>
      <c r="BS13" s="73"/>
      <c r="BT13" s="73"/>
      <c r="BU13" s="73"/>
      <c r="BV13" s="73"/>
      <c r="BW13" s="74"/>
      <c r="BX13" s="74"/>
      <c r="BY13" s="63"/>
      <c r="BZ13" s="63"/>
    </row>
    <row r="14" ht="15.75" customHeight="1">
      <c r="A14" s="75" t="s">
        <v>217</v>
      </c>
      <c r="B14" s="50" t="s">
        <v>218</v>
      </c>
      <c r="C14" s="50" t="s">
        <v>128</v>
      </c>
      <c r="D14" s="50"/>
      <c r="E14" s="64" t="s">
        <v>219</v>
      </c>
      <c r="F14" s="78">
        <v>3.7E8</v>
      </c>
      <c r="G14" s="44" t="str">
        <f t="shared" si="1"/>
        <v>$300'000.000 a $400'000.000</v>
      </c>
      <c r="H14" s="44"/>
      <c r="I14" s="44"/>
      <c r="J14" s="50" t="s">
        <v>116</v>
      </c>
      <c r="K14" s="51"/>
      <c r="L14" s="50">
        <v>4.0</v>
      </c>
      <c r="M14" s="50"/>
      <c r="N14" s="50">
        <v>2.0</v>
      </c>
      <c r="O14" s="50">
        <v>1.0</v>
      </c>
      <c r="P14" s="50">
        <v>2.0</v>
      </c>
      <c r="Q14" s="88">
        <v>165.0</v>
      </c>
      <c r="R14" s="88">
        <v>91.0</v>
      </c>
      <c r="S14" s="56" t="str">
        <f t="shared" si="2"/>
        <v> </v>
      </c>
      <c r="T14" s="50" t="s">
        <v>78</v>
      </c>
      <c r="U14" s="51" t="s">
        <v>184</v>
      </c>
      <c r="V14" s="50" t="s">
        <v>79</v>
      </c>
      <c r="W14" s="50"/>
      <c r="X14" s="50">
        <v>3.0</v>
      </c>
      <c r="Y14" s="50" t="s">
        <v>130</v>
      </c>
      <c r="Z14" s="58">
        <v>260000.0</v>
      </c>
      <c r="AA14" s="59" t="str">
        <f>IF(Rentabilidad=0,"No aplica",TEXT(ROUND(Precio/Rentabilidad/12,0),0) &amp; " años")</f>
        <v>No aplica</v>
      </c>
      <c r="AB14" s="82" t="s">
        <v>220</v>
      </c>
      <c r="AC14" s="83" t="s">
        <v>221</v>
      </c>
      <c r="AD14" s="83" t="s">
        <v>222</v>
      </c>
      <c r="AE14" s="63"/>
      <c r="AF14" s="64" t="s">
        <v>105</v>
      </c>
      <c r="AG14" s="65" t="s">
        <v>106</v>
      </c>
      <c r="AH14" s="63"/>
      <c r="AI14" s="65" t="s">
        <v>107</v>
      </c>
      <c r="AJ14" s="64" t="s">
        <v>124</v>
      </c>
      <c r="AK14" s="50" t="s">
        <v>81</v>
      </c>
      <c r="AL14" s="45" t="s">
        <v>109</v>
      </c>
      <c r="AM14" s="52">
        <v>3.133523454E9</v>
      </c>
      <c r="AN14" s="45">
        <v>0.0</v>
      </c>
      <c r="AO14" s="93"/>
      <c r="AP14" s="67"/>
      <c r="AQ14" s="67"/>
      <c r="AR14" s="67"/>
      <c r="AS14" s="94">
        <v>0.0</v>
      </c>
      <c r="AT14" s="65" t="s">
        <v>88</v>
      </c>
      <c r="AU14" s="50">
        <v>0.0</v>
      </c>
      <c r="AV14" s="50" t="s">
        <v>106</v>
      </c>
      <c r="AW14" s="50" t="s">
        <v>88</v>
      </c>
      <c r="AX14" s="50">
        <v>0.0</v>
      </c>
      <c r="AY14" s="50">
        <v>0.0</v>
      </c>
      <c r="AZ14" s="50">
        <v>0.0</v>
      </c>
      <c r="BA14" s="43" t="s">
        <v>89</v>
      </c>
      <c r="BB14" s="50">
        <v>0.0</v>
      </c>
      <c r="BC14" s="95"/>
      <c r="BD14" s="71"/>
      <c r="BE14" s="71"/>
      <c r="BF14" s="72" t="s">
        <v>223</v>
      </c>
      <c r="BG14" s="73"/>
      <c r="BH14" s="73"/>
      <c r="BI14" s="73"/>
      <c r="BJ14" s="73"/>
      <c r="BK14" s="73"/>
      <c r="BL14" s="73"/>
      <c r="BM14" s="73"/>
      <c r="BN14" s="73"/>
      <c r="BO14" s="73"/>
      <c r="BP14" s="73"/>
      <c r="BQ14" s="73"/>
      <c r="BR14" s="73"/>
      <c r="BS14" s="73"/>
      <c r="BT14" s="73"/>
      <c r="BU14" s="73"/>
      <c r="BV14" s="73"/>
      <c r="BW14" s="74"/>
      <c r="BX14" s="74"/>
      <c r="BY14" s="63"/>
      <c r="BZ14" s="63"/>
    </row>
    <row r="15" ht="15.75" customHeight="1">
      <c r="A15" s="75" t="s">
        <v>224</v>
      </c>
      <c r="B15" s="50" t="s">
        <v>225</v>
      </c>
      <c r="C15" s="50" t="s">
        <v>70</v>
      </c>
      <c r="D15" s="50"/>
      <c r="E15" s="64"/>
      <c r="F15" s="78">
        <v>3.55E8</v>
      </c>
      <c r="G15" s="44" t="str">
        <f t="shared" si="1"/>
        <v>$300'000.000 a $400'000.000</v>
      </c>
      <c r="H15" s="44"/>
      <c r="I15" s="44"/>
      <c r="J15" s="50" t="s">
        <v>183</v>
      </c>
      <c r="K15" s="51"/>
      <c r="L15" s="50">
        <v>3.0</v>
      </c>
      <c r="M15" s="50"/>
      <c r="N15" s="50">
        <v>3.0</v>
      </c>
      <c r="O15" s="50">
        <v>2.0</v>
      </c>
      <c r="P15" s="50">
        <v>2.0</v>
      </c>
      <c r="Q15" s="88">
        <v>111.0</v>
      </c>
      <c r="R15" s="88">
        <v>93.0</v>
      </c>
      <c r="S15" s="56" t="str">
        <f t="shared" si="2"/>
        <v> </v>
      </c>
      <c r="T15" s="50" t="s">
        <v>78</v>
      </c>
      <c r="U15" s="51" t="s">
        <v>142</v>
      </c>
      <c r="V15" s="50" t="s">
        <v>79</v>
      </c>
      <c r="W15" s="50"/>
      <c r="X15" s="50">
        <v>3.0</v>
      </c>
      <c r="Y15" s="50" t="s">
        <v>80</v>
      </c>
      <c r="Z15" s="58" t="s">
        <v>81</v>
      </c>
      <c r="AA15" s="59" t="str">
        <f>IF(Rentabilidad=0,"No aplica",TEXT(ROUND(Precio/Rentabilidad/12,0),0) &amp; " años")</f>
        <v>No aplica</v>
      </c>
      <c r="AB15" s="82" t="s">
        <v>226</v>
      </c>
      <c r="AC15" s="83" t="s">
        <v>227</v>
      </c>
      <c r="AD15" s="83" t="s">
        <v>228</v>
      </c>
      <c r="AE15" s="63"/>
      <c r="AF15" s="64" t="s">
        <v>105</v>
      </c>
      <c r="AG15" s="65" t="s">
        <v>106</v>
      </c>
      <c r="AH15" s="63"/>
      <c r="AI15" s="65" t="s">
        <v>107</v>
      </c>
      <c r="AJ15" s="64" t="s">
        <v>124</v>
      </c>
      <c r="AK15" s="50" t="s">
        <v>81</v>
      </c>
      <c r="AL15" s="45" t="s">
        <v>109</v>
      </c>
      <c r="AM15" s="52">
        <v>3.133523454E9</v>
      </c>
      <c r="AN15" s="45">
        <v>0.0</v>
      </c>
      <c r="AO15" s="93"/>
      <c r="AP15" s="67"/>
      <c r="AQ15" s="67"/>
      <c r="AR15" s="67"/>
      <c r="AS15" s="94">
        <v>0.0</v>
      </c>
      <c r="AT15" s="65" t="s">
        <v>88</v>
      </c>
      <c r="AU15" s="50">
        <v>0.0</v>
      </c>
      <c r="AV15" s="50" t="s">
        <v>106</v>
      </c>
      <c r="AW15" s="50" t="s">
        <v>106</v>
      </c>
      <c r="AX15" s="50">
        <v>0.0</v>
      </c>
      <c r="AY15" s="50">
        <v>0.0</v>
      </c>
      <c r="AZ15" s="50">
        <v>0.0</v>
      </c>
      <c r="BA15" s="43" t="s">
        <v>89</v>
      </c>
      <c r="BB15" s="50">
        <v>0.0</v>
      </c>
      <c r="BC15" s="95"/>
      <c r="BD15" s="71"/>
      <c r="BE15" s="71"/>
      <c r="BF15" s="72" t="s">
        <v>229</v>
      </c>
      <c r="BG15" s="73"/>
      <c r="BH15" s="73"/>
      <c r="BI15" s="73"/>
      <c r="BJ15" s="73"/>
      <c r="BK15" s="73"/>
      <c r="BL15" s="73"/>
      <c r="BM15" s="73"/>
      <c r="BN15" s="73"/>
      <c r="BO15" s="73"/>
      <c r="BP15" s="73"/>
      <c r="BQ15" s="73"/>
      <c r="BR15" s="73"/>
      <c r="BS15" s="73"/>
      <c r="BT15" s="73"/>
      <c r="BU15" s="73"/>
      <c r="BV15" s="73"/>
      <c r="BW15" s="74"/>
      <c r="BX15" s="74"/>
      <c r="BY15" s="63"/>
      <c r="BZ15" s="63"/>
    </row>
    <row r="16" ht="15.75" customHeight="1">
      <c r="A16" s="75" t="s">
        <v>230</v>
      </c>
      <c r="B16" s="50" t="s">
        <v>231</v>
      </c>
      <c r="C16" s="50" t="s">
        <v>70</v>
      </c>
      <c r="D16" s="50" t="s">
        <v>232</v>
      </c>
      <c r="E16" s="64"/>
      <c r="F16" s="78">
        <v>3.5E8</v>
      </c>
      <c r="G16" s="44" t="str">
        <f t="shared" si="1"/>
        <v>$300'000.000 a $400'000.000</v>
      </c>
      <c r="H16" s="44"/>
      <c r="I16" s="44"/>
      <c r="J16" s="50" t="s">
        <v>116</v>
      </c>
      <c r="K16" s="51"/>
      <c r="L16" s="50">
        <v>3.0</v>
      </c>
      <c r="M16" s="50"/>
      <c r="N16" s="50">
        <v>3.0</v>
      </c>
      <c r="O16" s="50">
        <v>2.0</v>
      </c>
      <c r="P16" s="50">
        <v>2.0</v>
      </c>
      <c r="Q16" s="88">
        <v>0.0</v>
      </c>
      <c r="R16" s="89">
        <v>0.0</v>
      </c>
      <c r="S16" s="56" t="str">
        <f t="shared" si="2"/>
        <v> </v>
      </c>
      <c r="T16" s="50" t="s">
        <v>78</v>
      </c>
      <c r="U16" s="51" t="s">
        <v>142</v>
      </c>
      <c r="V16" s="50" t="s">
        <v>79</v>
      </c>
      <c r="W16" s="50"/>
      <c r="X16" s="50">
        <v>3.0</v>
      </c>
      <c r="Y16" s="50" t="s">
        <v>80</v>
      </c>
      <c r="Z16" s="80" t="s">
        <v>81</v>
      </c>
      <c r="AA16" s="59" t="str">
        <f>IF(Rentabilidad=0,"No aplica",TEXT(ROUND(Precio/Rentabilidad/12,0),0) &amp; " años")</f>
        <v>No aplica</v>
      </c>
      <c r="AB16" s="82" t="s">
        <v>233</v>
      </c>
      <c r="AC16" s="83" t="s">
        <v>234</v>
      </c>
      <c r="AD16" s="83" t="s">
        <v>235</v>
      </c>
      <c r="AE16" s="63"/>
      <c r="AF16" s="45" t="s">
        <v>236</v>
      </c>
      <c r="AG16" s="65" t="s">
        <v>106</v>
      </c>
      <c r="AH16" s="63"/>
      <c r="AI16" s="65" t="s">
        <v>107</v>
      </c>
      <c r="AJ16" s="64" t="s">
        <v>124</v>
      </c>
      <c r="AK16" s="50" t="s">
        <v>81</v>
      </c>
      <c r="AL16" s="45" t="s">
        <v>109</v>
      </c>
      <c r="AM16" s="50">
        <v>3.133523454E9</v>
      </c>
      <c r="AN16" s="64">
        <v>0.0</v>
      </c>
      <c r="AO16" s="52"/>
      <c r="AP16" s="67"/>
      <c r="AQ16" s="67"/>
      <c r="AR16" s="67"/>
      <c r="AS16" s="94">
        <v>0.0</v>
      </c>
      <c r="AT16" s="65">
        <v>0.0</v>
      </c>
      <c r="AU16" s="50" t="s">
        <v>106</v>
      </c>
      <c r="AV16" s="50">
        <v>0.0</v>
      </c>
      <c r="AW16" s="50" t="s">
        <v>88</v>
      </c>
      <c r="AX16" s="50">
        <v>0.0</v>
      </c>
      <c r="AY16" s="50" t="s">
        <v>137</v>
      </c>
      <c r="AZ16" s="50">
        <v>0.0</v>
      </c>
      <c r="BA16" s="43" t="s">
        <v>89</v>
      </c>
      <c r="BB16" s="50">
        <v>0.0</v>
      </c>
      <c r="BC16" s="95"/>
      <c r="BD16" s="71"/>
      <c r="BE16" s="71"/>
      <c r="BF16" s="72" t="s">
        <v>237</v>
      </c>
      <c r="BG16" s="73"/>
      <c r="BH16" s="73"/>
      <c r="BI16" s="73"/>
      <c r="BJ16" s="73"/>
      <c r="BK16" s="73"/>
      <c r="BL16" s="73"/>
      <c r="BM16" s="73"/>
      <c r="BN16" s="73"/>
      <c r="BO16" s="73"/>
      <c r="BP16" s="73"/>
      <c r="BQ16" s="73"/>
      <c r="BR16" s="73"/>
      <c r="BS16" s="73"/>
      <c r="BT16" s="73"/>
      <c r="BU16" s="73"/>
      <c r="BV16" s="73"/>
      <c r="BW16" s="74"/>
      <c r="BX16" s="74"/>
      <c r="BY16" s="63"/>
      <c r="BZ16" s="63"/>
    </row>
    <row r="17" ht="15.75" customHeight="1">
      <c r="A17" s="75" t="s">
        <v>238</v>
      </c>
      <c r="B17" s="50" t="s">
        <v>239</v>
      </c>
      <c r="C17" s="50" t="s">
        <v>70</v>
      </c>
      <c r="D17" s="50" t="s">
        <v>240</v>
      </c>
      <c r="E17" s="64"/>
      <c r="F17" s="78">
        <v>3.45E8</v>
      </c>
      <c r="G17" s="44" t="str">
        <f t="shared" si="1"/>
        <v>$300'000.000 a $400'000.000</v>
      </c>
      <c r="H17" s="44"/>
      <c r="I17" s="44"/>
      <c r="J17" s="50" t="s">
        <v>183</v>
      </c>
      <c r="K17" s="51" t="s">
        <v>241</v>
      </c>
      <c r="L17" s="50">
        <v>4.0</v>
      </c>
      <c r="M17" s="50"/>
      <c r="N17" s="50">
        <v>3.0</v>
      </c>
      <c r="O17" s="50">
        <v>1.0</v>
      </c>
      <c r="P17" s="50">
        <v>2.0</v>
      </c>
      <c r="Q17" s="88">
        <v>185.0</v>
      </c>
      <c r="R17" s="88">
        <v>94.0</v>
      </c>
      <c r="S17" s="56" t="str">
        <f t="shared" si="2"/>
        <v> </v>
      </c>
      <c r="T17" s="50" t="s">
        <v>78</v>
      </c>
      <c r="U17" s="51" t="s">
        <v>184</v>
      </c>
      <c r="V17" s="50" t="s">
        <v>79</v>
      </c>
      <c r="W17" s="50"/>
      <c r="X17" s="50">
        <v>3.0</v>
      </c>
      <c r="Y17" s="50" t="s">
        <v>80</v>
      </c>
      <c r="Z17" s="91"/>
      <c r="AA17" s="59" t="str">
        <f>IF(Rentabilidad=0,"No aplica",TEXT(ROUND(Precio/Rentabilidad/12,0),0) &amp; " años")</f>
        <v>No aplica</v>
      </c>
      <c r="AB17" s="82" t="s">
        <v>242</v>
      </c>
      <c r="AC17" s="106" t="s">
        <v>243</v>
      </c>
      <c r="AD17" s="107" t="s">
        <v>244</v>
      </c>
      <c r="AE17" s="63"/>
      <c r="AF17" s="64" t="s">
        <v>105</v>
      </c>
      <c r="AG17" s="65" t="s">
        <v>106</v>
      </c>
      <c r="AH17" s="63"/>
      <c r="AI17" s="65" t="s">
        <v>107</v>
      </c>
      <c r="AJ17" s="64" t="s">
        <v>124</v>
      </c>
      <c r="AK17" s="50" t="s">
        <v>81</v>
      </c>
      <c r="AL17" s="45" t="s">
        <v>109</v>
      </c>
      <c r="AM17" s="50">
        <v>3.133523454E9</v>
      </c>
      <c r="AN17" s="64">
        <v>0.0</v>
      </c>
      <c r="AO17" s="43" t="s">
        <v>245</v>
      </c>
      <c r="AP17" s="108" t="s">
        <v>246</v>
      </c>
      <c r="AQ17" s="108"/>
      <c r="AR17" s="108"/>
      <c r="AS17" s="94">
        <v>0.0</v>
      </c>
      <c r="AT17" s="65">
        <v>0.0</v>
      </c>
      <c r="AU17" s="50">
        <v>0.0</v>
      </c>
      <c r="AV17" s="50">
        <v>0.0</v>
      </c>
      <c r="AW17" s="50" t="s">
        <v>106</v>
      </c>
      <c r="AX17" s="50">
        <v>0.0</v>
      </c>
      <c r="AY17" s="50" t="s">
        <v>247</v>
      </c>
      <c r="AZ17" s="50">
        <v>0.0</v>
      </c>
      <c r="BA17" s="43" t="s">
        <v>89</v>
      </c>
      <c r="BB17" s="50">
        <v>0.0</v>
      </c>
      <c r="BC17" s="109"/>
      <c r="BD17" s="70"/>
      <c r="BE17" s="70"/>
      <c r="BF17" s="72" t="s">
        <v>248</v>
      </c>
      <c r="BG17" s="73"/>
      <c r="BH17" s="73"/>
      <c r="BI17" s="73"/>
      <c r="BJ17" s="73"/>
      <c r="BK17" s="73"/>
      <c r="BL17" s="73"/>
      <c r="BM17" s="73"/>
      <c r="BN17" s="73"/>
      <c r="BO17" s="73"/>
      <c r="BP17" s="73"/>
      <c r="BQ17" s="73"/>
      <c r="BR17" s="73"/>
      <c r="BS17" s="73"/>
      <c r="BT17" s="73"/>
      <c r="BU17" s="73"/>
      <c r="BV17" s="73"/>
      <c r="BW17" s="74"/>
      <c r="BX17" s="74"/>
      <c r="BY17" s="63"/>
      <c r="BZ17" s="63"/>
    </row>
    <row r="18" ht="15.75" customHeight="1">
      <c r="A18" s="75" t="s">
        <v>249</v>
      </c>
      <c r="B18" s="50" t="s">
        <v>211</v>
      </c>
      <c r="C18" s="50" t="s">
        <v>70</v>
      </c>
      <c r="D18" s="50" t="s">
        <v>250</v>
      </c>
      <c r="E18" s="64"/>
      <c r="F18" s="78">
        <v>3.4E8</v>
      </c>
      <c r="G18" s="44" t="str">
        <f t="shared" si="1"/>
        <v>$300'000.000 a $400'000.000</v>
      </c>
      <c r="H18" s="44"/>
      <c r="I18" s="44"/>
      <c r="J18" s="50" t="s">
        <v>116</v>
      </c>
      <c r="K18" s="51" t="s">
        <v>192</v>
      </c>
      <c r="L18" s="50">
        <v>3.0</v>
      </c>
      <c r="M18" s="50"/>
      <c r="N18" s="50">
        <v>3.0</v>
      </c>
      <c r="O18" s="50">
        <v>2.0</v>
      </c>
      <c r="P18" s="50">
        <v>2.0</v>
      </c>
      <c r="Q18" s="88">
        <v>160.0</v>
      </c>
      <c r="R18" s="88">
        <v>100.0</v>
      </c>
      <c r="S18" s="56" t="str">
        <f t="shared" si="2"/>
        <v> </v>
      </c>
      <c r="T18" s="50" t="s">
        <v>78</v>
      </c>
      <c r="U18" s="51" t="s">
        <v>142</v>
      </c>
      <c r="V18" s="50" t="s">
        <v>118</v>
      </c>
      <c r="W18" s="50"/>
      <c r="X18" s="50">
        <v>3.0</v>
      </c>
      <c r="Y18" s="50" t="s">
        <v>80</v>
      </c>
      <c r="Z18" s="58" t="s">
        <v>81</v>
      </c>
      <c r="AA18" s="59" t="str">
        <f>IF(Rentabilidad=0,"No aplica",TEXT(ROUND(Precio/Rentabilidad/12,0),0) &amp; " años")</f>
        <v>No aplica</v>
      </c>
      <c r="AB18" s="82" t="s">
        <v>251</v>
      </c>
      <c r="AC18" s="83" t="s">
        <v>252</v>
      </c>
      <c r="AD18" s="83" t="s">
        <v>253</v>
      </c>
      <c r="AE18" s="63"/>
      <c r="AF18" s="64" t="s">
        <v>105</v>
      </c>
      <c r="AG18" s="65" t="s">
        <v>106</v>
      </c>
      <c r="AH18" s="63"/>
      <c r="AI18" s="65" t="s">
        <v>107</v>
      </c>
      <c r="AJ18" s="64" t="s">
        <v>124</v>
      </c>
      <c r="AK18" s="50" t="s">
        <v>81</v>
      </c>
      <c r="AL18" s="45" t="s">
        <v>109</v>
      </c>
      <c r="AM18" s="52">
        <v>3.133523454E9</v>
      </c>
      <c r="AN18" s="45">
        <v>0.0</v>
      </c>
      <c r="AO18" s="93"/>
      <c r="AP18" s="67"/>
      <c r="AQ18" s="67"/>
      <c r="AR18" s="67"/>
      <c r="AS18" s="94">
        <v>0.0</v>
      </c>
      <c r="AT18" s="65" t="s">
        <v>88</v>
      </c>
      <c r="AU18" s="50">
        <v>0.0</v>
      </c>
      <c r="AV18" s="50">
        <v>0.0</v>
      </c>
      <c r="AW18" s="50" t="s">
        <v>106</v>
      </c>
      <c r="AX18" s="50">
        <v>0.0</v>
      </c>
      <c r="AY18" s="50">
        <v>0.0</v>
      </c>
      <c r="AZ18" s="50">
        <v>0.0</v>
      </c>
      <c r="BA18" s="43" t="s">
        <v>89</v>
      </c>
      <c r="BB18" s="50">
        <v>0.0</v>
      </c>
      <c r="BC18" s="95"/>
      <c r="BD18" s="71"/>
      <c r="BE18" s="71"/>
      <c r="BF18" s="72" t="s">
        <v>254</v>
      </c>
      <c r="BG18" s="73"/>
      <c r="BH18" s="73"/>
      <c r="BI18" s="73"/>
      <c r="BJ18" s="73"/>
      <c r="BK18" s="73"/>
      <c r="BL18" s="73"/>
      <c r="BM18" s="73"/>
      <c r="BN18" s="73"/>
      <c r="BO18" s="73"/>
      <c r="BP18" s="73"/>
      <c r="BQ18" s="73"/>
      <c r="BR18" s="73"/>
      <c r="BS18" s="73"/>
      <c r="BT18" s="73"/>
      <c r="BU18" s="73"/>
      <c r="BV18" s="73"/>
      <c r="BW18" s="74"/>
      <c r="BX18" s="74"/>
      <c r="BY18" s="63"/>
      <c r="BZ18" s="63"/>
    </row>
    <row r="19" ht="15.75" customHeight="1">
      <c r="A19" s="75" t="s">
        <v>255</v>
      </c>
      <c r="B19" s="50" t="s">
        <v>256</v>
      </c>
      <c r="C19" s="50" t="s">
        <v>70</v>
      </c>
      <c r="D19" s="50" t="s">
        <v>257</v>
      </c>
      <c r="E19" s="64"/>
      <c r="F19" s="78">
        <v>3.0E8</v>
      </c>
      <c r="G19" s="44" t="str">
        <f t="shared" si="1"/>
        <v>$300'000.000 a $400'000.000</v>
      </c>
      <c r="H19" s="44"/>
      <c r="I19" s="44"/>
      <c r="J19" s="50" t="s">
        <v>116</v>
      </c>
      <c r="K19" s="51"/>
      <c r="L19" s="50">
        <v>6.0</v>
      </c>
      <c r="M19" s="50"/>
      <c r="N19" s="50">
        <v>4.0</v>
      </c>
      <c r="O19" s="50">
        <v>2.0</v>
      </c>
      <c r="P19" s="50">
        <v>2.0</v>
      </c>
      <c r="Q19" s="88">
        <v>170.0</v>
      </c>
      <c r="R19" s="88">
        <v>98.0</v>
      </c>
      <c r="S19" s="56" t="str">
        <f t="shared" si="2"/>
        <v> </v>
      </c>
      <c r="T19" s="50" t="s">
        <v>78</v>
      </c>
      <c r="U19" s="51" t="s">
        <v>184</v>
      </c>
      <c r="V19" s="50" t="s">
        <v>118</v>
      </c>
      <c r="W19" s="50"/>
      <c r="X19" s="50">
        <v>4.0</v>
      </c>
      <c r="Y19" s="50" t="s">
        <v>80</v>
      </c>
      <c r="Z19" s="58" t="s">
        <v>81</v>
      </c>
      <c r="AA19" s="59" t="str">
        <f>IF(Rentabilidad=0,"No aplica",TEXT(ROUND(Precio/Rentabilidad/12,0),0) &amp; " años")</f>
        <v>No aplica</v>
      </c>
      <c r="AB19" s="82" t="s">
        <v>258</v>
      </c>
      <c r="AC19" s="83" t="s">
        <v>259</v>
      </c>
      <c r="AD19" s="83" t="s">
        <v>260</v>
      </c>
      <c r="AE19" s="63"/>
      <c r="AF19" s="64" t="s">
        <v>105</v>
      </c>
      <c r="AG19" s="65" t="s">
        <v>106</v>
      </c>
      <c r="AH19" s="63"/>
      <c r="AI19" s="65" t="s">
        <v>107</v>
      </c>
      <c r="AJ19" s="64" t="s">
        <v>124</v>
      </c>
      <c r="AK19" s="50" t="s">
        <v>81</v>
      </c>
      <c r="AL19" s="45" t="s">
        <v>109</v>
      </c>
      <c r="AM19" s="52">
        <v>3.133523454E9</v>
      </c>
      <c r="AN19" s="45">
        <v>0.0</v>
      </c>
      <c r="AO19" s="93"/>
      <c r="AP19" s="67"/>
      <c r="AQ19" s="67"/>
      <c r="AR19" s="67"/>
      <c r="AS19" s="94">
        <v>0.0</v>
      </c>
      <c r="AT19" s="65" t="s">
        <v>88</v>
      </c>
      <c r="AU19" s="50" t="s">
        <v>106</v>
      </c>
      <c r="AV19" s="50" t="s">
        <v>106</v>
      </c>
      <c r="AW19" s="50" t="s">
        <v>106</v>
      </c>
      <c r="AX19" s="50">
        <v>0.0</v>
      </c>
      <c r="AY19" s="50" t="s">
        <v>106</v>
      </c>
      <c r="AZ19" s="50">
        <v>0.0</v>
      </c>
      <c r="BA19" s="43" t="s">
        <v>89</v>
      </c>
      <c r="BB19" s="50">
        <v>0.0</v>
      </c>
      <c r="BC19" s="95"/>
      <c r="BD19" s="71"/>
      <c r="BE19" s="71"/>
      <c r="BF19" s="72" t="s">
        <v>261</v>
      </c>
      <c r="BG19" s="73"/>
      <c r="BH19" s="73"/>
      <c r="BI19" s="73"/>
      <c r="BJ19" s="73"/>
      <c r="BK19" s="73"/>
      <c r="BL19" s="73"/>
      <c r="BM19" s="73"/>
      <c r="BN19" s="73"/>
      <c r="BO19" s="73"/>
      <c r="BP19" s="73"/>
      <c r="BQ19" s="73"/>
      <c r="BR19" s="73"/>
      <c r="BS19" s="73"/>
      <c r="BT19" s="73"/>
      <c r="BU19" s="73"/>
      <c r="BV19" s="73"/>
      <c r="BW19" s="74"/>
      <c r="BX19" s="74"/>
      <c r="BY19" s="63"/>
      <c r="BZ19" s="63"/>
    </row>
    <row r="20" ht="15.75" customHeight="1">
      <c r="A20" s="75" t="s">
        <v>262</v>
      </c>
      <c r="B20" s="50" t="s">
        <v>263</v>
      </c>
      <c r="C20" s="50" t="s">
        <v>70</v>
      </c>
      <c r="D20" s="50" t="s">
        <v>264</v>
      </c>
      <c r="E20" s="64"/>
      <c r="F20" s="78">
        <v>3.0E8</v>
      </c>
      <c r="G20" s="44" t="str">
        <f t="shared" si="1"/>
        <v>$300'000.000 a $400'000.000</v>
      </c>
      <c r="H20" s="44"/>
      <c r="I20" s="44"/>
      <c r="J20" s="50" t="s">
        <v>116</v>
      </c>
      <c r="K20" s="51"/>
      <c r="L20" s="50">
        <v>3.0</v>
      </c>
      <c r="M20" s="50"/>
      <c r="N20" s="50">
        <v>3.0</v>
      </c>
      <c r="O20" s="50">
        <v>1.0</v>
      </c>
      <c r="P20" s="50">
        <v>2.0</v>
      </c>
      <c r="Q20" s="88">
        <v>160.0</v>
      </c>
      <c r="R20" s="88">
        <v>91.0</v>
      </c>
      <c r="S20" s="56" t="str">
        <f t="shared" si="2"/>
        <v> </v>
      </c>
      <c r="T20" s="50" t="s">
        <v>78</v>
      </c>
      <c r="U20" s="51" t="s">
        <v>184</v>
      </c>
      <c r="V20" s="50" t="s">
        <v>79</v>
      </c>
      <c r="W20" s="50"/>
      <c r="X20" s="50">
        <v>3.0</v>
      </c>
      <c r="Y20" s="50" t="s">
        <v>80</v>
      </c>
      <c r="Z20" s="58" t="s">
        <v>81</v>
      </c>
      <c r="AA20" s="59" t="str">
        <f>IF(Rentabilidad=0,"No aplica",TEXT(ROUND(Precio/Rentabilidad/12,0),0) &amp; " años")</f>
        <v>No aplica</v>
      </c>
      <c r="AB20" s="82" t="s">
        <v>265</v>
      </c>
      <c r="AC20" s="110" t="s">
        <v>266</v>
      </c>
      <c r="AD20" s="83" t="s">
        <v>267</v>
      </c>
      <c r="AE20" s="63"/>
      <c r="AF20" s="64" t="s">
        <v>105</v>
      </c>
      <c r="AG20" s="65" t="s">
        <v>106</v>
      </c>
      <c r="AH20" s="63"/>
      <c r="AI20" s="65" t="s">
        <v>107</v>
      </c>
      <c r="AJ20" s="64" t="s">
        <v>124</v>
      </c>
      <c r="AK20" s="50" t="s">
        <v>81</v>
      </c>
      <c r="AL20" s="45" t="s">
        <v>109</v>
      </c>
      <c r="AM20" s="52">
        <v>3.133523454E9</v>
      </c>
      <c r="AN20" s="45">
        <v>0.0</v>
      </c>
      <c r="AO20" s="93"/>
      <c r="AP20" s="67"/>
      <c r="AQ20" s="67"/>
      <c r="AR20" s="67"/>
      <c r="AS20" s="94">
        <v>0.0</v>
      </c>
      <c r="AT20" s="65" t="s">
        <v>88</v>
      </c>
      <c r="AU20" s="50">
        <v>0.0</v>
      </c>
      <c r="AV20" s="50" t="s">
        <v>106</v>
      </c>
      <c r="AW20" s="50" t="s">
        <v>106</v>
      </c>
      <c r="AX20" s="50">
        <v>0.0</v>
      </c>
      <c r="AY20" s="50">
        <v>0.0</v>
      </c>
      <c r="AZ20" s="50">
        <v>0.0</v>
      </c>
      <c r="BA20" s="43" t="s">
        <v>89</v>
      </c>
      <c r="BB20" s="50">
        <v>0.0</v>
      </c>
      <c r="BC20" s="95"/>
      <c r="BD20" s="71"/>
      <c r="BE20" s="71"/>
      <c r="BF20" s="72" t="s">
        <v>268</v>
      </c>
      <c r="BG20" s="73"/>
      <c r="BH20" s="73"/>
      <c r="BI20" s="73"/>
      <c r="BJ20" s="73"/>
      <c r="BK20" s="73"/>
      <c r="BL20" s="73"/>
      <c r="BM20" s="73"/>
      <c r="BN20" s="73"/>
      <c r="BO20" s="73"/>
      <c r="BP20" s="73"/>
      <c r="BQ20" s="73"/>
      <c r="BR20" s="73"/>
      <c r="BS20" s="73"/>
      <c r="BT20" s="73"/>
      <c r="BU20" s="73"/>
      <c r="BV20" s="73"/>
      <c r="BW20" s="74"/>
      <c r="BX20" s="74"/>
      <c r="BY20" s="63"/>
      <c r="BZ20" s="63"/>
    </row>
    <row r="21" ht="15.75" customHeight="1">
      <c r="A21" s="75" t="s">
        <v>269</v>
      </c>
      <c r="B21" s="50" t="s">
        <v>270</v>
      </c>
      <c r="C21" s="50" t="s">
        <v>271</v>
      </c>
      <c r="D21" s="50" t="s">
        <v>272</v>
      </c>
      <c r="E21" s="64"/>
      <c r="F21" s="78">
        <v>2.99E8</v>
      </c>
      <c r="G21" s="44" t="str">
        <f t="shared" si="1"/>
        <v>$200'000.000 a $300'000.000</v>
      </c>
      <c r="H21" s="44"/>
      <c r="I21" s="44"/>
      <c r="J21" s="50" t="s">
        <v>76</v>
      </c>
      <c r="K21" s="51" t="s">
        <v>192</v>
      </c>
      <c r="L21" s="50">
        <v>4.0</v>
      </c>
      <c r="M21" s="50"/>
      <c r="N21" s="50">
        <v>3.0</v>
      </c>
      <c r="O21" s="50">
        <v>0.0</v>
      </c>
      <c r="P21" s="50">
        <v>2.0</v>
      </c>
      <c r="Q21" s="88">
        <v>106.0</v>
      </c>
      <c r="R21" s="88">
        <v>143.0</v>
      </c>
      <c r="S21" s="56" t="str">
        <f t="shared" si="2"/>
        <v>Rentabilidad $1,100,000</v>
      </c>
      <c r="T21" s="50" t="s">
        <v>78</v>
      </c>
      <c r="U21" s="51" t="s">
        <v>184</v>
      </c>
      <c r="V21" s="50" t="s">
        <v>79</v>
      </c>
      <c r="W21" s="50"/>
      <c r="X21" s="50">
        <v>2.0</v>
      </c>
      <c r="Y21" s="50" t="s">
        <v>80</v>
      </c>
      <c r="Z21" s="58" t="s">
        <v>81</v>
      </c>
      <c r="AA21" s="59" t="str">
        <f>IF(Rentabilidad=0,"No aplica",TEXT(ROUND(Precio/Rentabilidad/12,0),0) &amp; " años")</f>
        <v>23 años</v>
      </c>
      <c r="AB21" s="82" t="s">
        <v>273</v>
      </c>
      <c r="AC21" s="83" t="s">
        <v>274</v>
      </c>
      <c r="AD21" s="83" t="s">
        <v>275</v>
      </c>
      <c r="AE21" s="63"/>
      <c r="AF21" s="45" t="s">
        <v>236</v>
      </c>
      <c r="AG21" s="65" t="s">
        <v>106</v>
      </c>
      <c r="AH21" s="63"/>
      <c r="AI21" s="65" t="s">
        <v>107</v>
      </c>
      <c r="AJ21" s="64" t="s">
        <v>124</v>
      </c>
      <c r="AK21" s="50" t="s">
        <v>81</v>
      </c>
      <c r="AL21" s="45" t="s">
        <v>109</v>
      </c>
      <c r="AM21" s="52">
        <v>3.133523454E9</v>
      </c>
      <c r="AN21" s="45">
        <v>0.0</v>
      </c>
      <c r="AO21" s="93"/>
      <c r="AP21" s="67"/>
      <c r="AQ21" s="67"/>
      <c r="AR21" s="67"/>
      <c r="AS21" s="94">
        <v>1100000.0</v>
      </c>
      <c r="AT21" s="65" t="s">
        <v>88</v>
      </c>
      <c r="AU21" s="50">
        <v>0.0</v>
      </c>
      <c r="AV21" s="50">
        <v>1.0</v>
      </c>
      <c r="AW21" s="50" t="s">
        <v>88</v>
      </c>
      <c r="AX21" s="50">
        <v>0.0</v>
      </c>
      <c r="AY21" s="50">
        <v>0.0</v>
      </c>
      <c r="AZ21" s="50">
        <v>0.0</v>
      </c>
      <c r="BA21" s="43" t="s">
        <v>89</v>
      </c>
      <c r="BB21" s="50">
        <v>0.0</v>
      </c>
      <c r="BC21" s="95"/>
      <c r="BD21" s="71"/>
      <c r="BE21" s="71"/>
      <c r="BF21" s="72" t="s">
        <v>276</v>
      </c>
      <c r="BG21" s="73"/>
      <c r="BH21" s="73"/>
      <c r="BI21" s="73"/>
      <c r="BJ21" s="73"/>
      <c r="BK21" s="73"/>
      <c r="BL21" s="73"/>
      <c r="BM21" s="73"/>
      <c r="BN21" s="73"/>
      <c r="BO21" s="73"/>
      <c r="BP21" s="73"/>
      <c r="BQ21" s="73"/>
      <c r="BR21" s="73"/>
      <c r="BS21" s="73"/>
      <c r="BT21" s="73"/>
      <c r="BU21" s="73"/>
      <c r="BV21" s="73"/>
      <c r="BW21" s="74"/>
      <c r="BX21" s="74"/>
      <c r="BY21" s="63"/>
      <c r="BZ21" s="63"/>
    </row>
    <row r="22" ht="15.75" customHeight="1">
      <c r="A22" s="75" t="s">
        <v>277</v>
      </c>
      <c r="B22" s="50" t="s">
        <v>278</v>
      </c>
      <c r="C22" s="50" t="s">
        <v>70</v>
      </c>
      <c r="D22" s="50" t="s">
        <v>279</v>
      </c>
      <c r="E22" s="64"/>
      <c r="F22" s="78">
        <v>2.8E8</v>
      </c>
      <c r="G22" s="44" t="str">
        <f t="shared" si="1"/>
        <v>$200'000.000 a $300'000.000</v>
      </c>
      <c r="H22" s="44"/>
      <c r="I22" s="44"/>
      <c r="J22" s="50" t="s">
        <v>116</v>
      </c>
      <c r="K22" s="51" t="s">
        <v>154</v>
      </c>
      <c r="L22" s="50">
        <v>3.0</v>
      </c>
      <c r="M22" s="50"/>
      <c r="N22" s="50">
        <v>3.0</v>
      </c>
      <c r="O22" s="50">
        <v>1.0</v>
      </c>
      <c r="P22" s="50">
        <v>2.0</v>
      </c>
      <c r="Q22" s="88">
        <v>170.0</v>
      </c>
      <c r="R22" s="88">
        <v>90.0</v>
      </c>
      <c r="S22" s="56" t="str">
        <f t="shared" si="2"/>
        <v> </v>
      </c>
      <c r="T22" s="50" t="s">
        <v>78</v>
      </c>
      <c r="U22" s="51" t="s">
        <v>184</v>
      </c>
      <c r="V22" s="50" t="s">
        <v>79</v>
      </c>
      <c r="W22" s="50"/>
      <c r="X22" s="50">
        <v>3.0</v>
      </c>
      <c r="Y22" s="50" t="s">
        <v>80</v>
      </c>
      <c r="Z22" s="58" t="s">
        <v>81</v>
      </c>
      <c r="AA22" s="59" t="str">
        <f>IF(Rentabilidad=0,"No aplica",TEXT(ROUND(Precio/Rentabilidad/12,0),0) &amp; " años")</f>
        <v>No aplica</v>
      </c>
      <c r="AB22" s="82" t="s">
        <v>280</v>
      </c>
      <c r="AC22" s="83" t="s">
        <v>281</v>
      </c>
      <c r="AD22" s="83" t="s">
        <v>282</v>
      </c>
      <c r="AE22" s="63"/>
      <c r="AF22" s="64" t="s">
        <v>105</v>
      </c>
      <c r="AG22" s="65" t="s">
        <v>106</v>
      </c>
      <c r="AH22" s="63"/>
      <c r="AI22" s="65" t="s">
        <v>107</v>
      </c>
      <c r="AJ22" s="64" t="s">
        <v>124</v>
      </c>
      <c r="AK22" s="50" t="s">
        <v>81</v>
      </c>
      <c r="AL22" s="45" t="s">
        <v>109</v>
      </c>
      <c r="AM22" s="52">
        <v>3.133523454E9</v>
      </c>
      <c r="AN22" s="45">
        <v>0.0</v>
      </c>
      <c r="AO22" s="93"/>
      <c r="AP22" s="67"/>
      <c r="AQ22" s="67"/>
      <c r="AR22" s="67"/>
      <c r="AS22" s="94">
        <v>0.0</v>
      </c>
      <c r="AT22" s="65" t="s">
        <v>88</v>
      </c>
      <c r="AU22" s="50">
        <v>0.0</v>
      </c>
      <c r="AV22" s="50" t="s">
        <v>106</v>
      </c>
      <c r="AW22" s="50" t="s">
        <v>106</v>
      </c>
      <c r="AX22" s="50">
        <v>0.0</v>
      </c>
      <c r="AY22" s="50">
        <v>0.0</v>
      </c>
      <c r="AZ22" s="50">
        <v>0.0</v>
      </c>
      <c r="BA22" s="43" t="s">
        <v>89</v>
      </c>
      <c r="BB22" s="50">
        <v>0.0</v>
      </c>
      <c r="BC22" s="95"/>
      <c r="BD22" s="71"/>
      <c r="BE22" s="71"/>
      <c r="BF22" s="72" t="s">
        <v>283</v>
      </c>
      <c r="BG22" s="73"/>
      <c r="BH22" s="73"/>
      <c r="BI22" s="73"/>
      <c r="BJ22" s="73"/>
      <c r="BK22" s="73"/>
      <c r="BL22" s="73"/>
      <c r="BM22" s="73"/>
      <c r="BN22" s="73"/>
      <c r="BO22" s="73"/>
      <c r="BP22" s="73"/>
      <c r="BQ22" s="73"/>
      <c r="BR22" s="73"/>
      <c r="BS22" s="73"/>
      <c r="BT22" s="73"/>
      <c r="BU22" s="73"/>
      <c r="BV22" s="73"/>
      <c r="BW22" s="74"/>
      <c r="BX22" s="74"/>
      <c r="BY22" s="63"/>
      <c r="BZ22" s="63"/>
    </row>
    <row r="23" ht="15.75" customHeight="1">
      <c r="A23" s="75" t="s">
        <v>284</v>
      </c>
      <c r="B23" s="50" t="s">
        <v>285</v>
      </c>
      <c r="C23" s="50" t="s">
        <v>70</v>
      </c>
      <c r="D23" s="50" t="s">
        <v>286</v>
      </c>
      <c r="E23" s="64"/>
      <c r="F23" s="78">
        <v>2.8E8</v>
      </c>
      <c r="G23" s="44" t="str">
        <f t="shared" si="1"/>
        <v>$200'000.000 a $300'000.000</v>
      </c>
      <c r="H23" s="44"/>
      <c r="I23" s="44"/>
      <c r="J23" s="50" t="s">
        <v>94</v>
      </c>
      <c r="K23" s="51" t="s">
        <v>117</v>
      </c>
      <c r="L23" s="50">
        <v>3.0</v>
      </c>
      <c r="M23" s="50"/>
      <c r="N23" s="50">
        <v>3.0</v>
      </c>
      <c r="O23" s="50">
        <v>1.0</v>
      </c>
      <c r="P23" s="50">
        <v>2.0</v>
      </c>
      <c r="Q23" s="88">
        <v>150.0</v>
      </c>
      <c r="R23" s="88">
        <v>84.0</v>
      </c>
      <c r="S23" s="56" t="str">
        <f t="shared" si="2"/>
        <v> </v>
      </c>
      <c r="T23" s="50" t="s">
        <v>78</v>
      </c>
      <c r="U23" s="51" t="s">
        <v>184</v>
      </c>
      <c r="V23" s="50" t="s">
        <v>79</v>
      </c>
      <c r="W23" s="50"/>
      <c r="X23" s="50">
        <v>3.0</v>
      </c>
      <c r="Y23" s="50" t="s">
        <v>80</v>
      </c>
      <c r="Z23" s="58" t="s">
        <v>81</v>
      </c>
      <c r="AA23" s="59" t="str">
        <f>IF(Rentabilidad=0,"No aplica",TEXT(ROUND(Precio/Rentabilidad/12,0),0) &amp; " años")</f>
        <v>No aplica</v>
      </c>
      <c r="AB23" s="82" t="s">
        <v>287</v>
      </c>
      <c r="AC23" s="83" t="s">
        <v>288</v>
      </c>
      <c r="AD23" s="83" t="s">
        <v>289</v>
      </c>
      <c r="AE23" s="63"/>
      <c r="AF23" s="45" t="s">
        <v>236</v>
      </c>
      <c r="AG23" s="65" t="s">
        <v>106</v>
      </c>
      <c r="AH23" s="63"/>
      <c r="AI23" s="65" t="s">
        <v>107</v>
      </c>
      <c r="AJ23" s="64" t="s">
        <v>124</v>
      </c>
      <c r="AK23" s="50" t="s">
        <v>81</v>
      </c>
      <c r="AL23" s="45" t="s">
        <v>109</v>
      </c>
      <c r="AM23" s="52">
        <v>3.133523454E9</v>
      </c>
      <c r="AN23" s="45">
        <v>0.0</v>
      </c>
      <c r="AO23" s="93"/>
      <c r="AP23" s="67"/>
      <c r="AQ23" s="67"/>
      <c r="AR23" s="67"/>
      <c r="AS23" s="94">
        <v>0.0</v>
      </c>
      <c r="AT23" s="65" t="s">
        <v>88</v>
      </c>
      <c r="AU23" s="50">
        <v>0.0</v>
      </c>
      <c r="AV23" s="50" t="s">
        <v>106</v>
      </c>
      <c r="AW23" s="50" t="s">
        <v>106</v>
      </c>
      <c r="AX23" s="50">
        <v>0.0</v>
      </c>
      <c r="AY23" s="50">
        <v>0.0</v>
      </c>
      <c r="AZ23" s="50">
        <v>0.0</v>
      </c>
      <c r="BA23" s="43" t="s">
        <v>89</v>
      </c>
      <c r="BB23" s="50">
        <v>0.0</v>
      </c>
      <c r="BC23" s="95"/>
      <c r="BD23" s="71"/>
      <c r="BE23" s="71"/>
      <c r="BF23" s="72" t="s">
        <v>290</v>
      </c>
      <c r="BG23" s="73"/>
      <c r="BH23" s="73"/>
      <c r="BI23" s="73"/>
      <c r="BJ23" s="73"/>
      <c r="BK23" s="73"/>
      <c r="BL23" s="73"/>
      <c r="BM23" s="73"/>
      <c r="BN23" s="73"/>
      <c r="BO23" s="73"/>
      <c r="BP23" s="73"/>
      <c r="BQ23" s="73"/>
      <c r="BR23" s="73"/>
      <c r="BS23" s="73"/>
      <c r="BT23" s="73"/>
      <c r="BU23" s="73"/>
      <c r="BV23" s="73"/>
      <c r="BW23" s="74"/>
      <c r="BX23" s="74"/>
      <c r="BY23" s="63"/>
      <c r="BZ23" s="63"/>
    </row>
    <row r="24" ht="15.75" customHeight="1">
      <c r="A24" s="75" t="s">
        <v>291</v>
      </c>
      <c r="B24" s="50" t="s">
        <v>292</v>
      </c>
      <c r="C24" s="50" t="s">
        <v>70</v>
      </c>
      <c r="D24" s="50" t="s">
        <v>293</v>
      </c>
      <c r="E24" s="64"/>
      <c r="F24" s="78">
        <v>2.7E8</v>
      </c>
      <c r="G24" s="44" t="str">
        <f t="shared" si="1"/>
        <v>$200'000.000 a $300'000.000</v>
      </c>
      <c r="H24" s="44"/>
      <c r="I24" s="44"/>
      <c r="J24" s="50" t="s">
        <v>116</v>
      </c>
      <c r="K24" s="51" t="s">
        <v>294</v>
      </c>
      <c r="L24" s="50">
        <v>3.0</v>
      </c>
      <c r="M24" s="50"/>
      <c r="N24" s="50">
        <v>2.0</v>
      </c>
      <c r="O24" s="50">
        <v>1.0</v>
      </c>
      <c r="P24" s="50">
        <v>1.0</v>
      </c>
      <c r="Q24" s="88">
        <v>90.0</v>
      </c>
      <c r="R24" s="88">
        <v>90.0</v>
      </c>
      <c r="S24" s="56" t="str">
        <f t="shared" si="2"/>
        <v> </v>
      </c>
      <c r="T24" s="50" t="s">
        <v>78</v>
      </c>
      <c r="U24" s="51" t="s">
        <v>184</v>
      </c>
      <c r="V24" s="50" t="s">
        <v>79</v>
      </c>
      <c r="W24" s="50"/>
      <c r="X24" s="50">
        <v>3.0</v>
      </c>
      <c r="Y24" s="50" t="s">
        <v>80</v>
      </c>
      <c r="Z24" s="58" t="s">
        <v>81</v>
      </c>
      <c r="AA24" s="59" t="str">
        <f>IF(Rentabilidad=0,"No aplica",TEXT(ROUND(Precio/Rentabilidad/12,0),0) &amp; " años")</f>
        <v>No aplica</v>
      </c>
      <c r="AB24" s="82" t="s">
        <v>295</v>
      </c>
      <c r="AC24" s="83" t="s">
        <v>296</v>
      </c>
      <c r="AD24" s="83" t="s">
        <v>297</v>
      </c>
      <c r="AE24" s="63"/>
      <c r="AF24" s="64" t="s">
        <v>105</v>
      </c>
      <c r="AG24" s="65" t="s">
        <v>106</v>
      </c>
      <c r="AH24" s="63"/>
      <c r="AI24" s="65" t="s">
        <v>107</v>
      </c>
      <c r="AJ24" s="64" t="s">
        <v>124</v>
      </c>
      <c r="AK24" s="50" t="s">
        <v>81</v>
      </c>
      <c r="AL24" s="45" t="s">
        <v>109</v>
      </c>
      <c r="AM24" s="52">
        <v>3.133523454E9</v>
      </c>
      <c r="AN24" s="45">
        <v>0.0</v>
      </c>
      <c r="AO24" s="93"/>
      <c r="AP24" s="67"/>
      <c r="AQ24" s="67"/>
      <c r="AR24" s="67"/>
      <c r="AS24" s="94">
        <v>0.0</v>
      </c>
      <c r="AT24" s="65" t="s">
        <v>88</v>
      </c>
      <c r="AU24" s="50">
        <v>0.0</v>
      </c>
      <c r="AV24" s="50" t="s">
        <v>106</v>
      </c>
      <c r="AW24" s="50" t="s">
        <v>106</v>
      </c>
      <c r="AX24" s="50">
        <v>0.0</v>
      </c>
      <c r="AY24" s="50">
        <v>0.0</v>
      </c>
      <c r="AZ24" s="50">
        <v>0.0</v>
      </c>
      <c r="BA24" s="43" t="s">
        <v>89</v>
      </c>
      <c r="BB24" s="50">
        <v>0.0</v>
      </c>
      <c r="BC24" s="95"/>
      <c r="BD24" s="71"/>
      <c r="BE24" s="71"/>
      <c r="BF24" s="72" t="s">
        <v>298</v>
      </c>
      <c r="BG24" s="73"/>
      <c r="BH24" s="73"/>
      <c r="BI24" s="73"/>
      <c r="BJ24" s="73"/>
      <c r="BK24" s="73"/>
      <c r="BL24" s="73"/>
      <c r="BM24" s="73"/>
      <c r="BN24" s="73"/>
      <c r="BO24" s="73"/>
      <c r="BP24" s="73"/>
      <c r="BQ24" s="73"/>
      <c r="BR24" s="73"/>
      <c r="BS24" s="73"/>
      <c r="BT24" s="73"/>
      <c r="BU24" s="73"/>
      <c r="BV24" s="73"/>
      <c r="BW24" s="74"/>
      <c r="BX24" s="74"/>
      <c r="BY24" s="63"/>
      <c r="BZ24" s="63"/>
    </row>
    <row r="25" ht="15.75" customHeight="1">
      <c r="A25" s="75" t="s">
        <v>299</v>
      </c>
      <c r="B25" s="50" t="s">
        <v>300</v>
      </c>
      <c r="C25" s="50" t="s">
        <v>70</v>
      </c>
      <c r="D25" s="50" t="s">
        <v>301</v>
      </c>
      <c r="E25" s="64"/>
      <c r="F25" s="78">
        <v>2.7E8</v>
      </c>
      <c r="G25" s="44" t="str">
        <f t="shared" si="1"/>
        <v>$200'000.000 a $300'000.000</v>
      </c>
      <c r="H25" s="44"/>
      <c r="I25" s="44"/>
      <c r="J25" s="50" t="s">
        <v>116</v>
      </c>
      <c r="K25" s="51"/>
      <c r="L25" s="50">
        <v>3.0</v>
      </c>
      <c r="M25" s="50"/>
      <c r="N25" s="50">
        <v>2.0</v>
      </c>
      <c r="O25" s="50">
        <v>1.0</v>
      </c>
      <c r="P25" s="50">
        <v>1.0</v>
      </c>
      <c r="Q25" s="88">
        <v>101.0</v>
      </c>
      <c r="R25" s="88">
        <v>101.0</v>
      </c>
      <c r="S25" s="56" t="str">
        <f t="shared" si="2"/>
        <v> </v>
      </c>
      <c r="T25" s="50" t="s">
        <v>78</v>
      </c>
      <c r="U25" s="51" t="s">
        <v>142</v>
      </c>
      <c r="V25" s="50" t="s">
        <v>79</v>
      </c>
      <c r="W25" s="50"/>
      <c r="X25" s="50">
        <v>3.0</v>
      </c>
      <c r="Y25" s="50" t="s">
        <v>80</v>
      </c>
      <c r="Z25" s="58" t="s">
        <v>81</v>
      </c>
      <c r="AA25" s="59" t="str">
        <f>IF(Rentabilidad=0,"No aplica",TEXT(ROUND(Precio/Rentabilidad/12,0),0) &amp; " años")</f>
        <v>No aplica</v>
      </c>
      <c r="AB25" s="82" t="s">
        <v>302</v>
      </c>
      <c r="AC25" s="83" t="s">
        <v>303</v>
      </c>
      <c r="AD25" s="83" t="s">
        <v>304</v>
      </c>
      <c r="AE25" s="63"/>
      <c r="AF25" s="64" t="s">
        <v>105</v>
      </c>
      <c r="AG25" s="65" t="s">
        <v>106</v>
      </c>
      <c r="AH25" s="63"/>
      <c r="AI25" s="65" t="s">
        <v>107</v>
      </c>
      <c r="AJ25" s="64" t="s">
        <v>124</v>
      </c>
      <c r="AK25" s="50" t="s">
        <v>81</v>
      </c>
      <c r="AL25" s="45" t="s">
        <v>109</v>
      </c>
      <c r="AM25" s="52">
        <v>3.133523454E9</v>
      </c>
      <c r="AN25" s="45">
        <v>0.0</v>
      </c>
      <c r="AO25" s="93"/>
      <c r="AP25" s="67"/>
      <c r="AQ25" s="67"/>
      <c r="AR25" s="67"/>
      <c r="AS25" s="94">
        <v>0.0</v>
      </c>
      <c r="AT25" s="65" t="s">
        <v>88</v>
      </c>
      <c r="AU25" s="50">
        <v>0.0</v>
      </c>
      <c r="AV25" s="50" t="s">
        <v>106</v>
      </c>
      <c r="AW25" s="50" t="s">
        <v>106</v>
      </c>
      <c r="AX25" s="50">
        <v>0.0</v>
      </c>
      <c r="AY25" s="50">
        <v>0.0</v>
      </c>
      <c r="AZ25" s="50">
        <v>6.5</v>
      </c>
      <c r="BA25" s="43" t="s">
        <v>89</v>
      </c>
      <c r="BB25" s="50">
        <v>15.0</v>
      </c>
      <c r="BC25" s="95"/>
      <c r="BD25" s="71"/>
      <c r="BE25" s="71"/>
      <c r="BF25" s="72" t="s">
        <v>305</v>
      </c>
      <c r="BG25" s="73"/>
      <c r="BH25" s="73"/>
      <c r="BI25" s="73"/>
      <c r="BJ25" s="73"/>
      <c r="BK25" s="73"/>
      <c r="BL25" s="73"/>
      <c r="BM25" s="73"/>
      <c r="BN25" s="73"/>
      <c r="BO25" s="73"/>
      <c r="BP25" s="73"/>
      <c r="BQ25" s="73"/>
      <c r="BR25" s="73"/>
      <c r="BS25" s="73"/>
      <c r="BT25" s="73"/>
      <c r="BU25" s="73"/>
      <c r="BV25" s="73"/>
      <c r="BW25" s="74"/>
      <c r="BX25" s="74"/>
      <c r="BY25" s="63"/>
      <c r="BZ25" s="63"/>
    </row>
    <row r="26" ht="15.75" customHeight="1">
      <c r="A26" s="75" t="s">
        <v>306</v>
      </c>
      <c r="B26" s="50" t="s">
        <v>307</v>
      </c>
      <c r="C26" s="50" t="s">
        <v>70</v>
      </c>
      <c r="D26" s="50" t="s">
        <v>308</v>
      </c>
      <c r="E26" s="64"/>
      <c r="F26" s="78">
        <v>2.6E8</v>
      </c>
      <c r="G26" s="44" t="str">
        <f t="shared" si="1"/>
        <v>$200'000.000 a $300'000.000</v>
      </c>
      <c r="H26" s="44"/>
      <c r="I26" s="44"/>
      <c r="J26" s="50" t="s">
        <v>94</v>
      </c>
      <c r="K26" s="51" t="s">
        <v>117</v>
      </c>
      <c r="L26" s="50">
        <v>4.0</v>
      </c>
      <c r="M26" s="50"/>
      <c r="N26" s="50">
        <v>2.0</v>
      </c>
      <c r="O26" s="50">
        <v>1.0</v>
      </c>
      <c r="P26" s="50">
        <v>2.0</v>
      </c>
      <c r="Q26" s="88">
        <v>120.0</v>
      </c>
      <c r="R26" s="88">
        <v>78.0</v>
      </c>
      <c r="S26" s="56" t="str">
        <f t="shared" si="2"/>
        <v> </v>
      </c>
      <c r="T26" s="50" t="s">
        <v>78</v>
      </c>
      <c r="U26" s="51" t="s">
        <v>184</v>
      </c>
      <c r="V26" s="50" t="s">
        <v>79</v>
      </c>
      <c r="W26" s="50"/>
      <c r="X26" s="50">
        <v>3.0</v>
      </c>
      <c r="Y26" s="50" t="s">
        <v>80</v>
      </c>
      <c r="Z26" s="58" t="s">
        <v>81</v>
      </c>
      <c r="AA26" s="59" t="str">
        <f>IF(Rentabilidad=0,"No aplica",TEXT(ROUND(Precio/Rentabilidad/12,0),0) &amp; " años")</f>
        <v>No aplica</v>
      </c>
      <c r="AB26" s="82" t="s">
        <v>309</v>
      </c>
      <c r="AC26" s="83" t="s">
        <v>310</v>
      </c>
      <c r="AD26" s="83" t="s">
        <v>311</v>
      </c>
      <c r="AE26" s="63"/>
      <c r="AF26" s="64" t="s">
        <v>84</v>
      </c>
      <c r="AG26" s="65" t="s">
        <v>106</v>
      </c>
      <c r="AH26" s="63"/>
      <c r="AI26" s="65" t="s">
        <v>107</v>
      </c>
      <c r="AJ26" s="64" t="s">
        <v>124</v>
      </c>
      <c r="AK26" s="50" t="s">
        <v>81</v>
      </c>
      <c r="AL26" s="45" t="s">
        <v>109</v>
      </c>
      <c r="AM26" s="52">
        <v>3.133523454E9</v>
      </c>
      <c r="AN26" s="45">
        <v>0.0</v>
      </c>
      <c r="AO26" s="93"/>
      <c r="AP26" s="67"/>
      <c r="AQ26" s="67"/>
      <c r="AR26" s="67"/>
      <c r="AS26" s="94">
        <v>0.0</v>
      </c>
      <c r="AT26" s="65" t="s">
        <v>88</v>
      </c>
      <c r="AU26" s="50">
        <v>0.0</v>
      </c>
      <c r="AV26" s="50">
        <v>0.0</v>
      </c>
      <c r="AW26" s="50" t="s">
        <v>106</v>
      </c>
      <c r="AX26" s="50">
        <v>0.0</v>
      </c>
      <c r="AY26" s="50">
        <v>0.0</v>
      </c>
      <c r="AZ26" s="50">
        <v>0.0</v>
      </c>
      <c r="BA26" s="43" t="s">
        <v>89</v>
      </c>
      <c r="BB26" s="50">
        <v>0.0</v>
      </c>
      <c r="BC26" s="95"/>
      <c r="BD26" s="71"/>
      <c r="BE26" s="71"/>
      <c r="BF26" s="72" t="s">
        <v>312</v>
      </c>
      <c r="BG26" s="73"/>
      <c r="BH26" s="73"/>
      <c r="BI26" s="73"/>
      <c r="BJ26" s="73"/>
      <c r="BK26" s="73"/>
      <c r="BL26" s="73"/>
      <c r="BM26" s="73"/>
      <c r="BN26" s="73"/>
      <c r="BO26" s="73"/>
      <c r="BP26" s="73"/>
      <c r="BQ26" s="73"/>
      <c r="BR26" s="73"/>
      <c r="BS26" s="73"/>
      <c r="BT26" s="73"/>
      <c r="BU26" s="73"/>
      <c r="BV26" s="73"/>
      <c r="BW26" s="74"/>
      <c r="BX26" s="74"/>
      <c r="BY26" s="63"/>
      <c r="BZ26" s="63"/>
    </row>
    <row r="27" ht="15.75" customHeight="1">
      <c r="A27" s="75" t="s">
        <v>313</v>
      </c>
      <c r="B27" s="50" t="s">
        <v>314</v>
      </c>
      <c r="C27" s="50" t="s">
        <v>315</v>
      </c>
      <c r="D27" s="50"/>
      <c r="E27" s="64"/>
      <c r="F27" s="78">
        <v>2.2E8</v>
      </c>
      <c r="G27" s="44" t="str">
        <f t="shared" si="1"/>
        <v>$200'000.000 a $300'000.000</v>
      </c>
      <c r="H27" s="44"/>
      <c r="I27" s="44"/>
      <c r="J27" s="50" t="s">
        <v>94</v>
      </c>
      <c r="K27" s="51"/>
      <c r="L27" s="50">
        <v>0.0</v>
      </c>
      <c r="M27" s="50"/>
      <c r="N27" s="50">
        <v>0.0</v>
      </c>
      <c r="O27" s="50">
        <v>0.0</v>
      </c>
      <c r="P27" s="50">
        <v>0.0</v>
      </c>
      <c r="Q27" s="88">
        <v>0.0</v>
      </c>
      <c r="R27" s="88">
        <v>517.0</v>
      </c>
      <c r="S27" s="56" t="str">
        <f t="shared" si="2"/>
        <v> </v>
      </c>
      <c r="T27" s="50" t="s">
        <v>78</v>
      </c>
      <c r="U27" s="57"/>
      <c r="V27" s="50" t="s">
        <v>316</v>
      </c>
      <c r="W27" s="50"/>
      <c r="X27" s="50">
        <v>0.0</v>
      </c>
      <c r="Y27" s="50" t="s">
        <v>130</v>
      </c>
      <c r="Z27" s="91"/>
      <c r="AA27" s="59" t="str">
        <f>IF(Rentabilidad=0,"No aplica",TEXT(ROUND(Precio/Rentabilidad/12,0),0) &amp; " años")</f>
        <v>No aplica</v>
      </c>
      <c r="AB27" s="82" t="s">
        <v>317</v>
      </c>
      <c r="AC27" s="83" t="s">
        <v>318</v>
      </c>
      <c r="AD27" s="83" t="s">
        <v>319</v>
      </c>
      <c r="AE27" s="63"/>
      <c r="AF27" s="64">
        <v>0.0</v>
      </c>
      <c r="AG27" s="65" t="s">
        <v>106</v>
      </c>
      <c r="AH27" s="63"/>
      <c r="AI27" s="65" t="s">
        <v>107</v>
      </c>
      <c r="AJ27" s="64" t="s">
        <v>124</v>
      </c>
      <c r="AK27" s="50" t="s">
        <v>81</v>
      </c>
      <c r="AL27" s="45" t="s">
        <v>109</v>
      </c>
      <c r="AM27" s="52">
        <v>3.133523454E9</v>
      </c>
      <c r="AN27" s="45">
        <v>0.0</v>
      </c>
      <c r="AO27" s="93"/>
      <c r="AP27" s="67"/>
      <c r="AQ27" s="67"/>
      <c r="AR27" s="67"/>
      <c r="AS27" s="94">
        <v>0.0</v>
      </c>
      <c r="AT27" s="65" t="s">
        <v>88</v>
      </c>
      <c r="AU27" s="50">
        <v>0.0</v>
      </c>
      <c r="AV27" s="50">
        <v>0.0</v>
      </c>
      <c r="AW27" s="50" t="s">
        <v>88</v>
      </c>
      <c r="AX27" s="50">
        <v>0.0</v>
      </c>
      <c r="AY27" s="50">
        <v>0.0</v>
      </c>
      <c r="AZ27" s="50">
        <v>0.0</v>
      </c>
      <c r="BA27" s="43" t="s">
        <v>89</v>
      </c>
      <c r="BB27" s="50">
        <v>0.0</v>
      </c>
      <c r="BC27" s="95"/>
      <c r="BD27" s="71"/>
      <c r="BE27" s="71"/>
      <c r="BF27" s="72" t="s">
        <v>320</v>
      </c>
      <c r="BG27" s="73"/>
      <c r="BH27" s="73"/>
      <c r="BI27" s="73"/>
      <c r="BJ27" s="73"/>
      <c r="BK27" s="73"/>
      <c r="BL27" s="73"/>
      <c r="BM27" s="73"/>
      <c r="BN27" s="73"/>
      <c r="BO27" s="73"/>
      <c r="BP27" s="73"/>
      <c r="BQ27" s="73"/>
      <c r="BR27" s="73"/>
      <c r="BS27" s="73"/>
      <c r="BT27" s="73"/>
      <c r="BU27" s="73"/>
      <c r="BV27" s="73"/>
      <c r="BW27" s="74"/>
      <c r="BX27" s="74"/>
      <c r="BY27" s="63"/>
      <c r="BZ27" s="63"/>
    </row>
    <row r="28" ht="15.75" customHeight="1">
      <c r="A28" s="75" t="s">
        <v>321</v>
      </c>
      <c r="B28" s="50" t="s">
        <v>322</v>
      </c>
      <c r="C28" s="50" t="s">
        <v>323</v>
      </c>
      <c r="D28" s="50"/>
      <c r="E28" s="64" t="s">
        <v>324</v>
      </c>
      <c r="F28" s="78">
        <v>1.55E8</v>
      </c>
      <c r="G28" s="44" t="str">
        <f t="shared" si="1"/>
        <v>$100'000.000 a $200'000.000</v>
      </c>
      <c r="H28" s="44"/>
      <c r="I28" s="44"/>
      <c r="J28" s="50" t="s">
        <v>94</v>
      </c>
      <c r="K28" s="51"/>
      <c r="L28" s="50">
        <v>3.0</v>
      </c>
      <c r="M28" s="50"/>
      <c r="N28" s="50">
        <v>1.0</v>
      </c>
      <c r="O28" s="50">
        <v>1.0</v>
      </c>
      <c r="P28" s="50">
        <v>2.0</v>
      </c>
      <c r="Q28" s="88">
        <v>50.0</v>
      </c>
      <c r="R28" s="88">
        <v>50.0</v>
      </c>
      <c r="S28" s="56" t="str">
        <f t="shared" si="2"/>
        <v> </v>
      </c>
      <c r="T28" s="50" t="s">
        <v>78</v>
      </c>
      <c r="U28" s="51" t="s">
        <v>77</v>
      </c>
      <c r="V28" s="50" t="s">
        <v>325</v>
      </c>
      <c r="W28" s="50"/>
      <c r="X28" s="50">
        <v>3.0</v>
      </c>
      <c r="Y28" s="50" t="s">
        <v>130</v>
      </c>
      <c r="Z28" s="58">
        <v>121000.0</v>
      </c>
      <c r="AA28" s="59" t="str">
        <f>IF(Rentabilidad=0,"No aplica",TEXT(ROUND(Precio/Rentabilidad/12,0),0) &amp; " años")</f>
        <v>No aplica</v>
      </c>
      <c r="AB28" s="82" t="s">
        <v>326</v>
      </c>
      <c r="AC28" s="83" t="s">
        <v>327</v>
      </c>
      <c r="AD28" s="83" t="s">
        <v>328</v>
      </c>
      <c r="AE28" s="63"/>
      <c r="AF28" s="64" t="s">
        <v>105</v>
      </c>
      <c r="AG28" s="65" t="s">
        <v>106</v>
      </c>
      <c r="AH28" s="63"/>
      <c r="AI28" s="65" t="s">
        <v>107</v>
      </c>
      <c r="AJ28" s="64" t="s">
        <v>124</v>
      </c>
      <c r="AK28" s="50" t="s">
        <v>81</v>
      </c>
      <c r="AL28" s="45" t="s">
        <v>109</v>
      </c>
      <c r="AM28" s="52">
        <v>3.133523454E9</v>
      </c>
      <c r="AN28" s="64">
        <v>0.0</v>
      </c>
      <c r="AO28" s="52"/>
      <c r="AP28" s="67"/>
      <c r="AQ28" s="67"/>
      <c r="AR28" s="67"/>
      <c r="AS28" s="94">
        <v>0.0</v>
      </c>
      <c r="AT28" s="65">
        <v>0.0</v>
      </c>
      <c r="AU28" s="50">
        <v>0.0</v>
      </c>
      <c r="AV28" s="50" t="s">
        <v>106</v>
      </c>
      <c r="AW28" s="50" t="s">
        <v>88</v>
      </c>
      <c r="AX28" s="50">
        <v>0.0</v>
      </c>
      <c r="AY28" s="50">
        <v>0.0</v>
      </c>
      <c r="AZ28" s="50">
        <v>0.0</v>
      </c>
      <c r="BA28" s="43" t="s">
        <v>89</v>
      </c>
      <c r="BB28" s="50">
        <v>0.0</v>
      </c>
      <c r="BC28" s="95"/>
      <c r="BD28" s="71"/>
      <c r="BE28" s="71"/>
      <c r="BF28" s="72" t="s">
        <v>329</v>
      </c>
      <c r="BG28" s="73"/>
      <c r="BH28" s="73"/>
      <c r="BI28" s="73"/>
      <c r="BJ28" s="73"/>
      <c r="BK28" s="73"/>
      <c r="BL28" s="73"/>
      <c r="BM28" s="73"/>
      <c r="BN28" s="73"/>
      <c r="BO28" s="73"/>
      <c r="BP28" s="73"/>
      <c r="BQ28" s="73"/>
      <c r="BR28" s="73"/>
      <c r="BS28" s="73"/>
      <c r="BT28" s="73"/>
      <c r="BU28" s="73"/>
      <c r="BV28" s="73"/>
      <c r="BW28" s="74"/>
      <c r="BX28" s="74"/>
      <c r="BY28" s="63"/>
      <c r="BZ28" s="63"/>
    </row>
    <row r="29" ht="15.75" customHeight="1">
      <c r="A29" s="75" t="s">
        <v>330</v>
      </c>
      <c r="B29" s="50" t="s">
        <v>331</v>
      </c>
      <c r="C29" s="111" t="s">
        <v>323</v>
      </c>
      <c r="D29" s="50"/>
      <c r="E29" s="64" t="s">
        <v>332</v>
      </c>
      <c r="F29" s="78">
        <v>1.5E8</v>
      </c>
      <c r="G29" s="44" t="str">
        <f t="shared" si="1"/>
        <v>$100'000.000 a $200'000.000</v>
      </c>
      <c r="H29" s="44"/>
      <c r="I29" s="44"/>
      <c r="J29" s="50" t="s">
        <v>116</v>
      </c>
      <c r="K29" s="51"/>
      <c r="L29" s="50">
        <v>3.0</v>
      </c>
      <c r="M29" s="50"/>
      <c r="N29" s="50">
        <v>1.0</v>
      </c>
      <c r="O29" s="50">
        <v>1.0</v>
      </c>
      <c r="P29" s="50">
        <v>5.0</v>
      </c>
      <c r="Q29" s="88">
        <v>57.0</v>
      </c>
      <c r="R29" s="88">
        <v>57.0</v>
      </c>
      <c r="S29" s="56" t="str">
        <f t="shared" si="2"/>
        <v> </v>
      </c>
      <c r="T29" s="50" t="s">
        <v>78</v>
      </c>
      <c r="U29" s="51" t="s">
        <v>184</v>
      </c>
      <c r="V29" s="50" t="s">
        <v>333</v>
      </c>
      <c r="W29" s="50"/>
      <c r="X29" s="50">
        <v>3.0</v>
      </c>
      <c r="Y29" s="50" t="s">
        <v>130</v>
      </c>
      <c r="Z29" s="91"/>
      <c r="AA29" s="59" t="str">
        <f>IF(Rentabilidad=0,"No aplica",TEXT(ROUND(Precio/Rentabilidad/12,0),0) &amp; " años")</f>
        <v>No aplica</v>
      </c>
      <c r="AB29" s="82" t="s">
        <v>334</v>
      </c>
      <c r="AC29" s="83" t="s">
        <v>335</v>
      </c>
      <c r="AD29" s="83" t="s">
        <v>336</v>
      </c>
      <c r="AE29" s="63"/>
      <c r="AF29" s="64" t="s">
        <v>84</v>
      </c>
      <c r="AG29" s="65" t="s">
        <v>106</v>
      </c>
      <c r="AH29" s="63"/>
      <c r="AI29" s="65" t="s">
        <v>107</v>
      </c>
      <c r="AJ29" s="64" t="s">
        <v>124</v>
      </c>
      <c r="AK29" s="50" t="s">
        <v>81</v>
      </c>
      <c r="AL29" s="45" t="s">
        <v>109</v>
      </c>
      <c r="AM29" s="52">
        <v>3.133523454E9</v>
      </c>
      <c r="AN29" s="64">
        <v>0.0</v>
      </c>
      <c r="AO29" s="52"/>
      <c r="AP29" s="67"/>
      <c r="AQ29" s="67"/>
      <c r="AR29" s="67"/>
      <c r="AS29" s="94">
        <v>0.0</v>
      </c>
      <c r="AT29" s="65">
        <v>0.0</v>
      </c>
      <c r="AU29" s="50">
        <v>0.0</v>
      </c>
      <c r="AV29" s="50">
        <v>0.0</v>
      </c>
      <c r="AW29" s="50" t="s">
        <v>88</v>
      </c>
      <c r="AX29" s="50">
        <v>0.0</v>
      </c>
      <c r="AY29" s="50">
        <v>0.0</v>
      </c>
      <c r="AZ29" s="50">
        <v>0.0</v>
      </c>
      <c r="BA29" s="43" t="s">
        <v>89</v>
      </c>
      <c r="BB29" s="50">
        <v>0.0</v>
      </c>
      <c r="BC29" s="95"/>
      <c r="BD29" s="71"/>
      <c r="BE29" s="71"/>
      <c r="BF29" s="72" t="s">
        <v>337</v>
      </c>
      <c r="BG29" s="73"/>
      <c r="BH29" s="73"/>
      <c r="BI29" s="73"/>
      <c r="BJ29" s="73"/>
      <c r="BK29" s="73"/>
      <c r="BL29" s="73"/>
      <c r="BM29" s="73"/>
      <c r="BN29" s="73"/>
      <c r="BO29" s="73"/>
      <c r="BP29" s="73"/>
      <c r="BQ29" s="73"/>
      <c r="BR29" s="73"/>
      <c r="BS29" s="73"/>
      <c r="BT29" s="73"/>
      <c r="BU29" s="73"/>
      <c r="BV29" s="73"/>
      <c r="BW29" s="74"/>
      <c r="BX29" s="74"/>
      <c r="BY29" s="63"/>
      <c r="BZ29" s="63"/>
    </row>
    <row r="30" ht="15.75" customHeight="1">
      <c r="A30" s="75" t="s">
        <v>338</v>
      </c>
      <c r="B30" s="50" t="s">
        <v>339</v>
      </c>
      <c r="C30" s="64" t="s">
        <v>340</v>
      </c>
      <c r="D30" s="50"/>
      <c r="E30" s="64" t="s">
        <v>341</v>
      </c>
      <c r="F30" s="78">
        <v>1.36E8</v>
      </c>
      <c r="G30" s="44" t="str">
        <f t="shared" si="1"/>
        <v>$100'000.000 a $200'000.000</v>
      </c>
      <c r="H30" s="44"/>
      <c r="I30" s="44"/>
      <c r="J30" s="50" t="s">
        <v>94</v>
      </c>
      <c r="K30" s="51"/>
      <c r="L30" s="50">
        <v>0.0</v>
      </c>
      <c r="M30" s="50"/>
      <c r="N30" s="50">
        <v>0.0</v>
      </c>
      <c r="O30" s="50">
        <v>0.0</v>
      </c>
      <c r="P30" s="50">
        <v>0.0</v>
      </c>
      <c r="Q30" s="88">
        <v>0.0</v>
      </c>
      <c r="R30" s="88">
        <v>800.0</v>
      </c>
      <c r="S30" s="56" t="str">
        <f t="shared" si="2"/>
        <v> </v>
      </c>
      <c r="T30" s="50" t="s">
        <v>342</v>
      </c>
      <c r="U30" s="57"/>
      <c r="V30" s="50" t="s">
        <v>79</v>
      </c>
      <c r="W30" s="50"/>
      <c r="X30" s="50">
        <v>0.0</v>
      </c>
      <c r="Y30" s="50" t="s">
        <v>130</v>
      </c>
      <c r="Z30" s="91"/>
      <c r="AA30" s="59" t="str">
        <f>IF(Rentabilidad=0,"No aplica",TEXT(ROUND(Precio/Rentabilidad/12,0),0) &amp; " años")</f>
        <v>No aplica</v>
      </c>
      <c r="AB30" s="82" t="s">
        <v>343</v>
      </c>
      <c r="AC30" s="83" t="s">
        <v>344</v>
      </c>
      <c r="AD30" s="83" t="s">
        <v>345</v>
      </c>
      <c r="AE30" s="63"/>
      <c r="AF30" s="64">
        <v>0.0</v>
      </c>
      <c r="AG30" s="65" t="s">
        <v>106</v>
      </c>
      <c r="AH30" s="63"/>
      <c r="AI30" s="65" t="s">
        <v>107</v>
      </c>
      <c r="AJ30" s="64" t="s">
        <v>124</v>
      </c>
      <c r="AK30" s="50" t="s">
        <v>81</v>
      </c>
      <c r="AL30" s="45" t="s">
        <v>109</v>
      </c>
      <c r="AM30" s="52">
        <v>3.133523454E9</v>
      </c>
      <c r="AN30" s="45">
        <v>0.0</v>
      </c>
      <c r="AO30" s="93"/>
      <c r="AP30" s="67"/>
      <c r="AQ30" s="67"/>
      <c r="AR30" s="67"/>
      <c r="AS30" s="94">
        <v>0.0</v>
      </c>
      <c r="AT30" s="65" t="s">
        <v>88</v>
      </c>
      <c r="AU30" s="50">
        <v>0.0</v>
      </c>
      <c r="AV30" s="50">
        <v>0.0</v>
      </c>
      <c r="AW30" s="50" t="s">
        <v>88</v>
      </c>
      <c r="AX30" s="50">
        <v>0.0</v>
      </c>
      <c r="AY30" s="50">
        <v>0.0</v>
      </c>
      <c r="AZ30" s="50">
        <v>0.0</v>
      </c>
      <c r="BA30" s="43" t="s">
        <v>89</v>
      </c>
      <c r="BB30" s="50">
        <v>0.0</v>
      </c>
      <c r="BC30" s="95"/>
      <c r="BD30" s="71"/>
      <c r="BE30" s="71"/>
      <c r="BF30" s="72" t="s">
        <v>346</v>
      </c>
      <c r="BG30" s="73"/>
      <c r="BH30" s="73"/>
      <c r="BI30" s="73"/>
      <c r="BJ30" s="73"/>
      <c r="BK30" s="73"/>
      <c r="BL30" s="73"/>
      <c r="BM30" s="73"/>
      <c r="BN30" s="73"/>
      <c r="BO30" s="73"/>
      <c r="BP30" s="73"/>
      <c r="BQ30" s="73"/>
      <c r="BR30" s="73"/>
      <c r="BS30" s="73"/>
      <c r="BT30" s="73"/>
      <c r="BU30" s="73"/>
      <c r="BV30" s="73"/>
      <c r="BW30" s="74"/>
      <c r="BX30" s="74"/>
      <c r="BY30" s="63"/>
      <c r="BZ30" s="63"/>
    </row>
    <row r="31" ht="15.75" customHeight="1">
      <c r="A31" s="75" t="s">
        <v>347</v>
      </c>
      <c r="B31" s="50" t="s">
        <v>348</v>
      </c>
      <c r="C31" s="50" t="s">
        <v>323</v>
      </c>
      <c r="D31" s="50" t="s">
        <v>349</v>
      </c>
      <c r="E31" s="64" t="s">
        <v>350</v>
      </c>
      <c r="F31" s="78">
        <v>1.35E8</v>
      </c>
      <c r="G31" s="44" t="str">
        <f t="shared" si="1"/>
        <v>$100'000.000 a $200'000.000</v>
      </c>
      <c r="H31" s="44"/>
      <c r="I31" s="44"/>
      <c r="J31" s="50" t="s">
        <v>116</v>
      </c>
      <c r="K31" s="51" t="s">
        <v>294</v>
      </c>
      <c r="L31" s="50">
        <v>3.0</v>
      </c>
      <c r="M31" s="50"/>
      <c r="N31" s="50">
        <v>1.0</v>
      </c>
      <c r="O31" s="50">
        <v>1.0</v>
      </c>
      <c r="P31" s="50">
        <v>5.0</v>
      </c>
      <c r="Q31" s="88">
        <v>57.0</v>
      </c>
      <c r="R31" s="88">
        <v>57.0</v>
      </c>
      <c r="S31" s="56" t="str">
        <f t="shared" si="2"/>
        <v> </v>
      </c>
      <c r="T31" s="50" t="s">
        <v>78</v>
      </c>
      <c r="U31" s="51" t="s">
        <v>77</v>
      </c>
      <c r="V31" s="50" t="s">
        <v>333</v>
      </c>
      <c r="W31" s="50"/>
      <c r="X31" s="50">
        <v>3.0</v>
      </c>
      <c r="Y31" s="50" t="s">
        <v>130</v>
      </c>
      <c r="Z31" s="58">
        <v>197000.0</v>
      </c>
      <c r="AA31" s="59" t="str">
        <f>IF(Rentabilidad=0,"No aplica",TEXT(ROUND(Precio/Rentabilidad/12,0),0) &amp; " años")</f>
        <v>No aplica</v>
      </c>
      <c r="AB31" s="82" t="s">
        <v>351</v>
      </c>
      <c r="AC31" s="83" t="s">
        <v>352</v>
      </c>
      <c r="AD31" s="83" t="s">
        <v>353</v>
      </c>
      <c r="AE31" s="63"/>
      <c r="AF31" s="64" t="s">
        <v>105</v>
      </c>
      <c r="AG31" s="65" t="s">
        <v>106</v>
      </c>
      <c r="AH31" s="63"/>
      <c r="AI31" s="65" t="s">
        <v>107</v>
      </c>
      <c r="AJ31" s="64" t="s">
        <v>124</v>
      </c>
      <c r="AK31" s="50" t="s">
        <v>81</v>
      </c>
      <c r="AL31" s="45" t="s">
        <v>109</v>
      </c>
      <c r="AM31" s="52">
        <v>3.133523454E9</v>
      </c>
      <c r="AN31" s="64">
        <v>0.0</v>
      </c>
      <c r="AO31" s="52"/>
      <c r="AP31" s="67"/>
      <c r="AQ31" s="67"/>
      <c r="AR31" s="67"/>
      <c r="AS31" s="94">
        <v>0.0</v>
      </c>
      <c r="AT31" s="65">
        <v>0.0</v>
      </c>
      <c r="AU31" s="50">
        <v>0.0</v>
      </c>
      <c r="AV31" s="50">
        <v>0.0</v>
      </c>
      <c r="AW31" s="50" t="s">
        <v>88</v>
      </c>
      <c r="AX31" s="50">
        <v>0.0</v>
      </c>
      <c r="AY31" s="50">
        <v>0.0</v>
      </c>
      <c r="AZ31" s="50">
        <v>0.0</v>
      </c>
      <c r="BA31" s="43" t="s">
        <v>89</v>
      </c>
      <c r="BB31" s="50">
        <v>0.0</v>
      </c>
      <c r="BC31" s="95"/>
      <c r="BD31" s="71"/>
      <c r="BE31" s="70"/>
      <c r="BF31" s="72" t="s">
        <v>354</v>
      </c>
      <c r="BG31" s="73"/>
      <c r="BH31" s="73"/>
      <c r="BI31" s="73"/>
      <c r="BJ31" s="73"/>
      <c r="BK31" s="73"/>
      <c r="BL31" s="73"/>
      <c r="BM31" s="73"/>
      <c r="BN31" s="73"/>
      <c r="BO31" s="73"/>
      <c r="BP31" s="73"/>
      <c r="BQ31" s="73"/>
      <c r="BR31" s="73"/>
      <c r="BS31" s="73"/>
      <c r="BT31" s="73"/>
      <c r="BU31" s="73"/>
      <c r="BV31" s="73"/>
      <c r="BW31" s="74"/>
      <c r="BX31" s="74"/>
      <c r="BY31" s="63"/>
      <c r="BZ31" s="63"/>
    </row>
    <row r="32" ht="15.75" customHeight="1">
      <c r="A32" s="75" t="s">
        <v>355</v>
      </c>
      <c r="B32" s="50" t="s">
        <v>356</v>
      </c>
      <c r="C32" s="64" t="s">
        <v>340</v>
      </c>
      <c r="D32" s="50"/>
      <c r="E32" s="64" t="s">
        <v>357</v>
      </c>
      <c r="F32" s="78">
        <v>1.3E8</v>
      </c>
      <c r="G32" s="44" t="str">
        <f t="shared" si="1"/>
        <v>$100'000.000 a $200'000.000</v>
      </c>
      <c r="H32" s="44"/>
      <c r="I32" s="44"/>
      <c r="J32" s="50" t="s">
        <v>94</v>
      </c>
      <c r="K32" s="51"/>
      <c r="L32" s="50">
        <v>0.0</v>
      </c>
      <c r="M32" s="50"/>
      <c r="N32" s="50">
        <v>0.0</v>
      </c>
      <c r="O32" s="50">
        <v>0.0</v>
      </c>
      <c r="P32" s="50">
        <v>0.0</v>
      </c>
      <c r="Q32" s="88">
        <v>0.0</v>
      </c>
      <c r="R32" s="88">
        <v>520.0</v>
      </c>
      <c r="S32" s="56" t="str">
        <f t="shared" si="2"/>
        <v> </v>
      </c>
      <c r="T32" s="50" t="s">
        <v>342</v>
      </c>
      <c r="U32" s="57"/>
      <c r="V32" s="50" t="s">
        <v>79</v>
      </c>
      <c r="W32" s="50"/>
      <c r="X32" s="50">
        <v>0.0</v>
      </c>
      <c r="Y32" s="50" t="s">
        <v>130</v>
      </c>
      <c r="Z32" s="58">
        <v>280000.0</v>
      </c>
      <c r="AA32" s="59" t="str">
        <f>IF(Rentabilidad=0,"No aplica",TEXT(ROUND(Precio/Rentabilidad/12,0),0) &amp; " años")</f>
        <v>No aplica</v>
      </c>
      <c r="AB32" s="82" t="s">
        <v>358</v>
      </c>
      <c r="AC32" s="83" t="s">
        <v>359</v>
      </c>
      <c r="AD32" s="83" t="s">
        <v>360</v>
      </c>
      <c r="AE32" s="63"/>
      <c r="AF32" s="64">
        <v>0.0</v>
      </c>
      <c r="AG32" s="65" t="s">
        <v>106</v>
      </c>
      <c r="AH32" s="63"/>
      <c r="AI32" s="65" t="s">
        <v>107</v>
      </c>
      <c r="AJ32" s="64" t="s">
        <v>124</v>
      </c>
      <c r="AK32" s="50" t="s">
        <v>81</v>
      </c>
      <c r="AL32" s="45" t="s">
        <v>109</v>
      </c>
      <c r="AM32" s="52">
        <v>3.133523454E9</v>
      </c>
      <c r="AN32" s="45">
        <v>0.0</v>
      </c>
      <c r="AO32" s="93"/>
      <c r="AP32" s="67"/>
      <c r="AQ32" s="67"/>
      <c r="AR32" s="67"/>
      <c r="AS32" s="94">
        <v>0.0</v>
      </c>
      <c r="AT32" s="65" t="s">
        <v>88</v>
      </c>
      <c r="AU32" s="50">
        <v>0.0</v>
      </c>
      <c r="AV32" s="50">
        <v>0.0</v>
      </c>
      <c r="AW32" s="50" t="s">
        <v>88</v>
      </c>
      <c r="AX32" s="50">
        <v>0.0</v>
      </c>
      <c r="AY32" s="50">
        <v>0.0</v>
      </c>
      <c r="AZ32" s="50">
        <v>0.0</v>
      </c>
      <c r="BA32" s="43" t="s">
        <v>89</v>
      </c>
      <c r="BB32" s="50">
        <v>0.0</v>
      </c>
      <c r="BC32" s="95"/>
      <c r="BD32" s="71"/>
      <c r="BE32" s="71"/>
      <c r="BF32" s="72" t="s">
        <v>361</v>
      </c>
      <c r="BG32" s="73"/>
      <c r="BH32" s="73"/>
      <c r="BI32" s="73"/>
      <c r="BJ32" s="73"/>
      <c r="BK32" s="73"/>
      <c r="BL32" s="73"/>
      <c r="BM32" s="73"/>
      <c r="BN32" s="73"/>
      <c r="BO32" s="73"/>
      <c r="BP32" s="73"/>
      <c r="BQ32" s="73"/>
      <c r="BR32" s="73"/>
      <c r="BS32" s="73"/>
      <c r="BT32" s="73"/>
      <c r="BU32" s="73"/>
      <c r="BV32" s="73"/>
      <c r="BW32" s="74"/>
      <c r="BX32" s="74"/>
      <c r="BY32" s="63"/>
      <c r="BZ32" s="63"/>
    </row>
    <row r="33" ht="15.75" customHeight="1">
      <c r="A33" s="75" t="s">
        <v>362</v>
      </c>
      <c r="B33" s="50" t="s">
        <v>356</v>
      </c>
      <c r="C33" s="50" t="s">
        <v>340</v>
      </c>
      <c r="D33" s="50"/>
      <c r="E33" s="64" t="s">
        <v>357</v>
      </c>
      <c r="F33" s="78">
        <v>1.13E8</v>
      </c>
      <c r="G33" s="44" t="str">
        <f t="shared" si="1"/>
        <v>$100'000.000 a $200'000.000</v>
      </c>
      <c r="H33" s="44"/>
      <c r="I33" s="44"/>
      <c r="J33" s="50" t="s">
        <v>94</v>
      </c>
      <c r="K33" s="51"/>
      <c r="L33" s="50">
        <v>0.0</v>
      </c>
      <c r="M33" s="50"/>
      <c r="N33" s="50">
        <v>0.0</v>
      </c>
      <c r="O33" s="50">
        <v>0.0</v>
      </c>
      <c r="P33" s="50">
        <v>0.0</v>
      </c>
      <c r="Q33" s="88">
        <v>0.0</v>
      </c>
      <c r="R33" s="88">
        <v>400.0</v>
      </c>
      <c r="S33" s="56" t="str">
        <f t="shared" si="2"/>
        <v> </v>
      </c>
      <c r="T33" s="50" t="s">
        <v>342</v>
      </c>
      <c r="U33" s="57"/>
      <c r="V33" s="50" t="s">
        <v>118</v>
      </c>
      <c r="W33" s="50"/>
      <c r="X33" s="50">
        <v>0.0</v>
      </c>
      <c r="Y33" s="50" t="s">
        <v>130</v>
      </c>
      <c r="Z33" s="58">
        <v>214000.0</v>
      </c>
      <c r="AA33" s="59" t="str">
        <f>IF(Rentabilidad=0,"No aplica",TEXT(ROUND(Precio/Rentabilidad/12,0),0) &amp; " años")</f>
        <v>No aplica</v>
      </c>
      <c r="AB33" s="100" t="s">
        <v>363</v>
      </c>
      <c r="AC33" s="83" t="s">
        <v>364</v>
      </c>
      <c r="AD33" s="110" t="s">
        <v>365</v>
      </c>
      <c r="AE33" s="63"/>
      <c r="AF33" s="64">
        <v>0.0</v>
      </c>
      <c r="AG33" s="65" t="s">
        <v>106</v>
      </c>
      <c r="AH33" s="63"/>
      <c r="AI33" s="65" t="s">
        <v>107</v>
      </c>
      <c r="AJ33" s="64" t="s">
        <v>124</v>
      </c>
      <c r="AK33" s="50" t="s">
        <v>81</v>
      </c>
      <c r="AL33" s="45" t="s">
        <v>109</v>
      </c>
      <c r="AM33" s="52">
        <v>3.133523454E9</v>
      </c>
      <c r="AN33" s="45">
        <v>0.0</v>
      </c>
      <c r="AO33" s="93"/>
      <c r="AP33" s="67"/>
      <c r="AQ33" s="67"/>
      <c r="AR33" s="67"/>
      <c r="AS33" s="94">
        <v>0.0</v>
      </c>
      <c r="AT33" s="65" t="s">
        <v>88</v>
      </c>
      <c r="AU33" s="50">
        <v>0.0</v>
      </c>
      <c r="AV33" s="50">
        <v>0.0</v>
      </c>
      <c r="AW33" s="50" t="s">
        <v>88</v>
      </c>
      <c r="AX33" s="50">
        <v>0.0</v>
      </c>
      <c r="AY33" s="50">
        <v>0.0</v>
      </c>
      <c r="AZ33" s="50">
        <v>0.0</v>
      </c>
      <c r="BA33" s="43" t="s">
        <v>89</v>
      </c>
      <c r="BB33" s="50">
        <v>0.0</v>
      </c>
      <c r="BC33" s="95"/>
      <c r="BD33" s="71"/>
      <c r="BE33" s="71"/>
      <c r="BF33" s="72" t="s">
        <v>366</v>
      </c>
      <c r="BG33" s="73"/>
      <c r="BH33" s="73"/>
      <c r="BI33" s="73"/>
      <c r="BJ33" s="73"/>
      <c r="BK33" s="73"/>
      <c r="BL33" s="73"/>
      <c r="BM33" s="73"/>
      <c r="BN33" s="73"/>
      <c r="BO33" s="73"/>
      <c r="BP33" s="73"/>
      <c r="BQ33" s="73"/>
      <c r="BR33" s="73"/>
      <c r="BS33" s="73"/>
      <c r="BT33" s="73"/>
      <c r="BU33" s="73"/>
      <c r="BV33" s="73"/>
      <c r="BW33" s="74"/>
      <c r="BX33" s="74"/>
      <c r="BY33" s="63"/>
      <c r="BZ33" s="63"/>
    </row>
    <row r="34" ht="15.75" customHeight="1">
      <c r="A34" s="75" t="s">
        <v>367</v>
      </c>
      <c r="B34" s="50" t="s">
        <v>368</v>
      </c>
      <c r="C34" s="64" t="s">
        <v>340</v>
      </c>
      <c r="D34" s="50"/>
      <c r="E34" s="64" t="s">
        <v>369</v>
      </c>
      <c r="F34" s="78">
        <v>6.0E7</v>
      </c>
      <c r="G34" s="44" t="str">
        <f t="shared" si="1"/>
        <v>$0 a $100'000.000</v>
      </c>
      <c r="H34" s="44"/>
      <c r="I34" s="44"/>
      <c r="J34" s="50" t="s">
        <v>94</v>
      </c>
      <c r="K34" s="51"/>
      <c r="L34" s="50">
        <v>0.0</v>
      </c>
      <c r="M34" s="50"/>
      <c r="N34" s="50">
        <v>0.0</v>
      </c>
      <c r="O34" s="50">
        <v>0.0</v>
      </c>
      <c r="P34" s="50">
        <v>0.0</v>
      </c>
      <c r="Q34" s="88">
        <v>0.0</v>
      </c>
      <c r="R34" s="88">
        <v>400.0</v>
      </c>
      <c r="S34" s="56" t="str">
        <f t="shared" si="2"/>
        <v> </v>
      </c>
      <c r="T34" s="50" t="s">
        <v>342</v>
      </c>
      <c r="U34" s="57"/>
      <c r="V34" s="50" t="s">
        <v>79</v>
      </c>
      <c r="W34" s="50"/>
      <c r="X34" s="50">
        <v>0.0</v>
      </c>
      <c r="Y34" s="50" t="s">
        <v>130</v>
      </c>
      <c r="Z34" s="91"/>
      <c r="AA34" s="59" t="str">
        <f>IF(Rentabilidad=0,"No aplica",TEXT(ROUND(Precio/Rentabilidad/12,0),0) &amp; " años")</f>
        <v>No aplica</v>
      </c>
      <c r="AB34" s="82" t="s">
        <v>370</v>
      </c>
      <c r="AC34" s="83" t="s">
        <v>371</v>
      </c>
      <c r="AD34" s="83" t="s">
        <v>372</v>
      </c>
      <c r="AE34" s="63"/>
      <c r="AF34" s="64">
        <v>0.0</v>
      </c>
      <c r="AG34" s="65" t="s">
        <v>106</v>
      </c>
      <c r="AH34" s="63"/>
      <c r="AI34" s="65" t="s">
        <v>107</v>
      </c>
      <c r="AJ34" s="64" t="s">
        <v>124</v>
      </c>
      <c r="AK34" s="50" t="s">
        <v>81</v>
      </c>
      <c r="AL34" s="45" t="s">
        <v>109</v>
      </c>
      <c r="AM34" s="52">
        <v>3.133523454E9</v>
      </c>
      <c r="AN34" s="45">
        <v>0.0</v>
      </c>
      <c r="AO34" s="93"/>
      <c r="AP34" s="67"/>
      <c r="AQ34" s="67"/>
      <c r="AR34" s="67"/>
      <c r="AS34" s="94">
        <v>0.0</v>
      </c>
      <c r="AT34" s="65" t="s">
        <v>88</v>
      </c>
      <c r="AU34" s="50">
        <v>0.0</v>
      </c>
      <c r="AV34" s="50">
        <v>0.0</v>
      </c>
      <c r="AW34" s="50" t="s">
        <v>88</v>
      </c>
      <c r="AX34" s="50">
        <v>0.0</v>
      </c>
      <c r="AY34" s="50">
        <v>0.0</v>
      </c>
      <c r="AZ34" s="50">
        <v>0.0</v>
      </c>
      <c r="BA34" s="43" t="s">
        <v>89</v>
      </c>
      <c r="BB34" s="50">
        <v>0.0</v>
      </c>
      <c r="BC34" s="95"/>
      <c r="BD34" s="71"/>
      <c r="BE34" s="71"/>
      <c r="BF34" s="72" t="s">
        <v>373</v>
      </c>
      <c r="BG34" s="73"/>
      <c r="BH34" s="73"/>
      <c r="BI34" s="73"/>
      <c r="BJ34" s="73"/>
      <c r="BK34" s="73"/>
      <c r="BL34" s="73"/>
      <c r="BM34" s="73"/>
      <c r="BN34" s="73"/>
      <c r="BO34" s="73"/>
      <c r="BP34" s="73"/>
      <c r="BQ34" s="73"/>
      <c r="BR34" s="73"/>
      <c r="BS34" s="73"/>
      <c r="BT34" s="73"/>
      <c r="BU34" s="73"/>
      <c r="BV34" s="73"/>
      <c r="BW34" s="74"/>
      <c r="BX34" s="74"/>
      <c r="BY34" s="63"/>
      <c r="BZ34" s="63"/>
    </row>
    <row r="35" ht="15.75" customHeight="1">
      <c r="A35" s="75" t="s">
        <v>374</v>
      </c>
      <c r="B35" s="112" t="s">
        <v>375</v>
      </c>
      <c r="C35" s="50" t="s">
        <v>70</v>
      </c>
      <c r="D35" s="44" t="s">
        <v>293</v>
      </c>
      <c r="E35" s="77" t="s">
        <v>376</v>
      </c>
      <c r="F35" s="47">
        <v>3.3E8</v>
      </c>
      <c r="G35" s="44" t="str">
        <f t="shared" si="1"/>
        <v>$300'000.000 a $400'000.000</v>
      </c>
      <c r="H35" s="44"/>
      <c r="I35" s="44"/>
      <c r="J35" s="50" t="s">
        <v>116</v>
      </c>
      <c r="K35" s="57"/>
      <c r="L35" s="44">
        <v>3.0</v>
      </c>
      <c r="M35" s="44"/>
      <c r="N35" s="44">
        <v>3.0</v>
      </c>
      <c r="O35" s="50">
        <v>1.0</v>
      </c>
      <c r="P35" s="44">
        <v>2.0</v>
      </c>
      <c r="Q35" s="113">
        <v>120.0</v>
      </c>
      <c r="R35" s="79">
        <v>65.0</v>
      </c>
      <c r="S35" s="56" t="str">
        <f t="shared" si="2"/>
        <v> </v>
      </c>
      <c r="T35" s="44" t="s">
        <v>78</v>
      </c>
      <c r="U35" s="57" t="s">
        <v>184</v>
      </c>
      <c r="V35" s="50" t="s">
        <v>118</v>
      </c>
      <c r="W35" s="50"/>
      <c r="X35" s="44">
        <v>3.0</v>
      </c>
      <c r="Y35" s="50" t="s">
        <v>80</v>
      </c>
      <c r="Z35" s="58" t="s">
        <v>81</v>
      </c>
      <c r="AA35" s="59" t="str">
        <f>IF(Rentabilidad=0,"No aplica",TEXT(ROUND(Precio/Rentabilidad/12,0),0) &amp; " años")</f>
        <v>No aplica</v>
      </c>
      <c r="AB35" s="82" t="s">
        <v>377</v>
      </c>
      <c r="AC35" s="61"/>
      <c r="AD35" s="62"/>
      <c r="AE35" s="63"/>
      <c r="AF35" s="45" t="s">
        <v>105</v>
      </c>
      <c r="AG35" s="65"/>
      <c r="AH35" s="65"/>
      <c r="AI35" s="63"/>
      <c r="AJ35" s="64" t="s">
        <v>124</v>
      </c>
      <c r="AK35" s="50" t="s">
        <v>81</v>
      </c>
      <c r="AL35" s="45" t="s">
        <v>109</v>
      </c>
      <c r="AM35" s="52">
        <v>3.133523454E9</v>
      </c>
      <c r="AN35" s="45">
        <v>0.0</v>
      </c>
      <c r="AO35" s="93"/>
      <c r="AP35" s="67">
        <v>0.0</v>
      </c>
      <c r="AQ35" s="67"/>
      <c r="AR35" s="67"/>
      <c r="AS35" s="68">
        <v>0.0</v>
      </c>
      <c r="AT35" s="44">
        <v>0.0</v>
      </c>
      <c r="AU35" s="44">
        <v>0.0</v>
      </c>
      <c r="AV35" s="44">
        <v>0.0</v>
      </c>
      <c r="AW35" s="44" t="s">
        <v>106</v>
      </c>
      <c r="AX35" s="44">
        <v>0.0</v>
      </c>
      <c r="AY35" s="44">
        <v>0.0</v>
      </c>
      <c r="AZ35" s="44">
        <v>0.0</v>
      </c>
      <c r="BA35" s="43" t="s">
        <v>89</v>
      </c>
      <c r="BB35" s="44">
        <v>0.0</v>
      </c>
      <c r="BC35" s="109"/>
      <c r="BD35" s="70"/>
      <c r="BE35" s="71"/>
      <c r="BF35" s="72" t="s">
        <v>378</v>
      </c>
      <c r="BG35" s="73"/>
      <c r="BH35" s="73"/>
      <c r="BI35" s="73"/>
      <c r="BJ35" s="73"/>
      <c r="BK35" s="73"/>
      <c r="BL35" s="73"/>
      <c r="BM35" s="73"/>
      <c r="BN35" s="73"/>
      <c r="BO35" s="73"/>
      <c r="BP35" s="73"/>
      <c r="BQ35" s="73"/>
      <c r="BR35" s="73"/>
      <c r="BS35" s="73"/>
      <c r="BT35" s="73"/>
      <c r="BU35" s="73"/>
      <c r="BV35" s="73"/>
      <c r="BW35" s="74"/>
      <c r="BX35" s="74"/>
      <c r="BY35" s="63"/>
      <c r="BZ35" s="63"/>
    </row>
    <row r="36" ht="15.75" customHeight="1">
      <c r="A36" s="75" t="s">
        <v>379</v>
      </c>
      <c r="B36" s="50" t="s">
        <v>380</v>
      </c>
      <c r="C36" s="50" t="s">
        <v>70</v>
      </c>
      <c r="D36" s="50" t="s">
        <v>381</v>
      </c>
      <c r="E36" s="64"/>
      <c r="F36" s="78">
        <v>2.69E8</v>
      </c>
      <c r="G36" s="44" t="str">
        <f t="shared" si="1"/>
        <v>$200'000.000 a $300'000.000</v>
      </c>
      <c r="H36" s="44"/>
      <c r="I36" s="44"/>
      <c r="J36" s="50" t="s">
        <v>94</v>
      </c>
      <c r="K36" s="51"/>
      <c r="L36" s="50">
        <v>3.0</v>
      </c>
      <c r="M36" s="50"/>
      <c r="N36" s="50">
        <v>2.0</v>
      </c>
      <c r="O36" s="50">
        <v>2.0</v>
      </c>
      <c r="P36" s="50">
        <v>1.0</v>
      </c>
      <c r="Q36" s="88">
        <v>106.0</v>
      </c>
      <c r="R36" s="88">
        <v>186.0</v>
      </c>
      <c r="S36" s="56" t="str">
        <f t="shared" si="2"/>
        <v> </v>
      </c>
      <c r="T36" s="50" t="s">
        <v>78</v>
      </c>
      <c r="U36" s="51" t="s">
        <v>184</v>
      </c>
      <c r="V36" s="50" t="s">
        <v>118</v>
      </c>
      <c r="W36" s="50"/>
      <c r="X36" s="50">
        <v>3.0</v>
      </c>
      <c r="Y36" s="50" t="s">
        <v>80</v>
      </c>
      <c r="Z36" s="58" t="s">
        <v>81</v>
      </c>
      <c r="AA36" s="59" t="str">
        <f>IF(Rentabilidad=0,"No aplica",TEXT(ROUND(Precio/Rentabilidad/12,0),0) &amp; " años")</f>
        <v>No aplica</v>
      </c>
      <c r="AB36" s="82" t="s">
        <v>382</v>
      </c>
      <c r="AC36" s="83" t="s">
        <v>383</v>
      </c>
      <c r="AD36" s="83" t="s">
        <v>384</v>
      </c>
      <c r="AE36" s="63"/>
      <c r="AF36" s="45" t="s">
        <v>236</v>
      </c>
      <c r="AG36" s="65" t="s">
        <v>106</v>
      </c>
      <c r="AH36" s="63"/>
      <c r="AI36" s="65" t="s">
        <v>107</v>
      </c>
      <c r="AJ36" s="64" t="s">
        <v>385</v>
      </c>
      <c r="AK36" s="50" t="s">
        <v>81</v>
      </c>
      <c r="AL36" s="45" t="s">
        <v>109</v>
      </c>
      <c r="AM36" s="50">
        <v>3.133523454E9</v>
      </c>
      <c r="AN36" s="64">
        <v>0.0</v>
      </c>
      <c r="AO36" s="43">
        <v>0.0</v>
      </c>
      <c r="AP36" s="67"/>
      <c r="AQ36" s="67"/>
      <c r="AR36" s="67"/>
      <c r="AS36" s="94">
        <v>0.0</v>
      </c>
      <c r="AT36" s="65">
        <v>0.0</v>
      </c>
      <c r="AU36" s="50">
        <v>0.0</v>
      </c>
      <c r="AV36" s="50">
        <v>0.0</v>
      </c>
      <c r="AW36" s="50" t="s">
        <v>106</v>
      </c>
      <c r="AX36" s="50">
        <v>0.0</v>
      </c>
      <c r="AY36" s="50" t="s">
        <v>106</v>
      </c>
      <c r="AZ36" s="44"/>
      <c r="BA36" s="43" t="s">
        <v>89</v>
      </c>
      <c r="BB36" s="44"/>
      <c r="BC36" s="95"/>
      <c r="BD36" s="71"/>
      <c r="BE36" s="71"/>
      <c r="BF36" s="72" t="s">
        <v>386</v>
      </c>
      <c r="BG36" s="73"/>
      <c r="BH36" s="73"/>
      <c r="BI36" s="73"/>
      <c r="BJ36" s="73"/>
      <c r="BK36" s="73"/>
      <c r="BL36" s="73"/>
      <c r="BM36" s="73"/>
      <c r="BN36" s="73"/>
      <c r="BO36" s="73"/>
      <c r="BP36" s="73"/>
      <c r="BQ36" s="73"/>
      <c r="BR36" s="73"/>
      <c r="BS36" s="73"/>
      <c r="BT36" s="73"/>
      <c r="BU36" s="73"/>
      <c r="BV36" s="73"/>
      <c r="BW36" s="74"/>
      <c r="BX36" s="74"/>
      <c r="BY36" s="63"/>
      <c r="BZ36" s="63"/>
    </row>
    <row r="37" ht="15.75" customHeight="1">
      <c r="A37" s="41" t="s">
        <v>387</v>
      </c>
      <c r="B37" s="112" t="s">
        <v>388</v>
      </c>
      <c r="C37" s="50" t="s">
        <v>70</v>
      </c>
      <c r="D37" s="44" t="s">
        <v>389</v>
      </c>
      <c r="E37" s="45"/>
      <c r="F37" s="47">
        <v>7.0E8</v>
      </c>
      <c r="G37" s="44" t="str">
        <f t="shared" si="1"/>
        <v>$500'000.000 a $1.000'000.000</v>
      </c>
      <c r="H37" s="44"/>
      <c r="I37" s="44"/>
      <c r="J37" s="50" t="s">
        <v>76</v>
      </c>
      <c r="K37" s="56" t="s">
        <v>77</v>
      </c>
      <c r="L37" s="44">
        <v>4.0</v>
      </c>
      <c r="M37" s="44"/>
      <c r="N37" s="44">
        <v>3.0</v>
      </c>
      <c r="O37" s="50">
        <v>1.0</v>
      </c>
      <c r="P37" s="44">
        <v>1.0</v>
      </c>
      <c r="Q37" s="113">
        <v>210.0</v>
      </c>
      <c r="R37" s="79">
        <v>210.0</v>
      </c>
      <c r="S37" s="56" t="str">
        <f t="shared" si="2"/>
        <v> </v>
      </c>
      <c r="T37" s="44" t="s">
        <v>78</v>
      </c>
      <c r="U37" s="114" t="s">
        <v>142</v>
      </c>
      <c r="V37" s="50" t="s">
        <v>79</v>
      </c>
      <c r="W37" s="50"/>
      <c r="X37" s="44">
        <v>4.0</v>
      </c>
      <c r="Y37" s="50" t="s">
        <v>80</v>
      </c>
      <c r="Z37" s="58" t="s">
        <v>81</v>
      </c>
      <c r="AA37" s="59" t="str">
        <f>IF(Rentabilidad=0,"No aplica",TEXT(ROUND(Precio/Rentabilidad/12,0),0) &amp; " años")</f>
        <v>No aplica</v>
      </c>
      <c r="AB37" s="115" t="s">
        <v>390</v>
      </c>
      <c r="AC37" s="61"/>
      <c r="AD37" s="62"/>
      <c r="AE37" s="63"/>
      <c r="AF37" s="64" t="s">
        <v>236</v>
      </c>
      <c r="AG37" s="63"/>
      <c r="AH37" s="65" t="s">
        <v>45</v>
      </c>
      <c r="AI37" s="63"/>
      <c r="AJ37" s="64" t="s">
        <v>391</v>
      </c>
      <c r="AK37" s="44"/>
      <c r="AL37" s="45" t="s">
        <v>109</v>
      </c>
      <c r="AM37" s="52">
        <v>3.212323681E9</v>
      </c>
      <c r="AN37" s="45">
        <v>3.135781638E9</v>
      </c>
      <c r="AO37" s="116"/>
      <c r="AP37" s="117" t="s">
        <v>392</v>
      </c>
      <c r="AQ37" s="117"/>
      <c r="AR37" s="117"/>
      <c r="AS37" s="118">
        <v>0.0</v>
      </c>
      <c r="AT37" s="63">
        <v>0.0</v>
      </c>
      <c r="AU37" s="52">
        <v>0.0</v>
      </c>
      <c r="AV37" s="52">
        <v>0.0</v>
      </c>
      <c r="AW37" s="43" t="s">
        <v>88</v>
      </c>
      <c r="AX37" s="52">
        <v>0.0</v>
      </c>
      <c r="AY37" s="52">
        <v>0.0</v>
      </c>
      <c r="AZ37" s="63">
        <v>0.0</v>
      </c>
      <c r="BA37" s="43" t="s">
        <v>89</v>
      </c>
      <c r="BB37" s="63">
        <v>0.0</v>
      </c>
      <c r="BC37" s="69"/>
      <c r="BD37" s="70"/>
      <c r="BE37" s="71"/>
      <c r="BF37" s="72" t="s">
        <v>393</v>
      </c>
      <c r="BG37" s="74"/>
      <c r="BH37" s="74"/>
      <c r="BI37" s="74"/>
      <c r="BJ37" s="74"/>
      <c r="BK37" s="74"/>
      <c r="BL37" s="74"/>
      <c r="BM37" s="74"/>
      <c r="BN37" s="74"/>
      <c r="BO37" s="74"/>
      <c r="BP37" s="74"/>
      <c r="BQ37" s="74"/>
      <c r="BR37" s="74"/>
      <c r="BS37" s="74"/>
      <c r="BT37" s="74"/>
      <c r="BU37" s="74"/>
      <c r="BV37" s="74"/>
      <c r="BW37" s="74"/>
      <c r="BX37" s="74"/>
      <c r="BY37" s="63"/>
      <c r="BZ37" s="63"/>
    </row>
    <row r="38" ht="15.75" customHeight="1">
      <c r="A38" s="41" t="s">
        <v>394</v>
      </c>
      <c r="B38" s="50" t="s">
        <v>395</v>
      </c>
      <c r="C38" s="50" t="s">
        <v>70</v>
      </c>
      <c r="D38" s="50" t="s">
        <v>72</v>
      </c>
      <c r="E38" s="77" t="s">
        <v>376</v>
      </c>
      <c r="F38" s="47">
        <v>3.0E8</v>
      </c>
      <c r="G38" s="44" t="str">
        <f t="shared" si="1"/>
        <v>$300'000.000 a $400'000.000</v>
      </c>
      <c r="H38" s="44"/>
      <c r="I38" s="44"/>
      <c r="J38" s="50" t="s">
        <v>183</v>
      </c>
      <c r="K38" s="51" t="s">
        <v>184</v>
      </c>
      <c r="L38" s="44">
        <v>6.0</v>
      </c>
      <c r="M38" s="44"/>
      <c r="N38" s="44">
        <v>2.0</v>
      </c>
      <c r="O38" s="50">
        <v>1.0</v>
      </c>
      <c r="P38" s="44">
        <v>2.0</v>
      </c>
      <c r="Q38" s="113">
        <v>140.0</v>
      </c>
      <c r="R38" s="79">
        <v>90.0</v>
      </c>
      <c r="S38" s="56" t="str">
        <f t="shared" si="2"/>
        <v> </v>
      </c>
      <c r="T38" s="44" t="s">
        <v>78</v>
      </c>
      <c r="U38" s="114" t="s">
        <v>77</v>
      </c>
      <c r="V38" s="50" t="s">
        <v>79</v>
      </c>
      <c r="W38" s="50"/>
      <c r="X38" s="44">
        <v>4.0</v>
      </c>
      <c r="Y38" s="50" t="s">
        <v>80</v>
      </c>
      <c r="Z38" s="58" t="s">
        <v>81</v>
      </c>
      <c r="AA38" s="59" t="str">
        <f>IF(Rentabilidad=0,"No aplica",TEXT(ROUND(Precio/Rentabilidad/12,0),0) &amp; " años")</f>
        <v>No aplica</v>
      </c>
      <c r="AB38" s="115" t="s">
        <v>396</v>
      </c>
      <c r="AC38" s="61"/>
      <c r="AD38" s="62"/>
      <c r="AE38" s="63"/>
      <c r="AF38" s="64" t="s">
        <v>236</v>
      </c>
      <c r="AG38" s="63"/>
      <c r="AH38" s="65" t="s">
        <v>45</v>
      </c>
      <c r="AI38" s="63"/>
      <c r="AJ38" s="64" t="s">
        <v>397</v>
      </c>
      <c r="AK38" s="44"/>
      <c r="AL38" s="45" t="s">
        <v>109</v>
      </c>
      <c r="AM38" s="52">
        <v>3.212323681E9</v>
      </c>
      <c r="AN38" s="45">
        <v>3.135781638E9</v>
      </c>
      <c r="AO38" s="52"/>
      <c r="AP38" s="117" t="s">
        <v>398</v>
      </c>
      <c r="AQ38" s="117"/>
      <c r="AR38" s="117"/>
      <c r="AS38" s="118">
        <v>0.0</v>
      </c>
      <c r="AT38" s="63">
        <v>0.0</v>
      </c>
      <c r="AU38" s="52">
        <v>0.0</v>
      </c>
      <c r="AV38" s="52">
        <v>0.0</v>
      </c>
      <c r="AW38" s="43" t="s">
        <v>88</v>
      </c>
      <c r="AX38" s="52">
        <v>0.0</v>
      </c>
      <c r="AY38" s="52">
        <v>0.0</v>
      </c>
      <c r="AZ38" s="63">
        <v>6.0</v>
      </c>
      <c r="BA38" s="43" t="s">
        <v>89</v>
      </c>
      <c r="BB38" s="63">
        <v>15.0</v>
      </c>
      <c r="BC38" s="64" t="s">
        <v>399</v>
      </c>
      <c r="BD38" s="70"/>
      <c r="BE38" s="71"/>
      <c r="BF38" s="72" t="s">
        <v>400</v>
      </c>
      <c r="BG38" s="73"/>
      <c r="BH38" s="73"/>
      <c r="BI38" s="73"/>
      <c r="BJ38" s="73"/>
      <c r="BK38" s="73"/>
      <c r="BL38" s="73"/>
      <c r="BM38" s="73"/>
      <c r="BN38" s="73"/>
      <c r="BO38" s="73"/>
      <c r="BP38" s="73"/>
      <c r="BQ38" s="73"/>
      <c r="BR38" s="73"/>
      <c r="BS38" s="73"/>
      <c r="BT38" s="73"/>
      <c r="BU38" s="73"/>
      <c r="BV38" s="73"/>
      <c r="BW38" s="74"/>
      <c r="BX38" s="74"/>
      <c r="BY38" s="63"/>
      <c r="BZ38" s="63"/>
    </row>
    <row r="39" ht="15.75" customHeight="1">
      <c r="A39" s="41" t="s">
        <v>401</v>
      </c>
      <c r="B39" s="50" t="s">
        <v>402</v>
      </c>
      <c r="C39" s="50" t="s">
        <v>70</v>
      </c>
      <c r="D39" s="44" t="s">
        <v>193</v>
      </c>
      <c r="E39" s="45"/>
      <c r="F39" s="47">
        <v>9.0E8</v>
      </c>
      <c r="G39" s="44" t="str">
        <f t="shared" si="1"/>
        <v>$500'000.000 a $1.000'000.000</v>
      </c>
      <c r="H39" s="44"/>
      <c r="I39" s="44"/>
      <c r="J39" s="50" t="s">
        <v>76</v>
      </c>
      <c r="K39" s="56" t="s">
        <v>77</v>
      </c>
      <c r="L39" s="44">
        <v>6.0</v>
      </c>
      <c r="M39" s="44"/>
      <c r="N39" s="44">
        <v>3.0</v>
      </c>
      <c r="O39" s="50">
        <v>1.0</v>
      </c>
      <c r="P39" s="44">
        <v>2.0</v>
      </c>
      <c r="Q39" s="113"/>
      <c r="R39" s="79">
        <v>323.0</v>
      </c>
      <c r="S39" s="56" t="str">
        <f t="shared" si="2"/>
        <v> </v>
      </c>
      <c r="T39" s="44" t="s">
        <v>78</v>
      </c>
      <c r="U39" s="114" t="s">
        <v>142</v>
      </c>
      <c r="V39" s="50" t="s">
        <v>118</v>
      </c>
      <c r="W39" s="50"/>
      <c r="X39" s="44">
        <v>5.0</v>
      </c>
      <c r="Y39" s="50" t="s">
        <v>80</v>
      </c>
      <c r="Z39" s="58" t="s">
        <v>81</v>
      </c>
      <c r="AA39" s="59" t="str">
        <f>IF(Rentabilidad=0,"No aplica",TEXT(ROUND(Precio/Rentabilidad/12,0),0) &amp; " años")</f>
        <v>No aplica</v>
      </c>
      <c r="AB39" s="115" t="s">
        <v>403</v>
      </c>
      <c r="AC39" s="61"/>
      <c r="AD39" s="62"/>
      <c r="AE39" s="63"/>
      <c r="AF39" s="64" t="s">
        <v>236</v>
      </c>
      <c r="AG39" s="63"/>
      <c r="AH39" s="65" t="s">
        <v>45</v>
      </c>
      <c r="AI39" s="63"/>
      <c r="AJ39" s="64" t="s">
        <v>404</v>
      </c>
      <c r="AK39" s="44"/>
      <c r="AL39" s="45" t="s">
        <v>109</v>
      </c>
      <c r="AM39" s="52">
        <v>3.212323681E9</v>
      </c>
      <c r="AN39" s="45">
        <v>3.135781638E9</v>
      </c>
      <c r="AO39" s="52"/>
      <c r="AP39" s="117" t="s">
        <v>405</v>
      </c>
      <c r="AQ39" s="117"/>
      <c r="AR39" s="117"/>
      <c r="AS39" s="118">
        <v>0.0</v>
      </c>
      <c r="AT39" s="63">
        <v>0.0</v>
      </c>
      <c r="AU39" s="52">
        <v>0.0</v>
      </c>
      <c r="AV39" s="52">
        <v>0.0</v>
      </c>
      <c r="AW39" s="43" t="s">
        <v>88</v>
      </c>
      <c r="AX39" s="52">
        <v>0.0</v>
      </c>
      <c r="AY39" s="52">
        <v>0.0</v>
      </c>
      <c r="AZ39" s="63">
        <v>0.0</v>
      </c>
      <c r="BA39" s="43" t="s">
        <v>89</v>
      </c>
      <c r="BB39" s="63">
        <v>0.0</v>
      </c>
      <c r="BC39" s="69" t="s">
        <v>406</v>
      </c>
      <c r="BD39" s="70"/>
      <c r="BE39" s="71"/>
      <c r="BF39" s="72" t="s">
        <v>407</v>
      </c>
      <c r="BG39" s="73"/>
      <c r="BH39" s="73"/>
      <c r="BI39" s="73"/>
      <c r="BJ39" s="73"/>
      <c r="BK39" s="73"/>
      <c r="BL39" s="73"/>
      <c r="BM39" s="73"/>
      <c r="BN39" s="73"/>
      <c r="BO39" s="73"/>
      <c r="BP39" s="73"/>
      <c r="BQ39" s="73"/>
      <c r="BR39" s="73"/>
      <c r="BS39" s="73"/>
      <c r="BT39" s="73"/>
      <c r="BU39" s="73"/>
      <c r="BV39" s="73"/>
      <c r="BW39" s="74"/>
      <c r="BX39" s="74"/>
      <c r="BY39" s="63"/>
      <c r="BZ39" s="63"/>
    </row>
    <row r="40" ht="15.75" customHeight="1">
      <c r="A40" s="41" t="s">
        <v>408</v>
      </c>
      <c r="B40" s="112" t="s">
        <v>409</v>
      </c>
      <c r="C40" s="50" t="s">
        <v>70</v>
      </c>
      <c r="D40" s="44" t="s">
        <v>205</v>
      </c>
      <c r="E40" s="45"/>
      <c r="F40" s="47">
        <v>7.0E8</v>
      </c>
      <c r="G40" s="44" t="str">
        <f t="shared" si="1"/>
        <v>$500'000.000 a $1.000'000.000</v>
      </c>
      <c r="H40" s="44"/>
      <c r="I40" s="44"/>
      <c r="J40" s="50" t="s">
        <v>76</v>
      </c>
      <c r="K40" s="119" t="s">
        <v>77</v>
      </c>
      <c r="L40" s="44">
        <v>3.0</v>
      </c>
      <c r="M40" s="44"/>
      <c r="N40" s="44">
        <v>6.0</v>
      </c>
      <c r="O40" s="50">
        <v>1.0</v>
      </c>
      <c r="P40" s="44">
        <v>2.0</v>
      </c>
      <c r="Q40" s="113"/>
      <c r="R40" s="79">
        <v>364.0</v>
      </c>
      <c r="S40" s="56" t="str">
        <f t="shared" si="2"/>
        <v> </v>
      </c>
      <c r="T40" s="44" t="s">
        <v>78</v>
      </c>
      <c r="U40" s="114" t="s">
        <v>142</v>
      </c>
      <c r="V40" s="50" t="s">
        <v>79</v>
      </c>
      <c r="W40" s="50"/>
      <c r="X40" s="44">
        <v>3.0</v>
      </c>
      <c r="Y40" s="50" t="s">
        <v>80</v>
      </c>
      <c r="Z40" s="58" t="s">
        <v>81</v>
      </c>
      <c r="AA40" s="59" t="str">
        <f>IF(Rentabilidad=0,"No aplica",TEXT(ROUND(Precio/Rentabilidad/12,0),0) &amp; " años")</f>
        <v>No aplica</v>
      </c>
      <c r="AB40" s="115" t="s">
        <v>410</v>
      </c>
      <c r="AC40" s="61"/>
      <c r="AD40" s="62"/>
      <c r="AE40" s="63"/>
      <c r="AF40" s="45" t="s">
        <v>105</v>
      </c>
      <c r="AG40" s="63"/>
      <c r="AH40" s="65" t="s">
        <v>45</v>
      </c>
      <c r="AI40" s="63"/>
      <c r="AJ40" s="64" t="s">
        <v>411</v>
      </c>
      <c r="AK40" s="44"/>
      <c r="AL40" s="45" t="s">
        <v>109</v>
      </c>
      <c r="AM40" s="52">
        <v>3.212323681E9</v>
      </c>
      <c r="AN40" s="45">
        <v>3.135781638E9</v>
      </c>
      <c r="AO40" s="116"/>
      <c r="AP40" s="67" t="s">
        <v>412</v>
      </c>
      <c r="AQ40" s="67"/>
      <c r="AR40" s="67"/>
      <c r="AS40" s="118">
        <v>0.0</v>
      </c>
      <c r="AT40" s="63">
        <v>0.0</v>
      </c>
      <c r="AU40" s="52">
        <v>0.0</v>
      </c>
      <c r="AV40" s="52">
        <v>0.0</v>
      </c>
      <c r="AW40" s="43" t="s">
        <v>88</v>
      </c>
      <c r="AX40" s="52">
        <v>0.0</v>
      </c>
      <c r="AY40" s="52">
        <v>0.0</v>
      </c>
      <c r="AZ40" s="63">
        <v>0.0</v>
      </c>
      <c r="BA40" s="43" t="s">
        <v>89</v>
      </c>
      <c r="BB40" s="63">
        <v>0.0</v>
      </c>
      <c r="BC40" s="95"/>
      <c r="BD40" s="71"/>
      <c r="BE40" s="71"/>
      <c r="BF40" s="72" t="s">
        <v>413</v>
      </c>
      <c r="BG40" s="73"/>
      <c r="BH40" s="73"/>
      <c r="BI40" s="73"/>
      <c r="BJ40" s="73"/>
      <c r="BK40" s="73"/>
      <c r="BL40" s="73"/>
      <c r="BM40" s="73"/>
      <c r="BN40" s="73"/>
      <c r="BO40" s="73"/>
      <c r="BP40" s="73"/>
      <c r="BQ40" s="73"/>
      <c r="BR40" s="73"/>
      <c r="BS40" s="73"/>
      <c r="BT40" s="73"/>
      <c r="BU40" s="73"/>
      <c r="BV40" s="73"/>
      <c r="BW40" s="74"/>
      <c r="BX40" s="74"/>
      <c r="BY40" s="63"/>
      <c r="BZ40" s="63"/>
    </row>
    <row r="41" ht="15.75" customHeight="1">
      <c r="A41" s="120" t="s">
        <v>414</v>
      </c>
      <c r="B41" s="112" t="s">
        <v>409</v>
      </c>
      <c r="C41" s="50" t="s">
        <v>70</v>
      </c>
      <c r="D41" s="44" t="s">
        <v>205</v>
      </c>
      <c r="E41" s="45"/>
      <c r="F41" s="47">
        <v>6.5E8</v>
      </c>
      <c r="G41" s="44" t="str">
        <f t="shared" si="1"/>
        <v>$500'000.000 a $1.000'000.000</v>
      </c>
      <c r="H41" s="44"/>
      <c r="I41" s="44"/>
      <c r="J41" s="50" t="s">
        <v>76</v>
      </c>
      <c r="K41" s="119" t="s">
        <v>77</v>
      </c>
      <c r="L41" s="44">
        <v>4.0</v>
      </c>
      <c r="M41" s="44"/>
      <c r="N41" s="44">
        <v>6.0</v>
      </c>
      <c r="O41" s="50">
        <v>1.0</v>
      </c>
      <c r="P41" s="44">
        <v>1.0</v>
      </c>
      <c r="Q41" s="113">
        <v>238.0</v>
      </c>
      <c r="R41" s="79">
        <v>368.0</v>
      </c>
      <c r="S41" s="56" t="str">
        <f t="shared" si="2"/>
        <v> </v>
      </c>
      <c r="T41" s="44" t="s">
        <v>78</v>
      </c>
      <c r="U41" s="114" t="s">
        <v>142</v>
      </c>
      <c r="V41" s="50" t="s">
        <v>79</v>
      </c>
      <c r="W41" s="50"/>
      <c r="X41" s="44">
        <v>3.0</v>
      </c>
      <c r="Y41" s="50" t="s">
        <v>80</v>
      </c>
      <c r="Z41" s="58" t="s">
        <v>81</v>
      </c>
      <c r="AA41" s="59" t="str">
        <f>IF(Rentabilidad=0,"No aplica",TEXT(ROUND(Precio/Rentabilidad/12,0),0) &amp; " años")</f>
        <v>No aplica</v>
      </c>
      <c r="AB41" s="115" t="s">
        <v>415</v>
      </c>
      <c r="AC41" s="61"/>
      <c r="AD41" s="62"/>
      <c r="AE41" s="63"/>
      <c r="AF41" s="45" t="s">
        <v>105</v>
      </c>
      <c r="AG41" s="63"/>
      <c r="AH41" s="65" t="s">
        <v>45</v>
      </c>
      <c r="AI41" s="63"/>
      <c r="AJ41" s="64" t="s">
        <v>411</v>
      </c>
      <c r="AK41" s="44"/>
      <c r="AL41" s="45" t="s">
        <v>109</v>
      </c>
      <c r="AM41" s="52">
        <v>3.212323681E9</v>
      </c>
      <c r="AN41" s="45">
        <v>3.135781638E9</v>
      </c>
      <c r="AO41" s="52"/>
      <c r="AP41" s="117" t="s">
        <v>416</v>
      </c>
      <c r="AQ41" s="117"/>
      <c r="AR41" s="117"/>
      <c r="AS41" s="118">
        <v>0.0</v>
      </c>
      <c r="AT41" s="63">
        <v>0.0</v>
      </c>
      <c r="AU41" s="52">
        <v>0.0</v>
      </c>
      <c r="AV41" s="52">
        <v>0.0</v>
      </c>
      <c r="AW41" s="43" t="s">
        <v>88</v>
      </c>
      <c r="AX41" s="52">
        <v>0.0</v>
      </c>
      <c r="AY41" s="52">
        <v>0.0</v>
      </c>
      <c r="AZ41" s="63">
        <v>0.0</v>
      </c>
      <c r="BA41" s="43" t="s">
        <v>89</v>
      </c>
      <c r="BB41" s="63">
        <v>0.0</v>
      </c>
      <c r="BC41" s="109"/>
      <c r="BD41" s="70"/>
      <c r="BE41" s="71"/>
      <c r="BF41" s="72" t="s">
        <v>417</v>
      </c>
      <c r="BG41" s="73"/>
      <c r="BH41" s="73"/>
      <c r="BI41" s="73"/>
      <c r="BJ41" s="73"/>
      <c r="BK41" s="73"/>
      <c r="BL41" s="73"/>
      <c r="BM41" s="73"/>
      <c r="BN41" s="73"/>
      <c r="BO41" s="73"/>
      <c r="BP41" s="73"/>
      <c r="BQ41" s="73"/>
      <c r="BR41" s="73"/>
      <c r="BS41" s="73"/>
      <c r="BT41" s="73"/>
      <c r="BU41" s="73"/>
      <c r="BV41" s="73"/>
      <c r="BW41" s="74"/>
      <c r="BX41" s="74"/>
      <c r="BY41" s="63"/>
      <c r="BZ41" s="63"/>
    </row>
    <row r="42" ht="15.75" customHeight="1">
      <c r="A42" s="41" t="s">
        <v>418</v>
      </c>
      <c r="B42" s="112" t="s">
        <v>409</v>
      </c>
      <c r="C42" s="50" t="s">
        <v>70</v>
      </c>
      <c r="D42" s="44" t="s">
        <v>205</v>
      </c>
      <c r="E42" s="77" t="s">
        <v>376</v>
      </c>
      <c r="F42" s="47">
        <v>4.5E8</v>
      </c>
      <c r="G42" s="44" t="str">
        <f t="shared" si="1"/>
        <v>$400'000.000 a $500'000.000</v>
      </c>
      <c r="H42" s="44"/>
      <c r="I42" s="44"/>
      <c r="J42" s="50" t="s">
        <v>76</v>
      </c>
      <c r="K42" s="119" t="s">
        <v>77</v>
      </c>
      <c r="L42" s="44">
        <v>4.0</v>
      </c>
      <c r="M42" s="44"/>
      <c r="N42" s="44">
        <v>4.0</v>
      </c>
      <c r="O42" s="50">
        <v>3.0</v>
      </c>
      <c r="P42" s="44">
        <v>2.0</v>
      </c>
      <c r="Q42" s="113"/>
      <c r="R42" s="79">
        <v>225.0</v>
      </c>
      <c r="S42" s="56" t="str">
        <f t="shared" si="2"/>
        <v> </v>
      </c>
      <c r="T42" s="44" t="s">
        <v>78</v>
      </c>
      <c r="U42" s="114" t="s">
        <v>142</v>
      </c>
      <c r="V42" s="50" t="s">
        <v>118</v>
      </c>
      <c r="W42" s="50"/>
      <c r="X42" s="44">
        <v>4.0</v>
      </c>
      <c r="Y42" s="50" t="s">
        <v>80</v>
      </c>
      <c r="Z42" s="58" t="s">
        <v>81</v>
      </c>
      <c r="AA42" s="59" t="str">
        <f>IF(Rentabilidad=0,"No aplica",TEXT(ROUND(Precio/Rentabilidad/12,0),0) &amp; " años")</f>
        <v>No aplica</v>
      </c>
      <c r="AB42" s="115" t="s">
        <v>419</v>
      </c>
      <c r="AC42" s="61"/>
      <c r="AD42" s="62"/>
      <c r="AE42" s="63"/>
      <c r="AF42" s="45" t="s">
        <v>105</v>
      </c>
      <c r="AG42" s="63"/>
      <c r="AH42" s="65" t="s">
        <v>45</v>
      </c>
      <c r="AI42" s="63"/>
      <c r="AJ42" s="64" t="s">
        <v>411</v>
      </c>
      <c r="AK42" s="44"/>
      <c r="AL42" s="45" t="s">
        <v>109</v>
      </c>
      <c r="AM42" s="52">
        <v>3.212323681E9</v>
      </c>
      <c r="AN42" s="45">
        <v>3.135781638E9</v>
      </c>
      <c r="AO42" s="116"/>
      <c r="AP42" s="117" t="s">
        <v>420</v>
      </c>
      <c r="AQ42" s="117"/>
      <c r="AR42" s="117"/>
      <c r="AS42" s="118">
        <v>0.0</v>
      </c>
      <c r="AT42" s="63">
        <v>0.0</v>
      </c>
      <c r="AU42" s="52">
        <v>0.0</v>
      </c>
      <c r="AV42" s="52">
        <v>0.0</v>
      </c>
      <c r="AW42" s="43" t="s">
        <v>88</v>
      </c>
      <c r="AX42" s="52">
        <v>0.0</v>
      </c>
      <c r="AY42" s="52">
        <v>0.0</v>
      </c>
      <c r="AZ42" s="63">
        <v>0.0</v>
      </c>
      <c r="BA42" s="43" t="s">
        <v>89</v>
      </c>
      <c r="BB42" s="63">
        <v>0.0</v>
      </c>
      <c r="BC42" s="69" t="s">
        <v>421</v>
      </c>
      <c r="BD42" s="70"/>
      <c r="BE42" s="71"/>
      <c r="BF42" s="72" t="s">
        <v>422</v>
      </c>
      <c r="BG42" s="73"/>
      <c r="BH42" s="73"/>
      <c r="BI42" s="73"/>
      <c r="BJ42" s="73"/>
      <c r="BK42" s="73"/>
      <c r="BL42" s="73"/>
      <c r="BM42" s="73"/>
      <c r="BN42" s="73"/>
      <c r="BO42" s="73"/>
      <c r="BP42" s="73"/>
      <c r="BQ42" s="73"/>
      <c r="BR42" s="73"/>
      <c r="BS42" s="73"/>
      <c r="BT42" s="73"/>
      <c r="BU42" s="73"/>
      <c r="BV42" s="73"/>
      <c r="BW42" s="74"/>
      <c r="BX42" s="74"/>
      <c r="BY42" s="63"/>
      <c r="BZ42" s="63"/>
    </row>
    <row r="43" ht="15.75" customHeight="1">
      <c r="A43" s="41" t="s">
        <v>423</v>
      </c>
      <c r="B43" s="50" t="s">
        <v>409</v>
      </c>
      <c r="C43" s="50" t="s">
        <v>70</v>
      </c>
      <c r="D43" s="44" t="s">
        <v>205</v>
      </c>
      <c r="E43" s="45"/>
      <c r="F43" s="47">
        <v>3.1E8</v>
      </c>
      <c r="G43" s="44" t="str">
        <f t="shared" si="1"/>
        <v>$300'000.000 a $400'000.000</v>
      </c>
      <c r="H43" s="44"/>
      <c r="I43" s="44"/>
      <c r="J43" s="50" t="s">
        <v>76</v>
      </c>
      <c r="K43" s="119" t="s">
        <v>77</v>
      </c>
      <c r="L43" s="44">
        <v>4.0</v>
      </c>
      <c r="M43" s="44"/>
      <c r="N43" s="44">
        <v>3.0</v>
      </c>
      <c r="O43" s="50">
        <v>1.0</v>
      </c>
      <c r="P43" s="44">
        <v>2.0</v>
      </c>
      <c r="Q43" s="54"/>
      <c r="R43" s="79">
        <v>113.0</v>
      </c>
      <c r="S43" s="56" t="str">
        <f t="shared" si="2"/>
        <v> </v>
      </c>
      <c r="T43" s="44" t="s">
        <v>78</v>
      </c>
      <c r="U43" s="57" t="s">
        <v>77</v>
      </c>
      <c r="V43" s="50" t="s">
        <v>79</v>
      </c>
      <c r="W43" s="50"/>
      <c r="X43" s="44">
        <v>4.0</v>
      </c>
      <c r="Y43" s="50" t="s">
        <v>80</v>
      </c>
      <c r="Z43" s="58" t="s">
        <v>81</v>
      </c>
      <c r="AA43" s="59" t="str">
        <f>IF(Rentabilidad=0,"No aplica",TEXT(ROUND(Precio/Rentabilidad/12,0),0) &amp; " años")</f>
        <v>No aplica</v>
      </c>
      <c r="AB43" s="115" t="s">
        <v>424</v>
      </c>
      <c r="AC43" s="61"/>
      <c r="AD43" s="62"/>
      <c r="AE43" s="63"/>
      <c r="AF43" s="45" t="s">
        <v>105</v>
      </c>
      <c r="AG43" s="63"/>
      <c r="AH43" s="65" t="s">
        <v>45</v>
      </c>
      <c r="AI43" s="63"/>
      <c r="AJ43" s="64" t="s">
        <v>411</v>
      </c>
      <c r="AK43" s="44"/>
      <c r="AL43" s="45" t="s">
        <v>109</v>
      </c>
      <c r="AM43" s="52">
        <v>3.212323681E9</v>
      </c>
      <c r="AN43" s="45" t="s">
        <v>425</v>
      </c>
      <c r="AO43" s="52"/>
      <c r="AP43" s="67" t="s">
        <v>426</v>
      </c>
      <c r="AQ43" s="67"/>
      <c r="AR43" s="67"/>
      <c r="AS43" s="68">
        <v>0.0</v>
      </c>
      <c r="AT43" s="63">
        <v>0.0</v>
      </c>
      <c r="AU43" s="52">
        <v>0.0</v>
      </c>
      <c r="AV43" s="43">
        <v>0.0</v>
      </c>
      <c r="AW43" s="43" t="s">
        <v>88</v>
      </c>
      <c r="AX43" s="52">
        <v>0.0</v>
      </c>
      <c r="AY43" s="52" t="s">
        <v>137</v>
      </c>
      <c r="AZ43" s="44">
        <v>0.0</v>
      </c>
      <c r="BA43" s="43" t="s">
        <v>89</v>
      </c>
      <c r="BB43" s="44">
        <v>0.0</v>
      </c>
      <c r="BC43" s="109"/>
      <c r="BD43" s="121"/>
      <c r="BE43" s="71"/>
      <c r="BF43" s="72" t="s">
        <v>427</v>
      </c>
      <c r="BG43" s="73"/>
      <c r="BH43" s="73"/>
      <c r="BI43" s="73"/>
      <c r="BJ43" s="73"/>
      <c r="BK43" s="73"/>
      <c r="BL43" s="73"/>
      <c r="BM43" s="73"/>
      <c r="BN43" s="73"/>
      <c r="BO43" s="73"/>
      <c r="BP43" s="73"/>
      <c r="BQ43" s="73"/>
      <c r="BR43" s="73"/>
      <c r="BS43" s="73"/>
      <c r="BT43" s="73"/>
      <c r="BU43" s="73"/>
      <c r="BV43" s="73"/>
      <c r="BW43" s="74"/>
      <c r="BX43" s="74"/>
      <c r="BY43" s="63"/>
      <c r="BZ43" s="63"/>
    </row>
    <row r="44" ht="15.75" customHeight="1">
      <c r="A44" s="75" t="s">
        <v>428</v>
      </c>
      <c r="B44" s="122" t="s">
        <v>429</v>
      </c>
      <c r="C44" s="43" t="s">
        <v>70</v>
      </c>
      <c r="D44" s="44" t="s">
        <v>430</v>
      </c>
      <c r="E44" s="45"/>
      <c r="F44" s="47">
        <v>3.4E8</v>
      </c>
      <c r="G44" s="44" t="str">
        <f t="shared" si="1"/>
        <v>$300'000.000 a $400'000.000</v>
      </c>
      <c r="H44" s="44"/>
      <c r="I44" s="44"/>
      <c r="J44" s="50" t="s">
        <v>183</v>
      </c>
      <c r="K44" s="56" t="s">
        <v>184</v>
      </c>
      <c r="L44" s="44">
        <v>4.0</v>
      </c>
      <c r="M44" s="44"/>
      <c r="N44" s="44">
        <v>3.0</v>
      </c>
      <c r="O44" s="50">
        <v>1.0</v>
      </c>
      <c r="P44" s="44">
        <v>2.0</v>
      </c>
      <c r="Q44" s="113">
        <v>150.0</v>
      </c>
      <c r="R44" s="79">
        <v>84.0</v>
      </c>
      <c r="S44" s="56" t="str">
        <f t="shared" si="2"/>
        <v> </v>
      </c>
      <c r="T44" s="44" t="s">
        <v>78</v>
      </c>
      <c r="U44" s="57" t="s">
        <v>77</v>
      </c>
      <c r="V44" s="43" t="s">
        <v>118</v>
      </c>
      <c r="W44" s="43"/>
      <c r="X44" s="44">
        <v>4.0</v>
      </c>
      <c r="Y44" s="50" t="s">
        <v>80</v>
      </c>
      <c r="Z44" s="58" t="s">
        <v>81</v>
      </c>
      <c r="AA44" s="59" t="str">
        <f>IF(Rentabilidad=0,"No aplica",TEXT(ROUND(Precio/Rentabilidad/12,0),0) &amp; " años")</f>
        <v>No aplica</v>
      </c>
      <c r="AB44" s="115" t="s">
        <v>431</v>
      </c>
      <c r="AC44" s="61"/>
      <c r="AD44" s="62"/>
      <c r="AE44" s="63"/>
      <c r="AF44" s="45" t="s">
        <v>105</v>
      </c>
      <c r="AG44" s="63"/>
      <c r="AH44" s="65" t="s">
        <v>45</v>
      </c>
      <c r="AI44" s="63"/>
      <c r="AJ44" s="64" t="s">
        <v>432</v>
      </c>
      <c r="AK44" s="44"/>
      <c r="AL44" s="45" t="s">
        <v>109</v>
      </c>
      <c r="AM44" s="52">
        <v>3.212323681E9</v>
      </c>
      <c r="AN44" s="45">
        <v>3.135781638E9</v>
      </c>
      <c r="AO44" s="52"/>
      <c r="AP44" s="67" t="s">
        <v>433</v>
      </c>
      <c r="AQ44" s="67"/>
      <c r="AR44" s="67"/>
      <c r="AS44" s="68">
        <v>0.0</v>
      </c>
      <c r="AT44" s="44">
        <v>0.0</v>
      </c>
      <c r="AU44" s="52">
        <v>0.0</v>
      </c>
      <c r="AV44" s="52">
        <v>0.0</v>
      </c>
      <c r="AW44" s="43" t="s">
        <v>88</v>
      </c>
      <c r="AX44" s="52">
        <v>0.0</v>
      </c>
      <c r="AY44" s="52">
        <v>0.0</v>
      </c>
      <c r="AZ44" s="44">
        <v>0.0</v>
      </c>
      <c r="BA44" s="43" t="s">
        <v>89</v>
      </c>
      <c r="BB44" s="44">
        <v>0.0</v>
      </c>
      <c r="BC44" s="95"/>
      <c r="BD44" s="71"/>
      <c r="BE44" s="71"/>
      <c r="BF44" s="72" t="s">
        <v>434</v>
      </c>
      <c r="BG44" s="73"/>
      <c r="BH44" s="73"/>
      <c r="BI44" s="73"/>
      <c r="BJ44" s="73"/>
      <c r="BK44" s="73"/>
      <c r="BL44" s="73"/>
      <c r="BM44" s="73"/>
      <c r="BN44" s="73"/>
      <c r="BO44" s="73"/>
      <c r="BP44" s="73"/>
      <c r="BQ44" s="73"/>
      <c r="BR44" s="73"/>
      <c r="BS44" s="73"/>
      <c r="BT44" s="73"/>
      <c r="BU44" s="73"/>
      <c r="BV44" s="73"/>
      <c r="BW44" s="74"/>
      <c r="BX44" s="74"/>
      <c r="BY44" s="63"/>
      <c r="BZ44" s="63"/>
    </row>
    <row r="45">
      <c r="A45" s="75" t="s">
        <v>435</v>
      </c>
      <c r="B45" s="50" t="s">
        <v>436</v>
      </c>
      <c r="C45" s="50" t="s">
        <v>70</v>
      </c>
      <c r="D45" s="50" t="s">
        <v>11</v>
      </c>
      <c r="E45" s="77"/>
      <c r="F45" s="78">
        <v>3.5E8</v>
      </c>
      <c r="G45" s="44" t="str">
        <f t="shared" si="1"/>
        <v>$300'000.000 a $400'000.000</v>
      </c>
      <c r="H45" s="44"/>
      <c r="I45" s="44"/>
      <c r="J45" s="50" t="s">
        <v>183</v>
      </c>
      <c r="K45" s="51" t="s">
        <v>184</v>
      </c>
      <c r="L45" s="50">
        <v>6.0</v>
      </c>
      <c r="M45" s="50"/>
      <c r="N45" s="50">
        <v>2.0</v>
      </c>
      <c r="O45" s="50">
        <v>1.0</v>
      </c>
      <c r="P45" s="50">
        <v>1.0</v>
      </c>
      <c r="Q45" s="88"/>
      <c r="R45" s="88">
        <v>202.24</v>
      </c>
      <c r="S45" s="56" t="str">
        <f t="shared" si="2"/>
        <v> </v>
      </c>
      <c r="T45" s="50" t="s">
        <v>78</v>
      </c>
      <c r="U45" s="51" t="s">
        <v>184</v>
      </c>
      <c r="V45" s="50" t="s">
        <v>118</v>
      </c>
      <c r="W45" s="50"/>
      <c r="X45" s="50">
        <v>0.0</v>
      </c>
      <c r="Y45" s="43" t="s">
        <v>80</v>
      </c>
      <c r="Z45" s="58" t="s">
        <v>81</v>
      </c>
      <c r="AA45" s="59" t="str">
        <f>IF(Rentabilidad=0,"No aplica",TEXT(ROUND(Precio/Rentabilidad/12,0),0) &amp; " años")</f>
        <v>No aplica</v>
      </c>
      <c r="AB45" s="123"/>
      <c r="AC45" s="124"/>
      <c r="AD45" s="125"/>
      <c r="AE45" s="63"/>
      <c r="AF45" s="64" t="s">
        <v>236</v>
      </c>
      <c r="AG45" s="65"/>
      <c r="AH45" s="65" t="s">
        <v>45</v>
      </c>
      <c r="AI45" s="65"/>
      <c r="AJ45" s="64" t="s">
        <v>437</v>
      </c>
      <c r="AK45" s="50" t="s">
        <v>81</v>
      </c>
      <c r="AL45" s="45"/>
      <c r="AM45" s="43">
        <v>3.204643026E9</v>
      </c>
      <c r="AN45" s="64">
        <v>3.165286933E9</v>
      </c>
      <c r="AO45" s="43"/>
      <c r="AP45" s="126" t="s">
        <v>438</v>
      </c>
      <c r="AQ45" s="126"/>
      <c r="AR45" s="126"/>
      <c r="AS45" s="85">
        <v>0.0</v>
      </c>
      <c r="AT45" s="50">
        <v>0.0</v>
      </c>
      <c r="AU45" s="50">
        <v>0.0</v>
      </c>
      <c r="AV45" s="50">
        <v>0.0</v>
      </c>
      <c r="AW45" s="50" t="s">
        <v>88</v>
      </c>
      <c r="AX45" s="50">
        <v>0.0</v>
      </c>
      <c r="AY45" s="50" t="s">
        <v>137</v>
      </c>
      <c r="AZ45" s="44"/>
      <c r="BA45" s="43" t="s">
        <v>89</v>
      </c>
      <c r="BB45" s="44"/>
      <c r="BC45" s="127" t="s">
        <v>439</v>
      </c>
      <c r="BD45" s="128"/>
      <c r="BE45" s="129"/>
      <c r="BF45" s="130"/>
      <c r="BG45" s="73"/>
      <c r="BH45" s="73"/>
      <c r="BI45" s="73"/>
      <c r="BJ45" s="73"/>
      <c r="BK45" s="73"/>
      <c r="BL45" s="73"/>
      <c r="BM45" s="73"/>
      <c r="BN45" s="73"/>
      <c r="BO45" s="73"/>
      <c r="BP45" s="73"/>
      <c r="BQ45" s="73"/>
      <c r="BR45" s="73"/>
      <c r="BS45" s="73"/>
      <c r="BT45" s="73"/>
      <c r="BU45" s="73"/>
      <c r="BV45" s="73"/>
      <c r="BW45" s="74"/>
      <c r="BX45" s="74"/>
      <c r="BY45" s="63"/>
      <c r="BZ45" s="63"/>
    </row>
    <row r="46" ht="15.75" customHeight="1">
      <c r="A46" s="75" t="s">
        <v>440</v>
      </c>
      <c r="B46" s="50" t="s">
        <v>395</v>
      </c>
      <c r="C46" s="50" t="s">
        <v>70</v>
      </c>
      <c r="D46" s="50" t="s">
        <v>72</v>
      </c>
      <c r="E46" s="77"/>
      <c r="F46" s="78">
        <v>3.2E8</v>
      </c>
      <c r="G46" s="44" t="str">
        <f t="shared" si="1"/>
        <v>$300'000.000 a $400'000.000</v>
      </c>
      <c r="H46" s="44"/>
      <c r="I46" s="44"/>
      <c r="J46" s="50" t="s">
        <v>183</v>
      </c>
      <c r="K46" s="51" t="s">
        <v>184</v>
      </c>
      <c r="L46" s="50">
        <v>4.0</v>
      </c>
      <c r="M46" s="50"/>
      <c r="N46" s="50">
        <v>2.0</v>
      </c>
      <c r="O46" s="50">
        <v>1.0</v>
      </c>
      <c r="P46" s="50">
        <v>2.0</v>
      </c>
      <c r="Q46" s="88"/>
      <c r="R46" s="88">
        <v>84.0</v>
      </c>
      <c r="S46" s="56" t="str">
        <f t="shared" si="2"/>
        <v> </v>
      </c>
      <c r="T46" s="50" t="s">
        <v>78</v>
      </c>
      <c r="U46" s="51" t="s">
        <v>77</v>
      </c>
      <c r="V46" s="50" t="s">
        <v>79</v>
      </c>
      <c r="W46" s="50"/>
      <c r="X46" s="50">
        <v>3.0</v>
      </c>
      <c r="Y46" s="43" t="s">
        <v>80</v>
      </c>
      <c r="Z46" s="58" t="s">
        <v>81</v>
      </c>
      <c r="AA46" s="59" t="str">
        <f>IF(Rentabilidad=0,"No aplica",TEXT(ROUND(Precio/Rentabilidad/12,0),0) &amp; " años")</f>
        <v>No aplica</v>
      </c>
      <c r="AB46" s="123"/>
      <c r="AC46" s="124"/>
      <c r="AD46" s="125"/>
      <c r="AE46" s="63"/>
      <c r="AF46" s="64" t="s">
        <v>105</v>
      </c>
      <c r="AG46" s="65"/>
      <c r="AH46" s="65" t="s">
        <v>45</v>
      </c>
      <c r="AI46" s="65"/>
      <c r="AJ46" s="64" t="s">
        <v>437</v>
      </c>
      <c r="AK46" s="50" t="s">
        <v>81</v>
      </c>
      <c r="AL46" s="45"/>
      <c r="AM46" s="43">
        <v>3.204643026E9</v>
      </c>
      <c r="AN46" s="64">
        <v>3.165286933E9</v>
      </c>
      <c r="AO46" s="43"/>
      <c r="AP46" s="126" t="s">
        <v>441</v>
      </c>
      <c r="AQ46" s="126"/>
      <c r="AR46" s="126"/>
      <c r="AS46" s="85"/>
      <c r="AT46" s="50">
        <v>0.0</v>
      </c>
      <c r="AU46" s="50">
        <v>0.0</v>
      </c>
      <c r="AV46" s="50">
        <v>0.0</v>
      </c>
      <c r="AW46" s="50" t="s">
        <v>106</v>
      </c>
      <c r="AX46" s="50">
        <v>0.0</v>
      </c>
      <c r="AY46" s="50" t="s">
        <v>137</v>
      </c>
      <c r="AZ46" s="44"/>
      <c r="BA46" s="43" t="s">
        <v>89</v>
      </c>
      <c r="BB46" s="44"/>
      <c r="BC46" s="95"/>
      <c r="BD46" s="71"/>
      <c r="BE46" s="71"/>
      <c r="BF46" s="130"/>
      <c r="BG46" s="73"/>
      <c r="BH46" s="73"/>
      <c r="BI46" s="73"/>
      <c r="BJ46" s="73"/>
      <c r="BK46" s="73"/>
      <c r="BL46" s="73"/>
      <c r="BM46" s="73"/>
      <c r="BN46" s="73"/>
      <c r="BO46" s="73"/>
      <c r="BP46" s="73"/>
      <c r="BQ46" s="73"/>
      <c r="BR46" s="73"/>
      <c r="BS46" s="73"/>
      <c r="BT46" s="73"/>
      <c r="BU46" s="73"/>
      <c r="BV46" s="73"/>
      <c r="BW46" s="74"/>
      <c r="BX46" s="74"/>
      <c r="BY46" s="63"/>
      <c r="BZ46" s="63"/>
    </row>
    <row r="47" ht="15.75" customHeight="1">
      <c r="A47" s="120" t="s">
        <v>442</v>
      </c>
      <c r="B47" s="50" t="s">
        <v>443</v>
      </c>
      <c r="C47" s="50" t="s">
        <v>70</v>
      </c>
      <c r="D47" s="44" t="s">
        <v>82</v>
      </c>
      <c r="E47" s="45"/>
      <c r="F47" s="47">
        <v>2.6E8</v>
      </c>
      <c r="G47" s="44" t="str">
        <f t="shared" si="1"/>
        <v>$200'000.000 a $300'000.000</v>
      </c>
      <c r="H47" s="44"/>
      <c r="I47" s="44"/>
      <c r="J47" s="50" t="s">
        <v>183</v>
      </c>
      <c r="K47" s="51" t="s">
        <v>184</v>
      </c>
      <c r="L47" s="44">
        <v>3.0</v>
      </c>
      <c r="M47" s="44"/>
      <c r="N47" s="44">
        <v>3.0</v>
      </c>
      <c r="O47" s="50">
        <v>1.0</v>
      </c>
      <c r="P47" s="44">
        <v>2.0</v>
      </c>
      <c r="Q47" s="113">
        <v>155.0</v>
      </c>
      <c r="R47" s="79">
        <v>90.0</v>
      </c>
      <c r="S47" s="56" t="str">
        <f t="shared" si="2"/>
        <v> </v>
      </c>
      <c r="T47" s="44" t="s">
        <v>78</v>
      </c>
      <c r="U47" s="114" t="s">
        <v>142</v>
      </c>
      <c r="V47" s="50" t="s">
        <v>79</v>
      </c>
      <c r="W47" s="50"/>
      <c r="X47" s="44">
        <v>3.0</v>
      </c>
      <c r="Y47" s="50" t="s">
        <v>80</v>
      </c>
      <c r="Z47" s="58" t="s">
        <v>81</v>
      </c>
      <c r="AA47" s="59" t="str">
        <f>IF(Rentabilidad=0,"No aplica",TEXT(ROUND(Precio/Rentabilidad/12,0),0) &amp; " años")</f>
        <v>No aplica</v>
      </c>
      <c r="AB47" s="123"/>
      <c r="AC47" s="61"/>
      <c r="AD47" s="62"/>
      <c r="AE47" s="63"/>
      <c r="AF47" s="45" t="s">
        <v>105</v>
      </c>
      <c r="AG47" s="63"/>
      <c r="AH47" s="65" t="s">
        <v>45</v>
      </c>
      <c r="AI47" s="63"/>
      <c r="AJ47" s="64" t="s">
        <v>437</v>
      </c>
      <c r="AK47" s="44"/>
      <c r="AL47" s="45" t="s">
        <v>109</v>
      </c>
      <c r="AM47" s="52">
        <v>3.212323681E9</v>
      </c>
      <c r="AN47" s="45">
        <v>3.135781638E9</v>
      </c>
      <c r="AO47" s="52"/>
      <c r="AP47" s="117" t="s">
        <v>444</v>
      </c>
      <c r="AQ47" s="117"/>
      <c r="AR47" s="117"/>
      <c r="AS47" s="118">
        <v>0.0</v>
      </c>
      <c r="AT47" s="63">
        <v>0.0</v>
      </c>
      <c r="AU47" s="52">
        <v>0.0</v>
      </c>
      <c r="AV47" s="52">
        <v>0.0</v>
      </c>
      <c r="AW47" s="43" t="s">
        <v>88</v>
      </c>
      <c r="AX47" s="52">
        <v>0.0</v>
      </c>
      <c r="AY47" s="52">
        <v>0.0</v>
      </c>
      <c r="AZ47" s="63">
        <v>0.0</v>
      </c>
      <c r="BA47" s="43" t="s">
        <v>89</v>
      </c>
      <c r="BB47" s="63">
        <v>0.0</v>
      </c>
      <c r="BC47" s="69" t="s">
        <v>445</v>
      </c>
      <c r="BD47" s="70"/>
      <c r="BE47" s="70"/>
      <c r="BF47" s="72"/>
      <c r="BG47" s="73"/>
      <c r="BH47" s="73"/>
      <c r="BI47" s="73"/>
      <c r="BJ47" s="73"/>
      <c r="BK47" s="73"/>
      <c r="BL47" s="73"/>
      <c r="BM47" s="73"/>
      <c r="BN47" s="73"/>
      <c r="BO47" s="73"/>
      <c r="BP47" s="73"/>
      <c r="BQ47" s="73"/>
      <c r="BR47" s="73"/>
      <c r="BS47" s="73"/>
      <c r="BT47" s="73"/>
      <c r="BU47" s="73"/>
      <c r="BV47" s="73"/>
      <c r="BW47" s="74"/>
      <c r="BX47" s="74"/>
      <c r="BY47" s="63"/>
      <c r="BZ47" s="63"/>
    </row>
    <row r="48" ht="15.75" customHeight="1">
      <c r="A48" s="75" t="s">
        <v>446</v>
      </c>
      <c r="B48" s="50" t="s">
        <v>447</v>
      </c>
      <c r="C48" s="50" t="s">
        <v>448</v>
      </c>
      <c r="D48" s="50"/>
      <c r="E48" s="64"/>
      <c r="F48" s="78">
        <v>3.0E9</v>
      </c>
      <c r="G48" s="44" t="str">
        <f t="shared" si="1"/>
        <v>Más de $1.000'000.000</v>
      </c>
      <c r="H48" s="44"/>
      <c r="I48" s="44"/>
      <c r="J48" s="50" t="s">
        <v>94</v>
      </c>
      <c r="K48" s="51"/>
      <c r="L48" s="50">
        <v>0.0</v>
      </c>
      <c r="M48" s="50"/>
      <c r="N48" s="50">
        <v>4.0</v>
      </c>
      <c r="O48" s="44"/>
      <c r="P48" s="50">
        <v>2.0</v>
      </c>
      <c r="Q48" s="88" t="s">
        <v>449</v>
      </c>
      <c r="R48" s="88">
        <v>1949.0</v>
      </c>
      <c r="S48" s="56" t="str">
        <f t="shared" si="2"/>
        <v> </v>
      </c>
      <c r="T48" s="50" t="s">
        <v>342</v>
      </c>
      <c r="U48" s="57"/>
      <c r="V48" s="50" t="s">
        <v>79</v>
      </c>
      <c r="W48" s="50"/>
      <c r="X48" s="50">
        <v>0.0</v>
      </c>
      <c r="Y48" s="50" t="s">
        <v>80</v>
      </c>
      <c r="Z48" s="91"/>
      <c r="AA48" s="59" t="str">
        <f>IF(Rentabilidad=0,"No aplica",TEXT(ROUND(Precio/Rentabilidad/12,0),0) &amp; " años")</f>
        <v>No aplica</v>
      </c>
      <c r="AB48" s="82" t="s">
        <v>450</v>
      </c>
      <c r="AC48" s="131" t="s">
        <v>451</v>
      </c>
      <c r="AD48" s="107" t="s">
        <v>452</v>
      </c>
      <c r="AE48" s="63"/>
      <c r="AF48" s="64">
        <v>0.0</v>
      </c>
      <c r="AG48" s="65" t="s">
        <v>106</v>
      </c>
      <c r="AH48" s="63"/>
      <c r="AI48" s="65" t="s">
        <v>107</v>
      </c>
      <c r="AJ48" s="64" t="s">
        <v>453</v>
      </c>
      <c r="AK48" s="58" t="s">
        <v>81</v>
      </c>
      <c r="AL48" s="64" t="s">
        <v>109</v>
      </c>
      <c r="AM48" s="43">
        <v>3.13351965E9</v>
      </c>
      <c r="AN48" s="64">
        <v>0.0</v>
      </c>
      <c r="AO48" s="43" t="s">
        <v>245</v>
      </c>
      <c r="AP48" s="84" t="s">
        <v>454</v>
      </c>
      <c r="AQ48" s="84"/>
      <c r="AR48" s="84"/>
      <c r="AS48" s="94">
        <v>0.0</v>
      </c>
      <c r="AT48" s="65" t="s">
        <v>88</v>
      </c>
      <c r="AU48" s="43">
        <v>0.0</v>
      </c>
      <c r="AV48" s="43">
        <v>0.0</v>
      </c>
      <c r="AW48" s="43" t="s">
        <v>88</v>
      </c>
      <c r="AX48" s="43">
        <v>0.0</v>
      </c>
      <c r="AY48" s="43">
        <v>0.0</v>
      </c>
      <c r="AZ48" s="43">
        <v>0.0</v>
      </c>
      <c r="BA48" s="43" t="s">
        <v>89</v>
      </c>
      <c r="BB48" s="50">
        <v>0.0</v>
      </c>
      <c r="BC48" s="69" t="s">
        <v>455</v>
      </c>
      <c r="BD48" s="70"/>
      <c r="BE48" s="71"/>
      <c r="BF48" s="72" t="s">
        <v>456</v>
      </c>
      <c r="BG48" s="73"/>
      <c r="BH48" s="73"/>
      <c r="BI48" s="73"/>
      <c r="BJ48" s="73"/>
      <c r="BK48" s="73"/>
      <c r="BL48" s="73"/>
      <c r="BM48" s="73"/>
      <c r="BN48" s="73"/>
      <c r="BO48" s="73"/>
      <c r="BP48" s="73"/>
      <c r="BQ48" s="73"/>
      <c r="BR48" s="73"/>
      <c r="BS48" s="73"/>
      <c r="BT48" s="73"/>
      <c r="BU48" s="73"/>
      <c r="BV48" s="73"/>
      <c r="BW48" s="74"/>
      <c r="BX48" s="74"/>
      <c r="BY48" s="63"/>
      <c r="BZ48" s="63"/>
    </row>
    <row r="49" ht="15.75" customHeight="1">
      <c r="A49" s="75" t="s">
        <v>457</v>
      </c>
      <c r="B49" s="50" t="s">
        <v>458</v>
      </c>
      <c r="C49" s="50" t="s">
        <v>114</v>
      </c>
      <c r="D49" s="50" t="s">
        <v>459</v>
      </c>
      <c r="E49" s="64" t="s">
        <v>460</v>
      </c>
      <c r="F49" s="78">
        <v>2.7E9</v>
      </c>
      <c r="G49" s="44" t="str">
        <f t="shared" si="1"/>
        <v>Más de $1.000'000.000</v>
      </c>
      <c r="H49" s="44"/>
      <c r="I49" s="44"/>
      <c r="J49" s="50" t="s">
        <v>116</v>
      </c>
      <c r="K49" s="51" t="s">
        <v>461</v>
      </c>
      <c r="L49" s="50">
        <v>5.0</v>
      </c>
      <c r="M49" s="50"/>
      <c r="N49" s="50">
        <v>4.0</v>
      </c>
      <c r="O49" s="50">
        <v>3.0</v>
      </c>
      <c r="P49" s="50">
        <v>1.0</v>
      </c>
      <c r="Q49" s="88">
        <v>500.0</v>
      </c>
      <c r="R49" s="88">
        <v>2028.0</v>
      </c>
      <c r="S49" s="56" t="str">
        <f t="shared" si="2"/>
        <v> </v>
      </c>
      <c r="T49" s="50" t="s">
        <v>78</v>
      </c>
      <c r="U49" s="51" t="s">
        <v>142</v>
      </c>
      <c r="V49" s="50" t="s">
        <v>79</v>
      </c>
      <c r="W49" s="50"/>
      <c r="X49" s="50">
        <v>5.0</v>
      </c>
      <c r="Y49" s="50" t="s">
        <v>97</v>
      </c>
      <c r="Z49" s="91"/>
      <c r="AA49" s="59" t="str">
        <f>IF(Rentabilidad=0,"No aplica",TEXT(ROUND(Precio/Rentabilidad/12,0),0) &amp; " años")</f>
        <v>No aplica</v>
      </c>
      <c r="AB49" s="82" t="s">
        <v>462</v>
      </c>
      <c r="AC49" s="131" t="s">
        <v>463</v>
      </c>
      <c r="AD49" s="107" t="s">
        <v>464</v>
      </c>
      <c r="AE49" s="63"/>
      <c r="AF49" s="64" t="s">
        <v>105</v>
      </c>
      <c r="AG49" s="65" t="s">
        <v>106</v>
      </c>
      <c r="AH49" s="63"/>
      <c r="AI49" s="65" t="s">
        <v>107</v>
      </c>
      <c r="AJ49" s="64" t="s">
        <v>453</v>
      </c>
      <c r="AK49" s="58" t="s">
        <v>81</v>
      </c>
      <c r="AL49" s="64" t="s">
        <v>109</v>
      </c>
      <c r="AM49" s="43">
        <v>3.13351965E9</v>
      </c>
      <c r="AN49" s="64">
        <v>0.0</v>
      </c>
      <c r="AO49" s="43" t="s">
        <v>245</v>
      </c>
      <c r="AP49" s="84" t="s">
        <v>465</v>
      </c>
      <c r="AQ49" s="84">
        <v>2.93525818540234</v>
      </c>
      <c r="AR49" s="84">
        <v>-75.2185150657225</v>
      </c>
      <c r="AS49" s="94">
        <v>0.0</v>
      </c>
      <c r="AT49" s="65" t="s">
        <v>88</v>
      </c>
      <c r="AU49" s="43" t="s">
        <v>106</v>
      </c>
      <c r="AV49" s="43" t="s">
        <v>106</v>
      </c>
      <c r="AW49" s="43" t="s">
        <v>88</v>
      </c>
      <c r="AX49" s="43" t="s">
        <v>110</v>
      </c>
      <c r="AY49" s="43">
        <v>0.0</v>
      </c>
      <c r="AZ49" s="43">
        <v>0.0</v>
      </c>
      <c r="BA49" s="43" t="s">
        <v>89</v>
      </c>
      <c r="BB49" s="50">
        <v>0.0</v>
      </c>
      <c r="BC49" s="86"/>
      <c r="BD49" s="71"/>
      <c r="BE49" s="71"/>
      <c r="BF49" s="72" t="s">
        <v>466</v>
      </c>
      <c r="BG49" s="73"/>
      <c r="BH49" s="73"/>
      <c r="BI49" s="73"/>
      <c r="BJ49" s="73"/>
      <c r="BK49" s="73"/>
      <c r="BL49" s="73"/>
      <c r="BM49" s="73"/>
      <c r="BN49" s="73"/>
      <c r="BO49" s="73"/>
      <c r="BP49" s="73"/>
      <c r="BQ49" s="73"/>
      <c r="BR49" s="73"/>
      <c r="BS49" s="73"/>
      <c r="BT49" s="73"/>
      <c r="BU49" s="73"/>
      <c r="BV49" s="73"/>
      <c r="BW49" s="74"/>
      <c r="BX49" s="74"/>
      <c r="BY49" s="63"/>
      <c r="BZ49" s="63"/>
    </row>
    <row r="50" ht="15.75" customHeight="1">
      <c r="A50" s="75" t="s">
        <v>467</v>
      </c>
      <c r="B50" s="50" t="s">
        <v>468</v>
      </c>
      <c r="C50" s="50" t="s">
        <v>114</v>
      </c>
      <c r="D50" s="50"/>
      <c r="E50" s="64" t="s">
        <v>469</v>
      </c>
      <c r="F50" s="78">
        <v>2.5E9</v>
      </c>
      <c r="G50" s="44" t="str">
        <f t="shared" si="1"/>
        <v>Más de $1.000'000.000</v>
      </c>
      <c r="H50" s="44"/>
      <c r="I50" s="44"/>
      <c r="J50" s="50" t="s">
        <v>183</v>
      </c>
      <c r="K50" s="51"/>
      <c r="L50" s="50">
        <v>5.0</v>
      </c>
      <c r="M50" s="50"/>
      <c r="N50" s="50">
        <v>5.0</v>
      </c>
      <c r="O50" s="50">
        <v>3.0</v>
      </c>
      <c r="P50" s="50">
        <v>2.0</v>
      </c>
      <c r="Q50" s="88">
        <v>774.0</v>
      </c>
      <c r="R50" s="88">
        <v>1000000.0</v>
      </c>
      <c r="S50" s="56" t="str">
        <f t="shared" si="2"/>
        <v> </v>
      </c>
      <c r="T50" s="50" t="s">
        <v>470</v>
      </c>
      <c r="U50" s="51" t="s">
        <v>154</v>
      </c>
      <c r="V50" s="50" t="s">
        <v>79</v>
      </c>
      <c r="W50" s="50"/>
      <c r="X50" s="50">
        <v>5.0</v>
      </c>
      <c r="Y50" s="50" t="s">
        <v>97</v>
      </c>
      <c r="Z50" s="58">
        <v>450000.0</v>
      </c>
      <c r="AA50" s="59" t="str">
        <f>IF(Rentabilidad=0,"No aplica",TEXT(ROUND(Precio/Rentabilidad/12,0),0) &amp; " años")</f>
        <v>No aplica</v>
      </c>
      <c r="AB50" s="82" t="s">
        <v>471</v>
      </c>
      <c r="AC50" s="132" t="s">
        <v>472</v>
      </c>
      <c r="AD50" s="132" t="s">
        <v>473</v>
      </c>
      <c r="AE50" s="63"/>
      <c r="AF50" s="64" t="s">
        <v>105</v>
      </c>
      <c r="AG50" s="65" t="s">
        <v>106</v>
      </c>
      <c r="AH50" s="63"/>
      <c r="AI50" s="65" t="s">
        <v>107</v>
      </c>
      <c r="AJ50" s="64" t="s">
        <v>453</v>
      </c>
      <c r="AK50" s="58" t="s">
        <v>81</v>
      </c>
      <c r="AL50" s="64" t="s">
        <v>109</v>
      </c>
      <c r="AM50" s="43">
        <v>3.13351965E9</v>
      </c>
      <c r="AN50" s="64">
        <v>0.0</v>
      </c>
      <c r="AO50" s="43" t="s">
        <v>245</v>
      </c>
      <c r="AP50" s="84">
        <v>0.0</v>
      </c>
      <c r="AQ50" s="84"/>
      <c r="AR50" s="84"/>
      <c r="AS50" s="94">
        <v>0.0</v>
      </c>
      <c r="AT50" s="65" t="s">
        <v>88</v>
      </c>
      <c r="AU50" s="43">
        <v>0.0</v>
      </c>
      <c r="AV50" s="43" t="s">
        <v>106</v>
      </c>
      <c r="AW50" s="43" t="s">
        <v>88</v>
      </c>
      <c r="AX50" s="43">
        <v>0.0</v>
      </c>
      <c r="AY50" s="43">
        <v>0.0</v>
      </c>
      <c r="AZ50" s="43">
        <v>0.0</v>
      </c>
      <c r="BA50" s="43" t="s">
        <v>89</v>
      </c>
      <c r="BB50" s="44"/>
      <c r="BC50" s="109"/>
      <c r="BD50" s="70"/>
      <c r="BE50" s="71"/>
      <c r="BF50" s="72" t="s">
        <v>474</v>
      </c>
      <c r="BG50" s="73"/>
      <c r="BH50" s="73"/>
      <c r="BI50" s="73"/>
      <c r="BJ50" s="73"/>
      <c r="BK50" s="73"/>
      <c r="BL50" s="73"/>
      <c r="BM50" s="73"/>
      <c r="BN50" s="73"/>
      <c r="BO50" s="73"/>
      <c r="BP50" s="73"/>
      <c r="BQ50" s="73"/>
      <c r="BR50" s="73"/>
      <c r="BS50" s="73"/>
      <c r="BT50" s="73"/>
      <c r="BU50" s="73"/>
      <c r="BV50" s="73"/>
      <c r="BW50" s="74"/>
      <c r="BX50" s="74"/>
      <c r="BY50" s="63"/>
      <c r="BZ50" s="63"/>
    </row>
    <row r="51" ht="15.75" customHeight="1">
      <c r="A51" s="133" t="s">
        <v>475</v>
      </c>
      <c r="B51" s="50" t="s">
        <v>476</v>
      </c>
      <c r="C51" s="43" t="s">
        <v>271</v>
      </c>
      <c r="D51" s="50" t="s">
        <v>477</v>
      </c>
      <c r="E51" s="77"/>
      <c r="F51" s="78">
        <v>1.7E9</v>
      </c>
      <c r="G51" s="44" t="str">
        <f t="shared" si="1"/>
        <v>Más de $1.000'000.000</v>
      </c>
      <c r="H51" s="44"/>
      <c r="I51" s="44"/>
      <c r="J51" s="50" t="s">
        <v>76</v>
      </c>
      <c r="K51" s="51" t="s">
        <v>142</v>
      </c>
      <c r="L51" s="43">
        <v>3.0</v>
      </c>
      <c r="M51" s="43"/>
      <c r="N51" s="43">
        <v>3.0</v>
      </c>
      <c r="O51" s="43">
        <v>3.0</v>
      </c>
      <c r="P51" s="43">
        <v>1.0</v>
      </c>
      <c r="Q51" s="55">
        <v>405.75</v>
      </c>
      <c r="R51" s="55"/>
      <c r="S51" s="56" t="str">
        <f t="shared" si="2"/>
        <v> </v>
      </c>
      <c r="T51" s="43" t="s">
        <v>78</v>
      </c>
      <c r="U51" s="51" t="s">
        <v>77</v>
      </c>
      <c r="V51" s="43" t="s">
        <v>118</v>
      </c>
      <c r="W51" s="43"/>
      <c r="X51" s="43">
        <v>0.0</v>
      </c>
      <c r="Y51" s="50" t="s">
        <v>80</v>
      </c>
      <c r="Z51" s="58" t="s">
        <v>81</v>
      </c>
      <c r="AA51" s="59" t="str">
        <f>IF(Rentabilidad=0,"No aplica",TEXT(ROUND(Precio/Rentabilidad/12,0),0) &amp; " años")</f>
        <v>No aplica</v>
      </c>
      <c r="AB51" s="134" t="s">
        <v>478</v>
      </c>
      <c r="AC51" s="131" t="s">
        <v>479</v>
      </c>
      <c r="AD51" s="62"/>
      <c r="AE51" s="63"/>
      <c r="AF51" s="64" t="s">
        <v>84</v>
      </c>
      <c r="AG51" s="65" t="s">
        <v>106</v>
      </c>
      <c r="AH51" s="65"/>
      <c r="AI51" s="65" t="s">
        <v>107</v>
      </c>
      <c r="AJ51" s="64" t="s">
        <v>453</v>
      </c>
      <c r="AK51" s="50" t="s">
        <v>81</v>
      </c>
      <c r="AL51" s="45" t="s">
        <v>109</v>
      </c>
      <c r="AM51" s="52">
        <v>3.13351965E9</v>
      </c>
      <c r="AN51" s="45"/>
      <c r="AO51" s="52"/>
      <c r="AP51" s="84" t="s">
        <v>480</v>
      </c>
      <c r="AQ51" s="84"/>
      <c r="AR51" s="84"/>
      <c r="AS51" s="135"/>
      <c r="AT51" s="63"/>
      <c r="AU51" s="52"/>
      <c r="AV51" s="52"/>
      <c r="AW51" s="43" t="s">
        <v>106</v>
      </c>
      <c r="AX51" s="52"/>
      <c r="AY51" s="43">
        <v>0.0</v>
      </c>
      <c r="AZ51" s="52"/>
      <c r="BA51" s="43" t="s">
        <v>89</v>
      </c>
      <c r="BB51" s="52"/>
      <c r="BC51" s="109"/>
      <c r="BD51" s="71"/>
      <c r="BE51" s="70"/>
      <c r="BF51" s="72" t="s">
        <v>481</v>
      </c>
      <c r="BG51" s="73"/>
      <c r="BH51" s="73"/>
      <c r="BI51" s="73"/>
      <c r="BJ51" s="73"/>
      <c r="BK51" s="73"/>
      <c r="BL51" s="73"/>
      <c r="BM51" s="73"/>
      <c r="BN51" s="73"/>
      <c r="BO51" s="73"/>
      <c r="BP51" s="73"/>
      <c r="BQ51" s="73"/>
      <c r="BR51" s="73"/>
      <c r="BS51" s="73"/>
      <c r="BT51" s="73"/>
      <c r="BU51" s="73"/>
      <c r="BV51" s="73"/>
      <c r="BW51" s="74"/>
      <c r="BX51" s="74"/>
      <c r="BY51" s="63"/>
      <c r="BZ51" s="63"/>
    </row>
    <row r="52" ht="15.75" customHeight="1">
      <c r="A52" s="75" t="s">
        <v>482</v>
      </c>
      <c r="B52" s="50" t="s">
        <v>483</v>
      </c>
      <c r="C52" s="50" t="s">
        <v>315</v>
      </c>
      <c r="D52" s="50" t="s">
        <v>205</v>
      </c>
      <c r="E52" s="64"/>
      <c r="F52" s="78">
        <v>1.5E9</v>
      </c>
      <c r="G52" s="44" t="str">
        <f t="shared" si="1"/>
        <v>Más de $1.000'000.000</v>
      </c>
      <c r="H52" s="44"/>
      <c r="I52" s="44"/>
      <c r="J52" s="50" t="s">
        <v>76</v>
      </c>
      <c r="K52" s="51" t="s">
        <v>77</v>
      </c>
      <c r="L52" s="50">
        <v>0.0</v>
      </c>
      <c r="M52" s="50"/>
      <c r="N52" s="50">
        <v>1.0</v>
      </c>
      <c r="O52" s="50">
        <v>0.0</v>
      </c>
      <c r="P52" s="50">
        <v>0.0</v>
      </c>
      <c r="Q52" s="88">
        <v>0.0</v>
      </c>
      <c r="R52" s="88">
        <v>1250.0</v>
      </c>
      <c r="S52" s="56" t="str">
        <f t="shared" si="2"/>
        <v> </v>
      </c>
      <c r="T52" s="50" t="s">
        <v>78</v>
      </c>
      <c r="U52" s="51" t="s">
        <v>142</v>
      </c>
      <c r="V52" s="50" t="s">
        <v>118</v>
      </c>
      <c r="W52" s="50"/>
      <c r="X52" s="50">
        <v>0.0</v>
      </c>
      <c r="Y52" s="43" t="s">
        <v>80</v>
      </c>
      <c r="Z52" s="80" t="s">
        <v>81</v>
      </c>
      <c r="AA52" s="59" t="str">
        <f>IF(Rentabilidad=0,"No aplica",TEXT(ROUND(Precio/Rentabilidad/12,0),0) &amp; " años")</f>
        <v>No aplica</v>
      </c>
      <c r="AB52" s="82" t="s">
        <v>484</v>
      </c>
      <c r="AC52" s="83" t="s">
        <v>485</v>
      </c>
      <c r="AD52" s="83" t="s">
        <v>486</v>
      </c>
      <c r="AE52" s="63"/>
      <c r="AF52" s="64">
        <v>0.0</v>
      </c>
      <c r="AG52" s="65" t="s">
        <v>106</v>
      </c>
      <c r="AH52" s="63"/>
      <c r="AI52" s="65" t="s">
        <v>107</v>
      </c>
      <c r="AJ52" s="64" t="s">
        <v>453</v>
      </c>
      <c r="AK52" s="58" t="s">
        <v>81</v>
      </c>
      <c r="AL52" s="64" t="s">
        <v>109</v>
      </c>
      <c r="AM52" s="43">
        <v>3.13351965E9</v>
      </c>
      <c r="AN52" s="64">
        <v>0.0</v>
      </c>
      <c r="AO52" s="43" t="s">
        <v>245</v>
      </c>
      <c r="AP52" s="84"/>
      <c r="AQ52" s="84"/>
      <c r="AR52" s="84"/>
      <c r="AS52" s="94">
        <v>0.0</v>
      </c>
      <c r="AT52" s="65">
        <v>0.0</v>
      </c>
      <c r="AU52" s="43">
        <v>0.0</v>
      </c>
      <c r="AV52" s="43">
        <v>0.0</v>
      </c>
      <c r="AW52" s="43" t="s">
        <v>88</v>
      </c>
      <c r="AX52" s="43">
        <v>0.0</v>
      </c>
      <c r="AY52" s="43">
        <v>0.0</v>
      </c>
      <c r="AZ52" s="43">
        <v>0.0</v>
      </c>
      <c r="BA52" s="43" t="s">
        <v>89</v>
      </c>
      <c r="BB52" s="50">
        <v>0.0</v>
      </c>
      <c r="BC52" s="95"/>
      <c r="BD52" s="71"/>
      <c r="BE52" s="70"/>
      <c r="BF52" s="72" t="s">
        <v>487</v>
      </c>
      <c r="BG52" s="73"/>
      <c r="BH52" s="73"/>
      <c r="BI52" s="73"/>
      <c r="BJ52" s="73"/>
      <c r="BK52" s="73"/>
      <c r="BL52" s="73"/>
      <c r="BM52" s="73"/>
      <c r="BN52" s="73"/>
      <c r="BO52" s="73"/>
      <c r="BP52" s="73"/>
      <c r="BQ52" s="73"/>
      <c r="BR52" s="73"/>
      <c r="BS52" s="73"/>
      <c r="BT52" s="73"/>
      <c r="BU52" s="73"/>
      <c r="BV52" s="73"/>
      <c r="BW52" s="74"/>
      <c r="BX52" s="74"/>
      <c r="BY52" s="63"/>
      <c r="BZ52" s="63"/>
    </row>
    <row r="53" ht="15.75" customHeight="1">
      <c r="A53" s="75" t="s">
        <v>488</v>
      </c>
      <c r="B53" s="50" t="s">
        <v>489</v>
      </c>
      <c r="C53" s="50" t="s">
        <v>490</v>
      </c>
      <c r="D53" s="50" t="s">
        <v>76</v>
      </c>
      <c r="E53" s="77"/>
      <c r="F53" s="78">
        <v>1.4E9</v>
      </c>
      <c r="G53" s="44" t="str">
        <f t="shared" si="1"/>
        <v>Más de $1.000'000.000</v>
      </c>
      <c r="H53" s="44"/>
      <c r="I53" s="44"/>
      <c r="J53" s="50" t="s">
        <v>76</v>
      </c>
      <c r="K53" s="51" t="s">
        <v>142</v>
      </c>
      <c r="L53" s="50">
        <v>15.0</v>
      </c>
      <c r="M53" s="50"/>
      <c r="N53" s="50">
        <v>13.0</v>
      </c>
      <c r="O53" s="50">
        <v>0.0</v>
      </c>
      <c r="P53" s="50">
        <v>4.0</v>
      </c>
      <c r="Q53" s="88">
        <v>608.0</v>
      </c>
      <c r="R53" s="88">
        <v>132.0</v>
      </c>
      <c r="S53" s="56" t="str">
        <f t="shared" si="2"/>
        <v>Rentabilidad $8,200,000</v>
      </c>
      <c r="T53" s="50" t="s">
        <v>78</v>
      </c>
      <c r="U53" s="51" t="s">
        <v>77</v>
      </c>
      <c r="V53" s="50" t="s">
        <v>118</v>
      </c>
      <c r="W53" s="50"/>
      <c r="X53" s="50">
        <v>13.0</v>
      </c>
      <c r="Y53" s="43" t="s">
        <v>80</v>
      </c>
      <c r="Z53" s="58"/>
      <c r="AA53" s="59" t="str">
        <f>IF(Rentabilidad=0,"No aplica",TEXT(ROUND(Precio/Rentabilidad/12,0),0) &amp; " años")</f>
        <v>14 años</v>
      </c>
      <c r="AB53" s="136" t="s">
        <v>491</v>
      </c>
      <c r="AC53" s="137" t="s">
        <v>492</v>
      </c>
      <c r="AD53" s="138" t="s">
        <v>493</v>
      </c>
      <c r="AE53" s="63"/>
      <c r="AF53" s="64" t="s">
        <v>105</v>
      </c>
      <c r="AG53" s="65" t="s">
        <v>106</v>
      </c>
      <c r="AH53" s="65"/>
      <c r="AI53" s="65" t="s">
        <v>107</v>
      </c>
      <c r="AJ53" s="64" t="s">
        <v>453</v>
      </c>
      <c r="AK53" s="50" t="s">
        <v>81</v>
      </c>
      <c r="AL53" s="45" t="s">
        <v>109</v>
      </c>
      <c r="AM53" s="52">
        <v>3.13351965E9</v>
      </c>
      <c r="AN53" s="45">
        <v>0.0</v>
      </c>
      <c r="AO53" s="43">
        <v>0.0</v>
      </c>
      <c r="AP53" s="84">
        <v>0.0</v>
      </c>
      <c r="AQ53" s="84"/>
      <c r="AR53" s="84"/>
      <c r="AS53" s="85">
        <v>8200000.0</v>
      </c>
      <c r="AT53" s="50">
        <v>0.0</v>
      </c>
      <c r="AU53" s="50">
        <v>0.0</v>
      </c>
      <c r="AV53" s="44">
        <v>0.0</v>
      </c>
      <c r="AW53" s="50" t="s">
        <v>88</v>
      </c>
      <c r="AX53" s="44">
        <v>0.0</v>
      </c>
      <c r="AY53" s="50">
        <v>0.0</v>
      </c>
      <c r="AZ53" s="44">
        <v>0.0</v>
      </c>
      <c r="BA53" s="43" t="s">
        <v>89</v>
      </c>
      <c r="BB53" s="44">
        <v>0.0</v>
      </c>
      <c r="BC53" s="109"/>
      <c r="BD53" s="70"/>
      <c r="BE53" s="71"/>
      <c r="BF53" s="72" t="s">
        <v>494</v>
      </c>
      <c r="BG53" s="73"/>
      <c r="BH53" s="73"/>
      <c r="BI53" s="73"/>
      <c r="BJ53" s="73"/>
      <c r="BK53" s="73"/>
      <c r="BL53" s="73"/>
      <c r="BM53" s="73"/>
      <c r="BN53" s="73"/>
      <c r="BO53" s="73"/>
      <c r="BP53" s="73"/>
      <c r="BQ53" s="73"/>
      <c r="BR53" s="73"/>
      <c r="BS53" s="73"/>
      <c r="BT53" s="73"/>
      <c r="BU53" s="73"/>
      <c r="BV53" s="73"/>
      <c r="BW53" s="74"/>
      <c r="BX53" s="74"/>
      <c r="BY53" s="63"/>
      <c r="BZ53" s="63"/>
    </row>
    <row r="54" ht="15.75" customHeight="1">
      <c r="A54" s="75" t="s">
        <v>495</v>
      </c>
      <c r="B54" s="50" t="s">
        <v>496</v>
      </c>
      <c r="C54" s="50" t="s">
        <v>497</v>
      </c>
      <c r="D54" s="50"/>
      <c r="E54" s="64"/>
      <c r="F54" s="78">
        <v>1.2E9</v>
      </c>
      <c r="G54" s="44" t="str">
        <f t="shared" si="1"/>
        <v>Más de $1.000'000.000</v>
      </c>
      <c r="H54" s="44"/>
      <c r="I54" s="44"/>
      <c r="J54" s="50" t="s">
        <v>498</v>
      </c>
      <c r="K54" s="51"/>
      <c r="L54" s="50">
        <v>5.0</v>
      </c>
      <c r="M54" s="50"/>
      <c r="N54" s="50">
        <v>3.0</v>
      </c>
      <c r="O54" s="50">
        <v>1.0</v>
      </c>
      <c r="P54" s="50">
        <v>1.0</v>
      </c>
      <c r="Q54" s="88">
        <v>230.0</v>
      </c>
      <c r="R54" s="88">
        <v>20000.0</v>
      </c>
      <c r="S54" s="56"/>
      <c r="T54" s="50" t="s">
        <v>95</v>
      </c>
      <c r="U54" s="57"/>
      <c r="V54" s="44"/>
      <c r="W54" s="44"/>
      <c r="X54" s="50">
        <v>2.0</v>
      </c>
      <c r="Y54" s="50" t="s">
        <v>80</v>
      </c>
      <c r="Z54" s="58" t="s">
        <v>81</v>
      </c>
      <c r="AA54" s="59" t="str">
        <f>IF(Rentabilidad=0,"No aplica",TEXT(ROUND(Precio/Rentabilidad/12,0),0) &amp; " años")</f>
        <v>No aplica</v>
      </c>
      <c r="AB54" s="82" t="s">
        <v>499</v>
      </c>
      <c r="AC54" s="132" t="s">
        <v>500</v>
      </c>
      <c r="AD54" s="139" t="s">
        <v>501</v>
      </c>
      <c r="AE54" s="63"/>
      <c r="AF54" s="64" t="s">
        <v>84</v>
      </c>
      <c r="AG54" s="65" t="s">
        <v>106</v>
      </c>
      <c r="AH54" s="63"/>
      <c r="AI54" s="65" t="s">
        <v>107</v>
      </c>
      <c r="AJ54" s="64" t="s">
        <v>453</v>
      </c>
      <c r="AK54" s="50" t="s">
        <v>81</v>
      </c>
      <c r="AL54" s="45" t="s">
        <v>109</v>
      </c>
      <c r="AM54" s="52">
        <v>3.13351965E9</v>
      </c>
      <c r="AN54" s="45"/>
      <c r="AO54" s="116"/>
      <c r="AP54" s="67"/>
      <c r="AQ54" s="67"/>
      <c r="AR54" s="67"/>
      <c r="AS54" s="118">
        <v>0.0</v>
      </c>
      <c r="AT54" s="63">
        <v>0.0</v>
      </c>
      <c r="AU54" s="52">
        <v>0.0</v>
      </c>
      <c r="AV54" s="52">
        <v>0.0</v>
      </c>
      <c r="AW54" s="43" t="s">
        <v>88</v>
      </c>
      <c r="AX54" s="52">
        <v>0.0</v>
      </c>
      <c r="AY54" s="52">
        <v>0.0</v>
      </c>
      <c r="AZ54" s="63">
        <v>0.0</v>
      </c>
      <c r="BA54" s="43" t="s">
        <v>89</v>
      </c>
      <c r="BB54" s="63">
        <v>0.0</v>
      </c>
      <c r="BC54" s="69" t="s">
        <v>502</v>
      </c>
      <c r="BD54" s="70"/>
      <c r="BE54" s="70"/>
      <c r="BF54" s="72" t="s">
        <v>503</v>
      </c>
      <c r="BG54" s="73"/>
      <c r="BH54" s="73"/>
      <c r="BI54" s="73"/>
      <c r="BJ54" s="73"/>
      <c r="BK54" s="73"/>
      <c r="BL54" s="73"/>
      <c r="BM54" s="73"/>
      <c r="BN54" s="73"/>
      <c r="BO54" s="73"/>
      <c r="BP54" s="73"/>
      <c r="BQ54" s="73"/>
      <c r="BR54" s="73"/>
      <c r="BS54" s="73"/>
      <c r="BT54" s="73"/>
      <c r="BU54" s="73"/>
      <c r="BV54" s="73"/>
      <c r="BW54" s="74"/>
      <c r="BX54" s="74"/>
      <c r="BY54" s="63"/>
      <c r="BZ54" s="63"/>
    </row>
    <row r="55" ht="15.75" customHeight="1">
      <c r="A55" s="133" t="s">
        <v>504</v>
      </c>
      <c r="B55" s="43" t="s">
        <v>505</v>
      </c>
      <c r="C55" s="43" t="s">
        <v>271</v>
      </c>
      <c r="D55" s="43" t="s">
        <v>506</v>
      </c>
      <c r="E55" s="45"/>
      <c r="F55" s="78">
        <v>9.5E8</v>
      </c>
      <c r="G55" s="44" t="str">
        <f t="shared" si="1"/>
        <v>$500'000.000 a $1.000'000.000</v>
      </c>
      <c r="H55" s="44"/>
      <c r="I55" s="44"/>
      <c r="J55" s="43" t="s">
        <v>116</v>
      </c>
      <c r="K55" s="56" t="s">
        <v>192</v>
      </c>
      <c r="L55" s="43">
        <v>11.0</v>
      </c>
      <c r="M55" s="43"/>
      <c r="N55" s="43">
        <v>5.0</v>
      </c>
      <c r="O55" s="43">
        <v>2.0</v>
      </c>
      <c r="P55" s="43">
        <v>2.0</v>
      </c>
      <c r="Q55" s="88">
        <v>300.0</v>
      </c>
      <c r="R55" s="88">
        <v>160.0</v>
      </c>
      <c r="S55" s="56" t="str">
        <f t="shared" ref="S55:S61" si="3">IF(AS55=0," ","Rentabilidad $" &amp; TEXT(AS55,"#,##0"))</f>
        <v>Rentabilidad $2,800,000</v>
      </c>
      <c r="T55" s="43" t="s">
        <v>78</v>
      </c>
      <c r="U55" s="56" t="s">
        <v>77</v>
      </c>
      <c r="V55" s="43" t="s">
        <v>118</v>
      </c>
      <c r="W55" s="43"/>
      <c r="X55" s="43">
        <v>10.0</v>
      </c>
      <c r="Y55" s="43" t="s">
        <v>80</v>
      </c>
      <c r="Z55" s="58" t="s">
        <v>81</v>
      </c>
      <c r="AA55" s="59" t="str">
        <f>IF(Rentabilidad=0,"No aplica",TEXT(ROUND(Precio/Rentabilidad/12,0),0) &amp; " años")</f>
        <v>28 años</v>
      </c>
      <c r="AB55" s="140" t="s">
        <v>507</v>
      </c>
      <c r="AC55" s="132" t="s">
        <v>508</v>
      </c>
      <c r="AD55" s="107" t="s">
        <v>509</v>
      </c>
      <c r="AE55" s="63"/>
      <c r="AF55" s="64" t="s">
        <v>105</v>
      </c>
      <c r="AG55" s="65" t="s">
        <v>106</v>
      </c>
      <c r="AH55" s="65"/>
      <c r="AI55" s="65" t="s">
        <v>107</v>
      </c>
      <c r="AJ55" s="64" t="s">
        <v>453</v>
      </c>
      <c r="AK55" s="50" t="s">
        <v>81</v>
      </c>
      <c r="AL55" s="45" t="s">
        <v>109</v>
      </c>
      <c r="AM55" s="52">
        <v>3.13351965E9</v>
      </c>
      <c r="AN55" s="64">
        <v>0.0</v>
      </c>
      <c r="AO55" s="43">
        <v>0.0</v>
      </c>
      <c r="AP55" s="84" t="s">
        <v>510</v>
      </c>
      <c r="AQ55" s="84"/>
      <c r="AR55" s="84"/>
      <c r="AS55" s="94">
        <v>2800000.0</v>
      </c>
      <c r="AT55" s="43">
        <v>0.0</v>
      </c>
      <c r="AU55" s="43">
        <v>0.0</v>
      </c>
      <c r="AV55" s="43">
        <v>0.0</v>
      </c>
      <c r="AW55" s="43" t="s">
        <v>88</v>
      </c>
      <c r="AX55" s="43">
        <v>0.0</v>
      </c>
      <c r="AY55" s="43" t="s">
        <v>137</v>
      </c>
      <c r="AZ55" s="43">
        <v>0.0</v>
      </c>
      <c r="BA55" s="43" t="s">
        <v>89</v>
      </c>
      <c r="BB55" s="43">
        <v>0.0</v>
      </c>
      <c r="BC55" s="69" t="s">
        <v>90</v>
      </c>
      <c r="BD55" s="70"/>
      <c r="BE55" s="71"/>
      <c r="BF55" s="72" t="s">
        <v>511</v>
      </c>
      <c r="BG55" s="73"/>
      <c r="BH55" s="73"/>
      <c r="BI55" s="73"/>
      <c r="BJ55" s="73"/>
      <c r="BK55" s="73"/>
      <c r="BL55" s="73"/>
      <c r="BM55" s="73"/>
      <c r="BN55" s="73"/>
      <c r="BO55" s="73"/>
      <c r="BP55" s="73"/>
      <c r="BQ55" s="73"/>
      <c r="BR55" s="73"/>
      <c r="BS55" s="73"/>
      <c r="BT55" s="73"/>
      <c r="BU55" s="73"/>
      <c r="BV55" s="73"/>
      <c r="BW55" s="74"/>
      <c r="BX55" s="74"/>
      <c r="BY55" s="63"/>
      <c r="BZ55" s="63"/>
    </row>
    <row r="56" ht="15.75" customHeight="1">
      <c r="A56" s="141" t="s">
        <v>512</v>
      </c>
      <c r="B56" s="112" t="s">
        <v>513</v>
      </c>
      <c r="C56" s="50" t="s">
        <v>271</v>
      </c>
      <c r="D56" s="44" t="s">
        <v>71</v>
      </c>
      <c r="E56" s="77" t="s">
        <v>376</v>
      </c>
      <c r="F56" s="47">
        <v>8.0E8</v>
      </c>
      <c r="G56" s="44" t="str">
        <f t="shared" si="1"/>
        <v>$500'000.000 a $1.000'000.000</v>
      </c>
      <c r="H56" s="44"/>
      <c r="I56" s="44"/>
      <c r="J56" s="50" t="s">
        <v>76</v>
      </c>
      <c r="K56" s="51" t="s">
        <v>77</v>
      </c>
      <c r="L56" s="44">
        <v>9.0</v>
      </c>
      <c r="M56" s="44"/>
      <c r="N56" s="44">
        <v>5.0</v>
      </c>
      <c r="O56" s="50">
        <v>3.0</v>
      </c>
      <c r="P56" s="44">
        <v>3.0</v>
      </c>
      <c r="Q56" s="113"/>
      <c r="R56" s="79">
        <v>121.0</v>
      </c>
      <c r="S56" s="56" t="str">
        <f t="shared" si="3"/>
        <v>Rentabilidad $2,300,000</v>
      </c>
      <c r="T56" s="52" t="s">
        <v>78</v>
      </c>
      <c r="U56" s="142" t="s">
        <v>77</v>
      </c>
      <c r="V56" s="50" t="s">
        <v>79</v>
      </c>
      <c r="W56" s="50"/>
      <c r="X56" s="44">
        <v>6.0</v>
      </c>
      <c r="Y56" s="50" t="s">
        <v>80</v>
      </c>
      <c r="Z56" s="80" t="s">
        <v>81</v>
      </c>
      <c r="AA56" s="59" t="str">
        <f>IF(Rentabilidad=0,"No aplica",TEXT(ROUND(Precio/Rentabilidad/12,0),0) &amp; " años")</f>
        <v>29 años</v>
      </c>
      <c r="AB56" s="115" t="s">
        <v>514</v>
      </c>
      <c r="AC56" s="124" t="s">
        <v>515</v>
      </c>
      <c r="AD56" s="62"/>
      <c r="AE56" s="63"/>
      <c r="AF56" s="45" t="s">
        <v>236</v>
      </c>
      <c r="AG56" s="65" t="s">
        <v>106</v>
      </c>
      <c r="AH56" s="65" t="s">
        <v>45</v>
      </c>
      <c r="AI56" s="65" t="s">
        <v>107</v>
      </c>
      <c r="AJ56" s="64" t="s">
        <v>453</v>
      </c>
      <c r="AK56" s="50" t="s">
        <v>81</v>
      </c>
      <c r="AL56" s="45" t="s">
        <v>109</v>
      </c>
      <c r="AM56" s="52">
        <v>3.13351965E9</v>
      </c>
      <c r="AN56" s="45">
        <v>0.0</v>
      </c>
      <c r="AO56" s="52"/>
      <c r="AP56" s="67" t="s">
        <v>516</v>
      </c>
      <c r="AQ56" s="143">
        <v>2.9323784</v>
      </c>
      <c r="AR56" s="143">
        <v>-75.2875936</v>
      </c>
      <c r="AS56" s="68">
        <v>2300000.0</v>
      </c>
      <c r="AT56" s="44">
        <v>0.0</v>
      </c>
      <c r="AU56" s="44" t="s">
        <v>88</v>
      </c>
      <c r="AV56" s="44">
        <v>0.0</v>
      </c>
      <c r="AW56" s="44" t="s">
        <v>106</v>
      </c>
      <c r="AX56" s="44">
        <v>0.0</v>
      </c>
      <c r="AY56" s="44" t="s">
        <v>137</v>
      </c>
      <c r="AZ56" s="44">
        <v>0.0</v>
      </c>
      <c r="BA56" s="43" t="s">
        <v>89</v>
      </c>
      <c r="BB56" s="44">
        <v>0.0</v>
      </c>
      <c r="BC56" s="95" t="s">
        <v>517</v>
      </c>
      <c r="BD56" s="71"/>
      <c r="BE56" s="71"/>
      <c r="BF56" s="72" t="s">
        <v>518</v>
      </c>
      <c r="BG56" s="73"/>
      <c r="BH56" s="73"/>
      <c r="BI56" s="73"/>
      <c r="BJ56" s="73"/>
      <c r="BK56" s="73"/>
      <c r="BL56" s="73"/>
      <c r="BM56" s="73"/>
      <c r="BN56" s="73"/>
      <c r="BO56" s="73"/>
      <c r="BP56" s="73"/>
      <c r="BQ56" s="73"/>
      <c r="BR56" s="73"/>
      <c r="BS56" s="73"/>
      <c r="BT56" s="73"/>
      <c r="BU56" s="73"/>
      <c r="BV56" s="73"/>
      <c r="BW56" s="74"/>
      <c r="BX56" s="74"/>
      <c r="BY56" s="63"/>
      <c r="BZ56" s="63"/>
    </row>
    <row r="57" ht="15.75" customHeight="1">
      <c r="A57" s="75" t="s">
        <v>519</v>
      </c>
      <c r="B57" s="50" t="s">
        <v>520</v>
      </c>
      <c r="C57" s="50" t="s">
        <v>128</v>
      </c>
      <c r="D57" s="50" t="s">
        <v>459</v>
      </c>
      <c r="E57" s="77" t="s">
        <v>521</v>
      </c>
      <c r="F57" s="78">
        <v>7.5E8</v>
      </c>
      <c r="G57" s="44" t="str">
        <f t="shared" si="1"/>
        <v>$500'000.000 a $1.000'000.000</v>
      </c>
      <c r="H57" s="44"/>
      <c r="I57" s="44"/>
      <c r="J57" s="50" t="s">
        <v>116</v>
      </c>
      <c r="K57" s="51" t="s">
        <v>192</v>
      </c>
      <c r="L57" s="50">
        <v>4.0</v>
      </c>
      <c r="M57" s="50"/>
      <c r="N57" s="50">
        <v>3.0</v>
      </c>
      <c r="O57" s="50">
        <v>1.0</v>
      </c>
      <c r="P57" s="50">
        <v>2.0</v>
      </c>
      <c r="Q57" s="88">
        <v>200.0</v>
      </c>
      <c r="R57" s="88">
        <v>164.0</v>
      </c>
      <c r="S57" s="56" t="str">
        <f t="shared" si="3"/>
        <v> </v>
      </c>
      <c r="T57" s="50" t="s">
        <v>78</v>
      </c>
      <c r="U57" s="51" t="s">
        <v>154</v>
      </c>
      <c r="V57" s="50" t="s">
        <v>79</v>
      </c>
      <c r="W57" s="50"/>
      <c r="X57" s="50">
        <v>4.0</v>
      </c>
      <c r="Y57" s="43" t="s">
        <v>130</v>
      </c>
      <c r="Z57" s="58">
        <v>520000.0</v>
      </c>
      <c r="AA57" s="81" t="s">
        <v>81</v>
      </c>
      <c r="AB57" s="136" t="s">
        <v>522</v>
      </c>
      <c r="AC57" s="124" t="s">
        <v>523</v>
      </c>
      <c r="AD57" s="125"/>
      <c r="AE57" s="63"/>
      <c r="AF57" s="64" t="s">
        <v>105</v>
      </c>
      <c r="AG57" s="65" t="s">
        <v>106</v>
      </c>
      <c r="AH57" s="65"/>
      <c r="AI57" s="65" t="s">
        <v>107</v>
      </c>
      <c r="AJ57" s="64" t="s">
        <v>453</v>
      </c>
      <c r="AK57" s="50" t="s">
        <v>81</v>
      </c>
      <c r="AL57" s="45" t="s">
        <v>109</v>
      </c>
      <c r="AM57" s="52">
        <v>3.13351965E9</v>
      </c>
      <c r="AN57" s="45">
        <v>0.0</v>
      </c>
      <c r="AO57" s="43">
        <v>0.0</v>
      </c>
      <c r="AP57" s="84" t="s">
        <v>524</v>
      </c>
      <c r="AQ57" s="84"/>
      <c r="AR57" s="84"/>
      <c r="AS57" s="85">
        <v>0.0</v>
      </c>
      <c r="AT57" s="50">
        <v>0.0</v>
      </c>
      <c r="AU57" s="50">
        <v>0.0</v>
      </c>
      <c r="AV57" s="44">
        <v>0.0</v>
      </c>
      <c r="AW57" s="50" t="s">
        <v>88</v>
      </c>
      <c r="AX57" s="44">
        <v>0.0</v>
      </c>
      <c r="AY57" s="50">
        <v>0.0</v>
      </c>
      <c r="AZ57" s="44">
        <v>0.0</v>
      </c>
      <c r="BA57" s="43" t="s">
        <v>89</v>
      </c>
      <c r="BB57" s="44">
        <v>0.0</v>
      </c>
      <c r="BC57" s="69" t="s">
        <v>525</v>
      </c>
      <c r="BD57" s="70"/>
      <c r="BE57" s="71"/>
      <c r="BF57" s="72" t="s">
        <v>526</v>
      </c>
      <c r="BG57" s="73"/>
      <c r="BH57" s="73"/>
      <c r="BI57" s="73"/>
      <c r="BJ57" s="73"/>
      <c r="BK57" s="73"/>
      <c r="BL57" s="73"/>
      <c r="BM57" s="73"/>
      <c r="BN57" s="73"/>
      <c r="BO57" s="73"/>
      <c r="BP57" s="73"/>
      <c r="BQ57" s="73"/>
      <c r="BR57" s="73"/>
      <c r="BS57" s="73"/>
      <c r="BT57" s="73"/>
      <c r="BU57" s="73"/>
      <c r="BV57" s="73"/>
      <c r="BW57" s="74"/>
      <c r="BX57" s="74"/>
      <c r="BY57" s="63"/>
      <c r="BZ57" s="63"/>
    </row>
    <row r="58" ht="15.75" customHeight="1">
      <c r="A58" s="75" t="s">
        <v>527</v>
      </c>
      <c r="B58" s="50" t="s">
        <v>211</v>
      </c>
      <c r="C58" s="50" t="s">
        <v>70</v>
      </c>
      <c r="D58" s="50" t="s">
        <v>212</v>
      </c>
      <c r="E58" s="64"/>
      <c r="F58" s="78">
        <v>6.7E8</v>
      </c>
      <c r="G58" s="44" t="str">
        <f t="shared" si="1"/>
        <v>$500'000.000 a $1.000'000.000</v>
      </c>
      <c r="H58" s="44"/>
      <c r="I58" s="44"/>
      <c r="J58" s="50" t="s">
        <v>116</v>
      </c>
      <c r="K58" s="51" t="s">
        <v>192</v>
      </c>
      <c r="L58" s="50">
        <v>4.0</v>
      </c>
      <c r="M58" s="50"/>
      <c r="N58" s="50">
        <v>3.0</v>
      </c>
      <c r="O58" s="50">
        <v>2.0</v>
      </c>
      <c r="P58" s="50">
        <v>2.0</v>
      </c>
      <c r="Q58" s="88">
        <v>161.0</v>
      </c>
      <c r="R58" s="88">
        <v>95.0</v>
      </c>
      <c r="S58" s="56" t="str">
        <f t="shared" si="3"/>
        <v> </v>
      </c>
      <c r="T58" s="50" t="s">
        <v>78</v>
      </c>
      <c r="U58" s="51" t="s">
        <v>142</v>
      </c>
      <c r="V58" s="50" t="s">
        <v>118</v>
      </c>
      <c r="W58" s="50"/>
      <c r="X58" s="50">
        <v>3.0</v>
      </c>
      <c r="Y58" s="50" t="s">
        <v>80</v>
      </c>
      <c r="Z58" s="91"/>
      <c r="AA58" s="59" t="str">
        <f>IF(Rentabilidad=0,"No aplica",TEXT(ROUND(Precio/Rentabilidad/12,0),0) &amp; " años")</f>
        <v>No aplica</v>
      </c>
      <c r="AB58" s="82" t="s">
        <v>528</v>
      </c>
      <c r="AC58" s="83" t="s">
        <v>529</v>
      </c>
      <c r="AD58" s="83" t="s">
        <v>530</v>
      </c>
      <c r="AE58" s="63"/>
      <c r="AF58" s="64" t="s">
        <v>105</v>
      </c>
      <c r="AG58" s="65" t="s">
        <v>106</v>
      </c>
      <c r="AH58" s="63"/>
      <c r="AI58" s="65" t="s">
        <v>107</v>
      </c>
      <c r="AJ58" s="64" t="s">
        <v>453</v>
      </c>
      <c r="AK58" s="58" t="s">
        <v>81</v>
      </c>
      <c r="AL58" s="64" t="s">
        <v>109</v>
      </c>
      <c r="AM58" s="43">
        <v>3.13351965E9</v>
      </c>
      <c r="AN58" s="64">
        <v>0.0</v>
      </c>
      <c r="AO58" s="52"/>
      <c r="AP58" s="84"/>
      <c r="AQ58" s="84"/>
      <c r="AR58" s="84"/>
      <c r="AS58" s="94"/>
      <c r="AT58" s="50">
        <v>0.0</v>
      </c>
      <c r="AU58" s="43">
        <v>0.0</v>
      </c>
      <c r="AV58" s="43" t="s">
        <v>106</v>
      </c>
      <c r="AW58" s="43" t="s">
        <v>106</v>
      </c>
      <c r="AX58" s="43">
        <v>0.0</v>
      </c>
      <c r="AY58" s="43" t="s">
        <v>106</v>
      </c>
      <c r="AZ58" s="43">
        <v>0.0</v>
      </c>
      <c r="BA58" s="43" t="s">
        <v>89</v>
      </c>
      <c r="BB58" s="43">
        <v>0.0</v>
      </c>
      <c r="BC58" s="95"/>
      <c r="BD58" s="71"/>
      <c r="BE58" s="71"/>
      <c r="BF58" s="72" t="s">
        <v>531</v>
      </c>
      <c r="BG58" s="73"/>
      <c r="BH58" s="73"/>
      <c r="BI58" s="73"/>
      <c r="BJ58" s="73"/>
      <c r="BK58" s="73"/>
      <c r="BL58" s="73"/>
      <c r="BM58" s="73"/>
      <c r="BN58" s="73"/>
      <c r="BO58" s="73"/>
      <c r="BP58" s="73"/>
      <c r="BQ58" s="73"/>
      <c r="BR58" s="73"/>
      <c r="BS58" s="73"/>
      <c r="BT58" s="73"/>
      <c r="BU58" s="73"/>
      <c r="BV58" s="73"/>
      <c r="BW58" s="74"/>
      <c r="BX58" s="74"/>
      <c r="BY58" s="63"/>
      <c r="BZ58" s="63"/>
    </row>
    <row r="59" ht="15.75" customHeight="1">
      <c r="A59" s="133" t="s">
        <v>532</v>
      </c>
      <c r="B59" s="43" t="s">
        <v>533</v>
      </c>
      <c r="C59" s="43" t="s">
        <v>490</v>
      </c>
      <c r="D59" s="43" t="s">
        <v>534</v>
      </c>
      <c r="E59" s="45"/>
      <c r="F59" s="78">
        <v>6.5E8</v>
      </c>
      <c r="G59" s="44" t="str">
        <f t="shared" si="1"/>
        <v>$500'000.000 a $1.000'000.000</v>
      </c>
      <c r="H59" s="44"/>
      <c r="I59" s="44"/>
      <c r="J59" s="43" t="s">
        <v>183</v>
      </c>
      <c r="K59" s="56" t="s">
        <v>241</v>
      </c>
      <c r="L59" s="43">
        <v>12.0</v>
      </c>
      <c r="M59" s="43"/>
      <c r="N59" s="43">
        <v>6.0</v>
      </c>
      <c r="O59" s="43">
        <v>0.0</v>
      </c>
      <c r="P59" s="43">
        <v>3.0</v>
      </c>
      <c r="Q59" s="89">
        <v>0.0</v>
      </c>
      <c r="R59" s="88">
        <v>178.0</v>
      </c>
      <c r="S59" s="56" t="str">
        <f t="shared" si="3"/>
        <v> </v>
      </c>
      <c r="T59" s="43" t="s">
        <v>78</v>
      </c>
      <c r="U59" s="56" t="s">
        <v>184</v>
      </c>
      <c r="V59" s="43" t="s">
        <v>118</v>
      </c>
      <c r="W59" s="43"/>
      <c r="X59" s="43">
        <v>0.0</v>
      </c>
      <c r="Y59" s="43" t="s">
        <v>80</v>
      </c>
      <c r="Z59" s="58" t="s">
        <v>81</v>
      </c>
      <c r="AA59" s="59" t="str">
        <f>IF(Rentabilidad=0,"No aplica",TEXT(ROUND(Precio/Rentabilidad/12,0),0) &amp; " años")</f>
        <v>No aplica</v>
      </c>
      <c r="AB59" s="140" t="s">
        <v>535</v>
      </c>
      <c r="AC59" s="132" t="s">
        <v>536</v>
      </c>
      <c r="AD59" s="62"/>
      <c r="AE59" s="63"/>
      <c r="AF59" s="64" t="s">
        <v>105</v>
      </c>
      <c r="AG59" s="65" t="s">
        <v>106</v>
      </c>
      <c r="AH59" s="63"/>
      <c r="AI59" s="65" t="s">
        <v>107</v>
      </c>
      <c r="AJ59" s="64" t="s">
        <v>453</v>
      </c>
      <c r="AK59" s="58" t="s">
        <v>81</v>
      </c>
      <c r="AL59" s="64" t="s">
        <v>109</v>
      </c>
      <c r="AM59" s="43">
        <v>3.13351965E9</v>
      </c>
      <c r="AN59" s="45"/>
      <c r="AO59" s="52"/>
      <c r="AP59" s="67"/>
      <c r="AQ59" s="67"/>
      <c r="AR59" s="67"/>
      <c r="AS59" s="135"/>
      <c r="AT59" s="43">
        <v>0.0</v>
      </c>
      <c r="AU59" s="43">
        <v>0.0</v>
      </c>
      <c r="AV59" s="43">
        <v>0.0</v>
      </c>
      <c r="AW59" s="43" t="s">
        <v>106</v>
      </c>
      <c r="AX59" s="52"/>
      <c r="AY59" s="43">
        <v>0.0</v>
      </c>
      <c r="AZ59" s="52"/>
      <c r="BA59" s="43" t="s">
        <v>89</v>
      </c>
      <c r="BB59" s="52"/>
      <c r="BC59" s="69" t="s">
        <v>537</v>
      </c>
      <c r="BD59" s="70"/>
      <c r="BE59" s="71"/>
      <c r="BF59" s="72" t="s">
        <v>538</v>
      </c>
      <c r="BG59" s="73"/>
      <c r="BH59" s="73"/>
      <c r="BI59" s="73"/>
      <c r="BJ59" s="73"/>
      <c r="BK59" s="73"/>
      <c r="BL59" s="73"/>
      <c r="BM59" s="73"/>
      <c r="BN59" s="73"/>
      <c r="BO59" s="73"/>
      <c r="BP59" s="73"/>
      <c r="BQ59" s="73"/>
      <c r="BR59" s="73"/>
      <c r="BS59" s="73"/>
      <c r="BT59" s="73"/>
      <c r="BU59" s="73"/>
      <c r="BV59" s="73"/>
      <c r="BW59" s="74"/>
      <c r="BX59" s="74"/>
      <c r="BY59" s="63"/>
      <c r="BZ59" s="63"/>
    </row>
    <row r="60" ht="15.75" customHeight="1">
      <c r="A60" s="75" t="s">
        <v>539</v>
      </c>
      <c r="B60" s="50" t="s">
        <v>540</v>
      </c>
      <c r="C60" s="50" t="s">
        <v>323</v>
      </c>
      <c r="D60" s="50" t="s">
        <v>212</v>
      </c>
      <c r="E60" s="64" t="s">
        <v>541</v>
      </c>
      <c r="F60" s="78">
        <v>6.5E8</v>
      </c>
      <c r="G60" s="44" t="str">
        <f t="shared" si="1"/>
        <v>$500'000.000 a $1.000'000.000</v>
      </c>
      <c r="H60" s="44"/>
      <c r="I60" s="44"/>
      <c r="J60" s="50" t="s">
        <v>116</v>
      </c>
      <c r="K60" s="51" t="s">
        <v>192</v>
      </c>
      <c r="L60" s="50">
        <v>3.0</v>
      </c>
      <c r="M60" s="50"/>
      <c r="N60" s="50">
        <v>3.0</v>
      </c>
      <c r="O60" s="50">
        <v>2.0</v>
      </c>
      <c r="P60" s="50">
        <v>2.0</v>
      </c>
      <c r="Q60" s="88">
        <v>155.0</v>
      </c>
      <c r="R60" s="88">
        <v>155.0</v>
      </c>
      <c r="S60" s="56" t="str">
        <f t="shared" si="3"/>
        <v> </v>
      </c>
      <c r="T60" s="50" t="s">
        <v>78</v>
      </c>
      <c r="U60" s="51" t="s">
        <v>142</v>
      </c>
      <c r="V60" s="50" t="s">
        <v>542</v>
      </c>
      <c r="W60" s="50"/>
      <c r="X60" s="50">
        <v>3.0</v>
      </c>
      <c r="Y60" s="50" t="s">
        <v>130</v>
      </c>
      <c r="Z60" s="91"/>
      <c r="AA60" s="59" t="str">
        <f>IF(Rentabilidad=0,"No aplica",TEXT(ROUND(Precio/Rentabilidad/12,0),0) &amp; " años")</f>
        <v>No aplica</v>
      </c>
      <c r="AB60" s="82" t="s">
        <v>543</v>
      </c>
      <c r="AC60" s="102" t="s">
        <v>544</v>
      </c>
      <c r="AD60" s="103" t="s">
        <v>545</v>
      </c>
      <c r="AE60" s="63"/>
      <c r="AF60" s="64" t="s">
        <v>105</v>
      </c>
      <c r="AG60" s="65" t="s">
        <v>106</v>
      </c>
      <c r="AH60" s="63"/>
      <c r="AI60" s="65" t="s">
        <v>107</v>
      </c>
      <c r="AJ60" s="64" t="s">
        <v>453</v>
      </c>
      <c r="AK60" s="50" t="s">
        <v>81</v>
      </c>
      <c r="AL60" s="45" t="s">
        <v>109</v>
      </c>
      <c r="AM60" s="52">
        <v>3.13351965E9</v>
      </c>
      <c r="AN60" s="45"/>
      <c r="AO60" s="52"/>
      <c r="AP60" s="145" t="s">
        <v>546</v>
      </c>
      <c r="AQ60" s="145"/>
      <c r="AR60" s="145"/>
      <c r="AS60" s="94"/>
      <c r="AT60" s="65" t="s">
        <v>106</v>
      </c>
      <c r="AU60" s="50">
        <v>4.0</v>
      </c>
      <c r="AV60" s="50">
        <v>2.0</v>
      </c>
      <c r="AW60" s="50" t="s">
        <v>88</v>
      </c>
      <c r="AX60" s="50">
        <v>0.0</v>
      </c>
      <c r="AY60" s="50">
        <v>0.0</v>
      </c>
      <c r="AZ60" s="50">
        <v>0.0</v>
      </c>
      <c r="BA60" s="43" t="s">
        <v>89</v>
      </c>
      <c r="BB60" s="50">
        <v>0.0</v>
      </c>
      <c r="BC60" s="95"/>
      <c r="BD60" s="71"/>
      <c r="BE60" s="71"/>
      <c r="BF60" s="72" t="s">
        <v>547</v>
      </c>
      <c r="BG60" s="73"/>
      <c r="BH60" s="73"/>
      <c r="BI60" s="73"/>
      <c r="BJ60" s="73"/>
      <c r="BK60" s="73"/>
      <c r="BL60" s="73"/>
      <c r="BM60" s="73"/>
      <c r="BN60" s="73"/>
      <c r="BO60" s="73"/>
      <c r="BP60" s="73"/>
      <c r="BQ60" s="73"/>
      <c r="BR60" s="73"/>
      <c r="BS60" s="73"/>
      <c r="BT60" s="73"/>
      <c r="BU60" s="73"/>
      <c r="BV60" s="73"/>
      <c r="BW60" s="74"/>
      <c r="BX60" s="74"/>
      <c r="BY60" s="63"/>
      <c r="BZ60" s="63"/>
    </row>
    <row r="61" ht="15.75" customHeight="1">
      <c r="A61" s="133" t="s">
        <v>548</v>
      </c>
      <c r="B61" s="43" t="s">
        <v>549</v>
      </c>
      <c r="C61" s="43" t="s">
        <v>271</v>
      </c>
      <c r="D61" s="43" t="s">
        <v>550</v>
      </c>
      <c r="E61" s="45"/>
      <c r="F61" s="78">
        <v>6.5E8</v>
      </c>
      <c r="G61" s="44" t="str">
        <f t="shared" si="1"/>
        <v>$500'000.000 a $1.000'000.000</v>
      </c>
      <c r="H61" s="44"/>
      <c r="I61" s="44"/>
      <c r="J61" s="43" t="s">
        <v>116</v>
      </c>
      <c r="K61" s="56" t="s">
        <v>192</v>
      </c>
      <c r="L61" s="43">
        <v>3.0</v>
      </c>
      <c r="M61" s="43"/>
      <c r="N61" s="43">
        <v>4.0</v>
      </c>
      <c r="O61" s="43">
        <v>1.0</v>
      </c>
      <c r="P61" s="43">
        <v>2.0</v>
      </c>
      <c r="Q61" s="88">
        <v>182.0</v>
      </c>
      <c r="R61" s="88">
        <v>96.0</v>
      </c>
      <c r="S61" s="56" t="str">
        <f t="shared" si="3"/>
        <v> </v>
      </c>
      <c r="T61" s="43" t="s">
        <v>78</v>
      </c>
      <c r="U61" s="56" t="s">
        <v>77</v>
      </c>
      <c r="V61" s="43" t="s">
        <v>118</v>
      </c>
      <c r="W61" s="43"/>
      <c r="X61" s="43">
        <v>2.0</v>
      </c>
      <c r="Y61" s="43" t="s">
        <v>80</v>
      </c>
      <c r="Z61" s="58" t="s">
        <v>81</v>
      </c>
      <c r="AA61" s="59" t="str">
        <f>IF(Rentabilidad=0,"No aplica",TEXT(ROUND(Precio/Rentabilidad/12,0),0) &amp; " años")</f>
        <v>No aplica</v>
      </c>
      <c r="AB61" s="140" t="s">
        <v>551</v>
      </c>
      <c r="AC61" s="124" t="s">
        <v>552</v>
      </c>
      <c r="AD61" s="62"/>
      <c r="AE61" s="63"/>
      <c r="AF61" s="64" t="s">
        <v>236</v>
      </c>
      <c r="AG61" s="65" t="s">
        <v>106</v>
      </c>
      <c r="AH61" s="63"/>
      <c r="AI61" s="65" t="s">
        <v>107</v>
      </c>
      <c r="AJ61" s="64" t="s">
        <v>453</v>
      </c>
      <c r="AK61" s="58" t="s">
        <v>81</v>
      </c>
      <c r="AL61" s="64" t="s">
        <v>109</v>
      </c>
      <c r="AM61" s="43">
        <v>3.13351965E9</v>
      </c>
      <c r="AN61" s="45"/>
      <c r="AO61" s="43" t="s">
        <v>553</v>
      </c>
      <c r="AP61" s="146" t="s">
        <v>554</v>
      </c>
      <c r="AQ61" s="146"/>
      <c r="AR61" s="146"/>
      <c r="AS61" s="135"/>
      <c r="AT61" s="43">
        <v>0.0</v>
      </c>
      <c r="AU61" s="43">
        <v>0.0</v>
      </c>
      <c r="AV61" s="43">
        <v>0.0</v>
      </c>
      <c r="AW61" s="43" t="s">
        <v>106</v>
      </c>
      <c r="AX61" s="52"/>
      <c r="AY61" s="43">
        <v>0.0</v>
      </c>
      <c r="AZ61" s="52"/>
      <c r="BA61" s="43" t="s">
        <v>89</v>
      </c>
      <c r="BB61" s="52"/>
      <c r="BC61" s="95"/>
      <c r="BD61" s="71"/>
      <c r="BE61" s="71"/>
      <c r="BF61" s="72" t="s">
        <v>555</v>
      </c>
      <c r="BG61" s="73"/>
      <c r="BH61" s="73"/>
      <c r="BI61" s="73"/>
      <c r="BJ61" s="73"/>
      <c r="BK61" s="73"/>
      <c r="BL61" s="73"/>
      <c r="BM61" s="73"/>
      <c r="BN61" s="73"/>
      <c r="BO61" s="73"/>
      <c r="BP61" s="73"/>
      <c r="BQ61" s="73"/>
      <c r="BR61" s="73"/>
      <c r="BS61" s="73"/>
      <c r="BT61" s="73"/>
      <c r="BU61" s="73"/>
      <c r="BV61" s="73"/>
      <c r="BW61" s="74"/>
      <c r="BX61" s="74"/>
      <c r="BY61" s="63"/>
      <c r="BZ61" s="63"/>
    </row>
    <row r="62" ht="15.75" customHeight="1">
      <c r="A62" s="75" t="s">
        <v>556</v>
      </c>
      <c r="B62" s="50" t="s">
        <v>557</v>
      </c>
      <c r="C62" s="50" t="s">
        <v>497</v>
      </c>
      <c r="D62" s="50"/>
      <c r="E62" s="64"/>
      <c r="F62" s="78">
        <v>6.5E8</v>
      </c>
      <c r="G62" s="44" t="str">
        <f t="shared" si="1"/>
        <v>$500'000.000 a $1.000'000.000</v>
      </c>
      <c r="H62" s="44"/>
      <c r="I62" s="44"/>
      <c r="J62" s="50" t="s">
        <v>498</v>
      </c>
      <c r="K62" s="51"/>
      <c r="L62" s="50">
        <v>8.0</v>
      </c>
      <c r="M62" s="50"/>
      <c r="N62" s="50">
        <v>10.0</v>
      </c>
      <c r="O62" s="50">
        <v>20.0</v>
      </c>
      <c r="P62" s="50">
        <v>2.0</v>
      </c>
      <c r="Q62" s="88">
        <v>0.0</v>
      </c>
      <c r="R62" s="88">
        <v>30000.0</v>
      </c>
      <c r="S62" s="56"/>
      <c r="T62" s="50" t="s">
        <v>95</v>
      </c>
      <c r="U62" s="57"/>
      <c r="V62" s="44"/>
      <c r="W62" s="44"/>
      <c r="X62" s="50">
        <v>8.0</v>
      </c>
      <c r="Y62" s="50" t="s">
        <v>97</v>
      </c>
      <c r="Z62" s="58" t="s">
        <v>81</v>
      </c>
      <c r="AA62" s="59" t="str">
        <f>IF(Rentabilidad=0,"No aplica",TEXT(ROUND(Precio/Rentabilidad/12,0),0) &amp; " años")</f>
        <v>No aplica</v>
      </c>
      <c r="AB62" s="82" t="s">
        <v>558</v>
      </c>
      <c r="AC62" s="132" t="s">
        <v>559</v>
      </c>
      <c r="AD62" s="147" t="s">
        <v>560</v>
      </c>
      <c r="AE62" s="63"/>
      <c r="AF62" s="64" t="s">
        <v>236</v>
      </c>
      <c r="AG62" s="65" t="s">
        <v>106</v>
      </c>
      <c r="AH62" s="63"/>
      <c r="AI62" s="65" t="s">
        <v>107</v>
      </c>
      <c r="AJ62" s="64" t="s">
        <v>453</v>
      </c>
      <c r="AK62" s="58" t="s">
        <v>81</v>
      </c>
      <c r="AL62" s="64" t="s">
        <v>109</v>
      </c>
      <c r="AM62" s="43">
        <v>3.13351965E9</v>
      </c>
      <c r="AN62" s="64">
        <v>0.0</v>
      </c>
      <c r="AO62" s="43" t="s">
        <v>245</v>
      </c>
      <c r="AP62" s="84">
        <v>0.0</v>
      </c>
      <c r="AQ62" s="84"/>
      <c r="AR62" s="84"/>
      <c r="AS62" s="94">
        <v>0.0</v>
      </c>
      <c r="AT62" s="65" t="s">
        <v>88</v>
      </c>
      <c r="AU62" s="43">
        <v>0.0</v>
      </c>
      <c r="AV62" s="43">
        <v>0.0</v>
      </c>
      <c r="AW62" s="43" t="s">
        <v>88</v>
      </c>
      <c r="AX62" s="43">
        <v>0.0</v>
      </c>
      <c r="AY62" s="43">
        <v>0.0</v>
      </c>
      <c r="AZ62" s="43">
        <v>0.0</v>
      </c>
      <c r="BA62" s="43" t="s">
        <v>89</v>
      </c>
      <c r="BB62" s="50">
        <v>0.0</v>
      </c>
      <c r="BC62" s="69" t="s">
        <v>561</v>
      </c>
      <c r="BD62" s="70"/>
      <c r="BE62" s="70"/>
      <c r="BF62" s="72" t="s">
        <v>562</v>
      </c>
      <c r="BG62" s="73"/>
      <c r="BH62" s="73"/>
      <c r="BI62" s="73"/>
      <c r="BJ62" s="73"/>
      <c r="BK62" s="73"/>
      <c r="BL62" s="73"/>
      <c r="BM62" s="73"/>
      <c r="BN62" s="73"/>
      <c r="BO62" s="73"/>
      <c r="BP62" s="73"/>
      <c r="BQ62" s="73"/>
      <c r="BR62" s="73"/>
      <c r="BS62" s="73"/>
      <c r="BT62" s="73"/>
      <c r="BU62" s="73"/>
      <c r="BV62" s="73"/>
      <c r="BW62" s="74"/>
      <c r="BX62" s="74"/>
      <c r="BY62" s="63"/>
      <c r="BZ62" s="63"/>
    </row>
    <row r="63" ht="15.75" customHeight="1">
      <c r="A63" s="148" t="s">
        <v>563</v>
      </c>
      <c r="B63" s="112" t="s">
        <v>564</v>
      </c>
      <c r="C63" s="50" t="s">
        <v>271</v>
      </c>
      <c r="D63" s="44" t="s">
        <v>205</v>
      </c>
      <c r="E63" s="45"/>
      <c r="F63" s="47">
        <v>6.3E8</v>
      </c>
      <c r="G63" s="44" t="str">
        <f t="shared" si="1"/>
        <v>$500'000.000 a $1.000'000.000</v>
      </c>
      <c r="H63" s="44"/>
      <c r="I63" s="44"/>
      <c r="J63" s="50" t="s">
        <v>76</v>
      </c>
      <c r="K63" s="119" t="s">
        <v>77</v>
      </c>
      <c r="L63" s="44">
        <v>6.0</v>
      </c>
      <c r="M63" s="44"/>
      <c r="N63" s="44">
        <v>4.0</v>
      </c>
      <c r="O63" s="50">
        <v>1.0</v>
      </c>
      <c r="P63" s="44">
        <v>1.0</v>
      </c>
      <c r="Q63" s="54">
        <v>171.0</v>
      </c>
      <c r="R63" s="79">
        <v>171.0</v>
      </c>
      <c r="S63" s="56" t="str">
        <f t="shared" ref="S63:S119" si="4">IF(AS63=0," ","Rentabilidad $" &amp; TEXT(AS63,"#,##0"))</f>
        <v>Rentabilidad $1,500,000</v>
      </c>
      <c r="T63" s="52" t="s">
        <v>78</v>
      </c>
      <c r="U63" s="57" t="s">
        <v>142</v>
      </c>
      <c r="V63" s="50" t="s">
        <v>118</v>
      </c>
      <c r="W63" s="50"/>
      <c r="X63" s="44">
        <v>4.0</v>
      </c>
      <c r="Y63" s="50" t="s">
        <v>80</v>
      </c>
      <c r="Z63" s="80" t="s">
        <v>81</v>
      </c>
      <c r="AA63" s="59" t="str">
        <f>IF(Rentabilidad=0,"No aplica",TEXT(ROUND(Precio/Rentabilidad/12,0),0) &amp; " años")</f>
        <v>35 años</v>
      </c>
      <c r="AB63" s="134" t="s">
        <v>565</v>
      </c>
      <c r="AC63" s="124" t="s">
        <v>566</v>
      </c>
      <c r="AD63" s="107" t="s">
        <v>118</v>
      </c>
      <c r="AE63" s="63"/>
      <c r="AF63" s="45" t="s">
        <v>236</v>
      </c>
      <c r="AG63" s="65" t="s">
        <v>106</v>
      </c>
      <c r="AH63" s="65" t="s">
        <v>45</v>
      </c>
      <c r="AI63" s="65" t="s">
        <v>107</v>
      </c>
      <c r="AJ63" s="64" t="s">
        <v>453</v>
      </c>
      <c r="AK63" s="50" t="s">
        <v>81</v>
      </c>
      <c r="AL63" s="45" t="s">
        <v>109</v>
      </c>
      <c r="AM63" s="52">
        <v>3.13351965E9</v>
      </c>
      <c r="AN63" s="45" t="s">
        <v>567</v>
      </c>
      <c r="AO63" s="52" t="s">
        <v>568</v>
      </c>
      <c r="AP63" s="67" t="s">
        <v>569</v>
      </c>
      <c r="AQ63" s="143">
        <v>2.9386909</v>
      </c>
      <c r="AR63" s="143">
        <v>-75.2902595</v>
      </c>
      <c r="AS63" s="68">
        <v>1500000.0</v>
      </c>
      <c r="AT63" s="63">
        <v>0.0</v>
      </c>
      <c r="AU63" s="52">
        <v>0.0</v>
      </c>
      <c r="AV63" s="52">
        <v>0.0</v>
      </c>
      <c r="AW63" s="43" t="s">
        <v>88</v>
      </c>
      <c r="AX63" s="52">
        <v>0.0</v>
      </c>
      <c r="AY63" s="52" t="s">
        <v>137</v>
      </c>
      <c r="AZ63" s="44">
        <v>0.0</v>
      </c>
      <c r="BA63" s="43" t="s">
        <v>89</v>
      </c>
      <c r="BB63" s="44">
        <v>0.0</v>
      </c>
      <c r="BC63" s="95"/>
      <c r="BD63" s="71"/>
      <c r="BE63" s="71"/>
      <c r="BF63" s="72" t="s">
        <v>570</v>
      </c>
      <c r="BG63" s="73"/>
      <c r="BH63" s="73"/>
      <c r="BI63" s="73"/>
      <c r="BJ63" s="73"/>
      <c r="BK63" s="73"/>
      <c r="BL63" s="73"/>
      <c r="BM63" s="73"/>
      <c r="BN63" s="73"/>
      <c r="BO63" s="73"/>
      <c r="BP63" s="73"/>
      <c r="BQ63" s="73"/>
      <c r="BR63" s="73"/>
      <c r="BS63" s="73"/>
      <c r="BT63" s="73"/>
      <c r="BU63" s="73"/>
      <c r="BV63" s="73"/>
      <c r="BW63" s="74"/>
      <c r="BX63" s="74"/>
      <c r="BY63" s="63"/>
      <c r="BZ63" s="63"/>
    </row>
    <row r="64" ht="15.75" customHeight="1">
      <c r="A64" s="149" t="s">
        <v>571</v>
      </c>
      <c r="B64" s="50" t="s">
        <v>572</v>
      </c>
      <c r="C64" s="50" t="s">
        <v>573</v>
      </c>
      <c r="D64" s="65" t="s">
        <v>574</v>
      </c>
      <c r="E64" s="64" t="s">
        <v>575</v>
      </c>
      <c r="F64" s="47">
        <v>6.3E8</v>
      </c>
      <c r="G64" s="44" t="str">
        <f t="shared" si="1"/>
        <v>$500'000.000 a $1.000'000.000</v>
      </c>
      <c r="H64" s="44"/>
      <c r="I64" s="44"/>
      <c r="J64" s="50" t="s">
        <v>116</v>
      </c>
      <c r="K64" s="150"/>
      <c r="L64" s="44">
        <v>5.0</v>
      </c>
      <c r="M64" s="44"/>
      <c r="N64" s="44">
        <v>3.0</v>
      </c>
      <c r="O64" s="50">
        <v>2.0</v>
      </c>
      <c r="P64" s="50">
        <v>1.0</v>
      </c>
      <c r="Q64" s="113">
        <v>220.0</v>
      </c>
      <c r="R64" s="79">
        <v>111.0</v>
      </c>
      <c r="S64" s="56" t="str">
        <f t="shared" si="4"/>
        <v> </v>
      </c>
      <c r="T64" s="44" t="s">
        <v>78</v>
      </c>
      <c r="U64" s="57" t="s">
        <v>142</v>
      </c>
      <c r="V64" s="44"/>
      <c r="W64" s="44"/>
      <c r="X64" s="44">
        <v>5.0</v>
      </c>
      <c r="Y64" s="43" t="s">
        <v>80</v>
      </c>
      <c r="Z64" s="151">
        <v>315000.0</v>
      </c>
      <c r="AA64" s="59" t="str">
        <f>IF(Rentabilidad=0,"No aplica",TEXT(ROUND(Precio/Rentabilidad/12,0),0) &amp; " años")</f>
        <v>No aplica</v>
      </c>
      <c r="AB64" s="60"/>
      <c r="AC64" s="131" t="s">
        <v>576</v>
      </c>
      <c r="AD64" s="62"/>
      <c r="AE64" s="63"/>
      <c r="AF64" s="45" t="s">
        <v>105</v>
      </c>
      <c r="AG64" s="63"/>
      <c r="AH64" s="63"/>
      <c r="AI64" s="65" t="s">
        <v>107</v>
      </c>
      <c r="AJ64" s="64" t="s">
        <v>453</v>
      </c>
      <c r="AK64" s="50" t="s">
        <v>81</v>
      </c>
      <c r="AL64" s="45" t="s">
        <v>109</v>
      </c>
      <c r="AM64" s="52">
        <v>3.13351965E9</v>
      </c>
      <c r="AN64" s="45">
        <v>0.0</v>
      </c>
      <c r="AO64" s="52"/>
      <c r="AP64" s="67" t="s">
        <v>577</v>
      </c>
      <c r="AQ64" s="67"/>
      <c r="AR64" s="67"/>
      <c r="AS64" s="68">
        <v>0.0</v>
      </c>
      <c r="AT64" s="63">
        <v>0.0</v>
      </c>
      <c r="AU64" s="52">
        <v>0.0</v>
      </c>
      <c r="AV64" s="52">
        <v>0.0</v>
      </c>
      <c r="AW64" s="43" t="s">
        <v>88</v>
      </c>
      <c r="AX64" s="52">
        <v>0.0</v>
      </c>
      <c r="AY64" s="52">
        <v>0.0</v>
      </c>
      <c r="AZ64" s="44">
        <v>0.0</v>
      </c>
      <c r="BA64" s="43" t="s">
        <v>89</v>
      </c>
      <c r="BB64" s="44">
        <v>0.0</v>
      </c>
      <c r="BC64" s="109"/>
      <c r="BD64" s="70"/>
      <c r="BE64" s="129"/>
      <c r="BF64" s="130"/>
      <c r="BG64" s="73"/>
      <c r="BH64" s="73"/>
      <c r="BI64" s="73"/>
      <c r="BJ64" s="73"/>
      <c r="BK64" s="73"/>
      <c r="BL64" s="73"/>
      <c r="BM64" s="73"/>
      <c r="BN64" s="73"/>
      <c r="BO64" s="73"/>
      <c r="BP64" s="73"/>
      <c r="BQ64" s="73"/>
      <c r="BR64" s="73"/>
      <c r="BS64" s="73"/>
      <c r="BT64" s="73"/>
      <c r="BU64" s="73"/>
      <c r="BV64" s="73"/>
      <c r="BW64" s="74"/>
      <c r="BX64" s="74"/>
      <c r="BY64" s="63"/>
      <c r="BZ64" s="63"/>
    </row>
    <row r="65" ht="15.75" customHeight="1">
      <c r="A65" s="152" t="s">
        <v>578</v>
      </c>
      <c r="B65" s="50" t="s">
        <v>579</v>
      </c>
      <c r="C65" s="50" t="s">
        <v>128</v>
      </c>
      <c r="D65" s="50"/>
      <c r="E65" s="77" t="s">
        <v>580</v>
      </c>
      <c r="F65" s="78">
        <v>6.0E8</v>
      </c>
      <c r="G65" s="44" t="str">
        <f t="shared" si="1"/>
        <v>$500'000.000 a $1.000'000.000</v>
      </c>
      <c r="H65" s="44"/>
      <c r="I65" s="44"/>
      <c r="J65" s="50" t="s">
        <v>116</v>
      </c>
      <c r="K65" s="57"/>
      <c r="L65" s="50">
        <v>3.0</v>
      </c>
      <c r="M65" s="50"/>
      <c r="N65" s="50">
        <v>3.0</v>
      </c>
      <c r="O65" s="50">
        <v>1.0</v>
      </c>
      <c r="P65" s="50">
        <v>2.0</v>
      </c>
      <c r="Q65" s="88">
        <v>127.0</v>
      </c>
      <c r="R65" s="88">
        <v>110.0</v>
      </c>
      <c r="S65" s="56" t="str">
        <f t="shared" si="4"/>
        <v> </v>
      </c>
      <c r="T65" s="50" t="s">
        <v>78</v>
      </c>
      <c r="U65" s="51" t="s">
        <v>142</v>
      </c>
      <c r="V65" s="50" t="s">
        <v>79</v>
      </c>
      <c r="W65" s="50"/>
      <c r="X65" s="50">
        <v>3.0</v>
      </c>
      <c r="Y65" s="43" t="s">
        <v>130</v>
      </c>
      <c r="Z65" s="58">
        <v>0.0</v>
      </c>
      <c r="AA65" s="81" t="s">
        <v>81</v>
      </c>
      <c r="AB65" s="115" t="s">
        <v>581</v>
      </c>
      <c r="AC65" s="124" t="s">
        <v>582</v>
      </c>
      <c r="AD65" s="125" t="s">
        <v>583</v>
      </c>
      <c r="AE65" s="63"/>
      <c r="AF65" s="64" t="s">
        <v>105</v>
      </c>
      <c r="AG65" s="65" t="s">
        <v>106</v>
      </c>
      <c r="AH65" s="63"/>
      <c r="AI65" s="65" t="s">
        <v>107</v>
      </c>
      <c r="AJ65" s="64" t="s">
        <v>453</v>
      </c>
      <c r="AK65" s="50" t="s">
        <v>81</v>
      </c>
      <c r="AL65" s="45" t="s">
        <v>109</v>
      </c>
      <c r="AM65" s="52">
        <v>3.13351965E9</v>
      </c>
      <c r="AN65" s="64">
        <v>0.0</v>
      </c>
      <c r="AO65" s="153">
        <v>0.0</v>
      </c>
      <c r="AP65" s="84">
        <v>0.0</v>
      </c>
      <c r="AQ65" s="84"/>
      <c r="AR65" s="84"/>
      <c r="AS65" s="68">
        <v>0.0</v>
      </c>
      <c r="AT65" s="50" t="s">
        <v>88</v>
      </c>
      <c r="AU65" s="52">
        <v>0.0</v>
      </c>
      <c r="AV65" s="52">
        <v>0.0</v>
      </c>
      <c r="AW65" s="43" t="s">
        <v>88</v>
      </c>
      <c r="AX65" s="52">
        <v>0.0</v>
      </c>
      <c r="AY65" s="43" t="s">
        <v>110</v>
      </c>
      <c r="AZ65" s="52">
        <v>0.0</v>
      </c>
      <c r="BA65" s="43" t="s">
        <v>89</v>
      </c>
      <c r="BB65" s="52">
        <v>0.0</v>
      </c>
      <c r="BC65" s="95" t="s">
        <v>455</v>
      </c>
      <c r="BD65" s="71"/>
      <c r="BE65" s="71"/>
      <c r="BF65" s="72" t="s">
        <v>584</v>
      </c>
      <c r="BG65" s="73"/>
      <c r="BH65" s="73"/>
      <c r="BI65" s="73"/>
      <c r="BJ65" s="73"/>
      <c r="BK65" s="73"/>
      <c r="BL65" s="73"/>
      <c r="BM65" s="73"/>
      <c r="BN65" s="73"/>
      <c r="BO65" s="73"/>
      <c r="BP65" s="73"/>
      <c r="BQ65" s="73"/>
      <c r="BR65" s="73"/>
      <c r="BS65" s="73"/>
      <c r="BT65" s="73"/>
      <c r="BU65" s="73"/>
      <c r="BV65" s="73"/>
      <c r="BW65" s="74"/>
      <c r="BX65" s="74"/>
      <c r="BY65" s="63"/>
      <c r="BZ65" s="63"/>
    </row>
    <row r="66" ht="15.75" customHeight="1">
      <c r="A66" s="75" t="s">
        <v>585</v>
      </c>
      <c r="B66" s="50" t="s">
        <v>586</v>
      </c>
      <c r="C66" s="50" t="s">
        <v>315</v>
      </c>
      <c r="D66" s="50" t="s">
        <v>587</v>
      </c>
      <c r="E66" s="64"/>
      <c r="F66" s="78">
        <v>6.0E8</v>
      </c>
      <c r="G66" s="44" t="str">
        <f t="shared" si="1"/>
        <v>$500'000.000 a $1.000'000.000</v>
      </c>
      <c r="H66" s="44"/>
      <c r="I66" s="44"/>
      <c r="J66" s="50" t="s">
        <v>94</v>
      </c>
      <c r="K66" s="51"/>
      <c r="L66" s="50">
        <v>0.0</v>
      </c>
      <c r="M66" s="50"/>
      <c r="N66" s="50">
        <v>0.0</v>
      </c>
      <c r="O66" s="50">
        <v>0.0</v>
      </c>
      <c r="P66" s="50">
        <v>0.0</v>
      </c>
      <c r="Q66" s="88">
        <v>100.0</v>
      </c>
      <c r="R66" s="88">
        <v>1456.0</v>
      </c>
      <c r="S66" s="56" t="str">
        <f t="shared" si="4"/>
        <v> </v>
      </c>
      <c r="T66" s="50" t="s">
        <v>342</v>
      </c>
      <c r="U66" s="57"/>
      <c r="V66" s="50" t="s">
        <v>79</v>
      </c>
      <c r="W66" s="50"/>
      <c r="X66" s="50">
        <v>0.0</v>
      </c>
      <c r="Y66" s="50" t="s">
        <v>80</v>
      </c>
      <c r="Z66" s="91"/>
      <c r="AA66" s="59" t="str">
        <f>IF(Rentabilidad=0,"No aplica",TEXT(ROUND(Precio/Rentabilidad/12,0),0) &amp; " años")</f>
        <v>No aplica</v>
      </c>
      <c r="AB66" s="82" t="s">
        <v>588</v>
      </c>
      <c r="AC66" s="132" t="s">
        <v>589</v>
      </c>
      <c r="AD66" s="107" t="s">
        <v>590</v>
      </c>
      <c r="AE66" s="63"/>
      <c r="AF66" s="64">
        <v>0.0</v>
      </c>
      <c r="AG66" s="65" t="s">
        <v>106</v>
      </c>
      <c r="AH66" s="63"/>
      <c r="AI66" s="65" t="s">
        <v>107</v>
      </c>
      <c r="AJ66" s="64" t="s">
        <v>453</v>
      </c>
      <c r="AK66" s="58" t="s">
        <v>81</v>
      </c>
      <c r="AL66" s="64" t="s">
        <v>109</v>
      </c>
      <c r="AM66" s="43">
        <v>3.13351965E9</v>
      </c>
      <c r="AN66" s="64">
        <v>0.0</v>
      </c>
      <c r="AO66" s="43" t="s">
        <v>245</v>
      </c>
      <c r="AP66" s="84"/>
      <c r="AQ66" s="84"/>
      <c r="AR66" s="84"/>
      <c r="AS66" s="94">
        <v>0.0</v>
      </c>
      <c r="AT66" s="65" t="s">
        <v>88</v>
      </c>
      <c r="AU66" s="43">
        <v>0.0</v>
      </c>
      <c r="AV66" s="43">
        <v>0.0</v>
      </c>
      <c r="AW66" s="43" t="s">
        <v>88</v>
      </c>
      <c r="AX66" s="43">
        <v>0.0</v>
      </c>
      <c r="AY66" s="43">
        <v>0.0</v>
      </c>
      <c r="AZ66" s="43">
        <v>0.0</v>
      </c>
      <c r="BA66" s="43" t="s">
        <v>89</v>
      </c>
      <c r="BB66" s="50">
        <v>0.0</v>
      </c>
      <c r="BC66" s="109"/>
      <c r="BD66" s="70"/>
      <c r="BE66" s="71"/>
      <c r="BF66" s="72" t="s">
        <v>591</v>
      </c>
      <c r="BG66" s="73"/>
      <c r="BH66" s="73"/>
      <c r="BI66" s="73"/>
      <c r="BJ66" s="73"/>
      <c r="BK66" s="73"/>
      <c r="BL66" s="73"/>
      <c r="BM66" s="73"/>
      <c r="BN66" s="73"/>
      <c r="BO66" s="73"/>
      <c r="BP66" s="73"/>
      <c r="BQ66" s="73"/>
      <c r="BR66" s="73"/>
      <c r="BS66" s="73"/>
      <c r="BT66" s="73"/>
      <c r="BU66" s="73"/>
      <c r="BV66" s="73"/>
      <c r="BW66" s="74"/>
      <c r="BX66" s="74"/>
      <c r="BY66" s="63"/>
      <c r="BZ66" s="63"/>
    </row>
    <row r="67" ht="15.75" customHeight="1">
      <c r="A67" s="75" t="s">
        <v>592</v>
      </c>
      <c r="B67" s="50" t="s">
        <v>593</v>
      </c>
      <c r="C67" s="111" t="s">
        <v>323</v>
      </c>
      <c r="D67" s="50" t="s">
        <v>11</v>
      </c>
      <c r="E67" s="77" t="s">
        <v>594</v>
      </c>
      <c r="F67" s="78">
        <v>5.5E8</v>
      </c>
      <c r="G67" s="44" t="str">
        <f t="shared" si="1"/>
        <v>$500'000.000 a $1.000'000.000</v>
      </c>
      <c r="H67" s="44"/>
      <c r="I67" s="44"/>
      <c r="J67" s="50" t="s">
        <v>183</v>
      </c>
      <c r="K67" s="51" t="s">
        <v>184</v>
      </c>
      <c r="L67" s="50">
        <v>3.0</v>
      </c>
      <c r="M67" s="50"/>
      <c r="N67" s="50">
        <v>2.0</v>
      </c>
      <c r="O67" s="50">
        <v>1.0</v>
      </c>
      <c r="P67" s="50">
        <v>7.0</v>
      </c>
      <c r="Q67" s="88">
        <v>115.0</v>
      </c>
      <c r="R67" s="88">
        <v>115.0</v>
      </c>
      <c r="S67" s="56" t="str">
        <f t="shared" si="4"/>
        <v> </v>
      </c>
      <c r="T67" s="50" t="s">
        <v>78</v>
      </c>
      <c r="U67" s="51" t="s">
        <v>142</v>
      </c>
      <c r="V67" s="50" t="s">
        <v>595</v>
      </c>
      <c r="W67" s="50"/>
      <c r="X67" s="50">
        <v>3.0</v>
      </c>
      <c r="Y67" s="43" t="s">
        <v>130</v>
      </c>
      <c r="Z67" s="58">
        <v>359000.0</v>
      </c>
      <c r="AA67" s="81" t="s">
        <v>81</v>
      </c>
      <c r="AB67" s="136" t="s">
        <v>596</v>
      </c>
      <c r="AC67" s="124" t="s">
        <v>597</v>
      </c>
      <c r="AD67" s="125" t="s">
        <v>598</v>
      </c>
      <c r="AE67" s="63"/>
      <c r="AF67" s="64" t="s">
        <v>105</v>
      </c>
      <c r="AG67" s="65" t="s">
        <v>106</v>
      </c>
      <c r="AH67" s="65"/>
      <c r="AI67" s="65" t="s">
        <v>107</v>
      </c>
      <c r="AJ67" s="64" t="s">
        <v>453</v>
      </c>
      <c r="AK67" s="50" t="s">
        <v>81</v>
      </c>
      <c r="AL67" s="45" t="s">
        <v>109</v>
      </c>
      <c r="AM67" s="52">
        <v>3.13351965E9</v>
      </c>
      <c r="AN67" s="64">
        <v>0.0</v>
      </c>
      <c r="AO67" s="43">
        <v>0.0</v>
      </c>
      <c r="AP67" s="108" t="s">
        <v>599</v>
      </c>
      <c r="AQ67" s="108">
        <v>2.95189067066486</v>
      </c>
      <c r="AR67" s="108">
        <v>-75.2897589039061</v>
      </c>
      <c r="AS67" s="94">
        <v>0.0</v>
      </c>
      <c r="AT67" s="50" t="s">
        <v>106</v>
      </c>
      <c r="AU67" s="43">
        <v>0.0</v>
      </c>
      <c r="AV67" s="43">
        <v>3.0</v>
      </c>
      <c r="AW67" s="43" t="s">
        <v>88</v>
      </c>
      <c r="AX67" s="43">
        <v>0.0</v>
      </c>
      <c r="AY67" s="43">
        <v>0.0</v>
      </c>
      <c r="AZ67" s="50">
        <v>0.0</v>
      </c>
      <c r="BA67" s="43" t="s">
        <v>89</v>
      </c>
      <c r="BB67" s="50">
        <v>0.0</v>
      </c>
      <c r="BC67" s="127" t="s">
        <v>600</v>
      </c>
      <c r="BD67" s="128"/>
      <c r="BE67" s="129"/>
      <c r="BF67" s="72" t="s">
        <v>601</v>
      </c>
      <c r="BG67" s="73"/>
      <c r="BH67" s="73"/>
      <c r="BI67" s="73"/>
      <c r="BJ67" s="73"/>
      <c r="BK67" s="73"/>
      <c r="BL67" s="73"/>
      <c r="BM67" s="73"/>
      <c r="BN67" s="73"/>
      <c r="BO67" s="73"/>
      <c r="BP67" s="73"/>
      <c r="BQ67" s="73"/>
      <c r="BR67" s="73"/>
      <c r="BS67" s="73"/>
      <c r="BT67" s="73"/>
      <c r="BU67" s="73"/>
      <c r="BV67" s="73"/>
      <c r="BW67" s="74"/>
      <c r="BX67" s="74"/>
      <c r="BY67" s="63"/>
      <c r="BZ67" s="63"/>
    </row>
    <row r="68" ht="15.75" customHeight="1">
      <c r="A68" s="75" t="s">
        <v>602</v>
      </c>
      <c r="B68" s="50" t="s">
        <v>603</v>
      </c>
      <c r="C68" s="50" t="s">
        <v>573</v>
      </c>
      <c r="D68" s="50" t="s">
        <v>76</v>
      </c>
      <c r="E68" s="77"/>
      <c r="F68" s="78">
        <v>5.5E8</v>
      </c>
      <c r="G68" s="44" t="str">
        <f t="shared" si="1"/>
        <v>$500'000.000 a $1.000'000.000</v>
      </c>
      <c r="H68" s="44"/>
      <c r="I68" s="44"/>
      <c r="J68" s="50" t="s">
        <v>76</v>
      </c>
      <c r="K68" s="51" t="s">
        <v>142</v>
      </c>
      <c r="L68" s="50">
        <v>3.0</v>
      </c>
      <c r="M68" s="50"/>
      <c r="N68" s="50">
        <v>4.0</v>
      </c>
      <c r="O68" s="50">
        <v>2.0</v>
      </c>
      <c r="P68" s="50">
        <v>11.0</v>
      </c>
      <c r="Q68" s="88">
        <v>121.0</v>
      </c>
      <c r="R68" s="88">
        <v>121.0</v>
      </c>
      <c r="S68" s="56" t="str">
        <f t="shared" si="4"/>
        <v> </v>
      </c>
      <c r="T68" s="50" t="s">
        <v>78</v>
      </c>
      <c r="U68" s="51" t="s">
        <v>154</v>
      </c>
      <c r="V68" s="50" t="s">
        <v>604</v>
      </c>
      <c r="W68" s="50"/>
      <c r="X68" s="50">
        <v>3.0</v>
      </c>
      <c r="Y68" s="43" t="s">
        <v>130</v>
      </c>
      <c r="Z68" s="58">
        <v>413000.0</v>
      </c>
      <c r="AA68" s="81" t="s">
        <v>81</v>
      </c>
      <c r="AB68" s="115" t="s">
        <v>605</v>
      </c>
      <c r="AC68" s="124" t="s">
        <v>606</v>
      </c>
      <c r="AD68" s="125" t="s">
        <v>607</v>
      </c>
      <c r="AE68" s="63"/>
      <c r="AF68" s="64" t="s">
        <v>105</v>
      </c>
      <c r="AG68" s="65" t="s">
        <v>106</v>
      </c>
      <c r="AH68" s="65"/>
      <c r="AI68" s="65" t="s">
        <v>107</v>
      </c>
      <c r="AJ68" s="64" t="s">
        <v>453</v>
      </c>
      <c r="AK68" s="50" t="s">
        <v>81</v>
      </c>
      <c r="AL68" s="45" t="s">
        <v>109</v>
      </c>
      <c r="AM68" s="52">
        <v>3.13351965E9</v>
      </c>
      <c r="AN68" s="45">
        <v>0.0</v>
      </c>
      <c r="AO68" s="43">
        <v>0.0</v>
      </c>
      <c r="AP68" s="84" t="s">
        <v>608</v>
      </c>
      <c r="AQ68" s="84"/>
      <c r="AR68" s="84"/>
      <c r="AS68" s="85">
        <v>0.0</v>
      </c>
      <c r="AT68" s="50" t="s">
        <v>106</v>
      </c>
      <c r="AU68" s="50">
        <v>0.0</v>
      </c>
      <c r="AV68" s="44">
        <v>0.0</v>
      </c>
      <c r="AW68" s="50" t="s">
        <v>88</v>
      </c>
      <c r="AX68" s="50">
        <v>0.0</v>
      </c>
      <c r="AY68" s="50">
        <v>0.0</v>
      </c>
      <c r="AZ68" s="44">
        <v>0.0</v>
      </c>
      <c r="BA68" s="43" t="s">
        <v>89</v>
      </c>
      <c r="BB68" s="44">
        <v>0.0</v>
      </c>
      <c r="BC68" s="95"/>
      <c r="BD68" s="71"/>
      <c r="BE68" s="71"/>
      <c r="BF68" s="72" t="s">
        <v>609</v>
      </c>
      <c r="BG68" s="73"/>
      <c r="BH68" s="73"/>
      <c r="BI68" s="73"/>
      <c r="BJ68" s="73"/>
      <c r="BK68" s="73"/>
      <c r="BL68" s="73"/>
      <c r="BM68" s="73"/>
      <c r="BN68" s="73"/>
      <c r="BO68" s="73"/>
      <c r="BP68" s="73"/>
      <c r="BQ68" s="73"/>
      <c r="BR68" s="73"/>
      <c r="BS68" s="73"/>
      <c r="BT68" s="73"/>
      <c r="BU68" s="73"/>
      <c r="BV68" s="73"/>
      <c r="BW68" s="74"/>
      <c r="BX68" s="74"/>
      <c r="BY68" s="63"/>
      <c r="BZ68" s="63"/>
    </row>
    <row r="69" ht="15.75" customHeight="1">
      <c r="A69" s="133" t="s">
        <v>610</v>
      </c>
      <c r="B69" s="50" t="s">
        <v>611</v>
      </c>
      <c r="C69" s="43" t="s">
        <v>271</v>
      </c>
      <c r="D69" s="50" t="s">
        <v>477</v>
      </c>
      <c r="E69" s="77"/>
      <c r="F69" s="78">
        <v>5.5E8</v>
      </c>
      <c r="G69" s="44" t="str">
        <f t="shared" si="1"/>
        <v>$500'000.000 a $1.000'000.000</v>
      </c>
      <c r="H69" s="44"/>
      <c r="I69" s="44"/>
      <c r="J69" s="50" t="s">
        <v>76</v>
      </c>
      <c r="K69" s="51" t="s">
        <v>142</v>
      </c>
      <c r="L69" s="43">
        <v>6.0</v>
      </c>
      <c r="M69" s="43"/>
      <c r="N69" s="43">
        <v>3.0</v>
      </c>
      <c r="O69" s="43">
        <v>1.0</v>
      </c>
      <c r="P69" s="43">
        <v>2.0</v>
      </c>
      <c r="Q69" s="55">
        <v>316.0</v>
      </c>
      <c r="R69" s="55"/>
      <c r="S69" s="56" t="str">
        <f t="shared" si="4"/>
        <v> </v>
      </c>
      <c r="T69" s="43" t="s">
        <v>78</v>
      </c>
      <c r="U69" s="51" t="s">
        <v>77</v>
      </c>
      <c r="V69" s="50" t="s">
        <v>79</v>
      </c>
      <c r="W69" s="50"/>
      <c r="X69" s="43">
        <v>6.0</v>
      </c>
      <c r="Y69" s="50" t="s">
        <v>80</v>
      </c>
      <c r="Z69" s="58" t="s">
        <v>81</v>
      </c>
      <c r="AA69" s="59" t="str">
        <f>IF(Rentabilidad=0,"No aplica",TEXT(ROUND(Precio/Rentabilidad/12,0),0) &amp; " años")</f>
        <v>No aplica</v>
      </c>
      <c r="AB69" s="134" t="s">
        <v>612</v>
      </c>
      <c r="AC69" s="131" t="s">
        <v>613</v>
      </c>
      <c r="AD69" s="62"/>
      <c r="AE69" s="63"/>
      <c r="AF69" s="64" t="s">
        <v>84</v>
      </c>
      <c r="AG69" s="65" t="s">
        <v>106</v>
      </c>
      <c r="AH69" s="65"/>
      <c r="AI69" s="65" t="s">
        <v>107</v>
      </c>
      <c r="AJ69" s="64" t="s">
        <v>453</v>
      </c>
      <c r="AK69" s="50" t="s">
        <v>81</v>
      </c>
      <c r="AL69" s="45" t="s">
        <v>109</v>
      </c>
      <c r="AM69" s="52">
        <v>3.13351965E9</v>
      </c>
      <c r="AN69" s="45"/>
      <c r="AO69" s="52"/>
      <c r="AP69" s="84" t="s">
        <v>614</v>
      </c>
      <c r="AQ69" s="84"/>
      <c r="AR69" s="84"/>
      <c r="AS69" s="135"/>
      <c r="AT69" s="63"/>
      <c r="AU69" s="52"/>
      <c r="AV69" s="52"/>
      <c r="AW69" s="43" t="s">
        <v>106</v>
      </c>
      <c r="AX69" s="52"/>
      <c r="AY69" s="43" t="s">
        <v>110</v>
      </c>
      <c r="AZ69" s="52"/>
      <c r="BA69" s="43" t="s">
        <v>89</v>
      </c>
      <c r="BB69" s="52"/>
      <c r="BC69" s="109"/>
      <c r="BD69" s="70"/>
      <c r="BE69" s="129"/>
      <c r="BF69" s="72" t="s">
        <v>615</v>
      </c>
      <c r="BG69" s="73"/>
      <c r="BH69" s="73"/>
      <c r="BI69" s="73"/>
      <c r="BJ69" s="73"/>
      <c r="BK69" s="73"/>
      <c r="BL69" s="73"/>
      <c r="BM69" s="73"/>
      <c r="BN69" s="73"/>
      <c r="BO69" s="73"/>
      <c r="BP69" s="73"/>
      <c r="BQ69" s="73"/>
      <c r="BR69" s="73"/>
      <c r="BS69" s="73"/>
      <c r="BT69" s="73"/>
      <c r="BU69" s="73"/>
      <c r="BV69" s="73"/>
      <c r="BW69" s="74"/>
      <c r="BX69" s="74"/>
      <c r="BY69" s="63"/>
      <c r="BZ69" s="63"/>
    </row>
    <row r="70" ht="15.75" customHeight="1">
      <c r="A70" s="75" t="s">
        <v>616</v>
      </c>
      <c r="B70" s="50" t="s">
        <v>617</v>
      </c>
      <c r="C70" s="50" t="s">
        <v>323</v>
      </c>
      <c r="D70" s="50"/>
      <c r="E70" s="64" t="s">
        <v>618</v>
      </c>
      <c r="F70" s="78">
        <v>4.7E8</v>
      </c>
      <c r="G70" s="44" t="str">
        <f t="shared" si="1"/>
        <v>$400'000.000 a $500'000.000</v>
      </c>
      <c r="H70" s="44"/>
      <c r="I70" s="44"/>
      <c r="J70" s="50" t="s">
        <v>116</v>
      </c>
      <c r="K70" s="51" t="s">
        <v>192</v>
      </c>
      <c r="L70" s="50">
        <v>2.0</v>
      </c>
      <c r="M70" s="50"/>
      <c r="N70" s="50">
        <v>2.0</v>
      </c>
      <c r="O70" s="50">
        <v>2.0</v>
      </c>
      <c r="P70" s="50">
        <v>13.0</v>
      </c>
      <c r="Q70" s="88">
        <v>78.0</v>
      </c>
      <c r="R70" s="88">
        <v>78.0</v>
      </c>
      <c r="S70" s="56" t="str">
        <f t="shared" si="4"/>
        <v> </v>
      </c>
      <c r="T70" s="50" t="s">
        <v>78</v>
      </c>
      <c r="U70" s="51" t="s">
        <v>154</v>
      </c>
      <c r="V70" s="50" t="s">
        <v>619</v>
      </c>
      <c r="W70" s="50"/>
      <c r="X70" s="50">
        <v>2.0</v>
      </c>
      <c r="Y70" s="50" t="s">
        <v>130</v>
      </c>
      <c r="Z70" s="91"/>
      <c r="AA70" s="59" t="str">
        <f>IF(Rentabilidad=0,"No aplica",TEXT(ROUND(Precio/Rentabilidad/12,0),0) &amp; " años")</f>
        <v>No aplica</v>
      </c>
      <c r="AB70" s="82" t="s">
        <v>620</v>
      </c>
      <c r="AC70" s="83" t="s">
        <v>621</v>
      </c>
      <c r="AD70" s="83" t="s">
        <v>622</v>
      </c>
      <c r="AE70" s="63"/>
      <c r="AF70" s="64" t="s">
        <v>105</v>
      </c>
      <c r="AG70" s="65" t="s">
        <v>106</v>
      </c>
      <c r="AH70" s="63"/>
      <c r="AI70" s="65" t="s">
        <v>107</v>
      </c>
      <c r="AJ70" s="64" t="s">
        <v>453</v>
      </c>
      <c r="AK70" s="58" t="s">
        <v>81</v>
      </c>
      <c r="AL70" s="64" t="s">
        <v>109</v>
      </c>
      <c r="AM70" s="43">
        <v>3.13351965E9</v>
      </c>
      <c r="AN70" s="64">
        <v>0.0</v>
      </c>
      <c r="AO70" s="52"/>
      <c r="AP70" s="84"/>
      <c r="AQ70" s="84">
        <v>2.93847238482353</v>
      </c>
      <c r="AR70" s="84">
        <v>-75.246240642308</v>
      </c>
      <c r="AS70" s="94"/>
      <c r="AT70" s="50" t="s">
        <v>106</v>
      </c>
      <c r="AU70" s="43">
        <v>0.0</v>
      </c>
      <c r="AV70" s="43" t="s">
        <v>106</v>
      </c>
      <c r="AW70" s="43" t="s">
        <v>88</v>
      </c>
      <c r="AX70" s="43">
        <v>0.0</v>
      </c>
      <c r="AY70" s="43">
        <v>0.0</v>
      </c>
      <c r="AZ70" s="43">
        <v>0.0</v>
      </c>
      <c r="BA70" s="43" t="s">
        <v>89</v>
      </c>
      <c r="BB70" s="43">
        <v>0.0</v>
      </c>
      <c r="BC70" s="95"/>
      <c r="BD70" s="71"/>
      <c r="BE70" s="71"/>
      <c r="BF70" s="72" t="s">
        <v>623</v>
      </c>
      <c r="BG70" s="73"/>
      <c r="BH70" s="73"/>
      <c r="BI70" s="73"/>
      <c r="BJ70" s="73"/>
      <c r="BK70" s="73"/>
      <c r="BL70" s="73"/>
      <c r="BM70" s="73"/>
      <c r="BN70" s="73"/>
      <c r="BO70" s="73"/>
      <c r="BP70" s="73"/>
      <c r="BQ70" s="73"/>
      <c r="BR70" s="73"/>
      <c r="BS70" s="73"/>
      <c r="BT70" s="73"/>
      <c r="BU70" s="73"/>
      <c r="BV70" s="73"/>
      <c r="BW70" s="74"/>
      <c r="BX70" s="74"/>
      <c r="BY70" s="63"/>
      <c r="BZ70" s="63"/>
    </row>
    <row r="71" ht="15.75" customHeight="1">
      <c r="A71" s="133" t="s">
        <v>624</v>
      </c>
      <c r="B71" s="50" t="s">
        <v>625</v>
      </c>
      <c r="C71" s="43" t="s">
        <v>573</v>
      </c>
      <c r="D71" s="50" t="s">
        <v>76</v>
      </c>
      <c r="E71" s="77"/>
      <c r="F71" s="78">
        <v>4.5E8</v>
      </c>
      <c r="G71" s="44" t="str">
        <f t="shared" si="1"/>
        <v>$400'000.000 a $500'000.000</v>
      </c>
      <c r="H71" s="44"/>
      <c r="I71" s="44"/>
      <c r="J71" s="50" t="s">
        <v>76</v>
      </c>
      <c r="K71" s="51" t="s">
        <v>117</v>
      </c>
      <c r="L71" s="43">
        <v>4.0</v>
      </c>
      <c r="M71" s="43"/>
      <c r="N71" s="43">
        <v>3.0</v>
      </c>
      <c r="O71" s="43">
        <v>2.0</v>
      </c>
      <c r="P71" s="43">
        <v>8.0</v>
      </c>
      <c r="Q71" s="88">
        <v>200.0</v>
      </c>
      <c r="R71" s="88">
        <v>98.0</v>
      </c>
      <c r="S71" s="56" t="str">
        <f t="shared" si="4"/>
        <v> </v>
      </c>
      <c r="T71" s="43" t="s">
        <v>78</v>
      </c>
      <c r="U71" s="51" t="s">
        <v>142</v>
      </c>
      <c r="V71" s="43" t="s">
        <v>626</v>
      </c>
      <c r="W71" s="43"/>
      <c r="X71" s="43">
        <v>4.0</v>
      </c>
      <c r="Y71" s="50" t="s">
        <v>130</v>
      </c>
      <c r="Z71" s="58">
        <v>0.0</v>
      </c>
      <c r="AA71" s="81" t="s">
        <v>81</v>
      </c>
      <c r="AB71" s="134" t="s">
        <v>627</v>
      </c>
      <c r="AC71" s="124" t="s">
        <v>628</v>
      </c>
      <c r="AD71" s="107" t="s">
        <v>629</v>
      </c>
      <c r="AE71" s="63"/>
      <c r="AF71" s="64" t="s">
        <v>105</v>
      </c>
      <c r="AG71" s="65" t="s">
        <v>106</v>
      </c>
      <c r="AH71" s="65"/>
      <c r="AI71" s="65" t="s">
        <v>107</v>
      </c>
      <c r="AJ71" s="64" t="s">
        <v>453</v>
      </c>
      <c r="AK71" s="50" t="s">
        <v>81</v>
      </c>
      <c r="AL71" s="45" t="s">
        <v>109</v>
      </c>
      <c r="AM71" s="52">
        <v>3.13351965E9</v>
      </c>
      <c r="AN71" s="45">
        <v>0.0</v>
      </c>
      <c r="AO71" s="43">
        <v>0.0</v>
      </c>
      <c r="AP71" s="84" t="s">
        <v>630</v>
      </c>
      <c r="AQ71" s="84"/>
      <c r="AR71" s="84"/>
      <c r="AS71" s="85">
        <v>0.0</v>
      </c>
      <c r="AT71" s="50" t="s">
        <v>106</v>
      </c>
      <c r="AU71" s="50">
        <v>0.0</v>
      </c>
      <c r="AV71" s="44">
        <v>0.0</v>
      </c>
      <c r="AW71" s="50" t="s">
        <v>88</v>
      </c>
      <c r="AX71" s="50">
        <v>0.0</v>
      </c>
      <c r="AY71" s="50">
        <v>0.0</v>
      </c>
      <c r="AZ71" s="44">
        <v>0.0</v>
      </c>
      <c r="BA71" s="43" t="s">
        <v>89</v>
      </c>
      <c r="BB71" s="44">
        <v>0.0</v>
      </c>
      <c r="BC71" s="86"/>
      <c r="BD71" s="71"/>
      <c r="BE71" s="71"/>
      <c r="BF71" s="72" t="s">
        <v>631</v>
      </c>
      <c r="BG71" s="73"/>
      <c r="BH71" s="73"/>
      <c r="BI71" s="73"/>
      <c r="BJ71" s="73"/>
      <c r="BK71" s="73"/>
      <c r="BL71" s="73"/>
      <c r="BM71" s="73"/>
      <c r="BN71" s="73"/>
      <c r="BO71" s="73"/>
      <c r="BP71" s="73"/>
      <c r="BQ71" s="73"/>
      <c r="BR71" s="73"/>
      <c r="BS71" s="73"/>
      <c r="BT71" s="73"/>
      <c r="BU71" s="73"/>
      <c r="BV71" s="73"/>
      <c r="BW71" s="74"/>
      <c r="BX71" s="74"/>
      <c r="BY71" s="63"/>
      <c r="BZ71" s="63"/>
    </row>
    <row r="72" ht="15.75" customHeight="1">
      <c r="A72" s="75" t="s">
        <v>632</v>
      </c>
      <c r="B72" s="50" t="s">
        <v>633</v>
      </c>
      <c r="C72" s="50" t="s">
        <v>114</v>
      </c>
      <c r="D72" s="50"/>
      <c r="E72" s="64" t="s">
        <v>634</v>
      </c>
      <c r="F72" s="78">
        <v>4.5E8</v>
      </c>
      <c r="G72" s="44" t="str">
        <f t="shared" si="1"/>
        <v>$400'000.000 a $500'000.000</v>
      </c>
      <c r="H72" s="44"/>
      <c r="I72" s="44"/>
      <c r="J72" s="50" t="s">
        <v>94</v>
      </c>
      <c r="K72" s="51"/>
      <c r="L72" s="50">
        <v>4.0</v>
      </c>
      <c r="M72" s="50"/>
      <c r="N72" s="50">
        <v>3.0</v>
      </c>
      <c r="O72" s="50">
        <v>1.0</v>
      </c>
      <c r="P72" s="50">
        <v>1.0</v>
      </c>
      <c r="Q72" s="88">
        <v>250.0</v>
      </c>
      <c r="R72" s="88">
        <v>1000.0</v>
      </c>
      <c r="S72" s="56" t="str">
        <f t="shared" si="4"/>
        <v> </v>
      </c>
      <c r="T72" s="50" t="s">
        <v>95</v>
      </c>
      <c r="U72" s="51" t="s">
        <v>184</v>
      </c>
      <c r="V72" s="44"/>
      <c r="W72" s="44"/>
      <c r="X72" s="50">
        <v>4.0</v>
      </c>
      <c r="Y72" s="50" t="s">
        <v>97</v>
      </c>
      <c r="Z72" s="91"/>
      <c r="AA72" s="59" t="str">
        <f>IF(Rentabilidad=0,"No aplica",TEXT(ROUND(Precio/Rentabilidad/12,0),0) &amp; " años")</f>
        <v>No aplica</v>
      </c>
      <c r="AB72" s="82" t="s">
        <v>635</v>
      </c>
      <c r="AC72" s="83" t="s">
        <v>636</v>
      </c>
      <c r="AD72" s="83" t="s">
        <v>637</v>
      </c>
      <c r="AE72" s="63"/>
      <c r="AF72" s="45" t="s">
        <v>236</v>
      </c>
      <c r="AG72" s="65" t="s">
        <v>106</v>
      </c>
      <c r="AH72" s="63"/>
      <c r="AI72" s="65" t="s">
        <v>107</v>
      </c>
      <c r="AJ72" s="64" t="s">
        <v>453</v>
      </c>
      <c r="AK72" s="58" t="s">
        <v>81</v>
      </c>
      <c r="AL72" s="64" t="s">
        <v>109</v>
      </c>
      <c r="AM72" s="43">
        <v>3.13351965E9</v>
      </c>
      <c r="AN72" s="64">
        <v>0.0</v>
      </c>
      <c r="AO72" s="43" t="s">
        <v>245</v>
      </c>
      <c r="AP72" s="84"/>
      <c r="AQ72" s="84"/>
      <c r="AR72" s="84"/>
      <c r="AS72" s="94">
        <v>0.0</v>
      </c>
      <c r="AT72" s="65">
        <v>0.0</v>
      </c>
      <c r="AU72" s="43">
        <v>0.0</v>
      </c>
      <c r="AV72" s="43" t="s">
        <v>106</v>
      </c>
      <c r="AW72" s="43" t="s">
        <v>88</v>
      </c>
      <c r="AX72" s="43">
        <v>0.0</v>
      </c>
      <c r="AY72" s="43" t="s">
        <v>106</v>
      </c>
      <c r="AZ72" s="43">
        <v>0.0</v>
      </c>
      <c r="BA72" s="43" t="s">
        <v>89</v>
      </c>
      <c r="BB72" s="50">
        <v>0.0</v>
      </c>
      <c r="BC72" s="95"/>
      <c r="BD72" s="71"/>
      <c r="BE72" s="70"/>
      <c r="BF72" s="72" t="s">
        <v>638</v>
      </c>
      <c r="BG72" s="73"/>
      <c r="BH72" s="73"/>
      <c r="BI72" s="73"/>
      <c r="BJ72" s="73"/>
      <c r="BK72" s="73"/>
      <c r="BL72" s="73"/>
      <c r="BM72" s="73"/>
      <c r="BN72" s="73"/>
      <c r="BO72" s="73"/>
      <c r="BP72" s="73"/>
      <c r="BQ72" s="73"/>
      <c r="BR72" s="73"/>
      <c r="BS72" s="73"/>
      <c r="BT72" s="73"/>
      <c r="BU72" s="73"/>
      <c r="BV72" s="73"/>
      <c r="BW72" s="74"/>
      <c r="BX72" s="74"/>
      <c r="BY72" s="63"/>
      <c r="BZ72" s="63"/>
    </row>
    <row r="73" ht="15.75" customHeight="1">
      <c r="A73" s="75" t="s">
        <v>639</v>
      </c>
      <c r="B73" s="50" t="s">
        <v>640</v>
      </c>
      <c r="C73" s="50" t="s">
        <v>323</v>
      </c>
      <c r="D73" s="50"/>
      <c r="E73" s="64" t="s">
        <v>641</v>
      </c>
      <c r="F73" s="78">
        <v>4.5E8</v>
      </c>
      <c r="G73" s="44" t="str">
        <f t="shared" si="1"/>
        <v>$400'000.000 a $500'000.000</v>
      </c>
      <c r="H73" s="44"/>
      <c r="I73" s="44"/>
      <c r="J73" s="50" t="s">
        <v>94</v>
      </c>
      <c r="K73" s="51" t="s">
        <v>117</v>
      </c>
      <c r="L73" s="50">
        <v>3.0</v>
      </c>
      <c r="M73" s="50"/>
      <c r="N73" s="50">
        <v>2.0</v>
      </c>
      <c r="O73" s="50">
        <v>1.0</v>
      </c>
      <c r="P73" s="50">
        <v>3.0</v>
      </c>
      <c r="Q73" s="88">
        <v>113.0</v>
      </c>
      <c r="R73" s="88">
        <v>113.0</v>
      </c>
      <c r="S73" s="56" t="str">
        <f t="shared" si="4"/>
        <v> </v>
      </c>
      <c r="T73" s="50" t="s">
        <v>78</v>
      </c>
      <c r="U73" s="51" t="s">
        <v>77</v>
      </c>
      <c r="V73" s="50" t="s">
        <v>642</v>
      </c>
      <c r="W73" s="50"/>
      <c r="X73" s="50">
        <v>3.0</v>
      </c>
      <c r="Y73" s="50" t="s">
        <v>130</v>
      </c>
      <c r="Z73" s="91"/>
      <c r="AA73" s="81" t="s">
        <v>81</v>
      </c>
      <c r="AB73" s="82" t="s">
        <v>643</v>
      </c>
      <c r="AC73" s="131" t="s">
        <v>644</v>
      </c>
      <c r="AD73" s="107" t="s">
        <v>645</v>
      </c>
      <c r="AE73" s="63"/>
      <c r="AF73" s="64" t="s">
        <v>105</v>
      </c>
      <c r="AG73" s="65" t="s">
        <v>106</v>
      </c>
      <c r="AH73" s="63"/>
      <c r="AI73" s="65" t="s">
        <v>107</v>
      </c>
      <c r="AJ73" s="64" t="s">
        <v>453</v>
      </c>
      <c r="AK73" s="58" t="s">
        <v>81</v>
      </c>
      <c r="AL73" s="64" t="s">
        <v>109</v>
      </c>
      <c r="AM73" s="43">
        <v>3.13351965E9</v>
      </c>
      <c r="AN73" s="64">
        <v>0.0</v>
      </c>
      <c r="AO73" s="43" t="s">
        <v>245</v>
      </c>
      <c r="AP73" s="84" t="s">
        <v>646</v>
      </c>
      <c r="AQ73" s="84"/>
      <c r="AR73" s="84"/>
      <c r="AS73" s="94">
        <v>0.0</v>
      </c>
      <c r="AT73" s="65" t="s">
        <v>106</v>
      </c>
      <c r="AU73" s="43">
        <v>0.0</v>
      </c>
      <c r="AV73" s="43">
        <v>0.0</v>
      </c>
      <c r="AW73" s="43" t="s">
        <v>88</v>
      </c>
      <c r="AX73" s="43">
        <v>0.0</v>
      </c>
      <c r="AY73" s="43">
        <v>0.0</v>
      </c>
      <c r="AZ73" s="43">
        <v>0.0</v>
      </c>
      <c r="BA73" s="43" t="s">
        <v>89</v>
      </c>
      <c r="BB73" s="50">
        <v>0.0</v>
      </c>
      <c r="BC73" s="109"/>
      <c r="BD73" s="70"/>
      <c r="BE73" s="70"/>
      <c r="BF73" s="72" t="s">
        <v>647</v>
      </c>
      <c r="BG73" s="73"/>
      <c r="BH73" s="73"/>
      <c r="BI73" s="73"/>
      <c r="BJ73" s="73"/>
      <c r="BK73" s="73"/>
      <c r="BL73" s="73"/>
      <c r="BM73" s="73"/>
      <c r="BN73" s="73"/>
      <c r="BO73" s="73"/>
      <c r="BP73" s="73"/>
      <c r="BQ73" s="73"/>
      <c r="BR73" s="73"/>
      <c r="BS73" s="73"/>
      <c r="BT73" s="73"/>
      <c r="BU73" s="73"/>
      <c r="BV73" s="73"/>
      <c r="BW73" s="74"/>
      <c r="BX73" s="74"/>
      <c r="BY73" s="63"/>
      <c r="BZ73" s="63"/>
    </row>
    <row r="74" ht="15.75" customHeight="1">
      <c r="A74" s="133" t="s">
        <v>648</v>
      </c>
      <c r="B74" s="50" t="s">
        <v>611</v>
      </c>
      <c r="C74" s="43" t="s">
        <v>271</v>
      </c>
      <c r="D74" s="50" t="s">
        <v>477</v>
      </c>
      <c r="E74" s="77"/>
      <c r="F74" s="78">
        <v>4.5E8</v>
      </c>
      <c r="G74" s="44" t="str">
        <f t="shared" si="1"/>
        <v>$400'000.000 a $500'000.000</v>
      </c>
      <c r="H74" s="44"/>
      <c r="I74" s="44"/>
      <c r="J74" s="50" t="s">
        <v>76</v>
      </c>
      <c r="K74" s="51" t="s">
        <v>142</v>
      </c>
      <c r="L74" s="43">
        <v>5.0</v>
      </c>
      <c r="M74" s="43"/>
      <c r="N74" s="43">
        <v>3.0</v>
      </c>
      <c r="O74" s="43">
        <v>1.0</v>
      </c>
      <c r="P74" s="43">
        <v>1.0</v>
      </c>
      <c r="Q74" s="55">
        <v>220.0</v>
      </c>
      <c r="R74" s="55"/>
      <c r="S74" s="56" t="str">
        <f t="shared" si="4"/>
        <v> </v>
      </c>
      <c r="T74" s="43" t="s">
        <v>78</v>
      </c>
      <c r="U74" s="51" t="s">
        <v>77</v>
      </c>
      <c r="V74" s="50" t="s">
        <v>79</v>
      </c>
      <c r="W74" s="50"/>
      <c r="X74" s="43">
        <v>0.0</v>
      </c>
      <c r="Y74" s="50" t="s">
        <v>80</v>
      </c>
      <c r="Z74" s="58" t="s">
        <v>81</v>
      </c>
      <c r="AA74" s="59" t="str">
        <f>IF(Rentabilidad=0,"No aplica",TEXT(ROUND(Precio/Rentabilidad/12,0),0) &amp; " años")</f>
        <v>No aplica</v>
      </c>
      <c r="AB74" s="134" t="s">
        <v>649</v>
      </c>
      <c r="AC74" s="131" t="s">
        <v>650</v>
      </c>
      <c r="AD74" s="62"/>
      <c r="AE74" s="63"/>
      <c r="AF74" s="64" t="s">
        <v>84</v>
      </c>
      <c r="AG74" s="65" t="s">
        <v>106</v>
      </c>
      <c r="AH74" s="65"/>
      <c r="AI74" s="65" t="s">
        <v>107</v>
      </c>
      <c r="AJ74" s="64" t="s">
        <v>453</v>
      </c>
      <c r="AK74" s="50" t="s">
        <v>81</v>
      </c>
      <c r="AL74" s="45" t="s">
        <v>109</v>
      </c>
      <c r="AM74" s="52">
        <v>3.13351965E9</v>
      </c>
      <c r="AN74" s="45"/>
      <c r="AO74" s="52"/>
      <c r="AP74" s="84" t="s">
        <v>651</v>
      </c>
      <c r="AQ74" s="84"/>
      <c r="AR74" s="84"/>
      <c r="AS74" s="135"/>
      <c r="AT74" s="63"/>
      <c r="AU74" s="52"/>
      <c r="AV74" s="52"/>
      <c r="AW74" s="43" t="s">
        <v>106</v>
      </c>
      <c r="AX74" s="52"/>
      <c r="AY74" s="43">
        <v>0.0</v>
      </c>
      <c r="AZ74" s="52"/>
      <c r="BA74" s="43" t="s">
        <v>89</v>
      </c>
      <c r="BB74" s="52"/>
      <c r="BC74" s="109"/>
      <c r="BD74" s="70"/>
      <c r="BE74" s="71"/>
      <c r="BF74" s="72" t="s">
        <v>652</v>
      </c>
      <c r="BG74" s="73"/>
      <c r="BH74" s="73"/>
      <c r="BI74" s="73"/>
      <c r="BJ74" s="73"/>
      <c r="BK74" s="73"/>
      <c r="BL74" s="73"/>
      <c r="BM74" s="73"/>
      <c r="BN74" s="73"/>
      <c r="BO74" s="73"/>
      <c r="BP74" s="73"/>
      <c r="BQ74" s="73"/>
      <c r="BR74" s="73"/>
      <c r="BS74" s="73"/>
      <c r="BT74" s="73"/>
      <c r="BU74" s="73"/>
      <c r="BV74" s="73"/>
      <c r="BW74" s="74"/>
      <c r="BX74" s="74"/>
      <c r="BY74" s="63"/>
      <c r="BZ74" s="63"/>
    </row>
    <row r="75" ht="15.75" customHeight="1">
      <c r="A75" s="152" t="s">
        <v>653</v>
      </c>
      <c r="B75" s="50" t="s">
        <v>654</v>
      </c>
      <c r="C75" s="111" t="s">
        <v>323</v>
      </c>
      <c r="D75" s="50"/>
      <c r="E75" s="77" t="s">
        <v>655</v>
      </c>
      <c r="F75" s="78">
        <v>4.5E8</v>
      </c>
      <c r="G75" s="44" t="str">
        <f t="shared" si="1"/>
        <v>$400'000.000 a $500'000.000</v>
      </c>
      <c r="H75" s="44"/>
      <c r="I75" s="44"/>
      <c r="J75" s="50" t="s">
        <v>183</v>
      </c>
      <c r="K75" s="57"/>
      <c r="L75" s="50">
        <v>3.0</v>
      </c>
      <c r="M75" s="50"/>
      <c r="N75" s="50">
        <v>2.0</v>
      </c>
      <c r="O75" s="50">
        <v>2.0</v>
      </c>
      <c r="P75" s="50">
        <v>9.0</v>
      </c>
      <c r="Q75" s="88">
        <v>112.0</v>
      </c>
      <c r="R75" s="88">
        <v>112.0</v>
      </c>
      <c r="S75" s="56" t="str">
        <f t="shared" si="4"/>
        <v> </v>
      </c>
      <c r="T75" s="50" t="s">
        <v>78</v>
      </c>
      <c r="U75" s="51" t="s">
        <v>142</v>
      </c>
      <c r="V75" s="50" t="s">
        <v>656</v>
      </c>
      <c r="W75" s="50"/>
      <c r="X75" s="50">
        <v>3.0</v>
      </c>
      <c r="Y75" s="43" t="s">
        <v>130</v>
      </c>
      <c r="Z75" s="58">
        <v>330000.0</v>
      </c>
      <c r="AA75" s="81" t="s">
        <v>81</v>
      </c>
      <c r="AB75" s="136" t="s">
        <v>657</v>
      </c>
      <c r="AC75" s="124" t="s">
        <v>658</v>
      </c>
      <c r="AD75" s="125" t="s">
        <v>659</v>
      </c>
      <c r="AE75" s="63"/>
      <c r="AF75" s="64" t="s">
        <v>105</v>
      </c>
      <c r="AG75" s="65" t="s">
        <v>106</v>
      </c>
      <c r="AH75" s="63"/>
      <c r="AI75" s="65" t="s">
        <v>107</v>
      </c>
      <c r="AJ75" s="64" t="s">
        <v>453</v>
      </c>
      <c r="AK75" s="50" t="s">
        <v>81</v>
      </c>
      <c r="AL75" s="45" t="s">
        <v>109</v>
      </c>
      <c r="AM75" s="52">
        <v>3.13351965E9</v>
      </c>
      <c r="AN75" s="64">
        <v>0.0</v>
      </c>
      <c r="AO75" s="153">
        <v>0.0</v>
      </c>
      <c r="AP75" s="84">
        <v>0.0</v>
      </c>
      <c r="AQ75" s="84">
        <v>2.93939219110251</v>
      </c>
      <c r="AR75" s="84">
        <v>-75.2992217519304</v>
      </c>
      <c r="AS75" s="68">
        <v>0.0</v>
      </c>
      <c r="AT75" s="50" t="s">
        <v>106</v>
      </c>
      <c r="AU75" s="52">
        <v>0.0</v>
      </c>
      <c r="AV75" s="52">
        <v>0.0</v>
      </c>
      <c r="AW75" s="43" t="s">
        <v>88</v>
      </c>
      <c r="AX75" s="52">
        <v>0.0</v>
      </c>
      <c r="AY75" s="43">
        <v>0.0</v>
      </c>
      <c r="AZ75" s="52">
        <v>0.0</v>
      </c>
      <c r="BA75" s="43" t="s">
        <v>89</v>
      </c>
      <c r="BB75" s="52">
        <v>0.0</v>
      </c>
      <c r="BC75" s="69" t="s">
        <v>660</v>
      </c>
      <c r="BD75" s="71"/>
      <c r="BE75" s="70"/>
      <c r="BF75" s="72" t="s">
        <v>661</v>
      </c>
      <c r="BG75" s="73"/>
      <c r="BH75" s="73"/>
      <c r="BI75" s="73"/>
      <c r="BJ75" s="73"/>
      <c r="BK75" s="73"/>
      <c r="BL75" s="73"/>
      <c r="BM75" s="73"/>
      <c r="BN75" s="73"/>
      <c r="BO75" s="73"/>
      <c r="BP75" s="73"/>
      <c r="BQ75" s="73"/>
      <c r="BR75" s="73"/>
      <c r="BS75" s="73"/>
      <c r="BT75" s="73"/>
      <c r="BU75" s="73"/>
      <c r="BV75" s="73"/>
      <c r="BW75" s="74"/>
      <c r="BX75" s="74"/>
      <c r="BY75" s="63"/>
      <c r="BZ75" s="63"/>
    </row>
    <row r="76" ht="15.75" customHeight="1">
      <c r="A76" s="75" t="s">
        <v>662</v>
      </c>
      <c r="B76" s="50" t="s">
        <v>663</v>
      </c>
      <c r="C76" s="50" t="s">
        <v>664</v>
      </c>
      <c r="D76" s="50"/>
      <c r="E76" s="64" t="s">
        <v>665</v>
      </c>
      <c r="F76" s="78">
        <v>4.45E8</v>
      </c>
      <c r="G76" s="44" t="str">
        <f t="shared" si="1"/>
        <v>$400'000.000 a $500'000.000</v>
      </c>
      <c r="H76" s="44"/>
      <c r="I76" s="44"/>
      <c r="J76" s="50" t="s">
        <v>116</v>
      </c>
      <c r="K76" s="51"/>
      <c r="L76" s="50">
        <v>0.0</v>
      </c>
      <c r="M76" s="50"/>
      <c r="N76" s="50">
        <v>0.0</v>
      </c>
      <c r="O76" s="50">
        <v>0.0</v>
      </c>
      <c r="P76" s="50">
        <v>0.0</v>
      </c>
      <c r="Q76" s="88">
        <v>0.0</v>
      </c>
      <c r="R76" s="88">
        <v>552.0</v>
      </c>
      <c r="S76" s="56" t="str">
        <f t="shared" si="4"/>
        <v> </v>
      </c>
      <c r="T76" s="50" t="s">
        <v>78</v>
      </c>
      <c r="U76" s="57"/>
      <c r="V76" s="50" t="s">
        <v>79</v>
      </c>
      <c r="W76" s="50"/>
      <c r="X76" s="50">
        <v>0.0</v>
      </c>
      <c r="Y76" s="44"/>
      <c r="Z76" s="91"/>
      <c r="AA76" s="59" t="str">
        <f>IF(Rentabilidad=0,"No aplica",TEXT(ROUND(Precio/Rentabilidad/12,0),0) &amp; " años")</f>
        <v>No aplica</v>
      </c>
      <c r="AB76" s="82" t="s">
        <v>666</v>
      </c>
      <c r="AC76" s="132" t="s">
        <v>667</v>
      </c>
      <c r="AD76" s="107" t="s">
        <v>668</v>
      </c>
      <c r="AE76" s="63"/>
      <c r="AF76" s="64">
        <v>0.0</v>
      </c>
      <c r="AG76" s="65"/>
      <c r="AH76" s="63"/>
      <c r="AI76" s="65" t="s">
        <v>107</v>
      </c>
      <c r="AJ76" s="64" t="s">
        <v>453</v>
      </c>
      <c r="AK76" s="58" t="s">
        <v>81</v>
      </c>
      <c r="AL76" s="64" t="s">
        <v>109</v>
      </c>
      <c r="AM76" s="43">
        <v>3.13351965E9</v>
      </c>
      <c r="AN76" s="64">
        <v>0.0</v>
      </c>
      <c r="AO76" s="43" t="s">
        <v>245</v>
      </c>
      <c r="AP76" s="84">
        <v>0.0</v>
      </c>
      <c r="AQ76" s="84"/>
      <c r="AR76" s="84"/>
      <c r="AS76" s="94">
        <v>0.0</v>
      </c>
      <c r="AT76" s="65" t="s">
        <v>88</v>
      </c>
      <c r="AU76" s="43">
        <v>0.0</v>
      </c>
      <c r="AV76" s="43">
        <v>0.0</v>
      </c>
      <c r="AW76" s="43" t="s">
        <v>88</v>
      </c>
      <c r="AX76" s="43">
        <v>0.0</v>
      </c>
      <c r="AY76" s="43">
        <v>0.0</v>
      </c>
      <c r="AZ76" s="43">
        <v>0.0</v>
      </c>
      <c r="BA76" s="43" t="s">
        <v>89</v>
      </c>
      <c r="BB76" s="50">
        <v>0.0</v>
      </c>
      <c r="BC76" s="95" t="s">
        <v>90</v>
      </c>
      <c r="BD76" s="71"/>
      <c r="BE76" s="71"/>
      <c r="BF76" s="72" t="s">
        <v>669</v>
      </c>
      <c r="BG76" s="73"/>
      <c r="BH76" s="73"/>
      <c r="BI76" s="73"/>
      <c r="BJ76" s="73"/>
      <c r="BK76" s="73"/>
      <c r="BL76" s="73"/>
      <c r="BM76" s="73"/>
      <c r="BN76" s="73"/>
      <c r="BO76" s="73"/>
      <c r="BP76" s="73"/>
      <c r="BQ76" s="73"/>
      <c r="BR76" s="73"/>
      <c r="BS76" s="73"/>
      <c r="BT76" s="73"/>
      <c r="BU76" s="73"/>
      <c r="BV76" s="73"/>
      <c r="BW76" s="74"/>
      <c r="BX76" s="74"/>
      <c r="BY76" s="63"/>
      <c r="BZ76" s="63"/>
    </row>
    <row r="77" ht="15.75" customHeight="1">
      <c r="A77" s="133" t="s">
        <v>670</v>
      </c>
      <c r="B77" s="50" t="s">
        <v>671</v>
      </c>
      <c r="C77" s="43" t="s">
        <v>271</v>
      </c>
      <c r="D77" s="50" t="s">
        <v>672</v>
      </c>
      <c r="E77" s="77"/>
      <c r="F77" s="78">
        <v>4.3E8</v>
      </c>
      <c r="G77" s="44" t="str">
        <f t="shared" si="1"/>
        <v>$400'000.000 a $500'000.000</v>
      </c>
      <c r="H77" s="44"/>
      <c r="I77" s="44"/>
      <c r="J77" s="50" t="s">
        <v>116</v>
      </c>
      <c r="K77" s="51" t="s">
        <v>192</v>
      </c>
      <c r="L77" s="43">
        <v>7.0</v>
      </c>
      <c r="M77" s="43"/>
      <c r="N77" s="43">
        <v>4.0</v>
      </c>
      <c r="O77" s="43">
        <v>1.0</v>
      </c>
      <c r="P77" s="43">
        <v>2.0</v>
      </c>
      <c r="Q77" s="88">
        <v>280.0</v>
      </c>
      <c r="R77" s="88">
        <v>140.0</v>
      </c>
      <c r="S77" s="56" t="str">
        <f t="shared" si="4"/>
        <v>Rentabilidad $2,000,000</v>
      </c>
      <c r="T77" s="43" t="s">
        <v>78</v>
      </c>
      <c r="U77" s="51" t="s">
        <v>77</v>
      </c>
      <c r="V77" s="43" t="s">
        <v>79</v>
      </c>
      <c r="W77" s="43"/>
      <c r="X77" s="43">
        <v>3.0</v>
      </c>
      <c r="Y77" s="50" t="s">
        <v>80</v>
      </c>
      <c r="Z77" s="58" t="s">
        <v>81</v>
      </c>
      <c r="AA77" s="59" t="str">
        <f>IF(Rentabilidad=0,"No aplica",TEXT(ROUND(Precio/Rentabilidad/12,0),0) &amp; " años")</f>
        <v>18 años</v>
      </c>
      <c r="AB77" s="134" t="s">
        <v>673</v>
      </c>
      <c r="AC77" s="124" t="s">
        <v>674</v>
      </c>
      <c r="AD77" s="107" t="s">
        <v>675</v>
      </c>
      <c r="AE77" s="63"/>
      <c r="AF77" s="64" t="s">
        <v>236</v>
      </c>
      <c r="AG77" s="65" t="s">
        <v>106</v>
      </c>
      <c r="AH77" s="65"/>
      <c r="AI77" s="65" t="s">
        <v>107</v>
      </c>
      <c r="AJ77" s="64" t="s">
        <v>453</v>
      </c>
      <c r="AK77" s="50" t="s">
        <v>81</v>
      </c>
      <c r="AL77" s="45" t="s">
        <v>109</v>
      </c>
      <c r="AM77" s="52">
        <v>3.13351965E9</v>
      </c>
      <c r="AN77" s="45">
        <v>0.0</v>
      </c>
      <c r="AO77" s="43">
        <v>0.0</v>
      </c>
      <c r="AP77" s="84">
        <v>0.0</v>
      </c>
      <c r="AQ77" s="84"/>
      <c r="AR77" s="84"/>
      <c r="AS77" s="94">
        <v>2000000.0</v>
      </c>
      <c r="AT77" s="65">
        <v>0.0</v>
      </c>
      <c r="AU77" s="43">
        <v>0.0</v>
      </c>
      <c r="AV77" s="43">
        <v>0.0</v>
      </c>
      <c r="AW77" s="43" t="s">
        <v>106</v>
      </c>
      <c r="AX77" s="43">
        <v>0.0</v>
      </c>
      <c r="AY77" s="43">
        <v>0.0</v>
      </c>
      <c r="AZ77" s="43">
        <v>0.0</v>
      </c>
      <c r="BA77" s="43" t="s">
        <v>89</v>
      </c>
      <c r="BB77" s="43">
        <v>0.0</v>
      </c>
      <c r="BC77" s="154"/>
      <c r="BD77" s="155"/>
      <c r="BE77" s="156"/>
      <c r="BF77" s="157" t="s">
        <v>676</v>
      </c>
      <c r="BG77" s="73"/>
      <c r="BH77" s="73"/>
      <c r="BI77" s="73"/>
      <c r="BJ77" s="73"/>
      <c r="BK77" s="73"/>
      <c r="BL77" s="73"/>
      <c r="BM77" s="73"/>
      <c r="BN77" s="73"/>
      <c r="BO77" s="73"/>
      <c r="BP77" s="73"/>
      <c r="BQ77" s="73"/>
      <c r="BR77" s="73"/>
      <c r="BS77" s="73"/>
      <c r="BT77" s="73"/>
      <c r="BU77" s="73"/>
      <c r="BV77" s="73"/>
      <c r="BW77" s="74"/>
      <c r="BX77" s="74"/>
      <c r="BY77" s="63"/>
      <c r="BZ77" s="63"/>
    </row>
    <row r="78" ht="15.75" customHeight="1">
      <c r="A78" s="75" t="s">
        <v>677</v>
      </c>
      <c r="B78" s="50" t="s">
        <v>678</v>
      </c>
      <c r="C78" s="50" t="s">
        <v>448</v>
      </c>
      <c r="D78" s="50" t="s">
        <v>76</v>
      </c>
      <c r="E78" s="77"/>
      <c r="F78" s="78">
        <v>4.3E8</v>
      </c>
      <c r="G78" s="44" t="str">
        <f t="shared" si="1"/>
        <v>$400'000.000 a $500'000.000</v>
      </c>
      <c r="H78" s="44"/>
      <c r="I78" s="44"/>
      <c r="J78" s="50" t="s">
        <v>76</v>
      </c>
      <c r="K78" s="51" t="s">
        <v>142</v>
      </c>
      <c r="L78" s="50">
        <v>0.0</v>
      </c>
      <c r="M78" s="50"/>
      <c r="N78" s="50">
        <v>1.0</v>
      </c>
      <c r="O78" s="50">
        <v>2.0</v>
      </c>
      <c r="P78" s="50">
        <v>4.0</v>
      </c>
      <c r="Q78" s="88">
        <v>91.0</v>
      </c>
      <c r="R78" s="88">
        <v>91.0</v>
      </c>
      <c r="S78" s="56" t="str">
        <f t="shared" si="4"/>
        <v> </v>
      </c>
      <c r="T78" s="50" t="s">
        <v>78</v>
      </c>
      <c r="U78" s="51" t="s">
        <v>679</v>
      </c>
      <c r="V78" s="50" t="s">
        <v>680</v>
      </c>
      <c r="W78" s="50"/>
      <c r="X78" s="50">
        <v>0.0</v>
      </c>
      <c r="Y78" s="43" t="s">
        <v>80</v>
      </c>
      <c r="Z78" s="58">
        <v>0.0</v>
      </c>
      <c r="AA78" s="81" t="s">
        <v>81</v>
      </c>
      <c r="AB78" s="115" t="s">
        <v>681</v>
      </c>
      <c r="AC78" s="124" t="s">
        <v>682</v>
      </c>
      <c r="AD78" s="125" t="s">
        <v>683</v>
      </c>
      <c r="AE78" s="63"/>
      <c r="AF78" s="64">
        <v>0.0</v>
      </c>
      <c r="AG78" s="65" t="s">
        <v>106</v>
      </c>
      <c r="AH78" s="65"/>
      <c r="AI78" s="65" t="s">
        <v>107</v>
      </c>
      <c r="AJ78" s="64" t="s">
        <v>453</v>
      </c>
      <c r="AK78" s="50" t="s">
        <v>81</v>
      </c>
      <c r="AL78" s="45" t="s">
        <v>109</v>
      </c>
      <c r="AM78" s="52">
        <v>3.13351965E9</v>
      </c>
      <c r="AN78" s="45">
        <v>0.0</v>
      </c>
      <c r="AO78" s="43">
        <v>0.0</v>
      </c>
      <c r="AP78" s="84" t="s">
        <v>684</v>
      </c>
      <c r="AQ78" s="84"/>
      <c r="AR78" s="84"/>
      <c r="AS78" s="85">
        <v>0.0</v>
      </c>
      <c r="AT78" s="50" t="s">
        <v>106</v>
      </c>
      <c r="AU78" s="50">
        <v>0.0</v>
      </c>
      <c r="AV78" s="44">
        <v>0.0</v>
      </c>
      <c r="AW78" s="50" t="s">
        <v>88</v>
      </c>
      <c r="AX78" s="50">
        <v>0.0</v>
      </c>
      <c r="AY78" s="50">
        <v>0.0</v>
      </c>
      <c r="AZ78" s="44">
        <v>0.0</v>
      </c>
      <c r="BA78" s="43" t="s">
        <v>89</v>
      </c>
      <c r="BB78" s="44">
        <v>0.0</v>
      </c>
      <c r="BF78" s="158" t="s">
        <v>685</v>
      </c>
      <c r="BG78" s="74"/>
      <c r="BH78" s="74"/>
      <c r="BI78" s="74"/>
      <c r="BJ78" s="74"/>
      <c r="BK78" s="74"/>
      <c r="BL78" s="74"/>
      <c r="BM78" s="74"/>
      <c r="BN78" s="74"/>
      <c r="BO78" s="74"/>
      <c r="BP78" s="74"/>
      <c r="BQ78" s="74"/>
      <c r="BR78" s="74"/>
      <c r="BS78" s="74"/>
      <c r="BT78" s="74"/>
      <c r="BU78" s="74"/>
      <c r="BV78" s="74"/>
      <c r="BW78" s="74"/>
      <c r="BX78" s="74"/>
      <c r="BY78" s="63"/>
      <c r="BZ78" s="63"/>
    </row>
    <row r="79" ht="15.75" customHeight="1">
      <c r="A79" s="133" t="s">
        <v>686</v>
      </c>
      <c r="B79" s="50" t="s">
        <v>687</v>
      </c>
      <c r="C79" s="43" t="s">
        <v>70</v>
      </c>
      <c r="D79" s="50" t="s">
        <v>76</v>
      </c>
      <c r="E79" s="77"/>
      <c r="F79" s="78">
        <v>4.25E8</v>
      </c>
      <c r="G79" s="44" t="str">
        <f t="shared" si="1"/>
        <v>$400'000.000 a $500'000.000</v>
      </c>
      <c r="H79" s="44"/>
      <c r="I79" s="44"/>
      <c r="J79" s="50" t="s">
        <v>76</v>
      </c>
      <c r="K79" s="51" t="s">
        <v>142</v>
      </c>
      <c r="L79" s="43">
        <v>4.0</v>
      </c>
      <c r="M79" s="43"/>
      <c r="N79" s="43">
        <v>3.0</v>
      </c>
      <c r="O79" s="43">
        <v>1.0</v>
      </c>
      <c r="P79" s="43">
        <v>2.0</v>
      </c>
      <c r="Q79" s="88">
        <v>179.0</v>
      </c>
      <c r="R79" s="88">
        <v>153.0</v>
      </c>
      <c r="S79" s="56" t="str">
        <f t="shared" si="4"/>
        <v> </v>
      </c>
      <c r="T79" s="43" t="s">
        <v>78</v>
      </c>
      <c r="U79" s="51" t="s">
        <v>142</v>
      </c>
      <c r="V79" s="43" t="s">
        <v>79</v>
      </c>
      <c r="W79" s="43"/>
      <c r="X79" s="43">
        <v>2.0</v>
      </c>
      <c r="Y79" s="50" t="s">
        <v>80</v>
      </c>
      <c r="Z79" s="58" t="s">
        <v>81</v>
      </c>
      <c r="AA79" s="81" t="s">
        <v>81</v>
      </c>
      <c r="AB79" s="134" t="s">
        <v>688</v>
      </c>
      <c r="AC79" s="124" t="s">
        <v>689</v>
      </c>
      <c r="AD79" s="107" t="s">
        <v>690</v>
      </c>
      <c r="AE79" s="63"/>
      <c r="AF79" s="64" t="s">
        <v>236</v>
      </c>
      <c r="AG79" s="65" t="s">
        <v>106</v>
      </c>
      <c r="AH79" s="65"/>
      <c r="AI79" s="65" t="s">
        <v>107</v>
      </c>
      <c r="AJ79" s="64" t="s">
        <v>453</v>
      </c>
      <c r="AK79" s="50" t="s">
        <v>81</v>
      </c>
      <c r="AL79" s="45" t="s">
        <v>109</v>
      </c>
      <c r="AM79" s="52">
        <v>3.13351965E9</v>
      </c>
      <c r="AN79" s="45">
        <v>0.0</v>
      </c>
      <c r="AO79" s="43">
        <v>0.0</v>
      </c>
      <c r="AP79" s="84" t="s">
        <v>691</v>
      </c>
      <c r="AQ79" s="84">
        <v>2.9580705</v>
      </c>
      <c r="AR79" s="84">
        <v>-75.2849722</v>
      </c>
      <c r="AS79" s="94">
        <v>0.0</v>
      </c>
      <c r="AT79" s="65">
        <v>0.0</v>
      </c>
      <c r="AU79" s="43">
        <v>0.0</v>
      </c>
      <c r="AV79" s="43">
        <v>0.0</v>
      </c>
      <c r="AW79" s="43" t="s">
        <v>106</v>
      </c>
      <c r="AX79" s="43">
        <v>0.0</v>
      </c>
      <c r="AY79" s="43">
        <v>0.0</v>
      </c>
      <c r="AZ79" s="43">
        <v>0.0</v>
      </c>
      <c r="BA79" s="43" t="s">
        <v>89</v>
      </c>
      <c r="BB79" s="43">
        <v>0.0</v>
      </c>
      <c r="BC79" s="109"/>
      <c r="BD79" s="70"/>
      <c r="BE79" s="70"/>
      <c r="BF79" s="72" t="s">
        <v>692</v>
      </c>
      <c r="BG79" s="73"/>
      <c r="BH79" s="73"/>
      <c r="BI79" s="73"/>
      <c r="BJ79" s="73"/>
      <c r="BK79" s="73"/>
      <c r="BL79" s="73"/>
      <c r="BM79" s="73"/>
      <c r="BN79" s="73"/>
      <c r="BO79" s="73"/>
      <c r="BP79" s="73"/>
      <c r="BQ79" s="73"/>
      <c r="BR79" s="73"/>
      <c r="BS79" s="73"/>
      <c r="BT79" s="73"/>
      <c r="BU79" s="73"/>
      <c r="BV79" s="73"/>
      <c r="BW79" s="74"/>
      <c r="BX79" s="74"/>
      <c r="BY79" s="63"/>
      <c r="BZ79" s="63"/>
    </row>
    <row r="80" ht="15.75" customHeight="1">
      <c r="A80" s="75" t="s">
        <v>693</v>
      </c>
      <c r="B80" s="50" t="s">
        <v>654</v>
      </c>
      <c r="C80" s="50" t="s">
        <v>323</v>
      </c>
      <c r="D80" s="50" t="s">
        <v>694</v>
      </c>
      <c r="E80" s="64" t="s">
        <v>695</v>
      </c>
      <c r="F80" s="78">
        <v>4.1E8</v>
      </c>
      <c r="G80" s="44" t="str">
        <f t="shared" si="1"/>
        <v>$400'000.000 a $500'000.000</v>
      </c>
      <c r="H80" s="44"/>
      <c r="I80" s="44"/>
      <c r="J80" s="50" t="s">
        <v>183</v>
      </c>
      <c r="K80" s="51"/>
      <c r="L80" s="50">
        <v>3.0</v>
      </c>
      <c r="M80" s="50"/>
      <c r="N80" s="50">
        <v>2.0</v>
      </c>
      <c r="O80" s="50">
        <v>1.0</v>
      </c>
      <c r="P80" s="50">
        <v>6.0</v>
      </c>
      <c r="Q80" s="88">
        <v>112.0</v>
      </c>
      <c r="R80" s="88">
        <v>112.0</v>
      </c>
      <c r="S80" s="56" t="str">
        <f t="shared" si="4"/>
        <v> </v>
      </c>
      <c r="T80" s="50" t="s">
        <v>78</v>
      </c>
      <c r="U80" s="51" t="s">
        <v>142</v>
      </c>
      <c r="V80" s="50" t="s">
        <v>696</v>
      </c>
      <c r="W80" s="50"/>
      <c r="X80" s="50">
        <v>3.0</v>
      </c>
      <c r="Y80" s="50" t="s">
        <v>130</v>
      </c>
      <c r="Z80" s="58">
        <v>330000.0</v>
      </c>
      <c r="AA80" s="59" t="str">
        <f>IF(Rentabilidad=0,"No aplica",TEXT(ROUND(Precio/Rentabilidad/12,0),0) &amp; " años")</f>
        <v>No aplica</v>
      </c>
      <c r="AB80" s="82" t="s">
        <v>697</v>
      </c>
      <c r="AC80" s="102" t="s">
        <v>698</v>
      </c>
      <c r="AD80" s="103" t="s">
        <v>699</v>
      </c>
      <c r="AE80" s="63"/>
      <c r="AF80" s="64" t="s">
        <v>105</v>
      </c>
      <c r="AG80" s="65" t="s">
        <v>106</v>
      </c>
      <c r="AH80" s="63"/>
      <c r="AI80" s="65" t="s">
        <v>107</v>
      </c>
      <c r="AJ80" s="64" t="s">
        <v>453</v>
      </c>
      <c r="AK80" s="58" t="s">
        <v>81</v>
      </c>
      <c r="AL80" s="64" t="s">
        <v>109</v>
      </c>
      <c r="AM80" s="43">
        <v>3.13351965E9</v>
      </c>
      <c r="AN80" s="64">
        <v>0.0</v>
      </c>
      <c r="AO80" s="43" t="s">
        <v>245</v>
      </c>
      <c r="AP80" s="84"/>
      <c r="AQ80" s="84">
        <v>2.93943184025336</v>
      </c>
      <c r="AR80" s="84">
        <v>-75.2990010877643</v>
      </c>
      <c r="AS80" s="94">
        <v>0.0</v>
      </c>
      <c r="AT80" s="65" t="s">
        <v>106</v>
      </c>
      <c r="AU80" s="43" t="s">
        <v>106</v>
      </c>
      <c r="AV80" s="43">
        <v>0.0</v>
      </c>
      <c r="AW80" s="43" t="s">
        <v>88</v>
      </c>
      <c r="AX80" s="43">
        <v>0.0</v>
      </c>
      <c r="AY80" s="43">
        <v>0.0</v>
      </c>
      <c r="AZ80" s="43">
        <v>0.0</v>
      </c>
      <c r="BA80" s="43" t="s">
        <v>89</v>
      </c>
      <c r="BB80" s="50">
        <v>0.0</v>
      </c>
      <c r="BC80" s="95"/>
      <c r="BD80" s="71"/>
      <c r="BE80" s="71"/>
      <c r="BF80" s="72" t="s">
        <v>700</v>
      </c>
      <c r="BG80" s="73"/>
      <c r="BH80" s="73"/>
      <c r="BI80" s="73"/>
      <c r="BJ80" s="73"/>
      <c r="BK80" s="73"/>
      <c r="BL80" s="73"/>
      <c r="BM80" s="73"/>
      <c r="BN80" s="73"/>
      <c r="BO80" s="73"/>
      <c r="BP80" s="73"/>
      <c r="BQ80" s="73"/>
      <c r="BR80" s="73"/>
      <c r="BS80" s="73"/>
      <c r="BT80" s="73"/>
      <c r="BU80" s="73"/>
      <c r="BV80" s="73"/>
      <c r="BW80" s="74"/>
      <c r="BX80" s="74"/>
      <c r="BY80" s="63"/>
      <c r="BZ80" s="63"/>
    </row>
    <row r="81" ht="15.75" customHeight="1">
      <c r="A81" s="159" t="s">
        <v>701</v>
      </c>
      <c r="B81" s="153" t="s">
        <v>702</v>
      </c>
      <c r="C81" s="153" t="s">
        <v>70</v>
      </c>
      <c r="D81" s="65" t="s">
        <v>703</v>
      </c>
      <c r="E81" s="160"/>
      <c r="F81" s="161">
        <v>4.0E8</v>
      </c>
      <c r="G81" s="44" t="str">
        <f t="shared" si="1"/>
        <v>$400'000.000 a $500'000.000</v>
      </c>
      <c r="H81" s="44"/>
      <c r="I81" s="44"/>
      <c r="J81" s="65" t="s">
        <v>76</v>
      </c>
      <c r="K81" s="162" t="s">
        <v>142</v>
      </c>
      <c r="L81" s="65">
        <v>4.0</v>
      </c>
      <c r="M81" s="65"/>
      <c r="N81" s="65">
        <v>3.0</v>
      </c>
      <c r="O81" s="65">
        <v>1.0</v>
      </c>
      <c r="P81" s="65">
        <v>1.0</v>
      </c>
      <c r="Q81" s="79">
        <v>186.0</v>
      </c>
      <c r="R81" s="79">
        <v>186.0</v>
      </c>
      <c r="S81" s="56" t="str">
        <f t="shared" si="4"/>
        <v> </v>
      </c>
      <c r="T81" s="65" t="s">
        <v>78</v>
      </c>
      <c r="U81" s="162" t="s">
        <v>77</v>
      </c>
      <c r="V81" s="50" t="s">
        <v>79</v>
      </c>
      <c r="W81" s="50"/>
      <c r="X81" s="65">
        <v>3.0</v>
      </c>
      <c r="Y81" s="153" t="s">
        <v>80</v>
      </c>
      <c r="Z81" s="58" t="s">
        <v>81</v>
      </c>
      <c r="AA81" s="59" t="str">
        <f>IF(Rentabilidad=0,"No aplica",TEXT(ROUND(Precio/Rentabilidad/12,0),0) &amp; " años")</f>
        <v>No aplica</v>
      </c>
      <c r="AB81" s="163" t="s">
        <v>704</v>
      </c>
      <c r="AC81" s="132" t="s">
        <v>705</v>
      </c>
      <c r="AD81" s="107" t="s">
        <v>706</v>
      </c>
      <c r="AE81" s="63"/>
      <c r="AF81" s="164" t="s">
        <v>105</v>
      </c>
      <c r="AG81" s="65" t="s">
        <v>106</v>
      </c>
      <c r="AH81" s="65"/>
      <c r="AI81" s="65" t="s">
        <v>107</v>
      </c>
      <c r="AJ81" s="64" t="s">
        <v>453</v>
      </c>
      <c r="AK81" s="58" t="s">
        <v>81</v>
      </c>
      <c r="AL81" s="64" t="s">
        <v>109</v>
      </c>
      <c r="AM81" s="43">
        <v>3.13351965E9</v>
      </c>
      <c r="AN81" s="64">
        <v>0.0</v>
      </c>
      <c r="AO81" s="43" t="s">
        <v>245</v>
      </c>
      <c r="AP81" s="84" t="s">
        <v>707</v>
      </c>
      <c r="AQ81" s="84"/>
      <c r="AR81" s="84"/>
      <c r="AS81" s="94">
        <v>0.0</v>
      </c>
      <c r="AT81" s="65" t="s">
        <v>88</v>
      </c>
      <c r="AU81" s="43">
        <v>0.0</v>
      </c>
      <c r="AV81" s="43">
        <v>0.0</v>
      </c>
      <c r="AW81" s="43" t="s">
        <v>88</v>
      </c>
      <c r="AX81" s="43">
        <v>0.0</v>
      </c>
      <c r="AY81" s="43">
        <v>0.0</v>
      </c>
      <c r="AZ81" s="43">
        <v>0.0</v>
      </c>
      <c r="BA81" s="43" t="s">
        <v>89</v>
      </c>
      <c r="BB81" s="44"/>
      <c r="BC81" s="69" t="s">
        <v>708</v>
      </c>
      <c r="BD81" s="70"/>
      <c r="BE81" s="71"/>
      <c r="BF81" s="72" t="s">
        <v>709</v>
      </c>
      <c r="BG81" s="73"/>
      <c r="BH81" s="73"/>
      <c r="BI81" s="73"/>
      <c r="BJ81" s="73"/>
      <c r="BK81" s="73"/>
      <c r="BL81" s="73"/>
      <c r="BM81" s="73"/>
      <c r="BN81" s="73"/>
      <c r="BO81" s="73"/>
      <c r="BP81" s="73"/>
      <c r="BQ81" s="73"/>
      <c r="BR81" s="73"/>
      <c r="BS81" s="73"/>
      <c r="BT81" s="73"/>
      <c r="BU81" s="73"/>
      <c r="BV81" s="73"/>
      <c r="BW81" s="74"/>
      <c r="BX81" s="74"/>
      <c r="BY81" s="63"/>
      <c r="BZ81" s="63"/>
    </row>
    <row r="82" ht="15.75" customHeight="1">
      <c r="A82" s="159" t="s">
        <v>710</v>
      </c>
      <c r="B82" s="43" t="s">
        <v>711</v>
      </c>
      <c r="C82" s="43" t="s">
        <v>271</v>
      </c>
      <c r="D82" s="43" t="s">
        <v>712</v>
      </c>
      <c r="E82" s="77"/>
      <c r="F82" s="78">
        <v>4.0E8</v>
      </c>
      <c r="G82" s="44" t="str">
        <f t="shared" si="1"/>
        <v>$400'000.000 a $500'000.000</v>
      </c>
      <c r="H82" s="44"/>
      <c r="I82" s="44"/>
      <c r="J82" s="43" t="s">
        <v>183</v>
      </c>
      <c r="K82" s="51" t="s">
        <v>184</v>
      </c>
      <c r="L82" s="43">
        <v>4.0</v>
      </c>
      <c r="M82" s="43"/>
      <c r="N82" s="43">
        <v>4.0</v>
      </c>
      <c r="O82" s="43">
        <v>2.0</v>
      </c>
      <c r="P82" s="43">
        <v>2.0</v>
      </c>
      <c r="Q82" s="55">
        <v>152.0</v>
      </c>
      <c r="R82" s="55">
        <v>152.0</v>
      </c>
      <c r="S82" s="56" t="str">
        <f t="shared" si="4"/>
        <v> </v>
      </c>
      <c r="T82" s="43" t="s">
        <v>78</v>
      </c>
      <c r="U82" s="56" t="s">
        <v>77</v>
      </c>
      <c r="V82" s="43" t="s">
        <v>79</v>
      </c>
      <c r="W82" s="43"/>
      <c r="X82" s="43">
        <v>3.0</v>
      </c>
      <c r="Y82" s="50" t="s">
        <v>80</v>
      </c>
      <c r="Z82" s="58" t="s">
        <v>81</v>
      </c>
      <c r="AA82" s="59" t="str">
        <f>IF(Rentabilidad=0,"No aplica",TEXT(ROUND(Precio/Rentabilidad/12,0),0) &amp; " años")</f>
        <v>No aplica</v>
      </c>
      <c r="AB82" s="165" t="s">
        <v>713</v>
      </c>
      <c r="AC82" s="131" t="s">
        <v>714</v>
      </c>
      <c r="AD82" s="166"/>
      <c r="AE82" s="63"/>
      <c r="AF82" s="64" t="s">
        <v>105</v>
      </c>
      <c r="AG82" s="65" t="s">
        <v>106</v>
      </c>
      <c r="AH82" s="65"/>
      <c r="AI82" s="65" t="s">
        <v>107</v>
      </c>
      <c r="AJ82" s="64" t="s">
        <v>453</v>
      </c>
      <c r="AK82" s="58" t="s">
        <v>81</v>
      </c>
      <c r="AL82" s="64" t="s">
        <v>109</v>
      </c>
      <c r="AM82" s="43">
        <v>3.13351965E9</v>
      </c>
      <c r="AN82" s="45"/>
      <c r="AO82" s="52"/>
      <c r="AP82" s="108" t="s">
        <v>715</v>
      </c>
      <c r="AQ82" s="108"/>
      <c r="AR82" s="108"/>
      <c r="AS82" s="135"/>
      <c r="AT82" s="44"/>
      <c r="AU82" s="52"/>
      <c r="AV82" s="43">
        <v>2.0</v>
      </c>
      <c r="AW82" s="43" t="s">
        <v>106</v>
      </c>
      <c r="AX82" s="52"/>
      <c r="AY82" s="43" t="s">
        <v>137</v>
      </c>
      <c r="AZ82" s="52"/>
      <c r="BA82" s="43" t="s">
        <v>89</v>
      </c>
      <c r="BB82" s="52"/>
      <c r="BC82" s="69" t="s">
        <v>716</v>
      </c>
      <c r="BD82" s="70"/>
      <c r="BE82" s="71"/>
      <c r="BF82" s="72" t="s">
        <v>717</v>
      </c>
      <c r="BG82" s="73"/>
      <c r="BH82" s="73"/>
      <c r="BI82" s="73"/>
      <c r="BJ82" s="73"/>
      <c r="BK82" s="73"/>
      <c r="BL82" s="73"/>
      <c r="BM82" s="73"/>
      <c r="BN82" s="73"/>
      <c r="BO82" s="73"/>
      <c r="BP82" s="73"/>
      <c r="BQ82" s="73"/>
      <c r="BR82" s="73"/>
      <c r="BS82" s="73"/>
      <c r="BT82" s="73"/>
      <c r="BU82" s="73"/>
      <c r="BV82" s="73"/>
      <c r="BW82" s="74"/>
      <c r="BX82" s="74"/>
      <c r="BY82" s="63"/>
      <c r="BZ82" s="63"/>
    </row>
    <row r="83" ht="15.75" customHeight="1">
      <c r="A83" s="133" t="s">
        <v>718</v>
      </c>
      <c r="B83" s="43" t="s">
        <v>719</v>
      </c>
      <c r="C83" s="43" t="s">
        <v>128</v>
      </c>
      <c r="D83" s="43" t="s">
        <v>720</v>
      </c>
      <c r="E83" s="64" t="s">
        <v>721</v>
      </c>
      <c r="F83" s="78">
        <v>4.0E8</v>
      </c>
      <c r="G83" s="44" t="str">
        <f t="shared" si="1"/>
        <v>$400'000.000 a $500'000.000</v>
      </c>
      <c r="H83" s="44"/>
      <c r="I83" s="44"/>
      <c r="J83" s="43" t="s">
        <v>94</v>
      </c>
      <c r="K83" s="56" t="s">
        <v>117</v>
      </c>
      <c r="L83" s="43">
        <v>3.0</v>
      </c>
      <c r="M83" s="43"/>
      <c r="N83" s="43">
        <v>2.0</v>
      </c>
      <c r="O83" s="43">
        <v>1.0</v>
      </c>
      <c r="P83" s="43">
        <v>2.0</v>
      </c>
      <c r="Q83" s="88">
        <v>104.6</v>
      </c>
      <c r="R83" s="88">
        <v>95.84</v>
      </c>
      <c r="S83" s="56" t="str">
        <f t="shared" si="4"/>
        <v> </v>
      </c>
      <c r="T83" s="43" t="s">
        <v>78</v>
      </c>
      <c r="U83" s="56" t="s">
        <v>142</v>
      </c>
      <c r="V83" s="43" t="s">
        <v>79</v>
      </c>
      <c r="W83" s="43"/>
      <c r="X83" s="43">
        <v>3.0</v>
      </c>
      <c r="Y83" s="43" t="s">
        <v>130</v>
      </c>
      <c r="Z83" s="58"/>
      <c r="AA83" s="59" t="str">
        <f>IF(Rentabilidad=0,"No aplica",TEXT(ROUND(Precio/Rentabilidad/12,0),0) &amp; " años")</f>
        <v>No aplica</v>
      </c>
      <c r="AB83" s="140" t="s">
        <v>722</v>
      </c>
      <c r="AC83" s="167" t="s">
        <v>723</v>
      </c>
      <c r="AD83" s="107" t="s">
        <v>583</v>
      </c>
      <c r="AE83" s="63"/>
      <c r="AF83" s="64" t="s">
        <v>105</v>
      </c>
      <c r="AG83" s="65" t="s">
        <v>106</v>
      </c>
      <c r="AH83" s="63"/>
      <c r="AI83" s="65" t="s">
        <v>107</v>
      </c>
      <c r="AJ83" s="64" t="s">
        <v>453</v>
      </c>
      <c r="AK83" s="50" t="s">
        <v>81</v>
      </c>
      <c r="AL83" s="45" t="s">
        <v>109</v>
      </c>
      <c r="AM83" s="52">
        <v>3.13351965E9</v>
      </c>
      <c r="AN83" s="64">
        <v>0.0</v>
      </c>
      <c r="AO83" s="43">
        <v>0.0</v>
      </c>
      <c r="AP83" s="146" t="s">
        <v>724</v>
      </c>
      <c r="AQ83" s="146">
        <v>2.90323244617114</v>
      </c>
      <c r="AR83" s="146">
        <v>-75.2736690526104</v>
      </c>
      <c r="AS83" s="94">
        <v>0.0</v>
      </c>
      <c r="AT83" s="43">
        <v>0.0</v>
      </c>
      <c r="AU83" s="43">
        <v>0.0</v>
      </c>
      <c r="AV83" s="43">
        <v>0.0</v>
      </c>
      <c r="AW83" s="43" t="s">
        <v>106</v>
      </c>
      <c r="AX83" s="43">
        <v>0.0</v>
      </c>
      <c r="AY83" s="43" t="s">
        <v>137</v>
      </c>
      <c r="AZ83" s="43">
        <v>0.0</v>
      </c>
      <c r="BA83" s="43" t="s">
        <v>89</v>
      </c>
      <c r="BB83" s="43">
        <v>0.0</v>
      </c>
      <c r="BC83" s="109"/>
      <c r="BD83" s="70"/>
      <c r="BE83" s="71"/>
      <c r="BF83" s="72" t="s">
        <v>725</v>
      </c>
      <c r="BG83" s="73"/>
      <c r="BH83" s="73"/>
      <c r="BI83" s="73"/>
      <c r="BJ83" s="73"/>
      <c r="BK83" s="73"/>
      <c r="BL83" s="73"/>
      <c r="BM83" s="73"/>
      <c r="BN83" s="73"/>
      <c r="BO83" s="73"/>
      <c r="BP83" s="73"/>
      <c r="BQ83" s="73"/>
      <c r="BR83" s="73"/>
      <c r="BS83" s="73"/>
      <c r="BT83" s="73"/>
      <c r="BU83" s="73"/>
      <c r="BV83" s="73"/>
      <c r="BW83" s="74"/>
      <c r="BX83" s="74"/>
      <c r="BY83" s="63"/>
      <c r="BZ83" s="63"/>
    </row>
    <row r="84" ht="15.75" customHeight="1">
      <c r="A84" s="133" t="s">
        <v>726</v>
      </c>
      <c r="B84" s="43" t="s">
        <v>727</v>
      </c>
      <c r="C84" s="43" t="s">
        <v>70</v>
      </c>
      <c r="D84" s="43" t="s">
        <v>728</v>
      </c>
      <c r="E84" s="45"/>
      <c r="F84" s="78">
        <v>4.0E8</v>
      </c>
      <c r="G84" s="44" t="str">
        <f t="shared" si="1"/>
        <v>$400'000.000 a $500'000.000</v>
      </c>
      <c r="H84" s="44"/>
      <c r="I84" s="44"/>
      <c r="J84" s="43" t="s">
        <v>116</v>
      </c>
      <c r="K84" s="56" t="s">
        <v>154</v>
      </c>
      <c r="L84" s="43">
        <v>4.0</v>
      </c>
      <c r="M84" s="43"/>
      <c r="N84" s="43">
        <v>4.0</v>
      </c>
      <c r="O84" s="43">
        <v>1.0</v>
      </c>
      <c r="P84" s="43">
        <v>2.0</v>
      </c>
      <c r="Q84" s="89">
        <v>0.0</v>
      </c>
      <c r="R84" s="88">
        <v>180.0</v>
      </c>
      <c r="S84" s="56" t="str">
        <f t="shared" si="4"/>
        <v> </v>
      </c>
      <c r="T84" s="43" t="s">
        <v>78</v>
      </c>
      <c r="U84" s="56" t="s">
        <v>77</v>
      </c>
      <c r="V84" s="43" t="s">
        <v>79</v>
      </c>
      <c r="W84" s="43"/>
      <c r="X84" s="43">
        <v>4.0</v>
      </c>
      <c r="Y84" s="43" t="s">
        <v>80</v>
      </c>
      <c r="Z84" s="58"/>
      <c r="AA84" s="59" t="str">
        <f>IF(Rentabilidad=0,"No aplica",TEXT(ROUND(Precio/Rentabilidad/12,0),0) &amp; " años")</f>
        <v>No aplica</v>
      </c>
      <c r="AB84" s="140" t="s">
        <v>729</v>
      </c>
      <c r="AC84" s="132" t="s">
        <v>730</v>
      </c>
      <c r="AD84" s="62"/>
      <c r="AE84" s="63"/>
      <c r="AF84" s="64" t="s">
        <v>105</v>
      </c>
      <c r="AG84" s="65" t="s">
        <v>106</v>
      </c>
      <c r="AH84" s="63"/>
      <c r="AI84" s="65" t="s">
        <v>107</v>
      </c>
      <c r="AJ84" s="64" t="s">
        <v>453</v>
      </c>
      <c r="AK84" s="50" t="s">
        <v>81</v>
      </c>
      <c r="AL84" s="45" t="s">
        <v>109</v>
      </c>
      <c r="AM84" s="52">
        <v>3.13351965E9</v>
      </c>
      <c r="AN84" s="45"/>
      <c r="AO84" s="52"/>
      <c r="AP84" s="168" t="s">
        <v>731</v>
      </c>
      <c r="AQ84" s="168"/>
      <c r="AR84" s="168"/>
      <c r="AS84" s="135"/>
      <c r="AT84" s="43">
        <v>0.0</v>
      </c>
      <c r="AU84" s="43">
        <v>0.0</v>
      </c>
      <c r="AV84" s="43">
        <v>2.0</v>
      </c>
      <c r="AW84" s="43" t="s">
        <v>106</v>
      </c>
      <c r="AX84" s="52"/>
      <c r="AY84" s="43" t="s">
        <v>137</v>
      </c>
      <c r="AZ84" s="52"/>
      <c r="BA84" s="43" t="s">
        <v>89</v>
      </c>
      <c r="BB84" s="52"/>
      <c r="BC84" s="95" t="s">
        <v>732</v>
      </c>
      <c r="BD84" s="71"/>
      <c r="BE84" s="71"/>
      <c r="BF84" s="72" t="s">
        <v>733</v>
      </c>
      <c r="BG84" s="73"/>
      <c r="BH84" s="73"/>
      <c r="BI84" s="73"/>
      <c r="BJ84" s="73"/>
      <c r="BK84" s="73"/>
      <c r="BL84" s="73"/>
      <c r="BM84" s="73"/>
      <c r="BN84" s="73"/>
      <c r="BO84" s="73"/>
      <c r="BP84" s="73"/>
      <c r="BQ84" s="73"/>
      <c r="BR84" s="73"/>
      <c r="BS84" s="73"/>
      <c r="BT84" s="73"/>
      <c r="BU84" s="73"/>
      <c r="BV84" s="73"/>
      <c r="BW84" s="74"/>
      <c r="BX84" s="74"/>
      <c r="BY84" s="63"/>
      <c r="BZ84" s="63"/>
    </row>
    <row r="85" ht="15.75" customHeight="1">
      <c r="A85" s="152" t="s">
        <v>734</v>
      </c>
      <c r="B85" s="50" t="s">
        <v>654</v>
      </c>
      <c r="C85" s="111" t="s">
        <v>323</v>
      </c>
      <c r="D85" s="50"/>
      <c r="E85" s="77" t="s">
        <v>655</v>
      </c>
      <c r="F85" s="78">
        <v>3.95E8</v>
      </c>
      <c r="G85" s="44" t="str">
        <f t="shared" si="1"/>
        <v>$300'000.000 a $400'000.000</v>
      </c>
      <c r="H85" s="44"/>
      <c r="I85" s="44"/>
      <c r="J85" s="50" t="s">
        <v>183</v>
      </c>
      <c r="K85" s="57"/>
      <c r="L85" s="50">
        <v>3.0</v>
      </c>
      <c r="M85" s="50"/>
      <c r="N85" s="50">
        <v>2.0</v>
      </c>
      <c r="O85" s="50">
        <v>1.0</v>
      </c>
      <c r="P85" s="50">
        <v>7.0</v>
      </c>
      <c r="Q85" s="88">
        <v>112.0</v>
      </c>
      <c r="R85" s="88">
        <v>112.0</v>
      </c>
      <c r="S85" s="56" t="str">
        <f t="shared" si="4"/>
        <v> </v>
      </c>
      <c r="T85" s="50" t="s">
        <v>78</v>
      </c>
      <c r="U85" s="51" t="s">
        <v>142</v>
      </c>
      <c r="V85" s="50" t="s">
        <v>595</v>
      </c>
      <c r="W85" s="50"/>
      <c r="X85" s="50">
        <v>3.0</v>
      </c>
      <c r="Y85" s="43" t="s">
        <v>130</v>
      </c>
      <c r="Z85" s="58">
        <v>330000.0</v>
      </c>
      <c r="AA85" s="81" t="s">
        <v>81</v>
      </c>
      <c r="AB85" s="136" t="s">
        <v>735</v>
      </c>
      <c r="AC85" s="124" t="s">
        <v>736</v>
      </c>
      <c r="AD85" s="125" t="s">
        <v>659</v>
      </c>
      <c r="AE85" s="63"/>
      <c r="AF85" s="64" t="s">
        <v>105</v>
      </c>
      <c r="AG85" s="65" t="s">
        <v>106</v>
      </c>
      <c r="AH85" s="63"/>
      <c r="AI85" s="65" t="s">
        <v>107</v>
      </c>
      <c r="AJ85" s="64" t="s">
        <v>453</v>
      </c>
      <c r="AK85" s="50" t="s">
        <v>81</v>
      </c>
      <c r="AL85" s="45" t="s">
        <v>109</v>
      </c>
      <c r="AM85" s="52">
        <v>3.13351965E9</v>
      </c>
      <c r="AN85" s="64">
        <v>0.0</v>
      </c>
      <c r="AO85" s="153">
        <v>0.0</v>
      </c>
      <c r="AP85" s="84" t="s">
        <v>737</v>
      </c>
      <c r="AQ85" s="84">
        <v>2.93911246441933</v>
      </c>
      <c r="AR85" s="84">
        <v>-75.2989590369456</v>
      </c>
      <c r="AS85" s="68">
        <v>0.0</v>
      </c>
      <c r="AT85" s="50" t="s">
        <v>106</v>
      </c>
      <c r="AU85" s="52">
        <v>0.0</v>
      </c>
      <c r="AV85" s="52">
        <v>0.0</v>
      </c>
      <c r="AW85" s="43" t="s">
        <v>88</v>
      </c>
      <c r="AX85" s="52">
        <v>0.0</v>
      </c>
      <c r="AY85" s="43">
        <v>0.0</v>
      </c>
      <c r="AZ85" s="52">
        <v>0.0</v>
      </c>
      <c r="BA85" s="43" t="s">
        <v>89</v>
      </c>
      <c r="BB85" s="52">
        <v>0.0</v>
      </c>
      <c r="BC85" s="95"/>
      <c r="BD85" s="71"/>
      <c r="BE85" s="71"/>
      <c r="BF85" s="72" t="s">
        <v>738</v>
      </c>
      <c r="BG85" s="73"/>
      <c r="BH85" s="73"/>
      <c r="BI85" s="73"/>
      <c r="BJ85" s="73"/>
      <c r="BK85" s="73"/>
      <c r="BL85" s="73"/>
      <c r="BM85" s="73"/>
      <c r="BN85" s="73"/>
      <c r="BO85" s="73"/>
      <c r="BP85" s="73"/>
      <c r="BQ85" s="73"/>
      <c r="BR85" s="73"/>
      <c r="BS85" s="73"/>
      <c r="BT85" s="73"/>
      <c r="BU85" s="73"/>
      <c r="BV85" s="73"/>
      <c r="BW85" s="74"/>
      <c r="BX85" s="74"/>
      <c r="BY85" s="63"/>
      <c r="BZ85" s="63"/>
    </row>
    <row r="86" ht="15.75" customHeight="1">
      <c r="A86" s="133" t="s">
        <v>739</v>
      </c>
      <c r="B86" s="43" t="s">
        <v>740</v>
      </c>
      <c r="C86" s="43" t="s">
        <v>271</v>
      </c>
      <c r="D86" s="43" t="s">
        <v>741</v>
      </c>
      <c r="E86" s="45"/>
      <c r="F86" s="78">
        <v>3.8E8</v>
      </c>
      <c r="G86" s="44" t="str">
        <f t="shared" si="1"/>
        <v>$300'000.000 a $400'000.000</v>
      </c>
      <c r="H86" s="44"/>
      <c r="I86" s="44"/>
      <c r="J86" s="43" t="s">
        <v>183</v>
      </c>
      <c r="K86" s="56" t="s">
        <v>184</v>
      </c>
      <c r="L86" s="43">
        <v>7.0</v>
      </c>
      <c r="M86" s="43"/>
      <c r="N86" s="43">
        <v>3.0</v>
      </c>
      <c r="O86" s="43">
        <v>0.0</v>
      </c>
      <c r="P86" s="43">
        <v>2.0</v>
      </c>
      <c r="Q86" s="88">
        <v>250.0</v>
      </c>
      <c r="R86" s="88">
        <v>115.0</v>
      </c>
      <c r="S86" s="56" t="str">
        <f t="shared" si="4"/>
        <v>Rentabilidad $1,400,000</v>
      </c>
      <c r="T86" s="43" t="s">
        <v>78</v>
      </c>
      <c r="U86" s="56" t="s">
        <v>184</v>
      </c>
      <c r="V86" s="43" t="s">
        <v>79</v>
      </c>
      <c r="W86" s="43"/>
      <c r="X86" s="43">
        <v>2.0</v>
      </c>
      <c r="Y86" s="43" t="s">
        <v>80</v>
      </c>
      <c r="Z86" s="58" t="s">
        <v>81</v>
      </c>
      <c r="AA86" s="59" t="str">
        <f>IF(Rentabilidad=0,"No aplica",TEXT(ROUND(Precio/Rentabilidad/12,0),0) &amp; " años")</f>
        <v>23 años</v>
      </c>
      <c r="AB86" s="140" t="s">
        <v>742</v>
      </c>
      <c r="AC86" s="167" t="s">
        <v>743</v>
      </c>
      <c r="AD86" s="107" t="s">
        <v>744</v>
      </c>
      <c r="AE86" s="63"/>
      <c r="AF86" s="64" t="s">
        <v>236</v>
      </c>
      <c r="AG86" s="65" t="s">
        <v>106</v>
      </c>
      <c r="AH86" s="63"/>
      <c r="AI86" s="65" t="s">
        <v>107</v>
      </c>
      <c r="AJ86" s="64" t="s">
        <v>453</v>
      </c>
      <c r="AK86" s="50" t="s">
        <v>81</v>
      </c>
      <c r="AL86" s="45" t="s">
        <v>109</v>
      </c>
      <c r="AM86" s="52">
        <v>3.13351965E9</v>
      </c>
      <c r="AN86" s="64">
        <v>0.0</v>
      </c>
      <c r="AO86" s="43">
        <v>0.0</v>
      </c>
      <c r="AP86" s="146" t="s">
        <v>745</v>
      </c>
      <c r="AQ86" s="146"/>
      <c r="AR86" s="146"/>
      <c r="AS86" s="94">
        <v>1400000.0</v>
      </c>
      <c r="AT86" s="43">
        <v>0.0</v>
      </c>
      <c r="AU86" s="43">
        <v>0.0</v>
      </c>
      <c r="AV86" s="43">
        <v>0.0</v>
      </c>
      <c r="AW86" s="111" t="s">
        <v>88</v>
      </c>
      <c r="AX86" s="52"/>
      <c r="AY86" s="43" t="s">
        <v>137</v>
      </c>
      <c r="AZ86" s="43">
        <v>0.0</v>
      </c>
      <c r="BA86" s="43" t="s">
        <v>89</v>
      </c>
      <c r="BB86" s="43">
        <v>0.0</v>
      </c>
      <c r="BC86" s="109"/>
      <c r="BD86" s="70"/>
      <c r="BE86" s="71"/>
      <c r="BF86" s="72" t="s">
        <v>746</v>
      </c>
      <c r="BG86" s="73"/>
      <c r="BH86" s="73"/>
      <c r="BI86" s="73"/>
      <c r="BJ86" s="73"/>
      <c r="BK86" s="73"/>
      <c r="BL86" s="73"/>
      <c r="BM86" s="73"/>
      <c r="BN86" s="73"/>
      <c r="BO86" s="73"/>
      <c r="BP86" s="73"/>
      <c r="BQ86" s="73"/>
      <c r="BR86" s="73"/>
      <c r="BS86" s="73"/>
      <c r="BT86" s="73"/>
      <c r="BU86" s="73"/>
      <c r="BV86" s="73"/>
      <c r="BW86" s="74"/>
      <c r="BX86" s="74"/>
      <c r="BY86" s="63"/>
      <c r="BZ86" s="63"/>
    </row>
    <row r="87" ht="15.75" customHeight="1">
      <c r="A87" s="133" t="s">
        <v>747</v>
      </c>
      <c r="B87" s="43" t="s">
        <v>748</v>
      </c>
      <c r="C87" s="43" t="s">
        <v>271</v>
      </c>
      <c r="D87" s="43" t="s">
        <v>749</v>
      </c>
      <c r="E87" s="45"/>
      <c r="F87" s="78">
        <v>3.8E8</v>
      </c>
      <c r="G87" s="44" t="str">
        <f t="shared" si="1"/>
        <v>$300'000.000 a $400'000.000</v>
      </c>
      <c r="H87" s="44"/>
      <c r="I87" s="44"/>
      <c r="J87" s="43" t="s">
        <v>183</v>
      </c>
      <c r="K87" s="56" t="s">
        <v>184</v>
      </c>
      <c r="L87" s="111">
        <v>3.0</v>
      </c>
      <c r="M87" s="111"/>
      <c r="N87" s="43">
        <v>3.0</v>
      </c>
      <c r="O87" s="43">
        <v>1.0</v>
      </c>
      <c r="P87" s="43">
        <v>2.0</v>
      </c>
      <c r="Q87" s="89">
        <v>0.0</v>
      </c>
      <c r="R87" s="88">
        <v>97.0</v>
      </c>
      <c r="S87" s="56" t="str">
        <f t="shared" si="4"/>
        <v> </v>
      </c>
      <c r="T87" s="43" t="s">
        <v>78</v>
      </c>
      <c r="U87" s="56" t="s">
        <v>77</v>
      </c>
      <c r="V87" s="43" t="s">
        <v>79</v>
      </c>
      <c r="W87" s="43"/>
      <c r="X87" s="43">
        <v>3.0</v>
      </c>
      <c r="Y87" s="43" t="s">
        <v>80</v>
      </c>
      <c r="Z87" s="58" t="s">
        <v>81</v>
      </c>
      <c r="AA87" s="59" t="str">
        <f>IF(Rentabilidad=0,"No aplica",TEXT(ROUND(Precio/Rentabilidad/12,0),0) &amp; " años")</f>
        <v>No aplica</v>
      </c>
      <c r="AB87" s="140" t="s">
        <v>750</v>
      </c>
      <c r="AC87" s="132" t="s">
        <v>751</v>
      </c>
      <c r="AD87" s="62"/>
      <c r="AE87" s="63"/>
      <c r="AF87" s="64" t="s">
        <v>105</v>
      </c>
      <c r="AG87" s="65" t="s">
        <v>106</v>
      </c>
      <c r="AH87" s="65" t="s">
        <v>45</v>
      </c>
      <c r="AI87" s="65" t="s">
        <v>107</v>
      </c>
      <c r="AJ87" s="64" t="s">
        <v>453</v>
      </c>
      <c r="AK87" s="58" t="s">
        <v>81</v>
      </c>
      <c r="AL87" s="64" t="s">
        <v>109</v>
      </c>
      <c r="AM87" s="43">
        <v>3.13351965E9</v>
      </c>
      <c r="AN87" s="45"/>
      <c r="AO87" s="52"/>
      <c r="AP87" s="146" t="s">
        <v>752</v>
      </c>
      <c r="AQ87" s="146">
        <v>2.9464325</v>
      </c>
      <c r="AR87" s="146">
        <v>-75.2882221</v>
      </c>
      <c r="AS87" s="135"/>
      <c r="AT87" s="43">
        <v>0.0</v>
      </c>
      <c r="AU87" s="43">
        <v>0.0</v>
      </c>
      <c r="AV87" s="43">
        <v>0.0</v>
      </c>
      <c r="AW87" s="43" t="s">
        <v>106</v>
      </c>
      <c r="AX87" s="52"/>
      <c r="AY87" s="43" t="s">
        <v>137</v>
      </c>
      <c r="AZ87" s="52"/>
      <c r="BA87" s="43" t="s">
        <v>89</v>
      </c>
      <c r="BB87" s="52"/>
      <c r="BC87" s="69"/>
      <c r="BD87" s="70"/>
      <c r="BE87" s="71"/>
      <c r="BF87" s="72" t="s">
        <v>753</v>
      </c>
      <c r="BG87" s="73"/>
      <c r="BH87" s="73"/>
      <c r="BI87" s="73"/>
      <c r="BJ87" s="73"/>
      <c r="BK87" s="73"/>
      <c r="BL87" s="73"/>
      <c r="BM87" s="73"/>
      <c r="BN87" s="73"/>
      <c r="BO87" s="73"/>
      <c r="BP87" s="73"/>
      <c r="BQ87" s="73"/>
      <c r="BR87" s="73"/>
      <c r="BS87" s="73"/>
      <c r="BT87" s="73"/>
      <c r="BU87" s="73"/>
      <c r="BV87" s="73"/>
      <c r="BW87" s="74"/>
      <c r="BX87" s="74"/>
      <c r="BY87" s="63"/>
      <c r="BZ87" s="63"/>
    </row>
    <row r="88" ht="15.75" customHeight="1">
      <c r="A88" s="133" t="s">
        <v>754</v>
      </c>
      <c r="B88" s="50" t="s">
        <v>755</v>
      </c>
      <c r="C88" s="43" t="s">
        <v>271</v>
      </c>
      <c r="D88" s="50" t="s">
        <v>756</v>
      </c>
      <c r="E88" s="77"/>
      <c r="F88" s="78">
        <v>3.8E8</v>
      </c>
      <c r="G88" s="44" t="str">
        <f t="shared" si="1"/>
        <v>$300'000.000 a $400'000.000</v>
      </c>
      <c r="H88" s="44"/>
      <c r="I88" s="44"/>
      <c r="J88" s="50" t="s">
        <v>183</v>
      </c>
      <c r="K88" s="51" t="s">
        <v>184</v>
      </c>
      <c r="L88" s="43">
        <v>5.0</v>
      </c>
      <c r="M88" s="43"/>
      <c r="N88" s="43">
        <v>3.0</v>
      </c>
      <c r="O88" s="43">
        <v>1.0</v>
      </c>
      <c r="P88" s="43">
        <v>3.0</v>
      </c>
      <c r="Q88" s="88">
        <v>210.0</v>
      </c>
      <c r="R88" s="88">
        <v>90.0</v>
      </c>
      <c r="S88" s="56" t="str">
        <f t="shared" si="4"/>
        <v>Rentabilidad $1,300,000</v>
      </c>
      <c r="T88" s="43" t="s">
        <v>78</v>
      </c>
      <c r="U88" s="51" t="s">
        <v>184</v>
      </c>
      <c r="V88" s="43" t="s">
        <v>79</v>
      </c>
      <c r="W88" s="43"/>
      <c r="X88" s="43">
        <v>4.0</v>
      </c>
      <c r="Y88" s="50" t="s">
        <v>80</v>
      </c>
      <c r="Z88" s="58" t="s">
        <v>81</v>
      </c>
      <c r="AA88" s="59" t="str">
        <f>IF(Rentabilidad=0,"No aplica",TEXT(ROUND(Precio/Rentabilidad/12,0),0) &amp; " años")</f>
        <v>24 años</v>
      </c>
      <c r="AB88" s="134" t="s">
        <v>757</v>
      </c>
      <c r="AC88" s="124" t="s">
        <v>758</v>
      </c>
      <c r="AD88" s="107" t="s">
        <v>583</v>
      </c>
      <c r="AE88" s="63"/>
      <c r="AF88" s="64" t="s">
        <v>105</v>
      </c>
      <c r="AG88" s="65" t="s">
        <v>106</v>
      </c>
      <c r="AH88" s="65"/>
      <c r="AI88" s="65" t="s">
        <v>107</v>
      </c>
      <c r="AJ88" s="64" t="s">
        <v>453</v>
      </c>
      <c r="AK88" s="50" t="s">
        <v>81</v>
      </c>
      <c r="AL88" s="45" t="s">
        <v>109</v>
      </c>
      <c r="AM88" s="52">
        <v>3.13351965E9</v>
      </c>
      <c r="AN88" s="64">
        <v>0.0</v>
      </c>
      <c r="AO88" s="43">
        <v>0.0</v>
      </c>
      <c r="AP88" s="146" t="s">
        <v>759</v>
      </c>
      <c r="AQ88" s="146"/>
      <c r="AR88" s="146"/>
      <c r="AS88" s="94">
        <v>1300000.0</v>
      </c>
      <c r="AT88" s="65">
        <v>0.0</v>
      </c>
      <c r="AU88" s="43">
        <v>0.0</v>
      </c>
      <c r="AV88" s="43">
        <v>0.0</v>
      </c>
      <c r="AW88" s="43" t="s">
        <v>88</v>
      </c>
      <c r="AX88" s="43">
        <v>0.0</v>
      </c>
      <c r="AY88" s="43" t="s">
        <v>137</v>
      </c>
      <c r="AZ88" s="43">
        <v>0.0</v>
      </c>
      <c r="BA88" s="43" t="s">
        <v>89</v>
      </c>
      <c r="BB88" s="43">
        <v>0.0</v>
      </c>
      <c r="BC88" s="69" t="s">
        <v>760</v>
      </c>
      <c r="BD88" s="70"/>
      <c r="BE88" s="71"/>
      <c r="BF88" s="72" t="s">
        <v>761</v>
      </c>
      <c r="BG88" s="73"/>
      <c r="BH88" s="73"/>
      <c r="BI88" s="73"/>
      <c r="BJ88" s="73"/>
      <c r="BK88" s="73"/>
      <c r="BL88" s="73"/>
      <c r="BM88" s="73"/>
      <c r="BN88" s="73"/>
      <c r="BO88" s="73"/>
      <c r="BP88" s="73"/>
      <c r="BQ88" s="73"/>
      <c r="BR88" s="73"/>
      <c r="BS88" s="73"/>
      <c r="BT88" s="73"/>
      <c r="BU88" s="73"/>
      <c r="BV88" s="73"/>
      <c r="BW88" s="74"/>
      <c r="BX88" s="74"/>
      <c r="BY88" s="63"/>
      <c r="BZ88" s="63"/>
    </row>
    <row r="89" ht="15.75" customHeight="1">
      <c r="A89" s="75" t="s">
        <v>762</v>
      </c>
      <c r="B89" s="50" t="s">
        <v>763</v>
      </c>
      <c r="C89" s="111" t="s">
        <v>323</v>
      </c>
      <c r="D89" s="111" t="s">
        <v>720</v>
      </c>
      <c r="E89" s="77" t="s">
        <v>764</v>
      </c>
      <c r="F89" s="78">
        <v>3.7E8</v>
      </c>
      <c r="G89" s="44" t="str">
        <f t="shared" si="1"/>
        <v>$300'000.000 a $400'000.000</v>
      </c>
      <c r="H89" s="44"/>
      <c r="I89" s="44"/>
      <c r="J89" s="50" t="s">
        <v>94</v>
      </c>
      <c r="K89" s="51" t="s">
        <v>96</v>
      </c>
      <c r="L89" s="50">
        <v>3.0</v>
      </c>
      <c r="M89" s="50"/>
      <c r="N89" s="50">
        <v>2.0</v>
      </c>
      <c r="O89" s="50">
        <v>1.0</v>
      </c>
      <c r="P89" s="50">
        <v>3.0</v>
      </c>
      <c r="Q89" s="79">
        <v>77.0</v>
      </c>
      <c r="R89" s="79">
        <v>77.0</v>
      </c>
      <c r="S89" s="56" t="str">
        <f t="shared" si="4"/>
        <v> </v>
      </c>
      <c r="T89" s="50" t="s">
        <v>78</v>
      </c>
      <c r="U89" s="51" t="s">
        <v>142</v>
      </c>
      <c r="V89" s="50" t="s">
        <v>642</v>
      </c>
      <c r="W89" s="50"/>
      <c r="X89" s="50">
        <v>3.0</v>
      </c>
      <c r="Y89" s="43" t="s">
        <v>130</v>
      </c>
      <c r="Z89" s="58">
        <v>260000.0</v>
      </c>
      <c r="AA89" s="81" t="s">
        <v>81</v>
      </c>
      <c r="AB89" s="115" t="s">
        <v>765</v>
      </c>
      <c r="AC89" s="124" t="s">
        <v>766</v>
      </c>
      <c r="AD89" s="125" t="s">
        <v>767</v>
      </c>
      <c r="AE89" s="63"/>
      <c r="AF89" s="64" t="s">
        <v>105</v>
      </c>
      <c r="AG89" s="65" t="s">
        <v>106</v>
      </c>
      <c r="AH89" s="65"/>
      <c r="AI89" s="65" t="s">
        <v>107</v>
      </c>
      <c r="AJ89" s="64" t="s">
        <v>453</v>
      </c>
      <c r="AK89" s="50" t="s">
        <v>81</v>
      </c>
      <c r="AL89" s="45" t="s">
        <v>109</v>
      </c>
      <c r="AM89" s="52">
        <v>3.13351965E9</v>
      </c>
      <c r="AN89" s="45">
        <v>0.0</v>
      </c>
      <c r="AO89" s="43">
        <v>0.0</v>
      </c>
      <c r="AP89" s="84" t="s">
        <v>768</v>
      </c>
      <c r="AQ89" s="84">
        <v>2.90663579283028</v>
      </c>
      <c r="AR89" s="84">
        <v>-75.2773432875634</v>
      </c>
      <c r="AS89" s="85">
        <v>0.0</v>
      </c>
      <c r="AT89" s="50" t="s">
        <v>106</v>
      </c>
      <c r="AU89" s="50" t="s">
        <v>106</v>
      </c>
      <c r="AV89" s="50" t="s">
        <v>106</v>
      </c>
      <c r="AW89" s="50" t="s">
        <v>88</v>
      </c>
      <c r="AX89" s="44">
        <v>0.0</v>
      </c>
      <c r="AY89" s="50">
        <v>0.0</v>
      </c>
      <c r="AZ89" s="44">
        <v>0.0</v>
      </c>
      <c r="BA89" s="43" t="s">
        <v>89</v>
      </c>
      <c r="BB89" s="44">
        <v>0.0</v>
      </c>
      <c r="BC89" s="69" t="s">
        <v>769</v>
      </c>
      <c r="BD89" s="70"/>
      <c r="BE89" s="71"/>
      <c r="BF89" s="72" t="s">
        <v>770</v>
      </c>
      <c r="BG89" s="73"/>
      <c r="BH89" s="73"/>
      <c r="BI89" s="73"/>
      <c r="BJ89" s="73"/>
      <c r="BK89" s="73"/>
      <c r="BL89" s="73"/>
      <c r="BM89" s="73"/>
      <c r="BN89" s="73"/>
      <c r="BO89" s="73"/>
      <c r="BP89" s="73"/>
      <c r="BQ89" s="73"/>
      <c r="BR89" s="73"/>
      <c r="BS89" s="73"/>
      <c r="BT89" s="73"/>
      <c r="BU89" s="73"/>
      <c r="BV89" s="73"/>
      <c r="BW89" s="74"/>
      <c r="BX89" s="74"/>
      <c r="BY89" s="63"/>
      <c r="BZ89" s="63"/>
    </row>
    <row r="90" ht="15.75" customHeight="1">
      <c r="A90" s="75" t="s">
        <v>771</v>
      </c>
      <c r="B90" s="50" t="s">
        <v>772</v>
      </c>
      <c r="C90" s="50" t="s">
        <v>773</v>
      </c>
      <c r="D90" s="50" t="s">
        <v>459</v>
      </c>
      <c r="E90" s="64"/>
      <c r="F90" s="78">
        <v>3.6E8</v>
      </c>
      <c r="G90" s="44" t="str">
        <f t="shared" si="1"/>
        <v>$300'000.000 a $400'000.000</v>
      </c>
      <c r="H90" s="44"/>
      <c r="I90" s="44"/>
      <c r="J90" s="50" t="s">
        <v>116</v>
      </c>
      <c r="K90" s="51" t="s">
        <v>192</v>
      </c>
      <c r="L90" s="50">
        <v>0.0</v>
      </c>
      <c r="M90" s="50"/>
      <c r="N90" s="50">
        <v>0.0</v>
      </c>
      <c r="O90" s="50">
        <v>0.0</v>
      </c>
      <c r="P90" s="50">
        <v>3.0</v>
      </c>
      <c r="Q90" s="88">
        <v>37.7</v>
      </c>
      <c r="R90" s="88">
        <v>40.89</v>
      </c>
      <c r="S90" s="56" t="str">
        <f t="shared" si="4"/>
        <v> </v>
      </c>
      <c r="T90" s="50" t="s">
        <v>78</v>
      </c>
      <c r="U90" s="51" t="s">
        <v>679</v>
      </c>
      <c r="V90" s="50" t="s">
        <v>774</v>
      </c>
      <c r="W90" s="50"/>
      <c r="X90" s="50">
        <v>0.0</v>
      </c>
      <c r="Y90" s="50" t="s">
        <v>80</v>
      </c>
      <c r="Z90" s="91"/>
      <c r="AA90" s="59" t="str">
        <f>IF(Rentabilidad=0,"No aplica",TEXT(ROUND(Precio/Rentabilidad/12,0),0) &amp; " años")</f>
        <v>No aplica</v>
      </c>
      <c r="AB90" s="82" t="s">
        <v>775</v>
      </c>
      <c r="AC90" s="83" t="s">
        <v>776</v>
      </c>
      <c r="AD90" s="169" t="s">
        <v>777</v>
      </c>
      <c r="AE90" s="63"/>
      <c r="AF90" s="64">
        <v>0.0</v>
      </c>
      <c r="AG90" s="65" t="s">
        <v>106</v>
      </c>
      <c r="AH90" s="63"/>
      <c r="AI90" s="65" t="s">
        <v>107</v>
      </c>
      <c r="AJ90" s="64" t="s">
        <v>453</v>
      </c>
      <c r="AK90" s="58" t="s">
        <v>81</v>
      </c>
      <c r="AL90" s="64" t="s">
        <v>109</v>
      </c>
      <c r="AM90" s="43">
        <v>3.13351965E9</v>
      </c>
      <c r="AN90" s="64">
        <v>0.0</v>
      </c>
      <c r="AO90" s="52"/>
      <c r="AP90" s="84"/>
      <c r="AQ90" s="84">
        <v>2.93445172082708</v>
      </c>
      <c r="AR90" s="84">
        <v>-75.2467848299812</v>
      </c>
      <c r="AS90" s="94"/>
      <c r="AT90" s="50" t="s">
        <v>106</v>
      </c>
      <c r="AU90" s="43">
        <v>0.0</v>
      </c>
      <c r="AV90" s="43">
        <v>0.0</v>
      </c>
      <c r="AW90" s="43" t="s">
        <v>88</v>
      </c>
      <c r="AX90" s="43">
        <v>0.0</v>
      </c>
      <c r="AY90" s="43">
        <v>0.0</v>
      </c>
      <c r="AZ90" s="43">
        <v>0.0</v>
      </c>
      <c r="BA90" s="43" t="s">
        <v>89</v>
      </c>
      <c r="BB90" s="43">
        <v>0.0</v>
      </c>
      <c r="BC90" s="95"/>
      <c r="BD90" s="71"/>
      <c r="BE90" s="71"/>
      <c r="BF90" s="72" t="s">
        <v>778</v>
      </c>
      <c r="BG90" s="73"/>
      <c r="BH90" s="73"/>
      <c r="BI90" s="73"/>
      <c r="BJ90" s="73"/>
      <c r="BK90" s="73"/>
      <c r="BL90" s="73"/>
      <c r="BM90" s="73"/>
      <c r="BN90" s="73"/>
      <c r="BO90" s="73"/>
      <c r="BP90" s="73"/>
      <c r="BQ90" s="73"/>
      <c r="BR90" s="73"/>
      <c r="BS90" s="73"/>
      <c r="BT90" s="73"/>
      <c r="BU90" s="73"/>
      <c r="BV90" s="73"/>
      <c r="BW90" s="74"/>
      <c r="BX90" s="74"/>
      <c r="BY90" s="63"/>
      <c r="BZ90" s="63"/>
    </row>
    <row r="91" ht="15.75" customHeight="1">
      <c r="A91" s="133" t="s">
        <v>779</v>
      </c>
      <c r="B91" s="43" t="s">
        <v>780</v>
      </c>
      <c r="C91" s="43" t="s">
        <v>128</v>
      </c>
      <c r="D91" s="52"/>
      <c r="E91" s="64" t="s">
        <v>781</v>
      </c>
      <c r="F91" s="78">
        <v>3.6E8</v>
      </c>
      <c r="G91" s="44" t="str">
        <f t="shared" si="1"/>
        <v>$300'000.000 a $400'000.000</v>
      </c>
      <c r="H91" s="44"/>
      <c r="I91" s="44"/>
      <c r="J91" s="43" t="s">
        <v>94</v>
      </c>
      <c r="K91" s="56" t="s">
        <v>117</v>
      </c>
      <c r="L91" s="43">
        <v>4.0</v>
      </c>
      <c r="M91" s="43"/>
      <c r="N91" s="43">
        <v>4.0</v>
      </c>
      <c r="O91" s="43">
        <v>1.0</v>
      </c>
      <c r="P91" s="43">
        <v>2.0</v>
      </c>
      <c r="Q91" s="88">
        <v>160.0</v>
      </c>
      <c r="R91" s="88">
        <v>93.0</v>
      </c>
      <c r="S91" s="56" t="str">
        <f t="shared" si="4"/>
        <v> </v>
      </c>
      <c r="T91" s="43" t="s">
        <v>78</v>
      </c>
      <c r="U91" s="56" t="s">
        <v>77</v>
      </c>
      <c r="V91" s="43" t="s">
        <v>79</v>
      </c>
      <c r="W91" s="43"/>
      <c r="X91" s="43">
        <v>4.0</v>
      </c>
      <c r="Y91" s="43" t="s">
        <v>130</v>
      </c>
      <c r="Z91" s="58"/>
      <c r="AA91" s="59" t="str">
        <f>IF(Rentabilidad=0,"No aplica",TEXT(ROUND(Precio/Rentabilidad/12,0),0) &amp; " años")</f>
        <v>No aplica</v>
      </c>
      <c r="AB91" s="140" t="s">
        <v>782</v>
      </c>
      <c r="AC91" s="167" t="s">
        <v>783</v>
      </c>
      <c r="AD91" s="107" t="s">
        <v>784</v>
      </c>
      <c r="AE91" s="63"/>
      <c r="AF91" s="64" t="s">
        <v>105</v>
      </c>
      <c r="AG91" s="65" t="s">
        <v>106</v>
      </c>
      <c r="AH91" s="63"/>
      <c r="AI91" s="65" t="s">
        <v>107</v>
      </c>
      <c r="AJ91" s="64" t="s">
        <v>453</v>
      </c>
      <c r="AK91" s="58" t="s">
        <v>81</v>
      </c>
      <c r="AL91" s="64" t="s">
        <v>109</v>
      </c>
      <c r="AM91" s="43">
        <v>3.13351965E9</v>
      </c>
      <c r="AN91" s="64">
        <v>0.0</v>
      </c>
      <c r="AO91" s="43">
        <v>0.0</v>
      </c>
      <c r="AP91" s="146" t="s">
        <v>785</v>
      </c>
      <c r="AQ91" s="146"/>
      <c r="AR91" s="146"/>
      <c r="AS91" s="135"/>
      <c r="AT91" s="43" t="s">
        <v>88</v>
      </c>
      <c r="AU91" s="43">
        <v>0.0</v>
      </c>
      <c r="AV91" s="43">
        <v>0.0</v>
      </c>
      <c r="AW91" s="43" t="s">
        <v>88</v>
      </c>
      <c r="AX91" s="52"/>
      <c r="AY91" s="43" t="s">
        <v>137</v>
      </c>
      <c r="AZ91" s="43">
        <v>0.0</v>
      </c>
      <c r="BA91" s="43" t="s">
        <v>89</v>
      </c>
      <c r="BB91" s="43">
        <v>0.0</v>
      </c>
      <c r="BC91" s="170"/>
      <c r="BD91" s="128"/>
      <c r="BE91" s="129"/>
      <c r="BF91" s="72" t="s">
        <v>786</v>
      </c>
      <c r="BG91" s="73"/>
      <c r="BH91" s="73"/>
      <c r="BI91" s="73"/>
      <c r="BJ91" s="73"/>
      <c r="BK91" s="73"/>
      <c r="BL91" s="73"/>
      <c r="BM91" s="73"/>
      <c r="BN91" s="73"/>
      <c r="BO91" s="73"/>
      <c r="BP91" s="73"/>
      <c r="BQ91" s="73"/>
      <c r="BR91" s="73"/>
      <c r="BS91" s="73"/>
      <c r="BT91" s="73"/>
      <c r="BU91" s="73"/>
      <c r="BV91" s="73"/>
      <c r="BW91" s="74"/>
      <c r="BX91" s="74"/>
      <c r="BY91" s="63"/>
      <c r="BZ91" s="63"/>
    </row>
    <row r="92" ht="15.75" customHeight="1">
      <c r="A92" s="152" t="s">
        <v>787</v>
      </c>
      <c r="B92" s="75" t="s">
        <v>788</v>
      </c>
      <c r="C92" s="111" t="s">
        <v>323</v>
      </c>
      <c r="D92" s="50"/>
      <c r="E92" s="77" t="s">
        <v>789</v>
      </c>
      <c r="F92" s="78">
        <v>3.5E8</v>
      </c>
      <c r="G92" s="44" t="str">
        <f t="shared" si="1"/>
        <v>$300'000.000 a $400'000.000</v>
      </c>
      <c r="H92" s="44"/>
      <c r="I92" s="44"/>
      <c r="J92" s="50" t="s">
        <v>94</v>
      </c>
      <c r="K92" s="57"/>
      <c r="L92" s="50">
        <v>3.0</v>
      </c>
      <c r="M92" s="50"/>
      <c r="N92" s="50">
        <v>2.0</v>
      </c>
      <c r="O92" s="50">
        <v>1.0</v>
      </c>
      <c r="P92" s="50">
        <v>9.0</v>
      </c>
      <c r="Q92" s="88">
        <v>89.0</v>
      </c>
      <c r="R92" s="88">
        <v>89.0</v>
      </c>
      <c r="S92" s="56" t="str">
        <f t="shared" si="4"/>
        <v> </v>
      </c>
      <c r="T92" s="50" t="s">
        <v>78</v>
      </c>
      <c r="U92" s="51"/>
      <c r="V92" s="50" t="s">
        <v>656</v>
      </c>
      <c r="W92" s="50"/>
      <c r="X92" s="50">
        <v>3.0</v>
      </c>
      <c r="Y92" s="43" t="s">
        <v>130</v>
      </c>
      <c r="Z92" s="58">
        <v>260000.0</v>
      </c>
      <c r="AA92" s="81" t="s">
        <v>81</v>
      </c>
      <c r="AB92" s="115" t="s">
        <v>790</v>
      </c>
      <c r="AC92" s="124" t="s">
        <v>791</v>
      </c>
      <c r="AD92" s="125" t="s">
        <v>659</v>
      </c>
      <c r="AE92" s="63"/>
      <c r="AF92" s="64" t="s">
        <v>105</v>
      </c>
      <c r="AG92" s="65" t="s">
        <v>106</v>
      </c>
      <c r="AH92" s="63"/>
      <c r="AI92" s="65" t="s">
        <v>107</v>
      </c>
      <c r="AJ92" s="64" t="s">
        <v>453</v>
      </c>
      <c r="AK92" s="50" t="s">
        <v>81</v>
      </c>
      <c r="AL92" s="45" t="s">
        <v>109</v>
      </c>
      <c r="AM92" s="52">
        <v>3.13351965E9</v>
      </c>
      <c r="AN92" s="64">
        <v>0.0</v>
      </c>
      <c r="AO92" s="153">
        <v>0.0</v>
      </c>
      <c r="AP92" s="84" t="s">
        <v>792</v>
      </c>
      <c r="AQ92" s="84">
        <v>2.9065266543509</v>
      </c>
      <c r="AR92" s="84">
        <v>-75.2769152190338</v>
      </c>
      <c r="AS92" s="68">
        <v>0.0</v>
      </c>
      <c r="AT92" s="50" t="s">
        <v>106</v>
      </c>
      <c r="AU92" s="52">
        <v>0.0</v>
      </c>
      <c r="AV92" s="52">
        <v>0.0</v>
      </c>
      <c r="AW92" s="43" t="s">
        <v>88</v>
      </c>
      <c r="AX92" s="52">
        <v>0.0</v>
      </c>
      <c r="AY92" s="43">
        <v>0.0</v>
      </c>
      <c r="AZ92" s="52">
        <v>0.0</v>
      </c>
      <c r="BA92" s="43" t="s">
        <v>89</v>
      </c>
      <c r="BB92" s="52">
        <v>0.0</v>
      </c>
      <c r="BC92" s="86"/>
      <c r="BD92" s="71"/>
      <c r="BE92" s="71"/>
      <c r="BF92" s="72" t="s">
        <v>793</v>
      </c>
      <c r="BG92" s="73"/>
      <c r="BH92" s="73"/>
      <c r="BI92" s="73"/>
      <c r="BJ92" s="73"/>
      <c r="BK92" s="73"/>
      <c r="BL92" s="73"/>
      <c r="BM92" s="73"/>
      <c r="BN92" s="73"/>
      <c r="BO92" s="73"/>
      <c r="BP92" s="73"/>
      <c r="BQ92" s="73"/>
      <c r="BR92" s="73"/>
      <c r="BS92" s="73"/>
      <c r="BT92" s="73"/>
      <c r="BU92" s="73"/>
      <c r="BV92" s="73"/>
      <c r="BW92" s="74"/>
      <c r="BX92" s="74"/>
      <c r="BY92" s="63"/>
      <c r="BZ92" s="63"/>
    </row>
    <row r="93" ht="15.75" customHeight="1">
      <c r="A93" s="133" t="s">
        <v>794</v>
      </c>
      <c r="B93" s="43" t="s">
        <v>795</v>
      </c>
      <c r="C93" s="43" t="s">
        <v>70</v>
      </c>
      <c r="D93" s="43" t="s">
        <v>796</v>
      </c>
      <c r="E93" s="45"/>
      <c r="F93" s="78">
        <v>3.5E8</v>
      </c>
      <c r="G93" s="44" t="str">
        <f t="shared" si="1"/>
        <v>$300'000.000 a $400'000.000</v>
      </c>
      <c r="H93" s="44"/>
      <c r="I93" s="44"/>
      <c r="J93" s="43" t="s">
        <v>116</v>
      </c>
      <c r="K93" s="56" t="s">
        <v>294</v>
      </c>
      <c r="L93" s="43">
        <v>4.0</v>
      </c>
      <c r="M93" s="43"/>
      <c r="N93" s="43">
        <v>3.0</v>
      </c>
      <c r="O93" s="43">
        <v>1.0</v>
      </c>
      <c r="P93" s="43">
        <v>2.0</v>
      </c>
      <c r="Q93" s="89">
        <v>0.0</v>
      </c>
      <c r="R93" s="88">
        <v>191.0</v>
      </c>
      <c r="S93" s="56" t="str">
        <f t="shared" si="4"/>
        <v> </v>
      </c>
      <c r="T93" s="43" t="s">
        <v>78</v>
      </c>
      <c r="U93" s="56" t="s">
        <v>184</v>
      </c>
      <c r="V93" s="43" t="s">
        <v>79</v>
      </c>
      <c r="W93" s="43"/>
      <c r="X93" s="43">
        <v>3.0</v>
      </c>
      <c r="Y93" s="43" t="s">
        <v>80</v>
      </c>
      <c r="Z93" s="58"/>
      <c r="AA93" s="59" t="str">
        <f>IF(Rentabilidad=0,"No aplica",TEXT(ROUND(Precio/Rentabilidad/12,0),0) &amp; " años")</f>
        <v>No aplica</v>
      </c>
      <c r="AB93" s="140" t="s">
        <v>797</v>
      </c>
      <c r="AC93" s="132" t="s">
        <v>798</v>
      </c>
      <c r="AD93" s="62"/>
      <c r="AE93" s="63"/>
      <c r="AF93" s="64" t="s">
        <v>105</v>
      </c>
      <c r="AG93" s="65" t="s">
        <v>106</v>
      </c>
      <c r="AH93" s="63"/>
      <c r="AI93" s="65" t="s">
        <v>107</v>
      </c>
      <c r="AJ93" s="64" t="s">
        <v>453</v>
      </c>
      <c r="AK93" s="50" t="s">
        <v>81</v>
      </c>
      <c r="AL93" s="45" t="s">
        <v>109</v>
      </c>
      <c r="AM93" s="52">
        <v>3.13351965E9</v>
      </c>
      <c r="AN93" s="64">
        <v>0.0</v>
      </c>
      <c r="AO93" s="43">
        <v>0.0</v>
      </c>
      <c r="AP93" s="146" t="s">
        <v>799</v>
      </c>
      <c r="AQ93" s="146"/>
      <c r="AR93" s="146"/>
      <c r="AS93" s="135"/>
      <c r="AT93" s="43">
        <v>0.0</v>
      </c>
      <c r="AU93" s="43">
        <v>0.0</v>
      </c>
      <c r="AV93" s="43">
        <v>1.0</v>
      </c>
      <c r="AW93" s="43" t="s">
        <v>106</v>
      </c>
      <c r="AX93" s="52"/>
      <c r="AY93" s="43" t="s">
        <v>247</v>
      </c>
      <c r="AZ93" s="52"/>
      <c r="BA93" s="43" t="s">
        <v>89</v>
      </c>
      <c r="BB93" s="52"/>
      <c r="BC93" s="69"/>
      <c r="BD93" s="70"/>
      <c r="BE93" s="71"/>
      <c r="BF93" s="72" t="s">
        <v>800</v>
      </c>
      <c r="BG93" s="73"/>
      <c r="BH93" s="73"/>
      <c r="BI93" s="73"/>
      <c r="BJ93" s="73"/>
      <c r="BK93" s="73"/>
      <c r="BL93" s="73"/>
      <c r="BM93" s="73"/>
      <c r="BN93" s="73"/>
      <c r="BO93" s="73"/>
      <c r="BP93" s="73"/>
      <c r="BQ93" s="73"/>
      <c r="BR93" s="73"/>
      <c r="BS93" s="73"/>
      <c r="BT93" s="73"/>
      <c r="BU93" s="73"/>
      <c r="BV93" s="73"/>
      <c r="BW93" s="74"/>
      <c r="BX93" s="74"/>
      <c r="BY93" s="63"/>
      <c r="BZ93" s="63"/>
    </row>
    <row r="94" ht="15.75" customHeight="1">
      <c r="A94" s="41" t="s">
        <v>801</v>
      </c>
      <c r="B94" s="50" t="s">
        <v>802</v>
      </c>
      <c r="C94" s="50" t="s">
        <v>271</v>
      </c>
      <c r="D94" s="44" t="s">
        <v>11</v>
      </c>
      <c r="E94" s="77" t="s">
        <v>376</v>
      </c>
      <c r="F94" s="47">
        <v>3.2E8</v>
      </c>
      <c r="G94" s="44" t="str">
        <f t="shared" si="1"/>
        <v>$300'000.000 a $400'000.000</v>
      </c>
      <c r="H94" s="44"/>
      <c r="I94" s="44"/>
      <c r="J94" s="50" t="s">
        <v>183</v>
      </c>
      <c r="K94" s="51" t="s">
        <v>184</v>
      </c>
      <c r="L94" s="44">
        <v>5.0</v>
      </c>
      <c r="M94" s="44"/>
      <c r="N94" s="44">
        <v>3.0</v>
      </c>
      <c r="O94" s="50">
        <v>0.0</v>
      </c>
      <c r="P94" s="44">
        <v>1.0</v>
      </c>
      <c r="Q94" s="113">
        <v>180.0</v>
      </c>
      <c r="R94" s="79">
        <v>180.0</v>
      </c>
      <c r="S94" s="56" t="str">
        <f t="shared" si="4"/>
        <v>Rentabilidad $1,500,000</v>
      </c>
      <c r="T94" s="52" t="s">
        <v>78</v>
      </c>
      <c r="U94" s="57" t="s">
        <v>184</v>
      </c>
      <c r="V94" s="50" t="s">
        <v>79</v>
      </c>
      <c r="W94" s="50"/>
      <c r="X94" s="44">
        <v>0.0</v>
      </c>
      <c r="Y94" s="94" t="s">
        <v>80</v>
      </c>
      <c r="Z94" s="80" t="s">
        <v>81</v>
      </c>
      <c r="AA94" s="59" t="str">
        <f>IF(Rentabilidad=0,"No aplica",TEXT(ROUND(Precio/Rentabilidad/12,0),0) &amp; " años")</f>
        <v>18 años</v>
      </c>
      <c r="AB94" s="134" t="s">
        <v>803</v>
      </c>
      <c r="AC94" s="61"/>
      <c r="AD94" s="62"/>
      <c r="AE94" s="63"/>
      <c r="AF94" s="64" t="s">
        <v>84</v>
      </c>
      <c r="AG94" s="65" t="s">
        <v>106</v>
      </c>
      <c r="AH94" s="65" t="s">
        <v>45</v>
      </c>
      <c r="AI94" s="65" t="s">
        <v>107</v>
      </c>
      <c r="AJ94" s="64" t="s">
        <v>453</v>
      </c>
      <c r="AK94" s="50" t="s">
        <v>81</v>
      </c>
      <c r="AL94" s="45" t="s">
        <v>109</v>
      </c>
      <c r="AM94" s="52">
        <v>3.13351965E9</v>
      </c>
      <c r="AN94" s="45">
        <v>0.0</v>
      </c>
      <c r="AO94" s="52"/>
      <c r="AP94" s="67" t="s">
        <v>804</v>
      </c>
      <c r="AQ94" s="143">
        <v>2.952564</v>
      </c>
      <c r="AR94" s="143">
        <v>-75.2908635</v>
      </c>
      <c r="AS94" s="68">
        <v>1500000.0</v>
      </c>
      <c r="AT94" s="63">
        <v>0.0</v>
      </c>
      <c r="AU94" s="52">
        <v>0.0</v>
      </c>
      <c r="AV94" s="52">
        <v>0.0</v>
      </c>
      <c r="AW94" s="43" t="s">
        <v>88</v>
      </c>
      <c r="AX94" s="52">
        <v>0.0</v>
      </c>
      <c r="AY94" s="52">
        <v>0.0</v>
      </c>
      <c r="AZ94" s="171">
        <v>0.0</v>
      </c>
      <c r="BA94" s="43" t="s">
        <v>89</v>
      </c>
      <c r="BB94" s="171">
        <v>0.0</v>
      </c>
      <c r="BC94" s="127" t="s">
        <v>805</v>
      </c>
      <c r="BD94" s="156"/>
      <c r="BE94" s="156"/>
      <c r="BF94" s="157" t="s">
        <v>806</v>
      </c>
      <c r="BG94" s="73"/>
      <c r="BH94" s="73"/>
      <c r="BI94" s="73"/>
      <c r="BJ94" s="73"/>
      <c r="BK94" s="73"/>
      <c r="BL94" s="73"/>
      <c r="BM94" s="73"/>
      <c r="BN94" s="73"/>
      <c r="BO94" s="73"/>
      <c r="BP94" s="73"/>
      <c r="BQ94" s="73"/>
      <c r="BR94" s="73"/>
      <c r="BS94" s="73"/>
      <c r="BT94" s="73"/>
      <c r="BU94" s="73"/>
      <c r="BV94" s="73"/>
      <c r="BW94" s="74"/>
      <c r="BX94" s="74"/>
      <c r="BY94" s="63"/>
      <c r="BZ94" s="63"/>
    </row>
    <row r="95" ht="15.75" customHeight="1">
      <c r="A95" s="133" t="s">
        <v>807</v>
      </c>
      <c r="B95" s="43" t="s">
        <v>808</v>
      </c>
      <c r="C95" s="43" t="s">
        <v>271</v>
      </c>
      <c r="D95" s="43" t="s">
        <v>809</v>
      </c>
      <c r="E95" s="45"/>
      <c r="F95" s="78">
        <v>3.2E8</v>
      </c>
      <c r="G95" s="44" t="str">
        <f t="shared" si="1"/>
        <v>$300'000.000 a $400'000.000</v>
      </c>
      <c r="H95" s="44"/>
      <c r="I95" s="44"/>
      <c r="J95" s="43"/>
      <c r="K95" s="142"/>
      <c r="L95" s="43">
        <v>6.0</v>
      </c>
      <c r="M95" s="43"/>
      <c r="N95" s="43">
        <v>3.0</v>
      </c>
      <c r="O95" s="43">
        <v>1.0</v>
      </c>
      <c r="P95" s="43">
        <v>2.0</v>
      </c>
      <c r="Q95" s="89">
        <v>0.0</v>
      </c>
      <c r="R95" s="88">
        <v>90.0</v>
      </c>
      <c r="S95" s="56" t="str">
        <f t="shared" si="4"/>
        <v> </v>
      </c>
      <c r="T95" s="43" t="s">
        <v>95</v>
      </c>
      <c r="U95" s="56" t="s">
        <v>184</v>
      </c>
      <c r="V95" s="43" t="s">
        <v>79</v>
      </c>
      <c r="W95" s="43"/>
      <c r="X95" s="43">
        <v>0.0</v>
      </c>
      <c r="Y95" s="43" t="s">
        <v>80</v>
      </c>
      <c r="Z95" s="58" t="s">
        <v>81</v>
      </c>
      <c r="AA95" s="59" t="str">
        <f>IF(Rentabilidad=0,"No aplica",TEXT(ROUND(Precio/Rentabilidad/12,0),0) &amp; " años")</f>
        <v>No aplica</v>
      </c>
      <c r="AB95" s="140" t="s">
        <v>810</v>
      </c>
      <c r="AC95" s="132" t="s">
        <v>811</v>
      </c>
      <c r="AD95" s="107" t="s">
        <v>812</v>
      </c>
      <c r="AE95" s="63"/>
      <c r="AF95" s="64" t="s">
        <v>105</v>
      </c>
      <c r="AG95" s="65" t="s">
        <v>106</v>
      </c>
      <c r="AH95" s="63"/>
      <c r="AI95" s="65" t="s">
        <v>107</v>
      </c>
      <c r="AJ95" s="64" t="s">
        <v>453</v>
      </c>
      <c r="AK95" s="50" t="s">
        <v>81</v>
      </c>
      <c r="AL95" s="45" t="s">
        <v>109</v>
      </c>
      <c r="AM95" s="52">
        <v>3.13351965E9</v>
      </c>
      <c r="AN95" s="45"/>
      <c r="AO95" s="52"/>
      <c r="AP95" s="146" t="s">
        <v>813</v>
      </c>
      <c r="AQ95" s="146"/>
      <c r="AR95" s="146"/>
      <c r="AS95" s="135"/>
      <c r="AT95" s="43">
        <v>0.0</v>
      </c>
      <c r="AU95" s="43">
        <v>0.0</v>
      </c>
      <c r="AV95" s="43">
        <v>0.0</v>
      </c>
      <c r="AW95" s="43" t="s">
        <v>106</v>
      </c>
      <c r="AX95" s="52"/>
      <c r="AY95" s="43" t="s">
        <v>137</v>
      </c>
      <c r="AZ95" s="52"/>
      <c r="BA95" s="43" t="s">
        <v>89</v>
      </c>
      <c r="BB95" s="52"/>
      <c r="BC95" s="109"/>
      <c r="BD95" s="70"/>
      <c r="BE95" s="71"/>
      <c r="BF95" s="72" t="s">
        <v>814</v>
      </c>
      <c r="BG95" s="73"/>
      <c r="BH95" s="73"/>
      <c r="BI95" s="73"/>
      <c r="BJ95" s="73"/>
      <c r="BK95" s="73"/>
      <c r="BL95" s="73"/>
      <c r="BM95" s="73"/>
      <c r="BN95" s="73"/>
      <c r="BO95" s="73"/>
      <c r="BP95" s="73"/>
      <c r="BQ95" s="73"/>
      <c r="BR95" s="73"/>
      <c r="BS95" s="73"/>
      <c r="BT95" s="73"/>
      <c r="BU95" s="73"/>
      <c r="BV95" s="73"/>
      <c r="BW95" s="74"/>
      <c r="BX95" s="74"/>
      <c r="BY95" s="63"/>
      <c r="BZ95" s="63"/>
    </row>
    <row r="96" ht="15.75" customHeight="1">
      <c r="A96" s="133" t="s">
        <v>815</v>
      </c>
      <c r="B96" s="43" t="s">
        <v>816</v>
      </c>
      <c r="C96" s="43" t="s">
        <v>271</v>
      </c>
      <c r="D96" s="43" t="s">
        <v>817</v>
      </c>
      <c r="E96" s="45"/>
      <c r="F96" s="78">
        <v>3.1E8</v>
      </c>
      <c r="G96" s="44" t="str">
        <f t="shared" si="1"/>
        <v>$300'000.000 a $400'000.000</v>
      </c>
      <c r="H96" s="44"/>
      <c r="I96" s="44"/>
      <c r="J96" s="43" t="s">
        <v>183</v>
      </c>
      <c r="K96" s="56" t="s">
        <v>184</v>
      </c>
      <c r="L96" s="43">
        <v>6.0</v>
      </c>
      <c r="M96" s="43"/>
      <c r="N96" s="43">
        <v>3.0</v>
      </c>
      <c r="O96" s="43">
        <v>2.0</v>
      </c>
      <c r="P96" s="43">
        <v>3.0</v>
      </c>
      <c r="Q96" s="88">
        <v>250.0</v>
      </c>
      <c r="R96" s="88">
        <v>90.0</v>
      </c>
      <c r="S96" s="56" t="str">
        <f t="shared" si="4"/>
        <v>Rentabilidad $1,200,000</v>
      </c>
      <c r="T96" s="43" t="s">
        <v>78</v>
      </c>
      <c r="U96" s="56" t="s">
        <v>184</v>
      </c>
      <c r="V96" s="43" t="s">
        <v>79</v>
      </c>
      <c r="W96" s="43"/>
      <c r="X96" s="43">
        <v>5.0</v>
      </c>
      <c r="Y96" s="43" t="s">
        <v>80</v>
      </c>
      <c r="Z96" s="58" t="s">
        <v>81</v>
      </c>
      <c r="AA96" s="59" t="str">
        <f>IF(Rentabilidad=0,"No aplica",TEXT(ROUND(Precio/Rentabilidad/12,0),0) &amp; " años")</f>
        <v>22 años</v>
      </c>
      <c r="AB96" s="140" t="s">
        <v>818</v>
      </c>
      <c r="AC96" s="167" t="s">
        <v>819</v>
      </c>
      <c r="AD96" s="62"/>
      <c r="AE96" s="63"/>
      <c r="AF96" s="64" t="s">
        <v>236</v>
      </c>
      <c r="AG96" s="65" t="s">
        <v>106</v>
      </c>
      <c r="AH96" s="63"/>
      <c r="AI96" s="65" t="s">
        <v>107</v>
      </c>
      <c r="AJ96" s="64" t="s">
        <v>453</v>
      </c>
      <c r="AK96" s="58" t="s">
        <v>81</v>
      </c>
      <c r="AL96" s="64" t="s">
        <v>109</v>
      </c>
      <c r="AM96" s="43">
        <v>3.13351965E9</v>
      </c>
      <c r="AN96" s="64">
        <v>0.0</v>
      </c>
      <c r="AO96" s="52"/>
      <c r="AP96" s="146" t="s">
        <v>820</v>
      </c>
      <c r="AQ96" s="146">
        <v>2.94735486008581</v>
      </c>
      <c r="AR96" s="146">
        <v>-75.2840969461552</v>
      </c>
      <c r="AS96" s="94">
        <v>1200000.0</v>
      </c>
      <c r="AT96" s="43">
        <v>0.0</v>
      </c>
      <c r="AU96" s="43">
        <v>0.0</v>
      </c>
      <c r="AV96" s="43">
        <v>0.0</v>
      </c>
      <c r="AW96" s="43" t="s">
        <v>88</v>
      </c>
      <c r="AX96" s="52"/>
      <c r="AY96" s="43" t="s">
        <v>137</v>
      </c>
      <c r="AZ96" s="43">
        <v>0.0</v>
      </c>
      <c r="BA96" s="43" t="s">
        <v>89</v>
      </c>
      <c r="BB96" s="43">
        <v>0.0</v>
      </c>
      <c r="BC96" s="95"/>
      <c r="BD96" s="71"/>
      <c r="BE96" s="71"/>
      <c r="BF96" s="72" t="s">
        <v>821</v>
      </c>
      <c r="BG96" s="73"/>
      <c r="BH96" s="73"/>
      <c r="BI96" s="73"/>
      <c r="BJ96" s="73"/>
      <c r="BK96" s="73"/>
      <c r="BL96" s="73"/>
      <c r="BM96" s="73"/>
      <c r="BN96" s="73"/>
      <c r="BO96" s="73"/>
      <c r="BP96" s="73"/>
      <c r="BQ96" s="73"/>
      <c r="BR96" s="73"/>
      <c r="BS96" s="73"/>
      <c r="BT96" s="73"/>
      <c r="BU96" s="73"/>
      <c r="BV96" s="73"/>
      <c r="BW96" s="74"/>
      <c r="BX96" s="74"/>
      <c r="BY96" s="63"/>
      <c r="BZ96" s="63"/>
    </row>
    <row r="97" ht="15.75" customHeight="1">
      <c r="A97" s="133" t="s">
        <v>822</v>
      </c>
      <c r="B97" s="43" t="s">
        <v>823</v>
      </c>
      <c r="C97" s="43" t="s">
        <v>70</v>
      </c>
      <c r="D97" s="43" t="s">
        <v>824</v>
      </c>
      <c r="E97" s="45"/>
      <c r="F97" s="78">
        <v>3.0E8</v>
      </c>
      <c r="G97" s="44" t="str">
        <f t="shared" si="1"/>
        <v>$300'000.000 a $400'000.000</v>
      </c>
      <c r="H97" s="44"/>
      <c r="I97" s="44"/>
      <c r="J97" s="43" t="s">
        <v>116</v>
      </c>
      <c r="K97" s="56" t="s">
        <v>154</v>
      </c>
      <c r="L97" s="43">
        <v>4.0</v>
      </c>
      <c r="M97" s="43"/>
      <c r="N97" s="43">
        <v>3.0</v>
      </c>
      <c r="O97" s="43">
        <v>1.0</v>
      </c>
      <c r="P97" s="43">
        <v>2.0</v>
      </c>
      <c r="Q97" s="88">
        <v>200.0</v>
      </c>
      <c r="R97" s="88">
        <v>100.0</v>
      </c>
      <c r="S97" s="56" t="str">
        <f t="shared" si="4"/>
        <v> </v>
      </c>
      <c r="T97" s="43" t="s">
        <v>78</v>
      </c>
      <c r="U97" s="56" t="s">
        <v>184</v>
      </c>
      <c r="V97" s="43" t="s">
        <v>79</v>
      </c>
      <c r="W97" s="43"/>
      <c r="X97" s="43">
        <v>4.0</v>
      </c>
      <c r="Y97" s="43" t="s">
        <v>80</v>
      </c>
      <c r="Z97" s="58" t="s">
        <v>81</v>
      </c>
      <c r="AA97" s="59" t="str">
        <f>IF(Rentabilidad=0,"No aplica",TEXT(ROUND(Precio/Rentabilidad/12,0),0) &amp; " años")</f>
        <v>No aplica</v>
      </c>
      <c r="AB97" s="140" t="s">
        <v>825</v>
      </c>
      <c r="AC97" s="167" t="s">
        <v>826</v>
      </c>
      <c r="AD97" s="107" t="s">
        <v>583</v>
      </c>
      <c r="AE97" s="63"/>
      <c r="AF97" s="64" t="s">
        <v>105</v>
      </c>
      <c r="AG97" s="65" t="s">
        <v>106</v>
      </c>
      <c r="AH97" s="63"/>
      <c r="AI97" s="65" t="s">
        <v>107</v>
      </c>
      <c r="AJ97" s="64" t="s">
        <v>453</v>
      </c>
      <c r="AK97" s="58" t="s">
        <v>81</v>
      </c>
      <c r="AL97" s="64" t="s">
        <v>109</v>
      </c>
      <c r="AM97" s="43">
        <v>3.13351965E9</v>
      </c>
      <c r="AN97" s="64">
        <v>0.0</v>
      </c>
      <c r="AO97" s="43">
        <v>0.0</v>
      </c>
      <c r="AP97" s="84" t="s">
        <v>827</v>
      </c>
      <c r="AQ97" s="84"/>
      <c r="AR97" s="84"/>
      <c r="AS97" s="94">
        <v>0.0</v>
      </c>
      <c r="AT97" s="50" t="s">
        <v>88</v>
      </c>
      <c r="AU97" s="43">
        <v>0.0</v>
      </c>
      <c r="AV97" s="43">
        <v>0.0</v>
      </c>
      <c r="AW97" s="43" t="s">
        <v>106</v>
      </c>
      <c r="AX97" s="43">
        <v>0.0</v>
      </c>
      <c r="AY97" s="43" t="s">
        <v>137</v>
      </c>
      <c r="AZ97" s="43">
        <v>0.0</v>
      </c>
      <c r="BA97" s="43" t="s">
        <v>89</v>
      </c>
      <c r="BB97" s="43">
        <v>0.0</v>
      </c>
      <c r="BC97" s="69"/>
      <c r="BD97" s="121"/>
      <c r="BE97" s="129"/>
      <c r="BF97" s="72" t="s">
        <v>828</v>
      </c>
      <c r="BG97" s="73"/>
      <c r="BH97" s="73"/>
      <c r="BI97" s="73"/>
      <c r="BJ97" s="73"/>
      <c r="BK97" s="73"/>
      <c r="BL97" s="73"/>
      <c r="BM97" s="73"/>
      <c r="BN97" s="73"/>
      <c r="BO97" s="73"/>
      <c r="BP97" s="73"/>
      <c r="BQ97" s="73"/>
      <c r="BR97" s="73"/>
      <c r="BS97" s="73"/>
      <c r="BT97" s="73"/>
      <c r="BU97" s="73"/>
      <c r="BV97" s="73"/>
      <c r="BW97" s="74"/>
      <c r="BX97" s="74"/>
      <c r="BY97" s="63"/>
      <c r="BZ97" s="63"/>
    </row>
    <row r="98" ht="15.75" customHeight="1">
      <c r="A98" s="75" t="s">
        <v>829</v>
      </c>
      <c r="B98" s="50" t="s">
        <v>830</v>
      </c>
      <c r="C98" s="50" t="s">
        <v>70</v>
      </c>
      <c r="D98" s="50" t="s">
        <v>831</v>
      </c>
      <c r="E98" s="45"/>
      <c r="F98" s="78">
        <v>3.0E8</v>
      </c>
      <c r="G98" s="44" t="str">
        <f t="shared" si="1"/>
        <v>$300'000.000 a $400'000.000</v>
      </c>
      <c r="H98" s="44"/>
      <c r="I98" s="44"/>
      <c r="J98" s="50" t="s">
        <v>183</v>
      </c>
      <c r="K98" s="51" t="s">
        <v>241</v>
      </c>
      <c r="L98" s="50">
        <v>4.0</v>
      </c>
      <c r="M98" s="50"/>
      <c r="N98" s="50">
        <v>3.0</v>
      </c>
      <c r="O98" s="50">
        <v>2.0</v>
      </c>
      <c r="P98" s="50">
        <v>2.0</v>
      </c>
      <c r="Q98" s="88">
        <v>170.0</v>
      </c>
      <c r="R98" s="88">
        <v>170.0</v>
      </c>
      <c r="S98" s="56" t="str">
        <f t="shared" si="4"/>
        <v> </v>
      </c>
      <c r="T98" s="43" t="s">
        <v>78</v>
      </c>
      <c r="U98" s="56" t="s">
        <v>77</v>
      </c>
      <c r="V98" s="50" t="s">
        <v>118</v>
      </c>
      <c r="W98" s="50"/>
      <c r="X98" s="50">
        <v>0.0</v>
      </c>
      <c r="Y98" s="50" t="s">
        <v>80</v>
      </c>
      <c r="Z98" s="58" t="s">
        <v>81</v>
      </c>
      <c r="AA98" s="59" t="str">
        <f>IF(Rentabilidad=0,"No aplica",TEXT(ROUND(Precio/Rentabilidad/12,0),0) &amp; " años")</f>
        <v>No aplica</v>
      </c>
      <c r="AB98" s="134" t="s">
        <v>832</v>
      </c>
      <c r="AC98" s="131" t="s">
        <v>833</v>
      </c>
      <c r="AD98" s="62"/>
      <c r="AE98" s="63"/>
      <c r="AF98" s="64" t="s">
        <v>105</v>
      </c>
      <c r="AG98" s="65" t="s">
        <v>106</v>
      </c>
      <c r="AH98" s="65"/>
      <c r="AI98" s="65" t="s">
        <v>107</v>
      </c>
      <c r="AJ98" s="64" t="s">
        <v>453</v>
      </c>
      <c r="AK98" s="58" t="s">
        <v>81</v>
      </c>
      <c r="AL98" s="64" t="s">
        <v>109</v>
      </c>
      <c r="AM98" s="43">
        <v>3.13351965E9</v>
      </c>
      <c r="AN98" s="64">
        <v>0.0</v>
      </c>
      <c r="AO98" s="52"/>
      <c r="AP98" s="84" t="s">
        <v>834</v>
      </c>
      <c r="AQ98" s="84"/>
      <c r="AR98" s="84"/>
      <c r="AS98" s="68"/>
      <c r="AT98" s="44"/>
      <c r="AU98" s="44"/>
      <c r="AV98" s="44"/>
      <c r="AW98" s="50" t="s">
        <v>106</v>
      </c>
      <c r="AX98" s="44"/>
      <c r="AY98" s="50">
        <v>1.0</v>
      </c>
      <c r="AZ98" s="44"/>
      <c r="BA98" s="43" t="s">
        <v>89</v>
      </c>
      <c r="BB98" s="44"/>
      <c r="BC98" s="127" t="s">
        <v>835</v>
      </c>
      <c r="BD98" s="128"/>
      <c r="BE98" s="129"/>
      <c r="BF98" s="72" t="s">
        <v>836</v>
      </c>
      <c r="BG98" s="73"/>
      <c r="BH98" s="73"/>
      <c r="BI98" s="73"/>
      <c r="BJ98" s="73"/>
      <c r="BK98" s="73"/>
      <c r="BL98" s="73"/>
      <c r="BM98" s="73"/>
      <c r="BN98" s="73"/>
      <c r="BO98" s="73"/>
      <c r="BP98" s="73"/>
      <c r="BQ98" s="73"/>
      <c r="BR98" s="73"/>
      <c r="BS98" s="73"/>
      <c r="BT98" s="73"/>
      <c r="BU98" s="73"/>
      <c r="BV98" s="73"/>
      <c r="BW98" s="74"/>
      <c r="BX98" s="74"/>
      <c r="BY98" s="63"/>
      <c r="BZ98" s="63"/>
    </row>
    <row r="99" ht="15.75" customHeight="1">
      <c r="A99" s="75" t="s">
        <v>837</v>
      </c>
      <c r="B99" s="50" t="s">
        <v>838</v>
      </c>
      <c r="C99" s="50" t="s">
        <v>271</v>
      </c>
      <c r="D99" s="50" t="s">
        <v>703</v>
      </c>
      <c r="E99" s="64"/>
      <c r="F99" s="78">
        <v>3.0E8</v>
      </c>
      <c r="G99" s="44" t="str">
        <f t="shared" si="1"/>
        <v>$300'000.000 a $400'000.000</v>
      </c>
      <c r="H99" s="44"/>
      <c r="I99" s="44"/>
      <c r="J99" s="50" t="s">
        <v>76</v>
      </c>
      <c r="K99" s="51" t="s">
        <v>142</v>
      </c>
      <c r="L99" s="50">
        <v>6.0</v>
      </c>
      <c r="M99" s="50"/>
      <c r="N99" s="50">
        <v>2.0</v>
      </c>
      <c r="O99" s="50">
        <v>1.0</v>
      </c>
      <c r="P99" s="50">
        <v>2.0</v>
      </c>
      <c r="Q99" s="88">
        <v>125.0</v>
      </c>
      <c r="R99" s="88">
        <v>125.0</v>
      </c>
      <c r="S99" s="56" t="str">
        <f t="shared" si="4"/>
        <v>Rentabilidad $1,200,000</v>
      </c>
      <c r="T99" s="50" t="s">
        <v>78</v>
      </c>
      <c r="U99" s="51" t="s">
        <v>184</v>
      </c>
      <c r="V99" s="50" t="s">
        <v>316</v>
      </c>
      <c r="W99" s="50"/>
      <c r="X99" s="50">
        <v>4.0</v>
      </c>
      <c r="Y99" s="50" t="s">
        <v>80</v>
      </c>
      <c r="Z99" s="91"/>
      <c r="AA99" s="59" t="str">
        <f>IF(Rentabilidad=0,"No aplica",TEXT(ROUND(Precio/Rentabilidad/12,0),0) &amp; " años")</f>
        <v>21 años</v>
      </c>
      <c r="AB99" s="82" t="s">
        <v>839</v>
      </c>
      <c r="AC99" s="83" t="s">
        <v>840</v>
      </c>
      <c r="AD99" s="83" t="s">
        <v>841</v>
      </c>
      <c r="AE99" s="63"/>
      <c r="AF99" s="45" t="s">
        <v>236</v>
      </c>
      <c r="AG99" s="65" t="s">
        <v>106</v>
      </c>
      <c r="AH99" s="63"/>
      <c r="AI99" s="65" t="s">
        <v>107</v>
      </c>
      <c r="AJ99" s="64" t="s">
        <v>453</v>
      </c>
      <c r="AK99" s="58" t="s">
        <v>81</v>
      </c>
      <c r="AL99" s="64" t="s">
        <v>109</v>
      </c>
      <c r="AM99" s="43">
        <v>3.13351965E9</v>
      </c>
      <c r="AN99" s="64">
        <v>0.0</v>
      </c>
      <c r="AO99" s="52"/>
      <c r="AP99" s="84" t="s">
        <v>842</v>
      </c>
      <c r="AQ99" s="84"/>
      <c r="AR99" s="84"/>
      <c r="AS99" s="94">
        <v>1200000.0</v>
      </c>
      <c r="AT99" s="50">
        <v>0.0</v>
      </c>
      <c r="AU99" s="43">
        <v>0.0</v>
      </c>
      <c r="AV99" s="43">
        <v>0.0</v>
      </c>
      <c r="AW99" s="43" t="s">
        <v>88</v>
      </c>
      <c r="AX99" s="43">
        <v>0.0</v>
      </c>
      <c r="AY99" s="43" t="s">
        <v>106</v>
      </c>
      <c r="AZ99" s="43">
        <v>0.0</v>
      </c>
      <c r="BA99" s="43" t="s">
        <v>89</v>
      </c>
      <c r="BB99" s="43">
        <v>0.0</v>
      </c>
      <c r="BC99" s="95"/>
      <c r="BD99" s="71"/>
      <c r="BE99" s="71"/>
      <c r="BF99" s="72" t="s">
        <v>843</v>
      </c>
      <c r="BG99" s="73"/>
      <c r="BH99" s="73"/>
      <c r="BI99" s="73"/>
      <c r="BJ99" s="73"/>
      <c r="BK99" s="73"/>
      <c r="BL99" s="73"/>
      <c r="BM99" s="73"/>
      <c r="BN99" s="73"/>
      <c r="BO99" s="73"/>
      <c r="BP99" s="73"/>
      <c r="BQ99" s="73"/>
      <c r="BR99" s="73"/>
      <c r="BS99" s="73"/>
      <c r="BT99" s="73"/>
      <c r="BU99" s="73"/>
      <c r="BV99" s="73"/>
      <c r="BW99" s="74"/>
      <c r="BX99" s="74"/>
      <c r="BY99" s="63"/>
      <c r="BZ99" s="63"/>
    </row>
    <row r="100" ht="15.75" customHeight="1">
      <c r="A100" s="75" t="s">
        <v>844</v>
      </c>
      <c r="B100" s="50" t="s">
        <v>845</v>
      </c>
      <c r="C100" s="50" t="s">
        <v>70</v>
      </c>
      <c r="D100" s="50" t="s">
        <v>846</v>
      </c>
      <c r="E100" s="64"/>
      <c r="F100" s="78">
        <v>3.0E8</v>
      </c>
      <c r="G100" s="44" t="str">
        <f t="shared" si="1"/>
        <v>$300'000.000 a $400'000.000</v>
      </c>
      <c r="H100" s="44"/>
      <c r="I100" s="44"/>
      <c r="J100" s="50" t="s">
        <v>183</v>
      </c>
      <c r="K100" s="51" t="s">
        <v>241</v>
      </c>
      <c r="L100" s="50">
        <v>4.0</v>
      </c>
      <c r="M100" s="50"/>
      <c r="N100" s="50">
        <v>3.0</v>
      </c>
      <c r="O100" s="50">
        <v>1.0</v>
      </c>
      <c r="P100" s="50">
        <v>2.0</v>
      </c>
      <c r="Q100" s="88">
        <v>128.0</v>
      </c>
      <c r="R100" s="88">
        <v>84.0</v>
      </c>
      <c r="S100" s="56" t="str">
        <f t="shared" si="4"/>
        <v> </v>
      </c>
      <c r="T100" s="50" t="s">
        <v>78</v>
      </c>
      <c r="U100" s="51" t="s">
        <v>77</v>
      </c>
      <c r="V100" s="50" t="s">
        <v>79</v>
      </c>
      <c r="W100" s="50"/>
      <c r="X100" s="50">
        <v>3.0</v>
      </c>
      <c r="Y100" s="50" t="s">
        <v>80</v>
      </c>
      <c r="Z100" s="91"/>
      <c r="AA100" s="59" t="str">
        <f>IF(Rentabilidad=0,"No aplica",TEXT(ROUND(Precio/Rentabilidad/12,0),0) &amp; " años")</f>
        <v>No aplica</v>
      </c>
      <c r="AB100" s="82" t="s">
        <v>847</v>
      </c>
      <c r="AC100" s="106" t="s">
        <v>848</v>
      </c>
      <c r="AD100" s="107" t="s">
        <v>849</v>
      </c>
      <c r="AE100" s="63"/>
      <c r="AF100" s="64" t="s">
        <v>105</v>
      </c>
      <c r="AG100" s="65" t="s">
        <v>106</v>
      </c>
      <c r="AH100" s="63"/>
      <c r="AI100" s="65" t="s">
        <v>107</v>
      </c>
      <c r="AJ100" s="64" t="s">
        <v>453</v>
      </c>
      <c r="AK100" s="58" t="s">
        <v>81</v>
      </c>
      <c r="AL100" s="64" t="s">
        <v>109</v>
      </c>
      <c r="AM100" s="43">
        <v>3.13351965E9</v>
      </c>
      <c r="AN100" s="64">
        <v>0.0</v>
      </c>
      <c r="AO100" s="43" t="s">
        <v>245</v>
      </c>
      <c r="AP100" s="108" t="s">
        <v>850</v>
      </c>
      <c r="AQ100" s="108"/>
      <c r="AR100" s="108"/>
      <c r="AS100" s="94">
        <v>0.0</v>
      </c>
      <c r="AT100" s="65">
        <v>0.0</v>
      </c>
      <c r="AU100" s="50">
        <v>0.0</v>
      </c>
      <c r="AV100" s="50">
        <v>0.0</v>
      </c>
      <c r="AW100" s="50" t="s">
        <v>106</v>
      </c>
      <c r="AX100" s="50">
        <v>0.0</v>
      </c>
      <c r="AY100" s="50" t="s">
        <v>137</v>
      </c>
      <c r="AZ100" s="50">
        <v>0.0</v>
      </c>
      <c r="BA100" s="43" t="s">
        <v>89</v>
      </c>
      <c r="BB100" s="50">
        <v>0.0</v>
      </c>
      <c r="BC100" s="69" t="s">
        <v>851</v>
      </c>
      <c r="BD100" s="70"/>
      <c r="BE100" s="71"/>
      <c r="BF100" s="72" t="s">
        <v>852</v>
      </c>
      <c r="BG100" s="73"/>
      <c r="BH100" s="73"/>
      <c r="BI100" s="73"/>
      <c r="BJ100" s="73"/>
      <c r="BK100" s="73"/>
      <c r="BL100" s="73"/>
      <c r="BM100" s="73"/>
      <c r="BN100" s="73"/>
      <c r="BO100" s="73"/>
      <c r="BP100" s="73"/>
      <c r="BQ100" s="73"/>
      <c r="BR100" s="73"/>
      <c r="BS100" s="73"/>
      <c r="BT100" s="73"/>
      <c r="BU100" s="73"/>
      <c r="BV100" s="73"/>
      <c r="BW100" s="74"/>
      <c r="BX100" s="74"/>
      <c r="BY100" s="63"/>
      <c r="BZ100" s="63"/>
    </row>
    <row r="101" ht="15.75" customHeight="1">
      <c r="A101" s="133" t="s">
        <v>853</v>
      </c>
      <c r="B101" s="43" t="s">
        <v>854</v>
      </c>
      <c r="C101" s="43" t="s">
        <v>70</v>
      </c>
      <c r="D101" s="43" t="s">
        <v>855</v>
      </c>
      <c r="E101" s="45"/>
      <c r="F101" s="78">
        <v>3.0E8</v>
      </c>
      <c r="G101" s="44" t="str">
        <f t="shared" si="1"/>
        <v>$300'000.000 a $400'000.000</v>
      </c>
      <c r="H101" s="44"/>
      <c r="I101" s="44"/>
      <c r="J101" s="43" t="s">
        <v>183</v>
      </c>
      <c r="K101" s="56" t="s">
        <v>241</v>
      </c>
      <c r="L101" s="43">
        <v>5.0</v>
      </c>
      <c r="M101" s="43"/>
      <c r="N101" s="43">
        <v>5.0</v>
      </c>
      <c r="O101" s="43">
        <v>1.0</v>
      </c>
      <c r="P101" s="43">
        <v>3.0</v>
      </c>
      <c r="Q101" s="89">
        <v>0.0</v>
      </c>
      <c r="R101" s="88">
        <v>78.0</v>
      </c>
      <c r="S101" s="56" t="str">
        <f t="shared" si="4"/>
        <v> </v>
      </c>
      <c r="T101" s="43" t="s">
        <v>78</v>
      </c>
      <c r="U101" s="56" t="s">
        <v>184</v>
      </c>
      <c r="V101" s="43" t="s">
        <v>118</v>
      </c>
      <c r="W101" s="43"/>
      <c r="X101" s="43">
        <v>1.0</v>
      </c>
      <c r="Y101" s="43" t="s">
        <v>80</v>
      </c>
      <c r="Z101" s="58" t="s">
        <v>81</v>
      </c>
      <c r="AA101" s="59" t="str">
        <f>IF(Rentabilidad=0,"No aplica",TEXT(ROUND(Precio/Rentabilidad/12,0),0) &amp; " años")</f>
        <v>No aplica</v>
      </c>
      <c r="AB101" s="140" t="s">
        <v>856</v>
      </c>
      <c r="AC101" s="132" t="s">
        <v>857</v>
      </c>
      <c r="AD101" s="62"/>
      <c r="AE101" s="63"/>
      <c r="AF101" s="64" t="s">
        <v>84</v>
      </c>
      <c r="AG101" s="65" t="s">
        <v>106</v>
      </c>
      <c r="AH101" s="63"/>
      <c r="AI101" s="65" t="s">
        <v>107</v>
      </c>
      <c r="AJ101" s="64" t="s">
        <v>453</v>
      </c>
      <c r="AK101" s="50" t="s">
        <v>81</v>
      </c>
      <c r="AL101" s="45" t="s">
        <v>109</v>
      </c>
      <c r="AM101" s="52">
        <v>3.13351965E9</v>
      </c>
      <c r="AN101" s="45"/>
      <c r="AO101" s="52"/>
      <c r="AP101" s="146" t="s">
        <v>858</v>
      </c>
      <c r="AQ101" s="146"/>
      <c r="AR101" s="146"/>
      <c r="AS101" s="135"/>
      <c r="AT101" s="43">
        <v>0.0</v>
      </c>
      <c r="AU101" s="43">
        <v>0.0</v>
      </c>
      <c r="AV101" s="43">
        <v>0.0</v>
      </c>
      <c r="AW101" s="43" t="s">
        <v>106</v>
      </c>
      <c r="AX101" s="52"/>
      <c r="AY101" s="43" t="s">
        <v>137</v>
      </c>
      <c r="AZ101" s="52"/>
      <c r="BA101" s="43" t="s">
        <v>89</v>
      </c>
      <c r="BB101" s="52"/>
      <c r="BC101" s="95" t="s">
        <v>859</v>
      </c>
      <c r="BD101" s="71"/>
      <c r="BE101" s="71"/>
      <c r="BF101" s="72" t="s">
        <v>860</v>
      </c>
      <c r="BG101" s="73"/>
      <c r="BH101" s="73"/>
      <c r="BI101" s="73"/>
      <c r="BJ101" s="73"/>
      <c r="BK101" s="73"/>
      <c r="BL101" s="73"/>
      <c r="BM101" s="73"/>
      <c r="BN101" s="73"/>
      <c r="BO101" s="73"/>
      <c r="BP101" s="73"/>
      <c r="BQ101" s="73"/>
      <c r="BR101" s="73"/>
      <c r="BS101" s="73"/>
      <c r="BT101" s="73"/>
      <c r="BU101" s="73"/>
      <c r="BV101" s="73"/>
      <c r="BW101" s="74"/>
      <c r="BX101" s="74"/>
      <c r="BY101" s="63"/>
      <c r="BZ101" s="63"/>
    </row>
    <row r="102" ht="15.75" customHeight="1">
      <c r="A102" s="75" t="s">
        <v>861</v>
      </c>
      <c r="B102" s="50" t="s">
        <v>862</v>
      </c>
      <c r="C102" s="50" t="s">
        <v>271</v>
      </c>
      <c r="D102" s="50" t="s">
        <v>863</v>
      </c>
      <c r="E102" s="45"/>
      <c r="F102" s="78">
        <v>3.0E8</v>
      </c>
      <c r="G102" s="44" t="str">
        <f t="shared" si="1"/>
        <v>$300'000.000 a $400'000.000</v>
      </c>
      <c r="H102" s="44"/>
      <c r="I102" s="44"/>
      <c r="J102" s="50" t="s">
        <v>116</v>
      </c>
      <c r="K102" s="51" t="s">
        <v>192</v>
      </c>
      <c r="L102" s="50">
        <v>7.0</v>
      </c>
      <c r="M102" s="50"/>
      <c r="N102" s="50">
        <v>3.0</v>
      </c>
      <c r="O102" s="50">
        <v>1.0</v>
      </c>
      <c r="P102" s="50">
        <v>1.0</v>
      </c>
      <c r="Q102" s="79">
        <v>244.0</v>
      </c>
      <c r="R102" s="79">
        <v>244.0</v>
      </c>
      <c r="S102" s="56" t="str">
        <f t="shared" si="4"/>
        <v> </v>
      </c>
      <c r="T102" s="43" t="s">
        <v>78</v>
      </c>
      <c r="U102" s="56" t="s">
        <v>77</v>
      </c>
      <c r="V102" s="50" t="s">
        <v>79</v>
      </c>
      <c r="W102" s="50"/>
      <c r="X102" s="50">
        <v>4.0</v>
      </c>
      <c r="Y102" s="50" t="s">
        <v>80</v>
      </c>
      <c r="Z102" s="80" t="s">
        <v>81</v>
      </c>
      <c r="AA102" s="59" t="str">
        <f>IF(Rentabilidad=0,"No aplica",TEXT(ROUND(Precio/Rentabilidad/12,0),0) &amp; " años")</f>
        <v>No aplica</v>
      </c>
      <c r="AB102" s="172" t="s">
        <v>864</v>
      </c>
      <c r="AC102" s="131" t="s">
        <v>865</v>
      </c>
      <c r="AD102" s="62"/>
      <c r="AE102" s="63"/>
      <c r="AF102" s="64" t="s">
        <v>105</v>
      </c>
      <c r="AG102" s="65" t="s">
        <v>106</v>
      </c>
      <c r="AH102" s="65"/>
      <c r="AI102" s="65" t="s">
        <v>107</v>
      </c>
      <c r="AJ102" s="64" t="s">
        <v>453</v>
      </c>
      <c r="AK102" s="50" t="s">
        <v>81</v>
      </c>
      <c r="AL102" s="45" t="s">
        <v>109</v>
      </c>
      <c r="AM102" s="52">
        <v>3.13351965E9</v>
      </c>
      <c r="AN102" s="45"/>
      <c r="AO102" s="52"/>
      <c r="AP102" s="173" t="s">
        <v>866</v>
      </c>
      <c r="AQ102" s="173"/>
      <c r="AR102" s="173"/>
      <c r="AS102" s="68"/>
      <c r="AT102" s="44"/>
      <c r="AU102" s="44"/>
      <c r="AV102" s="44"/>
      <c r="AW102" s="50" t="s">
        <v>106</v>
      </c>
      <c r="AX102" s="44"/>
      <c r="AY102" s="50" t="s">
        <v>247</v>
      </c>
      <c r="AZ102" s="44"/>
      <c r="BA102" s="43" t="s">
        <v>89</v>
      </c>
      <c r="BB102" s="44"/>
      <c r="BC102" s="69" t="s">
        <v>867</v>
      </c>
      <c r="BD102" s="70"/>
      <c r="BE102" s="71"/>
      <c r="BF102" s="72" t="s">
        <v>868</v>
      </c>
      <c r="BG102" s="73"/>
      <c r="BH102" s="73"/>
      <c r="BI102" s="73"/>
      <c r="BJ102" s="73"/>
      <c r="BK102" s="73"/>
      <c r="BL102" s="73"/>
      <c r="BM102" s="73"/>
      <c r="BN102" s="73"/>
      <c r="BO102" s="73"/>
      <c r="BP102" s="73"/>
      <c r="BQ102" s="73"/>
      <c r="BR102" s="73"/>
      <c r="BS102" s="73"/>
      <c r="BT102" s="73"/>
      <c r="BU102" s="73"/>
      <c r="BV102" s="73"/>
      <c r="BW102" s="74"/>
      <c r="BX102" s="74"/>
      <c r="BY102" s="63"/>
      <c r="BZ102" s="63"/>
    </row>
    <row r="103" ht="15.75" customHeight="1">
      <c r="A103" s="133" t="s">
        <v>869</v>
      </c>
      <c r="B103" s="43" t="s">
        <v>870</v>
      </c>
      <c r="C103" s="43" t="s">
        <v>70</v>
      </c>
      <c r="D103" s="50" t="s">
        <v>477</v>
      </c>
      <c r="E103" s="77"/>
      <c r="F103" s="78">
        <v>3.0E8</v>
      </c>
      <c r="G103" s="44" t="str">
        <f t="shared" si="1"/>
        <v>$300'000.000 a $400'000.000</v>
      </c>
      <c r="H103" s="44"/>
      <c r="I103" s="44"/>
      <c r="J103" s="50" t="s">
        <v>76</v>
      </c>
      <c r="K103" s="51" t="s">
        <v>142</v>
      </c>
      <c r="L103" s="43">
        <v>3.0</v>
      </c>
      <c r="M103" s="43"/>
      <c r="N103" s="43">
        <v>3.0</v>
      </c>
      <c r="O103" s="43">
        <v>1.0</v>
      </c>
      <c r="P103" s="43">
        <v>2.0</v>
      </c>
      <c r="Q103" s="55">
        <v>120.0</v>
      </c>
      <c r="R103" s="55"/>
      <c r="S103" s="56" t="str">
        <f t="shared" si="4"/>
        <v> </v>
      </c>
      <c r="T103" s="43" t="s">
        <v>78</v>
      </c>
      <c r="U103" s="56" t="s">
        <v>77</v>
      </c>
      <c r="V103" s="43" t="s">
        <v>79</v>
      </c>
      <c r="W103" s="43"/>
      <c r="X103" s="43">
        <v>3.0</v>
      </c>
      <c r="Y103" s="94" t="s">
        <v>80</v>
      </c>
      <c r="Z103" s="80" t="s">
        <v>81</v>
      </c>
      <c r="AA103" s="81" t="s">
        <v>81</v>
      </c>
      <c r="AB103" s="140" t="s">
        <v>871</v>
      </c>
      <c r="AC103" s="131" t="s">
        <v>872</v>
      </c>
      <c r="AD103" s="107" t="s">
        <v>873</v>
      </c>
      <c r="AE103" s="63"/>
      <c r="AF103" s="64" t="s">
        <v>236</v>
      </c>
      <c r="AG103" s="65" t="s">
        <v>106</v>
      </c>
      <c r="AH103" s="65"/>
      <c r="AI103" s="65" t="s">
        <v>107</v>
      </c>
      <c r="AJ103" s="64" t="s">
        <v>453</v>
      </c>
      <c r="AK103" s="50" t="s">
        <v>81</v>
      </c>
      <c r="AL103" s="64" t="s">
        <v>109</v>
      </c>
      <c r="AM103" s="43">
        <v>3.13351965E9</v>
      </c>
      <c r="AN103" s="45"/>
      <c r="AO103" s="52"/>
      <c r="AP103" s="84" t="s">
        <v>874</v>
      </c>
      <c r="AQ103" s="84"/>
      <c r="AR103" s="84"/>
      <c r="AS103" s="135"/>
      <c r="AT103" s="44"/>
      <c r="AU103" s="52"/>
      <c r="AV103" s="43">
        <v>1.0</v>
      </c>
      <c r="AW103" s="43" t="s">
        <v>106</v>
      </c>
      <c r="AX103" s="52"/>
      <c r="AY103" s="43" t="s">
        <v>137</v>
      </c>
      <c r="AZ103" s="52"/>
      <c r="BA103" s="43" t="s">
        <v>89</v>
      </c>
      <c r="BB103" s="52"/>
      <c r="BC103" s="127" t="s">
        <v>875</v>
      </c>
      <c r="BD103" s="128"/>
      <c r="BE103" s="129"/>
      <c r="BF103" s="72" t="s">
        <v>876</v>
      </c>
      <c r="BG103" s="73"/>
      <c r="BH103" s="73"/>
      <c r="BI103" s="73"/>
      <c r="BJ103" s="73"/>
      <c r="BK103" s="73"/>
      <c r="BL103" s="73"/>
      <c r="BM103" s="73"/>
      <c r="BN103" s="73"/>
      <c r="BO103" s="73"/>
      <c r="BP103" s="73"/>
      <c r="BQ103" s="73"/>
      <c r="BR103" s="73"/>
      <c r="BS103" s="73"/>
      <c r="BT103" s="73"/>
      <c r="BU103" s="73"/>
      <c r="BV103" s="73"/>
      <c r="BW103" s="74"/>
      <c r="BX103" s="74"/>
      <c r="BY103" s="63"/>
      <c r="BZ103" s="63"/>
    </row>
    <row r="104" ht="15.75" customHeight="1">
      <c r="A104" s="75" t="s">
        <v>877</v>
      </c>
      <c r="B104" s="50" t="s">
        <v>878</v>
      </c>
      <c r="C104" s="111" t="s">
        <v>323</v>
      </c>
      <c r="D104" s="50" t="s">
        <v>879</v>
      </c>
      <c r="E104" s="77" t="s">
        <v>880</v>
      </c>
      <c r="F104" s="78">
        <v>3.0E8</v>
      </c>
      <c r="G104" s="44" t="str">
        <f t="shared" si="1"/>
        <v>$300'000.000 a $400'000.000</v>
      </c>
      <c r="H104" s="44"/>
      <c r="I104" s="44"/>
      <c r="J104" s="50" t="s">
        <v>183</v>
      </c>
      <c r="K104" s="51" t="s">
        <v>184</v>
      </c>
      <c r="L104" s="50">
        <v>5.0</v>
      </c>
      <c r="M104" s="50"/>
      <c r="N104" s="50">
        <v>3.0</v>
      </c>
      <c r="O104" s="50">
        <v>1.0</v>
      </c>
      <c r="P104" s="43">
        <v>5.0</v>
      </c>
      <c r="Q104" s="88">
        <v>146.0</v>
      </c>
      <c r="R104" s="88">
        <v>146.0</v>
      </c>
      <c r="S104" s="56" t="str">
        <f t="shared" si="4"/>
        <v> </v>
      </c>
      <c r="T104" s="50" t="s">
        <v>78</v>
      </c>
      <c r="U104" s="51" t="s">
        <v>77</v>
      </c>
      <c r="V104" s="50" t="s">
        <v>333</v>
      </c>
      <c r="W104" s="50"/>
      <c r="X104" s="50">
        <v>2.0</v>
      </c>
      <c r="Y104" s="43" t="s">
        <v>130</v>
      </c>
      <c r="Z104" s="58">
        <v>230000.0</v>
      </c>
      <c r="AA104" s="59"/>
      <c r="AB104" s="115" t="s">
        <v>881</v>
      </c>
      <c r="AC104" s="124" t="s">
        <v>882</v>
      </c>
      <c r="AD104" s="125"/>
      <c r="AE104" s="63"/>
      <c r="AF104" s="64" t="s">
        <v>105</v>
      </c>
      <c r="AG104" s="65" t="s">
        <v>106</v>
      </c>
      <c r="AH104" s="63"/>
      <c r="AI104" s="65" t="s">
        <v>107</v>
      </c>
      <c r="AJ104" s="64" t="s">
        <v>453</v>
      </c>
      <c r="AK104" s="50" t="s">
        <v>81</v>
      </c>
      <c r="AL104" s="45" t="s">
        <v>109</v>
      </c>
      <c r="AM104" s="52">
        <v>3.13351965E9</v>
      </c>
      <c r="AN104" s="45"/>
      <c r="AO104" s="52"/>
      <c r="AP104" s="126" t="s">
        <v>883</v>
      </c>
      <c r="AQ104" s="126">
        <v>2.95238537405172</v>
      </c>
      <c r="AR104" s="126">
        <v>-75.290492803745</v>
      </c>
      <c r="AS104" s="94"/>
      <c r="AT104" s="50">
        <v>0.0</v>
      </c>
      <c r="AU104" s="43"/>
      <c r="AV104" s="43">
        <v>2.0</v>
      </c>
      <c r="AW104" s="43" t="s">
        <v>88</v>
      </c>
      <c r="AX104" s="43"/>
      <c r="AY104" s="43">
        <v>0.0</v>
      </c>
      <c r="AZ104" s="50"/>
      <c r="BA104" s="43" t="s">
        <v>89</v>
      </c>
      <c r="BB104" s="50"/>
      <c r="BC104" s="95"/>
      <c r="BD104" s="71"/>
      <c r="BE104" s="71"/>
      <c r="BF104" s="72" t="s">
        <v>884</v>
      </c>
      <c r="BG104" s="73"/>
      <c r="BH104" s="73"/>
      <c r="BI104" s="73"/>
      <c r="BJ104" s="73"/>
      <c r="BK104" s="73"/>
      <c r="BL104" s="73"/>
      <c r="BM104" s="73"/>
      <c r="BN104" s="73"/>
      <c r="BO104" s="73"/>
      <c r="BP104" s="73"/>
      <c r="BQ104" s="73"/>
      <c r="BR104" s="73"/>
      <c r="BS104" s="73"/>
      <c r="BT104" s="73"/>
      <c r="BU104" s="73"/>
      <c r="BV104" s="73"/>
      <c r="BW104" s="74"/>
      <c r="BX104" s="74"/>
      <c r="BY104" s="63"/>
      <c r="BZ104" s="63"/>
    </row>
    <row r="105" ht="15.75" customHeight="1">
      <c r="A105" s="133" t="s">
        <v>885</v>
      </c>
      <c r="B105" s="43" t="s">
        <v>886</v>
      </c>
      <c r="C105" s="43" t="s">
        <v>70</v>
      </c>
      <c r="D105" s="43" t="s">
        <v>887</v>
      </c>
      <c r="E105" s="45"/>
      <c r="F105" s="78">
        <v>3.0E8</v>
      </c>
      <c r="G105" s="44" t="str">
        <f t="shared" si="1"/>
        <v>$300'000.000 a $400'000.000</v>
      </c>
      <c r="H105" s="44"/>
      <c r="I105" s="44"/>
      <c r="J105" s="43" t="s">
        <v>183</v>
      </c>
      <c r="K105" s="56" t="s">
        <v>888</v>
      </c>
      <c r="L105" s="43">
        <v>6.0</v>
      </c>
      <c r="M105" s="43"/>
      <c r="N105" s="43">
        <v>2.0</v>
      </c>
      <c r="O105" s="43">
        <v>1.0</v>
      </c>
      <c r="P105" s="43">
        <v>2.0</v>
      </c>
      <c r="Q105" s="88">
        <v>112.0</v>
      </c>
      <c r="R105" s="88">
        <v>0.0</v>
      </c>
      <c r="S105" s="56" t="str">
        <f t="shared" si="4"/>
        <v> </v>
      </c>
      <c r="T105" s="43" t="s">
        <v>78</v>
      </c>
      <c r="U105" s="56" t="s">
        <v>184</v>
      </c>
      <c r="V105" s="43" t="s">
        <v>79</v>
      </c>
      <c r="W105" s="43"/>
      <c r="X105" s="43">
        <v>2.0</v>
      </c>
      <c r="Y105" s="43" t="s">
        <v>80</v>
      </c>
      <c r="Z105" s="58" t="s">
        <v>81</v>
      </c>
      <c r="AA105" s="59" t="str">
        <f>IF(Rentabilidad=0,"No aplica",TEXT(ROUND(Precio/Rentabilidad/12,0),0) &amp; " años")</f>
        <v>No aplica</v>
      </c>
      <c r="AB105" s="140" t="s">
        <v>889</v>
      </c>
      <c r="AC105" s="167" t="s">
        <v>890</v>
      </c>
      <c r="AD105" s="107" t="s">
        <v>583</v>
      </c>
      <c r="AE105" s="63"/>
      <c r="AF105" s="64" t="s">
        <v>84</v>
      </c>
      <c r="AG105" s="65" t="s">
        <v>106</v>
      </c>
      <c r="AH105" s="63"/>
      <c r="AI105" s="65" t="s">
        <v>107</v>
      </c>
      <c r="AJ105" s="64" t="s">
        <v>453</v>
      </c>
      <c r="AK105" s="50" t="s">
        <v>81</v>
      </c>
      <c r="AL105" s="45" t="s">
        <v>109</v>
      </c>
      <c r="AM105" s="52">
        <v>3.13351965E9</v>
      </c>
      <c r="AN105" s="64">
        <v>0.0</v>
      </c>
      <c r="AO105" s="43">
        <v>0.0</v>
      </c>
      <c r="AP105" s="146" t="s">
        <v>891</v>
      </c>
      <c r="AQ105" s="146"/>
      <c r="AR105" s="146"/>
      <c r="AS105" s="135"/>
      <c r="AT105" s="43">
        <v>0.0</v>
      </c>
      <c r="AU105" s="43">
        <v>0.0</v>
      </c>
      <c r="AV105" s="43">
        <v>0.0</v>
      </c>
      <c r="AW105" s="43" t="s">
        <v>106</v>
      </c>
      <c r="AX105" s="52"/>
      <c r="AY105" s="43">
        <v>0.0</v>
      </c>
      <c r="AZ105" s="43">
        <v>0.0</v>
      </c>
      <c r="BA105" s="43" t="s">
        <v>89</v>
      </c>
      <c r="BB105" s="43">
        <v>0.0</v>
      </c>
      <c r="BC105" s="69" t="s">
        <v>892</v>
      </c>
      <c r="BD105" s="70"/>
      <c r="BE105" s="70"/>
      <c r="BF105" s="72" t="s">
        <v>893</v>
      </c>
      <c r="BG105" s="73"/>
      <c r="BH105" s="73"/>
      <c r="BI105" s="73"/>
      <c r="BJ105" s="73"/>
      <c r="BK105" s="73"/>
      <c r="BL105" s="73"/>
      <c r="BM105" s="73"/>
      <c r="BN105" s="73"/>
      <c r="BO105" s="73"/>
      <c r="BP105" s="73"/>
      <c r="BQ105" s="73"/>
      <c r="BR105" s="73"/>
      <c r="BS105" s="73"/>
      <c r="BT105" s="73"/>
      <c r="BU105" s="73"/>
      <c r="BV105" s="73"/>
      <c r="BW105" s="74"/>
      <c r="BX105" s="74"/>
      <c r="BY105" s="63"/>
      <c r="BZ105" s="63"/>
    </row>
    <row r="106" ht="15.75" customHeight="1">
      <c r="A106" s="133" t="s">
        <v>894</v>
      </c>
      <c r="B106" s="43" t="s">
        <v>895</v>
      </c>
      <c r="C106" s="43" t="s">
        <v>70</v>
      </c>
      <c r="D106" s="43" t="s">
        <v>896</v>
      </c>
      <c r="E106" s="64"/>
      <c r="F106" s="78">
        <v>3.0E8</v>
      </c>
      <c r="G106" s="44" t="str">
        <f t="shared" si="1"/>
        <v>$300'000.000 a $400'000.000</v>
      </c>
      <c r="H106" s="44"/>
      <c r="I106" s="44"/>
      <c r="J106" s="43" t="s">
        <v>76</v>
      </c>
      <c r="K106" s="56" t="s">
        <v>142</v>
      </c>
      <c r="L106" s="43">
        <v>3.0</v>
      </c>
      <c r="M106" s="43"/>
      <c r="N106" s="43">
        <v>1.0</v>
      </c>
      <c r="O106" s="43">
        <v>0.0</v>
      </c>
      <c r="P106" s="43">
        <v>1.0</v>
      </c>
      <c r="Q106" s="88">
        <v>93.0</v>
      </c>
      <c r="R106" s="88">
        <v>93.0</v>
      </c>
      <c r="S106" s="56" t="str">
        <f t="shared" si="4"/>
        <v> </v>
      </c>
      <c r="T106" s="43" t="s">
        <v>78</v>
      </c>
      <c r="U106" s="56" t="s">
        <v>184</v>
      </c>
      <c r="V106" s="43" t="s">
        <v>79</v>
      </c>
      <c r="W106" s="43"/>
      <c r="X106" s="43">
        <v>2.0</v>
      </c>
      <c r="Y106" s="43" t="s">
        <v>80</v>
      </c>
      <c r="Z106" s="58" t="s">
        <v>81</v>
      </c>
      <c r="AA106" s="59" t="str">
        <f>IF(Rentabilidad=0,"No aplica",TEXT(ROUND(Precio/Rentabilidad/12,0),0) &amp; " años")</f>
        <v>No aplica</v>
      </c>
      <c r="AB106" s="140" t="s">
        <v>897</v>
      </c>
      <c r="AC106" s="167" t="s">
        <v>898</v>
      </c>
      <c r="AD106" s="107" t="s">
        <v>899</v>
      </c>
      <c r="AE106" s="63"/>
      <c r="AF106" s="64" t="s">
        <v>236</v>
      </c>
      <c r="AG106" s="65" t="s">
        <v>106</v>
      </c>
      <c r="AH106" s="63"/>
      <c r="AI106" s="65" t="s">
        <v>107</v>
      </c>
      <c r="AJ106" s="64" t="s">
        <v>453</v>
      </c>
      <c r="AK106" s="50" t="s">
        <v>81</v>
      </c>
      <c r="AL106" s="45" t="s">
        <v>109</v>
      </c>
      <c r="AM106" s="52">
        <v>3.13351965E9</v>
      </c>
      <c r="AN106" s="64">
        <v>0.0</v>
      </c>
      <c r="AO106" s="43">
        <v>0.0</v>
      </c>
      <c r="AP106" s="84" t="s">
        <v>900</v>
      </c>
      <c r="AQ106" s="84"/>
      <c r="AR106" s="84"/>
      <c r="AS106" s="94">
        <v>0.0</v>
      </c>
      <c r="AT106" s="43">
        <v>0.0</v>
      </c>
      <c r="AU106" s="43">
        <v>0.0</v>
      </c>
      <c r="AV106" s="43">
        <v>0.0</v>
      </c>
      <c r="AW106" s="43" t="s">
        <v>88</v>
      </c>
      <c r="AX106" s="43">
        <v>0.0</v>
      </c>
      <c r="AY106" s="43" t="s">
        <v>137</v>
      </c>
      <c r="AZ106" s="43">
        <v>0.0</v>
      </c>
      <c r="BA106" s="43" t="s">
        <v>89</v>
      </c>
      <c r="BB106" s="43">
        <v>0.0</v>
      </c>
      <c r="BC106" s="86"/>
      <c r="BD106" s="71"/>
      <c r="BE106" s="70"/>
      <c r="BF106" s="72" t="s">
        <v>901</v>
      </c>
      <c r="BG106" s="73"/>
      <c r="BH106" s="73"/>
      <c r="BI106" s="73"/>
      <c r="BJ106" s="73"/>
      <c r="BK106" s="73"/>
      <c r="BL106" s="73"/>
      <c r="BM106" s="73"/>
      <c r="BN106" s="73"/>
      <c r="BO106" s="73"/>
      <c r="BP106" s="73"/>
      <c r="BQ106" s="73"/>
      <c r="BR106" s="73"/>
      <c r="BS106" s="73"/>
      <c r="BT106" s="73"/>
      <c r="BU106" s="73"/>
      <c r="BV106" s="73"/>
      <c r="BW106" s="74"/>
      <c r="BX106" s="74"/>
      <c r="BY106" s="63"/>
      <c r="BZ106" s="63"/>
    </row>
    <row r="107" ht="15.75" customHeight="1">
      <c r="A107" s="174" t="s">
        <v>902</v>
      </c>
      <c r="B107" s="50" t="s">
        <v>903</v>
      </c>
      <c r="C107" s="50" t="s">
        <v>271</v>
      </c>
      <c r="D107" s="58" t="s">
        <v>904</v>
      </c>
      <c r="E107" s="77" t="s">
        <v>376</v>
      </c>
      <c r="F107" s="47">
        <v>3.0E8</v>
      </c>
      <c r="G107" s="44" t="str">
        <f t="shared" si="1"/>
        <v>$300'000.000 a $400'000.000</v>
      </c>
      <c r="H107" s="44"/>
      <c r="I107" s="44"/>
      <c r="J107" s="50" t="s">
        <v>183</v>
      </c>
      <c r="K107" s="57"/>
      <c r="L107" s="52">
        <v>4.0</v>
      </c>
      <c r="M107" s="52"/>
      <c r="N107" s="52">
        <v>2.0</v>
      </c>
      <c r="O107" s="43">
        <v>0.0</v>
      </c>
      <c r="P107" s="52">
        <v>2.0</v>
      </c>
      <c r="Q107" s="54">
        <v>270.0</v>
      </c>
      <c r="R107" s="55">
        <v>160.0</v>
      </c>
      <c r="S107" s="56" t="str">
        <f t="shared" si="4"/>
        <v>Rentabilidad $1,530,000</v>
      </c>
      <c r="T107" s="52" t="s">
        <v>78</v>
      </c>
      <c r="U107" s="142" t="s">
        <v>184</v>
      </c>
      <c r="V107" s="43" t="s">
        <v>79</v>
      </c>
      <c r="W107" s="43"/>
      <c r="X107" s="52">
        <v>2.0</v>
      </c>
      <c r="Y107" s="43" t="s">
        <v>80</v>
      </c>
      <c r="Z107" s="80" t="s">
        <v>81</v>
      </c>
      <c r="AA107" s="59" t="str">
        <f>IF(Rentabilidad=0,"No aplica",TEXT(ROUND(Precio/Rentabilidad/12,0),0) &amp; " años")</f>
        <v>16 años</v>
      </c>
      <c r="AB107" s="134" t="s">
        <v>905</v>
      </c>
      <c r="AC107" s="61"/>
      <c r="AD107" s="62"/>
      <c r="AE107" s="63"/>
      <c r="AF107" s="64" t="s">
        <v>84</v>
      </c>
      <c r="AG107" s="63"/>
      <c r="AH107" s="63"/>
      <c r="AI107" s="65" t="s">
        <v>107</v>
      </c>
      <c r="AJ107" s="64" t="s">
        <v>453</v>
      </c>
      <c r="AK107" s="50" t="s">
        <v>81</v>
      </c>
      <c r="AL107" s="45" t="s">
        <v>109</v>
      </c>
      <c r="AM107" s="52">
        <v>3.13351965E9</v>
      </c>
      <c r="AN107" s="45">
        <v>0.0</v>
      </c>
      <c r="AO107" s="52"/>
      <c r="AP107" s="67" t="s">
        <v>906</v>
      </c>
      <c r="AQ107" s="67"/>
      <c r="AR107" s="67"/>
      <c r="AS107" s="135">
        <v>1530000.0</v>
      </c>
      <c r="AT107" s="63">
        <v>0.0</v>
      </c>
      <c r="AU107" s="52">
        <v>0.0</v>
      </c>
      <c r="AV107" s="52">
        <v>0.0</v>
      </c>
      <c r="AW107" s="43" t="s">
        <v>88</v>
      </c>
      <c r="AX107" s="52">
        <v>0.0</v>
      </c>
      <c r="AY107" s="52">
        <v>0.0</v>
      </c>
      <c r="AZ107" s="52">
        <v>0.0</v>
      </c>
      <c r="BA107" s="43" t="s">
        <v>89</v>
      </c>
      <c r="BB107" s="52">
        <v>0.0</v>
      </c>
      <c r="BC107" s="69" t="s">
        <v>907</v>
      </c>
      <c r="BD107" s="70"/>
      <c r="BE107" s="71"/>
      <c r="BF107" s="72" t="s">
        <v>908</v>
      </c>
      <c r="BG107" s="73"/>
      <c r="BH107" s="73"/>
      <c r="BI107" s="73"/>
      <c r="BJ107" s="73"/>
      <c r="BK107" s="73"/>
      <c r="BL107" s="73"/>
      <c r="BM107" s="73"/>
      <c r="BN107" s="73"/>
      <c r="BO107" s="73"/>
      <c r="BP107" s="73"/>
      <c r="BQ107" s="73"/>
      <c r="BR107" s="73"/>
      <c r="BS107" s="73"/>
      <c r="BT107" s="73"/>
      <c r="BU107" s="73"/>
      <c r="BV107" s="73"/>
      <c r="BW107" s="74"/>
      <c r="BX107" s="74"/>
      <c r="BY107" s="63"/>
      <c r="BZ107" s="63"/>
    </row>
    <row r="108" ht="15.75" customHeight="1">
      <c r="A108" s="149" t="s">
        <v>909</v>
      </c>
      <c r="B108" s="50" t="s">
        <v>429</v>
      </c>
      <c r="C108" s="50" t="s">
        <v>70</v>
      </c>
      <c r="D108" s="44" t="s">
        <v>430</v>
      </c>
      <c r="E108" s="45"/>
      <c r="F108" s="47">
        <v>2.9E8</v>
      </c>
      <c r="G108" s="44" t="str">
        <f t="shared" si="1"/>
        <v>$200'000.000 a $300'000.000</v>
      </c>
      <c r="H108" s="44"/>
      <c r="I108" s="44"/>
      <c r="J108" s="50" t="s">
        <v>183</v>
      </c>
      <c r="K108" s="56" t="s">
        <v>184</v>
      </c>
      <c r="L108" s="44">
        <v>4.0</v>
      </c>
      <c r="M108" s="44"/>
      <c r="N108" s="44">
        <v>3.0</v>
      </c>
      <c r="O108" s="50">
        <v>1.0</v>
      </c>
      <c r="P108" s="44">
        <v>2.0</v>
      </c>
      <c r="Q108" s="54"/>
      <c r="R108" s="79">
        <v>120.0</v>
      </c>
      <c r="S108" s="56" t="str">
        <f t="shared" si="4"/>
        <v> </v>
      </c>
      <c r="T108" s="44" t="s">
        <v>78</v>
      </c>
      <c r="U108" s="114" t="s">
        <v>77</v>
      </c>
      <c r="V108" s="50" t="s">
        <v>79</v>
      </c>
      <c r="W108" s="50"/>
      <c r="X108" s="63">
        <v>3.0</v>
      </c>
      <c r="Y108" s="65" t="s">
        <v>80</v>
      </c>
      <c r="Z108" s="58" t="s">
        <v>81</v>
      </c>
      <c r="AA108" s="59" t="str">
        <f>IF(Rentabilidad=0,"No aplica",TEXT(ROUND(Precio/Rentabilidad/12,0),0) &amp; " años")</f>
        <v>No aplica</v>
      </c>
      <c r="AB108" s="175"/>
      <c r="AC108" s="176"/>
      <c r="AD108" s="177"/>
      <c r="AE108" s="63"/>
      <c r="AF108" s="45" t="s">
        <v>105</v>
      </c>
      <c r="AG108" s="63"/>
      <c r="AH108" s="65" t="s">
        <v>45</v>
      </c>
      <c r="AI108" s="65" t="s">
        <v>107</v>
      </c>
      <c r="AJ108" s="64" t="s">
        <v>453</v>
      </c>
      <c r="AK108" s="50" t="s">
        <v>81</v>
      </c>
      <c r="AL108" s="45" t="s">
        <v>109</v>
      </c>
      <c r="AM108" s="52">
        <v>3.13351965E9</v>
      </c>
      <c r="AN108" s="45"/>
      <c r="AO108" s="116"/>
      <c r="AP108" s="67" t="s">
        <v>910</v>
      </c>
      <c r="AQ108" s="67"/>
      <c r="AR108" s="67"/>
      <c r="AS108" s="118">
        <v>0.0</v>
      </c>
      <c r="AT108" s="63">
        <v>0.0</v>
      </c>
      <c r="AU108" s="52">
        <v>0.0</v>
      </c>
      <c r="AV108" s="52">
        <v>0.0</v>
      </c>
      <c r="AW108" s="43" t="s">
        <v>88</v>
      </c>
      <c r="AX108" s="52">
        <v>0.0</v>
      </c>
      <c r="AY108" s="52">
        <v>0.0</v>
      </c>
      <c r="AZ108" s="63">
        <v>0.0</v>
      </c>
      <c r="BA108" s="43" t="s">
        <v>89</v>
      </c>
      <c r="BB108" s="63">
        <v>0.0</v>
      </c>
      <c r="BC108" s="109"/>
      <c r="BD108" s="70"/>
      <c r="BE108" s="71"/>
      <c r="BF108" s="130"/>
      <c r="BG108" s="73"/>
      <c r="BH108" s="73"/>
      <c r="BI108" s="73"/>
      <c r="BJ108" s="73"/>
      <c r="BK108" s="73"/>
      <c r="BL108" s="73"/>
      <c r="BM108" s="73"/>
      <c r="BN108" s="73"/>
      <c r="BO108" s="73"/>
      <c r="BP108" s="73"/>
      <c r="BQ108" s="73"/>
      <c r="BR108" s="73"/>
      <c r="BS108" s="73"/>
      <c r="BT108" s="73"/>
      <c r="BU108" s="73"/>
      <c r="BV108" s="73"/>
      <c r="BW108" s="74"/>
      <c r="BX108" s="74"/>
      <c r="BY108" s="63"/>
      <c r="BZ108" s="63"/>
    </row>
    <row r="109" ht="15.75" customHeight="1">
      <c r="A109" s="133" t="s">
        <v>911</v>
      </c>
      <c r="B109" s="50" t="s">
        <v>912</v>
      </c>
      <c r="C109" s="43" t="s">
        <v>271</v>
      </c>
      <c r="D109" s="50" t="s">
        <v>279</v>
      </c>
      <c r="E109" s="77"/>
      <c r="F109" s="78">
        <v>2.9E8</v>
      </c>
      <c r="G109" s="44" t="str">
        <f t="shared" si="1"/>
        <v>$200'000.000 a $300'000.000</v>
      </c>
      <c r="H109" s="44"/>
      <c r="I109" s="44"/>
      <c r="J109" s="50" t="s">
        <v>116</v>
      </c>
      <c r="K109" s="51" t="s">
        <v>154</v>
      </c>
      <c r="L109" s="43">
        <v>4.0</v>
      </c>
      <c r="M109" s="43"/>
      <c r="N109" s="43">
        <v>2.0</v>
      </c>
      <c r="O109" s="43">
        <v>1.0</v>
      </c>
      <c r="P109" s="43">
        <v>2.0</v>
      </c>
      <c r="Q109" s="88">
        <v>200.0</v>
      </c>
      <c r="R109" s="88">
        <v>110.0</v>
      </c>
      <c r="S109" s="56" t="str">
        <f t="shared" si="4"/>
        <v>Rentabilidad $1,300,000</v>
      </c>
      <c r="T109" s="43" t="s">
        <v>78</v>
      </c>
      <c r="U109" s="51" t="s">
        <v>184</v>
      </c>
      <c r="V109" s="43" t="s">
        <v>79</v>
      </c>
      <c r="W109" s="43"/>
      <c r="X109" s="43">
        <v>2.0</v>
      </c>
      <c r="Y109" s="50" t="s">
        <v>80</v>
      </c>
      <c r="Z109" s="58" t="s">
        <v>81</v>
      </c>
      <c r="AA109" s="59" t="str">
        <f>IF(Rentabilidad=0,"No aplica",TEXT(ROUND(Precio/Rentabilidad/12,0),0) &amp; " años")</f>
        <v>19 años</v>
      </c>
      <c r="AB109" s="134" t="s">
        <v>913</v>
      </c>
      <c r="AC109" s="124" t="s">
        <v>914</v>
      </c>
      <c r="AD109" s="107" t="s">
        <v>899</v>
      </c>
      <c r="AE109" s="63"/>
      <c r="AF109" s="64" t="s">
        <v>236</v>
      </c>
      <c r="AG109" s="65" t="s">
        <v>106</v>
      </c>
      <c r="AH109" s="65"/>
      <c r="AI109" s="65" t="s">
        <v>107</v>
      </c>
      <c r="AJ109" s="64" t="s">
        <v>453</v>
      </c>
      <c r="AK109" s="50" t="s">
        <v>81</v>
      </c>
      <c r="AL109" s="45" t="s">
        <v>109</v>
      </c>
      <c r="AM109" s="52">
        <v>3.13351965E9</v>
      </c>
      <c r="AN109" s="45">
        <v>0.0</v>
      </c>
      <c r="AO109" s="43">
        <v>0.0</v>
      </c>
      <c r="AP109" s="84" t="s">
        <v>915</v>
      </c>
      <c r="AQ109" s="84"/>
      <c r="AR109" s="84"/>
      <c r="AS109" s="94">
        <v>1300000.0</v>
      </c>
      <c r="AT109" s="65">
        <v>0.0</v>
      </c>
      <c r="AU109" s="43">
        <v>0.0</v>
      </c>
      <c r="AV109" s="43">
        <v>0.0</v>
      </c>
      <c r="AW109" s="43" t="s">
        <v>106</v>
      </c>
      <c r="AX109" s="43">
        <v>0.0</v>
      </c>
      <c r="AY109" s="43">
        <v>0.0</v>
      </c>
      <c r="AZ109" s="43">
        <v>0.0</v>
      </c>
      <c r="BA109" s="43" t="s">
        <v>89</v>
      </c>
      <c r="BB109" s="43">
        <v>0.0</v>
      </c>
      <c r="BC109" s="95"/>
      <c r="BD109" s="71"/>
      <c r="BE109" s="71"/>
      <c r="BF109" s="72" t="s">
        <v>916</v>
      </c>
      <c r="BG109" s="73"/>
      <c r="BH109" s="73"/>
      <c r="BI109" s="73"/>
      <c r="BJ109" s="73"/>
      <c r="BK109" s="73"/>
      <c r="BL109" s="73"/>
      <c r="BM109" s="73"/>
      <c r="BN109" s="73"/>
      <c r="BO109" s="73"/>
      <c r="BP109" s="73"/>
      <c r="BQ109" s="73"/>
      <c r="BR109" s="73"/>
      <c r="BS109" s="73"/>
      <c r="BT109" s="73"/>
      <c r="BU109" s="73"/>
      <c r="BV109" s="73"/>
      <c r="BW109" s="74"/>
      <c r="BX109" s="74"/>
      <c r="BY109" s="63"/>
      <c r="BZ109" s="63"/>
    </row>
    <row r="110" ht="15.75" customHeight="1">
      <c r="A110" s="75" t="s">
        <v>917</v>
      </c>
      <c r="B110" s="50" t="s">
        <v>918</v>
      </c>
      <c r="C110" s="50" t="s">
        <v>664</v>
      </c>
      <c r="D110" s="50"/>
      <c r="E110" s="64" t="s">
        <v>919</v>
      </c>
      <c r="F110" s="78">
        <v>2.88E8</v>
      </c>
      <c r="G110" s="44" t="str">
        <f t="shared" si="1"/>
        <v>$200'000.000 a $300'000.000</v>
      </c>
      <c r="H110" s="44"/>
      <c r="I110" s="44"/>
      <c r="J110" s="50" t="s">
        <v>94</v>
      </c>
      <c r="K110" s="51"/>
      <c r="L110" s="50">
        <v>0.0</v>
      </c>
      <c r="M110" s="50"/>
      <c r="N110" s="50">
        <v>0.0</v>
      </c>
      <c r="O110" s="50">
        <v>0.0</v>
      </c>
      <c r="P110" s="50">
        <v>0.0</v>
      </c>
      <c r="Q110" s="88">
        <v>0.0</v>
      </c>
      <c r="R110" s="88">
        <v>2399.0</v>
      </c>
      <c r="S110" s="56" t="str">
        <f t="shared" si="4"/>
        <v> </v>
      </c>
      <c r="T110" s="50" t="s">
        <v>920</v>
      </c>
      <c r="U110" s="57"/>
      <c r="V110" s="44"/>
      <c r="W110" s="44"/>
      <c r="X110" s="50">
        <v>0.0</v>
      </c>
      <c r="Y110" s="44"/>
      <c r="Z110" s="91"/>
      <c r="AA110" s="59" t="str">
        <f>IF(Rentabilidad=0,"No aplica",TEXT(ROUND(Precio/Rentabilidad/12,0),0) &amp; " años")</f>
        <v>No aplica</v>
      </c>
      <c r="AB110" s="82" t="s">
        <v>921</v>
      </c>
      <c r="AC110" s="131" t="s">
        <v>922</v>
      </c>
      <c r="AD110" s="107" t="s">
        <v>923</v>
      </c>
      <c r="AE110" s="63"/>
      <c r="AF110" s="64">
        <v>0.0</v>
      </c>
      <c r="AG110" s="65" t="s">
        <v>106</v>
      </c>
      <c r="AH110" s="63"/>
      <c r="AI110" s="65" t="s">
        <v>107</v>
      </c>
      <c r="AJ110" s="64" t="s">
        <v>453</v>
      </c>
      <c r="AK110" s="58" t="s">
        <v>81</v>
      </c>
      <c r="AL110" s="64" t="s">
        <v>109</v>
      </c>
      <c r="AM110" s="43">
        <v>3.13351965E9</v>
      </c>
      <c r="AN110" s="64">
        <v>0.0</v>
      </c>
      <c r="AO110" s="43" t="s">
        <v>245</v>
      </c>
      <c r="AP110" s="84">
        <v>0.0</v>
      </c>
      <c r="AQ110" s="84"/>
      <c r="AR110" s="84"/>
      <c r="AS110" s="94">
        <v>0.0</v>
      </c>
      <c r="AT110" s="65" t="s">
        <v>88</v>
      </c>
      <c r="AU110" s="43">
        <v>0.0</v>
      </c>
      <c r="AV110" s="43">
        <v>0.0</v>
      </c>
      <c r="AW110" s="43" t="s">
        <v>88</v>
      </c>
      <c r="AX110" s="43">
        <v>0.0</v>
      </c>
      <c r="AY110" s="43">
        <v>0.0</v>
      </c>
      <c r="AZ110" s="43">
        <v>0.0</v>
      </c>
      <c r="BA110" s="43" t="s">
        <v>89</v>
      </c>
      <c r="BB110" s="50">
        <v>0.0</v>
      </c>
      <c r="BC110" s="95" t="s">
        <v>439</v>
      </c>
      <c r="BD110" s="129"/>
      <c r="BE110" s="121"/>
      <c r="BF110" s="72" t="s">
        <v>924</v>
      </c>
      <c r="BG110" s="73"/>
      <c r="BH110" s="73"/>
      <c r="BI110" s="73"/>
      <c r="BJ110" s="73"/>
      <c r="BK110" s="73"/>
      <c r="BL110" s="73"/>
      <c r="BM110" s="73"/>
      <c r="BN110" s="73"/>
      <c r="BO110" s="73"/>
      <c r="BP110" s="73"/>
      <c r="BQ110" s="73"/>
      <c r="BR110" s="73"/>
      <c r="BS110" s="73"/>
      <c r="BT110" s="73"/>
      <c r="BU110" s="73"/>
      <c r="BV110" s="73"/>
      <c r="BW110" s="74"/>
      <c r="BX110" s="74"/>
      <c r="BY110" s="63"/>
      <c r="BZ110" s="63"/>
    </row>
    <row r="111" ht="15.75" customHeight="1">
      <c r="A111" s="133" t="s">
        <v>925</v>
      </c>
      <c r="B111" s="43" t="s">
        <v>926</v>
      </c>
      <c r="C111" s="43" t="s">
        <v>70</v>
      </c>
      <c r="D111" s="43" t="s">
        <v>927</v>
      </c>
      <c r="E111" s="64"/>
      <c r="F111" s="78">
        <v>2.8E8</v>
      </c>
      <c r="G111" s="44" t="str">
        <f t="shared" si="1"/>
        <v>$200'000.000 a $300'000.000</v>
      </c>
      <c r="H111" s="44"/>
      <c r="I111" s="44"/>
      <c r="J111" s="43" t="s">
        <v>94</v>
      </c>
      <c r="K111" s="56" t="s">
        <v>117</v>
      </c>
      <c r="L111" s="43">
        <v>3.0</v>
      </c>
      <c r="M111" s="43"/>
      <c r="N111" s="43">
        <v>2.0</v>
      </c>
      <c r="O111" s="43">
        <v>1.0</v>
      </c>
      <c r="P111" s="43">
        <v>2.0</v>
      </c>
      <c r="Q111" s="88">
        <v>107.0</v>
      </c>
      <c r="R111" s="88">
        <v>85.0</v>
      </c>
      <c r="S111" s="56" t="str">
        <f t="shared" si="4"/>
        <v> </v>
      </c>
      <c r="T111" s="43" t="s">
        <v>78</v>
      </c>
      <c r="U111" s="56" t="s">
        <v>184</v>
      </c>
      <c r="V111" s="43" t="s">
        <v>79</v>
      </c>
      <c r="W111" s="43"/>
      <c r="X111" s="43">
        <v>2.0</v>
      </c>
      <c r="Y111" s="43" t="s">
        <v>80</v>
      </c>
      <c r="Z111" s="58" t="s">
        <v>81</v>
      </c>
      <c r="AA111" s="59" t="str">
        <f>IF(Rentabilidad=0,"No aplica",TEXT(ROUND(Precio/Rentabilidad/12,0),0) &amp; " años")</f>
        <v>No aplica</v>
      </c>
      <c r="AB111" s="140" t="s">
        <v>928</v>
      </c>
      <c r="AC111" s="167" t="s">
        <v>929</v>
      </c>
      <c r="AD111" s="107" t="s">
        <v>930</v>
      </c>
      <c r="AE111" s="63"/>
      <c r="AF111" s="64" t="s">
        <v>105</v>
      </c>
      <c r="AG111" s="65" t="s">
        <v>106</v>
      </c>
      <c r="AH111" s="63"/>
      <c r="AI111" s="65" t="s">
        <v>107</v>
      </c>
      <c r="AJ111" s="64" t="s">
        <v>453</v>
      </c>
      <c r="AK111" s="50" t="s">
        <v>81</v>
      </c>
      <c r="AL111" s="45" t="s">
        <v>109</v>
      </c>
      <c r="AM111" s="52">
        <v>3.13351965E9</v>
      </c>
      <c r="AN111" s="64">
        <v>0.0</v>
      </c>
      <c r="AO111" s="43">
        <v>0.0</v>
      </c>
      <c r="AP111" s="146" t="s">
        <v>931</v>
      </c>
      <c r="AQ111" s="146"/>
      <c r="AR111" s="146"/>
      <c r="AS111" s="94">
        <v>0.0</v>
      </c>
      <c r="AT111" s="43">
        <v>0.0</v>
      </c>
      <c r="AU111" s="43">
        <v>0.0</v>
      </c>
      <c r="AV111" s="43">
        <v>0.0</v>
      </c>
      <c r="AW111" s="43" t="s">
        <v>106</v>
      </c>
      <c r="AX111" s="43">
        <v>0.0</v>
      </c>
      <c r="AY111" s="43" t="s">
        <v>137</v>
      </c>
      <c r="AZ111" s="43">
        <v>0.0</v>
      </c>
      <c r="BA111" s="43" t="s">
        <v>89</v>
      </c>
      <c r="BB111" s="43">
        <v>0.0</v>
      </c>
      <c r="BC111" s="69" t="s">
        <v>455</v>
      </c>
      <c r="BD111" s="70"/>
      <c r="BE111" s="71"/>
      <c r="BF111" s="72" t="s">
        <v>932</v>
      </c>
      <c r="BG111" s="73"/>
      <c r="BH111" s="73"/>
      <c r="BI111" s="73"/>
      <c r="BJ111" s="73"/>
      <c r="BK111" s="73"/>
      <c r="BL111" s="73"/>
      <c r="BM111" s="73"/>
      <c r="BN111" s="73"/>
      <c r="BO111" s="73"/>
      <c r="BP111" s="73"/>
      <c r="BQ111" s="73"/>
      <c r="BR111" s="73"/>
      <c r="BS111" s="73"/>
      <c r="BT111" s="73"/>
      <c r="BU111" s="73"/>
      <c r="BV111" s="73"/>
      <c r="BW111" s="74"/>
      <c r="BX111" s="74"/>
      <c r="BY111" s="63"/>
      <c r="BZ111" s="63"/>
    </row>
    <row r="112" ht="15.75" customHeight="1">
      <c r="A112" s="178" t="s">
        <v>933</v>
      </c>
      <c r="B112" s="50" t="s">
        <v>934</v>
      </c>
      <c r="C112" s="50" t="s">
        <v>70</v>
      </c>
      <c r="D112" s="50" t="s">
        <v>935</v>
      </c>
      <c r="E112" s="45"/>
      <c r="F112" s="78">
        <v>2.8E8</v>
      </c>
      <c r="G112" s="44" t="str">
        <f t="shared" si="1"/>
        <v>$200'000.000 a $300'000.000</v>
      </c>
      <c r="H112" s="44"/>
      <c r="I112" s="44"/>
      <c r="J112" s="50" t="s">
        <v>116</v>
      </c>
      <c r="K112" s="51" t="s">
        <v>154</v>
      </c>
      <c r="L112" s="50">
        <v>4.0</v>
      </c>
      <c r="M112" s="50"/>
      <c r="N112" s="50">
        <v>3.0</v>
      </c>
      <c r="O112" s="50">
        <v>1.0</v>
      </c>
      <c r="P112" s="50">
        <v>2.0</v>
      </c>
      <c r="Q112" s="55">
        <v>107.0</v>
      </c>
      <c r="R112" s="55">
        <v>107.0</v>
      </c>
      <c r="S112" s="56" t="str">
        <f t="shared" si="4"/>
        <v> </v>
      </c>
      <c r="T112" s="43" t="s">
        <v>78</v>
      </c>
      <c r="U112" s="51" t="s">
        <v>77</v>
      </c>
      <c r="V112" s="50" t="s">
        <v>79</v>
      </c>
      <c r="W112" s="50"/>
      <c r="X112" s="50">
        <v>3.0</v>
      </c>
      <c r="Y112" s="50" t="s">
        <v>80</v>
      </c>
      <c r="Z112" s="58" t="s">
        <v>81</v>
      </c>
      <c r="AA112" s="81" t="s">
        <v>81</v>
      </c>
      <c r="AB112" s="140" t="s">
        <v>936</v>
      </c>
      <c r="AC112" s="131" t="s">
        <v>937</v>
      </c>
      <c r="AD112" s="107"/>
      <c r="AE112" s="63"/>
      <c r="AF112" s="64" t="s">
        <v>105</v>
      </c>
      <c r="AG112" s="65" t="s">
        <v>106</v>
      </c>
      <c r="AH112" s="63"/>
      <c r="AI112" s="65" t="s">
        <v>107</v>
      </c>
      <c r="AJ112" s="64" t="s">
        <v>453</v>
      </c>
      <c r="AK112" s="50" t="s">
        <v>81</v>
      </c>
      <c r="AL112" s="45" t="s">
        <v>109</v>
      </c>
      <c r="AM112" s="52">
        <v>3.13351965E9</v>
      </c>
      <c r="AN112" s="45"/>
      <c r="AO112" s="52"/>
      <c r="AP112" s="84" t="s">
        <v>938</v>
      </c>
      <c r="AQ112" s="84"/>
      <c r="AR112" s="84"/>
      <c r="AS112" s="68"/>
      <c r="AT112" s="44"/>
      <c r="AU112" s="44"/>
      <c r="AV112" s="50"/>
      <c r="AW112" s="50" t="s">
        <v>106</v>
      </c>
      <c r="AX112" s="44"/>
      <c r="AY112" s="50" t="s">
        <v>137</v>
      </c>
      <c r="AZ112" s="44"/>
      <c r="BA112" s="43" t="s">
        <v>89</v>
      </c>
      <c r="BB112" s="44"/>
      <c r="BC112" s="69" t="s">
        <v>939</v>
      </c>
      <c r="BD112" s="70"/>
      <c r="BE112" s="71"/>
      <c r="BF112" s="72" t="s">
        <v>940</v>
      </c>
      <c r="BG112" s="73"/>
      <c r="BH112" s="73"/>
      <c r="BI112" s="73"/>
      <c r="BJ112" s="73"/>
      <c r="BK112" s="73"/>
      <c r="BL112" s="73"/>
      <c r="BM112" s="73"/>
      <c r="BN112" s="73"/>
      <c r="BO112" s="73"/>
      <c r="BP112" s="73"/>
      <c r="BQ112" s="73"/>
      <c r="BR112" s="73"/>
      <c r="BS112" s="73"/>
      <c r="BT112" s="73"/>
      <c r="BU112" s="73"/>
      <c r="BV112" s="73"/>
      <c r="BW112" s="74"/>
      <c r="BX112" s="74"/>
      <c r="BY112" s="63"/>
      <c r="BZ112" s="63"/>
    </row>
    <row r="113" ht="15.75" customHeight="1">
      <c r="A113" s="75" t="s">
        <v>941</v>
      </c>
      <c r="B113" s="50" t="s">
        <v>942</v>
      </c>
      <c r="C113" s="50" t="s">
        <v>70</v>
      </c>
      <c r="D113" s="50" t="s">
        <v>943</v>
      </c>
      <c r="E113" s="64"/>
      <c r="F113" s="78">
        <v>2.7E8</v>
      </c>
      <c r="G113" s="44" t="str">
        <f t="shared" si="1"/>
        <v>$200'000.000 a $300'000.000</v>
      </c>
      <c r="H113" s="44"/>
      <c r="I113" s="44"/>
      <c r="J113" s="50" t="s">
        <v>116</v>
      </c>
      <c r="K113" s="51" t="s">
        <v>192</v>
      </c>
      <c r="L113" s="50">
        <v>3.0</v>
      </c>
      <c r="M113" s="50"/>
      <c r="N113" s="50">
        <v>1.0</v>
      </c>
      <c r="O113" s="50">
        <v>0.0</v>
      </c>
      <c r="P113" s="50">
        <v>1.0</v>
      </c>
      <c r="Q113" s="88">
        <v>98.0</v>
      </c>
      <c r="R113" s="88">
        <v>98.0</v>
      </c>
      <c r="S113" s="56" t="str">
        <f t="shared" si="4"/>
        <v> </v>
      </c>
      <c r="T113" s="50" t="s">
        <v>78</v>
      </c>
      <c r="U113" s="51" t="s">
        <v>184</v>
      </c>
      <c r="V113" s="50" t="s">
        <v>316</v>
      </c>
      <c r="W113" s="50"/>
      <c r="X113" s="50">
        <v>2.0</v>
      </c>
      <c r="Y113" s="50" t="s">
        <v>80</v>
      </c>
      <c r="Z113" s="91"/>
      <c r="AA113" s="59" t="str">
        <f>IF(Rentabilidad=0,"No aplica",TEXT(ROUND(Precio/Rentabilidad/12,0),0) &amp; " años")</f>
        <v>No aplica</v>
      </c>
      <c r="AB113" s="82" t="s">
        <v>944</v>
      </c>
      <c r="AC113" s="169" t="s">
        <v>945</v>
      </c>
      <c r="AD113" s="83" t="s">
        <v>946</v>
      </c>
      <c r="AE113" s="63"/>
      <c r="AF113" s="64" t="s">
        <v>105</v>
      </c>
      <c r="AG113" s="65" t="s">
        <v>106</v>
      </c>
      <c r="AH113" s="63"/>
      <c r="AI113" s="65" t="s">
        <v>107</v>
      </c>
      <c r="AJ113" s="64" t="s">
        <v>453</v>
      </c>
      <c r="AK113" s="58" t="s">
        <v>81</v>
      </c>
      <c r="AL113" s="64" t="s">
        <v>109</v>
      </c>
      <c r="AM113" s="43">
        <v>3.13351965E9</v>
      </c>
      <c r="AN113" s="64">
        <v>0.0</v>
      </c>
      <c r="AO113" s="52"/>
      <c r="AP113" s="84" t="s">
        <v>947</v>
      </c>
      <c r="AQ113" s="84"/>
      <c r="AR113" s="84"/>
      <c r="AS113" s="94"/>
      <c r="AT113" s="50">
        <v>0.0</v>
      </c>
      <c r="AU113" s="43">
        <v>0.0</v>
      </c>
      <c r="AV113" s="43" t="s">
        <v>106</v>
      </c>
      <c r="AW113" s="43" t="s">
        <v>106</v>
      </c>
      <c r="AX113" s="43">
        <v>0.0</v>
      </c>
      <c r="AY113" s="43" t="s">
        <v>106</v>
      </c>
      <c r="AZ113" s="43">
        <v>0.0</v>
      </c>
      <c r="BA113" s="43" t="s">
        <v>89</v>
      </c>
      <c r="BB113" s="43">
        <v>0.0</v>
      </c>
      <c r="BC113" s="95"/>
      <c r="BD113" s="71"/>
      <c r="BE113" s="71"/>
      <c r="BF113" s="72" t="s">
        <v>948</v>
      </c>
      <c r="BG113" s="73"/>
      <c r="BH113" s="73"/>
      <c r="BI113" s="73"/>
      <c r="BJ113" s="73"/>
      <c r="BK113" s="73"/>
      <c r="BL113" s="73"/>
      <c r="BM113" s="73"/>
      <c r="BN113" s="73"/>
      <c r="BO113" s="73"/>
      <c r="BP113" s="73"/>
      <c r="BQ113" s="73"/>
      <c r="BR113" s="73"/>
      <c r="BS113" s="73"/>
      <c r="BT113" s="73"/>
      <c r="BU113" s="73"/>
      <c r="BV113" s="73"/>
      <c r="BW113" s="74"/>
      <c r="BX113" s="74"/>
      <c r="BY113" s="63"/>
      <c r="BZ113" s="63"/>
    </row>
    <row r="114" ht="15.75" customHeight="1">
      <c r="A114" s="75" t="s">
        <v>949</v>
      </c>
      <c r="B114" s="50" t="s">
        <v>950</v>
      </c>
      <c r="C114" s="50" t="s">
        <v>271</v>
      </c>
      <c r="D114" s="50" t="s">
        <v>951</v>
      </c>
      <c r="E114" s="64"/>
      <c r="F114" s="78">
        <v>2.7E8</v>
      </c>
      <c r="G114" s="44" t="str">
        <f t="shared" si="1"/>
        <v>$200'000.000 a $300'000.000</v>
      </c>
      <c r="H114" s="44"/>
      <c r="I114" s="44"/>
      <c r="J114" s="50" t="s">
        <v>183</v>
      </c>
      <c r="K114" s="51" t="s">
        <v>241</v>
      </c>
      <c r="L114" s="50">
        <v>4.0</v>
      </c>
      <c r="M114" s="50"/>
      <c r="N114" s="50">
        <v>3.0</v>
      </c>
      <c r="O114" s="50">
        <v>0.0</v>
      </c>
      <c r="P114" s="50">
        <v>1.0</v>
      </c>
      <c r="Q114" s="88">
        <v>0.0</v>
      </c>
      <c r="R114" s="88">
        <v>120.0</v>
      </c>
      <c r="S114" s="56" t="str">
        <f t="shared" si="4"/>
        <v>Rentabilidad $1,100,000</v>
      </c>
      <c r="T114" s="50" t="s">
        <v>78</v>
      </c>
      <c r="U114" s="51" t="s">
        <v>184</v>
      </c>
      <c r="V114" s="50" t="s">
        <v>79</v>
      </c>
      <c r="W114" s="50"/>
      <c r="X114" s="50">
        <v>3.0</v>
      </c>
      <c r="Y114" s="50" t="s">
        <v>80</v>
      </c>
      <c r="Z114" s="91"/>
      <c r="AA114" s="59" t="str">
        <f>IF(Rentabilidad=0,"No aplica",TEXT(ROUND(Precio/Rentabilidad/12,0),0) &amp; " años")</f>
        <v>20 años</v>
      </c>
      <c r="AB114" s="82" t="s">
        <v>952</v>
      </c>
      <c r="AC114" s="132" t="s">
        <v>953</v>
      </c>
      <c r="AD114" s="102" t="s">
        <v>954</v>
      </c>
      <c r="AE114" s="63"/>
      <c r="AF114" s="64" t="s">
        <v>84</v>
      </c>
      <c r="AG114" s="65" t="s">
        <v>106</v>
      </c>
      <c r="AH114" s="63"/>
      <c r="AI114" s="65" t="s">
        <v>107</v>
      </c>
      <c r="AJ114" s="64" t="s">
        <v>453</v>
      </c>
      <c r="AK114" s="58" t="s">
        <v>81</v>
      </c>
      <c r="AL114" s="64" t="s">
        <v>109</v>
      </c>
      <c r="AM114" s="43">
        <v>3.13351965E9</v>
      </c>
      <c r="AN114" s="64">
        <v>0.0</v>
      </c>
      <c r="AO114" s="43" t="s">
        <v>245</v>
      </c>
      <c r="AP114" s="108" t="s">
        <v>955</v>
      </c>
      <c r="AQ114" s="108"/>
      <c r="AR114" s="108"/>
      <c r="AS114" s="94">
        <v>1100000.0</v>
      </c>
      <c r="AT114" s="65">
        <v>0.0</v>
      </c>
      <c r="AU114" s="50">
        <v>0.0</v>
      </c>
      <c r="AV114" s="50">
        <v>2.0</v>
      </c>
      <c r="AW114" s="50" t="s">
        <v>88</v>
      </c>
      <c r="AX114" s="50">
        <v>0.0</v>
      </c>
      <c r="AY114" s="50" t="s">
        <v>137</v>
      </c>
      <c r="AZ114" s="50">
        <v>0.0</v>
      </c>
      <c r="BA114" s="43" t="s">
        <v>89</v>
      </c>
      <c r="BB114" s="50">
        <v>0.0</v>
      </c>
      <c r="BC114" s="127" t="s">
        <v>90</v>
      </c>
      <c r="BD114" s="128"/>
      <c r="BE114" s="129"/>
      <c r="BF114" s="72" t="s">
        <v>956</v>
      </c>
      <c r="BG114" s="73"/>
      <c r="BH114" s="73"/>
      <c r="BI114" s="73"/>
      <c r="BJ114" s="73"/>
      <c r="BK114" s="73"/>
      <c r="BL114" s="73"/>
      <c r="BM114" s="73"/>
      <c r="BN114" s="73"/>
      <c r="BO114" s="73"/>
      <c r="BP114" s="73"/>
      <c r="BQ114" s="73"/>
      <c r="BR114" s="73"/>
      <c r="BS114" s="73"/>
      <c r="BT114" s="73"/>
      <c r="BU114" s="73"/>
      <c r="BV114" s="73"/>
      <c r="BW114" s="74"/>
      <c r="BX114" s="74"/>
      <c r="BY114" s="63"/>
      <c r="BZ114" s="63"/>
    </row>
    <row r="115" ht="15.75" customHeight="1">
      <c r="A115" s="75" t="s">
        <v>957</v>
      </c>
      <c r="B115" s="50" t="s">
        <v>958</v>
      </c>
      <c r="C115" s="50" t="s">
        <v>323</v>
      </c>
      <c r="D115" s="50"/>
      <c r="E115" s="64" t="s">
        <v>959</v>
      </c>
      <c r="F115" s="78">
        <v>2.6E8</v>
      </c>
      <c r="G115" s="44" t="str">
        <f t="shared" si="1"/>
        <v>$200'000.000 a $300'000.000</v>
      </c>
      <c r="H115" s="44"/>
      <c r="I115" s="44"/>
      <c r="J115" s="50" t="s">
        <v>94</v>
      </c>
      <c r="K115" s="51"/>
      <c r="L115" s="50">
        <v>3.0</v>
      </c>
      <c r="M115" s="50"/>
      <c r="N115" s="50">
        <v>2.0</v>
      </c>
      <c r="O115" s="50">
        <v>1.0</v>
      </c>
      <c r="P115" s="50">
        <v>3.0</v>
      </c>
      <c r="Q115" s="88">
        <v>90.0</v>
      </c>
      <c r="R115" s="88">
        <v>90.0</v>
      </c>
      <c r="S115" s="56" t="str">
        <f t="shared" si="4"/>
        <v> </v>
      </c>
      <c r="T115" s="50" t="s">
        <v>78</v>
      </c>
      <c r="U115" s="51" t="s">
        <v>142</v>
      </c>
      <c r="V115" s="50" t="s">
        <v>642</v>
      </c>
      <c r="W115" s="50"/>
      <c r="X115" s="50">
        <v>3.0</v>
      </c>
      <c r="Y115" s="50" t="s">
        <v>130</v>
      </c>
      <c r="Z115" s="91"/>
      <c r="AA115" s="59" t="str">
        <f>IF(Rentabilidad=0,"No aplica",TEXT(ROUND(Precio/Rentabilidad/12,0),0) &amp; " años")</f>
        <v>No aplica</v>
      </c>
      <c r="AB115" s="82" t="s">
        <v>960</v>
      </c>
      <c r="AC115" s="131" t="s">
        <v>961</v>
      </c>
      <c r="AD115" s="107" t="s">
        <v>962</v>
      </c>
      <c r="AE115" s="63"/>
      <c r="AF115" s="64" t="s">
        <v>105</v>
      </c>
      <c r="AG115" s="65" t="s">
        <v>106</v>
      </c>
      <c r="AH115" s="63"/>
      <c r="AI115" s="65" t="s">
        <v>107</v>
      </c>
      <c r="AJ115" s="64" t="s">
        <v>453</v>
      </c>
      <c r="AK115" s="58" t="s">
        <v>81</v>
      </c>
      <c r="AL115" s="64" t="s">
        <v>109</v>
      </c>
      <c r="AM115" s="43">
        <v>3.13351965E9</v>
      </c>
      <c r="AN115" s="64">
        <v>0.0</v>
      </c>
      <c r="AO115" s="43" t="s">
        <v>245</v>
      </c>
      <c r="AP115" s="84" t="s">
        <v>963</v>
      </c>
      <c r="AQ115" s="84">
        <v>2.89852582287447</v>
      </c>
      <c r="AR115" s="84">
        <v>-75.2855188056916</v>
      </c>
      <c r="AS115" s="94">
        <v>0.0</v>
      </c>
      <c r="AT115" s="65" t="s">
        <v>106</v>
      </c>
      <c r="AU115" s="43">
        <v>0.0</v>
      </c>
      <c r="AV115" s="43">
        <v>0.0</v>
      </c>
      <c r="AW115" s="43" t="s">
        <v>88</v>
      </c>
      <c r="AX115" s="43">
        <v>0.0</v>
      </c>
      <c r="AY115" s="43"/>
      <c r="AZ115" s="43">
        <v>0.0</v>
      </c>
      <c r="BA115" s="43" t="s">
        <v>89</v>
      </c>
      <c r="BB115" s="50">
        <v>0.0</v>
      </c>
      <c r="BC115" s="69" t="s">
        <v>769</v>
      </c>
      <c r="BD115" s="70"/>
      <c r="BE115" s="71"/>
      <c r="BF115" s="72" t="s">
        <v>964</v>
      </c>
      <c r="BG115" s="73"/>
      <c r="BH115" s="73"/>
      <c r="BI115" s="73"/>
      <c r="BJ115" s="73"/>
      <c r="BK115" s="73"/>
      <c r="BL115" s="73"/>
      <c r="BM115" s="73"/>
      <c r="BN115" s="73"/>
      <c r="BO115" s="73"/>
      <c r="BP115" s="73"/>
      <c r="BQ115" s="73"/>
      <c r="BR115" s="73"/>
      <c r="BS115" s="73"/>
      <c r="BT115" s="73"/>
      <c r="BU115" s="73"/>
      <c r="BV115" s="73"/>
      <c r="BW115" s="74"/>
      <c r="BX115" s="74"/>
      <c r="BY115" s="63"/>
      <c r="BZ115" s="63"/>
    </row>
    <row r="116" ht="15.75" customHeight="1">
      <c r="A116" s="75" t="s">
        <v>965</v>
      </c>
      <c r="B116" s="50" t="s">
        <v>966</v>
      </c>
      <c r="C116" s="50" t="s">
        <v>128</v>
      </c>
      <c r="D116" s="50"/>
      <c r="E116" s="77" t="s">
        <v>967</v>
      </c>
      <c r="F116" s="78">
        <v>2.6E8</v>
      </c>
      <c r="G116" s="44" t="str">
        <f t="shared" si="1"/>
        <v>$200'000.000 a $300'000.000</v>
      </c>
      <c r="H116" s="44"/>
      <c r="I116" s="44"/>
      <c r="J116" s="50" t="s">
        <v>968</v>
      </c>
      <c r="K116" s="57"/>
      <c r="L116" s="50">
        <v>3.0</v>
      </c>
      <c r="M116" s="50"/>
      <c r="N116" s="50">
        <v>3.0</v>
      </c>
      <c r="O116" s="50">
        <v>1.0</v>
      </c>
      <c r="P116" s="50">
        <v>2.0</v>
      </c>
      <c r="Q116" s="88">
        <v>104.0</v>
      </c>
      <c r="R116" s="88">
        <v>60.0</v>
      </c>
      <c r="S116" s="56" t="str">
        <f t="shared" si="4"/>
        <v> </v>
      </c>
      <c r="T116" s="50" t="s">
        <v>78</v>
      </c>
      <c r="U116" s="51" t="s">
        <v>77</v>
      </c>
      <c r="V116" s="50" t="s">
        <v>79</v>
      </c>
      <c r="W116" s="50"/>
      <c r="X116" s="50">
        <v>3.0</v>
      </c>
      <c r="Y116" s="43" t="s">
        <v>130</v>
      </c>
      <c r="Z116" s="58">
        <v>85000.0</v>
      </c>
      <c r="AA116" s="81" t="s">
        <v>81</v>
      </c>
      <c r="AB116" s="115" t="s">
        <v>969</v>
      </c>
      <c r="AC116" s="124" t="s">
        <v>970</v>
      </c>
      <c r="AD116" s="125" t="s">
        <v>583</v>
      </c>
      <c r="AE116" s="63"/>
      <c r="AF116" s="64" t="s">
        <v>105</v>
      </c>
      <c r="AG116" s="65" t="s">
        <v>106</v>
      </c>
      <c r="AH116" s="63"/>
      <c r="AI116" s="65" t="s">
        <v>107</v>
      </c>
      <c r="AJ116" s="64" t="s">
        <v>453</v>
      </c>
      <c r="AK116" s="50" t="s">
        <v>81</v>
      </c>
      <c r="AL116" s="45" t="s">
        <v>109</v>
      </c>
      <c r="AM116" s="52">
        <v>3.13351965E9</v>
      </c>
      <c r="AN116" s="45">
        <v>0.0</v>
      </c>
      <c r="AO116" s="43">
        <v>0.0</v>
      </c>
      <c r="AP116" s="84" t="s">
        <v>971</v>
      </c>
      <c r="AQ116" s="84"/>
      <c r="AR116" s="84"/>
      <c r="AS116" s="85">
        <v>0.0</v>
      </c>
      <c r="AT116" s="50" t="s">
        <v>88</v>
      </c>
      <c r="AU116" s="50">
        <v>0.0</v>
      </c>
      <c r="AV116" s="44">
        <v>0.0</v>
      </c>
      <c r="AW116" s="50" t="s">
        <v>88</v>
      </c>
      <c r="AX116" s="44">
        <v>0.0</v>
      </c>
      <c r="AY116" s="50" t="s">
        <v>137</v>
      </c>
      <c r="AZ116" s="44">
        <v>0.0</v>
      </c>
      <c r="BA116" s="43" t="s">
        <v>89</v>
      </c>
      <c r="BB116" s="44">
        <v>0.0</v>
      </c>
      <c r="BC116" s="69" t="s">
        <v>972</v>
      </c>
      <c r="BD116" s="70"/>
      <c r="BE116" s="71"/>
      <c r="BF116" s="72" t="s">
        <v>973</v>
      </c>
      <c r="BG116" s="73"/>
      <c r="BH116" s="73"/>
      <c r="BI116" s="73"/>
      <c r="BJ116" s="73"/>
      <c r="BK116" s="73"/>
      <c r="BL116" s="73"/>
      <c r="BM116" s="73"/>
      <c r="BN116" s="73"/>
      <c r="BO116" s="73"/>
      <c r="BP116" s="73"/>
      <c r="BQ116" s="73"/>
      <c r="BR116" s="73"/>
      <c r="BS116" s="73"/>
      <c r="BT116" s="73"/>
      <c r="BU116" s="73"/>
      <c r="BV116" s="73"/>
      <c r="BW116" s="74"/>
      <c r="BX116" s="74"/>
      <c r="BY116" s="63"/>
      <c r="BZ116" s="63"/>
    </row>
    <row r="117" ht="15.75" customHeight="1">
      <c r="A117" s="133" t="s">
        <v>974</v>
      </c>
      <c r="B117" s="43" t="s">
        <v>975</v>
      </c>
      <c r="C117" s="43" t="s">
        <v>271</v>
      </c>
      <c r="D117" s="43" t="s">
        <v>976</v>
      </c>
      <c r="E117" s="45"/>
      <c r="F117" s="78">
        <v>2.6E8</v>
      </c>
      <c r="G117" s="44" t="str">
        <f t="shared" si="1"/>
        <v>$200'000.000 a $300'000.000</v>
      </c>
      <c r="H117" s="44"/>
      <c r="I117" s="44"/>
      <c r="J117" s="43"/>
      <c r="K117" s="142"/>
      <c r="L117" s="43">
        <v>5.0</v>
      </c>
      <c r="M117" s="43"/>
      <c r="N117" s="43">
        <v>3.0</v>
      </c>
      <c r="O117" s="43">
        <v>2.0</v>
      </c>
      <c r="P117" s="43">
        <v>2.0</v>
      </c>
      <c r="Q117" s="89">
        <v>0.0</v>
      </c>
      <c r="R117" s="88">
        <v>200.0</v>
      </c>
      <c r="S117" s="56" t="str">
        <f t="shared" si="4"/>
        <v> </v>
      </c>
      <c r="T117" s="43" t="s">
        <v>95</v>
      </c>
      <c r="U117" s="56" t="s">
        <v>184</v>
      </c>
      <c r="V117" s="43" t="s">
        <v>79</v>
      </c>
      <c r="W117" s="43"/>
      <c r="X117" s="43">
        <v>2.0</v>
      </c>
      <c r="Y117" s="43" t="s">
        <v>80</v>
      </c>
      <c r="Z117" s="58" t="s">
        <v>81</v>
      </c>
      <c r="AA117" s="59" t="str">
        <f>IF(Rentabilidad=0,"No aplica",TEXT(ROUND(Precio/Rentabilidad/12,0),0) &amp; " años")</f>
        <v>No aplica</v>
      </c>
      <c r="AB117" s="140" t="s">
        <v>977</v>
      </c>
      <c r="AC117" s="132" t="s">
        <v>978</v>
      </c>
      <c r="AD117" s="62"/>
      <c r="AE117" s="63"/>
      <c r="AF117" s="64" t="s">
        <v>236</v>
      </c>
      <c r="AG117" s="65" t="s">
        <v>106</v>
      </c>
      <c r="AH117" s="63"/>
      <c r="AI117" s="65" t="s">
        <v>107</v>
      </c>
      <c r="AJ117" s="64" t="s">
        <v>453</v>
      </c>
      <c r="AK117" s="58" t="s">
        <v>81</v>
      </c>
      <c r="AL117" s="64" t="s">
        <v>109</v>
      </c>
      <c r="AM117" s="43">
        <v>3.13351965E9</v>
      </c>
      <c r="AN117" s="45"/>
      <c r="AO117" s="52"/>
      <c r="AP117" s="146" t="s">
        <v>979</v>
      </c>
      <c r="AQ117" s="146"/>
      <c r="AR117" s="146"/>
      <c r="AS117" s="135"/>
      <c r="AT117" s="43">
        <v>0.0</v>
      </c>
      <c r="AU117" s="43">
        <v>0.0</v>
      </c>
      <c r="AV117" s="43">
        <v>0.0</v>
      </c>
      <c r="AW117" s="43" t="s">
        <v>106</v>
      </c>
      <c r="AX117" s="52"/>
      <c r="AY117" s="43" t="s">
        <v>137</v>
      </c>
      <c r="AZ117" s="52"/>
      <c r="BA117" s="43" t="s">
        <v>89</v>
      </c>
      <c r="BB117" s="52"/>
      <c r="BC117" s="95" t="s">
        <v>399</v>
      </c>
      <c r="BD117" s="71"/>
      <c r="BE117" s="71"/>
      <c r="BF117" s="72" t="s">
        <v>980</v>
      </c>
      <c r="BG117" s="73"/>
      <c r="BH117" s="73"/>
      <c r="BI117" s="73"/>
      <c r="BJ117" s="73"/>
      <c r="BK117" s="73"/>
      <c r="BL117" s="73"/>
      <c r="BM117" s="73"/>
      <c r="BN117" s="73"/>
      <c r="BO117" s="73"/>
      <c r="BP117" s="73"/>
      <c r="BQ117" s="73"/>
      <c r="BR117" s="73"/>
      <c r="BS117" s="73"/>
      <c r="BT117" s="73"/>
      <c r="BU117" s="73"/>
      <c r="BV117" s="73"/>
      <c r="BW117" s="74"/>
      <c r="BX117" s="74"/>
      <c r="BY117" s="63"/>
      <c r="BZ117" s="63"/>
    </row>
    <row r="118" ht="15.75" customHeight="1">
      <c r="A118" s="133" t="s">
        <v>981</v>
      </c>
      <c r="B118" s="43" t="s">
        <v>982</v>
      </c>
      <c r="C118" s="43" t="s">
        <v>70</v>
      </c>
      <c r="D118" s="50" t="s">
        <v>983</v>
      </c>
      <c r="E118" s="77"/>
      <c r="F118" s="78">
        <v>2.6E8</v>
      </c>
      <c r="G118" s="44" t="str">
        <f t="shared" si="1"/>
        <v>$200'000.000 a $300'000.000</v>
      </c>
      <c r="H118" s="44"/>
      <c r="I118" s="44"/>
      <c r="J118" s="50" t="s">
        <v>968</v>
      </c>
      <c r="K118" s="51" t="s">
        <v>184</v>
      </c>
      <c r="L118" s="43">
        <v>3.0</v>
      </c>
      <c r="M118" s="43"/>
      <c r="N118" s="43">
        <v>2.0</v>
      </c>
      <c r="O118" s="43">
        <v>1.0</v>
      </c>
      <c r="P118" s="43">
        <v>2.0</v>
      </c>
      <c r="Q118" s="55">
        <v>130.0</v>
      </c>
      <c r="R118" s="55"/>
      <c r="S118" s="56" t="str">
        <f t="shared" si="4"/>
        <v> </v>
      </c>
      <c r="T118" s="43" t="s">
        <v>78</v>
      </c>
      <c r="U118" s="56" t="s">
        <v>77</v>
      </c>
      <c r="V118" s="43" t="s">
        <v>79</v>
      </c>
      <c r="W118" s="43"/>
      <c r="X118" s="43">
        <v>0.0</v>
      </c>
      <c r="Y118" s="94" t="s">
        <v>80</v>
      </c>
      <c r="Z118" s="80" t="s">
        <v>81</v>
      </c>
      <c r="AA118" s="81" t="s">
        <v>81</v>
      </c>
      <c r="AB118" s="180" t="s">
        <v>984</v>
      </c>
      <c r="AC118" s="131" t="s">
        <v>985</v>
      </c>
      <c r="AD118" s="107" t="s">
        <v>986</v>
      </c>
      <c r="AE118" s="63"/>
      <c r="AF118" s="64" t="s">
        <v>105</v>
      </c>
      <c r="AG118" s="65" t="s">
        <v>106</v>
      </c>
      <c r="AH118" s="65"/>
      <c r="AI118" s="65" t="s">
        <v>107</v>
      </c>
      <c r="AJ118" s="64" t="s">
        <v>453</v>
      </c>
      <c r="AK118" s="50" t="s">
        <v>81</v>
      </c>
      <c r="AL118" s="64" t="s">
        <v>109</v>
      </c>
      <c r="AM118" s="43">
        <v>3.13351965E9</v>
      </c>
      <c r="AN118" s="45"/>
      <c r="AO118" s="52"/>
      <c r="AP118" s="84" t="s">
        <v>987</v>
      </c>
      <c r="AQ118" s="84"/>
      <c r="AR118" s="84"/>
      <c r="AS118" s="135"/>
      <c r="AT118" s="44"/>
      <c r="AU118" s="52"/>
      <c r="AV118" s="52"/>
      <c r="AW118" s="43" t="s">
        <v>106</v>
      </c>
      <c r="AX118" s="52"/>
      <c r="AY118" s="43" t="s">
        <v>247</v>
      </c>
      <c r="AZ118" s="52"/>
      <c r="BA118" s="43" t="s">
        <v>89</v>
      </c>
      <c r="BB118" s="52"/>
      <c r="BC118" s="69" t="s">
        <v>988</v>
      </c>
      <c r="BD118" s="70"/>
      <c r="BE118" s="71"/>
      <c r="BF118" s="72" t="s">
        <v>989</v>
      </c>
      <c r="BG118" s="73"/>
      <c r="BH118" s="73"/>
      <c r="BI118" s="73"/>
      <c r="BJ118" s="73"/>
      <c r="BK118" s="73"/>
      <c r="BL118" s="73"/>
      <c r="BM118" s="73"/>
      <c r="BN118" s="73"/>
      <c r="BO118" s="73"/>
      <c r="BP118" s="73"/>
      <c r="BQ118" s="73"/>
      <c r="BR118" s="73"/>
      <c r="BS118" s="73"/>
      <c r="BT118" s="73"/>
      <c r="BU118" s="73"/>
      <c r="BV118" s="73"/>
      <c r="BW118" s="74"/>
      <c r="BX118" s="74"/>
      <c r="BY118" s="63"/>
      <c r="BZ118" s="63"/>
    </row>
    <row r="119" ht="15.75" customHeight="1">
      <c r="A119" s="133" t="s">
        <v>990</v>
      </c>
      <c r="B119" s="43" t="s">
        <v>991</v>
      </c>
      <c r="C119" s="43" t="s">
        <v>70</v>
      </c>
      <c r="D119" s="52"/>
      <c r="E119" s="45"/>
      <c r="F119" s="78">
        <v>2.6E8</v>
      </c>
      <c r="G119" s="44" t="str">
        <f t="shared" si="1"/>
        <v>$200'000.000 a $300'000.000</v>
      </c>
      <c r="H119" s="44"/>
      <c r="I119" s="44"/>
      <c r="J119" s="43"/>
      <c r="K119" s="142"/>
      <c r="L119" s="43">
        <v>4.0</v>
      </c>
      <c r="M119" s="43"/>
      <c r="N119" s="43">
        <v>3.0</v>
      </c>
      <c r="O119" s="43">
        <v>1.0</v>
      </c>
      <c r="P119" s="43">
        <v>2.0</v>
      </c>
      <c r="Q119" s="89">
        <v>0.0</v>
      </c>
      <c r="R119" s="88">
        <v>210.0</v>
      </c>
      <c r="S119" s="56" t="str">
        <f t="shared" si="4"/>
        <v> </v>
      </c>
      <c r="T119" s="43" t="s">
        <v>992</v>
      </c>
      <c r="U119" s="56" t="s">
        <v>184</v>
      </c>
      <c r="V119" s="43" t="s">
        <v>118</v>
      </c>
      <c r="W119" s="43"/>
      <c r="X119" s="43">
        <v>0.0</v>
      </c>
      <c r="Y119" s="43" t="s">
        <v>80</v>
      </c>
      <c r="Z119" s="58"/>
      <c r="AA119" s="59" t="str">
        <f>IF(Rentabilidad=0,"No aplica",TEXT(ROUND(Precio/Rentabilidad/12,0),0) &amp; " años")</f>
        <v>No aplica</v>
      </c>
      <c r="AB119" s="140" t="s">
        <v>993</v>
      </c>
      <c r="AC119" s="132" t="s">
        <v>994</v>
      </c>
      <c r="AD119" s="62"/>
      <c r="AE119" s="63"/>
      <c r="AF119" s="64" t="s">
        <v>105</v>
      </c>
      <c r="AG119" s="65" t="s">
        <v>106</v>
      </c>
      <c r="AH119" s="63"/>
      <c r="AI119" s="65" t="s">
        <v>107</v>
      </c>
      <c r="AJ119" s="64" t="s">
        <v>453</v>
      </c>
      <c r="AK119" s="50" t="s">
        <v>81</v>
      </c>
      <c r="AL119" s="45" t="s">
        <v>109</v>
      </c>
      <c r="AM119" s="52">
        <v>3.13351965E9</v>
      </c>
      <c r="AN119" s="45"/>
      <c r="AO119" s="52"/>
      <c r="AP119" s="67"/>
      <c r="AQ119" s="67"/>
      <c r="AR119" s="67"/>
      <c r="AS119" s="135"/>
      <c r="AT119" s="43">
        <v>0.0</v>
      </c>
      <c r="AU119" s="43">
        <v>0.0</v>
      </c>
      <c r="AV119" s="43">
        <v>0.0</v>
      </c>
      <c r="AW119" s="43" t="s">
        <v>106</v>
      </c>
      <c r="AX119" s="52"/>
      <c r="AY119" s="43" t="s">
        <v>137</v>
      </c>
      <c r="AZ119" s="52"/>
      <c r="BA119" s="43" t="s">
        <v>89</v>
      </c>
      <c r="BB119" s="52"/>
      <c r="BC119" s="95"/>
      <c r="BD119" s="71"/>
      <c r="BE119" s="71"/>
      <c r="BF119" s="72" t="s">
        <v>995</v>
      </c>
      <c r="BG119" s="73"/>
      <c r="BH119" s="73"/>
      <c r="BI119" s="73"/>
      <c r="BJ119" s="73"/>
      <c r="BK119" s="73"/>
      <c r="BL119" s="73"/>
      <c r="BM119" s="73"/>
      <c r="BN119" s="73"/>
      <c r="BO119" s="73"/>
      <c r="BP119" s="73"/>
      <c r="BQ119" s="73"/>
      <c r="BR119" s="73"/>
      <c r="BS119" s="73"/>
      <c r="BT119" s="73"/>
      <c r="BU119" s="73"/>
      <c r="BV119" s="73"/>
      <c r="BW119" s="74"/>
      <c r="BX119" s="74"/>
      <c r="BY119" s="63"/>
      <c r="BZ119" s="63"/>
    </row>
    <row r="120" ht="15.75" customHeight="1">
      <c r="A120" s="75" t="s">
        <v>996</v>
      </c>
      <c r="B120" s="50" t="s">
        <v>997</v>
      </c>
      <c r="C120" s="50" t="s">
        <v>497</v>
      </c>
      <c r="D120" s="50"/>
      <c r="E120" s="64"/>
      <c r="F120" s="78">
        <v>2.5E8</v>
      </c>
      <c r="G120" s="44" t="str">
        <f t="shared" si="1"/>
        <v>$200'000.000 a $300'000.000</v>
      </c>
      <c r="H120" s="44"/>
      <c r="I120" s="44"/>
      <c r="J120" s="50" t="s">
        <v>498</v>
      </c>
      <c r="K120" s="51"/>
      <c r="L120" s="50">
        <v>2.0</v>
      </c>
      <c r="M120" s="50"/>
      <c r="N120" s="50">
        <v>2.0</v>
      </c>
      <c r="O120" s="50">
        <v>1.0</v>
      </c>
      <c r="P120" s="50">
        <v>1.0</v>
      </c>
      <c r="Q120" s="88">
        <v>0.0</v>
      </c>
      <c r="R120" s="88">
        <v>20200.0</v>
      </c>
      <c r="S120" s="56"/>
      <c r="T120" s="50" t="s">
        <v>998</v>
      </c>
      <c r="U120" s="57"/>
      <c r="V120" s="44"/>
      <c r="W120" s="44"/>
      <c r="X120" s="50">
        <v>1.0</v>
      </c>
      <c r="Y120" s="50" t="s">
        <v>80</v>
      </c>
      <c r="Z120" s="58" t="s">
        <v>81</v>
      </c>
      <c r="AA120" s="59" t="str">
        <f>IF(Rentabilidad=0,"No aplica",TEXT(ROUND(Precio/Rentabilidad/12,0),0) &amp; " años")</f>
        <v>No aplica</v>
      </c>
      <c r="AB120" s="82" t="s">
        <v>999</v>
      </c>
      <c r="AC120" s="132" t="s">
        <v>1000</v>
      </c>
      <c r="AD120" s="147" t="s">
        <v>1001</v>
      </c>
      <c r="AE120" s="63"/>
      <c r="AF120" s="64" t="s">
        <v>236</v>
      </c>
      <c r="AG120" s="65" t="s">
        <v>106</v>
      </c>
      <c r="AH120" s="63"/>
      <c r="AI120" s="65" t="s">
        <v>107</v>
      </c>
      <c r="AJ120" s="64" t="s">
        <v>453</v>
      </c>
      <c r="AK120" s="50" t="s">
        <v>81</v>
      </c>
      <c r="AL120" s="45" t="s">
        <v>109</v>
      </c>
      <c r="AM120" s="52">
        <v>3.13351965E9</v>
      </c>
      <c r="AN120" s="45"/>
      <c r="AO120" s="116"/>
      <c r="AP120" s="67"/>
      <c r="AQ120" s="67"/>
      <c r="AR120" s="67"/>
      <c r="AS120" s="118">
        <v>0.0</v>
      </c>
      <c r="AT120" s="63">
        <v>0.0</v>
      </c>
      <c r="AU120" s="52">
        <v>0.0</v>
      </c>
      <c r="AV120" s="52">
        <v>0.0</v>
      </c>
      <c r="AW120" s="43" t="s">
        <v>88</v>
      </c>
      <c r="AX120" s="52">
        <v>0.0</v>
      </c>
      <c r="AY120" s="52">
        <v>0.0</v>
      </c>
      <c r="AZ120" s="63">
        <v>0.0</v>
      </c>
      <c r="BA120" s="43" t="s">
        <v>89</v>
      </c>
      <c r="BB120" s="63">
        <v>0.0</v>
      </c>
      <c r="BC120" s="95"/>
      <c r="BD120" s="71"/>
      <c r="BE120" s="71"/>
      <c r="BF120" s="72" t="s">
        <v>1002</v>
      </c>
      <c r="BG120" s="73"/>
      <c r="BH120" s="73"/>
      <c r="BI120" s="73"/>
      <c r="BJ120" s="73"/>
      <c r="BK120" s="73"/>
      <c r="BL120" s="73"/>
      <c r="BM120" s="73"/>
      <c r="BN120" s="73"/>
      <c r="BO120" s="73"/>
      <c r="BP120" s="73"/>
      <c r="BQ120" s="73"/>
      <c r="BR120" s="73"/>
      <c r="BS120" s="73"/>
      <c r="BT120" s="73"/>
      <c r="BU120" s="73"/>
      <c r="BV120" s="73"/>
      <c r="BW120" s="74"/>
      <c r="BX120" s="74"/>
      <c r="BY120" s="63"/>
      <c r="BZ120" s="63"/>
    </row>
    <row r="121" ht="15.75" customHeight="1">
      <c r="A121" s="75" t="s">
        <v>1003</v>
      </c>
      <c r="B121" s="50" t="s">
        <v>1004</v>
      </c>
      <c r="C121" s="50" t="s">
        <v>573</v>
      </c>
      <c r="D121" s="50" t="s">
        <v>1005</v>
      </c>
      <c r="E121" s="64"/>
      <c r="F121" s="78">
        <v>2.5E8</v>
      </c>
      <c r="G121" s="44" t="str">
        <f t="shared" si="1"/>
        <v>$200'000.000 a $300'000.000</v>
      </c>
      <c r="H121" s="44"/>
      <c r="I121" s="44"/>
      <c r="J121" s="50" t="s">
        <v>116</v>
      </c>
      <c r="K121" s="51" t="s">
        <v>192</v>
      </c>
      <c r="L121" s="50">
        <v>1.0</v>
      </c>
      <c r="M121" s="50"/>
      <c r="N121" s="50">
        <v>1.0</v>
      </c>
      <c r="O121" s="50">
        <v>1.0</v>
      </c>
      <c r="P121" s="50">
        <v>12.0</v>
      </c>
      <c r="Q121" s="88">
        <v>59.0</v>
      </c>
      <c r="R121" s="88">
        <v>59.0</v>
      </c>
      <c r="S121" s="56" t="str">
        <f t="shared" ref="S121:S224" si="5">IF(AS121=0," ","Rentabilidad $" &amp; TEXT(AS121,"#,##0"))</f>
        <v> </v>
      </c>
      <c r="T121" s="50" t="s">
        <v>78</v>
      </c>
      <c r="U121" s="51" t="s">
        <v>142</v>
      </c>
      <c r="V121" s="50" t="s">
        <v>1006</v>
      </c>
      <c r="W121" s="50"/>
      <c r="X121" s="50">
        <v>1.0</v>
      </c>
      <c r="Y121" s="50" t="s">
        <v>130</v>
      </c>
      <c r="Z121" s="91"/>
      <c r="AA121" s="59" t="str">
        <f>IF(Rentabilidad=0,"No aplica",TEXT(ROUND(Precio/Rentabilidad/12,0),0) &amp; " años")</f>
        <v>No aplica</v>
      </c>
      <c r="AB121" s="82" t="s">
        <v>1007</v>
      </c>
      <c r="AC121" s="83" t="s">
        <v>1008</v>
      </c>
      <c r="AD121" s="83" t="s">
        <v>1009</v>
      </c>
      <c r="AE121" s="63"/>
      <c r="AF121" s="64" t="s">
        <v>105</v>
      </c>
      <c r="AG121" s="65" t="s">
        <v>106</v>
      </c>
      <c r="AH121" s="63"/>
      <c r="AI121" s="65" t="s">
        <v>107</v>
      </c>
      <c r="AJ121" s="64" t="s">
        <v>453</v>
      </c>
      <c r="AK121" s="58" t="s">
        <v>81</v>
      </c>
      <c r="AL121" s="64" t="s">
        <v>109</v>
      </c>
      <c r="AM121" s="43">
        <v>3.13351965E9</v>
      </c>
      <c r="AN121" s="64">
        <v>0.0</v>
      </c>
      <c r="AO121" s="43" t="s">
        <v>245</v>
      </c>
      <c r="AP121" s="84"/>
      <c r="AQ121" s="84"/>
      <c r="AR121" s="84"/>
      <c r="AS121" s="94">
        <v>0.0</v>
      </c>
      <c r="AT121" s="65" t="s">
        <v>106</v>
      </c>
      <c r="AU121" s="43">
        <v>0.0</v>
      </c>
      <c r="AV121" s="43" t="s">
        <v>106</v>
      </c>
      <c r="AW121" s="43" t="s">
        <v>88</v>
      </c>
      <c r="AX121" s="43">
        <v>0.0</v>
      </c>
      <c r="AY121" s="43">
        <v>0.0</v>
      </c>
      <c r="AZ121" s="43">
        <v>0.0</v>
      </c>
      <c r="BA121" s="43" t="s">
        <v>89</v>
      </c>
      <c r="BB121" s="50">
        <v>0.0</v>
      </c>
      <c r="BC121" s="95"/>
      <c r="BD121" s="71"/>
      <c r="BE121" s="70"/>
      <c r="BF121" s="72" t="s">
        <v>1010</v>
      </c>
      <c r="BG121" s="73"/>
      <c r="BH121" s="73"/>
      <c r="BI121" s="73"/>
      <c r="BJ121" s="73"/>
      <c r="BK121" s="73"/>
      <c r="BL121" s="73"/>
      <c r="BM121" s="73"/>
      <c r="BN121" s="73"/>
      <c r="BO121" s="73"/>
      <c r="BP121" s="73"/>
      <c r="BQ121" s="73"/>
      <c r="BR121" s="73"/>
      <c r="BS121" s="73"/>
      <c r="BT121" s="73"/>
      <c r="BU121" s="73"/>
      <c r="BV121" s="73"/>
      <c r="BW121" s="74"/>
      <c r="BX121" s="74"/>
      <c r="BY121" s="63"/>
      <c r="BZ121" s="63"/>
    </row>
    <row r="122" ht="15.75" customHeight="1">
      <c r="A122" s="75" t="s">
        <v>1011</v>
      </c>
      <c r="B122" s="50" t="s">
        <v>1012</v>
      </c>
      <c r="C122" s="50" t="s">
        <v>573</v>
      </c>
      <c r="D122" s="50" t="s">
        <v>1013</v>
      </c>
      <c r="E122" s="77"/>
      <c r="F122" s="78">
        <v>2.5E8</v>
      </c>
      <c r="G122" s="44" t="str">
        <f t="shared" si="1"/>
        <v>$200'000.000 a $300'000.000</v>
      </c>
      <c r="H122" s="44"/>
      <c r="I122" s="44"/>
      <c r="J122" s="50" t="s">
        <v>116</v>
      </c>
      <c r="K122" s="51" t="s">
        <v>192</v>
      </c>
      <c r="L122" s="50">
        <v>3.0</v>
      </c>
      <c r="M122" s="50"/>
      <c r="N122" s="50">
        <v>2.0</v>
      </c>
      <c r="O122" s="50">
        <v>1.0</v>
      </c>
      <c r="P122" s="50">
        <v>1.0</v>
      </c>
      <c r="Q122" s="88">
        <v>58.61</v>
      </c>
      <c r="R122" s="88">
        <v>58.61</v>
      </c>
      <c r="S122" s="56" t="str">
        <f t="shared" si="5"/>
        <v> </v>
      </c>
      <c r="T122" s="50" t="s">
        <v>78</v>
      </c>
      <c r="U122" s="51" t="s">
        <v>142</v>
      </c>
      <c r="V122" s="43" t="s">
        <v>1014</v>
      </c>
      <c r="W122" s="43"/>
      <c r="X122" s="50">
        <v>3.0</v>
      </c>
      <c r="Y122" s="43" t="s">
        <v>80</v>
      </c>
      <c r="Z122" s="58">
        <v>0.0</v>
      </c>
      <c r="AA122" s="81" t="s">
        <v>81</v>
      </c>
      <c r="AB122" s="115" t="s">
        <v>1015</v>
      </c>
      <c r="AC122" s="124" t="s">
        <v>1016</v>
      </c>
      <c r="AD122" s="102" t="s">
        <v>1017</v>
      </c>
      <c r="AE122" s="63"/>
      <c r="AF122" s="64" t="s">
        <v>105</v>
      </c>
      <c r="AG122" s="65" t="s">
        <v>106</v>
      </c>
      <c r="AH122" s="65"/>
      <c r="AI122" s="65" t="s">
        <v>107</v>
      </c>
      <c r="AJ122" s="64" t="s">
        <v>453</v>
      </c>
      <c r="AK122" s="50" t="s">
        <v>81</v>
      </c>
      <c r="AL122" s="45" t="s">
        <v>109</v>
      </c>
      <c r="AM122" s="52">
        <v>3.13351965E9</v>
      </c>
      <c r="AN122" s="45">
        <v>0.0</v>
      </c>
      <c r="AO122" s="43">
        <v>0.0</v>
      </c>
      <c r="AP122" s="84" t="s">
        <v>1018</v>
      </c>
      <c r="AQ122" s="84"/>
      <c r="AR122" s="84"/>
      <c r="AS122" s="85">
        <v>0.0</v>
      </c>
      <c r="AT122" s="50">
        <v>0.0</v>
      </c>
      <c r="AU122" s="50">
        <v>0.0</v>
      </c>
      <c r="AV122" s="44">
        <v>0.0</v>
      </c>
      <c r="AW122" s="50" t="s">
        <v>88</v>
      </c>
      <c r="AX122" s="44">
        <v>0.0</v>
      </c>
      <c r="AY122" s="50">
        <v>0.0</v>
      </c>
      <c r="AZ122" s="44">
        <v>0.0</v>
      </c>
      <c r="BA122" s="43" t="s">
        <v>89</v>
      </c>
      <c r="BB122" s="44">
        <v>0.0</v>
      </c>
      <c r="BC122" s="69" t="s">
        <v>1019</v>
      </c>
      <c r="BD122" s="70"/>
      <c r="BE122" s="71"/>
      <c r="BF122" s="72" t="s">
        <v>1020</v>
      </c>
      <c r="BG122" s="74"/>
      <c r="BH122" s="74"/>
      <c r="BI122" s="74"/>
      <c r="BJ122" s="74"/>
      <c r="BK122" s="74"/>
      <c r="BL122" s="74"/>
      <c r="BM122" s="74"/>
      <c r="BN122" s="74"/>
      <c r="BO122" s="74"/>
      <c r="BP122" s="74"/>
      <c r="BQ122" s="74"/>
      <c r="BR122" s="74"/>
      <c r="BS122" s="74"/>
      <c r="BT122" s="74"/>
      <c r="BU122" s="74"/>
      <c r="BV122" s="74"/>
      <c r="BW122" s="74"/>
      <c r="BX122" s="74"/>
      <c r="BY122" s="63"/>
      <c r="BZ122" s="63"/>
    </row>
    <row r="123" ht="15.75" customHeight="1">
      <c r="A123" s="133" t="s">
        <v>1021</v>
      </c>
      <c r="B123" s="43" t="s">
        <v>982</v>
      </c>
      <c r="C123" s="43" t="s">
        <v>70</v>
      </c>
      <c r="D123" s="50" t="s">
        <v>983</v>
      </c>
      <c r="E123" s="77"/>
      <c r="F123" s="78">
        <v>2.5E8</v>
      </c>
      <c r="G123" s="44" t="str">
        <f t="shared" si="1"/>
        <v>$200'000.000 a $300'000.000</v>
      </c>
      <c r="H123" s="44"/>
      <c r="I123" s="44"/>
      <c r="J123" s="50" t="s">
        <v>968</v>
      </c>
      <c r="K123" s="51" t="s">
        <v>184</v>
      </c>
      <c r="L123" s="43">
        <v>4.0</v>
      </c>
      <c r="M123" s="43"/>
      <c r="N123" s="43">
        <v>3.0</v>
      </c>
      <c r="O123" s="43">
        <v>1.0</v>
      </c>
      <c r="P123" s="43">
        <v>2.0</v>
      </c>
      <c r="Q123" s="55">
        <v>98.4</v>
      </c>
      <c r="R123" s="55">
        <v>98.4</v>
      </c>
      <c r="S123" s="56" t="str">
        <f t="shared" si="5"/>
        <v> </v>
      </c>
      <c r="T123" s="43" t="s">
        <v>78</v>
      </c>
      <c r="U123" s="56" t="s">
        <v>77</v>
      </c>
      <c r="V123" s="43" t="s">
        <v>79</v>
      </c>
      <c r="W123" s="43"/>
      <c r="X123" s="43">
        <v>3.0</v>
      </c>
      <c r="Y123" s="94" t="s">
        <v>80</v>
      </c>
      <c r="Z123" s="80" t="s">
        <v>81</v>
      </c>
      <c r="AA123" s="81" t="s">
        <v>81</v>
      </c>
      <c r="AB123" s="140" t="s">
        <v>1022</v>
      </c>
      <c r="AC123" s="131" t="s">
        <v>1023</v>
      </c>
      <c r="AD123" s="107" t="s">
        <v>1024</v>
      </c>
      <c r="AE123" s="63"/>
      <c r="AF123" s="64" t="s">
        <v>236</v>
      </c>
      <c r="AG123" s="65" t="s">
        <v>106</v>
      </c>
      <c r="AH123" s="65"/>
      <c r="AI123" s="65" t="s">
        <v>107</v>
      </c>
      <c r="AJ123" s="64" t="s">
        <v>453</v>
      </c>
      <c r="AK123" s="50" t="s">
        <v>81</v>
      </c>
      <c r="AL123" s="64" t="s">
        <v>109</v>
      </c>
      <c r="AM123" s="43">
        <v>3.13351965E9</v>
      </c>
      <c r="AN123" s="45"/>
      <c r="AO123" s="52"/>
      <c r="AP123" s="84" t="s">
        <v>1025</v>
      </c>
      <c r="AQ123" s="84"/>
      <c r="AR123" s="84"/>
      <c r="AS123" s="135"/>
      <c r="AT123" s="44"/>
      <c r="AU123" s="52"/>
      <c r="AV123" s="52"/>
      <c r="AW123" s="43" t="s">
        <v>106</v>
      </c>
      <c r="AX123" s="52"/>
      <c r="AY123" s="43" t="s">
        <v>247</v>
      </c>
      <c r="AZ123" s="52"/>
      <c r="BA123" s="43" t="s">
        <v>89</v>
      </c>
      <c r="BB123" s="52"/>
      <c r="BC123" s="95"/>
      <c r="BD123" s="71"/>
      <c r="BE123" s="71"/>
      <c r="BF123" s="72" t="s">
        <v>1026</v>
      </c>
      <c r="BG123" s="73"/>
      <c r="BH123" s="73"/>
      <c r="BI123" s="73"/>
      <c r="BJ123" s="73"/>
      <c r="BK123" s="73"/>
      <c r="BL123" s="73"/>
      <c r="BM123" s="73"/>
      <c r="BN123" s="73"/>
      <c r="BO123" s="73"/>
      <c r="BP123" s="73"/>
      <c r="BQ123" s="73"/>
      <c r="BR123" s="73"/>
      <c r="BS123" s="73"/>
      <c r="BT123" s="73"/>
      <c r="BU123" s="73"/>
      <c r="BV123" s="73"/>
      <c r="BW123" s="74"/>
      <c r="BX123" s="74"/>
      <c r="BY123" s="63"/>
      <c r="BZ123" s="63"/>
    </row>
    <row r="124" ht="15.75" customHeight="1">
      <c r="A124" s="133" t="s">
        <v>1027</v>
      </c>
      <c r="B124" s="50" t="s">
        <v>1028</v>
      </c>
      <c r="C124" s="111" t="s">
        <v>323</v>
      </c>
      <c r="D124" s="50" t="s">
        <v>72</v>
      </c>
      <c r="E124" s="77" t="s">
        <v>1029</v>
      </c>
      <c r="F124" s="78">
        <v>2.3E8</v>
      </c>
      <c r="G124" s="44" t="str">
        <f t="shared" si="1"/>
        <v>$200'000.000 a $300'000.000</v>
      </c>
      <c r="H124" s="44"/>
      <c r="I124" s="44"/>
      <c r="J124" s="50" t="s">
        <v>183</v>
      </c>
      <c r="K124" s="51" t="s">
        <v>184</v>
      </c>
      <c r="L124" s="43">
        <v>3.0</v>
      </c>
      <c r="M124" s="43"/>
      <c r="N124" s="43">
        <v>2.0</v>
      </c>
      <c r="O124" s="43">
        <v>1.0</v>
      </c>
      <c r="P124" s="43">
        <v>3.0</v>
      </c>
      <c r="Q124" s="88">
        <v>84.45</v>
      </c>
      <c r="R124" s="88">
        <v>84.45</v>
      </c>
      <c r="S124" s="56" t="str">
        <f t="shared" si="5"/>
        <v> </v>
      </c>
      <c r="T124" s="43" t="s">
        <v>78</v>
      </c>
      <c r="U124" s="51" t="s">
        <v>77</v>
      </c>
      <c r="V124" s="50" t="s">
        <v>642</v>
      </c>
      <c r="W124" s="50"/>
      <c r="X124" s="43">
        <v>3.0</v>
      </c>
      <c r="Y124" s="50" t="s">
        <v>80</v>
      </c>
      <c r="Z124" s="58">
        <v>0.0</v>
      </c>
      <c r="AA124" s="81" t="s">
        <v>81</v>
      </c>
      <c r="AB124" s="134" t="s">
        <v>1030</v>
      </c>
      <c r="AC124" s="124" t="s">
        <v>1031</v>
      </c>
      <c r="AD124" s="107" t="s">
        <v>1032</v>
      </c>
      <c r="AE124" s="63"/>
      <c r="AF124" s="64" t="s">
        <v>105</v>
      </c>
      <c r="AG124" s="65" t="s">
        <v>106</v>
      </c>
      <c r="AH124" s="65"/>
      <c r="AI124" s="65" t="s">
        <v>107</v>
      </c>
      <c r="AJ124" s="64" t="s">
        <v>453</v>
      </c>
      <c r="AK124" s="50" t="s">
        <v>81</v>
      </c>
      <c r="AL124" s="45" t="s">
        <v>109</v>
      </c>
      <c r="AM124" s="52">
        <v>3.13351965E9</v>
      </c>
      <c r="AN124" s="45">
        <v>0.0</v>
      </c>
      <c r="AO124" s="43">
        <v>0.0</v>
      </c>
      <c r="AP124" s="84" t="s">
        <v>1033</v>
      </c>
      <c r="AQ124" s="84">
        <v>2.94552602371828</v>
      </c>
      <c r="AR124" s="84">
        <v>-75.2880651302076</v>
      </c>
      <c r="AS124" s="85">
        <v>0.0</v>
      </c>
      <c r="AT124" s="50">
        <v>0.0</v>
      </c>
      <c r="AU124" s="50">
        <v>0.0</v>
      </c>
      <c r="AV124" s="44">
        <v>0.0</v>
      </c>
      <c r="AW124" s="50" t="s">
        <v>88</v>
      </c>
      <c r="AX124" s="50">
        <v>0.0</v>
      </c>
      <c r="AY124" s="50">
        <v>0.0</v>
      </c>
      <c r="AZ124" s="44">
        <v>0.0</v>
      </c>
      <c r="BA124" s="43" t="s">
        <v>89</v>
      </c>
      <c r="BB124" s="44">
        <v>0.0</v>
      </c>
      <c r="BC124" s="95"/>
      <c r="BD124" s="71"/>
      <c r="BE124" s="71"/>
      <c r="BF124" s="72" t="s">
        <v>1034</v>
      </c>
      <c r="BG124" s="73"/>
      <c r="BH124" s="73"/>
      <c r="BI124" s="73"/>
      <c r="BJ124" s="73"/>
      <c r="BK124" s="73"/>
      <c r="BL124" s="73"/>
      <c r="BM124" s="73"/>
      <c r="BN124" s="73"/>
      <c r="BO124" s="73"/>
      <c r="BP124" s="73"/>
      <c r="BQ124" s="73"/>
      <c r="BR124" s="73"/>
      <c r="BS124" s="73"/>
      <c r="BT124" s="73"/>
      <c r="BU124" s="73"/>
      <c r="BV124" s="73"/>
      <c r="BW124" s="74"/>
      <c r="BX124" s="74"/>
      <c r="BY124" s="63"/>
      <c r="BZ124" s="63"/>
    </row>
    <row r="125" ht="15.75" customHeight="1">
      <c r="A125" s="133" t="s">
        <v>1035</v>
      </c>
      <c r="B125" s="43" t="s">
        <v>1036</v>
      </c>
      <c r="C125" s="43" t="s">
        <v>70</v>
      </c>
      <c r="D125" s="43" t="s">
        <v>1037</v>
      </c>
      <c r="E125" s="45"/>
      <c r="F125" s="78">
        <v>2.3E8</v>
      </c>
      <c r="G125" s="44" t="str">
        <f t="shared" si="1"/>
        <v>$200'000.000 a $300'000.000</v>
      </c>
      <c r="H125" s="44"/>
      <c r="I125" s="44"/>
      <c r="J125" s="43" t="s">
        <v>968</v>
      </c>
      <c r="K125" s="142"/>
      <c r="L125" s="43">
        <v>3.0</v>
      </c>
      <c r="M125" s="43"/>
      <c r="N125" s="43">
        <v>2.0</v>
      </c>
      <c r="O125" s="43">
        <v>1.0</v>
      </c>
      <c r="P125" s="43">
        <v>1.0</v>
      </c>
      <c r="Q125" s="88">
        <v>98.4</v>
      </c>
      <c r="R125" s="88">
        <v>98.4</v>
      </c>
      <c r="S125" s="56" t="str">
        <f t="shared" si="5"/>
        <v> </v>
      </c>
      <c r="T125" s="43" t="s">
        <v>342</v>
      </c>
      <c r="U125" s="56" t="s">
        <v>184</v>
      </c>
      <c r="V125" s="43" t="s">
        <v>79</v>
      </c>
      <c r="W125" s="43"/>
      <c r="X125" s="43">
        <v>3.0</v>
      </c>
      <c r="Y125" s="43" t="s">
        <v>80</v>
      </c>
      <c r="Z125" s="58" t="s">
        <v>81</v>
      </c>
      <c r="AA125" s="59" t="str">
        <f>IF(Rentabilidad=0,"No aplica",TEXT(ROUND(Precio/Rentabilidad/12,0),0) &amp; " años")</f>
        <v>No aplica</v>
      </c>
      <c r="AB125" s="180" t="s">
        <v>1038</v>
      </c>
      <c r="AC125" s="167" t="s">
        <v>1039</v>
      </c>
      <c r="AD125" s="107" t="s">
        <v>583</v>
      </c>
      <c r="AE125" s="63"/>
      <c r="AF125" s="64" t="s">
        <v>105</v>
      </c>
      <c r="AG125" s="65" t="s">
        <v>106</v>
      </c>
      <c r="AH125" s="63"/>
      <c r="AI125" s="65" t="s">
        <v>107</v>
      </c>
      <c r="AJ125" s="64" t="s">
        <v>453</v>
      </c>
      <c r="AK125" s="58" t="s">
        <v>81</v>
      </c>
      <c r="AL125" s="64" t="s">
        <v>109</v>
      </c>
      <c r="AM125" s="43">
        <v>3.13351965E9</v>
      </c>
      <c r="AN125" s="64">
        <v>0.0</v>
      </c>
      <c r="AO125" s="43">
        <v>0.0</v>
      </c>
      <c r="AP125" s="84" t="s">
        <v>1040</v>
      </c>
      <c r="AQ125" s="84"/>
      <c r="AR125" s="84"/>
      <c r="AS125" s="94">
        <v>0.0</v>
      </c>
      <c r="AT125" s="50" t="s">
        <v>88</v>
      </c>
      <c r="AU125" s="43">
        <v>0.0</v>
      </c>
      <c r="AV125" s="43">
        <v>0.0</v>
      </c>
      <c r="AW125" s="43" t="s">
        <v>88</v>
      </c>
      <c r="AX125" s="43">
        <v>0.0</v>
      </c>
      <c r="AY125" s="43" t="s">
        <v>137</v>
      </c>
      <c r="AZ125" s="43">
        <v>0.0</v>
      </c>
      <c r="BA125" s="43" t="s">
        <v>89</v>
      </c>
      <c r="BB125" s="43">
        <v>0.0</v>
      </c>
      <c r="BC125" s="69" t="s">
        <v>90</v>
      </c>
      <c r="BD125" s="70"/>
      <c r="BE125" s="71"/>
      <c r="BF125" s="72" t="s">
        <v>1041</v>
      </c>
      <c r="BG125" s="73"/>
      <c r="BH125" s="73"/>
      <c r="BI125" s="73"/>
      <c r="BJ125" s="73"/>
      <c r="BK125" s="73"/>
      <c r="BL125" s="73"/>
      <c r="BM125" s="73"/>
      <c r="BN125" s="73"/>
      <c r="BO125" s="73"/>
      <c r="BP125" s="73"/>
      <c r="BQ125" s="73"/>
      <c r="BR125" s="73"/>
      <c r="BS125" s="73"/>
      <c r="BT125" s="73"/>
      <c r="BU125" s="73"/>
      <c r="BV125" s="73"/>
      <c r="BW125" s="74"/>
      <c r="BX125" s="74"/>
      <c r="BY125" s="63"/>
      <c r="BZ125" s="63"/>
    </row>
    <row r="126" ht="15.75" customHeight="1">
      <c r="A126" s="75" t="s">
        <v>1042</v>
      </c>
      <c r="B126" s="50" t="s">
        <v>1043</v>
      </c>
      <c r="C126" s="50" t="s">
        <v>70</v>
      </c>
      <c r="D126" s="50" t="s">
        <v>1044</v>
      </c>
      <c r="E126" s="45"/>
      <c r="F126" s="78">
        <v>2.2E8</v>
      </c>
      <c r="G126" s="44" t="str">
        <f t="shared" si="1"/>
        <v>$200'000.000 a $300'000.000</v>
      </c>
      <c r="H126" s="44"/>
      <c r="I126" s="44"/>
      <c r="J126" s="50" t="s">
        <v>116</v>
      </c>
      <c r="K126" s="51" t="s">
        <v>154</v>
      </c>
      <c r="L126" s="50">
        <v>3.0</v>
      </c>
      <c r="M126" s="50"/>
      <c r="N126" s="50">
        <v>3.0</v>
      </c>
      <c r="O126" s="50">
        <v>1.0</v>
      </c>
      <c r="P126" s="50">
        <v>1.0</v>
      </c>
      <c r="Q126" s="88">
        <v>110.0</v>
      </c>
      <c r="R126" s="88">
        <v>110.0</v>
      </c>
      <c r="S126" s="56" t="str">
        <f t="shared" si="5"/>
        <v> </v>
      </c>
      <c r="T126" s="43" t="s">
        <v>78</v>
      </c>
      <c r="U126" s="56" t="s">
        <v>142</v>
      </c>
      <c r="V126" s="50" t="s">
        <v>79</v>
      </c>
      <c r="W126" s="50"/>
      <c r="X126" s="50">
        <v>3.0</v>
      </c>
      <c r="Y126" s="50" t="s">
        <v>80</v>
      </c>
      <c r="Z126" s="58" t="s">
        <v>81</v>
      </c>
      <c r="AA126" s="59" t="str">
        <f>IF(Rentabilidad=0,"No aplica",TEXT(ROUND(Precio/Rentabilidad/12,0),0) &amp; " años")</f>
        <v>No aplica</v>
      </c>
      <c r="AB126" s="134" t="s">
        <v>1045</v>
      </c>
      <c r="AC126" s="131" t="s">
        <v>1046</v>
      </c>
      <c r="AD126" s="62"/>
      <c r="AE126" s="63"/>
      <c r="AF126" s="64" t="s">
        <v>105</v>
      </c>
      <c r="AG126" s="65" t="s">
        <v>106</v>
      </c>
      <c r="AH126" s="65"/>
      <c r="AI126" s="65" t="s">
        <v>107</v>
      </c>
      <c r="AJ126" s="64" t="s">
        <v>453</v>
      </c>
      <c r="AK126" s="58" t="s">
        <v>81</v>
      </c>
      <c r="AL126" s="64" t="s">
        <v>109</v>
      </c>
      <c r="AM126" s="43">
        <v>3.13351965E9</v>
      </c>
      <c r="AN126" s="64">
        <v>0.0</v>
      </c>
      <c r="AO126" s="52"/>
      <c r="AP126" s="67"/>
      <c r="AQ126" s="67"/>
      <c r="AR126" s="67"/>
      <c r="AS126" s="68"/>
      <c r="AT126" s="44"/>
      <c r="AU126" s="44"/>
      <c r="AV126" s="50">
        <v>1.0</v>
      </c>
      <c r="AW126" s="50" t="s">
        <v>106</v>
      </c>
      <c r="AX126" s="44"/>
      <c r="AY126" s="50" t="s">
        <v>247</v>
      </c>
      <c r="AZ126" s="44"/>
      <c r="BA126" s="43" t="s">
        <v>89</v>
      </c>
      <c r="BB126" s="44"/>
      <c r="BC126" s="69" t="s">
        <v>1047</v>
      </c>
      <c r="BD126" s="70"/>
      <c r="BE126" s="71"/>
      <c r="BF126" s="72" t="s">
        <v>1048</v>
      </c>
      <c r="BG126" s="73"/>
      <c r="BH126" s="73"/>
      <c r="BI126" s="73"/>
      <c r="BJ126" s="73"/>
      <c r="BK126" s="73"/>
      <c r="BL126" s="73"/>
      <c r="BM126" s="73"/>
      <c r="BN126" s="73"/>
      <c r="BO126" s="73"/>
      <c r="BP126" s="73"/>
      <c r="BQ126" s="73"/>
      <c r="BR126" s="73"/>
      <c r="BS126" s="73"/>
      <c r="BT126" s="73"/>
      <c r="BU126" s="73"/>
      <c r="BV126" s="73"/>
      <c r="BW126" s="74"/>
      <c r="BX126" s="74"/>
      <c r="BY126" s="63"/>
      <c r="BZ126" s="63"/>
    </row>
    <row r="127" ht="15.75" customHeight="1">
      <c r="A127" s="133" t="s">
        <v>1049</v>
      </c>
      <c r="B127" s="43" t="s">
        <v>1050</v>
      </c>
      <c r="C127" s="43" t="s">
        <v>70</v>
      </c>
      <c r="D127" s="43" t="s">
        <v>1051</v>
      </c>
      <c r="E127" s="77"/>
      <c r="F127" s="78">
        <v>2.2E8</v>
      </c>
      <c r="G127" s="44" t="str">
        <f t="shared" si="1"/>
        <v>$200'000.000 a $300'000.000</v>
      </c>
      <c r="H127" s="44"/>
      <c r="I127" s="44"/>
      <c r="J127" s="43" t="s">
        <v>968</v>
      </c>
      <c r="K127" s="51" t="s">
        <v>241</v>
      </c>
      <c r="L127" s="43">
        <v>3.0</v>
      </c>
      <c r="M127" s="43"/>
      <c r="N127" s="43">
        <v>3.0</v>
      </c>
      <c r="O127" s="43">
        <v>1.0</v>
      </c>
      <c r="P127" s="43">
        <v>1.0</v>
      </c>
      <c r="Q127" s="55">
        <v>115.0</v>
      </c>
      <c r="R127" s="55">
        <v>115.0</v>
      </c>
      <c r="S127" s="56" t="str">
        <f t="shared" si="5"/>
        <v> </v>
      </c>
      <c r="T127" s="43" t="s">
        <v>78</v>
      </c>
      <c r="U127" s="56" t="s">
        <v>77</v>
      </c>
      <c r="V127" s="43" t="s">
        <v>118</v>
      </c>
      <c r="W127" s="43"/>
      <c r="X127" s="43">
        <v>0.0</v>
      </c>
      <c r="Y127" s="43" t="s">
        <v>80</v>
      </c>
      <c r="Z127" s="58" t="s">
        <v>81</v>
      </c>
      <c r="AA127" s="59" t="str">
        <f>IF(Rentabilidad=0,"No aplica",TEXT(ROUND(Precio/Rentabilidad/12,0),0) &amp; " años")</f>
        <v>No aplica</v>
      </c>
      <c r="AB127" s="165" t="s">
        <v>1052</v>
      </c>
      <c r="AC127" s="131" t="s">
        <v>1053</v>
      </c>
      <c r="AD127" s="62"/>
      <c r="AE127" s="63"/>
      <c r="AF127" s="64" t="s">
        <v>84</v>
      </c>
      <c r="AG127" s="65" t="s">
        <v>106</v>
      </c>
      <c r="AH127" s="65"/>
      <c r="AI127" s="65" t="s">
        <v>107</v>
      </c>
      <c r="AJ127" s="64" t="s">
        <v>453</v>
      </c>
      <c r="AK127" s="50" t="s">
        <v>81</v>
      </c>
      <c r="AL127" s="45" t="s">
        <v>109</v>
      </c>
      <c r="AM127" s="52">
        <v>3.13351965E9</v>
      </c>
      <c r="AN127" s="45"/>
      <c r="AO127" s="52"/>
      <c r="AP127" s="84" t="s">
        <v>1054</v>
      </c>
      <c r="AQ127" s="84"/>
      <c r="AR127" s="84"/>
      <c r="AS127" s="135"/>
      <c r="AT127" s="44"/>
      <c r="AU127" s="52"/>
      <c r="AV127" s="52"/>
      <c r="AW127" s="43" t="s">
        <v>106</v>
      </c>
      <c r="AX127" s="52"/>
      <c r="AY127" s="43" t="s">
        <v>106</v>
      </c>
      <c r="AZ127" s="52"/>
      <c r="BA127" s="43" t="s">
        <v>89</v>
      </c>
      <c r="BB127" s="52"/>
      <c r="BC127" s="69" t="s">
        <v>1055</v>
      </c>
      <c r="BD127" s="70"/>
      <c r="BE127" s="70"/>
      <c r="BF127" s="72" t="s">
        <v>1056</v>
      </c>
      <c r="BG127" s="73"/>
      <c r="BH127" s="73"/>
      <c r="BI127" s="73"/>
      <c r="BJ127" s="73"/>
      <c r="BK127" s="73"/>
      <c r="BL127" s="73"/>
      <c r="BM127" s="73"/>
      <c r="BN127" s="73"/>
      <c r="BO127" s="73"/>
      <c r="BP127" s="73"/>
      <c r="BQ127" s="73"/>
      <c r="BR127" s="73"/>
      <c r="BS127" s="73"/>
      <c r="BT127" s="73"/>
      <c r="BU127" s="73"/>
      <c r="BV127" s="73"/>
      <c r="BW127" s="74"/>
      <c r="BX127" s="74"/>
      <c r="BY127" s="63"/>
      <c r="BZ127" s="63"/>
    </row>
    <row r="128" ht="15.75" customHeight="1">
      <c r="A128" s="152" t="s">
        <v>1057</v>
      </c>
      <c r="B128" s="181" t="s">
        <v>1058</v>
      </c>
      <c r="C128" s="181" t="s">
        <v>573</v>
      </c>
      <c r="D128" s="182" t="s">
        <v>1005</v>
      </c>
      <c r="E128" s="155"/>
      <c r="F128" s="161">
        <v>1.9E8</v>
      </c>
      <c r="G128" s="44" t="str">
        <f t="shared" si="1"/>
        <v>$100'000.000 a $200'000.000</v>
      </c>
      <c r="H128" s="44"/>
      <c r="I128" s="44"/>
      <c r="J128" s="182" t="s">
        <v>116</v>
      </c>
      <c r="K128" s="183" t="s">
        <v>192</v>
      </c>
      <c r="L128" s="182">
        <v>1.0</v>
      </c>
      <c r="M128" s="182"/>
      <c r="N128" s="182">
        <v>1.0</v>
      </c>
      <c r="O128" s="182">
        <v>1.0</v>
      </c>
      <c r="P128" s="182">
        <v>5.0</v>
      </c>
      <c r="Q128" s="79">
        <v>42.0</v>
      </c>
      <c r="R128" s="79">
        <v>42.0</v>
      </c>
      <c r="S128" s="56" t="str">
        <f t="shared" si="5"/>
        <v> </v>
      </c>
      <c r="T128" s="181" t="s">
        <v>78</v>
      </c>
      <c r="U128" s="184" t="s">
        <v>142</v>
      </c>
      <c r="V128" s="182" t="s">
        <v>333</v>
      </c>
      <c r="W128" s="182"/>
      <c r="X128" s="181">
        <v>1.0</v>
      </c>
      <c r="Y128" s="181" t="s">
        <v>130</v>
      </c>
      <c r="Z128" s="58"/>
      <c r="AA128" s="59" t="str">
        <f>IF(Rentabilidad=0,"No aplica",TEXT(ROUND(Precio/Rentabilidad/12,0),0) &amp; " años")</f>
        <v>No aplica</v>
      </c>
      <c r="AB128" s="185" t="s">
        <v>1059</v>
      </c>
      <c r="AC128" s="132" t="s">
        <v>1060</v>
      </c>
      <c r="AD128" s="107" t="s">
        <v>1061</v>
      </c>
      <c r="AE128" s="63"/>
      <c r="AF128" s="64" t="s">
        <v>105</v>
      </c>
      <c r="AG128" s="65" t="s">
        <v>106</v>
      </c>
      <c r="AH128" s="63"/>
      <c r="AI128" s="181" t="s">
        <v>107</v>
      </c>
      <c r="AJ128" s="64" t="s">
        <v>453</v>
      </c>
      <c r="AK128" s="58" t="s">
        <v>81</v>
      </c>
      <c r="AL128" s="64" t="s">
        <v>109</v>
      </c>
      <c r="AM128" s="43">
        <v>3.13351965E9</v>
      </c>
      <c r="AN128" s="64">
        <v>0.0</v>
      </c>
      <c r="AO128" s="43" t="s">
        <v>245</v>
      </c>
      <c r="AP128" s="84" t="s">
        <v>1062</v>
      </c>
      <c r="AQ128" s="84">
        <v>2.9332991</v>
      </c>
      <c r="AR128" s="84">
        <v>-75.2500989</v>
      </c>
      <c r="AS128" s="94">
        <v>0.0</v>
      </c>
      <c r="AT128" s="65" t="s">
        <v>88</v>
      </c>
      <c r="AU128" s="43">
        <v>0.0</v>
      </c>
      <c r="AV128" s="43">
        <v>0.0</v>
      </c>
      <c r="AW128" s="43" t="s">
        <v>88</v>
      </c>
      <c r="AX128" s="43">
        <v>0.0</v>
      </c>
      <c r="AY128" s="43">
        <v>0.0</v>
      </c>
      <c r="AZ128" s="43">
        <v>0.0</v>
      </c>
      <c r="BA128" s="43" t="s">
        <v>89</v>
      </c>
      <c r="BB128" s="44"/>
      <c r="BC128" s="69" t="s">
        <v>716</v>
      </c>
      <c r="BD128" s="70"/>
      <c r="BE128" s="70"/>
      <c r="BF128" s="72" t="s">
        <v>1063</v>
      </c>
      <c r="BG128" s="73"/>
      <c r="BH128" s="73"/>
      <c r="BI128" s="73"/>
      <c r="BJ128" s="73"/>
      <c r="BK128" s="73"/>
      <c r="BL128" s="73"/>
      <c r="BM128" s="73"/>
      <c r="BN128" s="73"/>
      <c r="BO128" s="73"/>
      <c r="BP128" s="73"/>
      <c r="BQ128" s="73"/>
      <c r="BR128" s="73"/>
      <c r="BS128" s="73"/>
      <c r="BT128" s="73"/>
      <c r="BU128" s="73"/>
      <c r="BV128" s="73"/>
      <c r="BW128" s="74"/>
      <c r="BX128" s="74"/>
      <c r="BY128" s="63"/>
      <c r="BZ128" s="63"/>
    </row>
    <row r="129" ht="15.75" customHeight="1">
      <c r="A129" s="75" t="s">
        <v>1064</v>
      </c>
      <c r="B129" s="50" t="s">
        <v>1065</v>
      </c>
      <c r="C129" s="50" t="s">
        <v>323</v>
      </c>
      <c r="D129" s="50" t="s">
        <v>308</v>
      </c>
      <c r="E129" s="77" t="s">
        <v>1066</v>
      </c>
      <c r="F129" s="78">
        <v>1.85E8</v>
      </c>
      <c r="G129" s="44" t="str">
        <f t="shared" si="1"/>
        <v>$100'000.000 a $200'000.000</v>
      </c>
      <c r="H129" s="44"/>
      <c r="I129" s="44"/>
      <c r="J129" s="50" t="s">
        <v>94</v>
      </c>
      <c r="K129" s="51" t="s">
        <v>117</v>
      </c>
      <c r="L129" s="50">
        <v>3.0</v>
      </c>
      <c r="M129" s="50"/>
      <c r="N129" s="50">
        <v>3.0</v>
      </c>
      <c r="O129" s="50">
        <v>1.0</v>
      </c>
      <c r="P129" s="50">
        <v>3.0</v>
      </c>
      <c r="Q129" s="79">
        <v>70.15</v>
      </c>
      <c r="R129" s="79">
        <v>70.15</v>
      </c>
      <c r="S129" s="56" t="str">
        <f t="shared" si="5"/>
        <v> </v>
      </c>
      <c r="T129" s="50" t="s">
        <v>78</v>
      </c>
      <c r="U129" s="51" t="s">
        <v>77</v>
      </c>
      <c r="V129" s="50" t="s">
        <v>642</v>
      </c>
      <c r="W129" s="50"/>
      <c r="X129" s="50">
        <v>3.0</v>
      </c>
      <c r="Y129" s="50" t="s">
        <v>130</v>
      </c>
      <c r="Z129" s="58"/>
      <c r="AA129" s="59" t="str">
        <f>IF(Rentabilidad=0,"No aplica",TEXT(ROUND(Precio/Rentabilidad/12,0),0) &amp; " años")</f>
        <v>No aplica</v>
      </c>
      <c r="AB129" s="82" t="s">
        <v>1067</v>
      </c>
      <c r="AC129" s="132" t="s">
        <v>1068</v>
      </c>
      <c r="AD129" s="107" t="s">
        <v>1069</v>
      </c>
      <c r="AE129" s="63"/>
      <c r="AF129" s="64" t="s">
        <v>105</v>
      </c>
      <c r="AG129" s="65" t="s">
        <v>106</v>
      </c>
      <c r="AH129" s="65"/>
      <c r="AI129" s="65" t="s">
        <v>107</v>
      </c>
      <c r="AJ129" s="64" t="s">
        <v>453</v>
      </c>
      <c r="AK129" s="58" t="s">
        <v>81</v>
      </c>
      <c r="AL129" s="64" t="s">
        <v>109</v>
      </c>
      <c r="AM129" s="43">
        <v>3.13351965E9</v>
      </c>
      <c r="AN129" s="64">
        <v>0.0</v>
      </c>
      <c r="AO129" s="43" t="s">
        <v>245</v>
      </c>
      <c r="AP129" s="84">
        <v>0.0</v>
      </c>
      <c r="AQ129" s="84"/>
      <c r="AR129" s="84"/>
      <c r="AS129" s="94">
        <v>0.0</v>
      </c>
      <c r="AT129" s="65" t="s">
        <v>88</v>
      </c>
      <c r="AU129" s="43">
        <v>0.0</v>
      </c>
      <c r="AV129" s="43">
        <v>0.0</v>
      </c>
      <c r="AW129" s="43" t="s">
        <v>88</v>
      </c>
      <c r="AX129" s="43">
        <v>0.0</v>
      </c>
      <c r="AY129" s="43">
        <v>0.0</v>
      </c>
      <c r="AZ129" s="43">
        <v>0.0</v>
      </c>
      <c r="BA129" s="43" t="s">
        <v>89</v>
      </c>
      <c r="BB129" s="44"/>
      <c r="BC129" s="109"/>
      <c r="BD129" s="121"/>
      <c r="BE129" s="129"/>
      <c r="BF129" s="72" t="s">
        <v>1070</v>
      </c>
      <c r="BG129" s="73"/>
      <c r="BH129" s="73"/>
      <c r="BI129" s="73"/>
      <c r="BJ129" s="73"/>
      <c r="BK129" s="73"/>
      <c r="BL129" s="73"/>
      <c r="BM129" s="73"/>
      <c r="BN129" s="73"/>
      <c r="BO129" s="73"/>
      <c r="BP129" s="73"/>
      <c r="BQ129" s="73"/>
      <c r="BR129" s="73"/>
      <c r="BS129" s="73"/>
      <c r="BT129" s="73"/>
      <c r="BU129" s="73"/>
      <c r="BV129" s="73"/>
      <c r="BW129" s="74"/>
      <c r="BX129" s="74"/>
      <c r="BY129" s="63"/>
      <c r="BZ129" s="63"/>
    </row>
    <row r="130" ht="15.75" customHeight="1">
      <c r="A130" s="133" t="s">
        <v>1071</v>
      </c>
      <c r="B130" s="43" t="s">
        <v>1072</v>
      </c>
      <c r="C130" s="43" t="s">
        <v>573</v>
      </c>
      <c r="D130" s="50" t="s">
        <v>272</v>
      </c>
      <c r="E130" s="77"/>
      <c r="F130" s="78">
        <v>1.75E8</v>
      </c>
      <c r="G130" s="44" t="str">
        <f t="shared" si="1"/>
        <v>$100'000.000 a $200'000.000</v>
      </c>
      <c r="H130" s="44"/>
      <c r="I130" s="44"/>
      <c r="J130" s="50" t="s">
        <v>94</v>
      </c>
      <c r="K130" s="51" t="s">
        <v>192</v>
      </c>
      <c r="L130" s="43">
        <v>3.0</v>
      </c>
      <c r="M130" s="43"/>
      <c r="N130" s="43">
        <v>3.0</v>
      </c>
      <c r="O130" s="43">
        <v>1.0</v>
      </c>
      <c r="P130" s="43">
        <v>1.0</v>
      </c>
      <c r="Q130" s="55">
        <v>74.0</v>
      </c>
      <c r="R130" s="55">
        <v>74.0</v>
      </c>
      <c r="S130" s="56" t="str">
        <f t="shared" si="5"/>
        <v> </v>
      </c>
      <c r="T130" s="43" t="s">
        <v>78</v>
      </c>
      <c r="U130" s="56" t="s">
        <v>184</v>
      </c>
      <c r="V130" s="43" t="s">
        <v>118</v>
      </c>
      <c r="W130" s="43"/>
      <c r="X130" s="43">
        <v>3.0</v>
      </c>
      <c r="Y130" s="94" t="s">
        <v>80</v>
      </c>
      <c r="Z130" s="80"/>
      <c r="AA130" s="81" t="s">
        <v>81</v>
      </c>
      <c r="AB130" s="140" t="s">
        <v>1073</v>
      </c>
      <c r="AC130" s="131" t="s">
        <v>1074</v>
      </c>
      <c r="AD130" s="62"/>
      <c r="AE130" s="63"/>
      <c r="AF130" s="64" t="s">
        <v>236</v>
      </c>
      <c r="AG130" s="65" t="s">
        <v>106</v>
      </c>
      <c r="AH130" s="65"/>
      <c r="AI130" s="65" t="s">
        <v>107</v>
      </c>
      <c r="AJ130" s="64" t="s">
        <v>453</v>
      </c>
      <c r="AK130" s="50" t="s">
        <v>81</v>
      </c>
      <c r="AL130" s="64" t="s">
        <v>109</v>
      </c>
      <c r="AM130" s="52">
        <v>3.13351965E9</v>
      </c>
      <c r="AN130" s="45"/>
      <c r="AO130" s="52"/>
      <c r="AP130" s="84" t="s">
        <v>1075</v>
      </c>
      <c r="AQ130" s="84"/>
      <c r="AR130" s="84"/>
      <c r="AS130" s="135"/>
      <c r="AT130" s="44"/>
      <c r="AU130" s="52"/>
      <c r="AV130" s="52"/>
      <c r="AW130" s="52"/>
      <c r="AX130" s="52"/>
      <c r="AY130" s="52"/>
      <c r="AZ130" s="52"/>
      <c r="BA130" s="43" t="s">
        <v>89</v>
      </c>
      <c r="BB130" s="52"/>
      <c r="BC130" s="109"/>
      <c r="BD130" s="70"/>
      <c r="BE130" s="71"/>
      <c r="BF130" s="72" t="s">
        <v>1076</v>
      </c>
      <c r="BG130" s="73"/>
      <c r="BH130" s="73"/>
      <c r="BI130" s="73"/>
      <c r="BJ130" s="73"/>
      <c r="BK130" s="73"/>
      <c r="BL130" s="73"/>
      <c r="BM130" s="73"/>
      <c r="BN130" s="73"/>
      <c r="BO130" s="73"/>
      <c r="BP130" s="73"/>
      <c r="BQ130" s="73"/>
      <c r="BR130" s="73"/>
      <c r="BS130" s="73"/>
      <c r="BT130" s="73"/>
      <c r="BU130" s="73"/>
      <c r="BV130" s="73"/>
      <c r="BW130" s="74"/>
      <c r="BX130" s="74"/>
      <c r="BY130" s="63"/>
      <c r="BZ130" s="63"/>
    </row>
    <row r="131" ht="15.75" customHeight="1">
      <c r="A131" s="75" t="s">
        <v>1077</v>
      </c>
      <c r="B131" s="50" t="s">
        <v>1078</v>
      </c>
      <c r="C131" s="111" t="s">
        <v>323</v>
      </c>
      <c r="D131" s="50" t="s">
        <v>1079</v>
      </c>
      <c r="E131" s="77" t="s">
        <v>1080</v>
      </c>
      <c r="F131" s="78">
        <v>1.75E8</v>
      </c>
      <c r="G131" s="44" t="str">
        <f t="shared" si="1"/>
        <v>$100'000.000 a $200'000.000</v>
      </c>
      <c r="H131" s="44"/>
      <c r="I131" s="44"/>
      <c r="J131" s="50" t="s">
        <v>116</v>
      </c>
      <c r="K131" s="51" t="s">
        <v>294</v>
      </c>
      <c r="L131" s="50">
        <v>3.0</v>
      </c>
      <c r="M131" s="50"/>
      <c r="N131" s="50">
        <v>2.0</v>
      </c>
      <c r="O131" s="50">
        <v>1.0</v>
      </c>
      <c r="P131" s="43">
        <v>5.0</v>
      </c>
      <c r="Q131" s="88">
        <v>67.0</v>
      </c>
      <c r="R131" s="88">
        <v>67.0</v>
      </c>
      <c r="S131" s="56" t="str">
        <f t="shared" si="5"/>
        <v> </v>
      </c>
      <c r="T131" s="50" t="s">
        <v>78</v>
      </c>
      <c r="U131" s="51" t="s">
        <v>77</v>
      </c>
      <c r="V131" s="50" t="s">
        <v>333</v>
      </c>
      <c r="W131" s="50"/>
      <c r="X131" s="50">
        <v>3.0</v>
      </c>
      <c r="Y131" s="43" t="s">
        <v>130</v>
      </c>
      <c r="Z131" s="58">
        <v>200000.0</v>
      </c>
      <c r="AA131" s="81" t="s">
        <v>81</v>
      </c>
      <c r="AB131" s="115" t="s">
        <v>1081</v>
      </c>
      <c r="AC131" s="124" t="s">
        <v>1082</v>
      </c>
      <c r="AD131" s="125" t="s">
        <v>1017</v>
      </c>
      <c r="AE131" s="63"/>
      <c r="AF131" s="64" t="s">
        <v>105</v>
      </c>
      <c r="AG131" s="65" t="s">
        <v>106</v>
      </c>
      <c r="AH131" s="65"/>
      <c r="AI131" s="65" t="s">
        <v>107</v>
      </c>
      <c r="AJ131" s="64" t="s">
        <v>453</v>
      </c>
      <c r="AK131" s="50" t="s">
        <v>81</v>
      </c>
      <c r="AL131" s="45" t="s">
        <v>109</v>
      </c>
      <c r="AM131" s="52">
        <v>3.13351965E9</v>
      </c>
      <c r="AN131" s="64">
        <v>0.0</v>
      </c>
      <c r="AO131" s="43">
        <v>0.0</v>
      </c>
      <c r="AP131" s="108" t="s">
        <v>1083</v>
      </c>
      <c r="AQ131" s="108"/>
      <c r="AR131" s="108"/>
      <c r="AS131" s="94">
        <v>0.0</v>
      </c>
      <c r="AT131" s="50" t="s">
        <v>106</v>
      </c>
      <c r="AU131" s="43">
        <v>0.0</v>
      </c>
      <c r="AV131" s="43">
        <v>0.0</v>
      </c>
      <c r="AW131" s="43" t="s">
        <v>88</v>
      </c>
      <c r="AX131" s="43">
        <v>0.0</v>
      </c>
      <c r="AY131" s="43">
        <v>0.0</v>
      </c>
      <c r="AZ131" s="50">
        <v>0.0</v>
      </c>
      <c r="BA131" s="43" t="s">
        <v>89</v>
      </c>
      <c r="BB131" s="50">
        <v>0.0</v>
      </c>
      <c r="BC131" s="95"/>
      <c r="BD131" s="71"/>
      <c r="BE131" s="71"/>
      <c r="BF131" s="72" t="s">
        <v>1084</v>
      </c>
      <c r="BG131" s="73"/>
      <c r="BH131" s="73"/>
      <c r="BI131" s="73"/>
      <c r="BJ131" s="73"/>
      <c r="BK131" s="73"/>
      <c r="BL131" s="73"/>
      <c r="BM131" s="73"/>
      <c r="BN131" s="73"/>
      <c r="BO131" s="73"/>
      <c r="BP131" s="73"/>
      <c r="BQ131" s="73"/>
      <c r="BR131" s="73"/>
      <c r="BS131" s="73"/>
      <c r="BT131" s="73"/>
      <c r="BU131" s="73"/>
      <c r="BV131" s="73"/>
      <c r="BW131" s="74"/>
      <c r="BX131" s="74"/>
      <c r="BY131" s="63"/>
      <c r="BZ131" s="63"/>
    </row>
    <row r="132" ht="15.75" customHeight="1">
      <c r="A132" s="75" t="s">
        <v>1085</v>
      </c>
      <c r="B132" s="50" t="s">
        <v>1086</v>
      </c>
      <c r="C132" s="111" t="s">
        <v>323</v>
      </c>
      <c r="D132" s="50" t="s">
        <v>1087</v>
      </c>
      <c r="E132" s="64" t="s">
        <v>1088</v>
      </c>
      <c r="F132" s="78">
        <v>1.7E8</v>
      </c>
      <c r="G132" s="44" t="str">
        <f t="shared" si="1"/>
        <v>$100'000.000 a $200'000.000</v>
      </c>
      <c r="H132" s="44"/>
      <c r="I132" s="44"/>
      <c r="J132" s="50" t="s">
        <v>183</v>
      </c>
      <c r="K132" s="51" t="s">
        <v>888</v>
      </c>
      <c r="L132" s="50">
        <v>3.0</v>
      </c>
      <c r="M132" s="50"/>
      <c r="N132" s="50">
        <v>3.0</v>
      </c>
      <c r="O132" s="50">
        <v>1.0</v>
      </c>
      <c r="P132" s="111">
        <v>1.0</v>
      </c>
      <c r="Q132" s="88">
        <v>60.0</v>
      </c>
      <c r="R132" s="88">
        <v>60.0</v>
      </c>
      <c r="S132" s="56" t="str">
        <f t="shared" si="5"/>
        <v> </v>
      </c>
      <c r="T132" s="43" t="s">
        <v>78</v>
      </c>
      <c r="U132" s="56" t="s">
        <v>184</v>
      </c>
      <c r="V132" s="50" t="s">
        <v>1014</v>
      </c>
      <c r="W132" s="50"/>
      <c r="X132" s="50">
        <v>2.0</v>
      </c>
      <c r="Y132" s="50" t="s">
        <v>130</v>
      </c>
      <c r="Z132" s="80">
        <v>152000.0</v>
      </c>
      <c r="AA132" s="59" t="str">
        <f>IF(Rentabilidad=0,"No aplica",TEXT(ROUND(Precio/Rentabilidad/12,0),0) &amp; " años")</f>
        <v>No aplica</v>
      </c>
      <c r="AB132" s="180" t="s">
        <v>1089</v>
      </c>
      <c r="AC132" s="131" t="s">
        <v>1090</v>
      </c>
      <c r="AD132" s="62"/>
      <c r="AE132" s="63"/>
      <c r="AF132" s="64" t="s">
        <v>105</v>
      </c>
      <c r="AG132" s="65" t="s">
        <v>106</v>
      </c>
      <c r="AH132" s="65"/>
      <c r="AI132" s="65" t="s">
        <v>107</v>
      </c>
      <c r="AJ132" s="64" t="s">
        <v>453</v>
      </c>
      <c r="AK132" s="58" t="s">
        <v>81</v>
      </c>
      <c r="AL132" s="64" t="s">
        <v>109</v>
      </c>
      <c r="AM132" s="43">
        <v>3.13351965E9</v>
      </c>
      <c r="AN132" s="64">
        <v>0.0</v>
      </c>
      <c r="AO132" s="52"/>
      <c r="AP132" s="84" t="s">
        <v>1091</v>
      </c>
      <c r="AQ132" s="84"/>
      <c r="AR132" s="84"/>
      <c r="AS132" s="68"/>
      <c r="AT132" s="44"/>
      <c r="AU132" s="44"/>
      <c r="AV132" s="44"/>
      <c r="AW132" s="44"/>
      <c r="AX132" s="44"/>
      <c r="AY132" s="50">
        <v>0.0</v>
      </c>
      <c r="AZ132" s="44"/>
      <c r="BA132" s="43" t="s">
        <v>89</v>
      </c>
      <c r="BB132" s="44"/>
      <c r="BC132" s="69" t="s">
        <v>1092</v>
      </c>
      <c r="BD132" s="70"/>
      <c r="BE132" s="71"/>
      <c r="BF132" s="72" t="s">
        <v>1093</v>
      </c>
      <c r="BG132" s="73"/>
      <c r="BH132" s="73"/>
      <c r="BI132" s="73"/>
      <c r="BJ132" s="73"/>
      <c r="BK132" s="73"/>
      <c r="BL132" s="73"/>
      <c r="BM132" s="73"/>
      <c r="BN132" s="73"/>
      <c r="BO132" s="73"/>
      <c r="BP132" s="73"/>
      <c r="BQ132" s="73"/>
      <c r="BR132" s="73"/>
      <c r="BS132" s="73"/>
      <c r="BT132" s="73"/>
      <c r="BU132" s="73"/>
      <c r="BV132" s="73"/>
      <c r="BW132" s="74"/>
      <c r="BX132" s="74"/>
      <c r="BY132" s="63"/>
      <c r="BZ132" s="63"/>
    </row>
    <row r="133" ht="15.75" customHeight="1">
      <c r="A133" s="75" t="s">
        <v>1094</v>
      </c>
      <c r="B133" s="50" t="s">
        <v>1095</v>
      </c>
      <c r="C133" s="50" t="s">
        <v>323</v>
      </c>
      <c r="D133" s="50"/>
      <c r="E133" s="64" t="s">
        <v>1096</v>
      </c>
      <c r="F133" s="78">
        <v>1.65E8</v>
      </c>
      <c r="G133" s="44" t="str">
        <f t="shared" si="1"/>
        <v>$100'000.000 a $200'000.000</v>
      </c>
      <c r="H133" s="44"/>
      <c r="I133" s="44"/>
      <c r="J133" s="50" t="s">
        <v>183</v>
      </c>
      <c r="K133" s="51" t="s">
        <v>888</v>
      </c>
      <c r="L133" s="50">
        <v>3.0</v>
      </c>
      <c r="M133" s="50"/>
      <c r="N133" s="50">
        <v>2.0</v>
      </c>
      <c r="O133" s="50">
        <v>1.0</v>
      </c>
      <c r="P133" s="50">
        <v>3.0</v>
      </c>
      <c r="Q133" s="88">
        <v>59.0</v>
      </c>
      <c r="R133" s="88">
        <v>59.0</v>
      </c>
      <c r="S133" s="56" t="str">
        <f t="shared" si="5"/>
        <v> </v>
      </c>
      <c r="T133" s="50" t="s">
        <v>78</v>
      </c>
      <c r="U133" s="51" t="s">
        <v>77</v>
      </c>
      <c r="V133" s="50" t="s">
        <v>642</v>
      </c>
      <c r="W133" s="50"/>
      <c r="X133" s="50">
        <v>3.0</v>
      </c>
      <c r="Y133" s="50" t="s">
        <v>130</v>
      </c>
      <c r="Z133" s="91"/>
      <c r="AA133" s="59" t="str">
        <f>IF(Rentabilidad=0,"No aplica",TEXT(ROUND(Precio/Rentabilidad/12,0),0) &amp; " años")</f>
        <v>No aplica</v>
      </c>
      <c r="AB133" s="82" t="s">
        <v>1097</v>
      </c>
      <c r="AC133" s="186" t="s">
        <v>1098</v>
      </c>
      <c r="AD133" s="103" t="s">
        <v>1099</v>
      </c>
      <c r="AE133" s="63"/>
      <c r="AF133" s="64" t="s">
        <v>105</v>
      </c>
      <c r="AG133" s="65" t="s">
        <v>106</v>
      </c>
      <c r="AH133" s="63"/>
      <c r="AI133" s="65" t="s">
        <v>107</v>
      </c>
      <c r="AJ133" s="64" t="s">
        <v>453</v>
      </c>
      <c r="AK133" s="58" t="s">
        <v>81</v>
      </c>
      <c r="AL133" s="64" t="s">
        <v>109</v>
      </c>
      <c r="AM133" s="43">
        <v>3.13351965E9</v>
      </c>
      <c r="AN133" s="64">
        <v>0.0</v>
      </c>
      <c r="AO133" s="43" t="s">
        <v>245</v>
      </c>
      <c r="AP133" s="84"/>
      <c r="AQ133" s="84"/>
      <c r="AR133" s="84"/>
      <c r="AS133" s="94">
        <v>0.0</v>
      </c>
      <c r="AT133" s="65" t="s">
        <v>106</v>
      </c>
      <c r="AU133" s="43" t="s">
        <v>88</v>
      </c>
      <c r="AV133" s="43" t="s">
        <v>88</v>
      </c>
      <c r="AW133" s="43" t="s">
        <v>88</v>
      </c>
      <c r="AX133" s="43">
        <v>0.0</v>
      </c>
      <c r="AY133" s="43">
        <v>0.0</v>
      </c>
      <c r="AZ133" s="43">
        <v>0.0</v>
      </c>
      <c r="BA133" s="43" t="s">
        <v>89</v>
      </c>
      <c r="BB133" s="50">
        <v>0.0</v>
      </c>
      <c r="BC133" s="95"/>
      <c r="BD133" s="71"/>
      <c r="BE133" s="71"/>
      <c r="BF133" s="72" t="s">
        <v>1100</v>
      </c>
      <c r="BG133" s="73"/>
      <c r="BH133" s="73"/>
      <c r="BI133" s="73"/>
      <c r="BJ133" s="73"/>
      <c r="BK133" s="73"/>
      <c r="BL133" s="73"/>
      <c r="BM133" s="73"/>
      <c r="BN133" s="73"/>
      <c r="BO133" s="73"/>
      <c r="BP133" s="73"/>
      <c r="BQ133" s="73"/>
      <c r="BR133" s="73"/>
      <c r="BS133" s="73"/>
      <c r="BT133" s="73"/>
      <c r="BU133" s="73"/>
      <c r="BV133" s="73"/>
      <c r="BW133" s="74"/>
      <c r="BX133" s="74"/>
      <c r="BY133" s="63"/>
      <c r="BZ133" s="63"/>
    </row>
    <row r="134" ht="15.75" customHeight="1">
      <c r="A134" s="75" t="s">
        <v>1101</v>
      </c>
      <c r="B134" s="50" t="s">
        <v>1102</v>
      </c>
      <c r="C134" s="111" t="s">
        <v>323</v>
      </c>
      <c r="D134" s="50"/>
      <c r="E134" s="77" t="s">
        <v>1103</v>
      </c>
      <c r="F134" s="78">
        <v>1.5E8</v>
      </c>
      <c r="G134" s="44" t="str">
        <f t="shared" si="1"/>
        <v>$100'000.000 a $200'000.000</v>
      </c>
      <c r="H134" s="44"/>
      <c r="I134" s="44"/>
      <c r="J134" s="50" t="s">
        <v>183</v>
      </c>
      <c r="K134" s="57"/>
      <c r="L134" s="50">
        <v>3.0</v>
      </c>
      <c r="M134" s="50"/>
      <c r="N134" s="50">
        <v>2.0</v>
      </c>
      <c r="O134" s="50">
        <v>1.0</v>
      </c>
      <c r="P134" s="50">
        <v>12.0</v>
      </c>
      <c r="Q134" s="88">
        <v>60.0</v>
      </c>
      <c r="R134" s="88">
        <v>60.0</v>
      </c>
      <c r="S134" s="56" t="str">
        <f t="shared" si="5"/>
        <v> </v>
      </c>
      <c r="T134" s="50" t="s">
        <v>78</v>
      </c>
      <c r="U134" s="51" t="s">
        <v>184</v>
      </c>
      <c r="V134" s="50" t="s">
        <v>1104</v>
      </c>
      <c r="W134" s="50"/>
      <c r="X134" s="50">
        <v>3.0</v>
      </c>
      <c r="Y134" s="43" t="s">
        <v>130</v>
      </c>
      <c r="Z134" s="58">
        <v>152000.0</v>
      </c>
      <c r="AA134" s="81" t="s">
        <v>81</v>
      </c>
      <c r="AB134" s="115" t="s">
        <v>1105</v>
      </c>
      <c r="AC134" s="124" t="s">
        <v>1106</v>
      </c>
      <c r="AD134" s="125" t="s">
        <v>1107</v>
      </c>
      <c r="AE134" s="63"/>
      <c r="AF134" s="64" t="s">
        <v>105</v>
      </c>
      <c r="AG134" s="65" t="s">
        <v>106</v>
      </c>
      <c r="AH134" s="63"/>
      <c r="AI134" s="65" t="s">
        <v>107</v>
      </c>
      <c r="AJ134" s="64" t="s">
        <v>453</v>
      </c>
      <c r="AK134" s="50" t="s">
        <v>81</v>
      </c>
      <c r="AL134" s="45" t="s">
        <v>109</v>
      </c>
      <c r="AM134" s="52">
        <v>3.13351965E9</v>
      </c>
      <c r="AN134" s="64">
        <v>0.0</v>
      </c>
      <c r="AO134" s="43">
        <v>0.0</v>
      </c>
      <c r="AP134" s="126" t="s">
        <v>1108</v>
      </c>
      <c r="AQ134" s="126"/>
      <c r="AR134" s="126"/>
      <c r="AS134" s="94">
        <v>0.0</v>
      </c>
      <c r="AT134" s="50" t="s">
        <v>106</v>
      </c>
      <c r="AU134" s="43" t="s">
        <v>106</v>
      </c>
      <c r="AV134" s="43" t="s">
        <v>106</v>
      </c>
      <c r="AW134" s="43" t="s">
        <v>88</v>
      </c>
      <c r="AX134" s="43">
        <v>0.0</v>
      </c>
      <c r="AY134" s="43">
        <v>0.0</v>
      </c>
      <c r="AZ134" s="50">
        <v>0.0</v>
      </c>
      <c r="BA134" s="43" t="s">
        <v>89</v>
      </c>
      <c r="BB134" s="50">
        <v>0.0</v>
      </c>
      <c r="BC134" s="69" t="s">
        <v>1109</v>
      </c>
      <c r="BD134" s="70"/>
      <c r="BE134" s="70"/>
      <c r="BF134" s="72" t="s">
        <v>1110</v>
      </c>
      <c r="BG134" s="73"/>
      <c r="BH134" s="73"/>
      <c r="BI134" s="73"/>
      <c r="BJ134" s="73"/>
      <c r="BK134" s="73"/>
      <c r="BL134" s="73"/>
      <c r="BM134" s="73"/>
      <c r="BN134" s="73"/>
      <c r="BO134" s="73"/>
      <c r="BP134" s="73"/>
      <c r="BQ134" s="73"/>
      <c r="BR134" s="73"/>
      <c r="BS134" s="73"/>
      <c r="BT134" s="73"/>
      <c r="BU134" s="73"/>
      <c r="BV134" s="73"/>
      <c r="BW134" s="74"/>
      <c r="BX134" s="74"/>
      <c r="BY134" s="63"/>
      <c r="BZ134" s="63"/>
    </row>
    <row r="135" ht="15.75" customHeight="1">
      <c r="A135" s="75" t="s">
        <v>1111</v>
      </c>
      <c r="B135" s="50" t="s">
        <v>1112</v>
      </c>
      <c r="C135" s="50" t="s">
        <v>573</v>
      </c>
      <c r="D135" s="50"/>
      <c r="E135" s="77"/>
      <c r="F135" s="78">
        <v>1.4E8</v>
      </c>
      <c r="G135" s="44" t="str">
        <f t="shared" si="1"/>
        <v>$100'000.000 a $200'000.000</v>
      </c>
      <c r="H135" s="44"/>
      <c r="I135" s="44"/>
      <c r="J135" s="50" t="s">
        <v>94</v>
      </c>
      <c r="K135" s="51" t="s">
        <v>117</v>
      </c>
      <c r="L135" s="50">
        <v>3.0</v>
      </c>
      <c r="M135" s="50"/>
      <c r="N135" s="50">
        <v>2.0</v>
      </c>
      <c r="O135" s="50">
        <v>1.0</v>
      </c>
      <c r="P135" s="50">
        <v>4.0</v>
      </c>
      <c r="Q135" s="88">
        <v>66.0</v>
      </c>
      <c r="R135" s="88">
        <v>66.0</v>
      </c>
      <c r="S135" s="56" t="str">
        <f t="shared" si="5"/>
        <v> </v>
      </c>
      <c r="T135" s="50" t="s">
        <v>78</v>
      </c>
      <c r="U135" s="51" t="s">
        <v>77</v>
      </c>
      <c r="V135" s="50" t="s">
        <v>680</v>
      </c>
      <c r="W135" s="50"/>
      <c r="X135" s="50">
        <v>3.0</v>
      </c>
      <c r="Y135" s="43" t="s">
        <v>130</v>
      </c>
      <c r="Z135" s="58">
        <v>0.0</v>
      </c>
      <c r="AA135" s="81" t="s">
        <v>81</v>
      </c>
      <c r="AB135" s="115" t="s">
        <v>1113</v>
      </c>
      <c r="AC135" s="124" t="s">
        <v>1114</v>
      </c>
      <c r="AD135" s="125" t="s">
        <v>1017</v>
      </c>
      <c r="AE135" s="63"/>
      <c r="AF135" s="64" t="s">
        <v>105</v>
      </c>
      <c r="AG135" s="65" t="s">
        <v>106</v>
      </c>
      <c r="AH135" s="65"/>
      <c r="AI135" s="65" t="s">
        <v>107</v>
      </c>
      <c r="AJ135" s="64" t="s">
        <v>453</v>
      </c>
      <c r="AK135" s="50" t="s">
        <v>81</v>
      </c>
      <c r="AL135" s="45" t="s">
        <v>109</v>
      </c>
      <c r="AM135" s="52">
        <v>3.13351965E9</v>
      </c>
      <c r="AN135" s="45">
        <v>0.0</v>
      </c>
      <c r="AO135" s="43">
        <v>0.0</v>
      </c>
      <c r="AP135" s="84" t="s">
        <v>1115</v>
      </c>
      <c r="AQ135" s="84"/>
      <c r="AR135" s="84"/>
      <c r="AS135" s="85">
        <v>0.0</v>
      </c>
      <c r="AT135" s="50">
        <v>0.0</v>
      </c>
      <c r="AU135" s="50">
        <v>0.0</v>
      </c>
      <c r="AV135" s="44">
        <v>0.0</v>
      </c>
      <c r="AW135" s="50" t="s">
        <v>88</v>
      </c>
      <c r="AX135" s="44">
        <v>0.0</v>
      </c>
      <c r="AY135" s="50">
        <v>0.0</v>
      </c>
      <c r="AZ135" s="44">
        <v>0.0</v>
      </c>
      <c r="BA135" s="43" t="s">
        <v>89</v>
      </c>
      <c r="BB135" s="44">
        <v>0.0</v>
      </c>
      <c r="BC135" s="86"/>
      <c r="BD135" s="71"/>
      <c r="BE135" s="71"/>
      <c r="BF135" s="72" t="s">
        <v>1116</v>
      </c>
      <c r="BG135" s="73"/>
      <c r="BH135" s="73"/>
      <c r="BI135" s="73"/>
      <c r="BJ135" s="73"/>
      <c r="BK135" s="73"/>
      <c r="BL135" s="73"/>
      <c r="BM135" s="73"/>
      <c r="BN135" s="73"/>
      <c r="BO135" s="73"/>
      <c r="BP135" s="73"/>
      <c r="BQ135" s="73"/>
      <c r="BR135" s="73"/>
      <c r="BS135" s="73"/>
      <c r="BT135" s="73"/>
      <c r="BU135" s="73"/>
      <c r="BV135" s="73"/>
      <c r="BW135" s="74"/>
      <c r="BX135" s="74"/>
      <c r="BY135" s="63"/>
      <c r="BZ135" s="63"/>
    </row>
    <row r="136" ht="15.75" customHeight="1">
      <c r="A136" s="75" t="s">
        <v>1117</v>
      </c>
      <c r="B136" s="50" t="s">
        <v>1118</v>
      </c>
      <c r="C136" s="50" t="s">
        <v>573</v>
      </c>
      <c r="D136" s="50" t="s">
        <v>76</v>
      </c>
      <c r="E136" s="77"/>
      <c r="F136" s="78">
        <v>1.38E8</v>
      </c>
      <c r="G136" s="44" t="str">
        <f t="shared" si="1"/>
        <v>$100'000.000 a $200'000.000</v>
      </c>
      <c r="H136" s="44"/>
      <c r="I136" s="44"/>
      <c r="J136" s="50" t="s">
        <v>76</v>
      </c>
      <c r="K136" s="51" t="s">
        <v>142</v>
      </c>
      <c r="L136" s="50">
        <v>2.0</v>
      </c>
      <c r="M136" s="50"/>
      <c r="N136" s="50">
        <v>1.0</v>
      </c>
      <c r="O136" s="50">
        <v>1.0</v>
      </c>
      <c r="P136" s="50">
        <v>1.0</v>
      </c>
      <c r="Q136" s="88">
        <v>38.33</v>
      </c>
      <c r="R136" s="88">
        <v>38.33</v>
      </c>
      <c r="S136" s="56" t="str">
        <f t="shared" si="5"/>
        <v> </v>
      </c>
      <c r="T136" s="50" t="s">
        <v>78</v>
      </c>
      <c r="U136" s="51" t="s">
        <v>77</v>
      </c>
      <c r="V136" s="43" t="s">
        <v>1014</v>
      </c>
      <c r="W136" s="43"/>
      <c r="X136" s="50">
        <v>2.0</v>
      </c>
      <c r="Y136" s="43" t="s">
        <v>80</v>
      </c>
      <c r="Z136" s="58">
        <v>0.0</v>
      </c>
      <c r="AA136" s="81" t="s">
        <v>81</v>
      </c>
      <c r="AB136" s="115" t="s">
        <v>1119</v>
      </c>
      <c r="AC136" s="124" t="s">
        <v>1120</v>
      </c>
      <c r="AD136" s="125" t="s">
        <v>1017</v>
      </c>
      <c r="AE136" s="63"/>
      <c r="AF136" s="64" t="s">
        <v>105</v>
      </c>
      <c r="AG136" s="65" t="s">
        <v>106</v>
      </c>
      <c r="AH136" s="65"/>
      <c r="AI136" s="65" t="s">
        <v>107</v>
      </c>
      <c r="AJ136" s="64" t="s">
        <v>453</v>
      </c>
      <c r="AK136" s="50" t="s">
        <v>81</v>
      </c>
      <c r="AL136" s="45" t="s">
        <v>109</v>
      </c>
      <c r="AM136" s="52">
        <v>3.13351965E9</v>
      </c>
      <c r="AN136" s="45">
        <v>0.0</v>
      </c>
      <c r="AO136" s="43">
        <v>0.0</v>
      </c>
      <c r="AP136" s="84" t="s">
        <v>1121</v>
      </c>
      <c r="AQ136" s="84"/>
      <c r="AR136" s="84"/>
      <c r="AS136" s="85">
        <v>0.0</v>
      </c>
      <c r="AT136" s="50">
        <v>0.0</v>
      </c>
      <c r="AU136" s="50">
        <v>0.0</v>
      </c>
      <c r="AV136" s="44">
        <v>0.0</v>
      </c>
      <c r="AW136" s="50" t="s">
        <v>88</v>
      </c>
      <c r="AX136" s="50">
        <v>0.0</v>
      </c>
      <c r="AY136" s="50">
        <v>0.0</v>
      </c>
      <c r="AZ136" s="44">
        <v>0.0</v>
      </c>
      <c r="BA136" s="43" t="s">
        <v>89</v>
      </c>
      <c r="BB136" s="44">
        <v>0.0</v>
      </c>
      <c r="BC136" s="95"/>
      <c r="BD136" s="71"/>
      <c r="BE136" s="71"/>
      <c r="BF136" s="72" t="s">
        <v>1122</v>
      </c>
      <c r="BG136" s="129"/>
      <c r="BH136" s="73"/>
      <c r="BI136" s="73"/>
      <c r="BJ136" s="73"/>
      <c r="BK136" s="73"/>
      <c r="BL136" s="73"/>
      <c r="BM136" s="73"/>
      <c r="BN136" s="73"/>
      <c r="BO136" s="73"/>
      <c r="BP136" s="73"/>
      <c r="BQ136" s="73"/>
      <c r="BR136" s="73"/>
      <c r="BS136" s="73"/>
      <c r="BT136" s="73"/>
      <c r="BU136" s="73"/>
      <c r="BV136" s="73"/>
      <c r="BW136" s="74"/>
      <c r="BX136" s="74"/>
      <c r="BY136" s="63"/>
      <c r="BZ136" s="63"/>
    </row>
    <row r="137" ht="15.75" customHeight="1">
      <c r="A137" s="75" t="s">
        <v>1123</v>
      </c>
      <c r="B137" s="50" t="s">
        <v>1124</v>
      </c>
      <c r="C137" s="50" t="s">
        <v>340</v>
      </c>
      <c r="D137" s="50"/>
      <c r="E137" s="64" t="s">
        <v>1125</v>
      </c>
      <c r="F137" s="78">
        <v>1.3E8</v>
      </c>
      <c r="G137" s="44" t="str">
        <f t="shared" si="1"/>
        <v>$100'000.000 a $200'000.000</v>
      </c>
      <c r="H137" s="44"/>
      <c r="I137" s="44"/>
      <c r="J137" s="50" t="s">
        <v>968</v>
      </c>
      <c r="K137" s="51"/>
      <c r="L137" s="50">
        <v>0.0</v>
      </c>
      <c r="M137" s="50"/>
      <c r="N137" s="50">
        <v>0.0</v>
      </c>
      <c r="O137" s="50">
        <v>0.0</v>
      </c>
      <c r="P137" s="50">
        <v>0.0</v>
      </c>
      <c r="Q137" s="88">
        <v>0.0</v>
      </c>
      <c r="R137" s="88">
        <v>528.0</v>
      </c>
      <c r="S137" s="56" t="str">
        <f t="shared" si="5"/>
        <v> </v>
      </c>
      <c r="T137" s="50" t="s">
        <v>342</v>
      </c>
      <c r="U137" s="57"/>
      <c r="V137" s="50" t="s">
        <v>79</v>
      </c>
      <c r="W137" s="50"/>
      <c r="X137" s="50">
        <v>0.0</v>
      </c>
      <c r="Y137" s="50" t="s">
        <v>130</v>
      </c>
      <c r="Z137" s="58">
        <v>272000.0</v>
      </c>
      <c r="AA137" s="59" t="str">
        <f>IF(Rentabilidad=0,"No aplica",TEXT(ROUND(Precio/Rentabilidad/12,0),0) &amp; " años")</f>
        <v>No aplica</v>
      </c>
      <c r="AB137" s="82" t="s">
        <v>1126</v>
      </c>
      <c r="AC137" s="131" t="s">
        <v>1127</v>
      </c>
      <c r="AD137" s="107" t="s">
        <v>1128</v>
      </c>
      <c r="AE137" s="63"/>
      <c r="AF137" s="64">
        <v>0.0</v>
      </c>
      <c r="AG137" s="65" t="s">
        <v>106</v>
      </c>
      <c r="AH137" s="63"/>
      <c r="AI137" s="65" t="s">
        <v>107</v>
      </c>
      <c r="AJ137" s="64" t="s">
        <v>453</v>
      </c>
      <c r="AK137" s="58" t="s">
        <v>81</v>
      </c>
      <c r="AL137" s="64" t="s">
        <v>109</v>
      </c>
      <c r="AM137" s="43">
        <v>3.13351965E9</v>
      </c>
      <c r="AN137" s="64">
        <v>0.0</v>
      </c>
      <c r="AO137" s="43" t="s">
        <v>245</v>
      </c>
      <c r="AP137" s="84"/>
      <c r="AQ137" s="84"/>
      <c r="AR137" s="84"/>
      <c r="AS137" s="94">
        <v>0.0</v>
      </c>
      <c r="AT137" s="65" t="s">
        <v>88</v>
      </c>
      <c r="AU137" s="43">
        <v>0.0</v>
      </c>
      <c r="AV137" s="43">
        <v>0.0</v>
      </c>
      <c r="AW137" s="43" t="s">
        <v>88</v>
      </c>
      <c r="AX137" s="43">
        <v>0.0</v>
      </c>
      <c r="AY137" s="43">
        <v>0.0</v>
      </c>
      <c r="AZ137" s="43">
        <v>0.0</v>
      </c>
      <c r="BA137" s="43" t="s">
        <v>89</v>
      </c>
      <c r="BB137" s="50">
        <v>0.0</v>
      </c>
      <c r="BC137" s="69" t="s">
        <v>1129</v>
      </c>
      <c r="BD137" s="70"/>
      <c r="BE137" s="71"/>
      <c r="BF137" s="72" t="s">
        <v>1130</v>
      </c>
      <c r="BG137" s="73"/>
      <c r="BH137" s="73"/>
      <c r="BI137" s="73"/>
      <c r="BJ137" s="73"/>
      <c r="BK137" s="73"/>
      <c r="BL137" s="73"/>
      <c r="BM137" s="73"/>
      <c r="BN137" s="73"/>
      <c r="BO137" s="73"/>
      <c r="BP137" s="73"/>
      <c r="BQ137" s="73"/>
      <c r="BR137" s="73"/>
      <c r="BS137" s="73"/>
      <c r="BT137" s="73"/>
      <c r="BU137" s="73"/>
      <c r="BV137" s="73"/>
      <c r="BW137" s="74"/>
      <c r="BX137" s="74"/>
      <c r="BY137" s="63"/>
      <c r="BZ137" s="63"/>
    </row>
    <row r="138" ht="15.75" customHeight="1">
      <c r="A138" s="75" t="s">
        <v>1131</v>
      </c>
      <c r="B138" s="50" t="s">
        <v>1132</v>
      </c>
      <c r="C138" s="50" t="s">
        <v>340</v>
      </c>
      <c r="D138" s="50"/>
      <c r="E138" s="64" t="s">
        <v>1133</v>
      </c>
      <c r="F138" s="78">
        <v>1.3E8</v>
      </c>
      <c r="G138" s="44" t="str">
        <f t="shared" si="1"/>
        <v>$100'000.000 a $200'000.000</v>
      </c>
      <c r="H138" s="44"/>
      <c r="I138" s="44"/>
      <c r="J138" s="50" t="s">
        <v>968</v>
      </c>
      <c r="K138" s="51"/>
      <c r="L138" s="50">
        <v>0.0</v>
      </c>
      <c r="M138" s="50"/>
      <c r="N138" s="50">
        <v>0.0</v>
      </c>
      <c r="O138" s="50">
        <v>0.0</v>
      </c>
      <c r="P138" s="50">
        <v>0.0</v>
      </c>
      <c r="Q138" s="88">
        <v>0.0</v>
      </c>
      <c r="R138" s="88">
        <v>1120.0</v>
      </c>
      <c r="S138" s="56" t="str">
        <f t="shared" si="5"/>
        <v> </v>
      </c>
      <c r="T138" s="50" t="s">
        <v>342</v>
      </c>
      <c r="U138" s="57"/>
      <c r="V138" s="50" t="s">
        <v>79</v>
      </c>
      <c r="W138" s="50"/>
      <c r="X138" s="50">
        <v>0.0</v>
      </c>
      <c r="Y138" s="50" t="s">
        <v>80</v>
      </c>
      <c r="Z138" s="91"/>
      <c r="AA138" s="59" t="str">
        <f>IF(Rentabilidad=0,"No aplica",TEXT(ROUND(Precio/Rentabilidad/12,0),0) &amp; " años")</f>
        <v>No aplica</v>
      </c>
      <c r="AB138" s="82" t="s">
        <v>1134</v>
      </c>
      <c r="AC138" s="132" t="s">
        <v>1135</v>
      </c>
      <c r="AD138" s="102" t="s">
        <v>1136</v>
      </c>
      <c r="AE138" s="63"/>
      <c r="AF138" s="64">
        <v>0.0</v>
      </c>
      <c r="AG138" s="65" t="s">
        <v>106</v>
      </c>
      <c r="AH138" s="63"/>
      <c r="AI138" s="65" t="s">
        <v>107</v>
      </c>
      <c r="AJ138" s="64" t="s">
        <v>453</v>
      </c>
      <c r="AK138" s="58" t="s">
        <v>81</v>
      </c>
      <c r="AL138" s="64" t="s">
        <v>109</v>
      </c>
      <c r="AM138" s="43">
        <v>3.13351965E9</v>
      </c>
      <c r="AN138" s="64">
        <v>0.0</v>
      </c>
      <c r="AO138" s="43" t="s">
        <v>245</v>
      </c>
      <c r="AP138" s="84">
        <v>0.0</v>
      </c>
      <c r="AQ138" s="84">
        <v>2.93878154868308</v>
      </c>
      <c r="AR138" s="84">
        <v>-75.3316568684341</v>
      </c>
      <c r="AS138" s="94">
        <v>0.0</v>
      </c>
      <c r="AT138" s="65" t="s">
        <v>88</v>
      </c>
      <c r="AU138" s="43">
        <v>0.0</v>
      </c>
      <c r="AV138" s="43">
        <v>0.0</v>
      </c>
      <c r="AW138" s="43" t="s">
        <v>88</v>
      </c>
      <c r="AX138" s="43">
        <v>0.0</v>
      </c>
      <c r="AY138" s="43">
        <v>0.0</v>
      </c>
      <c r="AZ138" s="43">
        <v>0.0</v>
      </c>
      <c r="BA138" s="43" t="s">
        <v>89</v>
      </c>
      <c r="BB138" s="50">
        <v>0.0</v>
      </c>
      <c r="BC138" s="127" t="s">
        <v>1137</v>
      </c>
      <c r="BD138" s="128"/>
      <c r="BE138" s="129"/>
      <c r="BF138" s="72" t="s">
        <v>1138</v>
      </c>
      <c r="BG138" s="73"/>
      <c r="BH138" s="73"/>
      <c r="BI138" s="73"/>
      <c r="BJ138" s="73"/>
      <c r="BK138" s="73"/>
      <c r="BL138" s="73"/>
      <c r="BM138" s="73"/>
      <c r="BN138" s="73"/>
      <c r="BO138" s="73"/>
      <c r="BP138" s="73"/>
      <c r="BQ138" s="73"/>
      <c r="BR138" s="73"/>
      <c r="BS138" s="73"/>
      <c r="BT138" s="73"/>
      <c r="BU138" s="73"/>
      <c r="BV138" s="73"/>
      <c r="BW138" s="74"/>
      <c r="BX138" s="74"/>
      <c r="BY138" s="63"/>
      <c r="BZ138" s="63"/>
    </row>
    <row r="139" ht="15.75" customHeight="1">
      <c r="A139" s="148" t="s">
        <v>1139</v>
      </c>
      <c r="B139" s="50" t="s">
        <v>1140</v>
      </c>
      <c r="C139" s="50" t="s">
        <v>70</v>
      </c>
      <c r="D139" s="44" t="s">
        <v>1141</v>
      </c>
      <c r="E139" s="45"/>
      <c r="F139" s="78">
        <v>1.2E8</v>
      </c>
      <c r="G139" s="44" t="str">
        <f t="shared" si="1"/>
        <v>$100'000.000 a $200'000.000</v>
      </c>
      <c r="H139" s="44"/>
      <c r="I139" s="44"/>
      <c r="J139" s="50" t="s">
        <v>94</v>
      </c>
      <c r="K139" s="51" t="s">
        <v>117</v>
      </c>
      <c r="L139" s="44">
        <v>5.0</v>
      </c>
      <c r="M139" s="44"/>
      <c r="N139" s="44">
        <v>1.0</v>
      </c>
      <c r="O139" s="50">
        <v>1.0</v>
      </c>
      <c r="P139" s="44">
        <v>2.0</v>
      </c>
      <c r="Q139" s="113">
        <v>132.0</v>
      </c>
      <c r="R139" s="79">
        <v>78.0</v>
      </c>
      <c r="S139" s="56" t="str">
        <f t="shared" si="5"/>
        <v> </v>
      </c>
      <c r="T139" s="44" t="s">
        <v>78</v>
      </c>
      <c r="U139" s="57" t="s">
        <v>184</v>
      </c>
      <c r="V139" s="50" t="s">
        <v>79</v>
      </c>
      <c r="W139" s="50"/>
      <c r="X139" s="44">
        <v>0.0</v>
      </c>
      <c r="Y139" s="50" t="s">
        <v>80</v>
      </c>
      <c r="Z139" s="58" t="s">
        <v>81</v>
      </c>
      <c r="AA139" s="59" t="str">
        <f>IF(Rentabilidad=0,"No aplica",TEXT(ROUND(Precio/Rentabilidad/12,0),0) &amp; " años")</f>
        <v>No aplica</v>
      </c>
      <c r="AB139" s="100" t="s">
        <v>1142</v>
      </c>
      <c r="AC139" s="137" t="s">
        <v>1143</v>
      </c>
      <c r="AD139" s="177"/>
      <c r="AE139" s="63"/>
      <c r="AF139" s="64" t="s">
        <v>84</v>
      </c>
      <c r="AG139" s="65" t="s">
        <v>106</v>
      </c>
      <c r="AH139" s="63"/>
      <c r="AI139" s="65" t="s">
        <v>107</v>
      </c>
      <c r="AJ139" s="64" t="s">
        <v>453</v>
      </c>
      <c r="AK139" s="50" t="s">
        <v>81</v>
      </c>
      <c r="AL139" s="45" t="s">
        <v>109</v>
      </c>
      <c r="AM139" s="52">
        <v>3.13351965E9</v>
      </c>
      <c r="AN139" s="45"/>
      <c r="AO139" s="116"/>
      <c r="AP139" s="67" t="s">
        <v>1144</v>
      </c>
      <c r="AQ139" s="67"/>
      <c r="AR139" s="67"/>
      <c r="AS139" s="68">
        <v>0.0</v>
      </c>
      <c r="AT139" s="44">
        <v>0.0</v>
      </c>
      <c r="AU139" s="52">
        <v>0.0</v>
      </c>
      <c r="AV139" s="52">
        <v>0.0</v>
      </c>
      <c r="AW139" s="43" t="s">
        <v>106</v>
      </c>
      <c r="AX139" s="52">
        <v>0.0</v>
      </c>
      <c r="AY139" s="43">
        <v>0.0</v>
      </c>
      <c r="AZ139" s="52">
        <v>0.0</v>
      </c>
      <c r="BA139" s="43" t="s">
        <v>89</v>
      </c>
      <c r="BB139" s="52">
        <v>0.0</v>
      </c>
      <c r="BC139" s="95"/>
      <c r="BD139" s="71"/>
      <c r="BE139" s="71"/>
      <c r="BF139" s="72" t="s">
        <v>1145</v>
      </c>
      <c r="BG139" s="73"/>
      <c r="BH139" s="73"/>
      <c r="BI139" s="73"/>
      <c r="BJ139" s="73"/>
      <c r="BK139" s="73"/>
      <c r="BL139" s="73"/>
      <c r="BM139" s="73"/>
      <c r="BN139" s="73"/>
      <c r="BO139" s="73"/>
      <c r="BP139" s="73"/>
      <c r="BQ139" s="73"/>
      <c r="BR139" s="73"/>
      <c r="BS139" s="73"/>
      <c r="BT139" s="73"/>
      <c r="BU139" s="73"/>
      <c r="BV139" s="73"/>
      <c r="BW139" s="74"/>
      <c r="BX139" s="74"/>
      <c r="BY139" s="63"/>
      <c r="BZ139" s="63"/>
    </row>
    <row r="140" ht="15.75" customHeight="1">
      <c r="A140" s="75" t="s">
        <v>1146</v>
      </c>
      <c r="B140" s="50" t="s">
        <v>1147</v>
      </c>
      <c r="C140" s="111" t="s">
        <v>323</v>
      </c>
      <c r="D140" s="50"/>
      <c r="E140" s="77" t="s">
        <v>1148</v>
      </c>
      <c r="F140" s="78">
        <v>1.2E8</v>
      </c>
      <c r="G140" s="44" t="str">
        <f t="shared" si="1"/>
        <v>$100'000.000 a $200'000.000</v>
      </c>
      <c r="H140" s="44"/>
      <c r="I140" s="44"/>
      <c r="J140" s="50" t="s">
        <v>183</v>
      </c>
      <c r="K140" s="57"/>
      <c r="L140" s="50">
        <v>2.0</v>
      </c>
      <c r="M140" s="50"/>
      <c r="N140" s="50">
        <v>2.0</v>
      </c>
      <c r="O140" s="50">
        <v>1.0</v>
      </c>
      <c r="P140" s="50">
        <v>4.0</v>
      </c>
      <c r="Q140" s="88">
        <v>64.51</v>
      </c>
      <c r="R140" s="88">
        <v>64.51</v>
      </c>
      <c r="S140" s="56" t="str">
        <f t="shared" si="5"/>
        <v> </v>
      </c>
      <c r="T140" s="50" t="s">
        <v>78</v>
      </c>
      <c r="U140" s="51" t="s">
        <v>77</v>
      </c>
      <c r="V140" s="50" t="s">
        <v>680</v>
      </c>
      <c r="W140" s="50"/>
      <c r="X140" s="50">
        <v>2.0</v>
      </c>
      <c r="Y140" s="43" t="s">
        <v>80</v>
      </c>
      <c r="Z140" s="58"/>
      <c r="AA140" s="81" t="s">
        <v>81</v>
      </c>
      <c r="AB140" s="115" t="s">
        <v>1149</v>
      </c>
      <c r="AC140" s="124" t="s">
        <v>1150</v>
      </c>
      <c r="AD140" s="125" t="s">
        <v>1151</v>
      </c>
      <c r="AE140" s="63"/>
      <c r="AF140" s="64" t="s">
        <v>105</v>
      </c>
      <c r="AG140" s="65" t="s">
        <v>106</v>
      </c>
      <c r="AH140" s="63"/>
      <c r="AI140" s="65" t="s">
        <v>107</v>
      </c>
      <c r="AJ140" s="64" t="s">
        <v>453</v>
      </c>
      <c r="AK140" s="50" t="s">
        <v>81</v>
      </c>
      <c r="AL140" s="45" t="s">
        <v>109</v>
      </c>
      <c r="AM140" s="52">
        <v>3.13351965E9</v>
      </c>
      <c r="AN140" s="45">
        <v>0.0</v>
      </c>
      <c r="AO140" s="43">
        <v>0.0</v>
      </c>
      <c r="AP140" s="84" t="s">
        <v>1152</v>
      </c>
      <c r="AQ140" s="84"/>
      <c r="AR140" s="84"/>
      <c r="AS140" s="85">
        <v>0.0</v>
      </c>
      <c r="AT140" s="50" t="s">
        <v>88</v>
      </c>
      <c r="AU140" s="50">
        <v>0.0</v>
      </c>
      <c r="AV140" s="44">
        <v>0.0</v>
      </c>
      <c r="AW140" s="50" t="s">
        <v>88</v>
      </c>
      <c r="AX140" s="44">
        <v>0.0</v>
      </c>
      <c r="AY140" s="50">
        <v>0.0</v>
      </c>
      <c r="AZ140" s="44">
        <v>0.0</v>
      </c>
      <c r="BA140" s="43" t="s">
        <v>89</v>
      </c>
      <c r="BB140" s="44">
        <v>0.0</v>
      </c>
      <c r="BC140" s="109"/>
      <c r="BD140" s="70"/>
      <c r="BE140" s="71"/>
      <c r="BF140" s="72" t="s">
        <v>1153</v>
      </c>
      <c r="BG140" s="73"/>
      <c r="BH140" s="73"/>
      <c r="BI140" s="73"/>
      <c r="BJ140" s="73"/>
      <c r="BK140" s="73"/>
      <c r="BL140" s="73"/>
      <c r="BM140" s="73"/>
      <c r="BN140" s="73"/>
      <c r="BO140" s="73"/>
      <c r="BP140" s="73"/>
      <c r="BQ140" s="73"/>
      <c r="BR140" s="73"/>
      <c r="BS140" s="73"/>
      <c r="BT140" s="73"/>
      <c r="BU140" s="73"/>
      <c r="BV140" s="73"/>
      <c r="BW140" s="74"/>
      <c r="BX140" s="74"/>
      <c r="BY140" s="63"/>
      <c r="BZ140" s="63"/>
    </row>
    <row r="141" ht="15.75" customHeight="1">
      <c r="A141" s="75" t="s">
        <v>1154</v>
      </c>
      <c r="B141" s="50" t="s">
        <v>1155</v>
      </c>
      <c r="C141" s="50" t="s">
        <v>448</v>
      </c>
      <c r="D141" s="50" t="s">
        <v>76</v>
      </c>
      <c r="E141" s="77"/>
      <c r="F141" s="78">
        <v>1.2E8</v>
      </c>
      <c r="G141" s="44" t="str">
        <f t="shared" si="1"/>
        <v>$100'000.000 a $200'000.000</v>
      </c>
      <c r="H141" s="44"/>
      <c r="I141" s="44"/>
      <c r="J141" s="50" t="s">
        <v>76</v>
      </c>
      <c r="K141" s="51" t="s">
        <v>142</v>
      </c>
      <c r="L141" s="50">
        <v>0.0</v>
      </c>
      <c r="M141" s="50"/>
      <c r="N141" s="50">
        <v>1.0</v>
      </c>
      <c r="O141" s="50">
        <v>0.0</v>
      </c>
      <c r="P141" s="50">
        <v>1.0</v>
      </c>
      <c r="Q141" s="88">
        <v>18.57</v>
      </c>
      <c r="R141" s="88">
        <v>18.57</v>
      </c>
      <c r="S141" s="56" t="str">
        <f t="shared" si="5"/>
        <v> </v>
      </c>
      <c r="T141" s="50" t="s">
        <v>78</v>
      </c>
      <c r="U141" s="51" t="s">
        <v>192</v>
      </c>
      <c r="V141" s="43" t="s">
        <v>1014</v>
      </c>
      <c r="W141" s="43"/>
      <c r="X141" s="50">
        <v>0.0</v>
      </c>
      <c r="Y141" s="43" t="s">
        <v>80</v>
      </c>
      <c r="Z141" s="58"/>
      <c r="AA141" s="81" t="s">
        <v>81</v>
      </c>
      <c r="AB141" s="115" t="s">
        <v>1156</v>
      </c>
      <c r="AC141" s="124" t="s">
        <v>1157</v>
      </c>
      <c r="AD141" s="125" t="s">
        <v>1158</v>
      </c>
      <c r="AE141" s="63"/>
      <c r="AF141" s="64">
        <v>0.0</v>
      </c>
      <c r="AG141" s="65" t="s">
        <v>106</v>
      </c>
      <c r="AH141" s="65"/>
      <c r="AI141" s="65" t="s">
        <v>107</v>
      </c>
      <c r="AJ141" s="64" t="s">
        <v>453</v>
      </c>
      <c r="AK141" s="50" t="s">
        <v>81</v>
      </c>
      <c r="AL141" s="45" t="s">
        <v>109</v>
      </c>
      <c r="AM141" s="52">
        <v>3.13351965E9</v>
      </c>
      <c r="AN141" s="45">
        <v>0.0</v>
      </c>
      <c r="AO141" s="43">
        <v>0.0</v>
      </c>
      <c r="AP141" s="84" t="s">
        <v>1159</v>
      </c>
      <c r="AQ141" s="84">
        <v>2.9581752</v>
      </c>
      <c r="AR141" s="84">
        <v>-75.2872976</v>
      </c>
      <c r="AS141" s="85">
        <v>0.0</v>
      </c>
      <c r="AT141" s="50" t="s">
        <v>106</v>
      </c>
      <c r="AU141" s="50">
        <v>0.0</v>
      </c>
      <c r="AV141" s="44">
        <v>0.0</v>
      </c>
      <c r="AW141" s="50" t="s">
        <v>88</v>
      </c>
      <c r="AX141" s="50">
        <v>15.0</v>
      </c>
      <c r="AY141" s="50">
        <v>0.0</v>
      </c>
      <c r="AZ141" s="44">
        <v>0.0</v>
      </c>
      <c r="BA141" s="43" t="s">
        <v>89</v>
      </c>
      <c r="BB141" s="44">
        <v>0.0</v>
      </c>
      <c r="BC141" s="69" t="s">
        <v>1160</v>
      </c>
      <c r="BD141" s="70"/>
      <c r="BE141" s="71"/>
      <c r="BF141" s="72" t="s">
        <v>1161</v>
      </c>
      <c r="BG141" s="73"/>
      <c r="BH141" s="73"/>
      <c r="BI141" s="73"/>
      <c r="BJ141" s="73"/>
      <c r="BK141" s="73"/>
      <c r="BL141" s="73"/>
      <c r="BM141" s="73"/>
      <c r="BN141" s="73"/>
      <c r="BO141" s="73"/>
      <c r="BP141" s="73"/>
      <c r="BQ141" s="73"/>
      <c r="BR141" s="73"/>
      <c r="BS141" s="73"/>
      <c r="BT141" s="73"/>
      <c r="BU141" s="73"/>
      <c r="BV141" s="73"/>
      <c r="BW141" s="74"/>
      <c r="BX141" s="74"/>
      <c r="BY141" s="63"/>
      <c r="BZ141" s="63"/>
    </row>
    <row r="142" ht="15.75" customHeight="1">
      <c r="A142" s="133" t="s">
        <v>1162</v>
      </c>
      <c r="B142" s="50" t="s">
        <v>1163</v>
      </c>
      <c r="C142" s="111" t="s">
        <v>323</v>
      </c>
      <c r="D142" s="50" t="s">
        <v>349</v>
      </c>
      <c r="E142" s="77" t="s">
        <v>1164</v>
      </c>
      <c r="F142" s="78">
        <v>1.2E8</v>
      </c>
      <c r="G142" s="44" t="str">
        <f t="shared" si="1"/>
        <v>$100'000.000 a $200'000.000</v>
      </c>
      <c r="H142" s="44"/>
      <c r="I142" s="44"/>
      <c r="J142" s="50" t="s">
        <v>116</v>
      </c>
      <c r="K142" s="51" t="s">
        <v>294</v>
      </c>
      <c r="L142" s="43">
        <v>3.0</v>
      </c>
      <c r="M142" s="43"/>
      <c r="N142" s="43">
        <v>2.0</v>
      </c>
      <c r="O142" s="43">
        <v>1.0</v>
      </c>
      <c r="P142" s="43">
        <v>5.0</v>
      </c>
      <c r="Q142" s="88">
        <v>56.0</v>
      </c>
      <c r="R142" s="88">
        <v>56.0</v>
      </c>
      <c r="S142" s="56" t="str">
        <f t="shared" si="5"/>
        <v> </v>
      </c>
      <c r="T142" s="43" t="s">
        <v>78</v>
      </c>
      <c r="U142" s="51" t="s">
        <v>77</v>
      </c>
      <c r="V142" s="43" t="s">
        <v>333</v>
      </c>
      <c r="W142" s="43"/>
      <c r="X142" s="43">
        <v>3.0</v>
      </c>
      <c r="Y142" s="50" t="s">
        <v>130</v>
      </c>
      <c r="Z142" s="58">
        <v>197000.0</v>
      </c>
      <c r="AA142" s="81" t="s">
        <v>81</v>
      </c>
      <c r="AB142" s="134" t="s">
        <v>1165</v>
      </c>
      <c r="AC142" s="124" t="s">
        <v>1166</v>
      </c>
      <c r="AD142" s="107" t="s">
        <v>1017</v>
      </c>
      <c r="AE142" s="63"/>
      <c r="AF142" s="64" t="s">
        <v>236</v>
      </c>
      <c r="AG142" s="65" t="s">
        <v>106</v>
      </c>
      <c r="AH142" s="65"/>
      <c r="AI142" s="65" t="s">
        <v>107</v>
      </c>
      <c r="AJ142" s="64" t="s">
        <v>453</v>
      </c>
      <c r="AK142" s="50" t="s">
        <v>81</v>
      </c>
      <c r="AL142" s="45" t="s">
        <v>109</v>
      </c>
      <c r="AM142" s="52">
        <v>3.13351965E9</v>
      </c>
      <c r="AN142" s="45">
        <v>0.0</v>
      </c>
      <c r="AO142" s="43">
        <v>0.0</v>
      </c>
      <c r="AP142" s="84" t="s">
        <v>1167</v>
      </c>
      <c r="AQ142" s="84"/>
      <c r="AR142" s="84"/>
      <c r="AS142" s="94">
        <v>0.0</v>
      </c>
      <c r="AT142" s="65">
        <v>0.0</v>
      </c>
      <c r="AU142" s="43">
        <v>0.0</v>
      </c>
      <c r="AV142" s="43">
        <v>0.0</v>
      </c>
      <c r="AW142" s="43" t="s">
        <v>88</v>
      </c>
      <c r="AX142" s="43">
        <v>0.0</v>
      </c>
      <c r="AY142" s="43">
        <v>0.0</v>
      </c>
      <c r="AZ142" s="43">
        <v>0.0</v>
      </c>
      <c r="BA142" s="43" t="s">
        <v>89</v>
      </c>
      <c r="BB142" s="43">
        <v>0.0</v>
      </c>
      <c r="BC142" s="109"/>
      <c r="BD142" s="70"/>
      <c r="BE142" s="71"/>
      <c r="BF142" s="72" t="s">
        <v>1168</v>
      </c>
      <c r="BG142" s="73"/>
      <c r="BH142" s="73"/>
      <c r="BI142" s="73"/>
      <c r="BJ142" s="73"/>
      <c r="BK142" s="73"/>
      <c r="BL142" s="73"/>
      <c r="BM142" s="73"/>
      <c r="BN142" s="73"/>
      <c r="BO142" s="73"/>
      <c r="BP142" s="73"/>
      <c r="BQ142" s="73"/>
      <c r="BR142" s="73"/>
      <c r="BS142" s="73"/>
      <c r="BT142" s="73"/>
      <c r="BU142" s="73"/>
      <c r="BV142" s="73"/>
      <c r="BW142" s="74"/>
      <c r="BX142" s="74"/>
      <c r="BY142" s="63"/>
      <c r="BZ142" s="63"/>
    </row>
    <row r="143" ht="15.75" customHeight="1">
      <c r="A143" s="133" t="s">
        <v>1169</v>
      </c>
      <c r="B143" s="43" t="s">
        <v>1170</v>
      </c>
      <c r="C143" s="50" t="s">
        <v>448</v>
      </c>
      <c r="D143" s="43" t="s">
        <v>76</v>
      </c>
      <c r="E143" s="77"/>
      <c r="F143" s="78">
        <v>9.0E7</v>
      </c>
      <c r="G143" s="44" t="str">
        <f t="shared" si="1"/>
        <v>$0 a $100'000.000</v>
      </c>
      <c r="H143" s="44"/>
      <c r="I143" s="44"/>
      <c r="J143" s="43" t="s">
        <v>76</v>
      </c>
      <c r="K143" s="56"/>
      <c r="L143" s="43">
        <v>1.0</v>
      </c>
      <c r="M143" s="43"/>
      <c r="N143" s="43">
        <v>1.0</v>
      </c>
      <c r="O143" s="43">
        <v>0.0</v>
      </c>
      <c r="P143" s="50">
        <v>3.0</v>
      </c>
      <c r="Q143" s="55">
        <v>26.5</v>
      </c>
      <c r="R143" s="55">
        <v>26.5</v>
      </c>
      <c r="S143" s="56" t="str">
        <f t="shared" si="5"/>
        <v> </v>
      </c>
      <c r="T143" s="43" t="s">
        <v>78</v>
      </c>
      <c r="U143" s="187" t="s">
        <v>142</v>
      </c>
      <c r="V143" s="43" t="s">
        <v>642</v>
      </c>
      <c r="W143" s="43"/>
      <c r="X143" s="43">
        <v>0.0</v>
      </c>
      <c r="Y143" s="43" t="s">
        <v>80</v>
      </c>
      <c r="Z143" s="58">
        <v>250000.0</v>
      </c>
      <c r="AA143" s="81" t="s">
        <v>81</v>
      </c>
      <c r="AB143" s="134" t="s">
        <v>1171</v>
      </c>
      <c r="AC143" s="131" t="s">
        <v>1172</v>
      </c>
      <c r="AD143" s="125" t="s">
        <v>1173</v>
      </c>
      <c r="AE143" s="63"/>
      <c r="AF143" s="64">
        <v>0.0</v>
      </c>
      <c r="AG143" s="65" t="s">
        <v>106</v>
      </c>
      <c r="AH143" s="65"/>
      <c r="AI143" s="65" t="s">
        <v>107</v>
      </c>
      <c r="AJ143" s="64" t="s">
        <v>453</v>
      </c>
      <c r="AK143" s="58" t="s">
        <v>81</v>
      </c>
      <c r="AL143" s="64" t="s">
        <v>109</v>
      </c>
      <c r="AM143" s="43">
        <v>3.13351965E9</v>
      </c>
      <c r="AN143" s="64">
        <v>0.0</v>
      </c>
      <c r="AO143" s="43" t="s">
        <v>245</v>
      </c>
      <c r="AP143" s="84">
        <v>0.0</v>
      </c>
      <c r="AQ143" s="84">
        <v>2.92709378573083</v>
      </c>
      <c r="AR143" s="84">
        <v>-75.2864210634115</v>
      </c>
      <c r="AS143" s="94">
        <v>0.0</v>
      </c>
      <c r="AT143" s="65" t="s">
        <v>106</v>
      </c>
      <c r="AU143" s="43">
        <v>0.0</v>
      </c>
      <c r="AV143" s="43">
        <v>1.0</v>
      </c>
      <c r="AW143" s="43" t="s">
        <v>88</v>
      </c>
      <c r="AX143" s="43">
        <v>0.0</v>
      </c>
      <c r="AY143" s="43">
        <v>0.0</v>
      </c>
      <c r="AZ143" s="43">
        <v>0.0</v>
      </c>
      <c r="BA143" s="43" t="s">
        <v>89</v>
      </c>
      <c r="BB143" s="43">
        <v>0.0</v>
      </c>
      <c r="BC143" s="69" t="s">
        <v>1174</v>
      </c>
      <c r="BD143" s="70"/>
      <c r="BE143" s="71"/>
      <c r="BF143" s="72" t="s">
        <v>1175</v>
      </c>
      <c r="BG143" s="73"/>
      <c r="BH143" s="73"/>
      <c r="BI143" s="73"/>
      <c r="BJ143" s="73"/>
      <c r="BK143" s="73"/>
      <c r="BL143" s="73"/>
      <c r="BM143" s="73"/>
      <c r="BN143" s="73"/>
      <c r="BO143" s="73"/>
      <c r="BP143" s="73"/>
      <c r="BQ143" s="73"/>
      <c r="BR143" s="73"/>
      <c r="BS143" s="73"/>
      <c r="BT143" s="73"/>
      <c r="BU143" s="73"/>
      <c r="BV143" s="73"/>
      <c r="BW143" s="74"/>
      <c r="BX143" s="74"/>
      <c r="BY143" s="63"/>
      <c r="BZ143" s="63"/>
    </row>
    <row r="144" ht="15.75" customHeight="1">
      <c r="A144" s="75" t="s">
        <v>1176</v>
      </c>
      <c r="B144" s="50" t="s">
        <v>1177</v>
      </c>
      <c r="C144" s="50" t="s">
        <v>664</v>
      </c>
      <c r="D144" s="50" t="s">
        <v>998</v>
      </c>
      <c r="E144" s="64" t="s">
        <v>1178</v>
      </c>
      <c r="F144" s="78">
        <v>8.5E7</v>
      </c>
      <c r="G144" s="44" t="str">
        <f t="shared" si="1"/>
        <v>$0 a $100'000.000</v>
      </c>
      <c r="H144" s="44"/>
      <c r="I144" s="44"/>
      <c r="J144" s="50" t="s">
        <v>94</v>
      </c>
      <c r="K144" s="51"/>
      <c r="L144" s="50">
        <v>0.0</v>
      </c>
      <c r="M144" s="50"/>
      <c r="N144" s="50">
        <v>0.0</v>
      </c>
      <c r="O144" s="50">
        <v>0.0</v>
      </c>
      <c r="P144" s="50">
        <v>0.0</v>
      </c>
      <c r="Q144" s="88">
        <v>0.0</v>
      </c>
      <c r="R144" s="88">
        <v>2000.0</v>
      </c>
      <c r="S144" s="56" t="str">
        <f t="shared" si="5"/>
        <v> </v>
      </c>
      <c r="T144" s="50" t="s">
        <v>998</v>
      </c>
      <c r="U144" s="57"/>
      <c r="V144" s="50" t="s">
        <v>118</v>
      </c>
      <c r="W144" s="50"/>
      <c r="X144" s="50">
        <v>0.0</v>
      </c>
      <c r="Y144" s="50" t="s">
        <v>80</v>
      </c>
      <c r="Z144" s="91"/>
      <c r="AA144" s="59" t="str">
        <f>IF(Rentabilidad=0,"No aplica",TEXT(ROUND(Precio/Rentabilidad/12,0),0) &amp; " años")</f>
        <v>No aplica</v>
      </c>
      <c r="AB144" s="82" t="s">
        <v>1179</v>
      </c>
      <c r="AC144" s="132" t="s">
        <v>1180</v>
      </c>
      <c r="AD144" s="107" t="s">
        <v>1181</v>
      </c>
      <c r="AE144" s="63"/>
      <c r="AF144" s="64">
        <v>0.0</v>
      </c>
      <c r="AG144" s="65" t="s">
        <v>106</v>
      </c>
      <c r="AH144" s="63"/>
      <c r="AI144" s="65" t="s">
        <v>107</v>
      </c>
      <c r="AJ144" s="64" t="s">
        <v>453</v>
      </c>
      <c r="AK144" s="58" t="s">
        <v>81</v>
      </c>
      <c r="AL144" s="64" t="s">
        <v>109</v>
      </c>
      <c r="AM144" s="43">
        <v>3.13351965E9</v>
      </c>
      <c r="AN144" s="64">
        <v>0.0</v>
      </c>
      <c r="AO144" s="43" t="s">
        <v>245</v>
      </c>
      <c r="AP144" s="84"/>
      <c r="AQ144" s="84"/>
      <c r="AR144" s="84"/>
      <c r="AS144" s="94">
        <v>0.0</v>
      </c>
      <c r="AT144" s="65" t="s">
        <v>88</v>
      </c>
      <c r="AU144" s="43">
        <v>0.0</v>
      </c>
      <c r="AV144" s="43">
        <v>0.0</v>
      </c>
      <c r="AW144" s="43" t="s">
        <v>88</v>
      </c>
      <c r="AX144" s="43">
        <v>0.0</v>
      </c>
      <c r="AY144" s="43">
        <v>0.0</v>
      </c>
      <c r="AZ144" s="43">
        <v>0.0</v>
      </c>
      <c r="BA144" s="43" t="s">
        <v>89</v>
      </c>
      <c r="BB144" s="50">
        <v>0.0</v>
      </c>
      <c r="BC144" s="69" t="s">
        <v>1182</v>
      </c>
      <c r="BD144" s="70"/>
      <c r="BE144" s="70"/>
      <c r="BF144" s="72" t="s">
        <v>1183</v>
      </c>
      <c r="BG144" s="113"/>
      <c r="BH144" s="113"/>
      <c r="BI144" s="113"/>
      <c r="BJ144" s="113"/>
      <c r="BK144" s="113"/>
      <c r="BL144" s="113"/>
      <c r="BM144" s="113"/>
      <c r="BN144" s="113"/>
      <c r="BO144" s="113"/>
      <c r="BP144" s="113"/>
      <c r="BQ144" s="113"/>
      <c r="BR144" s="113"/>
      <c r="BS144" s="113"/>
      <c r="BT144" s="113"/>
      <c r="BU144" s="113"/>
      <c r="BV144" s="113"/>
      <c r="BW144" s="93"/>
      <c r="BX144" s="93"/>
      <c r="BY144" s="44"/>
      <c r="BZ144" s="44"/>
    </row>
    <row r="145" ht="15.75" customHeight="1">
      <c r="A145" s="75" t="s">
        <v>1184</v>
      </c>
      <c r="B145" s="50" t="s">
        <v>1185</v>
      </c>
      <c r="C145" s="50" t="s">
        <v>664</v>
      </c>
      <c r="D145" s="50" t="s">
        <v>1186</v>
      </c>
      <c r="E145" s="64" t="s">
        <v>1187</v>
      </c>
      <c r="F145" s="78">
        <v>6.0E7</v>
      </c>
      <c r="G145" s="44" t="str">
        <f t="shared" si="1"/>
        <v>$0 a $100'000.000</v>
      </c>
      <c r="H145" s="44"/>
      <c r="I145" s="44"/>
      <c r="J145" s="50" t="s">
        <v>94</v>
      </c>
      <c r="K145" s="51"/>
      <c r="L145" s="50">
        <v>0.0</v>
      </c>
      <c r="M145" s="50"/>
      <c r="N145" s="50">
        <v>0.0</v>
      </c>
      <c r="O145" s="50">
        <v>0.0</v>
      </c>
      <c r="P145" s="50">
        <v>0.0</v>
      </c>
      <c r="Q145" s="88">
        <v>557.89</v>
      </c>
      <c r="R145" s="88">
        <v>557.89</v>
      </c>
      <c r="S145" s="56" t="str">
        <f t="shared" si="5"/>
        <v> </v>
      </c>
      <c r="T145" s="50" t="s">
        <v>78</v>
      </c>
      <c r="U145" s="57"/>
      <c r="V145" s="50" t="s">
        <v>118</v>
      </c>
      <c r="W145" s="50"/>
      <c r="X145" s="50">
        <v>0.0</v>
      </c>
      <c r="Y145" s="50" t="s">
        <v>130</v>
      </c>
      <c r="Z145" s="91"/>
      <c r="AA145" s="59" t="str">
        <f>IF(Rentabilidad=0,"No aplica",TEXT(ROUND(Precio/Rentabilidad/12,0),0) &amp; " años")</f>
        <v>No aplica</v>
      </c>
      <c r="AB145" s="82" t="s">
        <v>1188</v>
      </c>
      <c r="AC145" s="132" t="s">
        <v>1189</v>
      </c>
      <c r="AD145" s="107" t="s">
        <v>1190</v>
      </c>
      <c r="AE145" s="63"/>
      <c r="AF145" s="64">
        <v>0.0</v>
      </c>
      <c r="AG145" s="65" t="s">
        <v>106</v>
      </c>
      <c r="AH145" s="63"/>
      <c r="AI145" s="65" t="s">
        <v>107</v>
      </c>
      <c r="AJ145" s="64" t="s">
        <v>453</v>
      </c>
      <c r="AK145" s="58" t="s">
        <v>81</v>
      </c>
      <c r="AL145" s="64" t="s">
        <v>109</v>
      </c>
      <c r="AM145" s="43">
        <v>3.13351965E9</v>
      </c>
      <c r="AN145" s="64">
        <v>0.0</v>
      </c>
      <c r="AO145" s="43" t="s">
        <v>245</v>
      </c>
      <c r="AP145" s="84"/>
      <c r="AQ145" s="84"/>
      <c r="AR145" s="84"/>
      <c r="AS145" s="94">
        <v>0.0</v>
      </c>
      <c r="AT145" s="65"/>
      <c r="AU145" s="43">
        <v>0.0</v>
      </c>
      <c r="AV145" s="43">
        <v>0.0</v>
      </c>
      <c r="AW145" s="43" t="s">
        <v>88</v>
      </c>
      <c r="AX145" s="43">
        <v>0.0</v>
      </c>
      <c r="AY145" s="43">
        <v>0.0</v>
      </c>
      <c r="AZ145" s="43">
        <v>0.0</v>
      </c>
      <c r="BA145" s="43" t="s">
        <v>89</v>
      </c>
      <c r="BB145" s="50">
        <v>0.0</v>
      </c>
      <c r="BC145" s="109"/>
      <c r="BD145" s="70"/>
      <c r="BE145" s="71"/>
      <c r="BF145" s="72" t="s">
        <v>1191</v>
      </c>
      <c r="BG145" s="73"/>
      <c r="BH145" s="73"/>
      <c r="BI145" s="73"/>
      <c r="BJ145" s="73"/>
      <c r="BK145" s="73"/>
      <c r="BL145" s="73"/>
      <c r="BM145" s="73"/>
      <c r="BN145" s="73"/>
      <c r="BO145" s="73"/>
      <c r="BP145" s="73"/>
      <c r="BQ145" s="73"/>
      <c r="BR145" s="73"/>
      <c r="BS145" s="73"/>
      <c r="BT145" s="73"/>
      <c r="BU145" s="73"/>
      <c r="BV145" s="73"/>
      <c r="BW145" s="74"/>
      <c r="BX145" s="74"/>
      <c r="BY145" s="63"/>
      <c r="BZ145" s="63"/>
    </row>
    <row r="146" ht="15.75" customHeight="1">
      <c r="A146" s="75" t="s">
        <v>1192</v>
      </c>
      <c r="B146" s="50" t="s">
        <v>1193</v>
      </c>
      <c r="C146" s="50" t="s">
        <v>448</v>
      </c>
      <c r="D146" s="65" t="s">
        <v>76</v>
      </c>
      <c r="E146" s="77"/>
      <c r="F146" s="78">
        <v>5.0E7</v>
      </c>
      <c r="G146" s="44" t="str">
        <f t="shared" si="1"/>
        <v>$0 a $100'000.000</v>
      </c>
      <c r="H146" s="44"/>
      <c r="I146" s="44"/>
      <c r="J146" s="50" t="s">
        <v>76</v>
      </c>
      <c r="K146" s="51" t="s">
        <v>96</v>
      </c>
      <c r="L146" s="50">
        <v>0.0</v>
      </c>
      <c r="M146" s="50"/>
      <c r="N146" s="50">
        <v>1.0</v>
      </c>
      <c r="O146" s="50">
        <v>0.0</v>
      </c>
      <c r="P146" s="50">
        <v>3.0</v>
      </c>
      <c r="Q146" s="79">
        <v>13.91</v>
      </c>
      <c r="R146" s="79">
        <v>13.91</v>
      </c>
      <c r="S146" s="56" t="str">
        <f t="shared" si="5"/>
        <v> </v>
      </c>
      <c r="T146" s="50" t="s">
        <v>78</v>
      </c>
      <c r="U146" s="51" t="s">
        <v>679</v>
      </c>
      <c r="V146" s="50" t="s">
        <v>642</v>
      </c>
      <c r="W146" s="50"/>
      <c r="X146" s="50">
        <v>0.0</v>
      </c>
      <c r="Y146" s="43" t="s">
        <v>80</v>
      </c>
      <c r="Z146" s="58">
        <v>135000.0</v>
      </c>
      <c r="AA146" s="81" t="s">
        <v>81</v>
      </c>
      <c r="AB146" s="115" t="s">
        <v>1194</v>
      </c>
      <c r="AC146" s="124" t="s">
        <v>1195</v>
      </c>
      <c r="AD146" s="107" t="s">
        <v>1196</v>
      </c>
      <c r="AE146" s="63"/>
      <c r="AF146" s="64">
        <v>0.0</v>
      </c>
      <c r="AG146" s="65" t="s">
        <v>106</v>
      </c>
      <c r="AH146" s="65"/>
      <c r="AI146" s="65" t="s">
        <v>107</v>
      </c>
      <c r="AJ146" s="64" t="s">
        <v>453</v>
      </c>
      <c r="AK146" s="50" t="s">
        <v>81</v>
      </c>
      <c r="AL146" s="45" t="s">
        <v>109</v>
      </c>
      <c r="AM146" s="52">
        <v>3.13351965E9</v>
      </c>
      <c r="AN146" s="45">
        <v>0.0</v>
      </c>
      <c r="AO146" s="43">
        <v>0.0</v>
      </c>
      <c r="AP146" s="84" t="s">
        <v>1197</v>
      </c>
      <c r="AQ146" s="84">
        <v>2.92569829472561</v>
      </c>
      <c r="AR146" s="84">
        <v>-75.288014819536</v>
      </c>
      <c r="AS146" s="85">
        <v>0.0</v>
      </c>
      <c r="AT146" s="50" t="s">
        <v>106</v>
      </c>
      <c r="AU146" s="50">
        <v>0.0</v>
      </c>
      <c r="AV146" s="44">
        <v>0.0</v>
      </c>
      <c r="AW146" s="50" t="s">
        <v>88</v>
      </c>
      <c r="AX146" s="44">
        <v>0.0</v>
      </c>
      <c r="AY146" s="50">
        <v>0.0</v>
      </c>
      <c r="AZ146" s="44">
        <v>0.0</v>
      </c>
      <c r="BA146" s="43" t="s">
        <v>89</v>
      </c>
      <c r="BB146" s="44">
        <v>0.0</v>
      </c>
      <c r="BC146" s="95"/>
      <c r="BD146" s="71"/>
      <c r="BE146" s="71"/>
      <c r="BF146" s="72" t="s">
        <v>1198</v>
      </c>
      <c r="BG146" s="73"/>
      <c r="BH146" s="73"/>
      <c r="BI146" s="73"/>
      <c r="BJ146" s="73"/>
      <c r="BK146" s="73"/>
      <c r="BL146" s="73"/>
      <c r="BM146" s="73"/>
      <c r="BN146" s="73"/>
      <c r="BO146" s="73"/>
      <c r="BP146" s="73"/>
      <c r="BQ146" s="73"/>
      <c r="BR146" s="73"/>
      <c r="BS146" s="73"/>
      <c r="BT146" s="73"/>
      <c r="BU146" s="73"/>
      <c r="BV146" s="73"/>
      <c r="BW146" s="74"/>
      <c r="BX146" s="74"/>
      <c r="BY146" s="63"/>
      <c r="BZ146" s="63"/>
    </row>
    <row r="147" ht="15.75" customHeight="1">
      <c r="A147" s="133" t="s">
        <v>1199</v>
      </c>
      <c r="B147" s="43" t="s">
        <v>1193</v>
      </c>
      <c r="C147" s="43" t="s">
        <v>448</v>
      </c>
      <c r="D147" s="43" t="s">
        <v>76</v>
      </c>
      <c r="E147" s="45"/>
      <c r="F147" s="78">
        <v>5.0E7</v>
      </c>
      <c r="G147" s="44" t="str">
        <f t="shared" si="1"/>
        <v>$0 a $100'000.000</v>
      </c>
      <c r="H147" s="44"/>
      <c r="I147" s="44"/>
      <c r="J147" s="43" t="s">
        <v>76</v>
      </c>
      <c r="K147" s="142"/>
      <c r="L147" s="43">
        <v>0.0</v>
      </c>
      <c r="M147" s="43"/>
      <c r="N147" s="43">
        <v>1.0</v>
      </c>
      <c r="O147" s="43">
        <v>0.0</v>
      </c>
      <c r="P147" s="50">
        <v>3.0</v>
      </c>
      <c r="Q147" s="79">
        <v>11.67</v>
      </c>
      <c r="R147" s="79">
        <v>11.67</v>
      </c>
      <c r="S147" s="56" t="str">
        <f t="shared" si="5"/>
        <v> </v>
      </c>
      <c r="T147" s="43" t="s">
        <v>78</v>
      </c>
      <c r="U147" s="56" t="s">
        <v>679</v>
      </c>
      <c r="V147" s="43" t="s">
        <v>642</v>
      </c>
      <c r="W147" s="43"/>
      <c r="X147" s="43">
        <v>0.0</v>
      </c>
      <c r="Y147" s="43" t="s">
        <v>80</v>
      </c>
      <c r="Z147" s="58">
        <v>135000.0</v>
      </c>
      <c r="AA147" s="59" t="str">
        <f>IF(Rentabilidad=0,"No aplica",TEXT(ROUND(Precio/Rentabilidad/12,0),0) &amp; " años")</f>
        <v>No aplica</v>
      </c>
      <c r="AB147" s="140" t="s">
        <v>1200</v>
      </c>
      <c r="AC147" s="124" t="s">
        <v>1201</v>
      </c>
      <c r="AD147" s="107" t="s">
        <v>1202</v>
      </c>
      <c r="AE147" s="63"/>
      <c r="AF147" s="64">
        <v>0.0</v>
      </c>
      <c r="AG147" s="65" t="s">
        <v>106</v>
      </c>
      <c r="AH147" s="63"/>
      <c r="AI147" s="65" t="s">
        <v>107</v>
      </c>
      <c r="AJ147" s="64" t="s">
        <v>453</v>
      </c>
      <c r="AK147" s="58" t="s">
        <v>81</v>
      </c>
      <c r="AL147" s="64" t="s">
        <v>109</v>
      </c>
      <c r="AM147" s="43">
        <v>3.13351965E9</v>
      </c>
      <c r="AN147" s="64">
        <v>0.0</v>
      </c>
      <c r="AO147" s="52"/>
      <c r="AP147" s="84" t="s">
        <v>1203</v>
      </c>
      <c r="AQ147" s="84">
        <v>2.92563151222014</v>
      </c>
      <c r="AR147" s="84">
        <v>-75.2882105770716</v>
      </c>
      <c r="AS147" s="94">
        <v>0.0</v>
      </c>
      <c r="AT147" s="50" t="s">
        <v>106</v>
      </c>
      <c r="AU147" s="43">
        <v>0.0</v>
      </c>
      <c r="AV147" s="43" t="s">
        <v>106</v>
      </c>
      <c r="AW147" s="43" t="s">
        <v>88</v>
      </c>
      <c r="AX147" s="43">
        <v>0.0</v>
      </c>
      <c r="AY147" s="43">
        <v>0.0</v>
      </c>
      <c r="AZ147" s="43">
        <v>0.0</v>
      </c>
      <c r="BA147" s="43" t="s">
        <v>89</v>
      </c>
      <c r="BB147" s="43">
        <v>0.0</v>
      </c>
      <c r="BC147" s="109"/>
      <c r="BD147" s="70"/>
      <c r="BE147" s="71"/>
      <c r="BF147" s="72" t="s">
        <v>1204</v>
      </c>
      <c r="BG147" s="73"/>
      <c r="BH147" s="73"/>
      <c r="BI147" s="73"/>
      <c r="BJ147" s="73"/>
      <c r="BK147" s="73"/>
      <c r="BL147" s="73"/>
      <c r="BM147" s="73"/>
      <c r="BN147" s="73"/>
      <c r="BO147" s="73"/>
      <c r="BP147" s="73"/>
      <c r="BQ147" s="73"/>
      <c r="BR147" s="73"/>
      <c r="BS147" s="73"/>
      <c r="BT147" s="73"/>
      <c r="BU147" s="73"/>
      <c r="BV147" s="73"/>
      <c r="BW147" s="74"/>
      <c r="BX147" s="74"/>
      <c r="BY147" s="63"/>
      <c r="BZ147" s="63"/>
    </row>
    <row r="148" ht="15.75" customHeight="1">
      <c r="A148" s="75" t="s">
        <v>1205</v>
      </c>
      <c r="B148" s="50" t="s">
        <v>1185</v>
      </c>
      <c r="C148" s="50" t="s">
        <v>664</v>
      </c>
      <c r="D148" s="50" t="s">
        <v>1186</v>
      </c>
      <c r="E148" s="64" t="s">
        <v>1187</v>
      </c>
      <c r="F148" s="78">
        <v>5.0E7</v>
      </c>
      <c r="G148" s="44" t="str">
        <f t="shared" si="1"/>
        <v>$0 a $100'000.000</v>
      </c>
      <c r="H148" s="44"/>
      <c r="I148" s="44"/>
      <c r="J148" s="50" t="s">
        <v>94</v>
      </c>
      <c r="K148" s="51"/>
      <c r="L148" s="50">
        <v>0.0</v>
      </c>
      <c r="M148" s="50"/>
      <c r="N148" s="50">
        <v>0.0</v>
      </c>
      <c r="O148" s="50">
        <v>0.0</v>
      </c>
      <c r="P148" s="50">
        <v>0.0</v>
      </c>
      <c r="Q148" s="88">
        <v>632.0</v>
      </c>
      <c r="R148" s="88">
        <v>632.0</v>
      </c>
      <c r="S148" s="56" t="str">
        <f t="shared" si="5"/>
        <v> </v>
      </c>
      <c r="T148" s="50" t="s">
        <v>78</v>
      </c>
      <c r="U148" s="57"/>
      <c r="V148" s="50" t="s">
        <v>118</v>
      </c>
      <c r="W148" s="50"/>
      <c r="X148" s="50">
        <v>0.0</v>
      </c>
      <c r="Y148" s="50" t="s">
        <v>130</v>
      </c>
      <c r="Z148" s="91"/>
      <c r="AA148" s="59" t="str">
        <f>IF(Rentabilidad=0,"No aplica",TEXT(ROUND(Precio/Rentabilidad/12,0),0) &amp; " años")</f>
        <v>No aplica</v>
      </c>
      <c r="AB148" s="82" t="s">
        <v>1206</v>
      </c>
      <c r="AC148" s="132" t="s">
        <v>1207</v>
      </c>
      <c r="AD148" s="107" t="s">
        <v>1190</v>
      </c>
      <c r="AE148" s="63"/>
      <c r="AF148" s="64">
        <v>0.0</v>
      </c>
      <c r="AG148" s="65" t="s">
        <v>106</v>
      </c>
      <c r="AH148" s="63"/>
      <c r="AI148" s="65" t="s">
        <v>107</v>
      </c>
      <c r="AJ148" s="64" t="s">
        <v>453</v>
      </c>
      <c r="AK148" s="58" t="s">
        <v>81</v>
      </c>
      <c r="AL148" s="64" t="s">
        <v>109</v>
      </c>
      <c r="AM148" s="43">
        <v>3.13351965E9</v>
      </c>
      <c r="AN148" s="64">
        <v>0.0</v>
      </c>
      <c r="AO148" s="43" t="s">
        <v>245</v>
      </c>
      <c r="AP148" s="84"/>
      <c r="AQ148" s="84"/>
      <c r="AR148" s="84"/>
      <c r="AS148" s="94">
        <v>0.0</v>
      </c>
      <c r="AT148" s="65"/>
      <c r="AU148" s="43">
        <v>0.0</v>
      </c>
      <c r="AV148" s="43">
        <v>0.0</v>
      </c>
      <c r="AW148" s="43" t="s">
        <v>88</v>
      </c>
      <c r="AX148" s="43">
        <v>0.0</v>
      </c>
      <c r="AY148" s="43">
        <v>0.0</v>
      </c>
      <c r="AZ148" s="43">
        <v>0.0</v>
      </c>
      <c r="BA148" s="43" t="s">
        <v>89</v>
      </c>
      <c r="BB148" s="50">
        <v>0.0</v>
      </c>
      <c r="BC148" s="95" t="s">
        <v>1208</v>
      </c>
      <c r="BD148" s="71"/>
      <c r="BE148" s="70"/>
      <c r="BF148" s="72" t="s">
        <v>1209</v>
      </c>
      <c r="BG148" s="73"/>
      <c r="BH148" s="73"/>
      <c r="BI148" s="73"/>
      <c r="BJ148" s="73"/>
      <c r="BK148" s="73"/>
      <c r="BL148" s="73"/>
      <c r="BM148" s="73"/>
      <c r="BN148" s="73"/>
      <c r="BO148" s="73"/>
      <c r="BP148" s="73"/>
      <c r="BQ148" s="73"/>
      <c r="BR148" s="73"/>
      <c r="BS148" s="73"/>
      <c r="BT148" s="73"/>
      <c r="BU148" s="73"/>
      <c r="BV148" s="73"/>
      <c r="BW148" s="74"/>
      <c r="BX148" s="74"/>
      <c r="BY148" s="63"/>
      <c r="BZ148" s="63"/>
    </row>
    <row r="149" ht="15.75" customHeight="1">
      <c r="A149" s="75" t="s">
        <v>1210</v>
      </c>
      <c r="B149" s="50" t="s">
        <v>1185</v>
      </c>
      <c r="C149" s="50" t="s">
        <v>664</v>
      </c>
      <c r="D149" s="50" t="s">
        <v>1186</v>
      </c>
      <c r="E149" s="64" t="s">
        <v>1187</v>
      </c>
      <c r="F149" s="78">
        <v>5.0E7</v>
      </c>
      <c r="G149" s="44" t="str">
        <f t="shared" si="1"/>
        <v>$0 a $100'000.000</v>
      </c>
      <c r="H149" s="44"/>
      <c r="I149" s="44"/>
      <c r="J149" s="50" t="s">
        <v>94</v>
      </c>
      <c r="K149" s="51"/>
      <c r="L149" s="50">
        <v>0.0</v>
      </c>
      <c r="M149" s="50"/>
      <c r="N149" s="50">
        <v>0.0</v>
      </c>
      <c r="O149" s="50">
        <v>0.0</v>
      </c>
      <c r="P149" s="50">
        <v>0.0</v>
      </c>
      <c r="Q149" s="88">
        <v>557.0</v>
      </c>
      <c r="R149" s="88">
        <v>557.0</v>
      </c>
      <c r="S149" s="56" t="str">
        <f t="shared" si="5"/>
        <v> </v>
      </c>
      <c r="T149" s="50" t="s">
        <v>78</v>
      </c>
      <c r="U149" s="57"/>
      <c r="V149" s="50" t="s">
        <v>118</v>
      </c>
      <c r="W149" s="50"/>
      <c r="X149" s="50">
        <v>0.0</v>
      </c>
      <c r="Y149" s="50" t="s">
        <v>130</v>
      </c>
      <c r="Z149" s="91"/>
      <c r="AA149" s="59" t="str">
        <f>IF(Rentabilidad=0,"No aplica",TEXT(ROUND(Precio/Rentabilidad/12,0),0) &amp; " años")</f>
        <v>No aplica</v>
      </c>
      <c r="AB149" s="82" t="s">
        <v>1211</v>
      </c>
      <c r="AC149" s="132" t="s">
        <v>1212</v>
      </c>
      <c r="AD149" s="107" t="s">
        <v>1190</v>
      </c>
      <c r="AE149" s="63"/>
      <c r="AF149" s="64">
        <v>0.0</v>
      </c>
      <c r="AG149" s="65" t="s">
        <v>106</v>
      </c>
      <c r="AH149" s="63"/>
      <c r="AI149" s="65" t="s">
        <v>107</v>
      </c>
      <c r="AJ149" s="64" t="s">
        <v>453</v>
      </c>
      <c r="AK149" s="58" t="s">
        <v>81</v>
      </c>
      <c r="AL149" s="64" t="s">
        <v>109</v>
      </c>
      <c r="AM149" s="43">
        <v>3.13351965E9</v>
      </c>
      <c r="AN149" s="64">
        <v>0.0</v>
      </c>
      <c r="AO149" s="43" t="s">
        <v>245</v>
      </c>
      <c r="AP149" s="84"/>
      <c r="AQ149" s="84"/>
      <c r="AR149" s="84"/>
      <c r="AS149" s="94">
        <v>0.0</v>
      </c>
      <c r="AT149" s="65" t="s">
        <v>88</v>
      </c>
      <c r="AU149" s="43">
        <v>0.0</v>
      </c>
      <c r="AV149" s="43">
        <v>0.0</v>
      </c>
      <c r="AW149" s="43" t="s">
        <v>88</v>
      </c>
      <c r="AX149" s="43">
        <v>0.0</v>
      </c>
      <c r="AY149" s="43">
        <v>0.0</v>
      </c>
      <c r="AZ149" s="43">
        <v>0.0</v>
      </c>
      <c r="BA149" s="43" t="s">
        <v>89</v>
      </c>
      <c r="BB149" s="50">
        <v>0.0</v>
      </c>
      <c r="BC149" s="95"/>
      <c r="BD149" s="71"/>
      <c r="BE149" s="71"/>
      <c r="BF149" s="72" t="s">
        <v>1213</v>
      </c>
      <c r="BG149" s="73"/>
      <c r="BH149" s="73"/>
      <c r="BI149" s="73"/>
      <c r="BJ149" s="73"/>
      <c r="BK149" s="73"/>
      <c r="BL149" s="73"/>
      <c r="BM149" s="73"/>
      <c r="BN149" s="73"/>
      <c r="BO149" s="73"/>
      <c r="BP149" s="73"/>
      <c r="BQ149" s="73"/>
      <c r="BR149" s="73"/>
      <c r="BS149" s="73"/>
      <c r="BT149" s="73"/>
      <c r="BU149" s="73"/>
      <c r="BV149" s="73"/>
      <c r="BW149" s="74"/>
      <c r="BX149" s="74"/>
      <c r="BY149" s="63"/>
      <c r="BZ149" s="63"/>
    </row>
    <row r="150" ht="15.75" customHeight="1">
      <c r="A150" s="174" t="s">
        <v>1214</v>
      </c>
      <c r="B150" s="112" t="s">
        <v>1215</v>
      </c>
      <c r="C150" s="50" t="s">
        <v>271</v>
      </c>
      <c r="D150" s="44" t="s">
        <v>1216</v>
      </c>
      <c r="E150" s="45"/>
      <c r="F150" s="47">
        <v>5.0E8</v>
      </c>
      <c r="G150" s="44" t="str">
        <f t="shared" si="1"/>
        <v>$500'000.000 a $1.000'000.000</v>
      </c>
      <c r="H150" s="44"/>
      <c r="I150" s="44"/>
      <c r="J150" s="43" t="s">
        <v>76</v>
      </c>
      <c r="K150" s="51" t="s">
        <v>77</v>
      </c>
      <c r="L150" s="52">
        <v>7.0</v>
      </c>
      <c r="M150" s="52"/>
      <c r="N150" s="52">
        <v>5.0</v>
      </c>
      <c r="O150" s="43">
        <v>1.0</v>
      </c>
      <c r="P150" s="52">
        <v>2.0</v>
      </c>
      <c r="Q150" s="54"/>
      <c r="R150" s="55">
        <v>250.0</v>
      </c>
      <c r="S150" s="56" t="str">
        <f t="shared" si="5"/>
        <v>Rentabilidad $1,500,000</v>
      </c>
      <c r="T150" s="52" t="s">
        <v>78</v>
      </c>
      <c r="U150" s="142" t="s">
        <v>184</v>
      </c>
      <c r="V150" s="43" t="s">
        <v>79</v>
      </c>
      <c r="W150" s="43"/>
      <c r="X150" s="52">
        <v>2.0</v>
      </c>
      <c r="Y150" s="43" t="s">
        <v>80</v>
      </c>
      <c r="Z150" s="80" t="s">
        <v>81</v>
      </c>
      <c r="AA150" s="59" t="str">
        <f>IF(Rentabilidad=0,"No aplica",TEXT(ROUND(Precio/Rentabilidad/12,0),0) &amp; " años")</f>
        <v>28 años</v>
      </c>
      <c r="AB150" s="134" t="s">
        <v>1217</v>
      </c>
      <c r="AC150" s="61"/>
      <c r="AD150" s="62"/>
      <c r="AE150" s="63"/>
      <c r="AF150" s="64" t="s">
        <v>84</v>
      </c>
      <c r="AG150" s="63"/>
      <c r="AH150" s="65" t="s">
        <v>45</v>
      </c>
      <c r="AI150" s="63"/>
      <c r="AJ150" s="64" t="s">
        <v>453</v>
      </c>
      <c r="AK150" s="50" t="s">
        <v>81</v>
      </c>
      <c r="AL150" s="45" t="s">
        <v>109</v>
      </c>
      <c r="AM150" s="52">
        <v>3.13351965E9</v>
      </c>
      <c r="AN150" s="45">
        <v>0.0</v>
      </c>
      <c r="AO150" s="52"/>
      <c r="AP150" s="67" t="s">
        <v>1218</v>
      </c>
      <c r="AQ150" s="67"/>
      <c r="AR150" s="67"/>
      <c r="AS150" s="135">
        <v>1500000.0</v>
      </c>
      <c r="AT150" s="63">
        <v>0.0</v>
      </c>
      <c r="AU150" s="52">
        <v>0.0</v>
      </c>
      <c r="AV150" s="52">
        <v>0.0</v>
      </c>
      <c r="AW150" s="43" t="s">
        <v>88</v>
      </c>
      <c r="AX150" s="52">
        <v>0.0</v>
      </c>
      <c r="AY150" s="52">
        <v>0.0</v>
      </c>
      <c r="AZ150" s="52">
        <v>10.0</v>
      </c>
      <c r="BA150" s="43" t="s">
        <v>89</v>
      </c>
      <c r="BB150" s="52">
        <v>25.0</v>
      </c>
      <c r="BC150" s="86"/>
      <c r="BD150" s="71"/>
      <c r="BE150" s="71"/>
      <c r="BF150" s="72" t="s">
        <v>1219</v>
      </c>
      <c r="BG150" s="73"/>
      <c r="BH150" s="73"/>
      <c r="BI150" s="73"/>
      <c r="BJ150" s="73"/>
      <c r="BK150" s="73"/>
      <c r="BL150" s="73"/>
      <c r="BM150" s="73"/>
      <c r="BN150" s="73"/>
      <c r="BO150" s="73"/>
      <c r="BP150" s="73"/>
      <c r="BQ150" s="73"/>
      <c r="BR150" s="73"/>
      <c r="BS150" s="73"/>
      <c r="BT150" s="73"/>
      <c r="BU150" s="73"/>
      <c r="BV150" s="73"/>
      <c r="BW150" s="74"/>
      <c r="BX150" s="74"/>
      <c r="BY150" s="63"/>
      <c r="BZ150" s="63"/>
    </row>
    <row r="151" ht="15.75" customHeight="1">
      <c r="A151" s="174" t="s">
        <v>1220</v>
      </c>
      <c r="B151" s="112" t="s">
        <v>1221</v>
      </c>
      <c r="C151" s="50" t="s">
        <v>271</v>
      </c>
      <c r="D151" s="50" t="s">
        <v>1222</v>
      </c>
      <c r="E151" s="77" t="s">
        <v>376</v>
      </c>
      <c r="F151" s="47">
        <v>4.0E8</v>
      </c>
      <c r="G151" s="44" t="str">
        <f t="shared" si="1"/>
        <v>$400'000.000 a $500'000.000</v>
      </c>
      <c r="H151" s="44"/>
      <c r="I151" s="44"/>
      <c r="J151" s="50" t="s">
        <v>183</v>
      </c>
      <c r="K151" s="51"/>
      <c r="L151" s="44">
        <v>10.0</v>
      </c>
      <c r="M151" s="44"/>
      <c r="N151" s="44">
        <v>9.0</v>
      </c>
      <c r="O151" s="50">
        <v>1.0</v>
      </c>
      <c r="P151" s="44">
        <v>3.0</v>
      </c>
      <c r="Q151" s="54">
        <v>153.0</v>
      </c>
      <c r="R151" s="79">
        <v>200.0</v>
      </c>
      <c r="S151" s="56" t="str">
        <f t="shared" si="5"/>
        <v>Rentabilidad $1,500,000</v>
      </c>
      <c r="T151" s="52" t="s">
        <v>78</v>
      </c>
      <c r="U151" s="57" t="s">
        <v>184</v>
      </c>
      <c r="V151" s="50" t="s">
        <v>79</v>
      </c>
      <c r="W151" s="50"/>
      <c r="X151" s="44">
        <v>2.0</v>
      </c>
      <c r="Y151" s="43" t="s">
        <v>80</v>
      </c>
      <c r="Z151" s="80" t="s">
        <v>81</v>
      </c>
      <c r="AA151" s="59" t="str">
        <f>IF(Rentabilidad=0,"No aplica",TEXT(ROUND(Precio/Rentabilidad/12,0),0) &amp; " años")</f>
        <v>22 años</v>
      </c>
      <c r="AB151" s="134" t="s">
        <v>1223</v>
      </c>
      <c r="AC151" s="61"/>
      <c r="AD151" s="62"/>
      <c r="AE151" s="63"/>
      <c r="AF151" s="64" t="s">
        <v>236</v>
      </c>
      <c r="AG151" s="63"/>
      <c r="AH151" s="63"/>
      <c r="AI151" s="63"/>
      <c r="AJ151" s="64" t="s">
        <v>453</v>
      </c>
      <c r="AK151" s="50" t="s">
        <v>81</v>
      </c>
      <c r="AL151" s="45" t="s">
        <v>109</v>
      </c>
      <c r="AM151" s="52">
        <v>3.13351965E9</v>
      </c>
      <c r="AN151" s="45">
        <v>0.0</v>
      </c>
      <c r="AO151" s="52"/>
      <c r="AP151" s="67" t="s">
        <v>1224</v>
      </c>
      <c r="AQ151" s="67"/>
      <c r="AR151" s="67"/>
      <c r="AS151" s="68">
        <v>1500000.0</v>
      </c>
      <c r="AT151" s="63">
        <v>0.0</v>
      </c>
      <c r="AU151" s="52">
        <v>0.0</v>
      </c>
      <c r="AV151" s="52">
        <v>0.0</v>
      </c>
      <c r="AW151" s="43" t="s">
        <v>88</v>
      </c>
      <c r="AX151" s="52">
        <v>0.0</v>
      </c>
      <c r="AY151" s="52">
        <v>0.0</v>
      </c>
      <c r="AZ151" s="52">
        <v>0.0</v>
      </c>
      <c r="BA151" s="43" t="s">
        <v>89</v>
      </c>
      <c r="BB151" s="52">
        <v>0.0</v>
      </c>
      <c r="BC151" s="69" t="s">
        <v>439</v>
      </c>
      <c r="BD151" s="121"/>
      <c r="BE151" s="129"/>
      <c r="BF151" s="188" t="s">
        <v>1225</v>
      </c>
      <c r="BG151" s="73"/>
      <c r="BH151" s="73"/>
      <c r="BI151" s="73"/>
      <c r="BJ151" s="73"/>
      <c r="BK151" s="73"/>
      <c r="BL151" s="73"/>
      <c r="BM151" s="73"/>
      <c r="BN151" s="73"/>
      <c r="BO151" s="73"/>
      <c r="BP151" s="73"/>
      <c r="BQ151" s="73"/>
      <c r="BR151" s="73"/>
      <c r="BS151" s="73"/>
      <c r="BT151" s="73"/>
      <c r="BU151" s="73"/>
      <c r="BV151" s="73"/>
      <c r="BW151" s="74"/>
      <c r="BX151" s="74"/>
      <c r="BY151" s="63"/>
      <c r="BZ151" s="63"/>
    </row>
    <row r="152" ht="15.75" customHeight="1">
      <c r="A152" s="189" t="s">
        <v>1226</v>
      </c>
      <c r="B152" s="43" t="s">
        <v>1227</v>
      </c>
      <c r="C152" s="43" t="s">
        <v>1228</v>
      </c>
      <c r="D152" s="50" t="s">
        <v>1229</v>
      </c>
      <c r="E152" s="45"/>
      <c r="F152" s="47">
        <v>3.0E8</v>
      </c>
      <c r="G152" s="44" t="str">
        <f t="shared" si="1"/>
        <v>$300'000.000 a $400'000.000</v>
      </c>
      <c r="H152" s="44"/>
      <c r="I152" s="44"/>
      <c r="J152" s="50" t="s">
        <v>76</v>
      </c>
      <c r="K152" s="57"/>
      <c r="L152" s="44">
        <v>0.0</v>
      </c>
      <c r="M152" s="44"/>
      <c r="N152" s="44">
        <v>0.0</v>
      </c>
      <c r="O152" s="44">
        <v>0.0</v>
      </c>
      <c r="P152" s="44">
        <v>1.0</v>
      </c>
      <c r="Q152" s="113">
        <v>180.0</v>
      </c>
      <c r="R152" s="79">
        <v>180.0</v>
      </c>
      <c r="S152" s="56" t="str">
        <f t="shared" si="5"/>
        <v> </v>
      </c>
      <c r="T152" s="52" t="s">
        <v>78</v>
      </c>
      <c r="U152" s="187" t="s">
        <v>184</v>
      </c>
      <c r="V152" s="50" t="s">
        <v>79</v>
      </c>
      <c r="W152" s="50"/>
      <c r="X152" s="63">
        <v>0.0</v>
      </c>
      <c r="Y152" s="65" t="s">
        <v>80</v>
      </c>
      <c r="Z152" s="80" t="s">
        <v>81</v>
      </c>
      <c r="AA152" s="59" t="str">
        <f>IF(Rentabilidad=0,"No aplica",TEXT(ROUND(Precio/Rentabilidad/12,0),0) &amp; " años")</f>
        <v>No aplica</v>
      </c>
      <c r="AB152" s="190"/>
      <c r="AC152" s="61"/>
      <c r="AD152" s="62"/>
      <c r="AE152" s="63"/>
      <c r="AF152" s="45" t="s">
        <v>96</v>
      </c>
      <c r="AG152" s="63"/>
      <c r="AH152" s="63"/>
      <c r="AI152" s="63"/>
      <c r="AJ152" s="64" t="s">
        <v>453</v>
      </c>
      <c r="AK152" s="50" t="s">
        <v>81</v>
      </c>
      <c r="AL152" s="45" t="s">
        <v>109</v>
      </c>
      <c r="AM152" s="52">
        <v>3.13351965E9</v>
      </c>
      <c r="AN152" s="45">
        <v>0.0</v>
      </c>
      <c r="AO152" s="52"/>
      <c r="AP152" s="67" t="s">
        <v>1230</v>
      </c>
      <c r="AQ152" s="67"/>
      <c r="AR152" s="67"/>
      <c r="AS152" s="118">
        <v>0.0</v>
      </c>
      <c r="AT152" s="63">
        <v>0.0</v>
      </c>
      <c r="AU152" s="44" t="s">
        <v>88</v>
      </c>
      <c r="AV152" s="44">
        <v>0.0</v>
      </c>
      <c r="AW152" s="44" t="s">
        <v>88</v>
      </c>
      <c r="AX152" s="44">
        <v>0.0</v>
      </c>
      <c r="AY152" s="44">
        <v>0.0</v>
      </c>
      <c r="AZ152" s="63">
        <v>0.0</v>
      </c>
      <c r="BA152" s="43" t="s">
        <v>89</v>
      </c>
      <c r="BB152" s="63">
        <v>0.0</v>
      </c>
      <c r="BC152" s="69"/>
      <c r="BD152" s="70"/>
      <c r="BE152" s="71"/>
      <c r="BF152" s="72"/>
      <c r="BG152" s="73"/>
      <c r="BH152" s="73"/>
      <c r="BI152" s="73"/>
      <c r="BJ152" s="73"/>
      <c r="BK152" s="73"/>
      <c r="BL152" s="73"/>
      <c r="BM152" s="73"/>
      <c r="BN152" s="73"/>
      <c r="BO152" s="73"/>
      <c r="BP152" s="73"/>
      <c r="BQ152" s="73"/>
      <c r="BR152" s="73"/>
      <c r="BS152" s="73"/>
      <c r="BT152" s="73"/>
      <c r="BU152" s="73"/>
      <c r="BV152" s="73"/>
      <c r="BW152" s="74"/>
      <c r="BX152" s="74"/>
      <c r="BY152" s="63"/>
      <c r="BZ152" s="63"/>
    </row>
    <row r="153" ht="15.75" customHeight="1">
      <c r="A153" s="149" t="s">
        <v>1231</v>
      </c>
      <c r="B153" s="50" t="s">
        <v>1232</v>
      </c>
      <c r="C153" s="50" t="s">
        <v>271</v>
      </c>
      <c r="D153" s="44" t="s">
        <v>1233</v>
      </c>
      <c r="E153" s="45"/>
      <c r="F153" s="47">
        <v>2.8E8</v>
      </c>
      <c r="G153" s="44" t="str">
        <f t="shared" si="1"/>
        <v>$200'000.000 a $300'000.000</v>
      </c>
      <c r="H153" s="44"/>
      <c r="I153" s="44"/>
      <c r="J153" s="50" t="s">
        <v>183</v>
      </c>
      <c r="K153" s="57"/>
      <c r="L153" s="44">
        <v>5.0</v>
      </c>
      <c r="M153" s="44"/>
      <c r="N153" s="44">
        <v>3.0</v>
      </c>
      <c r="O153" s="50">
        <v>1.0</v>
      </c>
      <c r="P153" s="44">
        <v>2.0</v>
      </c>
      <c r="Q153" s="113"/>
      <c r="R153" s="79">
        <v>112.0</v>
      </c>
      <c r="S153" s="56" t="str">
        <f t="shared" si="5"/>
        <v>Rentabilidad $1,200,000</v>
      </c>
      <c r="T153" s="52" t="s">
        <v>78</v>
      </c>
      <c r="U153" s="142" t="s">
        <v>77</v>
      </c>
      <c r="V153" s="50" t="s">
        <v>79</v>
      </c>
      <c r="W153" s="50"/>
      <c r="X153" s="63">
        <v>1.0</v>
      </c>
      <c r="Y153" s="65" t="s">
        <v>80</v>
      </c>
      <c r="Z153" s="80" t="s">
        <v>81</v>
      </c>
      <c r="AA153" s="59" t="str">
        <f>IF(Rentabilidad=0,"No aplica",TEXT(ROUND(Precio/Rentabilidad/12,0),0) &amp; " años")</f>
        <v>19 años</v>
      </c>
      <c r="AB153" s="115" t="s">
        <v>1234</v>
      </c>
      <c r="AC153" s="61"/>
      <c r="AD153" s="62"/>
      <c r="AE153" s="63"/>
      <c r="AF153" s="45" t="s">
        <v>1235</v>
      </c>
      <c r="AG153" s="63"/>
      <c r="AH153" s="63"/>
      <c r="AI153" s="63"/>
      <c r="AJ153" s="64" t="s">
        <v>453</v>
      </c>
      <c r="AK153" s="50" t="s">
        <v>81</v>
      </c>
      <c r="AL153" s="45" t="s">
        <v>109</v>
      </c>
      <c r="AM153" s="52">
        <v>3.13351965E9</v>
      </c>
      <c r="AN153" s="45"/>
      <c r="AO153" s="52"/>
      <c r="AP153" s="67" t="s">
        <v>1236</v>
      </c>
      <c r="AQ153" s="67"/>
      <c r="AR153" s="67"/>
      <c r="AS153" s="118">
        <v>1200000.0</v>
      </c>
      <c r="AT153" s="63">
        <v>0.0</v>
      </c>
      <c r="AU153" s="44" t="s">
        <v>88</v>
      </c>
      <c r="AV153" s="44">
        <v>1.0</v>
      </c>
      <c r="AW153" s="44" t="s">
        <v>88</v>
      </c>
      <c r="AX153" s="44">
        <v>0.0</v>
      </c>
      <c r="AY153" s="44" t="s">
        <v>137</v>
      </c>
      <c r="AZ153" s="63">
        <v>0.0</v>
      </c>
      <c r="BA153" s="43" t="s">
        <v>89</v>
      </c>
      <c r="BB153" s="63">
        <v>0.0</v>
      </c>
      <c r="BC153" s="109"/>
      <c r="BD153" s="70"/>
      <c r="BE153" s="71"/>
      <c r="BF153" s="72" t="s">
        <v>1237</v>
      </c>
      <c r="BG153" s="191"/>
      <c r="BH153" s="191"/>
      <c r="BI153" s="191"/>
      <c r="BJ153" s="191"/>
      <c r="BK153" s="191"/>
      <c r="BL153" s="191"/>
      <c r="BM153" s="191"/>
      <c r="BN153" s="191"/>
      <c r="BO153" s="191"/>
      <c r="BP153" s="191"/>
      <c r="BQ153" s="191"/>
      <c r="BR153" s="191"/>
      <c r="BS153" s="191"/>
      <c r="BT153" s="191"/>
      <c r="BU153" s="191"/>
      <c r="BV153" s="191"/>
      <c r="BW153" s="192"/>
      <c r="BX153" s="192"/>
      <c r="BY153" s="192"/>
      <c r="BZ153" s="192"/>
    </row>
    <row r="154" ht="15.75" customHeight="1">
      <c r="A154" s="149" t="s">
        <v>1238</v>
      </c>
      <c r="B154" s="50" t="s">
        <v>1239</v>
      </c>
      <c r="C154" s="50" t="s">
        <v>271</v>
      </c>
      <c r="D154" s="44" t="s">
        <v>1240</v>
      </c>
      <c r="E154" s="77" t="s">
        <v>376</v>
      </c>
      <c r="F154" s="47">
        <v>2.7E8</v>
      </c>
      <c r="G154" s="44" t="str">
        <f t="shared" si="1"/>
        <v>$200'000.000 a $300'000.000</v>
      </c>
      <c r="H154" s="44"/>
      <c r="I154" s="44"/>
      <c r="J154" s="50" t="s">
        <v>183</v>
      </c>
      <c r="K154" s="57"/>
      <c r="L154" s="44">
        <v>5.0</v>
      </c>
      <c r="M154" s="44"/>
      <c r="N154" s="44">
        <v>2.0</v>
      </c>
      <c r="O154" s="50">
        <v>2.0</v>
      </c>
      <c r="P154" s="44">
        <v>2.0</v>
      </c>
      <c r="Q154" s="113">
        <v>160.0</v>
      </c>
      <c r="R154" s="79">
        <v>84.0</v>
      </c>
      <c r="S154" s="56" t="str">
        <f t="shared" si="5"/>
        <v>Rentabilidad $900,000</v>
      </c>
      <c r="T154" s="52" t="s">
        <v>78</v>
      </c>
      <c r="U154" s="142" t="s">
        <v>184</v>
      </c>
      <c r="V154" s="65" t="s">
        <v>79</v>
      </c>
      <c r="W154" s="65"/>
      <c r="X154" s="63">
        <v>2.0</v>
      </c>
      <c r="Y154" s="65" t="s">
        <v>80</v>
      </c>
      <c r="Z154" s="80" t="s">
        <v>81</v>
      </c>
      <c r="AA154" s="59" t="str">
        <f>IF(Rentabilidad=0,"No aplica",TEXT(ROUND(Precio/Rentabilidad/12,0),0) &amp; " años")</f>
        <v>25 años</v>
      </c>
      <c r="AB154" s="115" t="s">
        <v>1241</v>
      </c>
      <c r="AC154" s="61"/>
      <c r="AD154" s="62"/>
      <c r="AE154" s="63"/>
      <c r="AF154" s="64" t="s">
        <v>84</v>
      </c>
      <c r="AG154" s="63"/>
      <c r="AH154" s="63"/>
      <c r="AI154" s="63"/>
      <c r="AJ154" s="64" t="s">
        <v>453</v>
      </c>
      <c r="AK154" s="50" t="s">
        <v>81</v>
      </c>
      <c r="AL154" s="45" t="s">
        <v>109</v>
      </c>
      <c r="AM154" s="52">
        <v>3.13351965E9</v>
      </c>
      <c r="AN154" s="45"/>
      <c r="AO154" s="52"/>
      <c r="AP154" s="67" t="s">
        <v>1242</v>
      </c>
      <c r="AQ154" s="67"/>
      <c r="AR154" s="67"/>
      <c r="AS154" s="118">
        <v>900000.0</v>
      </c>
      <c r="AT154" s="63">
        <v>0.0</v>
      </c>
      <c r="AU154" s="44" t="s">
        <v>88</v>
      </c>
      <c r="AV154" s="44">
        <v>0.0</v>
      </c>
      <c r="AW154" s="44" t="s">
        <v>106</v>
      </c>
      <c r="AX154" s="44">
        <v>0.0</v>
      </c>
      <c r="AY154" s="44" t="s">
        <v>137</v>
      </c>
      <c r="AZ154" s="63">
        <v>0.0</v>
      </c>
      <c r="BA154" s="43" t="s">
        <v>89</v>
      </c>
      <c r="BB154" s="63">
        <v>0.0</v>
      </c>
      <c r="BC154" s="69"/>
      <c r="BD154" s="70"/>
      <c r="BE154" s="71"/>
      <c r="BF154" s="72" t="s">
        <v>1243</v>
      </c>
      <c r="BG154" s="73"/>
      <c r="BH154" s="73"/>
      <c r="BI154" s="73"/>
      <c r="BJ154" s="73"/>
      <c r="BK154" s="73"/>
      <c r="BL154" s="73"/>
      <c r="BM154" s="73"/>
      <c r="BN154" s="73"/>
      <c r="BO154" s="73"/>
      <c r="BP154" s="73"/>
      <c r="BQ154" s="73"/>
      <c r="BR154" s="73"/>
      <c r="BS154" s="73"/>
      <c r="BT154" s="73"/>
      <c r="BU154" s="73"/>
      <c r="BV154" s="73"/>
      <c r="BW154" s="74"/>
      <c r="BX154" s="74"/>
      <c r="BY154" s="63"/>
      <c r="BZ154" s="63"/>
    </row>
    <row r="155" ht="15.75" customHeight="1">
      <c r="A155" s="174" t="s">
        <v>1244</v>
      </c>
      <c r="B155" s="50" t="s">
        <v>1245</v>
      </c>
      <c r="C155" s="50" t="s">
        <v>271</v>
      </c>
      <c r="D155" s="44" t="s">
        <v>1246</v>
      </c>
      <c r="E155" s="77" t="s">
        <v>376</v>
      </c>
      <c r="F155" s="47">
        <v>2.6E8</v>
      </c>
      <c r="G155" s="44" t="str">
        <f t="shared" si="1"/>
        <v>$200'000.000 a $300'000.000</v>
      </c>
      <c r="H155" s="44"/>
      <c r="I155" s="44"/>
      <c r="J155" s="50" t="s">
        <v>183</v>
      </c>
      <c r="K155" s="57"/>
      <c r="L155" s="44">
        <v>5.0</v>
      </c>
      <c r="M155" s="44"/>
      <c r="N155" s="44">
        <v>2.0</v>
      </c>
      <c r="O155" s="50">
        <v>1.0</v>
      </c>
      <c r="P155" s="44">
        <v>2.0</v>
      </c>
      <c r="Q155" s="54">
        <v>150.0</v>
      </c>
      <c r="R155" s="79">
        <v>84.0</v>
      </c>
      <c r="S155" s="56" t="str">
        <f t="shared" si="5"/>
        <v>Rentabilidad $900,000</v>
      </c>
      <c r="T155" s="52" t="s">
        <v>78</v>
      </c>
      <c r="U155" s="57" t="s">
        <v>184</v>
      </c>
      <c r="V155" s="50" t="s">
        <v>79</v>
      </c>
      <c r="W155" s="50"/>
      <c r="X155" s="44">
        <v>4.0</v>
      </c>
      <c r="Y155" s="50" t="s">
        <v>80</v>
      </c>
      <c r="Z155" s="80" t="s">
        <v>81</v>
      </c>
      <c r="AA155" s="59" t="str">
        <f>IF(Rentabilidad=0,"No aplica",TEXT(ROUND(Precio/Rentabilidad/12,0),0) &amp; " años")</f>
        <v>24 años</v>
      </c>
      <c r="AB155" s="134" t="s">
        <v>1247</v>
      </c>
      <c r="AC155" s="61"/>
      <c r="AD155" s="62"/>
      <c r="AE155" s="63"/>
      <c r="AF155" s="45" t="s">
        <v>105</v>
      </c>
      <c r="AG155" s="63"/>
      <c r="AH155" s="63"/>
      <c r="AI155" s="63"/>
      <c r="AJ155" s="64" t="s">
        <v>453</v>
      </c>
      <c r="AK155" s="50" t="s">
        <v>81</v>
      </c>
      <c r="AL155" s="45" t="s">
        <v>109</v>
      </c>
      <c r="AM155" s="52">
        <v>3.13351965E9</v>
      </c>
      <c r="AN155" s="45"/>
      <c r="AO155" s="52"/>
      <c r="AP155" s="67" t="s">
        <v>1248</v>
      </c>
      <c r="AQ155" s="67"/>
      <c r="AR155" s="67"/>
      <c r="AS155" s="68">
        <v>900000.0</v>
      </c>
      <c r="AT155" s="63">
        <v>0.0</v>
      </c>
      <c r="AU155" s="52">
        <v>0.0</v>
      </c>
      <c r="AV155" s="52">
        <v>0.0</v>
      </c>
      <c r="AW155" s="52" t="s">
        <v>106</v>
      </c>
      <c r="AX155" s="52">
        <v>0.0</v>
      </c>
      <c r="AY155" s="52" t="s">
        <v>137</v>
      </c>
      <c r="AZ155" s="44">
        <v>0.0</v>
      </c>
      <c r="BA155" s="43" t="s">
        <v>89</v>
      </c>
      <c r="BB155" s="44">
        <v>0.0</v>
      </c>
      <c r="BC155" s="69" t="s">
        <v>445</v>
      </c>
      <c r="BD155" s="70"/>
      <c r="BE155" s="71"/>
      <c r="BF155" s="72" t="s">
        <v>1249</v>
      </c>
      <c r="BG155" s="73"/>
      <c r="BH155" s="73"/>
      <c r="BI155" s="73"/>
      <c r="BJ155" s="73"/>
      <c r="BK155" s="73"/>
      <c r="BL155" s="73"/>
      <c r="BM155" s="73"/>
      <c r="BN155" s="73"/>
      <c r="BO155" s="73"/>
      <c r="BP155" s="73"/>
      <c r="BQ155" s="73"/>
      <c r="BR155" s="73"/>
      <c r="BS155" s="73"/>
      <c r="BT155" s="73"/>
      <c r="BU155" s="73"/>
      <c r="BV155" s="73"/>
      <c r="BW155" s="74"/>
      <c r="BX155" s="74"/>
      <c r="BY155" s="63"/>
      <c r="BZ155" s="63"/>
    </row>
    <row r="156" ht="15.75" customHeight="1">
      <c r="A156" s="174" t="s">
        <v>1250</v>
      </c>
      <c r="B156" s="50" t="s">
        <v>1251</v>
      </c>
      <c r="C156" s="50" t="s">
        <v>271</v>
      </c>
      <c r="D156" s="44" t="s">
        <v>824</v>
      </c>
      <c r="E156" s="45"/>
      <c r="F156" s="47">
        <v>2.5E8</v>
      </c>
      <c r="G156" s="44" t="str">
        <f t="shared" si="1"/>
        <v>$200'000.000 a $300'000.000</v>
      </c>
      <c r="H156" s="44"/>
      <c r="I156" s="44"/>
      <c r="J156" s="50" t="s">
        <v>116</v>
      </c>
      <c r="K156" s="57"/>
      <c r="L156" s="52">
        <v>5.0</v>
      </c>
      <c r="M156" s="52"/>
      <c r="N156" s="52">
        <v>2.0</v>
      </c>
      <c r="O156" s="43">
        <v>1.0</v>
      </c>
      <c r="P156" s="52">
        <v>2.0</v>
      </c>
      <c r="Q156" s="54">
        <v>234.0</v>
      </c>
      <c r="R156" s="55">
        <v>117.0</v>
      </c>
      <c r="S156" s="56" t="str">
        <f t="shared" si="5"/>
        <v>Rentabilidad $1,000,000</v>
      </c>
      <c r="T156" s="52" t="s">
        <v>78</v>
      </c>
      <c r="U156" s="142" t="s">
        <v>184</v>
      </c>
      <c r="V156" s="43" t="s">
        <v>79</v>
      </c>
      <c r="W156" s="43"/>
      <c r="X156" s="52">
        <v>2.0</v>
      </c>
      <c r="Y156" s="43" t="s">
        <v>80</v>
      </c>
      <c r="Z156" s="80" t="s">
        <v>81</v>
      </c>
      <c r="AA156" s="59" t="str">
        <f>IF(Rentabilidad=0,"No aplica",TEXT(ROUND(Precio/Rentabilidad/12,0),0) &amp; " años")</f>
        <v>21 años</v>
      </c>
      <c r="AB156" s="134" t="s">
        <v>1252</v>
      </c>
      <c r="AC156" s="61"/>
      <c r="AD156" s="62"/>
      <c r="AE156" s="63"/>
      <c r="AF156" s="64" t="s">
        <v>84</v>
      </c>
      <c r="AG156" s="63"/>
      <c r="AH156" s="63"/>
      <c r="AI156" s="63"/>
      <c r="AJ156" s="64" t="s">
        <v>453</v>
      </c>
      <c r="AK156" s="50" t="s">
        <v>81</v>
      </c>
      <c r="AL156" s="45" t="s">
        <v>109</v>
      </c>
      <c r="AM156" s="52">
        <v>3.13351965E9</v>
      </c>
      <c r="AN156" s="45"/>
      <c r="AO156" s="52"/>
      <c r="AP156" s="67" t="s">
        <v>1253</v>
      </c>
      <c r="AQ156" s="67"/>
      <c r="AR156" s="67"/>
      <c r="AS156" s="135">
        <v>1000000.0</v>
      </c>
      <c r="AT156" s="63">
        <v>0.0</v>
      </c>
      <c r="AU156" s="52">
        <v>0.0</v>
      </c>
      <c r="AV156" s="52">
        <v>0.0</v>
      </c>
      <c r="AW156" s="43" t="s">
        <v>88</v>
      </c>
      <c r="AX156" s="52">
        <v>0.0</v>
      </c>
      <c r="AY156" s="52">
        <v>0.0</v>
      </c>
      <c r="AZ156" s="52">
        <v>0.0</v>
      </c>
      <c r="BA156" s="43" t="s">
        <v>89</v>
      </c>
      <c r="BB156" s="52">
        <v>0.0</v>
      </c>
      <c r="BC156" s="95"/>
      <c r="BD156" s="71"/>
      <c r="BE156" s="71"/>
      <c r="BF156" s="72" t="s">
        <v>1254</v>
      </c>
      <c r="BG156" s="73"/>
      <c r="BH156" s="73"/>
      <c r="BI156" s="73"/>
      <c r="BJ156" s="73"/>
      <c r="BK156" s="73"/>
      <c r="BL156" s="73"/>
      <c r="BM156" s="73"/>
      <c r="BN156" s="73"/>
      <c r="BO156" s="73"/>
      <c r="BP156" s="73"/>
      <c r="BQ156" s="73"/>
      <c r="BR156" s="73"/>
      <c r="BS156" s="73"/>
      <c r="BT156" s="73"/>
      <c r="BU156" s="73"/>
      <c r="BV156" s="73"/>
      <c r="BW156" s="74"/>
      <c r="BX156" s="74"/>
      <c r="BY156" s="63"/>
      <c r="BZ156" s="63"/>
    </row>
    <row r="157" ht="15.75" customHeight="1">
      <c r="A157" s="174" t="s">
        <v>1255</v>
      </c>
      <c r="B157" s="50" t="s">
        <v>1256</v>
      </c>
      <c r="C157" s="50" t="s">
        <v>271</v>
      </c>
      <c r="D157" s="50" t="s">
        <v>1257</v>
      </c>
      <c r="E157" s="64"/>
      <c r="F157" s="47">
        <v>2.3E8</v>
      </c>
      <c r="G157" s="44" t="str">
        <f t="shared" si="1"/>
        <v>$200'000.000 a $300'000.000</v>
      </c>
      <c r="H157" s="44"/>
      <c r="I157" s="44"/>
      <c r="J157" s="50" t="s">
        <v>183</v>
      </c>
      <c r="K157" s="51"/>
      <c r="L157" s="52">
        <v>3.0</v>
      </c>
      <c r="M157" s="52"/>
      <c r="N157" s="52">
        <v>2.0</v>
      </c>
      <c r="O157" s="43">
        <v>1.0</v>
      </c>
      <c r="P157" s="52">
        <v>1.0</v>
      </c>
      <c r="Q157" s="54">
        <v>142.0</v>
      </c>
      <c r="R157" s="55">
        <v>142.0</v>
      </c>
      <c r="S157" s="56" t="str">
        <f t="shared" si="5"/>
        <v>Rentabilidad $800,000</v>
      </c>
      <c r="T157" s="52" t="s">
        <v>78</v>
      </c>
      <c r="U157" s="142" t="s">
        <v>184</v>
      </c>
      <c r="V157" s="43" t="s">
        <v>118</v>
      </c>
      <c r="W157" s="43"/>
      <c r="X157" s="52">
        <v>2.0</v>
      </c>
      <c r="Y157" s="43" t="s">
        <v>80</v>
      </c>
      <c r="Z157" s="80" t="s">
        <v>81</v>
      </c>
      <c r="AA157" s="59" t="str">
        <f>IF(Rentabilidad=0,"No aplica",TEXT(ROUND(Precio/Rentabilidad/12,0),0) &amp; " años")</f>
        <v>24 años</v>
      </c>
      <c r="AB157" s="134" t="s">
        <v>1258</v>
      </c>
      <c r="AC157" s="61"/>
      <c r="AD157" s="62"/>
      <c r="AE157" s="63"/>
      <c r="AF157" s="64" t="s">
        <v>84</v>
      </c>
      <c r="AG157" s="63"/>
      <c r="AH157" s="65"/>
      <c r="AI157" s="63"/>
      <c r="AJ157" s="64" t="s">
        <v>453</v>
      </c>
      <c r="AK157" s="50" t="s">
        <v>81</v>
      </c>
      <c r="AL157" s="45" t="s">
        <v>109</v>
      </c>
      <c r="AM157" s="52">
        <v>3.13351965E9</v>
      </c>
      <c r="AN157" s="45"/>
      <c r="AO157" s="52"/>
      <c r="AP157" s="67"/>
      <c r="AQ157" s="67"/>
      <c r="AR157" s="67"/>
      <c r="AS157" s="135">
        <v>800000.0</v>
      </c>
      <c r="AT157" s="63">
        <v>0.0</v>
      </c>
      <c r="AU157" s="52">
        <v>0.0</v>
      </c>
      <c r="AV157" s="52">
        <v>0.0</v>
      </c>
      <c r="AW157" s="43" t="s">
        <v>88</v>
      </c>
      <c r="AX157" s="52">
        <v>0.0</v>
      </c>
      <c r="AY157" s="52">
        <v>0.0</v>
      </c>
      <c r="AZ157" s="52">
        <v>0.0</v>
      </c>
      <c r="BA157" s="43" t="s">
        <v>89</v>
      </c>
      <c r="BB157" s="52">
        <v>0.0</v>
      </c>
      <c r="BC157" s="95"/>
      <c r="BD157" s="71"/>
      <c r="BE157" s="71"/>
      <c r="BF157" s="72" t="s">
        <v>1259</v>
      </c>
      <c r="BG157" s="73"/>
      <c r="BH157" s="73"/>
      <c r="BI157" s="73"/>
      <c r="BJ157" s="73"/>
      <c r="BK157" s="73"/>
      <c r="BL157" s="73"/>
      <c r="BM157" s="73"/>
      <c r="BN157" s="73"/>
      <c r="BO157" s="73"/>
      <c r="BP157" s="73"/>
      <c r="BQ157" s="73"/>
      <c r="BR157" s="73"/>
      <c r="BS157" s="73"/>
      <c r="BT157" s="73"/>
      <c r="BU157" s="73"/>
      <c r="BV157" s="73"/>
      <c r="BW157" s="74"/>
      <c r="BX157" s="74"/>
      <c r="BY157" s="63"/>
      <c r="BZ157" s="63"/>
    </row>
    <row r="158" ht="15.75" customHeight="1">
      <c r="A158" s="174" t="s">
        <v>1260</v>
      </c>
      <c r="B158" s="50" t="s">
        <v>1261</v>
      </c>
      <c r="C158" s="50" t="s">
        <v>271</v>
      </c>
      <c r="D158" s="44" t="s">
        <v>1262</v>
      </c>
      <c r="E158" s="77" t="s">
        <v>376</v>
      </c>
      <c r="F158" s="47">
        <v>2.2E8</v>
      </c>
      <c r="G158" s="44" t="str">
        <f t="shared" si="1"/>
        <v>$200'000.000 a $300'000.000</v>
      </c>
      <c r="H158" s="44"/>
      <c r="I158" s="44"/>
      <c r="J158" s="50" t="s">
        <v>183</v>
      </c>
      <c r="K158" s="57"/>
      <c r="L158" s="52">
        <v>2.0</v>
      </c>
      <c r="M158" s="52"/>
      <c r="N158" s="52">
        <v>4.0</v>
      </c>
      <c r="O158" s="43">
        <v>0.0</v>
      </c>
      <c r="P158" s="52">
        <v>1.0</v>
      </c>
      <c r="Q158" s="54">
        <v>102.0</v>
      </c>
      <c r="R158" s="55">
        <v>102.0</v>
      </c>
      <c r="S158" s="56" t="str">
        <f t="shared" si="5"/>
        <v>Rentabilidad $1,410,000</v>
      </c>
      <c r="T158" s="52" t="s">
        <v>78</v>
      </c>
      <c r="U158" s="142" t="s">
        <v>184</v>
      </c>
      <c r="V158" s="43" t="s">
        <v>118</v>
      </c>
      <c r="W158" s="43"/>
      <c r="X158" s="52">
        <v>2.0</v>
      </c>
      <c r="Y158" s="43" t="s">
        <v>80</v>
      </c>
      <c r="Z158" s="80" t="s">
        <v>81</v>
      </c>
      <c r="AA158" s="59" t="str">
        <f>IF(Rentabilidad=0,"No aplica",TEXT(ROUND(Precio/Rentabilidad/12,0),0) &amp; " años")</f>
        <v>13 años</v>
      </c>
      <c r="AB158" s="134" t="s">
        <v>1263</v>
      </c>
      <c r="AC158" s="61"/>
      <c r="AD158" s="62"/>
      <c r="AE158" s="63"/>
      <c r="AF158" s="64" t="s">
        <v>84</v>
      </c>
      <c r="AG158" s="63"/>
      <c r="AH158" s="63"/>
      <c r="AI158" s="63"/>
      <c r="AJ158" s="64" t="s">
        <v>453</v>
      </c>
      <c r="AK158" s="50" t="s">
        <v>81</v>
      </c>
      <c r="AL158" s="45" t="s">
        <v>109</v>
      </c>
      <c r="AM158" s="52">
        <v>3.13351965E9</v>
      </c>
      <c r="AN158" s="45"/>
      <c r="AO158" s="52"/>
      <c r="AP158" s="67" t="s">
        <v>1264</v>
      </c>
      <c r="AQ158" s="67"/>
      <c r="AR158" s="67"/>
      <c r="AS158" s="135">
        <v>1410000.0</v>
      </c>
      <c r="AT158" s="63">
        <v>0.0</v>
      </c>
      <c r="AU158" s="52">
        <v>0.0</v>
      </c>
      <c r="AV158" s="52">
        <v>0.0</v>
      </c>
      <c r="AW158" s="43" t="s">
        <v>88</v>
      </c>
      <c r="AX158" s="52">
        <v>0.0</v>
      </c>
      <c r="AY158" s="52">
        <v>0.0</v>
      </c>
      <c r="AZ158" s="52">
        <v>0.0</v>
      </c>
      <c r="BA158" s="43" t="s">
        <v>89</v>
      </c>
      <c r="BB158" s="52">
        <v>0.0</v>
      </c>
      <c r="BC158" s="69" t="s">
        <v>525</v>
      </c>
      <c r="BD158" s="70"/>
      <c r="BE158" s="129"/>
      <c r="BF158" s="72" t="s">
        <v>1265</v>
      </c>
      <c r="BG158" s="73"/>
      <c r="BH158" s="73"/>
      <c r="BI158" s="73"/>
      <c r="BJ158" s="73"/>
      <c r="BK158" s="73"/>
      <c r="BL158" s="73"/>
      <c r="BM158" s="73"/>
      <c r="BN158" s="73"/>
      <c r="BO158" s="73"/>
      <c r="BP158" s="73"/>
      <c r="BQ158" s="73"/>
      <c r="BR158" s="73"/>
      <c r="BS158" s="73"/>
      <c r="BT158" s="73"/>
      <c r="BU158" s="73"/>
      <c r="BV158" s="73"/>
      <c r="BW158" s="74"/>
      <c r="BX158" s="74"/>
      <c r="BY158" s="63"/>
      <c r="BZ158" s="63"/>
    </row>
    <row r="159" ht="15.75" customHeight="1">
      <c r="A159" s="174" t="s">
        <v>1266</v>
      </c>
      <c r="B159" s="50" t="s">
        <v>1267</v>
      </c>
      <c r="C159" s="50" t="s">
        <v>271</v>
      </c>
      <c r="D159" s="50" t="s">
        <v>477</v>
      </c>
      <c r="E159" s="77" t="s">
        <v>376</v>
      </c>
      <c r="F159" s="47">
        <v>2.2E8</v>
      </c>
      <c r="G159" s="44" t="str">
        <f t="shared" si="1"/>
        <v>$200'000.000 a $300'000.000</v>
      </c>
      <c r="H159" s="44"/>
      <c r="I159" s="44"/>
      <c r="J159" s="43" t="s">
        <v>76</v>
      </c>
      <c r="K159" s="142"/>
      <c r="L159" s="52">
        <v>4.0</v>
      </c>
      <c r="M159" s="52"/>
      <c r="N159" s="52">
        <v>4.0</v>
      </c>
      <c r="O159" s="43">
        <v>0.0</v>
      </c>
      <c r="P159" s="52">
        <v>1.0</v>
      </c>
      <c r="Q159" s="54">
        <v>119.0</v>
      </c>
      <c r="R159" s="55">
        <v>119.0</v>
      </c>
      <c r="S159" s="56" t="str">
        <f t="shared" si="5"/>
        <v>Rentabilidad $1,440,000</v>
      </c>
      <c r="T159" s="52" t="s">
        <v>78</v>
      </c>
      <c r="U159" s="142" t="s">
        <v>142</v>
      </c>
      <c r="V159" s="43" t="s">
        <v>79</v>
      </c>
      <c r="W159" s="43"/>
      <c r="X159" s="52">
        <v>4.0</v>
      </c>
      <c r="Y159" s="43" t="s">
        <v>80</v>
      </c>
      <c r="Z159" s="80" t="s">
        <v>81</v>
      </c>
      <c r="AA159" s="59" t="str">
        <f>IF(Rentabilidad=0,"No aplica",TEXT(ROUND(Precio/Rentabilidad/12,0),0) &amp; " años")</f>
        <v>13 años</v>
      </c>
      <c r="AB159" s="134" t="s">
        <v>1268</v>
      </c>
      <c r="AC159" s="61"/>
      <c r="AD159" s="62"/>
      <c r="AE159" s="63"/>
      <c r="AF159" s="64" t="s">
        <v>236</v>
      </c>
      <c r="AG159" s="63"/>
      <c r="AH159" s="63"/>
      <c r="AI159" s="63"/>
      <c r="AJ159" s="64" t="s">
        <v>453</v>
      </c>
      <c r="AK159" s="50" t="s">
        <v>81</v>
      </c>
      <c r="AL159" s="45" t="s">
        <v>109</v>
      </c>
      <c r="AM159" s="52">
        <v>3.13351965E9</v>
      </c>
      <c r="AN159" s="45"/>
      <c r="AO159" s="52"/>
      <c r="AP159" s="67" t="s">
        <v>1269</v>
      </c>
      <c r="AQ159" s="67"/>
      <c r="AR159" s="67"/>
      <c r="AS159" s="135">
        <v>1440000.0</v>
      </c>
      <c r="AT159" s="63">
        <v>0.0</v>
      </c>
      <c r="AU159" s="52">
        <v>0.0</v>
      </c>
      <c r="AV159" s="52">
        <v>0.0</v>
      </c>
      <c r="AW159" s="43" t="s">
        <v>88</v>
      </c>
      <c r="AX159" s="52">
        <v>0.0</v>
      </c>
      <c r="AY159" s="52">
        <v>0.0</v>
      </c>
      <c r="AZ159" s="52">
        <v>0.0</v>
      </c>
      <c r="BA159" s="43" t="s">
        <v>89</v>
      </c>
      <c r="BB159" s="52">
        <v>0.0</v>
      </c>
      <c r="BC159" s="109"/>
      <c r="BD159" s="70"/>
      <c r="BE159" s="71"/>
      <c r="BF159" s="72" t="s">
        <v>1270</v>
      </c>
      <c r="BG159" s="73"/>
      <c r="BH159" s="73"/>
      <c r="BI159" s="73"/>
      <c r="BJ159" s="73"/>
      <c r="BK159" s="73"/>
      <c r="BL159" s="73"/>
      <c r="BM159" s="73"/>
      <c r="BN159" s="73"/>
      <c r="BO159" s="73"/>
      <c r="BP159" s="73"/>
      <c r="BQ159" s="73"/>
      <c r="BR159" s="73"/>
      <c r="BS159" s="73"/>
      <c r="BT159" s="73"/>
      <c r="BU159" s="73"/>
      <c r="BV159" s="73"/>
      <c r="BW159" s="74"/>
      <c r="BX159" s="74"/>
      <c r="BY159" s="63"/>
      <c r="BZ159" s="63"/>
    </row>
    <row r="160" ht="15.75" customHeight="1">
      <c r="A160" s="174" t="s">
        <v>1271</v>
      </c>
      <c r="B160" s="50" t="s">
        <v>1272</v>
      </c>
      <c r="C160" s="50" t="s">
        <v>271</v>
      </c>
      <c r="D160" s="44" t="s">
        <v>574</v>
      </c>
      <c r="E160" s="45"/>
      <c r="F160" s="47">
        <v>2.1E8</v>
      </c>
      <c r="G160" s="44" t="str">
        <f t="shared" si="1"/>
        <v>$200'000.000 a $300'000.000</v>
      </c>
      <c r="H160" s="44"/>
      <c r="I160" s="44"/>
      <c r="J160" s="50" t="s">
        <v>116</v>
      </c>
      <c r="K160" s="57"/>
      <c r="L160" s="52">
        <v>6.0</v>
      </c>
      <c r="M160" s="52"/>
      <c r="N160" s="52">
        <v>3.0</v>
      </c>
      <c r="O160" s="43">
        <v>0.0</v>
      </c>
      <c r="P160" s="52">
        <v>2.0</v>
      </c>
      <c r="Q160" s="54">
        <v>170.0</v>
      </c>
      <c r="R160" s="55">
        <v>90.0</v>
      </c>
      <c r="S160" s="56" t="str">
        <f t="shared" si="5"/>
        <v>Rentabilidad $1,300,000</v>
      </c>
      <c r="T160" s="52" t="s">
        <v>78</v>
      </c>
      <c r="U160" s="142" t="s">
        <v>184</v>
      </c>
      <c r="V160" s="43" t="s">
        <v>118</v>
      </c>
      <c r="W160" s="43"/>
      <c r="X160" s="52">
        <v>3.0</v>
      </c>
      <c r="Y160" s="43" t="s">
        <v>80</v>
      </c>
      <c r="Z160" s="80" t="s">
        <v>81</v>
      </c>
      <c r="AA160" s="59" t="str">
        <f>IF(Rentabilidad=0,"No aplica",TEXT(ROUND(Precio/Rentabilidad/12,0),0) &amp; " años")</f>
        <v>13 años</v>
      </c>
      <c r="AB160" s="134" t="s">
        <v>1273</v>
      </c>
      <c r="AC160" s="61"/>
      <c r="AD160" s="62"/>
      <c r="AE160" s="63"/>
      <c r="AF160" s="45" t="s">
        <v>236</v>
      </c>
      <c r="AG160" s="63"/>
      <c r="AH160" s="63"/>
      <c r="AI160" s="63"/>
      <c r="AJ160" s="64" t="s">
        <v>453</v>
      </c>
      <c r="AK160" s="50" t="s">
        <v>81</v>
      </c>
      <c r="AL160" s="45" t="s">
        <v>109</v>
      </c>
      <c r="AM160" s="52">
        <v>3.13351965E9</v>
      </c>
      <c r="AN160" s="45"/>
      <c r="AO160" s="93"/>
      <c r="AP160" s="67" t="s">
        <v>1274</v>
      </c>
      <c r="AQ160" s="67"/>
      <c r="AR160" s="67"/>
      <c r="AS160" s="135">
        <v>1300000.0</v>
      </c>
      <c r="AT160" s="63">
        <v>0.0</v>
      </c>
      <c r="AU160" s="52">
        <v>0.0</v>
      </c>
      <c r="AV160" s="52">
        <v>0.0</v>
      </c>
      <c r="AW160" s="43" t="s">
        <v>88</v>
      </c>
      <c r="AX160" s="52">
        <v>0.0</v>
      </c>
      <c r="AY160" s="52">
        <v>0.0</v>
      </c>
      <c r="AZ160" s="52">
        <v>0.0</v>
      </c>
      <c r="BA160" s="43" t="s">
        <v>89</v>
      </c>
      <c r="BB160" s="52">
        <v>0.0</v>
      </c>
      <c r="BC160" s="109"/>
      <c r="BD160" s="70"/>
      <c r="BE160" s="71"/>
      <c r="BF160" s="72" t="s">
        <v>1275</v>
      </c>
      <c r="BG160" s="73"/>
      <c r="BH160" s="73"/>
      <c r="BI160" s="73"/>
      <c r="BJ160" s="73"/>
      <c r="BK160" s="73"/>
      <c r="BL160" s="73"/>
      <c r="BM160" s="73"/>
      <c r="BN160" s="73"/>
      <c r="BO160" s="73"/>
      <c r="BP160" s="73"/>
      <c r="BQ160" s="73"/>
      <c r="BR160" s="73"/>
      <c r="BS160" s="73"/>
      <c r="BT160" s="73"/>
      <c r="BU160" s="73"/>
      <c r="BV160" s="73"/>
      <c r="BW160" s="74"/>
      <c r="BX160" s="74"/>
      <c r="BY160" s="63"/>
      <c r="BZ160" s="63"/>
    </row>
    <row r="161" ht="15.75" customHeight="1">
      <c r="A161" s="174" t="s">
        <v>1276</v>
      </c>
      <c r="B161" s="50" t="s">
        <v>1277</v>
      </c>
      <c r="C161" s="50" t="s">
        <v>271</v>
      </c>
      <c r="D161" s="44" t="s">
        <v>1079</v>
      </c>
      <c r="E161" s="77" t="s">
        <v>376</v>
      </c>
      <c r="F161" s="47">
        <v>2.05E8</v>
      </c>
      <c r="G161" s="44" t="str">
        <f t="shared" si="1"/>
        <v>$200'000.000 a $300'000.000</v>
      </c>
      <c r="H161" s="44"/>
      <c r="I161" s="44"/>
      <c r="J161" s="50" t="s">
        <v>116</v>
      </c>
      <c r="K161" s="57"/>
      <c r="L161" s="52">
        <v>5.0</v>
      </c>
      <c r="M161" s="52"/>
      <c r="N161" s="52">
        <v>3.0</v>
      </c>
      <c r="O161" s="43">
        <v>2.0</v>
      </c>
      <c r="P161" s="52">
        <v>2.0</v>
      </c>
      <c r="Q161" s="54">
        <v>200.0</v>
      </c>
      <c r="R161" s="55">
        <v>100.0</v>
      </c>
      <c r="S161" s="56" t="str">
        <f t="shared" si="5"/>
        <v>Rentabilidad $1,000,000</v>
      </c>
      <c r="T161" s="52" t="s">
        <v>78</v>
      </c>
      <c r="U161" s="142" t="s">
        <v>77</v>
      </c>
      <c r="V161" s="43" t="s">
        <v>79</v>
      </c>
      <c r="W161" s="43"/>
      <c r="X161" s="43">
        <v>3.0</v>
      </c>
      <c r="Y161" s="43" t="s">
        <v>80</v>
      </c>
      <c r="Z161" s="80" t="s">
        <v>81</v>
      </c>
      <c r="AA161" s="59" t="str">
        <f>IF(Rentabilidad=0,"No aplica",TEXT(ROUND(Precio/Rentabilidad/12,0),0) &amp; " años")</f>
        <v>17 años</v>
      </c>
      <c r="AB161" s="134" t="s">
        <v>1278</v>
      </c>
      <c r="AC161" s="61"/>
      <c r="AD161" s="62"/>
      <c r="AE161" s="63"/>
      <c r="AF161" s="45" t="s">
        <v>236</v>
      </c>
      <c r="AG161" s="63"/>
      <c r="AH161" s="63"/>
      <c r="AI161" s="63"/>
      <c r="AJ161" s="64" t="s">
        <v>453</v>
      </c>
      <c r="AK161" s="50" t="s">
        <v>81</v>
      </c>
      <c r="AL161" s="45" t="s">
        <v>109</v>
      </c>
      <c r="AM161" s="52">
        <v>3.13351965E9</v>
      </c>
      <c r="AN161" s="45"/>
      <c r="AO161" s="52"/>
      <c r="AP161" s="67" t="s">
        <v>1279</v>
      </c>
      <c r="AQ161" s="67"/>
      <c r="AR161" s="67"/>
      <c r="AS161" s="135">
        <v>1000000.0</v>
      </c>
      <c r="AT161" s="63">
        <v>0.0</v>
      </c>
      <c r="AU161" s="52">
        <v>0.0</v>
      </c>
      <c r="AV161" s="52">
        <v>0.0</v>
      </c>
      <c r="AW161" s="43" t="s">
        <v>88</v>
      </c>
      <c r="AX161" s="52">
        <v>0.0</v>
      </c>
      <c r="AY161" s="52">
        <v>0.0</v>
      </c>
      <c r="AZ161" s="52">
        <v>0.0</v>
      </c>
      <c r="BA161" s="43" t="s">
        <v>89</v>
      </c>
      <c r="BB161" s="52">
        <v>0.0</v>
      </c>
      <c r="BC161" s="95" t="s">
        <v>1137</v>
      </c>
      <c r="BD161" s="71"/>
      <c r="BE161" s="71"/>
      <c r="BF161" s="72" t="s">
        <v>1280</v>
      </c>
      <c r="BG161" s="73"/>
      <c r="BH161" s="73"/>
      <c r="BI161" s="73"/>
      <c r="BJ161" s="73"/>
      <c r="BK161" s="73"/>
      <c r="BL161" s="73"/>
      <c r="BM161" s="73"/>
      <c r="BN161" s="73"/>
      <c r="BO161" s="73"/>
      <c r="BP161" s="73"/>
      <c r="BQ161" s="73"/>
      <c r="BR161" s="73"/>
      <c r="BS161" s="73"/>
      <c r="BT161" s="73"/>
      <c r="BU161" s="73"/>
      <c r="BV161" s="73"/>
      <c r="BW161" s="74"/>
      <c r="BX161" s="74"/>
      <c r="BY161" s="63"/>
      <c r="BZ161" s="63"/>
    </row>
    <row r="162" ht="15.75" customHeight="1">
      <c r="A162" s="149" t="s">
        <v>1281</v>
      </c>
      <c r="B162" s="43" t="s">
        <v>1282</v>
      </c>
      <c r="C162" s="43" t="s">
        <v>1283</v>
      </c>
      <c r="D162" s="193" t="s">
        <v>1284</v>
      </c>
      <c r="E162" s="45"/>
      <c r="F162" s="47">
        <v>1.9E8</v>
      </c>
      <c r="G162" s="44" t="str">
        <f t="shared" si="1"/>
        <v>$100'000.000 a $200'000.000</v>
      </c>
      <c r="H162" s="44"/>
      <c r="I162" s="44"/>
      <c r="J162" s="50" t="s">
        <v>116</v>
      </c>
      <c r="K162" s="194"/>
      <c r="L162" s="52">
        <v>1.0</v>
      </c>
      <c r="M162" s="52"/>
      <c r="N162" s="52">
        <v>1.0</v>
      </c>
      <c r="O162" s="43">
        <v>1.0</v>
      </c>
      <c r="P162" s="43">
        <v>1.0</v>
      </c>
      <c r="Q162" s="54">
        <v>59.0</v>
      </c>
      <c r="R162" s="55">
        <v>59.0</v>
      </c>
      <c r="S162" s="56" t="str">
        <f t="shared" si="5"/>
        <v> </v>
      </c>
      <c r="T162" s="52" t="s">
        <v>78</v>
      </c>
      <c r="U162" s="142" t="s">
        <v>142</v>
      </c>
      <c r="V162" s="52"/>
      <c r="W162" s="52"/>
      <c r="X162" s="52">
        <v>1.0</v>
      </c>
      <c r="Y162" s="43" t="s">
        <v>130</v>
      </c>
      <c r="Z162" s="80" t="s">
        <v>81</v>
      </c>
      <c r="AA162" s="59" t="str">
        <f>IF(Rentabilidad=0,"No aplica",TEXT(ROUND(Precio/Rentabilidad/12,0),0) &amp; " años")</f>
        <v>No aplica</v>
      </c>
      <c r="AB162" s="195"/>
      <c r="AC162" s="131" t="s">
        <v>1285</v>
      </c>
      <c r="AD162" s="107" t="s">
        <v>1286</v>
      </c>
      <c r="AE162" s="63"/>
      <c r="AF162" s="45" t="s">
        <v>105</v>
      </c>
      <c r="AG162" s="63"/>
      <c r="AH162" s="63"/>
      <c r="AI162" s="63"/>
      <c r="AJ162" s="64" t="s">
        <v>453</v>
      </c>
      <c r="AK162" s="50" t="s">
        <v>81</v>
      </c>
      <c r="AL162" s="45" t="s">
        <v>109</v>
      </c>
      <c r="AM162" s="52">
        <v>3.13351965E9</v>
      </c>
      <c r="AN162" s="45"/>
      <c r="AO162" s="52"/>
      <c r="AP162" s="67" t="s">
        <v>1287</v>
      </c>
      <c r="AQ162" s="67"/>
      <c r="AR162" s="67"/>
      <c r="AS162" s="135">
        <v>0.0</v>
      </c>
      <c r="AT162" s="63">
        <v>0.0</v>
      </c>
      <c r="AU162" s="52">
        <v>0.0</v>
      </c>
      <c r="AV162" s="52">
        <v>0.0</v>
      </c>
      <c r="AW162" s="43" t="s">
        <v>88</v>
      </c>
      <c r="AX162" s="52">
        <v>0.0</v>
      </c>
      <c r="AY162" s="52">
        <v>0.0</v>
      </c>
      <c r="AZ162" s="52">
        <v>0.0</v>
      </c>
      <c r="BA162" s="43" t="s">
        <v>89</v>
      </c>
      <c r="BB162" s="52">
        <v>0.0</v>
      </c>
      <c r="BC162" s="109"/>
      <c r="BD162" s="70"/>
      <c r="BE162" s="71"/>
      <c r="BF162" s="72"/>
      <c r="BG162" s="73"/>
      <c r="BH162" s="73"/>
      <c r="BI162" s="73"/>
      <c r="BJ162" s="73"/>
      <c r="BK162" s="73"/>
      <c r="BL162" s="73"/>
      <c r="BM162" s="73"/>
      <c r="BN162" s="73"/>
      <c r="BO162" s="73"/>
      <c r="BP162" s="73"/>
      <c r="BQ162" s="73"/>
      <c r="BR162" s="73"/>
      <c r="BS162" s="73"/>
      <c r="BT162" s="73"/>
      <c r="BU162" s="73"/>
      <c r="BV162" s="73"/>
      <c r="BW162" s="74"/>
      <c r="BX162" s="74"/>
      <c r="BY162" s="63"/>
      <c r="BZ162" s="63"/>
    </row>
    <row r="163" ht="15.75" customHeight="1">
      <c r="A163" s="149" t="s">
        <v>1288</v>
      </c>
      <c r="B163" s="50" t="s">
        <v>1289</v>
      </c>
      <c r="C163" s="50" t="s">
        <v>271</v>
      </c>
      <c r="D163" s="50" t="s">
        <v>477</v>
      </c>
      <c r="E163" s="77" t="s">
        <v>376</v>
      </c>
      <c r="F163" s="47">
        <v>1.85E8</v>
      </c>
      <c r="G163" s="44" t="str">
        <f t="shared" si="1"/>
        <v>$100'000.000 a $200'000.000</v>
      </c>
      <c r="H163" s="44"/>
      <c r="I163" s="44"/>
      <c r="J163" s="43" t="s">
        <v>76</v>
      </c>
      <c r="K163" s="142"/>
      <c r="L163" s="52">
        <v>3.0</v>
      </c>
      <c r="M163" s="52"/>
      <c r="N163" s="52">
        <v>2.0</v>
      </c>
      <c r="O163" s="43">
        <v>0.0</v>
      </c>
      <c r="P163" s="44">
        <v>1.0</v>
      </c>
      <c r="Q163" s="113">
        <v>73.0</v>
      </c>
      <c r="R163" s="55">
        <v>75.0</v>
      </c>
      <c r="S163" s="56" t="str">
        <f t="shared" si="5"/>
        <v>Rentabilidad $900,000</v>
      </c>
      <c r="T163" s="44" t="s">
        <v>78</v>
      </c>
      <c r="U163" s="57" t="s">
        <v>184</v>
      </c>
      <c r="V163" s="43" t="s">
        <v>79</v>
      </c>
      <c r="W163" s="43"/>
      <c r="X163" s="52">
        <v>0.0</v>
      </c>
      <c r="Y163" s="43" t="s">
        <v>80</v>
      </c>
      <c r="Z163" s="80" t="s">
        <v>81</v>
      </c>
      <c r="AA163" s="59" t="str">
        <f>IF(Rentabilidad=0,"No aplica",TEXT(ROUND(Precio/Rentabilidad/12,0),0) &amp; " años")</f>
        <v>17 años</v>
      </c>
      <c r="AB163" s="134" t="s">
        <v>1290</v>
      </c>
      <c r="AC163" s="61"/>
      <c r="AD163" s="62"/>
      <c r="AE163" s="63"/>
      <c r="AF163" s="64" t="s">
        <v>84</v>
      </c>
      <c r="AG163" s="63"/>
      <c r="AH163" s="63"/>
      <c r="AI163" s="63"/>
      <c r="AJ163" s="64" t="s">
        <v>453</v>
      </c>
      <c r="AK163" s="50" t="s">
        <v>81</v>
      </c>
      <c r="AL163" s="45" t="s">
        <v>109</v>
      </c>
      <c r="AM163" s="52">
        <v>3.13351965E9</v>
      </c>
      <c r="AN163" s="45"/>
      <c r="AO163" s="52"/>
      <c r="AP163" s="67" t="s">
        <v>1291</v>
      </c>
      <c r="AQ163" s="67"/>
      <c r="AR163" s="67"/>
      <c r="AS163" s="68">
        <v>900000.0</v>
      </c>
      <c r="AT163" s="63">
        <v>0.0</v>
      </c>
      <c r="AU163" s="52">
        <v>0.0</v>
      </c>
      <c r="AV163" s="52">
        <v>0.0</v>
      </c>
      <c r="AW163" s="43" t="s">
        <v>88</v>
      </c>
      <c r="AX163" s="52">
        <v>0.0</v>
      </c>
      <c r="AY163" s="52">
        <v>0.0</v>
      </c>
      <c r="AZ163" s="52">
        <v>0.0</v>
      </c>
      <c r="BA163" s="43" t="s">
        <v>89</v>
      </c>
      <c r="BB163" s="52">
        <v>0.0</v>
      </c>
      <c r="BC163" s="86"/>
      <c r="BD163" s="71"/>
      <c r="BE163" s="71"/>
      <c r="BF163" s="72" t="s">
        <v>1292</v>
      </c>
      <c r="BG163" s="73"/>
      <c r="BH163" s="73"/>
      <c r="BI163" s="73"/>
      <c r="BJ163" s="73"/>
      <c r="BK163" s="73"/>
      <c r="BL163" s="73"/>
      <c r="BM163" s="73"/>
      <c r="BN163" s="73"/>
      <c r="BO163" s="73"/>
      <c r="BP163" s="73"/>
      <c r="BQ163" s="73"/>
      <c r="BR163" s="73"/>
      <c r="BS163" s="73"/>
      <c r="BT163" s="73"/>
      <c r="BU163" s="73"/>
      <c r="BV163" s="73"/>
      <c r="BW163" s="74"/>
      <c r="BX163" s="74"/>
      <c r="BY163" s="63"/>
      <c r="BZ163" s="63"/>
    </row>
    <row r="164" ht="15.75" customHeight="1">
      <c r="A164" s="174" t="s">
        <v>1293</v>
      </c>
      <c r="B164" s="50" t="s">
        <v>1294</v>
      </c>
      <c r="C164" s="50" t="s">
        <v>271</v>
      </c>
      <c r="D164" s="44" t="s">
        <v>1295</v>
      </c>
      <c r="E164" s="45"/>
      <c r="F164" s="47">
        <v>1.8E8</v>
      </c>
      <c r="G164" s="44" t="str">
        <f t="shared" si="1"/>
        <v>$100'000.000 a $200'000.000</v>
      </c>
      <c r="H164" s="44"/>
      <c r="I164" s="44"/>
      <c r="J164" s="50" t="s">
        <v>116</v>
      </c>
      <c r="K164" s="57"/>
      <c r="L164" s="52">
        <v>3.0</v>
      </c>
      <c r="M164" s="52"/>
      <c r="N164" s="52">
        <v>1.0</v>
      </c>
      <c r="O164" s="43">
        <v>1.0</v>
      </c>
      <c r="P164" s="52">
        <v>1.0</v>
      </c>
      <c r="Q164" s="54">
        <v>78.0</v>
      </c>
      <c r="R164" s="55">
        <v>0.0</v>
      </c>
      <c r="S164" s="56" t="str">
        <f t="shared" si="5"/>
        <v>Rentabilidad $600,000</v>
      </c>
      <c r="T164" s="52" t="s">
        <v>78</v>
      </c>
      <c r="U164" s="142" t="s">
        <v>184</v>
      </c>
      <c r="V164" s="43" t="s">
        <v>79</v>
      </c>
      <c r="W164" s="43"/>
      <c r="X164" s="52">
        <v>2.0</v>
      </c>
      <c r="Y164" s="43" t="s">
        <v>80</v>
      </c>
      <c r="Z164" s="80" t="s">
        <v>81</v>
      </c>
      <c r="AA164" s="59" t="str">
        <f>IF(Rentabilidad=0,"No aplica",TEXT(ROUND(Precio/Rentabilidad/12,0),0) &amp; " años")</f>
        <v>25 años</v>
      </c>
      <c r="AB164" s="134" t="s">
        <v>1296</v>
      </c>
      <c r="AC164" s="61"/>
      <c r="AD164" s="62"/>
      <c r="AE164" s="63"/>
      <c r="AF164" s="45" t="s">
        <v>105</v>
      </c>
      <c r="AG164" s="63"/>
      <c r="AH164" s="63"/>
      <c r="AI164" s="63"/>
      <c r="AJ164" s="64" t="s">
        <v>453</v>
      </c>
      <c r="AK164" s="50" t="s">
        <v>81</v>
      </c>
      <c r="AL164" s="45" t="s">
        <v>109</v>
      </c>
      <c r="AM164" s="52">
        <v>3.13351965E9</v>
      </c>
      <c r="AN164" s="45"/>
      <c r="AO164" s="52"/>
      <c r="AP164" s="67" t="s">
        <v>1297</v>
      </c>
      <c r="AQ164" s="67"/>
      <c r="AR164" s="67"/>
      <c r="AS164" s="135">
        <v>600000.0</v>
      </c>
      <c r="AT164" s="63">
        <v>0.0</v>
      </c>
      <c r="AU164" s="52">
        <v>0.0</v>
      </c>
      <c r="AV164" s="52">
        <v>0.0</v>
      </c>
      <c r="AW164" s="43" t="s">
        <v>88</v>
      </c>
      <c r="AX164" s="52">
        <v>0.0</v>
      </c>
      <c r="AY164" s="52">
        <v>0.0</v>
      </c>
      <c r="AZ164" s="52">
        <v>0.0</v>
      </c>
      <c r="BA164" s="43" t="s">
        <v>89</v>
      </c>
      <c r="BB164" s="52">
        <v>0.0</v>
      </c>
      <c r="BC164" s="69" t="s">
        <v>525</v>
      </c>
      <c r="BD164" s="70"/>
      <c r="BE164" s="71"/>
      <c r="BF164" s="72" t="s">
        <v>1298</v>
      </c>
      <c r="BG164" s="73"/>
      <c r="BH164" s="73"/>
      <c r="BI164" s="73"/>
      <c r="BJ164" s="73"/>
      <c r="BK164" s="73"/>
      <c r="BL164" s="73"/>
      <c r="BM164" s="73"/>
      <c r="BN164" s="73"/>
      <c r="BO164" s="73"/>
      <c r="BP164" s="73"/>
      <c r="BQ164" s="73"/>
      <c r="BR164" s="73"/>
      <c r="BS164" s="73"/>
      <c r="BT164" s="73"/>
      <c r="BU164" s="73"/>
      <c r="BV164" s="73"/>
      <c r="BW164" s="74"/>
      <c r="BX164" s="74"/>
      <c r="BY164" s="63"/>
      <c r="BZ164" s="63"/>
    </row>
    <row r="165" ht="15.75" customHeight="1">
      <c r="A165" s="174" t="s">
        <v>1299</v>
      </c>
      <c r="B165" s="50" t="s">
        <v>1300</v>
      </c>
      <c r="C165" s="50" t="s">
        <v>271</v>
      </c>
      <c r="D165" s="44" t="s">
        <v>1301</v>
      </c>
      <c r="E165" s="45"/>
      <c r="F165" s="47">
        <v>1.6E8</v>
      </c>
      <c r="G165" s="44" t="str">
        <f t="shared" si="1"/>
        <v>$100'000.000 a $200'000.000</v>
      </c>
      <c r="H165" s="44"/>
      <c r="I165" s="44"/>
      <c r="J165" s="50" t="s">
        <v>94</v>
      </c>
      <c r="K165" s="57"/>
      <c r="L165" s="52">
        <v>7.0</v>
      </c>
      <c r="M165" s="52"/>
      <c r="N165" s="52">
        <v>3.0</v>
      </c>
      <c r="O165" s="43">
        <v>1.0</v>
      </c>
      <c r="P165" s="52">
        <v>2.0</v>
      </c>
      <c r="Q165" s="54"/>
      <c r="R165" s="55">
        <v>78.0</v>
      </c>
      <c r="S165" s="56" t="str">
        <f t="shared" si="5"/>
        <v>Rentabilidad $800,000</v>
      </c>
      <c r="T165" s="52" t="s">
        <v>78</v>
      </c>
      <c r="U165" s="142" t="s">
        <v>184</v>
      </c>
      <c r="V165" s="43" t="s">
        <v>79</v>
      </c>
      <c r="W165" s="43"/>
      <c r="X165" s="52">
        <v>3.0</v>
      </c>
      <c r="Y165" s="43" t="s">
        <v>80</v>
      </c>
      <c r="Z165" s="80" t="s">
        <v>81</v>
      </c>
      <c r="AA165" s="59" t="str">
        <f>IF(Rentabilidad=0,"No aplica",TEXT(ROUND(Precio/Rentabilidad/12,0),0) &amp; " años")</f>
        <v>17 años</v>
      </c>
      <c r="AB165" s="134" t="s">
        <v>1302</v>
      </c>
      <c r="AC165" s="61"/>
      <c r="AD165" s="62"/>
      <c r="AE165" s="63"/>
      <c r="AF165" s="64" t="s">
        <v>84</v>
      </c>
      <c r="AG165" s="63"/>
      <c r="AH165" s="63"/>
      <c r="AI165" s="63"/>
      <c r="AJ165" s="64" t="s">
        <v>453</v>
      </c>
      <c r="AK165" s="50" t="s">
        <v>81</v>
      </c>
      <c r="AL165" s="45" t="s">
        <v>109</v>
      </c>
      <c r="AM165" s="52">
        <v>3.13351965E9</v>
      </c>
      <c r="AN165" s="45"/>
      <c r="AO165" s="52"/>
      <c r="AP165" s="67" t="s">
        <v>1303</v>
      </c>
      <c r="AQ165" s="67"/>
      <c r="AR165" s="67"/>
      <c r="AS165" s="135">
        <v>800000.0</v>
      </c>
      <c r="AT165" s="63">
        <v>0.0</v>
      </c>
      <c r="AU165" s="52">
        <v>0.0</v>
      </c>
      <c r="AV165" s="52">
        <v>0.0</v>
      </c>
      <c r="AW165" s="43" t="s">
        <v>88</v>
      </c>
      <c r="AX165" s="52">
        <v>0.0</v>
      </c>
      <c r="AY165" s="52">
        <v>0.0</v>
      </c>
      <c r="AZ165" s="52">
        <v>0.0</v>
      </c>
      <c r="BA165" s="43" t="s">
        <v>89</v>
      </c>
      <c r="BB165" s="52">
        <v>0.0</v>
      </c>
      <c r="BC165" s="69" t="s">
        <v>716</v>
      </c>
      <c r="BD165" s="70"/>
      <c r="BE165" s="71"/>
      <c r="BF165" s="72" t="s">
        <v>1304</v>
      </c>
      <c r="BG165" s="73"/>
      <c r="BH165" s="73"/>
      <c r="BI165" s="73"/>
      <c r="BJ165" s="73"/>
      <c r="BK165" s="73"/>
      <c r="BL165" s="73"/>
      <c r="BM165" s="73"/>
      <c r="BN165" s="73"/>
      <c r="BO165" s="73"/>
      <c r="BP165" s="73"/>
      <c r="BQ165" s="73"/>
      <c r="BR165" s="73"/>
      <c r="BS165" s="73"/>
      <c r="BT165" s="73"/>
      <c r="BU165" s="73"/>
      <c r="BV165" s="73"/>
      <c r="BW165" s="74"/>
      <c r="BX165" s="74"/>
      <c r="BY165" s="63"/>
      <c r="BZ165" s="63"/>
    </row>
    <row r="166" ht="15.75" customHeight="1">
      <c r="A166" s="149" t="s">
        <v>1305</v>
      </c>
      <c r="B166" s="50" t="s">
        <v>1306</v>
      </c>
      <c r="C166" s="50" t="s">
        <v>70</v>
      </c>
      <c r="D166" s="44" t="s">
        <v>1295</v>
      </c>
      <c r="E166" s="45"/>
      <c r="F166" s="47">
        <v>1.5E8</v>
      </c>
      <c r="G166" s="44" t="str">
        <f t="shared" si="1"/>
        <v>$100'000.000 a $200'000.000</v>
      </c>
      <c r="H166" s="44"/>
      <c r="I166" s="44"/>
      <c r="J166" s="50" t="s">
        <v>116</v>
      </c>
      <c r="K166" s="57"/>
      <c r="L166" s="44">
        <v>3.0</v>
      </c>
      <c r="M166" s="44"/>
      <c r="N166" s="44">
        <v>1.0</v>
      </c>
      <c r="O166" s="50">
        <v>1.0</v>
      </c>
      <c r="P166" s="44">
        <v>1.0</v>
      </c>
      <c r="Q166" s="113"/>
      <c r="R166" s="79">
        <v>95.0</v>
      </c>
      <c r="S166" s="56" t="str">
        <f t="shared" si="5"/>
        <v>Rentabilidad $600,000</v>
      </c>
      <c r="T166" s="44" t="s">
        <v>78</v>
      </c>
      <c r="U166" s="114" t="s">
        <v>184</v>
      </c>
      <c r="V166" s="50" t="s">
        <v>79</v>
      </c>
      <c r="W166" s="50"/>
      <c r="X166" s="63">
        <v>2.0</v>
      </c>
      <c r="Y166" s="65" t="s">
        <v>80</v>
      </c>
      <c r="Z166" s="58" t="s">
        <v>81</v>
      </c>
      <c r="AA166" s="59" t="str">
        <f>IF(Rentabilidad=0,"No aplica",TEXT(ROUND(Precio/Rentabilidad/12,0),0) &amp; " años")</f>
        <v>21 años</v>
      </c>
      <c r="AB166" s="115" t="s">
        <v>1307</v>
      </c>
      <c r="AC166" s="61"/>
      <c r="AD166" s="62"/>
      <c r="AE166" s="63"/>
      <c r="AF166" s="64" t="s">
        <v>84</v>
      </c>
      <c r="AG166" s="63"/>
      <c r="AH166" s="63"/>
      <c r="AI166" s="63"/>
      <c r="AJ166" s="64" t="s">
        <v>453</v>
      </c>
      <c r="AK166" s="50" t="s">
        <v>81</v>
      </c>
      <c r="AL166" s="45" t="s">
        <v>109</v>
      </c>
      <c r="AM166" s="52">
        <v>3.13351965E9</v>
      </c>
      <c r="AN166" s="45"/>
      <c r="AO166" s="116"/>
      <c r="AP166" s="67" t="s">
        <v>1308</v>
      </c>
      <c r="AQ166" s="67"/>
      <c r="AR166" s="67"/>
      <c r="AS166" s="118">
        <v>600000.0</v>
      </c>
      <c r="AT166" s="63">
        <v>0.0</v>
      </c>
      <c r="AU166" s="52">
        <v>0.0</v>
      </c>
      <c r="AV166" s="52">
        <v>0.0</v>
      </c>
      <c r="AW166" s="43" t="s">
        <v>88</v>
      </c>
      <c r="AX166" s="52">
        <v>0.0</v>
      </c>
      <c r="AY166" s="52">
        <v>0.0</v>
      </c>
      <c r="AZ166" s="63">
        <v>0.0</v>
      </c>
      <c r="BA166" s="43" t="s">
        <v>89</v>
      </c>
      <c r="BB166" s="63">
        <v>0.0</v>
      </c>
      <c r="BC166" s="69" t="s">
        <v>1309</v>
      </c>
      <c r="BD166" s="70"/>
      <c r="BE166" s="70"/>
      <c r="BF166" s="72" t="s">
        <v>1310</v>
      </c>
      <c r="BG166" s="73"/>
      <c r="BH166" s="73"/>
      <c r="BI166" s="73"/>
      <c r="BJ166" s="73"/>
      <c r="BK166" s="73"/>
      <c r="BL166" s="73"/>
      <c r="BM166" s="73"/>
      <c r="BN166" s="73"/>
      <c r="BO166" s="73"/>
      <c r="BP166" s="73"/>
      <c r="BQ166" s="73"/>
      <c r="BR166" s="73"/>
      <c r="BS166" s="73"/>
      <c r="BT166" s="73"/>
      <c r="BU166" s="73"/>
      <c r="BV166" s="73"/>
      <c r="BW166" s="74"/>
      <c r="BX166" s="74"/>
      <c r="BY166" s="63"/>
      <c r="BZ166" s="63"/>
    </row>
    <row r="167" ht="15.75" customHeight="1">
      <c r="A167" s="149" t="s">
        <v>1311</v>
      </c>
      <c r="B167" s="50" t="s">
        <v>1312</v>
      </c>
      <c r="C167" s="50" t="s">
        <v>70</v>
      </c>
      <c r="D167" s="44" t="s">
        <v>1313</v>
      </c>
      <c r="E167" s="45"/>
      <c r="F167" s="47">
        <v>1.4E8</v>
      </c>
      <c r="G167" s="44" t="str">
        <f t="shared" si="1"/>
        <v>$100'000.000 a $200'000.000</v>
      </c>
      <c r="H167" s="44"/>
      <c r="I167" s="44"/>
      <c r="J167" s="50" t="s">
        <v>183</v>
      </c>
      <c r="K167" s="57"/>
      <c r="L167" s="44">
        <v>2.0</v>
      </c>
      <c r="M167" s="44"/>
      <c r="N167" s="44">
        <v>2.0</v>
      </c>
      <c r="O167" s="50">
        <v>0.0</v>
      </c>
      <c r="P167" s="44">
        <v>2.0</v>
      </c>
      <c r="Q167" s="113">
        <v>85.0</v>
      </c>
      <c r="R167" s="79">
        <v>100.0</v>
      </c>
      <c r="S167" s="56" t="str">
        <f t="shared" si="5"/>
        <v>Rentabilidad $600,000</v>
      </c>
      <c r="T167" s="44" t="s">
        <v>78</v>
      </c>
      <c r="U167" s="114" t="s">
        <v>184</v>
      </c>
      <c r="V167" s="50" t="s">
        <v>79</v>
      </c>
      <c r="W167" s="50"/>
      <c r="X167" s="63">
        <v>1.0</v>
      </c>
      <c r="Y167" s="65" t="s">
        <v>80</v>
      </c>
      <c r="Z167" s="58" t="s">
        <v>81</v>
      </c>
      <c r="AA167" s="59" t="str">
        <f>IF(Rentabilidad=0,"No aplica",TEXT(ROUND(Precio/Rentabilidad/12,0),0) &amp; " años")</f>
        <v>19 años</v>
      </c>
      <c r="AB167" s="196" t="s">
        <v>1314</v>
      </c>
      <c r="AC167" s="61"/>
      <c r="AD167" s="62"/>
      <c r="AE167" s="63"/>
      <c r="AF167" s="64" t="s">
        <v>84</v>
      </c>
      <c r="AG167" s="63"/>
      <c r="AH167" s="63"/>
      <c r="AI167" s="63"/>
      <c r="AJ167" s="64" t="s">
        <v>453</v>
      </c>
      <c r="AK167" s="50" t="s">
        <v>81</v>
      </c>
      <c r="AL167" s="45" t="s">
        <v>109</v>
      </c>
      <c r="AM167" s="52">
        <v>3.13351965E9</v>
      </c>
      <c r="AN167" s="45"/>
      <c r="AO167" s="52"/>
      <c r="AP167" s="67" t="s">
        <v>1315</v>
      </c>
      <c r="AQ167" s="67"/>
      <c r="AR167" s="67"/>
      <c r="AS167" s="118">
        <v>600000.0</v>
      </c>
      <c r="AT167" s="63">
        <v>0.0</v>
      </c>
      <c r="AU167" s="52">
        <v>0.0</v>
      </c>
      <c r="AV167" s="52">
        <v>0.0</v>
      </c>
      <c r="AW167" s="43" t="s">
        <v>88</v>
      </c>
      <c r="AX167" s="52">
        <v>0.0</v>
      </c>
      <c r="AY167" s="52">
        <v>0.0</v>
      </c>
      <c r="AZ167" s="63">
        <v>0.0</v>
      </c>
      <c r="BA167" s="43" t="s">
        <v>89</v>
      </c>
      <c r="BB167" s="63">
        <v>0.0</v>
      </c>
      <c r="BC167" s="170"/>
      <c r="BD167" s="128"/>
      <c r="BE167" s="129"/>
      <c r="BF167" s="72" t="s">
        <v>1316</v>
      </c>
      <c r="BG167" s="73"/>
      <c r="BH167" s="73"/>
      <c r="BI167" s="73"/>
      <c r="BJ167" s="73"/>
      <c r="BK167" s="73"/>
      <c r="BL167" s="73"/>
      <c r="BM167" s="73"/>
      <c r="BN167" s="73"/>
      <c r="BO167" s="73"/>
      <c r="BP167" s="73"/>
      <c r="BQ167" s="73"/>
      <c r="BR167" s="73"/>
      <c r="BS167" s="73"/>
      <c r="BT167" s="73"/>
      <c r="BU167" s="73"/>
      <c r="BV167" s="73"/>
      <c r="BW167" s="74"/>
      <c r="BX167" s="74"/>
      <c r="BY167" s="63"/>
      <c r="BZ167" s="63"/>
    </row>
    <row r="168" ht="15.75" customHeight="1">
      <c r="A168" s="174" t="s">
        <v>1317</v>
      </c>
      <c r="B168" s="50" t="s">
        <v>1318</v>
      </c>
      <c r="C168" s="50" t="s">
        <v>271</v>
      </c>
      <c r="D168" s="44" t="s">
        <v>131</v>
      </c>
      <c r="E168" s="77" t="s">
        <v>376</v>
      </c>
      <c r="F168" s="47">
        <v>1.4E8</v>
      </c>
      <c r="G168" s="44" t="str">
        <f t="shared" si="1"/>
        <v>$100'000.000 a $200'000.000</v>
      </c>
      <c r="H168" s="44"/>
      <c r="I168" s="44"/>
      <c r="J168" s="50" t="s">
        <v>183</v>
      </c>
      <c r="K168" s="57"/>
      <c r="L168" s="44">
        <v>2.0</v>
      </c>
      <c r="M168" s="44"/>
      <c r="N168" s="44">
        <v>2.0</v>
      </c>
      <c r="O168" s="50">
        <v>0.0</v>
      </c>
      <c r="P168" s="44">
        <v>2.0</v>
      </c>
      <c r="Q168" s="113">
        <v>92.0</v>
      </c>
      <c r="R168" s="79">
        <v>92.0</v>
      </c>
      <c r="S168" s="56" t="str">
        <f t="shared" si="5"/>
        <v>Rentabilidad $1,000,000</v>
      </c>
      <c r="T168" s="44" t="s">
        <v>78</v>
      </c>
      <c r="U168" s="57" t="s">
        <v>184</v>
      </c>
      <c r="V168" s="50" t="s">
        <v>79</v>
      </c>
      <c r="W168" s="50"/>
      <c r="X168" s="44">
        <v>2.0</v>
      </c>
      <c r="Y168" s="50" t="s">
        <v>80</v>
      </c>
      <c r="Z168" s="80" t="s">
        <v>81</v>
      </c>
      <c r="AA168" s="59" t="str">
        <f>IF(Rentabilidad=0,"No aplica",TEXT(ROUND(Precio/Rentabilidad/12,0),0) &amp; " años")</f>
        <v>12 años</v>
      </c>
      <c r="AB168" s="175"/>
      <c r="AC168" s="61"/>
      <c r="AD168" s="62"/>
      <c r="AE168" s="63"/>
      <c r="AF168" s="45" t="s">
        <v>236</v>
      </c>
      <c r="AG168" s="63"/>
      <c r="AH168" s="65" t="s">
        <v>45</v>
      </c>
      <c r="AI168" s="63"/>
      <c r="AJ168" s="64" t="s">
        <v>453</v>
      </c>
      <c r="AK168" s="50" t="s">
        <v>81</v>
      </c>
      <c r="AL168" s="45" t="s">
        <v>109</v>
      </c>
      <c r="AM168" s="52">
        <v>3.13351965E9</v>
      </c>
      <c r="AN168" s="45"/>
      <c r="AO168" s="116"/>
      <c r="AP168" s="67" t="s">
        <v>1319</v>
      </c>
      <c r="AQ168" s="67"/>
      <c r="AR168" s="67"/>
      <c r="AS168" s="68">
        <v>1000000.0</v>
      </c>
      <c r="AT168" s="44">
        <v>0.0</v>
      </c>
      <c r="AU168" s="52">
        <v>0.0</v>
      </c>
      <c r="AV168" s="52">
        <v>0.0</v>
      </c>
      <c r="AW168" s="43" t="s">
        <v>88</v>
      </c>
      <c r="AX168" s="52">
        <v>0.0</v>
      </c>
      <c r="AY168" s="52">
        <v>0.0</v>
      </c>
      <c r="AZ168" s="52">
        <v>0.0</v>
      </c>
      <c r="BA168" s="43" t="s">
        <v>89</v>
      </c>
      <c r="BB168" s="52">
        <v>0.0</v>
      </c>
      <c r="BC168" s="109"/>
      <c r="BD168" s="70"/>
      <c r="BE168" s="70"/>
      <c r="BF168" s="130"/>
      <c r="BG168" s="73"/>
      <c r="BH168" s="73"/>
      <c r="BI168" s="73"/>
      <c r="BJ168" s="73"/>
      <c r="BK168" s="73"/>
      <c r="BL168" s="73"/>
      <c r="BM168" s="73"/>
      <c r="BN168" s="73"/>
      <c r="BO168" s="73"/>
      <c r="BP168" s="73"/>
      <c r="BQ168" s="73"/>
      <c r="BR168" s="73"/>
      <c r="BS168" s="73"/>
      <c r="BT168" s="73"/>
      <c r="BU168" s="73"/>
      <c r="BV168" s="73"/>
      <c r="BW168" s="74"/>
      <c r="BX168" s="74"/>
      <c r="BY168" s="63"/>
      <c r="BZ168" s="63"/>
    </row>
    <row r="169" ht="15.75" customHeight="1">
      <c r="A169" s="174" t="s">
        <v>1320</v>
      </c>
      <c r="B169" s="50" t="s">
        <v>1321</v>
      </c>
      <c r="C169" s="50" t="s">
        <v>271</v>
      </c>
      <c r="D169" s="44" t="s">
        <v>831</v>
      </c>
      <c r="E169" s="77" t="s">
        <v>376</v>
      </c>
      <c r="F169" s="47">
        <v>1.4E8</v>
      </c>
      <c r="G169" s="44" t="str">
        <f t="shared" si="1"/>
        <v>$100'000.000 a $200'000.000</v>
      </c>
      <c r="H169" s="44"/>
      <c r="I169" s="44"/>
      <c r="J169" s="50" t="s">
        <v>183</v>
      </c>
      <c r="K169" s="57"/>
      <c r="L169" s="52">
        <v>3.0</v>
      </c>
      <c r="M169" s="52"/>
      <c r="N169" s="52">
        <v>3.0</v>
      </c>
      <c r="O169" s="43">
        <v>1.0</v>
      </c>
      <c r="P169" s="52">
        <v>1.0</v>
      </c>
      <c r="Q169" s="54">
        <v>140.0</v>
      </c>
      <c r="R169" s="55">
        <v>140.0</v>
      </c>
      <c r="S169" s="56" t="str">
        <f t="shared" si="5"/>
        <v>Rentabilidad $900,000</v>
      </c>
      <c r="T169" s="52" t="s">
        <v>78</v>
      </c>
      <c r="U169" s="142" t="s">
        <v>184</v>
      </c>
      <c r="V169" s="43" t="s">
        <v>118</v>
      </c>
      <c r="W169" s="43"/>
      <c r="X169" s="44"/>
      <c r="Y169" s="43" t="s">
        <v>80</v>
      </c>
      <c r="Z169" s="80" t="s">
        <v>81</v>
      </c>
      <c r="AA169" s="59" t="str">
        <f>IF(Rentabilidad=0,"No aplica",TEXT(ROUND(Precio/Rentabilidad/12,0),0) &amp; " años")</f>
        <v>13 años</v>
      </c>
      <c r="AB169" s="134" t="s">
        <v>1322</v>
      </c>
      <c r="AC169" s="61"/>
      <c r="AD169" s="62"/>
      <c r="AE169" s="63"/>
      <c r="AF169" s="45" t="s">
        <v>105</v>
      </c>
      <c r="AG169" s="63"/>
      <c r="AH169" s="63"/>
      <c r="AI169" s="63"/>
      <c r="AJ169" s="64" t="s">
        <v>453</v>
      </c>
      <c r="AK169" s="50" t="s">
        <v>81</v>
      </c>
      <c r="AL169" s="45" t="s">
        <v>109</v>
      </c>
      <c r="AM169" s="52">
        <v>3.13351965E9</v>
      </c>
      <c r="AN169" s="45"/>
      <c r="AO169" s="52"/>
      <c r="AP169" s="67" t="s">
        <v>1323</v>
      </c>
      <c r="AQ169" s="67"/>
      <c r="AR169" s="67"/>
      <c r="AS169" s="135">
        <v>900000.0</v>
      </c>
      <c r="AT169" s="63">
        <v>0.0</v>
      </c>
      <c r="AU169" s="52">
        <v>0.0</v>
      </c>
      <c r="AV169" s="52">
        <v>0.0</v>
      </c>
      <c r="AW169" s="43" t="s">
        <v>88</v>
      </c>
      <c r="AX169" s="52">
        <v>0.0</v>
      </c>
      <c r="AY169" s="52">
        <v>0.0</v>
      </c>
      <c r="AZ169" s="52">
        <v>0.0</v>
      </c>
      <c r="BA169" s="43" t="s">
        <v>89</v>
      </c>
      <c r="BB169" s="52">
        <v>0.0</v>
      </c>
      <c r="BC169" s="69" t="s">
        <v>769</v>
      </c>
      <c r="BD169" s="70"/>
      <c r="BE169" s="71"/>
      <c r="BF169" s="72" t="s">
        <v>1324</v>
      </c>
      <c r="BG169" s="73"/>
      <c r="BH169" s="73"/>
      <c r="BI169" s="73"/>
      <c r="BJ169" s="73"/>
      <c r="BK169" s="73"/>
      <c r="BL169" s="73"/>
      <c r="BM169" s="73"/>
      <c r="BN169" s="73"/>
      <c r="BO169" s="73"/>
      <c r="BP169" s="73"/>
      <c r="BQ169" s="73"/>
      <c r="BR169" s="73"/>
      <c r="BS169" s="73"/>
      <c r="BT169" s="73"/>
      <c r="BU169" s="73"/>
      <c r="BV169" s="73"/>
      <c r="BW169" s="74"/>
      <c r="BX169" s="74"/>
      <c r="BY169" s="63"/>
      <c r="BZ169" s="63"/>
    </row>
    <row r="170" ht="15.75" customHeight="1">
      <c r="A170" s="174" t="s">
        <v>1325</v>
      </c>
      <c r="B170" s="50" t="s">
        <v>1326</v>
      </c>
      <c r="C170" s="50" t="s">
        <v>70</v>
      </c>
      <c r="D170" s="44" t="s">
        <v>1327</v>
      </c>
      <c r="E170" s="77" t="s">
        <v>376</v>
      </c>
      <c r="F170" s="47">
        <v>1.35E8</v>
      </c>
      <c r="G170" s="44" t="str">
        <f t="shared" si="1"/>
        <v>$100'000.000 a $200'000.000</v>
      </c>
      <c r="H170" s="44"/>
      <c r="I170" s="44"/>
      <c r="J170" s="50" t="s">
        <v>94</v>
      </c>
      <c r="K170" s="57"/>
      <c r="L170" s="44">
        <v>2.0</v>
      </c>
      <c r="M170" s="44"/>
      <c r="N170" s="44">
        <v>1.0</v>
      </c>
      <c r="O170" s="50">
        <v>2.0</v>
      </c>
      <c r="P170" s="44">
        <v>1.0</v>
      </c>
      <c r="Q170" s="113">
        <v>133.0</v>
      </c>
      <c r="R170" s="79">
        <v>133.0</v>
      </c>
      <c r="S170" s="56" t="str">
        <f t="shared" si="5"/>
        <v> </v>
      </c>
      <c r="T170" s="44" t="s">
        <v>78</v>
      </c>
      <c r="U170" s="57" t="s">
        <v>184</v>
      </c>
      <c r="V170" s="50" t="s">
        <v>118</v>
      </c>
      <c r="W170" s="50"/>
      <c r="X170" s="44">
        <v>0.0</v>
      </c>
      <c r="Y170" s="50" t="s">
        <v>80</v>
      </c>
      <c r="Z170" s="58" t="s">
        <v>81</v>
      </c>
      <c r="AA170" s="59" t="str">
        <f>IF(Rentabilidad=0,"No aplica",TEXT(ROUND(Precio/Rentabilidad/12,0),0) &amp; " años")</f>
        <v>No aplica</v>
      </c>
      <c r="AB170" s="175"/>
      <c r="AC170" s="61"/>
      <c r="AD170" s="62"/>
      <c r="AE170" s="63"/>
      <c r="AF170" s="45" t="s">
        <v>105</v>
      </c>
      <c r="AG170" s="63"/>
      <c r="AH170" s="63"/>
      <c r="AI170" s="63"/>
      <c r="AJ170" s="64" t="s">
        <v>453</v>
      </c>
      <c r="AK170" s="50" t="s">
        <v>81</v>
      </c>
      <c r="AL170" s="45" t="s">
        <v>109</v>
      </c>
      <c r="AM170" s="52">
        <v>3.13351965E9</v>
      </c>
      <c r="AN170" s="45"/>
      <c r="AO170" s="116"/>
      <c r="AP170" s="67" t="s">
        <v>1328</v>
      </c>
      <c r="AQ170" s="67"/>
      <c r="AR170" s="67"/>
      <c r="AS170" s="68">
        <v>0.0</v>
      </c>
      <c r="AT170" s="44">
        <v>0.0</v>
      </c>
      <c r="AU170" s="52">
        <v>0.0</v>
      </c>
      <c r="AV170" s="52">
        <v>0.0</v>
      </c>
      <c r="AW170" s="43" t="s">
        <v>88</v>
      </c>
      <c r="AX170" s="52">
        <v>0.0</v>
      </c>
      <c r="AY170" s="52" t="s">
        <v>137</v>
      </c>
      <c r="AZ170" s="52">
        <v>0.0</v>
      </c>
      <c r="BA170" s="43" t="s">
        <v>89</v>
      </c>
      <c r="BB170" s="52">
        <v>0.0</v>
      </c>
      <c r="BC170" s="109"/>
      <c r="BD170" s="70"/>
      <c r="BE170" s="71"/>
      <c r="BF170" s="72"/>
      <c r="BG170" s="73"/>
      <c r="BH170" s="73"/>
      <c r="BI170" s="73"/>
      <c r="BJ170" s="73"/>
      <c r="BK170" s="73"/>
      <c r="BL170" s="73"/>
      <c r="BM170" s="73"/>
      <c r="BN170" s="73"/>
      <c r="BO170" s="73"/>
      <c r="BP170" s="73"/>
      <c r="BQ170" s="73"/>
      <c r="BR170" s="73"/>
      <c r="BS170" s="73"/>
      <c r="BT170" s="73"/>
      <c r="BU170" s="73"/>
      <c r="BV170" s="73"/>
      <c r="BW170" s="74"/>
      <c r="BX170" s="74"/>
      <c r="BY170" s="63"/>
      <c r="BZ170" s="63"/>
    </row>
    <row r="171" ht="15.75" customHeight="1">
      <c r="A171" s="149" t="s">
        <v>1329</v>
      </c>
      <c r="B171" s="50" t="s">
        <v>1330</v>
      </c>
      <c r="C171" s="50" t="s">
        <v>70</v>
      </c>
      <c r="D171" s="50" t="s">
        <v>1331</v>
      </c>
      <c r="E171" s="77" t="s">
        <v>376</v>
      </c>
      <c r="F171" s="47">
        <v>1.25E8</v>
      </c>
      <c r="G171" s="44" t="str">
        <f t="shared" si="1"/>
        <v>$100'000.000 a $200'000.000</v>
      </c>
      <c r="H171" s="44"/>
      <c r="I171" s="44"/>
      <c r="J171" s="50" t="s">
        <v>94</v>
      </c>
      <c r="K171" s="51"/>
      <c r="L171" s="44">
        <v>3.0</v>
      </c>
      <c r="M171" s="44"/>
      <c r="N171" s="44">
        <v>2.0</v>
      </c>
      <c r="O171" s="50">
        <v>0.0</v>
      </c>
      <c r="P171" s="44">
        <v>2.0</v>
      </c>
      <c r="Q171" s="113">
        <v>80.5</v>
      </c>
      <c r="R171" s="79">
        <v>63.0</v>
      </c>
      <c r="S171" s="56" t="str">
        <f t="shared" si="5"/>
        <v> </v>
      </c>
      <c r="T171" s="44" t="s">
        <v>78</v>
      </c>
      <c r="U171" s="114" t="s">
        <v>184</v>
      </c>
      <c r="V171" s="65" t="s">
        <v>79</v>
      </c>
      <c r="W171" s="65"/>
      <c r="X171" s="63">
        <v>3.0</v>
      </c>
      <c r="Y171" s="65" t="s">
        <v>80</v>
      </c>
      <c r="Z171" s="58" t="s">
        <v>81</v>
      </c>
      <c r="AA171" s="59" t="str">
        <f>IF(Rentabilidad=0,"No aplica",TEXT(ROUND(Precio/Rentabilidad/12,0),0) &amp; " años")</f>
        <v>No aplica</v>
      </c>
      <c r="AB171" s="123"/>
      <c r="AC171" s="61"/>
      <c r="AD171" s="62"/>
      <c r="AE171" s="63"/>
      <c r="AF171" s="64" t="s">
        <v>84</v>
      </c>
      <c r="AG171" s="63"/>
      <c r="AH171" s="63"/>
      <c r="AI171" s="63"/>
      <c r="AJ171" s="64" t="s">
        <v>453</v>
      </c>
      <c r="AK171" s="50" t="s">
        <v>81</v>
      </c>
      <c r="AL171" s="45" t="s">
        <v>109</v>
      </c>
      <c r="AM171" s="52">
        <v>3.13351965E9</v>
      </c>
      <c r="AN171" s="45"/>
      <c r="AO171" s="116"/>
      <c r="AP171" s="67" t="s">
        <v>1332</v>
      </c>
      <c r="AQ171" s="67"/>
      <c r="AR171" s="67"/>
      <c r="AS171" s="118">
        <v>0.0</v>
      </c>
      <c r="AT171" s="63">
        <v>0.0</v>
      </c>
      <c r="AU171" s="52">
        <v>0.0</v>
      </c>
      <c r="AV171" s="52">
        <v>0.0</v>
      </c>
      <c r="AW171" s="43" t="s">
        <v>88</v>
      </c>
      <c r="AX171" s="52">
        <v>0.0</v>
      </c>
      <c r="AY171" s="52">
        <v>0.0</v>
      </c>
      <c r="AZ171" s="63">
        <v>0.0</v>
      </c>
      <c r="BA171" s="43" t="s">
        <v>89</v>
      </c>
      <c r="BB171" s="63">
        <v>0.0</v>
      </c>
      <c r="BC171" s="170"/>
      <c r="BD171" s="156"/>
      <c r="BE171" s="156"/>
      <c r="BF171" s="157"/>
      <c r="BG171" s="73"/>
      <c r="BH171" s="73"/>
      <c r="BI171" s="73"/>
      <c r="BJ171" s="73"/>
      <c r="BK171" s="73"/>
      <c r="BL171" s="73"/>
      <c r="BM171" s="73"/>
      <c r="BN171" s="73"/>
      <c r="BO171" s="73"/>
      <c r="BP171" s="73"/>
      <c r="BQ171" s="73"/>
      <c r="BR171" s="73"/>
      <c r="BS171" s="73"/>
      <c r="BT171" s="73"/>
      <c r="BU171" s="73"/>
      <c r="BV171" s="73"/>
      <c r="BW171" s="74"/>
      <c r="BX171" s="74"/>
      <c r="BY171" s="63"/>
      <c r="BZ171" s="63"/>
    </row>
    <row r="172" ht="15.75" customHeight="1">
      <c r="A172" s="174" t="s">
        <v>1333</v>
      </c>
      <c r="B172" s="50" t="s">
        <v>1334</v>
      </c>
      <c r="C172" s="50" t="s">
        <v>70</v>
      </c>
      <c r="D172" s="50" t="s">
        <v>1335</v>
      </c>
      <c r="E172" s="77" t="s">
        <v>376</v>
      </c>
      <c r="F172" s="47">
        <v>1.2E8</v>
      </c>
      <c r="G172" s="44" t="str">
        <f t="shared" si="1"/>
        <v>$100'000.000 a $200'000.000</v>
      </c>
      <c r="H172" s="44"/>
      <c r="I172" s="44"/>
      <c r="J172" s="50" t="s">
        <v>94</v>
      </c>
      <c r="K172" s="57"/>
      <c r="L172" s="44">
        <v>3.0</v>
      </c>
      <c r="M172" s="44"/>
      <c r="N172" s="44">
        <v>1.0</v>
      </c>
      <c r="O172" s="50">
        <v>0.0</v>
      </c>
      <c r="P172" s="44">
        <v>1.0</v>
      </c>
      <c r="Q172" s="113">
        <v>84.0</v>
      </c>
      <c r="R172" s="79">
        <v>84.0</v>
      </c>
      <c r="S172" s="56" t="str">
        <f t="shared" si="5"/>
        <v> </v>
      </c>
      <c r="T172" s="44" t="s">
        <v>78</v>
      </c>
      <c r="U172" s="57" t="s">
        <v>184</v>
      </c>
      <c r="V172" s="50" t="s">
        <v>79</v>
      </c>
      <c r="W172" s="50"/>
      <c r="X172" s="44">
        <v>0.0</v>
      </c>
      <c r="Y172" s="50" t="s">
        <v>80</v>
      </c>
      <c r="Z172" s="58" t="s">
        <v>81</v>
      </c>
      <c r="AA172" s="59" t="str">
        <f>IF(Rentabilidad=0,"No aplica",TEXT(ROUND(Precio/Rentabilidad/12,0),0) &amp; " años")</f>
        <v>No aplica</v>
      </c>
      <c r="AB172" s="197"/>
      <c r="AC172" s="61"/>
      <c r="AD172" s="62"/>
      <c r="AE172" s="63"/>
      <c r="AF172" s="64" t="s">
        <v>84</v>
      </c>
      <c r="AG172" s="63"/>
      <c r="AH172" s="63"/>
      <c r="AI172" s="63"/>
      <c r="AJ172" s="64" t="s">
        <v>453</v>
      </c>
      <c r="AK172" s="50" t="s">
        <v>81</v>
      </c>
      <c r="AL172" s="45" t="s">
        <v>109</v>
      </c>
      <c r="AM172" s="52">
        <v>3.13351965E9</v>
      </c>
      <c r="AN172" s="45"/>
      <c r="AO172" s="116"/>
      <c r="AP172" s="67" t="s">
        <v>1336</v>
      </c>
      <c r="AQ172" s="67"/>
      <c r="AR172" s="67"/>
      <c r="AS172" s="68">
        <v>0.0</v>
      </c>
      <c r="AT172" s="44">
        <v>0.0</v>
      </c>
      <c r="AU172" s="52">
        <v>0.0</v>
      </c>
      <c r="AV172" s="52">
        <v>0.0</v>
      </c>
      <c r="AW172" s="43" t="s">
        <v>88</v>
      </c>
      <c r="AX172" s="52">
        <v>0.0</v>
      </c>
      <c r="AY172" s="52">
        <v>0.0</v>
      </c>
      <c r="AZ172" s="52">
        <v>0.0</v>
      </c>
      <c r="BA172" s="43" t="s">
        <v>89</v>
      </c>
      <c r="BB172" s="52">
        <v>0.0</v>
      </c>
      <c r="BC172" s="69" t="s">
        <v>1337</v>
      </c>
      <c r="BD172" s="70"/>
      <c r="BE172" s="70"/>
      <c r="BF172" s="72"/>
      <c r="BG172" s="73"/>
      <c r="BH172" s="73"/>
      <c r="BI172" s="73"/>
      <c r="BJ172" s="73"/>
      <c r="BK172" s="73"/>
      <c r="BL172" s="73"/>
      <c r="BM172" s="73"/>
      <c r="BN172" s="73"/>
      <c r="BO172" s="73"/>
      <c r="BP172" s="73"/>
      <c r="BQ172" s="73"/>
      <c r="BR172" s="73"/>
      <c r="BS172" s="73"/>
      <c r="BT172" s="73"/>
      <c r="BU172" s="73"/>
      <c r="BV172" s="73"/>
      <c r="BW172" s="74"/>
      <c r="BX172" s="74"/>
      <c r="BY172" s="63"/>
      <c r="BZ172" s="63"/>
    </row>
    <row r="173" ht="15.75" customHeight="1">
      <c r="A173" s="174" t="s">
        <v>1338</v>
      </c>
      <c r="B173" s="50" t="s">
        <v>1334</v>
      </c>
      <c r="C173" s="50" t="s">
        <v>70</v>
      </c>
      <c r="D173" s="50" t="s">
        <v>1335</v>
      </c>
      <c r="E173" s="77" t="s">
        <v>376</v>
      </c>
      <c r="F173" s="47">
        <v>1.2E8</v>
      </c>
      <c r="G173" s="44" t="str">
        <f t="shared" si="1"/>
        <v>$100'000.000 a $200'000.000</v>
      </c>
      <c r="H173" s="44"/>
      <c r="I173" s="44"/>
      <c r="J173" s="50" t="s">
        <v>94</v>
      </c>
      <c r="K173" s="57"/>
      <c r="L173" s="44">
        <v>3.0</v>
      </c>
      <c r="M173" s="44"/>
      <c r="N173" s="44">
        <v>1.0</v>
      </c>
      <c r="O173" s="50">
        <v>0.0</v>
      </c>
      <c r="P173" s="44">
        <v>1.0</v>
      </c>
      <c r="Q173" s="113">
        <v>84.0</v>
      </c>
      <c r="R173" s="79">
        <v>84.0</v>
      </c>
      <c r="S173" s="56" t="str">
        <f t="shared" si="5"/>
        <v> </v>
      </c>
      <c r="T173" s="44" t="s">
        <v>78</v>
      </c>
      <c r="U173" s="57" t="s">
        <v>184</v>
      </c>
      <c r="V173" s="50" t="s">
        <v>79</v>
      </c>
      <c r="W173" s="50"/>
      <c r="X173" s="44">
        <v>0.0</v>
      </c>
      <c r="Y173" s="50" t="s">
        <v>80</v>
      </c>
      <c r="Z173" s="58" t="s">
        <v>81</v>
      </c>
      <c r="AA173" s="59" t="str">
        <f>IF(Rentabilidad=0,"No aplica",TEXT(ROUND(Precio/Rentabilidad/12,0),0) &amp; " años")</f>
        <v>No aplica</v>
      </c>
      <c r="AB173" s="175"/>
      <c r="AC173" s="61"/>
      <c r="AD173" s="62"/>
      <c r="AE173" s="63"/>
      <c r="AF173" s="64" t="s">
        <v>84</v>
      </c>
      <c r="AG173" s="63"/>
      <c r="AH173" s="63"/>
      <c r="AI173" s="63"/>
      <c r="AJ173" s="64" t="s">
        <v>453</v>
      </c>
      <c r="AK173" s="50" t="s">
        <v>81</v>
      </c>
      <c r="AL173" s="45" t="s">
        <v>109</v>
      </c>
      <c r="AM173" s="52">
        <v>3.13351965E9</v>
      </c>
      <c r="AN173" s="45"/>
      <c r="AO173" s="116"/>
      <c r="AP173" s="67" t="s">
        <v>1339</v>
      </c>
      <c r="AQ173" s="67"/>
      <c r="AR173" s="67"/>
      <c r="AS173" s="68">
        <v>0.0</v>
      </c>
      <c r="AT173" s="44">
        <v>0.0</v>
      </c>
      <c r="AU173" s="52">
        <v>0.0</v>
      </c>
      <c r="AV173" s="52">
        <v>0.0</v>
      </c>
      <c r="AW173" s="43" t="s">
        <v>88</v>
      </c>
      <c r="AX173" s="52">
        <v>0.0</v>
      </c>
      <c r="AY173" s="52">
        <v>0.0</v>
      </c>
      <c r="AZ173" s="52">
        <v>0.0</v>
      </c>
      <c r="BA173" s="43" t="s">
        <v>89</v>
      </c>
      <c r="BB173" s="52">
        <v>0.0</v>
      </c>
      <c r="BC173" s="154"/>
      <c r="BD173" s="155"/>
      <c r="BE173" s="156"/>
      <c r="BF173" s="157"/>
      <c r="BG173" s="73"/>
      <c r="BH173" s="73"/>
      <c r="BI173" s="73"/>
      <c r="BJ173" s="73"/>
      <c r="BK173" s="73"/>
      <c r="BL173" s="73"/>
      <c r="BM173" s="73"/>
      <c r="BN173" s="73"/>
      <c r="BO173" s="73"/>
      <c r="BP173" s="73"/>
      <c r="BQ173" s="73"/>
      <c r="BR173" s="73"/>
      <c r="BS173" s="73"/>
      <c r="BT173" s="73"/>
      <c r="BU173" s="73"/>
      <c r="BV173" s="73"/>
      <c r="BW173" s="74"/>
      <c r="BX173" s="74"/>
      <c r="BY173" s="63"/>
      <c r="BZ173" s="63"/>
    </row>
    <row r="174" ht="15.75" customHeight="1">
      <c r="A174" s="174" t="s">
        <v>1340</v>
      </c>
      <c r="B174" s="50" t="s">
        <v>1341</v>
      </c>
      <c r="C174" s="50" t="s">
        <v>70</v>
      </c>
      <c r="D174" s="44" t="s">
        <v>1342</v>
      </c>
      <c r="E174" s="77" t="s">
        <v>376</v>
      </c>
      <c r="F174" s="47">
        <v>9.0E7</v>
      </c>
      <c r="G174" s="44" t="str">
        <f t="shared" si="1"/>
        <v>$0 a $100'000.000</v>
      </c>
      <c r="H174" s="44"/>
      <c r="I174" s="44"/>
      <c r="J174" s="50" t="s">
        <v>94</v>
      </c>
      <c r="K174" s="57"/>
      <c r="L174" s="44">
        <v>3.0</v>
      </c>
      <c r="M174" s="44"/>
      <c r="N174" s="44">
        <v>1.0</v>
      </c>
      <c r="O174" s="50">
        <v>0.0</v>
      </c>
      <c r="P174" s="44">
        <v>1.0</v>
      </c>
      <c r="Q174" s="113">
        <v>98.0</v>
      </c>
      <c r="R174" s="79">
        <v>98.0</v>
      </c>
      <c r="S174" s="56" t="str">
        <f t="shared" si="5"/>
        <v> </v>
      </c>
      <c r="T174" s="44" t="s">
        <v>78</v>
      </c>
      <c r="U174" s="57" t="s">
        <v>241</v>
      </c>
      <c r="V174" s="50" t="s">
        <v>118</v>
      </c>
      <c r="W174" s="50"/>
      <c r="X174" s="44">
        <v>0.0</v>
      </c>
      <c r="Y174" s="50" t="s">
        <v>80</v>
      </c>
      <c r="Z174" s="58" t="s">
        <v>81</v>
      </c>
      <c r="AA174" s="59" t="str">
        <f>IF(Rentabilidad=0,"No aplica",TEXT(ROUND(Precio/Rentabilidad/12,0),0) &amp; " años")</f>
        <v>No aplica</v>
      </c>
      <c r="AB174" s="175"/>
      <c r="AC174" s="61"/>
      <c r="AD174" s="62"/>
      <c r="AE174" s="63"/>
      <c r="AF174" s="64" t="s">
        <v>84</v>
      </c>
      <c r="AG174" s="63"/>
      <c r="AH174" s="63"/>
      <c r="AI174" s="63"/>
      <c r="AJ174" s="64" t="s">
        <v>453</v>
      </c>
      <c r="AK174" s="50" t="s">
        <v>81</v>
      </c>
      <c r="AL174" s="45" t="s">
        <v>109</v>
      </c>
      <c r="AM174" s="52">
        <v>3.13351965E9</v>
      </c>
      <c r="AN174" s="45"/>
      <c r="AO174" s="116"/>
      <c r="AP174" s="67" t="s">
        <v>1343</v>
      </c>
      <c r="AQ174" s="67"/>
      <c r="AR174" s="67"/>
      <c r="AS174" s="68">
        <v>0.0</v>
      </c>
      <c r="AT174" s="44">
        <v>0.0</v>
      </c>
      <c r="AU174" s="52">
        <v>0.0</v>
      </c>
      <c r="AV174" s="52">
        <v>0.0</v>
      </c>
      <c r="AW174" s="43" t="s">
        <v>88</v>
      </c>
      <c r="AX174" s="52">
        <v>0.0</v>
      </c>
      <c r="AY174" s="52" t="s">
        <v>137</v>
      </c>
      <c r="AZ174" s="52">
        <v>0.0</v>
      </c>
      <c r="BA174" s="43" t="s">
        <v>89</v>
      </c>
      <c r="BB174" s="52">
        <v>0.0</v>
      </c>
      <c r="BC174" s="95" t="s">
        <v>1344</v>
      </c>
      <c r="BD174" s="71"/>
      <c r="BE174" s="71"/>
      <c r="BF174" s="72"/>
      <c r="BG174" s="73"/>
      <c r="BH174" s="73"/>
      <c r="BI174" s="73"/>
      <c r="BJ174" s="73"/>
      <c r="BK174" s="73"/>
      <c r="BL174" s="73"/>
      <c r="BM174" s="73"/>
      <c r="BN174" s="73"/>
      <c r="BO174" s="73"/>
      <c r="BP174" s="73"/>
      <c r="BQ174" s="73"/>
      <c r="BR174" s="73"/>
      <c r="BS174" s="73"/>
      <c r="BT174" s="73"/>
      <c r="BU174" s="73"/>
      <c r="BV174" s="73"/>
      <c r="BW174" s="74"/>
      <c r="BX174" s="74"/>
      <c r="BY174" s="63"/>
      <c r="BZ174" s="63"/>
    </row>
    <row r="175" ht="15.75" customHeight="1">
      <c r="A175" s="41" t="s">
        <v>1345</v>
      </c>
      <c r="B175" s="50" t="s">
        <v>1346</v>
      </c>
      <c r="C175" s="50" t="s">
        <v>70</v>
      </c>
      <c r="D175" s="50" t="s">
        <v>1347</v>
      </c>
      <c r="E175" s="64"/>
      <c r="F175" s="47">
        <v>2.75E8</v>
      </c>
      <c r="G175" s="44" t="str">
        <f t="shared" si="1"/>
        <v>$200'000.000 a $300'000.000</v>
      </c>
      <c r="H175" s="44"/>
      <c r="I175" s="44"/>
      <c r="J175" s="50" t="s">
        <v>183</v>
      </c>
      <c r="K175" s="51" t="s">
        <v>184</v>
      </c>
      <c r="L175" s="44">
        <v>4.0</v>
      </c>
      <c r="M175" s="44"/>
      <c r="N175" s="44">
        <v>3.0</v>
      </c>
      <c r="O175" s="50">
        <v>1.0</v>
      </c>
      <c r="P175" s="44">
        <v>2.0</v>
      </c>
      <c r="Q175" s="113">
        <v>84.0</v>
      </c>
      <c r="R175" s="79">
        <v>112.0</v>
      </c>
      <c r="S175" s="56" t="str">
        <f t="shared" si="5"/>
        <v> </v>
      </c>
      <c r="T175" s="44" t="s">
        <v>78</v>
      </c>
      <c r="U175" s="114" t="s">
        <v>184</v>
      </c>
      <c r="V175" s="50" t="s">
        <v>79</v>
      </c>
      <c r="W175" s="50"/>
      <c r="X175" s="44">
        <v>3.0</v>
      </c>
      <c r="Y175" s="50" t="s">
        <v>80</v>
      </c>
      <c r="Z175" s="58" t="s">
        <v>81</v>
      </c>
      <c r="AA175" s="59" t="str">
        <f>IF(Rentabilidad=0,"No aplica",TEXT(ROUND(Precio/Rentabilidad/12,0),0) &amp; " años")</f>
        <v>No aplica</v>
      </c>
      <c r="AB175" s="115" t="s">
        <v>1348</v>
      </c>
      <c r="AC175" s="176"/>
      <c r="AD175" s="177"/>
      <c r="AE175" s="63"/>
      <c r="AF175" s="45" t="s">
        <v>105</v>
      </c>
      <c r="AG175" s="63"/>
      <c r="AH175" s="63"/>
      <c r="AI175" s="63"/>
      <c r="AJ175" s="64" t="s">
        <v>1349</v>
      </c>
      <c r="AK175" s="50" t="s">
        <v>81</v>
      </c>
      <c r="AL175" s="45" t="s">
        <v>109</v>
      </c>
      <c r="AM175" s="52">
        <v>3.13351965E9</v>
      </c>
      <c r="AN175" s="64" t="s">
        <v>1350</v>
      </c>
      <c r="AO175" s="52" t="s">
        <v>1351</v>
      </c>
      <c r="AP175" s="67" t="s">
        <v>1352</v>
      </c>
      <c r="AQ175" s="67"/>
      <c r="AR175" s="67"/>
      <c r="AS175" s="118">
        <v>0.0</v>
      </c>
      <c r="AT175" s="63">
        <v>0.0</v>
      </c>
      <c r="AU175" s="52">
        <v>0.0</v>
      </c>
      <c r="AV175" s="52">
        <v>0.0</v>
      </c>
      <c r="AW175" s="43" t="s">
        <v>88</v>
      </c>
      <c r="AX175" s="52">
        <v>0.0</v>
      </c>
      <c r="AY175" s="52">
        <v>0.0</v>
      </c>
      <c r="AZ175" s="63">
        <v>0.0</v>
      </c>
      <c r="BA175" s="43" t="s">
        <v>89</v>
      </c>
      <c r="BB175" s="63">
        <v>0.0</v>
      </c>
      <c r="BC175" s="109"/>
      <c r="BD175" s="70"/>
      <c r="BE175" s="71"/>
      <c r="BF175" s="72" t="s">
        <v>1353</v>
      </c>
      <c r="BG175" s="73"/>
      <c r="BH175" s="73"/>
      <c r="BI175" s="73"/>
      <c r="BJ175" s="73"/>
      <c r="BK175" s="73"/>
      <c r="BL175" s="73"/>
      <c r="BM175" s="73"/>
      <c r="BN175" s="73"/>
      <c r="BO175" s="73"/>
      <c r="BP175" s="73"/>
      <c r="BQ175" s="73"/>
      <c r="BR175" s="73"/>
      <c r="BS175" s="73"/>
      <c r="BT175" s="73"/>
      <c r="BU175" s="73"/>
      <c r="BV175" s="73"/>
      <c r="BW175" s="74"/>
      <c r="BX175" s="74"/>
      <c r="BY175" s="63"/>
      <c r="BZ175" s="63"/>
    </row>
    <row r="176" ht="15.75" customHeight="1">
      <c r="A176" s="75" t="s">
        <v>1354</v>
      </c>
      <c r="B176" s="50" t="s">
        <v>152</v>
      </c>
      <c r="C176" s="50" t="s">
        <v>128</v>
      </c>
      <c r="D176" s="50" t="s">
        <v>381</v>
      </c>
      <c r="E176" s="77" t="s">
        <v>1355</v>
      </c>
      <c r="F176" s="78">
        <v>7.3E8</v>
      </c>
      <c r="G176" s="44" t="str">
        <f t="shared" si="1"/>
        <v>$500'000.000 a $1.000'000.000</v>
      </c>
      <c r="H176" s="44"/>
      <c r="I176" s="44"/>
      <c r="J176" s="50" t="s">
        <v>94</v>
      </c>
      <c r="K176" s="57"/>
      <c r="L176" s="50">
        <v>3.0</v>
      </c>
      <c r="M176" s="50"/>
      <c r="N176" s="50">
        <v>4.0</v>
      </c>
      <c r="O176" s="50">
        <v>2.0</v>
      </c>
      <c r="P176" s="50">
        <v>1.0</v>
      </c>
      <c r="Q176" s="88">
        <v>177.0</v>
      </c>
      <c r="R176" s="88">
        <v>177.0</v>
      </c>
      <c r="S176" s="56" t="str">
        <f t="shared" si="5"/>
        <v> </v>
      </c>
      <c r="T176" s="50" t="s">
        <v>78</v>
      </c>
      <c r="U176" s="51" t="s">
        <v>154</v>
      </c>
      <c r="V176" s="50" t="s">
        <v>79</v>
      </c>
      <c r="W176" s="50"/>
      <c r="X176" s="50">
        <v>3.0</v>
      </c>
      <c r="Y176" s="43" t="s">
        <v>97</v>
      </c>
      <c r="Z176" s="58">
        <v>426000.0</v>
      </c>
      <c r="AA176" s="81" t="s">
        <v>81</v>
      </c>
      <c r="AB176" s="115" t="s">
        <v>1356</v>
      </c>
      <c r="AC176" s="83" t="s">
        <v>1357</v>
      </c>
      <c r="AD176" s="198" t="s">
        <v>1358</v>
      </c>
      <c r="AE176" s="63"/>
      <c r="AF176" s="64" t="s">
        <v>105</v>
      </c>
      <c r="AG176" s="65" t="s">
        <v>106</v>
      </c>
      <c r="AH176" s="63"/>
      <c r="AI176" s="65" t="s">
        <v>107</v>
      </c>
      <c r="AJ176" s="64" t="s">
        <v>1359</v>
      </c>
      <c r="AK176" s="50" t="s">
        <v>81</v>
      </c>
      <c r="AL176" s="45" t="s">
        <v>109</v>
      </c>
      <c r="AM176" s="52">
        <v>3.13351965E9</v>
      </c>
      <c r="AN176" s="45">
        <v>0.0</v>
      </c>
      <c r="AO176" s="43">
        <v>0.0</v>
      </c>
      <c r="AP176" s="84" t="s">
        <v>1360</v>
      </c>
      <c r="AQ176" s="84"/>
      <c r="AR176" s="84"/>
      <c r="AS176" s="85">
        <v>0.0</v>
      </c>
      <c r="AT176" s="50" t="s">
        <v>88</v>
      </c>
      <c r="AU176" s="50">
        <v>0.0</v>
      </c>
      <c r="AV176" s="44">
        <v>0.0</v>
      </c>
      <c r="AW176" s="50" t="s">
        <v>88</v>
      </c>
      <c r="AX176" s="44">
        <v>0.0</v>
      </c>
      <c r="AY176" s="50">
        <v>0.0</v>
      </c>
      <c r="AZ176" s="44">
        <v>0.0</v>
      </c>
      <c r="BA176" s="43" t="s">
        <v>89</v>
      </c>
      <c r="BB176" s="44">
        <v>0.0</v>
      </c>
      <c r="BC176" s="69" t="s">
        <v>769</v>
      </c>
      <c r="BD176" s="70"/>
      <c r="BE176" s="71"/>
      <c r="BF176" s="72" t="s">
        <v>1361</v>
      </c>
      <c r="BG176" s="73"/>
      <c r="BH176" s="73"/>
      <c r="BI176" s="73"/>
      <c r="BJ176" s="73"/>
      <c r="BK176" s="73"/>
      <c r="BL176" s="73"/>
      <c r="BM176" s="73"/>
      <c r="BN176" s="73"/>
      <c r="BO176" s="73"/>
      <c r="BP176" s="73"/>
      <c r="BQ176" s="73"/>
      <c r="BR176" s="73"/>
      <c r="BS176" s="73"/>
      <c r="BT176" s="73"/>
      <c r="BU176" s="73"/>
      <c r="BV176" s="73"/>
      <c r="BW176" s="74"/>
      <c r="BX176" s="74"/>
      <c r="BY176" s="63"/>
      <c r="BZ176" s="63"/>
    </row>
    <row r="177" ht="15.75" customHeight="1">
      <c r="A177" s="75" t="s">
        <v>1362</v>
      </c>
      <c r="B177" s="43" t="s">
        <v>1363</v>
      </c>
      <c r="C177" s="43" t="s">
        <v>70</v>
      </c>
      <c r="D177" s="193" t="s">
        <v>116</v>
      </c>
      <c r="E177" s="45"/>
      <c r="F177" s="78">
        <v>4.2E8</v>
      </c>
      <c r="G177" s="44" t="str">
        <f t="shared" si="1"/>
        <v>$400'000.000 a $500'000.000</v>
      </c>
      <c r="H177" s="44"/>
      <c r="I177" s="44"/>
      <c r="J177" s="50" t="s">
        <v>116</v>
      </c>
      <c r="K177" s="150"/>
      <c r="L177" s="199">
        <v>7.0</v>
      </c>
      <c r="M177" s="199"/>
      <c r="N177" s="199">
        <v>5.0</v>
      </c>
      <c r="O177" s="199">
        <v>1.0</v>
      </c>
      <c r="P177" s="199">
        <v>3.0</v>
      </c>
      <c r="Q177" s="55">
        <v>270.0</v>
      </c>
      <c r="R177" s="55">
        <v>105.0</v>
      </c>
      <c r="S177" s="56" t="str">
        <f t="shared" si="5"/>
        <v> </v>
      </c>
      <c r="T177" s="43" t="s">
        <v>78</v>
      </c>
      <c r="U177" s="56" t="s">
        <v>184</v>
      </c>
      <c r="V177" s="199" t="s">
        <v>79</v>
      </c>
      <c r="W177" s="199"/>
      <c r="X177" s="199">
        <v>5.0</v>
      </c>
      <c r="Y177" s="43" t="s">
        <v>80</v>
      </c>
      <c r="Z177" s="58" t="s">
        <v>81</v>
      </c>
      <c r="AA177" s="59" t="str">
        <f>IF(Rentabilidad=0,"No aplica",TEXT(ROUND(Precio/Rentabilidad/12,0),0) &amp; " años")</f>
        <v>No aplica</v>
      </c>
      <c r="AB177" s="180" t="s">
        <v>1364</v>
      </c>
      <c r="AC177" s="131" t="s">
        <v>1365</v>
      </c>
      <c r="AD177" s="125" t="s">
        <v>1366</v>
      </c>
      <c r="AE177" s="63"/>
      <c r="AF177" s="45" t="s">
        <v>105</v>
      </c>
      <c r="AG177" s="65" t="s">
        <v>106</v>
      </c>
      <c r="AH177" s="63"/>
      <c r="AI177" s="65" t="s">
        <v>107</v>
      </c>
      <c r="AJ177" s="200" t="s">
        <v>1367</v>
      </c>
      <c r="AK177" s="58" t="s">
        <v>81</v>
      </c>
      <c r="AL177" s="45" t="s">
        <v>109</v>
      </c>
      <c r="AM177" s="52">
        <v>3.13351965E9</v>
      </c>
      <c r="AN177" s="64" t="s">
        <v>1368</v>
      </c>
      <c r="AO177" s="52"/>
      <c r="AP177" s="67"/>
      <c r="AQ177" s="67"/>
      <c r="AR177" s="67"/>
      <c r="AS177" s="94">
        <v>0.0</v>
      </c>
      <c r="AT177" s="50">
        <v>0.0</v>
      </c>
      <c r="AU177" s="43">
        <v>0.0</v>
      </c>
      <c r="AV177" s="43">
        <v>0.0</v>
      </c>
      <c r="AW177" s="43" t="s">
        <v>106</v>
      </c>
      <c r="AX177" s="43">
        <v>0.0</v>
      </c>
      <c r="AY177" s="43" t="s">
        <v>137</v>
      </c>
      <c r="AZ177" s="43">
        <v>7.0</v>
      </c>
      <c r="BA177" s="43" t="s">
        <v>89</v>
      </c>
      <c r="BB177" s="43">
        <v>15.0</v>
      </c>
      <c r="BC177" s="109"/>
      <c r="BD177" s="70"/>
      <c r="BE177" s="71"/>
      <c r="BF177" s="72" t="s">
        <v>1369</v>
      </c>
      <c r="BG177" s="73"/>
      <c r="BH177" s="73"/>
      <c r="BI177" s="73"/>
      <c r="BJ177" s="73"/>
      <c r="BK177" s="73"/>
      <c r="BL177" s="73"/>
      <c r="BM177" s="73"/>
      <c r="BN177" s="73"/>
      <c r="BO177" s="73"/>
      <c r="BP177" s="73"/>
      <c r="BQ177" s="73"/>
      <c r="BR177" s="73"/>
      <c r="BS177" s="73"/>
      <c r="BT177" s="73"/>
      <c r="BU177" s="73"/>
      <c r="BV177" s="73"/>
      <c r="BW177" s="74"/>
      <c r="BX177" s="74"/>
      <c r="BY177" s="63"/>
      <c r="BZ177" s="63"/>
    </row>
    <row r="178" ht="15.75" customHeight="1">
      <c r="A178" s="120" t="s">
        <v>1370</v>
      </c>
      <c r="B178" s="50" t="s">
        <v>1371</v>
      </c>
      <c r="C178" s="50" t="s">
        <v>271</v>
      </c>
      <c r="D178" s="50" t="s">
        <v>1222</v>
      </c>
      <c r="E178" s="77" t="s">
        <v>376</v>
      </c>
      <c r="F178" s="47">
        <v>2.9E8</v>
      </c>
      <c r="G178" s="44" t="str">
        <f t="shared" si="1"/>
        <v>$200'000.000 a $300'000.000</v>
      </c>
      <c r="H178" s="44"/>
      <c r="I178" s="44"/>
      <c r="J178" s="50" t="s">
        <v>183</v>
      </c>
      <c r="K178" s="51"/>
      <c r="L178" s="52">
        <v>4.0</v>
      </c>
      <c r="M178" s="52"/>
      <c r="N178" s="52">
        <v>3.0</v>
      </c>
      <c r="O178" s="43">
        <v>2.0</v>
      </c>
      <c r="P178" s="52">
        <v>1.0</v>
      </c>
      <c r="Q178" s="113">
        <v>155.25</v>
      </c>
      <c r="R178" s="55">
        <v>153.0</v>
      </c>
      <c r="S178" s="56" t="str">
        <f t="shared" si="5"/>
        <v>Rentabilidad $1,000,000</v>
      </c>
      <c r="T178" s="52" t="s">
        <v>78</v>
      </c>
      <c r="U178" s="142" t="s">
        <v>184</v>
      </c>
      <c r="V178" s="43" t="s">
        <v>79</v>
      </c>
      <c r="W178" s="43"/>
      <c r="X178" s="52">
        <v>4.0</v>
      </c>
      <c r="Y178" s="43" t="s">
        <v>80</v>
      </c>
      <c r="Z178" s="80" t="s">
        <v>81</v>
      </c>
      <c r="AA178" s="59" t="str">
        <f>IF(Rentabilidad=0,"No aplica",TEXT(ROUND(Precio/Rentabilidad/12,0),0) &amp; " años")</f>
        <v>24 años</v>
      </c>
      <c r="AB178" s="134" t="s">
        <v>1372</v>
      </c>
      <c r="AC178" s="61"/>
      <c r="AD178" s="62"/>
      <c r="AE178" s="63"/>
      <c r="AF178" s="45" t="s">
        <v>105</v>
      </c>
      <c r="AG178" s="63"/>
      <c r="AH178" s="63"/>
      <c r="AI178" s="63"/>
      <c r="AJ178" s="64" t="s">
        <v>1373</v>
      </c>
      <c r="AK178" s="50" t="s">
        <v>81</v>
      </c>
      <c r="AL178" s="45" t="s">
        <v>109</v>
      </c>
      <c r="AM178" s="52" t="s">
        <v>1374</v>
      </c>
      <c r="AN178" s="45"/>
      <c r="AO178" s="52" t="s">
        <v>1375</v>
      </c>
      <c r="AP178" s="67" t="s">
        <v>1376</v>
      </c>
      <c r="AQ178" s="67"/>
      <c r="AR178" s="67"/>
      <c r="AS178" s="135">
        <v>1000000.0</v>
      </c>
      <c r="AT178" s="63">
        <v>0.0</v>
      </c>
      <c r="AU178" s="52">
        <v>0.0</v>
      </c>
      <c r="AV178" s="52">
        <v>0.0</v>
      </c>
      <c r="AW178" s="43" t="s">
        <v>88</v>
      </c>
      <c r="AX178" s="52">
        <v>0.0</v>
      </c>
      <c r="AY178" s="52">
        <v>0.0</v>
      </c>
      <c r="AZ178" s="52">
        <v>0.0</v>
      </c>
      <c r="BA178" s="43" t="s">
        <v>89</v>
      </c>
      <c r="BB178" s="52">
        <v>0.0</v>
      </c>
      <c r="BC178" s="109"/>
      <c r="BD178" s="70"/>
      <c r="BE178" s="71"/>
      <c r="BF178" s="72" t="s">
        <v>1377</v>
      </c>
      <c r="BG178" s="73"/>
      <c r="BH178" s="73"/>
      <c r="BI178" s="73"/>
      <c r="BJ178" s="73"/>
      <c r="BK178" s="73"/>
      <c r="BL178" s="73"/>
      <c r="BM178" s="73"/>
      <c r="BN178" s="73"/>
      <c r="BO178" s="73"/>
      <c r="BP178" s="73"/>
      <c r="BQ178" s="73"/>
      <c r="BR178" s="73"/>
      <c r="BS178" s="73"/>
      <c r="BT178" s="73"/>
      <c r="BU178" s="73"/>
      <c r="BV178" s="73"/>
      <c r="BW178" s="74"/>
      <c r="BX178" s="74"/>
      <c r="BY178" s="63"/>
      <c r="BZ178" s="63"/>
    </row>
    <row r="179" ht="15.75" customHeight="1">
      <c r="A179" s="120" t="s">
        <v>1378</v>
      </c>
      <c r="B179" s="112"/>
      <c r="C179" s="50" t="s">
        <v>271</v>
      </c>
      <c r="D179" s="65" t="s">
        <v>389</v>
      </c>
      <c r="E179" s="45"/>
      <c r="F179" s="47">
        <v>6.2E8</v>
      </c>
      <c r="G179" s="44" t="str">
        <f t="shared" si="1"/>
        <v>$500'000.000 a $1.000'000.000</v>
      </c>
      <c r="H179" s="44"/>
      <c r="I179" s="44"/>
      <c r="J179" s="50" t="s">
        <v>76</v>
      </c>
      <c r="K179" s="57"/>
      <c r="L179" s="52">
        <v>4.0</v>
      </c>
      <c r="M179" s="52"/>
      <c r="N179" s="52">
        <v>3.0</v>
      </c>
      <c r="O179" s="43">
        <v>0.0</v>
      </c>
      <c r="P179" s="52">
        <v>3.0</v>
      </c>
      <c r="Q179" s="54">
        <v>334.0</v>
      </c>
      <c r="R179" s="55">
        <v>170.0</v>
      </c>
      <c r="S179" s="56" t="str">
        <f t="shared" si="5"/>
        <v> </v>
      </c>
      <c r="T179" s="44"/>
      <c r="U179" s="57"/>
      <c r="V179" s="43" t="s">
        <v>118</v>
      </c>
      <c r="W179" s="43"/>
      <c r="X179" s="52">
        <v>3.0</v>
      </c>
      <c r="Y179" s="43" t="s">
        <v>80</v>
      </c>
      <c r="Z179" s="80" t="s">
        <v>81</v>
      </c>
      <c r="AA179" s="59" t="str">
        <f>IF(Rentabilidad=0,"No aplica",TEXT(ROUND(Precio/Rentabilidad/12,0),0) &amp; " años")</f>
        <v>No aplica</v>
      </c>
      <c r="AB179" s="60"/>
      <c r="AC179" s="61"/>
      <c r="AD179" s="62"/>
      <c r="AE179" s="63"/>
      <c r="AF179" s="45" t="s">
        <v>236</v>
      </c>
      <c r="AG179" s="63"/>
      <c r="AH179" s="65" t="s">
        <v>45</v>
      </c>
      <c r="AI179" s="63"/>
      <c r="AJ179" s="45" t="s">
        <v>1379</v>
      </c>
      <c r="AK179" s="44"/>
      <c r="AL179" s="45" t="s">
        <v>86</v>
      </c>
      <c r="AM179" s="52" t="s">
        <v>1380</v>
      </c>
      <c r="AN179" s="45"/>
      <c r="AO179" s="44"/>
      <c r="AP179" s="67"/>
      <c r="AQ179" s="67"/>
      <c r="AR179" s="67"/>
      <c r="AS179" s="135">
        <v>0.0</v>
      </c>
      <c r="AT179" s="44">
        <v>0.0</v>
      </c>
      <c r="AU179" s="52">
        <v>0.0</v>
      </c>
      <c r="AV179" s="52">
        <v>0.0</v>
      </c>
      <c r="AW179" s="43" t="s">
        <v>88</v>
      </c>
      <c r="AX179" s="52">
        <v>0.0</v>
      </c>
      <c r="AY179" s="52">
        <v>0.0</v>
      </c>
      <c r="AZ179" s="52">
        <v>0.0</v>
      </c>
      <c r="BA179" s="43" t="s">
        <v>89</v>
      </c>
      <c r="BB179" s="52">
        <v>0.0</v>
      </c>
      <c r="BC179" s="109"/>
      <c r="BD179" s="121"/>
      <c r="BE179" s="129"/>
      <c r="BF179" s="72"/>
      <c r="BG179" s="73"/>
      <c r="BH179" s="73"/>
      <c r="BI179" s="73"/>
      <c r="BJ179" s="73"/>
      <c r="BK179" s="73"/>
      <c r="BL179" s="73"/>
      <c r="BM179" s="73"/>
      <c r="BN179" s="73"/>
      <c r="BO179" s="73"/>
      <c r="BP179" s="73"/>
      <c r="BQ179" s="73"/>
      <c r="BR179" s="73"/>
      <c r="BS179" s="73"/>
      <c r="BT179" s="73"/>
      <c r="BU179" s="73"/>
      <c r="BV179" s="73"/>
      <c r="BW179" s="74"/>
      <c r="BX179" s="74"/>
      <c r="BY179" s="63"/>
      <c r="BZ179" s="63"/>
    </row>
    <row r="180" ht="15.75" customHeight="1">
      <c r="A180" s="201" t="s">
        <v>1381</v>
      </c>
      <c r="B180" s="50" t="s">
        <v>1382</v>
      </c>
      <c r="C180" s="44"/>
      <c r="D180" s="44" t="s">
        <v>1383</v>
      </c>
      <c r="E180" s="45"/>
      <c r="F180" s="78">
        <v>0.0</v>
      </c>
      <c r="G180" s="44" t="str">
        <f t="shared" si="1"/>
        <v>$0 a $100'000.000</v>
      </c>
      <c r="H180" s="44"/>
      <c r="I180" s="44"/>
      <c r="J180" s="44"/>
      <c r="K180" s="57"/>
      <c r="L180" s="44"/>
      <c r="M180" s="44"/>
      <c r="N180" s="44"/>
      <c r="O180" s="44"/>
      <c r="P180" s="44"/>
      <c r="Q180" s="89">
        <v>0.0</v>
      </c>
      <c r="R180" s="89">
        <v>0.0</v>
      </c>
      <c r="S180" s="56" t="str">
        <f t="shared" si="5"/>
        <v> </v>
      </c>
      <c r="T180" s="44"/>
      <c r="U180" s="57"/>
      <c r="V180" s="44"/>
      <c r="W180" s="44"/>
      <c r="X180" s="44"/>
      <c r="Y180" s="44"/>
      <c r="Z180" s="91"/>
      <c r="AA180" s="59" t="str">
        <f>IF(Rentabilidad=0,"No aplica",TEXT(ROUND(Precio/Rentabilidad/12,0),0) &amp; " años")</f>
        <v>No aplica</v>
      </c>
      <c r="AB180" s="60"/>
      <c r="AC180" s="61"/>
      <c r="AD180" s="62"/>
      <c r="AE180" s="63"/>
      <c r="AF180" s="45" t="s">
        <v>1383</v>
      </c>
      <c r="AG180" s="63"/>
      <c r="AH180" s="65" t="s">
        <v>45</v>
      </c>
      <c r="AI180" s="63"/>
      <c r="AJ180" s="45" t="s">
        <v>1384</v>
      </c>
      <c r="AK180" s="44"/>
      <c r="AL180" s="45" t="s">
        <v>86</v>
      </c>
      <c r="AM180" s="44">
        <v>3.152454767E9</v>
      </c>
      <c r="AN180" s="45"/>
      <c r="AO180" s="44"/>
      <c r="AP180" s="67"/>
      <c r="AQ180" s="67"/>
      <c r="AR180" s="67"/>
      <c r="AS180" s="94">
        <v>0.0</v>
      </c>
      <c r="AT180" s="44"/>
      <c r="AU180" s="44"/>
      <c r="AV180" s="44"/>
      <c r="AW180" s="44"/>
      <c r="AX180" s="44"/>
      <c r="AY180" s="44"/>
      <c r="AZ180" s="44"/>
      <c r="BA180" s="43" t="s">
        <v>89</v>
      </c>
      <c r="BB180" s="44"/>
      <c r="BC180" s="69" t="s">
        <v>1385</v>
      </c>
      <c r="BD180" s="70"/>
      <c r="BE180" s="71"/>
      <c r="BF180" s="72"/>
      <c r="BG180" s="73"/>
      <c r="BH180" s="73"/>
      <c r="BI180" s="73"/>
      <c r="BJ180" s="73"/>
      <c r="BK180" s="73"/>
      <c r="BL180" s="73"/>
      <c r="BM180" s="73"/>
      <c r="BN180" s="73"/>
      <c r="BO180" s="73"/>
      <c r="BP180" s="73"/>
      <c r="BQ180" s="73"/>
      <c r="BR180" s="73"/>
      <c r="BS180" s="73"/>
      <c r="BT180" s="73"/>
      <c r="BU180" s="73"/>
      <c r="BV180" s="73"/>
      <c r="BW180" s="74"/>
      <c r="BX180" s="74"/>
      <c r="BY180" s="63"/>
      <c r="BZ180" s="63"/>
    </row>
    <row r="181" ht="15.75" customHeight="1">
      <c r="A181" s="133" t="s">
        <v>1386</v>
      </c>
      <c r="B181" s="122" t="s">
        <v>395</v>
      </c>
      <c r="C181" s="43" t="s">
        <v>70</v>
      </c>
      <c r="D181" s="50" t="s">
        <v>72</v>
      </c>
      <c r="E181" s="77" t="s">
        <v>376</v>
      </c>
      <c r="F181" s="47">
        <v>3.4E8</v>
      </c>
      <c r="G181" s="44" t="str">
        <f t="shared" si="1"/>
        <v>$300'000.000 a $400'000.000</v>
      </c>
      <c r="H181" s="44"/>
      <c r="I181" s="44"/>
      <c r="J181" s="50" t="s">
        <v>183</v>
      </c>
      <c r="K181" s="51" t="s">
        <v>184</v>
      </c>
      <c r="L181" s="52">
        <v>4.0</v>
      </c>
      <c r="M181" s="52"/>
      <c r="N181" s="52">
        <v>3.0</v>
      </c>
      <c r="O181" s="43">
        <v>1.0</v>
      </c>
      <c r="P181" s="52">
        <v>3.0</v>
      </c>
      <c r="Q181" s="54"/>
      <c r="R181" s="55">
        <v>112.0</v>
      </c>
      <c r="S181" s="56" t="str">
        <f t="shared" si="5"/>
        <v>Rentabilidad $1,200,000</v>
      </c>
      <c r="T181" s="52" t="s">
        <v>78</v>
      </c>
      <c r="U181" s="142" t="s">
        <v>77</v>
      </c>
      <c r="V181" s="43" t="s">
        <v>79</v>
      </c>
      <c r="W181" s="43"/>
      <c r="X181" s="52">
        <v>0.0</v>
      </c>
      <c r="Y181" s="43" t="s">
        <v>80</v>
      </c>
      <c r="Z181" s="58" t="s">
        <v>81</v>
      </c>
      <c r="AA181" s="59" t="str">
        <f>IF(Rentabilidad=0,"No aplica",TEXT(ROUND(Precio/Rentabilidad/12,0),0) &amp; " años")</f>
        <v>24 años</v>
      </c>
      <c r="AB181" s="60"/>
      <c r="AC181" s="61"/>
      <c r="AD181" s="62"/>
      <c r="AE181" s="63"/>
      <c r="AF181" s="45" t="s">
        <v>105</v>
      </c>
      <c r="AG181" s="63"/>
      <c r="AH181" s="65" t="s">
        <v>45</v>
      </c>
      <c r="AI181" s="63"/>
      <c r="AJ181" s="64" t="s">
        <v>1387</v>
      </c>
      <c r="AK181" s="44"/>
      <c r="AL181" s="45" t="s">
        <v>1388</v>
      </c>
      <c r="AM181" s="52">
        <v>3.203296936E9</v>
      </c>
      <c r="AN181" s="45">
        <v>3.123874356E9</v>
      </c>
      <c r="AO181" s="52" t="s">
        <v>1389</v>
      </c>
      <c r="AP181" s="67" t="s">
        <v>1390</v>
      </c>
      <c r="AQ181" s="67"/>
      <c r="AR181" s="67"/>
      <c r="AS181" s="135">
        <v>1200000.0</v>
      </c>
      <c r="AT181" s="63">
        <v>0.0</v>
      </c>
      <c r="AU181" s="52">
        <v>0.0</v>
      </c>
      <c r="AV181" s="52">
        <v>0.0</v>
      </c>
      <c r="AW181" s="43" t="s">
        <v>88</v>
      </c>
      <c r="AX181" s="52">
        <v>0.0</v>
      </c>
      <c r="AY181" s="52">
        <v>0.0</v>
      </c>
      <c r="AZ181" s="52">
        <v>7.0</v>
      </c>
      <c r="BA181" s="43" t="s">
        <v>89</v>
      </c>
      <c r="BB181" s="52">
        <v>16.0</v>
      </c>
      <c r="BC181" s="109"/>
      <c r="BD181" s="70"/>
      <c r="BE181" s="71"/>
      <c r="BF181" s="72"/>
      <c r="BG181" s="73"/>
      <c r="BH181" s="73"/>
      <c r="BI181" s="73"/>
      <c r="BJ181" s="73"/>
      <c r="BK181" s="73"/>
      <c r="BL181" s="73"/>
      <c r="BM181" s="73"/>
      <c r="BN181" s="73"/>
      <c r="BO181" s="73"/>
      <c r="BP181" s="73"/>
      <c r="BQ181" s="73"/>
      <c r="BR181" s="73"/>
      <c r="BS181" s="73"/>
      <c r="BT181" s="73"/>
      <c r="BU181" s="73"/>
      <c r="BV181" s="73"/>
      <c r="BW181" s="74"/>
      <c r="BX181" s="74"/>
      <c r="BY181" s="63"/>
      <c r="BZ181" s="63"/>
    </row>
    <row r="182" ht="15.75" customHeight="1">
      <c r="A182" s="133" t="s">
        <v>1391</v>
      </c>
      <c r="B182" s="43" t="s">
        <v>1392</v>
      </c>
      <c r="C182" s="43" t="s">
        <v>271</v>
      </c>
      <c r="D182" s="153" t="s">
        <v>155</v>
      </c>
      <c r="E182" s="45"/>
      <c r="F182" s="78">
        <v>9.5E8</v>
      </c>
      <c r="G182" s="44" t="str">
        <f t="shared" si="1"/>
        <v>$500'000.000 a $1.000'000.000</v>
      </c>
      <c r="H182" s="44"/>
      <c r="I182" s="44"/>
      <c r="J182" s="43" t="s">
        <v>76</v>
      </c>
      <c r="K182" s="56" t="s">
        <v>77</v>
      </c>
      <c r="L182" s="43">
        <v>9.0</v>
      </c>
      <c r="M182" s="43"/>
      <c r="N182" s="43">
        <v>4.0</v>
      </c>
      <c r="O182" s="43">
        <v>1.0</v>
      </c>
      <c r="P182" s="43">
        <v>2.0</v>
      </c>
      <c r="Q182" s="88">
        <v>333.0</v>
      </c>
      <c r="R182" s="88">
        <v>150.0</v>
      </c>
      <c r="S182" s="56" t="str">
        <f t="shared" si="5"/>
        <v>Rentabilidad $2,700,000</v>
      </c>
      <c r="T182" s="43" t="s">
        <v>78</v>
      </c>
      <c r="U182" s="56" t="s">
        <v>184</v>
      </c>
      <c r="V182" s="43" t="s">
        <v>79</v>
      </c>
      <c r="W182" s="43"/>
      <c r="X182" s="43">
        <v>4.0</v>
      </c>
      <c r="Y182" s="43" t="s">
        <v>80</v>
      </c>
      <c r="Z182" s="58"/>
      <c r="AA182" s="59" t="str">
        <f>IF(Rentabilidad=0,"No aplica",TEXT(ROUND(Precio/Rentabilidad/12,0),0) &amp; " años")</f>
        <v>29 años</v>
      </c>
      <c r="AB182" s="140" t="s">
        <v>1393</v>
      </c>
      <c r="AC182" s="132" t="s">
        <v>1394</v>
      </c>
      <c r="AD182" s="107" t="s">
        <v>1395</v>
      </c>
      <c r="AE182" s="63"/>
      <c r="AF182" s="64" t="s">
        <v>105</v>
      </c>
      <c r="AG182" s="65"/>
      <c r="AH182" s="65" t="s">
        <v>45</v>
      </c>
      <c r="AI182" s="65" t="s">
        <v>107</v>
      </c>
      <c r="AJ182" s="64" t="s">
        <v>1396</v>
      </c>
      <c r="AK182" s="58" t="s">
        <v>81</v>
      </c>
      <c r="AL182" s="45" t="s">
        <v>109</v>
      </c>
      <c r="AM182" s="52">
        <v>3.136442894E9</v>
      </c>
      <c r="AN182" s="64"/>
      <c r="AO182" s="64" t="s">
        <v>1397</v>
      </c>
      <c r="AP182" s="84"/>
      <c r="AQ182" s="84"/>
      <c r="AR182" s="84"/>
      <c r="AS182" s="94">
        <v>2700000.0</v>
      </c>
      <c r="AT182" s="43">
        <v>0.0</v>
      </c>
      <c r="AU182" s="43">
        <v>0.0</v>
      </c>
      <c r="AV182" s="43">
        <v>0.0</v>
      </c>
      <c r="AW182" s="43" t="s">
        <v>88</v>
      </c>
      <c r="AX182" s="43">
        <v>0.0</v>
      </c>
      <c r="AY182" s="43" t="s">
        <v>137</v>
      </c>
      <c r="AZ182" s="43">
        <v>0.0</v>
      </c>
      <c r="BA182" s="43" t="s">
        <v>89</v>
      </c>
      <c r="BB182" s="43">
        <v>0.0</v>
      </c>
      <c r="BC182" s="95" t="s">
        <v>1398</v>
      </c>
      <c r="BD182" s="71"/>
      <c r="BE182" s="70"/>
      <c r="BF182" s="72" t="s">
        <v>1399</v>
      </c>
      <c r="BG182" s="73"/>
      <c r="BH182" s="73"/>
      <c r="BI182" s="73"/>
      <c r="BJ182" s="73"/>
      <c r="BK182" s="73"/>
      <c r="BL182" s="73"/>
      <c r="BM182" s="73"/>
      <c r="BN182" s="73"/>
      <c r="BO182" s="73"/>
      <c r="BP182" s="73"/>
      <c r="BQ182" s="73"/>
      <c r="BR182" s="73"/>
      <c r="BS182" s="73"/>
      <c r="BT182" s="73"/>
      <c r="BU182" s="73"/>
      <c r="BV182" s="73"/>
      <c r="BW182" s="74"/>
      <c r="BX182" s="74"/>
      <c r="BY182" s="63"/>
      <c r="BZ182" s="63"/>
    </row>
    <row r="183" ht="15.75" customHeight="1">
      <c r="A183" s="133" t="s">
        <v>1400</v>
      </c>
      <c r="B183" s="43" t="s">
        <v>1401</v>
      </c>
      <c r="C183" s="43" t="s">
        <v>93</v>
      </c>
      <c r="D183" s="52"/>
      <c r="E183" s="45"/>
      <c r="F183" s="78">
        <v>5.0E8</v>
      </c>
      <c r="G183" s="44" t="str">
        <f t="shared" si="1"/>
        <v>$500'000.000 a $1.000'000.000</v>
      </c>
      <c r="H183" s="44"/>
      <c r="I183" s="44"/>
      <c r="J183" s="43" t="s">
        <v>94</v>
      </c>
      <c r="K183" s="142"/>
      <c r="L183" s="43">
        <v>3.0</v>
      </c>
      <c r="M183" s="43"/>
      <c r="N183" s="43">
        <v>2.0</v>
      </c>
      <c r="O183" s="43">
        <v>3.0</v>
      </c>
      <c r="P183" s="43">
        <v>2.0</v>
      </c>
      <c r="Q183" s="88">
        <v>250.0</v>
      </c>
      <c r="R183" s="88">
        <v>7500.0</v>
      </c>
      <c r="S183" s="56" t="str">
        <f t="shared" si="5"/>
        <v> </v>
      </c>
      <c r="T183" s="43" t="s">
        <v>1402</v>
      </c>
      <c r="U183" s="142"/>
      <c r="V183" s="52"/>
      <c r="W183" s="52"/>
      <c r="X183" s="43">
        <v>3.0</v>
      </c>
      <c r="Y183" s="43" t="s">
        <v>80</v>
      </c>
      <c r="Z183" s="58"/>
      <c r="AA183" s="59" t="str">
        <f>IF(Rentabilidad=0,"No aplica",TEXT(ROUND(Precio/Rentabilidad/12,0),0) &amp; " años")</f>
        <v>No aplica</v>
      </c>
      <c r="AB183" s="140" t="s">
        <v>1403</v>
      </c>
      <c r="AC183" s="167" t="s">
        <v>1404</v>
      </c>
      <c r="AD183" s="107" t="s">
        <v>1405</v>
      </c>
      <c r="AE183" s="63"/>
      <c r="AF183" s="64" t="s">
        <v>236</v>
      </c>
      <c r="AG183" s="65" t="s">
        <v>106</v>
      </c>
      <c r="AH183" s="63"/>
      <c r="AI183" s="65" t="s">
        <v>107</v>
      </c>
      <c r="AJ183" s="64" t="s">
        <v>1396</v>
      </c>
      <c r="AK183" s="58" t="s">
        <v>81</v>
      </c>
      <c r="AL183" s="45" t="s">
        <v>109</v>
      </c>
      <c r="AM183" s="52">
        <v>3.136442894E9</v>
      </c>
      <c r="AN183" s="64">
        <v>0.0</v>
      </c>
      <c r="AO183" s="64">
        <v>0.0</v>
      </c>
      <c r="AP183" s="84">
        <v>0.0</v>
      </c>
      <c r="AQ183" s="84"/>
      <c r="AR183" s="84"/>
      <c r="AS183" s="94">
        <v>0.0</v>
      </c>
      <c r="AT183" s="43">
        <v>0.0</v>
      </c>
      <c r="AU183" s="43">
        <v>0.0</v>
      </c>
      <c r="AV183" s="43">
        <v>0.0</v>
      </c>
      <c r="AW183" s="43" t="s">
        <v>88</v>
      </c>
      <c r="AX183" s="43">
        <v>0.0</v>
      </c>
      <c r="AY183" s="43" t="s">
        <v>137</v>
      </c>
      <c r="AZ183" s="43">
        <v>0.0</v>
      </c>
      <c r="BA183" s="43" t="s">
        <v>89</v>
      </c>
      <c r="BB183" s="43">
        <v>0.0</v>
      </c>
      <c r="BC183" s="69" t="s">
        <v>439</v>
      </c>
      <c r="BD183" s="70"/>
      <c r="BE183" s="70"/>
      <c r="BF183" s="72" t="s">
        <v>1406</v>
      </c>
      <c r="BG183" s="73"/>
      <c r="BH183" s="73"/>
      <c r="BI183" s="73"/>
      <c r="BJ183" s="73"/>
      <c r="BK183" s="73"/>
      <c r="BL183" s="73"/>
      <c r="BM183" s="73"/>
      <c r="BN183" s="73"/>
      <c r="BO183" s="73"/>
      <c r="BP183" s="73"/>
      <c r="BQ183" s="73"/>
      <c r="BR183" s="73"/>
      <c r="BS183" s="73"/>
      <c r="BT183" s="73"/>
      <c r="BU183" s="73"/>
      <c r="BV183" s="73"/>
      <c r="BW183" s="74"/>
      <c r="BX183" s="74"/>
      <c r="BY183" s="63"/>
      <c r="BZ183" s="63"/>
    </row>
    <row r="184" ht="15.75" customHeight="1">
      <c r="A184" s="133" t="s">
        <v>1407</v>
      </c>
      <c r="B184" s="43" t="s">
        <v>1408</v>
      </c>
      <c r="C184" s="43" t="s">
        <v>114</v>
      </c>
      <c r="D184" s="202"/>
      <c r="E184" s="64" t="s">
        <v>1409</v>
      </c>
      <c r="F184" s="47">
        <v>4.5E8</v>
      </c>
      <c r="G184" s="44" t="str">
        <f t="shared" si="1"/>
        <v>$400'000.000 a $500'000.000</v>
      </c>
      <c r="H184" s="44"/>
      <c r="I184" s="44"/>
      <c r="J184" s="50" t="s">
        <v>94</v>
      </c>
      <c r="K184" s="194" t="s">
        <v>117</v>
      </c>
      <c r="L184" s="52">
        <v>4.0</v>
      </c>
      <c r="M184" s="52"/>
      <c r="N184" s="52">
        <v>4.0</v>
      </c>
      <c r="O184" s="43">
        <v>1.0</v>
      </c>
      <c r="P184" s="52">
        <v>1.0</v>
      </c>
      <c r="Q184" s="54">
        <v>300.0</v>
      </c>
      <c r="R184" s="55">
        <v>300.0</v>
      </c>
      <c r="S184" s="56" t="str">
        <f t="shared" si="5"/>
        <v> </v>
      </c>
      <c r="T184" s="52" t="s">
        <v>1410</v>
      </c>
      <c r="U184" s="142"/>
      <c r="V184" s="52"/>
      <c r="W184" s="52"/>
      <c r="X184" s="52">
        <v>3.0</v>
      </c>
      <c r="Y184" s="43" t="s">
        <v>97</v>
      </c>
      <c r="Z184" s="151">
        <v>500000.0</v>
      </c>
      <c r="AA184" s="59" t="str">
        <f>IF(Rentabilidad=0,"No aplica",TEXT(ROUND(Precio/Rentabilidad/12,0),0) &amp; " años")</f>
        <v>No aplica</v>
      </c>
      <c r="AB184" s="134" t="s">
        <v>1411</v>
      </c>
      <c r="AC184" s="176"/>
      <c r="AD184" s="138" t="s">
        <v>1412</v>
      </c>
      <c r="AE184" s="63"/>
      <c r="AF184" s="45" t="s">
        <v>105</v>
      </c>
      <c r="AG184" s="65" t="s">
        <v>106</v>
      </c>
      <c r="AH184" s="65"/>
      <c r="AI184" s="65" t="s">
        <v>107</v>
      </c>
      <c r="AJ184" s="64" t="s">
        <v>1396</v>
      </c>
      <c r="AK184" s="58" t="s">
        <v>81</v>
      </c>
      <c r="AL184" s="45" t="s">
        <v>109</v>
      </c>
      <c r="AM184" s="52">
        <v>3.136442894E9</v>
      </c>
      <c r="AN184" s="45">
        <v>0.0</v>
      </c>
      <c r="AO184" s="52"/>
      <c r="AP184" s="67" t="s">
        <v>1413</v>
      </c>
      <c r="AQ184" s="67"/>
      <c r="AR184" s="67"/>
      <c r="AS184" s="94">
        <v>0.0</v>
      </c>
      <c r="AT184" s="44">
        <v>0.0</v>
      </c>
      <c r="AU184" s="52">
        <v>0.0</v>
      </c>
      <c r="AV184" s="52">
        <v>0.0</v>
      </c>
      <c r="AW184" s="43" t="s">
        <v>88</v>
      </c>
      <c r="AX184" s="52">
        <v>0.0</v>
      </c>
      <c r="AY184" s="52">
        <v>0.0</v>
      </c>
      <c r="AZ184" s="52">
        <v>0.0</v>
      </c>
      <c r="BA184" s="43" t="s">
        <v>89</v>
      </c>
      <c r="BB184" s="52">
        <v>0.0</v>
      </c>
      <c r="BC184" s="109"/>
      <c r="BD184" s="70"/>
      <c r="BE184" s="70"/>
      <c r="BF184" s="72" t="s">
        <v>1414</v>
      </c>
      <c r="BG184" s="73"/>
      <c r="BH184" s="73"/>
      <c r="BI184" s="73"/>
      <c r="BJ184" s="73"/>
      <c r="BK184" s="73"/>
      <c r="BL184" s="73"/>
      <c r="BM184" s="73"/>
      <c r="BN184" s="73"/>
      <c r="BO184" s="73"/>
      <c r="BP184" s="73"/>
      <c r="BQ184" s="73"/>
      <c r="BR184" s="73"/>
      <c r="BS184" s="73"/>
      <c r="BT184" s="73"/>
      <c r="BU184" s="73"/>
      <c r="BV184" s="73"/>
      <c r="BW184" s="74"/>
      <c r="BX184" s="74"/>
      <c r="BY184" s="63"/>
      <c r="BZ184" s="63"/>
    </row>
    <row r="185" ht="15.75" customHeight="1">
      <c r="A185" s="41" t="s">
        <v>1415</v>
      </c>
      <c r="B185" s="43" t="s">
        <v>1408</v>
      </c>
      <c r="C185" s="43" t="s">
        <v>114</v>
      </c>
      <c r="D185" s="202"/>
      <c r="E185" s="64" t="s">
        <v>1409</v>
      </c>
      <c r="F185" s="47">
        <v>4.5E8</v>
      </c>
      <c r="G185" s="44" t="str">
        <f t="shared" si="1"/>
        <v>$400'000.000 a $500'000.000</v>
      </c>
      <c r="H185" s="44"/>
      <c r="I185" s="44"/>
      <c r="J185" s="50" t="s">
        <v>94</v>
      </c>
      <c r="K185" s="150"/>
      <c r="L185" s="44">
        <v>4.0</v>
      </c>
      <c r="M185" s="44"/>
      <c r="N185" s="44">
        <v>4.0</v>
      </c>
      <c r="O185" s="50">
        <v>1.0</v>
      </c>
      <c r="P185" s="44">
        <v>1.0</v>
      </c>
      <c r="Q185" s="79">
        <v>300.0</v>
      </c>
      <c r="R185" s="79">
        <v>300.0</v>
      </c>
      <c r="S185" s="56" t="str">
        <f t="shared" si="5"/>
        <v> </v>
      </c>
      <c r="T185" s="44" t="s">
        <v>1410</v>
      </c>
      <c r="U185" s="57"/>
      <c r="V185" s="44"/>
      <c r="W185" s="44"/>
      <c r="X185" s="44">
        <v>3.0</v>
      </c>
      <c r="Y185" s="50" t="s">
        <v>97</v>
      </c>
      <c r="Z185" s="58">
        <v>500000.0</v>
      </c>
      <c r="AA185" s="59" t="str">
        <f>IF(Rentabilidad=0,"No aplica",TEXT(ROUND(Precio/Rentabilidad/12,0),0) &amp; " años")</f>
        <v>No aplica</v>
      </c>
      <c r="AB185" s="115" t="s">
        <v>1416</v>
      </c>
      <c r="AC185" s="61"/>
      <c r="AD185" s="125" t="s">
        <v>1417</v>
      </c>
      <c r="AE185" s="63"/>
      <c r="AF185" s="45" t="s">
        <v>105</v>
      </c>
      <c r="AG185" s="65" t="s">
        <v>106</v>
      </c>
      <c r="AH185" s="65"/>
      <c r="AI185" s="65" t="s">
        <v>107</v>
      </c>
      <c r="AJ185" s="64" t="s">
        <v>1396</v>
      </c>
      <c r="AK185" s="58" t="s">
        <v>81</v>
      </c>
      <c r="AL185" s="45" t="s">
        <v>109</v>
      </c>
      <c r="AM185" s="52">
        <v>3.136442894E9</v>
      </c>
      <c r="AN185" s="45">
        <v>0.0</v>
      </c>
      <c r="AO185" s="52"/>
      <c r="AP185" s="84" t="s">
        <v>1418</v>
      </c>
      <c r="AQ185" s="84"/>
      <c r="AR185" s="84"/>
      <c r="AS185" s="68">
        <v>0.0</v>
      </c>
      <c r="AT185" s="44">
        <v>0.0</v>
      </c>
      <c r="AU185" s="52">
        <v>0.0</v>
      </c>
      <c r="AV185" s="52">
        <v>3.0</v>
      </c>
      <c r="AW185" s="43" t="s">
        <v>88</v>
      </c>
      <c r="AX185" s="52">
        <v>0.0</v>
      </c>
      <c r="AY185" s="52">
        <v>0.0</v>
      </c>
      <c r="AZ185" s="44">
        <v>0.0</v>
      </c>
      <c r="BA185" s="43" t="s">
        <v>89</v>
      </c>
      <c r="BB185" s="44">
        <v>0.0</v>
      </c>
      <c r="BC185" s="95"/>
      <c r="BD185" s="71"/>
      <c r="BE185" s="71"/>
      <c r="BF185" s="72" t="s">
        <v>1419</v>
      </c>
      <c r="BG185" s="73"/>
      <c r="BH185" s="73"/>
      <c r="BI185" s="73"/>
      <c r="BJ185" s="73"/>
      <c r="BK185" s="73"/>
      <c r="BL185" s="73"/>
      <c r="BM185" s="73"/>
      <c r="BN185" s="73"/>
      <c r="BO185" s="73"/>
      <c r="BP185" s="73"/>
      <c r="BQ185" s="73"/>
      <c r="BR185" s="73"/>
      <c r="BS185" s="73"/>
      <c r="BT185" s="73"/>
      <c r="BU185" s="73"/>
      <c r="BV185" s="73"/>
      <c r="BW185" s="74"/>
      <c r="BX185" s="74"/>
      <c r="BY185" s="63"/>
      <c r="BZ185" s="63"/>
    </row>
    <row r="186" ht="15.75" customHeight="1">
      <c r="A186" s="41" t="s">
        <v>1420</v>
      </c>
      <c r="B186" s="112" t="s">
        <v>1421</v>
      </c>
      <c r="C186" s="50" t="s">
        <v>271</v>
      </c>
      <c r="D186" s="44" t="s">
        <v>720</v>
      </c>
      <c r="E186" s="45"/>
      <c r="F186" s="47">
        <v>3.7E8</v>
      </c>
      <c r="G186" s="44" t="str">
        <f t="shared" si="1"/>
        <v>$300'000.000 a $400'000.000</v>
      </c>
      <c r="H186" s="44"/>
      <c r="I186" s="44"/>
      <c r="J186" s="50" t="s">
        <v>94</v>
      </c>
      <c r="K186" s="57"/>
      <c r="L186" s="44">
        <v>5.0</v>
      </c>
      <c r="M186" s="44"/>
      <c r="N186" s="44">
        <v>3.0</v>
      </c>
      <c r="O186" s="50">
        <v>1.0</v>
      </c>
      <c r="P186" s="44">
        <v>2.0</v>
      </c>
      <c r="Q186" s="113"/>
      <c r="R186" s="79">
        <v>97.5</v>
      </c>
      <c r="S186" s="56" t="str">
        <f t="shared" si="5"/>
        <v>Rentabilidad $1,100,000</v>
      </c>
      <c r="T186" s="44" t="s">
        <v>78</v>
      </c>
      <c r="U186" s="57" t="s">
        <v>184</v>
      </c>
      <c r="V186" s="50" t="s">
        <v>79</v>
      </c>
      <c r="W186" s="50"/>
      <c r="X186" s="44">
        <v>4.0</v>
      </c>
      <c r="Y186" s="50" t="s">
        <v>80</v>
      </c>
      <c r="Z186" s="58" t="s">
        <v>81</v>
      </c>
      <c r="AA186" s="59" t="str">
        <f>IF(Rentabilidad=0,"No aplica",TEXT(ROUND(Precio/Rentabilidad/12,0),0) &amp; " años")</f>
        <v>28 años</v>
      </c>
      <c r="AB186" s="82" t="s">
        <v>1422</v>
      </c>
      <c r="AC186" s="61"/>
      <c r="AD186" s="125" t="s">
        <v>1423</v>
      </c>
      <c r="AE186" s="63"/>
      <c r="AF186" s="45" t="s">
        <v>236</v>
      </c>
      <c r="AG186" s="65" t="s">
        <v>106</v>
      </c>
      <c r="AH186" s="65"/>
      <c r="AI186" s="65" t="s">
        <v>107</v>
      </c>
      <c r="AJ186" s="64" t="s">
        <v>1396</v>
      </c>
      <c r="AK186" s="58" t="s">
        <v>81</v>
      </c>
      <c r="AL186" s="45" t="s">
        <v>109</v>
      </c>
      <c r="AM186" s="44">
        <v>3.124158907E9</v>
      </c>
      <c r="AN186" s="45">
        <v>0.0</v>
      </c>
      <c r="AO186" s="93"/>
      <c r="AP186" s="67">
        <v>0.0</v>
      </c>
      <c r="AQ186" s="67"/>
      <c r="AR186" s="67"/>
      <c r="AS186" s="68">
        <v>1100000.0</v>
      </c>
      <c r="AT186" s="44">
        <v>0.0</v>
      </c>
      <c r="AU186" s="52">
        <v>0.0</v>
      </c>
      <c r="AV186" s="52">
        <v>0.0</v>
      </c>
      <c r="AW186" s="52" t="s">
        <v>106</v>
      </c>
      <c r="AX186" s="52">
        <v>0.0</v>
      </c>
      <c r="AY186" s="52" t="s">
        <v>106</v>
      </c>
      <c r="AZ186" s="44">
        <v>0.0</v>
      </c>
      <c r="BA186" s="43" t="s">
        <v>89</v>
      </c>
      <c r="BB186" s="44">
        <v>0.0</v>
      </c>
      <c r="BC186" s="95"/>
      <c r="BD186" s="71"/>
      <c r="BE186" s="71"/>
      <c r="BF186" s="72" t="s">
        <v>1424</v>
      </c>
      <c r="BG186" s="73"/>
      <c r="BH186" s="73"/>
      <c r="BI186" s="73"/>
      <c r="BJ186" s="73"/>
      <c r="BK186" s="73"/>
      <c r="BL186" s="73"/>
      <c r="BM186" s="73"/>
      <c r="BN186" s="73"/>
      <c r="BO186" s="73"/>
      <c r="BP186" s="73"/>
      <c r="BQ186" s="73"/>
      <c r="BR186" s="73"/>
      <c r="BS186" s="73"/>
      <c r="BT186" s="73"/>
      <c r="BU186" s="73"/>
      <c r="BV186" s="73"/>
      <c r="BW186" s="74"/>
      <c r="BX186" s="74"/>
      <c r="BY186" s="63"/>
      <c r="BZ186" s="63"/>
    </row>
    <row r="187" ht="15.75" customHeight="1">
      <c r="A187" s="133" t="s">
        <v>1425</v>
      </c>
      <c r="B187" s="43" t="s">
        <v>1426</v>
      </c>
      <c r="C187" s="43" t="s">
        <v>70</v>
      </c>
      <c r="D187" s="58" t="s">
        <v>1427</v>
      </c>
      <c r="E187" s="45"/>
      <c r="F187" s="78">
        <v>3.6E8</v>
      </c>
      <c r="G187" s="44" t="str">
        <f t="shared" si="1"/>
        <v>$300'000.000 a $400'000.000</v>
      </c>
      <c r="H187" s="44"/>
      <c r="I187" s="44"/>
      <c r="J187" s="50" t="s">
        <v>183</v>
      </c>
      <c r="K187" s="51"/>
      <c r="L187" s="43">
        <v>4.0</v>
      </c>
      <c r="M187" s="43"/>
      <c r="N187" s="43">
        <v>3.0</v>
      </c>
      <c r="O187" s="43">
        <v>1.0</v>
      </c>
      <c r="P187" s="43">
        <v>2.0</v>
      </c>
      <c r="Q187" s="55">
        <v>144.58</v>
      </c>
      <c r="R187" s="55">
        <v>0.0</v>
      </c>
      <c r="S187" s="56" t="str">
        <f t="shared" si="5"/>
        <v> </v>
      </c>
      <c r="T187" s="43" t="s">
        <v>78</v>
      </c>
      <c r="U187" s="56" t="s">
        <v>184</v>
      </c>
      <c r="V187" s="43" t="s">
        <v>79</v>
      </c>
      <c r="W187" s="43"/>
      <c r="X187" s="43">
        <v>3.0</v>
      </c>
      <c r="Y187" s="43" t="s">
        <v>80</v>
      </c>
      <c r="Z187" s="58" t="s">
        <v>81</v>
      </c>
      <c r="AA187" s="81" t="s">
        <v>81</v>
      </c>
      <c r="AB187" s="134" t="s">
        <v>1428</v>
      </c>
      <c r="AC187" s="131"/>
      <c r="AD187" s="62"/>
      <c r="AE187" s="63"/>
      <c r="AF187" s="64" t="s">
        <v>105</v>
      </c>
      <c r="AG187" s="65" t="s">
        <v>106</v>
      </c>
      <c r="AH187" s="63"/>
      <c r="AI187" s="65" t="s">
        <v>107</v>
      </c>
      <c r="AJ187" s="64" t="s">
        <v>1396</v>
      </c>
      <c r="AK187" s="58" t="s">
        <v>81</v>
      </c>
      <c r="AL187" s="45" t="s">
        <v>109</v>
      </c>
      <c r="AM187" s="52">
        <v>3.136442894E9</v>
      </c>
      <c r="AN187" s="64">
        <v>0.0</v>
      </c>
      <c r="AO187" s="52"/>
      <c r="AP187" s="67"/>
      <c r="AQ187" s="67"/>
      <c r="AR187" s="67"/>
      <c r="AS187" s="94">
        <v>0.0</v>
      </c>
      <c r="AT187" s="43">
        <v>0.0</v>
      </c>
      <c r="AU187" s="43">
        <v>0.0</v>
      </c>
      <c r="AV187" s="43">
        <v>0.0</v>
      </c>
      <c r="AW187" s="43" t="s">
        <v>106</v>
      </c>
      <c r="AX187" s="43">
        <v>0.0</v>
      </c>
      <c r="AY187" s="43" t="s">
        <v>137</v>
      </c>
      <c r="AZ187" s="43">
        <v>0.0</v>
      </c>
      <c r="BA187" s="43" t="s">
        <v>89</v>
      </c>
      <c r="BB187" s="43">
        <v>0.0</v>
      </c>
      <c r="BC187" s="127" t="s">
        <v>805</v>
      </c>
      <c r="BD187" s="128"/>
      <c r="BE187" s="129"/>
      <c r="BF187" s="72" t="s">
        <v>1429</v>
      </c>
      <c r="BG187" s="73"/>
      <c r="BH187" s="73"/>
      <c r="BI187" s="73"/>
      <c r="BJ187" s="73"/>
      <c r="BK187" s="73"/>
      <c r="BL187" s="73"/>
      <c r="BM187" s="73"/>
      <c r="BN187" s="73"/>
      <c r="BO187" s="73"/>
      <c r="BP187" s="73"/>
      <c r="BQ187" s="73"/>
      <c r="BR187" s="73"/>
      <c r="BS187" s="73"/>
      <c r="BT187" s="73"/>
      <c r="BU187" s="73"/>
      <c r="BV187" s="73"/>
      <c r="BW187" s="74"/>
      <c r="BX187" s="74"/>
      <c r="BY187" s="63"/>
      <c r="BZ187" s="63"/>
    </row>
    <row r="188" ht="15.75" customHeight="1">
      <c r="A188" s="133" t="s">
        <v>1430</v>
      </c>
      <c r="B188" s="43" t="s">
        <v>1431</v>
      </c>
      <c r="C188" s="43" t="s">
        <v>70</v>
      </c>
      <c r="D188" s="58" t="s">
        <v>1432</v>
      </c>
      <c r="E188" s="45"/>
      <c r="F188" s="78">
        <v>3.3E8</v>
      </c>
      <c r="G188" s="44" t="str">
        <f t="shared" si="1"/>
        <v>$300'000.000 a $400'000.000</v>
      </c>
      <c r="H188" s="44"/>
      <c r="I188" s="44"/>
      <c r="J188" s="50" t="s">
        <v>968</v>
      </c>
      <c r="K188" s="51"/>
      <c r="L188" s="43">
        <v>4.0</v>
      </c>
      <c r="M188" s="43"/>
      <c r="N188" s="43">
        <v>2.0</v>
      </c>
      <c r="O188" s="43">
        <v>1.0</v>
      </c>
      <c r="P188" s="43">
        <v>1.0</v>
      </c>
      <c r="Q188" s="55">
        <v>114.8</v>
      </c>
      <c r="R188" s="55">
        <v>154.26</v>
      </c>
      <c r="S188" s="56" t="str">
        <f t="shared" si="5"/>
        <v> </v>
      </c>
      <c r="T188" s="43" t="s">
        <v>342</v>
      </c>
      <c r="U188" s="56" t="s">
        <v>184</v>
      </c>
      <c r="V188" s="43" t="s">
        <v>118</v>
      </c>
      <c r="W188" s="43"/>
      <c r="X188" s="43">
        <v>3.0</v>
      </c>
      <c r="Y188" s="43" t="s">
        <v>80</v>
      </c>
      <c r="Z188" s="58" t="s">
        <v>81</v>
      </c>
      <c r="AA188" s="81" t="s">
        <v>81</v>
      </c>
      <c r="AB188" s="134" t="s">
        <v>1433</v>
      </c>
      <c r="AC188" s="131"/>
      <c r="AD188" s="62"/>
      <c r="AE188" s="63"/>
      <c r="AF188" s="64" t="s">
        <v>105</v>
      </c>
      <c r="AG188" s="65" t="s">
        <v>106</v>
      </c>
      <c r="AH188" s="63"/>
      <c r="AI188" s="65" t="s">
        <v>107</v>
      </c>
      <c r="AJ188" s="64" t="s">
        <v>1396</v>
      </c>
      <c r="AK188" s="58" t="s">
        <v>81</v>
      </c>
      <c r="AL188" s="45" t="s">
        <v>109</v>
      </c>
      <c r="AM188" s="52">
        <v>3.136442894E9</v>
      </c>
      <c r="AN188" s="64">
        <v>0.0</v>
      </c>
      <c r="AO188" s="52"/>
      <c r="AP188" s="67"/>
      <c r="AQ188" s="67"/>
      <c r="AR188" s="67"/>
      <c r="AS188" s="94">
        <v>0.0</v>
      </c>
      <c r="AT188" s="43">
        <v>0.0</v>
      </c>
      <c r="AU188" s="43">
        <v>0.0</v>
      </c>
      <c r="AV188" s="43">
        <v>0.0</v>
      </c>
      <c r="AW188" s="43" t="s">
        <v>106</v>
      </c>
      <c r="AX188" s="43">
        <v>0.0</v>
      </c>
      <c r="AY188" s="43" t="s">
        <v>137</v>
      </c>
      <c r="AZ188" s="43">
        <v>0.0</v>
      </c>
      <c r="BA188" s="43" t="s">
        <v>89</v>
      </c>
      <c r="BB188" s="43">
        <v>0.0</v>
      </c>
      <c r="BC188" s="69" t="s">
        <v>769</v>
      </c>
      <c r="BD188" s="121"/>
      <c r="BE188" s="129"/>
      <c r="BF188" s="72" t="s">
        <v>1434</v>
      </c>
      <c r="BG188" s="73"/>
      <c r="BH188" s="73"/>
      <c r="BI188" s="73"/>
      <c r="BJ188" s="73"/>
      <c r="BK188" s="73"/>
      <c r="BL188" s="73"/>
      <c r="BM188" s="73"/>
      <c r="BN188" s="73"/>
      <c r="BO188" s="73"/>
      <c r="BP188" s="73"/>
      <c r="BQ188" s="73"/>
      <c r="BR188" s="73"/>
      <c r="BS188" s="73"/>
      <c r="BT188" s="73"/>
      <c r="BU188" s="73"/>
      <c r="BV188" s="73"/>
      <c r="BW188" s="74"/>
      <c r="BX188" s="74"/>
      <c r="BY188" s="63"/>
      <c r="BZ188" s="63"/>
    </row>
    <row r="189" ht="15.75" customHeight="1">
      <c r="A189" s="75" t="s">
        <v>1435</v>
      </c>
      <c r="B189" s="50" t="s">
        <v>1436</v>
      </c>
      <c r="C189" s="50" t="s">
        <v>490</v>
      </c>
      <c r="D189" s="44" t="s">
        <v>1437</v>
      </c>
      <c r="E189" s="45"/>
      <c r="F189" s="47">
        <v>3.2E8</v>
      </c>
      <c r="G189" s="44" t="str">
        <f t="shared" si="1"/>
        <v>$300'000.000 a $400'000.000</v>
      </c>
      <c r="H189" s="44"/>
      <c r="I189" s="44"/>
      <c r="J189" s="50" t="s">
        <v>183</v>
      </c>
      <c r="K189" s="57"/>
      <c r="L189" s="44">
        <v>7.0</v>
      </c>
      <c r="M189" s="44"/>
      <c r="N189" s="44">
        <v>4.0</v>
      </c>
      <c r="O189" s="50">
        <v>1.0</v>
      </c>
      <c r="P189" s="44">
        <v>3.0</v>
      </c>
      <c r="Q189" s="113"/>
      <c r="R189" s="79">
        <v>120.0</v>
      </c>
      <c r="S189" s="56" t="str">
        <f t="shared" si="5"/>
        <v>Rentabilidad $1,500,000</v>
      </c>
      <c r="T189" s="44" t="s">
        <v>78</v>
      </c>
      <c r="U189" s="57" t="s">
        <v>184</v>
      </c>
      <c r="V189" s="50" t="s">
        <v>79</v>
      </c>
      <c r="W189" s="50"/>
      <c r="X189" s="44">
        <v>4.0</v>
      </c>
      <c r="Y189" s="50" t="s">
        <v>80</v>
      </c>
      <c r="Z189" s="58" t="s">
        <v>81</v>
      </c>
      <c r="AA189" s="59" t="str">
        <f>IF(Rentabilidad=0,"No aplica",TEXT(ROUND(Precio/Rentabilidad/12,0),0) &amp; " años")</f>
        <v>18 años</v>
      </c>
      <c r="AB189" s="82" t="s">
        <v>1438</v>
      </c>
      <c r="AC189" s="61"/>
      <c r="AD189" s="125" t="s">
        <v>1439</v>
      </c>
      <c r="AE189" s="63"/>
      <c r="AF189" s="64" t="s">
        <v>236</v>
      </c>
      <c r="AG189" s="65" t="s">
        <v>106</v>
      </c>
      <c r="AH189" s="65"/>
      <c r="AI189" s="65" t="s">
        <v>107</v>
      </c>
      <c r="AJ189" s="64" t="s">
        <v>1396</v>
      </c>
      <c r="AK189" s="50" t="s">
        <v>81</v>
      </c>
      <c r="AL189" s="45" t="s">
        <v>109</v>
      </c>
      <c r="AM189" s="44">
        <v>3.124158907E9</v>
      </c>
      <c r="AN189" s="45">
        <v>0.0</v>
      </c>
      <c r="AO189" s="93"/>
      <c r="AP189" s="67">
        <v>0.0</v>
      </c>
      <c r="AQ189" s="67"/>
      <c r="AR189" s="67"/>
      <c r="AS189" s="68">
        <v>1500000.0</v>
      </c>
      <c r="AT189" s="44">
        <v>0.0</v>
      </c>
      <c r="AU189" s="52">
        <v>0.0</v>
      </c>
      <c r="AV189" s="52">
        <v>0.0</v>
      </c>
      <c r="AW189" s="52" t="s">
        <v>106</v>
      </c>
      <c r="AX189" s="52">
        <v>0.0</v>
      </c>
      <c r="AY189" s="52" t="s">
        <v>106</v>
      </c>
      <c r="AZ189" s="44">
        <v>0.0</v>
      </c>
      <c r="BA189" s="43" t="s">
        <v>89</v>
      </c>
      <c r="BB189" s="44">
        <v>0.0</v>
      </c>
      <c r="BC189" s="95"/>
      <c r="BD189" s="71"/>
      <c r="BE189" s="71"/>
      <c r="BF189" s="72" t="s">
        <v>1440</v>
      </c>
      <c r="BG189" s="73"/>
      <c r="BH189" s="73"/>
      <c r="BI189" s="73"/>
      <c r="BJ189" s="73"/>
      <c r="BK189" s="73"/>
      <c r="BL189" s="73"/>
      <c r="BM189" s="73"/>
      <c r="BN189" s="73"/>
      <c r="BO189" s="73"/>
      <c r="BP189" s="73"/>
      <c r="BQ189" s="73"/>
      <c r="BR189" s="73"/>
      <c r="BS189" s="73"/>
      <c r="BT189" s="73"/>
      <c r="BU189" s="73"/>
      <c r="BV189" s="73"/>
      <c r="BW189" s="74"/>
      <c r="BX189" s="74"/>
      <c r="BY189" s="63"/>
      <c r="BZ189" s="63"/>
    </row>
    <row r="190" ht="15.75" customHeight="1">
      <c r="A190" s="75" t="s">
        <v>1441</v>
      </c>
      <c r="B190" s="50" t="s">
        <v>1442</v>
      </c>
      <c r="C190" s="50" t="s">
        <v>497</v>
      </c>
      <c r="D190" s="50"/>
      <c r="E190" s="64"/>
      <c r="F190" s="78">
        <v>3.0E8</v>
      </c>
      <c r="G190" s="44" t="str">
        <f t="shared" si="1"/>
        <v>$300'000.000 a $400'000.000</v>
      </c>
      <c r="H190" s="44"/>
      <c r="I190" s="44"/>
      <c r="J190" s="50"/>
      <c r="K190" s="51"/>
      <c r="L190" s="50">
        <v>2.0</v>
      </c>
      <c r="M190" s="50"/>
      <c r="N190" s="50">
        <v>1.0</v>
      </c>
      <c r="O190" s="50">
        <v>0.0</v>
      </c>
      <c r="P190" s="50">
        <v>1.0</v>
      </c>
      <c r="Q190" s="88">
        <v>90.0</v>
      </c>
      <c r="R190" s="88">
        <v>100000.0</v>
      </c>
      <c r="S190" s="56" t="str">
        <f t="shared" si="5"/>
        <v> </v>
      </c>
      <c r="T190" s="50" t="s">
        <v>1443</v>
      </c>
      <c r="U190" s="57"/>
      <c r="V190" s="44"/>
      <c r="W190" s="44"/>
      <c r="X190" s="50">
        <v>0.0</v>
      </c>
      <c r="Y190" s="50" t="s">
        <v>80</v>
      </c>
      <c r="Z190" s="91"/>
      <c r="AA190" s="59" t="str">
        <f>IF(Rentabilidad=0,"No aplica",TEXT(ROUND(Precio/Rentabilidad/12,0),0) &amp; " años")</f>
        <v>No aplica</v>
      </c>
      <c r="AB190" s="82" t="s">
        <v>1444</v>
      </c>
      <c r="AC190" s="102" t="s">
        <v>1445</v>
      </c>
      <c r="AD190" s="103" t="s">
        <v>1446</v>
      </c>
      <c r="AE190" s="63"/>
      <c r="AF190" s="64" t="s">
        <v>84</v>
      </c>
      <c r="AG190" s="65" t="s">
        <v>106</v>
      </c>
      <c r="AH190" s="63"/>
      <c r="AI190" s="65" t="s">
        <v>107</v>
      </c>
      <c r="AJ190" s="64" t="s">
        <v>1396</v>
      </c>
      <c r="AK190" s="58" t="s">
        <v>81</v>
      </c>
      <c r="AL190" s="45" t="s">
        <v>109</v>
      </c>
      <c r="AM190" s="52">
        <v>3.136442894E9</v>
      </c>
      <c r="AN190" s="64">
        <v>0.0</v>
      </c>
      <c r="AO190" s="52"/>
      <c r="AP190" s="67"/>
      <c r="AQ190" s="67"/>
      <c r="AR190" s="67"/>
      <c r="AS190" s="94">
        <v>0.0</v>
      </c>
      <c r="AT190" s="43" t="s">
        <v>106</v>
      </c>
      <c r="AU190" s="43">
        <v>0.0</v>
      </c>
      <c r="AV190" s="43">
        <v>0.0</v>
      </c>
      <c r="AW190" s="43" t="s">
        <v>88</v>
      </c>
      <c r="AX190" s="43">
        <v>0.0</v>
      </c>
      <c r="AY190" s="43" t="s">
        <v>137</v>
      </c>
      <c r="AZ190" s="43">
        <v>0.0</v>
      </c>
      <c r="BA190" s="43" t="s">
        <v>89</v>
      </c>
      <c r="BB190" s="43">
        <v>0.0</v>
      </c>
      <c r="BC190" s="95"/>
      <c r="BD190" s="71"/>
      <c r="BE190" s="71"/>
      <c r="BF190" s="72" t="s">
        <v>1447</v>
      </c>
      <c r="BG190" s="73"/>
      <c r="BH190" s="73"/>
      <c r="BI190" s="73"/>
      <c r="BJ190" s="73"/>
      <c r="BK190" s="73"/>
      <c r="BL190" s="73"/>
      <c r="BM190" s="73"/>
      <c r="BN190" s="73"/>
      <c r="BO190" s="73"/>
      <c r="BP190" s="73"/>
      <c r="BQ190" s="73"/>
      <c r="BR190" s="73"/>
      <c r="BS190" s="73"/>
      <c r="BT190" s="73"/>
      <c r="BU190" s="73"/>
      <c r="BV190" s="73"/>
      <c r="BW190" s="74"/>
      <c r="BX190" s="74"/>
      <c r="BY190" s="63"/>
      <c r="BZ190" s="63"/>
    </row>
    <row r="191" ht="15.75" customHeight="1">
      <c r="A191" s="75" t="s">
        <v>1448</v>
      </c>
      <c r="B191" s="50" t="s">
        <v>1449</v>
      </c>
      <c r="C191" s="50" t="s">
        <v>271</v>
      </c>
      <c r="D191" s="50" t="s">
        <v>1450</v>
      </c>
      <c r="E191" s="77"/>
      <c r="F191" s="78">
        <v>2.8E8</v>
      </c>
      <c r="G191" s="44" t="str">
        <f t="shared" si="1"/>
        <v>$200'000.000 a $300'000.000</v>
      </c>
      <c r="H191" s="44"/>
      <c r="I191" s="44"/>
      <c r="J191" s="50" t="s">
        <v>183</v>
      </c>
      <c r="K191" s="51" t="s">
        <v>192</v>
      </c>
      <c r="L191" s="50">
        <v>6.0</v>
      </c>
      <c r="M191" s="50"/>
      <c r="N191" s="50">
        <v>4.0</v>
      </c>
      <c r="O191" s="50">
        <v>0.0</v>
      </c>
      <c r="P191" s="50">
        <v>2.0</v>
      </c>
      <c r="Q191" s="79">
        <v>196.0</v>
      </c>
      <c r="R191" s="79">
        <v>98.0</v>
      </c>
      <c r="S191" s="56" t="str">
        <f t="shared" si="5"/>
        <v>Rentabilidad $1,300,000</v>
      </c>
      <c r="T191" s="44" t="s">
        <v>78</v>
      </c>
      <c r="U191" s="51" t="s">
        <v>184</v>
      </c>
      <c r="V191" s="50" t="s">
        <v>79</v>
      </c>
      <c r="W191" s="50"/>
      <c r="X191" s="50">
        <v>0.0</v>
      </c>
      <c r="Y191" s="65" t="s">
        <v>80</v>
      </c>
      <c r="Z191" s="80" t="s">
        <v>81</v>
      </c>
      <c r="AA191" s="59" t="str">
        <f>IF(Rentabilidad=0,"No aplica",TEXT(ROUND(Precio/Rentabilidad/12,0),0) &amp; " años")</f>
        <v>18 años</v>
      </c>
      <c r="AB191" s="115" t="s">
        <v>1451</v>
      </c>
      <c r="AC191" s="131"/>
      <c r="AD191" s="102"/>
      <c r="AE191" s="63"/>
      <c r="AF191" s="45" t="s">
        <v>236</v>
      </c>
      <c r="AG191" s="65" t="s">
        <v>106</v>
      </c>
      <c r="AH191" s="65"/>
      <c r="AI191" s="65" t="s">
        <v>107</v>
      </c>
      <c r="AJ191" s="64" t="s">
        <v>1396</v>
      </c>
      <c r="AK191" s="50" t="s">
        <v>81</v>
      </c>
      <c r="AL191" s="45" t="s">
        <v>109</v>
      </c>
      <c r="AM191" s="52">
        <v>3.136442894E9</v>
      </c>
      <c r="AN191" s="64"/>
      <c r="AO191" s="182"/>
      <c r="AP191" s="84"/>
      <c r="AQ191" s="84"/>
      <c r="AR191" s="84"/>
      <c r="AS191" s="94">
        <v>1300000.0</v>
      </c>
      <c r="AT191" s="50"/>
      <c r="AU191" s="43"/>
      <c r="AV191" s="43"/>
      <c r="AW191" s="43" t="s">
        <v>106</v>
      </c>
      <c r="AX191" s="43"/>
      <c r="AY191" s="43"/>
      <c r="AZ191" s="50"/>
      <c r="BA191" s="43" t="s">
        <v>89</v>
      </c>
      <c r="BB191" s="50"/>
      <c r="BC191" s="86"/>
      <c r="BD191" s="71"/>
      <c r="BE191" s="71"/>
      <c r="BF191" s="72" t="s">
        <v>1452</v>
      </c>
      <c r="BG191" s="73"/>
      <c r="BH191" s="73"/>
      <c r="BI191" s="73"/>
      <c r="BJ191" s="73"/>
      <c r="BK191" s="73"/>
      <c r="BL191" s="73"/>
      <c r="BM191" s="73"/>
      <c r="BN191" s="73"/>
      <c r="BO191" s="73"/>
      <c r="BP191" s="73"/>
      <c r="BQ191" s="73"/>
      <c r="BR191" s="73"/>
      <c r="BS191" s="73"/>
      <c r="BT191" s="73"/>
      <c r="BU191" s="73"/>
      <c r="BV191" s="73"/>
      <c r="BW191" s="74"/>
      <c r="BX191" s="74"/>
      <c r="BY191" s="63"/>
      <c r="BZ191" s="63"/>
    </row>
    <row r="192" ht="15.75" customHeight="1">
      <c r="A192" s="41" t="s">
        <v>1453</v>
      </c>
      <c r="B192" s="50" t="s">
        <v>1454</v>
      </c>
      <c r="C192" s="50" t="s">
        <v>271</v>
      </c>
      <c r="D192" s="44" t="s">
        <v>1455</v>
      </c>
      <c r="E192" s="45"/>
      <c r="F192" s="47">
        <v>2.75E8</v>
      </c>
      <c r="G192" s="44" t="str">
        <f t="shared" si="1"/>
        <v>$200'000.000 a $300'000.000</v>
      </c>
      <c r="H192" s="44"/>
      <c r="I192" s="44"/>
      <c r="J192" s="50" t="s">
        <v>116</v>
      </c>
      <c r="K192" s="57"/>
      <c r="L192" s="44">
        <v>5.0</v>
      </c>
      <c r="M192" s="44"/>
      <c r="N192" s="44">
        <v>3.0</v>
      </c>
      <c r="O192" s="50">
        <v>0.0</v>
      </c>
      <c r="P192" s="44">
        <v>3.0</v>
      </c>
      <c r="Q192" s="113" t="s">
        <v>1456</v>
      </c>
      <c r="R192" s="79">
        <v>90.0</v>
      </c>
      <c r="S192" s="56" t="str">
        <f t="shared" si="5"/>
        <v>Rentabilidad $1,500,000</v>
      </c>
      <c r="T192" s="44" t="s">
        <v>78</v>
      </c>
      <c r="U192" s="57" t="s">
        <v>184</v>
      </c>
      <c r="V192" s="50" t="s">
        <v>79</v>
      </c>
      <c r="W192" s="50"/>
      <c r="X192" s="44">
        <v>0.0</v>
      </c>
      <c r="Y192" s="50" t="s">
        <v>80</v>
      </c>
      <c r="Z192" s="80" t="s">
        <v>81</v>
      </c>
      <c r="AA192" s="59" t="str">
        <f>IF(Rentabilidad=0,"No aplica",TEXT(ROUND(Precio/Rentabilidad/12,0),0) &amp; " años")</f>
        <v>15 años</v>
      </c>
      <c r="AB192" s="82" t="s">
        <v>1457</v>
      </c>
      <c r="AC192" s="61"/>
      <c r="AD192" s="125" t="s">
        <v>1458</v>
      </c>
      <c r="AE192" s="63"/>
      <c r="AF192" s="64" t="s">
        <v>236</v>
      </c>
      <c r="AG192" s="65" t="s">
        <v>106</v>
      </c>
      <c r="AH192" s="65"/>
      <c r="AI192" s="65" t="s">
        <v>107</v>
      </c>
      <c r="AJ192" s="64" t="s">
        <v>1396</v>
      </c>
      <c r="AK192" s="58" t="s">
        <v>81</v>
      </c>
      <c r="AL192" s="45" t="s">
        <v>109</v>
      </c>
      <c r="AM192" s="44">
        <v>3.124158907E9</v>
      </c>
      <c r="AN192" s="45"/>
      <c r="AO192" s="93"/>
      <c r="AP192" s="67"/>
      <c r="AQ192" s="67"/>
      <c r="AR192" s="67"/>
      <c r="AS192" s="94">
        <v>1500000.0</v>
      </c>
      <c r="AT192" s="44">
        <v>0.0</v>
      </c>
      <c r="AU192" s="52">
        <v>0.0</v>
      </c>
      <c r="AV192" s="52">
        <v>0.0</v>
      </c>
      <c r="AW192" s="52" t="s">
        <v>106</v>
      </c>
      <c r="AX192" s="52">
        <v>0.0</v>
      </c>
      <c r="AY192" s="52" t="s">
        <v>106</v>
      </c>
      <c r="AZ192" s="44">
        <v>0.0</v>
      </c>
      <c r="BA192" s="43" t="s">
        <v>89</v>
      </c>
      <c r="BB192" s="44">
        <v>0.0</v>
      </c>
      <c r="BC192" s="69" t="s">
        <v>455</v>
      </c>
      <c r="BD192" s="70"/>
      <c r="BE192" s="70"/>
      <c r="BF192" s="72" t="s">
        <v>1459</v>
      </c>
      <c r="BG192" s="73"/>
      <c r="BH192" s="73"/>
      <c r="BI192" s="73"/>
      <c r="BJ192" s="73"/>
      <c r="BK192" s="73"/>
      <c r="BL192" s="73"/>
      <c r="BM192" s="73"/>
      <c r="BN192" s="73"/>
      <c r="BO192" s="73"/>
      <c r="BP192" s="73"/>
      <c r="BQ192" s="73"/>
      <c r="BR192" s="73"/>
      <c r="BS192" s="73"/>
      <c r="BT192" s="73"/>
      <c r="BU192" s="73"/>
      <c r="BV192" s="73"/>
      <c r="BW192" s="74"/>
      <c r="BX192" s="74"/>
      <c r="BY192" s="63"/>
      <c r="BZ192" s="63"/>
    </row>
    <row r="193" ht="15.75" customHeight="1">
      <c r="A193" s="133" t="s">
        <v>1460</v>
      </c>
      <c r="B193" s="43" t="s">
        <v>1461</v>
      </c>
      <c r="C193" s="43" t="s">
        <v>70</v>
      </c>
      <c r="D193" s="58" t="s">
        <v>1462</v>
      </c>
      <c r="E193" s="45"/>
      <c r="F193" s="78">
        <v>2.7E8</v>
      </c>
      <c r="G193" s="44" t="str">
        <f t="shared" si="1"/>
        <v>$200'000.000 a $300'000.000</v>
      </c>
      <c r="H193" s="44"/>
      <c r="I193" s="44"/>
      <c r="J193" s="50" t="s">
        <v>116</v>
      </c>
      <c r="K193" s="51"/>
      <c r="L193" s="43">
        <v>5.0</v>
      </c>
      <c r="M193" s="43"/>
      <c r="N193" s="43">
        <v>2.0</v>
      </c>
      <c r="O193" s="43">
        <v>0.0</v>
      </c>
      <c r="P193" s="43">
        <v>1.0</v>
      </c>
      <c r="Q193" s="55">
        <v>198.0</v>
      </c>
      <c r="R193" s="55">
        <v>198.0</v>
      </c>
      <c r="S193" s="56" t="str">
        <f t="shared" si="5"/>
        <v> </v>
      </c>
      <c r="T193" s="43" t="s">
        <v>78</v>
      </c>
      <c r="U193" s="56" t="s">
        <v>184</v>
      </c>
      <c r="V193" s="43" t="s">
        <v>79</v>
      </c>
      <c r="W193" s="43"/>
      <c r="X193" s="43">
        <v>0.0</v>
      </c>
      <c r="Y193" s="43" t="s">
        <v>80</v>
      </c>
      <c r="Z193" s="58" t="s">
        <v>81</v>
      </c>
      <c r="AA193" s="81" t="s">
        <v>81</v>
      </c>
      <c r="AB193" s="134" t="s">
        <v>1463</v>
      </c>
      <c r="AC193" s="131"/>
      <c r="AD193" s="62"/>
      <c r="AE193" s="63"/>
      <c r="AF193" s="64" t="s">
        <v>84</v>
      </c>
      <c r="AG193" s="65" t="s">
        <v>106</v>
      </c>
      <c r="AH193" s="63"/>
      <c r="AI193" s="65" t="s">
        <v>107</v>
      </c>
      <c r="AJ193" s="64" t="s">
        <v>1396</v>
      </c>
      <c r="AK193" s="58" t="s">
        <v>81</v>
      </c>
      <c r="AL193" s="45" t="s">
        <v>109</v>
      </c>
      <c r="AM193" s="52">
        <v>3.136442894E9</v>
      </c>
      <c r="AN193" s="64">
        <v>0.0</v>
      </c>
      <c r="AO193" s="52"/>
      <c r="AP193" s="67"/>
      <c r="AQ193" s="67"/>
      <c r="AR193" s="67"/>
      <c r="AS193" s="94">
        <v>0.0</v>
      </c>
      <c r="AT193" s="43">
        <v>0.0</v>
      </c>
      <c r="AU193" s="43">
        <v>0.0</v>
      </c>
      <c r="AV193" s="43">
        <v>0.0</v>
      </c>
      <c r="AW193" s="43" t="s">
        <v>106</v>
      </c>
      <c r="AX193" s="43">
        <v>0.0</v>
      </c>
      <c r="AY193" s="43" t="s">
        <v>137</v>
      </c>
      <c r="AZ193" s="43">
        <v>0.0</v>
      </c>
      <c r="BA193" s="43" t="s">
        <v>89</v>
      </c>
      <c r="BB193" s="43">
        <v>0.0</v>
      </c>
      <c r="BC193" s="69" t="s">
        <v>1464</v>
      </c>
      <c r="BD193" s="70"/>
      <c r="BE193" s="71"/>
      <c r="BF193" s="72" t="s">
        <v>1465</v>
      </c>
      <c r="BG193" s="73"/>
      <c r="BH193" s="73"/>
      <c r="BI193" s="63"/>
      <c r="BJ193" s="63"/>
      <c r="BK193" s="63"/>
      <c r="BL193" s="63"/>
      <c r="BM193" s="63"/>
      <c r="BN193" s="63"/>
      <c r="BO193" s="63"/>
      <c r="BP193" s="63"/>
      <c r="BQ193" s="63"/>
      <c r="BR193" s="63"/>
      <c r="BS193" s="63"/>
      <c r="BT193" s="63"/>
      <c r="BU193" s="63"/>
      <c r="BV193" s="63"/>
      <c r="BW193" s="74"/>
      <c r="BX193" s="74"/>
      <c r="BY193" s="63"/>
      <c r="BZ193" s="63"/>
    </row>
    <row r="194" ht="15.75" customHeight="1">
      <c r="A194" s="75" t="s">
        <v>1466</v>
      </c>
      <c r="B194" s="50" t="s">
        <v>1467</v>
      </c>
      <c r="C194" s="50" t="s">
        <v>573</v>
      </c>
      <c r="D194" s="50" t="s">
        <v>76</v>
      </c>
      <c r="E194" s="64"/>
      <c r="F194" s="78">
        <v>2.5E8</v>
      </c>
      <c r="G194" s="44" t="str">
        <f t="shared" si="1"/>
        <v>$200'000.000 a $300'000.000</v>
      </c>
      <c r="H194" s="44"/>
      <c r="I194" s="44"/>
      <c r="J194" s="50" t="s">
        <v>76</v>
      </c>
      <c r="K194" s="51" t="s">
        <v>142</v>
      </c>
      <c r="L194" s="50">
        <v>3.0</v>
      </c>
      <c r="M194" s="50"/>
      <c r="N194" s="50">
        <v>2.0</v>
      </c>
      <c r="O194" s="50">
        <v>1.0</v>
      </c>
      <c r="P194" s="44"/>
      <c r="Q194" s="88">
        <v>127.0</v>
      </c>
      <c r="R194" s="88">
        <v>127.0</v>
      </c>
      <c r="S194" s="56" t="str">
        <f t="shared" si="5"/>
        <v> </v>
      </c>
      <c r="T194" s="50" t="s">
        <v>78</v>
      </c>
      <c r="U194" s="51" t="s">
        <v>142</v>
      </c>
      <c r="V194" s="44"/>
      <c r="W194" s="44"/>
      <c r="X194" s="50">
        <v>3.0</v>
      </c>
      <c r="Y194" s="50" t="s">
        <v>130</v>
      </c>
      <c r="Z194" s="91"/>
      <c r="AA194" s="59" t="str">
        <f>IF(Rentabilidad=0,"No aplica",TEXT(ROUND(Precio/Rentabilidad/12,0),0) &amp; " años")</f>
        <v>No aplica</v>
      </c>
      <c r="AB194" s="82" t="s">
        <v>1468</v>
      </c>
      <c r="AC194" s="102" t="s">
        <v>1469</v>
      </c>
      <c r="AD194" s="103" t="s">
        <v>1470</v>
      </c>
      <c r="AE194" s="63"/>
      <c r="AF194" s="64" t="s">
        <v>105</v>
      </c>
      <c r="AG194" s="65" t="s">
        <v>106</v>
      </c>
      <c r="AH194" s="63"/>
      <c r="AI194" s="65" t="s">
        <v>107</v>
      </c>
      <c r="AJ194" s="64" t="s">
        <v>1396</v>
      </c>
      <c r="AK194" s="58" t="s">
        <v>81</v>
      </c>
      <c r="AL194" s="45" t="s">
        <v>109</v>
      </c>
      <c r="AM194" s="52">
        <v>3.136442894E9</v>
      </c>
      <c r="AN194" s="64">
        <v>0.0</v>
      </c>
      <c r="AO194" s="52"/>
      <c r="AP194" s="67"/>
      <c r="AQ194" s="67"/>
      <c r="AR194" s="67"/>
      <c r="AS194" s="94">
        <v>0.0</v>
      </c>
      <c r="AT194" s="43" t="s">
        <v>106</v>
      </c>
      <c r="AU194" s="43">
        <v>0.0</v>
      </c>
      <c r="AV194" s="43">
        <v>0.0</v>
      </c>
      <c r="AW194" s="43" t="s">
        <v>88</v>
      </c>
      <c r="AX194" s="43">
        <v>0.0</v>
      </c>
      <c r="AY194" s="43" t="s">
        <v>137</v>
      </c>
      <c r="AZ194" s="43">
        <v>0.0</v>
      </c>
      <c r="BA194" s="43" t="s">
        <v>89</v>
      </c>
      <c r="BB194" s="43">
        <v>0.0</v>
      </c>
      <c r="BC194" s="95"/>
      <c r="BD194" s="71"/>
      <c r="BE194" s="71"/>
      <c r="BF194" s="72" t="s">
        <v>1471</v>
      </c>
      <c r="BG194" s="73"/>
      <c r="BH194" s="73"/>
      <c r="BI194" s="73"/>
      <c r="BJ194" s="73"/>
      <c r="BK194" s="73"/>
      <c r="BL194" s="73"/>
      <c r="BM194" s="73"/>
      <c r="BN194" s="73"/>
      <c r="BO194" s="73"/>
      <c r="BP194" s="73"/>
      <c r="BQ194" s="73"/>
      <c r="BR194" s="73"/>
      <c r="BS194" s="73"/>
      <c r="BT194" s="73"/>
      <c r="BU194" s="73"/>
      <c r="BV194" s="73"/>
      <c r="BW194" s="74"/>
      <c r="BX194" s="74"/>
      <c r="BY194" s="63"/>
      <c r="BZ194" s="63"/>
    </row>
    <row r="195" ht="15.75" customHeight="1">
      <c r="A195" s="133" t="s">
        <v>1472</v>
      </c>
      <c r="B195" s="43" t="s">
        <v>1473</v>
      </c>
      <c r="C195" s="43" t="s">
        <v>70</v>
      </c>
      <c r="D195" s="58" t="s">
        <v>1474</v>
      </c>
      <c r="E195" s="45"/>
      <c r="F195" s="78">
        <v>2.5E8</v>
      </c>
      <c r="G195" s="44" t="str">
        <f t="shared" si="1"/>
        <v>$200'000.000 a $300'000.000</v>
      </c>
      <c r="H195" s="44"/>
      <c r="I195" s="44"/>
      <c r="J195" s="50" t="s">
        <v>183</v>
      </c>
      <c r="K195" s="51"/>
      <c r="L195" s="43">
        <v>4.0</v>
      </c>
      <c r="M195" s="43"/>
      <c r="N195" s="43">
        <v>2.0</v>
      </c>
      <c r="O195" s="43">
        <v>1.0</v>
      </c>
      <c r="P195" s="43">
        <v>1.0</v>
      </c>
      <c r="Q195" s="55">
        <v>120.0</v>
      </c>
      <c r="R195" s="55">
        <v>0.0</v>
      </c>
      <c r="S195" s="56" t="str">
        <f t="shared" si="5"/>
        <v> </v>
      </c>
      <c r="T195" s="43" t="s">
        <v>78</v>
      </c>
      <c r="U195" s="56" t="s">
        <v>184</v>
      </c>
      <c r="V195" s="43" t="s">
        <v>118</v>
      </c>
      <c r="W195" s="43"/>
      <c r="X195" s="43">
        <v>2.0</v>
      </c>
      <c r="Y195" s="43" t="s">
        <v>80</v>
      </c>
      <c r="Z195" s="58" t="s">
        <v>81</v>
      </c>
      <c r="AA195" s="81" t="s">
        <v>81</v>
      </c>
      <c r="AB195" s="134" t="s">
        <v>1475</v>
      </c>
      <c r="AC195" s="131"/>
      <c r="AD195" s="62"/>
      <c r="AE195" s="63"/>
      <c r="AF195" s="64" t="s">
        <v>105</v>
      </c>
      <c r="AG195" s="65" t="s">
        <v>106</v>
      </c>
      <c r="AH195" s="63"/>
      <c r="AI195" s="65" t="s">
        <v>107</v>
      </c>
      <c r="AJ195" s="64" t="s">
        <v>1396</v>
      </c>
      <c r="AK195" s="58" t="s">
        <v>81</v>
      </c>
      <c r="AL195" s="45" t="s">
        <v>109</v>
      </c>
      <c r="AM195" s="52">
        <v>3.136442894E9</v>
      </c>
      <c r="AN195" s="64">
        <v>0.0</v>
      </c>
      <c r="AO195" s="52"/>
      <c r="AP195" s="67"/>
      <c r="AQ195" s="67"/>
      <c r="AR195" s="67"/>
      <c r="AS195" s="94">
        <v>0.0</v>
      </c>
      <c r="AT195" s="43">
        <v>0.0</v>
      </c>
      <c r="AU195" s="43">
        <v>0.0</v>
      </c>
      <c r="AV195" s="43">
        <v>0.0</v>
      </c>
      <c r="AW195" s="43" t="s">
        <v>88</v>
      </c>
      <c r="AX195" s="43">
        <v>0.0</v>
      </c>
      <c r="AY195" s="43" t="s">
        <v>137</v>
      </c>
      <c r="AZ195" s="43">
        <v>0.0</v>
      </c>
      <c r="BA195" s="43" t="s">
        <v>89</v>
      </c>
      <c r="BB195" s="43">
        <v>0.0</v>
      </c>
      <c r="BC195" s="109"/>
      <c r="BD195" s="70"/>
      <c r="BE195" s="70"/>
      <c r="BF195" s="72" t="s">
        <v>1476</v>
      </c>
      <c r="BG195" s="73"/>
      <c r="BH195" s="73"/>
      <c r="BI195" s="73"/>
      <c r="BJ195" s="73"/>
      <c r="BK195" s="73"/>
      <c r="BL195" s="73"/>
      <c r="BM195" s="73"/>
      <c r="BN195" s="73"/>
      <c r="BO195" s="73"/>
      <c r="BP195" s="73"/>
      <c r="BQ195" s="73"/>
      <c r="BR195" s="73"/>
      <c r="BS195" s="73"/>
      <c r="BT195" s="73"/>
      <c r="BU195" s="73"/>
      <c r="BV195" s="73"/>
      <c r="BW195" s="74"/>
      <c r="BX195" s="74"/>
      <c r="BY195" s="63"/>
      <c r="BZ195" s="63"/>
    </row>
    <row r="196" ht="15.75" customHeight="1">
      <c r="A196" s="133" t="s">
        <v>1477</v>
      </c>
      <c r="B196" s="43" t="s">
        <v>1478</v>
      </c>
      <c r="C196" s="43" t="s">
        <v>70</v>
      </c>
      <c r="D196" s="43" t="s">
        <v>1479</v>
      </c>
      <c r="E196" s="45"/>
      <c r="F196" s="78">
        <v>2.5E8</v>
      </c>
      <c r="G196" s="44" t="str">
        <f t="shared" si="1"/>
        <v>$200'000.000 a $300'000.000</v>
      </c>
      <c r="H196" s="44"/>
      <c r="I196" s="44"/>
      <c r="J196" s="43" t="s">
        <v>116</v>
      </c>
      <c r="K196" s="56" t="s">
        <v>154</v>
      </c>
      <c r="L196" s="43">
        <v>3.0</v>
      </c>
      <c r="M196" s="43"/>
      <c r="N196" s="43">
        <v>2.0</v>
      </c>
      <c r="O196" s="43">
        <v>1.0</v>
      </c>
      <c r="P196" s="43">
        <v>2.0</v>
      </c>
      <c r="Q196" s="88">
        <v>170.0</v>
      </c>
      <c r="R196" s="88">
        <v>89.77</v>
      </c>
      <c r="S196" s="56" t="str">
        <f t="shared" si="5"/>
        <v> </v>
      </c>
      <c r="T196" s="43" t="s">
        <v>78</v>
      </c>
      <c r="U196" s="56" t="s">
        <v>184</v>
      </c>
      <c r="V196" s="43" t="s">
        <v>79</v>
      </c>
      <c r="W196" s="43"/>
      <c r="X196" s="43">
        <v>1.0</v>
      </c>
      <c r="Y196" s="43" t="s">
        <v>80</v>
      </c>
      <c r="Z196" s="58"/>
      <c r="AA196" s="59" t="str">
        <f>IF(Rentabilidad=0,"No aplica",TEXT(ROUND(Precio/Rentabilidad/12,0),0) &amp; " años")</f>
        <v>No aplica</v>
      </c>
      <c r="AB196" s="140" t="s">
        <v>1480</v>
      </c>
      <c r="AC196" s="167" t="s">
        <v>1481</v>
      </c>
      <c r="AD196" s="107" t="s">
        <v>899</v>
      </c>
      <c r="AE196" s="63"/>
      <c r="AF196" s="64" t="s">
        <v>84</v>
      </c>
      <c r="AG196" s="63"/>
      <c r="AH196" s="63"/>
      <c r="AI196" s="65" t="s">
        <v>107</v>
      </c>
      <c r="AJ196" s="64" t="s">
        <v>1396</v>
      </c>
      <c r="AK196" s="58" t="s">
        <v>81</v>
      </c>
      <c r="AL196" s="45" t="s">
        <v>109</v>
      </c>
      <c r="AM196" s="52">
        <v>3.136442894E9</v>
      </c>
      <c r="AN196" s="64">
        <v>0.0</v>
      </c>
      <c r="AO196" s="64">
        <v>0.0</v>
      </c>
      <c r="AP196" s="84">
        <v>0.0</v>
      </c>
      <c r="AQ196" s="84"/>
      <c r="AR196" s="84"/>
      <c r="AS196" s="94">
        <v>0.0</v>
      </c>
      <c r="AT196" s="43">
        <v>0.0</v>
      </c>
      <c r="AU196" s="43">
        <v>0.0</v>
      </c>
      <c r="AV196" s="43">
        <v>0.0</v>
      </c>
      <c r="AW196" s="43" t="s">
        <v>88</v>
      </c>
      <c r="AX196" s="43">
        <v>0.0</v>
      </c>
      <c r="AY196" s="43" t="s">
        <v>137</v>
      </c>
      <c r="AZ196" s="43">
        <v>0.0</v>
      </c>
      <c r="BA196" s="43" t="s">
        <v>89</v>
      </c>
      <c r="BB196" s="43">
        <v>0.0</v>
      </c>
      <c r="BC196" s="95" t="s">
        <v>537</v>
      </c>
      <c r="BD196" s="71"/>
      <c r="BE196" s="71"/>
      <c r="BF196" s="163" t="s">
        <v>1482</v>
      </c>
      <c r="BG196" s="73"/>
      <c r="BH196" s="73"/>
      <c r="BI196" s="73"/>
      <c r="BJ196" s="73"/>
      <c r="BK196" s="73"/>
      <c r="BL196" s="73"/>
      <c r="BM196" s="73"/>
      <c r="BN196" s="73"/>
      <c r="BO196" s="73"/>
      <c r="BP196" s="73"/>
      <c r="BQ196" s="73"/>
      <c r="BR196" s="73"/>
      <c r="BS196" s="73"/>
      <c r="BT196" s="73"/>
      <c r="BU196" s="73"/>
      <c r="BV196" s="73"/>
      <c r="BW196" s="74"/>
      <c r="BX196" s="74"/>
      <c r="BY196" s="63"/>
      <c r="BZ196" s="63"/>
    </row>
    <row r="197" ht="15.75" customHeight="1">
      <c r="A197" s="133" t="s">
        <v>1483</v>
      </c>
      <c r="B197" s="43" t="s">
        <v>1484</v>
      </c>
      <c r="C197" s="43" t="s">
        <v>128</v>
      </c>
      <c r="D197" s="203"/>
      <c r="E197" s="64" t="s">
        <v>1485</v>
      </c>
      <c r="F197" s="78">
        <v>2.3E8</v>
      </c>
      <c r="G197" s="44" t="str">
        <f t="shared" si="1"/>
        <v>$200'000.000 a $300'000.000</v>
      </c>
      <c r="H197" s="44"/>
      <c r="I197" s="44"/>
      <c r="J197" s="50" t="s">
        <v>94</v>
      </c>
      <c r="K197" s="51"/>
      <c r="L197" s="43">
        <v>3.0</v>
      </c>
      <c r="M197" s="43"/>
      <c r="N197" s="43">
        <v>2.0</v>
      </c>
      <c r="O197" s="43">
        <v>1.0</v>
      </c>
      <c r="P197" s="43">
        <v>2.0</v>
      </c>
      <c r="Q197" s="55">
        <v>0.0</v>
      </c>
      <c r="R197" s="55">
        <v>0.0</v>
      </c>
      <c r="S197" s="56" t="str">
        <f t="shared" si="5"/>
        <v> </v>
      </c>
      <c r="T197" s="43" t="s">
        <v>78</v>
      </c>
      <c r="U197" s="56" t="s">
        <v>77</v>
      </c>
      <c r="V197" s="43" t="s">
        <v>79</v>
      </c>
      <c r="W197" s="43"/>
      <c r="X197" s="43">
        <v>3.0</v>
      </c>
      <c r="Y197" s="43" t="s">
        <v>130</v>
      </c>
      <c r="Z197" s="58">
        <v>0.0</v>
      </c>
      <c r="AA197" s="81" t="s">
        <v>81</v>
      </c>
      <c r="AB197" s="134" t="s">
        <v>1486</v>
      </c>
      <c r="AC197" s="131"/>
      <c r="AD197" s="62"/>
      <c r="AE197" s="63"/>
      <c r="AF197" s="64" t="s">
        <v>105</v>
      </c>
      <c r="AG197" s="65" t="s">
        <v>106</v>
      </c>
      <c r="AH197" s="63"/>
      <c r="AI197" s="65" t="s">
        <v>107</v>
      </c>
      <c r="AJ197" s="64" t="s">
        <v>1396</v>
      </c>
      <c r="AK197" s="58" t="s">
        <v>81</v>
      </c>
      <c r="AL197" s="45" t="s">
        <v>109</v>
      </c>
      <c r="AM197" s="52">
        <v>3.136442894E9</v>
      </c>
      <c r="AN197" s="64">
        <v>0.0</v>
      </c>
      <c r="AO197" s="52"/>
      <c r="AP197" s="67"/>
      <c r="AQ197" s="67"/>
      <c r="AR197" s="67"/>
      <c r="AS197" s="94">
        <v>0.0</v>
      </c>
      <c r="AT197" s="43">
        <v>0.0</v>
      </c>
      <c r="AU197" s="43">
        <v>0.0</v>
      </c>
      <c r="AV197" s="43">
        <v>0.0</v>
      </c>
      <c r="AW197" s="43" t="s">
        <v>88</v>
      </c>
      <c r="AX197" s="43">
        <v>0.0</v>
      </c>
      <c r="AY197" s="43" t="s">
        <v>137</v>
      </c>
      <c r="AZ197" s="43">
        <v>0.0</v>
      </c>
      <c r="BA197" s="43" t="s">
        <v>89</v>
      </c>
      <c r="BB197" s="43">
        <v>0.0</v>
      </c>
      <c r="BC197" s="69" t="s">
        <v>859</v>
      </c>
      <c r="BD197" s="70"/>
      <c r="BE197" s="71"/>
      <c r="BF197" s="72" t="s">
        <v>1487</v>
      </c>
      <c r="BG197" s="73"/>
      <c r="BH197" s="73"/>
      <c r="BI197" s="73"/>
      <c r="BJ197" s="73"/>
      <c r="BK197" s="73"/>
      <c r="BL197" s="73"/>
      <c r="BM197" s="73"/>
      <c r="BN197" s="73"/>
      <c r="BO197" s="73"/>
      <c r="BP197" s="73"/>
      <c r="BQ197" s="73"/>
      <c r="BR197" s="73"/>
      <c r="BS197" s="73"/>
      <c r="BT197" s="73"/>
      <c r="BU197" s="73"/>
      <c r="BV197" s="73"/>
      <c r="BW197" s="74"/>
      <c r="BX197" s="74"/>
      <c r="BY197" s="63"/>
      <c r="BZ197" s="63"/>
    </row>
    <row r="198" ht="15.75" customHeight="1">
      <c r="A198" s="133" t="s">
        <v>1488</v>
      </c>
      <c r="B198" s="43" t="s">
        <v>1489</v>
      </c>
      <c r="C198" s="43" t="s">
        <v>70</v>
      </c>
      <c r="D198" s="58" t="s">
        <v>1490</v>
      </c>
      <c r="E198" s="64"/>
      <c r="F198" s="78">
        <v>2.3E8</v>
      </c>
      <c r="G198" s="44" t="str">
        <f t="shared" si="1"/>
        <v>$200'000.000 a $300'000.000</v>
      </c>
      <c r="H198" s="44"/>
      <c r="I198" s="44"/>
      <c r="J198" s="50" t="s">
        <v>968</v>
      </c>
      <c r="K198" s="51"/>
      <c r="L198" s="43">
        <v>4.0</v>
      </c>
      <c r="M198" s="43"/>
      <c r="N198" s="43">
        <v>3.0</v>
      </c>
      <c r="O198" s="43">
        <v>1.0</v>
      </c>
      <c r="P198" s="43">
        <v>2.0</v>
      </c>
      <c r="Q198" s="55">
        <v>170.0</v>
      </c>
      <c r="R198" s="55">
        <v>98.4</v>
      </c>
      <c r="S198" s="56" t="str">
        <f t="shared" si="5"/>
        <v> </v>
      </c>
      <c r="T198" s="43" t="s">
        <v>78</v>
      </c>
      <c r="U198" s="56" t="s">
        <v>184</v>
      </c>
      <c r="V198" s="43" t="s">
        <v>79</v>
      </c>
      <c r="W198" s="43"/>
      <c r="X198" s="43">
        <v>0.0</v>
      </c>
      <c r="Y198" s="43" t="s">
        <v>80</v>
      </c>
      <c r="Z198" s="58" t="s">
        <v>81</v>
      </c>
      <c r="AA198" s="81" t="s">
        <v>81</v>
      </c>
      <c r="AB198" s="134" t="s">
        <v>1491</v>
      </c>
      <c r="AC198" s="131"/>
      <c r="AD198" s="62"/>
      <c r="AE198" s="63"/>
      <c r="AF198" s="64" t="s">
        <v>84</v>
      </c>
      <c r="AG198" s="65" t="s">
        <v>106</v>
      </c>
      <c r="AH198" s="63"/>
      <c r="AI198" s="65" t="s">
        <v>107</v>
      </c>
      <c r="AJ198" s="64" t="s">
        <v>1396</v>
      </c>
      <c r="AK198" s="58" t="s">
        <v>81</v>
      </c>
      <c r="AL198" s="45" t="s">
        <v>109</v>
      </c>
      <c r="AM198" s="52">
        <v>3.136442894E9</v>
      </c>
      <c r="AN198" s="64">
        <v>0.0</v>
      </c>
      <c r="AO198" s="52"/>
      <c r="AP198" s="67"/>
      <c r="AQ198" s="143">
        <v>2.9345016</v>
      </c>
      <c r="AR198" s="143">
        <v>-75.2905192</v>
      </c>
      <c r="AS198" s="94">
        <v>0.0</v>
      </c>
      <c r="AT198" s="43">
        <v>0.0</v>
      </c>
      <c r="AU198" s="43">
        <v>0.0</v>
      </c>
      <c r="AV198" s="43">
        <v>0.0</v>
      </c>
      <c r="AW198" s="43" t="s">
        <v>88</v>
      </c>
      <c r="AX198" s="43">
        <v>0.0</v>
      </c>
      <c r="AY198" s="43" t="s">
        <v>137</v>
      </c>
      <c r="AZ198" s="43">
        <v>0.0</v>
      </c>
      <c r="BA198" s="43" t="s">
        <v>89</v>
      </c>
      <c r="BB198" s="43">
        <v>0.0</v>
      </c>
      <c r="BC198" s="95" t="s">
        <v>1092</v>
      </c>
      <c r="BD198" s="129"/>
      <c r="BE198" s="129"/>
      <c r="BF198" s="72" t="s">
        <v>1492</v>
      </c>
      <c r="BG198" s="73"/>
      <c r="BH198" s="73"/>
      <c r="BI198" s="73"/>
      <c r="BJ198" s="73"/>
      <c r="BK198" s="73"/>
      <c r="BL198" s="73"/>
      <c r="BM198" s="73"/>
      <c r="BN198" s="73"/>
      <c r="BO198" s="73"/>
      <c r="BP198" s="73"/>
      <c r="BQ198" s="73"/>
      <c r="BR198" s="73"/>
      <c r="BS198" s="73"/>
      <c r="BT198" s="73"/>
      <c r="BU198" s="73"/>
      <c r="BV198" s="73"/>
      <c r="BW198" s="74"/>
      <c r="BX198" s="74"/>
      <c r="BY198" s="63"/>
      <c r="BZ198" s="63"/>
    </row>
    <row r="199" ht="15.75" customHeight="1">
      <c r="A199" s="133" t="s">
        <v>1493</v>
      </c>
      <c r="B199" s="43" t="s">
        <v>1494</v>
      </c>
      <c r="C199" s="43" t="s">
        <v>271</v>
      </c>
      <c r="D199" s="58" t="s">
        <v>1495</v>
      </c>
      <c r="E199" s="45"/>
      <c r="F199" s="78">
        <v>1.9E8</v>
      </c>
      <c r="G199" s="44" t="str">
        <f t="shared" si="1"/>
        <v>$100'000.000 a $200'000.000</v>
      </c>
      <c r="H199" s="44"/>
      <c r="I199" s="44"/>
      <c r="J199" s="50" t="s">
        <v>183</v>
      </c>
      <c r="K199" s="51" t="s">
        <v>241</v>
      </c>
      <c r="L199" s="43">
        <v>6.0</v>
      </c>
      <c r="M199" s="43"/>
      <c r="N199" s="43">
        <v>3.0</v>
      </c>
      <c r="O199" s="43">
        <v>1.0</v>
      </c>
      <c r="P199" s="43">
        <v>2.0</v>
      </c>
      <c r="Q199" s="55">
        <v>170.0</v>
      </c>
      <c r="R199" s="55">
        <v>93.0</v>
      </c>
      <c r="S199" s="56" t="str">
        <f t="shared" si="5"/>
        <v> </v>
      </c>
      <c r="T199" s="43" t="s">
        <v>78</v>
      </c>
      <c r="U199" s="56" t="s">
        <v>184</v>
      </c>
      <c r="V199" s="43" t="s">
        <v>79</v>
      </c>
      <c r="W199" s="43"/>
      <c r="X199" s="43">
        <v>1.0</v>
      </c>
      <c r="Y199" s="43" t="s">
        <v>80</v>
      </c>
      <c r="Z199" s="80" t="s">
        <v>81</v>
      </c>
      <c r="AA199" s="81" t="s">
        <v>81</v>
      </c>
      <c r="AB199" s="134" t="s">
        <v>1496</v>
      </c>
      <c r="AC199" s="131"/>
      <c r="AD199" s="62"/>
      <c r="AE199" s="63"/>
      <c r="AF199" s="64" t="s">
        <v>84</v>
      </c>
      <c r="AG199" s="65" t="s">
        <v>106</v>
      </c>
      <c r="AH199" s="63"/>
      <c r="AI199" s="65" t="s">
        <v>107</v>
      </c>
      <c r="AJ199" s="64" t="s">
        <v>1396</v>
      </c>
      <c r="AK199" s="58" t="s">
        <v>81</v>
      </c>
      <c r="AL199" s="45" t="s">
        <v>109</v>
      </c>
      <c r="AM199" s="52">
        <v>3.136442894E9</v>
      </c>
      <c r="AN199" s="64">
        <v>0.0</v>
      </c>
      <c r="AO199" s="52"/>
      <c r="AP199" s="67"/>
      <c r="AQ199" s="67"/>
      <c r="AR199" s="67"/>
      <c r="AS199" s="94">
        <v>0.0</v>
      </c>
      <c r="AT199" s="43">
        <v>0.0</v>
      </c>
      <c r="AU199" s="43">
        <v>0.0</v>
      </c>
      <c r="AV199" s="43">
        <v>0.0</v>
      </c>
      <c r="AW199" s="43" t="s">
        <v>88</v>
      </c>
      <c r="AX199" s="43">
        <v>0.0</v>
      </c>
      <c r="AY199" s="43" t="s">
        <v>137</v>
      </c>
      <c r="AZ199" s="43">
        <v>0.0</v>
      </c>
      <c r="BA199" s="43" t="s">
        <v>89</v>
      </c>
      <c r="BB199" s="43">
        <v>0.0</v>
      </c>
      <c r="BC199" s="86"/>
      <c r="BD199" s="70"/>
      <c r="BE199" s="70"/>
      <c r="BF199" s="72" t="s">
        <v>1497</v>
      </c>
      <c r="BG199" s="73"/>
      <c r="BH199" s="73"/>
      <c r="BI199" s="73"/>
      <c r="BJ199" s="73"/>
      <c r="BK199" s="73"/>
      <c r="BL199" s="73"/>
      <c r="BM199" s="73"/>
      <c r="BN199" s="73"/>
      <c r="BO199" s="73"/>
      <c r="BP199" s="73"/>
      <c r="BQ199" s="73"/>
      <c r="BR199" s="73"/>
      <c r="BS199" s="73"/>
      <c r="BT199" s="73"/>
      <c r="BU199" s="73"/>
      <c r="BV199" s="73"/>
      <c r="BW199" s="74"/>
      <c r="BX199" s="74"/>
      <c r="BY199" s="63"/>
      <c r="BZ199" s="63"/>
    </row>
    <row r="200" ht="15.75" customHeight="1">
      <c r="A200" s="133" t="s">
        <v>1498</v>
      </c>
      <c r="B200" s="43" t="s">
        <v>1499</v>
      </c>
      <c r="C200" s="111" t="s">
        <v>323</v>
      </c>
      <c r="D200" s="58" t="s">
        <v>1051</v>
      </c>
      <c r="E200" s="64" t="s">
        <v>1500</v>
      </c>
      <c r="F200" s="78">
        <v>1.8E8</v>
      </c>
      <c r="G200" s="44" t="str">
        <f t="shared" si="1"/>
        <v>$100'000.000 a $200'000.000</v>
      </c>
      <c r="H200" s="44"/>
      <c r="I200" s="44"/>
      <c r="J200" s="50" t="s">
        <v>968</v>
      </c>
      <c r="K200" s="51"/>
      <c r="L200" s="43">
        <v>3.0</v>
      </c>
      <c r="M200" s="43"/>
      <c r="N200" s="43">
        <v>2.0</v>
      </c>
      <c r="O200" s="43">
        <v>1.0</v>
      </c>
      <c r="P200" s="43">
        <v>3.0</v>
      </c>
      <c r="Q200" s="55">
        <v>64.4</v>
      </c>
      <c r="R200" s="55">
        <v>64.4</v>
      </c>
      <c r="S200" s="56" t="str">
        <f t="shared" si="5"/>
        <v> </v>
      </c>
      <c r="T200" s="43" t="s">
        <v>342</v>
      </c>
      <c r="U200" s="56" t="s">
        <v>77</v>
      </c>
      <c r="V200" s="43" t="s">
        <v>642</v>
      </c>
      <c r="W200" s="43"/>
      <c r="X200" s="43">
        <v>3.0</v>
      </c>
      <c r="Y200" s="43" t="s">
        <v>130</v>
      </c>
      <c r="Z200" s="58">
        <v>268000.0</v>
      </c>
      <c r="AA200" s="81" t="s">
        <v>81</v>
      </c>
      <c r="AB200" s="134" t="s">
        <v>1501</v>
      </c>
      <c r="AC200" s="124" t="s">
        <v>1502</v>
      </c>
      <c r="AD200" s="62"/>
      <c r="AE200" s="63"/>
      <c r="AF200" s="64" t="s">
        <v>105</v>
      </c>
      <c r="AG200" s="65" t="s">
        <v>106</v>
      </c>
      <c r="AH200" s="63"/>
      <c r="AI200" s="65" t="s">
        <v>107</v>
      </c>
      <c r="AJ200" s="64" t="s">
        <v>1396</v>
      </c>
      <c r="AK200" s="58" t="s">
        <v>81</v>
      </c>
      <c r="AL200" s="45" t="s">
        <v>109</v>
      </c>
      <c r="AM200" s="52">
        <v>3.136442894E9</v>
      </c>
      <c r="AN200" s="64">
        <v>0.0</v>
      </c>
      <c r="AO200" s="52"/>
      <c r="AP200" s="67"/>
      <c r="AQ200" s="67"/>
      <c r="AR200" s="67"/>
      <c r="AS200" s="94">
        <v>0.0</v>
      </c>
      <c r="AT200" s="43">
        <v>0.0</v>
      </c>
      <c r="AU200" s="43">
        <v>0.0</v>
      </c>
      <c r="AV200" s="43">
        <v>0.0</v>
      </c>
      <c r="AW200" s="43" t="s">
        <v>88</v>
      </c>
      <c r="AX200" s="43">
        <v>0.0</v>
      </c>
      <c r="AY200" s="43" t="s">
        <v>137</v>
      </c>
      <c r="AZ200" s="43">
        <v>0.0</v>
      </c>
      <c r="BA200" s="43" t="s">
        <v>89</v>
      </c>
      <c r="BB200" s="43">
        <v>0.0</v>
      </c>
      <c r="BC200" s="95" t="s">
        <v>1503</v>
      </c>
      <c r="BD200" s="71"/>
      <c r="BE200" s="71"/>
      <c r="BF200" s="72" t="s">
        <v>1504</v>
      </c>
      <c r="BG200" s="73"/>
      <c r="BH200" s="73"/>
      <c r="BI200" s="73"/>
      <c r="BJ200" s="73"/>
      <c r="BK200" s="73"/>
      <c r="BL200" s="73"/>
      <c r="BM200" s="73"/>
      <c r="BN200" s="73"/>
      <c r="BO200" s="73"/>
      <c r="BP200" s="73"/>
      <c r="BQ200" s="73"/>
      <c r="BR200" s="73"/>
      <c r="BS200" s="73"/>
      <c r="BT200" s="73"/>
      <c r="BU200" s="73"/>
      <c r="BV200" s="73"/>
      <c r="BW200" s="74"/>
      <c r="BX200" s="74"/>
      <c r="BY200" s="63"/>
      <c r="BZ200" s="63"/>
    </row>
    <row r="201" ht="15.75" customHeight="1">
      <c r="A201" s="133" t="s">
        <v>1505</v>
      </c>
      <c r="B201" s="43" t="s">
        <v>1506</v>
      </c>
      <c r="C201" s="43" t="s">
        <v>70</v>
      </c>
      <c r="D201" s="58" t="s">
        <v>1507</v>
      </c>
      <c r="E201" s="45"/>
      <c r="F201" s="78">
        <v>1.8E8</v>
      </c>
      <c r="G201" s="44" t="str">
        <f t="shared" si="1"/>
        <v>$100'000.000 a $200'000.000</v>
      </c>
      <c r="H201" s="44"/>
      <c r="I201" s="44"/>
      <c r="J201" s="50" t="s">
        <v>94</v>
      </c>
      <c r="K201" s="51"/>
      <c r="L201" s="43">
        <v>5.0</v>
      </c>
      <c r="M201" s="43"/>
      <c r="N201" s="43">
        <v>2.0</v>
      </c>
      <c r="O201" s="43">
        <v>1.0</v>
      </c>
      <c r="P201" s="43">
        <v>2.0</v>
      </c>
      <c r="Q201" s="55">
        <v>140.0</v>
      </c>
      <c r="R201" s="55">
        <v>78.0</v>
      </c>
      <c r="S201" s="56" t="str">
        <f t="shared" si="5"/>
        <v> </v>
      </c>
      <c r="T201" s="43" t="s">
        <v>78</v>
      </c>
      <c r="U201" s="56" t="s">
        <v>184</v>
      </c>
      <c r="V201" s="43" t="s">
        <v>79</v>
      </c>
      <c r="W201" s="43"/>
      <c r="X201" s="43">
        <v>3.0</v>
      </c>
      <c r="Y201" s="43" t="s">
        <v>80</v>
      </c>
      <c r="Z201" s="58" t="s">
        <v>81</v>
      </c>
      <c r="AA201" s="81" t="s">
        <v>81</v>
      </c>
      <c r="AB201" s="134" t="s">
        <v>1508</v>
      </c>
      <c r="AC201" s="131"/>
      <c r="AD201" s="62"/>
      <c r="AE201" s="63"/>
      <c r="AF201" s="64" t="s">
        <v>236</v>
      </c>
      <c r="AG201" s="65" t="s">
        <v>106</v>
      </c>
      <c r="AH201" s="63"/>
      <c r="AI201" s="65" t="s">
        <v>107</v>
      </c>
      <c r="AJ201" s="64" t="s">
        <v>1396</v>
      </c>
      <c r="AK201" s="58" t="s">
        <v>81</v>
      </c>
      <c r="AL201" s="45" t="s">
        <v>109</v>
      </c>
      <c r="AM201" s="52">
        <v>3.136442894E9</v>
      </c>
      <c r="AN201" s="64">
        <v>0.0</v>
      </c>
      <c r="AO201" s="52"/>
      <c r="AP201" s="67"/>
      <c r="AQ201" s="67"/>
      <c r="AR201" s="67"/>
      <c r="AS201" s="94">
        <v>0.0</v>
      </c>
      <c r="AT201" s="43">
        <v>0.0</v>
      </c>
      <c r="AU201" s="43">
        <v>0.0</v>
      </c>
      <c r="AV201" s="43">
        <v>0.0</v>
      </c>
      <c r="AW201" s="43" t="s">
        <v>106</v>
      </c>
      <c r="AX201" s="43">
        <v>0.0</v>
      </c>
      <c r="AY201" s="43" t="s">
        <v>137</v>
      </c>
      <c r="AZ201" s="43">
        <v>0.0</v>
      </c>
      <c r="BA201" s="43" t="s">
        <v>89</v>
      </c>
      <c r="BB201" s="43">
        <v>0.0</v>
      </c>
      <c r="BC201" s="109"/>
      <c r="BD201" s="70"/>
      <c r="BE201" s="71"/>
      <c r="BF201" s="72" t="s">
        <v>1509</v>
      </c>
      <c r="BG201" s="73"/>
      <c r="BH201" s="73"/>
      <c r="BI201" s="73"/>
      <c r="BJ201" s="73"/>
      <c r="BK201" s="73"/>
      <c r="BL201" s="73"/>
      <c r="BM201" s="73"/>
      <c r="BN201" s="73"/>
      <c r="BO201" s="73"/>
      <c r="BP201" s="73"/>
      <c r="BQ201" s="73"/>
      <c r="BR201" s="73"/>
      <c r="BS201" s="73"/>
      <c r="BT201" s="73"/>
      <c r="BU201" s="73"/>
      <c r="BV201" s="73"/>
      <c r="BW201" s="74"/>
      <c r="BX201" s="74"/>
      <c r="BY201" s="63"/>
      <c r="BZ201" s="63"/>
    </row>
    <row r="202" ht="15.75" customHeight="1">
      <c r="A202" s="204" t="s">
        <v>1510</v>
      </c>
      <c r="B202" s="111" t="s">
        <v>1511</v>
      </c>
      <c r="C202" s="111" t="s">
        <v>70</v>
      </c>
      <c r="D202" s="111" t="s">
        <v>1512</v>
      </c>
      <c r="E202" s="205"/>
      <c r="F202" s="78">
        <v>1.75E8</v>
      </c>
      <c r="G202" s="44" t="str">
        <f t="shared" si="1"/>
        <v>$100'000.000 a $200'000.000</v>
      </c>
      <c r="H202" s="44"/>
      <c r="I202" s="44"/>
      <c r="J202" s="111" t="s">
        <v>968</v>
      </c>
      <c r="K202" s="206"/>
      <c r="L202" s="111">
        <v>3.0</v>
      </c>
      <c r="M202" s="111"/>
      <c r="N202" s="111">
        <v>2.0</v>
      </c>
      <c r="O202" s="111">
        <v>1.0</v>
      </c>
      <c r="P202" s="111">
        <v>1.0</v>
      </c>
      <c r="Q202" s="88">
        <v>108.0</v>
      </c>
      <c r="R202" s="88">
        <v>132.0</v>
      </c>
      <c r="S202" s="56" t="str">
        <f t="shared" si="5"/>
        <v> </v>
      </c>
      <c r="T202" s="44" t="s">
        <v>78</v>
      </c>
      <c r="U202" s="187" t="s">
        <v>184</v>
      </c>
      <c r="V202" s="111" t="s">
        <v>79</v>
      </c>
      <c r="W202" s="111"/>
      <c r="X202" s="111">
        <v>0.0</v>
      </c>
      <c r="Y202" s="65" t="s">
        <v>80</v>
      </c>
      <c r="Z202" s="58" t="s">
        <v>81</v>
      </c>
      <c r="AA202" s="59" t="str">
        <f>IF(Rentabilidad=0,"No aplica",TEXT(ROUND(Precio/Rentabilidad/12,0),0) &amp; " años")</f>
        <v>No aplica</v>
      </c>
      <c r="AB202" s="207" t="s">
        <v>1513</v>
      </c>
      <c r="AC202" s="61"/>
      <c r="AD202" s="208"/>
      <c r="AE202" s="209"/>
      <c r="AF202" s="45" t="s">
        <v>236</v>
      </c>
      <c r="AG202" s="111" t="s">
        <v>106</v>
      </c>
      <c r="AH202" s="209"/>
      <c r="AI202" s="65" t="s">
        <v>107</v>
      </c>
      <c r="AJ202" s="64" t="s">
        <v>1396</v>
      </c>
      <c r="AK202" s="50" t="s">
        <v>81</v>
      </c>
      <c r="AL202" s="45" t="s">
        <v>109</v>
      </c>
      <c r="AM202" s="52">
        <v>3.136442894E9</v>
      </c>
      <c r="AN202" s="205"/>
      <c r="AO202" s="209"/>
      <c r="AP202" s="210"/>
      <c r="AQ202" s="210"/>
      <c r="AR202" s="210"/>
      <c r="AS202" s="85"/>
      <c r="AT202" s="209"/>
      <c r="AU202" s="209"/>
      <c r="AV202" s="209"/>
      <c r="AW202" s="111" t="s">
        <v>88</v>
      </c>
      <c r="AX202" s="209"/>
      <c r="AY202" s="209"/>
      <c r="AZ202" s="209"/>
      <c r="BA202" s="43" t="s">
        <v>89</v>
      </c>
      <c r="BB202" s="209"/>
      <c r="BC202" s="109"/>
      <c r="BD202" s="70"/>
      <c r="BE202" s="71"/>
      <c r="BF202" s="72" t="s">
        <v>1514</v>
      </c>
      <c r="BG202" s="73"/>
      <c r="BH202" s="73"/>
      <c r="BI202" s="73"/>
      <c r="BJ202" s="73"/>
      <c r="BK202" s="73"/>
      <c r="BL202" s="73"/>
      <c r="BM202" s="73"/>
      <c r="BN202" s="73"/>
      <c r="BO202" s="73"/>
      <c r="BP202" s="73"/>
      <c r="BQ202" s="73"/>
      <c r="BR202" s="73"/>
      <c r="BS202" s="73"/>
      <c r="BT202" s="73"/>
      <c r="BU202" s="73"/>
      <c r="BV202" s="73"/>
      <c r="BW202" s="74"/>
      <c r="BX202" s="74"/>
      <c r="BY202" s="63"/>
      <c r="BZ202" s="63"/>
    </row>
    <row r="203" ht="15.75" customHeight="1">
      <c r="A203" s="41" t="s">
        <v>1515</v>
      </c>
      <c r="B203" s="50" t="s">
        <v>1516</v>
      </c>
      <c r="C203" s="50" t="s">
        <v>70</v>
      </c>
      <c r="D203" s="58" t="s">
        <v>904</v>
      </c>
      <c r="E203" s="77" t="s">
        <v>376</v>
      </c>
      <c r="F203" s="47">
        <v>1.6E8</v>
      </c>
      <c r="G203" s="44" t="str">
        <f t="shared" si="1"/>
        <v>$100'000.000 a $200'000.000</v>
      </c>
      <c r="H203" s="44"/>
      <c r="I203" s="44"/>
      <c r="J203" s="50" t="s">
        <v>183</v>
      </c>
      <c r="K203" s="57"/>
      <c r="L203" s="44">
        <v>3.0</v>
      </c>
      <c r="M203" s="44"/>
      <c r="N203" s="44">
        <v>2.0</v>
      </c>
      <c r="O203" s="50">
        <v>0.0</v>
      </c>
      <c r="P203" s="44">
        <v>2.0</v>
      </c>
      <c r="Q203" s="113">
        <v>120.0</v>
      </c>
      <c r="R203" s="79">
        <v>72.0</v>
      </c>
      <c r="S203" s="56" t="str">
        <f t="shared" si="5"/>
        <v> </v>
      </c>
      <c r="T203" s="44" t="s">
        <v>78</v>
      </c>
      <c r="U203" s="57" t="s">
        <v>184</v>
      </c>
      <c r="V203" s="50" t="s">
        <v>79</v>
      </c>
      <c r="W203" s="50"/>
      <c r="X203" s="44">
        <v>0.0</v>
      </c>
      <c r="Y203" s="50" t="s">
        <v>80</v>
      </c>
      <c r="Z203" s="58" t="s">
        <v>81</v>
      </c>
      <c r="AA203" s="59" t="str">
        <f>IF(Rentabilidad=0,"No aplica",TEXT(ROUND(Precio/Rentabilidad/12,0),0) &amp; " años")</f>
        <v>No aplica</v>
      </c>
      <c r="AB203" s="82" t="s">
        <v>1517</v>
      </c>
      <c r="AC203" s="61"/>
      <c r="AD203" s="125" t="s">
        <v>1518</v>
      </c>
      <c r="AE203" s="63"/>
      <c r="AF203" s="45" t="s">
        <v>84</v>
      </c>
      <c r="AG203" s="65" t="s">
        <v>106</v>
      </c>
      <c r="AH203" s="65"/>
      <c r="AI203" s="65" t="s">
        <v>107</v>
      </c>
      <c r="AJ203" s="64" t="s">
        <v>1396</v>
      </c>
      <c r="AK203" s="58" t="s">
        <v>81</v>
      </c>
      <c r="AL203" s="45" t="s">
        <v>109</v>
      </c>
      <c r="AM203" s="44">
        <v>3.124158907E9</v>
      </c>
      <c r="AN203" s="45"/>
      <c r="AO203" s="93"/>
      <c r="AP203" s="84" t="s">
        <v>1519</v>
      </c>
      <c r="AQ203" s="84"/>
      <c r="AR203" s="84"/>
      <c r="AS203" s="94">
        <v>0.0</v>
      </c>
      <c r="AT203" s="44" t="s">
        <v>106</v>
      </c>
      <c r="AU203" s="52">
        <v>0.0</v>
      </c>
      <c r="AV203" s="52">
        <v>0.0</v>
      </c>
      <c r="AW203" s="52" t="s">
        <v>106</v>
      </c>
      <c r="AX203" s="52">
        <v>0.0</v>
      </c>
      <c r="AY203" s="52" t="s">
        <v>106</v>
      </c>
      <c r="AZ203" s="44">
        <v>0.0</v>
      </c>
      <c r="BA203" s="43" t="s">
        <v>89</v>
      </c>
      <c r="BB203" s="44">
        <v>0.0</v>
      </c>
      <c r="BC203" s="95" t="s">
        <v>1520</v>
      </c>
      <c r="BD203" s="71"/>
      <c r="BE203" s="71"/>
      <c r="BF203" s="72" t="s">
        <v>1521</v>
      </c>
      <c r="BG203" s="73"/>
      <c r="BH203" s="73"/>
      <c r="BI203" s="73"/>
      <c r="BJ203" s="73"/>
      <c r="BK203" s="73"/>
      <c r="BL203" s="73"/>
      <c r="BM203" s="73"/>
      <c r="BN203" s="73"/>
      <c r="BO203" s="73"/>
      <c r="BP203" s="73"/>
      <c r="BQ203" s="73"/>
      <c r="BR203" s="73"/>
      <c r="BS203" s="73"/>
      <c r="BT203" s="73"/>
      <c r="BU203" s="73"/>
      <c r="BV203" s="73"/>
      <c r="BW203" s="74"/>
      <c r="BX203" s="74"/>
      <c r="BY203" s="63"/>
      <c r="BZ203" s="63"/>
    </row>
    <row r="204" ht="15.75" customHeight="1">
      <c r="A204" s="41" t="s">
        <v>1522</v>
      </c>
      <c r="B204" s="50" t="s">
        <v>1523</v>
      </c>
      <c r="C204" s="50" t="s">
        <v>128</v>
      </c>
      <c r="D204" s="111"/>
      <c r="E204" s="64" t="s">
        <v>1524</v>
      </c>
      <c r="F204" s="47">
        <v>8.0E8</v>
      </c>
      <c r="G204" s="44" t="str">
        <f t="shared" si="1"/>
        <v>$500'000.000 a $1.000'000.000</v>
      </c>
      <c r="H204" s="44"/>
      <c r="I204" s="44"/>
      <c r="J204" s="50" t="s">
        <v>968</v>
      </c>
      <c r="K204" s="194" t="s">
        <v>96</v>
      </c>
      <c r="L204" s="44">
        <v>3.0</v>
      </c>
      <c r="M204" s="44"/>
      <c r="N204" s="44">
        <v>5.0</v>
      </c>
      <c r="O204" s="50">
        <v>1.0</v>
      </c>
      <c r="P204" s="52">
        <v>1.0</v>
      </c>
      <c r="Q204" s="54">
        <v>200.0</v>
      </c>
      <c r="R204" s="55">
        <v>500.0</v>
      </c>
      <c r="S204" s="56" t="str">
        <f t="shared" si="5"/>
        <v> </v>
      </c>
      <c r="T204" s="52" t="s">
        <v>78</v>
      </c>
      <c r="U204" s="57"/>
      <c r="V204" s="52"/>
      <c r="W204" s="52"/>
      <c r="X204" s="44">
        <v>3.0</v>
      </c>
      <c r="Y204" s="50" t="s">
        <v>80</v>
      </c>
      <c r="Z204" s="80">
        <v>272000.0</v>
      </c>
      <c r="AA204" s="59" t="str">
        <f>IF(Rentabilidad=0,"No aplica",TEXT(ROUND(Precio/Rentabilidad/12,0),0) &amp; " años")</f>
        <v>No aplica</v>
      </c>
      <c r="AB204" s="140" t="s">
        <v>1525</v>
      </c>
      <c r="AC204" s="211"/>
      <c r="AD204" s="107" t="s">
        <v>1526</v>
      </c>
      <c r="AE204" s="63"/>
      <c r="AF204" s="45" t="s">
        <v>105</v>
      </c>
      <c r="AG204" s="65" t="s">
        <v>106</v>
      </c>
      <c r="AH204" s="65"/>
      <c r="AI204" s="65" t="s">
        <v>107</v>
      </c>
      <c r="AJ204" s="64" t="s">
        <v>1527</v>
      </c>
      <c r="AK204" s="50" t="s">
        <v>81</v>
      </c>
      <c r="AL204" s="45" t="s">
        <v>109</v>
      </c>
      <c r="AM204" s="52">
        <v>3.166963569E9</v>
      </c>
      <c r="AN204" s="45">
        <v>0.0</v>
      </c>
      <c r="AO204" s="52"/>
      <c r="AP204" s="67" t="s">
        <v>1528</v>
      </c>
      <c r="AQ204" s="67"/>
      <c r="AR204" s="67"/>
      <c r="AS204" s="68">
        <v>0.0</v>
      </c>
      <c r="AT204" s="44">
        <v>0.0</v>
      </c>
      <c r="AU204" s="52" t="s">
        <v>106</v>
      </c>
      <c r="AV204" s="52" t="s">
        <v>106</v>
      </c>
      <c r="AW204" s="43" t="s">
        <v>88</v>
      </c>
      <c r="AX204" s="52">
        <v>0.0</v>
      </c>
      <c r="AY204" s="52" t="s">
        <v>137</v>
      </c>
      <c r="AZ204" s="52">
        <v>0.0</v>
      </c>
      <c r="BA204" s="43" t="s">
        <v>89</v>
      </c>
      <c r="BB204" s="52">
        <v>0.0</v>
      </c>
      <c r="BC204" s="95" t="s">
        <v>439</v>
      </c>
      <c r="BD204" s="71"/>
      <c r="BE204" s="70"/>
      <c r="BF204" s="72" t="s">
        <v>1529</v>
      </c>
      <c r="BG204" s="73"/>
      <c r="BH204" s="73"/>
      <c r="BI204" s="73"/>
      <c r="BJ204" s="73"/>
      <c r="BK204" s="73"/>
      <c r="BL204" s="73"/>
      <c r="BM204" s="73"/>
      <c r="BN204" s="73"/>
      <c r="BO204" s="73"/>
      <c r="BP204" s="73"/>
      <c r="BQ204" s="73"/>
      <c r="BR204" s="73"/>
      <c r="BS204" s="73"/>
      <c r="BT204" s="73"/>
      <c r="BU204" s="73"/>
      <c r="BV204" s="73"/>
      <c r="BW204" s="74"/>
      <c r="BX204" s="74"/>
      <c r="BY204" s="63"/>
      <c r="BZ204" s="63"/>
    </row>
    <row r="205" ht="15.75" customHeight="1">
      <c r="A205" s="41" t="s">
        <v>1530</v>
      </c>
      <c r="B205" s="44"/>
      <c r="C205" s="44"/>
      <c r="D205" s="50" t="s">
        <v>1531</v>
      </c>
      <c r="E205" s="64"/>
      <c r="F205" s="78">
        <v>0.0</v>
      </c>
      <c r="G205" s="44" t="str">
        <f t="shared" si="1"/>
        <v>$0 a $100'000.000</v>
      </c>
      <c r="H205" s="44"/>
      <c r="I205" s="44"/>
      <c r="J205" s="50" t="s">
        <v>116</v>
      </c>
      <c r="K205" s="51" t="s">
        <v>192</v>
      </c>
      <c r="L205" s="44"/>
      <c r="M205" s="44"/>
      <c r="N205" s="44"/>
      <c r="O205" s="44"/>
      <c r="P205" s="44"/>
      <c r="Q205" s="89">
        <v>0.0</v>
      </c>
      <c r="R205" s="89">
        <v>0.0</v>
      </c>
      <c r="S205" s="56" t="str">
        <f t="shared" si="5"/>
        <v> </v>
      </c>
      <c r="T205" s="44"/>
      <c r="U205" s="57"/>
      <c r="V205" s="44"/>
      <c r="W205" s="44"/>
      <c r="X205" s="44"/>
      <c r="Y205" s="44"/>
      <c r="Z205" s="91"/>
      <c r="AA205" s="59" t="str">
        <f>IF(Rentabilidad=0,"No aplica",TEXT(ROUND(Precio/Rentabilidad/12,0),0) &amp; " años")</f>
        <v>No aplica</v>
      </c>
      <c r="AB205" s="212"/>
      <c r="AC205" s="61"/>
      <c r="AD205" s="107"/>
      <c r="AE205" s="63"/>
      <c r="AF205" s="64"/>
      <c r="AG205" s="63"/>
      <c r="AH205" s="63"/>
      <c r="AI205" s="63"/>
      <c r="AJ205" s="45" t="s">
        <v>1532</v>
      </c>
      <c r="AK205" s="50" t="s">
        <v>81</v>
      </c>
      <c r="AL205" s="45" t="s">
        <v>109</v>
      </c>
      <c r="AM205" s="44">
        <v>3.174078852E9</v>
      </c>
      <c r="AN205" s="45"/>
      <c r="AO205" s="52"/>
      <c r="AP205" s="67"/>
      <c r="AQ205" s="67"/>
      <c r="AR205" s="67"/>
      <c r="AS205" s="94">
        <v>0.0</v>
      </c>
      <c r="AT205" s="63"/>
      <c r="AU205" s="44"/>
      <c r="AV205" s="44"/>
      <c r="AW205" s="44"/>
      <c r="AX205" s="44"/>
      <c r="AY205" s="44"/>
      <c r="AZ205" s="44"/>
      <c r="BA205" s="43" t="s">
        <v>89</v>
      </c>
      <c r="BB205" s="44"/>
      <c r="BC205" s="95"/>
      <c r="BD205" s="71"/>
      <c r="BE205" s="71"/>
      <c r="BF205" s="72"/>
      <c r="BG205" s="73"/>
      <c r="BH205" s="73"/>
      <c r="BI205" s="73"/>
      <c r="BJ205" s="73"/>
      <c r="BK205" s="73"/>
      <c r="BL205" s="73"/>
      <c r="BM205" s="73"/>
      <c r="BN205" s="73"/>
      <c r="BO205" s="73"/>
      <c r="BP205" s="73"/>
      <c r="BQ205" s="73"/>
      <c r="BR205" s="73"/>
      <c r="BS205" s="73"/>
      <c r="BT205" s="73"/>
      <c r="BU205" s="73"/>
      <c r="BV205" s="73"/>
      <c r="BW205" s="74"/>
      <c r="BX205" s="74"/>
      <c r="BY205" s="63"/>
      <c r="BZ205" s="63"/>
    </row>
    <row r="206" ht="15.75" customHeight="1">
      <c r="A206" s="133" t="s">
        <v>1533</v>
      </c>
      <c r="B206" s="50" t="s">
        <v>1534</v>
      </c>
      <c r="C206" s="50" t="s">
        <v>128</v>
      </c>
      <c r="D206" s="58" t="s">
        <v>459</v>
      </c>
      <c r="E206" s="77" t="s">
        <v>1535</v>
      </c>
      <c r="F206" s="78">
        <v>7.8E8</v>
      </c>
      <c r="G206" s="44" t="str">
        <f t="shared" si="1"/>
        <v>$500'000.000 a $1.000'000.000</v>
      </c>
      <c r="H206" s="44"/>
      <c r="I206" s="44"/>
      <c r="J206" s="43" t="s">
        <v>116</v>
      </c>
      <c r="K206" s="142"/>
      <c r="L206" s="43">
        <v>4.0</v>
      </c>
      <c r="M206" s="43"/>
      <c r="N206" s="43">
        <v>4.0</v>
      </c>
      <c r="O206" s="43">
        <v>2.0</v>
      </c>
      <c r="P206" s="43">
        <v>2.0</v>
      </c>
      <c r="Q206" s="55">
        <v>240.0</v>
      </c>
      <c r="R206" s="55">
        <v>130.0</v>
      </c>
      <c r="S206" s="56" t="str">
        <f t="shared" si="5"/>
        <v> </v>
      </c>
      <c r="T206" s="43" t="s">
        <v>78</v>
      </c>
      <c r="U206" s="56" t="s">
        <v>117</v>
      </c>
      <c r="V206" s="43" t="s">
        <v>79</v>
      </c>
      <c r="W206" s="43"/>
      <c r="X206" s="43">
        <v>4.0</v>
      </c>
      <c r="Y206" s="43" t="s">
        <v>130</v>
      </c>
      <c r="Z206" s="80">
        <v>698000.0</v>
      </c>
      <c r="AA206" s="81" t="s">
        <v>81</v>
      </c>
      <c r="AB206" s="134" t="s">
        <v>1536</v>
      </c>
      <c r="AC206" s="61"/>
      <c r="AD206" s="62"/>
      <c r="AE206" s="63"/>
      <c r="AF206" s="64" t="s">
        <v>105</v>
      </c>
      <c r="AG206" s="65" t="s">
        <v>106</v>
      </c>
      <c r="AH206" s="63"/>
      <c r="AI206" s="65" t="s">
        <v>107</v>
      </c>
      <c r="AJ206" s="64" t="s">
        <v>1537</v>
      </c>
      <c r="AK206" s="50" t="s">
        <v>81</v>
      </c>
      <c r="AL206" s="45" t="s">
        <v>109</v>
      </c>
      <c r="AM206" s="43">
        <v>3.14804848E9</v>
      </c>
      <c r="AN206" s="64" t="s">
        <v>1538</v>
      </c>
      <c r="AO206" s="43">
        <v>0.0</v>
      </c>
      <c r="AP206" s="84">
        <v>0.0</v>
      </c>
      <c r="AQ206" s="84"/>
      <c r="AR206" s="84"/>
      <c r="AS206" s="94">
        <v>0.0</v>
      </c>
      <c r="AT206" s="65">
        <v>0.0</v>
      </c>
      <c r="AU206" s="43">
        <v>0.0</v>
      </c>
      <c r="AV206" s="43">
        <v>0.0</v>
      </c>
      <c r="AW206" s="43" t="s">
        <v>88</v>
      </c>
      <c r="AX206" s="43">
        <v>0.0</v>
      </c>
      <c r="AY206" s="43" t="s">
        <v>137</v>
      </c>
      <c r="AZ206" s="43">
        <v>0.0</v>
      </c>
      <c r="BA206" s="43" t="s">
        <v>89</v>
      </c>
      <c r="BB206" s="43">
        <v>0.0</v>
      </c>
      <c r="BC206" s="109"/>
      <c r="BD206" s="70"/>
      <c r="BE206" s="70"/>
      <c r="BF206" s="72" t="s">
        <v>1539</v>
      </c>
      <c r="BG206" s="73"/>
      <c r="BH206" s="73"/>
      <c r="BI206" s="73"/>
      <c r="BJ206" s="73"/>
      <c r="BK206" s="73"/>
      <c r="BL206" s="73"/>
      <c r="BM206" s="73"/>
      <c r="BN206" s="73"/>
      <c r="BO206" s="73"/>
      <c r="BP206" s="73"/>
      <c r="BQ206" s="73"/>
      <c r="BR206" s="73"/>
      <c r="BS206" s="73"/>
      <c r="BT206" s="73"/>
      <c r="BU206" s="73"/>
      <c r="BV206" s="73"/>
      <c r="BW206" s="74"/>
      <c r="BX206" s="74"/>
      <c r="BY206" s="63"/>
      <c r="BZ206" s="63"/>
    </row>
    <row r="207" ht="15.75" customHeight="1">
      <c r="A207" s="75" t="s">
        <v>1540</v>
      </c>
      <c r="B207" s="43" t="s">
        <v>1541</v>
      </c>
      <c r="C207" s="43" t="s">
        <v>664</v>
      </c>
      <c r="D207" s="202"/>
      <c r="E207" s="64" t="s">
        <v>1495</v>
      </c>
      <c r="F207" s="47">
        <v>4.3E8</v>
      </c>
      <c r="G207" s="44" t="str">
        <f t="shared" si="1"/>
        <v>$400'000.000 a $500'000.000</v>
      </c>
      <c r="H207" s="44"/>
      <c r="I207" s="44"/>
      <c r="J207" s="50" t="s">
        <v>94</v>
      </c>
      <c r="K207" s="150"/>
      <c r="L207" s="44">
        <v>0.0</v>
      </c>
      <c r="M207" s="44"/>
      <c r="N207" s="44">
        <v>0.0</v>
      </c>
      <c r="O207" s="44">
        <v>0.0</v>
      </c>
      <c r="P207" s="44">
        <v>0.0</v>
      </c>
      <c r="Q207" s="113"/>
      <c r="R207" s="79">
        <v>1306.0</v>
      </c>
      <c r="S207" s="56" t="str">
        <f t="shared" si="5"/>
        <v> </v>
      </c>
      <c r="T207" s="50" t="s">
        <v>95</v>
      </c>
      <c r="U207" s="57"/>
      <c r="V207" s="44"/>
      <c r="W207" s="44"/>
      <c r="X207" s="44">
        <v>0.0</v>
      </c>
      <c r="Y207" s="50" t="s">
        <v>80</v>
      </c>
      <c r="Z207" s="80" t="s">
        <v>81</v>
      </c>
      <c r="AA207" s="59" t="str">
        <f>IF(Rentabilidad=0,"No aplica",TEXT(ROUND(Precio/Rentabilidad/12,0),0) &amp; " años")</f>
        <v>No aplica</v>
      </c>
      <c r="AB207" s="134" t="s">
        <v>1542</v>
      </c>
      <c r="AC207" s="61"/>
      <c r="AD207" s="125" t="s">
        <v>1543</v>
      </c>
      <c r="AE207" s="63"/>
      <c r="AF207" s="45" t="s">
        <v>96</v>
      </c>
      <c r="AG207" s="65" t="s">
        <v>106</v>
      </c>
      <c r="AH207" s="65"/>
      <c r="AI207" s="65" t="s">
        <v>107</v>
      </c>
      <c r="AJ207" s="64" t="s">
        <v>1544</v>
      </c>
      <c r="AK207" s="50" t="s">
        <v>81</v>
      </c>
      <c r="AL207" s="45" t="s">
        <v>109</v>
      </c>
      <c r="AM207" s="52">
        <v>3.182198358E9</v>
      </c>
      <c r="AN207" s="45">
        <v>0.0</v>
      </c>
      <c r="AO207" s="52"/>
      <c r="AP207" s="67" t="s">
        <v>1545</v>
      </c>
      <c r="AQ207" s="143">
        <v>2.9582998</v>
      </c>
      <c r="AR207" s="143">
        <v>-75.284625</v>
      </c>
      <c r="AS207" s="68">
        <v>0.0</v>
      </c>
      <c r="AT207" s="44">
        <v>0.0</v>
      </c>
      <c r="AU207" s="52">
        <v>0.0</v>
      </c>
      <c r="AV207" s="52">
        <v>0.0</v>
      </c>
      <c r="AW207" s="43" t="s">
        <v>88</v>
      </c>
      <c r="AX207" s="52">
        <v>0.0</v>
      </c>
      <c r="AY207" s="52">
        <v>0.0</v>
      </c>
      <c r="AZ207" s="44">
        <v>0.0</v>
      </c>
      <c r="BA207" s="43" t="s">
        <v>89</v>
      </c>
      <c r="BB207" s="44">
        <v>0.0</v>
      </c>
      <c r="BC207" s="95" t="s">
        <v>1546</v>
      </c>
      <c r="BD207" s="71"/>
      <c r="BE207" s="71"/>
      <c r="BF207" s="72" t="s">
        <v>1547</v>
      </c>
      <c r="BG207" s="73"/>
      <c r="BH207" s="73"/>
      <c r="BI207" s="73"/>
      <c r="BJ207" s="73"/>
      <c r="BK207" s="73"/>
      <c r="BL207" s="73"/>
      <c r="BM207" s="73"/>
      <c r="BN207" s="73"/>
      <c r="BO207" s="73"/>
      <c r="BP207" s="73"/>
      <c r="BQ207" s="73"/>
      <c r="BR207" s="73"/>
      <c r="BS207" s="73"/>
      <c r="BT207" s="73"/>
      <c r="BU207" s="73"/>
      <c r="BV207" s="73"/>
      <c r="BW207" s="74"/>
      <c r="BX207" s="74"/>
      <c r="BY207" s="63"/>
      <c r="BZ207" s="63"/>
    </row>
    <row r="208" ht="15.75" customHeight="1">
      <c r="A208" s="41" t="s">
        <v>1548</v>
      </c>
      <c r="B208" s="43" t="s">
        <v>1549</v>
      </c>
      <c r="C208" s="43" t="s">
        <v>114</v>
      </c>
      <c r="D208" s="213"/>
      <c r="E208" s="45"/>
      <c r="F208" s="47">
        <v>4.0E8</v>
      </c>
      <c r="G208" s="44" t="str">
        <f t="shared" si="1"/>
        <v>$400'000.000 a $500'000.000</v>
      </c>
      <c r="H208" s="44"/>
      <c r="I208" s="44"/>
      <c r="J208" s="50" t="s">
        <v>94</v>
      </c>
      <c r="K208" s="57"/>
      <c r="L208" s="44">
        <v>3.0</v>
      </c>
      <c r="M208" s="44"/>
      <c r="N208" s="44">
        <v>2.0</v>
      </c>
      <c r="O208" s="50">
        <v>1.0</v>
      </c>
      <c r="P208" s="44">
        <v>1.0</v>
      </c>
      <c r="Q208" s="113">
        <v>272.0</v>
      </c>
      <c r="R208" s="79">
        <v>800.0</v>
      </c>
      <c r="S208" s="56" t="str">
        <f t="shared" si="5"/>
        <v> </v>
      </c>
      <c r="T208" s="44" t="s">
        <v>95</v>
      </c>
      <c r="U208" s="57"/>
      <c r="V208" s="44"/>
      <c r="W208" s="44"/>
      <c r="X208" s="44">
        <v>3.0</v>
      </c>
      <c r="Y208" s="50" t="s">
        <v>80</v>
      </c>
      <c r="Z208" s="80" t="s">
        <v>81</v>
      </c>
      <c r="AA208" s="59" t="str">
        <f>IF(Rentabilidad=0,"No aplica",TEXT(ROUND(Precio/Rentabilidad/12,0),0) &amp; " años")</f>
        <v>No aplica</v>
      </c>
      <c r="AB208" s="115" t="s">
        <v>1550</v>
      </c>
      <c r="AC208" s="61"/>
      <c r="AD208" s="125" t="s">
        <v>1551</v>
      </c>
      <c r="AE208" s="63"/>
      <c r="AF208" s="45" t="s">
        <v>236</v>
      </c>
      <c r="AG208" s="65" t="s">
        <v>106</v>
      </c>
      <c r="AH208" s="65"/>
      <c r="AI208" s="65" t="s">
        <v>107</v>
      </c>
      <c r="AJ208" s="64" t="s">
        <v>1544</v>
      </c>
      <c r="AK208" s="50" t="s">
        <v>81</v>
      </c>
      <c r="AL208" s="45" t="s">
        <v>109</v>
      </c>
      <c r="AM208" s="52">
        <v>3.182198358E9</v>
      </c>
      <c r="AN208" s="45">
        <v>0.0</v>
      </c>
      <c r="AO208" s="116"/>
      <c r="AP208" s="67" t="s">
        <v>95</v>
      </c>
      <c r="AQ208" s="143">
        <v>2.9334116</v>
      </c>
      <c r="AR208" s="143">
        <v>-75.2495131</v>
      </c>
      <c r="AS208" s="68">
        <v>0.0</v>
      </c>
      <c r="AT208" s="44">
        <v>0.0</v>
      </c>
      <c r="AU208" s="52">
        <v>0.0</v>
      </c>
      <c r="AV208" s="52">
        <v>0.0</v>
      </c>
      <c r="AW208" s="43" t="s">
        <v>88</v>
      </c>
      <c r="AX208" s="52">
        <v>0.0</v>
      </c>
      <c r="AY208" s="52" t="s">
        <v>106</v>
      </c>
      <c r="AZ208" s="44">
        <v>0.0</v>
      </c>
      <c r="BA208" s="43" t="s">
        <v>89</v>
      </c>
      <c r="BB208" s="44">
        <v>0.0</v>
      </c>
      <c r="BC208" s="69" t="s">
        <v>1552</v>
      </c>
      <c r="BD208" s="70"/>
      <c r="BE208" s="70"/>
      <c r="BF208" s="72" t="s">
        <v>1553</v>
      </c>
      <c r="BG208" s="73"/>
      <c r="BH208" s="73"/>
      <c r="BI208" s="73"/>
      <c r="BJ208" s="73"/>
      <c r="BK208" s="73"/>
      <c r="BL208" s="73"/>
      <c r="BM208" s="73"/>
      <c r="BN208" s="73"/>
      <c r="BO208" s="73"/>
      <c r="BP208" s="73"/>
      <c r="BQ208" s="73"/>
      <c r="BR208" s="73"/>
      <c r="BS208" s="73"/>
      <c r="BT208" s="73"/>
      <c r="BU208" s="73"/>
      <c r="BV208" s="73"/>
      <c r="BW208" s="74"/>
      <c r="BX208" s="74"/>
      <c r="BY208" s="63"/>
      <c r="BZ208" s="63"/>
    </row>
    <row r="209" ht="15.75" customHeight="1">
      <c r="A209" s="120" t="s">
        <v>1554</v>
      </c>
      <c r="B209" s="43" t="s">
        <v>1555</v>
      </c>
      <c r="C209" s="50" t="s">
        <v>271</v>
      </c>
      <c r="D209" s="50" t="s">
        <v>477</v>
      </c>
      <c r="E209" s="77" t="s">
        <v>376</v>
      </c>
      <c r="F209" s="78">
        <v>6.7E8</v>
      </c>
      <c r="G209" s="44" t="str">
        <f t="shared" si="1"/>
        <v>$500'000.000 a $1.000'000.000</v>
      </c>
      <c r="H209" s="44"/>
      <c r="I209" s="44"/>
      <c r="J209" s="50" t="s">
        <v>76</v>
      </c>
      <c r="K209" s="51"/>
      <c r="L209" s="52">
        <v>4.0</v>
      </c>
      <c r="M209" s="52"/>
      <c r="N209" s="52">
        <v>5.0</v>
      </c>
      <c r="O209" s="43">
        <v>4.0</v>
      </c>
      <c r="P209" s="52">
        <v>2.0</v>
      </c>
      <c r="Q209" s="54">
        <v>344.0</v>
      </c>
      <c r="R209" s="55">
        <v>344.0</v>
      </c>
      <c r="S209" s="56" t="str">
        <f t="shared" si="5"/>
        <v>Rentabilidad $3,500,000</v>
      </c>
      <c r="T209" s="52" t="s">
        <v>78</v>
      </c>
      <c r="U209" s="142" t="s">
        <v>77</v>
      </c>
      <c r="V209" s="43" t="s">
        <v>118</v>
      </c>
      <c r="W209" s="43"/>
      <c r="X209" s="52">
        <v>4.0</v>
      </c>
      <c r="Y209" s="43" t="s">
        <v>80</v>
      </c>
      <c r="Z209" s="58" t="s">
        <v>81</v>
      </c>
      <c r="AA209" s="59" t="str">
        <f>IF(Rentabilidad=0,"No aplica",TEXT(ROUND(Precio/Rentabilidad/12,0),0) &amp; " años")</f>
        <v>16 años</v>
      </c>
      <c r="AB209" s="115" t="s">
        <v>1556</v>
      </c>
      <c r="AC209" s="61"/>
      <c r="AD209" s="125" t="s">
        <v>1557</v>
      </c>
      <c r="AE209" s="63"/>
      <c r="AF209" s="45" t="s">
        <v>105</v>
      </c>
      <c r="AG209" s="65" t="s">
        <v>106</v>
      </c>
      <c r="AH209" s="65"/>
      <c r="AI209" s="65" t="s">
        <v>107</v>
      </c>
      <c r="AJ209" s="64" t="s">
        <v>1558</v>
      </c>
      <c r="AK209" s="50" t="s">
        <v>81</v>
      </c>
      <c r="AL209" s="45" t="s">
        <v>109</v>
      </c>
      <c r="AM209" s="52">
        <v>3.114945846E9</v>
      </c>
      <c r="AN209" s="45">
        <v>0.0</v>
      </c>
      <c r="AO209" s="52"/>
      <c r="AP209" s="67" t="s">
        <v>1559</v>
      </c>
      <c r="AQ209" s="67"/>
      <c r="AR209" s="67"/>
      <c r="AS209" s="135">
        <v>3500000.0</v>
      </c>
      <c r="AT209" s="52" t="s">
        <v>88</v>
      </c>
      <c r="AU209" s="52">
        <v>0.0</v>
      </c>
      <c r="AV209" s="52">
        <v>0.0</v>
      </c>
      <c r="AW209" s="52" t="s">
        <v>106</v>
      </c>
      <c r="AX209" s="52">
        <v>0.0</v>
      </c>
      <c r="AY209" s="52">
        <v>0.0</v>
      </c>
      <c r="AZ209" s="52">
        <v>0.0</v>
      </c>
      <c r="BA209" s="43" t="s">
        <v>89</v>
      </c>
      <c r="BB209" s="52">
        <v>0.0</v>
      </c>
      <c r="BC209" s="69" t="s">
        <v>1560</v>
      </c>
      <c r="BD209" s="70"/>
      <c r="BE209" s="70"/>
      <c r="BF209" s="72" t="s">
        <v>1561</v>
      </c>
      <c r="BG209" s="73"/>
      <c r="BH209" s="73"/>
      <c r="BI209" s="73"/>
      <c r="BJ209" s="73"/>
      <c r="BK209" s="73"/>
      <c r="BL209" s="73"/>
      <c r="BM209" s="73"/>
      <c r="BN209" s="73"/>
      <c r="BO209" s="73"/>
      <c r="BP209" s="73"/>
      <c r="BQ209" s="73"/>
      <c r="BR209" s="73"/>
      <c r="BS209" s="73"/>
      <c r="BT209" s="73"/>
      <c r="BU209" s="73"/>
      <c r="BV209" s="73"/>
      <c r="BW209" s="74"/>
      <c r="BX209" s="74"/>
      <c r="BY209" s="63"/>
      <c r="BZ209" s="63"/>
    </row>
    <row r="210" ht="15.75" customHeight="1">
      <c r="A210" s="120" t="s">
        <v>1562</v>
      </c>
      <c r="B210" s="50" t="s">
        <v>1563</v>
      </c>
      <c r="C210" s="50" t="s">
        <v>93</v>
      </c>
      <c r="D210" s="214"/>
      <c r="E210" s="45"/>
      <c r="F210" s="47">
        <v>8.0E8</v>
      </c>
      <c r="G210" s="44" t="str">
        <f t="shared" si="1"/>
        <v>$500'000.000 a $1.000'000.000</v>
      </c>
      <c r="H210" s="44"/>
      <c r="I210" s="44"/>
      <c r="J210" s="50" t="s">
        <v>94</v>
      </c>
      <c r="K210" s="194" t="s">
        <v>96</v>
      </c>
      <c r="L210" s="44">
        <v>4.0</v>
      </c>
      <c r="M210" s="44"/>
      <c r="N210" s="44">
        <v>3.0</v>
      </c>
      <c r="O210" s="50">
        <v>1.0</v>
      </c>
      <c r="P210" s="50">
        <v>2.0</v>
      </c>
      <c r="Q210" s="54">
        <v>300.0</v>
      </c>
      <c r="R210" s="55">
        <v>10000.0</v>
      </c>
      <c r="S210" s="56" t="str">
        <f t="shared" si="5"/>
        <v> </v>
      </c>
      <c r="T210" s="52" t="s">
        <v>95</v>
      </c>
      <c r="U210" s="57"/>
      <c r="V210" s="44"/>
      <c r="W210" s="44"/>
      <c r="X210" s="44">
        <v>2.0</v>
      </c>
      <c r="Y210" s="43" t="s">
        <v>97</v>
      </c>
      <c r="Z210" s="58" t="s">
        <v>81</v>
      </c>
      <c r="AA210" s="59" t="str">
        <f>IF(Rentabilidad=0,"No aplica",TEXT(ROUND(Precio/Rentabilidad/12,0),0) &amp; " años")</f>
        <v>No aplica</v>
      </c>
      <c r="AB210" s="134" t="s">
        <v>1564</v>
      </c>
      <c r="AC210" s="124"/>
      <c r="AD210" s="107" t="s">
        <v>1565</v>
      </c>
      <c r="AE210" s="63"/>
      <c r="AF210" s="45" t="s">
        <v>105</v>
      </c>
      <c r="AG210" s="65" t="s">
        <v>106</v>
      </c>
      <c r="AH210" s="65"/>
      <c r="AI210" s="65" t="s">
        <v>107</v>
      </c>
      <c r="AJ210" s="215" t="s">
        <v>1566</v>
      </c>
      <c r="AK210" s="50" t="s">
        <v>81</v>
      </c>
      <c r="AL210" s="45" t="s">
        <v>109</v>
      </c>
      <c r="AM210" s="44">
        <v>3.174078852E9</v>
      </c>
      <c r="AN210" s="45">
        <v>0.0</v>
      </c>
      <c r="AO210" s="52"/>
      <c r="AP210" s="67">
        <v>0.0</v>
      </c>
      <c r="AQ210" s="67"/>
      <c r="AR210" s="67"/>
      <c r="AS210" s="68">
        <v>0.0</v>
      </c>
      <c r="AT210" s="44">
        <v>0.0</v>
      </c>
      <c r="AU210" s="44">
        <v>0.0</v>
      </c>
      <c r="AV210" s="44">
        <v>0.0</v>
      </c>
      <c r="AW210" s="50" t="s">
        <v>88</v>
      </c>
      <c r="AX210" s="44">
        <v>0.0</v>
      </c>
      <c r="AY210" s="44" t="s">
        <v>137</v>
      </c>
      <c r="AZ210" s="44">
        <v>0.0</v>
      </c>
      <c r="BA210" s="43" t="s">
        <v>89</v>
      </c>
      <c r="BB210" s="44">
        <v>0.0</v>
      </c>
      <c r="BC210" s="95"/>
      <c r="BD210" s="71"/>
      <c r="BE210" s="71"/>
      <c r="BF210" s="72" t="s">
        <v>1567</v>
      </c>
      <c r="BG210" s="73"/>
      <c r="BH210" s="73"/>
      <c r="BI210" s="73"/>
      <c r="BJ210" s="73"/>
      <c r="BK210" s="73"/>
      <c r="BL210" s="73"/>
      <c r="BM210" s="73"/>
      <c r="BN210" s="73"/>
      <c r="BO210" s="73"/>
      <c r="BP210" s="73"/>
      <c r="BQ210" s="73"/>
      <c r="BR210" s="73"/>
      <c r="BS210" s="73"/>
      <c r="BT210" s="73"/>
      <c r="BU210" s="73"/>
      <c r="BV210" s="73"/>
      <c r="BW210" s="74"/>
      <c r="BX210" s="74"/>
      <c r="BY210" s="63"/>
      <c r="BZ210" s="63"/>
    </row>
    <row r="211" ht="15.75" customHeight="1">
      <c r="A211" s="133" t="s">
        <v>1568</v>
      </c>
      <c r="B211" s="50" t="s">
        <v>1569</v>
      </c>
      <c r="C211" s="50" t="s">
        <v>70</v>
      </c>
      <c r="D211" s="50" t="s">
        <v>1570</v>
      </c>
      <c r="E211" s="77"/>
      <c r="F211" s="78">
        <v>3.0E8</v>
      </c>
      <c r="G211" s="44" t="str">
        <f t="shared" si="1"/>
        <v>$300'000.000 a $400'000.000</v>
      </c>
      <c r="H211" s="44"/>
      <c r="I211" s="44"/>
      <c r="J211" s="50" t="s">
        <v>116</v>
      </c>
      <c r="K211" s="57"/>
      <c r="L211" s="43">
        <v>3.0</v>
      </c>
      <c r="M211" s="43"/>
      <c r="N211" s="43">
        <v>2.0</v>
      </c>
      <c r="O211" s="50">
        <v>1.0</v>
      </c>
      <c r="P211" s="43">
        <v>1.0</v>
      </c>
      <c r="Q211" s="55">
        <v>180.0</v>
      </c>
      <c r="R211" s="55">
        <v>205.0</v>
      </c>
      <c r="S211" s="56" t="str">
        <f t="shared" si="5"/>
        <v> </v>
      </c>
      <c r="T211" s="50" t="s">
        <v>78</v>
      </c>
      <c r="U211" s="56" t="s">
        <v>184</v>
      </c>
      <c r="V211" s="43" t="s">
        <v>79</v>
      </c>
      <c r="W211" s="43"/>
      <c r="X211" s="43">
        <v>3.0</v>
      </c>
      <c r="Y211" s="43" t="s">
        <v>80</v>
      </c>
      <c r="Z211" s="58" t="s">
        <v>81</v>
      </c>
      <c r="AA211" s="81" t="s">
        <v>81</v>
      </c>
      <c r="AB211" s="134" t="s">
        <v>1571</v>
      </c>
      <c r="AC211" s="131"/>
      <c r="AD211" s="125"/>
      <c r="AE211" s="63"/>
      <c r="AF211" s="64" t="s">
        <v>105</v>
      </c>
      <c r="AG211" s="65" t="s">
        <v>106</v>
      </c>
      <c r="AH211" s="65"/>
      <c r="AI211" s="65" t="s">
        <v>107</v>
      </c>
      <c r="AJ211" s="64" t="s">
        <v>1566</v>
      </c>
      <c r="AK211" s="50" t="s">
        <v>81</v>
      </c>
      <c r="AL211" s="45" t="s">
        <v>109</v>
      </c>
      <c r="AM211" s="44">
        <v>3.174078852E9</v>
      </c>
      <c r="AN211" s="45">
        <v>0.0</v>
      </c>
      <c r="AO211" s="52"/>
      <c r="AP211" s="67">
        <v>0.0</v>
      </c>
      <c r="AQ211" s="67"/>
      <c r="AR211" s="67"/>
      <c r="AS211" s="68">
        <v>0.0</v>
      </c>
      <c r="AT211" s="44">
        <v>0.0</v>
      </c>
      <c r="AU211" s="44">
        <v>0.0</v>
      </c>
      <c r="AV211" s="44">
        <v>0.0</v>
      </c>
      <c r="AW211" s="43" t="s">
        <v>106</v>
      </c>
      <c r="AX211" s="43">
        <v>0.0</v>
      </c>
      <c r="AY211" s="43" t="s">
        <v>137</v>
      </c>
      <c r="AZ211" s="50">
        <v>0.0</v>
      </c>
      <c r="BA211" s="43" t="s">
        <v>89</v>
      </c>
      <c r="BB211" s="50">
        <v>0.0</v>
      </c>
      <c r="BC211" s="69" t="s">
        <v>1572</v>
      </c>
      <c r="BD211" s="70"/>
      <c r="BE211" s="71"/>
      <c r="BF211" s="72" t="s">
        <v>1573</v>
      </c>
      <c r="BG211" s="73"/>
      <c r="BH211" s="73"/>
      <c r="BI211" s="73"/>
      <c r="BJ211" s="73"/>
      <c r="BK211" s="73"/>
      <c r="BL211" s="73"/>
      <c r="BM211" s="73"/>
      <c r="BN211" s="73"/>
      <c r="BO211" s="73"/>
      <c r="BP211" s="73"/>
      <c r="BQ211" s="73"/>
      <c r="BR211" s="73"/>
      <c r="BS211" s="73"/>
      <c r="BT211" s="73"/>
      <c r="BU211" s="73"/>
      <c r="BV211" s="73"/>
      <c r="BW211" s="74"/>
      <c r="BX211" s="74"/>
      <c r="BY211" s="63"/>
      <c r="BZ211" s="63"/>
    </row>
    <row r="212" ht="15.75" customHeight="1">
      <c r="A212" s="133" t="s">
        <v>1574</v>
      </c>
      <c r="B212" s="50" t="s">
        <v>1575</v>
      </c>
      <c r="C212" s="50" t="s">
        <v>70</v>
      </c>
      <c r="D212" s="50" t="s">
        <v>1284</v>
      </c>
      <c r="E212" s="64" t="s">
        <v>376</v>
      </c>
      <c r="F212" s="78">
        <v>2.9E8</v>
      </c>
      <c r="G212" s="44" t="str">
        <f t="shared" si="1"/>
        <v>$200'000.000 a $300'000.000</v>
      </c>
      <c r="H212" s="44"/>
      <c r="I212" s="44"/>
      <c r="J212" s="50" t="s">
        <v>183</v>
      </c>
      <c r="K212" s="51"/>
      <c r="L212" s="50">
        <v>4.0</v>
      </c>
      <c r="M212" s="50"/>
      <c r="N212" s="50">
        <v>4.0</v>
      </c>
      <c r="O212" s="50">
        <v>1.0</v>
      </c>
      <c r="P212" s="50">
        <v>2.0</v>
      </c>
      <c r="Q212" s="113"/>
      <c r="R212" s="79">
        <v>150.0</v>
      </c>
      <c r="S212" s="56" t="str">
        <f t="shared" si="5"/>
        <v> </v>
      </c>
      <c r="T212" s="52" t="s">
        <v>78</v>
      </c>
      <c r="U212" s="51" t="s">
        <v>142</v>
      </c>
      <c r="V212" s="50" t="s">
        <v>79</v>
      </c>
      <c r="W212" s="50"/>
      <c r="X212" s="50">
        <v>3.0</v>
      </c>
      <c r="Y212" s="50" t="s">
        <v>80</v>
      </c>
      <c r="Z212" s="58" t="s">
        <v>81</v>
      </c>
      <c r="AA212" s="59" t="str">
        <f>IF(Rentabilidad=0,"No aplica",TEXT(ROUND(Precio/Rentabilidad/12,0),0) &amp; " años")</f>
        <v>No aplica</v>
      </c>
      <c r="AB212" s="140" t="s">
        <v>1576</v>
      </c>
      <c r="AC212" s="61"/>
      <c r="AD212" s="125" t="s">
        <v>1577</v>
      </c>
      <c r="AE212" s="63"/>
      <c r="AF212" s="64" t="s">
        <v>105</v>
      </c>
      <c r="AG212" s="65" t="s">
        <v>106</v>
      </c>
      <c r="AH212" s="65"/>
      <c r="AI212" s="65" t="s">
        <v>107</v>
      </c>
      <c r="AJ212" s="64" t="s">
        <v>1566</v>
      </c>
      <c r="AK212" s="50" t="s">
        <v>81</v>
      </c>
      <c r="AL212" s="45" t="s">
        <v>109</v>
      </c>
      <c r="AM212" s="44">
        <v>3.174078852E9</v>
      </c>
      <c r="AN212" s="45"/>
      <c r="AO212" s="52"/>
      <c r="AP212" s="67"/>
      <c r="AQ212" s="67"/>
      <c r="AR212" s="67"/>
      <c r="AS212" s="94">
        <v>0.0</v>
      </c>
      <c r="AT212" s="44"/>
      <c r="AU212" s="44"/>
      <c r="AV212" s="44"/>
      <c r="AW212" s="44"/>
      <c r="AX212" s="44"/>
      <c r="AY212" s="44"/>
      <c r="AZ212" s="44"/>
      <c r="BA212" s="43" t="s">
        <v>89</v>
      </c>
      <c r="BB212" s="44"/>
      <c r="BC212" s="170"/>
      <c r="BD212" s="128"/>
      <c r="BE212" s="129"/>
      <c r="BF212" s="72" t="s">
        <v>1578</v>
      </c>
      <c r="BG212" s="73"/>
      <c r="BH212" s="73"/>
      <c r="BI212" s="73"/>
      <c r="BJ212" s="73"/>
      <c r="BK212" s="73"/>
      <c r="BL212" s="73"/>
      <c r="BM212" s="73"/>
      <c r="BN212" s="73"/>
      <c r="BO212" s="73"/>
      <c r="BP212" s="73"/>
      <c r="BQ212" s="73"/>
      <c r="BR212" s="73"/>
      <c r="BS212" s="73"/>
      <c r="BT212" s="73"/>
      <c r="BU212" s="73"/>
      <c r="BV212" s="73"/>
      <c r="BW212" s="74"/>
      <c r="BX212" s="74"/>
      <c r="BY212" s="63"/>
      <c r="BZ212" s="63"/>
    </row>
    <row r="213" ht="15.75" customHeight="1">
      <c r="A213" s="133" t="s">
        <v>1579</v>
      </c>
      <c r="B213" s="43" t="s">
        <v>1580</v>
      </c>
      <c r="C213" s="43" t="s">
        <v>573</v>
      </c>
      <c r="D213" s="52"/>
      <c r="E213" s="45"/>
      <c r="F213" s="78">
        <v>5.5E7</v>
      </c>
      <c r="G213" s="44" t="str">
        <f t="shared" si="1"/>
        <v>$0 a $100'000.000</v>
      </c>
      <c r="H213" s="44"/>
      <c r="I213" s="44"/>
      <c r="J213" s="43" t="s">
        <v>94</v>
      </c>
      <c r="K213" s="56" t="s">
        <v>117</v>
      </c>
      <c r="L213" s="43">
        <v>3.0</v>
      </c>
      <c r="M213" s="43"/>
      <c r="N213" s="43">
        <v>1.0</v>
      </c>
      <c r="O213" s="43">
        <v>1.0</v>
      </c>
      <c r="P213" s="43">
        <v>5.0</v>
      </c>
      <c r="Q213" s="88">
        <v>48.8</v>
      </c>
      <c r="R213" s="88">
        <v>48.8</v>
      </c>
      <c r="S213" s="56" t="str">
        <f t="shared" si="5"/>
        <v> </v>
      </c>
      <c r="T213" s="43" t="s">
        <v>78</v>
      </c>
      <c r="U213" s="56" t="s">
        <v>184</v>
      </c>
      <c r="V213" s="43" t="s">
        <v>333</v>
      </c>
      <c r="W213" s="43"/>
      <c r="X213" s="43">
        <v>0.0</v>
      </c>
      <c r="Y213" s="43" t="s">
        <v>80</v>
      </c>
      <c r="Z213" s="58">
        <v>30000.0</v>
      </c>
      <c r="AA213" s="59" t="str">
        <f>IF(Rentabilidad=0,"No aplica",TEXT(ROUND(Precio/Rentabilidad/12,0),0) &amp; " años")</f>
        <v>No aplica</v>
      </c>
      <c r="AB213" s="140" t="s">
        <v>1581</v>
      </c>
      <c r="AC213" s="131" t="s">
        <v>1582</v>
      </c>
      <c r="AD213" s="107" t="s">
        <v>1583</v>
      </c>
      <c r="AE213" s="63"/>
      <c r="AF213" s="64" t="s">
        <v>105</v>
      </c>
      <c r="AG213" s="65" t="s">
        <v>106</v>
      </c>
      <c r="AH213" s="63"/>
      <c r="AI213" s="65" t="s">
        <v>107</v>
      </c>
      <c r="AJ213" s="64" t="s">
        <v>1566</v>
      </c>
      <c r="AK213" s="50" t="s">
        <v>1584</v>
      </c>
      <c r="AL213" s="45" t="s">
        <v>109</v>
      </c>
      <c r="AM213" s="43">
        <v>3.174078852E9</v>
      </c>
      <c r="AN213" s="64">
        <v>0.0</v>
      </c>
      <c r="AO213" s="43" t="s">
        <v>1566</v>
      </c>
      <c r="AP213" s="67"/>
      <c r="AQ213" s="67"/>
      <c r="AR213" s="67"/>
      <c r="AS213" s="94">
        <v>0.0</v>
      </c>
      <c r="AT213" s="43" t="s">
        <v>88</v>
      </c>
      <c r="AU213" s="43">
        <v>0.0</v>
      </c>
      <c r="AV213" s="43">
        <v>0.0</v>
      </c>
      <c r="AW213" s="43" t="s">
        <v>88</v>
      </c>
      <c r="AX213" s="43">
        <v>0.0</v>
      </c>
      <c r="AY213" s="43">
        <v>0.0</v>
      </c>
      <c r="AZ213" s="43">
        <v>0.0</v>
      </c>
      <c r="BA213" s="43" t="s">
        <v>89</v>
      </c>
      <c r="BB213" s="43">
        <v>0.0</v>
      </c>
      <c r="BC213" s="69" t="s">
        <v>399</v>
      </c>
      <c r="BD213" s="70"/>
      <c r="BE213" s="71"/>
      <c r="BF213" s="72" t="s">
        <v>1585</v>
      </c>
      <c r="BG213" s="73"/>
      <c r="BH213" s="73"/>
      <c r="BI213" s="73"/>
      <c r="BJ213" s="73"/>
      <c r="BK213" s="73"/>
      <c r="BL213" s="73"/>
      <c r="BM213" s="73"/>
      <c r="BN213" s="73"/>
      <c r="BO213" s="73"/>
      <c r="BP213" s="73"/>
      <c r="BQ213" s="73"/>
      <c r="BR213" s="73"/>
      <c r="BS213" s="73"/>
      <c r="BT213" s="73"/>
      <c r="BU213" s="73"/>
      <c r="BV213" s="73"/>
      <c r="BW213" s="74"/>
      <c r="BX213" s="74"/>
      <c r="BY213" s="63"/>
      <c r="BZ213" s="63"/>
    </row>
    <row r="214" ht="15.75" customHeight="1">
      <c r="A214" s="41" t="s">
        <v>1586</v>
      </c>
      <c r="B214" s="112" t="s">
        <v>1587</v>
      </c>
      <c r="C214" s="50" t="s">
        <v>93</v>
      </c>
      <c r="D214" s="202"/>
      <c r="E214" s="45"/>
      <c r="F214" s="47">
        <v>7.5E8</v>
      </c>
      <c r="G214" s="44" t="str">
        <f t="shared" si="1"/>
        <v>$500'000.000 a $1.000'000.000</v>
      </c>
      <c r="H214" s="44"/>
      <c r="I214" s="44"/>
      <c r="J214" s="50" t="s">
        <v>94</v>
      </c>
      <c r="K214" s="150"/>
      <c r="L214" s="52">
        <v>8.0</v>
      </c>
      <c r="M214" s="52"/>
      <c r="N214" s="52">
        <v>5.0</v>
      </c>
      <c r="O214" s="43">
        <v>1.0</v>
      </c>
      <c r="P214" s="44">
        <v>1.0</v>
      </c>
      <c r="Q214" s="113">
        <v>380.0</v>
      </c>
      <c r="R214" s="55">
        <v>12000.0</v>
      </c>
      <c r="S214" s="56" t="str">
        <f t="shared" si="5"/>
        <v> </v>
      </c>
      <c r="T214" s="44" t="s">
        <v>998</v>
      </c>
      <c r="U214" s="142"/>
      <c r="V214" s="52"/>
      <c r="W214" s="52"/>
      <c r="X214" s="52">
        <v>3.0</v>
      </c>
      <c r="Y214" s="43" t="s">
        <v>97</v>
      </c>
      <c r="Z214" s="58" t="s">
        <v>81</v>
      </c>
      <c r="AA214" s="59" t="str">
        <f>IF(Rentabilidad=0,"No aplica",TEXT(ROUND(Precio/Rentabilidad/12,0),0) &amp; " años")</f>
        <v>No aplica</v>
      </c>
      <c r="AB214" s="134" t="s">
        <v>1588</v>
      </c>
      <c r="AC214" s="61"/>
      <c r="AD214" s="216" t="s">
        <v>998</v>
      </c>
      <c r="AE214" s="63"/>
      <c r="AF214" s="45" t="s">
        <v>236</v>
      </c>
      <c r="AG214" s="65" t="s">
        <v>106</v>
      </c>
      <c r="AH214" s="65"/>
      <c r="AI214" s="65" t="s">
        <v>107</v>
      </c>
      <c r="AJ214" s="64" t="s">
        <v>1589</v>
      </c>
      <c r="AK214" s="50" t="s">
        <v>81</v>
      </c>
      <c r="AL214" s="45" t="s">
        <v>109</v>
      </c>
      <c r="AM214" s="52">
        <v>3.157872276E9</v>
      </c>
      <c r="AN214" s="45">
        <v>0.0</v>
      </c>
      <c r="AO214" s="52"/>
      <c r="AP214" s="67" t="s">
        <v>998</v>
      </c>
      <c r="AQ214" s="67"/>
      <c r="AR214" s="67"/>
      <c r="AS214" s="68">
        <v>0.0</v>
      </c>
      <c r="AT214" s="44">
        <v>0.0</v>
      </c>
      <c r="AU214" s="52">
        <v>0.0</v>
      </c>
      <c r="AV214" s="52">
        <v>0.0</v>
      </c>
      <c r="AW214" s="43" t="s">
        <v>88</v>
      </c>
      <c r="AX214" s="52">
        <v>0.0</v>
      </c>
      <c r="AY214" s="52" t="s">
        <v>106</v>
      </c>
      <c r="AZ214" s="44">
        <v>0.0</v>
      </c>
      <c r="BA214" s="43" t="s">
        <v>89</v>
      </c>
      <c r="BB214" s="44">
        <v>0.0</v>
      </c>
      <c r="BC214" s="69"/>
      <c r="BD214" s="70"/>
      <c r="BE214" s="70"/>
      <c r="BF214" s="72" t="s">
        <v>1590</v>
      </c>
      <c r="BG214" s="73"/>
      <c r="BH214" s="73"/>
      <c r="BI214" s="73"/>
      <c r="BJ214" s="73"/>
      <c r="BK214" s="73"/>
      <c r="BL214" s="73"/>
      <c r="BM214" s="73"/>
      <c r="BN214" s="73"/>
      <c r="BO214" s="73"/>
      <c r="BP214" s="73"/>
      <c r="BQ214" s="73"/>
      <c r="BR214" s="73"/>
      <c r="BS214" s="73"/>
      <c r="BT214" s="73"/>
      <c r="BU214" s="73"/>
      <c r="BV214" s="73"/>
      <c r="BW214" s="74"/>
      <c r="BX214" s="74"/>
      <c r="BY214" s="63"/>
      <c r="BZ214" s="63"/>
    </row>
    <row r="215" ht="15.75" customHeight="1">
      <c r="A215" s="41" t="s">
        <v>1591</v>
      </c>
      <c r="B215" s="43" t="s">
        <v>1549</v>
      </c>
      <c r="C215" s="43" t="s">
        <v>114</v>
      </c>
      <c r="D215" s="111"/>
      <c r="E215" s="45" t="s">
        <v>1592</v>
      </c>
      <c r="F215" s="47">
        <v>7.2E8</v>
      </c>
      <c r="G215" s="44" t="str">
        <f t="shared" si="1"/>
        <v>$500'000.000 a $1.000'000.000</v>
      </c>
      <c r="H215" s="44"/>
      <c r="I215" s="44"/>
      <c r="J215" s="50" t="s">
        <v>94</v>
      </c>
      <c r="K215" s="194"/>
      <c r="L215" s="44">
        <v>4.0</v>
      </c>
      <c r="M215" s="44"/>
      <c r="N215" s="44">
        <v>3.0</v>
      </c>
      <c r="O215" s="50">
        <v>1.0</v>
      </c>
      <c r="P215" s="44">
        <v>3.0</v>
      </c>
      <c r="Q215" s="113">
        <v>267.0</v>
      </c>
      <c r="R215" s="79">
        <v>480.0</v>
      </c>
      <c r="S215" s="56" t="str">
        <f t="shared" si="5"/>
        <v> </v>
      </c>
      <c r="T215" s="44"/>
      <c r="U215" s="57"/>
      <c r="V215" s="44"/>
      <c r="W215" s="44"/>
      <c r="X215" s="44">
        <v>4.0</v>
      </c>
      <c r="Y215" s="50" t="s">
        <v>130</v>
      </c>
      <c r="Z215" s="58" t="s">
        <v>81</v>
      </c>
      <c r="AA215" s="59" t="str">
        <f>IF(Rentabilidad=0,"No aplica",TEXT(ROUND(Precio/Rentabilidad/12,0),0) &amp; " años")</f>
        <v>No aplica</v>
      </c>
      <c r="AB215" s="134" t="s">
        <v>1593</v>
      </c>
      <c r="AC215" s="61"/>
      <c r="AD215" s="125" t="s">
        <v>1594</v>
      </c>
      <c r="AE215" s="63"/>
      <c r="AF215" s="45" t="s">
        <v>105</v>
      </c>
      <c r="AG215" s="65" t="s">
        <v>106</v>
      </c>
      <c r="AH215" s="65"/>
      <c r="AI215" s="65" t="s">
        <v>107</v>
      </c>
      <c r="AJ215" s="64" t="s">
        <v>1589</v>
      </c>
      <c r="AK215" s="50" t="s">
        <v>81</v>
      </c>
      <c r="AL215" s="45" t="s">
        <v>109</v>
      </c>
      <c r="AM215" s="52">
        <v>3.157872276E9</v>
      </c>
      <c r="AN215" s="45">
        <v>0.0</v>
      </c>
      <c r="AO215" s="52"/>
      <c r="AP215" s="67">
        <v>0.0</v>
      </c>
      <c r="AQ215" s="67"/>
      <c r="AR215" s="67"/>
      <c r="AS215" s="68">
        <v>0.0</v>
      </c>
      <c r="AT215" s="44">
        <v>0.0</v>
      </c>
      <c r="AU215" s="52">
        <v>0.0</v>
      </c>
      <c r="AV215" s="52">
        <v>0.0</v>
      </c>
      <c r="AW215" s="43" t="s">
        <v>88</v>
      </c>
      <c r="AX215" s="52">
        <v>0.0</v>
      </c>
      <c r="AY215" s="52">
        <v>0.0</v>
      </c>
      <c r="AZ215" s="44">
        <v>0.0</v>
      </c>
      <c r="BA215" s="43" t="s">
        <v>89</v>
      </c>
      <c r="BB215" s="44">
        <v>0.0</v>
      </c>
      <c r="BC215" s="95"/>
      <c r="BD215" s="71"/>
      <c r="BE215" s="71"/>
      <c r="BF215" s="72" t="s">
        <v>1595</v>
      </c>
      <c r="BG215" s="73"/>
      <c r="BH215" s="73"/>
      <c r="BI215" s="73"/>
      <c r="BJ215" s="73"/>
      <c r="BK215" s="73"/>
      <c r="BL215" s="73"/>
      <c r="BM215" s="73"/>
      <c r="BN215" s="73"/>
      <c r="BO215" s="73"/>
      <c r="BP215" s="73"/>
      <c r="BQ215" s="73"/>
      <c r="BR215" s="73"/>
      <c r="BS215" s="73"/>
      <c r="BT215" s="73"/>
      <c r="BU215" s="73"/>
      <c r="BV215" s="73"/>
      <c r="BW215" s="74"/>
      <c r="BX215" s="74"/>
      <c r="BY215" s="63"/>
      <c r="BZ215" s="63"/>
    </row>
    <row r="216" ht="15.75" customHeight="1">
      <c r="A216" s="120" t="s">
        <v>1596</v>
      </c>
      <c r="B216" s="50" t="s">
        <v>1597</v>
      </c>
      <c r="C216" s="50" t="s">
        <v>573</v>
      </c>
      <c r="D216" s="44" t="s">
        <v>76</v>
      </c>
      <c r="E216" s="77"/>
      <c r="F216" s="47">
        <v>2.2E8</v>
      </c>
      <c r="G216" s="44" t="str">
        <f t="shared" si="1"/>
        <v>$200'000.000 a $300'000.000</v>
      </c>
      <c r="H216" s="44"/>
      <c r="I216" s="44"/>
      <c r="J216" s="50" t="s">
        <v>76</v>
      </c>
      <c r="K216" s="57"/>
      <c r="L216" s="52">
        <v>2.0</v>
      </c>
      <c r="M216" s="52"/>
      <c r="N216" s="52">
        <v>2.0</v>
      </c>
      <c r="O216" s="50">
        <v>0.0</v>
      </c>
      <c r="P216" s="43">
        <v>1.0</v>
      </c>
      <c r="Q216" s="54">
        <v>90.0</v>
      </c>
      <c r="R216" s="55">
        <v>90.0</v>
      </c>
      <c r="S216" s="56" t="str">
        <f t="shared" si="5"/>
        <v> </v>
      </c>
      <c r="T216" s="44" t="s">
        <v>78</v>
      </c>
      <c r="U216" s="142" t="s">
        <v>77</v>
      </c>
      <c r="V216" s="52"/>
      <c r="W216" s="52"/>
      <c r="X216" s="52">
        <v>2.0</v>
      </c>
      <c r="Y216" s="43" t="s">
        <v>80</v>
      </c>
      <c r="Z216" s="151">
        <v>248000.0</v>
      </c>
      <c r="AA216" s="59" t="str">
        <f>IF(Rentabilidad=0,"No aplica",TEXT(ROUND(Precio/Rentabilidad/12,0),0) &amp; " años")</f>
        <v>No aplica</v>
      </c>
      <c r="AB216" s="134" t="s">
        <v>1598</v>
      </c>
      <c r="AC216" s="131" t="s">
        <v>1599</v>
      </c>
      <c r="AD216" s="125" t="s">
        <v>1600</v>
      </c>
      <c r="AE216" s="63"/>
      <c r="AF216" s="45" t="s">
        <v>105</v>
      </c>
      <c r="AG216" s="65" t="s">
        <v>106</v>
      </c>
      <c r="AH216" s="65"/>
      <c r="AI216" s="65" t="s">
        <v>107</v>
      </c>
      <c r="AJ216" s="64" t="s">
        <v>1589</v>
      </c>
      <c r="AK216" s="50" t="s">
        <v>81</v>
      </c>
      <c r="AL216" s="45" t="s">
        <v>109</v>
      </c>
      <c r="AM216" s="52">
        <v>3.157872276E9</v>
      </c>
      <c r="AN216" s="45"/>
      <c r="AO216" s="52"/>
      <c r="AP216" s="67" t="s">
        <v>1601</v>
      </c>
      <c r="AQ216" s="67"/>
      <c r="AR216" s="67"/>
      <c r="AS216" s="135">
        <v>0.0</v>
      </c>
      <c r="AT216" s="52" t="s">
        <v>106</v>
      </c>
      <c r="AU216" s="52">
        <v>0.0</v>
      </c>
      <c r="AV216" s="52">
        <v>2.0</v>
      </c>
      <c r="AW216" s="43" t="s">
        <v>88</v>
      </c>
      <c r="AX216" s="52">
        <v>0.0</v>
      </c>
      <c r="AY216" s="52">
        <v>0.0</v>
      </c>
      <c r="AZ216" s="44">
        <v>0.0</v>
      </c>
      <c r="BA216" s="43" t="s">
        <v>89</v>
      </c>
      <c r="BB216" s="44">
        <v>0.0</v>
      </c>
      <c r="BC216" s="69" t="s">
        <v>769</v>
      </c>
      <c r="BD216" s="70"/>
      <c r="BE216" s="71"/>
      <c r="BF216" s="72" t="s">
        <v>1602</v>
      </c>
      <c r="BG216" s="73"/>
      <c r="BH216" s="73"/>
      <c r="BI216" s="73"/>
      <c r="BJ216" s="73"/>
      <c r="BK216" s="73"/>
      <c r="BL216" s="73"/>
      <c r="BM216" s="73"/>
      <c r="BN216" s="73"/>
      <c r="BO216" s="73"/>
      <c r="BP216" s="73"/>
      <c r="BQ216" s="73"/>
      <c r="BR216" s="73"/>
      <c r="BS216" s="73"/>
      <c r="BT216" s="73"/>
      <c r="BU216" s="73"/>
      <c r="BV216" s="73"/>
      <c r="BW216" s="74"/>
      <c r="BX216" s="74"/>
      <c r="BY216" s="63"/>
      <c r="BZ216" s="63"/>
    </row>
    <row r="217" ht="15.75" customHeight="1">
      <c r="A217" s="204" t="s">
        <v>1603</v>
      </c>
      <c r="B217" s="111" t="s">
        <v>1604</v>
      </c>
      <c r="C217" s="111" t="s">
        <v>70</v>
      </c>
      <c r="D217" s="111" t="s">
        <v>1229</v>
      </c>
      <c r="E217" s="217"/>
      <c r="F217" s="78">
        <v>5.3E8</v>
      </c>
      <c r="G217" s="44" t="str">
        <f t="shared" si="1"/>
        <v>$500'000.000 a $1.000'000.000</v>
      </c>
      <c r="H217" s="44"/>
      <c r="I217" s="44"/>
      <c r="J217" s="111" t="s">
        <v>76</v>
      </c>
      <c r="K217" s="187"/>
      <c r="L217" s="111">
        <v>5.0</v>
      </c>
      <c r="M217" s="111"/>
      <c r="N217" s="111">
        <v>3.0</v>
      </c>
      <c r="O217" s="111">
        <v>1.0</v>
      </c>
      <c r="P217" s="111">
        <v>3.0</v>
      </c>
      <c r="Q217" s="79">
        <v>245.0</v>
      </c>
      <c r="R217" s="79">
        <v>200.0</v>
      </c>
      <c r="S217" s="56" t="str">
        <f t="shared" si="5"/>
        <v> </v>
      </c>
      <c r="T217" s="111" t="s">
        <v>78</v>
      </c>
      <c r="U217" s="187" t="s">
        <v>184</v>
      </c>
      <c r="V217" s="111" t="s">
        <v>79</v>
      </c>
      <c r="W217" s="111"/>
      <c r="X217" s="111">
        <v>5.0</v>
      </c>
      <c r="Y217" s="43" t="s">
        <v>80</v>
      </c>
      <c r="Z217" s="58" t="s">
        <v>81</v>
      </c>
      <c r="AA217" s="81" t="s">
        <v>81</v>
      </c>
      <c r="AB217" s="207" t="s">
        <v>1605</v>
      </c>
      <c r="AC217" s="131" t="s">
        <v>1606</v>
      </c>
      <c r="AD217" s="218" t="s">
        <v>1607</v>
      </c>
      <c r="AE217" s="209"/>
      <c r="AF217" s="64" t="s">
        <v>105</v>
      </c>
      <c r="AG217" s="111" t="s">
        <v>106</v>
      </c>
      <c r="AH217" s="209"/>
      <c r="AI217" s="65" t="s">
        <v>107</v>
      </c>
      <c r="AJ217" s="64" t="s">
        <v>1608</v>
      </c>
      <c r="AK217" s="50" t="s">
        <v>81</v>
      </c>
      <c r="AL217" s="45" t="s">
        <v>109</v>
      </c>
      <c r="AM217" s="43">
        <v>3.114262158E9</v>
      </c>
      <c r="AN217" s="217">
        <v>0.0</v>
      </c>
      <c r="AO217" s="111">
        <v>0.0</v>
      </c>
      <c r="AP217" s="219">
        <v>0.0</v>
      </c>
      <c r="AQ217" s="219"/>
      <c r="AR217" s="219"/>
      <c r="AS217" s="111">
        <v>0.0</v>
      </c>
      <c r="AT217" s="111">
        <v>0.0</v>
      </c>
      <c r="AU217" s="111">
        <v>0.0</v>
      </c>
      <c r="AV217" s="111" t="s">
        <v>106</v>
      </c>
      <c r="AW217" s="111" t="s">
        <v>106</v>
      </c>
      <c r="AX217" s="111">
        <v>0.0</v>
      </c>
      <c r="AY217" s="111" t="s">
        <v>1609</v>
      </c>
      <c r="AZ217" s="111">
        <v>0.0</v>
      </c>
      <c r="BA217" s="43" t="s">
        <v>89</v>
      </c>
      <c r="BB217" s="111">
        <v>0.0</v>
      </c>
      <c r="BC217" s="69" t="s">
        <v>1610</v>
      </c>
      <c r="BD217" s="70"/>
      <c r="BE217" s="71"/>
      <c r="BF217" s="72" t="s">
        <v>1611</v>
      </c>
      <c r="BG217" s="73"/>
      <c r="BH217" s="73"/>
      <c r="BI217" s="73"/>
      <c r="BJ217" s="73"/>
      <c r="BK217" s="73"/>
      <c r="BL217" s="73"/>
      <c r="BM217" s="73"/>
      <c r="BN217" s="73"/>
      <c r="BO217" s="73"/>
      <c r="BP217" s="73"/>
      <c r="BQ217" s="73"/>
      <c r="BR217" s="73"/>
      <c r="BS217" s="73"/>
      <c r="BT217" s="73"/>
      <c r="BU217" s="73"/>
      <c r="BV217" s="73"/>
      <c r="BW217" s="74"/>
      <c r="BX217" s="74"/>
      <c r="BY217" s="63"/>
      <c r="BZ217" s="63"/>
    </row>
    <row r="218" ht="15.75" customHeight="1">
      <c r="A218" s="75" t="s">
        <v>1612</v>
      </c>
      <c r="B218" s="50" t="s">
        <v>593</v>
      </c>
      <c r="C218" s="111" t="s">
        <v>323</v>
      </c>
      <c r="D218" s="50" t="s">
        <v>11</v>
      </c>
      <c r="E218" s="64" t="s">
        <v>1613</v>
      </c>
      <c r="F218" s="78">
        <v>3.85E8</v>
      </c>
      <c r="G218" s="44" t="str">
        <f t="shared" si="1"/>
        <v>$300'000.000 a $400'000.000</v>
      </c>
      <c r="H218" s="44"/>
      <c r="I218" s="44"/>
      <c r="J218" s="50" t="s">
        <v>183</v>
      </c>
      <c r="K218" s="51"/>
      <c r="L218" s="50">
        <v>3.0</v>
      </c>
      <c r="M218" s="50"/>
      <c r="N218" s="50">
        <v>2.0</v>
      </c>
      <c r="O218" s="50">
        <v>1.0</v>
      </c>
      <c r="P218" s="50">
        <v>9.0</v>
      </c>
      <c r="Q218" s="79">
        <v>86.0</v>
      </c>
      <c r="R218" s="79">
        <v>86.0</v>
      </c>
      <c r="S218" s="56" t="str">
        <f t="shared" si="5"/>
        <v> </v>
      </c>
      <c r="T218" s="43" t="s">
        <v>78</v>
      </c>
      <c r="U218" s="56" t="s">
        <v>142</v>
      </c>
      <c r="V218" s="50" t="s">
        <v>656</v>
      </c>
      <c r="W218" s="50"/>
      <c r="X218" s="50">
        <v>3.0</v>
      </c>
      <c r="Y218" s="50" t="s">
        <v>130</v>
      </c>
      <c r="Z218" s="58">
        <v>0.0</v>
      </c>
      <c r="AA218" s="81" t="s">
        <v>81</v>
      </c>
      <c r="AB218" s="82" t="s">
        <v>1614</v>
      </c>
      <c r="AC218" s="131"/>
      <c r="AD218" s="125"/>
      <c r="AE218" s="63"/>
      <c r="AF218" s="217" t="s">
        <v>105</v>
      </c>
      <c r="AG218" s="65" t="s">
        <v>106</v>
      </c>
      <c r="AH218" s="65"/>
      <c r="AI218" s="65" t="s">
        <v>107</v>
      </c>
      <c r="AJ218" s="64" t="s">
        <v>1615</v>
      </c>
      <c r="AK218" s="58" t="s">
        <v>81</v>
      </c>
      <c r="AL218" s="64" t="s">
        <v>109</v>
      </c>
      <c r="AM218" s="43">
        <v>3.14804848E9</v>
      </c>
      <c r="AN218" s="45"/>
      <c r="AO218" s="52"/>
      <c r="AP218" s="67"/>
      <c r="AQ218" s="84">
        <v>2.95162524636749</v>
      </c>
      <c r="AR218" s="84">
        <v>-75.2895865832028</v>
      </c>
      <c r="AS218" s="85">
        <v>0.0</v>
      </c>
      <c r="AT218" s="50" t="s">
        <v>106</v>
      </c>
      <c r="AU218" s="50">
        <v>0.0</v>
      </c>
      <c r="AV218" s="50">
        <v>0.0</v>
      </c>
      <c r="AW218" s="50" t="s">
        <v>88</v>
      </c>
      <c r="AX218" s="50">
        <v>0.0</v>
      </c>
      <c r="AY218" s="50">
        <v>0.0</v>
      </c>
      <c r="AZ218" s="50">
        <v>0.0</v>
      </c>
      <c r="BA218" s="43" t="s">
        <v>89</v>
      </c>
      <c r="BB218" s="50">
        <v>0.0</v>
      </c>
      <c r="BC218" s="95" t="s">
        <v>1616</v>
      </c>
      <c r="BD218" s="71"/>
      <c r="BE218" s="71"/>
      <c r="BF218" s="72" t="s">
        <v>1617</v>
      </c>
      <c r="BG218" s="73"/>
      <c r="BH218" s="73"/>
      <c r="BI218" s="73"/>
      <c r="BJ218" s="73"/>
      <c r="BK218" s="73"/>
      <c r="BL218" s="73"/>
      <c r="BM218" s="73"/>
      <c r="BN218" s="73"/>
      <c r="BO218" s="73"/>
      <c r="BP218" s="73"/>
      <c r="BQ218" s="73"/>
      <c r="BR218" s="73"/>
      <c r="BS218" s="73"/>
      <c r="BT218" s="73"/>
      <c r="BU218" s="73"/>
      <c r="BV218" s="73"/>
      <c r="BW218" s="74"/>
      <c r="BX218" s="74"/>
      <c r="BY218" s="63"/>
      <c r="BZ218" s="63"/>
    </row>
    <row r="219" ht="15.75" customHeight="1">
      <c r="A219" s="75" t="s">
        <v>1618</v>
      </c>
      <c r="B219" s="111" t="s">
        <v>520</v>
      </c>
      <c r="C219" s="50" t="s">
        <v>128</v>
      </c>
      <c r="D219" s="50" t="s">
        <v>459</v>
      </c>
      <c r="E219" s="77" t="s">
        <v>1619</v>
      </c>
      <c r="F219" s="78">
        <v>7.8E8</v>
      </c>
      <c r="G219" s="44" t="str">
        <f t="shared" si="1"/>
        <v>$500'000.000 a $1.000'000.000</v>
      </c>
      <c r="H219" s="44"/>
      <c r="I219" s="44"/>
      <c r="J219" s="50" t="s">
        <v>116</v>
      </c>
      <c r="K219" s="57"/>
      <c r="L219" s="50">
        <v>3.0</v>
      </c>
      <c r="M219" s="50"/>
      <c r="N219" s="50">
        <v>3.0</v>
      </c>
      <c r="O219" s="50">
        <v>1.0</v>
      </c>
      <c r="P219" s="50">
        <v>2.0</v>
      </c>
      <c r="Q219" s="79">
        <v>154.0</v>
      </c>
      <c r="R219" s="79">
        <v>152.0</v>
      </c>
      <c r="S219" s="56" t="str">
        <f t="shared" si="5"/>
        <v> </v>
      </c>
      <c r="T219" s="50" t="s">
        <v>78</v>
      </c>
      <c r="U219" s="51" t="s">
        <v>154</v>
      </c>
      <c r="V219" s="50" t="s">
        <v>118</v>
      </c>
      <c r="W219" s="50"/>
      <c r="X219" s="50">
        <v>3.0</v>
      </c>
      <c r="Y219" s="50" t="s">
        <v>130</v>
      </c>
      <c r="Z219" s="80">
        <v>520000.0</v>
      </c>
      <c r="AA219" s="59" t="str">
        <f>IF(Rentabilidad=0,"No aplica",TEXT(ROUND(Precio/Rentabilidad/12,0),0) &amp; " años")</f>
        <v>No aplica</v>
      </c>
      <c r="AB219" s="115" t="s">
        <v>1620</v>
      </c>
      <c r="AC219" s="131" t="s">
        <v>1621</v>
      </c>
      <c r="AD219" s="125" t="s">
        <v>1622</v>
      </c>
      <c r="AE219" s="63"/>
      <c r="AF219" s="45" t="s">
        <v>105</v>
      </c>
      <c r="AG219" s="65" t="s">
        <v>106</v>
      </c>
      <c r="AH219" s="63"/>
      <c r="AI219" s="65" t="s">
        <v>107</v>
      </c>
      <c r="AJ219" s="64" t="s">
        <v>1623</v>
      </c>
      <c r="AK219" s="58" t="s">
        <v>81</v>
      </c>
      <c r="AL219" s="45" t="s">
        <v>109</v>
      </c>
      <c r="AM219" s="43">
        <v>3.153381489E9</v>
      </c>
      <c r="AN219" s="45"/>
      <c r="AO219" s="52"/>
      <c r="AP219" s="67"/>
      <c r="AQ219" s="67"/>
      <c r="AR219" s="67"/>
      <c r="AS219" s="85">
        <v>0.0</v>
      </c>
      <c r="AT219" s="50">
        <v>0.0</v>
      </c>
      <c r="AU219" s="43">
        <v>0.0</v>
      </c>
      <c r="AV219" s="43" t="s">
        <v>106</v>
      </c>
      <c r="AW219" s="43" t="s">
        <v>88</v>
      </c>
      <c r="AX219" s="43">
        <v>0.0</v>
      </c>
      <c r="AY219" s="43" t="s">
        <v>247</v>
      </c>
      <c r="AZ219" s="50">
        <v>0.0</v>
      </c>
      <c r="BA219" s="43" t="s">
        <v>89</v>
      </c>
      <c r="BB219" s="50">
        <v>0.0</v>
      </c>
      <c r="BC219" s="69" t="s">
        <v>1624</v>
      </c>
      <c r="BD219" s="70"/>
      <c r="BE219" s="71"/>
      <c r="BF219" s="72" t="s">
        <v>1625</v>
      </c>
      <c r="BG219" s="73"/>
      <c r="BH219" s="73"/>
      <c r="BI219" s="73"/>
      <c r="BJ219" s="73"/>
      <c r="BK219" s="73"/>
      <c r="BL219" s="73"/>
      <c r="BM219" s="73"/>
      <c r="BN219" s="73"/>
      <c r="BO219" s="73"/>
      <c r="BP219" s="73"/>
      <c r="BQ219" s="73"/>
      <c r="BR219" s="73"/>
      <c r="BS219" s="73"/>
      <c r="BT219" s="73"/>
      <c r="BU219" s="73"/>
      <c r="BV219" s="73"/>
      <c r="BW219" s="74"/>
      <c r="BX219" s="74"/>
      <c r="BY219" s="63"/>
      <c r="BZ219" s="63"/>
    </row>
    <row r="220" ht="15.75" customHeight="1">
      <c r="A220" s="120" t="s">
        <v>1626</v>
      </c>
      <c r="B220" s="43" t="s">
        <v>1627</v>
      </c>
      <c r="C220" s="50" t="s">
        <v>573</v>
      </c>
      <c r="D220" s="43" t="s">
        <v>193</v>
      </c>
      <c r="E220" s="45"/>
      <c r="F220" s="47">
        <v>3.35E8</v>
      </c>
      <c r="G220" s="44" t="str">
        <f t="shared" si="1"/>
        <v>$300'000.000 a $400'000.000</v>
      </c>
      <c r="H220" s="44"/>
      <c r="I220" s="44"/>
      <c r="J220" s="43" t="s">
        <v>76</v>
      </c>
      <c r="K220" s="56" t="s">
        <v>77</v>
      </c>
      <c r="L220" s="52">
        <v>3.0</v>
      </c>
      <c r="M220" s="52"/>
      <c r="N220" s="52">
        <v>3.0</v>
      </c>
      <c r="O220" s="43">
        <v>1.0</v>
      </c>
      <c r="P220" s="43">
        <v>1.0</v>
      </c>
      <c r="Q220" s="54">
        <v>143.0</v>
      </c>
      <c r="R220" s="55">
        <v>143.0</v>
      </c>
      <c r="S220" s="56" t="str">
        <f t="shared" si="5"/>
        <v> </v>
      </c>
      <c r="T220" s="44" t="s">
        <v>78</v>
      </c>
      <c r="U220" s="142" t="s">
        <v>154</v>
      </c>
      <c r="V220" s="52"/>
      <c r="W220" s="52"/>
      <c r="X220" s="52">
        <v>3.0</v>
      </c>
      <c r="Y220" s="43" t="s">
        <v>80</v>
      </c>
      <c r="Z220" s="151">
        <v>300000.0</v>
      </c>
      <c r="AA220" s="59" t="str">
        <f>IF(Rentabilidad=0,"No aplica",TEXT(ROUND(Precio/Rentabilidad/12,0),0) &amp; " años")</f>
        <v>No aplica</v>
      </c>
      <c r="AB220" s="134" t="s">
        <v>1628</v>
      </c>
      <c r="AC220" s="131"/>
      <c r="AD220" s="125" t="s">
        <v>1629</v>
      </c>
      <c r="AE220" s="63"/>
      <c r="AF220" s="45" t="s">
        <v>105</v>
      </c>
      <c r="AG220" s="65" t="s">
        <v>106</v>
      </c>
      <c r="AH220" s="65" t="s">
        <v>45</v>
      </c>
      <c r="AI220" s="65" t="s">
        <v>107</v>
      </c>
      <c r="AJ220" s="64" t="s">
        <v>1630</v>
      </c>
      <c r="AK220" s="50" t="s">
        <v>81</v>
      </c>
      <c r="AL220" s="45" t="s">
        <v>109</v>
      </c>
      <c r="AM220" s="52">
        <v>3.138797028E9</v>
      </c>
      <c r="AN220" s="45">
        <v>0.0</v>
      </c>
      <c r="AO220" s="52"/>
      <c r="AP220" s="67" t="s">
        <v>1631</v>
      </c>
      <c r="AQ220" s="143">
        <v>2.934327</v>
      </c>
      <c r="AR220" s="143">
        <v>-75.2901673</v>
      </c>
      <c r="AS220" s="135">
        <v>0.0</v>
      </c>
      <c r="AT220" s="52" t="s">
        <v>106</v>
      </c>
      <c r="AU220" s="52" t="s">
        <v>106</v>
      </c>
      <c r="AV220" s="52" t="s">
        <v>106</v>
      </c>
      <c r="AW220" s="43" t="s">
        <v>88</v>
      </c>
      <c r="AX220" s="44">
        <v>0.0</v>
      </c>
      <c r="AY220" s="44" t="s">
        <v>137</v>
      </c>
      <c r="AZ220" s="52">
        <v>0.0</v>
      </c>
      <c r="BA220" s="43" t="s">
        <v>89</v>
      </c>
      <c r="BB220" s="52">
        <v>0.0</v>
      </c>
      <c r="BC220" s="109"/>
      <c r="BD220" s="70"/>
      <c r="BE220" s="71"/>
      <c r="BF220" s="72" t="s">
        <v>1632</v>
      </c>
      <c r="BG220" s="73"/>
      <c r="BH220" s="73"/>
      <c r="BI220" s="73"/>
      <c r="BJ220" s="73"/>
      <c r="BK220" s="73"/>
      <c r="BL220" s="73"/>
      <c r="BM220" s="73"/>
      <c r="BN220" s="73"/>
      <c r="BO220" s="73"/>
      <c r="BP220" s="73"/>
      <c r="BQ220" s="73"/>
      <c r="BR220" s="73"/>
      <c r="BS220" s="73"/>
      <c r="BT220" s="73"/>
      <c r="BU220" s="73"/>
      <c r="BV220" s="73"/>
      <c r="BW220" s="74"/>
      <c r="BX220" s="74"/>
      <c r="BY220" s="63"/>
      <c r="BZ220" s="63"/>
    </row>
    <row r="221" ht="15.75" customHeight="1">
      <c r="A221" s="41" t="s">
        <v>1633</v>
      </c>
      <c r="B221" s="43" t="s">
        <v>1634</v>
      </c>
      <c r="C221" s="43" t="s">
        <v>114</v>
      </c>
      <c r="D221" s="202"/>
      <c r="E221" s="64" t="s">
        <v>1635</v>
      </c>
      <c r="F221" s="47">
        <v>8.5E8</v>
      </c>
      <c r="G221" s="44" t="str">
        <f t="shared" si="1"/>
        <v>$500'000.000 a $1.000'000.000</v>
      </c>
      <c r="H221" s="44"/>
      <c r="I221" s="44"/>
      <c r="J221" s="43" t="s">
        <v>183</v>
      </c>
      <c r="K221" s="150"/>
      <c r="L221" s="94">
        <v>3.0</v>
      </c>
      <c r="M221" s="94"/>
      <c r="N221" s="94">
        <v>4.0</v>
      </c>
      <c r="O221" s="94">
        <v>2.0</v>
      </c>
      <c r="P221" s="94">
        <v>1.0</v>
      </c>
      <c r="Q221" s="113"/>
      <c r="R221" s="79">
        <v>1700.0</v>
      </c>
      <c r="S221" s="56" t="str">
        <f t="shared" si="5"/>
        <v> </v>
      </c>
      <c r="T221" s="44" t="s">
        <v>920</v>
      </c>
      <c r="U221" s="51" t="s">
        <v>142</v>
      </c>
      <c r="V221" s="135"/>
      <c r="W221" s="135"/>
      <c r="X221" s="94">
        <v>4.0</v>
      </c>
      <c r="Y221" s="94" t="s">
        <v>80</v>
      </c>
      <c r="Z221" s="80" t="s">
        <v>81</v>
      </c>
      <c r="AA221" s="59" t="str">
        <f>IF(Rentabilidad=0,"No aplica",TEXT(ROUND(Precio/Rentabilidad/12,0),0) &amp; " años")</f>
        <v>No aplica</v>
      </c>
      <c r="AB221" s="134" t="s">
        <v>1636</v>
      </c>
      <c r="AC221" s="131" t="s">
        <v>1637</v>
      </c>
      <c r="AD221" s="107" t="s">
        <v>1638</v>
      </c>
      <c r="AE221" s="63"/>
      <c r="AF221" s="64" t="s">
        <v>105</v>
      </c>
      <c r="AG221" s="65" t="s">
        <v>106</v>
      </c>
      <c r="AH221" s="65"/>
      <c r="AI221" s="65" t="s">
        <v>107</v>
      </c>
      <c r="AJ221" s="64" t="s">
        <v>1639</v>
      </c>
      <c r="AK221" s="50" t="s">
        <v>81</v>
      </c>
      <c r="AL221" s="45" t="s">
        <v>109</v>
      </c>
      <c r="AM221" s="52">
        <v>3.166963569E9</v>
      </c>
      <c r="AN221" s="45">
        <v>0.0</v>
      </c>
      <c r="AO221" s="52"/>
      <c r="AP221" s="67" t="s">
        <v>1640</v>
      </c>
      <c r="AQ221" s="67"/>
      <c r="AR221" s="67"/>
      <c r="AS221" s="135">
        <v>0.0</v>
      </c>
      <c r="AT221" s="135">
        <v>0.0</v>
      </c>
      <c r="AU221" s="135">
        <v>0.0</v>
      </c>
      <c r="AV221" s="135">
        <v>0.0</v>
      </c>
      <c r="AW221" s="94" t="s">
        <v>88</v>
      </c>
      <c r="AX221" s="135">
        <v>0.0</v>
      </c>
      <c r="AY221" s="94" t="s">
        <v>110</v>
      </c>
      <c r="AZ221" s="135">
        <v>0.0</v>
      </c>
      <c r="BA221" s="43" t="s">
        <v>89</v>
      </c>
      <c r="BB221" s="135">
        <v>0.0</v>
      </c>
      <c r="BC221" s="95" t="s">
        <v>1092</v>
      </c>
      <c r="BD221" s="71"/>
      <c r="BE221" s="71"/>
      <c r="BF221" s="72" t="s">
        <v>1641</v>
      </c>
      <c r="BG221" s="73"/>
      <c r="BH221" s="73"/>
      <c r="BI221" s="73"/>
      <c r="BJ221" s="73"/>
      <c r="BK221" s="73"/>
      <c r="BL221" s="73"/>
      <c r="BM221" s="73"/>
      <c r="BN221" s="73"/>
      <c r="BO221" s="73"/>
      <c r="BP221" s="73"/>
      <c r="BQ221" s="73"/>
      <c r="BR221" s="73"/>
      <c r="BS221" s="73"/>
      <c r="BT221" s="73"/>
      <c r="BU221" s="73"/>
      <c r="BV221" s="73"/>
      <c r="BW221" s="74"/>
      <c r="BX221" s="74"/>
      <c r="BY221" s="63"/>
      <c r="BZ221" s="63"/>
    </row>
    <row r="222" ht="15.75" customHeight="1">
      <c r="A222" s="133" t="s">
        <v>1642</v>
      </c>
      <c r="B222" s="43" t="s">
        <v>1643</v>
      </c>
      <c r="C222" s="43" t="s">
        <v>70</v>
      </c>
      <c r="D222" s="50" t="s">
        <v>193</v>
      </c>
      <c r="E222" s="45"/>
      <c r="F222" s="78">
        <v>7.5E8</v>
      </c>
      <c r="G222" s="44" t="str">
        <f t="shared" si="1"/>
        <v>$500'000.000 a $1.000'000.000</v>
      </c>
      <c r="H222" s="44"/>
      <c r="I222" s="44"/>
      <c r="J222" s="50" t="s">
        <v>76</v>
      </c>
      <c r="K222" s="56"/>
      <c r="L222" s="43">
        <v>6.0</v>
      </c>
      <c r="M222" s="43"/>
      <c r="N222" s="43">
        <v>3.0</v>
      </c>
      <c r="O222" s="43">
        <v>1.0</v>
      </c>
      <c r="P222" s="43">
        <v>1.0</v>
      </c>
      <c r="Q222" s="55">
        <v>240.0</v>
      </c>
      <c r="R222" s="55">
        <v>240.0</v>
      </c>
      <c r="S222" s="56" t="str">
        <f t="shared" si="5"/>
        <v> </v>
      </c>
      <c r="T222" s="43" t="s">
        <v>78</v>
      </c>
      <c r="U222" s="51" t="s">
        <v>142</v>
      </c>
      <c r="V222" s="43" t="s">
        <v>79</v>
      </c>
      <c r="W222" s="43"/>
      <c r="X222" s="43">
        <v>4.0</v>
      </c>
      <c r="Y222" s="43" t="s">
        <v>80</v>
      </c>
      <c r="Z222" s="58" t="s">
        <v>81</v>
      </c>
      <c r="AA222" s="81" t="s">
        <v>81</v>
      </c>
      <c r="AB222" s="134" t="s">
        <v>1644</v>
      </c>
      <c r="AC222" s="61"/>
      <c r="AD222" s="62"/>
      <c r="AE222" s="63"/>
      <c r="AF222" s="45" t="s">
        <v>236</v>
      </c>
      <c r="AG222" s="65" t="s">
        <v>106</v>
      </c>
      <c r="AH222" s="65" t="s">
        <v>45</v>
      </c>
      <c r="AI222" s="65" t="s">
        <v>107</v>
      </c>
      <c r="AJ222" s="64" t="s">
        <v>1639</v>
      </c>
      <c r="AK222" s="50" t="s">
        <v>81</v>
      </c>
      <c r="AL222" s="45" t="s">
        <v>109</v>
      </c>
      <c r="AM222" s="52">
        <v>3.166963569E9</v>
      </c>
      <c r="AN222" s="45">
        <v>0.0</v>
      </c>
      <c r="AO222" s="52"/>
      <c r="AP222" s="67"/>
      <c r="AQ222" s="143">
        <v>2.9387055</v>
      </c>
      <c r="AR222" s="143">
        <v>-75.2863258</v>
      </c>
      <c r="AS222" s="94">
        <v>0.0</v>
      </c>
      <c r="AT222" s="43">
        <v>0.0</v>
      </c>
      <c r="AU222" s="43">
        <v>0.0</v>
      </c>
      <c r="AV222" s="43">
        <v>0.0</v>
      </c>
      <c r="AW222" s="44" t="s">
        <v>106</v>
      </c>
      <c r="AX222" s="43">
        <v>0.0</v>
      </c>
      <c r="AY222" s="43" t="s">
        <v>1645</v>
      </c>
      <c r="AZ222" s="43">
        <v>0.0</v>
      </c>
      <c r="BA222" s="43" t="s">
        <v>89</v>
      </c>
      <c r="BB222" s="43">
        <v>0.0</v>
      </c>
      <c r="BC222" s="69" t="s">
        <v>445</v>
      </c>
      <c r="BD222" s="70"/>
      <c r="BE222" s="71"/>
      <c r="BF222" s="72" t="s">
        <v>1646</v>
      </c>
      <c r="BG222" s="73"/>
      <c r="BH222" s="73"/>
      <c r="BI222" s="73"/>
      <c r="BJ222" s="73"/>
      <c r="BK222" s="73"/>
      <c r="BL222" s="73"/>
      <c r="BM222" s="73"/>
      <c r="BN222" s="73"/>
      <c r="BO222" s="73"/>
      <c r="BP222" s="73"/>
      <c r="BQ222" s="73"/>
      <c r="BR222" s="73"/>
      <c r="BS222" s="73"/>
      <c r="BT222" s="73"/>
      <c r="BU222" s="73"/>
      <c r="BV222" s="73"/>
      <c r="BW222" s="74"/>
      <c r="BX222" s="74"/>
      <c r="BY222" s="63"/>
      <c r="BZ222" s="63"/>
    </row>
    <row r="223" ht="15.75" customHeight="1">
      <c r="A223" s="75" t="s">
        <v>1647</v>
      </c>
      <c r="B223" s="50" t="s">
        <v>870</v>
      </c>
      <c r="C223" s="50" t="s">
        <v>70</v>
      </c>
      <c r="D223" s="50" t="s">
        <v>477</v>
      </c>
      <c r="E223" s="77"/>
      <c r="F223" s="78">
        <v>6.2E8</v>
      </c>
      <c r="G223" s="44" t="str">
        <f t="shared" si="1"/>
        <v>$500'000.000 a $1.000'000.000</v>
      </c>
      <c r="H223" s="44"/>
      <c r="I223" s="44"/>
      <c r="J223" s="50" t="s">
        <v>116</v>
      </c>
      <c r="K223" s="57"/>
      <c r="L223" s="50">
        <v>4.0</v>
      </c>
      <c r="M223" s="50"/>
      <c r="N223" s="50">
        <v>4.0</v>
      </c>
      <c r="O223" s="50">
        <v>1.0</v>
      </c>
      <c r="P223" s="50">
        <v>1.0</v>
      </c>
      <c r="Q223" s="79">
        <v>187.75</v>
      </c>
      <c r="R223" s="79">
        <v>240.0</v>
      </c>
      <c r="S223" s="56" t="str">
        <f t="shared" si="5"/>
        <v> </v>
      </c>
      <c r="T223" s="50" t="s">
        <v>78</v>
      </c>
      <c r="U223" s="51" t="s">
        <v>77</v>
      </c>
      <c r="V223" s="50" t="s">
        <v>79</v>
      </c>
      <c r="W223" s="50"/>
      <c r="X223" s="50">
        <v>3.0</v>
      </c>
      <c r="Y223" s="43" t="s">
        <v>80</v>
      </c>
      <c r="Z223" s="58" t="s">
        <v>81</v>
      </c>
      <c r="AA223" s="59" t="str">
        <f>IF(Rentabilidad=0,"No aplica",TEXT(ROUND(Precio/Rentabilidad/12,0),0) &amp; " años")</f>
        <v>No aplica</v>
      </c>
      <c r="AB223" s="115" t="s">
        <v>1648</v>
      </c>
      <c r="AC223" s="131" t="s">
        <v>1649</v>
      </c>
      <c r="AD223" s="125" t="s">
        <v>1650</v>
      </c>
      <c r="AE223" s="63"/>
      <c r="AF223" s="45" t="s">
        <v>105</v>
      </c>
      <c r="AG223" s="65" t="s">
        <v>106</v>
      </c>
      <c r="AH223" s="63"/>
      <c r="AI223" s="65" t="s">
        <v>107</v>
      </c>
      <c r="AJ223" s="64" t="s">
        <v>1639</v>
      </c>
      <c r="AK223" s="58" t="s">
        <v>81</v>
      </c>
      <c r="AL223" s="45" t="s">
        <v>109</v>
      </c>
      <c r="AM223" s="43">
        <v>3.166963569E9</v>
      </c>
      <c r="AN223" s="45"/>
      <c r="AO223" s="52"/>
      <c r="AP223" s="67"/>
      <c r="AQ223" s="67"/>
      <c r="AR223" s="67"/>
      <c r="AS223" s="85">
        <v>0.0</v>
      </c>
      <c r="AT223" s="50">
        <v>0.0</v>
      </c>
      <c r="AU223" s="43">
        <v>0.0</v>
      </c>
      <c r="AV223" s="43">
        <v>0.0</v>
      </c>
      <c r="AW223" s="43" t="s">
        <v>106</v>
      </c>
      <c r="AX223" s="43">
        <v>60.0</v>
      </c>
      <c r="AY223" s="43" t="s">
        <v>247</v>
      </c>
      <c r="AZ223" s="50">
        <v>0.0</v>
      </c>
      <c r="BA223" s="43" t="s">
        <v>89</v>
      </c>
      <c r="BB223" s="50">
        <v>0.0</v>
      </c>
      <c r="BC223" s="109"/>
      <c r="BD223" s="70"/>
      <c r="BE223" s="71"/>
      <c r="BF223" s="72" t="s">
        <v>1651</v>
      </c>
      <c r="BG223" s="73"/>
      <c r="BH223" s="73"/>
      <c r="BI223" s="73"/>
      <c r="BJ223" s="73"/>
      <c r="BK223" s="73"/>
      <c r="BL223" s="73"/>
      <c r="BM223" s="73"/>
      <c r="BN223" s="73"/>
      <c r="BO223" s="73"/>
      <c r="BP223" s="73"/>
      <c r="BQ223" s="73"/>
      <c r="BR223" s="73"/>
      <c r="BS223" s="73"/>
      <c r="BT223" s="73"/>
      <c r="BU223" s="73"/>
      <c r="BV223" s="73"/>
      <c r="BW223" s="74"/>
      <c r="BX223" s="74"/>
      <c r="BY223" s="63"/>
      <c r="BZ223" s="63"/>
    </row>
    <row r="224" ht="15.75" customHeight="1">
      <c r="A224" s="41" t="s">
        <v>1652</v>
      </c>
      <c r="B224" s="50" t="s">
        <v>1653</v>
      </c>
      <c r="C224" s="50" t="s">
        <v>70</v>
      </c>
      <c r="D224" s="44" t="s">
        <v>1654</v>
      </c>
      <c r="E224" s="64"/>
      <c r="F224" s="47">
        <v>1.5E8</v>
      </c>
      <c r="G224" s="44" t="str">
        <f t="shared" si="1"/>
        <v>$100'000.000 a $200'000.000</v>
      </c>
      <c r="H224" s="44"/>
      <c r="I224" s="44"/>
      <c r="J224" s="50" t="s">
        <v>94</v>
      </c>
      <c r="K224" s="57"/>
      <c r="L224" s="44">
        <v>3.0</v>
      </c>
      <c r="M224" s="44"/>
      <c r="N224" s="44">
        <v>2.0</v>
      </c>
      <c r="O224" s="50">
        <v>1.0</v>
      </c>
      <c r="P224" s="44">
        <v>1.0</v>
      </c>
      <c r="Q224" s="113"/>
      <c r="R224" s="79">
        <v>78.0</v>
      </c>
      <c r="S224" s="56" t="str">
        <f t="shared" si="5"/>
        <v> </v>
      </c>
      <c r="T224" s="44" t="s">
        <v>78</v>
      </c>
      <c r="U224" s="57" t="s">
        <v>184</v>
      </c>
      <c r="V224" s="50" t="s">
        <v>79</v>
      </c>
      <c r="W224" s="50"/>
      <c r="X224" s="44">
        <v>3.0</v>
      </c>
      <c r="Y224" s="50" t="s">
        <v>80</v>
      </c>
      <c r="Z224" s="58" t="s">
        <v>81</v>
      </c>
      <c r="AA224" s="59" t="str">
        <f>IF(Rentabilidad=0,"No aplica",TEXT(ROUND(Precio/Rentabilidad/12,0),0) &amp; " años")</f>
        <v>No aplica</v>
      </c>
      <c r="AB224" s="220"/>
      <c r="AC224" s="61"/>
      <c r="AD224" s="62"/>
      <c r="AE224" s="63"/>
      <c r="AF224" s="45" t="s">
        <v>236</v>
      </c>
      <c r="AG224" s="63"/>
      <c r="AH224" s="63"/>
      <c r="AI224" s="63"/>
      <c r="AJ224" s="64" t="s">
        <v>1655</v>
      </c>
      <c r="AK224" s="58" t="s">
        <v>81</v>
      </c>
      <c r="AL224" s="45" t="s">
        <v>109</v>
      </c>
      <c r="AM224" s="52">
        <v>3.174308265E9</v>
      </c>
      <c r="AN224" s="45" t="s">
        <v>1656</v>
      </c>
      <c r="AO224" s="52"/>
      <c r="AP224" s="67" t="s">
        <v>1657</v>
      </c>
      <c r="AQ224" s="67"/>
      <c r="AR224" s="67"/>
      <c r="AS224" s="68">
        <v>0.0</v>
      </c>
      <c r="AT224" s="44">
        <v>0.0</v>
      </c>
      <c r="AU224" s="52">
        <v>0.0</v>
      </c>
      <c r="AV224" s="52">
        <v>0.0</v>
      </c>
      <c r="AW224" s="52" t="s">
        <v>106</v>
      </c>
      <c r="AX224" s="52">
        <v>0.0</v>
      </c>
      <c r="AY224" s="52" t="s">
        <v>137</v>
      </c>
      <c r="AZ224" s="44">
        <v>0.0</v>
      </c>
      <c r="BA224" s="43" t="s">
        <v>89</v>
      </c>
      <c r="BB224" s="44">
        <v>0.0</v>
      </c>
      <c r="BC224" s="69" t="s">
        <v>716</v>
      </c>
      <c r="BD224" s="70"/>
      <c r="BE224" s="71"/>
      <c r="BF224" s="72"/>
      <c r="BG224" s="73"/>
      <c r="BH224" s="73"/>
      <c r="BI224" s="73"/>
      <c r="BJ224" s="73"/>
      <c r="BK224" s="73"/>
      <c r="BL224" s="73"/>
      <c r="BM224" s="73"/>
      <c r="BN224" s="73"/>
      <c r="BO224" s="73"/>
      <c r="BP224" s="73"/>
      <c r="BQ224" s="73"/>
      <c r="BR224" s="73"/>
      <c r="BS224" s="73"/>
      <c r="BT224" s="73"/>
      <c r="BU224" s="73"/>
      <c r="BV224" s="73"/>
      <c r="BW224" s="74"/>
      <c r="BX224" s="74"/>
      <c r="BY224" s="63"/>
      <c r="BZ224" s="63"/>
    </row>
    <row r="225" ht="15.75" customHeight="1">
      <c r="A225" s="75" t="s">
        <v>1658</v>
      </c>
      <c r="B225" s="50" t="s">
        <v>93</v>
      </c>
      <c r="C225" s="50" t="s">
        <v>93</v>
      </c>
      <c r="D225" s="50"/>
      <c r="E225" s="64"/>
      <c r="F225" s="78">
        <v>1.3E9</v>
      </c>
      <c r="G225" s="44" t="str">
        <f t="shared" si="1"/>
        <v>Más de $1.000'000.000</v>
      </c>
      <c r="H225" s="44"/>
      <c r="I225" s="44"/>
      <c r="J225" s="50" t="s">
        <v>94</v>
      </c>
      <c r="K225" s="51"/>
      <c r="L225" s="50">
        <v>3.0</v>
      </c>
      <c r="M225" s="50"/>
      <c r="N225" s="50">
        <v>3.0</v>
      </c>
      <c r="O225" s="50">
        <v>4.0</v>
      </c>
      <c r="P225" s="50">
        <v>1.0</v>
      </c>
      <c r="Q225" s="88">
        <v>220.0</v>
      </c>
      <c r="R225" s="88">
        <v>2000.0</v>
      </c>
      <c r="S225" s="56"/>
      <c r="T225" s="50" t="s">
        <v>95</v>
      </c>
      <c r="U225" s="57"/>
      <c r="V225" s="50" t="s">
        <v>79</v>
      </c>
      <c r="W225" s="50"/>
      <c r="X225" s="50">
        <v>3.0</v>
      </c>
      <c r="Y225" s="50" t="s">
        <v>97</v>
      </c>
      <c r="Z225" s="91"/>
      <c r="AA225" s="59" t="str">
        <f>IF(Rentabilidad=0,"No aplica",TEXT(ROUND(Precio/Rentabilidad/12,0),0) &amp; " años")</f>
        <v>No aplica</v>
      </c>
      <c r="AB225" s="82" t="s">
        <v>1659</v>
      </c>
      <c r="AC225" s="102" t="s">
        <v>1660</v>
      </c>
      <c r="AD225" s="107" t="s">
        <v>1661</v>
      </c>
      <c r="AE225" s="63"/>
      <c r="AF225" s="64" t="s">
        <v>105</v>
      </c>
      <c r="AG225" s="65" t="s">
        <v>106</v>
      </c>
      <c r="AH225" s="63"/>
      <c r="AI225" s="65" t="s">
        <v>107</v>
      </c>
      <c r="AJ225" s="64" t="s">
        <v>1662</v>
      </c>
      <c r="AK225" s="58" t="s">
        <v>81</v>
      </c>
      <c r="AL225" s="64" t="s">
        <v>109</v>
      </c>
      <c r="AM225" s="43">
        <v>3.105672288E9</v>
      </c>
      <c r="AN225" s="64">
        <v>0.0</v>
      </c>
      <c r="AO225" s="43" t="s">
        <v>1663</v>
      </c>
      <c r="AP225" s="84"/>
      <c r="AQ225" s="84"/>
      <c r="AR225" s="84"/>
      <c r="AS225" s="94">
        <v>0.0</v>
      </c>
      <c r="AT225" s="65" t="s">
        <v>88</v>
      </c>
      <c r="AU225" s="43">
        <v>0.0</v>
      </c>
      <c r="AV225" s="43">
        <v>0.0</v>
      </c>
      <c r="AW225" s="43" t="s">
        <v>88</v>
      </c>
      <c r="AX225" s="43">
        <v>0.0</v>
      </c>
      <c r="AY225" s="43" t="s">
        <v>106</v>
      </c>
      <c r="AZ225" s="43">
        <v>0.0</v>
      </c>
      <c r="BA225" s="43" t="s">
        <v>89</v>
      </c>
      <c r="BB225" s="50">
        <v>0.0</v>
      </c>
      <c r="BC225" s="109"/>
      <c r="BD225" s="70"/>
      <c r="BE225" s="70"/>
      <c r="BF225" s="72" t="s">
        <v>1664</v>
      </c>
      <c r="BG225" s="73"/>
      <c r="BH225" s="73"/>
      <c r="BI225" s="73"/>
      <c r="BJ225" s="73"/>
      <c r="BK225" s="73"/>
      <c r="BL225" s="73"/>
      <c r="BM225" s="73"/>
      <c r="BN225" s="73"/>
      <c r="BO225" s="73"/>
      <c r="BP225" s="73"/>
      <c r="BQ225" s="73"/>
      <c r="BR225" s="73"/>
      <c r="BS225" s="73"/>
      <c r="BT225" s="73"/>
      <c r="BU225" s="73"/>
      <c r="BV225" s="73"/>
      <c r="BW225" s="74"/>
      <c r="BX225" s="74"/>
      <c r="BY225" s="63"/>
      <c r="BZ225" s="63"/>
    </row>
    <row r="226" ht="15.75" customHeight="1">
      <c r="A226" s="75" t="s">
        <v>1665</v>
      </c>
      <c r="B226" s="50" t="s">
        <v>1666</v>
      </c>
      <c r="C226" s="50" t="s">
        <v>773</v>
      </c>
      <c r="D226" s="50" t="s">
        <v>76</v>
      </c>
      <c r="E226" s="64"/>
      <c r="F226" s="78">
        <v>1.03E9</v>
      </c>
      <c r="G226" s="44" t="str">
        <f t="shared" si="1"/>
        <v>Más de $1.000'000.000</v>
      </c>
      <c r="H226" s="44"/>
      <c r="I226" s="44"/>
      <c r="J226" s="50" t="s">
        <v>76</v>
      </c>
      <c r="K226" s="51"/>
      <c r="L226" s="50">
        <v>0.0</v>
      </c>
      <c r="M226" s="50"/>
      <c r="N226" s="50">
        <v>2.0</v>
      </c>
      <c r="O226" s="50">
        <v>0.0</v>
      </c>
      <c r="P226" s="50">
        <v>1.0</v>
      </c>
      <c r="Q226" s="88">
        <v>50.0</v>
      </c>
      <c r="R226" s="88">
        <v>489.0</v>
      </c>
      <c r="S226" s="56"/>
      <c r="T226" s="50" t="s">
        <v>78</v>
      </c>
      <c r="U226" s="57"/>
      <c r="V226" s="50" t="s">
        <v>79</v>
      </c>
      <c r="W226" s="50"/>
      <c r="X226" s="50">
        <v>0.0</v>
      </c>
      <c r="Y226" s="50" t="s">
        <v>80</v>
      </c>
      <c r="Z226" s="91"/>
      <c r="AA226" s="59" t="str">
        <f>IF(Rentabilidad=0,"No aplica",TEXT(ROUND(Precio/Rentabilidad/12,0),0) &amp; " años")</f>
        <v>No aplica</v>
      </c>
      <c r="AB226" s="82" t="s">
        <v>1667</v>
      </c>
      <c r="AC226" s="131" t="s">
        <v>1668</v>
      </c>
      <c r="AD226" s="107" t="s">
        <v>1669</v>
      </c>
      <c r="AE226" s="63"/>
      <c r="AF226" s="64">
        <v>0.0</v>
      </c>
      <c r="AG226" s="65" t="s">
        <v>106</v>
      </c>
      <c r="AH226" s="63"/>
      <c r="AI226" s="65" t="s">
        <v>107</v>
      </c>
      <c r="AJ226" s="64" t="s">
        <v>1662</v>
      </c>
      <c r="AK226" s="58" t="s">
        <v>81</v>
      </c>
      <c r="AL226" s="64" t="s">
        <v>109</v>
      </c>
      <c r="AM226" s="43">
        <v>3.105672288E9</v>
      </c>
      <c r="AN226" s="64">
        <v>0.0</v>
      </c>
      <c r="AO226" s="43" t="s">
        <v>1663</v>
      </c>
      <c r="AP226" s="84" t="s">
        <v>1670</v>
      </c>
      <c r="AQ226" s="84"/>
      <c r="AR226" s="84"/>
      <c r="AS226" s="94">
        <v>0.0</v>
      </c>
      <c r="AT226" s="65" t="s">
        <v>88</v>
      </c>
      <c r="AU226" s="43">
        <v>0.0</v>
      </c>
      <c r="AV226" s="43">
        <v>0.0</v>
      </c>
      <c r="AW226" s="43" t="s">
        <v>88</v>
      </c>
      <c r="AX226" s="43">
        <v>0.0</v>
      </c>
      <c r="AY226" s="43">
        <v>0.0</v>
      </c>
      <c r="AZ226" s="43">
        <v>0.0</v>
      </c>
      <c r="BA226" s="43" t="s">
        <v>89</v>
      </c>
      <c r="BB226" s="50">
        <v>0.0</v>
      </c>
      <c r="BC226" s="109"/>
      <c r="BD226" s="70"/>
      <c r="BE226" s="70"/>
      <c r="BF226" s="72" t="s">
        <v>1671</v>
      </c>
      <c r="BG226" s="73"/>
      <c r="BH226" s="73"/>
      <c r="BI226" s="73"/>
      <c r="BJ226" s="73"/>
      <c r="BK226" s="73"/>
      <c r="BL226" s="73"/>
      <c r="BM226" s="73"/>
      <c r="BN226" s="73"/>
      <c r="BO226" s="73"/>
      <c r="BP226" s="73"/>
      <c r="BQ226" s="73"/>
      <c r="BR226" s="73"/>
      <c r="BS226" s="73"/>
      <c r="BT226" s="73"/>
      <c r="BU226" s="73"/>
      <c r="BV226" s="73"/>
      <c r="BW226" s="74"/>
      <c r="BX226" s="74"/>
      <c r="BY226" s="63"/>
      <c r="BZ226" s="63"/>
    </row>
    <row r="227" ht="15.75" customHeight="1">
      <c r="A227" s="75" t="s">
        <v>1672</v>
      </c>
      <c r="B227" s="50" t="s">
        <v>1673</v>
      </c>
      <c r="C227" s="50" t="s">
        <v>128</v>
      </c>
      <c r="D227" s="50"/>
      <c r="E227" s="64" t="s">
        <v>1674</v>
      </c>
      <c r="F227" s="78">
        <v>8.8E8</v>
      </c>
      <c r="G227" s="44" t="str">
        <f t="shared" si="1"/>
        <v>$500'000.000 a $1.000'000.000</v>
      </c>
      <c r="H227" s="44"/>
      <c r="I227" s="44"/>
      <c r="J227" s="50" t="s">
        <v>116</v>
      </c>
      <c r="K227" s="51" t="s">
        <v>192</v>
      </c>
      <c r="L227" s="50">
        <v>3.0</v>
      </c>
      <c r="M227" s="50"/>
      <c r="N227" s="50">
        <v>5.0</v>
      </c>
      <c r="O227" s="50">
        <v>2.0</v>
      </c>
      <c r="P227" s="50">
        <v>2.0</v>
      </c>
      <c r="Q227" s="88">
        <v>0.0</v>
      </c>
      <c r="R227" s="89">
        <v>0.0</v>
      </c>
      <c r="S227" s="56" t="str">
        <f>IF(AS227=0," ","Rentabilidad $" &amp; TEXT(AS227,"#,##0"))</f>
        <v> </v>
      </c>
      <c r="T227" s="50" t="s">
        <v>78</v>
      </c>
      <c r="U227" s="51" t="s">
        <v>142</v>
      </c>
      <c r="V227" s="50" t="s">
        <v>118</v>
      </c>
      <c r="W227" s="50"/>
      <c r="X227" s="50">
        <v>3.0</v>
      </c>
      <c r="Y227" s="50" t="s">
        <v>130</v>
      </c>
      <c r="Z227" s="58">
        <v>930000.0</v>
      </c>
      <c r="AA227" s="59" t="str">
        <f>IF(Rentabilidad=0,"No aplica",TEXT(ROUND(Precio/Rentabilidad/12,0),0) &amp; " años")</f>
        <v>No aplica</v>
      </c>
      <c r="AB227" s="82" t="s">
        <v>1675</v>
      </c>
      <c r="AC227" s="97" t="s">
        <v>1676</v>
      </c>
      <c r="AD227" s="97" t="s">
        <v>1677</v>
      </c>
      <c r="AE227" s="63"/>
      <c r="AF227" s="64" t="s">
        <v>105</v>
      </c>
      <c r="AG227" s="65" t="s">
        <v>106</v>
      </c>
      <c r="AH227" s="63"/>
      <c r="AI227" s="65" t="s">
        <v>107</v>
      </c>
      <c r="AJ227" s="64" t="s">
        <v>1662</v>
      </c>
      <c r="AK227" s="50" t="s">
        <v>81</v>
      </c>
      <c r="AL227" s="64" t="s">
        <v>109</v>
      </c>
      <c r="AM227" s="50">
        <v>3.105672288E9</v>
      </c>
      <c r="AN227" s="64">
        <v>3.228445597E9</v>
      </c>
      <c r="AO227" s="52"/>
      <c r="AP227" s="67"/>
      <c r="AQ227" s="67"/>
      <c r="AR227" s="67"/>
      <c r="AS227" s="94">
        <v>0.0</v>
      </c>
      <c r="AT227" s="65" t="s">
        <v>106</v>
      </c>
      <c r="AU227" s="50" t="s">
        <v>106</v>
      </c>
      <c r="AV227" s="50" t="s">
        <v>106</v>
      </c>
      <c r="AW227" s="50" t="s">
        <v>88</v>
      </c>
      <c r="AX227" s="50">
        <v>0.0</v>
      </c>
      <c r="AY227" s="50">
        <v>0.0</v>
      </c>
      <c r="AZ227" s="50">
        <v>0.0</v>
      </c>
      <c r="BA227" s="43" t="s">
        <v>89</v>
      </c>
      <c r="BB227" s="50">
        <v>0.0</v>
      </c>
      <c r="BC227" s="95"/>
      <c r="BD227" s="71"/>
      <c r="BE227" s="71"/>
      <c r="BF227" s="72" t="s">
        <v>1678</v>
      </c>
      <c r="BG227" s="73"/>
      <c r="BH227" s="73"/>
      <c r="BI227" s="73"/>
      <c r="BJ227" s="73"/>
      <c r="BK227" s="73"/>
      <c r="BL227" s="73"/>
      <c r="BM227" s="73"/>
      <c r="BN227" s="73"/>
      <c r="BO227" s="73"/>
      <c r="BP227" s="73"/>
      <c r="BQ227" s="73"/>
      <c r="BR227" s="73"/>
      <c r="BS227" s="73"/>
      <c r="BT227" s="73"/>
      <c r="BU227" s="73"/>
      <c r="BV227" s="73"/>
      <c r="BW227" s="74"/>
      <c r="BX227" s="74"/>
      <c r="BY227" s="63"/>
      <c r="BZ227" s="63"/>
    </row>
    <row r="228" ht="15.75" customHeight="1">
      <c r="A228" s="75" t="s">
        <v>1679</v>
      </c>
      <c r="B228" s="50" t="s">
        <v>1680</v>
      </c>
      <c r="C228" s="50" t="s">
        <v>93</v>
      </c>
      <c r="D228" s="50"/>
      <c r="E228" s="64"/>
      <c r="F228" s="78">
        <v>8.6E8</v>
      </c>
      <c r="G228" s="44" t="str">
        <f t="shared" si="1"/>
        <v>$500'000.000 a $1.000'000.000</v>
      </c>
      <c r="H228" s="44"/>
      <c r="I228" s="44"/>
      <c r="J228" s="50" t="s">
        <v>498</v>
      </c>
      <c r="K228" s="51"/>
      <c r="L228" s="50">
        <v>7.0</v>
      </c>
      <c r="M228" s="50"/>
      <c r="N228" s="50">
        <v>3.0</v>
      </c>
      <c r="O228" s="50">
        <v>1.0</v>
      </c>
      <c r="P228" s="50">
        <v>1.0</v>
      </c>
      <c r="Q228" s="88">
        <v>250.0</v>
      </c>
      <c r="R228" s="88">
        <v>1700.0</v>
      </c>
      <c r="S228" s="56"/>
      <c r="T228" s="50" t="s">
        <v>78</v>
      </c>
      <c r="U228" s="57"/>
      <c r="V228" s="50" t="s">
        <v>79</v>
      </c>
      <c r="W228" s="50"/>
      <c r="X228" s="50">
        <v>6.0</v>
      </c>
      <c r="Y228" s="50" t="s">
        <v>80</v>
      </c>
      <c r="Z228" s="58" t="s">
        <v>81</v>
      </c>
      <c r="AA228" s="59" t="str">
        <f>IF(Rentabilidad=0,"No aplica",TEXT(ROUND(Precio/Rentabilidad/12,0),0) &amp; " años")</f>
        <v>No aplica</v>
      </c>
      <c r="AB228" s="82" t="s">
        <v>1681</v>
      </c>
      <c r="AC228" s="221" t="s">
        <v>1682</v>
      </c>
      <c r="AD228" s="107" t="s">
        <v>1683</v>
      </c>
      <c r="AE228" s="63"/>
      <c r="AF228" s="64" t="s">
        <v>105</v>
      </c>
      <c r="AG228" s="65" t="s">
        <v>106</v>
      </c>
      <c r="AH228" s="63"/>
      <c r="AI228" s="65" t="s">
        <v>107</v>
      </c>
      <c r="AJ228" s="64" t="s">
        <v>1662</v>
      </c>
      <c r="AK228" s="58" t="s">
        <v>81</v>
      </c>
      <c r="AL228" s="64" t="s">
        <v>109</v>
      </c>
      <c r="AM228" s="43">
        <v>3.105672288E9</v>
      </c>
      <c r="AN228" s="64">
        <v>0.0</v>
      </c>
      <c r="AO228" s="52"/>
      <c r="AP228" s="67"/>
      <c r="AQ228" s="67"/>
      <c r="AR228" s="67"/>
      <c r="AS228" s="94">
        <v>0.0</v>
      </c>
      <c r="AT228" s="65">
        <v>0.0</v>
      </c>
      <c r="AU228" s="50">
        <v>0.0</v>
      </c>
      <c r="AV228" s="50">
        <v>0.0</v>
      </c>
      <c r="AW228" s="50" t="s">
        <v>88</v>
      </c>
      <c r="AX228" s="50">
        <v>0.0</v>
      </c>
      <c r="AY228" s="50" t="s">
        <v>106</v>
      </c>
      <c r="AZ228" s="50">
        <v>0.0</v>
      </c>
      <c r="BA228" s="43" t="s">
        <v>89</v>
      </c>
      <c r="BB228" s="50">
        <v>0.0</v>
      </c>
      <c r="BC228" s="69" t="s">
        <v>1684</v>
      </c>
      <c r="BD228" s="70"/>
      <c r="BE228" s="70"/>
      <c r="BF228" s="72" t="s">
        <v>1685</v>
      </c>
      <c r="BG228" s="73"/>
      <c r="BH228" s="73"/>
      <c r="BI228" s="73"/>
      <c r="BJ228" s="73"/>
      <c r="BK228" s="73"/>
      <c r="BL228" s="73"/>
      <c r="BM228" s="73"/>
      <c r="BN228" s="73"/>
      <c r="BO228" s="73"/>
      <c r="BP228" s="73"/>
      <c r="BQ228" s="73"/>
      <c r="BR228" s="73"/>
      <c r="BS228" s="73"/>
      <c r="BT228" s="73"/>
      <c r="BU228" s="73"/>
      <c r="BV228" s="73"/>
      <c r="BW228" s="74"/>
      <c r="BX228" s="74"/>
      <c r="BY228" s="63"/>
      <c r="BZ228" s="63"/>
    </row>
    <row r="229" ht="15.75" customHeight="1">
      <c r="A229" s="75" t="s">
        <v>1686</v>
      </c>
      <c r="B229" s="50" t="s">
        <v>1687</v>
      </c>
      <c r="C229" s="50" t="s">
        <v>128</v>
      </c>
      <c r="D229" s="50" t="s">
        <v>1688</v>
      </c>
      <c r="E229" s="64" t="s">
        <v>1689</v>
      </c>
      <c r="F229" s="78">
        <v>3.57E8</v>
      </c>
      <c r="G229" s="44" t="str">
        <f t="shared" si="1"/>
        <v>$300'000.000 a $400'000.000</v>
      </c>
      <c r="H229" s="44"/>
      <c r="I229" s="44"/>
      <c r="J229" s="50" t="s">
        <v>183</v>
      </c>
      <c r="K229" s="51" t="s">
        <v>117</v>
      </c>
      <c r="L229" s="50">
        <v>3.0</v>
      </c>
      <c r="M229" s="50"/>
      <c r="N229" s="50">
        <v>3.0</v>
      </c>
      <c r="O229" s="50">
        <v>1.0</v>
      </c>
      <c r="P229" s="50">
        <v>2.0</v>
      </c>
      <c r="Q229" s="88">
        <v>0.0</v>
      </c>
      <c r="R229" s="88">
        <v>90.0</v>
      </c>
      <c r="S229" s="56"/>
      <c r="T229" s="50" t="s">
        <v>78</v>
      </c>
      <c r="U229" s="51" t="s">
        <v>142</v>
      </c>
      <c r="V229" s="50" t="s">
        <v>118</v>
      </c>
      <c r="W229" s="50"/>
      <c r="X229" s="50">
        <v>3.0</v>
      </c>
      <c r="Y229" s="50" t="s">
        <v>130</v>
      </c>
      <c r="Z229" s="58">
        <v>360000.0</v>
      </c>
      <c r="AA229" s="59" t="str">
        <f>IF(Rentabilidad=0,"No aplica",TEXT(ROUND(Precio/Rentabilidad/12,0),0) &amp; " años")</f>
        <v>No aplica</v>
      </c>
      <c r="AB229" s="82" t="s">
        <v>1690</v>
      </c>
      <c r="AC229" s="221" t="s">
        <v>1691</v>
      </c>
      <c r="AD229" s="107" t="s">
        <v>1692</v>
      </c>
      <c r="AE229" s="63"/>
      <c r="AF229" s="64" t="s">
        <v>105</v>
      </c>
      <c r="AG229" s="65" t="s">
        <v>106</v>
      </c>
      <c r="AH229" s="63"/>
      <c r="AI229" s="65" t="s">
        <v>107</v>
      </c>
      <c r="AJ229" s="64" t="s">
        <v>1662</v>
      </c>
      <c r="AK229" s="50" t="s">
        <v>81</v>
      </c>
      <c r="AL229" s="64" t="s">
        <v>109</v>
      </c>
      <c r="AM229" s="50">
        <v>3.105672288E9</v>
      </c>
      <c r="AN229" s="64">
        <v>3.228445597E9</v>
      </c>
      <c r="AO229" s="52"/>
      <c r="AP229" s="84" t="s">
        <v>1693</v>
      </c>
      <c r="AQ229" s="84">
        <v>2.9373602</v>
      </c>
      <c r="AR229" s="84">
        <v>-75.2535423</v>
      </c>
      <c r="AS229" s="94"/>
      <c r="AT229" s="65">
        <v>0.0</v>
      </c>
      <c r="AU229" s="50">
        <v>4.0</v>
      </c>
      <c r="AV229" s="50">
        <v>2.0</v>
      </c>
      <c r="AW229" s="50" t="s">
        <v>88</v>
      </c>
      <c r="AX229" s="50">
        <v>0.0</v>
      </c>
      <c r="AY229" s="50" t="s">
        <v>137</v>
      </c>
      <c r="AZ229" s="50">
        <v>0.0</v>
      </c>
      <c r="BA229" s="43" t="s">
        <v>89</v>
      </c>
      <c r="BB229" s="50">
        <v>0.0</v>
      </c>
      <c r="BC229" s="109"/>
      <c r="BD229" s="70"/>
      <c r="BE229" s="71"/>
      <c r="BF229" s="72" t="s">
        <v>1694</v>
      </c>
      <c r="BG229" s="73"/>
      <c r="BH229" s="73"/>
      <c r="BI229" s="73"/>
      <c r="BJ229" s="73"/>
      <c r="BK229" s="73"/>
      <c r="BL229" s="73"/>
      <c r="BM229" s="73"/>
      <c r="BN229" s="73"/>
      <c r="BO229" s="73"/>
      <c r="BP229" s="73"/>
      <c r="BQ229" s="73"/>
      <c r="BR229" s="73"/>
      <c r="BS229" s="73"/>
      <c r="BT229" s="73"/>
      <c r="BU229" s="73"/>
      <c r="BV229" s="73"/>
      <c r="BW229" s="74"/>
      <c r="BX229" s="74"/>
      <c r="BY229" s="63"/>
      <c r="BZ229" s="63"/>
    </row>
    <row r="230" ht="15.75" customHeight="1">
      <c r="A230" s="75" t="s">
        <v>1695</v>
      </c>
      <c r="B230" s="50" t="s">
        <v>1696</v>
      </c>
      <c r="C230" s="50" t="s">
        <v>271</v>
      </c>
      <c r="D230" s="50" t="s">
        <v>76</v>
      </c>
      <c r="E230" s="64"/>
      <c r="F230" s="78">
        <v>3.5E8</v>
      </c>
      <c r="G230" s="44" t="str">
        <f t="shared" si="1"/>
        <v>$300'000.000 a $400'000.000</v>
      </c>
      <c r="H230" s="44"/>
      <c r="I230" s="44"/>
      <c r="J230" s="50" t="s">
        <v>76</v>
      </c>
      <c r="K230" s="51" t="s">
        <v>142</v>
      </c>
      <c r="L230" s="50">
        <v>6.0</v>
      </c>
      <c r="M230" s="50"/>
      <c r="N230" s="50">
        <v>3.0</v>
      </c>
      <c r="O230" s="50">
        <v>0.0</v>
      </c>
      <c r="P230" s="50">
        <v>2.0</v>
      </c>
      <c r="Q230" s="88">
        <v>0.0</v>
      </c>
      <c r="R230" s="89">
        <v>0.0</v>
      </c>
      <c r="S230" s="56" t="str">
        <f>IF(AS230=0," ","Rentabilidad $" &amp; TEXT(AS230,"#,##0"))</f>
        <v>Rentabilidad $3,000,000</v>
      </c>
      <c r="T230" s="50" t="s">
        <v>78</v>
      </c>
      <c r="U230" s="51" t="s">
        <v>142</v>
      </c>
      <c r="V230" s="50" t="s">
        <v>79</v>
      </c>
      <c r="W230" s="50"/>
      <c r="X230" s="50">
        <v>2.0</v>
      </c>
      <c r="Y230" s="50" t="s">
        <v>80</v>
      </c>
      <c r="Z230" s="80" t="s">
        <v>81</v>
      </c>
      <c r="AA230" s="59" t="str">
        <f>IF(Rentabilidad=0,"No aplica",TEXT(ROUND(Precio/Rentabilidad/12,0),0) &amp; " años")</f>
        <v>10 años</v>
      </c>
      <c r="AB230" s="82" t="s">
        <v>1697</v>
      </c>
      <c r="AC230" s="131" t="s">
        <v>1698</v>
      </c>
      <c r="AD230" s="107" t="s">
        <v>1699</v>
      </c>
      <c r="AE230" s="63"/>
      <c r="AF230" s="64" t="s">
        <v>84</v>
      </c>
      <c r="AG230" s="65" t="s">
        <v>106</v>
      </c>
      <c r="AH230" s="63"/>
      <c r="AI230" s="65" t="s">
        <v>107</v>
      </c>
      <c r="AJ230" s="64" t="s">
        <v>1662</v>
      </c>
      <c r="AK230" s="50" t="s">
        <v>81</v>
      </c>
      <c r="AL230" s="64" t="s">
        <v>109</v>
      </c>
      <c r="AM230" s="50">
        <v>3.105672288E9</v>
      </c>
      <c r="AN230" s="64">
        <v>3.228445597E9</v>
      </c>
      <c r="AO230" s="52"/>
      <c r="AP230" s="67"/>
      <c r="AQ230" s="67"/>
      <c r="AR230" s="67"/>
      <c r="AS230" s="94">
        <v>3000000.0</v>
      </c>
      <c r="AT230" s="65" t="s">
        <v>88</v>
      </c>
      <c r="AU230" s="50">
        <v>0.0</v>
      </c>
      <c r="AV230" s="50">
        <v>0.0</v>
      </c>
      <c r="AW230" s="50" t="s">
        <v>88</v>
      </c>
      <c r="AX230" s="50">
        <v>0.0</v>
      </c>
      <c r="AY230" s="50">
        <v>0.0</v>
      </c>
      <c r="AZ230" s="50">
        <v>0.0</v>
      </c>
      <c r="BA230" s="43" t="s">
        <v>89</v>
      </c>
      <c r="BB230" s="50">
        <v>0.0</v>
      </c>
      <c r="BC230" s="95"/>
      <c r="BD230" s="71"/>
      <c r="BE230" s="71"/>
      <c r="BF230" s="72" t="s">
        <v>1700</v>
      </c>
      <c r="BG230" s="74"/>
      <c r="BH230" s="74"/>
      <c r="BI230" s="74"/>
      <c r="BJ230" s="74"/>
      <c r="BK230" s="74"/>
      <c r="BL230" s="74"/>
      <c r="BM230" s="74"/>
      <c r="BN230" s="74"/>
      <c r="BO230" s="74"/>
      <c r="BP230" s="74"/>
      <c r="BQ230" s="74"/>
      <c r="BR230" s="74"/>
      <c r="BS230" s="74"/>
      <c r="BT230" s="74"/>
      <c r="BU230" s="74"/>
      <c r="BV230" s="74"/>
      <c r="BW230" s="74"/>
      <c r="BX230" s="74"/>
      <c r="BY230" s="63"/>
      <c r="BZ230" s="63"/>
    </row>
    <row r="231" ht="15.75" customHeight="1">
      <c r="A231" s="75" t="s">
        <v>1701</v>
      </c>
      <c r="B231" s="50" t="s">
        <v>1702</v>
      </c>
      <c r="C231" s="50" t="s">
        <v>315</v>
      </c>
      <c r="D231" s="50"/>
      <c r="E231" s="64"/>
      <c r="F231" s="78">
        <v>2.2E8</v>
      </c>
      <c r="G231" s="44" t="str">
        <f t="shared" si="1"/>
        <v>$200'000.000 a $300'000.000</v>
      </c>
      <c r="H231" s="44"/>
      <c r="I231" s="44"/>
      <c r="J231" s="50" t="s">
        <v>94</v>
      </c>
      <c r="K231" s="51"/>
      <c r="L231" s="50">
        <v>0.0</v>
      </c>
      <c r="M231" s="50"/>
      <c r="N231" s="50">
        <v>0.0</v>
      </c>
      <c r="O231" s="50">
        <v>0.0</v>
      </c>
      <c r="P231" s="50">
        <v>0.0</v>
      </c>
      <c r="Q231" s="88">
        <v>0.0</v>
      </c>
      <c r="R231" s="88">
        <v>258.0</v>
      </c>
      <c r="S231" s="56"/>
      <c r="T231" s="50" t="s">
        <v>78</v>
      </c>
      <c r="U231" s="57"/>
      <c r="V231" s="50" t="s">
        <v>79</v>
      </c>
      <c r="W231" s="50"/>
      <c r="X231" s="50">
        <v>0.0</v>
      </c>
      <c r="Y231" s="50" t="s">
        <v>80</v>
      </c>
      <c r="Z231" s="91"/>
      <c r="AA231" s="59" t="str">
        <f>IF(Rentabilidad=0,"No aplica",TEXT(ROUND(Precio/Rentabilidad/12,0),0) &amp; " años")</f>
        <v>No aplica</v>
      </c>
      <c r="AB231" s="82" t="s">
        <v>1703</v>
      </c>
      <c r="AC231" s="131" t="s">
        <v>1704</v>
      </c>
      <c r="AD231" s="107" t="s">
        <v>1705</v>
      </c>
      <c r="AE231" s="63"/>
      <c r="AF231" s="64">
        <v>0.0</v>
      </c>
      <c r="AG231" s="65" t="s">
        <v>106</v>
      </c>
      <c r="AH231" s="63"/>
      <c r="AI231" s="65" t="s">
        <v>107</v>
      </c>
      <c r="AJ231" s="64" t="s">
        <v>1662</v>
      </c>
      <c r="AK231" s="58" t="s">
        <v>81</v>
      </c>
      <c r="AL231" s="64" t="s">
        <v>109</v>
      </c>
      <c r="AM231" s="43">
        <v>3.105672288E9</v>
      </c>
      <c r="AN231" s="64">
        <v>0.0</v>
      </c>
      <c r="AO231" s="43" t="s">
        <v>1663</v>
      </c>
      <c r="AP231" s="84"/>
      <c r="AQ231" s="84">
        <v>2.9331229</v>
      </c>
      <c r="AR231" s="84">
        <v>-75.300076</v>
      </c>
      <c r="AS231" s="94">
        <v>0.0</v>
      </c>
      <c r="AT231" s="65" t="s">
        <v>88</v>
      </c>
      <c r="AU231" s="43">
        <v>0.0</v>
      </c>
      <c r="AV231" s="43">
        <v>0.0</v>
      </c>
      <c r="AW231" s="43" t="s">
        <v>88</v>
      </c>
      <c r="AX231" s="43">
        <v>0.0</v>
      </c>
      <c r="AY231" s="43">
        <v>0.0</v>
      </c>
      <c r="AZ231" s="43">
        <v>0.0</v>
      </c>
      <c r="BA231" s="43" t="s">
        <v>89</v>
      </c>
      <c r="BB231" s="50">
        <v>0.0</v>
      </c>
      <c r="BC231" s="69"/>
      <c r="BD231" s="70"/>
      <c r="BE231" s="71"/>
      <c r="BF231" s="72" t="s">
        <v>1706</v>
      </c>
      <c r="BG231" s="73"/>
      <c r="BH231" s="73"/>
      <c r="BI231" s="73"/>
      <c r="BJ231" s="73"/>
      <c r="BK231" s="73"/>
      <c r="BL231" s="73"/>
      <c r="BM231" s="73"/>
      <c r="BN231" s="73"/>
      <c r="BO231" s="73"/>
      <c r="BP231" s="73"/>
      <c r="BQ231" s="73"/>
      <c r="BR231" s="73"/>
      <c r="BS231" s="73"/>
      <c r="BT231" s="73"/>
      <c r="BU231" s="73"/>
      <c r="BV231" s="73"/>
      <c r="BW231" s="74"/>
      <c r="BX231" s="74"/>
      <c r="BY231" s="63"/>
      <c r="BZ231" s="63"/>
    </row>
    <row r="232" ht="15.75" customHeight="1">
      <c r="A232" s="75" t="s">
        <v>1707</v>
      </c>
      <c r="B232" s="50" t="s">
        <v>1708</v>
      </c>
      <c r="C232" s="50" t="s">
        <v>70</v>
      </c>
      <c r="D232" s="50" t="s">
        <v>1709</v>
      </c>
      <c r="E232" s="64"/>
      <c r="F232" s="78">
        <v>2.1E8</v>
      </c>
      <c r="G232" s="44" t="str">
        <f t="shared" si="1"/>
        <v>$200'000.000 a $300'000.000</v>
      </c>
      <c r="H232" s="44"/>
      <c r="I232" s="44"/>
      <c r="J232" s="50" t="s">
        <v>183</v>
      </c>
      <c r="K232" s="51" t="s">
        <v>241</v>
      </c>
      <c r="L232" s="50">
        <v>3.0</v>
      </c>
      <c r="M232" s="50"/>
      <c r="N232" s="50">
        <v>2.0</v>
      </c>
      <c r="O232" s="50">
        <v>1.0</v>
      </c>
      <c r="P232" s="50">
        <v>2.0</v>
      </c>
      <c r="Q232" s="88">
        <v>0.0</v>
      </c>
      <c r="R232" s="88">
        <v>72.0</v>
      </c>
      <c r="S232" s="56"/>
      <c r="T232" s="50" t="s">
        <v>78</v>
      </c>
      <c r="U232" s="51" t="s">
        <v>77</v>
      </c>
      <c r="V232" s="50" t="s">
        <v>79</v>
      </c>
      <c r="W232" s="50"/>
      <c r="X232" s="50">
        <v>0.0</v>
      </c>
      <c r="Y232" s="50" t="s">
        <v>80</v>
      </c>
      <c r="Z232" s="58" t="s">
        <v>81</v>
      </c>
      <c r="AA232" s="59" t="str">
        <f>IF(Rentabilidad=0,"No aplica",TEXT(ROUND(Precio/Rentabilidad/12,0),0) &amp; " años")</f>
        <v>No aplica</v>
      </c>
      <c r="AB232" s="82" t="s">
        <v>1710</v>
      </c>
      <c r="AC232" s="221" t="s">
        <v>1711</v>
      </c>
      <c r="AD232" s="107"/>
      <c r="AE232" s="63"/>
      <c r="AF232" s="64" t="s">
        <v>84</v>
      </c>
      <c r="AG232" s="65" t="s">
        <v>106</v>
      </c>
      <c r="AH232" s="63"/>
      <c r="AI232" s="65" t="s">
        <v>107</v>
      </c>
      <c r="AJ232" s="64" t="s">
        <v>1662</v>
      </c>
      <c r="AK232" s="50" t="s">
        <v>81</v>
      </c>
      <c r="AL232" s="64" t="s">
        <v>109</v>
      </c>
      <c r="AM232" s="50">
        <v>3.105672288E9</v>
      </c>
      <c r="AN232" s="64">
        <v>3.228445597E9</v>
      </c>
      <c r="AO232" s="52"/>
      <c r="AP232" s="67"/>
      <c r="AQ232" s="67"/>
      <c r="AR232" s="67"/>
      <c r="AS232" s="94"/>
      <c r="AT232" s="65">
        <v>0.0</v>
      </c>
      <c r="AU232" s="50">
        <v>0.0</v>
      </c>
      <c r="AV232" s="50">
        <v>0.0</v>
      </c>
      <c r="AW232" s="50" t="s">
        <v>106</v>
      </c>
      <c r="AX232" s="50">
        <v>0.0</v>
      </c>
      <c r="AY232" s="50" t="s">
        <v>137</v>
      </c>
      <c r="AZ232" s="50">
        <v>0.0</v>
      </c>
      <c r="BA232" s="43" t="s">
        <v>89</v>
      </c>
      <c r="BB232" s="50">
        <v>0.0</v>
      </c>
      <c r="BC232" s="95"/>
      <c r="BD232" s="71"/>
      <c r="BE232" s="71"/>
      <c r="BF232" s="72" t="s">
        <v>1712</v>
      </c>
      <c r="BG232" s="73"/>
      <c r="BH232" s="73"/>
      <c r="BI232" s="73"/>
      <c r="BJ232" s="73"/>
      <c r="BK232" s="73"/>
      <c r="BL232" s="73"/>
      <c r="BM232" s="73"/>
      <c r="BN232" s="73"/>
      <c r="BO232" s="73"/>
      <c r="BP232" s="73"/>
      <c r="BQ232" s="73"/>
      <c r="BR232" s="73"/>
      <c r="BS232" s="73"/>
      <c r="BT232" s="73"/>
      <c r="BU232" s="73"/>
      <c r="BV232" s="73"/>
      <c r="BW232" s="74"/>
      <c r="BX232" s="74"/>
      <c r="BY232" s="63"/>
      <c r="BZ232" s="63"/>
    </row>
    <row r="233" ht="15.75" customHeight="1">
      <c r="A233" s="75" t="s">
        <v>1713</v>
      </c>
      <c r="B233" s="50" t="s">
        <v>1714</v>
      </c>
      <c r="C233" s="50" t="s">
        <v>664</v>
      </c>
      <c r="D233" s="50" t="s">
        <v>1186</v>
      </c>
      <c r="E233" s="64" t="s">
        <v>1187</v>
      </c>
      <c r="F233" s="78">
        <v>1.2E8</v>
      </c>
      <c r="G233" s="44" t="str">
        <f t="shared" si="1"/>
        <v>$100'000.000 a $200'000.000</v>
      </c>
      <c r="H233" s="44"/>
      <c r="I233" s="44"/>
      <c r="J233" s="50" t="s">
        <v>94</v>
      </c>
      <c r="K233" s="51"/>
      <c r="L233" s="50">
        <v>0.0</v>
      </c>
      <c r="M233" s="50"/>
      <c r="N233" s="50">
        <v>0.0</v>
      </c>
      <c r="O233" s="50">
        <v>0.0</v>
      </c>
      <c r="P233" s="50">
        <v>0.0</v>
      </c>
      <c r="Q233" s="88">
        <v>0.0</v>
      </c>
      <c r="R233" s="88">
        <v>1010.0</v>
      </c>
      <c r="S233" s="56" t="str">
        <f t="shared" ref="S233:S253" si="6">IF(AS233=0," ","Rentabilidad $" &amp; TEXT(AS233,"#,##0"))</f>
        <v> </v>
      </c>
      <c r="T233" s="50" t="s">
        <v>78</v>
      </c>
      <c r="U233" s="57"/>
      <c r="V233" s="50" t="s">
        <v>79</v>
      </c>
      <c r="W233" s="50"/>
      <c r="X233" s="50">
        <v>0.0</v>
      </c>
      <c r="Y233" s="50" t="s">
        <v>130</v>
      </c>
      <c r="Z233" s="91"/>
      <c r="AA233" s="59" t="str">
        <f>IF(Rentabilidad=0,"No aplica",TEXT(ROUND(Precio/Rentabilidad/12,0),0) &amp; " años")</f>
        <v>No aplica</v>
      </c>
      <c r="AB233" s="82" t="s">
        <v>1715</v>
      </c>
      <c r="AC233" s="132" t="s">
        <v>1716</v>
      </c>
      <c r="AD233" s="107" t="s">
        <v>1717</v>
      </c>
      <c r="AE233" s="63"/>
      <c r="AF233" s="64">
        <v>0.0</v>
      </c>
      <c r="AG233" s="65" t="s">
        <v>106</v>
      </c>
      <c r="AH233" s="63"/>
      <c r="AI233" s="65" t="s">
        <v>107</v>
      </c>
      <c r="AJ233" s="64" t="s">
        <v>1662</v>
      </c>
      <c r="AK233" s="58" t="s">
        <v>81</v>
      </c>
      <c r="AL233" s="64" t="s">
        <v>109</v>
      </c>
      <c r="AM233" s="43">
        <v>3.105672288E9</v>
      </c>
      <c r="AN233" s="64">
        <v>0.0</v>
      </c>
      <c r="AO233" s="43" t="s">
        <v>1663</v>
      </c>
      <c r="AP233" s="84"/>
      <c r="AQ233" s="84"/>
      <c r="AR233" s="84"/>
      <c r="AS233" s="94">
        <v>0.0</v>
      </c>
      <c r="AT233" s="65" t="s">
        <v>88</v>
      </c>
      <c r="AU233" s="43">
        <v>0.0</v>
      </c>
      <c r="AV233" s="43">
        <v>0.0</v>
      </c>
      <c r="AW233" s="43" t="s">
        <v>88</v>
      </c>
      <c r="AX233" s="43">
        <v>0.0</v>
      </c>
      <c r="AY233" s="43">
        <v>0.0</v>
      </c>
      <c r="AZ233" s="43">
        <v>0.0</v>
      </c>
      <c r="BA233" s="43" t="s">
        <v>89</v>
      </c>
      <c r="BB233" s="50">
        <v>0.0</v>
      </c>
      <c r="BC233" s="69" t="s">
        <v>1718</v>
      </c>
      <c r="BD233" s="70"/>
      <c r="BE233" s="71"/>
      <c r="BF233" s="72" t="s">
        <v>1719</v>
      </c>
      <c r="BG233" s="73"/>
      <c r="BH233" s="73"/>
      <c r="BI233" s="73"/>
      <c r="BJ233" s="73"/>
      <c r="BK233" s="73"/>
      <c r="BL233" s="73"/>
      <c r="BM233" s="73"/>
      <c r="BN233" s="73"/>
      <c r="BO233" s="73"/>
      <c r="BP233" s="73"/>
      <c r="BQ233" s="73"/>
      <c r="BR233" s="73"/>
      <c r="BS233" s="73"/>
      <c r="BT233" s="73"/>
      <c r="BU233" s="73"/>
      <c r="BV233" s="73"/>
      <c r="BW233" s="74"/>
      <c r="BX233" s="74"/>
      <c r="BY233" s="63"/>
      <c r="BZ233" s="63"/>
    </row>
    <row r="234" ht="15.75" customHeight="1">
      <c r="A234" s="75" t="s">
        <v>1720</v>
      </c>
      <c r="B234" s="50" t="s">
        <v>1721</v>
      </c>
      <c r="C234" s="50" t="s">
        <v>323</v>
      </c>
      <c r="D234" s="50"/>
      <c r="E234" s="77" t="s">
        <v>1722</v>
      </c>
      <c r="F234" s="78">
        <v>1.8E8</v>
      </c>
      <c r="G234" s="44" t="str">
        <f t="shared" si="1"/>
        <v>$100'000.000 a $200'000.000</v>
      </c>
      <c r="H234" s="44"/>
      <c r="I234" s="44"/>
      <c r="J234" s="50" t="s">
        <v>94</v>
      </c>
      <c r="K234" s="51"/>
      <c r="L234" s="50">
        <v>3.0</v>
      </c>
      <c r="M234" s="50"/>
      <c r="N234" s="50">
        <v>2.0</v>
      </c>
      <c r="O234" s="50">
        <v>1.0</v>
      </c>
      <c r="P234" s="50">
        <v>2.0</v>
      </c>
      <c r="Q234" s="88">
        <v>55.5</v>
      </c>
      <c r="R234" s="88">
        <v>55.5</v>
      </c>
      <c r="S234" s="56" t="str">
        <f t="shared" si="6"/>
        <v> </v>
      </c>
      <c r="T234" s="50" t="s">
        <v>78</v>
      </c>
      <c r="U234" s="51" t="s">
        <v>77</v>
      </c>
      <c r="V234" s="50" t="s">
        <v>542</v>
      </c>
      <c r="W234" s="50"/>
      <c r="X234" s="50">
        <v>3.0</v>
      </c>
      <c r="Y234" s="43" t="s">
        <v>130</v>
      </c>
      <c r="Z234" s="58">
        <v>210000.0</v>
      </c>
      <c r="AA234" s="81" t="s">
        <v>81</v>
      </c>
      <c r="AB234" s="115" t="s">
        <v>1723</v>
      </c>
      <c r="AC234" s="83" t="s">
        <v>1724</v>
      </c>
      <c r="AD234" s="83" t="s">
        <v>1725</v>
      </c>
      <c r="AE234" s="63"/>
      <c r="AF234" s="64" t="s">
        <v>105</v>
      </c>
      <c r="AG234" s="65" t="s">
        <v>106</v>
      </c>
      <c r="AH234" s="65"/>
      <c r="AI234" s="65" t="s">
        <v>107</v>
      </c>
      <c r="AJ234" s="64" t="s">
        <v>1726</v>
      </c>
      <c r="AK234" s="50" t="s">
        <v>81</v>
      </c>
      <c r="AL234" s="45" t="s">
        <v>109</v>
      </c>
      <c r="AM234" s="43">
        <v>3.124011214E9</v>
      </c>
      <c r="AN234" s="64">
        <v>0.0</v>
      </c>
      <c r="AO234" s="43" t="s">
        <v>1727</v>
      </c>
      <c r="AP234" s="84">
        <v>0.0</v>
      </c>
      <c r="AQ234" s="84"/>
      <c r="AR234" s="84"/>
      <c r="AS234" s="85"/>
      <c r="AT234" s="50" t="s">
        <v>106</v>
      </c>
      <c r="AU234" s="50">
        <v>0.0</v>
      </c>
      <c r="AV234" s="50">
        <v>0.0</v>
      </c>
      <c r="AW234" s="50" t="s">
        <v>88</v>
      </c>
      <c r="AX234" s="50">
        <v>0.0</v>
      </c>
      <c r="AY234" s="50">
        <v>0.0</v>
      </c>
      <c r="AZ234" s="50">
        <v>0.0</v>
      </c>
      <c r="BA234" s="43" t="s">
        <v>89</v>
      </c>
      <c r="BB234" s="50">
        <v>0.0</v>
      </c>
      <c r="BC234" s="69" t="s">
        <v>90</v>
      </c>
      <c r="BD234" s="70"/>
      <c r="BE234" s="71"/>
      <c r="BF234" s="72" t="s">
        <v>1728</v>
      </c>
      <c r="BG234" s="73"/>
      <c r="BH234" s="73"/>
      <c r="BI234" s="73"/>
      <c r="BJ234" s="73"/>
      <c r="BK234" s="73"/>
      <c r="BL234" s="73"/>
      <c r="BM234" s="73"/>
      <c r="BN234" s="73"/>
      <c r="BO234" s="73"/>
      <c r="BP234" s="73"/>
      <c r="BQ234" s="73"/>
      <c r="BR234" s="73"/>
      <c r="BS234" s="73"/>
      <c r="BT234" s="73"/>
      <c r="BU234" s="73"/>
      <c r="BV234" s="73"/>
      <c r="BW234" s="74"/>
      <c r="BX234" s="74"/>
      <c r="BY234" s="63"/>
      <c r="BZ234" s="63"/>
    </row>
    <row r="235" ht="15.75" customHeight="1">
      <c r="A235" s="41" t="s">
        <v>1729</v>
      </c>
      <c r="B235" s="65" t="s">
        <v>1730</v>
      </c>
      <c r="C235" s="65" t="s">
        <v>128</v>
      </c>
      <c r="D235" s="76"/>
      <c r="E235" s="64"/>
      <c r="F235" s="47">
        <v>9.0E8</v>
      </c>
      <c r="G235" s="44" t="str">
        <f t="shared" si="1"/>
        <v>$500'000.000 a $1.000'000.000</v>
      </c>
      <c r="H235" s="44"/>
      <c r="I235" s="44"/>
      <c r="J235" s="50" t="s">
        <v>116</v>
      </c>
      <c r="K235" s="51"/>
      <c r="L235" s="44">
        <v>3.0</v>
      </c>
      <c r="M235" s="44"/>
      <c r="N235" s="44">
        <v>5.0</v>
      </c>
      <c r="O235" s="50">
        <v>1.0</v>
      </c>
      <c r="P235" s="44">
        <v>1.0</v>
      </c>
      <c r="Q235" s="113"/>
      <c r="R235" s="79">
        <v>0.0</v>
      </c>
      <c r="S235" s="56" t="str">
        <f t="shared" si="6"/>
        <v> </v>
      </c>
      <c r="T235" s="44" t="s">
        <v>78</v>
      </c>
      <c r="U235" s="57" t="s">
        <v>154</v>
      </c>
      <c r="V235" s="135"/>
      <c r="W235" s="135"/>
      <c r="X235" s="44">
        <v>3.0</v>
      </c>
      <c r="Y235" s="50" t="s">
        <v>97</v>
      </c>
      <c r="Z235" s="58" t="s">
        <v>81</v>
      </c>
      <c r="AA235" s="59" t="str">
        <f>IF(Rentabilidad=0,"No aplica",TEXT(ROUND(Precio/Rentabilidad/12,0),0) &amp; " años")</f>
        <v>No aplica</v>
      </c>
      <c r="AB235" s="82" t="s">
        <v>1731</v>
      </c>
      <c r="AC235" s="61"/>
      <c r="AD235" s="107" t="s">
        <v>1732</v>
      </c>
      <c r="AE235" s="63"/>
      <c r="AF235" s="45" t="s">
        <v>105</v>
      </c>
      <c r="AG235" s="65" t="s">
        <v>106</v>
      </c>
      <c r="AH235" s="65"/>
      <c r="AI235" s="65" t="s">
        <v>107</v>
      </c>
      <c r="AJ235" s="64" t="s">
        <v>1733</v>
      </c>
      <c r="AK235" s="58" t="s">
        <v>81</v>
      </c>
      <c r="AL235" s="45" t="s">
        <v>109</v>
      </c>
      <c r="AM235" s="52">
        <v>3.124011214E9</v>
      </c>
      <c r="AN235" s="45">
        <v>0.0</v>
      </c>
      <c r="AO235" s="44"/>
      <c r="AP235" s="67" t="s">
        <v>1734</v>
      </c>
      <c r="AQ235" s="67"/>
      <c r="AR235" s="67"/>
      <c r="AS235" s="68">
        <v>0.0</v>
      </c>
      <c r="AT235" s="44">
        <v>0.0</v>
      </c>
      <c r="AU235" s="52">
        <v>0.0</v>
      </c>
      <c r="AV235" s="52">
        <v>0.0</v>
      </c>
      <c r="AW235" s="43" t="s">
        <v>88</v>
      </c>
      <c r="AX235" s="52">
        <v>0.0</v>
      </c>
      <c r="AY235" s="52">
        <v>0.0</v>
      </c>
      <c r="AZ235" s="44">
        <v>0.0</v>
      </c>
      <c r="BA235" s="43" t="s">
        <v>89</v>
      </c>
      <c r="BB235" s="44">
        <v>0.0</v>
      </c>
      <c r="BC235" s="69" t="s">
        <v>1735</v>
      </c>
      <c r="BD235" s="70"/>
      <c r="BE235" s="70"/>
      <c r="BF235" s="72" t="s">
        <v>1736</v>
      </c>
      <c r="BG235" s="73"/>
      <c r="BH235" s="73"/>
      <c r="BI235" s="73"/>
      <c r="BJ235" s="73"/>
      <c r="BK235" s="73"/>
      <c r="BL235" s="73"/>
      <c r="BM235" s="73"/>
      <c r="BN235" s="73"/>
      <c r="BO235" s="73"/>
      <c r="BP235" s="73"/>
      <c r="BQ235" s="73"/>
      <c r="BR235" s="73"/>
      <c r="BS235" s="73"/>
      <c r="BT235" s="73"/>
      <c r="BU235" s="73"/>
      <c r="BV235" s="73"/>
      <c r="BW235" s="74"/>
      <c r="BX235" s="74"/>
      <c r="BY235" s="63"/>
      <c r="BZ235" s="63"/>
    </row>
    <row r="236" ht="15.75" customHeight="1">
      <c r="A236" s="41" t="s">
        <v>1737</v>
      </c>
      <c r="B236" s="50" t="s">
        <v>1730</v>
      </c>
      <c r="C236" s="50" t="s">
        <v>128</v>
      </c>
      <c r="D236" s="64" t="s">
        <v>1738</v>
      </c>
      <c r="E236" s="222"/>
      <c r="F236" s="47">
        <v>7.55E8</v>
      </c>
      <c r="G236" s="44" t="str">
        <f t="shared" si="1"/>
        <v>$500'000.000 a $1.000'000.000</v>
      </c>
      <c r="H236" s="44"/>
      <c r="I236" s="44"/>
      <c r="J236" s="50" t="s">
        <v>116</v>
      </c>
      <c r="K236" s="223"/>
      <c r="L236" s="44">
        <v>3.0</v>
      </c>
      <c r="M236" s="44"/>
      <c r="N236" s="44">
        <v>4.0</v>
      </c>
      <c r="O236" s="50">
        <v>1.0</v>
      </c>
      <c r="P236" s="44">
        <v>1.0</v>
      </c>
      <c r="Q236" s="113">
        <v>197.0</v>
      </c>
      <c r="R236" s="79" t="s">
        <v>1739</v>
      </c>
      <c r="S236" s="56" t="str">
        <f t="shared" si="6"/>
        <v> </v>
      </c>
      <c r="T236" s="44" t="s">
        <v>78</v>
      </c>
      <c r="U236" s="57" t="s">
        <v>154</v>
      </c>
      <c r="V236" s="94" t="s">
        <v>79</v>
      </c>
      <c r="W236" s="94"/>
      <c r="X236" s="44">
        <v>3.0</v>
      </c>
      <c r="Y236" s="50" t="s">
        <v>130</v>
      </c>
      <c r="Z236" s="151">
        <v>625000.0</v>
      </c>
      <c r="AA236" s="59" t="str">
        <f>IF(Rentabilidad=0,"No aplica",TEXT(ROUND(Precio/Rentabilidad/12,0),0) &amp; " años")</f>
        <v>No aplica</v>
      </c>
      <c r="AB236" s="82" t="s">
        <v>1740</v>
      </c>
      <c r="AC236" s="61"/>
      <c r="AD236" s="125" t="s">
        <v>1741</v>
      </c>
      <c r="AE236" s="63"/>
      <c r="AF236" s="45" t="s">
        <v>105</v>
      </c>
      <c r="AG236" s="65" t="s">
        <v>106</v>
      </c>
      <c r="AH236" s="65"/>
      <c r="AI236" s="65" t="s">
        <v>107</v>
      </c>
      <c r="AJ236" s="64" t="s">
        <v>1733</v>
      </c>
      <c r="AK236" s="58" t="s">
        <v>81</v>
      </c>
      <c r="AL236" s="45" t="s">
        <v>109</v>
      </c>
      <c r="AM236" s="52">
        <v>3.124011214E9</v>
      </c>
      <c r="AN236" s="45">
        <v>0.0</v>
      </c>
      <c r="AO236" s="52"/>
      <c r="AP236" s="67" t="s">
        <v>1734</v>
      </c>
      <c r="AQ236" s="143">
        <v>2.9449214</v>
      </c>
      <c r="AR236" s="143">
        <v>-75.2869807</v>
      </c>
      <c r="AS236" s="68">
        <v>0.0</v>
      </c>
      <c r="AT236" s="44">
        <v>0.0</v>
      </c>
      <c r="AU236" s="52">
        <v>0.0</v>
      </c>
      <c r="AV236" s="52">
        <v>0.0</v>
      </c>
      <c r="AW236" s="43" t="s">
        <v>88</v>
      </c>
      <c r="AX236" s="52">
        <v>0.0</v>
      </c>
      <c r="AY236" s="52">
        <v>0.0</v>
      </c>
      <c r="AZ236" s="44">
        <v>0.0</v>
      </c>
      <c r="BA236" s="43" t="s">
        <v>89</v>
      </c>
      <c r="BB236" s="44">
        <v>0.0</v>
      </c>
      <c r="BC236" s="109"/>
      <c r="BD236" s="70"/>
      <c r="BE236" s="71"/>
      <c r="BF236" s="72" t="s">
        <v>1742</v>
      </c>
      <c r="BG236" s="73"/>
      <c r="BH236" s="73"/>
      <c r="BI236" s="73"/>
      <c r="BJ236" s="73"/>
      <c r="BK236" s="73"/>
      <c r="BL236" s="73"/>
      <c r="BM236" s="73"/>
      <c r="BN236" s="73"/>
      <c r="BO236" s="73"/>
      <c r="BP236" s="73"/>
      <c r="BQ236" s="73"/>
      <c r="BR236" s="73"/>
      <c r="BS236" s="73"/>
      <c r="BT236" s="73"/>
      <c r="BU236" s="73"/>
      <c r="BV236" s="73"/>
      <c r="BW236" s="74"/>
      <c r="BX236" s="74"/>
      <c r="BY236" s="63"/>
      <c r="BZ236" s="63"/>
    </row>
    <row r="237" ht="15.75" customHeight="1">
      <c r="A237" s="224" t="s">
        <v>1743</v>
      </c>
      <c r="B237" s="112" t="s">
        <v>1744</v>
      </c>
      <c r="C237" s="50" t="s">
        <v>271</v>
      </c>
      <c r="D237" s="44" t="s">
        <v>71</v>
      </c>
      <c r="E237" s="45"/>
      <c r="F237" s="47">
        <v>6.4E8</v>
      </c>
      <c r="G237" s="44" t="str">
        <f t="shared" si="1"/>
        <v>$500'000.000 a $1.000'000.000</v>
      </c>
      <c r="H237" s="44"/>
      <c r="I237" s="44"/>
      <c r="J237" s="50" t="s">
        <v>76</v>
      </c>
      <c r="K237" s="51" t="s">
        <v>77</v>
      </c>
      <c r="L237" s="44">
        <v>6.0</v>
      </c>
      <c r="M237" s="44"/>
      <c r="N237" s="44">
        <v>4.0</v>
      </c>
      <c r="O237" s="50">
        <v>0.0</v>
      </c>
      <c r="P237" s="44">
        <v>2.0</v>
      </c>
      <c r="Q237" s="54">
        <v>489.0</v>
      </c>
      <c r="R237" s="55">
        <v>0.0</v>
      </c>
      <c r="S237" s="56" t="str">
        <f t="shared" si="6"/>
        <v>Rentabilidad $1,100,000</v>
      </c>
      <c r="T237" s="52" t="s">
        <v>78</v>
      </c>
      <c r="U237" s="57" t="s">
        <v>77</v>
      </c>
      <c r="V237" s="50" t="s">
        <v>79</v>
      </c>
      <c r="W237" s="50"/>
      <c r="X237" s="44">
        <v>4.0</v>
      </c>
      <c r="Y237" s="43" t="s">
        <v>80</v>
      </c>
      <c r="Z237" s="80" t="s">
        <v>81</v>
      </c>
      <c r="AA237" s="59" t="str">
        <f>IF(Rentabilidad=0,"No aplica",TEXT(ROUND(Precio/Rentabilidad/12,0),0) &amp; " años")</f>
        <v>48 años</v>
      </c>
      <c r="AB237" s="134" t="s">
        <v>1745</v>
      </c>
      <c r="AC237" s="124" t="s">
        <v>1746</v>
      </c>
      <c r="AD237" s="62"/>
      <c r="AE237" s="63"/>
      <c r="AF237" s="45" t="s">
        <v>236</v>
      </c>
      <c r="AG237" s="65" t="s">
        <v>106</v>
      </c>
      <c r="AH237" s="65" t="s">
        <v>45</v>
      </c>
      <c r="AI237" s="65" t="s">
        <v>1747</v>
      </c>
      <c r="AJ237" s="64" t="s">
        <v>1748</v>
      </c>
      <c r="AK237" s="225" t="s">
        <v>1749</v>
      </c>
      <c r="AL237" s="45" t="s">
        <v>109</v>
      </c>
      <c r="AM237" s="52">
        <v>3.104888552E9</v>
      </c>
      <c r="AN237" s="45" t="s">
        <v>1750</v>
      </c>
      <c r="AO237" s="52"/>
      <c r="AP237" s="67" t="s">
        <v>1751</v>
      </c>
      <c r="AQ237" s="143">
        <v>2.9329403</v>
      </c>
      <c r="AR237" s="143">
        <v>-75.2863334</v>
      </c>
      <c r="AS237" s="68">
        <v>1100000.0</v>
      </c>
      <c r="AT237" s="63">
        <v>0.0</v>
      </c>
      <c r="AU237" s="52">
        <v>0.0</v>
      </c>
      <c r="AV237" s="52">
        <v>0.0</v>
      </c>
      <c r="AW237" s="52" t="s">
        <v>88</v>
      </c>
      <c r="AX237" s="52">
        <v>0.0</v>
      </c>
      <c r="AY237" s="52" t="s">
        <v>137</v>
      </c>
      <c r="AZ237" s="44">
        <v>0.0</v>
      </c>
      <c r="BA237" s="43" t="s">
        <v>89</v>
      </c>
      <c r="BB237" s="44">
        <v>0.0</v>
      </c>
      <c r="BC237" s="109"/>
      <c r="BD237" s="70"/>
      <c r="BE237" s="71"/>
      <c r="BF237" s="72" t="s">
        <v>1752</v>
      </c>
      <c r="BG237" s="73"/>
      <c r="BH237" s="73"/>
      <c r="BI237" s="73"/>
      <c r="BJ237" s="73"/>
      <c r="BK237" s="73"/>
      <c r="BL237" s="73"/>
      <c r="BM237" s="73"/>
      <c r="BN237" s="73"/>
      <c r="BO237" s="73"/>
      <c r="BP237" s="73"/>
      <c r="BQ237" s="73"/>
      <c r="BR237" s="73"/>
      <c r="BS237" s="73"/>
      <c r="BT237" s="73"/>
      <c r="BU237" s="73"/>
      <c r="BV237" s="73"/>
      <c r="BW237" s="74"/>
      <c r="BX237" s="74"/>
      <c r="BY237" s="63"/>
      <c r="BZ237" s="63"/>
    </row>
    <row r="238" ht="15.75" customHeight="1">
      <c r="A238" s="120" t="s">
        <v>1753</v>
      </c>
      <c r="B238" s="43" t="s">
        <v>402</v>
      </c>
      <c r="C238" s="43" t="s">
        <v>70</v>
      </c>
      <c r="D238" s="44" t="s">
        <v>193</v>
      </c>
      <c r="E238" s="45"/>
      <c r="F238" s="47">
        <v>1.0E9</v>
      </c>
      <c r="G238" s="44" t="str">
        <f t="shared" si="1"/>
        <v>Más de $1.000'000.000</v>
      </c>
      <c r="H238" s="44"/>
      <c r="I238" s="44"/>
      <c r="J238" s="50" t="s">
        <v>76</v>
      </c>
      <c r="K238" s="56" t="s">
        <v>77</v>
      </c>
      <c r="L238" s="52">
        <v>4.0</v>
      </c>
      <c r="M238" s="52"/>
      <c r="N238" s="52">
        <v>5.0</v>
      </c>
      <c r="O238" s="43">
        <v>2.0</v>
      </c>
      <c r="P238" s="52">
        <v>2.0</v>
      </c>
      <c r="Q238" s="54"/>
      <c r="R238" s="55">
        <v>331.0</v>
      </c>
      <c r="S238" s="56" t="str">
        <f t="shared" si="6"/>
        <v> </v>
      </c>
      <c r="T238" s="52" t="s">
        <v>78</v>
      </c>
      <c r="U238" s="51" t="s">
        <v>1754</v>
      </c>
      <c r="V238" s="43" t="s">
        <v>79</v>
      </c>
      <c r="W238" s="43"/>
      <c r="X238" s="52">
        <v>4.0</v>
      </c>
      <c r="Y238" s="43" t="s">
        <v>80</v>
      </c>
      <c r="Z238" s="58" t="s">
        <v>81</v>
      </c>
      <c r="AA238" s="59" t="str">
        <f>IF(Rentabilidad=0,"No aplica",TEXT(ROUND(Precio/Rentabilidad/12,0),0) &amp; " años")</f>
        <v>No aplica</v>
      </c>
      <c r="AB238" s="134" t="s">
        <v>1755</v>
      </c>
      <c r="AC238" s="61"/>
      <c r="AD238" s="62"/>
      <c r="AE238" s="63"/>
      <c r="AF238" s="45" t="s">
        <v>105</v>
      </c>
      <c r="AG238" s="63"/>
      <c r="AH238" s="65" t="s">
        <v>45</v>
      </c>
      <c r="AI238" s="63"/>
      <c r="AJ238" s="64" t="s">
        <v>1756</v>
      </c>
      <c r="AK238" s="50"/>
      <c r="AL238" s="45" t="s">
        <v>109</v>
      </c>
      <c r="AM238" s="44">
        <v>3.152718282E9</v>
      </c>
      <c r="AN238" s="45">
        <v>0.0</v>
      </c>
      <c r="AO238" s="52" t="s">
        <v>1757</v>
      </c>
      <c r="AP238" s="67" t="s">
        <v>1758</v>
      </c>
      <c r="AQ238" s="67"/>
      <c r="AR238" s="67"/>
      <c r="AS238" s="135">
        <v>0.0</v>
      </c>
      <c r="AT238" s="52">
        <v>0.0</v>
      </c>
      <c r="AU238" s="52">
        <v>0.0</v>
      </c>
      <c r="AV238" s="52">
        <v>0.0</v>
      </c>
      <c r="AW238" s="43" t="s">
        <v>88</v>
      </c>
      <c r="AX238" s="52">
        <v>0.0</v>
      </c>
      <c r="AY238" s="52" t="s">
        <v>1609</v>
      </c>
      <c r="AZ238" s="52">
        <v>0.0</v>
      </c>
      <c r="BA238" s="43" t="s">
        <v>89</v>
      </c>
      <c r="BB238" s="52">
        <v>0.0</v>
      </c>
      <c r="BC238" s="95" t="s">
        <v>1759</v>
      </c>
      <c r="BD238" s="71"/>
      <c r="BE238" s="71"/>
      <c r="BF238" s="72" t="s">
        <v>1760</v>
      </c>
      <c r="BG238" s="73"/>
      <c r="BH238" s="73"/>
      <c r="BI238" s="73"/>
      <c r="BJ238" s="73"/>
      <c r="BK238" s="73"/>
      <c r="BL238" s="73"/>
      <c r="BM238" s="73"/>
      <c r="BN238" s="73"/>
      <c r="BO238" s="73"/>
      <c r="BP238" s="73"/>
      <c r="BQ238" s="73"/>
      <c r="BR238" s="73"/>
      <c r="BS238" s="73"/>
      <c r="BT238" s="73"/>
      <c r="BU238" s="73"/>
      <c r="BV238" s="73"/>
      <c r="BW238" s="74"/>
      <c r="BX238" s="74"/>
      <c r="BY238" s="63"/>
      <c r="BZ238" s="63"/>
    </row>
    <row r="239" ht="15.75" customHeight="1">
      <c r="A239" s="41" t="s">
        <v>1761</v>
      </c>
      <c r="B239" s="112" t="s">
        <v>1762</v>
      </c>
      <c r="C239" s="50" t="s">
        <v>271</v>
      </c>
      <c r="D239" s="50" t="s">
        <v>193</v>
      </c>
      <c r="E239" s="64"/>
      <c r="F239" s="47">
        <v>8.0E8</v>
      </c>
      <c r="G239" s="44" t="str">
        <f t="shared" si="1"/>
        <v>$500'000.000 a $1.000'000.000</v>
      </c>
      <c r="H239" s="44"/>
      <c r="I239" s="44"/>
      <c r="J239" s="50" t="s">
        <v>76</v>
      </c>
      <c r="K239" s="51" t="s">
        <v>96</v>
      </c>
      <c r="L239" s="44">
        <v>4.0</v>
      </c>
      <c r="M239" s="44"/>
      <c r="N239" s="44">
        <v>3.0</v>
      </c>
      <c r="O239" s="50">
        <v>0.0</v>
      </c>
      <c r="P239" s="44">
        <v>2.0</v>
      </c>
      <c r="Q239" s="113"/>
      <c r="R239" s="79">
        <v>182.17</v>
      </c>
      <c r="S239" s="56" t="str">
        <f t="shared" si="6"/>
        <v>Rentabilidad $1,500,000</v>
      </c>
      <c r="T239" s="52" t="s">
        <v>78</v>
      </c>
      <c r="U239" s="142" t="s">
        <v>142</v>
      </c>
      <c r="V239" s="50" t="s">
        <v>79</v>
      </c>
      <c r="W239" s="50"/>
      <c r="X239" s="44">
        <v>4.0</v>
      </c>
      <c r="Y239" s="50" t="s">
        <v>80</v>
      </c>
      <c r="Z239" s="80" t="s">
        <v>81</v>
      </c>
      <c r="AA239" s="59" t="str">
        <f>IF(Rentabilidad=0,"No aplica",TEXT(ROUND(Precio/Rentabilidad/12,0),0) &amp; " años")</f>
        <v>44 años</v>
      </c>
      <c r="AB239" s="134" t="s">
        <v>1763</v>
      </c>
      <c r="AC239" s="211"/>
      <c r="AD239" s="62"/>
      <c r="AE239" s="63"/>
      <c r="AF239" s="45" t="s">
        <v>105</v>
      </c>
      <c r="AG239" s="63"/>
      <c r="AH239" s="65" t="s">
        <v>45</v>
      </c>
      <c r="AI239" s="63"/>
      <c r="AJ239" s="45" t="s">
        <v>1764</v>
      </c>
      <c r="AK239" s="50" t="s">
        <v>81</v>
      </c>
      <c r="AL239" s="45" t="s">
        <v>109</v>
      </c>
      <c r="AM239" s="52">
        <v>3.104888552E9</v>
      </c>
      <c r="AN239" s="45">
        <v>3.183955563E9</v>
      </c>
      <c r="AO239" s="52"/>
      <c r="AP239" s="67" t="s">
        <v>1765</v>
      </c>
      <c r="AQ239" s="67"/>
      <c r="AR239" s="67"/>
      <c r="AS239" s="68">
        <v>1500000.0</v>
      </c>
      <c r="AT239" s="44">
        <v>0.0</v>
      </c>
      <c r="AU239" s="44">
        <v>0.0</v>
      </c>
      <c r="AV239" s="44">
        <v>0.0</v>
      </c>
      <c r="AW239" s="44" t="s">
        <v>106</v>
      </c>
      <c r="AX239" s="44">
        <v>0.0</v>
      </c>
      <c r="AY239" s="44" t="s">
        <v>247</v>
      </c>
      <c r="AZ239" s="44">
        <v>0.0</v>
      </c>
      <c r="BA239" s="43" t="s">
        <v>89</v>
      </c>
      <c r="BB239" s="44">
        <v>0.0</v>
      </c>
      <c r="BC239" s="69"/>
      <c r="BD239" s="70"/>
      <c r="BE239" s="71"/>
      <c r="BF239" s="72" t="s">
        <v>1766</v>
      </c>
      <c r="BG239" s="73"/>
      <c r="BH239" s="73"/>
      <c r="BI239" s="73"/>
      <c r="BJ239" s="73"/>
      <c r="BK239" s="73"/>
      <c r="BL239" s="73"/>
      <c r="BM239" s="73"/>
      <c r="BN239" s="73"/>
      <c r="BO239" s="73"/>
      <c r="BP239" s="73"/>
      <c r="BQ239" s="73"/>
      <c r="BR239" s="73"/>
      <c r="BS239" s="73"/>
      <c r="BT239" s="73"/>
      <c r="BU239" s="73"/>
      <c r="BV239" s="73"/>
      <c r="BW239" s="74"/>
      <c r="BX239" s="74"/>
      <c r="BY239" s="63"/>
      <c r="BZ239" s="63"/>
    </row>
    <row r="240" ht="15.75" customHeight="1">
      <c r="A240" s="75" t="s">
        <v>1767</v>
      </c>
      <c r="B240" s="50" t="s">
        <v>1768</v>
      </c>
      <c r="C240" s="50" t="s">
        <v>271</v>
      </c>
      <c r="D240" s="44" t="s">
        <v>193</v>
      </c>
      <c r="E240" s="45"/>
      <c r="F240" s="47">
        <v>6.5E8</v>
      </c>
      <c r="G240" s="44" t="str">
        <f t="shared" si="1"/>
        <v>$500'000.000 a $1.000'000.000</v>
      </c>
      <c r="H240" s="44"/>
      <c r="I240" s="44"/>
      <c r="J240" s="50" t="s">
        <v>76</v>
      </c>
      <c r="K240" s="56" t="s">
        <v>77</v>
      </c>
      <c r="L240" s="44">
        <v>6.0</v>
      </c>
      <c r="M240" s="44"/>
      <c r="N240" s="44">
        <v>6.0</v>
      </c>
      <c r="O240" s="44">
        <v>0.0</v>
      </c>
      <c r="P240" s="44">
        <v>2.0</v>
      </c>
      <c r="Q240" s="113">
        <v>204.66</v>
      </c>
      <c r="R240" s="79">
        <v>125.53</v>
      </c>
      <c r="S240" s="56" t="str">
        <f t="shared" si="6"/>
        <v> </v>
      </c>
      <c r="T240" s="44" t="s">
        <v>78</v>
      </c>
      <c r="U240" s="187" t="s">
        <v>679</v>
      </c>
      <c r="V240" s="50" t="s">
        <v>79</v>
      </c>
      <c r="W240" s="50"/>
      <c r="X240" s="44">
        <v>4.0</v>
      </c>
      <c r="Y240" s="43" t="s">
        <v>80</v>
      </c>
      <c r="Z240" s="80" t="s">
        <v>81</v>
      </c>
      <c r="AA240" s="59" t="str">
        <f>IF(Rentabilidad=0,"No aplica",TEXT(ROUND(Precio/Rentabilidad/12,0),0) &amp; " años")</f>
        <v>No aplica</v>
      </c>
      <c r="AB240" s="227"/>
      <c r="AC240" s="61"/>
      <c r="AD240" s="62"/>
      <c r="AE240" s="63"/>
      <c r="AF240" s="45" t="s">
        <v>1769</v>
      </c>
      <c r="AG240" s="63"/>
      <c r="AH240" s="65" t="s">
        <v>45</v>
      </c>
      <c r="AI240" s="63"/>
      <c r="AJ240" s="45" t="s">
        <v>1770</v>
      </c>
      <c r="AK240" s="50" t="s">
        <v>81</v>
      </c>
      <c r="AL240" s="45" t="s">
        <v>109</v>
      </c>
      <c r="AM240" s="52">
        <v>3.104888552E9</v>
      </c>
      <c r="AN240" s="45">
        <v>3.183955563E9</v>
      </c>
      <c r="AO240" s="52"/>
      <c r="AP240" s="67" t="s">
        <v>1771</v>
      </c>
      <c r="AQ240" s="67"/>
      <c r="AR240" s="67"/>
      <c r="AS240" s="68">
        <v>0.0</v>
      </c>
      <c r="AT240" s="44">
        <v>0.0</v>
      </c>
      <c r="AU240" s="52">
        <v>0.0</v>
      </c>
      <c r="AV240" s="52">
        <v>0.0</v>
      </c>
      <c r="AW240" s="43" t="s">
        <v>88</v>
      </c>
      <c r="AX240" s="52">
        <v>0.0</v>
      </c>
      <c r="AY240" s="52">
        <v>0.0</v>
      </c>
      <c r="AZ240" s="44">
        <v>0.0</v>
      </c>
      <c r="BA240" s="43" t="s">
        <v>89</v>
      </c>
      <c r="BB240" s="44">
        <v>0.0</v>
      </c>
      <c r="BC240" s="109"/>
      <c r="BD240" s="70"/>
      <c r="BE240" s="71"/>
      <c r="BF240" s="72"/>
      <c r="BG240" s="73"/>
      <c r="BH240" s="73"/>
      <c r="BI240" s="73"/>
      <c r="BJ240" s="73"/>
      <c r="BK240" s="73"/>
      <c r="BL240" s="73"/>
      <c r="BM240" s="73"/>
      <c r="BN240" s="73"/>
      <c r="BO240" s="73"/>
      <c r="BP240" s="73"/>
      <c r="BQ240" s="73"/>
      <c r="BR240" s="73"/>
      <c r="BS240" s="73"/>
      <c r="BT240" s="73"/>
      <c r="BU240" s="73"/>
      <c r="BV240" s="73"/>
      <c r="BW240" s="74"/>
      <c r="BX240" s="74"/>
      <c r="BY240" s="63"/>
      <c r="BZ240" s="63"/>
    </row>
    <row r="241" ht="15.75" customHeight="1">
      <c r="A241" s="152" t="s">
        <v>1772</v>
      </c>
      <c r="B241" s="112" t="s">
        <v>388</v>
      </c>
      <c r="C241" s="182" t="s">
        <v>70</v>
      </c>
      <c r="D241" s="52" t="s">
        <v>389</v>
      </c>
      <c r="E241" s="155"/>
      <c r="F241" s="47">
        <v>4.8E8</v>
      </c>
      <c r="G241" s="44" t="str">
        <f t="shared" si="1"/>
        <v>$400'000.000 a $500'000.000</v>
      </c>
      <c r="H241" s="44"/>
      <c r="I241" s="44"/>
      <c r="J241" s="182" t="s">
        <v>76</v>
      </c>
      <c r="K241" s="56" t="s">
        <v>77</v>
      </c>
      <c r="L241" s="182">
        <v>3.0</v>
      </c>
      <c r="M241" s="182"/>
      <c r="N241" s="182">
        <v>4.0</v>
      </c>
      <c r="O241" s="182">
        <v>1.0</v>
      </c>
      <c r="P241" s="182">
        <v>3.0</v>
      </c>
      <c r="Q241" s="182">
        <v>255.0</v>
      </c>
      <c r="R241" s="228">
        <v>86.52</v>
      </c>
      <c r="S241" s="56" t="str">
        <f t="shared" si="6"/>
        <v> </v>
      </c>
      <c r="T241" s="181" t="s">
        <v>78</v>
      </c>
      <c r="U241" s="184" t="s">
        <v>142</v>
      </c>
      <c r="V241" s="182" t="s">
        <v>79</v>
      </c>
      <c r="W241" s="182"/>
      <c r="X241" s="181">
        <v>3.0</v>
      </c>
      <c r="Y241" s="181" t="s">
        <v>80</v>
      </c>
      <c r="Z241" s="58" t="s">
        <v>81</v>
      </c>
      <c r="AA241" s="59" t="str">
        <f>IF(Rentabilidad=0,"No aplica",TEXT(ROUND(Precio/Rentabilidad/12,0),0) &amp; " años")</f>
        <v>No aplica</v>
      </c>
      <c r="AB241" s="185" t="s">
        <v>1773</v>
      </c>
      <c r="AC241" s="61"/>
      <c r="AD241" s="218"/>
      <c r="AE241" s="63"/>
      <c r="AF241" s="45" t="s">
        <v>105</v>
      </c>
      <c r="AG241" s="65"/>
      <c r="AH241" s="65" t="s">
        <v>45</v>
      </c>
      <c r="AI241" s="74"/>
      <c r="AJ241" s="229" t="s">
        <v>1774</v>
      </c>
      <c r="AK241" s="50" t="s">
        <v>81</v>
      </c>
      <c r="AL241" s="45" t="s">
        <v>109</v>
      </c>
      <c r="AM241" s="74"/>
      <c r="AN241" s="156"/>
      <c r="AO241" s="74"/>
      <c r="AP241" s="230" t="s">
        <v>1775</v>
      </c>
      <c r="AQ241" s="230"/>
      <c r="AR241" s="230"/>
      <c r="AS241" s="181">
        <v>0.0</v>
      </c>
      <c r="AT241" s="181">
        <v>0.0</v>
      </c>
      <c r="AU241" s="181">
        <v>3.0</v>
      </c>
      <c r="AV241" s="181">
        <v>0.0</v>
      </c>
      <c r="AW241" s="181" t="s">
        <v>88</v>
      </c>
      <c r="AX241" s="181">
        <v>0.0</v>
      </c>
      <c r="AY241" s="181">
        <v>0.0</v>
      </c>
      <c r="AZ241" s="181">
        <v>0.0</v>
      </c>
      <c r="BA241" s="43" t="s">
        <v>89</v>
      </c>
      <c r="BB241" s="181">
        <v>0.0</v>
      </c>
      <c r="BC241" s="95"/>
      <c r="BD241" s="71"/>
      <c r="BE241" s="71"/>
      <c r="BF241" s="72" t="s">
        <v>1776</v>
      </c>
      <c r="BG241" s="73"/>
      <c r="BH241" s="73"/>
      <c r="BI241" s="73"/>
      <c r="BJ241" s="73"/>
      <c r="BK241" s="73"/>
      <c r="BL241" s="73"/>
      <c r="BM241" s="73"/>
      <c r="BN241" s="73"/>
      <c r="BO241" s="73"/>
      <c r="BP241" s="73"/>
      <c r="BQ241" s="73"/>
      <c r="BR241" s="73"/>
      <c r="BS241" s="73"/>
      <c r="BT241" s="73"/>
      <c r="BU241" s="73"/>
      <c r="BV241" s="73"/>
      <c r="BW241" s="74"/>
      <c r="BX241" s="74"/>
      <c r="BY241" s="63"/>
      <c r="BZ241" s="63"/>
    </row>
    <row r="242" ht="15.75" customHeight="1">
      <c r="A242" s="152" t="s">
        <v>1777</v>
      </c>
      <c r="B242" s="112" t="s">
        <v>1778</v>
      </c>
      <c r="C242" s="50" t="s">
        <v>271</v>
      </c>
      <c r="D242" s="44" t="s">
        <v>11</v>
      </c>
      <c r="E242" s="45"/>
      <c r="F242" s="47">
        <v>4.8E8</v>
      </c>
      <c r="G242" s="44" t="str">
        <f t="shared" si="1"/>
        <v>$400'000.000 a $500'000.000</v>
      </c>
      <c r="H242" s="44"/>
      <c r="I242" s="44"/>
      <c r="J242" s="50" t="s">
        <v>183</v>
      </c>
      <c r="K242" s="51" t="s">
        <v>184</v>
      </c>
      <c r="L242" s="52">
        <v>9.0</v>
      </c>
      <c r="M242" s="52"/>
      <c r="N242" s="52">
        <v>6.0</v>
      </c>
      <c r="O242" s="43">
        <v>1.0</v>
      </c>
      <c r="P242" s="52">
        <v>2.0</v>
      </c>
      <c r="Q242" s="54">
        <v>392.0</v>
      </c>
      <c r="R242" s="55">
        <v>180.0</v>
      </c>
      <c r="S242" s="56" t="str">
        <f t="shared" si="6"/>
        <v>Rentabilidad $1,600,000</v>
      </c>
      <c r="T242" s="52" t="s">
        <v>78</v>
      </c>
      <c r="U242" s="142" t="s">
        <v>184</v>
      </c>
      <c r="V242" s="43" t="s">
        <v>79</v>
      </c>
      <c r="W242" s="43"/>
      <c r="X242" s="52">
        <v>6.0</v>
      </c>
      <c r="Y242" s="94" t="s">
        <v>80</v>
      </c>
      <c r="Z242" s="80" t="s">
        <v>81</v>
      </c>
      <c r="AA242" s="59" t="str">
        <f>IF(Rentabilidad=0,"No aplica",TEXT(ROUND(Precio/Rentabilidad/12,0),0) &amp; " años")</f>
        <v>25 años</v>
      </c>
      <c r="AB242" s="140" t="s">
        <v>1779</v>
      </c>
      <c r="AC242" s="61"/>
      <c r="AD242" s="62"/>
      <c r="AE242" s="63"/>
      <c r="AF242" s="64" t="s">
        <v>236</v>
      </c>
      <c r="AG242" s="63"/>
      <c r="AH242" s="65" t="s">
        <v>45</v>
      </c>
      <c r="AI242" s="63"/>
      <c r="AJ242" s="64" t="s">
        <v>1780</v>
      </c>
      <c r="AK242" s="50" t="s">
        <v>81</v>
      </c>
      <c r="AL242" s="45" t="s">
        <v>109</v>
      </c>
      <c r="AM242" s="52">
        <v>0.0</v>
      </c>
      <c r="AN242" s="45">
        <v>0.0</v>
      </c>
      <c r="AO242" s="52"/>
      <c r="AP242" s="67">
        <v>0.0</v>
      </c>
      <c r="AQ242" s="67"/>
      <c r="AR242" s="67"/>
      <c r="AS242" s="135">
        <v>1600000.0</v>
      </c>
      <c r="AT242" s="63">
        <v>0.0</v>
      </c>
      <c r="AU242" s="52">
        <v>0.0</v>
      </c>
      <c r="AV242" s="52">
        <v>0.0</v>
      </c>
      <c r="AW242" s="43" t="s">
        <v>88</v>
      </c>
      <c r="AX242" s="52">
        <v>0.0</v>
      </c>
      <c r="AY242" s="52">
        <v>0.0</v>
      </c>
      <c r="AZ242" s="52">
        <v>9.0</v>
      </c>
      <c r="BA242" s="43" t="s">
        <v>89</v>
      </c>
      <c r="BB242" s="52">
        <v>20.0</v>
      </c>
      <c r="BC242" s="164" t="s">
        <v>1781</v>
      </c>
      <c r="BD242" s="71"/>
      <c r="BE242" s="71"/>
      <c r="BF242" s="72" t="s">
        <v>1782</v>
      </c>
      <c r="BG242" s="73"/>
      <c r="BH242" s="73"/>
      <c r="BI242" s="73"/>
      <c r="BJ242" s="73"/>
      <c r="BK242" s="73"/>
      <c r="BL242" s="73"/>
      <c r="BM242" s="73"/>
      <c r="BN242" s="73"/>
      <c r="BO242" s="73"/>
      <c r="BP242" s="73"/>
      <c r="BQ242" s="73"/>
      <c r="BR242" s="73"/>
      <c r="BS242" s="73"/>
      <c r="BT242" s="73"/>
      <c r="BU242" s="73"/>
      <c r="BV242" s="73"/>
      <c r="BW242" s="74"/>
      <c r="BX242" s="74"/>
      <c r="BY242" s="63"/>
      <c r="BZ242" s="63"/>
    </row>
    <row r="243" ht="15.75" customHeight="1">
      <c r="A243" s="231" t="s">
        <v>1783</v>
      </c>
      <c r="B243" s="232" t="s">
        <v>1768</v>
      </c>
      <c r="C243" s="232" t="s">
        <v>271</v>
      </c>
      <c r="D243" s="233" t="s">
        <v>193</v>
      </c>
      <c r="E243" s="156"/>
      <c r="F243" s="234">
        <v>1.0E9</v>
      </c>
      <c r="G243" s="44" t="str">
        <f t="shared" si="1"/>
        <v>Más de $1.000'000.000</v>
      </c>
      <c r="H243" s="44"/>
      <c r="I243" s="44"/>
      <c r="J243" s="233" t="s">
        <v>76</v>
      </c>
      <c r="K243" s="56" t="s">
        <v>77</v>
      </c>
      <c r="L243" s="233">
        <v>4.0</v>
      </c>
      <c r="M243" s="233"/>
      <c r="N243" s="233">
        <v>4.0</v>
      </c>
      <c r="O243" s="233">
        <v>1.0</v>
      </c>
      <c r="P243" s="233">
        <v>2.0</v>
      </c>
      <c r="Q243" s="235">
        <v>0.0</v>
      </c>
      <c r="R243" s="235">
        <v>262.0</v>
      </c>
      <c r="S243" s="56" t="str">
        <f t="shared" si="6"/>
        <v> </v>
      </c>
      <c r="T243" s="233" t="s">
        <v>78</v>
      </c>
      <c r="U243" s="236" t="s">
        <v>142</v>
      </c>
      <c r="V243" s="43" t="s">
        <v>79</v>
      </c>
      <c r="W243" s="43"/>
      <c r="X243" s="233">
        <v>1.0</v>
      </c>
      <c r="Y243" s="232" t="s">
        <v>80</v>
      </c>
      <c r="Z243" s="80" t="s">
        <v>81</v>
      </c>
      <c r="AA243" s="59" t="str">
        <f>IF(Rentabilidad=0,"No aplica",TEXT(ROUND(Precio/Rentabilidad/12,0),0) &amp; " años")</f>
        <v>No aplica</v>
      </c>
      <c r="AB243" s="237" t="s">
        <v>1784</v>
      </c>
      <c r="AC243" s="238"/>
      <c r="AD243" s="62"/>
      <c r="AE243" s="63"/>
      <c r="AF243" s="45" t="s">
        <v>105</v>
      </c>
      <c r="AG243" s="63"/>
      <c r="AH243" s="65" t="s">
        <v>45</v>
      </c>
      <c r="AI243" s="74"/>
      <c r="AJ243" s="229" t="s">
        <v>1785</v>
      </c>
      <c r="AK243" s="58" t="s">
        <v>81</v>
      </c>
      <c r="AL243" s="239" t="s">
        <v>109</v>
      </c>
      <c r="AM243" s="240">
        <v>3.104888552E9</v>
      </c>
      <c r="AN243" s="241">
        <v>3.183955563E9</v>
      </c>
      <c r="AO243" s="240"/>
      <c r="AP243" s="242" t="s">
        <v>1786</v>
      </c>
      <c r="AQ243" s="242"/>
      <c r="AR243" s="242"/>
      <c r="AS243" s="243">
        <v>0.0</v>
      </c>
      <c r="AT243" s="233">
        <v>0.0</v>
      </c>
      <c r="AU243" s="240">
        <v>0.0</v>
      </c>
      <c r="AV243" s="240">
        <v>0.0</v>
      </c>
      <c r="AW243" s="240" t="s">
        <v>88</v>
      </c>
      <c r="AX243" s="240">
        <v>0.0</v>
      </c>
      <c r="AY243" s="240" t="s">
        <v>137</v>
      </c>
      <c r="AZ243" s="233">
        <v>0.0</v>
      </c>
      <c r="BA243" s="43" t="s">
        <v>89</v>
      </c>
      <c r="BB243" s="233">
        <v>0.0</v>
      </c>
      <c r="BC243" s="95"/>
      <c r="BD243" s="71"/>
      <c r="BE243" s="71"/>
      <c r="BF243" s="72" t="s">
        <v>1787</v>
      </c>
      <c r="BG243" s="73"/>
      <c r="BH243" s="73"/>
      <c r="BI243" s="73"/>
      <c r="BJ243" s="73"/>
      <c r="BK243" s="73"/>
      <c r="BL243" s="73"/>
      <c r="BM243" s="73"/>
      <c r="BN243" s="73"/>
      <c r="BO243" s="73"/>
      <c r="BP243" s="73"/>
      <c r="BQ243" s="73"/>
      <c r="BR243" s="73"/>
      <c r="BS243" s="73"/>
      <c r="BT243" s="73"/>
      <c r="BU243" s="73"/>
      <c r="BV243" s="73"/>
      <c r="BW243" s="74"/>
      <c r="BX243" s="74"/>
      <c r="BY243" s="63"/>
      <c r="BZ243" s="63"/>
    </row>
    <row r="244" ht="15.75" customHeight="1">
      <c r="A244" s="231" t="s">
        <v>1788</v>
      </c>
      <c r="B244" s="232" t="s">
        <v>1768</v>
      </c>
      <c r="C244" s="50" t="s">
        <v>271</v>
      </c>
      <c r="D244" s="233" t="s">
        <v>193</v>
      </c>
      <c r="E244" s="156"/>
      <c r="F244" s="234">
        <v>7.5E8</v>
      </c>
      <c r="G244" s="44" t="str">
        <f t="shared" si="1"/>
        <v>$500'000.000 a $1.000'000.000</v>
      </c>
      <c r="H244" s="44"/>
      <c r="I244" s="44"/>
      <c r="J244" s="233" t="s">
        <v>76</v>
      </c>
      <c r="K244" s="56" t="s">
        <v>77</v>
      </c>
      <c r="L244" s="233">
        <v>23.0</v>
      </c>
      <c r="M244" s="233"/>
      <c r="N244" s="233">
        <v>8.0</v>
      </c>
      <c r="O244" s="233">
        <v>0.0</v>
      </c>
      <c r="P244" s="233">
        <v>2.0</v>
      </c>
      <c r="Q244" s="235">
        <v>285.0</v>
      </c>
      <c r="R244" s="235">
        <v>163.0</v>
      </c>
      <c r="S244" s="56" t="str">
        <f t="shared" si="6"/>
        <v> </v>
      </c>
      <c r="T244" s="233" t="s">
        <v>78</v>
      </c>
      <c r="U244" s="187" t="s">
        <v>679</v>
      </c>
      <c r="V244" s="43" t="s">
        <v>79</v>
      </c>
      <c r="W244" s="43"/>
      <c r="X244" s="233">
        <v>6.0</v>
      </c>
      <c r="Y244" s="244" t="s">
        <v>80</v>
      </c>
      <c r="Z244" s="80" t="s">
        <v>81</v>
      </c>
      <c r="AA244" s="245"/>
      <c r="AB244" s="246" t="s">
        <v>1789</v>
      </c>
      <c r="AC244" s="238"/>
      <c r="AD244" s="62"/>
      <c r="AE244" s="63"/>
      <c r="AF244" s="45" t="s">
        <v>1769</v>
      </c>
      <c r="AG244" s="63"/>
      <c r="AH244" s="65" t="s">
        <v>45</v>
      </c>
      <c r="AI244" s="74"/>
      <c r="AJ244" s="229" t="s">
        <v>1785</v>
      </c>
      <c r="AK244" s="58" t="s">
        <v>81</v>
      </c>
      <c r="AL244" s="239" t="s">
        <v>109</v>
      </c>
      <c r="AM244" s="240">
        <v>3.104888552E9</v>
      </c>
      <c r="AN244" s="241">
        <v>3.183955563E9</v>
      </c>
      <c r="AO244" s="240"/>
      <c r="AP244" s="242" t="s">
        <v>1790</v>
      </c>
      <c r="AQ244" s="242"/>
      <c r="AR244" s="242"/>
      <c r="AS244" s="243">
        <v>0.0</v>
      </c>
      <c r="AT244" s="233">
        <v>0.0</v>
      </c>
      <c r="AU244" s="240">
        <v>0.0</v>
      </c>
      <c r="AV244" s="240">
        <v>0.0</v>
      </c>
      <c r="AW244" s="244" t="s">
        <v>88</v>
      </c>
      <c r="AX244" s="240">
        <v>0.0</v>
      </c>
      <c r="AY244" s="240">
        <v>0.0</v>
      </c>
      <c r="AZ244" s="233">
        <v>0.0</v>
      </c>
      <c r="BA244" s="43" t="s">
        <v>89</v>
      </c>
      <c r="BB244" s="233">
        <v>0.0</v>
      </c>
      <c r="BC244" s="95" t="s">
        <v>769</v>
      </c>
      <c r="BD244" s="71"/>
      <c r="BE244" s="71"/>
      <c r="BF244" s="72" t="s">
        <v>1791</v>
      </c>
      <c r="BG244" s="73"/>
      <c r="BH244" s="73"/>
      <c r="BI244" s="73"/>
      <c r="BJ244" s="73"/>
      <c r="BK244" s="73"/>
      <c r="BL244" s="73"/>
      <c r="BM244" s="73"/>
      <c r="BN244" s="73"/>
      <c r="BO244" s="73"/>
      <c r="BP244" s="73"/>
      <c r="BQ244" s="73"/>
      <c r="BR244" s="73"/>
      <c r="BS244" s="73"/>
      <c r="BT244" s="73"/>
      <c r="BU244" s="73"/>
      <c r="BV244" s="73"/>
      <c r="BW244" s="74"/>
      <c r="BX244" s="74"/>
      <c r="BY244" s="63"/>
      <c r="BZ244" s="63"/>
    </row>
    <row r="245" ht="15.75" customHeight="1">
      <c r="A245" s="231" t="s">
        <v>1792</v>
      </c>
      <c r="B245" s="233" t="s">
        <v>1793</v>
      </c>
      <c r="C245" s="233" t="s">
        <v>271</v>
      </c>
      <c r="D245" s="233" t="s">
        <v>1216</v>
      </c>
      <c r="E245" s="156"/>
      <c r="F245" s="234">
        <v>6.0E8</v>
      </c>
      <c r="G245" s="44" t="str">
        <f t="shared" si="1"/>
        <v>$500'000.000 a $1.000'000.000</v>
      </c>
      <c r="H245" s="44"/>
      <c r="I245" s="44"/>
      <c r="J245" s="233" t="s">
        <v>76</v>
      </c>
      <c r="K245" s="51" t="s">
        <v>77</v>
      </c>
      <c r="L245" s="233">
        <v>7.0</v>
      </c>
      <c r="M245" s="233"/>
      <c r="N245" s="233">
        <v>7.0</v>
      </c>
      <c r="O245" s="233">
        <v>0.0</v>
      </c>
      <c r="P245" s="233">
        <v>2.0</v>
      </c>
      <c r="Q245" s="235">
        <v>585.0</v>
      </c>
      <c r="R245" s="235">
        <v>315.0</v>
      </c>
      <c r="S245" s="56" t="str">
        <f t="shared" si="6"/>
        <v>Rentabilidad $3,500,000</v>
      </c>
      <c r="T245" s="233" t="s">
        <v>78</v>
      </c>
      <c r="U245" s="236" t="s">
        <v>184</v>
      </c>
      <c r="V245" s="43" t="s">
        <v>79</v>
      </c>
      <c r="W245" s="43"/>
      <c r="X245" s="233">
        <v>4.0</v>
      </c>
      <c r="Y245" s="50" t="s">
        <v>80</v>
      </c>
      <c r="Z245" s="80" t="s">
        <v>81</v>
      </c>
      <c r="AA245" s="245"/>
      <c r="AB245" s="247" t="s">
        <v>1794</v>
      </c>
      <c r="AC245" s="238"/>
      <c r="AD245" s="62"/>
      <c r="AE245" s="63"/>
      <c r="AF245" s="45" t="s">
        <v>1795</v>
      </c>
      <c r="AG245" s="63"/>
      <c r="AH245" s="65" t="s">
        <v>45</v>
      </c>
      <c r="AI245" s="74"/>
      <c r="AJ245" s="229" t="s">
        <v>1796</v>
      </c>
      <c r="AK245" s="58" t="s">
        <v>81</v>
      </c>
      <c r="AL245" s="239" t="s">
        <v>109</v>
      </c>
      <c r="AM245" s="240">
        <v>3.104888552E9</v>
      </c>
      <c r="AN245" s="241">
        <v>3.183955563E9</v>
      </c>
      <c r="AO245" s="240"/>
      <c r="AP245" s="242" t="s">
        <v>1797</v>
      </c>
      <c r="AQ245" s="242"/>
      <c r="AR245" s="242"/>
      <c r="AS245" s="243">
        <v>3500000.0</v>
      </c>
      <c r="AT245" s="233">
        <v>0.0</v>
      </c>
      <c r="AU245" s="240">
        <v>0.0</v>
      </c>
      <c r="AV245" s="240">
        <v>0.0</v>
      </c>
      <c r="AW245" s="244" t="s">
        <v>88</v>
      </c>
      <c r="AX245" s="240">
        <v>0.0</v>
      </c>
      <c r="AY245" s="240">
        <v>0.0</v>
      </c>
      <c r="AZ245" s="240">
        <v>0.0</v>
      </c>
      <c r="BA245" s="43" t="s">
        <v>89</v>
      </c>
      <c r="BB245" s="240">
        <v>0.0</v>
      </c>
      <c r="BC245" s="95"/>
      <c r="BD245" s="71"/>
      <c r="BE245" s="71"/>
      <c r="BF245" s="72" t="s">
        <v>1798</v>
      </c>
      <c r="BG245" s="73"/>
      <c r="BH245" s="73"/>
      <c r="BI245" s="73"/>
      <c r="BJ245" s="73"/>
      <c r="BK245" s="73"/>
      <c r="BL245" s="73"/>
      <c r="BM245" s="73"/>
      <c r="BN245" s="73"/>
      <c r="BO245" s="73"/>
      <c r="BP245" s="73"/>
      <c r="BQ245" s="73"/>
      <c r="BR245" s="73"/>
      <c r="BS245" s="73"/>
      <c r="BT245" s="73"/>
      <c r="BU245" s="73"/>
      <c r="BV245" s="73"/>
      <c r="BW245" s="74"/>
      <c r="BX245" s="74"/>
      <c r="BY245" s="63"/>
      <c r="BZ245" s="63"/>
    </row>
    <row r="246" ht="15.75" customHeight="1">
      <c r="A246" s="231" t="s">
        <v>1799</v>
      </c>
      <c r="B246" s="244" t="s">
        <v>1800</v>
      </c>
      <c r="C246" s="43" t="s">
        <v>315</v>
      </c>
      <c r="D246" s="233" t="s">
        <v>205</v>
      </c>
      <c r="E246" s="156"/>
      <c r="F246" s="248">
        <v>1.5E9</v>
      </c>
      <c r="G246" s="44" t="str">
        <f t="shared" si="1"/>
        <v>Más de $1.000'000.000</v>
      </c>
      <c r="H246" s="44"/>
      <c r="I246" s="44"/>
      <c r="J246" s="233" t="s">
        <v>76</v>
      </c>
      <c r="K246" s="119" t="s">
        <v>77</v>
      </c>
      <c r="L246" s="240">
        <v>0.0</v>
      </c>
      <c r="M246" s="240"/>
      <c r="N246" s="240">
        <v>0.0</v>
      </c>
      <c r="O246" s="240">
        <v>0.0</v>
      </c>
      <c r="P246" s="240">
        <v>0.0</v>
      </c>
      <c r="Q246" s="89">
        <v>0.0</v>
      </c>
      <c r="R246" s="89">
        <v>1400.0</v>
      </c>
      <c r="S246" s="56" t="str">
        <f t="shared" si="6"/>
        <v> </v>
      </c>
      <c r="T246" s="233" t="s">
        <v>78</v>
      </c>
      <c r="U246" s="249" t="s">
        <v>77</v>
      </c>
      <c r="V246" s="50" t="s">
        <v>118</v>
      </c>
      <c r="W246" s="50"/>
      <c r="X246" s="240">
        <v>0.0</v>
      </c>
      <c r="Y246" s="244" t="s">
        <v>80</v>
      </c>
      <c r="Z246" s="250">
        <v>0.0</v>
      </c>
      <c r="AA246" s="245"/>
      <c r="AB246" s="251" t="s">
        <v>1801</v>
      </c>
      <c r="AC246" s="238"/>
      <c r="AD246" s="62"/>
      <c r="AE246" s="63"/>
      <c r="AF246" s="45" t="s">
        <v>96</v>
      </c>
      <c r="AG246" s="63"/>
      <c r="AH246" s="65" t="s">
        <v>45</v>
      </c>
      <c r="AI246" s="74"/>
      <c r="AJ246" s="229" t="s">
        <v>1802</v>
      </c>
      <c r="AK246" s="58"/>
      <c r="AL246" s="239" t="s">
        <v>109</v>
      </c>
      <c r="AM246" s="240">
        <v>3.104888552E9</v>
      </c>
      <c r="AN246" s="241">
        <v>3.183955563E9</v>
      </c>
      <c r="AO246" s="240"/>
      <c r="AP246" s="252" t="s">
        <v>1803</v>
      </c>
      <c r="AQ246" s="252"/>
      <c r="AR246" s="252"/>
      <c r="AS246" s="253">
        <v>0.0</v>
      </c>
      <c r="AT246" s="233">
        <v>0.0</v>
      </c>
      <c r="AU246" s="240">
        <v>0.0</v>
      </c>
      <c r="AV246" s="240">
        <v>0.0</v>
      </c>
      <c r="AW246" s="244" t="s">
        <v>88</v>
      </c>
      <c r="AX246" s="240">
        <v>0.0</v>
      </c>
      <c r="AY246" s="240">
        <v>0.0</v>
      </c>
      <c r="AZ246" s="240">
        <v>0.0</v>
      </c>
      <c r="BA246" s="43" t="s">
        <v>89</v>
      </c>
      <c r="BB246" s="240">
        <v>0.0</v>
      </c>
      <c r="BC246" s="109"/>
      <c r="BD246" s="71"/>
      <c r="BE246" s="70"/>
      <c r="BF246" s="72" t="s">
        <v>1804</v>
      </c>
      <c r="BG246" s="73"/>
      <c r="BH246" s="73"/>
      <c r="BI246" s="73"/>
      <c r="BJ246" s="73"/>
      <c r="BK246" s="73"/>
      <c r="BL246" s="73"/>
      <c r="BM246" s="73"/>
      <c r="BN246" s="73"/>
      <c r="BO246" s="73"/>
      <c r="BP246" s="73"/>
      <c r="BQ246" s="73"/>
      <c r="BR246" s="73"/>
      <c r="BS246" s="73"/>
      <c r="BT246" s="73"/>
      <c r="BU246" s="73"/>
      <c r="BV246" s="73"/>
      <c r="BW246" s="74"/>
      <c r="BX246" s="74"/>
      <c r="BY246" s="63"/>
      <c r="BZ246" s="63"/>
    </row>
    <row r="247" ht="15.75" customHeight="1">
      <c r="A247" s="231" t="s">
        <v>1805</v>
      </c>
      <c r="B247" s="232" t="s">
        <v>1806</v>
      </c>
      <c r="C247" s="232" t="s">
        <v>271</v>
      </c>
      <c r="D247" s="233" t="s">
        <v>205</v>
      </c>
      <c r="E247" s="156"/>
      <c r="F247" s="234">
        <v>1.0E9</v>
      </c>
      <c r="G247" s="44" t="str">
        <f t="shared" si="1"/>
        <v>Más de $1.000'000.000</v>
      </c>
      <c r="H247" s="44"/>
      <c r="I247" s="44"/>
      <c r="J247" s="233" t="s">
        <v>76</v>
      </c>
      <c r="K247" s="119" t="s">
        <v>77</v>
      </c>
      <c r="L247" s="233">
        <v>6.0</v>
      </c>
      <c r="M247" s="233"/>
      <c r="N247" s="233">
        <v>8.0</v>
      </c>
      <c r="O247" s="233">
        <v>1.0</v>
      </c>
      <c r="P247" s="233">
        <v>2.0</v>
      </c>
      <c r="Q247" s="235">
        <v>500.0</v>
      </c>
      <c r="R247" s="235">
        <v>369.0</v>
      </c>
      <c r="S247" s="56" t="str">
        <f t="shared" si="6"/>
        <v> </v>
      </c>
      <c r="T247" s="233" t="s">
        <v>78</v>
      </c>
      <c r="U247" s="236" t="s">
        <v>142</v>
      </c>
      <c r="V247" s="43" t="s">
        <v>79</v>
      </c>
      <c r="W247" s="43"/>
      <c r="X247" s="233">
        <v>5.0</v>
      </c>
      <c r="Y247" s="232" t="s">
        <v>80</v>
      </c>
      <c r="Z247" s="80" t="s">
        <v>81</v>
      </c>
      <c r="AA247" s="59" t="str">
        <f>IF(Rentabilidad=0,"No aplica",TEXT(ROUND(Precio/Rentabilidad/12,0),0) &amp; " años")</f>
        <v>No aplica</v>
      </c>
      <c r="AB247" s="254"/>
      <c r="AC247" s="238"/>
      <c r="AD247" s="62"/>
      <c r="AE247" s="63"/>
      <c r="AF247" s="45" t="s">
        <v>236</v>
      </c>
      <c r="AG247" s="63"/>
      <c r="AH247" s="65" t="s">
        <v>45</v>
      </c>
      <c r="AI247" s="74"/>
      <c r="AJ247" s="229" t="s">
        <v>1802</v>
      </c>
      <c r="AK247" s="58" t="s">
        <v>81</v>
      </c>
      <c r="AL247" s="239" t="s">
        <v>109</v>
      </c>
      <c r="AM247" s="240">
        <v>3.104888552E9</v>
      </c>
      <c r="AN247" s="241">
        <v>3.183955563E9</v>
      </c>
      <c r="AO247" s="240"/>
      <c r="AP247" s="242" t="s">
        <v>1807</v>
      </c>
      <c r="AQ247" s="242"/>
      <c r="AR247" s="242"/>
      <c r="AS247" s="243">
        <v>0.0</v>
      </c>
      <c r="AT247" s="233">
        <v>0.0</v>
      </c>
      <c r="AU247" s="240">
        <v>0.0</v>
      </c>
      <c r="AV247" s="240">
        <v>0.0</v>
      </c>
      <c r="AW247" s="240" t="s">
        <v>106</v>
      </c>
      <c r="AX247" s="240">
        <v>0.0</v>
      </c>
      <c r="AY247" s="240" t="s">
        <v>137</v>
      </c>
      <c r="AZ247" s="233">
        <v>0.0</v>
      </c>
      <c r="BA247" s="43" t="s">
        <v>89</v>
      </c>
      <c r="BB247" s="233">
        <v>0.0</v>
      </c>
      <c r="BC247" s="109"/>
      <c r="BD247" s="70"/>
      <c r="BE247" s="70"/>
      <c r="BF247" s="130"/>
      <c r="BG247" s="73"/>
      <c r="BH247" s="73"/>
      <c r="BI247" s="73"/>
      <c r="BJ247" s="73"/>
      <c r="BK247" s="73"/>
      <c r="BL247" s="73"/>
      <c r="BM247" s="73"/>
      <c r="BN247" s="73"/>
      <c r="BO247" s="73"/>
      <c r="BP247" s="73"/>
      <c r="BQ247" s="73"/>
      <c r="BR247" s="73"/>
      <c r="BS247" s="73"/>
      <c r="BT247" s="73"/>
      <c r="BU247" s="73"/>
      <c r="BV247" s="73"/>
      <c r="BW247" s="74"/>
      <c r="BX247" s="74"/>
      <c r="BY247" s="63"/>
      <c r="BZ247" s="63"/>
    </row>
    <row r="248" ht="15.75" customHeight="1">
      <c r="A248" s="41" t="s">
        <v>1808</v>
      </c>
      <c r="B248" s="50" t="s">
        <v>1809</v>
      </c>
      <c r="C248" s="50" t="s">
        <v>271</v>
      </c>
      <c r="D248" s="44" t="s">
        <v>1437</v>
      </c>
      <c r="E248" s="45"/>
      <c r="F248" s="47">
        <v>3.0E8</v>
      </c>
      <c r="G248" s="44" t="str">
        <f t="shared" si="1"/>
        <v>$300'000.000 a $400'000.000</v>
      </c>
      <c r="H248" s="44"/>
      <c r="I248" s="44"/>
      <c r="J248" s="50" t="s">
        <v>183</v>
      </c>
      <c r="K248" s="57"/>
      <c r="L248" s="44">
        <v>7.0</v>
      </c>
      <c r="M248" s="44"/>
      <c r="N248" s="44">
        <v>4.0</v>
      </c>
      <c r="O248" s="50">
        <v>1.0</v>
      </c>
      <c r="P248" s="44">
        <v>2.0</v>
      </c>
      <c r="Q248" s="113"/>
      <c r="R248" s="79">
        <v>126.0</v>
      </c>
      <c r="S248" s="56" t="str">
        <f t="shared" si="6"/>
        <v>Rentabilidad $2,200,000</v>
      </c>
      <c r="T248" s="44" t="s">
        <v>78</v>
      </c>
      <c r="U248" s="142" t="s">
        <v>184</v>
      </c>
      <c r="V248" s="50" t="s">
        <v>79</v>
      </c>
      <c r="W248" s="50"/>
      <c r="X248" s="44">
        <v>5.0</v>
      </c>
      <c r="Y248" s="43" t="s">
        <v>80</v>
      </c>
      <c r="Z248" s="58" t="s">
        <v>81</v>
      </c>
      <c r="AA248" s="59" t="str">
        <f>IF(Rentabilidad=0,"No aplica",TEXT(ROUND(Precio/Rentabilidad/12,0),0) &amp; " años")</f>
        <v>11 años</v>
      </c>
      <c r="AB248" s="115" t="s">
        <v>1810</v>
      </c>
      <c r="AC248" s="61"/>
      <c r="AD248" s="62"/>
      <c r="AE248" s="63"/>
      <c r="AF248" s="64" t="s">
        <v>236</v>
      </c>
      <c r="AG248" s="63"/>
      <c r="AH248" s="63"/>
      <c r="AI248" s="63"/>
      <c r="AJ248" s="64" t="s">
        <v>1811</v>
      </c>
      <c r="AK248" s="44"/>
      <c r="AL248" s="45" t="s">
        <v>109</v>
      </c>
      <c r="AM248" s="52">
        <v>3.104888552E9</v>
      </c>
      <c r="AN248" s="45">
        <v>3.183955563E9</v>
      </c>
      <c r="AO248" s="52"/>
      <c r="AP248" s="67" t="s">
        <v>1812</v>
      </c>
      <c r="AQ248" s="67"/>
      <c r="AR248" s="67"/>
      <c r="AS248" s="68">
        <v>2200000.0</v>
      </c>
      <c r="AT248" s="63">
        <v>0.0</v>
      </c>
      <c r="AU248" s="52">
        <v>0.0</v>
      </c>
      <c r="AV248" s="52">
        <v>0.0</v>
      </c>
      <c r="AW248" s="43" t="s">
        <v>88</v>
      </c>
      <c r="AX248" s="52">
        <v>0.0</v>
      </c>
      <c r="AY248" s="52">
        <v>0.0</v>
      </c>
      <c r="AZ248" s="44">
        <v>0.0</v>
      </c>
      <c r="BA248" s="43" t="s">
        <v>89</v>
      </c>
      <c r="BB248" s="44">
        <v>0.0</v>
      </c>
      <c r="BC248" s="109"/>
      <c r="BD248" s="70"/>
      <c r="BE248" s="71"/>
      <c r="BF248" s="72" t="s">
        <v>1813</v>
      </c>
      <c r="BG248" s="73"/>
      <c r="BH248" s="73"/>
      <c r="BI248" s="73"/>
      <c r="BJ248" s="73"/>
      <c r="BK248" s="73"/>
      <c r="BL248" s="73"/>
      <c r="BM248" s="73"/>
      <c r="BN248" s="73"/>
      <c r="BO248" s="73"/>
      <c r="BP248" s="73"/>
      <c r="BQ248" s="73"/>
      <c r="BR248" s="73"/>
      <c r="BS248" s="73"/>
      <c r="BT248" s="73"/>
      <c r="BU248" s="73"/>
      <c r="BV248" s="73"/>
      <c r="BW248" s="74"/>
      <c r="BX248" s="74"/>
      <c r="BY248" s="63"/>
      <c r="BZ248" s="63"/>
    </row>
    <row r="249" ht="15.75" customHeight="1">
      <c r="A249" s="41" t="s">
        <v>1814</v>
      </c>
      <c r="B249" s="50" t="s">
        <v>1815</v>
      </c>
      <c r="C249" s="50" t="s">
        <v>271</v>
      </c>
      <c r="D249" s="44" t="s">
        <v>1437</v>
      </c>
      <c r="E249" s="45"/>
      <c r="F249" s="47">
        <v>3.0E8</v>
      </c>
      <c r="G249" s="44" t="str">
        <f t="shared" si="1"/>
        <v>$300'000.000 a $400'000.000</v>
      </c>
      <c r="H249" s="44"/>
      <c r="I249" s="44"/>
      <c r="J249" s="50" t="s">
        <v>183</v>
      </c>
      <c r="K249" s="57"/>
      <c r="L249" s="44">
        <v>7.0</v>
      </c>
      <c r="M249" s="44"/>
      <c r="N249" s="44">
        <v>4.0</v>
      </c>
      <c r="O249" s="50">
        <v>1.0</v>
      </c>
      <c r="P249" s="44">
        <v>2.0</v>
      </c>
      <c r="Q249" s="113"/>
      <c r="R249" s="79">
        <v>126.0</v>
      </c>
      <c r="S249" s="56" t="str">
        <f t="shared" si="6"/>
        <v>Rentabilidad $2,200,000</v>
      </c>
      <c r="T249" s="44" t="s">
        <v>78</v>
      </c>
      <c r="U249" s="57" t="s">
        <v>184</v>
      </c>
      <c r="V249" s="50" t="s">
        <v>79</v>
      </c>
      <c r="W249" s="50"/>
      <c r="X249" s="44">
        <v>5.0</v>
      </c>
      <c r="Y249" s="43" t="s">
        <v>80</v>
      </c>
      <c r="Z249" s="58" t="s">
        <v>81</v>
      </c>
      <c r="AA249" s="59" t="str">
        <f>IF(Rentabilidad=0,"No aplica",TEXT(ROUND(Precio/Rentabilidad/12,0),0) &amp; " años")</f>
        <v>11 años</v>
      </c>
      <c r="AB249" s="115" t="s">
        <v>1810</v>
      </c>
      <c r="AC249" s="61"/>
      <c r="AD249" s="62"/>
      <c r="AE249" s="63"/>
      <c r="AF249" s="64" t="s">
        <v>236</v>
      </c>
      <c r="AG249" s="63"/>
      <c r="AH249" s="63"/>
      <c r="AI249" s="63"/>
      <c r="AJ249" s="64" t="s">
        <v>1811</v>
      </c>
      <c r="AK249" s="44"/>
      <c r="AL249" s="45" t="s">
        <v>109</v>
      </c>
      <c r="AM249" s="52">
        <v>3.104888552E9</v>
      </c>
      <c r="AN249" s="45">
        <v>3.183955563E9</v>
      </c>
      <c r="AO249" s="52"/>
      <c r="AP249" s="67" t="s">
        <v>1812</v>
      </c>
      <c r="AQ249" s="67"/>
      <c r="AR249" s="67"/>
      <c r="AS249" s="68">
        <v>2200000.0</v>
      </c>
      <c r="AT249" s="63">
        <v>0.0</v>
      </c>
      <c r="AU249" s="52">
        <v>0.0</v>
      </c>
      <c r="AV249" s="52">
        <v>0.0</v>
      </c>
      <c r="AW249" s="43" t="s">
        <v>88</v>
      </c>
      <c r="AX249" s="52">
        <v>0.0</v>
      </c>
      <c r="AY249" s="52">
        <v>0.0</v>
      </c>
      <c r="AZ249" s="44">
        <v>0.0</v>
      </c>
      <c r="BA249" s="43" t="s">
        <v>89</v>
      </c>
      <c r="BB249" s="44">
        <v>0.0</v>
      </c>
      <c r="BC249" s="109"/>
      <c r="BD249" s="70"/>
      <c r="BE249" s="70"/>
      <c r="BF249" s="72" t="s">
        <v>1813</v>
      </c>
      <c r="BG249" s="73"/>
      <c r="BH249" s="73"/>
      <c r="BI249" s="73"/>
      <c r="BJ249" s="73"/>
      <c r="BK249" s="73"/>
      <c r="BL249" s="73"/>
      <c r="BM249" s="73"/>
      <c r="BN249" s="73"/>
      <c r="BO249" s="73"/>
      <c r="BP249" s="73"/>
      <c r="BQ249" s="73"/>
      <c r="BR249" s="73"/>
      <c r="BS249" s="73"/>
      <c r="BT249" s="73"/>
      <c r="BU249" s="73"/>
      <c r="BV249" s="73"/>
      <c r="BW249" s="74"/>
      <c r="BX249" s="74"/>
      <c r="BY249" s="63"/>
      <c r="BZ249" s="63"/>
    </row>
    <row r="250" ht="15.75" customHeight="1">
      <c r="A250" s="120" t="s">
        <v>1816</v>
      </c>
      <c r="B250" s="43" t="s">
        <v>1817</v>
      </c>
      <c r="C250" s="50" t="s">
        <v>573</v>
      </c>
      <c r="D250" s="44" t="s">
        <v>71</v>
      </c>
      <c r="E250" s="77" t="s">
        <v>376</v>
      </c>
      <c r="F250" s="47">
        <v>2.2E8</v>
      </c>
      <c r="G250" s="44" t="str">
        <f t="shared" si="1"/>
        <v>$200'000.000 a $300'000.000</v>
      </c>
      <c r="H250" s="44"/>
      <c r="I250" s="44"/>
      <c r="J250" s="43" t="s">
        <v>76</v>
      </c>
      <c r="K250" s="51" t="s">
        <v>77</v>
      </c>
      <c r="L250" s="52">
        <v>4.0</v>
      </c>
      <c r="M250" s="52"/>
      <c r="N250" s="52">
        <v>2.0</v>
      </c>
      <c r="O250" s="43">
        <v>0.0</v>
      </c>
      <c r="P250" s="43">
        <v>1.0</v>
      </c>
      <c r="Q250" s="54">
        <v>120.0</v>
      </c>
      <c r="R250" s="55">
        <v>135.0</v>
      </c>
      <c r="S250" s="56" t="str">
        <f t="shared" si="6"/>
        <v>Rentabilidad $1,000,000</v>
      </c>
      <c r="T250" s="52" t="s">
        <v>78</v>
      </c>
      <c r="U250" s="142" t="s">
        <v>142</v>
      </c>
      <c r="V250" s="52"/>
      <c r="W250" s="52"/>
      <c r="X250" s="52">
        <v>3.0</v>
      </c>
      <c r="Y250" s="43" t="s">
        <v>80</v>
      </c>
      <c r="Z250" s="58" t="s">
        <v>81</v>
      </c>
      <c r="AA250" s="59" t="str">
        <f>IF(Rentabilidad=0,"No aplica",TEXT(ROUND(Precio/Rentabilidad/12,0),0) &amp; " años")</f>
        <v>18 años</v>
      </c>
      <c r="AB250" s="60"/>
      <c r="AC250" s="131" t="s">
        <v>1818</v>
      </c>
      <c r="AD250" s="62"/>
      <c r="AE250" s="63"/>
      <c r="AF250" s="45" t="s">
        <v>105</v>
      </c>
      <c r="AG250" s="63"/>
      <c r="AH250" s="65" t="s">
        <v>45</v>
      </c>
      <c r="AI250" s="63"/>
      <c r="AJ250" s="45" t="s">
        <v>1819</v>
      </c>
      <c r="AK250" s="44"/>
      <c r="AL250" s="45" t="s">
        <v>86</v>
      </c>
      <c r="AM250" s="52">
        <v>3.136779748E9</v>
      </c>
      <c r="AN250" s="45">
        <v>3.104366006E9</v>
      </c>
      <c r="AO250" s="52" t="s">
        <v>1820</v>
      </c>
      <c r="AP250" s="67" t="s">
        <v>1821</v>
      </c>
      <c r="AQ250" s="67"/>
      <c r="AR250" s="67"/>
      <c r="AS250" s="135">
        <v>1000000.0</v>
      </c>
      <c r="AT250" s="52">
        <v>0.0</v>
      </c>
      <c r="AU250" s="52">
        <v>0.0</v>
      </c>
      <c r="AV250" s="52">
        <v>0.0</v>
      </c>
      <c r="AW250" s="43" t="s">
        <v>88</v>
      </c>
      <c r="AX250" s="52">
        <v>0.0</v>
      </c>
      <c r="AY250" s="52">
        <v>0.0</v>
      </c>
      <c r="AZ250" s="52">
        <v>0.0</v>
      </c>
      <c r="BA250" s="43" t="s">
        <v>89</v>
      </c>
      <c r="BB250" s="52">
        <v>0.0</v>
      </c>
      <c r="BC250" s="109"/>
      <c r="BD250" s="70"/>
      <c r="BE250" s="70"/>
      <c r="BF250" s="72"/>
      <c r="BG250" s="73"/>
      <c r="BH250" s="73"/>
      <c r="BI250" s="73"/>
      <c r="BJ250" s="73"/>
      <c r="BK250" s="73"/>
      <c r="BL250" s="73"/>
      <c r="BM250" s="73"/>
      <c r="BN250" s="73"/>
      <c r="BO250" s="73"/>
      <c r="BP250" s="73"/>
      <c r="BQ250" s="73"/>
      <c r="BR250" s="73"/>
      <c r="BS250" s="73"/>
      <c r="BT250" s="73"/>
      <c r="BU250" s="73"/>
      <c r="BV250" s="73"/>
      <c r="BW250" s="74"/>
      <c r="BX250" s="74"/>
      <c r="BY250" s="63"/>
      <c r="BZ250" s="63"/>
    </row>
    <row r="251" ht="15.75" customHeight="1">
      <c r="A251" s="133" t="s">
        <v>1822</v>
      </c>
      <c r="B251" s="43" t="s">
        <v>1823</v>
      </c>
      <c r="C251" s="111" t="s">
        <v>323</v>
      </c>
      <c r="D251" s="45" t="s">
        <v>11</v>
      </c>
      <c r="E251" s="77" t="s">
        <v>376</v>
      </c>
      <c r="F251" s="47">
        <v>1.3E8</v>
      </c>
      <c r="G251" s="44" t="str">
        <f t="shared" si="1"/>
        <v>$100'000.000 a $200'000.000</v>
      </c>
      <c r="H251" s="44"/>
      <c r="I251" s="44"/>
      <c r="J251" s="50" t="s">
        <v>183</v>
      </c>
      <c r="K251" s="51" t="s">
        <v>184</v>
      </c>
      <c r="L251" s="52">
        <v>3.0</v>
      </c>
      <c r="M251" s="52"/>
      <c r="N251" s="52">
        <v>2.0</v>
      </c>
      <c r="O251" s="43">
        <v>1.0</v>
      </c>
      <c r="P251" s="43">
        <v>1.0</v>
      </c>
      <c r="Q251" s="54">
        <v>83.0</v>
      </c>
      <c r="R251" s="55">
        <v>83.0</v>
      </c>
      <c r="S251" s="56" t="str">
        <f t="shared" si="6"/>
        <v>Rentabilidad $850,000</v>
      </c>
      <c r="T251" s="52" t="s">
        <v>78</v>
      </c>
      <c r="U251" s="142" t="s">
        <v>77</v>
      </c>
      <c r="V251" s="52"/>
      <c r="W251" s="52"/>
      <c r="X251" s="52">
        <v>3.0</v>
      </c>
      <c r="Y251" s="43" t="s">
        <v>80</v>
      </c>
      <c r="Z251" s="91">
        <v>185000.0</v>
      </c>
      <c r="AA251" s="59" t="str">
        <f>IF(Rentabilidad=0,"No aplica",TEXT(ROUND(Precio/Rentabilidad/12,0),0) &amp; " años")</f>
        <v>13 años</v>
      </c>
      <c r="AB251" s="60"/>
      <c r="AC251" s="131" t="s">
        <v>1824</v>
      </c>
      <c r="AD251" s="62"/>
      <c r="AE251" s="63"/>
      <c r="AF251" s="45" t="s">
        <v>236</v>
      </c>
      <c r="AG251" s="63"/>
      <c r="AH251" s="65" t="s">
        <v>45</v>
      </c>
      <c r="AI251" s="63"/>
      <c r="AJ251" s="45" t="s">
        <v>1825</v>
      </c>
      <c r="AK251" s="50" t="s">
        <v>81</v>
      </c>
      <c r="AL251" s="45" t="s">
        <v>86</v>
      </c>
      <c r="AM251" s="52">
        <v>3.017559995E9</v>
      </c>
      <c r="AN251" s="45"/>
      <c r="AO251" s="52" t="s">
        <v>1826</v>
      </c>
      <c r="AP251" s="67" t="s">
        <v>1827</v>
      </c>
      <c r="AQ251" s="67"/>
      <c r="AR251" s="67"/>
      <c r="AS251" s="135">
        <v>850000.0</v>
      </c>
      <c r="AT251" s="52" t="s">
        <v>88</v>
      </c>
      <c r="AU251" s="52">
        <v>0.0</v>
      </c>
      <c r="AV251" s="52">
        <v>0.0</v>
      </c>
      <c r="AW251" s="43" t="s">
        <v>88</v>
      </c>
      <c r="AX251" s="52">
        <v>0.0</v>
      </c>
      <c r="AY251" s="52">
        <v>0.0</v>
      </c>
      <c r="AZ251" s="44">
        <v>0.0</v>
      </c>
      <c r="BA251" s="43" t="s">
        <v>89</v>
      </c>
      <c r="BB251" s="44">
        <v>0.0</v>
      </c>
      <c r="BC251" s="109"/>
      <c r="BD251" s="70"/>
      <c r="BE251" s="70"/>
      <c r="BF251" s="130"/>
      <c r="BG251" s="73"/>
      <c r="BH251" s="73"/>
      <c r="BI251" s="73"/>
      <c r="BJ251" s="73"/>
      <c r="BK251" s="73"/>
      <c r="BL251" s="73"/>
      <c r="BM251" s="73"/>
      <c r="BN251" s="73"/>
      <c r="BO251" s="73"/>
      <c r="BP251" s="73"/>
      <c r="BQ251" s="73"/>
      <c r="BR251" s="73"/>
      <c r="BS251" s="73"/>
      <c r="BT251" s="73"/>
      <c r="BU251" s="73"/>
      <c r="BV251" s="73"/>
      <c r="BW251" s="74"/>
      <c r="BX251" s="74"/>
      <c r="BY251" s="63"/>
      <c r="BZ251" s="63"/>
    </row>
    <row r="252" ht="15.75" customHeight="1">
      <c r="A252" s="75" t="s">
        <v>1828</v>
      </c>
      <c r="B252" s="50" t="s">
        <v>1829</v>
      </c>
      <c r="C252" s="50" t="s">
        <v>70</v>
      </c>
      <c r="D252" s="50" t="s">
        <v>1830</v>
      </c>
      <c r="E252" s="64"/>
      <c r="F252" s="78">
        <v>1.3E8</v>
      </c>
      <c r="G252" s="44" t="str">
        <f t="shared" si="1"/>
        <v>$100'000.000 a $200'000.000</v>
      </c>
      <c r="H252" s="44"/>
      <c r="I252" s="44"/>
      <c r="J252" s="50" t="s">
        <v>94</v>
      </c>
      <c r="K252" s="51" t="s">
        <v>117</v>
      </c>
      <c r="L252" s="50">
        <v>3.0</v>
      </c>
      <c r="M252" s="50"/>
      <c r="N252" s="50">
        <v>1.0</v>
      </c>
      <c r="O252" s="50">
        <v>0.0</v>
      </c>
      <c r="P252" s="50">
        <v>1.0</v>
      </c>
      <c r="Q252" s="88">
        <v>100.0</v>
      </c>
      <c r="R252" s="88">
        <v>104.0</v>
      </c>
      <c r="S252" s="56" t="str">
        <f t="shared" si="6"/>
        <v> </v>
      </c>
      <c r="T252" s="50" t="s">
        <v>78</v>
      </c>
      <c r="U252" s="51" t="s">
        <v>184</v>
      </c>
      <c r="V252" s="50" t="s">
        <v>79</v>
      </c>
      <c r="W252" s="50"/>
      <c r="X252" s="50">
        <v>0.0</v>
      </c>
      <c r="Y252" s="50" t="s">
        <v>80</v>
      </c>
      <c r="Z252" s="91"/>
      <c r="AA252" s="59" t="str">
        <f>IF(Rentabilidad=0,"No aplica",TEXT(ROUND(Precio/Rentabilidad/12,0),0) &amp; " años")</f>
        <v>No aplica</v>
      </c>
      <c r="AB252" s="82" t="s">
        <v>1831</v>
      </c>
      <c r="AC252" s="131" t="s">
        <v>1832</v>
      </c>
      <c r="AD252" s="107" t="s">
        <v>1833</v>
      </c>
      <c r="AE252" s="63"/>
      <c r="AF252" s="64" t="s">
        <v>84</v>
      </c>
      <c r="AG252" s="65" t="s">
        <v>106</v>
      </c>
      <c r="AH252" s="63"/>
      <c r="AI252" s="65" t="s">
        <v>107</v>
      </c>
      <c r="AJ252" s="64" t="s">
        <v>1834</v>
      </c>
      <c r="AK252" s="50" t="s">
        <v>81</v>
      </c>
      <c r="AL252" s="45" t="s">
        <v>109</v>
      </c>
      <c r="AM252" s="50">
        <v>3.208762117E9</v>
      </c>
      <c r="AN252" s="64">
        <v>0.0</v>
      </c>
      <c r="AO252" s="43"/>
      <c r="AP252" s="84" t="s">
        <v>1835</v>
      </c>
      <c r="AQ252" s="84"/>
      <c r="AR252" s="84"/>
      <c r="AS252" s="94">
        <v>0.0</v>
      </c>
      <c r="AT252" s="65">
        <v>0.0</v>
      </c>
      <c r="AU252" s="50">
        <v>0.0</v>
      </c>
      <c r="AV252" s="50">
        <v>0.0</v>
      </c>
      <c r="AW252" s="50" t="s">
        <v>106</v>
      </c>
      <c r="AX252" s="50">
        <v>0.0</v>
      </c>
      <c r="AY252" s="50" t="s">
        <v>137</v>
      </c>
      <c r="AZ252" s="50">
        <v>8.0</v>
      </c>
      <c r="BA252" s="43" t="s">
        <v>89</v>
      </c>
      <c r="BB252" s="50">
        <v>13.0</v>
      </c>
      <c r="BC252" s="95"/>
      <c r="BD252" s="71"/>
      <c r="BE252" s="71"/>
      <c r="BF252" s="72" t="s">
        <v>1836</v>
      </c>
      <c r="BG252" s="73"/>
      <c r="BH252" s="73"/>
      <c r="BI252" s="73"/>
      <c r="BJ252" s="73"/>
      <c r="BK252" s="73"/>
      <c r="BL252" s="73"/>
      <c r="BM252" s="73"/>
      <c r="BN252" s="73"/>
      <c r="BO252" s="73"/>
      <c r="BP252" s="73"/>
      <c r="BQ252" s="73"/>
      <c r="BR252" s="73"/>
      <c r="BS252" s="73"/>
      <c r="BT252" s="73"/>
      <c r="BU252" s="73"/>
      <c r="BV252" s="73"/>
      <c r="BW252" s="74"/>
      <c r="BX252" s="74"/>
      <c r="BY252" s="63"/>
      <c r="BZ252" s="63"/>
    </row>
    <row r="253" ht="15.75" customHeight="1">
      <c r="A253" s="75" t="s">
        <v>1837</v>
      </c>
      <c r="B253" s="50" t="s">
        <v>1838</v>
      </c>
      <c r="C253" s="50" t="s">
        <v>70</v>
      </c>
      <c r="D253" s="50" t="s">
        <v>1839</v>
      </c>
      <c r="E253" s="64"/>
      <c r="F253" s="78">
        <v>2.85E9</v>
      </c>
      <c r="G253" s="44" t="str">
        <f t="shared" si="1"/>
        <v>Más de $1.000'000.000</v>
      </c>
      <c r="H253" s="44"/>
      <c r="I253" s="44"/>
      <c r="J253" s="50" t="s">
        <v>183</v>
      </c>
      <c r="K253" s="51"/>
      <c r="L253" s="50">
        <v>3.0</v>
      </c>
      <c r="M253" s="50"/>
      <c r="N253" s="50">
        <v>3.0</v>
      </c>
      <c r="O253" s="50">
        <v>1.0</v>
      </c>
      <c r="P253" s="50">
        <v>2.0</v>
      </c>
      <c r="Q253" s="88">
        <v>315.0</v>
      </c>
      <c r="R253" s="88">
        <v>2029.0</v>
      </c>
      <c r="S253" s="56" t="str">
        <f t="shared" si="6"/>
        <v> </v>
      </c>
      <c r="T253" s="50" t="s">
        <v>78</v>
      </c>
      <c r="U253" s="51" t="s">
        <v>77</v>
      </c>
      <c r="V253" s="50" t="s">
        <v>118</v>
      </c>
      <c r="W253" s="50"/>
      <c r="X253" s="50">
        <v>3.0</v>
      </c>
      <c r="Y253" s="50" t="s">
        <v>80</v>
      </c>
      <c r="Z253" s="58" t="s">
        <v>81</v>
      </c>
      <c r="AA253" s="59" t="str">
        <f>IF(Rentabilidad=0,"No aplica",TEXT(ROUND(Precio/Rentabilidad/12,0),0) &amp; " años")</f>
        <v>No aplica</v>
      </c>
      <c r="AB253" s="82" t="s">
        <v>1840</v>
      </c>
      <c r="AC253" s="83" t="s">
        <v>1841</v>
      </c>
      <c r="AD253" s="83" t="s">
        <v>1842</v>
      </c>
      <c r="AE253" s="63"/>
      <c r="AF253" s="64" t="s">
        <v>105</v>
      </c>
      <c r="AG253" s="65" t="s">
        <v>106</v>
      </c>
      <c r="AH253" s="63"/>
      <c r="AI253" s="65" t="s">
        <v>1843</v>
      </c>
      <c r="AJ253" s="64" t="s">
        <v>1834</v>
      </c>
      <c r="AK253" s="255" t="s">
        <v>1844</v>
      </c>
      <c r="AL253" s="45" t="s">
        <v>86</v>
      </c>
      <c r="AM253" s="50" t="s">
        <v>1845</v>
      </c>
      <c r="AN253" s="64">
        <v>3.112297438E9</v>
      </c>
      <c r="AO253" s="43" t="s">
        <v>1846</v>
      </c>
      <c r="AP253" s="67"/>
      <c r="AQ253" s="67"/>
      <c r="AR253" s="67"/>
      <c r="AS253" s="94">
        <v>0.0</v>
      </c>
      <c r="AT253" s="65">
        <v>0.0</v>
      </c>
      <c r="AU253" s="50">
        <v>0.0</v>
      </c>
      <c r="AV253" s="50">
        <v>0.0</v>
      </c>
      <c r="AW253" s="50" t="s">
        <v>106</v>
      </c>
      <c r="AX253" s="50">
        <v>0.0</v>
      </c>
      <c r="AY253" s="50" t="s">
        <v>106</v>
      </c>
      <c r="AZ253" s="50">
        <v>0.0</v>
      </c>
      <c r="BA253" s="43" t="s">
        <v>89</v>
      </c>
      <c r="BB253" s="50">
        <v>0.0</v>
      </c>
      <c r="BC253" s="95"/>
      <c r="BD253" s="71"/>
      <c r="BE253" s="71"/>
      <c r="BF253" s="72" t="s">
        <v>1847</v>
      </c>
      <c r="BG253" s="73"/>
      <c r="BH253" s="73"/>
      <c r="BI253" s="73"/>
      <c r="BJ253" s="73"/>
      <c r="BK253" s="73"/>
      <c r="BL253" s="73"/>
      <c r="BM253" s="73"/>
      <c r="BN253" s="73"/>
      <c r="BO253" s="73"/>
      <c r="BP253" s="73"/>
      <c r="BQ253" s="73"/>
      <c r="BR253" s="73"/>
      <c r="BS253" s="73"/>
      <c r="BT253" s="73"/>
      <c r="BU253" s="73"/>
      <c r="BV253" s="73"/>
      <c r="BW253" s="74"/>
      <c r="BX253" s="74"/>
      <c r="BY253" s="63"/>
      <c r="BZ253" s="63"/>
    </row>
    <row r="254" ht="15.75" customHeight="1">
      <c r="A254" s="75" t="s">
        <v>1848</v>
      </c>
      <c r="B254" s="50" t="s">
        <v>1849</v>
      </c>
      <c r="C254" s="50" t="s">
        <v>497</v>
      </c>
      <c r="D254" s="50"/>
      <c r="E254" s="64"/>
      <c r="F254" s="78">
        <v>1.2E9</v>
      </c>
      <c r="G254" s="44" t="str">
        <f t="shared" si="1"/>
        <v>Más de $1.000'000.000</v>
      </c>
      <c r="H254" s="44"/>
      <c r="I254" s="44"/>
      <c r="J254" s="50" t="s">
        <v>498</v>
      </c>
      <c r="K254" s="51"/>
      <c r="L254" s="50">
        <v>4.0</v>
      </c>
      <c r="M254" s="50"/>
      <c r="N254" s="50">
        <v>4.0</v>
      </c>
      <c r="O254" s="50">
        <v>3.0</v>
      </c>
      <c r="P254" s="50">
        <v>1.0</v>
      </c>
      <c r="Q254" s="88">
        <v>650.0</v>
      </c>
      <c r="R254" s="88" t="s">
        <v>1850</v>
      </c>
      <c r="S254" s="56"/>
      <c r="T254" s="50" t="s">
        <v>998</v>
      </c>
      <c r="U254" s="57"/>
      <c r="V254" s="44"/>
      <c r="W254" s="44"/>
      <c r="X254" s="50">
        <v>3.0</v>
      </c>
      <c r="Y254" s="50" t="s">
        <v>97</v>
      </c>
      <c r="Z254" s="91"/>
      <c r="AA254" s="59" t="str">
        <f>IF(Rentabilidad=0,"No aplica",TEXT(ROUND(Precio/Rentabilidad/12,0),0) &amp; " años")</f>
        <v>No aplica</v>
      </c>
      <c r="AB254" s="82" t="s">
        <v>1851</v>
      </c>
      <c r="AC254" s="221" t="s">
        <v>1852</v>
      </c>
      <c r="AD254" s="107" t="s">
        <v>1853</v>
      </c>
      <c r="AE254" s="63"/>
      <c r="AF254" s="64" t="s">
        <v>236</v>
      </c>
      <c r="AG254" s="65" t="s">
        <v>106</v>
      </c>
      <c r="AH254" s="63"/>
      <c r="AI254" s="65" t="s">
        <v>1843</v>
      </c>
      <c r="AJ254" s="64" t="s">
        <v>1834</v>
      </c>
      <c r="AK254" s="255" t="s">
        <v>1844</v>
      </c>
      <c r="AL254" s="45" t="s">
        <v>109</v>
      </c>
      <c r="AM254" s="50">
        <v>3.102433028E9</v>
      </c>
      <c r="AN254" s="64">
        <v>0.0</v>
      </c>
      <c r="AO254" s="43" t="s">
        <v>1854</v>
      </c>
      <c r="AP254" s="67"/>
      <c r="AQ254" s="67"/>
      <c r="AR254" s="67"/>
      <c r="AS254" s="94">
        <v>0.0</v>
      </c>
      <c r="AT254" s="65">
        <v>0.0</v>
      </c>
      <c r="AU254" s="50">
        <v>0.0</v>
      </c>
      <c r="AV254" s="50">
        <v>0.0</v>
      </c>
      <c r="AW254" s="50" t="s">
        <v>88</v>
      </c>
      <c r="AX254" s="50">
        <v>0.0</v>
      </c>
      <c r="AY254" s="50">
        <v>0.0</v>
      </c>
      <c r="AZ254" s="50">
        <v>0.0</v>
      </c>
      <c r="BA254" s="43" t="s">
        <v>89</v>
      </c>
      <c r="BB254" s="50">
        <v>0.0</v>
      </c>
      <c r="BC254" s="95" t="s">
        <v>1855</v>
      </c>
      <c r="BD254" s="71"/>
      <c r="BE254" s="70"/>
      <c r="BF254" s="72" t="s">
        <v>1856</v>
      </c>
      <c r="BG254" s="73"/>
      <c r="BH254" s="73"/>
      <c r="BI254" s="73"/>
      <c r="BJ254" s="73"/>
      <c r="BK254" s="73"/>
      <c r="BL254" s="73"/>
      <c r="BM254" s="73"/>
      <c r="BN254" s="73"/>
      <c r="BO254" s="73"/>
      <c r="BP254" s="73"/>
      <c r="BQ254" s="73"/>
      <c r="BR254" s="73"/>
      <c r="BS254" s="73"/>
      <c r="BT254" s="73"/>
      <c r="BU254" s="73"/>
      <c r="BV254" s="73"/>
      <c r="BW254" s="74"/>
      <c r="BX254" s="74"/>
      <c r="BY254" s="63"/>
      <c r="BZ254" s="63"/>
    </row>
    <row r="255" ht="15.75" customHeight="1">
      <c r="A255" s="224" t="s">
        <v>1857</v>
      </c>
      <c r="B255" s="50" t="s">
        <v>1858</v>
      </c>
      <c r="C255" s="50" t="s">
        <v>114</v>
      </c>
      <c r="D255" s="202"/>
      <c r="E255" s="45"/>
      <c r="F255" s="78">
        <v>1.2E9</v>
      </c>
      <c r="G255" s="44" t="str">
        <f t="shared" si="1"/>
        <v>Más de $1.000'000.000</v>
      </c>
      <c r="H255" s="44"/>
      <c r="I255" s="44"/>
      <c r="J255" s="50" t="s">
        <v>94</v>
      </c>
      <c r="K255" s="150"/>
      <c r="L255" s="52">
        <v>4.0</v>
      </c>
      <c r="M255" s="52"/>
      <c r="N255" s="52">
        <v>4.0</v>
      </c>
      <c r="O255" s="43">
        <v>2.0</v>
      </c>
      <c r="P255" s="52">
        <v>1.0</v>
      </c>
      <c r="Q255" s="54">
        <v>250.0</v>
      </c>
      <c r="R255" s="55">
        <v>1600.0</v>
      </c>
      <c r="S255" s="56" t="str">
        <f>IF(AS255=0," ","Rentabilidad $" &amp; TEXT(AS255,"#,##0"))</f>
        <v> </v>
      </c>
      <c r="T255" s="52" t="s">
        <v>95</v>
      </c>
      <c r="U255" s="142" t="s">
        <v>117</v>
      </c>
      <c r="V255" s="52"/>
      <c r="W255" s="52"/>
      <c r="X255" s="52">
        <v>4.0</v>
      </c>
      <c r="Y255" s="43" t="s">
        <v>97</v>
      </c>
      <c r="Z255" s="256">
        <v>350000.0</v>
      </c>
      <c r="AA255" s="59" t="str">
        <f>IF(Rentabilidad=0,"No aplica",TEXT(ROUND(Precio/Rentabilidad/12,0),0) &amp; " años")</f>
        <v>No aplica</v>
      </c>
      <c r="AB255" s="257" t="s">
        <v>1859</v>
      </c>
      <c r="AC255" s="124" t="s">
        <v>1860</v>
      </c>
      <c r="AD255" s="258" t="s">
        <v>1861</v>
      </c>
      <c r="AE255" s="63"/>
      <c r="AF255" s="45" t="s">
        <v>105</v>
      </c>
      <c r="AG255" s="65" t="s">
        <v>106</v>
      </c>
      <c r="AH255" s="65"/>
      <c r="AI255" s="65" t="s">
        <v>1843</v>
      </c>
      <c r="AJ255" s="259" t="s">
        <v>1834</v>
      </c>
      <c r="AK255" s="260" t="s">
        <v>1862</v>
      </c>
      <c r="AL255" s="45" t="s">
        <v>109</v>
      </c>
      <c r="AM255" s="116">
        <v>3.175153903E9</v>
      </c>
      <c r="AN255" s="259">
        <v>0.0</v>
      </c>
      <c r="AO255" s="52" t="s">
        <v>1863</v>
      </c>
      <c r="AP255" s="67" t="s">
        <v>1864</v>
      </c>
      <c r="AQ255" s="143">
        <v>2.7718443</v>
      </c>
      <c r="AR255" s="143">
        <v>-75.2649779</v>
      </c>
      <c r="AS255" s="135">
        <v>0.0</v>
      </c>
      <c r="AT255" s="44">
        <v>0.0</v>
      </c>
      <c r="AU255" s="52">
        <v>0.0</v>
      </c>
      <c r="AV255" s="52">
        <v>0.0</v>
      </c>
      <c r="AW255" s="43" t="s">
        <v>88</v>
      </c>
      <c r="AX255" s="52">
        <v>0.0</v>
      </c>
      <c r="AY255" s="52">
        <v>0.0</v>
      </c>
      <c r="AZ255" s="52">
        <v>0.0</v>
      </c>
      <c r="BA255" s="43" t="s">
        <v>89</v>
      </c>
      <c r="BB255" s="52">
        <v>0.0</v>
      </c>
      <c r="BC255" s="95" t="s">
        <v>1865</v>
      </c>
      <c r="BD255" s="71"/>
      <c r="BE255" s="71"/>
      <c r="BF255" s="72" t="s">
        <v>1866</v>
      </c>
      <c r="BG255" s="73"/>
      <c r="BH255" s="73"/>
      <c r="BI255" s="73"/>
      <c r="BJ255" s="73"/>
      <c r="BK255" s="73"/>
      <c r="BL255" s="73"/>
      <c r="BM255" s="73"/>
      <c r="BN255" s="73"/>
      <c r="BO255" s="73"/>
      <c r="BP255" s="73"/>
      <c r="BQ255" s="73"/>
      <c r="BR255" s="73"/>
      <c r="BS255" s="73"/>
      <c r="BT255" s="73"/>
      <c r="BU255" s="73"/>
      <c r="BV255" s="73"/>
      <c r="BW255" s="74"/>
      <c r="BX255" s="74"/>
      <c r="BY255" s="63"/>
      <c r="BZ255" s="63"/>
    </row>
    <row r="256" ht="15.75" customHeight="1">
      <c r="A256" s="204" t="s">
        <v>1867</v>
      </c>
      <c r="B256" s="111" t="s">
        <v>1868</v>
      </c>
      <c r="C256" s="50" t="s">
        <v>497</v>
      </c>
      <c r="D256" s="111"/>
      <c r="E256" s="205"/>
      <c r="F256" s="78">
        <v>9.5E8</v>
      </c>
      <c r="G256" s="44" t="str">
        <f t="shared" si="1"/>
        <v>$500'000.000 a $1.000'000.000</v>
      </c>
      <c r="H256" s="44"/>
      <c r="I256" s="44"/>
      <c r="J256" s="50" t="s">
        <v>498</v>
      </c>
      <c r="K256" s="187"/>
      <c r="L256" s="111">
        <v>7.0</v>
      </c>
      <c r="M256" s="111"/>
      <c r="N256" s="111">
        <v>4.0</v>
      </c>
      <c r="O256" s="111">
        <v>2.0</v>
      </c>
      <c r="P256" s="111">
        <v>1.0</v>
      </c>
      <c r="Q256" s="88">
        <v>350.0</v>
      </c>
      <c r="R256" s="88">
        <v>10000.0</v>
      </c>
      <c r="S256" s="56"/>
      <c r="T256" s="50" t="s">
        <v>342</v>
      </c>
      <c r="U256" s="187"/>
      <c r="V256" s="111"/>
      <c r="W256" s="111"/>
      <c r="X256" s="111">
        <v>4.0</v>
      </c>
      <c r="Y256" s="65" t="s">
        <v>97</v>
      </c>
      <c r="Z256" s="80" t="s">
        <v>81</v>
      </c>
      <c r="AA256" s="81" t="s">
        <v>81</v>
      </c>
      <c r="AB256" s="261" t="s">
        <v>1869</v>
      </c>
      <c r="AC256" s="262" t="s">
        <v>1870</v>
      </c>
      <c r="AD256" s="263" t="s">
        <v>1871</v>
      </c>
      <c r="AE256" s="209"/>
      <c r="AF256" s="64" t="s">
        <v>105</v>
      </c>
      <c r="AG256" s="111" t="s">
        <v>106</v>
      </c>
      <c r="AH256" s="209"/>
      <c r="AI256" s="65" t="s">
        <v>1843</v>
      </c>
      <c r="AJ256" s="64" t="s">
        <v>1834</v>
      </c>
      <c r="AK256" s="264" t="s">
        <v>1749</v>
      </c>
      <c r="AL256" s="45" t="s">
        <v>109</v>
      </c>
      <c r="AM256" s="43">
        <v>3.165507045E9</v>
      </c>
      <c r="AN256" s="217">
        <v>0.0</v>
      </c>
      <c r="AO256" s="111" t="s">
        <v>1872</v>
      </c>
      <c r="AP256" s="219"/>
      <c r="AQ256" s="219"/>
      <c r="AR256" s="219"/>
      <c r="AS256" s="85">
        <v>0.0</v>
      </c>
      <c r="AT256" s="111">
        <v>0.0</v>
      </c>
      <c r="AU256" s="111">
        <v>0.0</v>
      </c>
      <c r="AV256" s="111">
        <v>0.0</v>
      </c>
      <c r="AW256" s="111" t="s">
        <v>88</v>
      </c>
      <c r="AX256" s="111">
        <v>0.0</v>
      </c>
      <c r="AY256" s="111" t="s">
        <v>106</v>
      </c>
      <c r="AZ256" s="111">
        <v>0.0</v>
      </c>
      <c r="BA256" s="43" t="s">
        <v>89</v>
      </c>
      <c r="BB256" s="111">
        <v>0.0</v>
      </c>
      <c r="BC256" s="109"/>
      <c r="BD256" s="70"/>
      <c r="BE256" s="71"/>
      <c r="BF256" s="72" t="s">
        <v>1873</v>
      </c>
      <c r="BG256" s="73"/>
      <c r="BH256" s="73"/>
      <c r="BI256" s="73"/>
      <c r="BJ256" s="73"/>
      <c r="BK256" s="73"/>
      <c r="BL256" s="73"/>
      <c r="BM256" s="73"/>
      <c r="BN256" s="73"/>
      <c r="BO256" s="73"/>
      <c r="BP256" s="73"/>
      <c r="BQ256" s="73"/>
      <c r="BR256" s="73"/>
      <c r="BS256" s="73"/>
      <c r="BT256" s="73"/>
      <c r="BU256" s="73"/>
      <c r="BV256" s="73"/>
      <c r="BW256" s="74"/>
      <c r="BX256" s="74"/>
      <c r="BY256" s="63"/>
      <c r="BZ256" s="63"/>
    </row>
    <row r="257" ht="15.75" customHeight="1">
      <c r="A257" s="224" t="s">
        <v>1874</v>
      </c>
      <c r="B257" s="43" t="s">
        <v>1875</v>
      </c>
      <c r="C257" s="50" t="s">
        <v>490</v>
      </c>
      <c r="D257" s="58" t="s">
        <v>796</v>
      </c>
      <c r="E257" s="45"/>
      <c r="F257" s="78">
        <v>7.7E8</v>
      </c>
      <c r="G257" s="44" t="str">
        <f t="shared" si="1"/>
        <v>$500'000.000 a $1.000'000.000</v>
      </c>
      <c r="H257" s="44"/>
      <c r="I257" s="44"/>
      <c r="J257" s="50" t="s">
        <v>116</v>
      </c>
      <c r="K257" s="51"/>
      <c r="L257" s="43">
        <v>12.0</v>
      </c>
      <c r="M257" s="43"/>
      <c r="N257" s="43">
        <v>8.0</v>
      </c>
      <c r="O257" s="43">
        <v>1.0</v>
      </c>
      <c r="P257" s="43">
        <v>3.0</v>
      </c>
      <c r="Q257" s="55">
        <v>270.0</v>
      </c>
      <c r="R257" s="55">
        <v>118.0</v>
      </c>
      <c r="S257" s="56" t="str">
        <f t="shared" ref="S257:S283" si="7">IF(AS257=0," ","Rentabilidad $" &amp; TEXT(AS257,"#,##0"))</f>
        <v>Rentabilidad $4,082,000</v>
      </c>
      <c r="T257" s="43" t="s">
        <v>78</v>
      </c>
      <c r="U257" s="56" t="s">
        <v>184</v>
      </c>
      <c r="V257" s="43" t="s">
        <v>118</v>
      </c>
      <c r="W257" s="43"/>
      <c r="X257" s="43">
        <v>12.0</v>
      </c>
      <c r="Y257" s="43" t="s">
        <v>80</v>
      </c>
      <c r="Z257" s="58" t="s">
        <v>81</v>
      </c>
      <c r="AA257" s="59" t="str">
        <f>IF(Rentabilidad=0,"No aplica",TEXT(ROUND(Precio/Rentabilidad/12,0),0) &amp; " años")</f>
        <v>16 años</v>
      </c>
      <c r="AB257" s="134" t="s">
        <v>1876</v>
      </c>
      <c r="AC257" s="131" t="s">
        <v>1877</v>
      </c>
      <c r="AD257" s="107" t="s">
        <v>1878</v>
      </c>
      <c r="AE257" s="63"/>
      <c r="AF257" s="64" t="s">
        <v>236</v>
      </c>
      <c r="AG257" s="65" t="s">
        <v>106</v>
      </c>
      <c r="AH257" s="63"/>
      <c r="AI257" s="65" t="s">
        <v>1843</v>
      </c>
      <c r="AJ257" s="64" t="s">
        <v>1834</v>
      </c>
      <c r="AK257" s="265" t="s">
        <v>1879</v>
      </c>
      <c r="AL257" s="45" t="s">
        <v>109</v>
      </c>
      <c r="AM257" s="43">
        <v>3.138362709E9</v>
      </c>
      <c r="AN257" s="64">
        <v>0.0</v>
      </c>
      <c r="AO257" s="43" t="s">
        <v>1880</v>
      </c>
      <c r="AP257" s="84" t="s">
        <v>1881</v>
      </c>
      <c r="AQ257" s="84">
        <v>2.9417378</v>
      </c>
      <c r="AR257" s="84">
        <v>-75.2543563</v>
      </c>
      <c r="AS257" s="94">
        <v>4082000.0</v>
      </c>
      <c r="AT257" s="43">
        <v>0.0</v>
      </c>
      <c r="AU257" s="43">
        <v>0.0</v>
      </c>
      <c r="AV257" s="43">
        <v>0.0</v>
      </c>
      <c r="AW257" s="43" t="s">
        <v>88</v>
      </c>
      <c r="AX257" s="43">
        <v>0.0</v>
      </c>
      <c r="AY257" s="43">
        <v>0.0</v>
      </c>
      <c r="AZ257" s="43">
        <v>0.0</v>
      </c>
      <c r="BA257" s="43" t="s">
        <v>89</v>
      </c>
      <c r="BB257" s="43">
        <v>0.0</v>
      </c>
      <c r="BC257" s="69" t="s">
        <v>399</v>
      </c>
      <c r="BD257" s="70"/>
      <c r="BE257" s="71"/>
      <c r="BF257" s="72" t="s">
        <v>1882</v>
      </c>
      <c r="BG257" s="73"/>
      <c r="BH257" s="73"/>
      <c r="BI257" s="73"/>
      <c r="BJ257" s="73"/>
      <c r="BK257" s="73"/>
      <c r="BL257" s="73"/>
      <c r="BM257" s="73"/>
      <c r="BN257" s="73"/>
      <c r="BO257" s="73"/>
      <c r="BP257" s="73"/>
      <c r="BQ257" s="73"/>
      <c r="BR257" s="73"/>
      <c r="BS257" s="73"/>
      <c r="BT257" s="73"/>
      <c r="BU257" s="73"/>
      <c r="BV257" s="73"/>
      <c r="BW257" s="74"/>
      <c r="BX257" s="74"/>
      <c r="BY257" s="63"/>
      <c r="BZ257" s="63"/>
    </row>
    <row r="258" ht="15.75" customHeight="1">
      <c r="A258" s="266" t="s">
        <v>1883</v>
      </c>
      <c r="B258" s="50" t="s">
        <v>1884</v>
      </c>
      <c r="C258" s="50" t="s">
        <v>70</v>
      </c>
      <c r="D258" s="50" t="s">
        <v>477</v>
      </c>
      <c r="E258" s="45"/>
      <c r="F258" s="78">
        <v>7.0E8</v>
      </c>
      <c r="G258" s="44" t="str">
        <f t="shared" si="1"/>
        <v>$500'000.000 a $1.000'000.000</v>
      </c>
      <c r="H258" s="44"/>
      <c r="I258" s="44"/>
      <c r="J258" s="50" t="s">
        <v>76</v>
      </c>
      <c r="K258" s="51"/>
      <c r="L258" s="50">
        <v>4.0</v>
      </c>
      <c r="M258" s="50"/>
      <c r="N258" s="50">
        <v>4.0</v>
      </c>
      <c r="O258" s="50">
        <v>3.0</v>
      </c>
      <c r="P258" s="50">
        <v>2.0</v>
      </c>
      <c r="Q258" s="113"/>
      <c r="R258" s="79">
        <v>240.0</v>
      </c>
      <c r="S258" s="56" t="str">
        <f t="shared" si="7"/>
        <v> </v>
      </c>
      <c r="T258" s="50" t="s">
        <v>78</v>
      </c>
      <c r="U258" s="51" t="s">
        <v>142</v>
      </c>
      <c r="V258" s="50" t="s">
        <v>79</v>
      </c>
      <c r="W258" s="50"/>
      <c r="X258" s="50">
        <v>4.0</v>
      </c>
      <c r="Y258" s="50" t="s">
        <v>80</v>
      </c>
      <c r="Z258" s="58" t="s">
        <v>81</v>
      </c>
      <c r="AA258" s="59" t="str">
        <f>IF(Rentabilidad=0,"No aplica",TEXT(ROUND(Precio/Rentabilidad/12,0),0) &amp; " años")</f>
        <v>No aplica</v>
      </c>
      <c r="AB258" s="82" t="s">
        <v>1885</v>
      </c>
      <c r="AC258" s="131" t="s">
        <v>1886</v>
      </c>
      <c r="AD258" s="125" t="s">
        <v>1887</v>
      </c>
      <c r="AE258" s="63"/>
      <c r="AF258" s="64" t="s">
        <v>105</v>
      </c>
      <c r="AG258" s="65" t="s">
        <v>106</v>
      </c>
      <c r="AH258" s="65"/>
      <c r="AI258" s="65" t="s">
        <v>1843</v>
      </c>
      <c r="AJ258" s="259" t="s">
        <v>1834</v>
      </c>
      <c r="AK258" s="255" t="s">
        <v>1844</v>
      </c>
      <c r="AL258" s="45" t="s">
        <v>1888</v>
      </c>
      <c r="AM258" s="44">
        <v>3.124585403E9</v>
      </c>
      <c r="AN258" s="45">
        <v>0.0</v>
      </c>
      <c r="AO258" s="52" t="s">
        <v>1889</v>
      </c>
      <c r="AP258" s="84" t="s">
        <v>1890</v>
      </c>
      <c r="AQ258" s="84">
        <v>2.9277116</v>
      </c>
      <c r="AR258" s="84">
        <v>-75.2817115</v>
      </c>
      <c r="AS258" s="94">
        <v>0.0</v>
      </c>
      <c r="AT258" s="50">
        <v>0.0</v>
      </c>
      <c r="AU258" s="50">
        <v>4.0</v>
      </c>
      <c r="AV258" s="50">
        <v>2.0</v>
      </c>
      <c r="AW258" s="50" t="s">
        <v>106</v>
      </c>
      <c r="AX258" s="50">
        <v>0.0</v>
      </c>
      <c r="AY258" s="50" t="s">
        <v>247</v>
      </c>
      <c r="AZ258" s="50">
        <v>0.0</v>
      </c>
      <c r="BA258" s="43" t="s">
        <v>89</v>
      </c>
      <c r="BB258" s="50">
        <v>0.0</v>
      </c>
      <c r="BC258" s="69" t="s">
        <v>455</v>
      </c>
      <c r="BD258" s="70"/>
      <c r="BE258" s="71"/>
      <c r="BF258" s="72" t="s">
        <v>1891</v>
      </c>
      <c r="BG258" s="73"/>
      <c r="BH258" s="73"/>
      <c r="BI258" s="73"/>
      <c r="BJ258" s="73"/>
      <c r="BK258" s="73"/>
      <c r="BL258" s="73"/>
      <c r="BM258" s="73"/>
      <c r="BN258" s="73"/>
      <c r="BO258" s="73"/>
      <c r="BP258" s="73"/>
      <c r="BQ258" s="73"/>
      <c r="BR258" s="73"/>
      <c r="BS258" s="73"/>
      <c r="BT258" s="73"/>
      <c r="BU258" s="73"/>
      <c r="BV258" s="73"/>
      <c r="BW258" s="74"/>
      <c r="BX258" s="74"/>
      <c r="BY258" s="63"/>
      <c r="BZ258" s="63"/>
    </row>
    <row r="259" ht="15.75" customHeight="1">
      <c r="A259" s="267" t="s">
        <v>1892</v>
      </c>
      <c r="B259" s="50" t="s">
        <v>1893</v>
      </c>
      <c r="C259" s="50" t="s">
        <v>490</v>
      </c>
      <c r="D259" s="52" t="s">
        <v>389</v>
      </c>
      <c r="E259" s="45"/>
      <c r="F259" s="78">
        <v>7.0E8</v>
      </c>
      <c r="G259" s="44" t="str">
        <f t="shared" si="1"/>
        <v>$500'000.000 a $1.000'000.000</v>
      </c>
      <c r="H259" s="44"/>
      <c r="I259" s="44"/>
      <c r="J259" s="43" t="s">
        <v>76</v>
      </c>
      <c r="K259" s="56" t="s">
        <v>77</v>
      </c>
      <c r="L259" s="52">
        <v>9.0</v>
      </c>
      <c r="M259" s="52"/>
      <c r="N259" s="52">
        <v>6.0</v>
      </c>
      <c r="O259" s="43">
        <v>1.0</v>
      </c>
      <c r="P259" s="52">
        <v>3.0</v>
      </c>
      <c r="Q259" s="54">
        <v>260.0</v>
      </c>
      <c r="R259" s="55">
        <v>95.0</v>
      </c>
      <c r="S259" s="56" t="str">
        <f t="shared" si="7"/>
        <v>Rentabilidad $1,950,000</v>
      </c>
      <c r="T259" s="52" t="s">
        <v>78</v>
      </c>
      <c r="U259" s="142" t="s">
        <v>184</v>
      </c>
      <c r="V259" s="43" t="s">
        <v>79</v>
      </c>
      <c r="W259" s="43"/>
      <c r="X259" s="52">
        <v>6.0</v>
      </c>
      <c r="Y259" s="43" t="s">
        <v>80</v>
      </c>
      <c r="Z259" s="80" t="s">
        <v>81</v>
      </c>
      <c r="AA259" s="59" t="str">
        <f>IF(Rentabilidad=0,"No aplica",TEXT(ROUND(Precio/Rentabilidad/12,0),0) &amp; " años")</f>
        <v>30 años</v>
      </c>
      <c r="AB259" s="257" t="s">
        <v>1894</v>
      </c>
      <c r="AC259" s="131" t="s">
        <v>1895</v>
      </c>
      <c r="AD259" s="125" t="s">
        <v>1896</v>
      </c>
      <c r="AE259" s="63"/>
      <c r="AF259" s="45" t="s">
        <v>105</v>
      </c>
      <c r="AG259" s="65" t="s">
        <v>106</v>
      </c>
      <c r="AH259" s="65" t="s">
        <v>45</v>
      </c>
      <c r="AI259" s="65" t="s">
        <v>1843</v>
      </c>
      <c r="AJ259" s="259" t="s">
        <v>1834</v>
      </c>
      <c r="AK259" s="255" t="s">
        <v>1844</v>
      </c>
      <c r="AL259" s="45" t="s">
        <v>1897</v>
      </c>
      <c r="AM259" s="116">
        <v>3.105703917E9</v>
      </c>
      <c r="AN259" s="259">
        <v>3.202735035E9</v>
      </c>
      <c r="AO259" s="52" t="s">
        <v>1898</v>
      </c>
      <c r="AP259" s="67" t="s">
        <v>1899</v>
      </c>
      <c r="AQ259" s="143">
        <v>2.9372698</v>
      </c>
      <c r="AR259" s="143">
        <v>-75.2868794</v>
      </c>
      <c r="AS259" s="135">
        <v>1950000.0</v>
      </c>
      <c r="AT259" s="44">
        <v>0.0</v>
      </c>
      <c r="AU259" s="52">
        <v>0.0</v>
      </c>
      <c r="AV259" s="52">
        <v>0.0</v>
      </c>
      <c r="AW259" s="43" t="s">
        <v>88</v>
      </c>
      <c r="AX259" s="52">
        <v>0.0</v>
      </c>
      <c r="AY259" s="52">
        <v>0.0</v>
      </c>
      <c r="AZ259" s="52">
        <v>9.5</v>
      </c>
      <c r="BA259" s="43" t="s">
        <v>89</v>
      </c>
      <c r="BB259" s="52">
        <v>10.0</v>
      </c>
      <c r="BC259" s="69"/>
      <c r="BD259" s="70"/>
      <c r="BE259" s="70"/>
      <c r="BF259" s="72" t="s">
        <v>1900</v>
      </c>
      <c r="BG259" s="73"/>
      <c r="BH259" s="73"/>
      <c r="BI259" s="73"/>
      <c r="BJ259" s="73"/>
      <c r="BK259" s="73"/>
      <c r="BL259" s="73"/>
      <c r="BM259" s="73"/>
      <c r="BN259" s="73"/>
      <c r="BO259" s="73"/>
      <c r="BP259" s="73"/>
      <c r="BQ259" s="73"/>
      <c r="BR259" s="73"/>
      <c r="BS259" s="73"/>
      <c r="BT259" s="73"/>
      <c r="BU259" s="73"/>
      <c r="BV259" s="73"/>
      <c r="BW259" s="74"/>
      <c r="BX259" s="74"/>
      <c r="BY259" s="63"/>
      <c r="BZ259" s="63"/>
    </row>
    <row r="260" ht="15.75" customHeight="1">
      <c r="A260" s="224" t="s">
        <v>1901</v>
      </c>
      <c r="B260" s="50" t="s">
        <v>1902</v>
      </c>
      <c r="C260" s="50" t="s">
        <v>271</v>
      </c>
      <c r="D260" s="44" t="s">
        <v>1903</v>
      </c>
      <c r="E260" s="45"/>
      <c r="F260" s="78">
        <v>6.0E8</v>
      </c>
      <c r="G260" s="44" t="str">
        <f t="shared" si="1"/>
        <v>$500'000.000 a $1.000'000.000</v>
      </c>
      <c r="H260" s="44"/>
      <c r="I260" s="44"/>
      <c r="J260" s="50" t="s">
        <v>183</v>
      </c>
      <c r="K260" s="51"/>
      <c r="L260" s="52">
        <v>6.0</v>
      </c>
      <c r="M260" s="52"/>
      <c r="N260" s="52">
        <v>4.0</v>
      </c>
      <c r="O260" s="43">
        <v>1.0</v>
      </c>
      <c r="P260" s="52">
        <v>2.0</v>
      </c>
      <c r="Q260" s="54">
        <v>175.0</v>
      </c>
      <c r="R260" s="55">
        <v>90.0</v>
      </c>
      <c r="S260" s="56" t="str">
        <f t="shared" si="7"/>
        <v>Rentabilidad $2,800,000</v>
      </c>
      <c r="T260" s="116" t="s">
        <v>78</v>
      </c>
      <c r="U260" s="268" t="s">
        <v>184</v>
      </c>
      <c r="V260" s="153" t="s">
        <v>118</v>
      </c>
      <c r="W260" s="153"/>
      <c r="X260" s="116">
        <v>4.0</v>
      </c>
      <c r="Y260" s="153" t="s">
        <v>80</v>
      </c>
      <c r="Z260" s="80" t="s">
        <v>81</v>
      </c>
      <c r="AA260" s="59" t="str">
        <f>IF(Rentabilidad=0,"No aplica",TEXT(ROUND(Precio/Rentabilidad/12,0),0) &amp; " años")</f>
        <v>18 años</v>
      </c>
      <c r="AB260" s="257" t="s">
        <v>1904</v>
      </c>
      <c r="AC260" s="131" t="s">
        <v>1905</v>
      </c>
      <c r="AD260" s="258" t="s">
        <v>1906</v>
      </c>
      <c r="AE260" s="63"/>
      <c r="AF260" s="64" t="s">
        <v>236</v>
      </c>
      <c r="AG260" s="65" t="s">
        <v>106</v>
      </c>
      <c r="AH260" s="65"/>
      <c r="AI260" s="65" t="s">
        <v>1843</v>
      </c>
      <c r="AJ260" s="259" t="s">
        <v>1834</v>
      </c>
      <c r="AK260" s="255" t="s">
        <v>1844</v>
      </c>
      <c r="AL260" s="45" t="s">
        <v>109</v>
      </c>
      <c r="AM260" s="116">
        <v>3.144031296E9</v>
      </c>
      <c r="AN260" s="259">
        <v>0.0</v>
      </c>
      <c r="AO260" s="52" t="s">
        <v>1907</v>
      </c>
      <c r="AP260" s="67" t="s">
        <v>1908</v>
      </c>
      <c r="AQ260" s="143">
        <v>2.9458498</v>
      </c>
      <c r="AR260" s="143">
        <v>-75.2847315</v>
      </c>
      <c r="AS260" s="94">
        <v>2800000.0</v>
      </c>
      <c r="AT260" s="44">
        <v>0.0</v>
      </c>
      <c r="AU260" s="52">
        <v>0.0</v>
      </c>
      <c r="AV260" s="52">
        <v>0.0</v>
      </c>
      <c r="AW260" s="43" t="s">
        <v>88</v>
      </c>
      <c r="AX260" s="52">
        <v>0.0</v>
      </c>
      <c r="AY260" s="52">
        <v>0.0</v>
      </c>
      <c r="AZ260" s="52">
        <v>6.0</v>
      </c>
      <c r="BA260" s="43" t="s">
        <v>89</v>
      </c>
      <c r="BB260" s="52">
        <v>15.0</v>
      </c>
      <c r="BC260" s="69" t="s">
        <v>1909</v>
      </c>
      <c r="BD260" s="70"/>
      <c r="BE260" s="129"/>
      <c r="BF260" s="72" t="s">
        <v>1910</v>
      </c>
      <c r="BG260" s="73"/>
      <c r="BH260" s="73"/>
      <c r="BI260" s="73"/>
      <c r="BJ260" s="73"/>
      <c r="BK260" s="73"/>
      <c r="BL260" s="73"/>
      <c r="BM260" s="73"/>
      <c r="BN260" s="73"/>
      <c r="BO260" s="73"/>
      <c r="BP260" s="73"/>
      <c r="BQ260" s="73"/>
      <c r="BR260" s="73"/>
      <c r="BS260" s="73"/>
      <c r="BT260" s="73"/>
      <c r="BU260" s="73"/>
      <c r="BV260" s="73"/>
      <c r="BW260" s="74"/>
      <c r="BX260" s="74"/>
      <c r="BY260" s="63"/>
      <c r="BZ260" s="63"/>
    </row>
    <row r="261" ht="15.75" customHeight="1">
      <c r="A261" s="75" t="s">
        <v>1911</v>
      </c>
      <c r="B261" s="50" t="s">
        <v>593</v>
      </c>
      <c r="C261" s="50" t="s">
        <v>323</v>
      </c>
      <c r="D261" s="50" t="s">
        <v>11</v>
      </c>
      <c r="E261" s="64" t="s">
        <v>1912</v>
      </c>
      <c r="F261" s="78">
        <v>5.4E8</v>
      </c>
      <c r="G261" s="44" t="str">
        <f t="shared" si="1"/>
        <v>$500'000.000 a $1.000'000.000</v>
      </c>
      <c r="H261" s="44"/>
      <c r="I261" s="44"/>
      <c r="J261" s="50" t="s">
        <v>183</v>
      </c>
      <c r="K261" s="51" t="s">
        <v>184</v>
      </c>
      <c r="L261" s="50">
        <v>3.0</v>
      </c>
      <c r="M261" s="50"/>
      <c r="N261" s="50">
        <v>2.0</v>
      </c>
      <c r="O261" s="50">
        <v>2.0</v>
      </c>
      <c r="P261" s="50">
        <v>7.0</v>
      </c>
      <c r="Q261" s="88">
        <v>114.43</v>
      </c>
      <c r="R261" s="88">
        <v>114.43</v>
      </c>
      <c r="S261" s="56" t="str">
        <f t="shared" si="7"/>
        <v> </v>
      </c>
      <c r="T261" s="50" t="s">
        <v>78</v>
      </c>
      <c r="U261" s="51" t="s">
        <v>142</v>
      </c>
      <c r="V261" s="50" t="s">
        <v>1913</v>
      </c>
      <c r="W261" s="50"/>
      <c r="X261" s="50">
        <v>3.0</v>
      </c>
      <c r="Y261" s="50" t="s">
        <v>130</v>
      </c>
      <c r="Z261" s="58">
        <v>554000.0</v>
      </c>
      <c r="AA261" s="59" t="str">
        <f>IF(Rentabilidad=0,"No aplica",TEXT(ROUND(Precio/Rentabilidad/12,0),0) &amp; " años")</f>
        <v>No aplica</v>
      </c>
      <c r="AB261" s="82" t="s">
        <v>1914</v>
      </c>
      <c r="AC261" s="83" t="s">
        <v>1915</v>
      </c>
      <c r="AD261" s="83" t="s">
        <v>1916</v>
      </c>
      <c r="AE261" s="63"/>
      <c r="AF261" s="64" t="s">
        <v>105</v>
      </c>
      <c r="AG261" s="65" t="s">
        <v>106</v>
      </c>
      <c r="AH261" s="63"/>
      <c r="AI261" s="65" t="s">
        <v>1843</v>
      </c>
      <c r="AJ261" s="64" t="s">
        <v>1834</v>
      </c>
      <c r="AK261" s="255" t="s">
        <v>1844</v>
      </c>
      <c r="AL261" s="239" t="s">
        <v>109</v>
      </c>
      <c r="AM261" s="50">
        <v>3.157925454E9</v>
      </c>
      <c r="AN261" s="64">
        <v>0.0</v>
      </c>
      <c r="AO261" s="43" t="s">
        <v>1917</v>
      </c>
      <c r="AP261" s="269" t="s">
        <v>1918</v>
      </c>
      <c r="AQ261" s="270">
        <v>2.95196820831577</v>
      </c>
      <c r="AR261" s="270">
        <v>-75.2897885134155</v>
      </c>
      <c r="AS261" s="94">
        <v>0.0</v>
      </c>
      <c r="AT261" s="65" t="s">
        <v>106</v>
      </c>
      <c r="AU261" s="50" t="s">
        <v>106</v>
      </c>
      <c r="AV261" s="50" t="s">
        <v>106</v>
      </c>
      <c r="AW261" s="50" t="s">
        <v>88</v>
      </c>
      <c r="AX261" s="50">
        <v>0.0</v>
      </c>
      <c r="AY261" s="50">
        <v>0.0</v>
      </c>
      <c r="AZ261" s="50">
        <v>0.0</v>
      </c>
      <c r="BA261" s="43" t="s">
        <v>89</v>
      </c>
      <c r="BB261" s="50">
        <v>0.0</v>
      </c>
      <c r="BC261" s="95"/>
      <c r="BD261" s="71"/>
      <c r="BE261" s="71"/>
      <c r="BF261" s="72" t="s">
        <v>1919</v>
      </c>
      <c r="BG261" s="73"/>
      <c r="BH261" s="73"/>
      <c r="BI261" s="73"/>
      <c r="BJ261" s="73"/>
      <c r="BK261" s="73"/>
      <c r="BL261" s="73"/>
      <c r="BM261" s="73"/>
      <c r="BN261" s="73"/>
      <c r="BO261" s="73"/>
      <c r="BP261" s="73"/>
      <c r="BQ261" s="73"/>
      <c r="BR261" s="73"/>
      <c r="BS261" s="73"/>
      <c r="BT261" s="73"/>
      <c r="BU261" s="73"/>
      <c r="BV261" s="73"/>
      <c r="BW261" s="74"/>
      <c r="BX261" s="74"/>
      <c r="BY261" s="63"/>
      <c r="BZ261" s="63"/>
    </row>
    <row r="262" ht="15.75" customHeight="1">
      <c r="A262" s="267" t="s">
        <v>1920</v>
      </c>
      <c r="B262" s="122" t="s">
        <v>1921</v>
      </c>
      <c r="C262" s="43" t="s">
        <v>1228</v>
      </c>
      <c r="D262" s="44" t="s">
        <v>71</v>
      </c>
      <c r="E262" s="77" t="s">
        <v>376</v>
      </c>
      <c r="F262" s="78">
        <v>4.2E8</v>
      </c>
      <c r="G262" s="44" t="str">
        <f t="shared" si="1"/>
        <v>$400'000.000 a $500'000.000</v>
      </c>
      <c r="H262" s="44"/>
      <c r="I262" s="44"/>
      <c r="J262" s="43" t="s">
        <v>76</v>
      </c>
      <c r="K262" s="51" t="s">
        <v>77</v>
      </c>
      <c r="L262" s="52">
        <v>3.0</v>
      </c>
      <c r="M262" s="52"/>
      <c r="N262" s="52">
        <v>1.0</v>
      </c>
      <c r="O262" s="43">
        <v>0.0</v>
      </c>
      <c r="P262" s="52">
        <v>1.0</v>
      </c>
      <c r="Q262" s="54">
        <v>247.0</v>
      </c>
      <c r="R262" s="55">
        <v>270.0</v>
      </c>
      <c r="S262" s="56" t="str">
        <f t="shared" si="7"/>
        <v> </v>
      </c>
      <c r="T262" s="116" t="s">
        <v>78</v>
      </c>
      <c r="U262" s="268" t="s">
        <v>77</v>
      </c>
      <c r="V262" s="153" t="s">
        <v>79</v>
      </c>
      <c r="W262" s="153"/>
      <c r="X262" s="116">
        <v>0.0</v>
      </c>
      <c r="Y262" s="153" t="s">
        <v>80</v>
      </c>
      <c r="Z262" s="80" t="s">
        <v>81</v>
      </c>
      <c r="AA262" s="59" t="str">
        <f>IF(Rentabilidad=0,"No aplica",TEXT(ROUND(Precio/Rentabilidad/12,0),0) &amp; " años")</f>
        <v>No aplica</v>
      </c>
      <c r="AB262" s="163" t="s">
        <v>1922</v>
      </c>
      <c r="AC262" s="131" t="s">
        <v>1923</v>
      </c>
      <c r="AD262" s="125" t="s">
        <v>1924</v>
      </c>
      <c r="AE262" s="63"/>
      <c r="AF262" s="64" t="s">
        <v>84</v>
      </c>
      <c r="AG262" s="65" t="s">
        <v>106</v>
      </c>
      <c r="AH262" s="65" t="s">
        <v>45</v>
      </c>
      <c r="AI262" s="65" t="s">
        <v>1843</v>
      </c>
      <c r="AJ262" s="259" t="s">
        <v>1834</v>
      </c>
      <c r="AK262" s="255" t="s">
        <v>1844</v>
      </c>
      <c r="AL262" s="45" t="s">
        <v>1925</v>
      </c>
      <c r="AM262" s="116">
        <v>3.162351704E9</v>
      </c>
      <c r="AN262" s="259">
        <v>3.154062689E9</v>
      </c>
      <c r="AO262" s="52" t="s">
        <v>1926</v>
      </c>
      <c r="AP262" s="67" t="s">
        <v>1927</v>
      </c>
      <c r="AQ262" s="143">
        <v>2.9328346</v>
      </c>
      <c r="AR262" s="143">
        <v>-75.2880653</v>
      </c>
      <c r="AS262" s="135">
        <v>0.0</v>
      </c>
      <c r="AT262" s="44">
        <v>0.0</v>
      </c>
      <c r="AU262" s="52">
        <v>0.0</v>
      </c>
      <c r="AV262" s="52">
        <v>0.0</v>
      </c>
      <c r="AW262" s="43" t="s">
        <v>88</v>
      </c>
      <c r="AX262" s="52">
        <v>0.0</v>
      </c>
      <c r="AY262" s="52">
        <v>0.0</v>
      </c>
      <c r="AZ262" s="52">
        <v>0.0</v>
      </c>
      <c r="BA262" s="43" t="s">
        <v>89</v>
      </c>
      <c r="BB262" s="52">
        <v>0.0</v>
      </c>
      <c r="BC262" s="109"/>
      <c r="BD262" s="71"/>
      <c r="BE262" s="70"/>
      <c r="BF262" s="72" t="s">
        <v>1928</v>
      </c>
      <c r="BG262" s="73"/>
      <c r="BH262" s="73"/>
      <c r="BI262" s="73"/>
      <c r="BJ262" s="73"/>
      <c r="BK262" s="73"/>
      <c r="BL262" s="73"/>
      <c r="BM262" s="73"/>
      <c r="BN262" s="73"/>
      <c r="BO262" s="73"/>
      <c r="BP262" s="73"/>
      <c r="BQ262" s="73"/>
      <c r="BR262" s="73"/>
      <c r="BS262" s="73"/>
      <c r="BT262" s="73"/>
      <c r="BU262" s="73"/>
      <c r="BV262" s="73"/>
      <c r="BW262" s="74"/>
      <c r="BX262" s="74"/>
      <c r="BY262" s="63"/>
      <c r="BZ262" s="63"/>
    </row>
    <row r="263" ht="15.75" customHeight="1">
      <c r="A263" s="267" t="s">
        <v>1929</v>
      </c>
      <c r="B263" s="43" t="s">
        <v>1930</v>
      </c>
      <c r="C263" s="43" t="s">
        <v>490</v>
      </c>
      <c r="D263" s="193" t="s">
        <v>1931</v>
      </c>
      <c r="E263" s="64"/>
      <c r="F263" s="47">
        <v>4.0E8</v>
      </c>
      <c r="G263" s="44" t="str">
        <f t="shared" si="1"/>
        <v>$400'000.000 a $500'000.000</v>
      </c>
      <c r="H263" s="44"/>
      <c r="I263" s="44"/>
      <c r="J263" s="43" t="s">
        <v>76</v>
      </c>
      <c r="K263" s="194"/>
      <c r="L263" s="52">
        <v>9.0</v>
      </c>
      <c r="M263" s="52"/>
      <c r="N263" s="52">
        <v>6.0</v>
      </c>
      <c r="O263" s="43">
        <v>0.0</v>
      </c>
      <c r="P263" s="52">
        <v>3.0</v>
      </c>
      <c r="Q263" s="54">
        <v>300.0</v>
      </c>
      <c r="R263" s="55">
        <v>112.0</v>
      </c>
      <c r="S263" s="56" t="str">
        <f t="shared" si="7"/>
        <v>Rentabilidad $1,200,000</v>
      </c>
      <c r="T263" s="52" t="s">
        <v>998</v>
      </c>
      <c r="U263" s="142" t="s">
        <v>184</v>
      </c>
      <c r="V263" s="43" t="s">
        <v>79</v>
      </c>
      <c r="W263" s="43"/>
      <c r="X263" s="52">
        <v>0.0</v>
      </c>
      <c r="Y263" s="43" t="s">
        <v>80</v>
      </c>
      <c r="Z263" s="58" t="s">
        <v>81</v>
      </c>
      <c r="AA263" s="59" t="str">
        <f>IF(Rentabilidad=0,"No aplica",TEXT(ROUND(Precio/Rentabilidad/12,0),0) &amp; " años")</f>
        <v>28 años</v>
      </c>
      <c r="AB263" s="115" t="s">
        <v>1932</v>
      </c>
      <c r="AC263" s="131" t="s">
        <v>1933</v>
      </c>
      <c r="AD263" s="125" t="s">
        <v>1934</v>
      </c>
      <c r="AE263" s="63"/>
      <c r="AF263" s="45" t="s">
        <v>236</v>
      </c>
      <c r="AG263" s="65" t="s">
        <v>106</v>
      </c>
      <c r="AH263" s="65"/>
      <c r="AI263" s="65" t="s">
        <v>1843</v>
      </c>
      <c r="AJ263" s="64" t="s">
        <v>1834</v>
      </c>
      <c r="AK263" s="260" t="s">
        <v>1862</v>
      </c>
      <c r="AL263" s="45" t="s">
        <v>109</v>
      </c>
      <c r="AM263" s="44">
        <v>3.102433028E9</v>
      </c>
      <c r="AN263" s="45">
        <v>0.0</v>
      </c>
      <c r="AO263" s="93" t="s">
        <v>1854</v>
      </c>
      <c r="AP263" s="67">
        <v>0.0</v>
      </c>
      <c r="AQ263" s="143">
        <v>2.7802105</v>
      </c>
      <c r="AR263" s="143">
        <v>-75.2585204</v>
      </c>
      <c r="AS263" s="135">
        <v>1200000.0</v>
      </c>
      <c r="AT263" s="44">
        <v>0.0</v>
      </c>
      <c r="AU263" s="52">
        <v>0.0</v>
      </c>
      <c r="AV263" s="52">
        <v>0.0</v>
      </c>
      <c r="AW263" s="52" t="s">
        <v>88</v>
      </c>
      <c r="AX263" s="44">
        <v>0.0</v>
      </c>
      <c r="AY263" s="44" t="s">
        <v>137</v>
      </c>
      <c r="AZ263" s="52">
        <v>0.0</v>
      </c>
      <c r="BA263" s="43" t="s">
        <v>89</v>
      </c>
      <c r="BB263" s="52">
        <v>0.0</v>
      </c>
      <c r="BC263" s="109"/>
      <c r="BD263" s="70"/>
      <c r="BE263" s="71"/>
      <c r="BF263" s="72" t="s">
        <v>1935</v>
      </c>
      <c r="BG263" s="73"/>
      <c r="BH263" s="73"/>
      <c r="BI263" s="73"/>
      <c r="BJ263" s="73"/>
      <c r="BK263" s="73"/>
      <c r="BL263" s="73"/>
      <c r="BM263" s="73"/>
      <c r="BN263" s="73"/>
      <c r="BO263" s="73"/>
      <c r="BP263" s="73"/>
      <c r="BQ263" s="73"/>
      <c r="BR263" s="73"/>
      <c r="BS263" s="73"/>
      <c r="BT263" s="73"/>
      <c r="BU263" s="73"/>
      <c r="BV263" s="73"/>
      <c r="BW263" s="74"/>
      <c r="BX263" s="74"/>
      <c r="BY263" s="63"/>
      <c r="BZ263" s="63"/>
    </row>
    <row r="264" ht="15.75" customHeight="1">
      <c r="A264" s="267" t="s">
        <v>1936</v>
      </c>
      <c r="B264" s="50" t="s">
        <v>1937</v>
      </c>
      <c r="C264" s="50" t="s">
        <v>271</v>
      </c>
      <c r="D264" s="44" t="s">
        <v>131</v>
      </c>
      <c r="E264" s="45"/>
      <c r="F264" s="78">
        <v>4.0E8</v>
      </c>
      <c r="G264" s="44" t="str">
        <f t="shared" si="1"/>
        <v>$400'000.000 a $500'000.000</v>
      </c>
      <c r="H264" s="44"/>
      <c r="I264" s="44"/>
      <c r="J264" s="50" t="s">
        <v>183</v>
      </c>
      <c r="K264" s="57"/>
      <c r="L264" s="52">
        <v>7.0</v>
      </c>
      <c r="M264" s="52"/>
      <c r="N264" s="52">
        <v>4.0</v>
      </c>
      <c r="O264" s="43">
        <v>1.0</v>
      </c>
      <c r="P264" s="52">
        <v>2.0</v>
      </c>
      <c r="Q264" s="54">
        <v>200.0</v>
      </c>
      <c r="R264" s="55">
        <v>112.0</v>
      </c>
      <c r="S264" s="56" t="str">
        <f t="shared" si="7"/>
        <v>Rentabilidad $2,800,000</v>
      </c>
      <c r="T264" s="116" t="s">
        <v>78</v>
      </c>
      <c r="U264" s="268" t="s">
        <v>184</v>
      </c>
      <c r="V264" s="153" t="s">
        <v>79</v>
      </c>
      <c r="W264" s="153"/>
      <c r="X264" s="116">
        <v>2.0</v>
      </c>
      <c r="Y264" s="153" t="s">
        <v>80</v>
      </c>
      <c r="Z264" s="80" t="s">
        <v>81</v>
      </c>
      <c r="AA264" s="59" t="str">
        <f>IF(Rentabilidad=0,"No aplica",TEXT(ROUND(Precio/Rentabilidad/12,0),0) &amp; " años")</f>
        <v>12 años</v>
      </c>
      <c r="AB264" s="271" t="s">
        <v>1938</v>
      </c>
      <c r="AC264" s="131" t="s">
        <v>1939</v>
      </c>
      <c r="AD264" s="125" t="s">
        <v>1940</v>
      </c>
      <c r="AE264" s="63"/>
      <c r="AF264" s="45" t="s">
        <v>236</v>
      </c>
      <c r="AG264" s="65" t="s">
        <v>106</v>
      </c>
      <c r="AH264" s="65" t="s">
        <v>45</v>
      </c>
      <c r="AI264" s="65" t="s">
        <v>1843</v>
      </c>
      <c r="AJ264" s="259" t="s">
        <v>1834</v>
      </c>
      <c r="AK264" s="255" t="s">
        <v>1844</v>
      </c>
      <c r="AL264" s="45" t="s">
        <v>109</v>
      </c>
      <c r="AM264" s="116">
        <v>3.123111201E9</v>
      </c>
      <c r="AN264" s="259">
        <v>3.11467475E9</v>
      </c>
      <c r="AO264" s="52" t="s">
        <v>1941</v>
      </c>
      <c r="AP264" s="67" t="s">
        <v>1942</v>
      </c>
      <c r="AQ264" s="143">
        <v>2.9573684</v>
      </c>
      <c r="AR264" s="143">
        <v>-75.2816115</v>
      </c>
      <c r="AS264" s="135">
        <v>2800000.0</v>
      </c>
      <c r="AT264" s="44">
        <v>0.0</v>
      </c>
      <c r="AU264" s="52">
        <v>0.0</v>
      </c>
      <c r="AV264" s="52">
        <v>0.0</v>
      </c>
      <c r="AW264" s="43" t="s">
        <v>88</v>
      </c>
      <c r="AX264" s="52">
        <v>0.0</v>
      </c>
      <c r="AY264" s="52" t="s">
        <v>137</v>
      </c>
      <c r="AZ264" s="52">
        <v>8.0</v>
      </c>
      <c r="BA264" s="43" t="s">
        <v>89</v>
      </c>
      <c r="BB264" s="52">
        <v>14.0</v>
      </c>
      <c r="BC264" s="95"/>
      <c r="BD264" s="71"/>
      <c r="BE264" s="71"/>
      <c r="BF264" s="72" t="s">
        <v>1943</v>
      </c>
      <c r="BG264" s="73"/>
      <c r="BH264" s="73"/>
      <c r="BI264" s="73"/>
      <c r="BJ264" s="73"/>
      <c r="BK264" s="73"/>
      <c r="BL264" s="73"/>
      <c r="BM264" s="73"/>
      <c r="BN264" s="73"/>
      <c r="BO264" s="73"/>
      <c r="BP264" s="73"/>
      <c r="BQ264" s="73"/>
      <c r="BR264" s="73"/>
      <c r="BS264" s="73"/>
      <c r="BT264" s="73"/>
      <c r="BU264" s="73"/>
      <c r="BV264" s="73"/>
      <c r="BW264" s="74"/>
      <c r="BX264" s="74"/>
      <c r="BY264" s="63"/>
      <c r="BZ264" s="63"/>
    </row>
    <row r="265" ht="15.75" customHeight="1">
      <c r="A265" s="75" t="s">
        <v>1944</v>
      </c>
      <c r="B265" s="50" t="s">
        <v>1945</v>
      </c>
      <c r="C265" s="50" t="s">
        <v>271</v>
      </c>
      <c r="D265" s="50" t="s">
        <v>11</v>
      </c>
      <c r="E265" s="64"/>
      <c r="F265" s="78">
        <v>3.8E8</v>
      </c>
      <c r="J265" s="50" t="s">
        <v>183</v>
      </c>
      <c r="K265" s="51" t="s">
        <v>184</v>
      </c>
      <c r="L265" s="50">
        <v>3.0</v>
      </c>
      <c r="M265" s="50"/>
      <c r="N265" s="50">
        <v>3.0</v>
      </c>
      <c r="O265" s="50">
        <v>0.0</v>
      </c>
      <c r="P265" s="50">
        <v>1.0</v>
      </c>
      <c r="Q265" s="88">
        <v>170.0</v>
      </c>
      <c r="R265" s="88">
        <v>200.0</v>
      </c>
      <c r="S265" s="56" t="str">
        <f t="shared" si="7"/>
        <v> </v>
      </c>
      <c r="T265" s="50" t="s">
        <v>78</v>
      </c>
      <c r="U265" s="51" t="s">
        <v>184</v>
      </c>
      <c r="V265" s="50" t="s">
        <v>118</v>
      </c>
      <c r="W265" s="50"/>
      <c r="X265" s="50">
        <v>1.0</v>
      </c>
      <c r="Y265" s="50" t="s">
        <v>80</v>
      </c>
      <c r="Z265" s="58" t="s">
        <v>81</v>
      </c>
      <c r="AA265" s="59" t="str">
        <f>IF(Rentabilidad=0,"No aplica",TEXT(ROUND(Precio/Rentabilidad/12,0),0) &amp; " años")</f>
        <v>No aplica</v>
      </c>
      <c r="AB265" s="82" t="s">
        <v>1946</v>
      </c>
      <c r="AC265" s="131" t="s">
        <v>1947</v>
      </c>
      <c r="AD265" s="107" t="s">
        <v>1948</v>
      </c>
      <c r="AE265" s="63"/>
      <c r="AF265" s="64" t="s">
        <v>84</v>
      </c>
      <c r="AG265" s="65"/>
      <c r="AH265" s="65"/>
      <c r="AI265" s="65" t="s">
        <v>1843</v>
      </c>
      <c r="AJ265" s="259" t="s">
        <v>1834</v>
      </c>
      <c r="AK265" s="209"/>
      <c r="AL265" s="209"/>
      <c r="AM265" s="209"/>
      <c r="AN265" s="209"/>
      <c r="AO265" s="209"/>
      <c r="AP265" s="210"/>
      <c r="AQ265" s="210"/>
      <c r="AR265" s="210"/>
      <c r="AS265" s="209"/>
      <c r="AT265" s="209"/>
      <c r="AU265" s="209"/>
      <c r="AV265" s="209"/>
      <c r="AW265" s="209"/>
      <c r="AX265" s="209"/>
      <c r="AY265" s="209"/>
      <c r="AZ265" s="209"/>
      <c r="BA265" s="209"/>
      <c r="BB265" s="209"/>
      <c r="BC265" s="95"/>
      <c r="BD265" s="71"/>
      <c r="BE265" s="71"/>
      <c r="BF265" s="72" t="s">
        <v>1949</v>
      </c>
      <c r="BG265" s="73"/>
      <c r="BH265" s="73"/>
      <c r="BI265" s="73"/>
      <c r="BJ265" s="73"/>
      <c r="BK265" s="73"/>
      <c r="BL265" s="73"/>
      <c r="BM265" s="73"/>
      <c r="BN265" s="73"/>
      <c r="BO265" s="73"/>
      <c r="BP265" s="73"/>
      <c r="BQ265" s="73"/>
      <c r="BR265" s="73"/>
      <c r="BS265" s="73"/>
      <c r="BT265" s="73"/>
      <c r="BU265" s="73"/>
      <c r="BV265" s="73"/>
      <c r="BW265" s="74"/>
      <c r="BX265" s="74"/>
      <c r="BY265" s="63"/>
      <c r="BZ265" s="63"/>
    </row>
    <row r="266" ht="15.75" customHeight="1">
      <c r="A266" s="272" t="s">
        <v>1950</v>
      </c>
      <c r="B266" s="50" t="s">
        <v>926</v>
      </c>
      <c r="C266" s="50" t="s">
        <v>70</v>
      </c>
      <c r="D266" s="50" t="s">
        <v>1951</v>
      </c>
      <c r="E266" s="77"/>
      <c r="F266" s="78">
        <v>3.0E8</v>
      </c>
      <c r="G266" s="44" t="str">
        <f t="shared" ref="G266:G420" si="8">IF(F266&lt;100000000,"$0 a $100'000.000",
  IF(F266&lt;200000000,"$100'000.000 a $200'000.000",
   IF(F266&lt;300000000,"$200'000.000 a $300'000.000",
    IF(F266&lt;400000000,"$300'000.000 a $400'000.000",
     IF(F266&lt;500000000,"$400'000.000 a $500'000.000",
      IF(F266&lt;1000000000,"$500'000.000 a $1.000'000.000",
       "Más de $1.000'000.000"
     ))))))</f>
        <v>$300'000.000 a $400'000.000</v>
      </c>
      <c r="H266" s="44"/>
      <c r="I266" s="44"/>
      <c r="J266" s="50" t="s">
        <v>94</v>
      </c>
      <c r="K266" s="51" t="s">
        <v>117</v>
      </c>
      <c r="L266" s="50">
        <v>3.0</v>
      </c>
      <c r="M266" s="50"/>
      <c r="N266" s="50">
        <v>3.0</v>
      </c>
      <c r="O266" s="50">
        <v>1.0</v>
      </c>
      <c r="P266" s="50">
        <v>2.0</v>
      </c>
      <c r="Q266" s="88">
        <v>125.0</v>
      </c>
      <c r="R266" s="88">
        <v>78.0</v>
      </c>
      <c r="S266" s="56" t="str">
        <f t="shared" si="7"/>
        <v> </v>
      </c>
      <c r="T266" s="50" t="s">
        <v>78</v>
      </c>
      <c r="U266" s="51" t="s">
        <v>184</v>
      </c>
      <c r="V266" s="50" t="s">
        <v>79</v>
      </c>
      <c r="W266" s="50"/>
      <c r="X266" s="50">
        <v>0.0</v>
      </c>
      <c r="Y266" s="43" t="s">
        <v>80</v>
      </c>
      <c r="Z266" s="58" t="s">
        <v>81</v>
      </c>
      <c r="AA266" s="81" t="s">
        <v>81</v>
      </c>
      <c r="AB266" s="115" t="s">
        <v>1952</v>
      </c>
      <c r="AC266" s="124" t="s">
        <v>1953</v>
      </c>
      <c r="AD266" s="125" t="s">
        <v>1954</v>
      </c>
      <c r="AE266" s="63"/>
      <c r="AF266" s="64" t="s">
        <v>105</v>
      </c>
      <c r="AG266" s="65" t="s">
        <v>106</v>
      </c>
      <c r="AH266" s="65"/>
      <c r="AI266" s="65" t="s">
        <v>1843</v>
      </c>
      <c r="AJ266" s="64" t="s">
        <v>1834</v>
      </c>
      <c r="AK266" s="265" t="s">
        <v>1879</v>
      </c>
      <c r="AL266" s="64" t="s">
        <v>109</v>
      </c>
      <c r="AM266" s="43">
        <v>3.128491214E9</v>
      </c>
      <c r="AN266" s="64">
        <v>0.0</v>
      </c>
      <c r="AO266" s="43" t="s">
        <v>1955</v>
      </c>
      <c r="AP266" s="84" t="s">
        <v>1956</v>
      </c>
      <c r="AQ266" s="84">
        <v>2.903937</v>
      </c>
      <c r="AR266" s="84">
        <v>-75.2655445</v>
      </c>
      <c r="AS266" s="85">
        <v>0.0</v>
      </c>
      <c r="AT266" s="50">
        <v>0.0</v>
      </c>
      <c r="AU266" s="50">
        <v>0.0</v>
      </c>
      <c r="AV266" s="50">
        <v>0.0</v>
      </c>
      <c r="AW266" s="50" t="s">
        <v>106</v>
      </c>
      <c r="AX266" s="50">
        <v>0.0</v>
      </c>
      <c r="AY266" s="50" t="s">
        <v>137</v>
      </c>
      <c r="AZ266" s="50">
        <v>0.0</v>
      </c>
      <c r="BA266" s="43" t="s">
        <v>89</v>
      </c>
      <c r="BB266" s="50">
        <v>0.0</v>
      </c>
      <c r="BC266" s="69" t="s">
        <v>1957</v>
      </c>
      <c r="BD266" s="70"/>
      <c r="BE266" s="70"/>
      <c r="BF266" s="72" t="s">
        <v>1958</v>
      </c>
      <c r="BG266" s="73"/>
      <c r="BH266" s="73"/>
      <c r="BI266" s="73"/>
      <c r="BJ266" s="73"/>
      <c r="BK266" s="73"/>
      <c r="BL266" s="73"/>
      <c r="BM266" s="73"/>
      <c r="BN266" s="73"/>
      <c r="BO266" s="73"/>
      <c r="BP266" s="73"/>
      <c r="BQ266" s="73"/>
      <c r="BR266" s="73"/>
      <c r="BS266" s="73"/>
      <c r="BT266" s="73"/>
      <c r="BU266" s="73"/>
      <c r="BV266" s="73"/>
      <c r="BW266" s="74"/>
      <c r="BX266" s="74"/>
      <c r="BY266" s="63"/>
      <c r="BZ266" s="63"/>
    </row>
    <row r="267" ht="15.75" customHeight="1">
      <c r="A267" s="266" t="s">
        <v>1959</v>
      </c>
      <c r="B267" s="50" t="s">
        <v>1778</v>
      </c>
      <c r="C267" s="50" t="s">
        <v>271</v>
      </c>
      <c r="D267" s="44" t="s">
        <v>11</v>
      </c>
      <c r="E267" s="45"/>
      <c r="F267" s="78">
        <v>3.0E8</v>
      </c>
      <c r="G267" s="44" t="str">
        <f t="shared" si="8"/>
        <v>$300'000.000 a $400'000.000</v>
      </c>
      <c r="H267" s="44"/>
      <c r="I267" s="44"/>
      <c r="J267" s="50" t="s">
        <v>183</v>
      </c>
      <c r="K267" s="51" t="s">
        <v>184</v>
      </c>
      <c r="L267" s="44">
        <v>5.0</v>
      </c>
      <c r="M267" s="44"/>
      <c r="N267" s="44">
        <v>2.0</v>
      </c>
      <c r="O267" s="50">
        <v>3.0</v>
      </c>
      <c r="P267" s="44">
        <v>1.0</v>
      </c>
      <c r="Q267" s="79">
        <v>188.0</v>
      </c>
      <c r="R267" s="79">
        <v>288.0</v>
      </c>
      <c r="S267" s="56" t="str">
        <f t="shared" si="7"/>
        <v>Rentabilidad $1,000,000</v>
      </c>
      <c r="T267" s="44" t="s">
        <v>78</v>
      </c>
      <c r="U267" s="187" t="s">
        <v>184</v>
      </c>
      <c r="V267" s="50" t="s">
        <v>79</v>
      </c>
      <c r="W267" s="50"/>
      <c r="X267" s="44">
        <v>0.0</v>
      </c>
      <c r="Y267" s="50" t="s">
        <v>80</v>
      </c>
      <c r="Z267" s="80" t="s">
        <v>81</v>
      </c>
      <c r="AA267" s="59" t="str">
        <f>IF(Rentabilidad=0,"No aplica",TEXT(ROUND(Precio/Rentabilidad/12,0),0) &amp; " años")</f>
        <v>25 años</v>
      </c>
      <c r="AB267" s="257" t="s">
        <v>1960</v>
      </c>
      <c r="AC267" s="131" t="s">
        <v>1961</v>
      </c>
      <c r="AD267" s="125" t="s">
        <v>1962</v>
      </c>
      <c r="AE267" s="63"/>
      <c r="AF267" s="64" t="s">
        <v>236</v>
      </c>
      <c r="AG267" s="65" t="s">
        <v>106</v>
      </c>
      <c r="AH267" s="65" t="s">
        <v>45</v>
      </c>
      <c r="AI267" s="65" t="s">
        <v>1843</v>
      </c>
      <c r="AJ267" s="259" t="s">
        <v>1834</v>
      </c>
      <c r="AK267" s="255" t="s">
        <v>1844</v>
      </c>
      <c r="AL267" s="45" t="s">
        <v>109</v>
      </c>
      <c r="AM267" s="116">
        <v>3.017419595E9</v>
      </c>
      <c r="AN267" s="259">
        <v>3.195819142E9</v>
      </c>
      <c r="AO267" s="52" t="s">
        <v>1963</v>
      </c>
      <c r="AP267" s="67" t="s">
        <v>1964</v>
      </c>
      <c r="AQ267" s="143">
        <v>2.9441587</v>
      </c>
      <c r="AR267" s="143">
        <v>-75.289707</v>
      </c>
      <c r="AS267" s="68">
        <v>1000000.0</v>
      </c>
      <c r="AT267" s="44">
        <v>0.0</v>
      </c>
      <c r="AU267" s="52">
        <v>0.0</v>
      </c>
      <c r="AV267" s="52">
        <v>0.0</v>
      </c>
      <c r="AW267" s="43" t="s">
        <v>88</v>
      </c>
      <c r="AX267" s="52">
        <v>0.0</v>
      </c>
      <c r="AY267" s="52" t="s">
        <v>106</v>
      </c>
      <c r="AZ267" s="44">
        <v>12.0</v>
      </c>
      <c r="BA267" s="43" t="s">
        <v>89</v>
      </c>
      <c r="BB267" s="44">
        <v>24.0</v>
      </c>
      <c r="BC267" s="127" t="s">
        <v>445</v>
      </c>
      <c r="BD267" s="128"/>
      <c r="BE267" s="129"/>
      <c r="BF267" s="72" t="s">
        <v>1965</v>
      </c>
      <c r="BG267" s="74"/>
      <c r="BH267" s="74"/>
      <c r="BI267" s="74"/>
      <c r="BJ267" s="74"/>
      <c r="BK267" s="74"/>
      <c r="BL267" s="74"/>
      <c r="BM267" s="74"/>
      <c r="BN267" s="74"/>
      <c r="BO267" s="74"/>
      <c r="BP267" s="74"/>
      <c r="BQ267" s="74"/>
      <c r="BR267" s="74"/>
      <c r="BS267" s="74"/>
      <c r="BT267" s="74"/>
      <c r="BU267" s="74"/>
      <c r="BV267" s="74"/>
      <c r="BW267" s="74"/>
      <c r="BX267" s="74"/>
      <c r="BY267" s="63"/>
      <c r="BZ267" s="63"/>
    </row>
    <row r="268" ht="15.75" customHeight="1">
      <c r="A268" s="273" t="s">
        <v>1966</v>
      </c>
      <c r="B268" s="122" t="s">
        <v>1921</v>
      </c>
      <c r="C268" s="43" t="s">
        <v>1228</v>
      </c>
      <c r="D268" s="44" t="s">
        <v>71</v>
      </c>
      <c r="E268" s="77" t="s">
        <v>376</v>
      </c>
      <c r="F268" s="47">
        <v>3.0E8</v>
      </c>
      <c r="G268" s="44" t="str">
        <f t="shared" si="8"/>
        <v>$300'000.000 a $400'000.000</v>
      </c>
      <c r="H268" s="44"/>
      <c r="I268" s="44"/>
      <c r="J268" s="43" t="s">
        <v>76</v>
      </c>
      <c r="K268" s="51" t="s">
        <v>77</v>
      </c>
      <c r="L268" s="52">
        <v>3.0</v>
      </c>
      <c r="M268" s="52"/>
      <c r="N268" s="52">
        <v>1.0</v>
      </c>
      <c r="O268" s="43">
        <v>0.0</v>
      </c>
      <c r="P268" s="52">
        <v>1.0</v>
      </c>
      <c r="Q268" s="54"/>
      <c r="R268" s="55">
        <v>466.0</v>
      </c>
      <c r="S268" s="56" t="str">
        <f t="shared" si="7"/>
        <v> </v>
      </c>
      <c r="T268" s="52" t="s">
        <v>78</v>
      </c>
      <c r="U268" s="142" t="s">
        <v>77</v>
      </c>
      <c r="V268" s="43" t="s">
        <v>79</v>
      </c>
      <c r="W268" s="43"/>
      <c r="X268" s="52">
        <v>0.0</v>
      </c>
      <c r="Y268" s="43" t="s">
        <v>80</v>
      </c>
      <c r="Z268" s="80" t="s">
        <v>81</v>
      </c>
      <c r="AA268" s="59" t="str">
        <f>IF(Rentabilidad=0,"No aplica",TEXT(ROUND(Precio/Rentabilidad/12,0),0) &amp; " años")</f>
        <v>No aplica</v>
      </c>
      <c r="AB268" s="140" t="s">
        <v>1967</v>
      </c>
      <c r="AC268" s="131" t="s">
        <v>1968</v>
      </c>
      <c r="AD268" s="258" t="s">
        <v>1969</v>
      </c>
      <c r="AE268" s="63"/>
      <c r="AF268" s="64" t="s">
        <v>84</v>
      </c>
      <c r="AG268" s="65" t="s">
        <v>106</v>
      </c>
      <c r="AH268" s="65" t="s">
        <v>45</v>
      </c>
      <c r="AI268" s="65" t="s">
        <v>1843</v>
      </c>
      <c r="AJ268" s="259" t="s">
        <v>1834</v>
      </c>
      <c r="AK268" s="260" t="s">
        <v>1862</v>
      </c>
      <c r="AL268" s="45" t="s">
        <v>86</v>
      </c>
      <c r="AM268" s="52">
        <v>3.168521934E9</v>
      </c>
      <c r="AN268" s="45" t="s">
        <v>1970</v>
      </c>
      <c r="AO268" s="52" t="s">
        <v>1971</v>
      </c>
      <c r="AP268" s="67" t="s">
        <v>1972</v>
      </c>
      <c r="AQ268" s="143">
        <v>2.9343093</v>
      </c>
      <c r="AR268" s="143">
        <v>-75.2860281</v>
      </c>
      <c r="AS268" s="135">
        <v>0.0</v>
      </c>
      <c r="AT268" s="44">
        <v>0.0</v>
      </c>
      <c r="AU268" s="52">
        <v>0.0</v>
      </c>
      <c r="AV268" s="52">
        <v>0.0</v>
      </c>
      <c r="AW268" s="43" t="s">
        <v>88</v>
      </c>
      <c r="AX268" s="52">
        <v>0.0</v>
      </c>
      <c r="AY268" s="52">
        <v>0.0</v>
      </c>
      <c r="AZ268" s="52">
        <v>10.0</v>
      </c>
      <c r="BA268" s="43" t="s">
        <v>89</v>
      </c>
      <c r="BB268" s="52">
        <v>40.0</v>
      </c>
      <c r="BC268" s="95"/>
      <c r="BD268" s="71"/>
      <c r="BE268" s="71"/>
      <c r="BF268" s="72" t="s">
        <v>1973</v>
      </c>
      <c r="BG268" s="73"/>
      <c r="BH268" s="73"/>
      <c r="BI268" s="73"/>
      <c r="BJ268" s="73"/>
      <c r="BK268" s="73"/>
      <c r="BL268" s="73"/>
      <c r="BM268" s="73"/>
      <c r="BN268" s="73"/>
      <c r="BO268" s="73"/>
      <c r="BP268" s="73"/>
      <c r="BQ268" s="73"/>
      <c r="BR268" s="73"/>
      <c r="BS268" s="73"/>
      <c r="BT268" s="73"/>
      <c r="BU268" s="73"/>
      <c r="BV268" s="73"/>
      <c r="BW268" s="74"/>
      <c r="BX268" s="74"/>
      <c r="BY268" s="63"/>
      <c r="BZ268" s="63"/>
    </row>
    <row r="269" ht="15.75" customHeight="1">
      <c r="A269" s="266" t="s">
        <v>1974</v>
      </c>
      <c r="B269" s="50" t="s">
        <v>1975</v>
      </c>
      <c r="C269" s="50" t="s">
        <v>271</v>
      </c>
      <c r="D269" s="44" t="s">
        <v>11</v>
      </c>
      <c r="E269" s="45"/>
      <c r="F269" s="78">
        <v>2.8E8</v>
      </c>
      <c r="G269" s="44" t="str">
        <f t="shared" si="8"/>
        <v>$200'000.000 a $300'000.000</v>
      </c>
      <c r="H269" s="44"/>
      <c r="I269" s="44"/>
      <c r="J269" s="50" t="s">
        <v>183</v>
      </c>
      <c r="K269" s="51" t="s">
        <v>184</v>
      </c>
      <c r="L269" s="44">
        <v>5.0</v>
      </c>
      <c r="M269" s="44"/>
      <c r="N269" s="44">
        <v>3.0</v>
      </c>
      <c r="O269" s="50">
        <v>1.0</v>
      </c>
      <c r="P269" s="44">
        <v>1.0</v>
      </c>
      <c r="Q269" s="113">
        <v>160.0</v>
      </c>
      <c r="R269" s="79">
        <v>167.0</v>
      </c>
      <c r="S269" s="56" t="str">
        <f t="shared" si="7"/>
        <v>Rentabilidad $1,100,000</v>
      </c>
      <c r="T269" s="52" t="s">
        <v>78</v>
      </c>
      <c r="U269" s="57" t="s">
        <v>184</v>
      </c>
      <c r="V269" s="50" t="s">
        <v>79</v>
      </c>
      <c r="W269" s="50"/>
      <c r="X269" s="44">
        <v>2.0</v>
      </c>
      <c r="Y269" s="50" t="s">
        <v>80</v>
      </c>
      <c r="Z269" s="80" t="s">
        <v>81</v>
      </c>
      <c r="AA269" s="59" t="str">
        <f>IF(Rentabilidad=0,"No aplica",TEXT(ROUND(Precio/Rentabilidad/12,0),0) &amp; " años")</f>
        <v>21 años</v>
      </c>
      <c r="AB269" s="163" t="s">
        <v>1976</v>
      </c>
      <c r="AC269" s="131" t="s">
        <v>1977</v>
      </c>
      <c r="AD269" s="125" t="s">
        <v>1978</v>
      </c>
      <c r="AE269" s="63"/>
      <c r="AF269" s="64" t="s">
        <v>84</v>
      </c>
      <c r="AG269" s="65" t="s">
        <v>106</v>
      </c>
      <c r="AH269" s="65" t="s">
        <v>45</v>
      </c>
      <c r="AI269" s="65" t="s">
        <v>1843</v>
      </c>
      <c r="AJ269" s="259" t="s">
        <v>1834</v>
      </c>
      <c r="AK269" s="274" t="s">
        <v>1844</v>
      </c>
      <c r="AL269" s="45" t="s">
        <v>109</v>
      </c>
      <c r="AM269" s="116">
        <v>3.14330626E9</v>
      </c>
      <c r="AN269" s="259">
        <v>3.118444695E9</v>
      </c>
      <c r="AO269" s="52" t="s">
        <v>1979</v>
      </c>
      <c r="AP269" s="67" t="s">
        <v>1980</v>
      </c>
      <c r="AQ269" s="143">
        <v>2.9457926</v>
      </c>
      <c r="AR269" s="143">
        <v>-75.2890305</v>
      </c>
      <c r="AS269" s="68">
        <v>1100000.0</v>
      </c>
      <c r="AT269" s="52">
        <v>0.0</v>
      </c>
      <c r="AU269" s="52">
        <v>0.0</v>
      </c>
      <c r="AV269" s="52">
        <v>0.0</v>
      </c>
      <c r="AW269" s="52" t="s">
        <v>88</v>
      </c>
      <c r="AX269" s="52">
        <v>0.0</v>
      </c>
      <c r="AY269" s="52" t="s">
        <v>137</v>
      </c>
      <c r="AZ269" s="52">
        <v>10.0</v>
      </c>
      <c r="BA269" s="43" t="s">
        <v>89</v>
      </c>
      <c r="BB269" s="52" t="s">
        <v>1981</v>
      </c>
      <c r="BC269" s="127" t="s">
        <v>439</v>
      </c>
      <c r="BD269" s="229"/>
      <c r="BE269" s="229"/>
      <c r="BF269" s="157" t="s">
        <v>1982</v>
      </c>
      <c r="BG269" s="73"/>
      <c r="BH269" s="73"/>
      <c r="BI269" s="73"/>
      <c r="BJ269" s="73"/>
      <c r="BK269" s="73"/>
      <c r="BL269" s="73"/>
      <c r="BM269" s="73"/>
      <c r="BN269" s="73"/>
      <c r="BO269" s="73"/>
      <c r="BP269" s="73"/>
      <c r="BQ269" s="73"/>
      <c r="BR269" s="73"/>
      <c r="BS269" s="73"/>
      <c r="BT269" s="73"/>
      <c r="BU269" s="73"/>
      <c r="BV269" s="73"/>
      <c r="BW269" s="74"/>
      <c r="BX269" s="74"/>
      <c r="BY269" s="63"/>
      <c r="BZ269" s="63"/>
    </row>
    <row r="270" ht="15.75" customHeight="1">
      <c r="A270" s="267" t="s">
        <v>1983</v>
      </c>
      <c r="B270" s="50" t="s">
        <v>1984</v>
      </c>
      <c r="C270" s="50" t="s">
        <v>271</v>
      </c>
      <c r="D270" s="202"/>
      <c r="E270" s="64"/>
      <c r="F270" s="47">
        <v>2.8E8</v>
      </c>
      <c r="G270" s="44" t="str">
        <f t="shared" si="8"/>
        <v>$200'000.000 a $300'000.000</v>
      </c>
      <c r="H270" s="44"/>
      <c r="I270" s="44"/>
      <c r="J270" s="50" t="s">
        <v>94</v>
      </c>
      <c r="K270" s="150"/>
      <c r="L270" s="52">
        <v>4.0</v>
      </c>
      <c r="M270" s="52"/>
      <c r="N270" s="52">
        <v>3.0</v>
      </c>
      <c r="O270" s="43">
        <v>0.0</v>
      </c>
      <c r="P270" s="52">
        <v>2.0</v>
      </c>
      <c r="Q270" s="54">
        <v>353.42</v>
      </c>
      <c r="R270" s="55">
        <v>172.5</v>
      </c>
      <c r="S270" s="56" t="str">
        <f t="shared" si="7"/>
        <v>Rentabilidad $1,500,000</v>
      </c>
      <c r="T270" s="52" t="s">
        <v>1985</v>
      </c>
      <c r="U270" s="142" t="s">
        <v>184</v>
      </c>
      <c r="V270" s="43" t="s">
        <v>79</v>
      </c>
      <c r="W270" s="43"/>
      <c r="X270" s="52">
        <v>1.0</v>
      </c>
      <c r="Y270" s="43" t="s">
        <v>80</v>
      </c>
      <c r="Z270" s="80" t="s">
        <v>81</v>
      </c>
      <c r="AA270" s="59" t="str">
        <f>IF(Rentabilidad=0,"No aplica",TEXT(ROUND(Precio/Rentabilidad/12,0),0) &amp; " años")</f>
        <v>16 años</v>
      </c>
      <c r="AB270" s="257" t="s">
        <v>1986</v>
      </c>
      <c r="AC270" s="131" t="s">
        <v>1987</v>
      </c>
      <c r="AD270" s="125" t="s">
        <v>1988</v>
      </c>
      <c r="AE270" s="63"/>
      <c r="AF270" s="64" t="s">
        <v>84</v>
      </c>
      <c r="AG270" s="65" t="s">
        <v>106</v>
      </c>
      <c r="AH270" s="65"/>
      <c r="AI270" s="65" t="s">
        <v>1843</v>
      </c>
      <c r="AJ270" s="259" t="s">
        <v>1834</v>
      </c>
      <c r="AK270" s="260" t="s">
        <v>1862</v>
      </c>
      <c r="AL270" s="45" t="s">
        <v>109</v>
      </c>
      <c r="AM270" s="116">
        <v>3.167377067E9</v>
      </c>
      <c r="AN270" s="259"/>
      <c r="AO270" s="52" t="s">
        <v>1989</v>
      </c>
      <c r="AP270" s="67" t="s">
        <v>1990</v>
      </c>
      <c r="AQ270" s="143">
        <v>2.8292802</v>
      </c>
      <c r="AR270" s="143">
        <v>-75.3252805</v>
      </c>
      <c r="AS270" s="135">
        <v>1500000.0</v>
      </c>
      <c r="AT270" s="44">
        <v>0.0</v>
      </c>
      <c r="AU270" s="52">
        <v>0.0</v>
      </c>
      <c r="AV270" s="52">
        <v>0.0</v>
      </c>
      <c r="AW270" s="43" t="s">
        <v>88</v>
      </c>
      <c r="AX270" s="52">
        <v>0.0</v>
      </c>
      <c r="AY270" s="52">
        <v>0.0</v>
      </c>
      <c r="AZ270" s="52">
        <v>11.5</v>
      </c>
      <c r="BA270" s="43" t="s">
        <v>89</v>
      </c>
      <c r="BB270" s="52">
        <v>15.0</v>
      </c>
      <c r="BC270" s="69" t="s">
        <v>1991</v>
      </c>
      <c r="BD270" s="70"/>
      <c r="BE270" s="71"/>
      <c r="BF270" s="72" t="s">
        <v>1992</v>
      </c>
      <c r="BG270" s="73"/>
      <c r="BH270" s="73"/>
      <c r="BI270" s="73"/>
      <c r="BJ270" s="73"/>
      <c r="BK270" s="73"/>
      <c r="BL270" s="73"/>
      <c r="BM270" s="73"/>
      <c r="BN270" s="73"/>
      <c r="BO270" s="73"/>
      <c r="BP270" s="73"/>
      <c r="BQ270" s="73"/>
      <c r="BR270" s="73"/>
      <c r="BS270" s="73"/>
      <c r="BT270" s="73"/>
      <c r="BU270" s="73"/>
      <c r="BV270" s="73"/>
      <c r="BW270" s="74"/>
      <c r="BX270" s="74"/>
      <c r="BY270" s="63"/>
      <c r="BZ270" s="63"/>
    </row>
    <row r="271" ht="15.75" customHeight="1">
      <c r="A271" s="272" t="s">
        <v>1993</v>
      </c>
      <c r="B271" s="50" t="s">
        <v>1994</v>
      </c>
      <c r="C271" s="50" t="s">
        <v>271</v>
      </c>
      <c r="D271" s="50" t="s">
        <v>728</v>
      </c>
      <c r="E271" s="45"/>
      <c r="F271" s="78">
        <v>2.8E8</v>
      </c>
      <c r="G271" s="44" t="str">
        <f t="shared" si="8"/>
        <v>$200'000.000 a $300'000.000</v>
      </c>
      <c r="H271" s="44"/>
      <c r="I271" s="44"/>
      <c r="J271" s="50" t="s">
        <v>116</v>
      </c>
      <c r="K271" s="56"/>
      <c r="L271" s="50">
        <v>6.0</v>
      </c>
      <c r="M271" s="50"/>
      <c r="N271" s="50">
        <v>4.0</v>
      </c>
      <c r="O271" s="50">
        <v>0.0</v>
      </c>
      <c r="P271" s="50">
        <v>2.0</v>
      </c>
      <c r="Q271" s="55">
        <v>192.0</v>
      </c>
      <c r="R271" s="55">
        <v>110.0</v>
      </c>
      <c r="S271" s="56" t="str">
        <f t="shared" si="7"/>
        <v>Rentabilidad $1,400,000</v>
      </c>
      <c r="T271" s="50" t="s">
        <v>78</v>
      </c>
      <c r="U271" s="187" t="s">
        <v>184</v>
      </c>
      <c r="V271" s="50" t="s">
        <v>79</v>
      </c>
      <c r="W271" s="50"/>
      <c r="X271" s="50">
        <v>4.0</v>
      </c>
      <c r="Y271" s="50" t="s">
        <v>80</v>
      </c>
      <c r="Z271" s="80" t="s">
        <v>81</v>
      </c>
      <c r="AA271" s="59" t="str">
        <f>IF(Rentabilidad=0,"No aplica",TEXT(ROUND(Precio/Rentabilidad/12,0),0) &amp; " años")</f>
        <v>17 años</v>
      </c>
      <c r="AB271" s="134" t="s">
        <v>1995</v>
      </c>
      <c r="AC271" s="131" t="s">
        <v>1996</v>
      </c>
      <c r="AD271" s="107" t="s">
        <v>1997</v>
      </c>
      <c r="AE271" s="63"/>
      <c r="AF271" s="64" t="s">
        <v>84</v>
      </c>
      <c r="AG271" s="65" t="s">
        <v>106</v>
      </c>
      <c r="AH271" s="65"/>
      <c r="AI271" s="65" t="s">
        <v>1843</v>
      </c>
      <c r="AJ271" s="64" t="s">
        <v>1834</v>
      </c>
      <c r="AK271" s="265" t="s">
        <v>1998</v>
      </c>
      <c r="AL271" s="45" t="s">
        <v>109</v>
      </c>
      <c r="AM271" s="50">
        <v>3.138880579E9</v>
      </c>
      <c r="AN271" s="64">
        <v>0.0</v>
      </c>
      <c r="AO271" s="43" t="s">
        <v>1999</v>
      </c>
      <c r="AP271" s="84" t="s">
        <v>2000</v>
      </c>
      <c r="AQ271" s="84">
        <v>2.9409318</v>
      </c>
      <c r="AR271" s="84">
        <v>-75.2601606</v>
      </c>
      <c r="AS271" s="50">
        <v>1400000.0</v>
      </c>
      <c r="AT271" s="50">
        <v>0.0</v>
      </c>
      <c r="AU271" s="50">
        <v>0.0</v>
      </c>
      <c r="AV271" s="50">
        <v>0.0</v>
      </c>
      <c r="AW271" s="50" t="s">
        <v>106</v>
      </c>
      <c r="AX271" s="50">
        <v>0.0</v>
      </c>
      <c r="AY271" s="50" t="s">
        <v>137</v>
      </c>
      <c r="AZ271" s="50">
        <v>0.0</v>
      </c>
      <c r="BA271" s="43" t="s">
        <v>89</v>
      </c>
      <c r="BB271" s="50">
        <v>0.0</v>
      </c>
      <c r="BC271" s="109"/>
      <c r="BD271" s="70"/>
      <c r="BE271" s="71"/>
      <c r="BF271" s="72" t="s">
        <v>2001</v>
      </c>
      <c r="BG271" s="73"/>
      <c r="BH271" s="73"/>
      <c r="BI271" s="73"/>
      <c r="BJ271" s="73"/>
      <c r="BK271" s="73"/>
      <c r="BL271" s="73"/>
      <c r="BM271" s="73"/>
      <c r="BN271" s="73"/>
      <c r="BO271" s="73"/>
      <c r="BP271" s="73"/>
      <c r="BQ271" s="73"/>
      <c r="BR271" s="73"/>
      <c r="BS271" s="73"/>
      <c r="BT271" s="73"/>
      <c r="BU271" s="73"/>
      <c r="BV271" s="73"/>
      <c r="BW271" s="74"/>
      <c r="BX271" s="74"/>
      <c r="BY271" s="63"/>
      <c r="BZ271" s="63"/>
    </row>
    <row r="272" ht="15.75" customHeight="1">
      <c r="A272" s="224" t="s">
        <v>2002</v>
      </c>
      <c r="B272" s="43" t="s">
        <v>2003</v>
      </c>
      <c r="C272" s="43" t="s">
        <v>70</v>
      </c>
      <c r="D272" s="50" t="s">
        <v>574</v>
      </c>
      <c r="E272" s="77" t="s">
        <v>376</v>
      </c>
      <c r="F272" s="78">
        <v>2.6E8</v>
      </c>
      <c r="G272" s="44" t="str">
        <f t="shared" si="8"/>
        <v>$200'000.000 a $300'000.000</v>
      </c>
      <c r="H272" s="44"/>
      <c r="I272" s="44"/>
      <c r="J272" s="50" t="s">
        <v>116</v>
      </c>
      <c r="K272" s="51"/>
      <c r="L272" s="52">
        <v>5.0</v>
      </c>
      <c r="M272" s="52"/>
      <c r="N272" s="52">
        <v>4.0</v>
      </c>
      <c r="O272" s="43">
        <v>1.0</v>
      </c>
      <c r="P272" s="52">
        <v>2.0</v>
      </c>
      <c r="Q272" s="54">
        <v>173.0</v>
      </c>
      <c r="R272" s="55">
        <v>93.63</v>
      </c>
      <c r="S272" s="56" t="str">
        <f t="shared" si="7"/>
        <v> </v>
      </c>
      <c r="T272" s="52" t="s">
        <v>78</v>
      </c>
      <c r="U272" s="142" t="s">
        <v>184</v>
      </c>
      <c r="V272" s="43" t="s">
        <v>79</v>
      </c>
      <c r="W272" s="43"/>
      <c r="X272" s="52">
        <v>4.0</v>
      </c>
      <c r="Y272" s="43" t="s">
        <v>80</v>
      </c>
      <c r="Z272" s="80" t="s">
        <v>81</v>
      </c>
      <c r="AA272" s="59" t="str">
        <f>IF(Rentabilidad=0,"No aplica",TEXT(ROUND(Precio/Rentabilidad/12,0),0) &amp; " años")</f>
        <v>No aplica</v>
      </c>
      <c r="AB272" s="163" t="s">
        <v>2004</v>
      </c>
      <c r="AC272" s="131" t="s">
        <v>2005</v>
      </c>
      <c r="AD272" s="125" t="s">
        <v>2006</v>
      </c>
      <c r="AE272" s="63"/>
      <c r="AF272" s="45" t="s">
        <v>105</v>
      </c>
      <c r="AG272" s="65" t="s">
        <v>106</v>
      </c>
      <c r="AH272" s="65"/>
      <c r="AI272" s="65" t="s">
        <v>1843</v>
      </c>
      <c r="AJ272" s="259" t="s">
        <v>1834</v>
      </c>
      <c r="AK272" s="255" t="s">
        <v>1844</v>
      </c>
      <c r="AL272" s="45" t="s">
        <v>109</v>
      </c>
      <c r="AM272" s="116">
        <v>3.202886545E9</v>
      </c>
      <c r="AN272" s="259"/>
      <c r="AO272" s="52" t="s">
        <v>2007</v>
      </c>
      <c r="AP272" s="67" t="s">
        <v>2008</v>
      </c>
      <c r="AQ272" s="143">
        <v>2.9355943</v>
      </c>
      <c r="AR272" s="143">
        <v>-75.2598421</v>
      </c>
      <c r="AS272" s="135">
        <v>0.0</v>
      </c>
      <c r="AT272" s="44">
        <v>0.0</v>
      </c>
      <c r="AU272" s="52" t="s">
        <v>106</v>
      </c>
      <c r="AV272" s="52">
        <v>1.0</v>
      </c>
      <c r="AW272" s="52" t="s">
        <v>106</v>
      </c>
      <c r="AX272" s="52">
        <v>0.0</v>
      </c>
      <c r="AY272" s="52" t="s">
        <v>106</v>
      </c>
      <c r="AZ272" s="52">
        <v>0.0</v>
      </c>
      <c r="BA272" s="43" t="s">
        <v>89</v>
      </c>
      <c r="BB272" s="52">
        <v>0.0</v>
      </c>
      <c r="BC272" s="69" t="s">
        <v>2009</v>
      </c>
      <c r="BD272" s="70"/>
      <c r="BE272" s="71"/>
      <c r="BF272" s="72" t="s">
        <v>2010</v>
      </c>
      <c r="BG272" s="73"/>
      <c r="BH272" s="73"/>
      <c r="BI272" s="73"/>
      <c r="BJ272" s="73"/>
      <c r="BK272" s="73"/>
      <c r="BL272" s="73"/>
      <c r="BM272" s="73"/>
      <c r="BN272" s="73"/>
      <c r="BO272" s="73"/>
      <c r="BP272" s="73"/>
      <c r="BQ272" s="73"/>
      <c r="BR272" s="73"/>
      <c r="BS272" s="73"/>
      <c r="BT272" s="73"/>
      <c r="BU272" s="73"/>
      <c r="BV272" s="73"/>
      <c r="BW272" s="74"/>
      <c r="BX272" s="74"/>
      <c r="BY272" s="63"/>
      <c r="BZ272" s="63"/>
    </row>
    <row r="273" ht="15.75" customHeight="1">
      <c r="A273" s="75" t="s">
        <v>2011</v>
      </c>
      <c r="B273" s="50" t="s">
        <v>2012</v>
      </c>
      <c r="C273" s="50" t="s">
        <v>128</v>
      </c>
      <c r="D273" s="50"/>
      <c r="E273" s="64" t="s">
        <v>2013</v>
      </c>
      <c r="F273" s="78">
        <v>2.4E8</v>
      </c>
      <c r="G273" s="44" t="str">
        <f t="shared" si="8"/>
        <v>$200'000.000 a $300'000.000</v>
      </c>
      <c r="H273" s="44"/>
      <c r="I273" s="44"/>
      <c r="J273" s="50" t="s">
        <v>94</v>
      </c>
      <c r="K273" s="51"/>
      <c r="L273" s="50">
        <v>3.0</v>
      </c>
      <c r="M273" s="50"/>
      <c r="N273" s="50">
        <v>3.0</v>
      </c>
      <c r="O273" s="50">
        <v>1.0</v>
      </c>
      <c r="P273" s="50">
        <v>2.0</v>
      </c>
      <c r="Q273" s="88">
        <v>110.0</v>
      </c>
      <c r="R273" s="88">
        <v>92.83</v>
      </c>
      <c r="S273" s="56" t="str">
        <f t="shared" si="7"/>
        <v> </v>
      </c>
      <c r="T273" s="50" t="s">
        <v>78</v>
      </c>
      <c r="U273" s="51" t="s">
        <v>184</v>
      </c>
      <c r="V273" s="50" t="s">
        <v>79</v>
      </c>
      <c r="W273" s="50"/>
      <c r="X273" s="50">
        <v>0.0</v>
      </c>
      <c r="Y273" s="50" t="s">
        <v>130</v>
      </c>
      <c r="Z273" s="58">
        <v>150000.0</v>
      </c>
      <c r="AA273" s="59" t="str">
        <f>IF(Rentabilidad=0,"No aplica",TEXT(ROUND(Precio/Rentabilidad/12,0),0) &amp; " años")</f>
        <v>No aplica</v>
      </c>
      <c r="AB273" s="82" t="s">
        <v>2014</v>
      </c>
      <c r="AC273" s="83" t="s">
        <v>2015</v>
      </c>
      <c r="AD273" s="83" t="s">
        <v>2016</v>
      </c>
      <c r="AE273" s="63"/>
      <c r="AF273" s="64" t="s">
        <v>84</v>
      </c>
      <c r="AG273" s="65" t="s">
        <v>106</v>
      </c>
      <c r="AH273" s="63"/>
      <c r="AI273" s="65" t="s">
        <v>1843</v>
      </c>
      <c r="AJ273" s="64" t="s">
        <v>1834</v>
      </c>
      <c r="AK273" s="255" t="s">
        <v>1844</v>
      </c>
      <c r="AL273" s="45" t="s">
        <v>86</v>
      </c>
      <c r="AM273" s="50" t="s">
        <v>2017</v>
      </c>
      <c r="AN273" s="64">
        <v>0.0</v>
      </c>
      <c r="AO273" s="43" t="s">
        <v>2018</v>
      </c>
      <c r="AP273" s="84" t="s">
        <v>2019</v>
      </c>
      <c r="AQ273" s="67"/>
      <c r="AR273" s="67"/>
      <c r="AS273" s="94">
        <v>0.0</v>
      </c>
      <c r="AT273" s="65">
        <v>0.0</v>
      </c>
      <c r="AU273" s="50">
        <v>0.0</v>
      </c>
      <c r="AV273" s="50">
        <v>0.0</v>
      </c>
      <c r="AW273" s="50" t="s">
        <v>88</v>
      </c>
      <c r="AX273" s="50">
        <v>0.0</v>
      </c>
      <c r="AY273" s="50">
        <v>0.0</v>
      </c>
      <c r="AZ273" s="50">
        <v>0.0</v>
      </c>
      <c r="BA273" s="43" t="s">
        <v>89</v>
      </c>
      <c r="BB273" s="50">
        <v>0.0</v>
      </c>
      <c r="BC273" s="95"/>
      <c r="BD273" s="71"/>
      <c r="BE273" s="71"/>
      <c r="BF273" s="72" t="s">
        <v>2020</v>
      </c>
      <c r="BG273" s="73"/>
      <c r="BH273" s="73"/>
      <c r="BI273" s="73"/>
      <c r="BJ273" s="73"/>
      <c r="BK273" s="73"/>
      <c r="BL273" s="73"/>
      <c r="BM273" s="73"/>
      <c r="BN273" s="73"/>
      <c r="BO273" s="73"/>
      <c r="BP273" s="73"/>
      <c r="BQ273" s="73"/>
      <c r="BR273" s="73"/>
      <c r="BS273" s="73"/>
      <c r="BT273" s="73"/>
      <c r="BU273" s="73"/>
      <c r="BV273" s="73"/>
      <c r="BW273" s="74"/>
      <c r="BX273" s="74"/>
      <c r="BY273" s="63"/>
      <c r="BZ273" s="63"/>
    </row>
    <row r="274" ht="15.75" customHeight="1">
      <c r="A274" s="275" t="s">
        <v>2021</v>
      </c>
      <c r="B274" s="43" t="s">
        <v>2022</v>
      </c>
      <c r="C274" s="43" t="s">
        <v>70</v>
      </c>
      <c r="D274" s="44" t="s">
        <v>1654</v>
      </c>
      <c r="E274" s="77" t="s">
        <v>376</v>
      </c>
      <c r="F274" s="47">
        <v>2.3E8</v>
      </c>
      <c r="G274" s="44" t="str">
        <f t="shared" si="8"/>
        <v>$200'000.000 a $300'000.000</v>
      </c>
      <c r="H274" s="44"/>
      <c r="I274" s="44"/>
      <c r="J274" s="43" t="s">
        <v>94</v>
      </c>
      <c r="K274" s="57"/>
      <c r="L274" s="52">
        <v>4.0</v>
      </c>
      <c r="M274" s="52"/>
      <c r="N274" s="52">
        <v>3.0</v>
      </c>
      <c r="O274" s="43">
        <v>1.0</v>
      </c>
      <c r="P274" s="52">
        <v>2.0</v>
      </c>
      <c r="Q274" s="54">
        <v>140.0</v>
      </c>
      <c r="R274" s="55" t="s">
        <v>2023</v>
      </c>
      <c r="S274" s="56" t="str">
        <f t="shared" si="7"/>
        <v> </v>
      </c>
      <c r="T274" s="52" t="s">
        <v>78</v>
      </c>
      <c r="U274" s="142" t="s">
        <v>184</v>
      </c>
      <c r="V274" s="43" t="s">
        <v>79</v>
      </c>
      <c r="W274" s="43"/>
      <c r="X274" s="52">
        <v>5.0</v>
      </c>
      <c r="Y274" s="43" t="s">
        <v>80</v>
      </c>
      <c r="Z274" s="58" t="s">
        <v>81</v>
      </c>
      <c r="AA274" s="59" t="str">
        <f>IF(Rentabilidad=0,"No aplica",TEXT(ROUND(Precio/Rentabilidad/12,0),0) &amp; " años")</f>
        <v>No aplica</v>
      </c>
      <c r="AB274" s="163" t="s">
        <v>2024</v>
      </c>
      <c r="AC274" s="131" t="s">
        <v>2025</v>
      </c>
      <c r="AD274" s="107" t="s">
        <v>2025</v>
      </c>
      <c r="AE274" s="63"/>
      <c r="AF274" s="45" t="s">
        <v>105</v>
      </c>
      <c r="AG274" s="65"/>
      <c r="AH274" s="65"/>
      <c r="AI274" s="65" t="s">
        <v>1843</v>
      </c>
      <c r="AJ274" s="259" t="s">
        <v>1834</v>
      </c>
      <c r="AK274" s="255" t="s">
        <v>1844</v>
      </c>
      <c r="AL274" s="45" t="s">
        <v>109</v>
      </c>
      <c r="AM274" s="116">
        <v>3.167962892E9</v>
      </c>
      <c r="AN274" s="259"/>
      <c r="AO274" s="52" t="s">
        <v>2026</v>
      </c>
      <c r="AP274" s="67" t="s">
        <v>2027</v>
      </c>
      <c r="AQ274" s="67"/>
      <c r="AR274" s="67"/>
      <c r="AS274" s="135">
        <v>0.0</v>
      </c>
      <c r="AT274" s="52">
        <v>0.0</v>
      </c>
      <c r="AU274" s="52" t="s">
        <v>106</v>
      </c>
      <c r="AV274" s="52">
        <v>2.0</v>
      </c>
      <c r="AW274" s="52" t="s">
        <v>106</v>
      </c>
      <c r="AX274" s="44">
        <v>0.0</v>
      </c>
      <c r="AY274" s="44" t="s">
        <v>137</v>
      </c>
      <c r="AZ274" s="52">
        <v>6.0</v>
      </c>
      <c r="BA274" s="43" t="s">
        <v>89</v>
      </c>
      <c r="BB274" s="52" t="s">
        <v>2028</v>
      </c>
      <c r="BC274" s="95" t="s">
        <v>2029</v>
      </c>
      <c r="BD274" s="71"/>
      <c r="BE274" s="71"/>
      <c r="BF274" s="72" t="s">
        <v>2030</v>
      </c>
      <c r="BG274" s="73"/>
      <c r="BH274" s="73"/>
      <c r="BI274" s="73"/>
      <c r="BJ274" s="73"/>
      <c r="BK274" s="73"/>
      <c r="BL274" s="73"/>
      <c r="BM274" s="73"/>
      <c r="BN274" s="73"/>
      <c r="BO274" s="73"/>
      <c r="BP274" s="73"/>
      <c r="BQ274" s="73"/>
      <c r="BR274" s="73"/>
      <c r="BS274" s="73"/>
      <c r="BT274" s="73"/>
      <c r="BU274" s="73"/>
      <c r="BV274" s="73"/>
      <c r="BW274" s="74"/>
      <c r="BX274" s="74"/>
      <c r="BY274" s="63"/>
      <c r="BZ274" s="63"/>
    </row>
    <row r="275" ht="15.75" customHeight="1">
      <c r="A275" s="266" t="s">
        <v>2031</v>
      </c>
      <c r="B275" s="50" t="s">
        <v>2032</v>
      </c>
      <c r="C275" s="50" t="s">
        <v>70</v>
      </c>
      <c r="D275" s="50" t="s">
        <v>2033</v>
      </c>
      <c r="E275" s="77" t="s">
        <v>376</v>
      </c>
      <c r="F275" s="78">
        <v>1.8E8</v>
      </c>
      <c r="G275" s="44" t="str">
        <f t="shared" si="8"/>
        <v>$100'000.000 a $200'000.000</v>
      </c>
      <c r="H275" s="44"/>
      <c r="I275" s="44"/>
      <c r="J275" s="50" t="s">
        <v>94</v>
      </c>
      <c r="K275" s="51"/>
      <c r="L275" s="44">
        <v>3.0</v>
      </c>
      <c r="M275" s="44"/>
      <c r="N275" s="44">
        <v>1.0</v>
      </c>
      <c r="O275" s="50">
        <v>3.0</v>
      </c>
      <c r="P275" s="44">
        <v>1.0</v>
      </c>
      <c r="Q275" s="113">
        <v>120.0</v>
      </c>
      <c r="R275" s="79">
        <v>240.0</v>
      </c>
      <c r="S275" s="56" t="str">
        <f t="shared" si="7"/>
        <v> </v>
      </c>
      <c r="T275" s="44" t="s">
        <v>78</v>
      </c>
      <c r="U275" s="206"/>
      <c r="V275" s="50" t="s">
        <v>79</v>
      </c>
      <c r="W275" s="50"/>
      <c r="X275" s="44">
        <v>0.0</v>
      </c>
      <c r="Y275" s="50" t="s">
        <v>80</v>
      </c>
      <c r="Z275" s="58" t="s">
        <v>81</v>
      </c>
      <c r="AA275" s="59" t="str">
        <f>IF(Rentabilidad=0,"No aplica",TEXT(ROUND(Precio/Rentabilidad/12,0),0) &amp; " años")</f>
        <v>No aplica</v>
      </c>
      <c r="AB275" s="276" t="s">
        <v>2034</v>
      </c>
      <c r="AC275" s="131" t="s">
        <v>2035</v>
      </c>
      <c r="AD275" s="218" t="s">
        <v>2036</v>
      </c>
      <c r="AE275" s="63"/>
      <c r="AF275" s="45" t="s">
        <v>84</v>
      </c>
      <c r="AG275" s="65" t="s">
        <v>106</v>
      </c>
      <c r="AH275" s="65"/>
      <c r="AI275" s="65" t="s">
        <v>1843</v>
      </c>
      <c r="AJ275" s="259" t="s">
        <v>1834</v>
      </c>
      <c r="AK275" s="260" t="s">
        <v>1862</v>
      </c>
      <c r="AL275" s="45" t="s">
        <v>109</v>
      </c>
      <c r="AM275" s="65">
        <v>3.118932149E9</v>
      </c>
      <c r="AN275" s="259"/>
      <c r="AO275" s="44" t="s">
        <v>2037</v>
      </c>
      <c r="AP275" s="67" t="s">
        <v>2038</v>
      </c>
      <c r="AQ275" s="143">
        <v>2.9167229</v>
      </c>
      <c r="AR275" s="143">
        <v>-75.274272</v>
      </c>
      <c r="AS275" s="68">
        <v>0.0</v>
      </c>
      <c r="AT275" s="44">
        <v>0.0</v>
      </c>
      <c r="AU275" s="52">
        <v>0.0</v>
      </c>
      <c r="AV275" s="52">
        <v>0.0</v>
      </c>
      <c r="AW275" s="52" t="s">
        <v>88</v>
      </c>
      <c r="AX275" s="52">
        <v>0.0</v>
      </c>
      <c r="AY275" s="52" t="s">
        <v>110</v>
      </c>
      <c r="AZ275" s="44">
        <v>12.0</v>
      </c>
      <c r="BA275" s="43" t="s">
        <v>89</v>
      </c>
      <c r="BB275" s="44">
        <v>20.0</v>
      </c>
      <c r="BC275" s="69" t="s">
        <v>2039</v>
      </c>
      <c r="BD275" s="70"/>
      <c r="BE275" s="71"/>
      <c r="BF275" s="72" t="s">
        <v>2040</v>
      </c>
      <c r="BG275" s="113"/>
      <c r="BH275" s="113"/>
      <c r="BI275" s="113"/>
      <c r="BJ275" s="113"/>
      <c r="BK275" s="113"/>
      <c r="BL275" s="113"/>
      <c r="BM275" s="113"/>
      <c r="BN275" s="113"/>
      <c r="BO275" s="113"/>
      <c r="BP275" s="113"/>
      <c r="BQ275" s="113"/>
      <c r="BR275" s="113"/>
      <c r="BS275" s="113"/>
      <c r="BT275" s="113"/>
      <c r="BU275" s="113"/>
      <c r="BV275" s="113"/>
      <c r="BW275" s="74"/>
      <c r="BX275" s="74"/>
      <c r="BY275" s="63"/>
      <c r="BZ275" s="63"/>
    </row>
    <row r="276" ht="15.75" customHeight="1">
      <c r="A276" s="267" t="s">
        <v>2041</v>
      </c>
      <c r="B276" s="43" t="s">
        <v>2042</v>
      </c>
      <c r="C276" s="43" t="s">
        <v>70</v>
      </c>
      <c r="D276" s="44" t="s">
        <v>2043</v>
      </c>
      <c r="E276" s="77" t="s">
        <v>376</v>
      </c>
      <c r="F276" s="47">
        <v>1.8E8</v>
      </c>
      <c r="G276" s="44" t="str">
        <f t="shared" si="8"/>
        <v>$100'000.000 a $200'000.000</v>
      </c>
      <c r="H276" s="44"/>
      <c r="I276" s="44"/>
      <c r="J276" s="50" t="s">
        <v>183</v>
      </c>
      <c r="K276" s="57"/>
      <c r="L276" s="52">
        <v>3.0</v>
      </c>
      <c r="M276" s="52"/>
      <c r="N276" s="52">
        <v>2.0</v>
      </c>
      <c r="O276" s="43">
        <v>1.0</v>
      </c>
      <c r="P276" s="52">
        <v>1.0</v>
      </c>
      <c r="Q276" s="54">
        <v>72.0</v>
      </c>
      <c r="R276" s="55">
        <v>72.0</v>
      </c>
      <c r="S276" s="56" t="str">
        <f t="shared" si="7"/>
        <v> </v>
      </c>
      <c r="T276" s="52" t="s">
        <v>78</v>
      </c>
      <c r="U276" s="142" t="s">
        <v>184</v>
      </c>
      <c r="V276" s="43" t="s">
        <v>79</v>
      </c>
      <c r="W276" s="43"/>
      <c r="X276" s="52">
        <v>3.0</v>
      </c>
      <c r="Y276" s="43" t="s">
        <v>80</v>
      </c>
      <c r="Z276" s="58" t="s">
        <v>81</v>
      </c>
      <c r="AA276" s="59" t="str">
        <f>IF(Rentabilidad=0,"No aplica",TEXT(ROUND(Precio/Rentabilidad/12,0),0) &amp; " años")</f>
        <v>No aplica</v>
      </c>
      <c r="AB276" s="257" t="s">
        <v>2044</v>
      </c>
      <c r="AC276" s="277" t="s">
        <v>2045</v>
      </c>
      <c r="AD276" s="218" t="s">
        <v>2046</v>
      </c>
      <c r="AE276" s="63"/>
      <c r="AF276" s="45" t="s">
        <v>236</v>
      </c>
      <c r="AG276" s="65"/>
      <c r="AH276" s="65"/>
      <c r="AI276" s="65" t="s">
        <v>1843</v>
      </c>
      <c r="AJ276" s="259" t="s">
        <v>1834</v>
      </c>
      <c r="AK276" s="255" t="s">
        <v>1844</v>
      </c>
      <c r="AL276" s="45" t="s">
        <v>109</v>
      </c>
      <c r="AM276" s="153">
        <v>3.209702392E9</v>
      </c>
      <c r="AN276" s="259"/>
      <c r="AO276" s="52" t="s">
        <v>2047</v>
      </c>
      <c r="AP276" s="67" t="s">
        <v>2048</v>
      </c>
      <c r="AQ276" s="143">
        <v>2.9578662</v>
      </c>
      <c r="AR276" s="143">
        <v>-75.278233</v>
      </c>
      <c r="AS276" s="68">
        <v>0.0</v>
      </c>
      <c r="AT276" s="44">
        <v>0.0</v>
      </c>
      <c r="AU276" s="52">
        <v>0.0</v>
      </c>
      <c r="AV276" s="52">
        <v>0.0</v>
      </c>
      <c r="AW276" s="52" t="s">
        <v>106</v>
      </c>
      <c r="AX276" s="52">
        <v>0.0</v>
      </c>
      <c r="AY276" s="52">
        <v>0.0</v>
      </c>
      <c r="AZ276" s="44">
        <v>6.0</v>
      </c>
      <c r="BA276" s="43" t="s">
        <v>89</v>
      </c>
      <c r="BB276" s="44">
        <v>12.0</v>
      </c>
      <c r="BC276" s="69" t="s">
        <v>455</v>
      </c>
      <c r="BD276" s="70"/>
      <c r="BE276" s="71"/>
      <c r="BF276" s="72" t="s">
        <v>2049</v>
      </c>
      <c r="BG276" s="73"/>
      <c r="BH276" s="73"/>
      <c r="BI276" s="73"/>
      <c r="BJ276" s="73"/>
      <c r="BK276" s="73"/>
      <c r="BL276" s="73"/>
      <c r="BM276" s="73"/>
      <c r="BN276" s="73"/>
      <c r="BO276" s="73"/>
      <c r="BP276" s="73"/>
      <c r="BQ276" s="73"/>
      <c r="BR276" s="73"/>
      <c r="BS276" s="73"/>
      <c r="BT276" s="73"/>
      <c r="BU276" s="73"/>
      <c r="BV276" s="73"/>
      <c r="BW276" s="74"/>
      <c r="BX276" s="74"/>
      <c r="BY276" s="63"/>
      <c r="BZ276" s="63"/>
    </row>
    <row r="277" ht="15.75" customHeight="1">
      <c r="A277" s="75" t="s">
        <v>2050</v>
      </c>
      <c r="B277" s="50" t="s">
        <v>2051</v>
      </c>
      <c r="C277" s="111" t="s">
        <v>323</v>
      </c>
      <c r="D277" s="50" t="s">
        <v>11</v>
      </c>
      <c r="E277" s="64" t="s">
        <v>2052</v>
      </c>
      <c r="F277" s="78">
        <v>1.8E8</v>
      </c>
      <c r="G277" s="44" t="str">
        <f t="shared" si="8"/>
        <v>$100'000.000 a $200'000.000</v>
      </c>
      <c r="H277" s="44"/>
      <c r="I277" s="44"/>
      <c r="J277" s="50" t="s">
        <v>183</v>
      </c>
      <c r="K277" s="51" t="s">
        <v>184</v>
      </c>
      <c r="L277" s="50">
        <v>3.0</v>
      </c>
      <c r="M277" s="50"/>
      <c r="N277" s="50">
        <v>2.0</v>
      </c>
      <c r="O277" s="50">
        <v>1.0</v>
      </c>
      <c r="P277" s="50">
        <v>5.0</v>
      </c>
      <c r="Q277" s="88">
        <v>75.9</v>
      </c>
      <c r="R277" s="88">
        <v>75.9</v>
      </c>
      <c r="S277" s="56" t="str">
        <f t="shared" si="7"/>
        <v> </v>
      </c>
      <c r="T277" s="50" t="s">
        <v>78</v>
      </c>
      <c r="U277" s="51" t="s">
        <v>77</v>
      </c>
      <c r="V277" s="50" t="s">
        <v>333</v>
      </c>
      <c r="W277" s="50"/>
      <c r="X277" s="50">
        <v>3.0</v>
      </c>
      <c r="Y277" s="50" t="s">
        <v>130</v>
      </c>
      <c r="Z277" s="58">
        <v>379000.0</v>
      </c>
      <c r="AA277" s="59" t="str">
        <f>IF(Rentabilidad=0,"No aplica",TEXT(ROUND(Precio/Rentabilidad/12,0),0) &amp; " años")</f>
        <v>No aplica</v>
      </c>
      <c r="AB277" s="82" t="s">
        <v>2053</v>
      </c>
      <c r="AC277" s="83" t="s">
        <v>2054</v>
      </c>
      <c r="AD277" s="83" t="s">
        <v>2055</v>
      </c>
      <c r="AE277" s="63"/>
      <c r="AF277" s="64" t="s">
        <v>105</v>
      </c>
      <c r="AG277" s="65" t="s">
        <v>106</v>
      </c>
      <c r="AH277" s="63"/>
      <c r="AI277" s="65" t="s">
        <v>1843</v>
      </c>
      <c r="AJ277" s="64" t="s">
        <v>1834</v>
      </c>
      <c r="AK277" s="265" t="s">
        <v>1998</v>
      </c>
      <c r="AL277" s="45" t="s">
        <v>109</v>
      </c>
      <c r="AM277" s="50">
        <v>3.153755455E9</v>
      </c>
      <c r="AN277" s="64">
        <v>0.0</v>
      </c>
      <c r="AO277" s="43" t="s">
        <v>2056</v>
      </c>
      <c r="AP277" s="84" t="s">
        <v>2057</v>
      </c>
      <c r="AQ277" s="84">
        <v>2.942379768347</v>
      </c>
      <c r="AR277" s="84">
        <v>-75.2923806542871</v>
      </c>
      <c r="AS277" s="94"/>
      <c r="AT277" s="65" t="s">
        <v>88</v>
      </c>
      <c r="AU277" s="50">
        <v>0.0</v>
      </c>
      <c r="AV277" s="50">
        <v>0.0</v>
      </c>
      <c r="AW277" s="50" t="s">
        <v>88</v>
      </c>
      <c r="AX277" s="50">
        <v>0.0</v>
      </c>
      <c r="AY277" s="50">
        <v>0.0</v>
      </c>
      <c r="AZ277" s="50">
        <v>0.0</v>
      </c>
      <c r="BA277" s="43" t="s">
        <v>89</v>
      </c>
      <c r="BB277" s="50">
        <v>0.0</v>
      </c>
      <c r="BC277" s="95"/>
      <c r="BD277" s="71"/>
      <c r="BE277" s="71"/>
      <c r="BF277" s="72" t="s">
        <v>2058</v>
      </c>
      <c r="BG277" s="73"/>
      <c r="BH277" s="73"/>
      <c r="BI277" s="73"/>
      <c r="BJ277" s="73"/>
      <c r="BK277" s="73"/>
      <c r="BL277" s="73"/>
      <c r="BM277" s="73"/>
      <c r="BN277" s="73"/>
      <c r="BO277" s="73"/>
      <c r="BP277" s="73"/>
      <c r="BQ277" s="73"/>
      <c r="BR277" s="73"/>
      <c r="BS277" s="73"/>
      <c r="BT277" s="73"/>
      <c r="BU277" s="73"/>
      <c r="BV277" s="73"/>
      <c r="BW277" s="74"/>
      <c r="BX277" s="74"/>
      <c r="BY277" s="63"/>
      <c r="BZ277" s="63"/>
    </row>
    <row r="278" ht="15.75" customHeight="1">
      <c r="A278" s="267" t="s">
        <v>2059</v>
      </c>
      <c r="B278" s="50" t="s">
        <v>2060</v>
      </c>
      <c r="C278" s="50" t="s">
        <v>128</v>
      </c>
      <c r="D278" s="193" t="s">
        <v>2061</v>
      </c>
      <c r="E278" s="64" t="s">
        <v>2062</v>
      </c>
      <c r="F278" s="78">
        <v>1.78E8</v>
      </c>
      <c r="G278" s="44" t="str">
        <f t="shared" si="8"/>
        <v>$100'000.000 a $200'000.000</v>
      </c>
      <c r="H278" s="44"/>
      <c r="I278" s="44"/>
      <c r="J278" s="43" t="s">
        <v>116</v>
      </c>
      <c r="K278" s="194"/>
      <c r="L278" s="52">
        <v>2.0</v>
      </c>
      <c r="M278" s="52"/>
      <c r="N278" s="52">
        <v>2.0</v>
      </c>
      <c r="O278" s="43">
        <v>1.0</v>
      </c>
      <c r="P278" s="52">
        <v>2.0</v>
      </c>
      <c r="Q278" s="54">
        <v>100.0</v>
      </c>
      <c r="R278" s="55">
        <v>54.48</v>
      </c>
      <c r="S278" s="56" t="str">
        <f t="shared" si="7"/>
        <v> </v>
      </c>
      <c r="T278" s="116" t="s">
        <v>78</v>
      </c>
      <c r="U278" s="268" t="s">
        <v>184</v>
      </c>
      <c r="V278" s="153" t="s">
        <v>79</v>
      </c>
      <c r="W278" s="153"/>
      <c r="X278" s="116">
        <v>2.0</v>
      </c>
      <c r="Y278" s="153" t="s">
        <v>130</v>
      </c>
      <c r="Z278" s="278">
        <v>281000.0</v>
      </c>
      <c r="AA278" s="59" t="str">
        <f>IF(Rentabilidad=0,"No aplica",TEXT(ROUND(Precio/Rentabilidad/12,0),0) &amp; " años")</f>
        <v>No aplica</v>
      </c>
      <c r="AB278" s="276" t="s">
        <v>2063</v>
      </c>
      <c r="AC278" s="131" t="s">
        <v>2064</v>
      </c>
      <c r="AD278" s="218" t="s">
        <v>2065</v>
      </c>
      <c r="AE278" s="63"/>
      <c r="AF278" s="45" t="s">
        <v>105</v>
      </c>
      <c r="AG278" s="65" t="s">
        <v>106</v>
      </c>
      <c r="AH278" s="65"/>
      <c r="AI278" s="65" t="s">
        <v>1843</v>
      </c>
      <c r="AJ278" s="259" t="s">
        <v>1834</v>
      </c>
      <c r="AK278" s="255" t="s">
        <v>1844</v>
      </c>
      <c r="AL278" s="45" t="s">
        <v>109</v>
      </c>
      <c r="AM278" s="116">
        <v>3.186849655E9</v>
      </c>
      <c r="AN278" s="259"/>
      <c r="AO278" s="52" t="s">
        <v>2066</v>
      </c>
      <c r="AP278" s="67" t="s">
        <v>2067</v>
      </c>
      <c r="AQ278" s="143">
        <v>2.9423826</v>
      </c>
      <c r="AR278" s="143">
        <v>-75.2495733</v>
      </c>
      <c r="AS278" s="135">
        <v>0.0</v>
      </c>
      <c r="AT278" s="44">
        <v>0.0</v>
      </c>
      <c r="AU278" s="52">
        <v>0.0</v>
      </c>
      <c r="AV278" s="52">
        <v>0.0</v>
      </c>
      <c r="AW278" s="43" t="s">
        <v>88</v>
      </c>
      <c r="AX278" s="52">
        <v>0.0</v>
      </c>
      <c r="AY278" s="52" t="s">
        <v>106</v>
      </c>
      <c r="AZ278" s="52">
        <v>0.0</v>
      </c>
      <c r="BA278" s="43" t="s">
        <v>89</v>
      </c>
      <c r="BB278" s="52">
        <v>0.0</v>
      </c>
      <c r="BC278" s="69" t="s">
        <v>439</v>
      </c>
      <c r="BD278" s="71"/>
      <c r="BE278" s="70"/>
      <c r="BF278" s="72" t="s">
        <v>2068</v>
      </c>
      <c r="BG278" s="73"/>
      <c r="BH278" s="73"/>
      <c r="BI278" s="73"/>
      <c r="BJ278" s="73"/>
      <c r="BK278" s="73"/>
      <c r="BL278" s="73"/>
      <c r="BM278" s="73"/>
      <c r="BN278" s="73"/>
      <c r="BO278" s="73"/>
      <c r="BP278" s="73"/>
      <c r="BQ278" s="73"/>
      <c r="BR278" s="73"/>
      <c r="BS278" s="73"/>
      <c r="BT278" s="73"/>
      <c r="BU278" s="73"/>
      <c r="BV278" s="73"/>
      <c r="BW278" s="74"/>
      <c r="BX278" s="74"/>
      <c r="BY278" s="63"/>
      <c r="BZ278" s="63"/>
    </row>
    <row r="279" ht="15.75" customHeight="1">
      <c r="A279" s="267" t="s">
        <v>2069</v>
      </c>
      <c r="B279" s="43" t="s">
        <v>380</v>
      </c>
      <c r="C279" s="43" t="s">
        <v>70</v>
      </c>
      <c r="D279" s="44" t="s">
        <v>381</v>
      </c>
      <c r="E279" s="77" t="s">
        <v>376</v>
      </c>
      <c r="F279" s="78">
        <v>1.7E8</v>
      </c>
      <c r="G279" s="44" t="str">
        <f t="shared" si="8"/>
        <v>$100'000.000 a $200'000.000</v>
      </c>
      <c r="H279" s="44"/>
      <c r="I279" s="44"/>
      <c r="J279" s="50" t="s">
        <v>94</v>
      </c>
      <c r="K279" s="57"/>
      <c r="L279" s="44">
        <v>3.0</v>
      </c>
      <c r="M279" s="44"/>
      <c r="N279" s="44">
        <v>1.0</v>
      </c>
      <c r="O279" s="50">
        <v>1.0</v>
      </c>
      <c r="P279" s="44">
        <v>1.0</v>
      </c>
      <c r="Q279" s="113">
        <v>105.0</v>
      </c>
      <c r="R279" s="79">
        <v>105.0</v>
      </c>
      <c r="S279" s="56" t="str">
        <f t="shared" si="7"/>
        <v> </v>
      </c>
      <c r="T279" s="63" t="s">
        <v>78</v>
      </c>
      <c r="U279" s="114" t="s">
        <v>184</v>
      </c>
      <c r="V279" s="65" t="s">
        <v>79</v>
      </c>
      <c r="W279" s="65"/>
      <c r="X279" s="63">
        <v>3.0</v>
      </c>
      <c r="Y279" s="153" t="s">
        <v>80</v>
      </c>
      <c r="Z279" s="58" t="s">
        <v>81</v>
      </c>
      <c r="AA279" s="59" t="str">
        <f>IF(Rentabilidad=0,"No aplica",TEXT(ROUND(Precio/Rentabilidad/12,0),0) &amp; " años")</f>
        <v>No aplica</v>
      </c>
      <c r="AB279" s="163" t="s">
        <v>2070</v>
      </c>
      <c r="AC279" s="131" t="s">
        <v>2071</v>
      </c>
      <c r="AD279" s="218" t="s">
        <v>2072</v>
      </c>
      <c r="AE279" s="63"/>
      <c r="AF279" s="45" t="s">
        <v>236</v>
      </c>
      <c r="AG279" s="65"/>
      <c r="AH279" s="65"/>
      <c r="AI279" s="65" t="s">
        <v>1843</v>
      </c>
      <c r="AJ279" s="259" t="s">
        <v>1834</v>
      </c>
      <c r="AK279" s="274" t="s">
        <v>1844</v>
      </c>
      <c r="AL279" s="45" t="s">
        <v>109</v>
      </c>
      <c r="AM279" s="116">
        <v>3.237858383E9</v>
      </c>
      <c r="AN279" s="259"/>
      <c r="AO279" s="43" t="s">
        <v>2073</v>
      </c>
      <c r="AP279" s="67" t="s">
        <v>2074</v>
      </c>
      <c r="AQ279" s="67"/>
      <c r="AR279" s="67"/>
      <c r="AS279" s="68">
        <v>0.0</v>
      </c>
      <c r="AT279" s="44" t="s">
        <v>88</v>
      </c>
      <c r="AU279" s="52">
        <v>0.0</v>
      </c>
      <c r="AV279" s="52">
        <v>0.0</v>
      </c>
      <c r="AW279" s="52" t="s">
        <v>106</v>
      </c>
      <c r="AX279" s="52">
        <v>0.0</v>
      </c>
      <c r="AY279" s="52" t="s">
        <v>88</v>
      </c>
      <c r="AZ279" s="44">
        <v>6.0</v>
      </c>
      <c r="BA279" s="43" t="s">
        <v>89</v>
      </c>
      <c r="BB279" s="44">
        <v>14.0</v>
      </c>
      <c r="BC279" s="69" t="s">
        <v>439</v>
      </c>
      <c r="BD279" s="70"/>
      <c r="BE279" s="71"/>
      <c r="BF279" s="72" t="s">
        <v>2075</v>
      </c>
      <c r="BG279" s="73"/>
      <c r="BH279" s="73"/>
      <c r="BI279" s="73"/>
      <c r="BJ279" s="73"/>
      <c r="BK279" s="73"/>
      <c r="BL279" s="73"/>
      <c r="BM279" s="73"/>
      <c r="BN279" s="73"/>
      <c r="BO279" s="73"/>
      <c r="BP279" s="73"/>
      <c r="BQ279" s="73"/>
      <c r="BR279" s="73"/>
      <c r="BS279" s="73"/>
      <c r="BT279" s="73"/>
      <c r="BU279" s="73"/>
      <c r="BV279" s="73"/>
      <c r="BW279" s="74"/>
      <c r="BX279" s="74"/>
      <c r="BY279" s="63"/>
      <c r="BZ279" s="63"/>
    </row>
    <row r="280" ht="15.75" customHeight="1">
      <c r="A280" s="266" t="s">
        <v>2076</v>
      </c>
      <c r="B280" s="50" t="s">
        <v>2077</v>
      </c>
      <c r="C280" s="50" t="s">
        <v>70</v>
      </c>
      <c r="D280" s="43" t="s">
        <v>2078</v>
      </c>
      <c r="E280" s="77" t="s">
        <v>376</v>
      </c>
      <c r="F280" s="78">
        <v>1.5E8</v>
      </c>
      <c r="G280" s="44" t="str">
        <f t="shared" si="8"/>
        <v>$100'000.000 a $200'000.000</v>
      </c>
      <c r="H280" s="44"/>
      <c r="I280" s="44"/>
      <c r="J280" s="50" t="s">
        <v>183</v>
      </c>
      <c r="K280" s="57"/>
      <c r="L280" s="44">
        <v>3.0</v>
      </c>
      <c r="M280" s="44"/>
      <c r="N280" s="44">
        <v>1.0</v>
      </c>
      <c r="O280" s="50">
        <v>0.0</v>
      </c>
      <c r="P280" s="44">
        <v>2.0</v>
      </c>
      <c r="Q280" s="113">
        <v>110.0</v>
      </c>
      <c r="R280" s="79">
        <v>63.0</v>
      </c>
      <c r="S280" s="56" t="str">
        <f t="shared" si="7"/>
        <v>Rentabilidad $500,000</v>
      </c>
      <c r="T280" s="63" t="s">
        <v>78</v>
      </c>
      <c r="U280" s="114" t="s">
        <v>184</v>
      </c>
      <c r="V280" s="65" t="s">
        <v>79</v>
      </c>
      <c r="W280" s="65"/>
      <c r="X280" s="63">
        <v>0.0</v>
      </c>
      <c r="Y280" s="65" t="s">
        <v>80</v>
      </c>
      <c r="Z280" s="58" t="s">
        <v>81</v>
      </c>
      <c r="AA280" s="59" t="str">
        <f>IF(Rentabilidad=0,"No aplica",TEXT(ROUND(Precio/Rentabilidad/12,0),0) &amp; " años")</f>
        <v>25 años</v>
      </c>
      <c r="AB280" s="279" t="s">
        <v>2079</v>
      </c>
      <c r="AC280" s="131" t="s">
        <v>2080</v>
      </c>
      <c r="AD280" s="218" t="s">
        <v>2081</v>
      </c>
      <c r="AE280" s="63"/>
      <c r="AF280" s="45" t="s">
        <v>236</v>
      </c>
      <c r="AG280" s="65" t="s">
        <v>106</v>
      </c>
      <c r="AH280" s="65"/>
      <c r="AI280" s="65" t="s">
        <v>1843</v>
      </c>
      <c r="AJ280" s="259" t="s">
        <v>1834</v>
      </c>
      <c r="AK280" s="255" t="s">
        <v>1844</v>
      </c>
      <c r="AL280" s="45" t="s">
        <v>109</v>
      </c>
      <c r="AM280" s="116">
        <v>3.167799844E9</v>
      </c>
      <c r="AN280" s="259">
        <v>3.188676088E9</v>
      </c>
      <c r="AO280" s="182" t="s">
        <v>2082</v>
      </c>
      <c r="AP280" s="67" t="s">
        <v>2083</v>
      </c>
      <c r="AQ280" s="143">
        <v>2.9655791</v>
      </c>
      <c r="AR280" s="143">
        <v>-75.2983588</v>
      </c>
      <c r="AS280" s="68">
        <v>500000.0</v>
      </c>
      <c r="AT280" s="44">
        <v>0.0</v>
      </c>
      <c r="AU280" s="52">
        <v>0.0</v>
      </c>
      <c r="AV280" s="52">
        <v>0.0</v>
      </c>
      <c r="AW280" s="43" t="s">
        <v>88</v>
      </c>
      <c r="AX280" s="52">
        <v>0.0</v>
      </c>
      <c r="AY280" s="52">
        <v>0.0</v>
      </c>
      <c r="AZ280" s="44">
        <v>0.0</v>
      </c>
      <c r="BA280" s="43" t="s">
        <v>89</v>
      </c>
      <c r="BB280" s="44">
        <v>0.0</v>
      </c>
      <c r="BC280" s="69"/>
      <c r="BD280" s="70"/>
      <c r="BE280" s="70"/>
      <c r="BF280" s="72" t="s">
        <v>2084</v>
      </c>
      <c r="BG280" s="73"/>
      <c r="BH280" s="73"/>
      <c r="BI280" s="73"/>
      <c r="BJ280" s="73"/>
      <c r="BK280" s="73"/>
      <c r="BL280" s="73"/>
      <c r="BM280" s="73"/>
      <c r="BN280" s="73"/>
      <c r="BO280" s="73"/>
      <c r="BP280" s="73"/>
      <c r="BQ280" s="73"/>
      <c r="BR280" s="73"/>
      <c r="BS280" s="73"/>
      <c r="BT280" s="73"/>
      <c r="BU280" s="73"/>
      <c r="BV280" s="73"/>
      <c r="BW280" s="74"/>
      <c r="BX280" s="74"/>
      <c r="BY280" s="63"/>
      <c r="BZ280" s="63"/>
    </row>
    <row r="281" ht="15.75" customHeight="1">
      <c r="A281" s="75" t="s">
        <v>2085</v>
      </c>
      <c r="B281" s="50" t="s">
        <v>2086</v>
      </c>
      <c r="C281" s="111" t="s">
        <v>323</v>
      </c>
      <c r="D281" s="50"/>
      <c r="E281" s="64" t="s">
        <v>2087</v>
      </c>
      <c r="F281" s="78">
        <v>1.5E8</v>
      </c>
      <c r="G281" s="44" t="str">
        <f t="shared" si="8"/>
        <v>$100'000.000 a $200'000.000</v>
      </c>
      <c r="H281" s="44"/>
      <c r="I281" s="44"/>
      <c r="J281" s="50" t="s">
        <v>94</v>
      </c>
      <c r="K281" s="51"/>
      <c r="L281" s="50">
        <v>3.0</v>
      </c>
      <c r="M281" s="50"/>
      <c r="N281" s="50">
        <v>1.0</v>
      </c>
      <c r="O281" s="50">
        <v>1.0</v>
      </c>
      <c r="P281" s="50">
        <v>3.0</v>
      </c>
      <c r="Q281" s="88">
        <v>55.0</v>
      </c>
      <c r="R281" s="88">
        <v>48.0</v>
      </c>
      <c r="S281" s="56" t="str">
        <f t="shared" si="7"/>
        <v> </v>
      </c>
      <c r="T281" s="50" t="s">
        <v>78</v>
      </c>
      <c r="U281" s="51" t="s">
        <v>184</v>
      </c>
      <c r="V281" s="50" t="s">
        <v>642</v>
      </c>
      <c r="W281" s="50"/>
      <c r="X281" s="50">
        <v>0.0</v>
      </c>
      <c r="Y281" s="50" t="s">
        <v>130</v>
      </c>
      <c r="Z281" s="58">
        <v>148000.0</v>
      </c>
      <c r="AA281" s="59" t="str">
        <f>IF(Rentabilidad=0,"No aplica",TEXT(ROUND(Precio/Rentabilidad/12,0),0) &amp; " años")</f>
        <v>No aplica</v>
      </c>
      <c r="AB281" s="82" t="s">
        <v>2088</v>
      </c>
      <c r="AC281" s="97" t="s">
        <v>2089</v>
      </c>
      <c r="AD281" s="83" t="s">
        <v>2090</v>
      </c>
      <c r="AE281" s="63"/>
      <c r="AF281" s="64" t="s">
        <v>2091</v>
      </c>
      <c r="AG281" s="65" t="s">
        <v>106</v>
      </c>
      <c r="AH281" s="63"/>
      <c r="AI281" s="65" t="s">
        <v>1843</v>
      </c>
      <c r="AJ281" s="64" t="s">
        <v>1834</v>
      </c>
      <c r="AK281" s="255" t="s">
        <v>1844</v>
      </c>
      <c r="AL281" s="45" t="s">
        <v>109</v>
      </c>
      <c r="AM281" s="50">
        <v>3.202126211E9</v>
      </c>
      <c r="AN281" s="64">
        <v>0.0</v>
      </c>
      <c r="AO281" s="52"/>
      <c r="AP281" s="67"/>
      <c r="AQ281" s="67"/>
      <c r="AR281" s="67"/>
      <c r="AS281" s="94">
        <v>0.0</v>
      </c>
      <c r="AT281" s="65" t="s">
        <v>88</v>
      </c>
      <c r="AU281" s="50" t="s">
        <v>106</v>
      </c>
      <c r="AV281" s="50" t="s">
        <v>106</v>
      </c>
      <c r="AW281" s="50" t="s">
        <v>88</v>
      </c>
      <c r="AX281" s="50">
        <v>0.0</v>
      </c>
      <c r="AY281" s="50">
        <v>0.0</v>
      </c>
      <c r="AZ281" s="50">
        <v>0.0</v>
      </c>
      <c r="BA281" s="43" t="s">
        <v>89</v>
      </c>
      <c r="BB281" s="50">
        <v>0.0</v>
      </c>
      <c r="BC281" s="95"/>
      <c r="BD281" s="71"/>
      <c r="BE281" s="71"/>
      <c r="BF281" s="271" t="s">
        <v>2092</v>
      </c>
      <c r="BG281" s="73"/>
      <c r="BH281" s="73"/>
      <c r="BI281" s="73"/>
      <c r="BJ281" s="73"/>
      <c r="BK281" s="73"/>
      <c r="BL281" s="73"/>
      <c r="BM281" s="73"/>
      <c r="BN281" s="73"/>
      <c r="BO281" s="73"/>
      <c r="BP281" s="73"/>
      <c r="BQ281" s="73"/>
      <c r="BR281" s="73"/>
      <c r="BS281" s="73"/>
      <c r="BT281" s="73"/>
      <c r="BU281" s="73"/>
      <c r="BV281" s="73"/>
      <c r="BW281" s="74"/>
      <c r="BX281" s="74"/>
      <c r="BY281" s="63"/>
      <c r="BZ281" s="63"/>
    </row>
    <row r="282" ht="15.75" customHeight="1">
      <c r="A282" s="224" t="s">
        <v>2093</v>
      </c>
      <c r="B282" s="50" t="s">
        <v>2094</v>
      </c>
      <c r="C282" s="50" t="s">
        <v>271</v>
      </c>
      <c r="D282" s="44" t="s">
        <v>71</v>
      </c>
      <c r="E282" s="45"/>
      <c r="F282" s="47">
        <v>1.4E8</v>
      </c>
      <c r="G282" s="44" t="str">
        <f t="shared" si="8"/>
        <v>$100'000.000 a $200'000.000</v>
      </c>
      <c r="H282" s="44"/>
      <c r="I282" s="44"/>
      <c r="J282" s="43" t="s">
        <v>76</v>
      </c>
      <c r="K282" s="51" t="s">
        <v>77</v>
      </c>
      <c r="L282" s="52">
        <v>2.0</v>
      </c>
      <c r="M282" s="52"/>
      <c r="N282" s="52">
        <v>2.0</v>
      </c>
      <c r="O282" s="43">
        <v>0.0</v>
      </c>
      <c r="P282" s="44">
        <v>2.0</v>
      </c>
      <c r="Q282" s="79">
        <v>98.0</v>
      </c>
      <c r="R282" s="55">
        <v>39.0</v>
      </c>
      <c r="S282" s="56" t="str">
        <f t="shared" si="7"/>
        <v>Rentabilidad $1,400,000</v>
      </c>
      <c r="T282" s="63" t="s">
        <v>78</v>
      </c>
      <c r="U282" s="114" t="s">
        <v>77</v>
      </c>
      <c r="V282" s="153" t="s">
        <v>79</v>
      </c>
      <c r="W282" s="153"/>
      <c r="X282" s="116">
        <v>1.0</v>
      </c>
      <c r="Y282" s="153" t="s">
        <v>80</v>
      </c>
      <c r="Z282" s="80" t="s">
        <v>81</v>
      </c>
      <c r="AA282" s="59" t="str">
        <f>IF(Rentabilidad=0,"No aplica",TEXT(ROUND(Precio/Rentabilidad/12,0),0) &amp; " años")</f>
        <v>8 años</v>
      </c>
      <c r="AB282" s="257" t="s">
        <v>2095</v>
      </c>
      <c r="AC282" s="131" t="s">
        <v>2096</v>
      </c>
      <c r="AD282" s="218" t="s">
        <v>2097</v>
      </c>
      <c r="AE282" s="63"/>
      <c r="AF282" s="64" t="s">
        <v>84</v>
      </c>
      <c r="AG282" s="65"/>
      <c r="AH282" s="65" t="s">
        <v>45</v>
      </c>
      <c r="AI282" s="65" t="s">
        <v>1843</v>
      </c>
      <c r="AJ282" s="259" t="s">
        <v>1834</v>
      </c>
      <c r="AK282" s="255" t="s">
        <v>1844</v>
      </c>
      <c r="AL282" s="45" t="s">
        <v>2098</v>
      </c>
      <c r="AM282" s="116">
        <v>3.156840789E9</v>
      </c>
      <c r="AN282" s="259"/>
      <c r="AO282" s="52" t="s">
        <v>2099</v>
      </c>
      <c r="AP282" s="67" t="s">
        <v>2100</v>
      </c>
      <c r="AQ282" s="67"/>
      <c r="AR282" s="67"/>
      <c r="AS282" s="85">
        <v>1400000.0</v>
      </c>
      <c r="AT282" s="44">
        <v>0.0</v>
      </c>
      <c r="AU282" s="52">
        <v>0.0</v>
      </c>
      <c r="AV282" s="52">
        <v>0.0</v>
      </c>
      <c r="AW282" s="43" t="s">
        <v>88</v>
      </c>
      <c r="AX282" s="52">
        <v>0.0</v>
      </c>
      <c r="AY282" s="52">
        <v>0.0</v>
      </c>
      <c r="AZ282" s="44">
        <v>4.0</v>
      </c>
      <c r="BA282" s="43" t="s">
        <v>89</v>
      </c>
      <c r="BB282" s="44">
        <v>9.0</v>
      </c>
      <c r="BC282" s="109"/>
      <c r="BD282" s="70"/>
      <c r="BE282" s="70"/>
      <c r="BF282" s="72" t="s">
        <v>2101</v>
      </c>
      <c r="BG282" s="73"/>
      <c r="BH282" s="73"/>
      <c r="BI282" s="73"/>
      <c r="BJ282" s="73"/>
      <c r="BK282" s="73"/>
      <c r="BL282" s="73"/>
      <c r="BM282" s="73"/>
      <c r="BN282" s="73"/>
      <c r="BO282" s="73"/>
      <c r="BP282" s="73"/>
      <c r="BQ282" s="73"/>
      <c r="BR282" s="73"/>
      <c r="BS282" s="73"/>
      <c r="BT282" s="73"/>
      <c r="BU282" s="73"/>
      <c r="BV282" s="73"/>
      <c r="BW282" s="74"/>
      <c r="BX282" s="74"/>
      <c r="BY282" s="63"/>
      <c r="BZ282" s="63"/>
    </row>
    <row r="283" ht="15.75" customHeight="1">
      <c r="A283" s="75" t="s">
        <v>2102</v>
      </c>
      <c r="B283" s="50" t="s">
        <v>2103</v>
      </c>
      <c r="C283" s="50" t="s">
        <v>70</v>
      </c>
      <c r="D283" s="50" t="s">
        <v>2104</v>
      </c>
      <c r="E283" s="64"/>
      <c r="F283" s="78">
        <v>1.1E8</v>
      </c>
      <c r="G283" s="44" t="str">
        <f t="shared" si="8"/>
        <v>$100'000.000 a $200'000.000</v>
      </c>
      <c r="H283" s="44"/>
      <c r="I283" s="44"/>
      <c r="J283" s="50" t="s">
        <v>94</v>
      </c>
      <c r="K283" s="51"/>
      <c r="L283" s="50">
        <v>3.0</v>
      </c>
      <c r="M283" s="50"/>
      <c r="N283" s="50">
        <v>2.0</v>
      </c>
      <c r="O283" s="50">
        <v>1.0</v>
      </c>
      <c r="P283" s="50">
        <v>1.0</v>
      </c>
      <c r="Q283" s="88">
        <v>84.0</v>
      </c>
      <c r="R283" s="88">
        <v>84.0</v>
      </c>
      <c r="S283" s="56" t="str">
        <f t="shared" si="7"/>
        <v> </v>
      </c>
      <c r="T283" s="50" t="s">
        <v>2105</v>
      </c>
      <c r="U283" s="51" t="s">
        <v>241</v>
      </c>
      <c r="V283" s="50" t="s">
        <v>79</v>
      </c>
      <c r="W283" s="50"/>
      <c r="X283" s="50">
        <v>0.0</v>
      </c>
      <c r="Y283" s="50" t="s">
        <v>80</v>
      </c>
      <c r="Z283" s="91"/>
      <c r="AA283" s="59" t="str">
        <f>IF(Rentabilidad=0,"No aplica",TEXT(ROUND(Precio/Rentabilidad/12,0),0) &amp; " años")</f>
        <v>No aplica</v>
      </c>
      <c r="AB283" s="82" t="s">
        <v>2106</v>
      </c>
      <c r="AC283" s="83" t="s">
        <v>2107</v>
      </c>
      <c r="AD283" s="83" t="s">
        <v>2108</v>
      </c>
      <c r="AE283" s="63"/>
      <c r="AF283" s="64" t="s">
        <v>84</v>
      </c>
      <c r="AG283" s="65" t="s">
        <v>106</v>
      </c>
      <c r="AH283" s="63"/>
      <c r="AI283" s="65" t="s">
        <v>1843</v>
      </c>
      <c r="AJ283" s="64" t="s">
        <v>1834</v>
      </c>
      <c r="AK283" s="255" t="s">
        <v>1844</v>
      </c>
      <c r="AL283" s="45" t="s">
        <v>109</v>
      </c>
      <c r="AM283" s="50">
        <v>3.148355011E9</v>
      </c>
      <c r="AN283" s="64">
        <v>0.0</v>
      </c>
      <c r="AO283" s="52"/>
      <c r="AP283" s="84" t="s">
        <v>2109</v>
      </c>
      <c r="AQ283" s="84"/>
      <c r="AR283" s="84"/>
      <c r="AS283" s="94">
        <v>0.0</v>
      </c>
      <c r="AT283" s="65">
        <v>0.0</v>
      </c>
      <c r="AU283" s="50">
        <v>0.0</v>
      </c>
      <c r="AV283" s="50">
        <v>0.0</v>
      </c>
      <c r="AW283" s="50" t="s">
        <v>88</v>
      </c>
      <c r="AX283" s="50">
        <v>3.0</v>
      </c>
      <c r="AY283" s="50" t="s">
        <v>137</v>
      </c>
      <c r="AZ283" s="50">
        <v>7.0</v>
      </c>
      <c r="BA283" s="43" t="s">
        <v>89</v>
      </c>
      <c r="BB283" s="50">
        <v>12.0</v>
      </c>
      <c r="BC283" s="95"/>
      <c r="BD283" s="71"/>
      <c r="BE283" s="71"/>
      <c r="BF283" s="72" t="s">
        <v>2110</v>
      </c>
      <c r="BG283" s="73"/>
      <c r="BH283" s="73"/>
      <c r="BI283" s="73"/>
      <c r="BJ283" s="73"/>
      <c r="BK283" s="73"/>
      <c r="BL283" s="73"/>
      <c r="BM283" s="73"/>
      <c r="BN283" s="73"/>
      <c r="BO283" s="73"/>
      <c r="BP283" s="73"/>
      <c r="BQ283" s="73"/>
      <c r="BR283" s="73"/>
      <c r="BS283" s="73"/>
      <c r="BT283" s="73"/>
      <c r="BU283" s="73"/>
      <c r="BV283" s="73"/>
      <c r="BW283" s="74"/>
      <c r="BX283" s="74"/>
      <c r="BY283" s="63"/>
      <c r="BZ283" s="63"/>
    </row>
    <row r="284" ht="15.75" customHeight="1">
      <c r="A284" s="75" t="s">
        <v>2111</v>
      </c>
      <c r="B284" s="50" t="s">
        <v>2112</v>
      </c>
      <c r="C284" s="50" t="s">
        <v>664</v>
      </c>
      <c r="D284" s="50"/>
      <c r="E284" s="64" t="s">
        <v>2113</v>
      </c>
      <c r="F284" s="78">
        <v>1.0E8</v>
      </c>
      <c r="G284" s="44" t="str">
        <f t="shared" si="8"/>
        <v>$100'000.000 a $200'000.000</v>
      </c>
      <c r="H284" s="44"/>
      <c r="I284" s="44"/>
      <c r="J284" s="50" t="s">
        <v>94</v>
      </c>
      <c r="K284" s="51"/>
      <c r="L284" s="50">
        <v>0.0</v>
      </c>
      <c r="M284" s="50"/>
      <c r="N284" s="50">
        <v>0.0</v>
      </c>
      <c r="O284" s="50">
        <v>0.0</v>
      </c>
      <c r="P284" s="50">
        <v>0.0</v>
      </c>
      <c r="Q284" s="88">
        <v>0.0</v>
      </c>
      <c r="R284" s="88">
        <v>751.27</v>
      </c>
      <c r="S284" s="56"/>
      <c r="T284" s="50" t="s">
        <v>1985</v>
      </c>
      <c r="U284" s="51" t="s">
        <v>142</v>
      </c>
      <c r="V284" s="50" t="s">
        <v>79</v>
      </c>
      <c r="W284" s="50"/>
      <c r="X284" s="50">
        <v>0.0</v>
      </c>
      <c r="Y284" s="50" t="s">
        <v>130</v>
      </c>
      <c r="Z284" s="58">
        <v>100000.0</v>
      </c>
      <c r="AA284" s="59" t="str">
        <f>IF(Rentabilidad=0,"No aplica",TEXT(ROUND(Precio/Rentabilidad/12,0),0) &amp; " años")</f>
        <v>No aplica</v>
      </c>
      <c r="AB284" s="82" t="s">
        <v>2114</v>
      </c>
      <c r="AC284" s="131" t="s">
        <v>2115</v>
      </c>
      <c r="AD284" s="107" t="s">
        <v>2116</v>
      </c>
      <c r="AE284" s="63"/>
      <c r="AF284" s="64">
        <v>0.0</v>
      </c>
      <c r="AG284" s="65" t="s">
        <v>106</v>
      </c>
      <c r="AH284" s="63"/>
      <c r="AI284" s="65" t="s">
        <v>1843</v>
      </c>
      <c r="AJ284" s="64" t="s">
        <v>1834</v>
      </c>
      <c r="AK284" s="255" t="s">
        <v>1844</v>
      </c>
      <c r="AL284" s="45" t="s">
        <v>109</v>
      </c>
      <c r="AM284" s="50">
        <v>3.142324047E9</v>
      </c>
      <c r="AN284" s="64">
        <v>0.0</v>
      </c>
      <c r="AO284" s="43" t="s">
        <v>2117</v>
      </c>
      <c r="AP284" s="219" t="s">
        <v>2118</v>
      </c>
      <c r="AQ284" s="219"/>
      <c r="AR284" s="219"/>
      <c r="AS284" s="94">
        <v>0.0</v>
      </c>
      <c r="AT284" s="65">
        <v>0.0</v>
      </c>
      <c r="AU284" s="50">
        <v>0.0</v>
      </c>
      <c r="AV284" s="50">
        <v>0.0</v>
      </c>
      <c r="AW284" s="50" t="s">
        <v>88</v>
      </c>
      <c r="AX284" s="50">
        <v>0.0</v>
      </c>
      <c r="AY284" s="50">
        <v>0.0</v>
      </c>
      <c r="AZ284" s="50">
        <v>0.0</v>
      </c>
      <c r="BA284" s="43" t="s">
        <v>89</v>
      </c>
      <c r="BB284" s="50">
        <v>0.0</v>
      </c>
      <c r="BC284" s="69" t="s">
        <v>2119</v>
      </c>
      <c r="BD284" s="70"/>
      <c r="BE284" s="71"/>
      <c r="BF284" s="72" t="s">
        <v>2120</v>
      </c>
      <c r="BG284" s="73"/>
      <c r="BH284" s="73"/>
      <c r="BI284" s="73"/>
      <c r="BJ284" s="73"/>
      <c r="BK284" s="73"/>
      <c r="BL284" s="73"/>
      <c r="BM284" s="73"/>
      <c r="BN284" s="73"/>
      <c r="BO284" s="73"/>
      <c r="BP284" s="73"/>
      <c r="BQ284" s="73"/>
      <c r="BR284" s="73"/>
      <c r="BS284" s="73"/>
      <c r="BT284" s="73"/>
      <c r="BU284" s="73"/>
      <c r="BV284" s="73"/>
      <c r="BW284" s="74"/>
      <c r="BX284" s="74"/>
      <c r="BY284" s="63"/>
      <c r="BZ284" s="63"/>
    </row>
    <row r="285" ht="15.75" customHeight="1">
      <c r="A285" s="75" t="s">
        <v>2121</v>
      </c>
      <c r="B285" s="50" t="s">
        <v>2122</v>
      </c>
      <c r="C285" s="50" t="s">
        <v>70</v>
      </c>
      <c r="D285" s="50" t="s">
        <v>2123</v>
      </c>
      <c r="E285" s="64"/>
      <c r="F285" s="78">
        <v>1.5E8</v>
      </c>
      <c r="G285" s="44" t="str">
        <f t="shared" si="8"/>
        <v>$100'000.000 a $200'000.000</v>
      </c>
      <c r="H285" s="44"/>
      <c r="I285" s="44"/>
      <c r="J285" s="50" t="s">
        <v>94</v>
      </c>
      <c r="K285" s="51" t="s">
        <v>461</v>
      </c>
      <c r="L285" s="50">
        <v>5.0</v>
      </c>
      <c r="M285" s="50">
        <v>2.0</v>
      </c>
      <c r="N285" s="50">
        <v>2.0</v>
      </c>
      <c r="O285" s="50">
        <v>1.0</v>
      </c>
      <c r="P285" s="50">
        <v>2.0</v>
      </c>
      <c r="Q285" s="88">
        <v>110.0</v>
      </c>
      <c r="R285" s="88">
        <v>72.0</v>
      </c>
      <c r="S285" s="56" t="str">
        <f t="shared" ref="S285:S286" si="9">IF(AS285=0," ","Rentabilidad $" &amp; TEXT(AS285,"#,##0"))</f>
        <v> </v>
      </c>
      <c r="T285" s="50" t="s">
        <v>78</v>
      </c>
      <c r="U285" s="51" t="s">
        <v>241</v>
      </c>
      <c r="V285" s="50" t="s">
        <v>79</v>
      </c>
      <c r="W285" s="50" t="s">
        <v>2124</v>
      </c>
      <c r="X285" s="50">
        <v>0.0</v>
      </c>
      <c r="Y285" s="50" t="s">
        <v>80</v>
      </c>
      <c r="Z285" s="58" t="s">
        <v>81</v>
      </c>
      <c r="AA285" s="59" t="str">
        <f>IF(Rentabilidad=0,"No aplica",TEXT(ROUND(Precio/Rentabilidad/12,0),0) &amp; " años")</f>
        <v>No aplica</v>
      </c>
      <c r="AB285" s="82" t="s">
        <v>2125</v>
      </c>
      <c r="AC285" s="103" t="s">
        <v>2126</v>
      </c>
      <c r="AD285" s="103" t="s">
        <v>2127</v>
      </c>
      <c r="AE285" s="63"/>
      <c r="AF285" s="64" t="s">
        <v>84</v>
      </c>
      <c r="AG285" s="65" t="s">
        <v>106</v>
      </c>
      <c r="AH285" s="63"/>
      <c r="AI285" s="65" t="s">
        <v>1843</v>
      </c>
      <c r="AJ285" s="64" t="s">
        <v>1834</v>
      </c>
      <c r="AK285" s="255" t="s">
        <v>1844</v>
      </c>
      <c r="AL285" s="45" t="s">
        <v>86</v>
      </c>
      <c r="AM285" s="50">
        <v>3.153266152E9</v>
      </c>
      <c r="AN285" s="64">
        <v>0.0</v>
      </c>
      <c r="AO285" s="43" t="s">
        <v>2128</v>
      </c>
      <c r="AP285" s="84" t="s">
        <v>2129</v>
      </c>
      <c r="AQ285" s="67"/>
      <c r="AR285" s="67"/>
      <c r="AS285" s="94">
        <v>0.0</v>
      </c>
      <c r="AT285" s="65" t="s">
        <v>88</v>
      </c>
      <c r="AU285" s="50">
        <v>0.0</v>
      </c>
      <c r="AV285" s="50">
        <v>0.0</v>
      </c>
      <c r="AW285" s="50" t="s">
        <v>106</v>
      </c>
      <c r="AX285" s="50">
        <v>0.0</v>
      </c>
      <c r="AY285" s="50">
        <v>0.0</v>
      </c>
      <c r="AZ285" s="50">
        <v>6.0</v>
      </c>
      <c r="BA285" s="43" t="s">
        <v>89</v>
      </c>
      <c r="BB285" s="50">
        <v>12.0</v>
      </c>
      <c r="BC285" s="95"/>
      <c r="BD285" s="71"/>
      <c r="BE285" s="71"/>
      <c r="BF285" s="72" t="s">
        <v>2130</v>
      </c>
      <c r="BG285" s="73"/>
      <c r="BH285" s="73"/>
      <c r="BI285" s="73"/>
      <c r="BJ285" s="73"/>
      <c r="BK285" s="73"/>
      <c r="BL285" s="73"/>
      <c r="BM285" s="73"/>
      <c r="BN285" s="73"/>
      <c r="BO285" s="73"/>
      <c r="BP285" s="73"/>
      <c r="BQ285" s="73"/>
      <c r="BR285" s="73"/>
      <c r="BS285" s="73"/>
      <c r="BT285" s="73"/>
      <c r="BU285" s="73"/>
      <c r="BV285" s="73"/>
      <c r="BW285" s="74"/>
      <c r="BX285" s="74"/>
      <c r="BY285" s="63"/>
      <c r="BZ285" s="63"/>
    </row>
    <row r="286" ht="15.75" customHeight="1">
      <c r="A286" s="272" t="s">
        <v>2131</v>
      </c>
      <c r="B286" s="50" t="s">
        <v>2132</v>
      </c>
      <c r="C286" s="50" t="s">
        <v>490</v>
      </c>
      <c r="D286" s="58" t="s">
        <v>11</v>
      </c>
      <c r="E286" s="45"/>
      <c r="F286" s="78">
        <v>6.8E9</v>
      </c>
      <c r="G286" s="44" t="str">
        <f t="shared" si="8"/>
        <v>Más de $1.000'000.000</v>
      </c>
      <c r="H286" s="44"/>
      <c r="I286" s="44"/>
      <c r="J286" s="43" t="s">
        <v>183</v>
      </c>
      <c r="K286" s="51" t="s">
        <v>184</v>
      </c>
      <c r="L286" s="43">
        <v>31.0</v>
      </c>
      <c r="M286" s="43"/>
      <c r="N286" s="43">
        <v>35.0</v>
      </c>
      <c r="O286" s="43">
        <v>0.0</v>
      </c>
      <c r="P286" s="43">
        <v>5.0</v>
      </c>
      <c r="Q286" s="55">
        <v>1800.0</v>
      </c>
      <c r="R286" s="55">
        <v>360.0</v>
      </c>
      <c r="S286" s="56" t="str">
        <f t="shared" si="9"/>
        <v> </v>
      </c>
      <c r="T286" s="43" t="s">
        <v>78</v>
      </c>
      <c r="U286" s="56" t="s">
        <v>77</v>
      </c>
      <c r="V286" s="43" t="s">
        <v>79</v>
      </c>
      <c r="W286" s="43"/>
      <c r="X286" s="43">
        <v>31.0</v>
      </c>
      <c r="Y286" s="43" t="s">
        <v>80</v>
      </c>
      <c r="Z286" s="280" t="s">
        <v>81</v>
      </c>
      <c r="AA286" s="81" t="s">
        <v>81</v>
      </c>
      <c r="AB286" s="134" t="s">
        <v>2133</v>
      </c>
      <c r="AC286" s="131" t="s">
        <v>2134</v>
      </c>
      <c r="AD286" s="107" t="s">
        <v>2135</v>
      </c>
      <c r="AE286" s="63"/>
      <c r="AF286" s="64" t="s">
        <v>105</v>
      </c>
      <c r="AG286" s="65" t="s">
        <v>106</v>
      </c>
      <c r="AH286" s="65" t="s">
        <v>45</v>
      </c>
      <c r="AI286" s="65" t="s">
        <v>1747</v>
      </c>
      <c r="AJ286" s="64" t="s">
        <v>1834</v>
      </c>
      <c r="AK286" s="225" t="s">
        <v>1749</v>
      </c>
      <c r="AL286" s="45" t="s">
        <v>109</v>
      </c>
      <c r="AM286" s="43">
        <v>3.102933265E9</v>
      </c>
      <c r="AN286" s="64">
        <v>0.0</v>
      </c>
      <c r="AO286" s="43" t="s">
        <v>2136</v>
      </c>
      <c r="AP286" s="84" t="s">
        <v>2137</v>
      </c>
      <c r="AQ286" s="84">
        <v>2.94460655051564</v>
      </c>
      <c r="AR286" s="84">
        <v>-75.2918380760286</v>
      </c>
      <c r="AS286" s="94">
        <v>0.0</v>
      </c>
      <c r="AT286" s="50" t="s">
        <v>106</v>
      </c>
      <c r="AU286" s="43">
        <v>0.0</v>
      </c>
      <c r="AV286" s="43">
        <v>0.0</v>
      </c>
      <c r="AW286" s="43" t="s">
        <v>88</v>
      </c>
      <c r="AX286" s="43">
        <v>0.0</v>
      </c>
      <c r="AY286" s="43">
        <v>0.0</v>
      </c>
      <c r="AZ286" s="43">
        <v>18.0</v>
      </c>
      <c r="BA286" s="43" t="s">
        <v>89</v>
      </c>
      <c r="BB286" s="43">
        <v>20.0</v>
      </c>
      <c r="BC286" s="95"/>
      <c r="BD286" s="71"/>
      <c r="BE286" s="71"/>
      <c r="BF286" s="188" t="s">
        <v>2138</v>
      </c>
      <c r="BG286" s="73"/>
      <c r="BH286" s="73"/>
      <c r="BI286" s="73"/>
      <c r="BJ286" s="73"/>
      <c r="BK286" s="73"/>
      <c r="BL286" s="73"/>
      <c r="BM286" s="73"/>
      <c r="BN286" s="73"/>
      <c r="BO286" s="73"/>
      <c r="BP286" s="73"/>
      <c r="BQ286" s="73"/>
      <c r="BR286" s="73"/>
      <c r="BS286" s="73"/>
      <c r="BT286" s="73"/>
      <c r="BU286" s="73"/>
      <c r="BV286" s="73"/>
      <c r="BW286" s="74"/>
      <c r="BX286" s="74"/>
      <c r="BY286" s="63"/>
      <c r="BZ286" s="63"/>
    </row>
    <row r="287" ht="15.75" customHeight="1">
      <c r="A287" s="75" t="s">
        <v>2139</v>
      </c>
      <c r="B287" s="50" t="s">
        <v>2140</v>
      </c>
      <c r="C287" s="50" t="s">
        <v>497</v>
      </c>
      <c r="D287" s="50"/>
      <c r="E287" s="64"/>
      <c r="F287" s="78">
        <v>5.117E9</v>
      </c>
      <c r="G287" s="44" t="str">
        <f t="shared" si="8"/>
        <v>Más de $1.000'000.000</v>
      </c>
      <c r="H287" s="44"/>
      <c r="I287" s="44"/>
      <c r="J287" s="50" t="s">
        <v>498</v>
      </c>
      <c r="K287" s="51"/>
      <c r="L287" s="50">
        <v>7.0</v>
      </c>
      <c r="M287" s="50"/>
      <c r="N287" s="50">
        <v>3.0</v>
      </c>
      <c r="O287" s="50">
        <v>2.0</v>
      </c>
      <c r="P287" s="50">
        <v>1.0</v>
      </c>
      <c r="Q287" s="88">
        <v>350.0</v>
      </c>
      <c r="R287" s="88" t="s">
        <v>2141</v>
      </c>
      <c r="S287" s="56"/>
      <c r="T287" s="50" t="s">
        <v>2142</v>
      </c>
      <c r="U287" s="57"/>
      <c r="V287" s="44"/>
      <c r="W287" s="44"/>
      <c r="X287" s="50">
        <v>5.0</v>
      </c>
      <c r="Y287" s="50" t="s">
        <v>80</v>
      </c>
      <c r="Z287" s="58" t="s">
        <v>81</v>
      </c>
      <c r="AA287" s="59" t="str">
        <f>IF(Rentabilidad=0,"No aplica",TEXT(ROUND(Precio/Rentabilidad/12,0),0) &amp; " años")</f>
        <v>No aplica</v>
      </c>
      <c r="AB287" s="82" t="s">
        <v>2143</v>
      </c>
      <c r="AC287" s="131" t="s">
        <v>2144</v>
      </c>
      <c r="AD287" s="107" t="s">
        <v>2145</v>
      </c>
      <c r="AE287" s="63"/>
      <c r="AF287" s="64" t="s">
        <v>236</v>
      </c>
      <c r="AG287" s="65" t="s">
        <v>106</v>
      </c>
      <c r="AH287" s="63"/>
      <c r="AI287" s="65" t="s">
        <v>1747</v>
      </c>
      <c r="AJ287" s="64" t="s">
        <v>1834</v>
      </c>
      <c r="AK287" s="50" t="s">
        <v>81</v>
      </c>
      <c r="AL287" s="64" t="s">
        <v>109</v>
      </c>
      <c r="AM287" s="50">
        <v>3.115100611E9</v>
      </c>
      <c r="AN287" s="64">
        <v>0.0</v>
      </c>
      <c r="AO287" s="43" t="s">
        <v>2146</v>
      </c>
      <c r="AP287" s="67"/>
      <c r="AQ287" s="67"/>
      <c r="AR287" s="67"/>
      <c r="AS287" s="94">
        <v>0.0</v>
      </c>
      <c r="AT287" s="65">
        <v>0.0</v>
      </c>
      <c r="AU287" s="50">
        <v>0.0</v>
      </c>
      <c r="AV287" s="50">
        <v>0.0</v>
      </c>
      <c r="AW287" s="50" t="s">
        <v>88</v>
      </c>
      <c r="AX287" s="50">
        <v>0.0</v>
      </c>
      <c r="AY287" s="50" t="s">
        <v>106</v>
      </c>
      <c r="AZ287" s="50">
        <v>0.0</v>
      </c>
      <c r="BA287" s="43" t="s">
        <v>89</v>
      </c>
      <c r="BB287" s="50">
        <v>0.0</v>
      </c>
      <c r="BC287" s="69" t="s">
        <v>732</v>
      </c>
      <c r="BD287" s="70"/>
      <c r="BE287" s="71"/>
      <c r="BF287" s="72" t="s">
        <v>2147</v>
      </c>
      <c r="BG287" s="73"/>
      <c r="BH287" s="73"/>
      <c r="BI287" s="73"/>
      <c r="BJ287" s="73"/>
      <c r="BK287" s="73"/>
      <c r="BL287" s="73"/>
      <c r="BM287" s="73"/>
      <c r="BN287" s="73"/>
      <c r="BO287" s="73"/>
      <c r="BP287" s="73"/>
      <c r="BQ287" s="73"/>
      <c r="BR287" s="73"/>
      <c r="BS287" s="73"/>
      <c r="BT287" s="73"/>
      <c r="BU287" s="73"/>
      <c r="BV287" s="73"/>
      <c r="BW287" s="74"/>
      <c r="BX287" s="74"/>
      <c r="BY287" s="63"/>
      <c r="BZ287" s="63"/>
    </row>
    <row r="288" ht="15.75" customHeight="1">
      <c r="A288" s="75" t="s">
        <v>2148</v>
      </c>
      <c r="B288" s="50" t="s">
        <v>2149</v>
      </c>
      <c r="C288" s="50" t="s">
        <v>315</v>
      </c>
      <c r="D288" s="50"/>
      <c r="E288" s="64"/>
      <c r="F288" s="78">
        <v>3.5E9</v>
      </c>
      <c r="G288" s="44" t="str">
        <f t="shared" si="8"/>
        <v>Más de $1.000'000.000</v>
      </c>
      <c r="H288" s="44"/>
      <c r="I288" s="44"/>
      <c r="J288" s="50" t="s">
        <v>183</v>
      </c>
      <c r="K288" s="51"/>
      <c r="L288" s="50">
        <v>0.0</v>
      </c>
      <c r="M288" s="50"/>
      <c r="N288" s="50">
        <v>0.0</v>
      </c>
      <c r="O288" s="50">
        <v>0.0</v>
      </c>
      <c r="P288" s="50">
        <v>0.0</v>
      </c>
      <c r="Q288" s="88">
        <v>0.0</v>
      </c>
      <c r="R288" s="88">
        <v>5572.13</v>
      </c>
      <c r="S288" s="56" t="str">
        <f t="shared" ref="S288:S292" si="10">IF(AS288=0," ","Rentabilidad $" &amp; TEXT(AS288,"#,##0"))</f>
        <v> </v>
      </c>
      <c r="T288" s="50" t="s">
        <v>78</v>
      </c>
      <c r="U288" s="57"/>
      <c r="V288" s="50" t="s">
        <v>2150</v>
      </c>
      <c r="W288" s="50"/>
      <c r="X288" s="50">
        <v>0.0</v>
      </c>
      <c r="Y288" s="50" t="s">
        <v>80</v>
      </c>
      <c r="Z288" s="58" t="s">
        <v>81</v>
      </c>
      <c r="AA288" s="59" t="str">
        <f>IF(Rentabilidad=0,"No aplica",TEXT(ROUND(Precio/Rentabilidad/12,0),0) &amp; " años")</f>
        <v>No aplica</v>
      </c>
      <c r="AB288" s="82" t="s">
        <v>2151</v>
      </c>
      <c r="AC288" s="83" t="s">
        <v>2152</v>
      </c>
      <c r="AD288" s="83" t="s">
        <v>2153</v>
      </c>
      <c r="AE288" s="63"/>
      <c r="AF288" s="64">
        <v>0.0</v>
      </c>
      <c r="AG288" s="65" t="s">
        <v>106</v>
      </c>
      <c r="AH288" s="63"/>
      <c r="AI288" s="65" t="s">
        <v>1747</v>
      </c>
      <c r="AJ288" s="64" t="s">
        <v>1834</v>
      </c>
      <c r="AK288" s="225" t="s">
        <v>1749</v>
      </c>
      <c r="AL288" s="45" t="s">
        <v>86</v>
      </c>
      <c r="AM288" s="50">
        <v>3.146782249E9</v>
      </c>
      <c r="AN288" s="64">
        <v>0.0</v>
      </c>
      <c r="AO288" s="43" t="s">
        <v>2154</v>
      </c>
      <c r="AP288" s="84">
        <v>0.0</v>
      </c>
      <c r="AQ288" s="84">
        <v>2.956803773524</v>
      </c>
      <c r="AR288" s="84">
        <v>-75.2788091452149</v>
      </c>
      <c r="AS288" s="94">
        <v>0.0</v>
      </c>
      <c r="AT288" s="65">
        <v>0.0</v>
      </c>
      <c r="AU288" s="50">
        <v>0.0</v>
      </c>
      <c r="AV288" s="50">
        <v>0.0</v>
      </c>
      <c r="AW288" s="50" t="s">
        <v>88</v>
      </c>
      <c r="AX288" s="50">
        <v>0.0</v>
      </c>
      <c r="AY288" s="50">
        <v>0.0</v>
      </c>
      <c r="AZ288" s="50">
        <v>0.0</v>
      </c>
      <c r="BA288" s="43" t="s">
        <v>89</v>
      </c>
      <c r="BB288" s="50">
        <v>0.0</v>
      </c>
      <c r="BC288" s="95"/>
      <c r="BD288" s="71"/>
      <c r="BE288" s="71"/>
      <c r="BF288" s="72" t="s">
        <v>2155</v>
      </c>
      <c r="BG288" s="73"/>
      <c r="BH288" s="73"/>
      <c r="BI288" s="73"/>
      <c r="BJ288" s="73"/>
      <c r="BK288" s="73"/>
      <c r="BL288" s="73"/>
      <c r="BM288" s="73"/>
      <c r="BN288" s="73"/>
      <c r="BO288" s="73"/>
      <c r="BP288" s="73"/>
      <c r="BQ288" s="73"/>
      <c r="BR288" s="73"/>
      <c r="BS288" s="73"/>
      <c r="BT288" s="73"/>
      <c r="BU288" s="73"/>
      <c r="BV288" s="73"/>
      <c r="BW288" s="74"/>
      <c r="BX288" s="74"/>
      <c r="BY288" s="63"/>
      <c r="BZ288" s="63"/>
    </row>
    <row r="289" ht="15.75" customHeight="1">
      <c r="A289" s="267" t="s">
        <v>2156</v>
      </c>
      <c r="B289" s="43" t="s">
        <v>2157</v>
      </c>
      <c r="C289" s="43" t="s">
        <v>490</v>
      </c>
      <c r="D289" s="193" t="s">
        <v>76</v>
      </c>
      <c r="E289" s="45"/>
      <c r="F289" s="47">
        <v>2.6E9</v>
      </c>
      <c r="G289" s="44" t="str">
        <f t="shared" si="8"/>
        <v>Más de $1.000'000.000</v>
      </c>
      <c r="H289" s="44"/>
      <c r="I289" s="44"/>
      <c r="J289" s="50" t="s">
        <v>76</v>
      </c>
      <c r="K289" s="194"/>
      <c r="L289" s="52">
        <v>30.0</v>
      </c>
      <c r="M289" s="52"/>
      <c r="N289" s="52">
        <v>34.0</v>
      </c>
      <c r="O289" s="43">
        <v>1.0</v>
      </c>
      <c r="P289" s="52">
        <v>2.0</v>
      </c>
      <c r="Q289" s="54">
        <v>960.0</v>
      </c>
      <c r="R289" s="55">
        <v>504.0</v>
      </c>
      <c r="S289" s="56" t="str">
        <f t="shared" si="10"/>
        <v>Rentabilidad $17,000,000</v>
      </c>
      <c r="T289" s="52" t="s">
        <v>78</v>
      </c>
      <c r="U289" s="142" t="s">
        <v>142</v>
      </c>
      <c r="V289" s="43" t="s">
        <v>79</v>
      </c>
      <c r="W289" s="43"/>
      <c r="X289" s="52">
        <v>20.0</v>
      </c>
      <c r="Y289" s="43" t="s">
        <v>80</v>
      </c>
      <c r="Z289" s="80" t="s">
        <v>81</v>
      </c>
      <c r="AA289" s="59" t="str">
        <f>IF(Rentabilidad=0,"No aplica",TEXT(ROUND(Precio/Rentabilidad/12,0),0) &amp; " años")</f>
        <v>13 años</v>
      </c>
      <c r="AB289" s="82" t="s">
        <v>2158</v>
      </c>
      <c r="AC289" s="61"/>
      <c r="AD289" s="125" t="s">
        <v>2159</v>
      </c>
      <c r="AE289" s="63"/>
      <c r="AF289" s="64" t="s">
        <v>84</v>
      </c>
      <c r="AG289" s="65" t="s">
        <v>106</v>
      </c>
      <c r="AH289" s="65"/>
      <c r="AI289" s="65" t="s">
        <v>1747</v>
      </c>
      <c r="AJ289" s="64" t="s">
        <v>1834</v>
      </c>
      <c r="AK289" s="264" t="s">
        <v>1749</v>
      </c>
      <c r="AL289" s="45" t="s">
        <v>109</v>
      </c>
      <c r="AM289" s="52">
        <v>3.152282442E9</v>
      </c>
      <c r="AN289" s="45">
        <v>0.0</v>
      </c>
      <c r="AO289" s="52" t="s">
        <v>2160</v>
      </c>
      <c r="AP289" s="67" t="s">
        <v>2161</v>
      </c>
      <c r="AQ289" s="143">
        <v>2.9235411</v>
      </c>
      <c r="AR289" s="143">
        <v>-75.2897185</v>
      </c>
      <c r="AS289" s="135">
        <v>1.7E7</v>
      </c>
      <c r="AT289" s="44">
        <v>0.0</v>
      </c>
      <c r="AU289" s="52">
        <v>0.0</v>
      </c>
      <c r="AV289" s="52">
        <v>0.0</v>
      </c>
      <c r="AW289" s="43" t="s">
        <v>88</v>
      </c>
      <c r="AX289" s="52">
        <v>0.0</v>
      </c>
      <c r="AY289" s="52" t="s">
        <v>247</v>
      </c>
      <c r="AZ289" s="44">
        <v>18.0</v>
      </c>
      <c r="BA289" s="43" t="s">
        <v>89</v>
      </c>
      <c r="BB289" s="44">
        <v>28.0</v>
      </c>
      <c r="BC289" s="69"/>
      <c r="BD289" s="70"/>
      <c r="BE289" s="71"/>
      <c r="BF289" s="72" t="s">
        <v>2162</v>
      </c>
      <c r="BG289" s="73"/>
      <c r="BH289" s="73"/>
      <c r="BI289" s="73"/>
      <c r="BJ289" s="73"/>
      <c r="BK289" s="73"/>
      <c r="BL289" s="73"/>
      <c r="BM289" s="73"/>
      <c r="BN289" s="73"/>
      <c r="BO289" s="73"/>
      <c r="BP289" s="73"/>
      <c r="BQ289" s="73"/>
      <c r="BR289" s="73"/>
      <c r="BS289" s="73"/>
      <c r="BT289" s="73"/>
      <c r="BU289" s="73"/>
      <c r="BV289" s="73"/>
      <c r="BW289" s="74"/>
      <c r="BX289" s="74"/>
      <c r="BY289" s="63"/>
      <c r="BZ289" s="63"/>
    </row>
    <row r="290" ht="15.75" customHeight="1">
      <c r="A290" s="75" t="s">
        <v>2163</v>
      </c>
      <c r="B290" s="50" t="s">
        <v>2164</v>
      </c>
      <c r="C290" s="50" t="s">
        <v>497</v>
      </c>
      <c r="D290" s="50"/>
      <c r="E290" s="64"/>
      <c r="F290" s="78">
        <v>1.5E9</v>
      </c>
      <c r="G290" s="44" t="str">
        <f t="shared" si="8"/>
        <v>Más de $1.000'000.000</v>
      </c>
      <c r="H290" s="44"/>
      <c r="I290" s="44"/>
      <c r="J290" s="50" t="s">
        <v>94</v>
      </c>
      <c r="K290" s="51"/>
      <c r="L290" s="50">
        <v>4.0</v>
      </c>
      <c r="M290" s="50"/>
      <c r="N290" s="50">
        <v>2.0</v>
      </c>
      <c r="O290" s="50">
        <v>1.0</v>
      </c>
      <c r="P290" s="50">
        <v>1.0</v>
      </c>
      <c r="Q290" s="88">
        <v>0.0</v>
      </c>
      <c r="R290" s="88">
        <v>50000.0</v>
      </c>
      <c r="S290" s="56" t="str">
        <f t="shared" si="10"/>
        <v> </v>
      </c>
      <c r="T290" s="50" t="s">
        <v>1985</v>
      </c>
      <c r="U290" s="57"/>
      <c r="V290" s="44"/>
      <c r="W290" s="44"/>
      <c r="X290" s="50">
        <v>0.0</v>
      </c>
      <c r="Y290" s="50" t="s">
        <v>80</v>
      </c>
      <c r="Z290" s="58" t="s">
        <v>81</v>
      </c>
      <c r="AA290" s="59" t="str">
        <f>IF(Rentabilidad=0,"No aplica",TEXT(ROUND(Precio/Rentabilidad/12,0),0) &amp; " años")</f>
        <v>No aplica</v>
      </c>
      <c r="AB290" s="100" t="s">
        <v>2165</v>
      </c>
      <c r="AC290" s="83" t="s">
        <v>2166</v>
      </c>
      <c r="AD290" s="83" t="s">
        <v>2167</v>
      </c>
      <c r="AE290" s="63"/>
      <c r="AF290" s="64" t="s">
        <v>84</v>
      </c>
      <c r="AG290" s="65" t="s">
        <v>106</v>
      </c>
      <c r="AH290" s="63"/>
      <c r="AI290" s="65" t="s">
        <v>1747</v>
      </c>
      <c r="AJ290" s="64" t="s">
        <v>1834</v>
      </c>
      <c r="AK290" s="225" t="s">
        <v>1749</v>
      </c>
      <c r="AL290" s="45" t="s">
        <v>109</v>
      </c>
      <c r="AM290" s="50" t="s">
        <v>2168</v>
      </c>
      <c r="AN290" s="64">
        <v>0.0</v>
      </c>
      <c r="AO290" s="43" t="s">
        <v>2169</v>
      </c>
      <c r="AP290" s="67"/>
      <c r="AQ290" s="67"/>
      <c r="AR290" s="67"/>
      <c r="AS290" s="94"/>
      <c r="AT290" s="65">
        <v>0.0</v>
      </c>
      <c r="AU290" s="50">
        <v>0.0</v>
      </c>
      <c r="AV290" s="50">
        <v>0.0</v>
      </c>
      <c r="AW290" s="50" t="s">
        <v>88</v>
      </c>
      <c r="AX290" s="50">
        <v>0.0</v>
      </c>
      <c r="AY290" s="50" t="s">
        <v>1645</v>
      </c>
      <c r="AZ290" s="50">
        <v>0.0</v>
      </c>
      <c r="BA290" s="43" t="s">
        <v>89</v>
      </c>
      <c r="BB290" s="50">
        <v>0.0</v>
      </c>
      <c r="BC290" s="95"/>
      <c r="BD290" s="71"/>
      <c r="BE290" s="71"/>
      <c r="BF290" s="72" t="s">
        <v>2170</v>
      </c>
      <c r="BG290" s="73"/>
      <c r="BH290" s="73"/>
      <c r="BI290" s="73"/>
      <c r="BJ290" s="73"/>
      <c r="BK290" s="73"/>
      <c r="BL290" s="73"/>
      <c r="BM290" s="73"/>
      <c r="BN290" s="73"/>
      <c r="BO290" s="73"/>
      <c r="BP290" s="73"/>
      <c r="BQ290" s="73"/>
      <c r="BR290" s="73"/>
      <c r="BS290" s="73"/>
      <c r="BT290" s="73"/>
      <c r="BU290" s="73"/>
      <c r="BV290" s="73"/>
      <c r="BW290" s="74"/>
      <c r="BX290" s="74"/>
      <c r="BY290" s="63"/>
      <c r="BZ290" s="63"/>
    </row>
    <row r="291" ht="15.75" customHeight="1">
      <c r="A291" s="272" t="s">
        <v>2171</v>
      </c>
      <c r="B291" s="50" t="s">
        <v>2172</v>
      </c>
      <c r="C291" s="50" t="s">
        <v>490</v>
      </c>
      <c r="D291" s="50" t="s">
        <v>76</v>
      </c>
      <c r="E291" s="45"/>
      <c r="F291" s="78">
        <v>1.4E9</v>
      </c>
      <c r="G291" s="44" t="str">
        <f t="shared" si="8"/>
        <v>Más de $1.000'000.000</v>
      </c>
      <c r="H291" s="44"/>
      <c r="I291" s="44"/>
      <c r="J291" s="50" t="s">
        <v>76</v>
      </c>
      <c r="K291" s="57"/>
      <c r="L291" s="50">
        <v>19.0</v>
      </c>
      <c r="M291" s="50"/>
      <c r="N291" s="50">
        <v>22.0</v>
      </c>
      <c r="O291" s="50">
        <v>0.0</v>
      </c>
      <c r="P291" s="50">
        <v>3.0</v>
      </c>
      <c r="Q291" s="79">
        <v>560.0</v>
      </c>
      <c r="R291" s="79">
        <v>162.0</v>
      </c>
      <c r="S291" s="56" t="str">
        <f t="shared" si="10"/>
        <v>Rentabilidad $12,000,000</v>
      </c>
      <c r="T291" s="50" t="s">
        <v>78</v>
      </c>
      <c r="U291" s="51" t="s">
        <v>679</v>
      </c>
      <c r="V291" s="50" t="s">
        <v>79</v>
      </c>
      <c r="W291" s="50"/>
      <c r="X291" s="50">
        <v>19.0</v>
      </c>
      <c r="Y291" s="50" t="s">
        <v>80</v>
      </c>
      <c r="Z291" s="58" t="s">
        <v>81</v>
      </c>
      <c r="AA291" s="59" t="str">
        <f>IF(Rentabilidad=0,"No aplica",TEXT(ROUND(Precio/Rentabilidad/12,0),0) &amp; " años")</f>
        <v>10 años</v>
      </c>
      <c r="AB291" s="82" t="s">
        <v>2173</v>
      </c>
      <c r="AC291" s="131" t="s">
        <v>2174</v>
      </c>
      <c r="AD291" s="125" t="s">
        <v>2175</v>
      </c>
      <c r="AE291" s="63"/>
      <c r="AF291" s="64" t="s">
        <v>105</v>
      </c>
      <c r="AG291" s="65" t="s">
        <v>106</v>
      </c>
      <c r="AH291" s="65"/>
      <c r="AI291" s="65" t="s">
        <v>1747</v>
      </c>
      <c r="AJ291" s="64" t="s">
        <v>1834</v>
      </c>
      <c r="AK291" s="264" t="s">
        <v>1749</v>
      </c>
      <c r="AL291" s="45" t="s">
        <v>109</v>
      </c>
      <c r="AM291" s="50">
        <v>3.115737461E9</v>
      </c>
      <c r="AN291" s="64">
        <v>3.144785524E9</v>
      </c>
      <c r="AO291" s="182" t="s">
        <v>2176</v>
      </c>
      <c r="AP291" s="84" t="s">
        <v>2177</v>
      </c>
      <c r="AQ291" s="84">
        <v>2.9240986</v>
      </c>
      <c r="AR291" s="84">
        <v>-75.2928705</v>
      </c>
      <c r="AS291" s="94">
        <v>1.2E7</v>
      </c>
      <c r="AT291" s="50" t="s">
        <v>88</v>
      </c>
      <c r="AU291" s="43" t="s">
        <v>106</v>
      </c>
      <c r="AV291" s="43" t="s">
        <v>106</v>
      </c>
      <c r="AW291" s="43" t="s">
        <v>106</v>
      </c>
      <c r="AX291" s="43">
        <v>0.0</v>
      </c>
      <c r="AY291" s="43" t="s">
        <v>137</v>
      </c>
      <c r="AZ291" s="50">
        <v>9.0</v>
      </c>
      <c r="BA291" s="43" t="s">
        <v>89</v>
      </c>
      <c r="BB291" s="50">
        <v>18.0</v>
      </c>
      <c r="BC291" s="109"/>
      <c r="BD291" s="71"/>
      <c r="BE291" s="70"/>
      <c r="BF291" s="72" t="s">
        <v>2178</v>
      </c>
      <c r="BG291" s="74"/>
      <c r="BH291" s="74"/>
      <c r="BI291" s="74"/>
      <c r="BJ291" s="74"/>
      <c r="BK291" s="74"/>
      <c r="BL291" s="74"/>
      <c r="BM291" s="74"/>
      <c r="BN291" s="74"/>
      <c r="BO291" s="74"/>
      <c r="BP291" s="74"/>
      <c r="BQ291" s="74"/>
      <c r="BR291" s="74"/>
      <c r="BS291" s="74"/>
      <c r="BT291" s="74"/>
      <c r="BU291" s="74"/>
      <c r="BV291" s="74"/>
      <c r="BW291" s="74"/>
      <c r="BX291" s="74"/>
      <c r="BY291" s="63"/>
      <c r="BZ291" s="63"/>
    </row>
    <row r="292" ht="15.75" customHeight="1">
      <c r="A292" s="272" t="s">
        <v>2179</v>
      </c>
      <c r="B292" s="50" t="s">
        <v>2180</v>
      </c>
      <c r="C292" s="50" t="s">
        <v>497</v>
      </c>
      <c r="D292" s="50" t="s">
        <v>920</v>
      </c>
      <c r="E292" s="64"/>
      <c r="F292" s="78">
        <v>1.25E9</v>
      </c>
      <c r="G292" s="44" t="str">
        <f t="shared" si="8"/>
        <v>Más de $1.000'000.000</v>
      </c>
      <c r="H292" s="44"/>
      <c r="I292" s="44"/>
      <c r="J292" s="50" t="s">
        <v>498</v>
      </c>
      <c r="K292" s="51"/>
      <c r="L292" s="50">
        <v>5.0</v>
      </c>
      <c r="M292" s="50"/>
      <c r="N292" s="50">
        <v>4.0</v>
      </c>
      <c r="O292" s="50">
        <v>2.0</v>
      </c>
      <c r="P292" s="50">
        <v>1.0</v>
      </c>
      <c r="Q292" s="88">
        <v>1950.0</v>
      </c>
      <c r="R292" s="88" t="s">
        <v>2181</v>
      </c>
      <c r="S292" s="56" t="str">
        <f t="shared" si="10"/>
        <v> </v>
      </c>
      <c r="T292" s="50" t="s">
        <v>920</v>
      </c>
      <c r="U292" s="57"/>
      <c r="V292" s="44"/>
      <c r="W292" s="44"/>
      <c r="X292" s="44"/>
      <c r="Y292" s="50" t="s">
        <v>97</v>
      </c>
      <c r="Z292" s="91"/>
      <c r="AA292" s="59" t="str">
        <f>IF(Rentabilidad=0,"No aplica",TEXT(ROUND(Precio/Rentabilidad/12,0),0) &amp; " años")</f>
        <v>No aplica</v>
      </c>
      <c r="AB292" s="82" t="s">
        <v>2182</v>
      </c>
      <c r="AC292" s="131" t="s">
        <v>2183</v>
      </c>
      <c r="AD292" s="107" t="s">
        <v>2184</v>
      </c>
      <c r="AE292" s="63"/>
      <c r="AF292" s="64" t="s">
        <v>84</v>
      </c>
      <c r="AG292" s="65" t="s">
        <v>106</v>
      </c>
      <c r="AH292" s="63"/>
      <c r="AI292" s="65" t="s">
        <v>1747</v>
      </c>
      <c r="AJ292" s="64" t="s">
        <v>1834</v>
      </c>
      <c r="AK292" s="225" t="s">
        <v>1749</v>
      </c>
      <c r="AL292" s="45" t="s">
        <v>86</v>
      </c>
      <c r="AM292" s="50">
        <v>3.118438491E9</v>
      </c>
      <c r="AN292" s="45"/>
      <c r="AO292" s="43" t="s">
        <v>2185</v>
      </c>
      <c r="AP292" s="84" t="s">
        <v>2186</v>
      </c>
      <c r="AQ292" s="84"/>
      <c r="AR292" s="84"/>
      <c r="AS292" s="94"/>
      <c r="AT292" s="63"/>
      <c r="AU292" s="44"/>
      <c r="AV292" s="44"/>
      <c r="AW292" s="44"/>
      <c r="AX292" s="44"/>
      <c r="AY292" s="44"/>
      <c r="AZ292" s="44"/>
      <c r="BA292" s="43" t="s">
        <v>89</v>
      </c>
      <c r="BB292" s="44"/>
      <c r="BC292" s="69"/>
      <c r="BD292" s="70"/>
      <c r="BE292" s="71"/>
      <c r="BF292" s="271" t="s">
        <v>2187</v>
      </c>
      <c r="BG292" s="73"/>
      <c r="BH292" s="73"/>
      <c r="BI292" s="73"/>
      <c r="BJ292" s="73"/>
      <c r="BK292" s="73"/>
      <c r="BL292" s="73"/>
      <c r="BM292" s="73"/>
      <c r="BN292" s="73"/>
      <c r="BO292" s="73"/>
      <c r="BP292" s="73"/>
      <c r="BQ292" s="73"/>
      <c r="BR292" s="73"/>
      <c r="BS292" s="73"/>
      <c r="BT292" s="73"/>
      <c r="BU292" s="73"/>
      <c r="BV292" s="73"/>
      <c r="BW292" s="74"/>
      <c r="BX292" s="74"/>
      <c r="BY292" s="63"/>
      <c r="BZ292" s="63"/>
    </row>
    <row r="293" ht="15.75" customHeight="1">
      <c r="A293" s="75" t="s">
        <v>2188</v>
      </c>
      <c r="B293" s="50" t="s">
        <v>2189</v>
      </c>
      <c r="C293" s="50" t="s">
        <v>497</v>
      </c>
      <c r="D293" s="50"/>
      <c r="E293" s="64"/>
      <c r="F293" s="78">
        <v>1.05E9</v>
      </c>
      <c r="G293" s="44" t="str">
        <f t="shared" si="8"/>
        <v>Más de $1.000'000.000</v>
      </c>
      <c r="H293" s="44"/>
      <c r="I293" s="44"/>
      <c r="J293" s="50" t="s">
        <v>498</v>
      </c>
      <c r="K293" s="51"/>
      <c r="L293" s="50">
        <v>4.0</v>
      </c>
      <c r="M293" s="50"/>
      <c r="N293" s="50">
        <v>3.0</v>
      </c>
      <c r="O293" s="50">
        <v>2.0</v>
      </c>
      <c r="P293" s="50">
        <v>1.0</v>
      </c>
      <c r="Q293" s="88">
        <v>450.0</v>
      </c>
      <c r="R293" s="88">
        <v>1050000.0</v>
      </c>
      <c r="S293" s="56"/>
      <c r="T293" s="50" t="s">
        <v>2190</v>
      </c>
      <c r="U293" s="57"/>
      <c r="V293" s="44"/>
      <c r="W293" s="44"/>
      <c r="X293" s="50">
        <v>2.0</v>
      </c>
      <c r="Y293" s="50" t="s">
        <v>80</v>
      </c>
      <c r="Z293" s="58" t="s">
        <v>81</v>
      </c>
      <c r="AA293" s="59" t="str">
        <f>IF(Rentabilidad=0,"No aplica",TEXT(ROUND(Precio/Rentabilidad/12,0),0) &amp; " años")</f>
        <v>No aplica</v>
      </c>
      <c r="AB293" s="82" t="s">
        <v>2191</v>
      </c>
      <c r="AC293" s="131" t="s">
        <v>2192</v>
      </c>
      <c r="AD293" s="107" t="s">
        <v>2193</v>
      </c>
      <c r="AE293" s="63"/>
      <c r="AF293" s="64" t="s">
        <v>236</v>
      </c>
      <c r="AG293" s="65" t="s">
        <v>106</v>
      </c>
      <c r="AH293" s="63"/>
      <c r="AI293" s="65" t="s">
        <v>1747</v>
      </c>
      <c r="AJ293" s="64" t="s">
        <v>1834</v>
      </c>
      <c r="AK293" s="50" t="s">
        <v>81</v>
      </c>
      <c r="AL293" s="45" t="s">
        <v>109</v>
      </c>
      <c r="AM293" s="50">
        <v>3.203318526E9</v>
      </c>
      <c r="AN293" s="64">
        <v>0.0</v>
      </c>
      <c r="AO293" s="43" t="s">
        <v>2194</v>
      </c>
      <c r="AP293" s="67"/>
      <c r="AQ293" s="67"/>
      <c r="AR293" s="67"/>
      <c r="AS293" s="94">
        <v>0.0</v>
      </c>
      <c r="AT293" s="65">
        <v>0.0</v>
      </c>
      <c r="AU293" s="50">
        <v>0.0</v>
      </c>
      <c r="AV293" s="50">
        <v>0.0</v>
      </c>
      <c r="AW293" s="50" t="s">
        <v>88</v>
      </c>
      <c r="AX293" s="50">
        <v>0.0</v>
      </c>
      <c r="AY293" s="50">
        <v>0.0</v>
      </c>
      <c r="AZ293" s="50">
        <v>0.0</v>
      </c>
      <c r="BA293" s="43" t="s">
        <v>89</v>
      </c>
      <c r="BB293" s="44"/>
      <c r="BC293" s="69" t="s">
        <v>2195</v>
      </c>
      <c r="BD293" s="70"/>
      <c r="BE293" s="70"/>
      <c r="BF293" s="72" t="s">
        <v>2196</v>
      </c>
      <c r="BG293" s="73"/>
      <c r="BH293" s="73"/>
      <c r="BI293" s="73"/>
      <c r="BJ293" s="73"/>
      <c r="BK293" s="73"/>
      <c r="BL293" s="73"/>
      <c r="BM293" s="73"/>
      <c r="BN293" s="73"/>
      <c r="BO293" s="73"/>
      <c r="BP293" s="73"/>
      <c r="BQ293" s="73"/>
      <c r="BR293" s="73"/>
      <c r="BS293" s="73"/>
      <c r="BT293" s="73"/>
      <c r="BU293" s="73"/>
      <c r="BV293" s="73"/>
      <c r="BW293" s="74"/>
      <c r="BX293" s="74"/>
      <c r="BY293" s="63"/>
      <c r="BZ293" s="63"/>
    </row>
    <row r="294" ht="15.75" customHeight="1">
      <c r="A294" s="75" t="s">
        <v>2197</v>
      </c>
      <c r="B294" s="50" t="s">
        <v>2198</v>
      </c>
      <c r="C294" s="50" t="s">
        <v>497</v>
      </c>
      <c r="D294" s="50"/>
      <c r="E294" s="64"/>
      <c r="F294" s="78">
        <v>9.8E8</v>
      </c>
      <c r="G294" s="44" t="str">
        <f t="shared" si="8"/>
        <v>$500'000.000 a $1.000'000.000</v>
      </c>
      <c r="H294" s="44"/>
      <c r="I294" s="44"/>
      <c r="J294" s="50" t="s">
        <v>498</v>
      </c>
      <c r="K294" s="51"/>
      <c r="L294" s="50">
        <v>7.0</v>
      </c>
      <c r="M294" s="50"/>
      <c r="N294" s="50">
        <v>7.0</v>
      </c>
      <c r="O294" s="50">
        <v>4.0</v>
      </c>
      <c r="P294" s="50">
        <v>2.0</v>
      </c>
      <c r="Q294" s="88">
        <v>500.0</v>
      </c>
      <c r="R294" s="88">
        <v>100000.0</v>
      </c>
      <c r="S294" s="56"/>
      <c r="T294" s="50" t="s">
        <v>1985</v>
      </c>
      <c r="U294" s="57"/>
      <c r="V294" s="44"/>
      <c r="W294" s="44"/>
      <c r="X294" s="50">
        <v>6.0</v>
      </c>
      <c r="Y294" s="50" t="s">
        <v>97</v>
      </c>
      <c r="Z294" s="58" t="s">
        <v>81</v>
      </c>
      <c r="AA294" s="59" t="str">
        <f>IF(Rentabilidad=0,"No aplica",TEXT(ROUND(Precio/Rentabilidad/12,0),0) &amp; " años")</f>
        <v>No aplica</v>
      </c>
      <c r="AB294" s="82" t="s">
        <v>2199</v>
      </c>
      <c r="AC294" s="131" t="s">
        <v>2200</v>
      </c>
      <c r="AD294" s="107" t="s">
        <v>2201</v>
      </c>
      <c r="AE294" s="63"/>
      <c r="AF294" s="64" t="s">
        <v>105</v>
      </c>
      <c r="AG294" s="65" t="s">
        <v>106</v>
      </c>
      <c r="AH294" s="63"/>
      <c r="AI294" s="65" t="s">
        <v>1747</v>
      </c>
      <c r="AJ294" s="64" t="s">
        <v>1834</v>
      </c>
      <c r="AK294" s="50" t="s">
        <v>81</v>
      </c>
      <c r="AL294" s="45" t="s">
        <v>109</v>
      </c>
      <c r="AM294" s="50">
        <v>3.152215116E9</v>
      </c>
      <c r="AN294" s="64">
        <v>0.0</v>
      </c>
      <c r="AO294" s="43" t="s">
        <v>2202</v>
      </c>
      <c r="AP294" s="67"/>
      <c r="AQ294" s="67"/>
      <c r="AR294" s="67"/>
      <c r="AS294" s="94">
        <v>0.0</v>
      </c>
      <c r="AT294" s="65">
        <v>0.0</v>
      </c>
      <c r="AU294" s="50">
        <v>0.0</v>
      </c>
      <c r="AV294" s="50">
        <v>0.0</v>
      </c>
      <c r="AW294" s="50" t="s">
        <v>88</v>
      </c>
      <c r="AX294" s="50">
        <v>0.0</v>
      </c>
      <c r="AY294" s="50">
        <v>0.0</v>
      </c>
      <c r="AZ294" s="50">
        <v>0.0</v>
      </c>
      <c r="BA294" s="43" t="s">
        <v>89</v>
      </c>
      <c r="BB294" s="50">
        <v>0.0</v>
      </c>
      <c r="BC294" s="69"/>
      <c r="BD294" s="70"/>
      <c r="BE294" s="71"/>
      <c r="BF294" s="72" t="s">
        <v>2203</v>
      </c>
      <c r="BG294" s="73"/>
      <c r="BH294" s="73"/>
      <c r="BI294" s="73"/>
      <c r="BJ294" s="73"/>
      <c r="BK294" s="73"/>
      <c r="BL294" s="73"/>
      <c r="BM294" s="73"/>
      <c r="BN294" s="73"/>
      <c r="BO294" s="73"/>
      <c r="BP294" s="73"/>
      <c r="BQ294" s="73"/>
      <c r="BR294" s="73"/>
      <c r="BS294" s="73"/>
      <c r="BT294" s="73"/>
      <c r="BU294" s="73"/>
      <c r="BV294" s="73"/>
      <c r="BW294" s="74"/>
      <c r="BX294" s="74"/>
      <c r="BY294" s="63"/>
      <c r="BZ294" s="63"/>
    </row>
    <row r="295" ht="15.75" customHeight="1">
      <c r="A295" s="224" t="s">
        <v>2204</v>
      </c>
      <c r="B295" s="43" t="s">
        <v>2205</v>
      </c>
      <c r="C295" s="43" t="s">
        <v>93</v>
      </c>
      <c r="D295" s="202"/>
      <c r="E295" s="45"/>
      <c r="F295" s="78">
        <v>9.0E8</v>
      </c>
      <c r="G295" s="44" t="str">
        <f t="shared" si="8"/>
        <v>$500'000.000 a $1.000'000.000</v>
      </c>
      <c r="H295" s="44"/>
      <c r="I295" s="44"/>
      <c r="J295" s="50" t="s">
        <v>94</v>
      </c>
      <c r="K295" s="150"/>
      <c r="L295" s="52">
        <v>9.0</v>
      </c>
      <c r="M295" s="52"/>
      <c r="N295" s="52">
        <v>9.0</v>
      </c>
      <c r="O295" s="43">
        <v>1.0</v>
      </c>
      <c r="P295" s="52">
        <v>1.0</v>
      </c>
      <c r="Q295" s="54">
        <v>800.0</v>
      </c>
      <c r="R295" s="55">
        <v>2700.0</v>
      </c>
      <c r="S295" s="56" t="str">
        <f t="shared" ref="S295:S300" si="11">IF(AS295=0," ","Rentabilidad $" &amp; TEXT(AS295,"#,##0"))</f>
        <v> </v>
      </c>
      <c r="T295" s="52" t="s">
        <v>2206</v>
      </c>
      <c r="U295" s="142"/>
      <c r="V295" s="52"/>
      <c r="W295" s="52"/>
      <c r="X295" s="52">
        <v>8.0</v>
      </c>
      <c r="Y295" s="43" t="s">
        <v>97</v>
      </c>
      <c r="Z295" s="80" t="s">
        <v>81</v>
      </c>
      <c r="AA295" s="59" t="str">
        <f>IF(Rentabilidad=0,"No aplica",TEXT(ROUND(Precio/Rentabilidad/12,0),0) &amp; " años")</f>
        <v>No aplica</v>
      </c>
      <c r="AB295" s="134" t="s">
        <v>2207</v>
      </c>
      <c r="AC295" s="61"/>
      <c r="AD295" s="216" t="s">
        <v>2208</v>
      </c>
      <c r="AE295" s="63"/>
      <c r="AF295" s="45" t="s">
        <v>105</v>
      </c>
      <c r="AG295" s="63"/>
      <c r="AH295" s="63"/>
      <c r="AI295" s="65" t="s">
        <v>1747</v>
      </c>
      <c r="AJ295" s="64" t="s">
        <v>1834</v>
      </c>
      <c r="AK295" s="264" t="s">
        <v>1749</v>
      </c>
      <c r="AL295" s="45" t="s">
        <v>109</v>
      </c>
      <c r="AM295" s="52">
        <v>3.183500013E9</v>
      </c>
      <c r="AN295" s="45">
        <v>0.0</v>
      </c>
      <c r="AO295" s="52" t="s">
        <v>2209</v>
      </c>
      <c r="AP295" s="67" t="s">
        <v>2210</v>
      </c>
      <c r="AQ295" s="67"/>
      <c r="AR295" s="67"/>
      <c r="AS295" s="135">
        <v>0.0</v>
      </c>
      <c r="AT295" s="44">
        <v>0.0</v>
      </c>
      <c r="AU295" s="52">
        <v>0.0</v>
      </c>
      <c r="AV295" s="52">
        <v>0.0</v>
      </c>
      <c r="AW295" s="43" t="s">
        <v>88</v>
      </c>
      <c r="AX295" s="52">
        <v>0.0</v>
      </c>
      <c r="AY295" s="52">
        <v>0.0</v>
      </c>
      <c r="AZ295" s="52">
        <v>0.0</v>
      </c>
      <c r="BA295" s="43" t="s">
        <v>89</v>
      </c>
      <c r="BB295" s="52">
        <v>0.0</v>
      </c>
      <c r="BC295" s="69" t="s">
        <v>1957</v>
      </c>
      <c r="BD295" s="70"/>
      <c r="BE295" s="71"/>
      <c r="BF295" s="72" t="s">
        <v>2211</v>
      </c>
      <c r="BG295" s="73"/>
      <c r="BH295" s="73"/>
      <c r="BI295" s="73"/>
      <c r="BJ295" s="73"/>
      <c r="BK295" s="73"/>
      <c r="BL295" s="73"/>
      <c r="BM295" s="73"/>
      <c r="BN295" s="73"/>
      <c r="BO295" s="73"/>
      <c r="BP295" s="73"/>
      <c r="BQ295" s="73"/>
      <c r="BR295" s="73"/>
      <c r="BS295" s="73"/>
      <c r="BT295" s="73"/>
      <c r="BU295" s="73"/>
      <c r="BV295" s="73"/>
      <c r="BW295" s="74"/>
      <c r="BX295" s="74"/>
      <c r="BY295" s="63"/>
      <c r="BZ295" s="63"/>
    </row>
    <row r="296" ht="15.75" customHeight="1">
      <c r="A296" s="272" t="s">
        <v>2212</v>
      </c>
      <c r="B296" s="50" t="s">
        <v>2213</v>
      </c>
      <c r="C296" s="50" t="s">
        <v>490</v>
      </c>
      <c r="D296" s="58" t="s">
        <v>712</v>
      </c>
      <c r="E296" s="45"/>
      <c r="F296" s="78">
        <v>8.0E8</v>
      </c>
      <c r="G296" s="44" t="str">
        <f t="shared" si="8"/>
        <v>$500'000.000 a $1.000'000.000</v>
      </c>
      <c r="H296" s="44"/>
      <c r="I296" s="44"/>
      <c r="J296" s="43" t="s">
        <v>183</v>
      </c>
      <c r="K296" s="51" t="s">
        <v>96</v>
      </c>
      <c r="L296" s="43">
        <v>6.0</v>
      </c>
      <c r="M296" s="43"/>
      <c r="N296" s="43">
        <v>5.0</v>
      </c>
      <c r="O296" s="43">
        <v>1.0</v>
      </c>
      <c r="P296" s="43">
        <v>3.0</v>
      </c>
      <c r="Q296" s="55">
        <v>340.0</v>
      </c>
      <c r="R296" s="55">
        <v>120.0</v>
      </c>
      <c r="S296" s="56" t="str">
        <f t="shared" si="11"/>
        <v>Rentabilidad $3,000,000</v>
      </c>
      <c r="T296" s="43" t="s">
        <v>78</v>
      </c>
      <c r="U296" s="56" t="s">
        <v>184</v>
      </c>
      <c r="V296" s="43" t="s">
        <v>118</v>
      </c>
      <c r="W296" s="43"/>
      <c r="X296" s="43">
        <v>6.0</v>
      </c>
      <c r="Y296" s="43" t="s">
        <v>80</v>
      </c>
      <c r="Z296" s="280" t="s">
        <v>81</v>
      </c>
      <c r="AA296" s="59" t="str">
        <f>IF(Rentabilidad=0,"No aplica",TEXT(ROUND(Precio/Rentabilidad/12,0),0) &amp; " años")</f>
        <v>22 años</v>
      </c>
      <c r="AB296" s="134" t="s">
        <v>2214</v>
      </c>
      <c r="AC296" s="131" t="s">
        <v>2215</v>
      </c>
      <c r="AD296" s="107" t="s">
        <v>2216</v>
      </c>
      <c r="AE296" s="63"/>
      <c r="AF296" s="64" t="s">
        <v>236</v>
      </c>
      <c r="AG296" s="65" t="s">
        <v>106</v>
      </c>
      <c r="AH296" s="63"/>
      <c r="AI296" s="65" t="s">
        <v>1747</v>
      </c>
      <c r="AJ296" s="64" t="s">
        <v>1834</v>
      </c>
      <c r="AK296" s="264" t="s">
        <v>1749</v>
      </c>
      <c r="AL296" s="45" t="s">
        <v>109</v>
      </c>
      <c r="AM296" s="43">
        <v>3.108056542E9</v>
      </c>
      <c r="AN296" s="45"/>
      <c r="AO296" s="43" t="s">
        <v>2217</v>
      </c>
      <c r="AP296" s="84" t="s">
        <v>2218</v>
      </c>
      <c r="AQ296" s="84">
        <v>2.9576728</v>
      </c>
      <c r="AR296" s="84">
        <v>-75.2813358</v>
      </c>
      <c r="AS296" s="94">
        <v>3000000.0</v>
      </c>
      <c r="AT296" s="50">
        <v>0.0</v>
      </c>
      <c r="AU296" s="43" t="s">
        <v>106</v>
      </c>
      <c r="AV296" s="43" t="s">
        <v>106</v>
      </c>
      <c r="AW296" s="43" t="s">
        <v>88</v>
      </c>
      <c r="AX296" s="43">
        <v>0.0</v>
      </c>
      <c r="AY296" s="43" t="s">
        <v>137</v>
      </c>
      <c r="AZ296" s="43">
        <v>0.0</v>
      </c>
      <c r="BA296" s="43" t="s">
        <v>89</v>
      </c>
      <c r="BB296" s="43">
        <v>0.0</v>
      </c>
      <c r="BC296" s="109"/>
      <c r="BD296" s="70"/>
      <c r="BE296" s="71"/>
      <c r="BF296" s="72" t="s">
        <v>2219</v>
      </c>
      <c r="BG296" s="73"/>
      <c r="BH296" s="73"/>
      <c r="BI296" s="73"/>
      <c r="BJ296" s="73"/>
      <c r="BK296" s="73"/>
      <c r="BL296" s="73"/>
      <c r="BM296" s="73"/>
      <c r="BN296" s="73"/>
      <c r="BO296" s="73"/>
      <c r="BP296" s="73"/>
      <c r="BQ296" s="73"/>
      <c r="BR296" s="73"/>
      <c r="BS296" s="73"/>
      <c r="BT296" s="73"/>
      <c r="BU296" s="73"/>
      <c r="BV296" s="73"/>
      <c r="BW296" s="74"/>
      <c r="BX296" s="74"/>
      <c r="BY296" s="63"/>
      <c r="BZ296" s="63"/>
    </row>
    <row r="297" ht="15.75" customHeight="1">
      <c r="A297" s="224" t="s">
        <v>2220</v>
      </c>
      <c r="B297" s="112" t="s">
        <v>2221</v>
      </c>
      <c r="C297" s="50" t="s">
        <v>114</v>
      </c>
      <c r="D297" s="202"/>
      <c r="E297" s="64" t="s">
        <v>2222</v>
      </c>
      <c r="F297" s="47">
        <v>7.8E8</v>
      </c>
      <c r="G297" s="44" t="str">
        <f t="shared" si="8"/>
        <v>$500'000.000 a $1.000'000.000</v>
      </c>
      <c r="H297" s="44"/>
      <c r="I297" s="44"/>
      <c r="J297" s="50" t="s">
        <v>183</v>
      </c>
      <c r="K297" s="150"/>
      <c r="L297" s="52">
        <v>5.0</v>
      </c>
      <c r="M297" s="52"/>
      <c r="N297" s="52">
        <v>5.0</v>
      </c>
      <c r="O297" s="43">
        <v>2.0</v>
      </c>
      <c r="P297" s="44">
        <v>2.0</v>
      </c>
      <c r="Q297" s="113">
        <v>380.0</v>
      </c>
      <c r="R297" s="79">
        <v>1320.0</v>
      </c>
      <c r="S297" s="56" t="str">
        <f t="shared" si="11"/>
        <v> </v>
      </c>
      <c r="T297" s="44" t="s">
        <v>342</v>
      </c>
      <c r="U297" s="57" t="s">
        <v>77</v>
      </c>
      <c r="V297" s="44"/>
      <c r="W297" s="44"/>
      <c r="X297" s="52">
        <v>5.0</v>
      </c>
      <c r="Y297" s="43" t="s">
        <v>80</v>
      </c>
      <c r="Z297" s="91">
        <v>200000.0</v>
      </c>
      <c r="AA297" s="59" t="str">
        <f>IF(Rentabilidad=0,"No aplica",TEXT(ROUND(Precio/Rentabilidad/12,0),0) &amp; " años")</f>
        <v>No aplica</v>
      </c>
      <c r="AB297" s="134" t="s">
        <v>2223</v>
      </c>
      <c r="AC297" s="61"/>
      <c r="AD297" s="62"/>
      <c r="AE297" s="63"/>
      <c r="AF297" s="45" t="s">
        <v>105</v>
      </c>
      <c r="AG297" s="63"/>
      <c r="AH297" s="63"/>
      <c r="AI297" s="65" t="s">
        <v>1747</v>
      </c>
      <c r="AJ297" s="64" t="s">
        <v>1834</v>
      </c>
      <c r="AK297" s="264" t="s">
        <v>1749</v>
      </c>
      <c r="AL297" s="45" t="s">
        <v>109</v>
      </c>
      <c r="AM297" s="52">
        <v>3.164465811E9</v>
      </c>
      <c r="AN297" s="45">
        <v>0.0</v>
      </c>
      <c r="AO297" s="52" t="s">
        <v>2224</v>
      </c>
      <c r="AP297" s="67" t="s">
        <v>2225</v>
      </c>
      <c r="AQ297" s="67"/>
      <c r="AR297" s="67"/>
      <c r="AS297" s="68">
        <v>0.0</v>
      </c>
      <c r="AT297" s="44">
        <v>0.0</v>
      </c>
      <c r="AU297" s="52">
        <v>0.0</v>
      </c>
      <c r="AV297" s="52">
        <v>0.0</v>
      </c>
      <c r="AW297" s="43" t="s">
        <v>88</v>
      </c>
      <c r="AX297" s="52">
        <v>0.0</v>
      </c>
      <c r="AY297" s="52">
        <v>0.0</v>
      </c>
      <c r="AZ297" s="44">
        <v>0.0</v>
      </c>
      <c r="BA297" s="43" t="s">
        <v>89</v>
      </c>
      <c r="BB297" s="44">
        <v>0.0</v>
      </c>
      <c r="BC297" s="69" t="s">
        <v>439</v>
      </c>
      <c r="BD297" s="70"/>
      <c r="BE297" s="70"/>
      <c r="BF297" s="72" t="s">
        <v>2226</v>
      </c>
      <c r="BG297" s="73"/>
      <c r="BH297" s="73"/>
      <c r="BI297" s="73"/>
      <c r="BJ297" s="73"/>
      <c r="BK297" s="73"/>
      <c r="BL297" s="73"/>
      <c r="BM297" s="73"/>
      <c r="BN297" s="73"/>
      <c r="BO297" s="73"/>
      <c r="BP297" s="73"/>
      <c r="BQ297" s="73"/>
      <c r="BR297" s="73"/>
      <c r="BS297" s="73"/>
      <c r="BT297" s="73"/>
      <c r="BU297" s="73"/>
      <c r="BV297" s="73"/>
      <c r="BW297" s="74"/>
      <c r="BX297" s="74"/>
      <c r="BY297" s="63"/>
      <c r="BZ297" s="63"/>
    </row>
    <row r="298" ht="15.75" customHeight="1">
      <c r="A298" s="224" t="s">
        <v>2227</v>
      </c>
      <c r="B298" s="43" t="s">
        <v>92</v>
      </c>
      <c r="C298" s="43" t="s">
        <v>93</v>
      </c>
      <c r="D298" s="203"/>
      <c r="E298" s="45"/>
      <c r="F298" s="78">
        <v>7.5E8</v>
      </c>
      <c r="G298" s="44" t="str">
        <f t="shared" si="8"/>
        <v>$500'000.000 a $1.000'000.000</v>
      </c>
      <c r="H298" s="44"/>
      <c r="I298" s="44"/>
      <c r="J298" s="50" t="s">
        <v>94</v>
      </c>
      <c r="K298" s="51"/>
      <c r="L298" s="43">
        <v>4.0</v>
      </c>
      <c r="M298" s="43"/>
      <c r="N298" s="43">
        <v>5.0</v>
      </c>
      <c r="O298" s="43">
        <v>2.0</v>
      </c>
      <c r="P298" s="43">
        <v>1.0</v>
      </c>
      <c r="Q298" s="55">
        <v>250.0</v>
      </c>
      <c r="R298" s="55">
        <v>1100.0</v>
      </c>
      <c r="S298" s="56" t="str">
        <f t="shared" si="11"/>
        <v> </v>
      </c>
      <c r="T298" s="43" t="s">
        <v>95</v>
      </c>
      <c r="U298" s="56" t="s">
        <v>77</v>
      </c>
      <c r="V298" s="43">
        <v>0.0</v>
      </c>
      <c r="W298" s="43"/>
      <c r="X298" s="43">
        <v>4.0</v>
      </c>
      <c r="Y298" s="43" t="s">
        <v>119</v>
      </c>
      <c r="Z298" s="58" t="s">
        <v>81</v>
      </c>
      <c r="AA298" s="81" t="s">
        <v>81</v>
      </c>
      <c r="AB298" s="134" t="s">
        <v>2228</v>
      </c>
      <c r="AC298" s="131" t="s">
        <v>2229</v>
      </c>
      <c r="AD298" s="107" t="s">
        <v>2230</v>
      </c>
      <c r="AE298" s="63"/>
      <c r="AF298" s="64" t="s">
        <v>105</v>
      </c>
      <c r="AG298" s="65" t="s">
        <v>106</v>
      </c>
      <c r="AH298" s="63"/>
      <c r="AI298" s="65" t="s">
        <v>1747</v>
      </c>
      <c r="AJ298" s="64" t="s">
        <v>1834</v>
      </c>
      <c r="AK298" s="264" t="s">
        <v>1749</v>
      </c>
      <c r="AL298" s="45" t="s">
        <v>109</v>
      </c>
      <c r="AM298" s="43">
        <v>3.212478201E9</v>
      </c>
      <c r="AN298" s="64">
        <v>0.0</v>
      </c>
      <c r="AO298" s="43" t="s">
        <v>2231</v>
      </c>
      <c r="AP298" s="84">
        <v>0.0</v>
      </c>
      <c r="AQ298" s="84">
        <v>2.7821772</v>
      </c>
      <c r="AR298" s="84">
        <v>-75.2828882</v>
      </c>
      <c r="AS298" s="94">
        <v>0.0</v>
      </c>
      <c r="AT298" s="43">
        <v>0.0</v>
      </c>
      <c r="AU298" s="43">
        <v>0.0</v>
      </c>
      <c r="AV298" s="43">
        <v>0.0</v>
      </c>
      <c r="AW298" s="43" t="s">
        <v>88</v>
      </c>
      <c r="AX298" s="43">
        <v>0.0</v>
      </c>
      <c r="AY298" s="43" t="s">
        <v>110</v>
      </c>
      <c r="AZ298" s="43">
        <v>0.0</v>
      </c>
      <c r="BA298" s="43" t="s">
        <v>89</v>
      </c>
      <c r="BB298" s="43">
        <v>0.0</v>
      </c>
      <c r="BC298" s="69" t="s">
        <v>2232</v>
      </c>
      <c r="BD298" s="70"/>
      <c r="BE298" s="70"/>
      <c r="BF298" s="72" t="s">
        <v>2233</v>
      </c>
      <c r="BG298" s="73"/>
      <c r="BH298" s="73"/>
      <c r="BI298" s="73"/>
      <c r="BJ298" s="73"/>
      <c r="BK298" s="73"/>
      <c r="BL298" s="73"/>
      <c r="BM298" s="73"/>
      <c r="BN298" s="73"/>
      <c r="BO298" s="73"/>
      <c r="BP298" s="73"/>
      <c r="BQ298" s="73"/>
      <c r="BR298" s="73"/>
      <c r="BS298" s="73"/>
      <c r="BT298" s="73"/>
      <c r="BU298" s="73"/>
      <c r="BV298" s="73"/>
      <c r="BW298" s="74"/>
      <c r="BX298" s="74"/>
      <c r="BY298" s="63"/>
      <c r="BZ298" s="63"/>
    </row>
    <row r="299" ht="15.75" customHeight="1">
      <c r="A299" s="224" t="s">
        <v>2234</v>
      </c>
      <c r="B299" s="43" t="s">
        <v>2235</v>
      </c>
      <c r="C299" s="43" t="s">
        <v>1228</v>
      </c>
      <c r="D299" s="44" t="s">
        <v>11</v>
      </c>
      <c r="E299" s="77" t="s">
        <v>376</v>
      </c>
      <c r="F299" s="78">
        <v>7.5E8</v>
      </c>
      <c r="G299" s="44" t="str">
        <f t="shared" si="8"/>
        <v>$500'000.000 a $1.000'000.000</v>
      </c>
      <c r="H299" s="44"/>
      <c r="I299" s="44"/>
      <c r="J299" s="50" t="s">
        <v>183</v>
      </c>
      <c r="K299" s="51" t="s">
        <v>184</v>
      </c>
      <c r="L299" s="52">
        <v>4.0</v>
      </c>
      <c r="M299" s="52"/>
      <c r="N299" s="52">
        <v>2.0</v>
      </c>
      <c r="O299" s="43">
        <v>0.0</v>
      </c>
      <c r="P299" s="52">
        <v>1.0</v>
      </c>
      <c r="Q299" s="55">
        <v>200.0</v>
      </c>
      <c r="R299" s="55">
        <v>431.0</v>
      </c>
      <c r="S299" s="56" t="str">
        <f t="shared" si="11"/>
        <v>Rentabilidad $600,000</v>
      </c>
      <c r="T299" s="52" t="s">
        <v>78</v>
      </c>
      <c r="U299" s="142" t="s">
        <v>184</v>
      </c>
      <c r="V299" s="43" t="s">
        <v>118</v>
      </c>
      <c r="W299" s="43"/>
      <c r="X299" s="52">
        <v>0.0</v>
      </c>
      <c r="Y299" s="94" t="s">
        <v>80</v>
      </c>
      <c r="Z299" s="80" t="s">
        <v>81</v>
      </c>
      <c r="AA299" s="59" t="str">
        <f>IF(Rentabilidad=0,"No aplica",TEXT(ROUND(Precio/Rentabilidad/12,0),0) &amp; " años")</f>
        <v>104 años</v>
      </c>
      <c r="AB299" s="134" t="s">
        <v>2236</v>
      </c>
      <c r="AC299" s="61"/>
      <c r="AD299" s="125" t="s">
        <v>2237</v>
      </c>
      <c r="AE299" s="63"/>
      <c r="AF299" s="64" t="s">
        <v>84</v>
      </c>
      <c r="AG299" s="65" t="s">
        <v>106</v>
      </c>
      <c r="AH299" s="65" t="s">
        <v>45</v>
      </c>
      <c r="AI299" s="65" t="s">
        <v>1747</v>
      </c>
      <c r="AJ299" s="64" t="s">
        <v>1834</v>
      </c>
      <c r="AK299" s="264" t="s">
        <v>1749</v>
      </c>
      <c r="AL299" s="45" t="s">
        <v>109</v>
      </c>
      <c r="AM299" s="52">
        <v>3.158726346E9</v>
      </c>
      <c r="AN299" s="45">
        <v>0.0</v>
      </c>
      <c r="AO299" s="52" t="s">
        <v>2238</v>
      </c>
      <c r="AP299" s="67" t="s">
        <v>2239</v>
      </c>
      <c r="AQ299" s="143">
        <v>2.9524168</v>
      </c>
      <c r="AR299" s="143">
        <v>-75.2909292</v>
      </c>
      <c r="AS299" s="135">
        <v>600000.0</v>
      </c>
      <c r="AT299" s="63">
        <v>0.0</v>
      </c>
      <c r="AU299" s="52">
        <v>0.0</v>
      </c>
      <c r="AV299" s="52">
        <v>0.0</v>
      </c>
      <c r="AW299" s="43" t="s">
        <v>88</v>
      </c>
      <c r="AX299" s="52">
        <v>0.0</v>
      </c>
      <c r="AY299" s="52">
        <v>0.0</v>
      </c>
      <c r="AZ299" s="43">
        <v>19.0</v>
      </c>
      <c r="BA299" s="43" t="s">
        <v>89</v>
      </c>
      <c r="BB299" s="43">
        <v>21.34</v>
      </c>
      <c r="BC299" s="69" t="s">
        <v>2240</v>
      </c>
      <c r="BD299" s="70"/>
      <c r="BE299" s="71"/>
      <c r="BF299" s="72" t="s">
        <v>2241</v>
      </c>
      <c r="BG299" s="73"/>
      <c r="BH299" s="73"/>
      <c r="BI299" s="73"/>
      <c r="BJ299" s="73"/>
      <c r="BK299" s="73"/>
      <c r="BL299" s="73"/>
      <c r="BM299" s="73"/>
      <c r="BN299" s="73"/>
      <c r="BO299" s="73"/>
      <c r="BP299" s="73"/>
      <c r="BQ299" s="73"/>
      <c r="BR299" s="73"/>
      <c r="BS299" s="73"/>
      <c r="BT299" s="73"/>
      <c r="BU299" s="73"/>
      <c r="BV299" s="73"/>
      <c r="BW299" s="74"/>
      <c r="BX299" s="74"/>
      <c r="BY299" s="63"/>
      <c r="BZ299" s="63"/>
    </row>
    <row r="300" ht="15.75" customHeight="1">
      <c r="A300" s="267" t="s">
        <v>2242</v>
      </c>
      <c r="B300" s="122" t="s">
        <v>2243</v>
      </c>
      <c r="C300" s="43" t="s">
        <v>70</v>
      </c>
      <c r="D300" s="50" t="s">
        <v>11</v>
      </c>
      <c r="E300" s="45"/>
      <c r="F300" s="47">
        <v>7.2E8</v>
      </c>
      <c r="G300" s="44" t="str">
        <f t="shared" si="8"/>
        <v>$500'000.000 a $1.000'000.000</v>
      </c>
      <c r="H300" s="44"/>
      <c r="I300" s="44"/>
      <c r="J300" s="50" t="s">
        <v>183</v>
      </c>
      <c r="K300" s="51" t="s">
        <v>184</v>
      </c>
      <c r="L300" s="52">
        <v>5.0</v>
      </c>
      <c r="M300" s="52"/>
      <c r="N300" s="52">
        <v>1.0</v>
      </c>
      <c r="O300" s="43">
        <v>1.0</v>
      </c>
      <c r="P300" s="52">
        <v>1.0</v>
      </c>
      <c r="Q300" s="54">
        <v>180.0</v>
      </c>
      <c r="R300" s="55">
        <v>180.0</v>
      </c>
      <c r="S300" s="56" t="str">
        <f t="shared" si="11"/>
        <v>Rentabilidad $2,000,000</v>
      </c>
      <c r="T300" s="52" t="s">
        <v>78</v>
      </c>
      <c r="U300" s="142" t="s">
        <v>184</v>
      </c>
      <c r="V300" s="43" t="s">
        <v>79</v>
      </c>
      <c r="W300" s="43"/>
      <c r="X300" s="52">
        <v>0.0</v>
      </c>
      <c r="Y300" s="94" t="s">
        <v>80</v>
      </c>
      <c r="Z300" s="58" t="s">
        <v>81</v>
      </c>
      <c r="AA300" s="59" t="str">
        <f>IF(Rentabilidad=0,"No aplica",TEXT(ROUND(Precio/Rentabilidad/12,0),0) &amp; " años")</f>
        <v>30 años</v>
      </c>
      <c r="AB300" s="134" t="s">
        <v>2244</v>
      </c>
      <c r="AC300" s="61"/>
      <c r="AD300" s="125" t="s">
        <v>2245</v>
      </c>
      <c r="AE300" s="63"/>
      <c r="AF300" s="64" t="s">
        <v>84</v>
      </c>
      <c r="AG300" s="65" t="s">
        <v>106</v>
      </c>
      <c r="AH300" s="65" t="s">
        <v>45</v>
      </c>
      <c r="AI300" s="65" t="s">
        <v>1747</v>
      </c>
      <c r="AJ300" s="64" t="s">
        <v>1834</v>
      </c>
      <c r="AK300" s="264" t="s">
        <v>1749</v>
      </c>
      <c r="AL300" s="45" t="s">
        <v>2246</v>
      </c>
      <c r="AM300" s="52">
        <v>3.163995297E9</v>
      </c>
      <c r="AN300" s="45">
        <v>0.0</v>
      </c>
      <c r="AO300" s="52" t="s">
        <v>2247</v>
      </c>
      <c r="AP300" s="67" t="s">
        <v>2248</v>
      </c>
      <c r="AQ300" s="143">
        <v>2.9500392</v>
      </c>
      <c r="AR300" s="143">
        <v>-75.2894659</v>
      </c>
      <c r="AS300" s="135">
        <v>2000000.0</v>
      </c>
      <c r="AT300" s="44">
        <v>0.0</v>
      </c>
      <c r="AU300" s="52">
        <v>0.0</v>
      </c>
      <c r="AV300" s="52">
        <v>0.0</v>
      </c>
      <c r="AW300" s="43" t="s">
        <v>88</v>
      </c>
      <c r="AX300" s="52">
        <v>0.0</v>
      </c>
      <c r="AY300" s="52">
        <v>0.0</v>
      </c>
      <c r="AZ300" s="52">
        <v>9.0</v>
      </c>
      <c r="BA300" s="43" t="s">
        <v>89</v>
      </c>
      <c r="BB300" s="52">
        <v>20.0</v>
      </c>
      <c r="BC300" s="170"/>
      <c r="BD300" s="128"/>
      <c r="BE300" s="129"/>
      <c r="BF300" s="72" t="s">
        <v>2249</v>
      </c>
      <c r="BG300" s="73"/>
      <c r="BH300" s="73"/>
      <c r="BI300" s="73"/>
      <c r="BJ300" s="73"/>
      <c r="BK300" s="73"/>
      <c r="BL300" s="73"/>
      <c r="BM300" s="73"/>
      <c r="BN300" s="73"/>
      <c r="BO300" s="73"/>
      <c r="BP300" s="73"/>
      <c r="BQ300" s="73"/>
      <c r="BR300" s="73"/>
      <c r="BS300" s="73"/>
      <c r="BT300" s="73"/>
      <c r="BU300" s="73"/>
      <c r="BV300" s="73"/>
      <c r="BW300" s="74"/>
      <c r="BX300" s="74"/>
      <c r="BY300" s="63"/>
      <c r="BZ300" s="63"/>
    </row>
    <row r="301" ht="15.75" customHeight="1">
      <c r="A301" s="75" t="s">
        <v>2250</v>
      </c>
      <c r="B301" s="50" t="s">
        <v>2251</v>
      </c>
      <c r="C301" s="50" t="s">
        <v>497</v>
      </c>
      <c r="D301" s="50"/>
      <c r="E301" s="64"/>
      <c r="F301" s="78">
        <v>7.0E8</v>
      </c>
      <c r="G301" s="44" t="str">
        <f t="shared" si="8"/>
        <v>$500'000.000 a $1.000'000.000</v>
      </c>
      <c r="H301" s="44"/>
      <c r="I301" s="44"/>
      <c r="J301" s="50" t="s">
        <v>498</v>
      </c>
      <c r="K301" s="51"/>
      <c r="L301" s="50">
        <v>2.0</v>
      </c>
      <c r="M301" s="50"/>
      <c r="N301" s="50">
        <v>1.0</v>
      </c>
      <c r="O301" s="50">
        <v>1.0</v>
      </c>
      <c r="P301" s="50">
        <v>1.0</v>
      </c>
      <c r="Q301" s="88">
        <v>250.0</v>
      </c>
      <c r="R301" s="88">
        <v>40000.0</v>
      </c>
      <c r="S301" s="56"/>
      <c r="T301" s="50" t="s">
        <v>998</v>
      </c>
      <c r="U301" s="57"/>
      <c r="V301" s="44"/>
      <c r="W301" s="44"/>
      <c r="X301" s="50">
        <v>1.0</v>
      </c>
      <c r="Y301" s="50" t="s">
        <v>80</v>
      </c>
      <c r="Z301" s="58" t="s">
        <v>81</v>
      </c>
      <c r="AA301" s="59" t="str">
        <f>IF(Rentabilidad=0,"No aplica",TEXT(ROUND(Precio/Rentabilidad/12,0),0) &amp; " años")</f>
        <v>No aplica</v>
      </c>
      <c r="AB301" s="82" t="s">
        <v>2252</v>
      </c>
      <c r="AC301" s="131" t="s">
        <v>2253</v>
      </c>
      <c r="AD301" s="107" t="s">
        <v>2254</v>
      </c>
      <c r="AE301" s="63"/>
      <c r="AF301" s="64" t="s">
        <v>84</v>
      </c>
      <c r="AG301" s="65" t="s">
        <v>106</v>
      </c>
      <c r="AH301" s="63"/>
      <c r="AI301" s="65" t="s">
        <v>1747</v>
      </c>
      <c r="AJ301" s="64" t="s">
        <v>1834</v>
      </c>
      <c r="AK301" s="50" t="s">
        <v>81</v>
      </c>
      <c r="AL301" s="45" t="s">
        <v>109</v>
      </c>
      <c r="AM301" s="50">
        <v>3.124438238E9</v>
      </c>
      <c r="AN301" s="64">
        <v>0.0</v>
      </c>
      <c r="AO301" s="43" t="s">
        <v>2255</v>
      </c>
      <c r="AP301" s="67"/>
      <c r="AQ301" s="143">
        <v>2.8524988</v>
      </c>
      <c r="AR301" s="143">
        <v>-75.3388182</v>
      </c>
      <c r="AS301" s="94">
        <v>0.0</v>
      </c>
      <c r="AT301" s="65">
        <v>0.0</v>
      </c>
      <c r="AU301" s="50">
        <v>0.0</v>
      </c>
      <c r="AV301" s="50">
        <v>0.0</v>
      </c>
      <c r="AW301" s="50" t="s">
        <v>88</v>
      </c>
      <c r="AX301" s="50">
        <v>0.0</v>
      </c>
      <c r="AY301" s="50">
        <v>0.0</v>
      </c>
      <c r="AZ301" s="50">
        <v>0.0</v>
      </c>
      <c r="BA301" s="43" t="s">
        <v>89</v>
      </c>
      <c r="BB301" s="50">
        <v>0.0</v>
      </c>
      <c r="BC301" s="69" t="s">
        <v>716</v>
      </c>
      <c r="BD301" s="70"/>
      <c r="BE301" s="71"/>
      <c r="BF301" s="72" t="s">
        <v>2256</v>
      </c>
      <c r="BG301" s="73"/>
      <c r="BH301" s="73"/>
      <c r="BI301" s="73"/>
      <c r="BJ301" s="73"/>
      <c r="BK301" s="73"/>
      <c r="BL301" s="73"/>
      <c r="BM301" s="73"/>
      <c r="BN301" s="73"/>
      <c r="BO301" s="73"/>
      <c r="BP301" s="73"/>
      <c r="BQ301" s="73"/>
      <c r="BR301" s="73"/>
      <c r="BS301" s="73"/>
      <c r="BT301" s="73"/>
      <c r="BU301" s="73"/>
      <c r="BV301" s="73"/>
      <c r="BW301" s="74"/>
      <c r="BX301" s="74"/>
      <c r="BY301" s="63"/>
      <c r="BZ301" s="63"/>
    </row>
    <row r="302" ht="15.75" customHeight="1">
      <c r="A302" s="272" t="s">
        <v>2257</v>
      </c>
      <c r="B302" s="50" t="s">
        <v>2258</v>
      </c>
      <c r="C302" s="50" t="s">
        <v>271</v>
      </c>
      <c r="D302" s="50" t="s">
        <v>1284</v>
      </c>
      <c r="E302" s="77"/>
      <c r="F302" s="78">
        <v>7.0E8</v>
      </c>
      <c r="G302" s="44" t="str">
        <f t="shared" si="8"/>
        <v>$500'000.000 a $1.000'000.000</v>
      </c>
      <c r="H302" s="44"/>
      <c r="I302" s="44"/>
      <c r="J302" s="50" t="s">
        <v>116</v>
      </c>
      <c r="K302" s="51"/>
      <c r="L302" s="50">
        <v>4.0</v>
      </c>
      <c r="M302" s="50"/>
      <c r="N302" s="50">
        <v>4.0</v>
      </c>
      <c r="O302" s="50">
        <v>2.0</v>
      </c>
      <c r="P302" s="50">
        <v>2.0</v>
      </c>
      <c r="Q302" s="79">
        <v>310.0</v>
      </c>
      <c r="R302" s="79">
        <v>171.0</v>
      </c>
      <c r="S302" s="56" t="str">
        <f t="shared" ref="S302:S320" si="12">IF(AS302=0," ","Rentabilidad $" &amp; TEXT(AS302,"#,##0"))</f>
        <v>Rentabilidad $3,000,000</v>
      </c>
      <c r="T302" s="50" t="s">
        <v>78</v>
      </c>
      <c r="U302" s="51" t="s">
        <v>142</v>
      </c>
      <c r="V302" s="50" t="s">
        <v>79</v>
      </c>
      <c r="W302" s="50"/>
      <c r="X302" s="50">
        <v>3.0</v>
      </c>
      <c r="Y302" s="50" t="s">
        <v>119</v>
      </c>
      <c r="Z302" s="80" t="s">
        <v>81</v>
      </c>
      <c r="AA302" s="59"/>
      <c r="AB302" s="115" t="s">
        <v>2259</v>
      </c>
      <c r="AC302" s="61"/>
      <c r="AD302" s="125"/>
      <c r="AE302" s="63"/>
      <c r="AF302" s="64" t="s">
        <v>105</v>
      </c>
      <c r="AG302" s="65" t="s">
        <v>106</v>
      </c>
      <c r="AH302" s="65"/>
      <c r="AI302" s="65" t="s">
        <v>1747</v>
      </c>
      <c r="AJ302" s="64" t="s">
        <v>1834</v>
      </c>
      <c r="AK302" s="264" t="s">
        <v>1749</v>
      </c>
      <c r="AL302" s="45" t="s">
        <v>109</v>
      </c>
      <c r="AM302" s="43">
        <v>3.164446494E9</v>
      </c>
      <c r="AN302" s="64">
        <v>0.0</v>
      </c>
      <c r="AO302" s="182" t="s">
        <v>2260</v>
      </c>
      <c r="AP302" s="84" t="s">
        <v>2261</v>
      </c>
      <c r="AQ302" s="84">
        <v>2.9300172</v>
      </c>
      <c r="AR302" s="84">
        <v>-75.2682985</v>
      </c>
      <c r="AS302" s="85">
        <v>3000000.0</v>
      </c>
      <c r="AT302" s="50" t="s">
        <v>88</v>
      </c>
      <c r="AU302" s="43">
        <v>0.0</v>
      </c>
      <c r="AV302" s="43">
        <v>0.0</v>
      </c>
      <c r="AW302" s="43" t="s">
        <v>106</v>
      </c>
      <c r="AX302" s="43">
        <v>0.0</v>
      </c>
      <c r="AY302" s="43" t="s">
        <v>137</v>
      </c>
      <c r="AZ302" s="50">
        <v>9.0</v>
      </c>
      <c r="BA302" s="43" t="s">
        <v>89</v>
      </c>
      <c r="BB302" s="50">
        <v>19.0</v>
      </c>
      <c r="BC302" s="95" t="s">
        <v>2262</v>
      </c>
      <c r="BD302" s="71"/>
      <c r="BE302" s="71"/>
      <c r="BF302" s="72" t="s">
        <v>2263</v>
      </c>
      <c r="BG302" s="73"/>
      <c r="BH302" s="73"/>
      <c r="BI302" s="73"/>
      <c r="BJ302" s="73"/>
      <c r="BK302" s="73"/>
      <c r="BL302" s="73"/>
      <c r="BM302" s="73"/>
      <c r="BN302" s="73"/>
      <c r="BO302" s="73"/>
      <c r="BP302" s="73"/>
      <c r="BQ302" s="73"/>
      <c r="BR302" s="73"/>
      <c r="BS302" s="73"/>
      <c r="BT302" s="73"/>
      <c r="BU302" s="73"/>
      <c r="BV302" s="73"/>
      <c r="BW302" s="74"/>
      <c r="BX302" s="74"/>
      <c r="BY302" s="63"/>
      <c r="BZ302" s="63"/>
    </row>
    <row r="303" ht="15.75" customHeight="1">
      <c r="A303" s="267" t="s">
        <v>2264</v>
      </c>
      <c r="B303" s="50" t="s">
        <v>2265</v>
      </c>
      <c r="C303" s="50" t="s">
        <v>271</v>
      </c>
      <c r="D303" s="44" t="s">
        <v>2266</v>
      </c>
      <c r="E303" s="45"/>
      <c r="F303" s="47">
        <v>7.0E8</v>
      </c>
      <c r="G303" s="44" t="str">
        <f t="shared" si="8"/>
        <v>$500'000.000 a $1.000'000.000</v>
      </c>
      <c r="H303" s="44"/>
      <c r="I303" s="44"/>
      <c r="J303" s="43" t="s">
        <v>76</v>
      </c>
      <c r="K303" s="57"/>
      <c r="L303" s="52">
        <v>2.0</v>
      </c>
      <c r="M303" s="52"/>
      <c r="N303" s="43">
        <v>4.0</v>
      </c>
      <c r="O303" s="43">
        <v>0.0</v>
      </c>
      <c r="P303" s="52">
        <v>2.0</v>
      </c>
      <c r="Q303" s="55">
        <v>270.3</v>
      </c>
      <c r="R303" s="55">
        <v>242.3</v>
      </c>
      <c r="S303" s="56" t="str">
        <f t="shared" si="12"/>
        <v>Rentabilidad $3,500,000</v>
      </c>
      <c r="T303" s="52" t="s">
        <v>78</v>
      </c>
      <c r="U303" s="142" t="s">
        <v>142</v>
      </c>
      <c r="V303" s="43" t="s">
        <v>79</v>
      </c>
      <c r="W303" s="43"/>
      <c r="X303" s="52">
        <v>2.0</v>
      </c>
      <c r="Y303" s="43" t="s">
        <v>80</v>
      </c>
      <c r="Z303" s="80" t="s">
        <v>81</v>
      </c>
      <c r="AA303" s="59" t="str">
        <f>IF(Rentabilidad=0,"No aplica",TEXT(ROUND(Precio/Rentabilidad/12,0),0) &amp; " años")</f>
        <v>17 años</v>
      </c>
      <c r="AB303" s="140" t="s">
        <v>2267</v>
      </c>
      <c r="AC303" s="61"/>
      <c r="AD303" s="62"/>
      <c r="AE303" s="63"/>
      <c r="AF303" s="64" t="s">
        <v>236</v>
      </c>
      <c r="AG303" s="65" t="s">
        <v>106</v>
      </c>
      <c r="AI303" s="65" t="s">
        <v>1747</v>
      </c>
      <c r="AJ303" s="64" t="s">
        <v>1834</v>
      </c>
      <c r="AK303" s="264" t="s">
        <v>1749</v>
      </c>
      <c r="AL303" s="45" t="s">
        <v>86</v>
      </c>
      <c r="AM303" s="52">
        <v>3.112959568E9</v>
      </c>
      <c r="AN303" s="45">
        <v>3.108084131E9</v>
      </c>
      <c r="AO303" s="52" t="s">
        <v>2268</v>
      </c>
      <c r="AP303" s="67" t="s">
        <v>2269</v>
      </c>
      <c r="AQ303" s="143">
        <v>2.9379256</v>
      </c>
      <c r="AR303" s="143">
        <v>-75.2883962</v>
      </c>
      <c r="AS303" s="135">
        <v>3500000.0</v>
      </c>
      <c r="AT303" s="63">
        <v>0.0</v>
      </c>
      <c r="AU303" s="52">
        <v>0.0</v>
      </c>
      <c r="AV303" s="52">
        <v>0.0</v>
      </c>
      <c r="AW303" s="43" t="s">
        <v>88</v>
      </c>
      <c r="AX303" s="52">
        <v>0.0</v>
      </c>
      <c r="AY303" s="52">
        <v>0.0</v>
      </c>
      <c r="AZ303" s="43">
        <v>11.27</v>
      </c>
      <c r="BA303" s="43" t="s">
        <v>89</v>
      </c>
      <c r="BB303" s="43">
        <v>21.5</v>
      </c>
      <c r="BC303" s="69"/>
      <c r="BD303" s="70"/>
      <c r="BE303" s="70"/>
      <c r="BF303" s="72" t="s">
        <v>2270</v>
      </c>
      <c r="BG303" s="73"/>
      <c r="BH303" s="73"/>
      <c r="BI303" s="73"/>
      <c r="BJ303" s="73"/>
      <c r="BK303" s="73"/>
      <c r="BL303" s="73"/>
      <c r="BM303" s="73"/>
      <c r="BN303" s="73"/>
      <c r="BO303" s="73"/>
      <c r="BP303" s="73"/>
      <c r="BQ303" s="73"/>
      <c r="BR303" s="73"/>
      <c r="BS303" s="73"/>
      <c r="BT303" s="73"/>
      <c r="BU303" s="73"/>
      <c r="BV303" s="73"/>
      <c r="BW303" s="74"/>
      <c r="BX303" s="74"/>
      <c r="BY303" s="63"/>
      <c r="BZ303" s="63"/>
    </row>
    <row r="304" ht="15.75" customHeight="1">
      <c r="A304" s="266" t="s">
        <v>2271</v>
      </c>
      <c r="B304" s="50" t="s">
        <v>2272</v>
      </c>
      <c r="C304" s="50" t="s">
        <v>114</v>
      </c>
      <c r="D304" s="58" t="s">
        <v>376</v>
      </c>
      <c r="E304" s="64" t="s">
        <v>2273</v>
      </c>
      <c r="F304" s="78">
        <v>6.5E8</v>
      </c>
      <c r="G304" s="44" t="str">
        <f t="shared" si="8"/>
        <v>$500'000.000 a $1.000'000.000</v>
      </c>
      <c r="H304" s="44"/>
      <c r="I304" s="44"/>
      <c r="J304" s="50" t="s">
        <v>94</v>
      </c>
      <c r="K304" s="51"/>
      <c r="L304" s="281">
        <v>3.0</v>
      </c>
      <c r="M304" s="281"/>
      <c r="N304" s="281">
        <v>2.0</v>
      </c>
      <c r="O304" s="282">
        <v>2.0</v>
      </c>
      <c r="P304" s="281">
        <v>1.0</v>
      </c>
      <c r="Q304" s="113">
        <v>1200.0</v>
      </c>
      <c r="R304" s="55">
        <v>370.0</v>
      </c>
      <c r="S304" s="56" t="str">
        <f t="shared" si="12"/>
        <v> </v>
      </c>
      <c r="T304" s="44" t="s">
        <v>95</v>
      </c>
      <c r="U304" s="57" t="s">
        <v>184</v>
      </c>
      <c r="V304" s="52"/>
      <c r="W304" s="52"/>
      <c r="X304" s="281">
        <v>2.0</v>
      </c>
      <c r="Y304" s="43" t="s">
        <v>80</v>
      </c>
      <c r="Z304" s="80" t="s">
        <v>81</v>
      </c>
      <c r="AA304" s="59" t="str">
        <f>IF(Rentabilidad=0,"No aplica",TEXT(ROUND(Precio/Rentabilidad/12,0),0) &amp; " años")</f>
        <v>No aplica</v>
      </c>
      <c r="AB304" s="82" t="s">
        <v>2274</v>
      </c>
      <c r="AC304" s="83" t="s">
        <v>2275</v>
      </c>
      <c r="AD304" s="83" t="s">
        <v>2276</v>
      </c>
      <c r="AE304" s="63"/>
      <c r="AF304" s="45" t="s">
        <v>105</v>
      </c>
      <c r="AG304" s="65" t="s">
        <v>106</v>
      </c>
      <c r="AH304" s="65"/>
      <c r="AI304" s="65" t="s">
        <v>1747</v>
      </c>
      <c r="AJ304" s="64" t="s">
        <v>1834</v>
      </c>
      <c r="AK304" s="264" t="s">
        <v>1749</v>
      </c>
      <c r="AL304" s="45" t="s">
        <v>109</v>
      </c>
      <c r="AM304" s="52">
        <v>3.138436882E9</v>
      </c>
      <c r="AN304" s="45">
        <v>0.0</v>
      </c>
      <c r="AO304" s="43" t="s">
        <v>2277</v>
      </c>
      <c r="AP304" s="67" t="s">
        <v>2278</v>
      </c>
      <c r="AQ304" s="143">
        <v>2.8137394</v>
      </c>
      <c r="AR304" s="143">
        <v>-75.272419</v>
      </c>
      <c r="AS304" s="68">
        <v>0.0</v>
      </c>
      <c r="AT304" s="44">
        <v>0.0</v>
      </c>
      <c r="AU304" s="52">
        <v>0.0</v>
      </c>
      <c r="AV304" s="52">
        <v>0.0</v>
      </c>
      <c r="AW304" s="43" t="s">
        <v>88</v>
      </c>
      <c r="AX304" s="52">
        <v>0.0</v>
      </c>
      <c r="AY304" s="52" t="s">
        <v>106</v>
      </c>
      <c r="AZ304" s="44">
        <v>0.0</v>
      </c>
      <c r="BA304" s="43" t="s">
        <v>89</v>
      </c>
      <c r="BB304" s="44">
        <v>0.0</v>
      </c>
      <c r="BC304" s="170"/>
      <c r="BD304" s="156"/>
      <c r="BE304" s="156"/>
      <c r="BF304" s="157" t="s">
        <v>2279</v>
      </c>
      <c r="BG304" s="73"/>
      <c r="BH304" s="73"/>
      <c r="BI304" s="73"/>
      <c r="BJ304" s="73"/>
      <c r="BK304" s="73"/>
      <c r="BL304" s="73"/>
      <c r="BM304" s="73"/>
      <c r="BN304" s="73"/>
      <c r="BO304" s="73"/>
      <c r="BP304" s="73"/>
      <c r="BQ304" s="73"/>
      <c r="BR304" s="73"/>
      <c r="BS304" s="73"/>
      <c r="BT304" s="73"/>
      <c r="BU304" s="73"/>
      <c r="BV304" s="73"/>
      <c r="BW304" s="74"/>
      <c r="BX304" s="74"/>
      <c r="BY304" s="63"/>
      <c r="BZ304" s="63"/>
    </row>
    <row r="305" ht="15.75" customHeight="1">
      <c r="A305" s="266" t="s">
        <v>2280</v>
      </c>
      <c r="B305" s="112" t="s">
        <v>2281</v>
      </c>
      <c r="C305" s="50" t="s">
        <v>271</v>
      </c>
      <c r="D305" s="44" t="s">
        <v>1005</v>
      </c>
      <c r="E305" s="77" t="s">
        <v>376</v>
      </c>
      <c r="F305" s="47">
        <v>6.2E8</v>
      </c>
      <c r="G305" s="44" t="str">
        <f t="shared" si="8"/>
        <v>$500'000.000 a $1.000'000.000</v>
      </c>
      <c r="H305" s="44"/>
      <c r="I305" s="44"/>
      <c r="J305" s="50" t="s">
        <v>116</v>
      </c>
      <c r="K305" s="57"/>
      <c r="L305" s="44">
        <v>7.0</v>
      </c>
      <c r="M305" s="44"/>
      <c r="N305" s="44">
        <v>3.0</v>
      </c>
      <c r="O305" s="50">
        <v>1.0</v>
      </c>
      <c r="P305" s="44">
        <v>1.0</v>
      </c>
      <c r="Q305" s="113">
        <v>150.0</v>
      </c>
      <c r="R305" s="79">
        <v>460.2</v>
      </c>
      <c r="S305" s="56" t="str">
        <f t="shared" si="12"/>
        <v>Rentabilidad $1,800,000</v>
      </c>
      <c r="T305" s="44" t="s">
        <v>78</v>
      </c>
      <c r="U305" s="57" t="s">
        <v>77</v>
      </c>
      <c r="V305" s="50" t="s">
        <v>79</v>
      </c>
      <c r="W305" s="50"/>
      <c r="X305" s="44">
        <v>0.0</v>
      </c>
      <c r="Y305" s="50" t="s">
        <v>80</v>
      </c>
      <c r="Z305" s="80" t="s">
        <v>81</v>
      </c>
      <c r="AA305" s="59" t="str">
        <f>IF(Rentabilidad=0,"No aplica",TEXT(ROUND(Precio/Rentabilidad/12,0),0) &amp; " años")</f>
        <v>29 años</v>
      </c>
      <c r="AB305" s="115" t="s">
        <v>2282</v>
      </c>
      <c r="AC305" s="61"/>
      <c r="AD305" s="125" t="s">
        <v>2283</v>
      </c>
      <c r="AE305" s="63"/>
      <c r="AF305" s="64" t="s">
        <v>84</v>
      </c>
      <c r="AG305" s="65" t="s">
        <v>106</v>
      </c>
      <c r="AH305" s="65"/>
      <c r="AI305" s="65" t="s">
        <v>1747</v>
      </c>
      <c r="AJ305" s="64" t="s">
        <v>1834</v>
      </c>
      <c r="AK305" s="264" t="s">
        <v>1749</v>
      </c>
      <c r="AL305" s="45" t="s">
        <v>109</v>
      </c>
      <c r="AM305" s="52">
        <v>3.142126011E9</v>
      </c>
      <c r="AN305" s="45">
        <v>0.0</v>
      </c>
      <c r="AO305" s="52" t="s">
        <v>2284</v>
      </c>
      <c r="AP305" s="67" t="s">
        <v>2285</v>
      </c>
      <c r="AQ305" s="143">
        <v>2.931998</v>
      </c>
      <c r="AR305" s="143">
        <v>-75.2718859</v>
      </c>
      <c r="AS305" s="68">
        <v>1800000.0</v>
      </c>
      <c r="AT305" s="44">
        <v>0.0</v>
      </c>
      <c r="AU305" s="52">
        <v>0.0</v>
      </c>
      <c r="AV305" s="52">
        <v>0.0</v>
      </c>
      <c r="AW305" s="43" t="s">
        <v>88</v>
      </c>
      <c r="AX305" s="52">
        <v>0.0</v>
      </c>
      <c r="AY305" s="52">
        <v>0.0</v>
      </c>
      <c r="AZ305" s="44">
        <v>13.0</v>
      </c>
      <c r="BA305" s="43" t="s">
        <v>89</v>
      </c>
      <c r="BB305" s="44">
        <v>35.4</v>
      </c>
      <c r="BC305" s="69" t="s">
        <v>445</v>
      </c>
      <c r="BD305" s="70"/>
      <c r="BE305" s="71"/>
      <c r="BF305" s="72" t="s">
        <v>2286</v>
      </c>
      <c r="BG305" s="73"/>
      <c r="BH305" s="73"/>
      <c r="BI305" s="73"/>
      <c r="BJ305" s="73"/>
      <c r="BK305" s="73"/>
      <c r="BL305" s="73"/>
      <c r="BM305" s="73"/>
      <c r="BN305" s="73"/>
      <c r="BO305" s="73"/>
      <c r="BP305" s="73"/>
      <c r="BQ305" s="73"/>
      <c r="BR305" s="73"/>
      <c r="BS305" s="73"/>
      <c r="BT305" s="73"/>
      <c r="BU305" s="73"/>
      <c r="BV305" s="73"/>
      <c r="BW305" s="74"/>
      <c r="BX305" s="74"/>
      <c r="BY305" s="63"/>
      <c r="BZ305" s="63"/>
    </row>
    <row r="306" ht="15.75" customHeight="1">
      <c r="A306" s="266" t="s">
        <v>2287</v>
      </c>
      <c r="B306" s="50" t="s">
        <v>2288</v>
      </c>
      <c r="C306" s="50" t="s">
        <v>490</v>
      </c>
      <c r="D306" s="50" t="s">
        <v>131</v>
      </c>
      <c r="E306" s="64"/>
      <c r="F306" s="47">
        <v>6.0E8</v>
      </c>
      <c r="G306" s="44" t="str">
        <f t="shared" si="8"/>
        <v>$500'000.000 a $1.000'000.000</v>
      </c>
      <c r="H306" s="44"/>
      <c r="I306" s="44"/>
      <c r="J306" s="50" t="s">
        <v>183</v>
      </c>
      <c r="L306" s="44">
        <v>8.0</v>
      </c>
      <c r="M306" s="44"/>
      <c r="N306" s="50">
        <v>4.0</v>
      </c>
      <c r="O306" s="50">
        <v>1.0</v>
      </c>
      <c r="P306" s="44">
        <v>3.0</v>
      </c>
      <c r="Q306" s="113"/>
      <c r="R306" s="79">
        <v>105.0</v>
      </c>
      <c r="S306" s="56" t="str">
        <f t="shared" si="12"/>
        <v>Rentabilidad $2,700,000</v>
      </c>
      <c r="T306" s="44" t="s">
        <v>78</v>
      </c>
      <c r="U306" s="57" t="s">
        <v>184</v>
      </c>
      <c r="V306" s="50" t="s">
        <v>79</v>
      </c>
      <c r="W306" s="50"/>
      <c r="X306" s="44">
        <v>8.0</v>
      </c>
      <c r="Y306" s="50" t="s">
        <v>80</v>
      </c>
      <c r="Z306" s="58" t="s">
        <v>81</v>
      </c>
      <c r="AA306" s="59" t="str">
        <f>IF(Rentabilidad=0,"No aplica",TEXT(ROUND(Precio/Rentabilidad/12,0),0) &amp; " años")</f>
        <v>19 años</v>
      </c>
      <c r="AB306" s="134" t="s">
        <v>2289</v>
      </c>
      <c r="AC306" s="61"/>
      <c r="AD306" s="125" t="s">
        <v>2290</v>
      </c>
      <c r="AE306" s="63"/>
      <c r="AF306" s="45" t="s">
        <v>105</v>
      </c>
      <c r="AG306" s="65" t="s">
        <v>106</v>
      </c>
      <c r="AH306" s="65" t="s">
        <v>45</v>
      </c>
      <c r="AI306" s="65" t="s">
        <v>1747</v>
      </c>
      <c r="AJ306" s="64" t="s">
        <v>1834</v>
      </c>
      <c r="AK306" s="264" t="s">
        <v>1749</v>
      </c>
      <c r="AL306" s="45" t="s">
        <v>109</v>
      </c>
      <c r="AM306" s="52">
        <v>3.144031296E9</v>
      </c>
      <c r="AN306" s="45">
        <v>0.0</v>
      </c>
      <c r="AO306" s="52" t="s">
        <v>1907</v>
      </c>
      <c r="AP306" s="67" t="s">
        <v>2291</v>
      </c>
      <c r="AQ306" s="143">
        <v>2.9548926</v>
      </c>
      <c r="AR306" s="143">
        <v>-75.2867847</v>
      </c>
      <c r="AS306" s="85">
        <v>2700000.0</v>
      </c>
      <c r="AT306" s="44">
        <v>0.0</v>
      </c>
      <c r="AU306" s="52">
        <v>0.0</v>
      </c>
      <c r="AV306" s="52">
        <v>0.0</v>
      </c>
      <c r="AW306" s="43" t="s">
        <v>88</v>
      </c>
      <c r="AX306" s="52">
        <v>0.0</v>
      </c>
      <c r="AY306" s="52">
        <v>0.0</v>
      </c>
      <c r="AZ306" s="44">
        <v>0.0</v>
      </c>
      <c r="BA306" s="43" t="s">
        <v>89</v>
      </c>
      <c r="BB306" s="44">
        <v>0.0</v>
      </c>
      <c r="BC306" s="95" t="s">
        <v>2292</v>
      </c>
      <c r="BD306" s="71"/>
      <c r="BE306" s="71"/>
      <c r="BF306" s="72" t="s">
        <v>2293</v>
      </c>
      <c r="BG306" s="73"/>
      <c r="BH306" s="73"/>
      <c r="BI306" s="73"/>
      <c r="BJ306" s="73"/>
      <c r="BK306" s="73"/>
      <c r="BL306" s="73"/>
      <c r="BM306" s="73"/>
      <c r="BN306" s="73"/>
      <c r="BO306" s="73"/>
      <c r="BP306" s="73"/>
      <c r="BQ306" s="73"/>
      <c r="BR306" s="73"/>
      <c r="BS306" s="73"/>
      <c r="BT306" s="73"/>
      <c r="BU306" s="73"/>
      <c r="BV306" s="73"/>
      <c r="BW306" s="74"/>
      <c r="BX306" s="74"/>
      <c r="BY306" s="63"/>
      <c r="BZ306" s="63"/>
    </row>
    <row r="307" ht="15.75" customHeight="1">
      <c r="A307" s="267" t="s">
        <v>2294</v>
      </c>
      <c r="B307" s="112" t="s">
        <v>2295</v>
      </c>
      <c r="C307" s="50" t="s">
        <v>93</v>
      </c>
      <c r="D307" s="202"/>
      <c r="E307" s="45"/>
      <c r="F307" s="47">
        <v>5.8E8</v>
      </c>
      <c r="G307" s="44" t="str">
        <f t="shared" si="8"/>
        <v>$500'000.000 a $1.000'000.000</v>
      </c>
      <c r="H307" s="44"/>
      <c r="I307" s="44"/>
      <c r="J307" s="50" t="s">
        <v>94</v>
      </c>
      <c r="K307" s="150"/>
      <c r="L307" s="52">
        <v>4.0</v>
      </c>
      <c r="M307" s="52"/>
      <c r="N307" s="52">
        <v>3.0</v>
      </c>
      <c r="O307" s="43">
        <v>1.0</v>
      </c>
      <c r="P307" s="52">
        <v>1.0</v>
      </c>
      <c r="Q307" s="55">
        <v>144.0</v>
      </c>
      <c r="R307" s="55">
        <v>4646.0</v>
      </c>
      <c r="S307" s="56" t="str">
        <f t="shared" si="12"/>
        <v> </v>
      </c>
      <c r="T307" s="52" t="s">
        <v>342</v>
      </c>
      <c r="U307" s="142" t="s">
        <v>241</v>
      </c>
      <c r="V307" s="52"/>
      <c r="W307" s="52"/>
      <c r="X307" s="52">
        <v>2.0</v>
      </c>
      <c r="Y307" s="43" t="s">
        <v>97</v>
      </c>
      <c r="Z307" s="80" t="s">
        <v>81</v>
      </c>
      <c r="AA307" s="59" t="str">
        <f>IF(Rentabilidad=0,"No aplica",TEXT(ROUND(Precio/Rentabilidad/12,0),0) &amp; " años")</f>
        <v>No aplica</v>
      </c>
      <c r="AB307" s="134" t="s">
        <v>2296</v>
      </c>
      <c r="AC307" s="61"/>
      <c r="AD307" s="125" t="s">
        <v>2297</v>
      </c>
      <c r="AE307" s="63"/>
      <c r="AF307" s="45" t="s">
        <v>236</v>
      </c>
      <c r="AG307" s="65" t="s">
        <v>106</v>
      </c>
      <c r="AH307" s="65"/>
      <c r="AI307" s="65" t="s">
        <v>1747</v>
      </c>
      <c r="AJ307" s="64" t="s">
        <v>1834</v>
      </c>
      <c r="AK307" s="264" t="s">
        <v>1749</v>
      </c>
      <c r="AL307" s="45" t="s">
        <v>109</v>
      </c>
      <c r="AM307" s="52">
        <v>3.102933265E9</v>
      </c>
      <c r="AN307" s="45">
        <v>3.102933265E9</v>
      </c>
      <c r="AO307" s="52" t="s">
        <v>2298</v>
      </c>
      <c r="AP307" s="67" t="s">
        <v>2299</v>
      </c>
      <c r="AQ307" s="143">
        <v>2.8426626</v>
      </c>
      <c r="AR307" s="143">
        <v>-75.3271299</v>
      </c>
      <c r="AS307" s="135">
        <v>0.0</v>
      </c>
      <c r="AT307" s="44">
        <v>0.0</v>
      </c>
      <c r="AU307" s="52">
        <v>0.0</v>
      </c>
      <c r="AV307" s="52">
        <v>0.0</v>
      </c>
      <c r="AW307" s="43" t="s">
        <v>88</v>
      </c>
      <c r="AX307" s="52">
        <v>0.0</v>
      </c>
      <c r="AY307" s="43" t="s">
        <v>110</v>
      </c>
      <c r="AZ307" s="52">
        <v>12.0</v>
      </c>
      <c r="BA307" s="43" t="s">
        <v>89</v>
      </c>
      <c r="BB307" s="52">
        <v>12.0</v>
      </c>
      <c r="BC307" s="69" t="s">
        <v>716</v>
      </c>
      <c r="BD307" s="70"/>
      <c r="BE307" s="70"/>
      <c r="BF307" s="72" t="s">
        <v>2300</v>
      </c>
      <c r="BG307" s="73"/>
      <c r="BH307" s="73"/>
      <c r="BI307" s="73"/>
      <c r="BJ307" s="73"/>
      <c r="BK307" s="73"/>
      <c r="BL307" s="73"/>
      <c r="BM307" s="73"/>
      <c r="BN307" s="73"/>
      <c r="BO307" s="73"/>
      <c r="BP307" s="73"/>
      <c r="BQ307" s="73"/>
      <c r="BR307" s="73"/>
      <c r="BS307" s="73"/>
      <c r="BT307" s="73"/>
      <c r="BU307" s="73"/>
      <c r="BV307" s="73"/>
      <c r="BW307" s="74"/>
      <c r="BX307" s="74"/>
      <c r="BY307" s="63"/>
      <c r="BZ307" s="63"/>
    </row>
    <row r="308" ht="15.75" customHeight="1">
      <c r="A308" s="224" t="s">
        <v>2301</v>
      </c>
      <c r="B308" s="50" t="s">
        <v>2302</v>
      </c>
      <c r="C308" s="50" t="s">
        <v>490</v>
      </c>
      <c r="D308" s="44" t="s">
        <v>11</v>
      </c>
      <c r="E308" s="77" t="s">
        <v>376</v>
      </c>
      <c r="F308" s="47">
        <v>5.8E8</v>
      </c>
      <c r="G308" s="44" t="str">
        <f t="shared" si="8"/>
        <v>$500'000.000 a $1.000'000.000</v>
      </c>
      <c r="H308" s="44"/>
      <c r="I308" s="44"/>
      <c r="J308" s="50" t="s">
        <v>183</v>
      </c>
      <c r="K308" s="51" t="s">
        <v>184</v>
      </c>
      <c r="L308" s="43">
        <v>14.0</v>
      </c>
      <c r="M308" s="43"/>
      <c r="N308" s="43">
        <v>7.0</v>
      </c>
      <c r="O308" s="43">
        <v>1.0</v>
      </c>
      <c r="P308" s="52">
        <v>3.0</v>
      </c>
      <c r="Q308" s="54">
        <f>SUM(U308*X308)</f>
        <v>12</v>
      </c>
      <c r="R308" s="55">
        <v>180.0</v>
      </c>
      <c r="S308" s="56" t="str">
        <f t="shared" si="12"/>
        <v>Rentabilidad $2,800,000</v>
      </c>
      <c r="T308" s="52" t="s">
        <v>78</v>
      </c>
      <c r="U308" s="142" t="s">
        <v>184</v>
      </c>
      <c r="V308" s="43" t="s">
        <v>79</v>
      </c>
      <c r="W308" s="43"/>
      <c r="X308" s="52">
        <v>6.0</v>
      </c>
      <c r="Y308" s="94" t="s">
        <v>80</v>
      </c>
      <c r="Z308" s="80" t="s">
        <v>81</v>
      </c>
      <c r="AA308" s="59" t="str">
        <f>IF(Rentabilidad=0,"No aplica",TEXT(ROUND(Precio/Rentabilidad/12,0),0) &amp; " años")</f>
        <v>17 años</v>
      </c>
      <c r="AB308" s="134" t="s">
        <v>2303</v>
      </c>
      <c r="AC308" s="131" t="s">
        <v>2304</v>
      </c>
      <c r="AD308" s="125" t="s">
        <v>2305</v>
      </c>
      <c r="AE308" s="63"/>
      <c r="AF308" s="45" t="s">
        <v>105</v>
      </c>
      <c r="AG308" s="65" t="s">
        <v>106</v>
      </c>
      <c r="AH308" s="65" t="s">
        <v>45</v>
      </c>
      <c r="AI308" s="65" t="s">
        <v>1747</v>
      </c>
      <c r="AJ308" s="64" t="s">
        <v>1834</v>
      </c>
      <c r="AK308" s="225" t="s">
        <v>2306</v>
      </c>
      <c r="AL308" s="45" t="s">
        <v>109</v>
      </c>
      <c r="AM308" s="52"/>
      <c r="AN308" s="45"/>
      <c r="AO308" s="52"/>
      <c r="AP308" s="67" t="s">
        <v>2307</v>
      </c>
      <c r="AQ308" s="143">
        <v>2.9488397</v>
      </c>
      <c r="AR308" s="143">
        <v>-75.2895589</v>
      </c>
      <c r="AS308" s="94">
        <v>2800000.0</v>
      </c>
      <c r="AT308" s="44">
        <v>0.0</v>
      </c>
      <c r="AU308" s="52">
        <v>0.0</v>
      </c>
      <c r="AV308" s="52">
        <v>0.0</v>
      </c>
      <c r="AW308" s="43" t="s">
        <v>88</v>
      </c>
      <c r="AX308" s="52">
        <v>0.0</v>
      </c>
      <c r="AY308" s="52">
        <v>0.0</v>
      </c>
      <c r="AZ308" s="52">
        <v>9.0</v>
      </c>
      <c r="BA308" s="43" t="s">
        <v>89</v>
      </c>
      <c r="BB308" s="52">
        <v>20.0</v>
      </c>
      <c r="BC308" s="95"/>
      <c r="BD308" s="71"/>
      <c r="BE308" s="71"/>
      <c r="BF308" s="72" t="s">
        <v>2308</v>
      </c>
      <c r="BG308" s="73"/>
      <c r="BH308" s="73"/>
      <c r="BI308" s="73"/>
      <c r="BJ308" s="73"/>
      <c r="BK308" s="73"/>
      <c r="BL308" s="73"/>
      <c r="BM308" s="73"/>
      <c r="BN308" s="73"/>
      <c r="BO308" s="73"/>
      <c r="BP308" s="73"/>
      <c r="BQ308" s="73"/>
      <c r="BR308" s="73"/>
      <c r="BS308" s="73"/>
      <c r="BT308" s="73"/>
      <c r="BU308" s="73"/>
      <c r="BV308" s="73"/>
      <c r="BW308" s="74"/>
      <c r="BX308" s="74"/>
      <c r="BY308" s="63"/>
      <c r="BZ308" s="63"/>
    </row>
    <row r="309" ht="15.75" customHeight="1">
      <c r="A309" s="266" t="s">
        <v>2309</v>
      </c>
      <c r="B309" s="112" t="s">
        <v>2310</v>
      </c>
      <c r="C309" s="50" t="s">
        <v>271</v>
      </c>
      <c r="D309" s="44" t="s">
        <v>2266</v>
      </c>
      <c r="E309" s="45"/>
      <c r="F309" s="47">
        <v>5.5E8</v>
      </c>
      <c r="G309" s="44" t="str">
        <f t="shared" si="8"/>
        <v>$500'000.000 a $1.000'000.000</v>
      </c>
      <c r="H309" s="44"/>
      <c r="I309" s="44"/>
      <c r="J309" s="50" t="s">
        <v>76</v>
      </c>
      <c r="K309" s="57"/>
      <c r="L309" s="44">
        <v>6.0</v>
      </c>
      <c r="M309" s="44"/>
      <c r="N309" s="44">
        <v>4.0</v>
      </c>
      <c r="O309" s="50">
        <v>0.0</v>
      </c>
      <c r="P309" s="44">
        <v>1.0</v>
      </c>
      <c r="Q309" s="113">
        <v>266.0</v>
      </c>
      <c r="R309" s="79">
        <v>266.0</v>
      </c>
      <c r="S309" s="56" t="str">
        <f t="shared" si="12"/>
        <v>Rentabilidad $1,300,000</v>
      </c>
      <c r="T309" s="52" t="s">
        <v>78</v>
      </c>
      <c r="U309" s="51" t="s">
        <v>679</v>
      </c>
      <c r="V309" s="50" t="s">
        <v>79</v>
      </c>
      <c r="W309" s="50"/>
      <c r="X309" s="44">
        <v>2.0</v>
      </c>
      <c r="Y309" s="50" t="s">
        <v>80</v>
      </c>
      <c r="Z309" s="80" t="s">
        <v>81</v>
      </c>
      <c r="AA309" s="59" t="str">
        <f>IF(Rentabilidad=0,"No aplica",TEXT(ROUND(Precio/Rentabilidad/12,0),0) &amp; " años")</f>
        <v>35 años</v>
      </c>
      <c r="AB309" s="140" t="s">
        <v>2311</v>
      </c>
      <c r="AC309" s="61"/>
      <c r="AD309" s="125" t="s">
        <v>2312</v>
      </c>
      <c r="AE309" s="63"/>
      <c r="AF309" s="64" t="s">
        <v>84</v>
      </c>
      <c r="AG309" s="65" t="s">
        <v>106</v>
      </c>
      <c r="AH309" s="65"/>
      <c r="AI309" s="65" t="s">
        <v>1747</v>
      </c>
      <c r="AJ309" s="64" t="s">
        <v>1834</v>
      </c>
      <c r="AK309" s="225" t="s">
        <v>1749</v>
      </c>
      <c r="AL309" s="45" t="s">
        <v>109</v>
      </c>
      <c r="AM309" s="52">
        <v>3.18392022E9</v>
      </c>
      <c r="AN309" s="45">
        <v>0.0</v>
      </c>
      <c r="AO309" s="52" t="s">
        <v>2313</v>
      </c>
      <c r="AP309" s="67" t="s">
        <v>2314</v>
      </c>
      <c r="AQ309" s="143">
        <v>2.9379416</v>
      </c>
      <c r="AR309" s="143">
        <v>-75.2883034</v>
      </c>
      <c r="AS309" s="68">
        <v>1300000.0</v>
      </c>
      <c r="AT309" s="52">
        <v>0.0</v>
      </c>
      <c r="AU309" s="52">
        <v>0.0</v>
      </c>
      <c r="AV309" s="52">
        <v>0.0</v>
      </c>
      <c r="AW309" s="52" t="s">
        <v>88</v>
      </c>
      <c r="AX309" s="52">
        <v>0.0</v>
      </c>
      <c r="AY309" s="52" t="s">
        <v>106</v>
      </c>
      <c r="AZ309" s="52">
        <v>0.0</v>
      </c>
      <c r="BA309" s="43" t="s">
        <v>89</v>
      </c>
      <c r="BB309" s="52">
        <v>0.0</v>
      </c>
      <c r="BC309" s="109"/>
      <c r="BD309" s="70"/>
      <c r="BE309" s="71"/>
      <c r="BF309" s="72" t="s">
        <v>2315</v>
      </c>
      <c r="BG309" s="73"/>
      <c r="BH309" s="73"/>
      <c r="BI309" s="73"/>
      <c r="BJ309" s="73"/>
      <c r="BK309" s="73"/>
      <c r="BL309" s="73"/>
      <c r="BM309" s="73"/>
      <c r="BN309" s="73"/>
      <c r="BO309" s="73"/>
      <c r="BP309" s="73"/>
      <c r="BQ309" s="73"/>
      <c r="BR309" s="73"/>
      <c r="BS309" s="73"/>
      <c r="BT309" s="73"/>
      <c r="BU309" s="73"/>
      <c r="BV309" s="73"/>
      <c r="BW309" s="74"/>
      <c r="BX309" s="74"/>
      <c r="BY309" s="63"/>
      <c r="BZ309" s="63"/>
    </row>
    <row r="310" ht="15.75" customHeight="1">
      <c r="A310" s="75" t="s">
        <v>2316</v>
      </c>
      <c r="B310" s="50" t="s">
        <v>2317</v>
      </c>
      <c r="C310" s="50" t="s">
        <v>114</v>
      </c>
      <c r="D310" s="50"/>
      <c r="E310" s="64"/>
      <c r="F310" s="78">
        <v>5.5E8</v>
      </c>
      <c r="G310" s="44" t="str">
        <f t="shared" si="8"/>
        <v>$500'000.000 a $1.000'000.000</v>
      </c>
      <c r="H310" s="44"/>
      <c r="I310" s="44"/>
      <c r="J310" s="50" t="s">
        <v>94</v>
      </c>
      <c r="K310" s="51"/>
      <c r="L310" s="50">
        <v>4.0</v>
      </c>
      <c r="M310" s="50"/>
      <c r="N310" s="50">
        <v>4.0</v>
      </c>
      <c r="O310" s="50">
        <v>2.0</v>
      </c>
      <c r="P310" s="50">
        <v>2.0</v>
      </c>
      <c r="Q310" s="88">
        <v>405.0</v>
      </c>
      <c r="R310" s="88">
        <v>1900.0</v>
      </c>
      <c r="S310" s="56" t="str">
        <f t="shared" si="12"/>
        <v> </v>
      </c>
      <c r="T310" s="50" t="s">
        <v>95</v>
      </c>
      <c r="U310" s="51" t="s">
        <v>184</v>
      </c>
      <c r="V310" s="50" t="s">
        <v>79</v>
      </c>
      <c r="W310" s="50"/>
      <c r="X310" s="50">
        <v>3.0</v>
      </c>
      <c r="Y310" s="50" t="s">
        <v>97</v>
      </c>
      <c r="Z310" s="58" t="s">
        <v>81</v>
      </c>
      <c r="AA310" s="59" t="str">
        <f>IF(Rentabilidad=0,"No aplica",TEXT(ROUND(Precio/Rentabilidad/12,0),0) &amp; " años")</f>
        <v>No aplica</v>
      </c>
      <c r="AB310" s="82" t="s">
        <v>2318</v>
      </c>
      <c r="AC310" s="83" t="s">
        <v>2319</v>
      </c>
      <c r="AD310" s="83" t="s">
        <v>2320</v>
      </c>
      <c r="AE310" s="63"/>
      <c r="AF310" s="64" t="s">
        <v>236</v>
      </c>
      <c r="AG310" s="65" t="s">
        <v>106</v>
      </c>
      <c r="AH310" s="63"/>
      <c r="AI310" s="65" t="s">
        <v>1747</v>
      </c>
      <c r="AJ310" s="64" t="s">
        <v>1834</v>
      </c>
      <c r="AK310" s="225" t="s">
        <v>1749</v>
      </c>
      <c r="AL310" s="45" t="s">
        <v>86</v>
      </c>
      <c r="AM310" s="50">
        <v>3.114915724E9</v>
      </c>
      <c r="AN310" s="64">
        <v>0.0</v>
      </c>
      <c r="AO310" s="43" t="s">
        <v>2321</v>
      </c>
      <c r="AP310" s="67"/>
      <c r="AQ310" s="67"/>
      <c r="AR310" s="67"/>
      <c r="AS310" s="94">
        <v>0.0</v>
      </c>
      <c r="AT310" s="65">
        <v>0.0</v>
      </c>
      <c r="AU310" s="50">
        <v>0.0</v>
      </c>
      <c r="AV310" s="50">
        <v>0.0</v>
      </c>
      <c r="AW310" s="50" t="s">
        <v>88</v>
      </c>
      <c r="AX310" s="50">
        <v>0.0</v>
      </c>
      <c r="AY310" s="50">
        <v>0.0</v>
      </c>
      <c r="AZ310" s="50">
        <v>0.0</v>
      </c>
      <c r="BA310" s="43" t="s">
        <v>89</v>
      </c>
      <c r="BB310" s="50">
        <v>0.0</v>
      </c>
      <c r="BC310" s="95"/>
      <c r="BD310" s="71"/>
      <c r="BE310" s="71"/>
      <c r="BF310" s="72" t="s">
        <v>2322</v>
      </c>
      <c r="BG310" s="73"/>
      <c r="BH310" s="73"/>
      <c r="BI310" s="73"/>
      <c r="BJ310" s="73"/>
      <c r="BK310" s="73"/>
      <c r="BL310" s="73"/>
      <c r="BM310" s="73"/>
      <c r="BN310" s="73"/>
      <c r="BO310" s="73"/>
      <c r="BP310" s="73"/>
      <c r="BQ310" s="73"/>
      <c r="BR310" s="73"/>
      <c r="BS310" s="73"/>
      <c r="BT310" s="73"/>
      <c r="BU310" s="73"/>
      <c r="BV310" s="73"/>
      <c r="BW310" s="74"/>
      <c r="BX310" s="74"/>
      <c r="BY310" s="63"/>
      <c r="BZ310" s="63"/>
    </row>
    <row r="311" ht="15.75" customHeight="1">
      <c r="A311" s="272" t="s">
        <v>2323</v>
      </c>
      <c r="B311" s="50" t="s">
        <v>2324</v>
      </c>
      <c r="C311" s="50" t="s">
        <v>573</v>
      </c>
      <c r="D311" s="50" t="s">
        <v>76</v>
      </c>
      <c r="E311" s="77"/>
      <c r="F311" s="78">
        <v>4.2E8</v>
      </c>
      <c r="G311" s="44" t="str">
        <f t="shared" si="8"/>
        <v>$400'000.000 a $500'000.000</v>
      </c>
      <c r="H311" s="44"/>
      <c r="I311" s="44"/>
      <c r="J311" s="50" t="s">
        <v>76</v>
      </c>
      <c r="K311" s="51"/>
      <c r="L311" s="50">
        <v>3.0</v>
      </c>
      <c r="M311" s="50"/>
      <c r="N311" s="50">
        <v>2.0</v>
      </c>
      <c r="O311" s="50">
        <v>1.0</v>
      </c>
      <c r="P311" s="50">
        <v>6.0</v>
      </c>
      <c r="Q311" s="79">
        <v>89.75</v>
      </c>
      <c r="R311" s="79">
        <v>89.75</v>
      </c>
      <c r="S311" s="56" t="str">
        <f t="shared" si="12"/>
        <v> </v>
      </c>
      <c r="T311" s="50" t="s">
        <v>78</v>
      </c>
      <c r="U311" s="51" t="s">
        <v>154</v>
      </c>
      <c r="V311" s="50" t="s">
        <v>696</v>
      </c>
      <c r="W311" s="50"/>
      <c r="X311" s="50">
        <v>3.0</v>
      </c>
      <c r="Y311" s="50" t="s">
        <v>130</v>
      </c>
      <c r="Z311" s="80">
        <v>432000.0</v>
      </c>
      <c r="AA311" s="81" t="s">
        <v>81</v>
      </c>
      <c r="AB311" s="140" t="s">
        <v>2325</v>
      </c>
      <c r="AC311" s="131" t="s">
        <v>2326</v>
      </c>
      <c r="AD311" s="107" t="s">
        <v>2327</v>
      </c>
      <c r="AE311" s="63"/>
      <c r="AF311" s="64" t="s">
        <v>105</v>
      </c>
      <c r="AG311" s="65" t="s">
        <v>106</v>
      </c>
      <c r="AH311" s="65"/>
      <c r="AI311" s="65" t="s">
        <v>1747</v>
      </c>
      <c r="AJ311" s="64" t="s">
        <v>1834</v>
      </c>
      <c r="AK311" s="225" t="s">
        <v>1749</v>
      </c>
      <c r="AL311" s="64" t="s">
        <v>109</v>
      </c>
      <c r="AM311" s="43">
        <v>3.153727474E9</v>
      </c>
      <c r="AN311" s="64">
        <v>0.0</v>
      </c>
      <c r="AO311" s="43" t="s">
        <v>2328</v>
      </c>
      <c r="AP311" s="67"/>
      <c r="AQ311" s="143">
        <v>2.9310805</v>
      </c>
      <c r="AR311" s="143">
        <v>-75.284748</v>
      </c>
      <c r="AS311" s="85">
        <v>0.0</v>
      </c>
      <c r="AT311" s="50" t="s">
        <v>106</v>
      </c>
      <c r="AU311" s="50">
        <v>0.0</v>
      </c>
      <c r="AV311" s="50" t="s">
        <v>106</v>
      </c>
      <c r="AW311" s="50" t="s">
        <v>88</v>
      </c>
      <c r="AX311" s="50">
        <v>8.0</v>
      </c>
      <c r="AY311" s="50">
        <v>0.0</v>
      </c>
      <c r="AZ311" s="50">
        <v>0.0</v>
      </c>
      <c r="BA311" s="43" t="s">
        <v>89</v>
      </c>
      <c r="BB311" s="50">
        <v>0.0</v>
      </c>
      <c r="BC311" s="95" t="s">
        <v>1735</v>
      </c>
      <c r="BD311" s="71"/>
      <c r="BE311" s="71"/>
      <c r="BF311" s="72" t="s">
        <v>2329</v>
      </c>
      <c r="BG311" s="73"/>
      <c r="BH311" s="73"/>
      <c r="BI311" s="73"/>
      <c r="BJ311" s="73"/>
      <c r="BK311" s="73"/>
      <c r="BL311" s="73"/>
      <c r="BM311" s="73"/>
      <c r="BN311" s="73"/>
      <c r="BO311" s="73"/>
      <c r="BP311" s="73"/>
      <c r="BQ311" s="73"/>
      <c r="BR311" s="73"/>
      <c r="BS311" s="73"/>
      <c r="BT311" s="73"/>
      <c r="BU311" s="73"/>
      <c r="BV311" s="73"/>
      <c r="BW311" s="74"/>
      <c r="BX311" s="74"/>
      <c r="BY311" s="63"/>
      <c r="BZ311" s="63"/>
    </row>
    <row r="312" ht="15.75" customHeight="1">
      <c r="A312" s="224" t="s">
        <v>2330</v>
      </c>
      <c r="B312" s="112" t="s">
        <v>436</v>
      </c>
      <c r="C312" s="50" t="s">
        <v>70</v>
      </c>
      <c r="D312" s="44" t="s">
        <v>11</v>
      </c>
      <c r="E312" s="77" t="s">
        <v>376</v>
      </c>
      <c r="F312" s="47">
        <v>4.0E8</v>
      </c>
      <c r="G312" s="44" t="str">
        <f t="shared" si="8"/>
        <v>$400'000.000 a $500'000.000</v>
      </c>
      <c r="H312" s="44"/>
      <c r="I312" s="44"/>
      <c r="J312" s="50" t="s">
        <v>183</v>
      </c>
      <c r="K312" s="51" t="s">
        <v>184</v>
      </c>
      <c r="L312" s="52">
        <v>5.0</v>
      </c>
      <c r="M312" s="52"/>
      <c r="N312" s="52">
        <v>2.0</v>
      </c>
      <c r="O312" s="43">
        <v>3.0</v>
      </c>
      <c r="P312" s="44">
        <v>1.0</v>
      </c>
      <c r="Q312" s="113">
        <v>188.0</v>
      </c>
      <c r="R312" s="55">
        <v>188.1</v>
      </c>
      <c r="S312" s="56" t="str">
        <f t="shared" si="12"/>
        <v>Rentabilidad $800,000</v>
      </c>
      <c r="T312" s="44" t="s">
        <v>78</v>
      </c>
      <c r="U312" s="57" t="s">
        <v>184</v>
      </c>
      <c r="V312" s="43" t="s">
        <v>118</v>
      </c>
      <c r="W312" s="43"/>
      <c r="X312" s="52">
        <v>2.0</v>
      </c>
      <c r="Y312" s="94" t="s">
        <v>80</v>
      </c>
      <c r="Z312" s="58" t="s">
        <v>81</v>
      </c>
      <c r="AA312" s="59" t="str">
        <f>IF(Rentabilidad=0,"No aplica",TEXT(ROUND(Precio/Rentabilidad/12,0),0) &amp; " años")</f>
        <v>42 años</v>
      </c>
      <c r="AB312" s="134" t="s">
        <v>2331</v>
      </c>
      <c r="AC312" s="102" t="s">
        <v>2332</v>
      </c>
      <c r="AD312" s="125" t="s">
        <v>2333</v>
      </c>
      <c r="AE312" s="63"/>
      <c r="AF312" s="45" t="s">
        <v>105</v>
      </c>
      <c r="AG312" s="65" t="s">
        <v>106</v>
      </c>
      <c r="AH312" s="65" t="s">
        <v>45</v>
      </c>
      <c r="AI312" s="65" t="s">
        <v>1747</v>
      </c>
      <c r="AJ312" s="64" t="s">
        <v>1834</v>
      </c>
      <c r="AK312" s="225" t="s">
        <v>2306</v>
      </c>
      <c r="AL312" s="45" t="s">
        <v>109</v>
      </c>
      <c r="AM312" s="52">
        <v>3.163995297E9</v>
      </c>
      <c r="AN312" s="45"/>
      <c r="AO312" s="43" t="s">
        <v>2334</v>
      </c>
      <c r="AP312" s="67">
        <v>0.0</v>
      </c>
      <c r="AQ312" s="143">
        <v>2.9455331</v>
      </c>
      <c r="AR312" s="143">
        <v>-75.2898251</v>
      </c>
      <c r="AS312" s="68">
        <v>800000.0</v>
      </c>
      <c r="AT312" s="44">
        <v>0.0</v>
      </c>
      <c r="AU312" s="52">
        <v>0.0</v>
      </c>
      <c r="AV312" s="52">
        <v>0.0</v>
      </c>
      <c r="AW312" s="43" t="s">
        <v>88</v>
      </c>
      <c r="AX312" s="52">
        <v>0.0</v>
      </c>
      <c r="AY312" s="52">
        <v>0.0</v>
      </c>
      <c r="AZ312" s="44">
        <v>9.5</v>
      </c>
      <c r="BA312" s="43" t="s">
        <v>89</v>
      </c>
      <c r="BB312" s="44">
        <v>19.8</v>
      </c>
      <c r="BC312" s="127" t="s">
        <v>439</v>
      </c>
      <c r="BD312" s="156"/>
      <c r="BE312" s="156"/>
      <c r="BF312" s="157" t="s">
        <v>2335</v>
      </c>
      <c r="BG312" s="73"/>
      <c r="BH312" s="73"/>
      <c r="BI312" s="73"/>
      <c r="BJ312" s="73"/>
      <c r="BK312" s="73"/>
      <c r="BL312" s="73"/>
      <c r="BM312" s="73"/>
      <c r="BN312" s="73"/>
      <c r="BO312" s="73"/>
      <c r="BP312" s="73"/>
      <c r="BQ312" s="73"/>
      <c r="BR312" s="73"/>
      <c r="BS312" s="73"/>
      <c r="BT312" s="73"/>
      <c r="BU312" s="73"/>
      <c r="BV312" s="73"/>
      <c r="BW312" s="74"/>
      <c r="BX312" s="74"/>
      <c r="BY312" s="63"/>
      <c r="BZ312" s="63"/>
    </row>
    <row r="313" ht="15.75" customHeight="1">
      <c r="A313" s="75" t="s">
        <v>2336</v>
      </c>
      <c r="B313" s="50" t="s">
        <v>2337</v>
      </c>
      <c r="C313" s="50" t="s">
        <v>128</v>
      </c>
      <c r="D313" s="50" t="s">
        <v>2338</v>
      </c>
      <c r="E313" s="64" t="s">
        <v>2339</v>
      </c>
      <c r="F313" s="78">
        <v>3.95E8</v>
      </c>
      <c r="G313" s="44" t="str">
        <f t="shared" si="8"/>
        <v>$300'000.000 a $400'000.000</v>
      </c>
      <c r="H313" s="44"/>
      <c r="I313" s="44"/>
      <c r="J313" s="50" t="s">
        <v>183</v>
      </c>
      <c r="K313" s="51" t="s">
        <v>184</v>
      </c>
      <c r="L313" s="50">
        <v>3.0</v>
      </c>
      <c r="M313" s="50">
        <v>0.0</v>
      </c>
      <c r="N313" s="50">
        <v>3.0</v>
      </c>
      <c r="O313" s="50">
        <v>1.0</v>
      </c>
      <c r="P313" s="50">
        <v>2.0</v>
      </c>
      <c r="Q313" s="88">
        <v>112.26</v>
      </c>
      <c r="R313" s="88">
        <v>76.2</v>
      </c>
      <c r="S313" s="56" t="str">
        <f t="shared" si="12"/>
        <v> </v>
      </c>
      <c r="T313" s="50" t="s">
        <v>78</v>
      </c>
      <c r="U313" s="51" t="s">
        <v>77</v>
      </c>
      <c r="V313" s="50" t="s">
        <v>118</v>
      </c>
      <c r="W313" s="50" t="s">
        <v>2124</v>
      </c>
      <c r="X313" s="50">
        <v>3.0</v>
      </c>
      <c r="Y313" s="50" t="s">
        <v>130</v>
      </c>
      <c r="Z313" s="58">
        <v>421000.0</v>
      </c>
      <c r="AA313" s="59" t="str">
        <f>IF(Rentabilidad=0,"No aplica",TEXT(ROUND(Precio/Rentabilidad/12,0),0) &amp; " años")</f>
        <v>No aplica</v>
      </c>
      <c r="AB313" s="82" t="s">
        <v>2340</v>
      </c>
      <c r="AC313" s="83" t="s">
        <v>2341</v>
      </c>
      <c r="AD313" s="83" t="s">
        <v>2342</v>
      </c>
      <c r="AE313" s="63"/>
      <c r="AF313" s="64" t="s">
        <v>105</v>
      </c>
      <c r="AG313" s="65" t="s">
        <v>106</v>
      </c>
      <c r="AH313" s="63"/>
      <c r="AI313" s="65" t="s">
        <v>1747</v>
      </c>
      <c r="AJ313" s="64" t="s">
        <v>1834</v>
      </c>
      <c r="AK313" s="225" t="s">
        <v>1749</v>
      </c>
      <c r="AL313" s="45" t="s">
        <v>86</v>
      </c>
      <c r="AM313" s="44">
        <f>12014668029</f>
        <v>12014668029</v>
      </c>
      <c r="AN313" s="64">
        <v>3.138638621E9</v>
      </c>
      <c r="AO313" s="43" t="s">
        <v>2343</v>
      </c>
      <c r="AP313" s="84" t="s">
        <v>2344</v>
      </c>
      <c r="AQ313" s="84">
        <v>2.95270461151682</v>
      </c>
      <c r="AR313" s="84">
        <v>-75.2982624434619</v>
      </c>
      <c r="AS313" s="94"/>
      <c r="AT313" s="65" t="s">
        <v>88</v>
      </c>
      <c r="AU313" s="50" t="s">
        <v>106</v>
      </c>
      <c r="AV313" s="50" t="s">
        <v>106</v>
      </c>
      <c r="AW313" s="50" t="s">
        <v>88</v>
      </c>
      <c r="AX313" s="50">
        <v>0.0</v>
      </c>
      <c r="AY313" s="50" t="s">
        <v>110</v>
      </c>
      <c r="AZ313" s="50">
        <v>0.0</v>
      </c>
      <c r="BA313" s="43" t="s">
        <v>89</v>
      </c>
      <c r="BB313" s="50">
        <v>0.0</v>
      </c>
      <c r="BC313" s="95"/>
      <c r="BD313" s="71"/>
      <c r="BE313" s="71"/>
      <c r="BF313" s="72" t="s">
        <v>2345</v>
      </c>
      <c r="BG313" s="73"/>
      <c r="BH313" s="73"/>
      <c r="BI313" s="73"/>
      <c r="BJ313" s="73"/>
      <c r="BK313" s="73"/>
      <c r="BL313" s="73"/>
      <c r="BM313" s="73"/>
      <c r="BN313" s="73"/>
      <c r="BO313" s="73"/>
      <c r="BP313" s="73"/>
      <c r="BQ313" s="73"/>
      <c r="BR313" s="73"/>
      <c r="BS313" s="73"/>
      <c r="BT313" s="73"/>
      <c r="BU313" s="73"/>
      <c r="BV313" s="73"/>
      <c r="BW313" s="74"/>
      <c r="BX313" s="74"/>
      <c r="BY313" s="63"/>
      <c r="BZ313" s="63"/>
    </row>
    <row r="314" ht="15.75" customHeight="1">
      <c r="A314" s="272" t="s">
        <v>2346</v>
      </c>
      <c r="B314" s="50" t="s">
        <v>2347</v>
      </c>
      <c r="C314" s="50" t="s">
        <v>315</v>
      </c>
      <c r="D314" s="50"/>
      <c r="E314" s="77"/>
      <c r="F314" s="78">
        <v>3.87E8</v>
      </c>
      <c r="G314" s="44" t="str">
        <f t="shared" si="8"/>
        <v>$300'000.000 a $400'000.000</v>
      </c>
      <c r="H314" s="44"/>
      <c r="I314" s="44"/>
      <c r="J314" s="50" t="s">
        <v>116</v>
      </c>
      <c r="K314" s="51"/>
      <c r="L314" s="50">
        <v>0.0</v>
      </c>
      <c r="M314" s="50"/>
      <c r="N314" s="50">
        <v>0.0</v>
      </c>
      <c r="O314" s="50">
        <v>0.0</v>
      </c>
      <c r="P314" s="50">
        <v>0.0</v>
      </c>
      <c r="Q314" s="88">
        <v>0.0</v>
      </c>
      <c r="R314" s="88">
        <v>1798.0</v>
      </c>
      <c r="S314" s="56" t="str">
        <f t="shared" si="12"/>
        <v> </v>
      </c>
      <c r="T314" s="50" t="s">
        <v>78</v>
      </c>
      <c r="U314" s="51" t="s">
        <v>96</v>
      </c>
      <c r="V314" s="50">
        <v>0.0</v>
      </c>
      <c r="W314" s="50"/>
      <c r="X314" s="50">
        <v>0.0</v>
      </c>
      <c r="Y314" s="43" t="s">
        <v>80</v>
      </c>
      <c r="Z314" s="58">
        <v>0.0</v>
      </c>
      <c r="AA314" s="81" t="s">
        <v>81</v>
      </c>
      <c r="AB314" s="115" t="s">
        <v>2348</v>
      </c>
      <c r="AC314" s="106" t="s">
        <v>2349</v>
      </c>
      <c r="AD314" s="125" t="s">
        <v>2350</v>
      </c>
      <c r="AE314" s="63"/>
      <c r="AF314" s="64">
        <v>0.0</v>
      </c>
      <c r="AG314" s="65" t="s">
        <v>106</v>
      </c>
      <c r="AH314" s="65"/>
      <c r="AI314" s="65" t="s">
        <v>1747</v>
      </c>
      <c r="AJ314" s="215" t="s">
        <v>1834</v>
      </c>
      <c r="AK314" s="264" t="s">
        <v>1749</v>
      </c>
      <c r="AL314" s="239" t="s">
        <v>109</v>
      </c>
      <c r="AM314" s="43">
        <v>3.106701641E9</v>
      </c>
      <c r="AN314" s="64">
        <v>0.0</v>
      </c>
      <c r="AO314" s="43" t="s">
        <v>2351</v>
      </c>
      <c r="AP314" s="84" t="s">
        <v>2352</v>
      </c>
      <c r="AQ314" s="84"/>
      <c r="AR314" s="84"/>
      <c r="AS314" s="85"/>
      <c r="AT314" s="50">
        <v>0.0</v>
      </c>
      <c r="AU314" s="50">
        <v>0.0</v>
      </c>
      <c r="AV314" s="50">
        <v>0.0</v>
      </c>
      <c r="AW314" s="50" t="s">
        <v>88</v>
      </c>
      <c r="AX314" s="50">
        <v>0.0</v>
      </c>
      <c r="AY314" s="50">
        <v>0.0</v>
      </c>
      <c r="AZ314" s="50">
        <v>0.0</v>
      </c>
      <c r="BA314" s="43" t="s">
        <v>89</v>
      </c>
      <c r="BB314" s="50">
        <v>0.0</v>
      </c>
      <c r="BC314" s="109"/>
      <c r="BD314" s="70"/>
      <c r="BE314" s="71"/>
      <c r="BF314" s="72" t="s">
        <v>2353</v>
      </c>
      <c r="BG314" s="73"/>
      <c r="BH314" s="73"/>
      <c r="BI314" s="73"/>
      <c r="BJ314" s="73"/>
      <c r="BK314" s="73"/>
      <c r="BL314" s="73"/>
      <c r="BM314" s="73"/>
      <c r="BN314" s="73"/>
      <c r="BO314" s="73"/>
      <c r="BP314" s="73"/>
      <c r="BQ314" s="73"/>
      <c r="BR314" s="73"/>
      <c r="BS314" s="73"/>
      <c r="BT314" s="73"/>
      <c r="BU314" s="73"/>
      <c r="BV314" s="73"/>
      <c r="BW314" s="74"/>
      <c r="BX314" s="74"/>
      <c r="BY314" s="63"/>
      <c r="BZ314" s="63"/>
    </row>
    <row r="315" ht="15.75" customHeight="1">
      <c r="A315" s="267" t="s">
        <v>2354</v>
      </c>
      <c r="B315" s="112" t="s">
        <v>2355</v>
      </c>
      <c r="C315" s="50" t="s">
        <v>271</v>
      </c>
      <c r="D315" s="50" t="s">
        <v>11</v>
      </c>
      <c r="E315" s="64"/>
      <c r="F315" s="78">
        <v>3.8E8</v>
      </c>
      <c r="G315" s="44" t="str">
        <f t="shared" si="8"/>
        <v>$300'000.000 a $400'000.000</v>
      </c>
      <c r="H315" s="44"/>
      <c r="I315" s="44"/>
      <c r="J315" s="50" t="s">
        <v>183</v>
      </c>
      <c r="K315" s="51" t="s">
        <v>184</v>
      </c>
      <c r="L315" s="50">
        <v>6.0</v>
      </c>
      <c r="M315" s="50"/>
      <c r="N315" s="283">
        <v>4.0</v>
      </c>
      <c r="O315" s="50">
        <v>1.0</v>
      </c>
      <c r="P315" s="50">
        <v>1.0</v>
      </c>
      <c r="Q315" s="284"/>
      <c r="R315" s="285">
        <v>297.0</v>
      </c>
      <c r="S315" s="56" t="str">
        <f t="shared" si="12"/>
        <v>Rentabilidad $1,915,000</v>
      </c>
      <c r="T315" s="283" t="s">
        <v>78</v>
      </c>
      <c r="U315" s="286" t="s">
        <v>184</v>
      </c>
      <c r="V315" s="287" t="s">
        <v>79</v>
      </c>
      <c r="W315" s="287"/>
      <c r="X315" s="287" t="s">
        <v>2356</v>
      </c>
      <c r="Y315" s="94" t="s">
        <v>80</v>
      </c>
      <c r="Z315" s="80" t="s">
        <v>81</v>
      </c>
      <c r="AA315" s="59" t="str">
        <f>IF(Rentabilidad=0,"No aplica",TEXT(ROUND(Precio/Rentabilidad/12,0),0) &amp; " años")</f>
        <v>17 años</v>
      </c>
      <c r="AB315" s="134" t="s">
        <v>2357</v>
      </c>
      <c r="AC315" s="61"/>
      <c r="AD315" s="125" t="s">
        <v>2358</v>
      </c>
      <c r="AE315" s="63"/>
      <c r="AF315" s="45" t="s">
        <v>236</v>
      </c>
      <c r="AG315" s="65" t="s">
        <v>106</v>
      </c>
      <c r="AH315" s="65" t="s">
        <v>45</v>
      </c>
      <c r="AI315" s="65" t="s">
        <v>1747</v>
      </c>
      <c r="AJ315" s="64" t="s">
        <v>1834</v>
      </c>
      <c r="AK315" s="264" t="s">
        <v>1749</v>
      </c>
      <c r="AL315" s="45" t="s">
        <v>109</v>
      </c>
      <c r="AM315" s="52">
        <v>3.208515362E9</v>
      </c>
      <c r="AN315" s="45">
        <v>3.1155671E9</v>
      </c>
      <c r="AO315" s="52" t="s">
        <v>2359</v>
      </c>
      <c r="AP315" s="67" t="s">
        <v>2360</v>
      </c>
      <c r="AQ315" s="143">
        <v>2.9458581</v>
      </c>
      <c r="AR315" s="143">
        <v>-75.2905102</v>
      </c>
      <c r="AS315" s="94">
        <v>1915000.0</v>
      </c>
      <c r="AT315" s="52">
        <v>0.0</v>
      </c>
      <c r="AU315" s="52">
        <v>0.0</v>
      </c>
      <c r="AV315" s="52">
        <v>0.0</v>
      </c>
      <c r="AW315" s="52" t="s">
        <v>106</v>
      </c>
      <c r="AX315" s="52">
        <v>0.0</v>
      </c>
      <c r="AY315" s="52" t="s">
        <v>1609</v>
      </c>
      <c r="AZ315" s="52">
        <v>0.0</v>
      </c>
      <c r="BA315" s="43" t="s">
        <v>89</v>
      </c>
      <c r="BB315" s="52">
        <v>0.0</v>
      </c>
      <c r="BC315" s="69" t="s">
        <v>2361</v>
      </c>
      <c r="BD315" s="70"/>
      <c r="BE315" s="71"/>
      <c r="BF315" s="72" t="s">
        <v>2362</v>
      </c>
      <c r="BG315" s="73"/>
      <c r="BH315" s="73"/>
      <c r="BI315" s="73"/>
      <c r="BJ315" s="73"/>
      <c r="BK315" s="73"/>
      <c r="BL315" s="73"/>
      <c r="BM315" s="73"/>
      <c r="BN315" s="73"/>
      <c r="BO315" s="73"/>
      <c r="BP315" s="73"/>
      <c r="BQ315" s="73"/>
      <c r="BR315" s="73"/>
      <c r="BS315" s="73"/>
      <c r="BT315" s="73"/>
      <c r="BU315" s="73"/>
      <c r="BV315" s="73"/>
      <c r="BW315" s="74"/>
      <c r="BX315" s="74"/>
      <c r="BY315" s="63"/>
      <c r="BZ315" s="63"/>
    </row>
    <row r="316" ht="15.75" customHeight="1">
      <c r="A316" s="224" t="s">
        <v>2363</v>
      </c>
      <c r="B316" s="43" t="s">
        <v>2364</v>
      </c>
      <c r="C316" s="43" t="s">
        <v>70</v>
      </c>
      <c r="D316" s="44" t="s">
        <v>1903</v>
      </c>
      <c r="E316" s="77" t="s">
        <v>376</v>
      </c>
      <c r="F316" s="78">
        <v>3.8E8</v>
      </c>
      <c r="G316" s="44" t="str">
        <f t="shared" si="8"/>
        <v>$300'000.000 a $400'000.000</v>
      </c>
      <c r="H316" s="44"/>
      <c r="I316" s="44"/>
      <c r="J316" s="50" t="s">
        <v>183</v>
      </c>
      <c r="K316" s="57"/>
      <c r="L316" s="43">
        <v>4.0</v>
      </c>
      <c r="M316" s="43"/>
      <c r="N316" s="43">
        <v>4.0</v>
      </c>
      <c r="O316" s="43">
        <v>1.0</v>
      </c>
      <c r="P316" s="52">
        <v>2.0</v>
      </c>
      <c r="Q316" s="55">
        <v>198.0</v>
      </c>
      <c r="R316" s="55">
        <v>120.0</v>
      </c>
      <c r="S316" s="56" t="str">
        <f t="shared" si="12"/>
        <v> </v>
      </c>
      <c r="T316" s="52" t="s">
        <v>78</v>
      </c>
      <c r="U316" s="142" t="s">
        <v>184</v>
      </c>
      <c r="V316" s="43" t="s">
        <v>79</v>
      </c>
      <c r="W316" s="43"/>
      <c r="X316" s="43">
        <v>4.0</v>
      </c>
      <c r="Y316" s="94" t="s">
        <v>80</v>
      </c>
      <c r="Z316" s="58" t="s">
        <v>81</v>
      </c>
      <c r="AA316" s="59" t="str">
        <f>IF(Rentabilidad=0,"No aplica",TEXT(ROUND(Precio/Rentabilidad/12,0),0) &amp; " años")</f>
        <v>No aplica</v>
      </c>
      <c r="AB316" s="140" t="s">
        <v>2365</v>
      </c>
      <c r="AC316" s="61"/>
      <c r="AD316" s="62"/>
      <c r="AE316" s="63"/>
      <c r="AF316" s="64" t="s">
        <v>236</v>
      </c>
      <c r="AG316" s="65" t="s">
        <v>106</v>
      </c>
      <c r="AH316" s="63"/>
      <c r="AI316" s="65" t="s">
        <v>1747</v>
      </c>
      <c r="AJ316" s="64" t="s">
        <v>1834</v>
      </c>
      <c r="AK316" s="264" t="s">
        <v>1749</v>
      </c>
      <c r="AL316" s="45" t="s">
        <v>86</v>
      </c>
      <c r="AM316" s="52">
        <v>3.16399545E9</v>
      </c>
      <c r="AN316" s="45">
        <v>0.0</v>
      </c>
      <c r="AO316" s="43" t="s">
        <v>2366</v>
      </c>
      <c r="AP316" s="84" t="s">
        <v>2367</v>
      </c>
      <c r="AQ316" s="84">
        <v>2.9462007</v>
      </c>
      <c r="AR316" s="84">
        <v>-75.2849672</v>
      </c>
      <c r="AS316" s="135"/>
      <c r="AT316" s="52">
        <v>0.0</v>
      </c>
      <c r="AU316" s="52">
        <v>0.0</v>
      </c>
      <c r="AV316" s="52">
        <v>0.0</v>
      </c>
      <c r="AW316" s="43" t="s">
        <v>106</v>
      </c>
      <c r="AX316" s="43">
        <v>30.0</v>
      </c>
      <c r="AY316" s="52">
        <v>0.0</v>
      </c>
      <c r="AZ316" s="52">
        <v>6.0</v>
      </c>
      <c r="BA316" s="43" t="s">
        <v>89</v>
      </c>
      <c r="BB316" s="52">
        <v>20.0</v>
      </c>
      <c r="BC316" s="69" t="s">
        <v>439</v>
      </c>
      <c r="BD316" s="45"/>
      <c r="BE316" s="259"/>
      <c r="BF316" s="138" t="s">
        <v>2368</v>
      </c>
      <c r="BG316" s="73"/>
      <c r="BH316" s="73"/>
      <c r="BI316" s="73"/>
      <c r="BJ316" s="73"/>
      <c r="BK316" s="73"/>
      <c r="BL316" s="73"/>
      <c r="BM316" s="73"/>
      <c r="BN316" s="73"/>
      <c r="BO316" s="73"/>
      <c r="BP316" s="73"/>
      <c r="BQ316" s="73"/>
      <c r="BR316" s="73"/>
      <c r="BS316" s="73"/>
      <c r="BT316" s="73"/>
      <c r="BU316" s="73"/>
      <c r="BV316" s="73"/>
      <c r="BW316" s="74"/>
      <c r="BX316" s="74"/>
      <c r="BY316" s="63"/>
      <c r="BZ316" s="63"/>
    </row>
    <row r="317" ht="15.75" customHeight="1">
      <c r="A317" s="272" t="s">
        <v>2369</v>
      </c>
      <c r="B317" s="112" t="s">
        <v>2370</v>
      </c>
      <c r="C317" s="50" t="s">
        <v>271</v>
      </c>
      <c r="D317" s="50" t="s">
        <v>477</v>
      </c>
      <c r="E317" s="45"/>
      <c r="F317" s="47">
        <v>3.7E8</v>
      </c>
      <c r="G317" s="44" t="str">
        <f t="shared" si="8"/>
        <v>$300'000.000 a $400'000.000</v>
      </c>
      <c r="H317" s="44"/>
      <c r="I317" s="44"/>
      <c r="J317" s="50" t="s">
        <v>76</v>
      </c>
      <c r="K317" s="57"/>
      <c r="L317" s="44">
        <v>11.0</v>
      </c>
      <c r="M317" s="44"/>
      <c r="N317" s="44">
        <v>6.0</v>
      </c>
      <c r="O317" s="50">
        <v>1.0</v>
      </c>
      <c r="P317" s="44">
        <v>3.0</v>
      </c>
      <c r="Q317" s="113">
        <v>650.0</v>
      </c>
      <c r="R317" s="79">
        <v>250.0</v>
      </c>
      <c r="S317" s="56" t="str">
        <f t="shared" si="12"/>
        <v> </v>
      </c>
      <c r="T317" s="44" t="s">
        <v>78</v>
      </c>
      <c r="U317" s="57" t="s">
        <v>77</v>
      </c>
      <c r="V317" s="50" t="s">
        <v>79</v>
      </c>
      <c r="W317" s="50"/>
      <c r="X317" s="44">
        <v>11.0</v>
      </c>
      <c r="Y317" s="50" t="s">
        <v>80</v>
      </c>
      <c r="Z317" s="58" t="s">
        <v>81</v>
      </c>
      <c r="AA317" s="59" t="str">
        <f>IF(Rentabilidad=0,"No aplica",TEXT(ROUND(Precio/Rentabilidad/12,0),0) &amp; " años")</f>
        <v>No aplica</v>
      </c>
      <c r="AB317" s="134" t="s">
        <v>2371</v>
      </c>
      <c r="AC317" s="61"/>
      <c r="AD317" s="62"/>
      <c r="AE317" s="63"/>
      <c r="AF317" s="45" t="s">
        <v>236</v>
      </c>
      <c r="AG317" s="65" t="s">
        <v>106</v>
      </c>
      <c r="AH317" s="63"/>
      <c r="AI317" s="65" t="s">
        <v>1747</v>
      </c>
      <c r="AJ317" s="64" t="s">
        <v>1834</v>
      </c>
      <c r="AK317" s="264" t="s">
        <v>1749</v>
      </c>
      <c r="AL317" s="45" t="s">
        <v>109</v>
      </c>
      <c r="AM317" s="52">
        <v>3.102760553E9</v>
      </c>
      <c r="AN317" s="45">
        <v>0.0</v>
      </c>
      <c r="AO317" s="52" t="s">
        <v>2372</v>
      </c>
      <c r="AP317" s="67" t="s">
        <v>2373</v>
      </c>
      <c r="AQ317" s="143">
        <v>2.9242285</v>
      </c>
      <c r="AR317" s="143">
        <v>-75.282411</v>
      </c>
      <c r="AS317" s="68">
        <v>0.0</v>
      </c>
      <c r="AT317" s="44">
        <v>0.0</v>
      </c>
      <c r="AU317" s="52">
        <v>0.0</v>
      </c>
      <c r="AV317" s="52">
        <v>0.0</v>
      </c>
      <c r="AW317" s="43" t="s">
        <v>106</v>
      </c>
      <c r="AX317" s="52">
        <v>0.0</v>
      </c>
      <c r="AY317" s="52" t="s">
        <v>247</v>
      </c>
      <c r="AZ317" s="44">
        <v>10.0</v>
      </c>
      <c r="BA317" s="43" t="s">
        <v>89</v>
      </c>
      <c r="BB317" s="44">
        <v>25.0</v>
      </c>
      <c r="BC317" s="109"/>
      <c r="BD317" s="70"/>
      <c r="BE317" s="71"/>
      <c r="BF317" s="72" t="s">
        <v>2374</v>
      </c>
      <c r="BG317" s="73"/>
      <c r="BH317" s="73"/>
      <c r="BI317" s="73"/>
      <c r="BJ317" s="73"/>
      <c r="BK317" s="73"/>
      <c r="BL317" s="73"/>
      <c r="BM317" s="73"/>
      <c r="BN317" s="73"/>
      <c r="BO317" s="73"/>
      <c r="BP317" s="73"/>
      <c r="BQ317" s="73"/>
      <c r="BR317" s="73"/>
      <c r="BS317" s="73"/>
      <c r="BT317" s="73"/>
      <c r="BU317" s="73"/>
      <c r="BV317" s="73"/>
      <c r="BW317" s="74"/>
      <c r="BX317" s="74"/>
      <c r="BY317" s="63"/>
      <c r="BZ317" s="63"/>
    </row>
    <row r="318" ht="15.75" customHeight="1">
      <c r="A318" s="224" t="s">
        <v>2375</v>
      </c>
      <c r="B318" s="122" t="s">
        <v>2376</v>
      </c>
      <c r="C318" s="43" t="s">
        <v>70</v>
      </c>
      <c r="D318" s="52" t="s">
        <v>2377</v>
      </c>
      <c r="E318" s="45"/>
      <c r="F318" s="78">
        <v>3.5E8</v>
      </c>
      <c r="G318" s="44" t="str">
        <f t="shared" si="8"/>
        <v>$300'000.000 a $400'000.000</v>
      </c>
      <c r="H318" s="44"/>
      <c r="I318" s="44"/>
      <c r="J318" s="43" t="s">
        <v>76</v>
      </c>
      <c r="K318" s="56" t="s">
        <v>184</v>
      </c>
      <c r="L318" s="50">
        <v>6.0</v>
      </c>
      <c r="M318" s="50"/>
      <c r="N318" s="50">
        <v>2.0</v>
      </c>
      <c r="O318" s="50">
        <v>1.0</v>
      </c>
      <c r="P318" s="50">
        <v>1.0</v>
      </c>
      <c r="Q318" s="79">
        <v>232.0</v>
      </c>
      <c r="R318" s="79">
        <v>232.0</v>
      </c>
      <c r="S318" s="56" t="str">
        <f t="shared" si="12"/>
        <v> </v>
      </c>
      <c r="T318" s="52" t="s">
        <v>78</v>
      </c>
      <c r="U318" s="142" t="s">
        <v>77</v>
      </c>
      <c r="V318" s="50" t="s">
        <v>79</v>
      </c>
      <c r="W318" s="50"/>
      <c r="X318" s="44"/>
      <c r="Y318" s="43" t="s">
        <v>80</v>
      </c>
      <c r="Z318" s="58" t="s">
        <v>81</v>
      </c>
      <c r="AA318" s="59" t="str">
        <f>IF(Rentabilidad=0,"No aplica",TEXT(ROUND(Precio/Rentabilidad/12,0),0) &amp; " años")</f>
        <v>No aplica</v>
      </c>
      <c r="AB318" s="82" t="s">
        <v>2378</v>
      </c>
      <c r="AC318" s="61"/>
      <c r="AD318" s="62"/>
      <c r="AE318" s="63"/>
      <c r="AF318" s="45" t="s">
        <v>1383</v>
      </c>
      <c r="AG318" s="65" t="s">
        <v>106</v>
      </c>
      <c r="AH318" s="63"/>
      <c r="AI318" s="65" t="s">
        <v>1747</v>
      </c>
      <c r="AJ318" s="64" t="s">
        <v>1834</v>
      </c>
      <c r="AK318" s="264" t="s">
        <v>1749</v>
      </c>
      <c r="AL318" s="45" t="s">
        <v>109</v>
      </c>
      <c r="AM318" s="44">
        <v>3.182537979E9</v>
      </c>
      <c r="AN318" s="45" t="s">
        <v>2379</v>
      </c>
      <c r="AO318" s="52" t="s">
        <v>2380</v>
      </c>
      <c r="AP318" s="67" t="s">
        <v>2381</v>
      </c>
      <c r="AQ318" s="143">
        <v>2.9233217</v>
      </c>
      <c r="AR318" s="143">
        <v>-75.2826106</v>
      </c>
      <c r="AS318" s="94">
        <v>0.0</v>
      </c>
      <c r="AT318" s="50">
        <v>0.0</v>
      </c>
      <c r="AU318" s="44"/>
      <c r="AV318" s="50">
        <v>0.0</v>
      </c>
      <c r="AW318" s="50" t="s">
        <v>88</v>
      </c>
      <c r="AX318" s="50">
        <v>0.0</v>
      </c>
      <c r="AY318" s="50" t="s">
        <v>106</v>
      </c>
      <c r="AZ318" s="50">
        <v>8.0</v>
      </c>
      <c r="BA318" s="43" t="s">
        <v>89</v>
      </c>
      <c r="BB318" s="50">
        <v>29.0</v>
      </c>
      <c r="BC318" s="69"/>
      <c r="BD318" s="70"/>
      <c r="BE318" s="70"/>
      <c r="BF318" s="72" t="s">
        <v>2382</v>
      </c>
      <c r="BG318" s="73"/>
      <c r="BH318" s="73"/>
      <c r="BI318" s="73"/>
      <c r="BJ318" s="73"/>
      <c r="BK318" s="73"/>
      <c r="BL318" s="73"/>
      <c r="BM318" s="73"/>
      <c r="BN318" s="73"/>
      <c r="BO318" s="73"/>
      <c r="BP318" s="73"/>
      <c r="BQ318" s="73"/>
      <c r="BR318" s="73"/>
      <c r="BS318" s="73"/>
      <c r="BT318" s="73"/>
      <c r="BU318" s="73"/>
      <c r="BV318" s="73"/>
      <c r="BW318" s="74"/>
      <c r="BX318" s="74"/>
      <c r="BY318" s="63"/>
      <c r="BZ318" s="63"/>
    </row>
    <row r="319" ht="15.75" customHeight="1">
      <c r="A319" s="267" t="s">
        <v>2383</v>
      </c>
      <c r="B319" s="112" t="s">
        <v>2384</v>
      </c>
      <c r="C319" s="50" t="s">
        <v>271</v>
      </c>
      <c r="D319" s="50" t="s">
        <v>72</v>
      </c>
      <c r="E319" s="64"/>
      <c r="F319" s="78">
        <v>3.5E8</v>
      </c>
      <c r="G319" s="44" t="str">
        <f t="shared" si="8"/>
        <v>$300'000.000 a $400'000.000</v>
      </c>
      <c r="H319" s="44"/>
      <c r="I319" s="44"/>
      <c r="J319" s="50" t="s">
        <v>183</v>
      </c>
      <c r="K319" s="51" t="s">
        <v>184</v>
      </c>
      <c r="L319" s="52">
        <v>6.0</v>
      </c>
      <c r="M319" s="52"/>
      <c r="N319" s="52">
        <v>4.0</v>
      </c>
      <c r="O319" s="43">
        <v>1.0</v>
      </c>
      <c r="P319" s="52">
        <v>2.0</v>
      </c>
      <c r="Q319" s="54"/>
      <c r="R319" s="55">
        <v>96.0</v>
      </c>
      <c r="S319" s="56" t="str">
        <f t="shared" si="12"/>
        <v>Rentabilidad $1,300,000</v>
      </c>
      <c r="T319" s="52" t="s">
        <v>78</v>
      </c>
      <c r="U319" s="142" t="s">
        <v>77</v>
      </c>
      <c r="V319" s="43" t="s">
        <v>79</v>
      </c>
      <c r="W319" s="43"/>
      <c r="X319" s="52">
        <v>0.0</v>
      </c>
      <c r="Y319" s="43" t="s">
        <v>80</v>
      </c>
      <c r="Z319" s="80" t="s">
        <v>81</v>
      </c>
      <c r="AA319" s="59" t="str">
        <f>IF(Rentabilidad=0,"No aplica",TEXT(ROUND(Precio/Rentabilidad/12,0),0) &amp; " años")</f>
        <v>22 años</v>
      </c>
      <c r="AB319" s="140" t="s">
        <v>2385</v>
      </c>
      <c r="AC319" s="131" t="s">
        <v>2386</v>
      </c>
      <c r="AD319" s="125" t="s">
        <v>2387</v>
      </c>
      <c r="AE319" s="63"/>
      <c r="AF319" s="45" t="s">
        <v>105</v>
      </c>
      <c r="AG319" s="65"/>
      <c r="AH319" s="65" t="s">
        <v>45</v>
      </c>
      <c r="AI319" s="65" t="s">
        <v>1747</v>
      </c>
      <c r="AJ319" s="64" t="s">
        <v>1834</v>
      </c>
      <c r="AK319" s="264" t="s">
        <v>1749</v>
      </c>
      <c r="AL319" s="45" t="s">
        <v>1388</v>
      </c>
      <c r="AM319" s="52">
        <v>3.202368707E9</v>
      </c>
      <c r="AN319" s="45">
        <v>3.113857031E9</v>
      </c>
      <c r="AO319" s="52" t="s">
        <v>2388</v>
      </c>
      <c r="AP319" s="67" t="s">
        <v>2389</v>
      </c>
      <c r="AQ319" s="67"/>
      <c r="AR319" s="67"/>
      <c r="AS319" s="135">
        <v>1300000.0</v>
      </c>
      <c r="AT319" s="63">
        <v>0.0</v>
      </c>
      <c r="AU319" s="52">
        <v>0.0</v>
      </c>
      <c r="AV319" s="52">
        <v>0.0</v>
      </c>
      <c r="AW319" s="43" t="s">
        <v>88</v>
      </c>
      <c r="AX319" s="52">
        <v>0.0</v>
      </c>
      <c r="AY319" s="52">
        <v>0.0</v>
      </c>
      <c r="AZ319" s="44">
        <v>0.0</v>
      </c>
      <c r="BA319" s="43" t="s">
        <v>89</v>
      </c>
      <c r="BB319" s="44">
        <v>0.0</v>
      </c>
      <c r="BC319" s="95"/>
      <c r="BD319" s="71"/>
      <c r="BE319" s="71"/>
      <c r="BF319" s="72" t="s">
        <v>2390</v>
      </c>
      <c r="BG319" s="73"/>
      <c r="BH319" s="73"/>
      <c r="BI319" s="73"/>
      <c r="BJ319" s="73"/>
      <c r="BK319" s="73"/>
      <c r="BL319" s="73"/>
      <c r="BM319" s="73"/>
      <c r="BN319" s="73"/>
      <c r="BO319" s="73"/>
      <c r="BP319" s="73"/>
      <c r="BQ319" s="73"/>
      <c r="BR319" s="73"/>
      <c r="BS319" s="73"/>
      <c r="BT319" s="73"/>
      <c r="BU319" s="73"/>
      <c r="BV319" s="73"/>
      <c r="BW319" s="74"/>
      <c r="BX319" s="74"/>
      <c r="BY319" s="63"/>
      <c r="BZ319" s="63"/>
    </row>
    <row r="320" ht="15.75" customHeight="1">
      <c r="A320" s="120" t="s">
        <v>2391</v>
      </c>
      <c r="B320" s="50" t="s">
        <v>2392</v>
      </c>
      <c r="C320" s="50" t="s">
        <v>497</v>
      </c>
      <c r="D320" s="44"/>
      <c r="E320" s="45"/>
      <c r="F320" s="78">
        <v>3.5E8</v>
      </c>
      <c r="G320" s="44" t="str">
        <f t="shared" si="8"/>
        <v>$300'000.000 a $400'000.000</v>
      </c>
      <c r="H320" s="44"/>
      <c r="I320" s="44"/>
      <c r="J320" s="50" t="s">
        <v>498</v>
      </c>
      <c r="K320" s="57"/>
      <c r="L320" s="50">
        <v>3.0</v>
      </c>
      <c r="M320" s="50"/>
      <c r="N320" s="50">
        <v>2.0</v>
      </c>
      <c r="O320" s="50">
        <v>1.0</v>
      </c>
      <c r="P320" s="50">
        <v>1.0</v>
      </c>
      <c r="Q320" s="88">
        <v>250.0</v>
      </c>
      <c r="R320" s="88">
        <v>480000.0</v>
      </c>
      <c r="S320" s="56" t="str">
        <f t="shared" si="12"/>
        <v> </v>
      </c>
      <c r="T320" s="50" t="s">
        <v>2393</v>
      </c>
      <c r="U320" s="57"/>
      <c r="V320" s="44"/>
      <c r="W320" s="44"/>
      <c r="X320" s="44"/>
      <c r="Y320" s="50" t="s">
        <v>80</v>
      </c>
      <c r="Z320" s="58" t="s">
        <v>81</v>
      </c>
      <c r="AA320" s="59" t="str">
        <f>IF(Rentabilidad=0,"No aplica",TEXT(ROUND(Precio/Rentabilidad/12,0),0) &amp; " años")</f>
        <v>No aplica</v>
      </c>
      <c r="AB320" s="82" t="s">
        <v>2394</v>
      </c>
      <c r="AC320" s="61"/>
      <c r="AD320" s="62"/>
      <c r="AE320" s="63"/>
      <c r="AF320" s="64" t="s">
        <v>84</v>
      </c>
      <c r="AG320" s="65" t="s">
        <v>106</v>
      </c>
      <c r="AH320" s="65" t="s">
        <v>45</v>
      </c>
      <c r="AI320" s="65" t="s">
        <v>1747</v>
      </c>
      <c r="AJ320" s="64" t="s">
        <v>1834</v>
      </c>
      <c r="AK320" s="50" t="s">
        <v>81</v>
      </c>
      <c r="AL320" s="45" t="s">
        <v>86</v>
      </c>
      <c r="AM320" s="50">
        <v>3.207351538E9</v>
      </c>
      <c r="AN320" s="64">
        <v>0.0</v>
      </c>
      <c r="AO320" s="182" t="s">
        <v>2395</v>
      </c>
      <c r="AP320" s="67"/>
      <c r="AQ320" s="143">
        <v>2.950049</v>
      </c>
      <c r="AR320" s="143">
        <v>-75.2899975</v>
      </c>
      <c r="AS320" s="94">
        <v>0.0</v>
      </c>
      <c r="AT320" s="50">
        <v>0.0</v>
      </c>
      <c r="AU320" s="50">
        <v>0.0</v>
      </c>
      <c r="AV320" s="50">
        <v>0.0</v>
      </c>
      <c r="AW320" s="50" t="s">
        <v>88</v>
      </c>
      <c r="AX320" s="50">
        <v>0.0</v>
      </c>
      <c r="AY320" s="50">
        <v>0.0</v>
      </c>
      <c r="AZ320" s="50">
        <v>0.0</v>
      </c>
      <c r="BA320" s="43" t="s">
        <v>89</v>
      </c>
      <c r="BB320" s="50">
        <v>0.0</v>
      </c>
      <c r="BC320" s="95" t="s">
        <v>2396</v>
      </c>
      <c r="BD320" s="71"/>
      <c r="BE320" s="71"/>
      <c r="BF320" s="72" t="s">
        <v>2397</v>
      </c>
      <c r="BG320" s="73"/>
      <c r="BH320" s="73"/>
      <c r="BI320" s="73"/>
      <c r="BJ320" s="73"/>
      <c r="BK320" s="73"/>
      <c r="BL320" s="73"/>
      <c r="BM320" s="73"/>
      <c r="BN320" s="73"/>
      <c r="BO320" s="73"/>
      <c r="BP320" s="73"/>
      <c r="BQ320" s="73"/>
      <c r="BR320" s="73"/>
      <c r="BS320" s="73"/>
      <c r="BT320" s="73"/>
      <c r="BU320" s="73"/>
      <c r="BV320" s="73"/>
      <c r="BW320" s="74"/>
      <c r="BX320" s="74"/>
      <c r="BY320" s="63"/>
      <c r="BZ320" s="63"/>
    </row>
    <row r="321" ht="15.75" customHeight="1">
      <c r="A321" s="75" t="s">
        <v>2398</v>
      </c>
      <c r="B321" s="50" t="s">
        <v>2399</v>
      </c>
      <c r="C321" s="50" t="s">
        <v>497</v>
      </c>
      <c r="D321" s="50"/>
      <c r="E321" s="64"/>
      <c r="F321" s="78">
        <v>3.5E8</v>
      </c>
      <c r="G321" s="44" t="str">
        <f t="shared" si="8"/>
        <v>$300'000.000 a $400'000.000</v>
      </c>
      <c r="H321" s="44"/>
      <c r="I321" s="44"/>
      <c r="J321" s="50" t="s">
        <v>498</v>
      </c>
      <c r="K321" s="51"/>
      <c r="L321" s="50">
        <v>0.0</v>
      </c>
      <c r="M321" s="50"/>
      <c r="N321" s="50">
        <v>0.0</v>
      </c>
      <c r="O321" s="50">
        <v>0.0</v>
      </c>
      <c r="P321" s="50">
        <v>0.0</v>
      </c>
      <c r="Q321" s="88">
        <v>0.0</v>
      </c>
      <c r="R321" s="88">
        <v>40000.0</v>
      </c>
      <c r="S321" s="56"/>
      <c r="T321" s="50" t="s">
        <v>2105</v>
      </c>
      <c r="U321" s="57"/>
      <c r="V321" s="44"/>
      <c r="W321" s="44"/>
      <c r="X321" s="50">
        <v>0.0</v>
      </c>
      <c r="Y321" s="50" t="s">
        <v>80</v>
      </c>
      <c r="Z321" s="58" t="s">
        <v>81</v>
      </c>
      <c r="AA321" s="59" t="str">
        <f>IF(Rentabilidad=0,"No aplica",TEXT(ROUND(Precio/Rentabilidad/12,0),0) &amp; " años")</f>
        <v>No aplica</v>
      </c>
      <c r="AB321" s="82" t="s">
        <v>2400</v>
      </c>
      <c r="AC321" s="131" t="s">
        <v>2401</v>
      </c>
      <c r="AD321" s="107" t="s">
        <v>2402</v>
      </c>
      <c r="AE321" s="63"/>
      <c r="AF321" s="64">
        <v>0.0</v>
      </c>
      <c r="AG321" s="65" t="s">
        <v>106</v>
      </c>
      <c r="AH321" s="63"/>
      <c r="AI321" s="65" t="s">
        <v>1747</v>
      </c>
      <c r="AJ321" s="64" t="s">
        <v>1834</v>
      </c>
      <c r="AK321" s="50" t="s">
        <v>81</v>
      </c>
      <c r="AL321" s="45" t="s">
        <v>109</v>
      </c>
      <c r="AM321" s="288">
        <v>3.143411759E9</v>
      </c>
      <c r="AN321" s="64">
        <v>0.0</v>
      </c>
      <c r="AO321" s="43" t="s">
        <v>2403</v>
      </c>
      <c r="AP321" s="67"/>
      <c r="AQ321" s="67"/>
      <c r="AR321" s="67"/>
      <c r="AS321" s="94">
        <v>0.0</v>
      </c>
      <c r="AT321" s="65">
        <v>0.0</v>
      </c>
      <c r="AU321" s="50">
        <v>0.0</v>
      </c>
      <c r="AV321" s="50">
        <v>0.0</v>
      </c>
      <c r="AW321" s="50" t="s">
        <v>88</v>
      </c>
      <c r="AX321" s="50">
        <v>0.0</v>
      </c>
      <c r="AY321" s="50">
        <v>0.0</v>
      </c>
      <c r="AZ321" s="50">
        <v>0.0</v>
      </c>
      <c r="BA321" s="43" t="s">
        <v>89</v>
      </c>
      <c r="BB321" s="50">
        <v>0.0</v>
      </c>
      <c r="BC321" s="109"/>
      <c r="BD321" s="70"/>
      <c r="BE321" s="70"/>
      <c r="BF321" s="72" t="s">
        <v>2404</v>
      </c>
      <c r="BG321" s="73"/>
      <c r="BH321" s="73"/>
      <c r="BI321" s="73"/>
      <c r="BJ321" s="73"/>
      <c r="BK321" s="73"/>
      <c r="BL321" s="73"/>
      <c r="BM321" s="73"/>
      <c r="BN321" s="73"/>
      <c r="BO321" s="73"/>
      <c r="BP321" s="73"/>
      <c r="BQ321" s="73"/>
      <c r="BR321" s="73"/>
      <c r="BS321" s="73"/>
      <c r="BT321" s="73"/>
      <c r="BU321" s="73"/>
      <c r="BV321" s="73"/>
      <c r="BW321" s="74"/>
      <c r="BX321" s="74"/>
      <c r="BY321" s="63"/>
      <c r="BZ321" s="63"/>
    </row>
    <row r="322" ht="15.75" customHeight="1">
      <c r="A322" s="272" t="s">
        <v>2405</v>
      </c>
      <c r="B322" s="112" t="s">
        <v>2406</v>
      </c>
      <c r="C322" s="50" t="s">
        <v>70</v>
      </c>
      <c r="D322" s="50" t="s">
        <v>477</v>
      </c>
      <c r="E322" s="77" t="s">
        <v>376</v>
      </c>
      <c r="F322" s="47">
        <v>3.3E8</v>
      </c>
      <c r="G322" s="44" t="str">
        <f t="shared" si="8"/>
        <v>$300'000.000 a $400'000.000</v>
      </c>
      <c r="H322" s="44"/>
      <c r="I322" s="44"/>
      <c r="J322" s="50" t="s">
        <v>76</v>
      </c>
      <c r="K322" s="57"/>
      <c r="L322" s="44">
        <v>4.0</v>
      </c>
      <c r="M322" s="44"/>
      <c r="N322" s="44">
        <v>2.0</v>
      </c>
      <c r="O322" s="50">
        <v>0.0</v>
      </c>
      <c r="P322" s="44">
        <v>1.0</v>
      </c>
      <c r="Q322" s="113"/>
      <c r="R322" s="79">
        <v>171.0</v>
      </c>
      <c r="S322" s="56" t="str">
        <f t="shared" ref="S322:S333" si="13">IF(AS322=0," ","Rentabilidad $" &amp; TEXT(AS322,"#,##0"))</f>
        <v>Rentabilidad $1,500,000</v>
      </c>
      <c r="T322" s="44" t="s">
        <v>78</v>
      </c>
      <c r="U322" s="57" t="s">
        <v>142</v>
      </c>
      <c r="V322" s="50" t="s">
        <v>79</v>
      </c>
      <c r="W322" s="50"/>
      <c r="X322" s="44">
        <v>3.0</v>
      </c>
      <c r="Y322" s="50" t="s">
        <v>80</v>
      </c>
      <c r="Z322" s="58" t="s">
        <v>81</v>
      </c>
      <c r="AA322" s="59" t="str">
        <f>IF(Rentabilidad=0,"No aplica",TEXT(ROUND(Precio/Rentabilidad/12,0),0) &amp; " años")</f>
        <v>18 años</v>
      </c>
      <c r="AB322" s="136" t="s">
        <v>2407</v>
      </c>
      <c r="AC322" s="131" t="s">
        <v>2408</v>
      </c>
      <c r="AD322" s="107" t="s">
        <v>2409</v>
      </c>
      <c r="AE322" s="63"/>
      <c r="AF322" s="45" t="s">
        <v>105</v>
      </c>
      <c r="AG322" s="65" t="s">
        <v>106</v>
      </c>
      <c r="AH322" s="63"/>
      <c r="AI322" s="65" t="s">
        <v>1747</v>
      </c>
      <c r="AJ322" s="64" t="s">
        <v>1834</v>
      </c>
      <c r="AK322" s="264" t="s">
        <v>1749</v>
      </c>
      <c r="AL322" s="45" t="s">
        <v>109</v>
      </c>
      <c r="AM322" s="52">
        <v>3.233417501E9</v>
      </c>
      <c r="AN322" s="45">
        <v>0.0</v>
      </c>
      <c r="AO322" s="52" t="s">
        <v>2410</v>
      </c>
      <c r="AP322" s="67" t="s">
        <v>2411</v>
      </c>
      <c r="AQ322" s="143">
        <v>2.9274389</v>
      </c>
      <c r="AR322" s="143">
        <v>-75.2803507</v>
      </c>
      <c r="AS322" s="68">
        <v>1500000.0</v>
      </c>
      <c r="AT322" s="44">
        <v>0.0</v>
      </c>
      <c r="AU322" s="52">
        <v>0.0</v>
      </c>
      <c r="AV322" s="52">
        <v>0.0</v>
      </c>
      <c r="AW322" s="43" t="s">
        <v>88</v>
      </c>
      <c r="AX322" s="52">
        <v>0.0</v>
      </c>
      <c r="AY322" s="52">
        <v>0.0</v>
      </c>
      <c r="AZ322" s="44">
        <v>0.0</v>
      </c>
      <c r="BA322" s="43" t="s">
        <v>89</v>
      </c>
      <c r="BB322" s="44">
        <v>0.0</v>
      </c>
      <c r="BC322" s="69"/>
      <c r="BD322" s="70"/>
      <c r="BE322" s="71"/>
      <c r="BF322" s="72" t="s">
        <v>2412</v>
      </c>
      <c r="BG322" s="73"/>
      <c r="BH322" s="73"/>
      <c r="BI322" s="73"/>
      <c r="BJ322" s="73"/>
      <c r="BK322" s="73"/>
      <c r="BL322" s="73"/>
      <c r="BM322" s="73"/>
      <c r="BN322" s="73"/>
      <c r="BO322" s="73"/>
      <c r="BP322" s="73"/>
      <c r="BQ322" s="73"/>
      <c r="BR322" s="73"/>
      <c r="BS322" s="73"/>
      <c r="BT322" s="73"/>
      <c r="BU322" s="73"/>
      <c r="BV322" s="73"/>
      <c r="BW322" s="74"/>
      <c r="BX322" s="74"/>
      <c r="BY322" s="63"/>
      <c r="BZ322" s="63"/>
    </row>
    <row r="323" ht="15.75" customHeight="1">
      <c r="A323" s="224" t="s">
        <v>2413</v>
      </c>
      <c r="B323" s="43" t="s">
        <v>2414</v>
      </c>
      <c r="C323" s="43" t="s">
        <v>271</v>
      </c>
      <c r="D323" s="50" t="s">
        <v>11</v>
      </c>
      <c r="E323" s="77"/>
      <c r="F323" s="78">
        <v>3.3E8</v>
      </c>
      <c r="G323" s="44" t="str">
        <f t="shared" si="8"/>
        <v>$300'000.000 a $400'000.000</v>
      </c>
      <c r="H323" s="44"/>
      <c r="I323" s="44"/>
      <c r="J323" s="50" t="s">
        <v>183</v>
      </c>
      <c r="K323" s="51" t="s">
        <v>184</v>
      </c>
      <c r="L323" s="43">
        <v>6.0</v>
      </c>
      <c r="M323" s="43"/>
      <c r="N323" s="43">
        <v>3.0</v>
      </c>
      <c r="O323" s="43">
        <v>1.0</v>
      </c>
      <c r="P323" s="43">
        <v>1.0</v>
      </c>
      <c r="Q323" s="55">
        <v>170.0</v>
      </c>
      <c r="R323" s="55">
        <v>180.0</v>
      </c>
      <c r="S323" s="56" t="str">
        <f t="shared" si="13"/>
        <v>Rentabilidad $1,300,000</v>
      </c>
      <c r="T323" s="43" t="s">
        <v>78</v>
      </c>
      <c r="U323" s="56" t="s">
        <v>184</v>
      </c>
      <c r="V323" s="43" t="s">
        <v>79</v>
      </c>
      <c r="W323" s="43"/>
      <c r="X323" s="43">
        <v>2.0</v>
      </c>
      <c r="Y323" s="94" t="s">
        <v>80</v>
      </c>
      <c r="Z323" s="80" t="s">
        <v>81</v>
      </c>
      <c r="AA323" s="59" t="str">
        <f>IF(Rentabilidad=0,"No aplica",TEXT(ROUND(Precio/Rentabilidad/12,0),0) &amp; " años")</f>
        <v>21 años</v>
      </c>
      <c r="AB323" s="82" t="s">
        <v>2415</v>
      </c>
      <c r="AC323" s="131" t="s">
        <v>2416</v>
      </c>
      <c r="AD323" s="125"/>
      <c r="AE323" s="63"/>
      <c r="AF323" s="45" t="s">
        <v>236</v>
      </c>
      <c r="AG323" s="65" t="s">
        <v>106</v>
      </c>
      <c r="AH323" s="65" t="s">
        <v>45</v>
      </c>
      <c r="AI323" s="65" t="s">
        <v>1747</v>
      </c>
      <c r="AJ323" s="64" t="s">
        <v>1834</v>
      </c>
      <c r="AK323" s="225" t="s">
        <v>1749</v>
      </c>
      <c r="AL323" s="45" t="s">
        <v>109</v>
      </c>
      <c r="AM323" s="43">
        <v>3.208027317E9</v>
      </c>
      <c r="AN323" s="64">
        <v>0.0</v>
      </c>
      <c r="AO323" s="43" t="s">
        <v>2410</v>
      </c>
      <c r="AP323" s="84">
        <v>0.0</v>
      </c>
      <c r="AQ323" s="84">
        <v>2.949793</v>
      </c>
      <c r="AR323" s="84">
        <v>-75.2898824</v>
      </c>
      <c r="AS323" s="94">
        <v>1300000.0</v>
      </c>
      <c r="AT323" s="50">
        <v>0.0</v>
      </c>
      <c r="AU323" s="43">
        <v>0.0</v>
      </c>
      <c r="AV323" s="43">
        <v>0.0</v>
      </c>
      <c r="AW323" s="43" t="s">
        <v>106</v>
      </c>
      <c r="AX323" s="43">
        <v>0.0</v>
      </c>
      <c r="AY323" s="43" t="s">
        <v>106</v>
      </c>
      <c r="AZ323" s="43">
        <v>9.0</v>
      </c>
      <c r="BA323" s="43" t="s">
        <v>89</v>
      </c>
      <c r="BB323" s="43">
        <v>20.0</v>
      </c>
      <c r="BC323" s="109"/>
      <c r="BD323" s="70"/>
      <c r="BE323" s="71"/>
      <c r="BF323" s="72" t="s">
        <v>2417</v>
      </c>
      <c r="BG323" s="73"/>
      <c r="BH323" s="73"/>
      <c r="BI323" s="73"/>
      <c r="BJ323" s="73"/>
      <c r="BK323" s="73"/>
      <c r="BL323" s="73"/>
      <c r="BM323" s="73"/>
      <c r="BN323" s="73"/>
      <c r="BO323" s="73"/>
      <c r="BP323" s="73"/>
      <c r="BQ323" s="73"/>
      <c r="BR323" s="73"/>
      <c r="BS323" s="73"/>
      <c r="BT323" s="73"/>
      <c r="BU323" s="73"/>
      <c r="BV323" s="73"/>
      <c r="BW323" s="74"/>
      <c r="BX323" s="74"/>
      <c r="BY323" s="63"/>
      <c r="BZ323" s="63"/>
    </row>
    <row r="324">
      <c r="A324" s="75" t="s">
        <v>2418</v>
      </c>
      <c r="B324" s="50" t="s">
        <v>2419</v>
      </c>
      <c r="C324" s="50" t="s">
        <v>271</v>
      </c>
      <c r="D324" s="50" t="s">
        <v>749</v>
      </c>
      <c r="E324" s="77"/>
      <c r="F324" s="78">
        <v>3.2E8</v>
      </c>
      <c r="G324" s="44" t="str">
        <f t="shared" si="8"/>
        <v>$300'000.000 a $400'000.000</v>
      </c>
      <c r="H324" s="44"/>
      <c r="I324" s="44"/>
      <c r="J324" s="50" t="s">
        <v>183</v>
      </c>
      <c r="K324" s="51" t="s">
        <v>184</v>
      </c>
      <c r="L324" s="50">
        <v>4.0</v>
      </c>
      <c r="M324" s="50"/>
      <c r="N324" s="50">
        <v>2.0</v>
      </c>
      <c r="O324" s="50">
        <v>1.0</v>
      </c>
      <c r="P324" s="50">
        <v>2.0</v>
      </c>
      <c r="Q324" s="88"/>
      <c r="R324" s="88">
        <v>75.0</v>
      </c>
      <c r="S324" s="56" t="str">
        <f t="shared" si="13"/>
        <v>Rentabilidad $2,000,000</v>
      </c>
      <c r="T324" s="50" t="s">
        <v>78</v>
      </c>
      <c r="U324" s="51"/>
      <c r="V324" s="50" t="s">
        <v>79</v>
      </c>
      <c r="W324" s="50"/>
      <c r="X324" s="50"/>
      <c r="Y324" s="43" t="s">
        <v>80</v>
      </c>
      <c r="Z324" s="58"/>
      <c r="AA324" s="81"/>
      <c r="AB324" s="115" t="s">
        <v>2420</v>
      </c>
      <c r="AC324" s="124" t="s">
        <v>2421</v>
      </c>
      <c r="AD324" s="125" t="s">
        <v>2422</v>
      </c>
      <c r="AE324" s="63"/>
      <c r="AF324" s="64" t="s">
        <v>236</v>
      </c>
      <c r="AG324" s="65" t="s">
        <v>106</v>
      </c>
      <c r="AH324" s="65" t="s">
        <v>45</v>
      </c>
      <c r="AI324" s="65" t="s">
        <v>1747</v>
      </c>
      <c r="AJ324" s="64" t="s">
        <v>1834</v>
      </c>
      <c r="AK324" s="50"/>
      <c r="AL324" s="45" t="s">
        <v>109</v>
      </c>
      <c r="AM324" s="43">
        <v>3.122953771E9</v>
      </c>
      <c r="AN324" s="45"/>
      <c r="AO324" s="43" t="s">
        <v>2423</v>
      </c>
      <c r="AP324" s="84" t="s">
        <v>2424</v>
      </c>
      <c r="AQ324" s="84">
        <v>2.9465062</v>
      </c>
      <c r="AR324" s="84">
        <v>-75.2882087</v>
      </c>
      <c r="AS324" s="85">
        <v>2000000.0</v>
      </c>
      <c r="AT324" s="50">
        <v>0.0</v>
      </c>
      <c r="AU324" s="50">
        <v>0.0</v>
      </c>
      <c r="AV324" s="50">
        <v>0.0</v>
      </c>
      <c r="AW324" s="50" t="s">
        <v>106</v>
      </c>
      <c r="AX324" s="50"/>
      <c r="AY324" s="50">
        <v>0.0</v>
      </c>
      <c r="AZ324" s="50">
        <v>5.0</v>
      </c>
      <c r="BA324" s="43" t="s">
        <v>89</v>
      </c>
      <c r="BB324" s="50">
        <v>15.0</v>
      </c>
      <c r="BC324" s="109"/>
      <c r="BD324" s="70"/>
      <c r="BE324" s="70"/>
      <c r="BF324" s="72" t="s">
        <v>2425</v>
      </c>
      <c r="BG324" s="73"/>
      <c r="BH324" s="73"/>
      <c r="BI324" s="73"/>
      <c r="BJ324" s="73"/>
      <c r="BK324" s="73"/>
      <c r="BL324" s="73"/>
      <c r="BM324" s="73"/>
      <c r="BN324" s="73"/>
      <c r="BO324" s="73"/>
      <c r="BP324" s="73"/>
      <c r="BQ324" s="73"/>
      <c r="BR324" s="73"/>
      <c r="BS324" s="73"/>
      <c r="BT324" s="73"/>
      <c r="BU324" s="73"/>
      <c r="BV324" s="73"/>
      <c r="BW324" s="74"/>
      <c r="BX324" s="74"/>
      <c r="BY324" s="63"/>
      <c r="BZ324" s="63"/>
    </row>
    <row r="325">
      <c r="A325" s="272" t="s">
        <v>2426</v>
      </c>
      <c r="B325" s="50" t="s">
        <v>1975</v>
      </c>
      <c r="C325" s="50" t="s">
        <v>271</v>
      </c>
      <c r="D325" s="44" t="s">
        <v>11</v>
      </c>
      <c r="E325" s="45"/>
      <c r="F325" s="78">
        <v>3.0E8</v>
      </c>
      <c r="G325" s="44" t="str">
        <f t="shared" si="8"/>
        <v>$300'000.000 a $400'000.000</v>
      </c>
      <c r="H325" s="44"/>
      <c r="I325" s="44"/>
      <c r="J325" s="50" t="s">
        <v>183</v>
      </c>
      <c r="K325" s="51" t="s">
        <v>184</v>
      </c>
      <c r="L325" s="44">
        <v>6.0</v>
      </c>
      <c r="M325" s="44"/>
      <c r="N325" s="44">
        <v>1.0</v>
      </c>
      <c r="O325" s="50">
        <v>0.0</v>
      </c>
      <c r="P325" s="44">
        <v>1.0</v>
      </c>
      <c r="Q325" s="113">
        <v>180.0</v>
      </c>
      <c r="R325" s="79">
        <v>180.0</v>
      </c>
      <c r="S325" s="56" t="str">
        <f t="shared" si="13"/>
        <v>Rentabilidad $350,000</v>
      </c>
      <c r="T325" s="44" t="s">
        <v>78</v>
      </c>
      <c r="U325" s="57" t="s">
        <v>184</v>
      </c>
      <c r="V325" s="50" t="s">
        <v>79</v>
      </c>
      <c r="W325" s="50"/>
      <c r="X325" s="44">
        <v>0.0</v>
      </c>
      <c r="Y325" s="50" t="s">
        <v>80</v>
      </c>
      <c r="Z325" s="80" t="s">
        <v>81</v>
      </c>
      <c r="AA325" s="59" t="str">
        <f>IF(Rentabilidad=0,"No aplica",TEXT(ROUND(Precio/Rentabilidad/12,0),0) &amp; " años")</f>
        <v>71 años</v>
      </c>
      <c r="AB325" s="82" t="s">
        <v>2427</v>
      </c>
      <c r="AC325" s="61"/>
      <c r="AD325" s="125" t="s">
        <v>2428</v>
      </c>
      <c r="AE325" s="63"/>
      <c r="AF325" s="45" t="s">
        <v>105</v>
      </c>
      <c r="AG325" s="65"/>
      <c r="AH325" s="65" t="s">
        <v>45</v>
      </c>
      <c r="AI325" s="65" t="s">
        <v>1747</v>
      </c>
      <c r="AJ325" s="259" t="s">
        <v>1834</v>
      </c>
      <c r="AK325" s="264" t="s">
        <v>1749</v>
      </c>
      <c r="AL325" s="45" t="s">
        <v>109</v>
      </c>
      <c r="AM325" s="44">
        <v>3.128637022E9</v>
      </c>
      <c r="AN325" s="45"/>
      <c r="AO325" s="93" t="s">
        <v>2429</v>
      </c>
      <c r="AP325" s="67" t="s">
        <v>2430</v>
      </c>
      <c r="AQ325" s="67"/>
      <c r="AR325" s="67"/>
      <c r="AS325" s="68">
        <v>350000.0</v>
      </c>
      <c r="AT325" s="44">
        <v>0.0</v>
      </c>
      <c r="AU325" s="52">
        <v>0.0</v>
      </c>
      <c r="AV325" s="52">
        <v>0.0</v>
      </c>
      <c r="AW325" s="43" t="s">
        <v>88</v>
      </c>
      <c r="AX325" s="52">
        <v>0.0</v>
      </c>
      <c r="AY325" s="52" t="s">
        <v>137</v>
      </c>
      <c r="AZ325" s="44">
        <v>9.0</v>
      </c>
      <c r="BA325" s="43" t="s">
        <v>89</v>
      </c>
      <c r="BB325" s="44">
        <v>20.0</v>
      </c>
      <c r="BC325" s="69" t="s">
        <v>2431</v>
      </c>
      <c r="BD325" s="70"/>
      <c r="BE325" s="70"/>
      <c r="BF325" s="72" t="s">
        <v>2432</v>
      </c>
      <c r="BG325" s="73"/>
      <c r="BH325" s="73"/>
      <c r="BI325" s="73"/>
      <c r="BJ325" s="73"/>
      <c r="BK325" s="73"/>
      <c r="BL325" s="73"/>
      <c r="BM325" s="73"/>
      <c r="BN325" s="73"/>
      <c r="BO325" s="73"/>
      <c r="BP325" s="73"/>
      <c r="BQ325" s="73"/>
      <c r="BR325" s="73"/>
      <c r="BS325" s="73"/>
      <c r="BT325" s="73"/>
      <c r="BU325" s="73"/>
      <c r="BV325" s="73"/>
      <c r="BW325" s="74"/>
      <c r="BX325" s="74"/>
      <c r="BY325" s="63"/>
      <c r="BZ325" s="63"/>
    </row>
    <row r="326" ht="15.75" customHeight="1">
      <c r="A326" s="224" t="s">
        <v>2433</v>
      </c>
      <c r="B326" s="43" t="s">
        <v>2434</v>
      </c>
      <c r="C326" s="50" t="s">
        <v>573</v>
      </c>
      <c r="D326" s="52" t="s">
        <v>193</v>
      </c>
      <c r="E326" s="77" t="s">
        <v>376</v>
      </c>
      <c r="F326" s="78">
        <v>3.0E8</v>
      </c>
      <c r="G326" s="44" t="str">
        <f t="shared" si="8"/>
        <v>$300'000.000 a $400'000.000</v>
      </c>
      <c r="H326" s="44"/>
      <c r="I326" s="44"/>
      <c r="J326" s="43" t="s">
        <v>76</v>
      </c>
      <c r="K326" s="56" t="s">
        <v>77</v>
      </c>
      <c r="L326" s="52">
        <v>3.0</v>
      </c>
      <c r="M326" s="52"/>
      <c r="N326" s="43">
        <v>3.0</v>
      </c>
      <c r="O326" s="43">
        <v>1.0</v>
      </c>
      <c r="P326" s="50">
        <v>3.0</v>
      </c>
      <c r="Q326" s="54">
        <v>100.0</v>
      </c>
      <c r="R326" s="55">
        <v>100.0</v>
      </c>
      <c r="S326" s="56" t="str">
        <f t="shared" si="13"/>
        <v> </v>
      </c>
      <c r="T326" s="52" t="s">
        <v>78</v>
      </c>
      <c r="U326" s="142" t="s">
        <v>154</v>
      </c>
      <c r="V326" s="43" t="s">
        <v>642</v>
      </c>
      <c r="W326" s="43"/>
      <c r="X326" s="52">
        <v>3.0</v>
      </c>
      <c r="Y326" s="43" t="s">
        <v>130</v>
      </c>
      <c r="Z326" s="280">
        <v>363000.0</v>
      </c>
      <c r="AA326" s="59" t="str">
        <f>IF(Rentabilidad=0,"No aplica",TEXT(ROUND(Precio/Rentabilidad/12,0),0) &amp; " años")</f>
        <v>No aplica</v>
      </c>
      <c r="AB326" s="180" t="s">
        <v>2435</v>
      </c>
      <c r="AC326" s="131" t="s">
        <v>2436</v>
      </c>
      <c r="AD326" s="107" t="s">
        <v>2437</v>
      </c>
      <c r="AE326" s="63"/>
      <c r="AF326" s="45" t="s">
        <v>105</v>
      </c>
      <c r="AG326" s="65" t="s">
        <v>106</v>
      </c>
      <c r="AH326" s="65" t="s">
        <v>45</v>
      </c>
      <c r="AI326" s="65" t="s">
        <v>1747</v>
      </c>
      <c r="AJ326" s="64" t="s">
        <v>1834</v>
      </c>
      <c r="AK326" s="264" t="s">
        <v>1749</v>
      </c>
      <c r="AL326" s="45" t="s">
        <v>2098</v>
      </c>
      <c r="AM326" s="52">
        <v>3.003250986E9</v>
      </c>
      <c r="AN326" s="45"/>
      <c r="AO326" s="52" t="s">
        <v>2438</v>
      </c>
      <c r="AP326" s="67" t="s">
        <v>2439</v>
      </c>
      <c r="AQ326" s="143">
        <v>2.9345002</v>
      </c>
      <c r="AR326" s="143">
        <v>-75.2904583</v>
      </c>
      <c r="AS326" s="68">
        <v>0.0</v>
      </c>
      <c r="AT326" s="44">
        <v>0.0</v>
      </c>
      <c r="AU326" s="52">
        <v>0.0</v>
      </c>
      <c r="AV326" s="52">
        <v>0.0</v>
      </c>
      <c r="AW326" s="43" t="s">
        <v>88</v>
      </c>
      <c r="AX326" s="52">
        <v>0.0</v>
      </c>
      <c r="AY326" s="52">
        <v>0.0</v>
      </c>
      <c r="AZ326" s="52">
        <v>0.0</v>
      </c>
      <c r="BA326" s="43" t="s">
        <v>89</v>
      </c>
      <c r="BB326" s="52">
        <v>0.0</v>
      </c>
      <c r="BC326" s="109"/>
      <c r="BD326" s="70"/>
      <c r="BE326" s="71"/>
      <c r="BF326" s="72" t="s">
        <v>2440</v>
      </c>
      <c r="BG326" s="73"/>
      <c r="BH326" s="73"/>
      <c r="BI326" s="73"/>
      <c r="BJ326" s="73"/>
      <c r="BK326" s="73"/>
      <c r="BL326" s="73"/>
      <c r="BM326" s="73"/>
      <c r="BN326" s="73"/>
      <c r="BO326" s="73"/>
      <c r="BP326" s="73"/>
      <c r="BQ326" s="73"/>
      <c r="BR326" s="73"/>
      <c r="BS326" s="73"/>
      <c r="BT326" s="73"/>
      <c r="BU326" s="73"/>
      <c r="BV326" s="73"/>
      <c r="BW326" s="74"/>
      <c r="BX326" s="74"/>
      <c r="BY326" s="63"/>
      <c r="BZ326" s="63"/>
    </row>
    <row r="327" ht="15.75" customHeight="1">
      <c r="A327" s="266" t="s">
        <v>2441</v>
      </c>
      <c r="B327" s="50" t="s">
        <v>2442</v>
      </c>
      <c r="C327" s="50" t="s">
        <v>271</v>
      </c>
      <c r="D327" s="50" t="s">
        <v>72</v>
      </c>
      <c r="E327" s="77" t="s">
        <v>376</v>
      </c>
      <c r="F327" s="47">
        <v>2.85E8</v>
      </c>
      <c r="G327" s="44" t="str">
        <f t="shared" si="8"/>
        <v>$200'000.000 a $300'000.000</v>
      </c>
      <c r="H327" s="44"/>
      <c r="I327" s="44"/>
      <c r="J327" s="50" t="s">
        <v>183</v>
      </c>
      <c r="K327" s="51" t="s">
        <v>184</v>
      </c>
      <c r="L327" s="52">
        <v>5.0</v>
      </c>
      <c r="M327" s="52"/>
      <c r="N327" s="52">
        <v>4.0</v>
      </c>
      <c r="O327" s="43">
        <v>2.0</v>
      </c>
      <c r="P327" s="44">
        <v>2.0</v>
      </c>
      <c r="Q327" s="113">
        <f>SUM(U327*X327)</f>
        <v>15</v>
      </c>
      <c r="R327" s="55">
        <v>112.0</v>
      </c>
      <c r="S327" s="56" t="str">
        <f t="shared" si="13"/>
        <v>Rentabilidad $1,600,000</v>
      </c>
      <c r="T327" s="44" t="s">
        <v>78</v>
      </c>
      <c r="U327" s="57" t="s">
        <v>77</v>
      </c>
      <c r="V327" s="50" t="s">
        <v>118</v>
      </c>
      <c r="W327" s="50"/>
      <c r="X327" s="52">
        <v>5.0</v>
      </c>
      <c r="Y327" s="43" t="s">
        <v>80</v>
      </c>
      <c r="Z327" s="80" t="s">
        <v>81</v>
      </c>
      <c r="AA327" s="59" t="str">
        <f>IF(Rentabilidad=0,"No aplica",TEXT(ROUND(Precio/Rentabilidad/12,0),0) &amp; " años")</f>
        <v>15 años</v>
      </c>
      <c r="AB327" s="134" t="s">
        <v>2443</v>
      </c>
      <c r="AC327" s="61"/>
      <c r="AD327" s="125" t="s">
        <v>2444</v>
      </c>
      <c r="AE327" s="63"/>
      <c r="AF327" s="64" t="s">
        <v>236</v>
      </c>
      <c r="AG327" s="65"/>
      <c r="AH327" s="65" t="s">
        <v>45</v>
      </c>
      <c r="AI327" s="65" t="s">
        <v>1747</v>
      </c>
      <c r="AJ327" s="64" t="s">
        <v>1834</v>
      </c>
      <c r="AK327" s="289" t="s">
        <v>2445</v>
      </c>
      <c r="AL327" s="45" t="s">
        <v>109</v>
      </c>
      <c r="AM327" s="52" t="s">
        <v>2446</v>
      </c>
      <c r="AN327" s="45" t="s">
        <v>2447</v>
      </c>
      <c r="AO327" s="52" t="s">
        <v>2448</v>
      </c>
      <c r="AP327" s="67" t="s">
        <v>2449</v>
      </c>
      <c r="AQ327" s="67"/>
      <c r="AR327" s="67"/>
      <c r="AS327" s="68">
        <v>1600000.0</v>
      </c>
      <c r="AT327" s="44">
        <v>0.0</v>
      </c>
      <c r="AU327" s="52">
        <v>0.0</v>
      </c>
      <c r="AV327" s="52">
        <v>0.0</v>
      </c>
      <c r="AW327" s="43" t="s">
        <v>88</v>
      </c>
      <c r="AX327" s="52">
        <v>0.0</v>
      </c>
      <c r="AY327" s="52">
        <v>0.0</v>
      </c>
      <c r="AZ327" s="44">
        <v>7.0</v>
      </c>
      <c r="BA327" s="43" t="s">
        <v>89</v>
      </c>
      <c r="BB327" s="44">
        <v>16.0</v>
      </c>
      <c r="BC327" s="109"/>
      <c r="BD327" s="70"/>
      <c r="BE327" s="71"/>
      <c r="BF327" s="72" t="s">
        <v>2450</v>
      </c>
      <c r="BG327" s="73"/>
      <c r="BH327" s="73"/>
      <c r="BI327" s="73"/>
      <c r="BJ327" s="73"/>
      <c r="BK327" s="73"/>
      <c r="BL327" s="73"/>
      <c r="BM327" s="73"/>
      <c r="BN327" s="73"/>
      <c r="BO327" s="73"/>
      <c r="BP327" s="73"/>
      <c r="BQ327" s="73"/>
      <c r="BR327" s="73"/>
      <c r="BS327" s="73"/>
      <c r="BT327" s="73"/>
      <c r="BU327" s="73"/>
      <c r="BV327" s="73"/>
      <c r="BW327" s="74"/>
      <c r="BX327" s="74"/>
      <c r="BY327" s="63"/>
      <c r="BZ327" s="63"/>
    </row>
    <row r="328" ht="15.75" customHeight="1">
      <c r="A328" s="224" t="s">
        <v>2451</v>
      </c>
      <c r="B328" s="43" t="s">
        <v>2452</v>
      </c>
      <c r="C328" s="43" t="s">
        <v>128</v>
      </c>
      <c r="D328" s="290"/>
      <c r="E328" s="64" t="s">
        <v>2453</v>
      </c>
      <c r="F328" s="78">
        <v>2.8E8</v>
      </c>
      <c r="G328" s="44" t="str">
        <f t="shared" si="8"/>
        <v>$200'000.000 a $300'000.000</v>
      </c>
      <c r="H328" s="44"/>
      <c r="I328" s="44"/>
      <c r="J328" s="43" t="s">
        <v>76</v>
      </c>
      <c r="K328" s="142"/>
      <c r="L328" s="43">
        <v>3.0</v>
      </c>
      <c r="M328" s="43"/>
      <c r="N328" s="43">
        <v>3.0</v>
      </c>
      <c r="O328" s="43">
        <v>1.0</v>
      </c>
      <c r="P328" s="43">
        <v>2.0</v>
      </c>
      <c r="Q328" s="79">
        <v>180.0</v>
      </c>
      <c r="R328" s="79">
        <v>109.0</v>
      </c>
      <c r="S328" s="56" t="str">
        <f t="shared" si="13"/>
        <v> </v>
      </c>
      <c r="T328" s="43" t="s">
        <v>470</v>
      </c>
      <c r="U328" s="56" t="s">
        <v>142</v>
      </c>
      <c r="V328" s="43" t="s">
        <v>79</v>
      </c>
      <c r="W328" s="43"/>
      <c r="X328" s="43">
        <v>3.0</v>
      </c>
      <c r="Y328" s="43" t="s">
        <v>130</v>
      </c>
      <c r="Z328" s="58">
        <v>700000.0</v>
      </c>
      <c r="AA328" s="81" t="s">
        <v>81</v>
      </c>
      <c r="AB328" s="140" t="s">
        <v>2454</v>
      </c>
      <c r="AC328" s="131" t="s">
        <v>2455</v>
      </c>
      <c r="AD328" s="107" t="s">
        <v>2456</v>
      </c>
      <c r="AE328" s="63"/>
      <c r="AF328" s="64" t="s">
        <v>105</v>
      </c>
      <c r="AG328" s="65" t="s">
        <v>106</v>
      </c>
      <c r="AH328" s="63"/>
      <c r="AI328" s="65" t="s">
        <v>1747</v>
      </c>
      <c r="AJ328" s="64" t="s">
        <v>1834</v>
      </c>
      <c r="AK328" s="264" t="s">
        <v>1749</v>
      </c>
      <c r="AL328" s="45" t="s">
        <v>109</v>
      </c>
      <c r="AM328" s="43">
        <v>3.116933047E9</v>
      </c>
      <c r="AN328" s="64">
        <v>0.0</v>
      </c>
      <c r="AO328" s="43" t="s">
        <v>2457</v>
      </c>
      <c r="AP328" s="84">
        <v>0.0</v>
      </c>
      <c r="AQ328" s="84">
        <v>4.2093893</v>
      </c>
      <c r="AR328" s="84">
        <v>-74.6300193</v>
      </c>
      <c r="AS328" s="94">
        <v>0.0</v>
      </c>
      <c r="AT328" s="43">
        <v>0.0</v>
      </c>
      <c r="AU328" s="43" t="s">
        <v>106</v>
      </c>
      <c r="AV328" s="43">
        <v>0.0</v>
      </c>
      <c r="AW328" s="43" t="s">
        <v>88</v>
      </c>
      <c r="AX328" s="43">
        <v>0.0</v>
      </c>
      <c r="AY328" s="43" t="s">
        <v>137</v>
      </c>
      <c r="AZ328" s="43">
        <v>0.0</v>
      </c>
      <c r="BA328" s="43" t="s">
        <v>89</v>
      </c>
      <c r="BB328" s="43">
        <v>0.0</v>
      </c>
      <c r="BC328" s="69"/>
      <c r="BD328" s="70"/>
      <c r="BE328" s="71"/>
      <c r="BF328" s="72" t="s">
        <v>2458</v>
      </c>
      <c r="BG328" s="73"/>
      <c r="BH328" s="73"/>
      <c r="BI328" s="73"/>
      <c r="BJ328" s="73"/>
      <c r="BK328" s="73"/>
      <c r="BL328" s="73"/>
      <c r="BM328" s="73"/>
      <c r="BN328" s="73"/>
      <c r="BO328" s="73"/>
      <c r="BP328" s="73"/>
      <c r="BQ328" s="73"/>
      <c r="BR328" s="73"/>
      <c r="BS328" s="73"/>
      <c r="BT328" s="73"/>
      <c r="BU328" s="73"/>
      <c r="BV328" s="73"/>
      <c r="BW328" s="74"/>
      <c r="BX328" s="74"/>
      <c r="BY328" s="63"/>
      <c r="BZ328" s="63"/>
    </row>
    <row r="329" ht="15.75" customHeight="1">
      <c r="A329" s="272" t="s">
        <v>2459</v>
      </c>
      <c r="B329" s="50" t="s">
        <v>2460</v>
      </c>
      <c r="C329" s="50" t="s">
        <v>271</v>
      </c>
      <c r="D329" s="43" t="s">
        <v>11</v>
      </c>
      <c r="E329" s="77"/>
      <c r="F329" s="78">
        <v>2.8E8</v>
      </c>
      <c r="G329" s="44" t="str">
        <f t="shared" si="8"/>
        <v>$200'000.000 a $300'000.000</v>
      </c>
      <c r="H329" s="44"/>
      <c r="I329" s="44"/>
      <c r="J329" s="43" t="s">
        <v>183</v>
      </c>
      <c r="K329" s="51" t="s">
        <v>184</v>
      </c>
      <c r="L329" s="43">
        <v>7.0</v>
      </c>
      <c r="M329" s="43"/>
      <c r="N329" s="43">
        <v>4.0</v>
      </c>
      <c r="O329" s="43">
        <v>1.0</v>
      </c>
      <c r="P329" s="50">
        <v>2.0</v>
      </c>
      <c r="Q329" s="79">
        <v>210.0</v>
      </c>
      <c r="R329" s="79">
        <v>180.0</v>
      </c>
      <c r="S329" s="56" t="str">
        <f t="shared" si="13"/>
        <v>Rentabilidad $1,800,000</v>
      </c>
      <c r="T329" s="43" t="s">
        <v>78</v>
      </c>
      <c r="U329" s="51" t="s">
        <v>184</v>
      </c>
      <c r="V329" s="43" t="s">
        <v>79</v>
      </c>
      <c r="W329" s="43"/>
      <c r="X329" s="43">
        <v>0.0</v>
      </c>
      <c r="Y329" s="43" t="s">
        <v>80</v>
      </c>
      <c r="Z329" s="80" t="s">
        <v>81</v>
      </c>
      <c r="AA329" s="59" t="str">
        <f>IF(Rentabilidad=0,"No aplica",TEXT(ROUND(Precio/Rentabilidad/12,0),0) &amp; " años")</f>
        <v>13 años</v>
      </c>
      <c r="AB329" s="140" t="s">
        <v>2461</v>
      </c>
      <c r="AC329" s="61"/>
      <c r="AD329" s="107" t="s">
        <v>2462</v>
      </c>
      <c r="AE329" s="63"/>
      <c r="AF329" s="64" t="s">
        <v>236</v>
      </c>
      <c r="AG329" s="65" t="s">
        <v>106</v>
      </c>
      <c r="AH329" s="65" t="s">
        <v>45</v>
      </c>
      <c r="AI329" s="65" t="s">
        <v>1747</v>
      </c>
      <c r="AJ329" s="64" t="s">
        <v>1834</v>
      </c>
      <c r="AK329" s="264" t="s">
        <v>1749</v>
      </c>
      <c r="AL329" s="45" t="s">
        <v>109</v>
      </c>
      <c r="AM329" s="43">
        <v>3.153905558E9</v>
      </c>
      <c r="AN329" s="45"/>
      <c r="AO329" s="43" t="s">
        <v>2463</v>
      </c>
      <c r="AP329" s="84" t="s">
        <v>2464</v>
      </c>
      <c r="AQ329" s="84">
        <v>2.9478407</v>
      </c>
      <c r="AR329" s="84">
        <v>-75.2900813</v>
      </c>
      <c r="AS329" s="85">
        <v>1800000.0</v>
      </c>
      <c r="AT329" s="50">
        <v>0.0</v>
      </c>
      <c r="AU329" s="43">
        <v>0.0</v>
      </c>
      <c r="AV329" s="43">
        <v>0.0</v>
      </c>
      <c r="AW329" s="43" t="s">
        <v>106</v>
      </c>
      <c r="AX329" s="43">
        <v>50.0</v>
      </c>
      <c r="AY329" s="43" t="s">
        <v>137</v>
      </c>
      <c r="AZ329" s="50">
        <v>9.0</v>
      </c>
      <c r="BA329" s="43" t="s">
        <v>89</v>
      </c>
      <c r="BB329" s="50">
        <v>20.0</v>
      </c>
      <c r="BC329" s="69" t="s">
        <v>2465</v>
      </c>
      <c r="BD329" s="70"/>
      <c r="BE329" s="71"/>
      <c r="BF329" s="72" t="s">
        <v>2466</v>
      </c>
      <c r="BG329" s="73"/>
      <c r="BH329" s="73"/>
      <c r="BI329" s="73"/>
      <c r="BJ329" s="73"/>
      <c r="BK329" s="73"/>
      <c r="BL329" s="73"/>
      <c r="BM329" s="73"/>
      <c r="BN329" s="73"/>
      <c r="BO329" s="73"/>
      <c r="BP329" s="73"/>
      <c r="BQ329" s="73"/>
      <c r="BR329" s="73"/>
      <c r="BS329" s="73"/>
      <c r="BT329" s="73"/>
      <c r="BU329" s="73"/>
      <c r="BV329" s="73"/>
      <c r="BW329" s="74"/>
      <c r="BX329" s="74"/>
      <c r="BY329" s="63"/>
      <c r="BZ329" s="63"/>
    </row>
    <row r="330" ht="15.75" customHeight="1">
      <c r="A330" s="272" t="s">
        <v>2467</v>
      </c>
      <c r="B330" s="50" t="s">
        <v>436</v>
      </c>
      <c r="C330" s="50" t="s">
        <v>70</v>
      </c>
      <c r="D330" s="44" t="s">
        <v>11</v>
      </c>
      <c r="E330" s="45"/>
      <c r="F330" s="78">
        <v>2.8E8</v>
      </c>
      <c r="G330" s="44" t="str">
        <f t="shared" si="8"/>
        <v>$200'000.000 a $300'000.000</v>
      </c>
      <c r="H330" s="44"/>
      <c r="I330" s="44"/>
      <c r="J330" s="50" t="s">
        <v>183</v>
      </c>
      <c r="K330" s="51" t="s">
        <v>184</v>
      </c>
      <c r="L330" s="44">
        <v>4.0</v>
      </c>
      <c r="M330" s="44"/>
      <c r="N330" s="44">
        <v>1.0</v>
      </c>
      <c r="O330" s="50">
        <v>0.0</v>
      </c>
      <c r="P330" s="44">
        <v>1.0</v>
      </c>
      <c r="Q330" s="79">
        <v>160.0</v>
      </c>
      <c r="R330" s="79">
        <v>180.0</v>
      </c>
      <c r="S330" s="56" t="str">
        <f t="shared" si="13"/>
        <v>Rentabilidad $800,000</v>
      </c>
      <c r="T330" s="44" t="s">
        <v>78</v>
      </c>
      <c r="U330" s="57" t="s">
        <v>184</v>
      </c>
      <c r="V330" s="50" t="s">
        <v>79</v>
      </c>
      <c r="W330" s="50"/>
      <c r="X330" s="44">
        <v>1.0</v>
      </c>
      <c r="Y330" s="94" t="s">
        <v>80</v>
      </c>
      <c r="Z330" s="58" t="s">
        <v>81</v>
      </c>
      <c r="AA330" s="59" t="str">
        <f>IF(Rentabilidad=0,"No aplica",TEXT(ROUND(Precio/Rentabilidad/12,0),0) &amp; " años")</f>
        <v>29 años</v>
      </c>
      <c r="AB330" s="279" t="s">
        <v>2468</v>
      </c>
      <c r="AC330" s="131" t="s">
        <v>2469</v>
      </c>
      <c r="AD330" s="125" t="s">
        <v>2470</v>
      </c>
      <c r="AE330" s="63"/>
      <c r="AF330" s="64" t="s">
        <v>236</v>
      </c>
      <c r="AG330" s="65" t="s">
        <v>106</v>
      </c>
      <c r="AH330" s="65" t="s">
        <v>45</v>
      </c>
      <c r="AI330" s="65" t="s">
        <v>1747</v>
      </c>
      <c r="AJ330" s="259" t="s">
        <v>1834</v>
      </c>
      <c r="AK330" s="264" t="s">
        <v>1749</v>
      </c>
      <c r="AL330" s="45" t="s">
        <v>109</v>
      </c>
      <c r="AM330" s="116">
        <v>3.017595457E9</v>
      </c>
      <c r="AN330" s="259">
        <v>3.152916702E9</v>
      </c>
      <c r="AO330" s="116" t="s">
        <v>2471</v>
      </c>
      <c r="AP330" s="117" t="s">
        <v>2472</v>
      </c>
      <c r="AQ330" s="291">
        <v>2.9583053</v>
      </c>
      <c r="AR330" s="291">
        <v>-75.2877913</v>
      </c>
      <c r="AS330" s="118">
        <v>800000.0</v>
      </c>
      <c r="AT330" s="63">
        <v>0.0</v>
      </c>
      <c r="AU330" s="116">
        <v>0.0</v>
      </c>
      <c r="AV330" s="116">
        <v>0.0</v>
      </c>
      <c r="AW330" s="153" t="s">
        <v>106</v>
      </c>
      <c r="AX330" s="116">
        <v>0.0</v>
      </c>
      <c r="AY330" s="116" t="s">
        <v>247</v>
      </c>
      <c r="AZ330" s="63">
        <v>9.0</v>
      </c>
      <c r="BA330" s="43" t="s">
        <v>89</v>
      </c>
      <c r="BB330" s="65">
        <v>20.0</v>
      </c>
      <c r="BC330" s="95"/>
      <c r="BD330" s="71"/>
      <c r="BE330" s="71"/>
      <c r="BF330" s="72" t="s">
        <v>2473</v>
      </c>
      <c r="BG330" s="73"/>
      <c r="BH330" s="73"/>
      <c r="BI330" s="73"/>
      <c r="BJ330" s="73"/>
      <c r="BK330" s="73"/>
      <c r="BL330" s="73"/>
      <c r="BM330" s="73"/>
      <c r="BN330" s="73"/>
      <c r="BO330" s="73"/>
      <c r="BP330" s="73"/>
      <c r="BQ330" s="73"/>
      <c r="BR330" s="73"/>
      <c r="BS330" s="73"/>
      <c r="BT330" s="73"/>
      <c r="BU330" s="73"/>
      <c r="BV330" s="73"/>
      <c r="BW330" s="74"/>
      <c r="BX330" s="74"/>
      <c r="BY330" s="63"/>
      <c r="BZ330" s="63"/>
    </row>
    <row r="331" ht="15.75" customHeight="1">
      <c r="A331" s="224" t="s">
        <v>2474</v>
      </c>
      <c r="B331" s="43" t="s">
        <v>2475</v>
      </c>
      <c r="C331" s="43" t="s">
        <v>128</v>
      </c>
      <c r="D331" s="213"/>
      <c r="E331" s="64" t="s">
        <v>2476</v>
      </c>
      <c r="F331" s="78">
        <v>2.5E8</v>
      </c>
      <c r="G331" s="44" t="str">
        <f t="shared" si="8"/>
        <v>$200'000.000 a $300'000.000</v>
      </c>
      <c r="H331" s="44"/>
      <c r="I331" s="44"/>
      <c r="J331" s="50" t="s">
        <v>94</v>
      </c>
      <c r="K331" s="57"/>
      <c r="L331" s="50">
        <v>3.0</v>
      </c>
      <c r="M331" s="50"/>
      <c r="N331" s="50">
        <v>3.0</v>
      </c>
      <c r="O331" s="50">
        <v>1.0</v>
      </c>
      <c r="P331" s="50">
        <v>2.0</v>
      </c>
      <c r="Q331" s="55">
        <v>170.0</v>
      </c>
      <c r="R331" s="55">
        <v>92.0</v>
      </c>
      <c r="S331" s="56" t="str">
        <f t="shared" si="13"/>
        <v> </v>
      </c>
      <c r="T331" s="43" t="s">
        <v>78</v>
      </c>
      <c r="U331" s="51" t="s">
        <v>184</v>
      </c>
      <c r="V331" s="50" t="s">
        <v>79</v>
      </c>
      <c r="W331" s="50"/>
      <c r="X331" s="50">
        <v>1.0</v>
      </c>
      <c r="Y331" s="50" t="s">
        <v>130</v>
      </c>
      <c r="Z331" s="58">
        <v>111000.0</v>
      </c>
      <c r="AA331" s="81" t="s">
        <v>81</v>
      </c>
      <c r="AB331" s="140" t="s">
        <v>2477</v>
      </c>
      <c r="AC331" s="131" t="s">
        <v>2478</v>
      </c>
      <c r="AD331" s="107" t="s">
        <v>2479</v>
      </c>
      <c r="AE331" s="63"/>
      <c r="AF331" s="64" t="s">
        <v>105</v>
      </c>
      <c r="AG331" s="65" t="s">
        <v>106</v>
      </c>
      <c r="AH331" s="63"/>
      <c r="AI331" s="65" t="s">
        <v>1747</v>
      </c>
      <c r="AJ331" s="64" t="s">
        <v>1834</v>
      </c>
      <c r="AK331" s="264" t="s">
        <v>1749</v>
      </c>
      <c r="AL331" s="45" t="s">
        <v>86</v>
      </c>
      <c r="AM331" s="43">
        <v>3.162846868E9</v>
      </c>
      <c r="AN331" s="64">
        <v>0.0</v>
      </c>
      <c r="AO331" s="43" t="s">
        <v>2480</v>
      </c>
      <c r="AP331" s="84" t="s">
        <v>2481</v>
      </c>
      <c r="AQ331" s="84">
        <v>2.8912241</v>
      </c>
      <c r="AR331" s="84">
        <v>-75.2533065</v>
      </c>
      <c r="AS331" s="85">
        <v>0.0</v>
      </c>
      <c r="AT331" s="50">
        <v>0.0</v>
      </c>
      <c r="AU331" s="50">
        <v>0.0</v>
      </c>
      <c r="AV331" s="50">
        <v>0.0</v>
      </c>
      <c r="AW331" s="50" t="s">
        <v>88</v>
      </c>
      <c r="AX331" s="50">
        <v>3.0</v>
      </c>
      <c r="AY331" s="50" t="s">
        <v>137</v>
      </c>
      <c r="AZ331" s="50">
        <v>0.0</v>
      </c>
      <c r="BA331" s="43" t="s">
        <v>89</v>
      </c>
      <c r="BB331" s="50">
        <v>0.0</v>
      </c>
      <c r="BC331" s="292"/>
      <c r="BD331" s="70"/>
      <c r="BE331" s="71"/>
      <c r="BF331" s="72" t="s">
        <v>2482</v>
      </c>
      <c r="BG331" s="73"/>
      <c r="BH331" s="73"/>
      <c r="BI331" s="73"/>
      <c r="BJ331" s="73"/>
      <c r="BK331" s="73"/>
      <c r="BL331" s="73"/>
      <c r="BM331" s="73"/>
      <c r="BN331" s="73"/>
      <c r="BO331" s="73"/>
      <c r="BP331" s="73"/>
      <c r="BQ331" s="73"/>
      <c r="BR331" s="73"/>
      <c r="BS331" s="73"/>
      <c r="BT331" s="73"/>
      <c r="BU331" s="73"/>
      <c r="BV331" s="73"/>
      <c r="BW331" s="74"/>
      <c r="BX331" s="74"/>
      <c r="BY331" s="63"/>
      <c r="BZ331" s="63"/>
    </row>
    <row r="332" ht="15.75" customHeight="1">
      <c r="A332" s="224" t="s">
        <v>2483</v>
      </c>
      <c r="B332" s="43" t="s">
        <v>2484</v>
      </c>
      <c r="C332" s="43" t="s">
        <v>70</v>
      </c>
      <c r="D332" s="50" t="s">
        <v>574</v>
      </c>
      <c r="E332" s="64"/>
      <c r="F332" s="78">
        <v>2.5E8</v>
      </c>
      <c r="G332" s="44" t="str">
        <f t="shared" si="8"/>
        <v>$200'000.000 a $300'000.000</v>
      </c>
      <c r="H332" s="44"/>
      <c r="I332" s="44"/>
      <c r="J332" s="50" t="s">
        <v>116</v>
      </c>
      <c r="K332" s="51"/>
      <c r="L332" s="52">
        <v>5.0</v>
      </c>
      <c r="M332" s="52"/>
      <c r="N332" s="52">
        <v>4.0</v>
      </c>
      <c r="O332" s="43">
        <v>1.0</v>
      </c>
      <c r="P332" s="52">
        <v>2.0</v>
      </c>
      <c r="Q332" s="54"/>
      <c r="R332" s="55">
        <v>90.0</v>
      </c>
      <c r="S332" s="56" t="str">
        <f t="shared" si="13"/>
        <v> </v>
      </c>
      <c r="T332" s="52" t="s">
        <v>78</v>
      </c>
      <c r="U332" s="142" t="s">
        <v>184</v>
      </c>
      <c r="V332" s="43" t="s">
        <v>79</v>
      </c>
      <c r="W332" s="43"/>
      <c r="X332" s="52">
        <v>3.0</v>
      </c>
      <c r="Y332" s="43" t="s">
        <v>80</v>
      </c>
      <c r="Z332" s="80" t="s">
        <v>81</v>
      </c>
      <c r="AA332" s="59" t="str">
        <f>IF(Rentabilidad=0,"No aplica",TEXT(ROUND(Precio/Rentabilidad/12,0),0) &amp; " años")</f>
        <v>No aplica</v>
      </c>
      <c r="AB332" s="115" t="s">
        <v>2485</v>
      </c>
      <c r="AC332" s="61"/>
      <c r="AD332" s="107" t="s">
        <v>2486</v>
      </c>
      <c r="AE332" s="63"/>
      <c r="AF332" s="45" t="s">
        <v>236</v>
      </c>
      <c r="AG332" s="65" t="s">
        <v>106</v>
      </c>
      <c r="AH332" s="63"/>
      <c r="AI332" s="65" t="s">
        <v>1747</v>
      </c>
      <c r="AJ332" s="64" t="s">
        <v>1834</v>
      </c>
      <c r="AK332" s="264" t="s">
        <v>1749</v>
      </c>
      <c r="AL332" s="45" t="s">
        <v>109</v>
      </c>
      <c r="AM332" s="52">
        <v>3.125399153E9</v>
      </c>
      <c r="AN332" s="45"/>
      <c r="AO332" s="52" t="s">
        <v>2487</v>
      </c>
      <c r="AP332" s="67" t="s">
        <v>2488</v>
      </c>
      <c r="AQ332" s="143">
        <v>2.9356578</v>
      </c>
      <c r="AR332" s="143">
        <v>-75.2600749</v>
      </c>
      <c r="AS332" s="135">
        <v>0.0</v>
      </c>
      <c r="AT332" s="52">
        <v>0.0</v>
      </c>
      <c r="AU332" s="52">
        <v>0.0</v>
      </c>
      <c r="AV332" s="52">
        <v>0.0</v>
      </c>
      <c r="AW332" s="52" t="s">
        <v>106</v>
      </c>
      <c r="AX332" s="52">
        <v>0.0</v>
      </c>
      <c r="AY332" s="52">
        <v>0.0</v>
      </c>
      <c r="AZ332" s="52">
        <v>0.0</v>
      </c>
      <c r="BA332" s="43" t="s">
        <v>89</v>
      </c>
      <c r="BB332" s="52">
        <v>0.0</v>
      </c>
      <c r="BC332" s="95"/>
      <c r="BD332" s="71"/>
      <c r="BE332" s="71"/>
      <c r="BF332" s="72" t="s">
        <v>2489</v>
      </c>
      <c r="BG332" s="73"/>
      <c r="BH332" s="73"/>
      <c r="BI332" s="73"/>
      <c r="BJ332" s="73"/>
      <c r="BK332" s="73"/>
      <c r="BL332" s="73"/>
      <c r="BM332" s="73"/>
      <c r="BN332" s="73"/>
      <c r="BO332" s="73"/>
      <c r="BP332" s="73"/>
      <c r="BQ332" s="73"/>
      <c r="BR332" s="73"/>
      <c r="BS332" s="73"/>
      <c r="BT332" s="73"/>
      <c r="BU332" s="73"/>
      <c r="BV332" s="73"/>
      <c r="BW332" s="74"/>
      <c r="BX332" s="74"/>
      <c r="BY332" s="63"/>
      <c r="BZ332" s="63"/>
    </row>
    <row r="333" ht="15.75" customHeight="1">
      <c r="A333" s="272" t="s">
        <v>2490</v>
      </c>
      <c r="B333" s="50" t="s">
        <v>2491</v>
      </c>
      <c r="C333" s="50" t="s">
        <v>448</v>
      </c>
      <c r="D333" s="50" t="s">
        <v>76</v>
      </c>
      <c r="E333" s="77"/>
      <c r="F333" s="78">
        <v>2.0E8</v>
      </c>
      <c r="G333" s="44" t="str">
        <f t="shared" si="8"/>
        <v>$200'000.000 a $300'000.000</v>
      </c>
      <c r="H333" s="44"/>
      <c r="I333" s="44"/>
      <c r="J333" s="50" t="s">
        <v>76</v>
      </c>
      <c r="K333" s="51" t="s">
        <v>142</v>
      </c>
      <c r="L333" s="50">
        <v>0.0</v>
      </c>
      <c r="M333" s="50"/>
      <c r="N333" s="50">
        <v>1.0</v>
      </c>
      <c r="O333" s="50">
        <v>0.0</v>
      </c>
      <c r="P333" s="50">
        <v>2.0</v>
      </c>
      <c r="Q333" s="88">
        <v>46.6</v>
      </c>
      <c r="R333" s="88">
        <v>46.6</v>
      </c>
      <c r="S333" s="56" t="str">
        <f t="shared" si="13"/>
        <v> </v>
      </c>
      <c r="T333" s="50" t="s">
        <v>78</v>
      </c>
      <c r="U333" s="51" t="s">
        <v>679</v>
      </c>
      <c r="V333" s="50" t="s">
        <v>542</v>
      </c>
      <c r="W333" s="50"/>
      <c r="X333" s="50">
        <v>0.0</v>
      </c>
      <c r="Y333" s="43" t="s">
        <v>80</v>
      </c>
      <c r="Z333" s="58">
        <v>352000.0</v>
      </c>
      <c r="AA333" s="81" t="s">
        <v>81</v>
      </c>
      <c r="AB333" s="115" t="s">
        <v>2492</v>
      </c>
      <c r="AC333" s="124" t="s">
        <v>2493</v>
      </c>
      <c r="AD333" s="125" t="s">
        <v>2494</v>
      </c>
      <c r="AE333" s="63"/>
      <c r="AF333" s="64" t="s">
        <v>84</v>
      </c>
      <c r="AG333" s="65" t="s">
        <v>106</v>
      </c>
      <c r="AH333" s="65"/>
      <c r="AI333" s="65" t="s">
        <v>1747</v>
      </c>
      <c r="AJ333" s="64" t="s">
        <v>1834</v>
      </c>
      <c r="AK333" s="264" t="s">
        <v>1749</v>
      </c>
      <c r="AL333" s="45" t="s">
        <v>109</v>
      </c>
      <c r="AM333" s="43" t="s">
        <v>2495</v>
      </c>
      <c r="AN333" s="64" t="s">
        <v>2496</v>
      </c>
      <c r="AO333" s="43" t="s">
        <v>2497</v>
      </c>
      <c r="AP333" s="84" t="s">
        <v>2498</v>
      </c>
      <c r="AQ333" s="84">
        <v>2.9266115</v>
      </c>
      <c r="AR333" s="84">
        <v>-75.2873835</v>
      </c>
      <c r="AS333" s="85"/>
      <c r="AT333" s="50">
        <v>0.0</v>
      </c>
      <c r="AU333" s="50">
        <v>0.0</v>
      </c>
      <c r="AV333" s="50">
        <v>0.0</v>
      </c>
      <c r="AW333" s="50" t="s">
        <v>88</v>
      </c>
      <c r="AX333" s="50">
        <v>0.0</v>
      </c>
      <c r="AY333" s="50">
        <v>0.0</v>
      </c>
      <c r="AZ333" s="50">
        <v>0.0</v>
      </c>
      <c r="BA333" s="43" t="s">
        <v>89</v>
      </c>
      <c r="BB333" s="50">
        <v>0.0</v>
      </c>
      <c r="BC333" s="86"/>
      <c r="BD333" s="71"/>
      <c r="BE333" s="71"/>
      <c r="BF333" s="72" t="s">
        <v>2499</v>
      </c>
      <c r="BG333" s="73"/>
      <c r="BH333" s="73"/>
      <c r="BI333" s="73"/>
      <c r="BJ333" s="73"/>
      <c r="BK333" s="73"/>
      <c r="BL333" s="73"/>
      <c r="BM333" s="73"/>
      <c r="BN333" s="73"/>
      <c r="BO333" s="73"/>
      <c r="BP333" s="73"/>
      <c r="BQ333" s="73"/>
      <c r="BR333" s="73"/>
      <c r="BS333" s="73"/>
      <c r="BT333" s="73"/>
      <c r="BU333" s="73"/>
      <c r="BV333" s="73"/>
      <c r="BW333" s="74"/>
      <c r="BX333" s="74"/>
      <c r="BY333" s="63"/>
      <c r="BZ333" s="63"/>
    </row>
    <row r="334" ht="15.75" customHeight="1">
      <c r="A334" s="75" t="s">
        <v>2500</v>
      </c>
      <c r="B334" s="50" t="s">
        <v>2501</v>
      </c>
      <c r="C334" s="50" t="s">
        <v>497</v>
      </c>
      <c r="D334" s="50"/>
      <c r="E334" s="64"/>
      <c r="F334" s="78">
        <v>1.8E8</v>
      </c>
      <c r="G334" s="44" t="str">
        <f t="shared" si="8"/>
        <v>$100'000.000 a $200'000.000</v>
      </c>
      <c r="H334" s="44"/>
      <c r="I334" s="44"/>
      <c r="J334" s="50" t="s">
        <v>498</v>
      </c>
      <c r="K334" s="51"/>
      <c r="L334" s="50">
        <v>3.0</v>
      </c>
      <c r="M334" s="50"/>
      <c r="N334" s="50">
        <v>1.0</v>
      </c>
      <c r="O334" s="50">
        <v>0.0</v>
      </c>
      <c r="P334" s="50">
        <v>1.0</v>
      </c>
      <c r="Q334" s="88">
        <v>200.0</v>
      </c>
      <c r="R334" s="88" t="s">
        <v>2502</v>
      </c>
      <c r="S334" s="56"/>
      <c r="T334" s="50" t="s">
        <v>1402</v>
      </c>
      <c r="U334" s="57"/>
      <c r="V334" s="44"/>
      <c r="W334" s="44"/>
      <c r="X334" s="50">
        <v>0.0</v>
      </c>
      <c r="Y334" s="50" t="s">
        <v>80</v>
      </c>
      <c r="Z334" s="58" t="s">
        <v>81</v>
      </c>
      <c r="AA334" s="59" t="str">
        <f>IF(Rentabilidad=0,"No aplica",TEXT(ROUND(Precio/Rentabilidad/12,0),0) &amp; " años")</f>
        <v>No aplica</v>
      </c>
      <c r="AB334" s="82" t="s">
        <v>2503</v>
      </c>
      <c r="AC334" s="131" t="s">
        <v>2504</v>
      </c>
      <c r="AD334" s="107" t="s">
        <v>2505</v>
      </c>
      <c r="AE334" s="63"/>
      <c r="AF334" s="64" t="s">
        <v>84</v>
      </c>
      <c r="AG334" s="65" t="s">
        <v>106</v>
      </c>
      <c r="AH334" s="63"/>
      <c r="AI334" s="65" t="s">
        <v>1747</v>
      </c>
      <c r="AJ334" s="64" t="s">
        <v>1834</v>
      </c>
      <c r="AK334" s="50" t="s">
        <v>81</v>
      </c>
      <c r="AL334" s="64" t="s">
        <v>109</v>
      </c>
      <c r="AM334" s="288">
        <v>3.14423448E9</v>
      </c>
      <c r="AN334" s="64">
        <v>0.0</v>
      </c>
      <c r="AO334" s="43" t="s">
        <v>2410</v>
      </c>
      <c r="AP334" s="67"/>
      <c r="AQ334" s="67"/>
      <c r="AR334" s="67"/>
      <c r="AS334" s="94">
        <v>0.0</v>
      </c>
      <c r="AT334" s="65">
        <v>0.0</v>
      </c>
      <c r="AU334" s="50">
        <v>0.0</v>
      </c>
      <c r="AV334" s="50">
        <v>0.0</v>
      </c>
      <c r="AW334" s="50" t="s">
        <v>88</v>
      </c>
      <c r="AX334" s="50">
        <v>0.0</v>
      </c>
      <c r="AY334" s="50" t="s">
        <v>106</v>
      </c>
      <c r="AZ334" s="50">
        <v>0.0</v>
      </c>
      <c r="BA334" s="43" t="s">
        <v>89</v>
      </c>
      <c r="BB334" s="50">
        <v>0.0</v>
      </c>
      <c r="BC334" s="69" t="s">
        <v>90</v>
      </c>
      <c r="BD334" s="70"/>
      <c r="BE334" s="71"/>
      <c r="BF334" s="72" t="s">
        <v>2506</v>
      </c>
      <c r="BG334" s="73"/>
      <c r="BH334" s="73"/>
      <c r="BI334" s="73"/>
      <c r="BJ334" s="73"/>
      <c r="BK334" s="73"/>
      <c r="BL334" s="73"/>
      <c r="BM334" s="73"/>
      <c r="BN334" s="73"/>
      <c r="BO334" s="73"/>
      <c r="BP334" s="73"/>
      <c r="BQ334" s="73"/>
      <c r="BR334" s="73"/>
      <c r="BS334" s="73"/>
      <c r="BT334" s="73"/>
      <c r="BU334" s="73"/>
      <c r="BV334" s="73"/>
      <c r="BW334" s="74"/>
      <c r="BX334" s="74"/>
      <c r="BY334" s="63"/>
      <c r="BZ334" s="63"/>
    </row>
    <row r="335" ht="15.75" customHeight="1">
      <c r="A335" s="266" t="s">
        <v>2507</v>
      </c>
      <c r="B335" s="43" t="s">
        <v>2508</v>
      </c>
      <c r="C335" s="43" t="s">
        <v>70</v>
      </c>
      <c r="D335" s="202"/>
      <c r="E335" s="45"/>
      <c r="F335" s="47">
        <v>1.75E8</v>
      </c>
      <c r="G335" s="44" t="str">
        <f t="shared" si="8"/>
        <v>$100'000.000 a $200'000.000</v>
      </c>
      <c r="H335" s="44"/>
      <c r="I335" s="44"/>
      <c r="J335" s="50" t="s">
        <v>183</v>
      </c>
      <c r="K335" s="150"/>
      <c r="L335" s="44">
        <v>4.0</v>
      </c>
      <c r="M335" s="44"/>
      <c r="N335" s="44">
        <v>2.0</v>
      </c>
      <c r="O335" s="50">
        <v>2.0</v>
      </c>
      <c r="P335" s="44">
        <v>1.0</v>
      </c>
      <c r="Q335" s="113"/>
      <c r="R335" s="79"/>
      <c r="S335" s="56" t="str">
        <f t="shared" ref="S335:S341" si="14">IF(AS335=0," ","Rentabilidad $" &amp; TEXT(AS335,"#,##0"))</f>
        <v> </v>
      </c>
      <c r="T335" s="44" t="s">
        <v>2509</v>
      </c>
      <c r="U335" s="142" t="s">
        <v>184</v>
      </c>
      <c r="V335" s="50" t="s">
        <v>118</v>
      </c>
      <c r="W335" s="50"/>
      <c r="X335" s="44">
        <v>2.0</v>
      </c>
      <c r="Y335" s="43" t="s">
        <v>80</v>
      </c>
      <c r="Z335" s="58" t="s">
        <v>81</v>
      </c>
      <c r="AA335" s="59" t="str">
        <f>IF(Rentabilidad=0,"No aplica",TEXT(ROUND(Precio/Rentabilidad/12,0),0) &amp; " años")</f>
        <v>No aplica</v>
      </c>
      <c r="AB335" s="82" t="s">
        <v>2510</v>
      </c>
      <c r="AC335" s="211" t="s">
        <v>2509</v>
      </c>
      <c r="AD335" s="125" t="s">
        <v>2511</v>
      </c>
      <c r="AE335" s="63"/>
      <c r="AF335" s="45" t="s">
        <v>105</v>
      </c>
      <c r="AG335" s="65" t="s">
        <v>106</v>
      </c>
      <c r="AH335" s="65"/>
      <c r="AI335" s="65" t="s">
        <v>1747</v>
      </c>
      <c r="AJ335" s="64" t="s">
        <v>1834</v>
      </c>
      <c r="AK335" s="264" t="s">
        <v>1749</v>
      </c>
      <c r="AL335" s="45" t="s">
        <v>109</v>
      </c>
      <c r="AM335" s="52">
        <v>3.138175373E9</v>
      </c>
      <c r="AN335" s="45"/>
      <c r="AO335" s="52"/>
      <c r="AP335" s="67"/>
      <c r="AQ335" s="143">
        <v>3.0365539</v>
      </c>
      <c r="AR335" s="143">
        <v>-75.2519428</v>
      </c>
      <c r="AS335" s="68">
        <v>0.0</v>
      </c>
      <c r="AT335" s="44">
        <v>0.0</v>
      </c>
      <c r="AU335" s="52">
        <v>0.0</v>
      </c>
      <c r="AV335" s="52">
        <v>0.0</v>
      </c>
      <c r="AW335" s="43" t="s">
        <v>88</v>
      </c>
      <c r="AX335" s="52">
        <v>0.0</v>
      </c>
      <c r="AY335" s="52" t="s">
        <v>106</v>
      </c>
      <c r="AZ335" s="44">
        <v>0.0</v>
      </c>
      <c r="BA335" s="43" t="s">
        <v>89</v>
      </c>
      <c r="BB335" s="44">
        <v>0.0</v>
      </c>
      <c r="BC335" s="109"/>
      <c r="BD335" s="70"/>
      <c r="BE335" s="71"/>
      <c r="BF335" s="72" t="s">
        <v>2512</v>
      </c>
      <c r="BG335" s="73"/>
      <c r="BH335" s="73"/>
      <c r="BI335" s="73"/>
      <c r="BJ335" s="73"/>
      <c r="BK335" s="73"/>
      <c r="BL335" s="73"/>
      <c r="BM335" s="73"/>
      <c r="BN335" s="73"/>
      <c r="BO335" s="73"/>
      <c r="BP335" s="73"/>
      <c r="BQ335" s="73"/>
      <c r="BR335" s="73"/>
      <c r="BS335" s="73"/>
      <c r="BT335" s="73"/>
      <c r="BU335" s="73"/>
      <c r="BV335" s="73"/>
      <c r="BW335" s="74"/>
      <c r="BX335" s="74"/>
      <c r="BY335" s="63"/>
      <c r="BZ335" s="63"/>
    </row>
    <row r="336" ht="15.75" customHeight="1">
      <c r="A336" s="272" t="s">
        <v>2513</v>
      </c>
      <c r="B336" s="50" t="s">
        <v>2514</v>
      </c>
      <c r="C336" s="111" t="s">
        <v>323</v>
      </c>
      <c r="D336" s="43" t="s">
        <v>2515</v>
      </c>
      <c r="E336" s="77" t="s">
        <v>2516</v>
      </c>
      <c r="F336" s="78">
        <v>1.7E8</v>
      </c>
      <c r="G336" s="44" t="str">
        <f t="shared" si="8"/>
        <v>$100'000.000 a $200'000.000</v>
      </c>
      <c r="H336" s="44"/>
      <c r="I336" s="44"/>
      <c r="J336" s="50" t="s">
        <v>183</v>
      </c>
      <c r="K336" s="51"/>
      <c r="L336" s="50">
        <v>3.0</v>
      </c>
      <c r="M336" s="50"/>
      <c r="N336" s="50">
        <v>2.0</v>
      </c>
      <c r="O336" s="50">
        <v>1.0</v>
      </c>
      <c r="P336" s="50">
        <v>8.0</v>
      </c>
      <c r="Q336" s="79">
        <v>69.0</v>
      </c>
      <c r="R336" s="79">
        <v>69.0</v>
      </c>
      <c r="S336" s="56" t="str">
        <f t="shared" si="14"/>
        <v> </v>
      </c>
      <c r="T336" s="50" t="s">
        <v>78</v>
      </c>
      <c r="U336" s="51" t="s">
        <v>77</v>
      </c>
      <c r="V336" s="43" t="s">
        <v>626</v>
      </c>
      <c r="W336" s="43"/>
      <c r="X336" s="50">
        <v>3.0</v>
      </c>
      <c r="Y336" s="50" t="s">
        <v>130</v>
      </c>
      <c r="Z336" s="80">
        <v>176000.0</v>
      </c>
      <c r="AA336" s="81" t="s">
        <v>81</v>
      </c>
      <c r="AB336" s="115" t="s">
        <v>2517</v>
      </c>
      <c r="AC336" s="131" t="s">
        <v>2518</v>
      </c>
      <c r="AD336" s="102" t="s">
        <v>2519</v>
      </c>
      <c r="AE336" s="63"/>
      <c r="AF336" s="45" t="s">
        <v>105</v>
      </c>
      <c r="AG336" s="65"/>
      <c r="AH336" s="65"/>
      <c r="AI336" s="65" t="s">
        <v>1747</v>
      </c>
      <c r="AJ336" s="64" t="s">
        <v>1834</v>
      </c>
      <c r="AK336" s="264" t="s">
        <v>1749</v>
      </c>
      <c r="AL336" s="45" t="s">
        <v>109</v>
      </c>
      <c r="AM336" s="43">
        <v>3.177772297E9</v>
      </c>
      <c r="AN336" s="64">
        <v>0.0</v>
      </c>
      <c r="AO336" s="182" t="s">
        <v>2520</v>
      </c>
      <c r="AP336" s="84" t="s">
        <v>2521</v>
      </c>
      <c r="AQ336" s="84"/>
      <c r="AR336" s="84"/>
      <c r="AS336" s="85"/>
      <c r="AT336" s="50" t="s">
        <v>106</v>
      </c>
      <c r="AU336" s="43">
        <v>0.0</v>
      </c>
      <c r="AV336" s="43">
        <v>0.0</v>
      </c>
      <c r="AW336" s="43" t="s">
        <v>88</v>
      </c>
      <c r="AX336" s="43">
        <v>0.0</v>
      </c>
      <c r="AY336" s="43">
        <v>0.0</v>
      </c>
      <c r="AZ336" s="50">
        <v>0.0</v>
      </c>
      <c r="BA336" s="43" t="s">
        <v>89</v>
      </c>
      <c r="BB336" s="50">
        <v>0.0</v>
      </c>
      <c r="BC336" s="69" t="s">
        <v>2522</v>
      </c>
      <c r="BD336" s="70"/>
      <c r="BE336" s="70"/>
      <c r="BF336" s="72" t="s">
        <v>2523</v>
      </c>
      <c r="BG336" s="73"/>
      <c r="BH336" s="73"/>
      <c r="BI336" s="73"/>
      <c r="BJ336" s="73"/>
      <c r="BK336" s="73"/>
      <c r="BL336" s="73"/>
      <c r="BM336" s="73"/>
      <c r="BN336" s="73"/>
      <c r="BO336" s="73"/>
      <c r="BP336" s="73"/>
      <c r="BQ336" s="73"/>
      <c r="BR336" s="73"/>
      <c r="BS336" s="73"/>
      <c r="BT336" s="73"/>
      <c r="BU336" s="73"/>
      <c r="BV336" s="73"/>
      <c r="BW336" s="74"/>
      <c r="BX336" s="74"/>
      <c r="BY336" s="63"/>
      <c r="BZ336" s="63"/>
    </row>
    <row r="337" ht="15.75" customHeight="1">
      <c r="A337" s="75" t="s">
        <v>2524</v>
      </c>
      <c r="B337" s="50" t="s">
        <v>2525</v>
      </c>
      <c r="C337" s="111" t="s">
        <v>323</v>
      </c>
      <c r="D337" s="50"/>
      <c r="E337" s="64" t="s">
        <v>2087</v>
      </c>
      <c r="F337" s="78">
        <v>1.6E8</v>
      </c>
      <c r="G337" s="44" t="str">
        <f t="shared" si="8"/>
        <v>$100'000.000 a $200'000.000</v>
      </c>
      <c r="H337" s="44"/>
      <c r="I337" s="44"/>
      <c r="J337" s="50" t="s">
        <v>94</v>
      </c>
      <c r="K337" s="51"/>
      <c r="L337" s="50">
        <v>3.0</v>
      </c>
      <c r="M337" s="50"/>
      <c r="N337" s="50">
        <v>1.0</v>
      </c>
      <c r="O337" s="50">
        <v>1.0</v>
      </c>
      <c r="P337" s="50">
        <v>5.0</v>
      </c>
      <c r="Q337" s="88">
        <v>55.08</v>
      </c>
      <c r="R337" s="88">
        <v>48.63</v>
      </c>
      <c r="S337" s="56" t="str">
        <f t="shared" si="14"/>
        <v> </v>
      </c>
      <c r="T337" s="50" t="s">
        <v>78</v>
      </c>
      <c r="U337" s="51" t="s">
        <v>184</v>
      </c>
      <c r="V337" s="50" t="s">
        <v>333</v>
      </c>
      <c r="W337" s="50"/>
      <c r="X337" s="50">
        <v>3.0</v>
      </c>
      <c r="Y337" s="50" t="s">
        <v>130</v>
      </c>
      <c r="Z337" s="58">
        <v>124000.0</v>
      </c>
      <c r="AA337" s="59" t="str">
        <f>IF(Rentabilidad=0,"No aplica",TEXT(ROUND(Precio/Rentabilidad/12,0),0) &amp; " años")</f>
        <v>No aplica</v>
      </c>
      <c r="AB337" s="82" t="s">
        <v>2526</v>
      </c>
      <c r="AC337" s="110" t="s">
        <v>2527</v>
      </c>
      <c r="AD337" s="83" t="s">
        <v>2528</v>
      </c>
      <c r="AE337" s="63"/>
      <c r="AF337" s="64" t="s">
        <v>105</v>
      </c>
      <c r="AG337" s="65"/>
      <c r="AH337" s="63"/>
      <c r="AI337" s="65" t="s">
        <v>1747</v>
      </c>
      <c r="AJ337" s="64" t="s">
        <v>1834</v>
      </c>
      <c r="AK337" s="225" t="s">
        <v>1749</v>
      </c>
      <c r="AL337" s="45" t="s">
        <v>109</v>
      </c>
      <c r="AM337" s="50" t="s">
        <v>2529</v>
      </c>
      <c r="AN337" s="64">
        <v>0.0</v>
      </c>
      <c r="AO337" s="52"/>
      <c r="AP337" s="67"/>
      <c r="AQ337" s="67"/>
      <c r="AR337" s="67"/>
      <c r="AS337" s="94">
        <v>0.0</v>
      </c>
      <c r="AT337" s="65">
        <v>0.0</v>
      </c>
      <c r="AU337" s="50" t="s">
        <v>106</v>
      </c>
      <c r="AV337" s="50" t="s">
        <v>106</v>
      </c>
      <c r="AW337" s="50" t="s">
        <v>88</v>
      </c>
      <c r="AX337" s="50">
        <v>0.0</v>
      </c>
      <c r="AY337" s="50">
        <v>0.0</v>
      </c>
      <c r="AZ337" s="50">
        <v>0.0</v>
      </c>
      <c r="BA337" s="43" t="s">
        <v>89</v>
      </c>
      <c r="BB337" s="50">
        <v>0.0</v>
      </c>
      <c r="BC337" s="95"/>
      <c r="BD337" s="71"/>
      <c r="BE337" s="71"/>
      <c r="BF337" s="72" t="s">
        <v>2530</v>
      </c>
      <c r="BG337" s="73"/>
      <c r="BH337" s="73"/>
      <c r="BI337" s="73"/>
      <c r="BJ337" s="73"/>
      <c r="BK337" s="73"/>
      <c r="BL337" s="73"/>
      <c r="BM337" s="73"/>
      <c r="BN337" s="73"/>
      <c r="BO337" s="73"/>
      <c r="BP337" s="73"/>
      <c r="BQ337" s="73"/>
      <c r="BR337" s="73"/>
      <c r="BS337" s="73"/>
      <c r="BT337" s="73"/>
      <c r="BU337" s="73"/>
      <c r="BV337" s="73"/>
      <c r="BW337" s="74"/>
      <c r="BX337" s="74"/>
      <c r="BY337" s="63"/>
      <c r="BZ337" s="63"/>
    </row>
    <row r="338" ht="15.75" customHeight="1">
      <c r="A338" s="111">
        <v>847.0</v>
      </c>
      <c r="B338" s="111" t="s">
        <v>2531</v>
      </c>
      <c r="C338" s="111" t="s">
        <v>271</v>
      </c>
      <c r="D338" s="111" t="s">
        <v>2532</v>
      </c>
      <c r="E338" s="209"/>
      <c r="F338" s="78">
        <v>1.6E8</v>
      </c>
      <c r="G338" s="44" t="str">
        <f t="shared" si="8"/>
        <v>$100'000.000 a $200'000.000</v>
      </c>
      <c r="H338" s="44"/>
      <c r="I338" s="44"/>
      <c r="J338" s="111" t="s">
        <v>94</v>
      </c>
      <c r="K338" s="111">
        <v>8.0</v>
      </c>
      <c r="L338" s="111">
        <v>4.0</v>
      </c>
      <c r="M338" s="111"/>
      <c r="N338" s="111">
        <v>2.0</v>
      </c>
      <c r="O338" s="111">
        <v>2.0</v>
      </c>
      <c r="P338" s="111">
        <v>1.0</v>
      </c>
      <c r="Q338" s="88">
        <v>108.0</v>
      </c>
      <c r="R338" s="88">
        <v>108.0</v>
      </c>
      <c r="S338" s="56" t="str">
        <f t="shared" si="14"/>
        <v>Rentabilidad $1,050,000</v>
      </c>
      <c r="T338" s="111" t="s">
        <v>78</v>
      </c>
      <c r="U338" s="111">
        <v>2.0</v>
      </c>
      <c r="V338" s="111" t="s">
        <v>79</v>
      </c>
      <c r="W338" s="111"/>
      <c r="X338" s="111">
        <v>0.0</v>
      </c>
      <c r="Y338" s="111" t="s">
        <v>80</v>
      </c>
      <c r="Z338" s="83" t="s">
        <v>81</v>
      </c>
      <c r="AA338" s="59" t="str">
        <f>IF(Rentabilidad=0,"No aplica",TEXT(ROUND(Precio/Rentabilidad/12,0),0) &amp; " años")</f>
        <v>13 años</v>
      </c>
      <c r="AB338" s="165" t="s">
        <v>2533</v>
      </c>
      <c r="AC338" s="102" t="s">
        <v>2534</v>
      </c>
      <c r="AD338" s="103" t="s">
        <v>2535</v>
      </c>
      <c r="AF338" s="111" t="s">
        <v>84</v>
      </c>
      <c r="AG338" s="111" t="s">
        <v>106</v>
      </c>
      <c r="AI338" s="65" t="s">
        <v>1747</v>
      </c>
      <c r="AJ338" s="111" t="s">
        <v>1834</v>
      </c>
      <c r="AK338" s="225" t="s">
        <v>1749</v>
      </c>
      <c r="AL338" s="45" t="s">
        <v>109</v>
      </c>
      <c r="AM338" s="111">
        <v>3.106775434E9</v>
      </c>
      <c r="AN338" s="111">
        <v>0.0</v>
      </c>
      <c r="AO338" s="111" t="s">
        <v>2536</v>
      </c>
      <c r="AP338" s="219" t="s">
        <v>2537</v>
      </c>
      <c r="AQ338" s="219"/>
      <c r="AR338" s="219"/>
      <c r="AS338" s="111">
        <v>1050000.0</v>
      </c>
      <c r="AT338" s="111">
        <v>0.0</v>
      </c>
      <c r="AU338" s="111">
        <v>0.0</v>
      </c>
      <c r="AV338" s="111">
        <v>0.0</v>
      </c>
      <c r="AW338" s="111" t="s">
        <v>106</v>
      </c>
      <c r="AX338" s="111">
        <v>0.0</v>
      </c>
      <c r="AY338" s="111">
        <v>0.0</v>
      </c>
      <c r="AZ338" s="111">
        <v>9.0</v>
      </c>
      <c r="BA338" s="43" t="s">
        <v>89</v>
      </c>
      <c r="BB338" s="111">
        <v>15.0</v>
      </c>
      <c r="BF338" s="8" t="s">
        <v>2538</v>
      </c>
      <c r="BG338" s="73"/>
      <c r="BH338" s="73"/>
      <c r="BI338" s="73"/>
      <c r="BJ338" s="73"/>
      <c r="BK338" s="73"/>
      <c r="BL338" s="73"/>
      <c r="BM338" s="73"/>
      <c r="BN338" s="73"/>
      <c r="BO338" s="73"/>
      <c r="BP338" s="73"/>
      <c r="BQ338" s="73"/>
      <c r="BR338" s="73"/>
      <c r="BS338" s="73"/>
      <c r="BT338" s="73"/>
      <c r="BU338" s="73"/>
      <c r="BV338" s="73"/>
      <c r="BW338" s="74"/>
      <c r="BX338" s="74"/>
      <c r="BY338" s="63"/>
      <c r="BZ338" s="63"/>
    </row>
    <row r="339" ht="15.75" customHeight="1">
      <c r="A339" s="267" t="s">
        <v>2539</v>
      </c>
      <c r="B339" s="43" t="s">
        <v>2540</v>
      </c>
      <c r="C339" s="43" t="s">
        <v>573</v>
      </c>
      <c r="D339" s="52" t="s">
        <v>11</v>
      </c>
      <c r="E339" s="45"/>
      <c r="F339" s="47">
        <v>1.5E8</v>
      </c>
      <c r="G339" s="44" t="str">
        <f t="shared" si="8"/>
        <v>$100'000.000 a $200'000.000</v>
      </c>
      <c r="H339" s="44"/>
      <c r="I339" s="44"/>
      <c r="J339" s="43" t="s">
        <v>183</v>
      </c>
      <c r="K339" s="51" t="s">
        <v>184</v>
      </c>
      <c r="L339" s="52">
        <v>3.0</v>
      </c>
      <c r="M339" s="52"/>
      <c r="N339" s="52">
        <v>1.0</v>
      </c>
      <c r="O339" s="43">
        <v>0.0</v>
      </c>
      <c r="P339" s="52">
        <v>1.0</v>
      </c>
      <c r="Q339" s="54">
        <v>68.0</v>
      </c>
      <c r="R339" s="55">
        <v>68.0</v>
      </c>
      <c r="S339" s="56" t="str">
        <f t="shared" si="14"/>
        <v> </v>
      </c>
      <c r="T339" s="52" t="s">
        <v>78</v>
      </c>
      <c r="U339" s="142" t="s">
        <v>184</v>
      </c>
      <c r="V339" s="43" t="s">
        <v>79</v>
      </c>
      <c r="W339" s="43"/>
      <c r="X339" s="52">
        <v>0.0</v>
      </c>
      <c r="Y339" s="43" t="s">
        <v>80</v>
      </c>
      <c r="Z339" s="80" t="s">
        <v>81</v>
      </c>
      <c r="AA339" s="59" t="str">
        <f>IF(Rentabilidad=0,"No aplica",TEXT(ROUND(Precio/Rentabilidad/12,0),0) &amp; " años")</f>
        <v>No aplica</v>
      </c>
      <c r="AB339" s="293" t="s">
        <v>2541</v>
      </c>
      <c r="AC339" s="61"/>
      <c r="AD339" s="125" t="s">
        <v>2542</v>
      </c>
      <c r="AE339" s="63"/>
      <c r="AF339" s="45" t="s">
        <v>236</v>
      </c>
      <c r="AG339" s="65"/>
      <c r="AH339" s="65" t="s">
        <v>45</v>
      </c>
      <c r="AI339" s="65" t="s">
        <v>1747</v>
      </c>
      <c r="AJ339" s="64" t="s">
        <v>1834</v>
      </c>
      <c r="AK339" s="264" t="s">
        <v>1749</v>
      </c>
      <c r="AL339" s="45" t="s">
        <v>86</v>
      </c>
      <c r="AM339" s="52">
        <v>3.223162389E9</v>
      </c>
      <c r="AN339" s="45"/>
      <c r="AO339" s="52" t="s">
        <v>2543</v>
      </c>
      <c r="AP339" s="67"/>
      <c r="AQ339" s="143">
        <v>2.9453573</v>
      </c>
      <c r="AR339" s="143">
        <v>-75.2913757</v>
      </c>
      <c r="AS339" s="135">
        <v>0.0</v>
      </c>
      <c r="AT339" s="44">
        <v>0.0</v>
      </c>
      <c r="AU339" s="52">
        <v>0.0</v>
      </c>
      <c r="AV339" s="52">
        <v>0.0</v>
      </c>
      <c r="AW339" s="52" t="s">
        <v>106</v>
      </c>
      <c r="AX339" s="44">
        <v>0.0</v>
      </c>
      <c r="AY339" s="44" t="s">
        <v>137</v>
      </c>
      <c r="AZ339" s="52">
        <v>3.4</v>
      </c>
      <c r="BA339" s="43" t="s">
        <v>89</v>
      </c>
      <c r="BB339" s="52">
        <v>18.0</v>
      </c>
      <c r="BC339" s="95"/>
      <c r="BD339" s="71"/>
      <c r="BE339" s="71"/>
      <c r="BF339" s="72" t="s">
        <v>2544</v>
      </c>
      <c r="BG339" s="73"/>
      <c r="BH339" s="73"/>
      <c r="BI339" s="73"/>
      <c r="BJ339" s="73"/>
      <c r="BK339" s="73"/>
      <c r="BL339" s="73"/>
      <c r="BM339" s="73"/>
      <c r="BN339" s="73"/>
      <c r="BO339" s="73"/>
      <c r="BP339" s="73"/>
      <c r="BQ339" s="73"/>
      <c r="BR339" s="73"/>
      <c r="BS339" s="73"/>
      <c r="BT339" s="73"/>
      <c r="BU339" s="73"/>
      <c r="BV339" s="73"/>
      <c r="BW339" s="74"/>
      <c r="BX339" s="74"/>
      <c r="BY339" s="63"/>
      <c r="BZ339" s="63"/>
    </row>
    <row r="340" ht="15.75" customHeight="1">
      <c r="A340" s="272" t="s">
        <v>2545</v>
      </c>
      <c r="B340" s="50" t="s">
        <v>2546</v>
      </c>
      <c r="C340" s="43" t="s">
        <v>664</v>
      </c>
      <c r="D340" s="202"/>
      <c r="E340" s="64" t="s">
        <v>2547</v>
      </c>
      <c r="F340" s="47">
        <v>1.4E8</v>
      </c>
      <c r="G340" s="44" t="str">
        <f t="shared" si="8"/>
        <v>$100'000.000 a $200'000.000</v>
      </c>
      <c r="H340" s="44"/>
      <c r="I340" s="44"/>
      <c r="J340" s="50" t="s">
        <v>94</v>
      </c>
      <c r="K340" s="150"/>
      <c r="L340" s="44">
        <v>0.0</v>
      </c>
      <c r="M340" s="44"/>
      <c r="N340" s="44">
        <v>0.0</v>
      </c>
      <c r="O340" s="44">
        <v>0.0</v>
      </c>
      <c r="P340" s="52">
        <v>0.0</v>
      </c>
      <c r="Q340" s="54"/>
      <c r="R340" s="79">
        <v>2000.0</v>
      </c>
      <c r="S340" s="56" t="str">
        <f t="shared" si="14"/>
        <v> </v>
      </c>
      <c r="T340" s="52" t="s">
        <v>95</v>
      </c>
      <c r="U340" s="51" t="s">
        <v>184</v>
      </c>
      <c r="V340" s="52"/>
      <c r="W340" s="52"/>
      <c r="X340" s="44">
        <v>0.0</v>
      </c>
      <c r="Y340" s="50" t="s">
        <v>80</v>
      </c>
      <c r="Z340" s="80" t="s">
        <v>81</v>
      </c>
      <c r="AA340" s="59" t="str">
        <f>IF(Rentabilidad=0,"No aplica",TEXT(ROUND(Precio/Rentabilidad/12,0),0) &amp; " años")</f>
        <v>No aplica</v>
      </c>
      <c r="AB340" s="140" t="s">
        <v>2548</v>
      </c>
      <c r="AC340" s="61"/>
      <c r="AD340" s="218" t="s">
        <v>2549</v>
      </c>
      <c r="AE340" s="63"/>
      <c r="AF340" s="45" t="s">
        <v>96</v>
      </c>
      <c r="AG340" s="65" t="s">
        <v>106</v>
      </c>
      <c r="AH340" s="65"/>
      <c r="AI340" s="65" t="s">
        <v>1747</v>
      </c>
      <c r="AJ340" s="259" t="s">
        <v>1834</v>
      </c>
      <c r="AK340" s="264" t="s">
        <v>1749</v>
      </c>
      <c r="AL340" s="45" t="s">
        <v>109</v>
      </c>
      <c r="AM340" s="52">
        <v>3.153203719E9</v>
      </c>
      <c r="AN340" s="45"/>
      <c r="AO340" s="52" t="s">
        <v>2550</v>
      </c>
      <c r="AP340" s="67" t="s">
        <v>2551</v>
      </c>
      <c r="AQ340" s="143">
        <v>2.8422737</v>
      </c>
      <c r="AR340" s="143">
        <v>-75.2865313</v>
      </c>
      <c r="AS340" s="68">
        <v>0.0</v>
      </c>
      <c r="AT340" s="44">
        <v>0.0</v>
      </c>
      <c r="AU340" s="52">
        <v>0.0</v>
      </c>
      <c r="AV340" s="52">
        <v>0.0</v>
      </c>
      <c r="AW340" s="43" t="s">
        <v>88</v>
      </c>
      <c r="AX340" s="52">
        <v>0.0</v>
      </c>
      <c r="AY340" s="52">
        <v>0.0</v>
      </c>
      <c r="AZ340" s="52">
        <v>50.0</v>
      </c>
      <c r="BA340" s="43" t="s">
        <v>89</v>
      </c>
      <c r="BB340" s="52">
        <v>40.0</v>
      </c>
      <c r="BC340" s="95" t="s">
        <v>90</v>
      </c>
      <c r="BD340" s="71"/>
      <c r="BE340" s="71"/>
      <c r="BF340" s="72" t="s">
        <v>2552</v>
      </c>
      <c r="BG340" s="73"/>
      <c r="BH340" s="73"/>
      <c r="BI340" s="73"/>
      <c r="BJ340" s="73"/>
      <c r="BK340" s="73"/>
      <c r="BL340" s="73"/>
      <c r="BM340" s="73"/>
      <c r="BN340" s="73"/>
      <c r="BO340" s="73"/>
      <c r="BP340" s="73"/>
      <c r="BQ340" s="73"/>
      <c r="BR340" s="73"/>
      <c r="BS340" s="73"/>
      <c r="BT340" s="73"/>
      <c r="BU340" s="73"/>
      <c r="BV340" s="73"/>
      <c r="BW340" s="74"/>
      <c r="BX340" s="74"/>
      <c r="BY340" s="63"/>
      <c r="BZ340" s="63"/>
    </row>
    <row r="341" ht="15.75" customHeight="1">
      <c r="A341" s="266" t="s">
        <v>2553</v>
      </c>
      <c r="B341" s="50" t="s">
        <v>2554</v>
      </c>
      <c r="C341" s="50" t="s">
        <v>70</v>
      </c>
      <c r="D341" s="44" t="s">
        <v>2555</v>
      </c>
      <c r="E341" s="45"/>
      <c r="F341" s="47">
        <v>1.2E8</v>
      </c>
      <c r="G341" s="44" t="str">
        <f t="shared" si="8"/>
        <v>$100'000.000 a $200'000.000</v>
      </c>
      <c r="H341" s="44"/>
      <c r="I341" s="44"/>
      <c r="J341" s="50" t="s">
        <v>183</v>
      </c>
      <c r="K341" s="57"/>
      <c r="L341" s="44">
        <v>3.0</v>
      </c>
      <c r="M341" s="44"/>
      <c r="N341" s="44">
        <v>1.0</v>
      </c>
      <c r="O341" s="50">
        <v>0.0</v>
      </c>
      <c r="P341" s="44">
        <v>1.0</v>
      </c>
      <c r="Q341" s="113">
        <v>72.0</v>
      </c>
      <c r="R341" s="79">
        <v>72.0</v>
      </c>
      <c r="S341" s="56" t="str">
        <f t="shared" si="14"/>
        <v> </v>
      </c>
      <c r="T341" s="44" t="s">
        <v>78</v>
      </c>
      <c r="U341" s="57" t="s">
        <v>184</v>
      </c>
      <c r="V341" s="50" t="s">
        <v>79</v>
      </c>
      <c r="W341" s="50"/>
      <c r="X341" s="44">
        <v>0.0</v>
      </c>
      <c r="Y341" s="50" t="s">
        <v>80</v>
      </c>
      <c r="Z341" s="58" t="s">
        <v>81</v>
      </c>
      <c r="AA341" s="59" t="str">
        <f>IF(Rentabilidad=0,"No aplica",TEXT(ROUND(Precio/Rentabilidad/12,0),0) &amp; " años")</f>
        <v>No aplica</v>
      </c>
      <c r="AB341" s="82" t="s">
        <v>2556</v>
      </c>
      <c r="AC341" s="61"/>
      <c r="AD341" s="62"/>
      <c r="AE341" s="63"/>
      <c r="AF341" s="45" t="s">
        <v>84</v>
      </c>
      <c r="AG341" s="65"/>
      <c r="AH341" s="65"/>
      <c r="AI341" s="65" t="s">
        <v>1747</v>
      </c>
      <c r="AJ341" s="64" t="s">
        <v>1834</v>
      </c>
      <c r="AK341" s="264" t="s">
        <v>1749</v>
      </c>
      <c r="AL341" s="45" t="s">
        <v>109</v>
      </c>
      <c r="AM341" s="44">
        <v>3.195176405E9</v>
      </c>
      <c r="AN341" s="45"/>
      <c r="AO341" s="52" t="s">
        <v>2557</v>
      </c>
      <c r="AP341" s="67" t="s">
        <v>2558</v>
      </c>
      <c r="AQ341" s="67"/>
      <c r="AR341" s="67"/>
      <c r="AS341" s="68">
        <v>0.0</v>
      </c>
      <c r="AT341" s="44">
        <v>0.0</v>
      </c>
      <c r="AU341" s="52">
        <v>0.0</v>
      </c>
      <c r="AV341" s="52">
        <v>0.0</v>
      </c>
      <c r="AW341" s="52" t="s">
        <v>106</v>
      </c>
      <c r="AX341" s="52">
        <v>0.0</v>
      </c>
      <c r="AY341" s="52" t="s">
        <v>137</v>
      </c>
      <c r="AZ341" s="44">
        <v>6.0</v>
      </c>
      <c r="BA341" s="43" t="s">
        <v>89</v>
      </c>
      <c r="BB341" s="44">
        <v>12.0</v>
      </c>
      <c r="BC341" s="127" t="s">
        <v>2559</v>
      </c>
      <c r="BD341" s="229"/>
      <c r="BE341" s="229"/>
      <c r="BF341" s="157" t="s">
        <v>2560</v>
      </c>
      <c r="BG341" s="73"/>
      <c r="BH341" s="73"/>
      <c r="BI341" s="73"/>
      <c r="BJ341" s="73"/>
      <c r="BK341" s="73"/>
      <c r="BL341" s="73"/>
      <c r="BM341" s="73"/>
      <c r="BN341" s="73"/>
      <c r="BO341" s="73"/>
      <c r="BP341" s="73"/>
      <c r="BQ341" s="73"/>
      <c r="BR341" s="73"/>
      <c r="BS341" s="73"/>
      <c r="BT341" s="73"/>
      <c r="BU341" s="73"/>
      <c r="BV341" s="73"/>
      <c r="BW341" s="74"/>
      <c r="BX341" s="74"/>
      <c r="BY341" s="63"/>
      <c r="BZ341" s="63"/>
    </row>
    <row r="342" ht="15.75" customHeight="1">
      <c r="A342" s="75" t="s">
        <v>2561</v>
      </c>
      <c r="B342" s="50" t="s">
        <v>2562</v>
      </c>
      <c r="C342" s="50" t="s">
        <v>323</v>
      </c>
      <c r="D342" s="50"/>
      <c r="E342" s="64" t="s">
        <v>2563</v>
      </c>
      <c r="F342" s="78">
        <v>1.05E8</v>
      </c>
      <c r="G342" s="44" t="str">
        <f t="shared" si="8"/>
        <v>$100'000.000 a $200'000.000</v>
      </c>
      <c r="H342" s="44"/>
      <c r="I342" s="44"/>
      <c r="J342" s="50" t="s">
        <v>94</v>
      </c>
      <c r="K342" s="51"/>
      <c r="L342" s="50">
        <v>3.0</v>
      </c>
      <c r="M342" s="50"/>
      <c r="N342" s="50">
        <v>1.0</v>
      </c>
      <c r="O342" s="50">
        <v>1.0</v>
      </c>
      <c r="P342" s="50">
        <v>1.0</v>
      </c>
      <c r="Q342" s="88">
        <v>46.76</v>
      </c>
      <c r="R342" s="88">
        <v>52.32</v>
      </c>
      <c r="S342" s="56"/>
      <c r="T342" s="50" t="s">
        <v>78</v>
      </c>
      <c r="U342" s="51" t="s">
        <v>184</v>
      </c>
      <c r="V342" s="50" t="s">
        <v>2564</v>
      </c>
      <c r="W342" s="50"/>
      <c r="X342" s="50">
        <v>3.0</v>
      </c>
      <c r="Y342" s="50" t="s">
        <v>80</v>
      </c>
      <c r="Z342" s="58">
        <v>100000.0</v>
      </c>
      <c r="AA342" s="59" t="str">
        <f>IF(Rentabilidad=0,"No aplica",TEXT(ROUND(Precio/Rentabilidad/12,0),0) &amp; " años")</f>
        <v>No aplica</v>
      </c>
      <c r="AB342" s="82" t="s">
        <v>2565</v>
      </c>
      <c r="AC342" s="131" t="s">
        <v>2566</v>
      </c>
      <c r="AD342" s="107" t="s">
        <v>2567</v>
      </c>
      <c r="AE342" s="63"/>
      <c r="AF342" s="64" t="s">
        <v>236</v>
      </c>
      <c r="AG342" s="65"/>
      <c r="AH342" s="63"/>
      <c r="AI342" s="65" t="s">
        <v>1747</v>
      </c>
      <c r="AJ342" s="64" t="s">
        <v>1834</v>
      </c>
      <c r="AK342" s="255" t="s">
        <v>1844</v>
      </c>
      <c r="AL342" s="45" t="s">
        <v>109</v>
      </c>
      <c r="AM342" s="50">
        <v>3.142324047E9</v>
      </c>
      <c r="AN342" s="64">
        <v>0.0</v>
      </c>
      <c r="AO342" s="43" t="s">
        <v>2117</v>
      </c>
      <c r="AP342" s="84" t="s">
        <v>2568</v>
      </c>
      <c r="AQ342" s="84"/>
      <c r="AR342" s="84"/>
      <c r="AS342" s="94">
        <v>0.0</v>
      </c>
      <c r="AT342" s="65">
        <v>0.0</v>
      </c>
      <c r="AU342" s="50">
        <v>0.0</v>
      </c>
      <c r="AV342" s="50">
        <v>0.0</v>
      </c>
      <c r="AW342" s="50" t="s">
        <v>88</v>
      </c>
      <c r="AX342" s="50">
        <v>0.0</v>
      </c>
      <c r="AY342" s="50">
        <v>0.0</v>
      </c>
      <c r="AZ342" s="50">
        <v>0.0</v>
      </c>
      <c r="BA342" s="43" t="s">
        <v>89</v>
      </c>
      <c r="BB342" s="50">
        <v>0.0</v>
      </c>
      <c r="BC342" s="109"/>
      <c r="BD342" s="70"/>
      <c r="BE342" s="70"/>
      <c r="BF342" s="72" t="s">
        <v>2569</v>
      </c>
      <c r="BG342" s="73"/>
      <c r="BH342" s="73"/>
      <c r="BI342" s="73"/>
      <c r="BJ342" s="73"/>
      <c r="BK342" s="73"/>
      <c r="BL342" s="73"/>
      <c r="BM342" s="73"/>
      <c r="BN342" s="73"/>
      <c r="BO342" s="73"/>
      <c r="BP342" s="73"/>
      <c r="BQ342" s="73"/>
      <c r="BR342" s="73"/>
      <c r="BS342" s="73"/>
      <c r="BT342" s="73"/>
      <c r="BU342" s="73"/>
      <c r="BV342" s="73"/>
      <c r="BW342" s="74"/>
      <c r="BX342" s="74"/>
      <c r="BY342" s="63"/>
      <c r="BZ342" s="63"/>
    </row>
    <row r="343" ht="15.75" customHeight="1">
      <c r="A343" s="111">
        <v>849.0</v>
      </c>
      <c r="B343" s="111" t="s">
        <v>2570</v>
      </c>
      <c r="C343" s="111" t="s">
        <v>664</v>
      </c>
      <c r="D343" s="209"/>
      <c r="E343" s="111" t="s">
        <v>2571</v>
      </c>
      <c r="F343" s="78">
        <v>1.0E8</v>
      </c>
      <c r="G343" s="44" t="str">
        <f t="shared" si="8"/>
        <v>$100'000.000 a $200'000.000</v>
      </c>
      <c r="H343" s="44"/>
      <c r="I343" s="44"/>
      <c r="J343" s="111" t="s">
        <v>968</v>
      </c>
      <c r="K343" s="209"/>
      <c r="L343" s="111">
        <v>0.0</v>
      </c>
      <c r="M343" s="111"/>
      <c r="N343" s="111">
        <v>0.0</v>
      </c>
      <c r="O343" s="111">
        <v>0.0</v>
      </c>
      <c r="P343" s="111">
        <v>0.0</v>
      </c>
      <c r="Q343" s="89">
        <v>0.0</v>
      </c>
      <c r="R343" s="88">
        <v>504.0</v>
      </c>
      <c r="T343" s="111" t="s">
        <v>342</v>
      </c>
      <c r="U343" s="209"/>
      <c r="V343" s="111" t="s">
        <v>79</v>
      </c>
      <c r="W343" s="111"/>
      <c r="X343" s="111">
        <v>0.0</v>
      </c>
      <c r="Y343" s="65" t="s">
        <v>80</v>
      </c>
      <c r="Z343" s="58"/>
      <c r="AA343" s="59" t="str">
        <f>IF(Rentabilidad=0,"No aplica",TEXT(ROUND(Precio/Rentabilidad/12,0),0) &amp; " años")</f>
        <v>No aplica</v>
      </c>
      <c r="AB343" s="165" t="s">
        <v>2572</v>
      </c>
      <c r="AC343" s="102" t="s">
        <v>2573</v>
      </c>
      <c r="AD343" s="103" t="s">
        <v>2574</v>
      </c>
      <c r="AF343" s="111">
        <v>0.0</v>
      </c>
      <c r="AG343" s="111" t="s">
        <v>106</v>
      </c>
      <c r="AI343" s="65" t="s">
        <v>1747</v>
      </c>
      <c r="AJ343" s="111" t="s">
        <v>1834</v>
      </c>
      <c r="AK343" s="225" t="s">
        <v>1749</v>
      </c>
      <c r="AL343" s="45" t="s">
        <v>109</v>
      </c>
      <c r="AM343" s="111">
        <v>3.102770776E9</v>
      </c>
      <c r="AN343" s="111">
        <v>0.0</v>
      </c>
      <c r="AO343" s="111" t="s">
        <v>2575</v>
      </c>
      <c r="AP343" s="219" t="s">
        <v>2576</v>
      </c>
      <c r="AQ343" s="219"/>
      <c r="AR343" s="219"/>
      <c r="AS343" s="111">
        <v>0.0</v>
      </c>
      <c r="AT343" s="111">
        <v>0.0</v>
      </c>
      <c r="AU343" s="111">
        <v>0.0</v>
      </c>
      <c r="AV343" s="111">
        <v>0.0</v>
      </c>
      <c r="AW343" s="111" t="s">
        <v>88</v>
      </c>
      <c r="AX343" s="111">
        <v>0.0</v>
      </c>
      <c r="AY343" s="111">
        <v>0.0</v>
      </c>
      <c r="AZ343" s="111">
        <v>18.0</v>
      </c>
      <c r="BA343" s="43" t="s">
        <v>89</v>
      </c>
      <c r="BB343" s="111">
        <v>28.0</v>
      </c>
      <c r="BF343" s="8" t="s">
        <v>2577</v>
      </c>
      <c r="BG343" s="73"/>
      <c r="BH343" s="73"/>
      <c r="BI343" s="73"/>
      <c r="BJ343" s="73"/>
      <c r="BK343" s="73"/>
      <c r="BL343" s="73"/>
      <c r="BM343" s="73"/>
      <c r="BN343" s="73"/>
      <c r="BO343" s="73"/>
      <c r="BP343" s="73"/>
      <c r="BQ343" s="73"/>
      <c r="BR343" s="73"/>
      <c r="BS343" s="73"/>
      <c r="BT343" s="73"/>
      <c r="BU343" s="73"/>
      <c r="BV343" s="73"/>
      <c r="BW343" s="74"/>
      <c r="BX343" s="74"/>
      <c r="BY343" s="63"/>
      <c r="BZ343" s="63"/>
    </row>
    <row r="344" ht="15.75" customHeight="1">
      <c r="A344" s="75" t="s">
        <v>2578</v>
      </c>
      <c r="B344" s="50" t="s">
        <v>2579</v>
      </c>
      <c r="C344" s="50" t="s">
        <v>315</v>
      </c>
      <c r="D344" s="50"/>
      <c r="E344" s="64"/>
      <c r="F344" s="78">
        <v>9.0E7</v>
      </c>
      <c r="G344" s="44" t="str">
        <f t="shared" si="8"/>
        <v>$0 a $100'000.000</v>
      </c>
      <c r="H344" s="44"/>
      <c r="I344" s="44"/>
      <c r="J344" s="50" t="s">
        <v>94</v>
      </c>
      <c r="K344" s="51"/>
      <c r="L344" s="50">
        <v>0.0</v>
      </c>
      <c r="M344" s="50"/>
      <c r="N344" s="50">
        <v>0.0</v>
      </c>
      <c r="O344" s="50">
        <v>0.0</v>
      </c>
      <c r="P344" s="50">
        <v>0.0</v>
      </c>
      <c r="Q344" s="88">
        <v>0.0</v>
      </c>
      <c r="R344" s="88">
        <v>157.65</v>
      </c>
      <c r="S344" s="56" t="str">
        <f t="shared" ref="S344:S505" si="15">IF(AS344=0," ","Rentabilidad $" &amp; TEXT(AS344,"#,##0"))</f>
        <v> </v>
      </c>
      <c r="T344" s="50" t="s">
        <v>2580</v>
      </c>
      <c r="U344" s="57"/>
      <c r="V344" s="50" t="s">
        <v>79</v>
      </c>
      <c r="W344" s="50"/>
      <c r="X344" s="50">
        <v>0.0</v>
      </c>
      <c r="Y344" s="50" t="s">
        <v>80</v>
      </c>
      <c r="Z344" s="91"/>
      <c r="AA344" s="59" t="str">
        <f>IF(Rentabilidad=0,"No aplica",TEXT(ROUND(Precio/Rentabilidad/12,0),0) &amp; " años")</f>
        <v>No aplica</v>
      </c>
      <c r="AB344" s="82" t="s">
        <v>2581</v>
      </c>
      <c r="AC344" s="131" t="s">
        <v>2582</v>
      </c>
      <c r="AD344" s="131" t="s">
        <v>2583</v>
      </c>
      <c r="AE344" s="63"/>
      <c r="AF344" s="64">
        <v>0.0</v>
      </c>
      <c r="AG344" s="65" t="s">
        <v>106</v>
      </c>
      <c r="AH344" s="63"/>
      <c r="AI344" s="65" t="s">
        <v>1747</v>
      </c>
      <c r="AJ344" s="64" t="s">
        <v>1834</v>
      </c>
      <c r="AK344" s="50" t="s">
        <v>81</v>
      </c>
      <c r="AL344" s="45" t="s">
        <v>86</v>
      </c>
      <c r="AM344" s="50">
        <v>3.143758207E9</v>
      </c>
      <c r="AN344" s="64">
        <v>0.0</v>
      </c>
      <c r="AO344" s="43" t="s">
        <v>2584</v>
      </c>
      <c r="AP344" s="84" t="s">
        <v>2585</v>
      </c>
      <c r="AQ344" s="84"/>
      <c r="AR344" s="84"/>
      <c r="AS344" s="94"/>
      <c r="AT344" s="65" t="s">
        <v>88</v>
      </c>
      <c r="AU344" s="50">
        <v>0.0</v>
      </c>
      <c r="AV344" s="50">
        <v>0.0</v>
      </c>
      <c r="AW344" s="50" t="s">
        <v>88</v>
      </c>
      <c r="AX344" s="50">
        <v>0.0</v>
      </c>
      <c r="AY344" s="50">
        <v>0.0</v>
      </c>
      <c r="AZ344" s="50">
        <v>0.0</v>
      </c>
      <c r="BA344" s="43" t="s">
        <v>89</v>
      </c>
      <c r="BB344" s="50">
        <v>0.0</v>
      </c>
      <c r="BC344" s="95"/>
      <c r="BD344" s="71"/>
      <c r="BE344" s="71"/>
      <c r="BF344" s="72" t="s">
        <v>2586</v>
      </c>
      <c r="BG344" s="73"/>
      <c r="BH344" s="73"/>
      <c r="BI344" s="73"/>
      <c r="BJ344" s="73"/>
      <c r="BK344" s="73"/>
      <c r="BL344" s="73"/>
      <c r="BM344" s="73"/>
      <c r="BN344" s="73"/>
      <c r="BO344" s="73"/>
      <c r="BP344" s="73"/>
      <c r="BQ344" s="73"/>
      <c r="BR344" s="73"/>
      <c r="BS344" s="73"/>
      <c r="BT344" s="73"/>
      <c r="BU344" s="73"/>
      <c r="BV344" s="73"/>
      <c r="BW344" s="74"/>
      <c r="BX344" s="74"/>
      <c r="BY344" s="63"/>
      <c r="BZ344" s="63"/>
    </row>
    <row r="345" ht="15.75" customHeight="1">
      <c r="A345" s="75" t="s">
        <v>2587</v>
      </c>
      <c r="B345" s="50" t="s">
        <v>1580</v>
      </c>
      <c r="C345" s="111" t="s">
        <v>323</v>
      </c>
      <c r="D345" s="50"/>
      <c r="E345" s="64"/>
      <c r="F345" s="78">
        <v>7.5E7</v>
      </c>
      <c r="G345" s="44" t="str">
        <f t="shared" si="8"/>
        <v>$0 a $100'000.000</v>
      </c>
      <c r="H345" s="44"/>
      <c r="I345" s="44"/>
      <c r="J345" s="50" t="s">
        <v>94</v>
      </c>
      <c r="K345" s="51"/>
      <c r="L345" s="50">
        <v>3.0</v>
      </c>
      <c r="M345" s="50"/>
      <c r="N345" s="50">
        <v>1.0</v>
      </c>
      <c r="O345" s="50">
        <v>0.0</v>
      </c>
      <c r="P345" s="50">
        <v>1.0</v>
      </c>
      <c r="Q345" s="88">
        <v>56.17</v>
      </c>
      <c r="R345" s="88">
        <v>50.81</v>
      </c>
      <c r="S345" s="56" t="str">
        <f t="shared" si="15"/>
        <v> </v>
      </c>
      <c r="T345" s="50" t="s">
        <v>78</v>
      </c>
      <c r="U345" s="51" t="s">
        <v>241</v>
      </c>
      <c r="V345" s="50" t="s">
        <v>1014</v>
      </c>
      <c r="W345" s="50"/>
      <c r="X345" s="50">
        <v>0.0</v>
      </c>
      <c r="Y345" s="50" t="s">
        <v>80</v>
      </c>
      <c r="Z345" s="58">
        <v>30000.0</v>
      </c>
      <c r="AA345" s="59" t="str">
        <f>IF(Rentabilidad=0,"No aplica",TEXT(ROUND(Precio/Rentabilidad/12,0),0) &amp; " años")</f>
        <v>No aplica</v>
      </c>
      <c r="AB345" s="82" t="s">
        <v>2588</v>
      </c>
      <c r="AC345" s="83" t="s">
        <v>2589</v>
      </c>
      <c r="AD345" s="83" t="s">
        <v>2590</v>
      </c>
      <c r="AE345" s="63"/>
      <c r="AF345" s="64" t="s">
        <v>84</v>
      </c>
      <c r="AG345" s="65" t="s">
        <v>106</v>
      </c>
      <c r="AH345" s="63"/>
      <c r="AI345" s="65" t="s">
        <v>1747</v>
      </c>
      <c r="AJ345" s="64" t="s">
        <v>1834</v>
      </c>
      <c r="AK345" s="225" t="s">
        <v>1749</v>
      </c>
      <c r="AL345" s="45" t="s">
        <v>109</v>
      </c>
      <c r="AM345" s="50">
        <v>3.137870927E9</v>
      </c>
      <c r="AN345" s="64">
        <v>3.105558701E9</v>
      </c>
      <c r="AO345" s="43" t="s">
        <v>2591</v>
      </c>
      <c r="AP345" s="84" t="s">
        <v>2592</v>
      </c>
      <c r="AQ345" s="67"/>
      <c r="AR345" s="67"/>
      <c r="AS345" s="94"/>
      <c r="AT345" s="65" t="s">
        <v>88</v>
      </c>
      <c r="AU345" s="50">
        <v>0.0</v>
      </c>
      <c r="AV345" s="50">
        <v>0.0</v>
      </c>
      <c r="AW345" s="50" t="s">
        <v>88</v>
      </c>
      <c r="AX345" s="50">
        <v>0.0</v>
      </c>
      <c r="AY345" s="50">
        <v>0.0</v>
      </c>
      <c r="AZ345" s="50">
        <v>0.0</v>
      </c>
      <c r="BA345" s="43" t="s">
        <v>89</v>
      </c>
      <c r="BB345" s="50">
        <v>0.0</v>
      </c>
      <c r="BC345" s="95"/>
      <c r="BD345" s="71"/>
      <c r="BE345" s="71"/>
      <c r="BF345" s="72" t="s">
        <v>2593</v>
      </c>
      <c r="BG345" s="73"/>
      <c r="BH345" s="73"/>
      <c r="BI345" s="73"/>
      <c r="BJ345" s="73"/>
      <c r="BK345" s="73"/>
      <c r="BL345" s="73"/>
      <c r="BM345" s="73"/>
      <c r="BN345" s="73"/>
      <c r="BO345" s="73"/>
      <c r="BP345" s="73"/>
      <c r="BQ345" s="73"/>
      <c r="BR345" s="73"/>
      <c r="BS345" s="73"/>
      <c r="BT345" s="73"/>
      <c r="BU345" s="73"/>
      <c r="BV345" s="73"/>
      <c r="BW345" s="74"/>
      <c r="BX345" s="74"/>
      <c r="BY345" s="63"/>
      <c r="BZ345" s="63"/>
    </row>
    <row r="346" ht="15.75" customHeight="1">
      <c r="A346" s="75" t="s">
        <v>2594</v>
      </c>
      <c r="B346" s="50" t="s">
        <v>2595</v>
      </c>
      <c r="C346" s="50" t="s">
        <v>315</v>
      </c>
      <c r="D346" s="50"/>
      <c r="E346" s="64"/>
      <c r="F346" s="78">
        <v>6.0E7</v>
      </c>
      <c r="G346" s="44" t="str">
        <f t="shared" si="8"/>
        <v>$0 a $100'000.000</v>
      </c>
      <c r="H346" s="44"/>
      <c r="I346" s="44"/>
      <c r="J346" s="50" t="s">
        <v>498</v>
      </c>
      <c r="K346" s="51"/>
      <c r="L346" s="50">
        <v>0.0</v>
      </c>
      <c r="M346" s="50"/>
      <c r="N346" s="50">
        <v>0.0</v>
      </c>
      <c r="O346" s="50">
        <v>0.0</v>
      </c>
      <c r="P346" s="50">
        <v>0.0</v>
      </c>
      <c r="Q346" s="88">
        <v>0.0</v>
      </c>
      <c r="R346" s="88">
        <v>192.0</v>
      </c>
      <c r="S346" s="56" t="str">
        <f t="shared" si="15"/>
        <v> </v>
      </c>
      <c r="T346" s="50" t="s">
        <v>2596</v>
      </c>
      <c r="U346" s="51"/>
      <c r="V346" s="44"/>
      <c r="W346" s="44"/>
      <c r="X346" s="50">
        <v>0.0</v>
      </c>
      <c r="Y346" s="50" t="s">
        <v>80</v>
      </c>
      <c r="Z346" s="58" t="s">
        <v>81</v>
      </c>
      <c r="AA346" s="59" t="str">
        <f>IF(Rentabilidad=0,"No aplica",TEXT(ROUND(Precio/Rentabilidad/12,0),0) &amp; " años")</f>
        <v>No aplica</v>
      </c>
      <c r="AB346" s="82" t="s">
        <v>2597</v>
      </c>
      <c r="AC346" s="131" t="s">
        <v>2598</v>
      </c>
      <c r="AD346" s="107" t="s">
        <v>2599</v>
      </c>
      <c r="AE346" s="63"/>
      <c r="AF346" s="64"/>
      <c r="AG346" s="65" t="s">
        <v>106</v>
      </c>
      <c r="AH346" s="63"/>
      <c r="AI346" s="65" t="s">
        <v>1747</v>
      </c>
      <c r="AJ346" s="64" t="s">
        <v>1834</v>
      </c>
      <c r="AK346" s="50" t="s">
        <v>81</v>
      </c>
      <c r="AL346" s="45" t="s">
        <v>109</v>
      </c>
      <c r="AM346" s="294"/>
      <c r="AN346" s="64">
        <v>0.0</v>
      </c>
      <c r="AO346" s="43" t="s">
        <v>2600</v>
      </c>
      <c r="AP346" s="67"/>
      <c r="AQ346" s="67"/>
      <c r="AR346" s="67"/>
      <c r="AS346" s="94">
        <v>0.0</v>
      </c>
      <c r="AT346" s="65">
        <v>0.0</v>
      </c>
      <c r="AU346" s="50">
        <v>0.0</v>
      </c>
      <c r="AV346" s="50">
        <v>0.0</v>
      </c>
      <c r="AW346" s="50" t="s">
        <v>88</v>
      </c>
      <c r="AX346" s="50">
        <v>0.0</v>
      </c>
      <c r="AY346" s="50">
        <v>0.0</v>
      </c>
      <c r="AZ346" s="50">
        <v>0.0</v>
      </c>
      <c r="BA346" s="43" t="s">
        <v>89</v>
      </c>
      <c r="BB346" s="50">
        <v>0.0</v>
      </c>
      <c r="BC346" s="95"/>
      <c r="BD346" s="71"/>
      <c r="BE346" s="71"/>
      <c r="BF346" s="72" t="s">
        <v>2601</v>
      </c>
      <c r="BG346" s="73"/>
      <c r="BH346" s="73"/>
      <c r="BI346" s="73"/>
      <c r="BJ346" s="73"/>
      <c r="BK346" s="73"/>
      <c r="BL346" s="73"/>
      <c r="BM346" s="73"/>
      <c r="BN346" s="73"/>
      <c r="BO346" s="73"/>
      <c r="BP346" s="73"/>
      <c r="BQ346" s="73"/>
      <c r="BR346" s="73"/>
      <c r="BS346" s="73"/>
      <c r="BT346" s="73"/>
      <c r="BU346" s="73"/>
      <c r="BV346" s="73"/>
      <c r="BW346" s="74"/>
      <c r="BX346" s="74"/>
      <c r="BY346" s="63"/>
      <c r="BZ346" s="63"/>
    </row>
    <row r="347" ht="15.75" customHeight="1">
      <c r="A347" s="224" t="s">
        <v>2602</v>
      </c>
      <c r="B347" s="50" t="s">
        <v>2603</v>
      </c>
      <c r="C347" s="43" t="s">
        <v>315</v>
      </c>
      <c r="D347" s="50" t="s">
        <v>2604</v>
      </c>
      <c r="E347" s="45"/>
      <c r="F347" s="78">
        <v>4.5E7</v>
      </c>
      <c r="G347" s="44" t="str">
        <f t="shared" si="8"/>
        <v>$0 a $100'000.000</v>
      </c>
      <c r="H347" s="44"/>
      <c r="I347" s="44"/>
      <c r="J347" s="43" t="s">
        <v>183</v>
      </c>
      <c r="K347" s="51"/>
      <c r="L347" s="50">
        <v>0.0</v>
      </c>
      <c r="M347" s="50"/>
      <c r="N347" s="50">
        <v>0.0</v>
      </c>
      <c r="O347" s="50">
        <v>0.0</v>
      </c>
      <c r="P347" s="50">
        <v>0.0</v>
      </c>
      <c r="Q347" s="79">
        <v>0.0</v>
      </c>
      <c r="R347" s="79">
        <v>168.0</v>
      </c>
      <c r="S347" s="56" t="str">
        <f t="shared" si="15"/>
        <v> </v>
      </c>
      <c r="T347" s="50" t="s">
        <v>78</v>
      </c>
      <c r="U347" s="57"/>
      <c r="V347" s="50" t="s">
        <v>118</v>
      </c>
      <c r="W347" s="50"/>
      <c r="X347" s="44"/>
      <c r="Y347" s="43" t="s">
        <v>80</v>
      </c>
      <c r="Z347" s="80" t="s">
        <v>81</v>
      </c>
      <c r="AA347" s="59" t="str">
        <f>IF(Rentabilidad=0,"No aplica",TEXT(ROUND(Precio/Rentabilidad/12,0),0) &amp; " años")</f>
        <v>No aplica</v>
      </c>
      <c r="AB347" s="82" t="s">
        <v>2605</v>
      </c>
      <c r="AC347" s="61"/>
      <c r="AD347" s="107" t="s">
        <v>2606</v>
      </c>
      <c r="AE347" s="63"/>
      <c r="AF347" s="295">
        <v>0.0</v>
      </c>
      <c r="AG347" s="65" t="s">
        <v>106</v>
      </c>
      <c r="AH347" s="65"/>
      <c r="AI347" s="65" t="s">
        <v>1747</v>
      </c>
      <c r="AJ347" s="64" t="s">
        <v>1834</v>
      </c>
      <c r="AK347" s="225" t="s">
        <v>1749</v>
      </c>
      <c r="AL347" s="45" t="s">
        <v>109</v>
      </c>
      <c r="AM347" s="50">
        <v>3.10332731E9</v>
      </c>
      <c r="AN347" s="64">
        <v>0.0</v>
      </c>
      <c r="AO347" s="181" t="s">
        <v>2607</v>
      </c>
      <c r="AP347" s="67"/>
      <c r="AQ347" s="143">
        <v>2.9552503</v>
      </c>
      <c r="AR347" s="143">
        <v>-75.2734447</v>
      </c>
      <c r="AS347" s="94"/>
      <c r="AT347" s="44"/>
      <c r="AU347" s="44"/>
      <c r="AV347" s="44"/>
      <c r="AW347" s="44"/>
      <c r="AX347" s="44"/>
      <c r="AY347" s="44"/>
      <c r="AZ347" s="50">
        <v>7.0</v>
      </c>
      <c r="BA347" s="43" t="s">
        <v>89</v>
      </c>
      <c r="BB347" s="50">
        <v>24.0</v>
      </c>
      <c r="BC347" s="86"/>
      <c r="BD347" s="71"/>
      <c r="BE347" s="71"/>
      <c r="BF347" s="72" t="s">
        <v>2608</v>
      </c>
      <c r="BG347" s="73"/>
      <c r="BH347" s="73"/>
      <c r="BI347" s="73"/>
      <c r="BJ347" s="73"/>
      <c r="BK347" s="73"/>
      <c r="BL347" s="73"/>
      <c r="BM347" s="73"/>
      <c r="BN347" s="73"/>
      <c r="BO347" s="73"/>
      <c r="BP347" s="73"/>
      <c r="BQ347" s="73"/>
      <c r="BR347" s="73"/>
      <c r="BS347" s="73"/>
      <c r="BT347" s="73"/>
      <c r="BU347" s="73"/>
      <c r="BV347" s="73"/>
      <c r="BW347" s="74"/>
      <c r="BX347" s="74"/>
      <c r="BY347" s="63"/>
      <c r="BZ347" s="63"/>
    </row>
    <row r="348" ht="15.75" customHeight="1">
      <c r="A348" s="120" t="s">
        <v>2609</v>
      </c>
      <c r="B348" s="43" t="s">
        <v>429</v>
      </c>
      <c r="C348" s="43" t="s">
        <v>70</v>
      </c>
      <c r="D348" s="52" t="s">
        <v>430</v>
      </c>
      <c r="E348" s="45"/>
      <c r="F348" s="78" t="s">
        <v>376</v>
      </c>
      <c r="G348" s="44" t="str">
        <f t="shared" si="8"/>
        <v>Más de $1.000'000.000</v>
      </c>
      <c r="H348" s="44"/>
      <c r="I348" s="44"/>
      <c r="J348" s="43" t="s">
        <v>183</v>
      </c>
      <c r="K348" s="56" t="s">
        <v>184</v>
      </c>
      <c r="L348" s="52">
        <v>0.0</v>
      </c>
      <c r="M348" s="52"/>
      <c r="N348" s="52">
        <v>0.0</v>
      </c>
      <c r="O348" s="52">
        <v>0.0</v>
      </c>
      <c r="P348" s="52">
        <v>0.0</v>
      </c>
      <c r="Q348" s="54"/>
      <c r="R348" s="55">
        <v>0.0</v>
      </c>
      <c r="S348" s="56" t="str">
        <f t="shared" si="15"/>
        <v> </v>
      </c>
      <c r="T348" s="52" t="s">
        <v>78</v>
      </c>
      <c r="U348" s="142" t="s">
        <v>77</v>
      </c>
      <c r="V348" s="52"/>
      <c r="W348" s="52"/>
      <c r="X348" s="52">
        <v>0.0</v>
      </c>
      <c r="Y348" s="43" t="s">
        <v>80</v>
      </c>
      <c r="Z348" s="58" t="s">
        <v>81</v>
      </c>
      <c r="AA348" s="59" t="str">
        <f>IF(Rentabilidad=0,"No aplica",TEXT(ROUND(Precio/Rentabilidad/12,0),0) &amp; " años")</f>
        <v>No aplica</v>
      </c>
      <c r="AB348" s="60"/>
      <c r="AC348" s="61"/>
      <c r="AD348" s="62"/>
      <c r="AE348" s="63"/>
      <c r="AF348" s="296" t="s">
        <v>96</v>
      </c>
      <c r="AG348" s="63"/>
      <c r="AH348" s="65" t="s">
        <v>45</v>
      </c>
      <c r="AI348" s="63"/>
      <c r="AJ348" s="64" t="s">
        <v>1834</v>
      </c>
      <c r="AK348" s="44"/>
      <c r="AL348" s="45" t="s">
        <v>86</v>
      </c>
      <c r="AM348" s="52">
        <v>3.214533881E9</v>
      </c>
      <c r="AN348" s="45">
        <v>0.0</v>
      </c>
      <c r="AO348" s="52"/>
      <c r="AP348" s="67" t="s">
        <v>2610</v>
      </c>
      <c r="AQ348" s="67"/>
      <c r="AR348" s="67"/>
      <c r="AS348" s="135">
        <v>0.0</v>
      </c>
      <c r="AT348" s="44">
        <v>0.0</v>
      </c>
      <c r="AU348" s="52">
        <v>0.0</v>
      </c>
      <c r="AV348" s="52">
        <v>0.0</v>
      </c>
      <c r="AW348" s="43" t="s">
        <v>88</v>
      </c>
      <c r="AX348" s="52">
        <v>0.0</v>
      </c>
      <c r="AY348" s="52">
        <v>0.0</v>
      </c>
      <c r="AZ348" s="52">
        <v>0.0</v>
      </c>
      <c r="BA348" s="43" t="s">
        <v>89</v>
      </c>
      <c r="BB348" s="52">
        <v>0.0</v>
      </c>
      <c r="BC348" s="95"/>
      <c r="BD348" s="71"/>
      <c r="BE348" s="71"/>
      <c r="BF348" s="72"/>
      <c r="BG348" s="73"/>
      <c r="BH348" s="73"/>
      <c r="BI348" s="73"/>
      <c r="BJ348" s="73"/>
      <c r="BK348" s="73"/>
      <c r="BL348" s="73"/>
      <c r="BM348" s="73"/>
      <c r="BN348" s="73"/>
      <c r="BO348" s="73"/>
      <c r="BP348" s="73"/>
      <c r="BQ348" s="73"/>
      <c r="BR348" s="73"/>
      <c r="BS348" s="73"/>
      <c r="BT348" s="73"/>
      <c r="BU348" s="73"/>
      <c r="BV348" s="73"/>
      <c r="BW348" s="74"/>
      <c r="BX348" s="74"/>
      <c r="BY348" s="63"/>
      <c r="BZ348" s="63"/>
    </row>
    <row r="349" ht="15.75" customHeight="1">
      <c r="A349" s="120" t="s">
        <v>2611</v>
      </c>
      <c r="B349" s="43" t="s">
        <v>2612</v>
      </c>
      <c r="C349" s="43" t="s">
        <v>315</v>
      </c>
      <c r="D349" s="213"/>
      <c r="E349" s="64"/>
      <c r="F349" s="78" t="s">
        <v>376</v>
      </c>
      <c r="G349" s="44" t="str">
        <f t="shared" si="8"/>
        <v>Más de $1.000'000.000</v>
      </c>
      <c r="H349" s="44"/>
      <c r="I349" s="44"/>
      <c r="J349" s="50" t="s">
        <v>376</v>
      </c>
      <c r="K349" s="57"/>
      <c r="L349" s="44">
        <v>0.0</v>
      </c>
      <c r="M349" s="44"/>
      <c r="N349" s="44">
        <v>0.0</v>
      </c>
      <c r="O349" s="44">
        <v>0.0</v>
      </c>
      <c r="P349" s="44">
        <v>0.0</v>
      </c>
      <c r="Q349" s="54"/>
      <c r="R349" s="55">
        <v>0.0</v>
      </c>
      <c r="S349" s="56" t="str">
        <f t="shared" si="15"/>
        <v> </v>
      </c>
      <c r="T349" s="52" t="s">
        <v>78</v>
      </c>
      <c r="U349" s="57"/>
      <c r="V349" s="44"/>
      <c r="W349" s="44"/>
      <c r="X349" s="44">
        <v>0.0</v>
      </c>
      <c r="Y349" s="50" t="s">
        <v>80</v>
      </c>
      <c r="Z349" s="58" t="s">
        <v>81</v>
      </c>
      <c r="AA349" s="59" t="str">
        <f>IF(Rentabilidad=0,"No aplica",TEXT(ROUND(Precio/Rentabilidad/12,0),0) &amp; " años")</f>
        <v>No aplica</v>
      </c>
      <c r="AB349" s="60"/>
      <c r="AC349" s="61"/>
      <c r="AD349" s="62"/>
      <c r="AE349" s="63"/>
      <c r="AF349" s="45" t="s">
        <v>96</v>
      </c>
      <c r="AG349" s="63"/>
      <c r="AH349" s="63"/>
      <c r="AI349" s="63"/>
      <c r="AJ349" s="64" t="s">
        <v>1834</v>
      </c>
      <c r="AK349" s="44"/>
      <c r="AL349" s="45" t="s">
        <v>86</v>
      </c>
      <c r="AM349" s="52">
        <v>3.174390599E9</v>
      </c>
      <c r="AN349" s="45">
        <v>3.187165627E9</v>
      </c>
      <c r="AO349" s="52"/>
      <c r="AP349" s="67">
        <v>0.0</v>
      </c>
      <c r="AQ349" s="67"/>
      <c r="AR349" s="67"/>
      <c r="AS349" s="68">
        <v>0.0</v>
      </c>
      <c r="AT349" s="44">
        <v>0.0</v>
      </c>
      <c r="AU349" s="44">
        <v>0.0</v>
      </c>
      <c r="AV349" s="44">
        <v>0.0</v>
      </c>
      <c r="AW349" s="50" t="s">
        <v>88</v>
      </c>
      <c r="AX349" s="44">
        <v>0.0</v>
      </c>
      <c r="AY349" s="44">
        <v>0.0</v>
      </c>
      <c r="AZ349" s="44">
        <v>0.0</v>
      </c>
      <c r="BA349" s="43" t="s">
        <v>89</v>
      </c>
      <c r="BB349" s="44">
        <v>0.0</v>
      </c>
      <c r="BC349" s="69" t="s">
        <v>2613</v>
      </c>
      <c r="BD349" s="70"/>
      <c r="BE349" s="70"/>
      <c r="BF349" s="72"/>
      <c r="BG349" s="73"/>
      <c r="BH349" s="73"/>
      <c r="BI349" s="73"/>
      <c r="BJ349" s="73"/>
      <c r="BK349" s="73"/>
      <c r="BL349" s="73"/>
      <c r="BM349" s="73"/>
      <c r="BN349" s="73"/>
      <c r="BO349" s="73"/>
      <c r="BP349" s="73"/>
      <c r="BQ349" s="73"/>
      <c r="BR349" s="73"/>
      <c r="BS349" s="73"/>
      <c r="BT349" s="73"/>
      <c r="BU349" s="73"/>
      <c r="BV349" s="73"/>
      <c r="BW349" s="74"/>
      <c r="BX349" s="74"/>
      <c r="BY349" s="63"/>
      <c r="BZ349" s="63"/>
    </row>
    <row r="350" ht="15.75" customHeight="1">
      <c r="A350" s="120" t="s">
        <v>2614</v>
      </c>
      <c r="B350" s="50" t="s">
        <v>2615</v>
      </c>
      <c r="C350" s="50" t="s">
        <v>1228</v>
      </c>
      <c r="D350" s="213"/>
      <c r="E350" s="45"/>
      <c r="F350" s="78" t="s">
        <v>376</v>
      </c>
      <c r="G350" s="44" t="str">
        <f t="shared" si="8"/>
        <v>Más de $1.000'000.000</v>
      </c>
      <c r="H350" s="44"/>
      <c r="I350" s="44"/>
      <c r="J350" s="50" t="s">
        <v>376</v>
      </c>
      <c r="K350" s="57"/>
      <c r="L350" s="44">
        <v>0.0</v>
      </c>
      <c r="M350" s="44"/>
      <c r="N350" s="44">
        <v>0.0</v>
      </c>
      <c r="O350" s="44">
        <v>0.0</v>
      </c>
      <c r="P350" s="44">
        <v>0.0</v>
      </c>
      <c r="Q350" s="54"/>
      <c r="R350" s="55">
        <v>0.0</v>
      </c>
      <c r="S350" s="56" t="str">
        <f t="shared" si="15"/>
        <v> </v>
      </c>
      <c r="T350" s="52" t="s">
        <v>78</v>
      </c>
      <c r="U350" s="57"/>
      <c r="V350" s="44"/>
      <c r="W350" s="44"/>
      <c r="X350" s="44">
        <v>0.0</v>
      </c>
      <c r="Y350" s="50" t="s">
        <v>80</v>
      </c>
      <c r="Z350" s="58" t="s">
        <v>81</v>
      </c>
      <c r="AA350" s="59" t="str">
        <f>IF(Rentabilidad=0,"No aplica",TEXT(ROUND(Precio/Rentabilidad/12,0),0) &amp; " años")</f>
        <v>No aplica</v>
      </c>
      <c r="AB350" s="60"/>
      <c r="AC350" s="61"/>
      <c r="AD350" s="62"/>
      <c r="AE350" s="63"/>
      <c r="AF350" s="45" t="s">
        <v>96</v>
      </c>
      <c r="AG350" s="63"/>
      <c r="AH350" s="63"/>
      <c r="AI350" s="63"/>
      <c r="AJ350" s="64" t="s">
        <v>1834</v>
      </c>
      <c r="AK350" s="44"/>
      <c r="AL350" s="45" t="s">
        <v>86</v>
      </c>
      <c r="AM350" s="52">
        <v>3.114641749E9</v>
      </c>
      <c r="AN350" s="45">
        <v>0.0</v>
      </c>
      <c r="AO350" s="52"/>
      <c r="AP350" s="67">
        <v>0.0</v>
      </c>
      <c r="AQ350" s="67"/>
      <c r="AR350" s="67"/>
      <c r="AS350" s="68">
        <v>0.0</v>
      </c>
      <c r="AT350" s="44">
        <v>0.0</v>
      </c>
      <c r="AU350" s="44">
        <v>0.0</v>
      </c>
      <c r="AV350" s="44">
        <v>0.0</v>
      </c>
      <c r="AW350" s="50" t="s">
        <v>88</v>
      </c>
      <c r="AX350" s="44">
        <v>0.0</v>
      </c>
      <c r="AY350" s="44">
        <v>0.0</v>
      </c>
      <c r="AZ350" s="44">
        <v>0.0</v>
      </c>
      <c r="BA350" s="43" t="s">
        <v>89</v>
      </c>
      <c r="BB350" s="44">
        <v>0.0</v>
      </c>
      <c r="BC350" s="69" t="s">
        <v>1616</v>
      </c>
      <c r="BD350" s="121"/>
      <c r="BE350" s="129"/>
      <c r="BF350" s="72"/>
      <c r="BG350" s="73"/>
      <c r="BH350" s="73"/>
      <c r="BI350" s="73"/>
      <c r="BJ350" s="73"/>
      <c r="BK350" s="73"/>
      <c r="BL350" s="73"/>
      <c r="BM350" s="73"/>
      <c r="BN350" s="73"/>
      <c r="BO350" s="73"/>
      <c r="BP350" s="73"/>
      <c r="BQ350" s="73"/>
      <c r="BR350" s="73"/>
      <c r="BS350" s="73"/>
      <c r="BT350" s="73"/>
      <c r="BU350" s="73"/>
      <c r="BV350" s="73"/>
      <c r="BW350" s="74"/>
      <c r="BX350" s="74"/>
      <c r="BY350" s="63"/>
      <c r="BZ350" s="63"/>
    </row>
    <row r="351" ht="15.75" customHeight="1">
      <c r="A351" s="120" t="s">
        <v>2616</v>
      </c>
      <c r="B351" s="43" t="s">
        <v>2617</v>
      </c>
      <c r="C351" s="43" t="s">
        <v>70</v>
      </c>
      <c r="D351" s="52" t="s">
        <v>2618</v>
      </c>
      <c r="E351" s="77" t="s">
        <v>376</v>
      </c>
      <c r="F351" s="78" t="s">
        <v>376</v>
      </c>
      <c r="G351" s="44" t="str">
        <f t="shared" si="8"/>
        <v>Más de $1.000'000.000</v>
      </c>
      <c r="H351" s="44"/>
      <c r="I351" s="44"/>
      <c r="J351" s="43" t="s">
        <v>183</v>
      </c>
      <c r="K351" s="142"/>
      <c r="L351" s="44">
        <v>0.0</v>
      </c>
      <c r="M351" s="44"/>
      <c r="N351" s="44">
        <v>0.0</v>
      </c>
      <c r="O351" s="44">
        <v>0.0</v>
      </c>
      <c r="P351" s="44">
        <v>0.0</v>
      </c>
      <c r="Q351" s="54"/>
      <c r="R351" s="55">
        <v>0.0</v>
      </c>
      <c r="S351" s="56" t="str">
        <f t="shared" si="15"/>
        <v> </v>
      </c>
      <c r="T351" s="52" t="s">
        <v>78</v>
      </c>
      <c r="U351" s="57" t="s">
        <v>77</v>
      </c>
      <c r="V351" s="44"/>
      <c r="W351" s="44"/>
      <c r="X351" s="44">
        <v>0.0</v>
      </c>
      <c r="Y351" s="44"/>
      <c r="Z351" s="58" t="s">
        <v>81</v>
      </c>
      <c r="AA351" s="59" t="str">
        <f>IF(Rentabilidad=0,"No aplica",TEXT(ROUND(Precio/Rentabilidad/12,0),0) &amp; " años")</f>
        <v>No aplica</v>
      </c>
      <c r="AB351" s="60"/>
      <c r="AC351" s="61"/>
      <c r="AD351" s="62"/>
      <c r="AE351" s="63"/>
      <c r="AF351" s="45" t="s">
        <v>96</v>
      </c>
      <c r="AG351" s="63"/>
      <c r="AH351" s="63"/>
      <c r="AI351" s="63"/>
      <c r="AJ351" s="64" t="s">
        <v>1834</v>
      </c>
      <c r="AK351" s="44"/>
      <c r="AL351" s="45" t="s">
        <v>86</v>
      </c>
      <c r="AM351" s="52">
        <v>3.167401923E9</v>
      </c>
      <c r="AN351" s="45">
        <v>0.0</v>
      </c>
      <c r="AO351" s="52"/>
      <c r="AP351" s="67">
        <v>0.0</v>
      </c>
      <c r="AQ351" s="67"/>
      <c r="AR351" s="67"/>
      <c r="AS351" s="68">
        <v>0.0</v>
      </c>
      <c r="AT351" s="44">
        <v>0.0</v>
      </c>
      <c r="AU351" s="44">
        <v>0.0</v>
      </c>
      <c r="AV351" s="44">
        <v>0.0</v>
      </c>
      <c r="AW351" s="50" t="s">
        <v>88</v>
      </c>
      <c r="AX351" s="44">
        <v>0.0</v>
      </c>
      <c r="AY351" s="44">
        <v>0.0</v>
      </c>
      <c r="AZ351" s="44">
        <v>0.0</v>
      </c>
      <c r="BA351" s="43" t="s">
        <v>89</v>
      </c>
      <c r="BB351" s="44">
        <v>0.0</v>
      </c>
      <c r="BC351" s="109"/>
      <c r="BD351" s="70"/>
      <c r="BE351" s="71"/>
      <c r="BF351" s="130"/>
      <c r="BG351" s="73"/>
      <c r="BH351" s="73"/>
      <c r="BI351" s="73"/>
      <c r="BJ351" s="73"/>
      <c r="BK351" s="73"/>
      <c r="BL351" s="73"/>
      <c r="BM351" s="73"/>
      <c r="BN351" s="73"/>
      <c r="BO351" s="73"/>
      <c r="BP351" s="73"/>
      <c r="BQ351" s="73"/>
      <c r="BR351" s="73"/>
      <c r="BS351" s="73"/>
      <c r="BT351" s="73"/>
      <c r="BU351" s="73"/>
      <c r="BV351" s="73"/>
      <c r="BW351" s="74"/>
      <c r="BX351" s="74"/>
      <c r="BY351" s="63"/>
      <c r="BZ351" s="63"/>
    </row>
    <row r="352" ht="15.75" customHeight="1">
      <c r="A352" s="120" t="s">
        <v>2619</v>
      </c>
      <c r="B352" s="43" t="s">
        <v>2620</v>
      </c>
      <c r="C352" s="43" t="s">
        <v>573</v>
      </c>
      <c r="D352" s="52" t="s">
        <v>131</v>
      </c>
      <c r="E352" s="77"/>
      <c r="F352" s="78" t="s">
        <v>376</v>
      </c>
      <c r="G352" s="44" t="str">
        <f t="shared" si="8"/>
        <v>Más de $1.000'000.000</v>
      </c>
      <c r="H352" s="44"/>
      <c r="I352" s="44"/>
      <c r="J352" s="43" t="s">
        <v>183</v>
      </c>
      <c r="K352" s="142"/>
      <c r="L352" s="52">
        <v>0.0</v>
      </c>
      <c r="M352" s="52"/>
      <c r="N352" s="52">
        <v>0.0</v>
      </c>
      <c r="O352" s="52">
        <v>0.0</v>
      </c>
      <c r="P352" s="43">
        <v>1.0</v>
      </c>
      <c r="Q352" s="54"/>
      <c r="R352" s="55">
        <v>0.0</v>
      </c>
      <c r="S352" s="56" t="str">
        <f t="shared" si="15"/>
        <v> </v>
      </c>
      <c r="T352" s="52" t="s">
        <v>78</v>
      </c>
      <c r="U352" s="142" t="s">
        <v>184</v>
      </c>
      <c r="V352" s="52"/>
      <c r="W352" s="52"/>
      <c r="X352" s="52">
        <v>0.0</v>
      </c>
      <c r="Y352" s="43" t="s">
        <v>80</v>
      </c>
      <c r="Z352" s="80" t="s">
        <v>81</v>
      </c>
      <c r="AA352" s="59" t="str">
        <f>IF(Rentabilidad=0,"No aplica",TEXT(ROUND(Precio/Rentabilidad/12,0),0) &amp; " años")</f>
        <v>No aplica</v>
      </c>
      <c r="AB352" s="195"/>
      <c r="AC352" s="131" t="s">
        <v>2621</v>
      </c>
      <c r="AD352" s="62"/>
      <c r="AE352" s="63"/>
      <c r="AF352" s="45" t="s">
        <v>96</v>
      </c>
      <c r="AG352" s="63"/>
      <c r="AH352" s="65" t="s">
        <v>45</v>
      </c>
      <c r="AI352" s="63"/>
      <c r="AJ352" s="64" t="s">
        <v>1834</v>
      </c>
      <c r="AK352" s="44"/>
      <c r="AL352" s="45" t="s">
        <v>86</v>
      </c>
      <c r="AM352" s="52">
        <v>3.124272993E9</v>
      </c>
      <c r="AN352" s="45">
        <v>0.0</v>
      </c>
      <c r="AO352" s="52"/>
      <c r="AP352" s="67">
        <v>0.0</v>
      </c>
      <c r="AQ352" s="67"/>
      <c r="AR352" s="67"/>
      <c r="AS352" s="135">
        <v>0.0</v>
      </c>
      <c r="AT352" s="44">
        <v>0.0</v>
      </c>
      <c r="AU352" s="52">
        <v>0.0</v>
      </c>
      <c r="AV352" s="52">
        <v>0.0</v>
      </c>
      <c r="AW352" s="43" t="s">
        <v>88</v>
      </c>
      <c r="AX352" s="52">
        <v>0.0</v>
      </c>
      <c r="AY352" s="52">
        <v>0.0</v>
      </c>
      <c r="AZ352" s="52">
        <v>0.0</v>
      </c>
      <c r="BA352" s="43" t="s">
        <v>89</v>
      </c>
      <c r="BB352" s="52">
        <v>0.0</v>
      </c>
      <c r="BC352" s="109"/>
      <c r="BD352" s="70"/>
      <c r="BE352" s="70"/>
      <c r="BF352" s="72"/>
      <c r="BG352" s="73"/>
      <c r="BH352" s="73"/>
      <c r="BI352" s="73"/>
      <c r="BJ352" s="73"/>
      <c r="BK352" s="73"/>
      <c r="BL352" s="73"/>
      <c r="BM352" s="73"/>
      <c r="BN352" s="73"/>
      <c r="BO352" s="73"/>
      <c r="BP352" s="73"/>
      <c r="BQ352" s="73"/>
      <c r="BR352" s="73"/>
      <c r="BS352" s="73"/>
      <c r="BT352" s="73"/>
      <c r="BU352" s="73"/>
      <c r="BV352" s="73"/>
      <c r="BW352" s="74"/>
      <c r="BX352" s="74"/>
      <c r="BY352" s="63"/>
      <c r="BZ352" s="63"/>
    </row>
    <row r="353" ht="15.75" customHeight="1">
      <c r="A353" s="120" t="s">
        <v>2622</v>
      </c>
      <c r="B353" s="43" t="s">
        <v>2623</v>
      </c>
      <c r="C353" s="43" t="s">
        <v>70</v>
      </c>
      <c r="D353" s="44" t="s">
        <v>756</v>
      </c>
      <c r="E353" s="77" t="s">
        <v>376</v>
      </c>
      <c r="F353" s="78" t="s">
        <v>376</v>
      </c>
      <c r="G353" s="44" t="str">
        <f t="shared" si="8"/>
        <v>Más de $1.000'000.000</v>
      </c>
      <c r="H353" s="44"/>
      <c r="I353" s="44"/>
      <c r="J353" s="50" t="s">
        <v>183</v>
      </c>
      <c r="K353" s="57"/>
      <c r="L353" s="52">
        <v>0.0</v>
      </c>
      <c r="M353" s="52"/>
      <c r="N353" s="52">
        <v>0.0</v>
      </c>
      <c r="O353" s="52">
        <v>0.0</v>
      </c>
      <c r="P353" s="52">
        <v>1.0</v>
      </c>
      <c r="Q353" s="54">
        <v>90.0</v>
      </c>
      <c r="R353" s="55">
        <v>90.0</v>
      </c>
      <c r="S353" s="56" t="str">
        <f t="shared" si="15"/>
        <v>Rentabilidad $500,000</v>
      </c>
      <c r="T353" s="52" t="s">
        <v>78</v>
      </c>
      <c r="U353" s="142" t="s">
        <v>184</v>
      </c>
      <c r="V353" s="43" t="s">
        <v>79</v>
      </c>
      <c r="W353" s="43"/>
      <c r="X353" s="52">
        <v>0.0</v>
      </c>
      <c r="Y353" s="43" t="s">
        <v>80</v>
      </c>
      <c r="Z353" s="58" t="s">
        <v>81</v>
      </c>
      <c r="AA353" s="59" t="str">
        <f>IF(Rentabilidad=0,"No aplica",TEXT(ROUND(Precio/Rentabilidad/12,0),0) &amp; " años")</f>
        <v>#VALUE!</v>
      </c>
      <c r="AB353" s="60"/>
      <c r="AC353" s="61"/>
      <c r="AD353" s="62"/>
      <c r="AE353" s="63"/>
      <c r="AF353" s="45" t="s">
        <v>96</v>
      </c>
      <c r="AG353" s="63"/>
      <c r="AH353" s="63"/>
      <c r="AI353" s="63"/>
      <c r="AJ353" s="64" t="s">
        <v>1834</v>
      </c>
      <c r="AK353" s="44"/>
      <c r="AL353" s="45" t="s">
        <v>2624</v>
      </c>
      <c r="AM353" s="52">
        <v>3.132814636E9</v>
      </c>
      <c r="AN353" s="45">
        <v>0.0</v>
      </c>
      <c r="AO353" s="52"/>
      <c r="AP353" s="67" t="s">
        <v>2625</v>
      </c>
      <c r="AQ353" s="67"/>
      <c r="AR353" s="67"/>
      <c r="AS353" s="54">
        <v>500000.0</v>
      </c>
      <c r="AT353" s="52">
        <v>0.0</v>
      </c>
      <c r="AU353" s="52">
        <v>0.0</v>
      </c>
      <c r="AV353" s="52">
        <v>0.0</v>
      </c>
      <c r="AW353" s="43" t="s">
        <v>88</v>
      </c>
      <c r="AX353" s="52">
        <v>0.0</v>
      </c>
      <c r="AY353" s="52">
        <v>0.0</v>
      </c>
      <c r="AZ353" s="52">
        <v>6.0</v>
      </c>
      <c r="BA353" s="43" t="s">
        <v>89</v>
      </c>
      <c r="BB353" s="52">
        <v>15.0</v>
      </c>
      <c r="BC353" s="69" t="s">
        <v>2626</v>
      </c>
      <c r="BD353" s="70"/>
      <c r="BE353" s="70"/>
      <c r="BF353" s="72"/>
      <c r="BG353" s="73"/>
      <c r="BH353" s="73"/>
      <c r="BI353" s="73"/>
      <c r="BJ353" s="73"/>
      <c r="BK353" s="73"/>
      <c r="BL353" s="73"/>
      <c r="BM353" s="73"/>
      <c r="BN353" s="73"/>
      <c r="BO353" s="73"/>
      <c r="BP353" s="73"/>
      <c r="BQ353" s="73"/>
      <c r="BR353" s="73"/>
      <c r="BS353" s="73"/>
      <c r="BT353" s="73"/>
      <c r="BU353" s="73"/>
      <c r="BV353" s="73"/>
      <c r="BW353" s="74"/>
      <c r="BX353" s="74"/>
      <c r="BY353" s="63"/>
      <c r="BZ353" s="63"/>
    </row>
    <row r="354" ht="15.75" customHeight="1">
      <c r="A354" s="133" t="s">
        <v>2627</v>
      </c>
      <c r="B354" s="43" t="s">
        <v>2628</v>
      </c>
      <c r="C354" s="43" t="s">
        <v>70</v>
      </c>
      <c r="D354" s="52" t="s">
        <v>272</v>
      </c>
      <c r="E354" s="77" t="s">
        <v>376</v>
      </c>
      <c r="F354" s="78" t="s">
        <v>376</v>
      </c>
      <c r="G354" s="44" t="str">
        <f t="shared" si="8"/>
        <v>Más de $1.000'000.000</v>
      </c>
      <c r="H354" s="44"/>
      <c r="I354" s="44"/>
      <c r="J354" s="43" t="s">
        <v>76</v>
      </c>
      <c r="K354" s="142"/>
      <c r="L354" s="52">
        <v>0.0</v>
      </c>
      <c r="M354" s="52"/>
      <c r="N354" s="52">
        <v>0.0</v>
      </c>
      <c r="O354" s="52">
        <v>0.0</v>
      </c>
      <c r="P354" s="52">
        <v>0.0</v>
      </c>
      <c r="Q354" s="54"/>
      <c r="R354" s="55">
        <v>0.0</v>
      </c>
      <c r="S354" s="56" t="str">
        <f t="shared" si="15"/>
        <v> </v>
      </c>
      <c r="T354" s="52" t="s">
        <v>78</v>
      </c>
      <c r="U354" s="142" t="s">
        <v>77</v>
      </c>
      <c r="V354" s="52"/>
      <c r="W354" s="52"/>
      <c r="X354" s="52">
        <v>0.0</v>
      </c>
      <c r="Y354" s="44"/>
      <c r="Z354" s="58" t="s">
        <v>81</v>
      </c>
      <c r="AA354" s="59" t="str">
        <f>IF(Rentabilidad=0,"No aplica",TEXT(ROUND(Precio/Rentabilidad/12,0),0) &amp; " años")</f>
        <v>No aplica</v>
      </c>
      <c r="AB354" s="60"/>
      <c r="AC354" s="61"/>
      <c r="AD354" s="62"/>
      <c r="AE354" s="63"/>
      <c r="AF354" s="45" t="s">
        <v>96</v>
      </c>
      <c r="AG354" s="63"/>
      <c r="AH354" s="63"/>
      <c r="AI354" s="63"/>
      <c r="AJ354" s="64" t="s">
        <v>1834</v>
      </c>
      <c r="AK354" s="44"/>
      <c r="AL354" s="45" t="s">
        <v>86</v>
      </c>
      <c r="AM354" s="52">
        <v>3.142142836E9</v>
      </c>
      <c r="AN354" s="45">
        <v>0.0</v>
      </c>
      <c r="AO354" s="52" t="s">
        <v>2629</v>
      </c>
      <c r="AP354" s="67">
        <v>0.0</v>
      </c>
      <c r="AQ354" s="67"/>
      <c r="AR354" s="67"/>
      <c r="AS354" s="135">
        <v>0.0</v>
      </c>
      <c r="AT354" s="44"/>
      <c r="AU354" s="52">
        <v>0.0</v>
      </c>
      <c r="AV354" s="52">
        <v>0.0</v>
      </c>
      <c r="AW354" s="43" t="s">
        <v>88</v>
      </c>
      <c r="AX354" s="52">
        <v>0.0</v>
      </c>
      <c r="AY354" s="52">
        <v>0.0</v>
      </c>
      <c r="AZ354" s="52">
        <v>0.0</v>
      </c>
      <c r="BA354" s="43" t="s">
        <v>89</v>
      </c>
      <c r="BB354" s="52">
        <v>0.0</v>
      </c>
      <c r="BC354" s="95" t="s">
        <v>2630</v>
      </c>
      <c r="BD354" s="71"/>
      <c r="BE354" s="71"/>
      <c r="BF354" s="72"/>
      <c r="BG354" s="73"/>
      <c r="BH354" s="73"/>
      <c r="BI354" s="73"/>
      <c r="BJ354" s="73"/>
      <c r="BK354" s="73"/>
      <c r="BL354" s="73"/>
      <c r="BM354" s="73"/>
      <c r="BN354" s="73"/>
      <c r="BO354" s="73"/>
      <c r="BP354" s="73"/>
      <c r="BQ354" s="73"/>
      <c r="BR354" s="73"/>
      <c r="BS354" s="73"/>
      <c r="BT354" s="73"/>
      <c r="BU354" s="73"/>
      <c r="BV354" s="73"/>
      <c r="BW354" s="74"/>
      <c r="BX354" s="74"/>
      <c r="BY354" s="63"/>
      <c r="BZ354" s="63"/>
    </row>
    <row r="355" ht="15.75" customHeight="1">
      <c r="A355" s="133" t="s">
        <v>2631</v>
      </c>
      <c r="B355" s="43" t="s">
        <v>2632</v>
      </c>
      <c r="C355" s="43" t="s">
        <v>573</v>
      </c>
      <c r="D355" s="44" t="s">
        <v>2633</v>
      </c>
      <c r="E355" s="77"/>
      <c r="F355" s="78" t="s">
        <v>376</v>
      </c>
      <c r="G355" s="44" t="str">
        <f t="shared" si="8"/>
        <v>Más de $1.000'000.000</v>
      </c>
      <c r="H355" s="44"/>
      <c r="I355" s="44"/>
      <c r="J355" s="50" t="s">
        <v>76</v>
      </c>
      <c r="K355" s="57"/>
      <c r="L355" s="44">
        <v>0.0</v>
      </c>
      <c r="M355" s="44"/>
      <c r="N355" s="44">
        <v>0.0</v>
      </c>
      <c r="O355" s="44">
        <v>0.0</v>
      </c>
      <c r="P355" s="44">
        <v>0.0</v>
      </c>
      <c r="Q355" s="54"/>
      <c r="R355" s="55">
        <v>0.0</v>
      </c>
      <c r="S355" s="56" t="str">
        <f t="shared" si="15"/>
        <v> </v>
      </c>
      <c r="T355" s="52" t="s">
        <v>78</v>
      </c>
      <c r="U355" s="57" t="s">
        <v>142</v>
      </c>
      <c r="V355" s="44"/>
      <c r="W355" s="44"/>
      <c r="X355" s="44">
        <v>0.0</v>
      </c>
      <c r="Y355" s="44"/>
      <c r="Z355" s="58" t="s">
        <v>81</v>
      </c>
      <c r="AA355" s="59" t="str">
        <f>IF(Rentabilidad=0,"No aplica",TEXT(ROUND(Precio/Rentabilidad/12,0),0) &amp; " años")</f>
        <v>No aplica</v>
      </c>
      <c r="AB355" s="195"/>
      <c r="AC355" s="61"/>
      <c r="AD355" s="62"/>
      <c r="AE355" s="63"/>
      <c r="AF355" s="45" t="s">
        <v>96</v>
      </c>
      <c r="AG355" s="63"/>
      <c r="AH355" s="63"/>
      <c r="AI355" s="63"/>
      <c r="AJ355" s="64" t="s">
        <v>1834</v>
      </c>
      <c r="AK355" s="44"/>
      <c r="AL355" s="45" t="s">
        <v>86</v>
      </c>
      <c r="AM355" s="52">
        <v>3.186965812E9</v>
      </c>
      <c r="AN355" s="45">
        <v>0.0</v>
      </c>
      <c r="AO355" s="44"/>
      <c r="AP355" s="67" t="s">
        <v>2634</v>
      </c>
      <c r="AQ355" s="67"/>
      <c r="AR355" s="67"/>
      <c r="AS355" s="68">
        <v>0.0</v>
      </c>
      <c r="AT355" s="44">
        <v>0.0</v>
      </c>
      <c r="AU355" s="44">
        <v>0.0</v>
      </c>
      <c r="AV355" s="44">
        <v>0.0</v>
      </c>
      <c r="AW355" s="50" t="s">
        <v>88</v>
      </c>
      <c r="AX355" s="44">
        <v>0.0</v>
      </c>
      <c r="AY355" s="44">
        <v>0.0</v>
      </c>
      <c r="AZ355" s="44">
        <v>0.0</v>
      </c>
      <c r="BA355" s="43" t="s">
        <v>89</v>
      </c>
      <c r="BB355" s="44">
        <v>0.0</v>
      </c>
      <c r="BC355" s="95"/>
      <c r="BD355" s="71"/>
      <c r="BE355" s="71"/>
      <c r="BF355" s="130"/>
      <c r="BG355" s="73"/>
      <c r="BH355" s="73"/>
      <c r="BI355" s="73"/>
      <c r="BJ355" s="73"/>
      <c r="BK355" s="73"/>
      <c r="BL355" s="73"/>
      <c r="BM355" s="73"/>
      <c r="BN355" s="73"/>
      <c r="BO355" s="73"/>
      <c r="BP355" s="73"/>
      <c r="BQ355" s="73"/>
      <c r="BR355" s="73"/>
      <c r="BS355" s="73"/>
      <c r="BT355" s="73"/>
      <c r="BU355" s="73"/>
      <c r="BV355" s="73"/>
      <c r="BW355" s="74"/>
      <c r="BX355" s="74"/>
      <c r="BY355" s="63"/>
      <c r="BZ355" s="63"/>
    </row>
    <row r="356" ht="15.75" customHeight="1">
      <c r="A356" s="41" t="s">
        <v>2635</v>
      </c>
      <c r="B356" s="50" t="s">
        <v>1921</v>
      </c>
      <c r="C356" s="50" t="s">
        <v>1228</v>
      </c>
      <c r="D356" s="44" t="s">
        <v>71</v>
      </c>
      <c r="E356" s="77" t="s">
        <v>376</v>
      </c>
      <c r="F356" s="47">
        <v>3.002675357E9</v>
      </c>
      <c r="G356" s="44" t="str">
        <f t="shared" si="8"/>
        <v>Más de $1.000'000.000</v>
      </c>
      <c r="H356" s="44"/>
      <c r="I356" s="44"/>
      <c r="J356" s="50" t="s">
        <v>76</v>
      </c>
      <c r="K356" s="51" t="s">
        <v>77</v>
      </c>
      <c r="L356" s="44">
        <v>4.0</v>
      </c>
      <c r="M356" s="44"/>
      <c r="N356" s="44">
        <v>1.0</v>
      </c>
      <c r="O356" s="44">
        <v>0.0</v>
      </c>
      <c r="P356" s="44">
        <v>0.0</v>
      </c>
      <c r="Q356" s="113"/>
      <c r="R356" s="79">
        <v>197.0</v>
      </c>
      <c r="S356" s="56" t="str">
        <f t="shared" si="15"/>
        <v> </v>
      </c>
      <c r="T356" s="52" t="s">
        <v>78</v>
      </c>
      <c r="U356" s="57" t="s">
        <v>77</v>
      </c>
      <c r="V356" s="50" t="s">
        <v>118</v>
      </c>
      <c r="W356" s="50"/>
      <c r="X356" s="44">
        <v>0.0</v>
      </c>
      <c r="Y356" s="43" t="s">
        <v>80</v>
      </c>
      <c r="Z356" s="58" t="s">
        <v>81</v>
      </c>
      <c r="AA356" s="59" t="str">
        <f>IF(Rentabilidad=0,"No aplica",TEXT(ROUND(Precio/Rentabilidad/12,0),0) &amp; " años")</f>
        <v>No aplica</v>
      </c>
      <c r="AB356" s="195"/>
      <c r="AC356" s="61"/>
      <c r="AD356" s="62"/>
      <c r="AE356" s="63"/>
      <c r="AF356" s="64" t="s">
        <v>84</v>
      </c>
      <c r="AG356" s="63"/>
      <c r="AH356" s="65" t="s">
        <v>45</v>
      </c>
      <c r="AI356" s="63"/>
      <c r="AJ356" s="64" t="s">
        <v>1834</v>
      </c>
      <c r="AK356" s="44"/>
      <c r="AL356" s="45" t="s">
        <v>86</v>
      </c>
      <c r="AM356" s="52">
        <v>3.002675357E9</v>
      </c>
      <c r="AN356" s="45">
        <v>0.0</v>
      </c>
      <c r="AO356" s="52" t="s">
        <v>2636</v>
      </c>
      <c r="AP356" s="67">
        <v>0.0</v>
      </c>
      <c r="AQ356" s="67"/>
      <c r="AR356" s="67"/>
      <c r="AS356" s="68">
        <v>0.0</v>
      </c>
      <c r="AT356" s="44">
        <v>0.0</v>
      </c>
      <c r="AU356" s="52">
        <v>0.0</v>
      </c>
      <c r="AV356" s="52">
        <v>0.0</v>
      </c>
      <c r="AW356" s="43" t="s">
        <v>88</v>
      </c>
      <c r="AX356" s="52">
        <v>0.0</v>
      </c>
      <c r="AY356" s="52">
        <v>0.0</v>
      </c>
      <c r="AZ356" s="52">
        <v>0.0</v>
      </c>
      <c r="BA356" s="43" t="s">
        <v>89</v>
      </c>
      <c r="BB356" s="52">
        <v>0.0</v>
      </c>
      <c r="BC356" s="69" t="s">
        <v>445</v>
      </c>
      <c r="BD356" s="70"/>
      <c r="BE356" s="71"/>
      <c r="BF356" s="72"/>
      <c r="BG356" s="73"/>
      <c r="BH356" s="73"/>
      <c r="BI356" s="73"/>
      <c r="BJ356" s="73"/>
      <c r="BK356" s="73"/>
      <c r="BL356" s="73"/>
      <c r="BM356" s="73"/>
      <c r="BN356" s="73"/>
      <c r="BO356" s="73"/>
      <c r="BP356" s="73"/>
      <c r="BQ356" s="73"/>
      <c r="BR356" s="73"/>
      <c r="BS356" s="73"/>
      <c r="BT356" s="73"/>
      <c r="BU356" s="73"/>
      <c r="BV356" s="73"/>
      <c r="BW356" s="74"/>
      <c r="BX356" s="74"/>
      <c r="BY356" s="63"/>
      <c r="BZ356" s="63"/>
    </row>
    <row r="357" ht="15.75" customHeight="1">
      <c r="A357" s="41" t="s">
        <v>2637</v>
      </c>
      <c r="B357" s="50" t="s">
        <v>1744</v>
      </c>
      <c r="C357" s="50" t="s">
        <v>271</v>
      </c>
      <c r="D357" s="44" t="s">
        <v>71</v>
      </c>
      <c r="E357" s="45"/>
      <c r="F357" s="47">
        <v>1.6E9</v>
      </c>
      <c r="G357" s="44" t="str">
        <f t="shared" si="8"/>
        <v>Más de $1.000'000.000</v>
      </c>
      <c r="H357" s="44"/>
      <c r="I357" s="44"/>
      <c r="J357" s="50" t="s">
        <v>76</v>
      </c>
      <c r="K357" s="51" t="s">
        <v>77</v>
      </c>
      <c r="L357" s="44">
        <v>8.0</v>
      </c>
      <c r="M357" s="44"/>
      <c r="N357" s="44">
        <v>4.0</v>
      </c>
      <c r="O357" s="50">
        <v>2.0</v>
      </c>
      <c r="P357" s="44">
        <v>2.0</v>
      </c>
      <c r="Q357" s="113">
        <v>250.0</v>
      </c>
      <c r="R357" s="79">
        <v>180.0</v>
      </c>
      <c r="S357" s="56" t="str">
        <f t="shared" si="15"/>
        <v>Rentabilidad $1,200,000</v>
      </c>
      <c r="T357" s="52" t="s">
        <v>78</v>
      </c>
      <c r="U357" s="142" t="s">
        <v>77</v>
      </c>
      <c r="V357" s="44"/>
      <c r="W357" s="44"/>
      <c r="X357" s="44">
        <v>2.0</v>
      </c>
      <c r="Y357" s="50" t="s">
        <v>80</v>
      </c>
      <c r="Z357" s="80" t="s">
        <v>81</v>
      </c>
      <c r="AA357" s="297" t="str">
        <f>IF(Rentabilidad=0,"No aplica",TEXT(ROUND(Precio/Rentabilidad/12,0),0) &amp; " años")</f>
        <v>111 años</v>
      </c>
      <c r="AB357" s="195"/>
      <c r="AC357" s="61"/>
      <c r="AD357" s="62"/>
      <c r="AE357" s="63"/>
      <c r="AF357" s="45" t="s">
        <v>236</v>
      </c>
      <c r="AG357" s="63"/>
      <c r="AH357" s="65" t="s">
        <v>45</v>
      </c>
      <c r="AI357" s="63"/>
      <c r="AJ357" s="64" t="s">
        <v>1834</v>
      </c>
      <c r="AK357" s="44"/>
      <c r="AL357" s="45" t="s">
        <v>86</v>
      </c>
      <c r="AM357" s="52">
        <v>3.21211243E9</v>
      </c>
      <c r="AN357" s="45">
        <v>3.21211243E9</v>
      </c>
      <c r="AO357" s="52" t="s">
        <v>2638</v>
      </c>
      <c r="AP357" s="67" t="s">
        <v>2639</v>
      </c>
      <c r="AQ357" s="67"/>
      <c r="AR357" s="67"/>
      <c r="AS357" s="68">
        <v>1200000.0</v>
      </c>
      <c r="AT357" s="44">
        <v>0.0</v>
      </c>
      <c r="AU357" s="44">
        <v>0.0</v>
      </c>
      <c r="AV357" s="44">
        <v>0.0</v>
      </c>
      <c r="AW357" s="50" t="s">
        <v>88</v>
      </c>
      <c r="AX357" s="44">
        <v>0.0</v>
      </c>
      <c r="AY357" s="44" t="s">
        <v>110</v>
      </c>
      <c r="AZ357" s="44">
        <v>0.0</v>
      </c>
      <c r="BA357" s="43" t="s">
        <v>89</v>
      </c>
      <c r="BB357" s="44">
        <v>0.0</v>
      </c>
      <c r="BC357" s="127" t="s">
        <v>439</v>
      </c>
      <c r="BD357" s="156"/>
      <c r="BE357" s="156"/>
      <c r="BF357" s="157"/>
      <c r="BG357" s="73"/>
      <c r="BH357" s="73"/>
      <c r="BI357" s="73"/>
      <c r="BJ357" s="73"/>
      <c r="BK357" s="73"/>
      <c r="BL357" s="73"/>
      <c r="BM357" s="73"/>
      <c r="BN357" s="73"/>
      <c r="BO357" s="73"/>
      <c r="BP357" s="73"/>
      <c r="BQ357" s="73"/>
      <c r="BR357" s="73"/>
      <c r="BS357" s="73"/>
      <c r="BT357" s="73"/>
      <c r="BU357" s="73"/>
      <c r="BV357" s="73"/>
      <c r="BW357" s="74"/>
      <c r="BX357" s="74"/>
      <c r="BY357" s="63"/>
      <c r="BZ357" s="63"/>
    </row>
    <row r="358" ht="15.75" customHeight="1">
      <c r="A358" s="120" t="s">
        <v>2640</v>
      </c>
      <c r="B358" s="43" t="s">
        <v>1921</v>
      </c>
      <c r="C358" s="43" t="s">
        <v>1228</v>
      </c>
      <c r="D358" s="44" t="s">
        <v>71</v>
      </c>
      <c r="E358" s="77" t="s">
        <v>376</v>
      </c>
      <c r="F358" s="47">
        <v>1.512E9</v>
      </c>
      <c r="G358" s="44" t="str">
        <f t="shared" si="8"/>
        <v>Más de $1.000'000.000</v>
      </c>
      <c r="H358" s="44"/>
      <c r="I358" s="44"/>
      <c r="J358" s="43" t="s">
        <v>76</v>
      </c>
      <c r="K358" s="51" t="s">
        <v>77</v>
      </c>
      <c r="L358" s="52">
        <v>6.0</v>
      </c>
      <c r="M358" s="52"/>
      <c r="N358" s="52">
        <v>4.0</v>
      </c>
      <c r="O358" s="52">
        <v>0.0</v>
      </c>
      <c r="P358" s="52">
        <v>1.0</v>
      </c>
      <c r="Q358" s="54">
        <v>400.0</v>
      </c>
      <c r="R358" s="55">
        <v>756.0</v>
      </c>
      <c r="S358" s="56" t="str">
        <f t="shared" si="15"/>
        <v> </v>
      </c>
      <c r="T358" s="52" t="s">
        <v>78</v>
      </c>
      <c r="U358" s="142" t="s">
        <v>184</v>
      </c>
      <c r="V358" s="43" t="s">
        <v>79</v>
      </c>
      <c r="W358" s="43"/>
      <c r="X358" s="52">
        <v>0.0</v>
      </c>
      <c r="Y358" s="43" t="s">
        <v>80</v>
      </c>
      <c r="Z358" s="58" t="s">
        <v>81</v>
      </c>
      <c r="AA358" s="59" t="str">
        <f>IF(Rentabilidad=0,"No aplica",TEXT(ROUND(Precio/Rentabilidad/12,0),0) &amp; " años")</f>
        <v>No aplica</v>
      </c>
      <c r="AB358" s="46"/>
      <c r="AC358" s="61"/>
      <c r="AD358" s="62"/>
      <c r="AE358" s="63"/>
      <c r="AF358" s="64" t="s">
        <v>84</v>
      </c>
      <c r="AG358" s="63"/>
      <c r="AH358" s="65" t="s">
        <v>45</v>
      </c>
      <c r="AI358" s="63"/>
      <c r="AJ358" s="64" t="s">
        <v>1834</v>
      </c>
      <c r="AK358" s="63"/>
      <c r="AL358" s="45" t="s">
        <v>86</v>
      </c>
      <c r="AM358" s="52">
        <v>3.174664016E9</v>
      </c>
      <c r="AN358" s="45">
        <v>0.0</v>
      </c>
      <c r="AO358" s="52" t="s">
        <v>2641</v>
      </c>
      <c r="AP358" s="67" t="s">
        <v>2642</v>
      </c>
      <c r="AQ358" s="67"/>
      <c r="AR358" s="67"/>
      <c r="AS358" s="135">
        <v>0.0</v>
      </c>
      <c r="AT358" s="44">
        <v>0.0</v>
      </c>
      <c r="AU358" s="52">
        <v>0.0</v>
      </c>
      <c r="AV358" s="52">
        <v>0.0</v>
      </c>
      <c r="AW358" s="43" t="s">
        <v>88</v>
      </c>
      <c r="AX358" s="52">
        <v>0.0</v>
      </c>
      <c r="AY358" s="52" t="s">
        <v>110</v>
      </c>
      <c r="AZ358" s="52">
        <v>16.0</v>
      </c>
      <c r="BA358" s="43" t="s">
        <v>89</v>
      </c>
      <c r="BB358" s="52">
        <v>47.0</v>
      </c>
      <c r="BC358" s="109"/>
      <c r="BD358" s="70"/>
      <c r="BE358" s="71"/>
      <c r="BF358" s="130"/>
      <c r="BG358" s="73"/>
      <c r="BH358" s="73"/>
      <c r="BI358" s="73"/>
      <c r="BJ358" s="73"/>
      <c r="BK358" s="73"/>
      <c r="BL358" s="73"/>
      <c r="BM358" s="73"/>
      <c r="BN358" s="73"/>
      <c r="BO358" s="73"/>
      <c r="BP358" s="73"/>
      <c r="BQ358" s="73"/>
      <c r="BR358" s="73"/>
      <c r="BS358" s="73"/>
      <c r="BT358" s="73"/>
      <c r="BU358" s="73"/>
      <c r="BV358" s="73"/>
      <c r="BW358" s="74"/>
      <c r="BX358" s="74"/>
      <c r="BY358" s="63"/>
      <c r="BZ358" s="63"/>
    </row>
    <row r="359" ht="15.75" customHeight="1">
      <c r="A359" s="75" t="s">
        <v>2643</v>
      </c>
      <c r="B359" s="50" t="s">
        <v>69</v>
      </c>
      <c r="C359" s="50" t="s">
        <v>70</v>
      </c>
      <c r="D359" s="44" t="s">
        <v>71</v>
      </c>
      <c r="E359" s="77" t="s">
        <v>376</v>
      </c>
      <c r="F359" s="78">
        <v>1.45E9</v>
      </c>
      <c r="G359" s="44" t="str">
        <f t="shared" si="8"/>
        <v>Más de $1.000'000.000</v>
      </c>
      <c r="H359" s="44"/>
      <c r="I359" s="44"/>
      <c r="J359" s="50" t="s">
        <v>76</v>
      </c>
      <c r="K359" s="51" t="s">
        <v>77</v>
      </c>
      <c r="L359" s="44">
        <v>4.0</v>
      </c>
      <c r="M359" s="44"/>
      <c r="N359" s="44">
        <v>2.0</v>
      </c>
      <c r="O359" s="44">
        <v>0.0</v>
      </c>
      <c r="P359" s="44">
        <v>1.0</v>
      </c>
      <c r="Q359" s="54">
        <v>120.0</v>
      </c>
      <c r="R359" s="55">
        <v>532.0</v>
      </c>
      <c r="S359" s="56" t="str">
        <f t="shared" si="15"/>
        <v> </v>
      </c>
      <c r="T359" s="52" t="s">
        <v>78</v>
      </c>
      <c r="U359" s="57" t="s">
        <v>77</v>
      </c>
      <c r="V359" s="50" t="s">
        <v>79</v>
      </c>
      <c r="W359" s="50"/>
      <c r="X359" s="44">
        <v>4.0</v>
      </c>
      <c r="Y359" s="50" t="s">
        <v>80</v>
      </c>
      <c r="Z359" s="58" t="s">
        <v>81</v>
      </c>
      <c r="AA359" s="59" t="str">
        <f>IF(Rentabilidad=0,"No aplica",TEXT(ROUND(Precio/Rentabilidad/12,0),0) &amp; " años")</f>
        <v>No aplica</v>
      </c>
      <c r="AB359" s="195"/>
      <c r="AC359" s="61"/>
      <c r="AD359" s="62"/>
      <c r="AE359" s="63"/>
      <c r="AF359" s="64" t="s">
        <v>84</v>
      </c>
      <c r="AG359" s="63"/>
      <c r="AH359" s="65" t="s">
        <v>45</v>
      </c>
      <c r="AI359" s="63"/>
      <c r="AJ359" s="64" t="s">
        <v>1834</v>
      </c>
      <c r="AK359" s="44"/>
      <c r="AL359" s="45" t="s">
        <v>86</v>
      </c>
      <c r="AM359" s="44" t="s">
        <v>2644</v>
      </c>
      <c r="AN359" s="45">
        <v>0.0</v>
      </c>
      <c r="AO359" s="43" t="s">
        <v>2645</v>
      </c>
      <c r="AP359" s="67">
        <v>0.0</v>
      </c>
      <c r="AQ359" s="67"/>
      <c r="AR359" s="67"/>
      <c r="AS359" s="68">
        <v>0.0</v>
      </c>
      <c r="AT359" s="44">
        <v>0.0</v>
      </c>
      <c r="AU359" s="44">
        <v>0.0</v>
      </c>
      <c r="AV359" s="44">
        <v>0.0</v>
      </c>
      <c r="AW359" s="50" t="s">
        <v>88</v>
      </c>
      <c r="AX359" s="44">
        <v>0.0</v>
      </c>
      <c r="AY359" s="44">
        <v>0.0</v>
      </c>
      <c r="AZ359" s="44">
        <v>0.0</v>
      </c>
      <c r="BA359" s="43" t="s">
        <v>89</v>
      </c>
      <c r="BB359" s="44">
        <v>0.0</v>
      </c>
      <c r="BC359" s="109"/>
      <c r="BD359" s="70"/>
      <c r="BE359" s="70"/>
      <c r="BF359" s="72"/>
      <c r="BG359" s="73"/>
      <c r="BH359" s="73"/>
      <c r="BI359" s="73"/>
      <c r="BJ359" s="73"/>
      <c r="BK359" s="73"/>
      <c r="BL359" s="73"/>
      <c r="BM359" s="73"/>
      <c r="BN359" s="73"/>
      <c r="BO359" s="73"/>
      <c r="BP359" s="73"/>
      <c r="BQ359" s="73"/>
      <c r="BR359" s="73"/>
      <c r="BS359" s="73"/>
      <c r="BT359" s="73"/>
      <c r="BU359" s="73"/>
      <c r="BV359" s="73"/>
      <c r="BW359" s="74"/>
      <c r="BX359" s="74"/>
      <c r="BY359" s="63"/>
      <c r="BZ359" s="63"/>
    </row>
    <row r="360" ht="15.75" customHeight="1">
      <c r="A360" s="120" t="s">
        <v>2646</v>
      </c>
      <c r="B360" s="50" t="s">
        <v>2647</v>
      </c>
      <c r="C360" s="50" t="s">
        <v>271</v>
      </c>
      <c r="D360" s="44" t="s">
        <v>71</v>
      </c>
      <c r="E360" s="45"/>
      <c r="F360" s="47">
        <v>1.198E9</v>
      </c>
      <c r="G360" s="44" t="str">
        <f t="shared" si="8"/>
        <v>Más de $1.000'000.000</v>
      </c>
      <c r="H360" s="44"/>
      <c r="I360" s="44"/>
      <c r="J360" s="43" t="s">
        <v>76</v>
      </c>
      <c r="K360" s="51" t="s">
        <v>77</v>
      </c>
      <c r="L360" s="52">
        <v>4.0</v>
      </c>
      <c r="M360" s="52"/>
      <c r="N360" s="52">
        <v>2.0</v>
      </c>
      <c r="O360" s="52">
        <v>4.0</v>
      </c>
      <c r="P360" s="52">
        <v>3.0</v>
      </c>
      <c r="Q360" s="113">
        <v>492.0</v>
      </c>
      <c r="R360" s="79">
        <v>210.0</v>
      </c>
      <c r="S360" s="56" t="str">
        <f t="shared" si="15"/>
        <v> </v>
      </c>
      <c r="T360" s="52" t="s">
        <v>78</v>
      </c>
      <c r="U360" s="142" t="s">
        <v>77</v>
      </c>
      <c r="V360" s="43" t="s">
        <v>79</v>
      </c>
      <c r="W360" s="43"/>
      <c r="X360" s="52">
        <v>0.0</v>
      </c>
      <c r="Y360" s="43" t="s">
        <v>80</v>
      </c>
      <c r="Z360" s="80" t="s">
        <v>81</v>
      </c>
      <c r="AA360" s="59" t="str">
        <f>IF(Rentabilidad=0,"No aplica",TEXT(ROUND(Precio/Rentabilidad/12,0),0) &amp; " años")</f>
        <v>No aplica</v>
      </c>
      <c r="AB360" s="60"/>
      <c r="AC360" s="61"/>
      <c r="AD360" s="62"/>
      <c r="AE360" s="63"/>
      <c r="AF360" s="45" t="s">
        <v>236</v>
      </c>
      <c r="AG360" s="63"/>
      <c r="AH360" s="65" t="s">
        <v>45</v>
      </c>
      <c r="AI360" s="63"/>
      <c r="AJ360" s="64" t="s">
        <v>1834</v>
      </c>
      <c r="AK360" s="44"/>
      <c r="AL360" s="45" t="s">
        <v>86</v>
      </c>
      <c r="AM360" s="52" t="s">
        <v>2648</v>
      </c>
      <c r="AN360" s="45">
        <v>0.0</v>
      </c>
      <c r="AO360" s="52"/>
      <c r="AP360" s="67" t="s">
        <v>2649</v>
      </c>
      <c r="AQ360" s="67"/>
      <c r="AR360" s="67"/>
      <c r="AS360" s="135">
        <v>0.0</v>
      </c>
      <c r="AT360" s="52">
        <v>0.0</v>
      </c>
      <c r="AU360" s="52">
        <v>0.0</v>
      </c>
      <c r="AV360" s="52">
        <v>4.0</v>
      </c>
      <c r="AW360" s="43" t="s">
        <v>88</v>
      </c>
      <c r="AX360" s="52">
        <v>0.0</v>
      </c>
      <c r="AY360" s="52">
        <v>0.0</v>
      </c>
      <c r="AZ360" s="52">
        <v>0.0</v>
      </c>
      <c r="BA360" s="43" t="s">
        <v>89</v>
      </c>
      <c r="BB360" s="52">
        <v>0.0</v>
      </c>
      <c r="BC360" s="109"/>
      <c r="BD360" s="70"/>
      <c r="BE360" s="71"/>
      <c r="BF360" s="72"/>
      <c r="BG360" s="73"/>
      <c r="BH360" s="73"/>
      <c r="BI360" s="73"/>
      <c r="BJ360" s="73"/>
      <c r="BK360" s="73"/>
      <c r="BL360" s="73"/>
      <c r="BM360" s="73"/>
      <c r="BN360" s="73"/>
      <c r="BO360" s="73"/>
      <c r="BP360" s="73"/>
      <c r="BQ360" s="73"/>
      <c r="BR360" s="73"/>
      <c r="BS360" s="73"/>
      <c r="BT360" s="73"/>
      <c r="BU360" s="73"/>
      <c r="BV360" s="73"/>
      <c r="BW360" s="74"/>
      <c r="BX360" s="74"/>
      <c r="BY360" s="63"/>
      <c r="BZ360" s="63"/>
    </row>
    <row r="361" ht="15.75" customHeight="1">
      <c r="A361" s="41" t="s">
        <v>2650</v>
      </c>
      <c r="B361" s="50" t="s">
        <v>2651</v>
      </c>
      <c r="C361" s="50" t="s">
        <v>1228</v>
      </c>
      <c r="D361" s="63" t="s">
        <v>155</v>
      </c>
      <c r="E361" s="45"/>
      <c r="F361" s="47">
        <v>1.0E9</v>
      </c>
      <c r="G361" s="44" t="str">
        <f t="shared" si="8"/>
        <v>Más de $1.000'000.000</v>
      </c>
      <c r="H361" s="44"/>
      <c r="I361" s="44"/>
      <c r="J361" s="50" t="s">
        <v>76</v>
      </c>
      <c r="K361" s="51" t="s">
        <v>77</v>
      </c>
      <c r="L361" s="44">
        <v>0.0</v>
      </c>
      <c r="M361" s="44"/>
      <c r="N361" s="44">
        <v>0.0</v>
      </c>
      <c r="O361" s="44">
        <v>0.0</v>
      </c>
      <c r="P361" s="44">
        <v>1.0</v>
      </c>
      <c r="Q361" s="113">
        <v>458.0</v>
      </c>
      <c r="R361" s="79">
        <v>458.0</v>
      </c>
      <c r="S361" s="56" t="str">
        <f t="shared" si="15"/>
        <v> </v>
      </c>
      <c r="T361" s="44" t="s">
        <v>78</v>
      </c>
      <c r="U361" s="57" t="s">
        <v>184</v>
      </c>
      <c r="V361" s="50" t="s">
        <v>79</v>
      </c>
      <c r="W361" s="50"/>
      <c r="X361" s="44">
        <v>0.0</v>
      </c>
      <c r="Y361" s="50" t="s">
        <v>80</v>
      </c>
      <c r="Z361" s="58" t="s">
        <v>81</v>
      </c>
      <c r="AA361" s="59" t="str">
        <f>IF(Rentabilidad=0,"No aplica",TEXT(ROUND(Precio/Rentabilidad/12,0),0) &amp; " años")</f>
        <v>No aplica</v>
      </c>
      <c r="AB361" s="195"/>
      <c r="AC361" s="61"/>
      <c r="AD361" s="62"/>
      <c r="AE361" s="63"/>
      <c r="AF361" s="45" t="s">
        <v>96</v>
      </c>
      <c r="AG361" s="63"/>
      <c r="AH361" s="65" t="s">
        <v>45</v>
      </c>
      <c r="AI361" s="63"/>
      <c r="AJ361" s="64" t="s">
        <v>1834</v>
      </c>
      <c r="AK361" s="44"/>
      <c r="AL361" s="45" t="s">
        <v>86</v>
      </c>
      <c r="AM361" s="52">
        <v>3.138315786E9</v>
      </c>
      <c r="AN361" s="45">
        <v>3.165449349E9</v>
      </c>
      <c r="AO361" s="52" t="s">
        <v>2652</v>
      </c>
      <c r="AP361" s="67" t="s">
        <v>2653</v>
      </c>
      <c r="AQ361" s="67"/>
      <c r="AR361" s="67"/>
      <c r="AS361" s="68">
        <v>0.0</v>
      </c>
      <c r="AT361" s="44">
        <v>0.0</v>
      </c>
      <c r="AU361" s="52">
        <v>0.0</v>
      </c>
      <c r="AV361" s="52">
        <v>0.0</v>
      </c>
      <c r="AW361" s="43" t="s">
        <v>88</v>
      </c>
      <c r="AX361" s="52">
        <v>0.0</v>
      </c>
      <c r="AY361" s="52">
        <v>0.0</v>
      </c>
      <c r="AZ361" s="44">
        <v>12.0</v>
      </c>
      <c r="BA361" s="43" t="s">
        <v>89</v>
      </c>
      <c r="BB361" s="44">
        <v>38.0</v>
      </c>
      <c r="BC361" s="69" t="s">
        <v>660</v>
      </c>
      <c r="BD361" s="70"/>
      <c r="BE361" s="71"/>
      <c r="BF361" s="72"/>
      <c r="BG361" s="73"/>
      <c r="BH361" s="73"/>
      <c r="BI361" s="73"/>
      <c r="BJ361" s="73"/>
      <c r="BK361" s="73"/>
      <c r="BL361" s="73"/>
      <c r="BM361" s="73"/>
      <c r="BN361" s="73"/>
      <c r="BO361" s="73"/>
      <c r="BP361" s="73"/>
      <c r="BQ361" s="73"/>
      <c r="BR361" s="73"/>
      <c r="BS361" s="73"/>
      <c r="BT361" s="73"/>
      <c r="BU361" s="73"/>
      <c r="BV361" s="73"/>
      <c r="BW361" s="74"/>
      <c r="BX361" s="74"/>
      <c r="BY361" s="63"/>
      <c r="BZ361" s="63"/>
    </row>
    <row r="362" ht="15.75" customHeight="1">
      <c r="A362" s="41" t="s">
        <v>2654</v>
      </c>
      <c r="B362" s="50" t="s">
        <v>2655</v>
      </c>
      <c r="C362" s="50" t="s">
        <v>271</v>
      </c>
      <c r="D362" s="44" t="s">
        <v>71</v>
      </c>
      <c r="E362" s="64"/>
      <c r="F362" s="47">
        <v>1.0E9</v>
      </c>
      <c r="G362" s="44" t="str">
        <f t="shared" si="8"/>
        <v>Más de $1.000'000.000</v>
      </c>
      <c r="H362" s="44"/>
      <c r="I362" s="44"/>
      <c r="J362" s="43" t="s">
        <v>76</v>
      </c>
      <c r="K362" s="51" t="s">
        <v>77</v>
      </c>
      <c r="L362" s="44">
        <v>7.0</v>
      </c>
      <c r="M362" s="44"/>
      <c r="N362" s="44">
        <v>3.0</v>
      </c>
      <c r="O362" s="43">
        <v>1.0</v>
      </c>
      <c r="P362" s="52">
        <v>1.0</v>
      </c>
      <c r="Q362" s="54"/>
      <c r="R362" s="55">
        <v>900.0</v>
      </c>
      <c r="S362" s="56" t="str">
        <f t="shared" si="15"/>
        <v>Rentabilidad $2,000,000</v>
      </c>
      <c r="T362" s="44" t="s">
        <v>78</v>
      </c>
      <c r="U362" s="142" t="s">
        <v>142</v>
      </c>
      <c r="V362" s="43" t="s">
        <v>79</v>
      </c>
      <c r="W362" s="43"/>
      <c r="X362" s="44">
        <v>4.0</v>
      </c>
      <c r="Y362" s="43" t="s">
        <v>80</v>
      </c>
      <c r="Z362" s="80" t="s">
        <v>81</v>
      </c>
      <c r="AA362" s="59" t="str">
        <f>IF(Rentabilidad=0,"No aplica",TEXT(ROUND(Precio/Rentabilidad/12,0),0) &amp; " años")</f>
        <v>42 años</v>
      </c>
      <c r="AB362" s="60"/>
      <c r="AC362" s="61"/>
      <c r="AD362" s="62"/>
      <c r="AE362" s="63"/>
      <c r="AF362" s="64" t="s">
        <v>236</v>
      </c>
      <c r="AG362" s="63"/>
      <c r="AH362" s="65" t="s">
        <v>45</v>
      </c>
      <c r="AI362" s="63"/>
      <c r="AJ362" s="64" t="s">
        <v>1834</v>
      </c>
      <c r="AK362" s="44"/>
      <c r="AL362" s="45" t="s">
        <v>2656</v>
      </c>
      <c r="AM362" s="52">
        <v>6.088746409E9</v>
      </c>
      <c r="AN362" s="45">
        <v>0.0</v>
      </c>
      <c r="AO362" s="52" t="s">
        <v>2657</v>
      </c>
      <c r="AP362" s="67" t="s">
        <v>2658</v>
      </c>
      <c r="AQ362" s="67"/>
      <c r="AR362" s="67"/>
      <c r="AS362" s="135">
        <v>2000000.0</v>
      </c>
      <c r="AT362" s="63">
        <v>0.0</v>
      </c>
      <c r="AU362" s="52">
        <v>0.0</v>
      </c>
      <c r="AV362" s="52">
        <v>0.0</v>
      </c>
      <c r="AW362" s="43" t="s">
        <v>88</v>
      </c>
      <c r="AX362" s="52">
        <v>0.0</v>
      </c>
      <c r="AY362" s="52">
        <v>0.0</v>
      </c>
      <c r="AZ362" s="52">
        <v>0.0</v>
      </c>
      <c r="BA362" s="43" t="s">
        <v>89</v>
      </c>
      <c r="BB362" s="52">
        <v>0.0</v>
      </c>
      <c r="BC362" s="109"/>
      <c r="BD362" s="70"/>
      <c r="BE362" s="71"/>
      <c r="BF362" s="130"/>
      <c r="BG362" s="73"/>
      <c r="BH362" s="73"/>
      <c r="BI362" s="73"/>
      <c r="BJ362" s="73"/>
      <c r="BK362" s="73"/>
      <c r="BL362" s="73"/>
      <c r="BM362" s="73"/>
      <c r="BN362" s="73"/>
      <c r="BO362" s="73"/>
      <c r="BP362" s="73"/>
      <c r="BQ362" s="73"/>
      <c r="BR362" s="73"/>
      <c r="BS362" s="73"/>
      <c r="BT362" s="73"/>
      <c r="BU362" s="73"/>
      <c r="BV362" s="73"/>
      <c r="BW362" s="74"/>
      <c r="BX362" s="74"/>
      <c r="BY362" s="63"/>
      <c r="BZ362" s="63"/>
    </row>
    <row r="363" ht="15.75" customHeight="1">
      <c r="A363" s="75" t="s">
        <v>2659</v>
      </c>
      <c r="B363" s="50" t="s">
        <v>2660</v>
      </c>
      <c r="C363" s="50" t="s">
        <v>271</v>
      </c>
      <c r="D363" s="44" t="s">
        <v>11</v>
      </c>
      <c r="E363" s="77" t="s">
        <v>376</v>
      </c>
      <c r="F363" s="78">
        <v>9.5E8</v>
      </c>
      <c r="G363" s="44" t="str">
        <f t="shared" si="8"/>
        <v>$500'000.000 a $1.000'000.000</v>
      </c>
      <c r="H363" s="44"/>
      <c r="I363" s="44"/>
      <c r="J363" s="50" t="s">
        <v>183</v>
      </c>
      <c r="K363" s="51" t="s">
        <v>184</v>
      </c>
      <c r="L363" s="52">
        <v>3.0</v>
      </c>
      <c r="M363" s="52"/>
      <c r="N363" s="52">
        <v>3.0</v>
      </c>
      <c r="O363" s="43">
        <v>1.0</v>
      </c>
      <c r="P363" s="44">
        <v>2.0</v>
      </c>
      <c r="Q363" s="113">
        <v>360.0</v>
      </c>
      <c r="R363" s="55">
        <v>190.0</v>
      </c>
      <c r="S363" s="56" t="str">
        <f t="shared" si="15"/>
        <v>Rentabilidad $6,000,000</v>
      </c>
      <c r="T363" s="52" t="s">
        <v>78</v>
      </c>
      <c r="U363" s="57" t="s">
        <v>184</v>
      </c>
      <c r="V363" s="43" t="s">
        <v>79</v>
      </c>
      <c r="W363" s="43"/>
      <c r="X363" s="52">
        <v>0.0</v>
      </c>
      <c r="Y363" s="94" t="s">
        <v>80</v>
      </c>
      <c r="Z363" s="80" t="s">
        <v>81</v>
      </c>
      <c r="AA363" s="59" t="str">
        <f>IF(Rentabilidad=0,"No aplica",TEXT(ROUND(Precio/Rentabilidad/12,0),0) &amp; " años")</f>
        <v>13 años</v>
      </c>
      <c r="AB363" s="60"/>
      <c r="AC363" s="61"/>
      <c r="AD363" s="62"/>
      <c r="AE363" s="63"/>
      <c r="AF363" s="64" t="s">
        <v>236</v>
      </c>
      <c r="AG363" s="63"/>
      <c r="AH363" s="65" t="s">
        <v>45</v>
      </c>
      <c r="AI363" s="63"/>
      <c r="AJ363" s="64" t="s">
        <v>1834</v>
      </c>
      <c r="AK363" s="44"/>
      <c r="AL363" s="45" t="s">
        <v>2661</v>
      </c>
      <c r="AM363" s="52">
        <v>3.182141803E9</v>
      </c>
      <c r="AN363" s="45">
        <v>3.123787119E9</v>
      </c>
      <c r="AO363" s="52" t="s">
        <v>2662</v>
      </c>
      <c r="AP363" s="67" t="s">
        <v>2663</v>
      </c>
      <c r="AQ363" s="67"/>
      <c r="AR363" s="67"/>
      <c r="AS363" s="68">
        <v>6000000.0</v>
      </c>
      <c r="AT363" s="44">
        <v>0.0</v>
      </c>
      <c r="AU363" s="52">
        <v>0.0</v>
      </c>
      <c r="AV363" s="52">
        <v>0.0</v>
      </c>
      <c r="AW363" s="43" t="s">
        <v>88</v>
      </c>
      <c r="AX363" s="52">
        <v>0.0</v>
      </c>
      <c r="AY363" s="52">
        <v>0.0</v>
      </c>
      <c r="AZ363" s="44">
        <v>9.5</v>
      </c>
      <c r="BA363" s="43" t="s">
        <v>89</v>
      </c>
      <c r="BB363" s="44">
        <v>20.0</v>
      </c>
      <c r="BC363" s="69" t="s">
        <v>2664</v>
      </c>
      <c r="BD363" s="70"/>
      <c r="BE363" s="71"/>
      <c r="BF363" s="72"/>
      <c r="BG363" s="73"/>
      <c r="BH363" s="73"/>
      <c r="BI363" s="73"/>
      <c r="BJ363" s="73"/>
      <c r="BK363" s="73"/>
      <c r="BL363" s="73"/>
      <c r="BM363" s="73"/>
      <c r="BN363" s="73"/>
      <c r="BO363" s="73"/>
      <c r="BP363" s="73"/>
      <c r="BQ363" s="73"/>
      <c r="BR363" s="73"/>
      <c r="BS363" s="73"/>
      <c r="BT363" s="73"/>
      <c r="BU363" s="73"/>
      <c r="BV363" s="73"/>
      <c r="BW363" s="74"/>
      <c r="BX363" s="74"/>
      <c r="BY363" s="63"/>
      <c r="BZ363" s="63"/>
    </row>
    <row r="364" ht="15.75" customHeight="1">
      <c r="A364" s="133" t="s">
        <v>2665</v>
      </c>
      <c r="B364" s="43" t="s">
        <v>1921</v>
      </c>
      <c r="C364" s="43" t="s">
        <v>1228</v>
      </c>
      <c r="D364" s="44" t="s">
        <v>71</v>
      </c>
      <c r="E364" s="77" t="s">
        <v>376</v>
      </c>
      <c r="F364" s="47">
        <v>9.5E8</v>
      </c>
      <c r="G364" s="44" t="str">
        <f t="shared" si="8"/>
        <v>$500'000.000 a $1.000'000.000</v>
      </c>
      <c r="H364" s="44"/>
      <c r="I364" s="44"/>
      <c r="J364" s="43" t="s">
        <v>76</v>
      </c>
      <c r="K364" s="51" t="s">
        <v>77</v>
      </c>
      <c r="L364" s="43">
        <v>0.0</v>
      </c>
      <c r="M364" s="43"/>
      <c r="N364" s="43">
        <v>0.0</v>
      </c>
      <c r="O364" s="43">
        <v>0.0</v>
      </c>
      <c r="P364" s="52">
        <v>1.0</v>
      </c>
      <c r="Q364" s="54">
        <v>443.0</v>
      </c>
      <c r="R364" s="55">
        <v>443.0</v>
      </c>
      <c r="S364" s="56" t="str">
        <f t="shared" si="15"/>
        <v> </v>
      </c>
      <c r="T364" s="52" t="s">
        <v>78</v>
      </c>
      <c r="U364" s="142" t="s">
        <v>77</v>
      </c>
      <c r="V364" s="43" t="s">
        <v>79</v>
      </c>
      <c r="W364" s="43"/>
      <c r="X364" s="52" t="s">
        <v>88</v>
      </c>
      <c r="Y364" s="43" t="s">
        <v>80</v>
      </c>
      <c r="Z364" s="80" t="s">
        <v>81</v>
      </c>
      <c r="AA364" s="59" t="str">
        <f>IF(Rentabilidad=0,"No aplica",TEXT(ROUND(Precio/Rentabilidad/12,0),0) &amp; " años")</f>
        <v>No aplica</v>
      </c>
      <c r="AB364" s="60"/>
      <c r="AC364" s="61"/>
      <c r="AD364" s="62"/>
      <c r="AE364" s="63"/>
      <c r="AF364" s="45" t="s">
        <v>2666</v>
      </c>
      <c r="AG364" s="63"/>
      <c r="AH364" s="65" t="s">
        <v>45</v>
      </c>
      <c r="AI364" s="63"/>
      <c r="AJ364" s="64" t="s">
        <v>1834</v>
      </c>
      <c r="AK364" s="44"/>
      <c r="AL364" s="45" t="s">
        <v>86</v>
      </c>
      <c r="AM364" s="52">
        <v>3.222823167E9</v>
      </c>
      <c r="AN364" s="45">
        <v>0.0</v>
      </c>
      <c r="AO364" s="52" t="s">
        <v>2667</v>
      </c>
      <c r="AP364" s="67" t="s">
        <v>2668</v>
      </c>
      <c r="AQ364" s="67"/>
      <c r="AR364" s="67"/>
      <c r="AS364" s="94">
        <v>0.0</v>
      </c>
      <c r="AT364" s="63">
        <v>0.0</v>
      </c>
      <c r="AU364" s="52">
        <v>0.0</v>
      </c>
      <c r="AV364" s="52">
        <v>0.0</v>
      </c>
      <c r="AW364" s="43" t="s">
        <v>88</v>
      </c>
      <c r="AX364" s="52">
        <v>0.0</v>
      </c>
      <c r="AY364" s="52">
        <v>0.0</v>
      </c>
      <c r="AZ364" s="52">
        <v>23.0</v>
      </c>
      <c r="BA364" s="43" t="s">
        <v>89</v>
      </c>
      <c r="BB364" s="52">
        <v>28.1</v>
      </c>
      <c r="BC364" s="69" t="s">
        <v>439</v>
      </c>
      <c r="BD364" s="70"/>
      <c r="BE364" s="71"/>
      <c r="BF364" s="130"/>
      <c r="BG364" s="73"/>
      <c r="BH364" s="73"/>
      <c r="BI364" s="73"/>
      <c r="BJ364" s="73"/>
      <c r="BK364" s="73"/>
      <c r="BL364" s="73"/>
      <c r="BM364" s="73"/>
      <c r="BN364" s="73"/>
      <c r="BO364" s="73"/>
      <c r="BP364" s="73"/>
      <c r="BQ364" s="73"/>
      <c r="BR364" s="73"/>
      <c r="BS364" s="73"/>
      <c r="BT364" s="73"/>
      <c r="BU364" s="73"/>
      <c r="BV364" s="73"/>
      <c r="BW364" s="74"/>
      <c r="BX364" s="74"/>
      <c r="BY364" s="63"/>
      <c r="BZ364" s="63"/>
    </row>
    <row r="365" ht="15.75" customHeight="1">
      <c r="A365" s="133" t="s">
        <v>2669</v>
      </c>
      <c r="B365" s="43" t="s">
        <v>69</v>
      </c>
      <c r="C365" s="43" t="s">
        <v>70</v>
      </c>
      <c r="D365" s="44" t="s">
        <v>71</v>
      </c>
      <c r="E365" s="77" t="s">
        <v>376</v>
      </c>
      <c r="F365" s="47">
        <v>8.8E8</v>
      </c>
      <c r="G365" s="44" t="str">
        <f t="shared" si="8"/>
        <v>$500'000.000 a $1.000'000.000</v>
      </c>
      <c r="H365" s="44"/>
      <c r="I365" s="44"/>
      <c r="J365" s="43" t="s">
        <v>76</v>
      </c>
      <c r="K365" s="51" t="s">
        <v>77</v>
      </c>
      <c r="L365" s="52">
        <v>9.0</v>
      </c>
      <c r="M365" s="52"/>
      <c r="N365" s="52">
        <v>2.0</v>
      </c>
      <c r="O365" s="43">
        <v>10.0</v>
      </c>
      <c r="P365" s="52">
        <v>1.0</v>
      </c>
      <c r="Q365" s="54"/>
      <c r="R365" s="55">
        <v>409.0</v>
      </c>
      <c r="S365" s="56" t="str">
        <f t="shared" si="15"/>
        <v>Rentabilidad $2,000,000</v>
      </c>
      <c r="T365" s="52" t="s">
        <v>78</v>
      </c>
      <c r="U365" s="142" t="s">
        <v>184</v>
      </c>
      <c r="V365" s="43" t="s">
        <v>79</v>
      </c>
      <c r="W365" s="43"/>
      <c r="X365" s="52">
        <v>0.0</v>
      </c>
      <c r="Y365" s="43" t="s">
        <v>80</v>
      </c>
      <c r="Z365" s="58" t="s">
        <v>81</v>
      </c>
      <c r="AA365" s="59" t="str">
        <f>IF(Rentabilidad=0,"No aplica",TEXT(ROUND(Precio/Rentabilidad/12,0),0) &amp; " años")</f>
        <v>37 años</v>
      </c>
      <c r="AB365" s="60"/>
      <c r="AC365" s="131" t="s">
        <v>2670</v>
      </c>
      <c r="AD365" s="62"/>
      <c r="AE365" s="63"/>
      <c r="AF365" s="64" t="s">
        <v>84</v>
      </c>
      <c r="AG365" s="63"/>
      <c r="AH365" s="65" t="s">
        <v>45</v>
      </c>
      <c r="AI365" s="63"/>
      <c r="AJ365" s="64" t="s">
        <v>1834</v>
      </c>
      <c r="AK365" s="44"/>
      <c r="AL365" s="45" t="s">
        <v>86</v>
      </c>
      <c r="AM365" s="52">
        <v>3.163989812E9</v>
      </c>
      <c r="AN365" s="45">
        <v>3.186135992E9</v>
      </c>
      <c r="AO365" s="52" t="s">
        <v>2671</v>
      </c>
      <c r="AP365" s="67" t="s">
        <v>2672</v>
      </c>
      <c r="AQ365" s="67"/>
      <c r="AR365" s="67"/>
      <c r="AS365" s="135">
        <v>2000000.0</v>
      </c>
      <c r="AT365" s="44">
        <v>0.0</v>
      </c>
      <c r="AU365" s="52">
        <v>0.0</v>
      </c>
      <c r="AV365" s="52">
        <v>0.0</v>
      </c>
      <c r="AW365" s="43" t="s">
        <v>88</v>
      </c>
      <c r="AX365" s="52">
        <v>0.0</v>
      </c>
      <c r="AY365" s="52">
        <v>0.0</v>
      </c>
      <c r="AZ365" s="52">
        <v>0.0</v>
      </c>
      <c r="BA365" s="43" t="s">
        <v>89</v>
      </c>
      <c r="BB365" s="52">
        <v>0.0</v>
      </c>
      <c r="BC365" s="69" t="s">
        <v>805</v>
      </c>
      <c r="BD365" s="70"/>
      <c r="BE365" s="71"/>
      <c r="BF365" s="72"/>
      <c r="BG365" s="73"/>
      <c r="BH365" s="73"/>
      <c r="BI365" s="73"/>
      <c r="BJ365" s="73"/>
      <c r="BK365" s="73"/>
      <c r="BL365" s="73"/>
      <c r="BM365" s="73"/>
      <c r="BN365" s="73"/>
      <c r="BO365" s="73"/>
      <c r="BP365" s="73"/>
      <c r="BQ365" s="73"/>
      <c r="BR365" s="73"/>
      <c r="BS365" s="73"/>
      <c r="BT365" s="73"/>
      <c r="BU365" s="73"/>
      <c r="BV365" s="73"/>
      <c r="BW365" s="74"/>
      <c r="BX365" s="74"/>
      <c r="BY365" s="63"/>
      <c r="BZ365" s="63"/>
    </row>
    <row r="366" ht="15.75" customHeight="1">
      <c r="A366" s="75" t="s">
        <v>2673</v>
      </c>
      <c r="B366" s="112" t="s">
        <v>409</v>
      </c>
      <c r="C366" s="50" t="s">
        <v>70</v>
      </c>
      <c r="D366" s="44" t="s">
        <v>205</v>
      </c>
      <c r="E366" s="77" t="s">
        <v>376</v>
      </c>
      <c r="F366" s="47">
        <v>8.0E8</v>
      </c>
      <c r="G366" s="44" t="str">
        <f t="shared" si="8"/>
        <v>$500'000.000 a $1.000'000.000</v>
      </c>
      <c r="H366" s="44"/>
      <c r="I366" s="44"/>
      <c r="J366" s="50" t="s">
        <v>76</v>
      </c>
      <c r="K366" s="119" t="s">
        <v>77</v>
      </c>
      <c r="L366" s="44">
        <v>6.0</v>
      </c>
      <c r="M366" s="44"/>
      <c r="N366" s="44">
        <v>5.0</v>
      </c>
      <c r="O366" s="50">
        <v>2.0</v>
      </c>
      <c r="P366" s="44">
        <v>2.0</v>
      </c>
      <c r="Q366" s="113"/>
      <c r="R366" s="79">
        <v>340.0</v>
      </c>
      <c r="S366" s="56" t="str">
        <f t="shared" si="15"/>
        <v> </v>
      </c>
      <c r="T366" s="44" t="s">
        <v>78</v>
      </c>
      <c r="U366" s="57" t="s">
        <v>154</v>
      </c>
      <c r="V366" s="50" t="s">
        <v>79</v>
      </c>
      <c r="W366" s="50"/>
      <c r="X366" s="44">
        <v>0.0</v>
      </c>
      <c r="Y366" s="50" t="s">
        <v>80</v>
      </c>
      <c r="Z366" s="58" t="s">
        <v>81</v>
      </c>
      <c r="AA366" s="59" t="str">
        <f>IF(Rentabilidad=0,"No aplica",TEXT(ROUND(Precio/Rentabilidad/12,0),0) &amp; " años")</f>
        <v>No aplica</v>
      </c>
      <c r="AB366" s="220"/>
      <c r="AC366" s="61"/>
      <c r="AD366" s="62"/>
      <c r="AE366" s="63"/>
      <c r="AF366" s="64" t="s">
        <v>84</v>
      </c>
      <c r="AG366" s="63"/>
      <c r="AH366" s="65" t="s">
        <v>45</v>
      </c>
      <c r="AI366" s="63"/>
      <c r="AJ366" s="64" t="s">
        <v>1834</v>
      </c>
      <c r="AK366" s="44"/>
      <c r="AL366" s="45" t="s">
        <v>2674</v>
      </c>
      <c r="AM366" s="52">
        <v>3.125458794E9</v>
      </c>
      <c r="AN366" s="45" t="s">
        <v>2675</v>
      </c>
      <c r="AO366" s="52" t="s">
        <v>2676</v>
      </c>
      <c r="AP366" s="67" t="s">
        <v>2677</v>
      </c>
      <c r="AQ366" s="67"/>
      <c r="AR366" s="67"/>
      <c r="AS366" s="68">
        <v>0.0</v>
      </c>
      <c r="AT366" s="44">
        <v>0.0</v>
      </c>
      <c r="AU366" s="44">
        <v>0.0</v>
      </c>
      <c r="AV366" s="44">
        <v>0.0</v>
      </c>
      <c r="AW366" s="50" t="s">
        <v>88</v>
      </c>
      <c r="AX366" s="44">
        <v>0.0</v>
      </c>
      <c r="AY366" s="44">
        <v>0.0</v>
      </c>
      <c r="AZ366" s="44">
        <v>0.0</v>
      </c>
      <c r="BA366" s="43" t="s">
        <v>89</v>
      </c>
      <c r="BB366" s="44">
        <v>0.0</v>
      </c>
      <c r="BC366" s="69"/>
      <c r="BD366" s="70"/>
      <c r="BE366" s="71"/>
      <c r="BF366" s="72"/>
      <c r="BG366" s="73"/>
      <c r="BH366" s="73"/>
      <c r="BI366" s="73"/>
      <c r="BJ366" s="73"/>
      <c r="BK366" s="73"/>
      <c r="BL366" s="73"/>
      <c r="BM366" s="73"/>
      <c r="BN366" s="73"/>
      <c r="BO366" s="73"/>
      <c r="BP366" s="73"/>
      <c r="BQ366" s="73"/>
      <c r="BR366" s="73"/>
      <c r="BS366" s="73"/>
      <c r="BT366" s="73"/>
      <c r="BU366" s="73"/>
      <c r="BV366" s="73"/>
      <c r="BW366" s="74"/>
      <c r="BX366" s="74"/>
      <c r="BY366" s="63"/>
      <c r="BZ366" s="63"/>
    </row>
    <row r="367" ht="15.75" customHeight="1">
      <c r="A367" s="120" t="s">
        <v>2678</v>
      </c>
      <c r="B367" s="50" t="s">
        <v>1778</v>
      </c>
      <c r="C367" s="50" t="s">
        <v>271</v>
      </c>
      <c r="D367" s="44" t="s">
        <v>2679</v>
      </c>
      <c r="E367" s="45"/>
      <c r="F367" s="47">
        <v>8.0E8</v>
      </c>
      <c r="G367" s="44" t="str">
        <f t="shared" si="8"/>
        <v>$500'000.000 a $1.000'000.000</v>
      </c>
      <c r="H367" s="44"/>
      <c r="I367" s="44"/>
      <c r="J367" s="50" t="s">
        <v>183</v>
      </c>
      <c r="K367" s="51" t="s">
        <v>184</v>
      </c>
      <c r="L367" s="52">
        <v>10.0</v>
      </c>
      <c r="M367" s="52"/>
      <c r="N367" s="52">
        <v>4.0</v>
      </c>
      <c r="O367" s="43">
        <v>1.0</v>
      </c>
      <c r="P367" s="52">
        <v>2.0</v>
      </c>
      <c r="Q367" s="54">
        <v>250.0</v>
      </c>
      <c r="R367" s="55">
        <v>180.0</v>
      </c>
      <c r="S367" s="56" t="str">
        <f t="shared" si="15"/>
        <v>Rentabilidad $2,000,000</v>
      </c>
      <c r="T367" s="52" t="s">
        <v>78</v>
      </c>
      <c r="U367" s="142" t="s">
        <v>184</v>
      </c>
      <c r="V367" s="153" t="s">
        <v>79</v>
      </c>
      <c r="W367" s="153"/>
      <c r="X367" s="52">
        <v>8.0</v>
      </c>
      <c r="Y367" s="94" t="s">
        <v>80</v>
      </c>
      <c r="Z367" s="80" t="s">
        <v>81</v>
      </c>
      <c r="AA367" s="59" t="str">
        <f>IF(Rentabilidad=0,"No aplica",TEXT(ROUND(Precio/Rentabilidad/12,0),0) &amp; " años")</f>
        <v>33 años</v>
      </c>
      <c r="AB367" s="60"/>
      <c r="AC367" s="124"/>
      <c r="AD367" s="62"/>
      <c r="AE367" s="63"/>
      <c r="AF367" s="45" t="s">
        <v>105</v>
      </c>
      <c r="AG367" s="63"/>
      <c r="AH367" s="65" t="s">
        <v>45</v>
      </c>
      <c r="AI367" s="63"/>
      <c r="AJ367" s="64" t="s">
        <v>1834</v>
      </c>
      <c r="AK367" s="44"/>
      <c r="AL367" s="45" t="s">
        <v>2246</v>
      </c>
      <c r="AM367" s="52">
        <v>3.168735402E9</v>
      </c>
      <c r="AN367" s="45">
        <v>0.0</v>
      </c>
      <c r="AO367" s="116" t="s">
        <v>2680</v>
      </c>
      <c r="AP367" s="67" t="s">
        <v>2681</v>
      </c>
      <c r="AQ367" s="67"/>
      <c r="AR367" s="67"/>
      <c r="AS367" s="135">
        <v>2000000.0</v>
      </c>
      <c r="AT367" s="44">
        <v>0.0</v>
      </c>
      <c r="AU367" s="52">
        <v>0.0</v>
      </c>
      <c r="AV367" s="52">
        <v>0.0</v>
      </c>
      <c r="AW367" s="43" t="s">
        <v>88</v>
      </c>
      <c r="AX367" s="52">
        <v>0.0</v>
      </c>
      <c r="AY367" s="52">
        <v>0.0</v>
      </c>
      <c r="AZ367" s="52">
        <v>0.0</v>
      </c>
      <c r="BA367" s="43" t="s">
        <v>89</v>
      </c>
      <c r="BB367" s="52">
        <v>0.0</v>
      </c>
      <c r="BC367" s="95" t="s">
        <v>439</v>
      </c>
      <c r="BD367" s="71"/>
      <c r="BE367" s="71"/>
      <c r="BF367" s="72"/>
      <c r="BG367" s="73"/>
      <c r="BH367" s="73"/>
      <c r="BI367" s="73"/>
      <c r="BJ367" s="73"/>
      <c r="BK367" s="73"/>
      <c r="BL367" s="73"/>
      <c r="BM367" s="73"/>
      <c r="BN367" s="73"/>
      <c r="BO367" s="73"/>
      <c r="BP367" s="73"/>
      <c r="BQ367" s="73"/>
      <c r="BR367" s="73"/>
      <c r="BS367" s="73"/>
      <c r="BT367" s="73"/>
      <c r="BU367" s="73"/>
      <c r="BV367" s="73"/>
      <c r="BW367" s="74"/>
      <c r="BX367" s="74"/>
      <c r="BY367" s="63"/>
      <c r="BZ367" s="63"/>
    </row>
    <row r="368" ht="15.75" customHeight="1">
      <c r="A368" s="41" t="s">
        <v>2682</v>
      </c>
      <c r="B368" s="50" t="s">
        <v>2683</v>
      </c>
      <c r="C368" s="50" t="s">
        <v>271</v>
      </c>
      <c r="D368" s="44" t="s">
        <v>71</v>
      </c>
      <c r="E368" s="77" t="s">
        <v>376</v>
      </c>
      <c r="F368" s="47">
        <v>8.0E8</v>
      </c>
      <c r="G368" s="44" t="str">
        <f t="shared" si="8"/>
        <v>$500'000.000 a $1.000'000.000</v>
      </c>
      <c r="H368" s="44"/>
      <c r="I368" s="44"/>
      <c r="J368" s="43" t="s">
        <v>76</v>
      </c>
      <c r="K368" s="51" t="s">
        <v>77</v>
      </c>
      <c r="L368" s="52">
        <v>3.0</v>
      </c>
      <c r="M368" s="52"/>
      <c r="N368" s="52">
        <v>4.0</v>
      </c>
      <c r="O368" s="43">
        <v>0.0</v>
      </c>
      <c r="P368" s="44">
        <v>3.0</v>
      </c>
      <c r="Q368" s="113"/>
      <c r="R368" s="79">
        <v>496.0</v>
      </c>
      <c r="S368" s="56" t="str">
        <f t="shared" si="15"/>
        <v>Rentabilidad $5,500,000</v>
      </c>
      <c r="T368" s="52" t="s">
        <v>78</v>
      </c>
      <c r="U368" s="57" t="s">
        <v>77</v>
      </c>
      <c r="V368" s="43" t="s">
        <v>118</v>
      </c>
      <c r="W368" s="43"/>
      <c r="X368" s="52">
        <v>3.0</v>
      </c>
      <c r="Y368" s="43" t="s">
        <v>80</v>
      </c>
      <c r="Z368" s="80" t="s">
        <v>81</v>
      </c>
      <c r="AA368" s="59" t="str">
        <f>IF(Rentabilidad=0,"No aplica",TEXT(ROUND(Precio/Rentabilidad/12,0),0) &amp; " años")</f>
        <v>12 años</v>
      </c>
      <c r="AB368" s="60"/>
      <c r="AC368" s="61"/>
      <c r="AD368" s="62"/>
      <c r="AE368" s="63"/>
      <c r="AF368" s="64" t="s">
        <v>236</v>
      </c>
      <c r="AG368" s="63"/>
      <c r="AH368" s="65" t="s">
        <v>45</v>
      </c>
      <c r="AI368" s="63"/>
      <c r="AJ368" s="64" t="s">
        <v>1834</v>
      </c>
      <c r="AK368" s="44"/>
      <c r="AL368" s="45" t="s">
        <v>86</v>
      </c>
      <c r="AM368" s="52">
        <v>3.165379791E9</v>
      </c>
      <c r="AN368" s="45">
        <v>0.0</v>
      </c>
      <c r="AO368" s="43" t="s">
        <v>2684</v>
      </c>
      <c r="AP368" s="67" t="s">
        <v>2685</v>
      </c>
      <c r="AQ368" s="67"/>
      <c r="AR368" s="67"/>
      <c r="AS368" s="68">
        <v>5500000.0</v>
      </c>
      <c r="AT368" s="44">
        <v>0.0</v>
      </c>
      <c r="AU368" s="52">
        <v>0.0</v>
      </c>
      <c r="AV368" s="52">
        <v>0.0</v>
      </c>
      <c r="AW368" s="43" t="s">
        <v>88</v>
      </c>
      <c r="AX368" s="52">
        <v>0.0</v>
      </c>
      <c r="AY368" s="52">
        <v>0.0</v>
      </c>
      <c r="AZ368" s="44">
        <v>0.0</v>
      </c>
      <c r="BA368" s="43" t="s">
        <v>89</v>
      </c>
      <c r="BB368" s="44">
        <v>0.0</v>
      </c>
      <c r="BC368" s="69" t="s">
        <v>2686</v>
      </c>
      <c r="BD368" s="70"/>
      <c r="BE368" s="71"/>
      <c r="BF368" s="72"/>
      <c r="BG368" s="73"/>
      <c r="BH368" s="73"/>
      <c r="BI368" s="73"/>
      <c r="BJ368" s="73"/>
      <c r="BK368" s="73"/>
      <c r="BL368" s="73"/>
      <c r="BM368" s="73"/>
      <c r="BN368" s="73"/>
      <c r="BO368" s="73"/>
      <c r="BP368" s="73"/>
      <c r="BQ368" s="73"/>
      <c r="BR368" s="73"/>
      <c r="BS368" s="73"/>
      <c r="BT368" s="73"/>
      <c r="BU368" s="73"/>
      <c r="BV368" s="73"/>
      <c r="BW368" s="74"/>
      <c r="BX368" s="74"/>
      <c r="BY368" s="63"/>
      <c r="BZ368" s="63"/>
    </row>
    <row r="369" ht="15.75" customHeight="1">
      <c r="A369" s="120" t="s">
        <v>2687</v>
      </c>
      <c r="B369" s="112" t="s">
        <v>2688</v>
      </c>
      <c r="C369" s="50" t="s">
        <v>271</v>
      </c>
      <c r="D369" s="116" t="s">
        <v>155</v>
      </c>
      <c r="E369" s="45"/>
      <c r="F369" s="47">
        <v>7.8E8</v>
      </c>
      <c r="G369" s="44" t="str">
        <f t="shared" si="8"/>
        <v>$500'000.000 a $1.000'000.000</v>
      </c>
      <c r="H369" s="44"/>
      <c r="I369" s="44"/>
      <c r="J369" s="43" t="s">
        <v>76</v>
      </c>
      <c r="K369" s="51" t="s">
        <v>77</v>
      </c>
      <c r="L369" s="52">
        <v>12.0</v>
      </c>
      <c r="M369" s="52"/>
      <c r="N369" s="52">
        <v>9.0</v>
      </c>
      <c r="O369" s="43">
        <v>0.0</v>
      </c>
      <c r="P369" s="52">
        <v>2.0</v>
      </c>
      <c r="Q369" s="113">
        <v>500.0</v>
      </c>
      <c r="R369" s="79">
        <v>280.0</v>
      </c>
      <c r="S369" s="56" t="str">
        <f t="shared" si="15"/>
        <v>Rentabilidad $5,000,000</v>
      </c>
      <c r="T369" s="52" t="s">
        <v>78</v>
      </c>
      <c r="U369" s="142" t="s">
        <v>184</v>
      </c>
      <c r="V369" s="43" t="s">
        <v>79</v>
      </c>
      <c r="W369" s="43"/>
      <c r="X369" s="52">
        <v>12.0</v>
      </c>
      <c r="Y369" s="43" t="s">
        <v>80</v>
      </c>
      <c r="Z369" s="58" t="s">
        <v>81</v>
      </c>
      <c r="AA369" s="59" t="str">
        <f>IF(Rentabilidad=0,"No aplica",TEXT(ROUND(Precio/Rentabilidad/12,0),0) &amp; " años")</f>
        <v>13 años</v>
      </c>
      <c r="AB369" s="60"/>
      <c r="AC369" s="61"/>
      <c r="AD369" s="62"/>
      <c r="AE369" s="63"/>
      <c r="AF369" s="45" t="s">
        <v>236</v>
      </c>
      <c r="AG369" s="63"/>
      <c r="AH369" s="65" t="s">
        <v>45</v>
      </c>
      <c r="AI369" s="63"/>
      <c r="AJ369" s="64" t="s">
        <v>1834</v>
      </c>
      <c r="AK369" s="44"/>
      <c r="AL369" s="45" t="s">
        <v>86</v>
      </c>
      <c r="AM369" s="52">
        <v>3.108120032E9</v>
      </c>
      <c r="AN369" s="45">
        <v>3.108120032E9</v>
      </c>
      <c r="AO369" s="52" t="s">
        <v>2689</v>
      </c>
      <c r="AP369" s="67" t="s">
        <v>2690</v>
      </c>
      <c r="AQ369" s="67"/>
      <c r="AR369" s="67"/>
      <c r="AS369" s="135">
        <v>5000000.0</v>
      </c>
      <c r="AT369" s="52">
        <v>0.0</v>
      </c>
      <c r="AU369" s="52">
        <v>0.0</v>
      </c>
      <c r="AV369" s="52">
        <v>0.0</v>
      </c>
      <c r="AW369" s="43" t="s">
        <v>88</v>
      </c>
      <c r="AX369" s="52">
        <v>0.0</v>
      </c>
      <c r="AY369" s="52">
        <v>0.0</v>
      </c>
      <c r="AZ369" s="52">
        <v>14.0</v>
      </c>
      <c r="BA369" s="43" t="s">
        <v>89</v>
      </c>
      <c r="BB369" s="52">
        <v>21.0</v>
      </c>
      <c r="BC369" s="109"/>
      <c r="BD369" s="70"/>
      <c r="BE369" s="71"/>
      <c r="BF369" s="72"/>
      <c r="BG369" s="73"/>
      <c r="BH369" s="73"/>
      <c r="BI369" s="73"/>
      <c r="BJ369" s="73"/>
      <c r="BK369" s="73"/>
      <c r="BL369" s="73"/>
      <c r="BM369" s="73"/>
      <c r="BN369" s="73"/>
      <c r="BO369" s="73"/>
      <c r="BP369" s="73"/>
      <c r="BQ369" s="73"/>
      <c r="BR369" s="73"/>
      <c r="BS369" s="73"/>
      <c r="BT369" s="73"/>
      <c r="BU369" s="73"/>
      <c r="BV369" s="73"/>
      <c r="BW369" s="74"/>
      <c r="BX369" s="74"/>
      <c r="BY369" s="63"/>
      <c r="BZ369" s="63"/>
    </row>
    <row r="370" ht="15.75" customHeight="1">
      <c r="A370" s="120" t="s">
        <v>2691</v>
      </c>
      <c r="B370" s="112" t="s">
        <v>2692</v>
      </c>
      <c r="C370" s="50" t="s">
        <v>271</v>
      </c>
      <c r="D370" s="52" t="s">
        <v>131</v>
      </c>
      <c r="E370" s="45"/>
      <c r="F370" s="47">
        <v>7.5E8</v>
      </c>
      <c r="G370" s="44" t="str">
        <f t="shared" si="8"/>
        <v>$500'000.000 a $1.000'000.000</v>
      </c>
      <c r="H370" s="44"/>
      <c r="I370" s="44"/>
      <c r="J370" s="43" t="s">
        <v>183</v>
      </c>
      <c r="K370" s="142"/>
      <c r="L370" s="52">
        <v>12.0</v>
      </c>
      <c r="M370" s="52"/>
      <c r="N370" s="52">
        <v>9.0</v>
      </c>
      <c r="O370" s="43">
        <v>0.0</v>
      </c>
      <c r="P370" s="52">
        <v>3.0</v>
      </c>
      <c r="Q370" s="54">
        <v>450.0</v>
      </c>
      <c r="R370" s="55">
        <v>153.0</v>
      </c>
      <c r="S370" s="56" t="str">
        <f t="shared" si="15"/>
        <v>Rentabilidad $1,950,000</v>
      </c>
      <c r="T370" s="52" t="s">
        <v>78</v>
      </c>
      <c r="U370" s="142" t="s">
        <v>184</v>
      </c>
      <c r="V370" s="43" t="s">
        <v>118</v>
      </c>
      <c r="W370" s="43"/>
      <c r="X370" s="52">
        <v>2.0</v>
      </c>
      <c r="Y370" s="43" t="s">
        <v>80</v>
      </c>
      <c r="Z370" s="80" t="s">
        <v>81</v>
      </c>
      <c r="AA370" s="59" t="str">
        <f>IF(Rentabilidad=0,"No aplica",TEXT(ROUND(Precio/Rentabilidad/12,0),0) &amp; " años")</f>
        <v>32 años</v>
      </c>
      <c r="AB370" s="195"/>
      <c r="AC370" s="61"/>
      <c r="AD370" s="62"/>
      <c r="AE370" s="63"/>
      <c r="AF370" s="64" t="s">
        <v>84</v>
      </c>
      <c r="AG370" s="63"/>
      <c r="AH370" s="65" t="s">
        <v>45</v>
      </c>
      <c r="AI370" s="63"/>
      <c r="AJ370" s="64" t="s">
        <v>1834</v>
      </c>
      <c r="AK370" s="44" t="s">
        <v>2693</v>
      </c>
      <c r="AL370" s="45" t="s">
        <v>86</v>
      </c>
      <c r="AM370" s="52">
        <v>3.112806477E9</v>
      </c>
      <c r="AN370" s="45">
        <v>0.0</v>
      </c>
      <c r="AO370" s="52" t="s">
        <v>2694</v>
      </c>
      <c r="AP370" s="67" t="s">
        <v>2695</v>
      </c>
      <c r="AQ370" s="67"/>
      <c r="AR370" s="67"/>
      <c r="AS370" s="135">
        <v>1950000.0</v>
      </c>
      <c r="AT370" s="44">
        <v>0.0</v>
      </c>
      <c r="AU370" s="52">
        <v>0.0</v>
      </c>
      <c r="AV370" s="52">
        <v>0.0</v>
      </c>
      <c r="AW370" s="43" t="s">
        <v>88</v>
      </c>
      <c r="AX370" s="52">
        <v>0.0</v>
      </c>
      <c r="AY370" s="52">
        <v>0.0</v>
      </c>
      <c r="AZ370" s="52">
        <v>9.0</v>
      </c>
      <c r="BA370" s="43" t="s">
        <v>89</v>
      </c>
      <c r="BB370" s="52">
        <v>17.0</v>
      </c>
      <c r="BC370" s="95"/>
      <c r="BD370" s="71"/>
      <c r="BE370" s="71"/>
      <c r="BF370" s="72"/>
      <c r="BG370" s="73"/>
      <c r="BH370" s="73"/>
      <c r="BI370" s="73"/>
      <c r="BJ370" s="73"/>
      <c r="BK370" s="73"/>
      <c r="BL370" s="73"/>
      <c r="BM370" s="73"/>
      <c r="BN370" s="73"/>
      <c r="BO370" s="73"/>
      <c r="BP370" s="73"/>
      <c r="BQ370" s="73"/>
      <c r="BR370" s="73"/>
      <c r="BS370" s="73"/>
      <c r="BT370" s="73"/>
      <c r="BU370" s="73"/>
      <c r="BV370" s="73"/>
      <c r="BW370" s="74"/>
      <c r="BX370" s="74"/>
      <c r="BY370" s="63"/>
      <c r="BZ370" s="63"/>
    </row>
    <row r="371" ht="15.75" customHeight="1">
      <c r="A371" s="133" t="s">
        <v>2696</v>
      </c>
      <c r="B371" s="112" t="s">
        <v>1744</v>
      </c>
      <c r="C371" s="50" t="s">
        <v>271</v>
      </c>
      <c r="D371" s="44" t="s">
        <v>71</v>
      </c>
      <c r="E371" s="77" t="s">
        <v>376</v>
      </c>
      <c r="F371" s="47">
        <v>7.5E8</v>
      </c>
      <c r="G371" s="44" t="str">
        <f t="shared" si="8"/>
        <v>$500'000.000 a $1.000'000.000</v>
      </c>
      <c r="H371" s="44"/>
      <c r="I371" s="44"/>
      <c r="J371" s="43" t="s">
        <v>76</v>
      </c>
      <c r="K371" s="51" t="s">
        <v>77</v>
      </c>
      <c r="L371" s="52">
        <v>5.0</v>
      </c>
      <c r="M371" s="52"/>
      <c r="N371" s="52">
        <v>2.0</v>
      </c>
      <c r="O371" s="43">
        <v>0.0</v>
      </c>
      <c r="P371" s="52">
        <v>1.0</v>
      </c>
      <c r="Q371" s="113">
        <v>300.0</v>
      </c>
      <c r="R371" s="79">
        <v>370.0</v>
      </c>
      <c r="S371" s="56" t="str">
        <f t="shared" si="15"/>
        <v>Rentabilidad $1,600,000</v>
      </c>
      <c r="T371" s="52" t="s">
        <v>78</v>
      </c>
      <c r="U371" s="142" t="s">
        <v>77</v>
      </c>
      <c r="V371" s="43" t="s">
        <v>79</v>
      </c>
      <c r="W371" s="43"/>
      <c r="X371" s="52">
        <v>0.0</v>
      </c>
      <c r="Y371" s="43" t="s">
        <v>80</v>
      </c>
      <c r="Z371" s="80" t="s">
        <v>81</v>
      </c>
      <c r="AA371" s="59" t="str">
        <f>IF(Rentabilidad=0,"No aplica",TEXT(ROUND(Precio/Rentabilidad/12,0),0) &amp; " años")</f>
        <v>39 años</v>
      </c>
      <c r="AB371" s="60"/>
      <c r="AC371" s="61"/>
      <c r="AD371" s="62"/>
      <c r="AE371" s="63"/>
      <c r="AF371" s="64" t="s">
        <v>84</v>
      </c>
      <c r="AG371" s="63"/>
      <c r="AH371" s="65" t="s">
        <v>45</v>
      </c>
      <c r="AI371" s="63"/>
      <c r="AJ371" s="64" t="s">
        <v>1834</v>
      </c>
      <c r="AK371" s="44"/>
      <c r="AL371" s="45" t="s">
        <v>2697</v>
      </c>
      <c r="AM371" s="52">
        <v>3.212167289E9</v>
      </c>
      <c r="AN371" s="45">
        <v>3.017620368E9</v>
      </c>
      <c r="AO371" s="52" t="s">
        <v>2698</v>
      </c>
      <c r="AP371" s="67" t="s">
        <v>2699</v>
      </c>
      <c r="AQ371" s="67"/>
      <c r="AR371" s="67"/>
      <c r="AS371" s="135">
        <v>1600000.0</v>
      </c>
      <c r="AT371" s="44">
        <v>0.0</v>
      </c>
      <c r="AU371" s="52">
        <v>0.0</v>
      </c>
      <c r="AV371" s="52">
        <v>0.0</v>
      </c>
      <c r="AW371" s="43" t="s">
        <v>88</v>
      </c>
      <c r="AX371" s="52">
        <v>0.0</v>
      </c>
      <c r="AY371" s="52">
        <v>0.0</v>
      </c>
      <c r="AZ371" s="52">
        <v>10.0</v>
      </c>
      <c r="BA371" s="43" t="s">
        <v>89</v>
      </c>
      <c r="BB371" s="52">
        <v>37.0</v>
      </c>
      <c r="BC371" s="69" t="s">
        <v>1092</v>
      </c>
      <c r="BD371" s="70"/>
      <c r="BE371" s="71"/>
      <c r="BF371" s="72"/>
      <c r="BG371" s="73"/>
      <c r="BH371" s="73"/>
      <c r="BI371" s="73"/>
      <c r="BJ371" s="73"/>
      <c r="BK371" s="73"/>
      <c r="BL371" s="73"/>
      <c r="BM371" s="73"/>
      <c r="BN371" s="73"/>
      <c r="BO371" s="73"/>
      <c r="BP371" s="73"/>
      <c r="BQ371" s="73"/>
      <c r="BR371" s="73"/>
      <c r="BS371" s="73"/>
      <c r="BT371" s="73"/>
      <c r="BU371" s="73"/>
      <c r="BV371" s="73"/>
      <c r="BW371" s="74"/>
      <c r="BX371" s="74"/>
      <c r="BY371" s="63"/>
      <c r="BZ371" s="63"/>
    </row>
    <row r="372" ht="15.75" customHeight="1">
      <c r="A372" s="120" t="s">
        <v>2700</v>
      </c>
      <c r="B372" s="112" t="s">
        <v>2701</v>
      </c>
      <c r="C372" s="50" t="s">
        <v>271</v>
      </c>
      <c r="D372" s="43" t="s">
        <v>389</v>
      </c>
      <c r="E372" s="77" t="s">
        <v>376</v>
      </c>
      <c r="F372" s="47">
        <v>7.5E8</v>
      </c>
      <c r="G372" s="44" t="str">
        <f t="shared" si="8"/>
        <v>$500'000.000 a $1.000'000.000</v>
      </c>
      <c r="H372" s="44"/>
      <c r="I372" s="44"/>
      <c r="J372" s="43" t="s">
        <v>76</v>
      </c>
      <c r="K372" s="56" t="s">
        <v>77</v>
      </c>
      <c r="L372" s="52">
        <v>5.0</v>
      </c>
      <c r="M372" s="52"/>
      <c r="N372" s="52">
        <v>3.0</v>
      </c>
      <c r="O372" s="43">
        <v>1.0</v>
      </c>
      <c r="P372" s="43">
        <v>2.0</v>
      </c>
      <c r="Q372" s="54"/>
      <c r="R372" s="55">
        <v>343.0</v>
      </c>
      <c r="S372" s="56" t="str">
        <f t="shared" si="15"/>
        <v>Rentabilidad $5,000,000</v>
      </c>
      <c r="T372" s="52" t="s">
        <v>78</v>
      </c>
      <c r="U372" s="142" t="s">
        <v>142</v>
      </c>
      <c r="V372" s="43" t="s">
        <v>79</v>
      </c>
      <c r="W372" s="43"/>
      <c r="X372" s="52">
        <v>4.0</v>
      </c>
      <c r="Y372" s="43" t="s">
        <v>80</v>
      </c>
      <c r="Z372" s="80" t="s">
        <v>81</v>
      </c>
      <c r="AA372" s="59" t="str">
        <f>IF(Rentabilidad=0,"No aplica",TEXT(ROUND(Precio/Rentabilidad/12,0),0) &amp; " años")</f>
        <v>13 años</v>
      </c>
      <c r="AB372" s="60"/>
      <c r="AC372" s="61"/>
      <c r="AD372" s="62"/>
      <c r="AE372" s="63"/>
      <c r="AF372" s="64" t="s">
        <v>84</v>
      </c>
      <c r="AG372" s="63"/>
      <c r="AH372" s="65" t="s">
        <v>45</v>
      </c>
      <c r="AI372" s="63"/>
      <c r="AJ372" s="64" t="s">
        <v>1834</v>
      </c>
      <c r="AK372" s="44"/>
      <c r="AL372" s="45" t="s">
        <v>2656</v>
      </c>
      <c r="AM372" s="52">
        <v>3.10452982E9</v>
      </c>
      <c r="AN372" s="45">
        <v>0.0</v>
      </c>
      <c r="AO372" s="52" t="s">
        <v>2702</v>
      </c>
      <c r="AP372" s="67" t="s">
        <v>2703</v>
      </c>
      <c r="AQ372" s="67"/>
      <c r="AR372" s="67"/>
      <c r="AS372" s="135">
        <v>5000000.0</v>
      </c>
      <c r="AT372" s="44">
        <v>0.0</v>
      </c>
      <c r="AU372" s="52">
        <v>0.0</v>
      </c>
      <c r="AV372" s="52">
        <v>0.0</v>
      </c>
      <c r="AW372" s="43" t="s">
        <v>88</v>
      </c>
      <c r="AX372" s="52">
        <v>0.0</v>
      </c>
      <c r="AY372" s="52">
        <v>0.0</v>
      </c>
      <c r="AZ372" s="52">
        <v>7.0</v>
      </c>
      <c r="BA372" s="43" t="s">
        <v>89</v>
      </c>
      <c r="BB372" s="52">
        <v>49.0</v>
      </c>
      <c r="BC372" s="86"/>
      <c r="BD372" s="71"/>
      <c r="BE372" s="71"/>
      <c r="BF372" s="72"/>
      <c r="BG372" s="73"/>
      <c r="BH372" s="73"/>
      <c r="BI372" s="73"/>
      <c r="BJ372" s="73"/>
      <c r="BK372" s="73"/>
      <c r="BL372" s="73"/>
      <c r="BM372" s="73"/>
      <c r="BN372" s="73"/>
      <c r="BO372" s="73"/>
      <c r="BP372" s="73"/>
      <c r="BQ372" s="73"/>
      <c r="BR372" s="73"/>
      <c r="BS372" s="73"/>
      <c r="BT372" s="73"/>
      <c r="BU372" s="73"/>
      <c r="BV372" s="73"/>
      <c r="BW372" s="74"/>
      <c r="BX372" s="74"/>
      <c r="BY372" s="63"/>
      <c r="BZ372" s="63"/>
    </row>
    <row r="373" ht="15.75" customHeight="1">
      <c r="A373" s="120" t="s">
        <v>2704</v>
      </c>
      <c r="B373" s="112" t="s">
        <v>2705</v>
      </c>
      <c r="C373" s="50" t="s">
        <v>271</v>
      </c>
      <c r="D373" s="44" t="s">
        <v>2706</v>
      </c>
      <c r="E373" s="77" t="s">
        <v>376</v>
      </c>
      <c r="F373" s="47">
        <v>7.5E8</v>
      </c>
      <c r="G373" s="44" t="str">
        <f t="shared" si="8"/>
        <v>$500'000.000 a $1.000'000.000</v>
      </c>
      <c r="H373" s="44"/>
      <c r="I373" s="44"/>
      <c r="J373" s="50" t="s">
        <v>183</v>
      </c>
      <c r="K373" s="57"/>
      <c r="L373" s="52">
        <v>15.0</v>
      </c>
      <c r="M373" s="52"/>
      <c r="N373" s="52">
        <v>8.0</v>
      </c>
      <c r="O373" s="43">
        <v>1.0</v>
      </c>
      <c r="P373" s="52">
        <v>2.0</v>
      </c>
      <c r="Q373" s="54">
        <v>380.0</v>
      </c>
      <c r="R373" s="55">
        <v>364.8</v>
      </c>
      <c r="S373" s="56" t="str">
        <f t="shared" si="15"/>
        <v>Rentabilidad $3,600,000</v>
      </c>
      <c r="T373" s="52" t="s">
        <v>78</v>
      </c>
      <c r="U373" s="142" t="s">
        <v>184</v>
      </c>
      <c r="V373" s="43" t="s">
        <v>79</v>
      </c>
      <c r="W373" s="43"/>
      <c r="X373" s="52">
        <v>0.0</v>
      </c>
      <c r="Y373" s="43" t="s">
        <v>80</v>
      </c>
      <c r="Z373" s="80" t="s">
        <v>81</v>
      </c>
      <c r="AA373" s="59" t="str">
        <f>IF(Rentabilidad=0,"No aplica",TEXT(ROUND(Precio/Rentabilidad/12,0),0) &amp; " años")</f>
        <v>17 años</v>
      </c>
      <c r="AB373" s="134" t="s">
        <v>565</v>
      </c>
      <c r="AC373" s="61"/>
      <c r="AD373" s="62"/>
      <c r="AE373" s="63"/>
      <c r="AF373" s="64" t="s">
        <v>236</v>
      </c>
      <c r="AG373" s="63"/>
      <c r="AH373" s="63"/>
      <c r="AI373" s="63"/>
      <c r="AJ373" s="64" t="s">
        <v>1834</v>
      </c>
      <c r="AK373" s="44"/>
      <c r="AL373" s="45" t="s">
        <v>109</v>
      </c>
      <c r="AM373" s="52">
        <v>3.155332637E9</v>
      </c>
      <c r="AN373" s="45">
        <v>0.0</v>
      </c>
      <c r="AO373" s="52" t="s">
        <v>2707</v>
      </c>
      <c r="AP373" s="67" t="s">
        <v>2708</v>
      </c>
      <c r="AQ373" s="67"/>
      <c r="AR373" s="67"/>
      <c r="AS373" s="135">
        <v>3600000.0</v>
      </c>
      <c r="AT373" s="44">
        <v>0.0</v>
      </c>
      <c r="AU373" s="52">
        <v>0.0</v>
      </c>
      <c r="AV373" s="52">
        <v>0.0</v>
      </c>
      <c r="AW373" s="43" t="s">
        <v>88</v>
      </c>
      <c r="AX373" s="52">
        <v>0.0</v>
      </c>
      <c r="AY373" s="52">
        <v>0.0</v>
      </c>
      <c r="AZ373" s="52">
        <v>9.6</v>
      </c>
      <c r="BA373" s="43" t="s">
        <v>89</v>
      </c>
      <c r="BB373" s="52">
        <v>38.0</v>
      </c>
      <c r="BC373" s="109"/>
      <c r="BD373" s="70"/>
      <c r="BE373" s="71"/>
      <c r="BF373" s="72" t="s">
        <v>570</v>
      </c>
      <c r="BG373" s="73"/>
      <c r="BH373" s="73"/>
      <c r="BI373" s="73"/>
      <c r="BJ373" s="73"/>
      <c r="BK373" s="73"/>
      <c r="BL373" s="73"/>
      <c r="BM373" s="73"/>
      <c r="BN373" s="73"/>
      <c r="BO373" s="73"/>
      <c r="BP373" s="73"/>
      <c r="BQ373" s="73"/>
      <c r="BR373" s="73"/>
      <c r="BS373" s="73"/>
      <c r="BT373" s="73"/>
      <c r="BU373" s="73"/>
      <c r="BV373" s="73"/>
      <c r="BW373" s="74"/>
      <c r="BX373" s="74"/>
      <c r="BY373" s="63"/>
      <c r="BZ373" s="63"/>
    </row>
    <row r="374" ht="15.75" customHeight="1">
      <c r="A374" s="120" t="s">
        <v>2709</v>
      </c>
      <c r="B374" s="122" t="s">
        <v>2710</v>
      </c>
      <c r="C374" s="43" t="s">
        <v>70</v>
      </c>
      <c r="D374" s="63" t="s">
        <v>155</v>
      </c>
      <c r="E374" s="77" t="s">
        <v>376</v>
      </c>
      <c r="F374" s="47">
        <v>7.5E8</v>
      </c>
      <c r="G374" s="44" t="str">
        <f t="shared" si="8"/>
        <v>$500'000.000 a $1.000'000.000</v>
      </c>
      <c r="H374" s="44"/>
      <c r="I374" s="44"/>
      <c r="J374" s="50" t="s">
        <v>76</v>
      </c>
      <c r="K374" s="51" t="s">
        <v>77</v>
      </c>
      <c r="L374" s="52">
        <v>5.0</v>
      </c>
      <c r="M374" s="52"/>
      <c r="N374" s="52">
        <v>3.0</v>
      </c>
      <c r="O374" s="43">
        <v>3.0</v>
      </c>
      <c r="P374" s="52">
        <v>1.0</v>
      </c>
      <c r="Q374" s="54">
        <v>235.0</v>
      </c>
      <c r="R374" s="55">
        <v>315.0</v>
      </c>
      <c r="S374" s="56" t="str">
        <f t="shared" si="15"/>
        <v>Rentabilidad $1,500,000</v>
      </c>
      <c r="T374" s="52" t="s">
        <v>78</v>
      </c>
      <c r="U374" s="142" t="s">
        <v>184</v>
      </c>
      <c r="V374" s="43" t="s">
        <v>79</v>
      </c>
      <c r="W374" s="43"/>
      <c r="X374" s="52">
        <v>3.0</v>
      </c>
      <c r="Y374" s="43" t="s">
        <v>80</v>
      </c>
      <c r="Z374" s="58" t="s">
        <v>81</v>
      </c>
      <c r="AA374" s="59" t="str">
        <f>IF(Rentabilidad=0,"No aplica",TEXT(ROUND(Precio/Rentabilidad/12,0),0) &amp; " años")</f>
        <v>42 años</v>
      </c>
      <c r="AB374" s="60"/>
      <c r="AC374" s="61"/>
      <c r="AD374" s="62"/>
      <c r="AE374" s="63"/>
      <c r="AF374" s="45" t="s">
        <v>105</v>
      </c>
      <c r="AG374" s="63"/>
      <c r="AH374" s="65" t="s">
        <v>45</v>
      </c>
      <c r="AI374" s="63"/>
      <c r="AJ374" s="64" t="s">
        <v>1834</v>
      </c>
      <c r="AK374" s="44"/>
      <c r="AL374" s="45" t="s">
        <v>2711</v>
      </c>
      <c r="AM374" s="52">
        <v>3.044088455E9</v>
      </c>
      <c r="AN374" s="45">
        <v>3.105172139E9</v>
      </c>
      <c r="AO374" s="52" t="s">
        <v>2712</v>
      </c>
      <c r="AP374" s="67" t="s">
        <v>2713</v>
      </c>
      <c r="AQ374" s="67"/>
      <c r="AR374" s="67"/>
      <c r="AS374" s="135">
        <v>1500000.0</v>
      </c>
      <c r="AT374" s="44">
        <v>0.0</v>
      </c>
      <c r="AU374" s="52">
        <v>0.0</v>
      </c>
      <c r="AV374" s="52">
        <v>0.0</v>
      </c>
      <c r="AW374" s="43" t="s">
        <v>88</v>
      </c>
      <c r="AX374" s="52">
        <v>0.0</v>
      </c>
      <c r="AY374" s="52">
        <v>0.0</v>
      </c>
      <c r="AZ374" s="52">
        <v>14.0</v>
      </c>
      <c r="BA374" s="43" t="s">
        <v>89</v>
      </c>
      <c r="BB374" s="52">
        <v>24.0</v>
      </c>
      <c r="BC374" s="95" t="s">
        <v>2029</v>
      </c>
      <c r="BD374" s="71"/>
      <c r="BE374" s="71"/>
      <c r="BF374" s="72"/>
      <c r="BG374" s="73"/>
      <c r="BH374" s="73"/>
      <c r="BI374" s="73"/>
      <c r="BJ374" s="73"/>
      <c r="BK374" s="73"/>
      <c r="BL374" s="73"/>
      <c r="BM374" s="73"/>
      <c r="BN374" s="73"/>
      <c r="BO374" s="73"/>
      <c r="BP374" s="73"/>
      <c r="BQ374" s="73"/>
      <c r="BR374" s="73"/>
      <c r="BS374" s="73"/>
      <c r="BT374" s="73"/>
      <c r="BU374" s="73"/>
      <c r="BV374" s="73"/>
      <c r="BW374" s="74"/>
      <c r="BX374" s="74"/>
      <c r="BY374" s="63"/>
      <c r="BZ374" s="63"/>
    </row>
    <row r="375" ht="15.75" customHeight="1">
      <c r="A375" s="201" t="s">
        <v>2714</v>
      </c>
      <c r="B375" s="112" t="s">
        <v>2715</v>
      </c>
      <c r="C375" s="50" t="s">
        <v>1228</v>
      </c>
      <c r="D375" s="44" t="s">
        <v>11</v>
      </c>
      <c r="E375" s="77" t="s">
        <v>376</v>
      </c>
      <c r="F375" s="47">
        <v>7.5E8</v>
      </c>
      <c r="G375" s="44" t="str">
        <f t="shared" si="8"/>
        <v>$500'000.000 a $1.000'000.000</v>
      </c>
      <c r="H375" s="44"/>
      <c r="I375" s="44"/>
      <c r="J375" s="50" t="s">
        <v>183</v>
      </c>
      <c r="K375" s="51" t="s">
        <v>184</v>
      </c>
      <c r="L375" s="52">
        <v>0.0</v>
      </c>
      <c r="M375" s="52"/>
      <c r="N375" s="52">
        <v>0.0</v>
      </c>
      <c r="O375" s="52">
        <v>0.0</v>
      </c>
      <c r="P375" s="44">
        <v>1.0</v>
      </c>
      <c r="Q375" s="113">
        <v>191.0</v>
      </c>
      <c r="R375" s="55">
        <v>425.0</v>
      </c>
      <c r="S375" s="56" t="str">
        <f t="shared" si="15"/>
        <v> </v>
      </c>
      <c r="T375" s="52" t="s">
        <v>78</v>
      </c>
      <c r="U375" s="57" t="s">
        <v>184</v>
      </c>
      <c r="V375" s="43" t="s">
        <v>79</v>
      </c>
      <c r="W375" s="43"/>
      <c r="X375" s="52">
        <v>0.0</v>
      </c>
      <c r="Y375" s="94" t="s">
        <v>80</v>
      </c>
      <c r="Z375" s="58" t="s">
        <v>81</v>
      </c>
      <c r="AA375" s="59" t="str">
        <f>IF(Rentabilidad=0,"No aplica",TEXT(ROUND(Precio/Rentabilidad/12,0),0) &amp; " años")</f>
        <v>No aplica</v>
      </c>
      <c r="AB375" s="60"/>
      <c r="AC375" s="61"/>
      <c r="AD375" s="62"/>
      <c r="AE375" s="63"/>
      <c r="AF375" s="45" t="s">
        <v>96</v>
      </c>
      <c r="AG375" s="63"/>
      <c r="AH375" s="65" t="s">
        <v>45</v>
      </c>
      <c r="AI375" s="63"/>
      <c r="AJ375" s="64" t="s">
        <v>1834</v>
      </c>
      <c r="AK375" s="44"/>
      <c r="AL375" s="45" t="s">
        <v>86</v>
      </c>
      <c r="AM375" s="43">
        <v>3.158726346E9</v>
      </c>
      <c r="AN375" s="45">
        <v>0.0</v>
      </c>
      <c r="AO375" s="43" t="s">
        <v>2716</v>
      </c>
      <c r="AP375" s="67" t="s">
        <v>2717</v>
      </c>
      <c r="AQ375" s="67"/>
      <c r="AR375" s="67"/>
      <c r="AS375" s="68">
        <v>0.0</v>
      </c>
      <c r="AT375" s="44">
        <v>0.0</v>
      </c>
      <c r="AU375" s="52">
        <v>0.0</v>
      </c>
      <c r="AV375" s="52">
        <v>0.0</v>
      </c>
      <c r="AW375" s="43" t="s">
        <v>88</v>
      </c>
      <c r="AX375" s="52">
        <v>0.0</v>
      </c>
      <c r="AY375" s="52">
        <v>0.0</v>
      </c>
      <c r="AZ375" s="44">
        <v>19.0</v>
      </c>
      <c r="BA375" s="43" t="s">
        <v>89</v>
      </c>
      <c r="BB375" s="44">
        <v>21.34</v>
      </c>
      <c r="BC375" s="69" t="s">
        <v>2718</v>
      </c>
      <c r="BD375" s="70"/>
      <c r="BE375" s="70"/>
      <c r="BF375" s="72"/>
      <c r="BG375" s="73"/>
      <c r="BH375" s="73"/>
      <c r="BI375" s="73"/>
      <c r="BJ375" s="73"/>
      <c r="BK375" s="73"/>
      <c r="BL375" s="73"/>
      <c r="BM375" s="73"/>
      <c r="BN375" s="73"/>
      <c r="BO375" s="73"/>
      <c r="BP375" s="73"/>
      <c r="BQ375" s="73"/>
      <c r="BR375" s="73"/>
      <c r="BS375" s="73"/>
      <c r="BT375" s="73"/>
      <c r="BU375" s="73"/>
      <c r="BV375" s="73"/>
      <c r="BW375" s="74"/>
      <c r="BX375" s="74"/>
      <c r="BY375" s="63"/>
      <c r="BZ375" s="63"/>
    </row>
    <row r="376" ht="15.75" customHeight="1">
      <c r="A376" s="120" t="s">
        <v>2719</v>
      </c>
      <c r="B376" s="112" t="s">
        <v>1921</v>
      </c>
      <c r="C376" s="50" t="s">
        <v>1228</v>
      </c>
      <c r="D376" s="44" t="s">
        <v>71</v>
      </c>
      <c r="E376" s="77" t="s">
        <v>376</v>
      </c>
      <c r="F376" s="47">
        <v>7.47E8</v>
      </c>
      <c r="G376" s="44" t="str">
        <f t="shared" si="8"/>
        <v>$500'000.000 a $1.000'000.000</v>
      </c>
      <c r="H376" s="44"/>
      <c r="I376" s="44"/>
      <c r="J376" s="43" t="s">
        <v>76</v>
      </c>
      <c r="K376" s="51" t="s">
        <v>77</v>
      </c>
      <c r="L376" s="44">
        <v>0.0</v>
      </c>
      <c r="M376" s="44"/>
      <c r="N376" s="44">
        <v>0.0</v>
      </c>
      <c r="O376" s="44">
        <v>0.0</v>
      </c>
      <c r="P376" s="44">
        <v>0.0</v>
      </c>
      <c r="Q376" s="54">
        <v>534.0</v>
      </c>
      <c r="R376" s="55">
        <v>534.0</v>
      </c>
      <c r="S376" s="56" t="str">
        <f t="shared" si="15"/>
        <v> </v>
      </c>
      <c r="T376" s="52" t="s">
        <v>78</v>
      </c>
      <c r="U376" s="57" t="s">
        <v>77</v>
      </c>
      <c r="V376" s="50" t="s">
        <v>79</v>
      </c>
      <c r="W376" s="50"/>
      <c r="X376" s="44">
        <v>0.0</v>
      </c>
      <c r="Y376" s="43" t="s">
        <v>80</v>
      </c>
      <c r="Z376" s="58" t="s">
        <v>81</v>
      </c>
      <c r="AA376" s="59" t="str">
        <f>IF(Rentabilidad=0,"No aplica",TEXT(ROUND(Precio/Rentabilidad/12,0),0) &amp; " años")</f>
        <v>No aplica</v>
      </c>
      <c r="AB376" s="60"/>
      <c r="AC376" s="61"/>
      <c r="AD376" s="62"/>
      <c r="AE376" s="63"/>
      <c r="AF376" s="45" t="s">
        <v>96</v>
      </c>
      <c r="AG376" s="63"/>
      <c r="AH376" s="65" t="s">
        <v>45</v>
      </c>
      <c r="AI376" s="63"/>
      <c r="AJ376" s="64" t="s">
        <v>1834</v>
      </c>
      <c r="AK376" s="44"/>
      <c r="AL376" s="45" t="s">
        <v>86</v>
      </c>
      <c r="AM376" s="52">
        <v>3.153201082E9</v>
      </c>
      <c r="AN376" s="45">
        <v>0.0</v>
      </c>
      <c r="AO376" s="52" t="s">
        <v>2720</v>
      </c>
      <c r="AP376" s="67" t="s">
        <v>2721</v>
      </c>
      <c r="AQ376" s="67"/>
      <c r="AR376" s="67"/>
      <c r="AS376" s="68">
        <v>0.0</v>
      </c>
      <c r="AT376" s="44">
        <v>0.0</v>
      </c>
      <c r="AU376" s="44">
        <v>0.0</v>
      </c>
      <c r="AV376" s="44">
        <v>0.0</v>
      </c>
      <c r="AW376" s="50" t="s">
        <v>88</v>
      </c>
      <c r="AX376" s="44">
        <v>0.0</v>
      </c>
      <c r="AY376" s="44">
        <v>0.0</v>
      </c>
      <c r="AZ376" s="44">
        <v>0.0</v>
      </c>
      <c r="BA376" s="43" t="s">
        <v>89</v>
      </c>
      <c r="BB376" s="44">
        <v>0.0</v>
      </c>
      <c r="BC376" s="127" t="s">
        <v>1137</v>
      </c>
      <c r="BD376" s="128"/>
      <c r="BE376" s="129"/>
      <c r="BF376" s="72"/>
      <c r="BG376" s="73"/>
      <c r="BH376" s="73"/>
      <c r="BI376" s="73"/>
      <c r="BJ376" s="73"/>
      <c r="BK376" s="73"/>
      <c r="BL376" s="73"/>
      <c r="BM376" s="73"/>
      <c r="BN376" s="73"/>
      <c r="BO376" s="73"/>
      <c r="BP376" s="73"/>
      <c r="BQ376" s="73"/>
      <c r="BR376" s="73"/>
      <c r="BS376" s="73"/>
      <c r="BT376" s="73"/>
      <c r="BU376" s="73"/>
      <c r="BV376" s="73"/>
      <c r="BW376" s="74"/>
      <c r="BX376" s="74"/>
      <c r="BY376" s="63"/>
      <c r="BZ376" s="63"/>
    </row>
    <row r="377" ht="15.75" customHeight="1">
      <c r="A377" s="41" t="s">
        <v>2722</v>
      </c>
      <c r="B377" s="122" t="s">
        <v>2723</v>
      </c>
      <c r="C377" s="43" t="s">
        <v>1228</v>
      </c>
      <c r="D377" s="44" t="s">
        <v>389</v>
      </c>
      <c r="E377" s="222"/>
      <c r="F377" s="47">
        <v>7.0E8</v>
      </c>
      <c r="G377" s="44" t="str">
        <f t="shared" si="8"/>
        <v>$500'000.000 a $1.000'000.000</v>
      </c>
      <c r="H377" s="44"/>
      <c r="I377" s="44"/>
      <c r="J377" s="50" t="s">
        <v>76</v>
      </c>
      <c r="K377" s="56" t="s">
        <v>77</v>
      </c>
      <c r="L377" s="52">
        <v>5.0</v>
      </c>
      <c r="M377" s="52"/>
      <c r="N377" s="52">
        <v>1.0</v>
      </c>
      <c r="O377" s="43">
        <v>1.0</v>
      </c>
      <c r="P377" s="52">
        <v>1.0</v>
      </c>
      <c r="Q377" s="54" t="s">
        <v>2724</v>
      </c>
      <c r="R377" s="55">
        <v>200.0</v>
      </c>
      <c r="S377" s="56" t="str">
        <f t="shared" si="15"/>
        <v> </v>
      </c>
      <c r="T377" s="52" t="s">
        <v>78</v>
      </c>
      <c r="U377" s="142" t="s">
        <v>184</v>
      </c>
      <c r="V377" s="50" t="s">
        <v>118</v>
      </c>
      <c r="W377" s="50"/>
      <c r="X377" s="52">
        <v>0.0</v>
      </c>
      <c r="Y377" s="43" t="s">
        <v>80</v>
      </c>
      <c r="Z377" s="58" t="s">
        <v>81</v>
      </c>
      <c r="AA377" s="59" t="str">
        <f>IF(Rentabilidad=0,"No aplica",TEXT(ROUND(Precio/Rentabilidad/12,0),0) &amp; " años")</f>
        <v>No aplica</v>
      </c>
      <c r="AB377" s="195"/>
      <c r="AC377" s="61"/>
      <c r="AD377" s="62"/>
      <c r="AE377" s="63"/>
      <c r="AF377" s="64" t="s">
        <v>84</v>
      </c>
      <c r="AG377" s="63"/>
      <c r="AH377" s="65" t="s">
        <v>45</v>
      </c>
      <c r="AI377" s="63"/>
      <c r="AJ377" s="64" t="s">
        <v>1834</v>
      </c>
      <c r="AK377" s="44"/>
      <c r="AL377" s="45" t="s">
        <v>86</v>
      </c>
      <c r="AM377" s="52">
        <v>3.153080484E9</v>
      </c>
      <c r="AN377" s="45">
        <v>0.0</v>
      </c>
      <c r="AO377" s="52" t="s">
        <v>2725</v>
      </c>
      <c r="AP377" s="67" t="s">
        <v>2726</v>
      </c>
      <c r="AQ377" s="67"/>
      <c r="AR377" s="67"/>
      <c r="AS377" s="135">
        <v>0.0</v>
      </c>
      <c r="AT377" s="44">
        <v>0.0</v>
      </c>
      <c r="AU377" s="52">
        <v>0.0</v>
      </c>
      <c r="AV377" s="52">
        <v>0.0</v>
      </c>
      <c r="AW377" s="43" t="s">
        <v>88</v>
      </c>
      <c r="AX377" s="52">
        <v>0.0</v>
      </c>
      <c r="AY377" s="52">
        <v>0.0</v>
      </c>
      <c r="AZ377" s="52">
        <v>10.0</v>
      </c>
      <c r="BA377" s="43" t="s">
        <v>89</v>
      </c>
      <c r="BB377" s="52">
        <v>20.0</v>
      </c>
      <c r="BC377" s="69" t="s">
        <v>1909</v>
      </c>
      <c r="BD377" s="70"/>
      <c r="BE377" s="71"/>
      <c r="BF377" s="72"/>
      <c r="BG377" s="73"/>
      <c r="BH377" s="73"/>
      <c r="BI377" s="73"/>
      <c r="BJ377" s="73"/>
      <c r="BK377" s="73"/>
      <c r="BL377" s="73"/>
      <c r="BM377" s="73"/>
      <c r="BN377" s="73"/>
      <c r="BO377" s="73"/>
      <c r="BP377" s="73"/>
      <c r="BQ377" s="73"/>
      <c r="BR377" s="73"/>
      <c r="BS377" s="73"/>
      <c r="BT377" s="73"/>
      <c r="BU377" s="73"/>
      <c r="BV377" s="73"/>
      <c r="BW377" s="74"/>
      <c r="BX377" s="74"/>
      <c r="BY377" s="63"/>
      <c r="BZ377" s="63"/>
    </row>
    <row r="378" ht="15.75" customHeight="1">
      <c r="A378" s="120" t="s">
        <v>2727</v>
      </c>
      <c r="B378" s="50" t="s">
        <v>2728</v>
      </c>
      <c r="C378" s="50" t="s">
        <v>573</v>
      </c>
      <c r="D378" s="193" t="s">
        <v>193</v>
      </c>
      <c r="E378" s="45"/>
      <c r="F378" s="47">
        <v>7.0E8</v>
      </c>
      <c r="G378" s="44" t="str">
        <f t="shared" si="8"/>
        <v>$500'000.000 a $1.000'000.000</v>
      </c>
      <c r="H378" s="44"/>
      <c r="I378" s="44"/>
      <c r="J378" s="43" t="s">
        <v>76</v>
      </c>
      <c r="K378" s="56" t="s">
        <v>77</v>
      </c>
      <c r="L378" s="52">
        <v>3.0</v>
      </c>
      <c r="M378" s="52"/>
      <c r="N378" s="52">
        <v>3.0</v>
      </c>
      <c r="O378" s="43">
        <v>2.0</v>
      </c>
      <c r="P378" s="43">
        <v>2.0</v>
      </c>
      <c r="Q378" s="54">
        <v>206.0</v>
      </c>
      <c r="R378" s="55">
        <v>206.0</v>
      </c>
      <c r="S378" s="56" t="str">
        <f t="shared" si="15"/>
        <v> </v>
      </c>
      <c r="T378" s="52" t="s">
        <v>78</v>
      </c>
      <c r="U378" s="142" t="s">
        <v>142</v>
      </c>
      <c r="V378" s="52"/>
      <c r="W378" s="52"/>
      <c r="X378" s="52">
        <v>3.0</v>
      </c>
      <c r="Y378" s="43" t="s">
        <v>80</v>
      </c>
      <c r="Z378" s="80" t="s">
        <v>81</v>
      </c>
      <c r="AA378" s="59" t="str">
        <f>IF(Rentabilidad=0,"No aplica",TEXT(ROUND(Precio/Rentabilidad/12,0),0) &amp; " años")</f>
        <v>No aplica</v>
      </c>
      <c r="AB378" s="134" t="s">
        <v>2729</v>
      </c>
      <c r="AC378" s="131" t="s">
        <v>2730</v>
      </c>
      <c r="AD378" s="62"/>
      <c r="AE378" s="63"/>
      <c r="AF378" s="45" t="s">
        <v>105</v>
      </c>
      <c r="AG378" s="63"/>
      <c r="AH378" s="65" t="s">
        <v>45</v>
      </c>
      <c r="AI378" s="63"/>
      <c r="AJ378" s="64" t="s">
        <v>1834</v>
      </c>
      <c r="AK378" s="44"/>
      <c r="AL378" s="45" t="s">
        <v>2731</v>
      </c>
      <c r="AM378" s="52">
        <v>3.175638922E9</v>
      </c>
      <c r="AN378" s="45">
        <v>3.107774465E9</v>
      </c>
      <c r="AO378" s="52" t="s">
        <v>2732</v>
      </c>
      <c r="AP378" s="67" t="s">
        <v>2733</v>
      </c>
      <c r="AQ378" s="67"/>
      <c r="AR378" s="67"/>
      <c r="AS378" s="135">
        <v>0.0</v>
      </c>
      <c r="AT378" s="44">
        <v>0.0</v>
      </c>
      <c r="AU378" s="52">
        <v>0.0</v>
      </c>
      <c r="AV378" s="52">
        <v>0.0</v>
      </c>
      <c r="AW378" s="43" t="s">
        <v>88</v>
      </c>
      <c r="AX378" s="52">
        <v>0.0</v>
      </c>
      <c r="AY378" s="52">
        <v>0.0</v>
      </c>
      <c r="AZ378" s="52">
        <v>0.0</v>
      </c>
      <c r="BA378" s="43" t="s">
        <v>89</v>
      </c>
      <c r="BB378" s="52">
        <v>0.0</v>
      </c>
      <c r="BC378" s="69" t="s">
        <v>2734</v>
      </c>
      <c r="BD378" s="70"/>
      <c r="BE378" s="71"/>
      <c r="BF378" s="72" t="s">
        <v>2735</v>
      </c>
      <c r="BG378" s="73"/>
      <c r="BH378" s="73"/>
      <c r="BI378" s="73"/>
      <c r="BJ378" s="73"/>
      <c r="BK378" s="73"/>
      <c r="BL378" s="73"/>
      <c r="BM378" s="73"/>
      <c r="BN378" s="73"/>
      <c r="BO378" s="73"/>
      <c r="BP378" s="73"/>
      <c r="BQ378" s="73"/>
      <c r="BR378" s="73"/>
      <c r="BS378" s="73"/>
      <c r="BT378" s="73"/>
      <c r="BU378" s="73"/>
      <c r="BV378" s="73"/>
      <c r="BW378" s="74"/>
      <c r="BX378" s="74"/>
      <c r="BY378" s="63"/>
      <c r="BZ378" s="63"/>
    </row>
    <row r="379" ht="15.75" customHeight="1">
      <c r="A379" s="120" t="s">
        <v>2736</v>
      </c>
      <c r="B379" s="112" t="s">
        <v>2737</v>
      </c>
      <c r="C379" s="50" t="s">
        <v>271</v>
      </c>
      <c r="D379" s="63" t="s">
        <v>155</v>
      </c>
      <c r="E379" s="45"/>
      <c r="F379" s="47">
        <v>7.0E8</v>
      </c>
      <c r="G379" s="44" t="str">
        <f t="shared" si="8"/>
        <v>$500'000.000 a $1.000'000.000</v>
      </c>
      <c r="H379" s="44"/>
      <c r="I379" s="44"/>
      <c r="J379" s="50" t="s">
        <v>76</v>
      </c>
      <c r="K379" s="51" t="s">
        <v>77</v>
      </c>
      <c r="L379" s="52">
        <v>2.0</v>
      </c>
      <c r="M379" s="52"/>
      <c r="N379" s="52">
        <v>7.0</v>
      </c>
      <c r="O379" s="43">
        <v>1.0</v>
      </c>
      <c r="P379" s="52">
        <v>1.0</v>
      </c>
      <c r="Q379" s="113"/>
      <c r="R379" s="113"/>
      <c r="S379" s="56" t="str">
        <f t="shared" si="15"/>
        <v>Rentabilidad $3,300,000</v>
      </c>
      <c r="T379" s="52" t="s">
        <v>78</v>
      </c>
      <c r="U379" s="56" t="s">
        <v>184</v>
      </c>
      <c r="V379" s="43" t="s">
        <v>79</v>
      </c>
      <c r="W379" s="43"/>
      <c r="X379" s="52">
        <v>2.0</v>
      </c>
      <c r="Y379" s="43" t="s">
        <v>80</v>
      </c>
      <c r="Z379" s="80" t="s">
        <v>81</v>
      </c>
      <c r="AA379" s="59" t="str">
        <f>IF(Rentabilidad=0,"No aplica",TEXT(ROUND(Precio/Rentabilidad/12,0),0) &amp; " años")</f>
        <v>18 años</v>
      </c>
      <c r="AB379" s="60"/>
      <c r="AC379" s="61"/>
      <c r="AD379" s="62"/>
      <c r="AE379" s="63"/>
      <c r="AF379" s="64" t="s">
        <v>84</v>
      </c>
      <c r="AG379" s="63"/>
      <c r="AH379" s="65" t="s">
        <v>45</v>
      </c>
      <c r="AI379" s="63"/>
      <c r="AJ379" s="64" t="s">
        <v>1834</v>
      </c>
      <c r="AK379" s="44"/>
      <c r="AL379" s="45" t="s">
        <v>2624</v>
      </c>
      <c r="AM379" s="52">
        <v>3.13337868E9</v>
      </c>
      <c r="AN379" s="45" t="s">
        <v>2738</v>
      </c>
      <c r="AO379" s="52" t="s">
        <v>2739</v>
      </c>
      <c r="AP379" s="67" t="s">
        <v>2740</v>
      </c>
      <c r="AQ379" s="67"/>
      <c r="AR379" s="67"/>
      <c r="AS379" s="135">
        <v>3300000.0</v>
      </c>
      <c r="AT379" s="63">
        <v>0.0</v>
      </c>
      <c r="AU379" s="52">
        <v>0.0</v>
      </c>
      <c r="AV379" s="52">
        <v>0.0</v>
      </c>
      <c r="AW379" s="43" t="s">
        <v>88</v>
      </c>
      <c r="AX379" s="52">
        <v>0.0</v>
      </c>
      <c r="AY379" s="52">
        <v>0.0</v>
      </c>
      <c r="AZ379" s="52">
        <v>0.0</v>
      </c>
      <c r="BA379" s="43" t="s">
        <v>89</v>
      </c>
      <c r="BB379" s="52">
        <v>0.0</v>
      </c>
      <c r="BC379" s="109"/>
      <c r="BD379" s="121"/>
      <c r="BE379" s="129"/>
      <c r="BF379" s="72"/>
      <c r="BG379" s="73"/>
      <c r="BH379" s="73"/>
      <c r="BI379" s="73"/>
      <c r="BJ379" s="73"/>
      <c r="BK379" s="73"/>
      <c r="BL379" s="73"/>
      <c r="BM379" s="73"/>
      <c r="BN379" s="73"/>
      <c r="BO379" s="73"/>
      <c r="BP379" s="73"/>
      <c r="BQ379" s="73"/>
      <c r="BR379" s="73"/>
      <c r="BS379" s="73"/>
      <c r="BT379" s="73"/>
      <c r="BU379" s="73"/>
      <c r="BV379" s="73"/>
      <c r="BW379" s="74"/>
      <c r="BX379" s="74"/>
      <c r="BY379" s="63"/>
      <c r="BZ379" s="63"/>
    </row>
    <row r="380" ht="15.75" customHeight="1">
      <c r="A380" s="120" t="s">
        <v>2741</v>
      </c>
      <c r="B380" s="112" t="s">
        <v>2742</v>
      </c>
      <c r="C380" s="50" t="s">
        <v>271</v>
      </c>
      <c r="D380" s="43" t="s">
        <v>389</v>
      </c>
      <c r="E380" s="77" t="s">
        <v>376</v>
      </c>
      <c r="F380" s="47">
        <v>7.0E8</v>
      </c>
      <c r="G380" s="44" t="str">
        <f t="shared" si="8"/>
        <v>$500'000.000 a $1.000'000.000</v>
      </c>
      <c r="H380" s="44"/>
      <c r="I380" s="44"/>
      <c r="J380" s="43" t="s">
        <v>76</v>
      </c>
      <c r="K380" s="56" t="s">
        <v>77</v>
      </c>
      <c r="L380" s="52">
        <v>5.0</v>
      </c>
      <c r="M380" s="52"/>
      <c r="N380" s="52">
        <v>4.0</v>
      </c>
      <c r="O380" s="43">
        <v>0.0</v>
      </c>
      <c r="P380" s="52">
        <v>1.0</v>
      </c>
      <c r="Q380" s="54">
        <v>266.0</v>
      </c>
      <c r="R380" s="55">
        <v>266.0</v>
      </c>
      <c r="S380" s="56" t="str">
        <f t="shared" si="15"/>
        <v>Rentabilidad $2,000,000</v>
      </c>
      <c r="T380" s="52" t="s">
        <v>78</v>
      </c>
      <c r="U380" s="142" t="s">
        <v>77</v>
      </c>
      <c r="V380" s="43" t="s">
        <v>79</v>
      </c>
      <c r="W380" s="43"/>
      <c r="X380" s="52">
        <v>0.0</v>
      </c>
      <c r="Y380" s="43" t="s">
        <v>80</v>
      </c>
      <c r="Z380" s="58" t="s">
        <v>81</v>
      </c>
      <c r="AA380" s="59" t="str">
        <f>IF(Rentabilidad=0,"No aplica",TEXT(ROUND(Precio/Rentabilidad/12,0),0) &amp; " años")</f>
        <v>29 años</v>
      </c>
      <c r="AB380" s="60"/>
      <c r="AC380" s="61"/>
      <c r="AD380" s="62"/>
      <c r="AE380" s="63"/>
      <c r="AF380" s="45" t="s">
        <v>105</v>
      </c>
      <c r="AG380" s="63"/>
      <c r="AH380" s="65" t="s">
        <v>45</v>
      </c>
      <c r="AI380" s="63"/>
      <c r="AJ380" s="64" t="s">
        <v>1834</v>
      </c>
      <c r="AK380" s="44"/>
      <c r="AL380" s="45" t="s">
        <v>2743</v>
      </c>
      <c r="AM380" s="52">
        <v>3.12451407E9</v>
      </c>
      <c r="AN380" s="45">
        <v>3.023749655E9</v>
      </c>
      <c r="AO380" s="52" t="s">
        <v>2744</v>
      </c>
      <c r="AP380" s="67" t="s">
        <v>2745</v>
      </c>
      <c r="AQ380" s="67"/>
      <c r="AR380" s="67"/>
      <c r="AS380" s="135">
        <v>2000000.0</v>
      </c>
      <c r="AT380" s="44">
        <v>0.0</v>
      </c>
      <c r="AU380" s="52">
        <v>0.0</v>
      </c>
      <c r="AV380" s="52">
        <v>0.0</v>
      </c>
      <c r="AW380" s="43" t="s">
        <v>88</v>
      </c>
      <c r="AX380" s="52">
        <v>0.0</v>
      </c>
      <c r="AY380" s="52">
        <v>0.0</v>
      </c>
      <c r="AZ380" s="52">
        <v>9.5</v>
      </c>
      <c r="BA380" s="43" t="s">
        <v>89</v>
      </c>
      <c r="BB380" s="52">
        <v>28.0</v>
      </c>
      <c r="BC380" s="109"/>
      <c r="BD380" s="70"/>
      <c r="BE380" s="71"/>
      <c r="BF380" s="72"/>
      <c r="BG380" s="73"/>
      <c r="BH380" s="73"/>
      <c r="BI380" s="73"/>
      <c r="BJ380" s="73"/>
      <c r="BK380" s="73"/>
      <c r="BL380" s="73"/>
      <c r="BM380" s="73"/>
      <c r="BN380" s="73"/>
      <c r="BO380" s="73"/>
      <c r="BP380" s="73"/>
      <c r="BQ380" s="73"/>
      <c r="BR380" s="73"/>
      <c r="BS380" s="73"/>
      <c r="BT380" s="73"/>
      <c r="BU380" s="73"/>
      <c r="BV380" s="73"/>
      <c r="BW380" s="74"/>
      <c r="BX380" s="74"/>
      <c r="BY380" s="63"/>
      <c r="BZ380" s="63"/>
    </row>
    <row r="381" ht="15.75" customHeight="1">
      <c r="A381" s="75" t="s">
        <v>2746</v>
      </c>
      <c r="B381" s="112" t="s">
        <v>2747</v>
      </c>
      <c r="C381" s="50" t="s">
        <v>271</v>
      </c>
      <c r="D381" s="44" t="s">
        <v>11</v>
      </c>
      <c r="E381" s="77" t="s">
        <v>376</v>
      </c>
      <c r="F381" s="47">
        <v>7.0E8</v>
      </c>
      <c r="G381" s="44" t="str">
        <f t="shared" si="8"/>
        <v>$500'000.000 a $1.000'000.000</v>
      </c>
      <c r="H381" s="44"/>
      <c r="I381" s="44"/>
      <c r="J381" s="50" t="s">
        <v>183</v>
      </c>
      <c r="K381" s="51" t="s">
        <v>184</v>
      </c>
      <c r="L381" s="52">
        <v>6.0</v>
      </c>
      <c r="M381" s="52"/>
      <c r="N381" s="52">
        <v>3.0</v>
      </c>
      <c r="O381" s="43">
        <v>0.0</v>
      </c>
      <c r="P381" s="44">
        <v>1.0</v>
      </c>
      <c r="Q381" s="113">
        <v>240.0</v>
      </c>
      <c r="R381" s="55">
        <v>240.0</v>
      </c>
      <c r="S381" s="56" t="str">
        <f t="shared" si="15"/>
        <v>Rentabilidad $2,500,000</v>
      </c>
      <c r="T381" s="44" t="s">
        <v>78</v>
      </c>
      <c r="U381" s="57" t="s">
        <v>184</v>
      </c>
      <c r="V381" s="43" t="s">
        <v>118</v>
      </c>
      <c r="W381" s="43"/>
      <c r="X381" s="52">
        <v>2.0</v>
      </c>
      <c r="Y381" s="94" t="s">
        <v>80</v>
      </c>
      <c r="Z381" s="80" t="s">
        <v>81</v>
      </c>
      <c r="AA381" s="59" t="str">
        <f>IF(Rentabilidad=0,"No aplica",TEXT(ROUND(Precio/Rentabilidad/12,0),0) &amp; " años")</f>
        <v>23 años</v>
      </c>
      <c r="AB381" s="60"/>
      <c r="AC381" s="61"/>
      <c r="AD381" s="62"/>
      <c r="AE381" s="63"/>
      <c r="AF381" s="64" t="s">
        <v>236</v>
      </c>
      <c r="AG381" s="63"/>
      <c r="AH381" s="65" t="s">
        <v>45</v>
      </c>
      <c r="AI381" s="63"/>
      <c r="AJ381" s="64" t="s">
        <v>1834</v>
      </c>
      <c r="AK381" s="44"/>
      <c r="AL381" s="45" t="s">
        <v>86</v>
      </c>
      <c r="AM381" s="52">
        <v>3.204089254E9</v>
      </c>
      <c r="AN381" s="45">
        <v>3.204089254E9</v>
      </c>
      <c r="AO381" s="52" t="s">
        <v>2748</v>
      </c>
      <c r="AP381" s="67" t="s">
        <v>2749</v>
      </c>
      <c r="AQ381" s="67"/>
      <c r="AR381" s="67"/>
      <c r="AS381" s="68">
        <v>2500000.0</v>
      </c>
      <c r="AT381" s="44">
        <v>0.0</v>
      </c>
      <c r="AU381" s="52">
        <v>0.0</v>
      </c>
      <c r="AV381" s="52">
        <v>0.0</v>
      </c>
      <c r="AW381" s="43" t="s">
        <v>88</v>
      </c>
      <c r="AX381" s="52">
        <v>0.0</v>
      </c>
      <c r="AY381" s="52">
        <v>0.0</v>
      </c>
      <c r="AZ381" s="44">
        <v>10.0</v>
      </c>
      <c r="BA381" s="43" t="s">
        <v>89</v>
      </c>
      <c r="BB381" s="44">
        <v>24.0</v>
      </c>
      <c r="BC381" s="69" t="s">
        <v>769</v>
      </c>
      <c r="BD381" s="70"/>
      <c r="BE381" s="70"/>
      <c r="BF381" s="72"/>
      <c r="BG381" s="73"/>
      <c r="BH381" s="73"/>
      <c r="BI381" s="73"/>
      <c r="BJ381" s="73"/>
      <c r="BK381" s="73"/>
      <c r="BL381" s="73"/>
      <c r="BM381" s="73"/>
      <c r="BN381" s="73"/>
      <c r="BO381" s="73"/>
      <c r="BP381" s="73"/>
      <c r="BQ381" s="73"/>
      <c r="BR381" s="73"/>
      <c r="BS381" s="73"/>
      <c r="BT381" s="73"/>
      <c r="BU381" s="73"/>
      <c r="BV381" s="73"/>
      <c r="BW381" s="74"/>
      <c r="BX381" s="74"/>
      <c r="BY381" s="63"/>
      <c r="BZ381" s="63"/>
    </row>
    <row r="382" ht="15.75" customHeight="1">
      <c r="A382" s="41" t="s">
        <v>2750</v>
      </c>
      <c r="B382" s="50" t="s">
        <v>2751</v>
      </c>
      <c r="C382" s="50" t="s">
        <v>271</v>
      </c>
      <c r="D382" s="44" t="s">
        <v>389</v>
      </c>
      <c r="E382" s="45"/>
      <c r="F382" s="78">
        <v>6.5E8</v>
      </c>
      <c r="G382" s="44" t="str">
        <f t="shared" si="8"/>
        <v>$500'000.000 a $1.000'000.000</v>
      </c>
      <c r="H382" s="44"/>
      <c r="I382" s="44"/>
      <c r="J382" s="43" t="s">
        <v>76</v>
      </c>
      <c r="K382" s="56" t="s">
        <v>77</v>
      </c>
      <c r="L382" s="50">
        <v>5.0</v>
      </c>
      <c r="M382" s="50"/>
      <c r="N382" s="50">
        <v>2.0</v>
      </c>
      <c r="O382" s="50">
        <v>1.0</v>
      </c>
      <c r="P382" s="50">
        <v>1.0</v>
      </c>
      <c r="Q382" s="113"/>
      <c r="R382" s="79">
        <v>508.0</v>
      </c>
      <c r="S382" s="56" t="str">
        <f t="shared" si="15"/>
        <v> </v>
      </c>
      <c r="T382" s="240" t="s">
        <v>78</v>
      </c>
      <c r="U382" s="57"/>
      <c r="V382" s="50" t="s">
        <v>79</v>
      </c>
      <c r="W382" s="50"/>
      <c r="X382" s="44"/>
      <c r="Y382" s="43" t="s">
        <v>80</v>
      </c>
      <c r="Z382" s="80" t="s">
        <v>81</v>
      </c>
      <c r="AA382" s="59" t="str">
        <f>IF(Rentabilidad=0,"No aplica",TEXT(ROUND(Precio/Rentabilidad/12,0),0) &amp; " años")</f>
        <v>No aplica</v>
      </c>
      <c r="AB382" s="220"/>
      <c r="AC382" s="61"/>
      <c r="AD382" s="62"/>
      <c r="AE382" s="63"/>
      <c r="AF382" s="45" t="s">
        <v>1383</v>
      </c>
      <c r="AG382" s="63"/>
      <c r="AH382" s="65" t="s">
        <v>45</v>
      </c>
      <c r="AI382" s="63"/>
      <c r="AJ382" s="64" t="s">
        <v>1834</v>
      </c>
      <c r="AK382" s="44"/>
      <c r="AL382" s="45" t="s">
        <v>86</v>
      </c>
      <c r="AM382" s="52">
        <v>3.17481679E9</v>
      </c>
      <c r="AN382" s="45">
        <v>3.112834552E9</v>
      </c>
      <c r="AO382" s="44"/>
      <c r="AP382" s="67"/>
      <c r="AQ382" s="67"/>
      <c r="AR382" s="67"/>
      <c r="AS382" s="94">
        <v>0.0</v>
      </c>
      <c r="AT382" s="44"/>
      <c r="AU382" s="44"/>
      <c r="AV382" s="44"/>
      <c r="AW382" s="44"/>
      <c r="AX382" s="44"/>
      <c r="AY382" s="44"/>
      <c r="AZ382" s="44"/>
      <c r="BA382" s="43" t="s">
        <v>89</v>
      </c>
      <c r="BB382" s="44"/>
      <c r="BC382" s="109"/>
      <c r="BD382" s="70"/>
      <c r="BE382" s="71"/>
      <c r="BF382" s="72"/>
      <c r="BG382" s="73"/>
      <c r="BH382" s="73"/>
      <c r="BI382" s="73"/>
      <c r="BJ382" s="73"/>
      <c r="BK382" s="73"/>
      <c r="BL382" s="73"/>
      <c r="BM382" s="73"/>
      <c r="BN382" s="73"/>
      <c r="BO382" s="73"/>
      <c r="BP382" s="73"/>
      <c r="BQ382" s="73"/>
      <c r="BR382" s="73"/>
      <c r="BS382" s="73"/>
      <c r="BT382" s="73"/>
      <c r="BU382" s="73"/>
      <c r="BV382" s="73"/>
      <c r="BW382" s="74"/>
      <c r="BX382" s="74"/>
      <c r="BY382" s="63"/>
      <c r="BZ382" s="63"/>
    </row>
    <row r="383" ht="15.75" customHeight="1">
      <c r="A383" s="120" t="s">
        <v>2752</v>
      </c>
      <c r="B383" s="50" t="s">
        <v>2753</v>
      </c>
      <c r="C383" s="50" t="s">
        <v>271</v>
      </c>
      <c r="D383" s="50" t="s">
        <v>1222</v>
      </c>
      <c r="E383" s="77" t="s">
        <v>376</v>
      </c>
      <c r="F383" s="47">
        <v>6.5E8</v>
      </c>
      <c r="G383" s="44" t="str">
        <f t="shared" si="8"/>
        <v>$500'000.000 a $1.000'000.000</v>
      </c>
      <c r="H383" s="44"/>
      <c r="I383" s="44"/>
      <c r="J383" s="50" t="s">
        <v>183</v>
      </c>
      <c r="K383" s="51"/>
      <c r="L383" s="52">
        <v>16.0</v>
      </c>
      <c r="M383" s="52"/>
      <c r="N383" s="52">
        <v>12.0</v>
      </c>
      <c r="O383" s="43">
        <v>1.0</v>
      </c>
      <c r="P383" s="52">
        <v>2.0</v>
      </c>
      <c r="Q383" s="54">
        <v>353.52</v>
      </c>
      <c r="R383" s="55">
        <v>170.0</v>
      </c>
      <c r="S383" s="56" t="str">
        <f t="shared" si="15"/>
        <v>Rentabilidad $5,000,000</v>
      </c>
      <c r="T383" s="52" t="s">
        <v>78</v>
      </c>
      <c r="U383" s="142" t="s">
        <v>184</v>
      </c>
      <c r="V383" s="43" t="s">
        <v>118</v>
      </c>
      <c r="W383" s="43"/>
      <c r="X383" s="52">
        <v>9.0</v>
      </c>
      <c r="Y383" s="43" t="s">
        <v>80</v>
      </c>
      <c r="Z383" s="58" t="s">
        <v>81</v>
      </c>
      <c r="AA383" s="59" t="str">
        <f>IF(Rentabilidad=0,"No aplica",TEXT(ROUND(Precio/Rentabilidad/12,0),0) &amp; " años")</f>
        <v>11 años</v>
      </c>
      <c r="AB383" s="60"/>
      <c r="AC383" s="61"/>
      <c r="AD383" s="62"/>
      <c r="AE383" s="63"/>
      <c r="AF383" s="45" t="s">
        <v>2754</v>
      </c>
      <c r="AG383" s="65"/>
      <c r="AH383" s="65"/>
      <c r="AI383" s="63"/>
      <c r="AJ383" s="64" t="s">
        <v>1834</v>
      </c>
      <c r="AK383" s="44"/>
      <c r="AL383" s="45" t="s">
        <v>86</v>
      </c>
      <c r="AM383" s="52">
        <v>3.105815636E9</v>
      </c>
      <c r="AN383" s="45">
        <v>0.0</v>
      </c>
      <c r="AO383" s="52" t="s">
        <v>2755</v>
      </c>
      <c r="AP383" s="67" t="s">
        <v>2756</v>
      </c>
      <c r="AQ383" s="67"/>
      <c r="AR383" s="67"/>
      <c r="AS383" s="135">
        <v>5000000.0</v>
      </c>
      <c r="AT383" s="44">
        <v>0.0</v>
      </c>
      <c r="AU383" s="52">
        <v>0.0</v>
      </c>
      <c r="AV383" s="52">
        <v>0.0</v>
      </c>
      <c r="AW383" s="43" t="s">
        <v>88</v>
      </c>
      <c r="AX383" s="52">
        <v>0.0</v>
      </c>
      <c r="AY383" s="52">
        <v>0.0</v>
      </c>
      <c r="AZ383" s="52">
        <v>8.5</v>
      </c>
      <c r="BA383" s="43" t="s">
        <v>89</v>
      </c>
      <c r="BB383" s="52">
        <v>20.0</v>
      </c>
      <c r="BC383" s="69" t="s">
        <v>455</v>
      </c>
      <c r="BD383" s="70"/>
      <c r="BE383" s="71"/>
      <c r="BF383" s="72"/>
      <c r="BG383" s="73"/>
      <c r="BH383" s="73"/>
      <c r="BI383" s="73"/>
      <c r="BJ383" s="73"/>
      <c r="BK383" s="73"/>
      <c r="BL383" s="73"/>
      <c r="BM383" s="73"/>
      <c r="BN383" s="73"/>
      <c r="BO383" s="73"/>
      <c r="BP383" s="73"/>
      <c r="BQ383" s="73"/>
      <c r="BR383" s="73"/>
      <c r="BS383" s="73"/>
      <c r="BT383" s="73"/>
      <c r="BU383" s="73"/>
      <c r="BV383" s="73"/>
      <c r="BW383" s="74"/>
      <c r="BX383" s="74"/>
      <c r="BY383" s="63"/>
      <c r="BZ383" s="63"/>
    </row>
    <row r="384" ht="15.75" customHeight="1">
      <c r="A384" s="120" t="s">
        <v>2757</v>
      </c>
      <c r="B384" s="112" t="s">
        <v>2710</v>
      </c>
      <c r="C384" s="50" t="s">
        <v>70</v>
      </c>
      <c r="D384" s="63" t="s">
        <v>155</v>
      </c>
      <c r="E384" s="77" t="s">
        <v>376</v>
      </c>
      <c r="F384" s="47">
        <v>6.5E8</v>
      </c>
      <c r="G384" s="44" t="str">
        <f t="shared" si="8"/>
        <v>$500'000.000 a $1.000'000.000</v>
      </c>
      <c r="H384" s="44"/>
      <c r="I384" s="44"/>
      <c r="J384" s="50" t="s">
        <v>76</v>
      </c>
      <c r="K384" s="51" t="s">
        <v>77</v>
      </c>
      <c r="L384" s="52">
        <v>5.0</v>
      </c>
      <c r="M384" s="52"/>
      <c r="N384" s="52">
        <v>2.0</v>
      </c>
      <c r="O384" s="43">
        <v>1.0</v>
      </c>
      <c r="P384" s="52">
        <v>1.0</v>
      </c>
      <c r="Q384" s="54"/>
      <c r="R384" s="55">
        <v>400.0</v>
      </c>
      <c r="S384" s="56" t="str">
        <f t="shared" si="15"/>
        <v>Rentabilidad $950,000</v>
      </c>
      <c r="T384" s="52" t="s">
        <v>78</v>
      </c>
      <c r="U384" s="142" t="s">
        <v>77</v>
      </c>
      <c r="V384" s="43" t="s">
        <v>79</v>
      </c>
      <c r="W384" s="43"/>
      <c r="X384" s="52">
        <v>0.0</v>
      </c>
      <c r="Y384" s="43" t="s">
        <v>80</v>
      </c>
      <c r="Z384" s="58" t="s">
        <v>81</v>
      </c>
      <c r="AA384" s="59" t="str">
        <f>IF(Rentabilidad=0,"No aplica",TEXT(ROUND(Precio/Rentabilidad/12,0),0) &amp; " años")</f>
        <v>57 años</v>
      </c>
      <c r="AB384" s="60"/>
      <c r="AC384" s="61"/>
      <c r="AD384" s="62"/>
      <c r="AE384" s="63"/>
      <c r="AF384" s="64" t="s">
        <v>84</v>
      </c>
      <c r="AG384" s="63"/>
      <c r="AH384" s="65" t="s">
        <v>45</v>
      </c>
      <c r="AI384" s="63"/>
      <c r="AJ384" s="64" t="s">
        <v>1834</v>
      </c>
      <c r="AK384" s="44"/>
      <c r="AL384" s="45" t="s">
        <v>86</v>
      </c>
      <c r="AM384" s="52">
        <v>3.232820815E9</v>
      </c>
      <c r="AN384" s="45">
        <v>3.158959388E9</v>
      </c>
      <c r="AO384" s="52" t="s">
        <v>2758</v>
      </c>
      <c r="AP384" s="67" t="s">
        <v>2759</v>
      </c>
      <c r="AQ384" s="67"/>
      <c r="AR384" s="67"/>
      <c r="AS384" s="135">
        <v>950000.0</v>
      </c>
      <c r="AT384" s="44">
        <v>0.0</v>
      </c>
      <c r="AU384" s="52">
        <v>0.0</v>
      </c>
      <c r="AV384" s="52">
        <v>0.0</v>
      </c>
      <c r="AW384" s="43" t="s">
        <v>88</v>
      </c>
      <c r="AX384" s="52">
        <v>0.0</v>
      </c>
      <c r="AY384" s="52">
        <v>0.0</v>
      </c>
      <c r="AZ384" s="52">
        <v>20.0</v>
      </c>
      <c r="BA384" s="43" t="s">
        <v>89</v>
      </c>
      <c r="BB384" s="52">
        <v>20.0</v>
      </c>
      <c r="BC384" s="86"/>
      <c r="BD384" s="71"/>
      <c r="BE384" s="71"/>
      <c r="BF384" s="72"/>
      <c r="BG384" s="73"/>
      <c r="BH384" s="73"/>
      <c r="BI384" s="73"/>
      <c r="BJ384" s="73"/>
      <c r="BK384" s="73"/>
      <c r="BL384" s="73"/>
      <c r="BM384" s="73"/>
      <c r="BN384" s="73"/>
      <c r="BO384" s="73"/>
      <c r="BP384" s="73"/>
      <c r="BQ384" s="73"/>
      <c r="BR384" s="73"/>
      <c r="BS384" s="73"/>
      <c r="BT384" s="73"/>
      <c r="BU384" s="73"/>
      <c r="BV384" s="73"/>
      <c r="BW384" s="74"/>
      <c r="BX384" s="74"/>
      <c r="BY384" s="63"/>
      <c r="BZ384" s="63"/>
    </row>
    <row r="385" ht="15.75" customHeight="1">
      <c r="A385" s="133" t="s">
        <v>2760</v>
      </c>
      <c r="B385" s="122" t="s">
        <v>2761</v>
      </c>
      <c r="C385" s="43" t="s">
        <v>315</v>
      </c>
      <c r="D385" s="44" t="s">
        <v>71</v>
      </c>
      <c r="E385" s="77" t="s">
        <v>376</v>
      </c>
      <c r="F385" s="47">
        <v>6.5E8</v>
      </c>
      <c r="G385" s="44" t="str">
        <f t="shared" si="8"/>
        <v>$500'000.000 a $1.000'000.000</v>
      </c>
      <c r="H385" s="44"/>
      <c r="I385" s="44"/>
      <c r="J385" s="43" t="s">
        <v>76</v>
      </c>
      <c r="K385" s="51" t="s">
        <v>77</v>
      </c>
      <c r="L385" s="52">
        <v>0.0</v>
      </c>
      <c r="M385" s="52"/>
      <c r="N385" s="52">
        <v>0.0</v>
      </c>
      <c r="O385" s="43">
        <v>0.0</v>
      </c>
      <c r="P385" s="43">
        <v>0.0</v>
      </c>
      <c r="Q385" s="54"/>
      <c r="R385" s="55">
        <v>504.0</v>
      </c>
      <c r="S385" s="56" t="str">
        <f t="shared" si="15"/>
        <v> </v>
      </c>
      <c r="T385" s="52" t="s">
        <v>78</v>
      </c>
      <c r="U385" s="142" t="s">
        <v>77</v>
      </c>
      <c r="V385" s="43" t="s">
        <v>79</v>
      </c>
      <c r="W385" s="43"/>
      <c r="X385" s="52">
        <v>0.0</v>
      </c>
      <c r="Y385" s="43" t="s">
        <v>80</v>
      </c>
      <c r="Z385" s="80" t="s">
        <v>81</v>
      </c>
      <c r="AA385" s="59" t="str">
        <f>IF(Rentabilidad=0,"No aplica",TEXT(ROUND(Precio/Rentabilidad/12,0),0) &amp; " años")</f>
        <v>No aplica</v>
      </c>
      <c r="AB385" s="60"/>
      <c r="AC385" s="61"/>
      <c r="AD385" s="62"/>
      <c r="AE385" s="63"/>
      <c r="AF385" s="45" t="s">
        <v>2666</v>
      </c>
      <c r="AG385" s="63"/>
      <c r="AH385" s="65" t="s">
        <v>45</v>
      </c>
      <c r="AI385" s="63"/>
      <c r="AJ385" s="64" t="s">
        <v>1834</v>
      </c>
      <c r="AK385" s="44"/>
      <c r="AL385" s="45" t="s">
        <v>2624</v>
      </c>
      <c r="AM385" s="52">
        <v>3.162638205E9</v>
      </c>
      <c r="AN385" s="45">
        <v>3.152628295E9</v>
      </c>
      <c r="AO385" s="52" t="s">
        <v>2762</v>
      </c>
      <c r="AP385" s="67" t="s">
        <v>2763</v>
      </c>
      <c r="AQ385" s="67"/>
      <c r="AR385" s="67"/>
      <c r="AS385" s="94">
        <v>0.0</v>
      </c>
      <c r="AT385" s="63">
        <v>0.0</v>
      </c>
      <c r="AU385" s="52">
        <v>0.0</v>
      </c>
      <c r="AV385" s="52">
        <v>0.0</v>
      </c>
      <c r="AW385" s="43" t="s">
        <v>88</v>
      </c>
      <c r="AX385" s="52">
        <v>0.0</v>
      </c>
      <c r="AY385" s="52">
        <v>0.0</v>
      </c>
      <c r="AZ385" s="52">
        <v>18.0</v>
      </c>
      <c r="BA385" s="43" t="s">
        <v>89</v>
      </c>
      <c r="BB385" s="52">
        <v>28.0</v>
      </c>
      <c r="BC385" s="69" t="s">
        <v>2764</v>
      </c>
      <c r="BD385" s="70"/>
      <c r="BE385" s="70"/>
      <c r="BF385" s="72"/>
      <c r="BG385" s="73"/>
      <c r="BH385" s="73"/>
      <c r="BI385" s="73"/>
      <c r="BJ385" s="73"/>
      <c r="BK385" s="73"/>
      <c r="BL385" s="73"/>
      <c r="BM385" s="73"/>
      <c r="BN385" s="73"/>
      <c r="BO385" s="73"/>
      <c r="BP385" s="73"/>
      <c r="BQ385" s="73"/>
      <c r="BR385" s="73"/>
      <c r="BS385" s="73"/>
      <c r="BT385" s="73"/>
      <c r="BU385" s="73"/>
      <c r="BV385" s="73"/>
      <c r="BW385" s="74"/>
      <c r="BX385" s="74"/>
      <c r="BY385" s="63"/>
      <c r="BZ385" s="63"/>
    </row>
    <row r="386" ht="15.75" customHeight="1">
      <c r="A386" s="75" t="s">
        <v>2765</v>
      </c>
      <c r="B386" s="112" t="s">
        <v>2414</v>
      </c>
      <c r="C386" s="50" t="s">
        <v>271</v>
      </c>
      <c r="D386" s="52" t="s">
        <v>11</v>
      </c>
      <c r="E386" s="77" t="s">
        <v>376</v>
      </c>
      <c r="F386" s="78">
        <v>6.5E8</v>
      </c>
      <c r="G386" s="44" t="str">
        <f t="shared" si="8"/>
        <v>$500'000.000 a $1.000'000.000</v>
      </c>
      <c r="H386" s="44"/>
      <c r="I386" s="44"/>
      <c r="J386" s="43" t="s">
        <v>183</v>
      </c>
      <c r="K386" s="51" t="s">
        <v>184</v>
      </c>
      <c r="L386" s="52">
        <v>6.0</v>
      </c>
      <c r="M386" s="52"/>
      <c r="N386" s="52">
        <v>2.0</v>
      </c>
      <c r="O386" s="43">
        <v>0.0</v>
      </c>
      <c r="P386" s="52">
        <v>1.0</v>
      </c>
      <c r="Q386" s="54">
        <v>246.0</v>
      </c>
      <c r="R386" s="55">
        <v>246.0</v>
      </c>
      <c r="S386" s="56" t="str">
        <f t="shared" si="15"/>
        <v>Rentabilidad $1,400,000</v>
      </c>
      <c r="T386" s="52" t="s">
        <v>78</v>
      </c>
      <c r="U386" s="142" t="s">
        <v>184</v>
      </c>
      <c r="V386" s="43" t="s">
        <v>79</v>
      </c>
      <c r="W386" s="43"/>
      <c r="X386" s="52">
        <v>1.0</v>
      </c>
      <c r="Y386" s="43" t="s">
        <v>80</v>
      </c>
      <c r="Z386" s="80" t="s">
        <v>81</v>
      </c>
      <c r="AA386" s="59" t="str">
        <f>IF(Rentabilidad=0,"No aplica",TEXT(ROUND(Precio/Rentabilidad/12,0),0) &amp; " años")</f>
        <v>39 años</v>
      </c>
      <c r="AB386" s="134" t="s">
        <v>2766</v>
      </c>
      <c r="AC386" s="61"/>
      <c r="AD386" s="62"/>
      <c r="AE386" s="63"/>
      <c r="AF386" s="64" t="s">
        <v>84</v>
      </c>
      <c r="AG386" s="63"/>
      <c r="AH386" s="65" t="s">
        <v>45</v>
      </c>
      <c r="AI386" s="63"/>
      <c r="AJ386" s="64" t="s">
        <v>1834</v>
      </c>
      <c r="AK386" s="44"/>
      <c r="AL386" s="45" t="s">
        <v>86</v>
      </c>
      <c r="AM386" s="52">
        <v>3.186719668E9</v>
      </c>
      <c r="AN386" s="45">
        <v>3.219056849E9</v>
      </c>
      <c r="AO386" s="43" t="s">
        <v>2767</v>
      </c>
      <c r="AP386" s="67">
        <v>0.0</v>
      </c>
      <c r="AQ386" s="67"/>
      <c r="AR386" s="67"/>
      <c r="AS386" s="135">
        <v>1400000.0</v>
      </c>
      <c r="AT386" s="52">
        <v>0.0</v>
      </c>
      <c r="AU386" s="52">
        <v>0.0</v>
      </c>
      <c r="AV386" s="52">
        <v>0.0</v>
      </c>
      <c r="AW386" s="52" t="s">
        <v>106</v>
      </c>
      <c r="AX386" s="52">
        <v>0.0</v>
      </c>
      <c r="AY386" s="52">
        <v>0.0</v>
      </c>
      <c r="AZ386" s="52">
        <v>13.5</v>
      </c>
      <c r="BA386" s="43" t="s">
        <v>89</v>
      </c>
      <c r="BB386" s="52">
        <v>18.0</v>
      </c>
      <c r="BC386" s="109"/>
      <c r="BD386" s="70"/>
      <c r="BE386" s="71"/>
      <c r="BF386" s="72" t="s">
        <v>2768</v>
      </c>
      <c r="BG386" s="73"/>
      <c r="BH386" s="73"/>
      <c r="BI386" s="73"/>
      <c r="BJ386" s="73"/>
      <c r="BK386" s="73"/>
      <c r="BL386" s="73"/>
      <c r="BM386" s="73"/>
      <c r="BN386" s="73"/>
      <c r="BO386" s="73"/>
      <c r="BP386" s="73"/>
      <c r="BQ386" s="73"/>
      <c r="BR386" s="73"/>
      <c r="BS386" s="73"/>
      <c r="BT386" s="73"/>
      <c r="BU386" s="73"/>
      <c r="BV386" s="73"/>
      <c r="BW386" s="74"/>
      <c r="BX386" s="74"/>
      <c r="BY386" s="63"/>
      <c r="BZ386" s="63"/>
    </row>
    <row r="387" ht="15.75" customHeight="1">
      <c r="A387" s="120" t="s">
        <v>2769</v>
      </c>
      <c r="B387" s="122" t="s">
        <v>2406</v>
      </c>
      <c r="C387" s="43" t="s">
        <v>70</v>
      </c>
      <c r="D387" s="50" t="s">
        <v>477</v>
      </c>
      <c r="E387" s="45"/>
      <c r="F387" s="47">
        <v>6.2E8</v>
      </c>
      <c r="G387" s="44" t="str">
        <f t="shared" si="8"/>
        <v>$500'000.000 a $1.000'000.000</v>
      </c>
      <c r="H387" s="44"/>
      <c r="I387" s="44"/>
      <c r="J387" s="43" t="s">
        <v>76</v>
      </c>
      <c r="K387" s="142"/>
      <c r="L387" s="52">
        <v>5.0</v>
      </c>
      <c r="M387" s="52"/>
      <c r="N387" s="52">
        <v>3.0</v>
      </c>
      <c r="O387" s="43">
        <v>1.0</v>
      </c>
      <c r="P387" s="52">
        <v>1.0</v>
      </c>
      <c r="Q387" s="54"/>
      <c r="R387" s="55">
        <v>275.0</v>
      </c>
      <c r="S387" s="56" t="str">
        <f t="shared" si="15"/>
        <v> </v>
      </c>
      <c r="T387" s="52" t="s">
        <v>78</v>
      </c>
      <c r="U387" s="142" t="s">
        <v>77</v>
      </c>
      <c r="V387" s="43" t="s">
        <v>79</v>
      </c>
      <c r="W387" s="43"/>
      <c r="X387" s="52">
        <v>4.0</v>
      </c>
      <c r="Y387" s="43" t="s">
        <v>97</v>
      </c>
      <c r="Z387" s="58" t="s">
        <v>81</v>
      </c>
      <c r="AA387" s="59" t="str">
        <f>IF(Rentabilidad=0,"No aplica",TEXT(ROUND(Precio/Rentabilidad/12,0),0) &amp; " años")</f>
        <v>No aplica</v>
      </c>
      <c r="AB387" s="60"/>
      <c r="AC387" s="61"/>
      <c r="AD387" s="62"/>
      <c r="AE387" s="63"/>
      <c r="AF387" s="45" t="s">
        <v>105</v>
      </c>
      <c r="AG387" s="63"/>
      <c r="AH387" s="63"/>
      <c r="AI387" s="63"/>
      <c r="AJ387" s="64" t="s">
        <v>1834</v>
      </c>
      <c r="AK387" s="44"/>
      <c r="AL387" s="45" t="s">
        <v>86</v>
      </c>
      <c r="AM387" s="52">
        <v>3.188321127E9</v>
      </c>
      <c r="AN387" s="45">
        <v>3.165768135E9</v>
      </c>
      <c r="AO387" s="52" t="s">
        <v>2770</v>
      </c>
      <c r="AP387" s="67" t="s">
        <v>2771</v>
      </c>
      <c r="AQ387" s="67"/>
      <c r="AR387" s="67"/>
      <c r="AS387" s="94">
        <v>0.0</v>
      </c>
      <c r="AT387" s="44">
        <v>0.0</v>
      </c>
      <c r="AU387" s="52">
        <v>0.0</v>
      </c>
      <c r="AV387" s="52">
        <v>0.0</v>
      </c>
      <c r="AW387" s="43" t="s">
        <v>88</v>
      </c>
      <c r="AX387" s="52">
        <v>0.0</v>
      </c>
      <c r="AY387" s="52">
        <v>0.0</v>
      </c>
      <c r="AZ387" s="52">
        <v>0.0</v>
      </c>
      <c r="BA387" s="43" t="s">
        <v>89</v>
      </c>
      <c r="BB387" s="52">
        <v>0.0</v>
      </c>
      <c r="BC387" s="95" t="s">
        <v>439</v>
      </c>
      <c r="BD387" s="71"/>
      <c r="BE387" s="71"/>
      <c r="BF387" s="72"/>
      <c r="BG387" s="73"/>
      <c r="BH387" s="73"/>
      <c r="BI387" s="73"/>
      <c r="BJ387" s="73"/>
      <c r="BK387" s="73"/>
      <c r="BL387" s="73"/>
      <c r="BM387" s="73"/>
      <c r="BN387" s="73"/>
      <c r="BO387" s="73"/>
      <c r="BP387" s="73"/>
      <c r="BQ387" s="73"/>
      <c r="BR387" s="73"/>
      <c r="BS387" s="73"/>
      <c r="BT387" s="73"/>
      <c r="BU387" s="73"/>
      <c r="BV387" s="73"/>
      <c r="BW387" s="74"/>
      <c r="BX387" s="74"/>
      <c r="BY387" s="63"/>
      <c r="BZ387" s="63"/>
    </row>
    <row r="388" ht="15.75" customHeight="1">
      <c r="A388" s="120" t="s">
        <v>2772</v>
      </c>
      <c r="B388" s="112" t="s">
        <v>2773</v>
      </c>
      <c r="C388" s="50" t="s">
        <v>271</v>
      </c>
      <c r="D388" s="116" t="s">
        <v>155</v>
      </c>
      <c r="E388" s="45"/>
      <c r="F388" s="47">
        <v>6.0E8</v>
      </c>
      <c r="G388" s="44" t="str">
        <f t="shared" si="8"/>
        <v>$500'000.000 a $1.000'000.000</v>
      </c>
      <c r="H388" s="44"/>
      <c r="I388" s="44"/>
      <c r="J388" s="50" t="s">
        <v>76</v>
      </c>
      <c r="K388" s="51" t="s">
        <v>77</v>
      </c>
      <c r="L388" s="52">
        <v>6.0</v>
      </c>
      <c r="M388" s="52"/>
      <c r="N388" s="52">
        <v>2.0</v>
      </c>
      <c r="O388" s="43">
        <v>1.0</v>
      </c>
      <c r="P388" s="44">
        <v>2.0</v>
      </c>
      <c r="Q388" s="113">
        <v>232.0</v>
      </c>
      <c r="R388" s="79">
        <v>141.0</v>
      </c>
      <c r="S388" s="56" t="str">
        <f t="shared" si="15"/>
        <v>Rentabilidad $2,000,000</v>
      </c>
      <c r="T388" s="44" t="s">
        <v>78</v>
      </c>
      <c r="U388" s="57" t="s">
        <v>184</v>
      </c>
      <c r="V388" s="50" t="s">
        <v>79</v>
      </c>
      <c r="W388" s="50"/>
      <c r="X388" s="52" t="s">
        <v>88</v>
      </c>
      <c r="Y388" s="43" t="s">
        <v>80</v>
      </c>
      <c r="Z388" s="80" t="s">
        <v>81</v>
      </c>
      <c r="AA388" s="59" t="str">
        <f>IF(Rentabilidad=0,"No aplica",TEXT(ROUND(Precio/Rentabilidad/12,0),0) &amp; " años")</f>
        <v>25 años</v>
      </c>
      <c r="AB388" s="60"/>
      <c r="AC388" s="61"/>
      <c r="AD388" s="62"/>
      <c r="AE388" s="63"/>
      <c r="AF388" s="64" t="s">
        <v>84</v>
      </c>
      <c r="AG388" s="63"/>
      <c r="AH388" s="65" t="s">
        <v>45</v>
      </c>
      <c r="AI388" s="63"/>
      <c r="AJ388" s="64" t="s">
        <v>1834</v>
      </c>
      <c r="AK388" s="44"/>
      <c r="AL388" s="45" t="s">
        <v>2774</v>
      </c>
      <c r="AM388" s="52">
        <v>6.088717341E9</v>
      </c>
      <c r="AN388" s="45">
        <v>3.160468224E9</v>
      </c>
      <c r="AO388" s="44" t="s">
        <v>2775</v>
      </c>
      <c r="AP388" s="67" t="s">
        <v>2776</v>
      </c>
      <c r="AQ388" s="67"/>
      <c r="AR388" s="67"/>
      <c r="AS388" s="68">
        <v>2000000.0</v>
      </c>
      <c r="AT388" s="52">
        <v>0.0</v>
      </c>
      <c r="AU388" s="52">
        <v>0.0</v>
      </c>
      <c r="AV388" s="52">
        <v>0.0</v>
      </c>
      <c r="AW388" s="43" t="s">
        <v>88</v>
      </c>
      <c r="AX388" s="52">
        <v>0.0</v>
      </c>
      <c r="AY388" s="52">
        <v>0.0</v>
      </c>
      <c r="AZ388" s="52">
        <v>0.0</v>
      </c>
      <c r="BA388" s="43" t="s">
        <v>89</v>
      </c>
      <c r="BB388" s="44">
        <v>0.0</v>
      </c>
      <c r="BC388" s="109"/>
      <c r="BD388" s="70"/>
      <c r="BE388" s="71"/>
      <c r="BF388" s="72"/>
      <c r="BG388" s="73"/>
      <c r="BH388" s="73"/>
      <c r="BI388" s="73"/>
      <c r="BJ388" s="73"/>
      <c r="BK388" s="73"/>
      <c r="BL388" s="73"/>
      <c r="BM388" s="73"/>
      <c r="BN388" s="73"/>
      <c r="BO388" s="73"/>
      <c r="BP388" s="73"/>
      <c r="BQ388" s="73"/>
      <c r="BR388" s="73"/>
      <c r="BS388" s="73"/>
      <c r="BT388" s="73"/>
      <c r="BU388" s="73"/>
      <c r="BV388" s="73"/>
      <c r="BW388" s="74"/>
      <c r="BX388" s="74"/>
      <c r="BY388" s="63"/>
      <c r="BZ388" s="63"/>
    </row>
    <row r="389" ht="15.75" customHeight="1">
      <c r="A389" s="41" t="s">
        <v>2777</v>
      </c>
      <c r="B389" s="112" t="s">
        <v>2778</v>
      </c>
      <c r="C389" s="50" t="s">
        <v>271</v>
      </c>
      <c r="D389" s="52" t="s">
        <v>389</v>
      </c>
      <c r="E389" s="45"/>
      <c r="F389" s="47">
        <v>6.0E8</v>
      </c>
      <c r="G389" s="44" t="str">
        <f t="shared" si="8"/>
        <v>$500'000.000 a $1.000'000.000</v>
      </c>
      <c r="H389" s="44"/>
      <c r="I389" s="44"/>
      <c r="J389" s="43" t="s">
        <v>76</v>
      </c>
      <c r="K389" s="56" t="s">
        <v>77</v>
      </c>
      <c r="L389" s="52">
        <v>8.0</v>
      </c>
      <c r="M389" s="52"/>
      <c r="N389" s="52">
        <v>3.0</v>
      </c>
      <c r="O389" s="43">
        <v>1.0</v>
      </c>
      <c r="P389" s="52">
        <v>0.0</v>
      </c>
      <c r="Q389" s="54"/>
      <c r="R389" s="55">
        <v>282.15</v>
      </c>
      <c r="S389" s="56" t="str">
        <f t="shared" si="15"/>
        <v>Rentabilidad $3,450,000</v>
      </c>
      <c r="T389" s="52" t="s">
        <v>78</v>
      </c>
      <c r="U389" s="142" t="s">
        <v>184</v>
      </c>
      <c r="V389" s="43" t="s">
        <v>79</v>
      </c>
      <c r="W389" s="43"/>
      <c r="X389" s="52">
        <v>0.0</v>
      </c>
      <c r="Y389" s="43" t="s">
        <v>80</v>
      </c>
      <c r="Z389" s="58" t="s">
        <v>81</v>
      </c>
      <c r="AA389" s="59" t="str">
        <f>IF(Rentabilidad=0,"No aplica",TEXT(ROUND(Precio/Rentabilidad/12,0),0) &amp; " años")</f>
        <v>14 años</v>
      </c>
      <c r="AB389" s="220"/>
      <c r="AC389" s="61"/>
      <c r="AD389" s="62"/>
      <c r="AE389" s="63"/>
      <c r="AF389" s="45" t="s">
        <v>236</v>
      </c>
      <c r="AG389" s="63"/>
      <c r="AH389" s="65" t="s">
        <v>45</v>
      </c>
      <c r="AI389" s="63"/>
      <c r="AJ389" s="64" t="s">
        <v>1834</v>
      </c>
      <c r="AK389" s="44"/>
      <c r="AL389" s="45" t="s">
        <v>86</v>
      </c>
      <c r="AM389" s="52">
        <v>3.17639092E9</v>
      </c>
      <c r="AN389" s="45">
        <v>3.156824858E9</v>
      </c>
      <c r="AO389" s="52" t="s">
        <v>2779</v>
      </c>
      <c r="AP389" s="67">
        <v>0.0</v>
      </c>
      <c r="AQ389" s="67"/>
      <c r="AR389" s="67"/>
      <c r="AS389" s="135">
        <v>3450000.0</v>
      </c>
      <c r="AT389" s="52">
        <v>0.0</v>
      </c>
      <c r="AU389" s="52">
        <v>0.0</v>
      </c>
      <c r="AV389" s="52">
        <v>0.0</v>
      </c>
      <c r="AW389" s="43" t="s">
        <v>88</v>
      </c>
      <c r="AX389" s="52">
        <v>0.0</v>
      </c>
      <c r="AY389" s="52">
        <v>0.0</v>
      </c>
      <c r="AZ389" s="52">
        <v>0.0</v>
      </c>
      <c r="BA389" s="43" t="s">
        <v>89</v>
      </c>
      <c r="BB389" s="52">
        <v>0.0</v>
      </c>
      <c r="BC389" s="109"/>
      <c r="BD389" s="70"/>
      <c r="BE389" s="70"/>
      <c r="BF389" s="72"/>
      <c r="BG389" s="73"/>
      <c r="BH389" s="73"/>
      <c r="BI389" s="73"/>
      <c r="BJ389" s="73"/>
      <c r="BK389" s="73"/>
      <c r="BL389" s="73"/>
      <c r="BM389" s="73"/>
      <c r="BN389" s="73"/>
      <c r="BO389" s="73"/>
      <c r="BP389" s="73"/>
      <c r="BQ389" s="73"/>
      <c r="BR389" s="73"/>
      <c r="BS389" s="73"/>
      <c r="BT389" s="73"/>
      <c r="BU389" s="73"/>
      <c r="BV389" s="73"/>
      <c r="BW389" s="74"/>
      <c r="BX389" s="74"/>
      <c r="BY389" s="63"/>
      <c r="BZ389" s="63"/>
    </row>
    <row r="390" ht="15.75" customHeight="1">
      <c r="A390" s="75" t="s">
        <v>2780</v>
      </c>
      <c r="B390" s="112" t="s">
        <v>1921</v>
      </c>
      <c r="C390" s="50" t="s">
        <v>1228</v>
      </c>
      <c r="D390" s="44" t="s">
        <v>71</v>
      </c>
      <c r="E390" s="77" t="s">
        <v>376</v>
      </c>
      <c r="F390" s="47">
        <v>5.6E8</v>
      </c>
      <c r="G390" s="44" t="str">
        <f t="shared" si="8"/>
        <v>$500'000.000 a $1.000'000.000</v>
      </c>
      <c r="H390" s="44"/>
      <c r="I390" s="44"/>
      <c r="J390" s="50" t="s">
        <v>76</v>
      </c>
      <c r="K390" s="51" t="s">
        <v>77</v>
      </c>
      <c r="L390" s="44">
        <v>0.0</v>
      </c>
      <c r="M390" s="44"/>
      <c r="N390" s="44">
        <v>0.0</v>
      </c>
      <c r="O390" s="44">
        <v>0.0</v>
      </c>
      <c r="P390" s="44">
        <v>1.0</v>
      </c>
      <c r="Q390" s="113" t="s">
        <v>2781</v>
      </c>
      <c r="R390" s="79">
        <v>400.0</v>
      </c>
      <c r="S390" s="56" t="str">
        <f t="shared" si="15"/>
        <v> </v>
      </c>
      <c r="T390" s="44" t="s">
        <v>78</v>
      </c>
      <c r="U390" s="56" t="s">
        <v>142</v>
      </c>
      <c r="V390" s="50" t="s">
        <v>79</v>
      </c>
      <c r="W390" s="50"/>
      <c r="X390" s="44">
        <v>0.0</v>
      </c>
      <c r="Y390" s="50" t="s">
        <v>80</v>
      </c>
      <c r="Z390" s="58" t="s">
        <v>81</v>
      </c>
      <c r="AA390" s="59" t="str">
        <f>IF(Rentabilidad=0,"No aplica",TEXT(ROUND(Precio/Rentabilidad/12,0),0) &amp; " años")</f>
        <v>No aplica</v>
      </c>
      <c r="AB390" s="220"/>
      <c r="AC390" s="61"/>
      <c r="AD390" s="62"/>
      <c r="AE390" s="63"/>
      <c r="AF390" s="64" t="s">
        <v>2782</v>
      </c>
      <c r="AG390" s="63"/>
      <c r="AH390" s="65" t="s">
        <v>45</v>
      </c>
      <c r="AI390" s="63"/>
      <c r="AJ390" s="64" t="s">
        <v>1834</v>
      </c>
      <c r="AK390" s="44"/>
      <c r="AL390" s="45" t="s">
        <v>2783</v>
      </c>
      <c r="AM390" s="52">
        <v>3.153201082E9</v>
      </c>
      <c r="AN390" s="45">
        <v>0.0</v>
      </c>
      <c r="AO390" s="52" t="s">
        <v>2784</v>
      </c>
      <c r="AP390" s="67" t="s">
        <v>2785</v>
      </c>
      <c r="AQ390" s="67"/>
      <c r="AR390" s="67"/>
      <c r="AS390" s="68">
        <v>0.0</v>
      </c>
      <c r="AT390" s="44">
        <v>0.0</v>
      </c>
      <c r="AU390" s="52">
        <v>0.0</v>
      </c>
      <c r="AV390" s="52">
        <v>0.0</v>
      </c>
      <c r="AW390" s="43" t="s">
        <v>88</v>
      </c>
      <c r="AX390" s="52">
        <v>0.0</v>
      </c>
      <c r="AY390" s="52">
        <v>0.0</v>
      </c>
      <c r="AZ390" s="52">
        <v>0.0</v>
      </c>
      <c r="BA390" s="43" t="s">
        <v>89</v>
      </c>
      <c r="BB390" s="52">
        <v>0.0</v>
      </c>
      <c r="BC390" s="69" t="s">
        <v>439</v>
      </c>
      <c r="BD390" s="70"/>
      <c r="BE390" s="70"/>
      <c r="BF390" s="72"/>
      <c r="BG390" s="73"/>
      <c r="BH390" s="73"/>
      <c r="BI390" s="73"/>
      <c r="BJ390" s="73"/>
      <c r="BK390" s="73"/>
      <c r="BL390" s="73"/>
      <c r="BM390" s="73"/>
      <c r="BN390" s="73"/>
      <c r="BO390" s="73"/>
      <c r="BP390" s="73"/>
      <c r="BQ390" s="73"/>
      <c r="BR390" s="73"/>
      <c r="BS390" s="73"/>
      <c r="BT390" s="73"/>
      <c r="BU390" s="73"/>
      <c r="BV390" s="73"/>
      <c r="BW390" s="74"/>
      <c r="BX390" s="74"/>
      <c r="BY390" s="63"/>
      <c r="BZ390" s="63"/>
    </row>
    <row r="391" ht="15.75" customHeight="1">
      <c r="A391" s="133" t="s">
        <v>2786</v>
      </c>
      <c r="B391" s="122" t="s">
        <v>69</v>
      </c>
      <c r="C391" s="43" t="s">
        <v>70</v>
      </c>
      <c r="D391" s="44" t="s">
        <v>71</v>
      </c>
      <c r="E391" s="77" t="s">
        <v>376</v>
      </c>
      <c r="F391" s="47">
        <v>5.5E8</v>
      </c>
      <c r="G391" s="44" t="str">
        <f t="shared" si="8"/>
        <v>$500'000.000 a $1.000'000.000</v>
      </c>
      <c r="H391" s="44"/>
      <c r="I391" s="44"/>
      <c r="J391" s="43" t="s">
        <v>76</v>
      </c>
      <c r="K391" s="51" t="s">
        <v>77</v>
      </c>
      <c r="L391" s="52">
        <v>4.0</v>
      </c>
      <c r="M391" s="52"/>
      <c r="N391" s="52">
        <v>2.0</v>
      </c>
      <c r="O391" s="43">
        <v>0.0</v>
      </c>
      <c r="P391" s="52">
        <v>1.0</v>
      </c>
      <c r="Q391" s="54">
        <v>213.0</v>
      </c>
      <c r="R391" s="79">
        <v>231.0</v>
      </c>
      <c r="S391" s="56" t="str">
        <f t="shared" si="15"/>
        <v>Rentabilidad $3,500,000</v>
      </c>
      <c r="T391" s="52" t="s">
        <v>78</v>
      </c>
      <c r="U391" s="142" t="s">
        <v>77</v>
      </c>
      <c r="V391" s="43" t="s">
        <v>79</v>
      </c>
      <c r="W391" s="43"/>
      <c r="X391" s="52">
        <v>0.0</v>
      </c>
      <c r="Y391" s="43" t="s">
        <v>80</v>
      </c>
      <c r="Z391" s="58" t="s">
        <v>81</v>
      </c>
      <c r="AA391" s="59" t="str">
        <f>IF(Rentabilidad=0,"No aplica",TEXT(ROUND(Precio/Rentabilidad/12,0),0) &amp; " años")</f>
        <v>13 años</v>
      </c>
      <c r="AB391" s="60"/>
      <c r="AC391" s="61"/>
      <c r="AD391" s="62"/>
      <c r="AE391" s="63"/>
      <c r="AF391" s="64" t="s">
        <v>84</v>
      </c>
      <c r="AG391" s="63"/>
      <c r="AH391" s="65" t="s">
        <v>45</v>
      </c>
      <c r="AI391" s="63"/>
      <c r="AJ391" s="64" t="s">
        <v>1834</v>
      </c>
      <c r="AK391" s="44"/>
      <c r="AL391" s="45" t="s">
        <v>2787</v>
      </c>
      <c r="AM391" s="52">
        <v>3.156605983E9</v>
      </c>
      <c r="AN391" s="45" t="s">
        <v>2788</v>
      </c>
      <c r="AO391" s="52" t="s">
        <v>2789</v>
      </c>
      <c r="AP391" s="67" t="s">
        <v>2790</v>
      </c>
      <c r="AQ391" s="67"/>
      <c r="AR391" s="67"/>
      <c r="AS391" s="135">
        <v>3500000.0</v>
      </c>
      <c r="AT391" s="44">
        <v>0.0</v>
      </c>
      <c r="AU391" s="52">
        <v>0.0</v>
      </c>
      <c r="AV391" s="52">
        <v>0.0</v>
      </c>
      <c r="AW391" s="43" t="s">
        <v>88</v>
      </c>
      <c r="AX391" s="52">
        <v>0.0</v>
      </c>
      <c r="AY391" s="52">
        <v>0.0</v>
      </c>
      <c r="AZ391" s="52">
        <v>0.0</v>
      </c>
      <c r="BA391" s="43" t="s">
        <v>89</v>
      </c>
      <c r="BB391" s="52">
        <v>0.0</v>
      </c>
      <c r="BC391" s="95" t="s">
        <v>1572</v>
      </c>
      <c r="BD391" s="71"/>
      <c r="BE391" s="71"/>
      <c r="BF391" s="130"/>
      <c r="BG391" s="73"/>
      <c r="BH391" s="73"/>
      <c r="BI391" s="73"/>
      <c r="BJ391" s="73"/>
      <c r="BK391" s="73"/>
      <c r="BL391" s="73"/>
      <c r="BM391" s="73"/>
      <c r="BN391" s="73"/>
      <c r="BO391" s="73"/>
      <c r="BP391" s="73"/>
      <c r="BQ391" s="73"/>
      <c r="BR391" s="73"/>
      <c r="BS391" s="73"/>
      <c r="BT391" s="73"/>
      <c r="BU391" s="73"/>
      <c r="BV391" s="73"/>
      <c r="BW391" s="74"/>
      <c r="BX391" s="74"/>
      <c r="BY391" s="63"/>
      <c r="BZ391" s="63"/>
    </row>
    <row r="392" ht="15.75" customHeight="1">
      <c r="A392" s="120" t="s">
        <v>2791</v>
      </c>
      <c r="B392" s="112" t="s">
        <v>2792</v>
      </c>
      <c r="C392" s="50" t="s">
        <v>271</v>
      </c>
      <c r="D392" s="52" t="s">
        <v>1216</v>
      </c>
      <c r="E392" s="45"/>
      <c r="F392" s="47">
        <v>5.5E8</v>
      </c>
      <c r="G392" s="44" t="str">
        <f t="shared" si="8"/>
        <v>$500'000.000 a $1.000'000.000</v>
      </c>
      <c r="H392" s="44"/>
      <c r="I392" s="44"/>
      <c r="J392" s="43" t="s">
        <v>76</v>
      </c>
      <c r="K392" s="51" t="s">
        <v>77</v>
      </c>
      <c r="L392" s="52">
        <v>5.0</v>
      </c>
      <c r="M392" s="52"/>
      <c r="N392" s="52">
        <v>3.0</v>
      </c>
      <c r="O392" s="43">
        <v>1.0</v>
      </c>
      <c r="P392" s="43">
        <v>1.0</v>
      </c>
      <c r="Q392" s="54">
        <v>136.0</v>
      </c>
      <c r="R392" s="55">
        <v>136.0</v>
      </c>
      <c r="S392" s="56" t="str">
        <f t="shared" si="15"/>
        <v>Rentabilidad $1,800,000</v>
      </c>
      <c r="T392" s="52" t="s">
        <v>78</v>
      </c>
      <c r="U392" s="142" t="s">
        <v>77</v>
      </c>
      <c r="V392" s="43" t="s">
        <v>79</v>
      </c>
      <c r="W392" s="43"/>
      <c r="X392" s="52">
        <v>0.0</v>
      </c>
      <c r="Y392" s="44"/>
      <c r="Z392" s="80" t="s">
        <v>81</v>
      </c>
      <c r="AA392" s="59" t="str">
        <f>IF(Rentabilidad=0,"No aplica",TEXT(ROUND(Precio/Rentabilidad/12,0),0) &amp; " años")</f>
        <v>25 años</v>
      </c>
      <c r="AB392" s="60"/>
      <c r="AC392" s="131" t="s">
        <v>2793</v>
      </c>
      <c r="AD392" s="62"/>
      <c r="AE392" s="63"/>
      <c r="AF392" s="64" t="s">
        <v>84</v>
      </c>
      <c r="AG392" s="63"/>
      <c r="AH392" s="65" t="s">
        <v>45</v>
      </c>
      <c r="AI392" s="63"/>
      <c r="AJ392" s="64" t="s">
        <v>1834</v>
      </c>
      <c r="AK392" s="44"/>
      <c r="AL392" s="45" t="s">
        <v>86</v>
      </c>
      <c r="AM392" s="52">
        <v>3.133423646E9</v>
      </c>
      <c r="AN392" s="45">
        <v>0.0</v>
      </c>
      <c r="AO392" s="52" t="s">
        <v>2794</v>
      </c>
      <c r="AP392" s="67" t="s">
        <v>2795</v>
      </c>
      <c r="AQ392" s="67"/>
      <c r="AR392" s="67"/>
      <c r="AS392" s="135">
        <v>1800000.0</v>
      </c>
      <c r="AT392" s="44">
        <v>0.0</v>
      </c>
      <c r="AU392" s="44">
        <v>0.0</v>
      </c>
      <c r="AV392" s="44">
        <v>0.0</v>
      </c>
      <c r="AW392" s="50" t="s">
        <v>88</v>
      </c>
      <c r="AX392" s="44">
        <v>0.0</v>
      </c>
      <c r="AY392" s="44">
        <v>0.0</v>
      </c>
      <c r="AZ392" s="44">
        <v>0.0</v>
      </c>
      <c r="BA392" s="43" t="s">
        <v>89</v>
      </c>
      <c r="BB392" s="44">
        <v>0.0</v>
      </c>
      <c r="BC392" s="95" t="s">
        <v>2796</v>
      </c>
      <c r="BD392" s="71"/>
      <c r="BE392" s="71"/>
      <c r="BF392" s="72"/>
      <c r="BG392" s="73"/>
      <c r="BH392" s="73"/>
      <c r="BI392" s="73"/>
      <c r="BJ392" s="73"/>
      <c r="BK392" s="73"/>
      <c r="BL392" s="73"/>
      <c r="BM392" s="73"/>
      <c r="BN392" s="73"/>
      <c r="BO392" s="73"/>
      <c r="BP392" s="73"/>
      <c r="BQ392" s="73"/>
      <c r="BR392" s="73"/>
      <c r="BS392" s="73"/>
      <c r="BT392" s="73"/>
      <c r="BU392" s="73"/>
      <c r="BV392" s="73"/>
      <c r="BW392" s="74"/>
      <c r="BX392" s="74"/>
      <c r="BY392" s="63"/>
      <c r="BZ392" s="63"/>
    </row>
    <row r="393" ht="15.75" customHeight="1">
      <c r="A393" s="120" t="s">
        <v>2797</v>
      </c>
      <c r="B393" s="122" t="s">
        <v>2798</v>
      </c>
      <c r="C393" s="43" t="s">
        <v>1228</v>
      </c>
      <c r="D393" s="52" t="s">
        <v>163</v>
      </c>
      <c r="E393" s="77" t="s">
        <v>376</v>
      </c>
      <c r="F393" s="47">
        <v>5.5E8</v>
      </c>
      <c r="G393" s="44" t="str">
        <f t="shared" si="8"/>
        <v>$500'000.000 a $1.000'000.000</v>
      </c>
      <c r="H393" s="44"/>
      <c r="I393" s="44"/>
      <c r="J393" s="43" t="s">
        <v>76</v>
      </c>
      <c r="K393" s="56" t="s">
        <v>77</v>
      </c>
      <c r="L393" s="52">
        <v>4.0</v>
      </c>
      <c r="M393" s="52"/>
      <c r="N393" s="52">
        <v>1.0</v>
      </c>
      <c r="O393" s="43">
        <v>1.0</v>
      </c>
      <c r="P393" s="52">
        <v>1.0</v>
      </c>
      <c r="Q393" s="54">
        <v>336.0</v>
      </c>
      <c r="R393" s="55">
        <v>336.0</v>
      </c>
      <c r="S393" s="56" t="str">
        <f t="shared" si="15"/>
        <v>Rentabilidad $1,500,000</v>
      </c>
      <c r="T393" s="52" t="s">
        <v>78</v>
      </c>
      <c r="U393" s="142" t="s">
        <v>142</v>
      </c>
      <c r="V393" s="43" t="s">
        <v>79</v>
      </c>
      <c r="W393" s="43"/>
      <c r="X393" s="52">
        <v>0.0</v>
      </c>
      <c r="Y393" s="43" t="s">
        <v>80</v>
      </c>
      <c r="Z393" s="80" t="s">
        <v>81</v>
      </c>
      <c r="AA393" s="59" t="str">
        <f>IF(Rentabilidad=0,"No aplica",TEXT(ROUND(Precio/Rentabilidad/12,0),0) &amp; " años")</f>
        <v>31 años</v>
      </c>
      <c r="AB393" s="60"/>
      <c r="AC393" s="61"/>
      <c r="AD393" s="62"/>
      <c r="AE393" s="63"/>
      <c r="AF393" s="64" t="s">
        <v>84</v>
      </c>
      <c r="AG393" s="63"/>
      <c r="AH393" s="65" t="s">
        <v>45</v>
      </c>
      <c r="AI393" s="63"/>
      <c r="AJ393" s="64" t="s">
        <v>1834</v>
      </c>
      <c r="AK393" s="44"/>
      <c r="AL393" s="45" t="s">
        <v>86</v>
      </c>
      <c r="AM393" s="52">
        <v>3.167240292E9</v>
      </c>
      <c r="AN393" s="45">
        <v>3.20416513E9</v>
      </c>
      <c r="AO393" s="52" t="s">
        <v>2799</v>
      </c>
      <c r="AP393" s="67" t="s">
        <v>2800</v>
      </c>
      <c r="AQ393" s="67"/>
      <c r="AR393" s="67"/>
      <c r="AS393" s="135">
        <v>1500000.0</v>
      </c>
      <c r="AT393" s="44">
        <v>0.0</v>
      </c>
      <c r="AU393" s="52">
        <v>0.0</v>
      </c>
      <c r="AV393" s="52">
        <v>0.0</v>
      </c>
      <c r="AW393" s="43" t="s">
        <v>88</v>
      </c>
      <c r="AX393" s="52">
        <v>0.0</v>
      </c>
      <c r="AY393" s="52">
        <v>0.0</v>
      </c>
      <c r="AZ393" s="52">
        <v>12.0</v>
      </c>
      <c r="BA393" s="43" t="s">
        <v>89</v>
      </c>
      <c r="BB393" s="52">
        <v>28.0</v>
      </c>
      <c r="BC393" s="69" t="s">
        <v>1092</v>
      </c>
      <c r="BD393" s="70"/>
      <c r="BE393" s="70"/>
      <c r="BF393" s="72"/>
      <c r="BG393" s="73"/>
      <c r="BH393" s="73"/>
      <c r="BI393" s="73"/>
      <c r="BJ393" s="73"/>
      <c r="BK393" s="73"/>
      <c r="BL393" s="73"/>
      <c r="BM393" s="73"/>
      <c r="BN393" s="73"/>
      <c r="BO393" s="73"/>
      <c r="BP393" s="73"/>
      <c r="BQ393" s="73"/>
      <c r="BR393" s="73"/>
      <c r="BS393" s="73"/>
      <c r="BT393" s="73"/>
      <c r="BU393" s="73"/>
      <c r="BV393" s="73"/>
      <c r="BW393" s="74"/>
      <c r="BX393" s="74"/>
      <c r="BY393" s="63"/>
      <c r="BZ393" s="63"/>
    </row>
    <row r="394" ht="15.75" customHeight="1">
      <c r="A394" s="133" t="s">
        <v>2801</v>
      </c>
      <c r="B394" s="112" t="s">
        <v>1744</v>
      </c>
      <c r="C394" s="50" t="s">
        <v>271</v>
      </c>
      <c r="D394" s="44" t="s">
        <v>71</v>
      </c>
      <c r="E394" s="77" t="s">
        <v>376</v>
      </c>
      <c r="F394" s="78">
        <v>5.5E8</v>
      </c>
      <c r="G394" s="44" t="str">
        <f t="shared" si="8"/>
        <v>$500'000.000 a $1.000'000.000</v>
      </c>
      <c r="H394" s="44"/>
      <c r="I394" s="44"/>
      <c r="J394" s="43" t="s">
        <v>76</v>
      </c>
      <c r="K394" s="51" t="s">
        <v>77</v>
      </c>
      <c r="L394" s="52">
        <v>8.0</v>
      </c>
      <c r="M394" s="52"/>
      <c r="N394" s="52">
        <v>3.0</v>
      </c>
      <c r="O394" s="43">
        <v>1.0</v>
      </c>
      <c r="P394" s="52">
        <v>2.0</v>
      </c>
      <c r="Q394" s="54"/>
      <c r="R394" s="55">
        <v>300.0</v>
      </c>
      <c r="S394" s="56" t="str">
        <f t="shared" si="15"/>
        <v>Rentabilidad $1,200,000</v>
      </c>
      <c r="T394" s="52" t="s">
        <v>78</v>
      </c>
      <c r="U394" s="142" t="s">
        <v>184</v>
      </c>
      <c r="V394" s="43" t="s">
        <v>79</v>
      </c>
      <c r="W394" s="43"/>
      <c r="X394" s="52">
        <v>0.0</v>
      </c>
      <c r="Y394" s="43" t="s">
        <v>80</v>
      </c>
      <c r="Z394" s="80" t="s">
        <v>81</v>
      </c>
      <c r="AA394" s="59" t="str">
        <f>IF(Rentabilidad=0,"No aplica",TEXT(ROUND(Precio/Rentabilidad/12,0),0) &amp; " años")</f>
        <v>38 años</v>
      </c>
      <c r="AB394" s="60"/>
      <c r="AC394" s="61"/>
      <c r="AD394" s="62"/>
      <c r="AE394" s="63"/>
      <c r="AF394" s="64" t="s">
        <v>236</v>
      </c>
      <c r="AG394" s="63"/>
      <c r="AH394" s="65" t="s">
        <v>45</v>
      </c>
      <c r="AI394" s="63"/>
      <c r="AJ394" s="64" t="s">
        <v>1834</v>
      </c>
      <c r="AK394" s="44"/>
      <c r="AL394" s="45" t="s">
        <v>2802</v>
      </c>
      <c r="AM394" s="52">
        <v>3.144017157E9</v>
      </c>
      <c r="AN394" s="45">
        <v>8656070.0</v>
      </c>
      <c r="AO394" s="52" t="s">
        <v>2803</v>
      </c>
      <c r="AP394" s="67" t="s">
        <v>2804</v>
      </c>
      <c r="AQ394" s="67"/>
      <c r="AR394" s="67"/>
      <c r="AS394" s="135">
        <v>1200000.0</v>
      </c>
      <c r="AT394" s="63">
        <v>0.0</v>
      </c>
      <c r="AU394" s="52">
        <v>0.0</v>
      </c>
      <c r="AV394" s="52">
        <v>0.0</v>
      </c>
      <c r="AW394" s="43" t="s">
        <v>88</v>
      </c>
      <c r="AX394" s="52">
        <v>0.0</v>
      </c>
      <c r="AY394" s="52">
        <v>0.0</v>
      </c>
      <c r="AZ394" s="52">
        <v>0.0</v>
      </c>
      <c r="BA394" s="43" t="s">
        <v>89</v>
      </c>
      <c r="BB394" s="52">
        <v>0.0</v>
      </c>
      <c r="BC394" s="95"/>
      <c r="BD394" s="71"/>
      <c r="BE394" s="71"/>
      <c r="BF394" s="72"/>
      <c r="BG394" s="73"/>
      <c r="BH394" s="73"/>
      <c r="BI394" s="73"/>
      <c r="BJ394" s="73"/>
      <c r="BK394" s="73"/>
      <c r="BL394" s="73"/>
      <c r="BM394" s="73"/>
      <c r="BN394" s="73"/>
      <c r="BO394" s="73"/>
      <c r="BP394" s="73"/>
      <c r="BQ394" s="73"/>
      <c r="BR394" s="73"/>
      <c r="BS394" s="73"/>
      <c r="BT394" s="73"/>
      <c r="BU394" s="73"/>
      <c r="BV394" s="73"/>
      <c r="BW394" s="74"/>
      <c r="BX394" s="74"/>
      <c r="BY394" s="63"/>
      <c r="BZ394" s="63"/>
    </row>
    <row r="395" ht="15.75" customHeight="1">
      <c r="A395" s="41" t="s">
        <v>2805</v>
      </c>
      <c r="B395" s="112" t="s">
        <v>2806</v>
      </c>
      <c r="C395" s="50" t="s">
        <v>448</v>
      </c>
      <c r="D395" s="65" t="s">
        <v>155</v>
      </c>
      <c r="E395" s="45"/>
      <c r="F395" s="47">
        <v>5.3E8</v>
      </c>
      <c r="G395" s="44" t="str">
        <f t="shared" si="8"/>
        <v>$500'000.000 a $1.000'000.000</v>
      </c>
      <c r="H395" s="44"/>
      <c r="I395" s="44"/>
      <c r="J395" s="50" t="s">
        <v>76</v>
      </c>
      <c r="K395" s="51" t="s">
        <v>77</v>
      </c>
      <c r="L395" s="52">
        <v>1.0</v>
      </c>
      <c r="M395" s="52"/>
      <c r="N395" s="52">
        <v>1.0</v>
      </c>
      <c r="O395" s="43">
        <v>2.0</v>
      </c>
      <c r="P395" s="52">
        <v>3.0</v>
      </c>
      <c r="Q395" s="54" t="s">
        <v>2807</v>
      </c>
      <c r="R395" s="55" t="s">
        <v>2807</v>
      </c>
      <c r="S395" s="56" t="str">
        <f t="shared" si="15"/>
        <v> </v>
      </c>
      <c r="T395" s="52" t="s">
        <v>78</v>
      </c>
      <c r="U395" s="142" t="s">
        <v>117</v>
      </c>
      <c r="V395" s="52"/>
      <c r="W395" s="52"/>
      <c r="X395" s="52">
        <v>0.0</v>
      </c>
      <c r="Y395" s="43" t="s">
        <v>80</v>
      </c>
      <c r="Z395" s="151">
        <v>813000.0</v>
      </c>
      <c r="AA395" s="59" t="str">
        <f>IF(Rentabilidad=0,"No aplica",TEXT(ROUND(Precio/Rentabilidad/12,0),0) &amp; " años")</f>
        <v>No aplica</v>
      </c>
      <c r="AB395" s="220"/>
      <c r="AC395" s="131" t="s">
        <v>2808</v>
      </c>
      <c r="AD395" s="62"/>
      <c r="AE395" s="63"/>
      <c r="AF395" s="64" t="s">
        <v>2782</v>
      </c>
      <c r="AG395" s="63"/>
      <c r="AH395" s="65" t="s">
        <v>45</v>
      </c>
      <c r="AI395" s="63"/>
      <c r="AJ395" s="64" t="s">
        <v>1834</v>
      </c>
      <c r="AK395" s="44"/>
      <c r="AL395" s="45" t="s">
        <v>109</v>
      </c>
      <c r="AM395" s="44">
        <v>3.153961784E9</v>
      </c>
      <c r="AN395" s="45">
        <v>0.0</v>
      </c>
      <c r="AO395" s="52" t="s">
        <v>2809</v>
      </c>
      <c r="AP395" s="67">
        <v>0.0</v>
      </c>
      <c r="AQ395" s="67"/>
      <c r="AR395" s="67"/>
      <c r="AS395" s="135">
        <v>0.0</v>
      </c>
      <c r="AT395" s="44">
        <v>2.0</v>
      </c>
      <c r="AU395" s="52">
        <v>0.0</v>
      </c>
      <c r="AV395" s="52" t="s">
        <v>106</v>
      </c>
      <c r="AW395" s="52" t="s">
        <v>88</v>
      </c>
      <c r="AX395" s="52">
        <v>0.0</v>
      </c>
      <c r="AY395" s="52">
        <v>0.0</v>
      </c>
      <c r="AZ395" s="52">
        <v>0.0</v>
      </c>
      <c r="BA395" s="43" t="s">
        <v>89</v>
      </c>
      <c r="BB395" s="52">
        <v>0.0</v>
      </c>
      <c r="BC395" s="69" t="s">
        <v>90</v>
      </c>
      <c r="BD395" s="70"/>
      <c r="BE395" s="70"/>
      <c r="BF395" s="72"/>
      <c r="BG395" s="74"/>
      <c r="BH395" s="74"/>
      <c r="BI395" s="74"/>
      <c r="BJ395" s="74"/>
      <c r="BK395" s="74"/>
      <c r="BL395" s="74"/>
      <c r="BM395" s="74"/>
      <c r="BN395" s="74"/>
      <c r="BO395" s="74"/>
      <c r="BP395" s="74"/>
      <c r="BQ395" s="74"/>
      <c r="BR395" s="74"/>
      <c r="BS395" s="74"/>
      <c r="BT395" s="74"/>
      <c r="BU395" s="74"/>
      <c r="BV395" s="74"/>
      <c r="BW395" s="74"/>
      <c r="BX395" s="74"/>
      <c r="BY395" s="63"/>
      <c r="BZ395" s="63"/>
    </row>
    <row r="396" ht="15.75" customHeight="1">
      <c r="A396" s="120" t="s">
        <v>2810</v>
      </c>
      <c r="B396" s="112" t="s">
        <v>2811</v>
      </c>
      <c r="C396" s="50" t="s">
        <v>271</v>
      </c>
      <c r="D396" s="52" t="s">
        <v>163</v>
      </c>
      <c r="E396" s="77" t="s">
        <v>376</v>
      </c>
      <c r="F396" s="47">
        <v>5.2E8</v>
      </c>
      <c r="G396" s="44" t="str">
        <f t="shared" si="8"/>
        <v>$500'000.000 a $1.000'000.000</v>
      </c>
      <c r="H396" s="44"/>
      <c r="I396" s="44"/>
      <c r="J396" s="43" t="s">
        <v>76</v>
      </c>
      <c r="K396" s="56" t="s">
        <v>77</v>
      </c>
      <c r="L396" s="52">
        <v>3.0</v>
      </c>
      <c r="M396" s="52"/>
      <c r="N396" s="52">
        <v>2.0</v>
      </c>
      <c r="O396" s="43">
        <v>1.0</v>
      </c>
      <c r="P396" s="52">
        <v>1.0</v>
      </c>
      <c r="Q396" s="54">
        <v>278.0</v>
      </c>
      <c r="R396" s="55">
        <v>278.0</v>
      </c>
      <c r="S396" s="56" t="str">
        <f t="shared" si="15"/>
        <v>Rentabilidad $1,700,000</v>
      </c>
      <c r="T396" s="52" t="s">
        <v>78</v>
      </c>
      <c r="U396" s="142" t="s">
        <v>184</v>
      </c>
      <c r="V396" s="43" t="s">
        <v>79</v>
      </c>
      <c r="W396" s="43"/>
      <c r="X396" s="52">
        <v>1.0</v>
      </c>
      <c r="Y396" s="43" t="s">
        <v>80</v>
      </c>
      <c r="Z396" s="80" t="s">
        <v>81</v>
      </c>
      <c r="AA396" s="59" t="str">
        <f>IF(Rentabilidad=0,"No aplica",TEXT(ROUND(Precio/Rentabilidad/12,0),0) &amp; " años")</f>
        <v>25 años</v>
      </c>
      <c r="AB396" s="60"/>
      <c r="AC396" s="131" t="s">
        <v>2812</v>
      </c>
      <c r="AD396" s="62"/>
      <c r="AE396" s="63"/>
      <c r="AF396" s="45" t="s">
        <v>105</v>
      </c>
      <c r="AG396" s="63"/>
      <c r="AH396" s="65" t="s">
        <v>45</v>
      </c>
      <c r="AI396" s="63"/>
      <c r="AJ396" s="64" t="s">
        <v>1834</v>
      </c>
      <c r="AK396" s="44"/>
      <c r="AL396" s="45" t="s">
        <v>86</v>
      </c>
      <c r="AM396" s="52">
        <v>3.128614651E9</v>
      </c>
      <c r="AN396" s="45">
        <v>3.202395864E9</v>
      </c>
      <c r="AO396" s="52"/>
      <c r="AP396" s="67" t="s">
        <v>2813</v>
      </c>
      <c r="AQ396" s="67"/>
      <c r="AR396" s="67"/>
      <c r="AS396" s="135">
        <v>1700000.0</v>
      </c>
      <c r="AT396" s="63">
        <v>0.0</v>
      </c>
      <c r="AU396" s="52" t="s">
        <v>88</v>
      </c>
      <c r="AV396" s="52">
        <v>0.0</v>
      </c>
      <c r="AW396" s="44"/>
      <c r="AX396" s="44">
        <v>0.0</v>
      </c>
      <c r="AY396" s="44">
        <v>0.0</v>
      </c>
      <c r="AZ396" s="44">
        <v>8.0</v>
      </c>
      <c r="BA396" s="43" t="s">
        <v>89</v>
      </c>
      <c r="BB396" s="44">
        <v>33.0</v>
      </c>
      <c r="BC396" s="109"/>
      <c r="BD396" s="70"/>
      <c r="BE396" s="71"/>
      <c r="BF396" s="72"/>
      <c r="BG396" s="73"/>
      <c r="BH396" s="73"/>
      <c r="BI396" s="73"/>
      <c r="BJ396" s="73"/>
      <c r="BK396" s="73"/>
      <c r="BL396" s="73"/>
      <c r="BM396" s="73"/>
      <c r="BN396" s="73"/>
      <c r="BO396" s="73"/>
      <c r="BP396" s="73"/>
      <c r="BQ396" s="73"/>
      <c r="BR396" s="73"/>
      <c r="BS396" s="73"/>
      <c r="BT396" s="73"/>
      <c r="BU396" s="73"/>
      <c r="BV396" s="73"/>
      <c r="BW396" s="74"/>
      <c r="BX396" s="74"/>
      <c r="BY396" s="63"/>
      <c r="BZ396" s="63"/>
    </row>
    <row r="397" ht="15.75" customHeight="1">
      <c r="A397" s="201" t="s">
        <v>2814</v>
      </c>
      <c r="B397" s="50" t="s">
        <v>2815</v>
      </c>
      <c r="C397" s="43" t="s">
        <v>315</v>
      </c>
      <c r="D397" s="50" t="s">
        <v>389</v>
      </c>
      <c r="E397" s="45"/>
      <c r="F397" s="78">
        <v>5.0E8</v>
      </c>
      <c r="G397" s="44" t="str">
        <f t="shared" si="8"/>
        <v>$500'000.000 a $1.000'000.000</v>
      </c>
      <c r="H397" s="44"/>
      <c r="I397" s="44"/>
      <c r="J397" s="50" t="s">
        <v>76</v>
      </c>
      <c r="K397" s="56" t="s">
        <v>77</v>
      </c>
      <c r="L397" s="44"/>
      <c r="M397" s="44"/>
      <c r="N397" s="44"/>
      <c r="O397" s="44"/>
      <c r="P397" s="44"/>
      <c r="Q397" s="113"/>
      <c r="R397" s="79">
        <v>250.0</v>
      </c>
      <c r="S397" s="56" t="str">
        <f t="shared" si="15"/>
        <v> </v>
      </c>
      <c r="T397" s="50" t="s">
        <v>78</v>
      </c>
      <c r="U397" s="51" t="s">
        <v>77</v>
      </c>
      <c r="V397" s="50" t="s">
        <v>79</v>
      </c>
      <c r="W397" s="50"/>
      <c r="X397" s="44"/>
      <c r="Y397" s="44"/>
      <c r="Z397" s="91"/>
      <c r="AA397" s="59" t="str">
        <f>IF(Rentabilidad=0,"No aplica",TEXT(ROUND(Precio/Rentabilidad/12,0),0) &amp; " años")</f>
        <v>No aplica</v>
      </c>
      <c r="AB397" s="60"/>
      <c r="AC397" s="61"/>
      <c r="AD397" s="62"/>
      <c r="AE397" s="63"/>
      <c r="AF397" s="64">
        <v>0.0</v>
      </c>
      <c r="AG397" s="63"/>
      <c r="AH397" s="65" t="s">
        <v>45</v>
      </c>
      <c r="AI397" s="63"/>
      <c r="AJ397" s="64" t="s">
        <v>1834</v>
      </c>
      <c r="AK397" s="44"/>
      <c r="AL397" s="45" t="s">
        <v>86</v>
      </c>
      <c r="AM397" s="44"/>
      <c r="AN397" s="45"/>
      <c r="AO397" s="44"/>
      <c r="AP397" s="67"/>
      <c r="AQ397" s="67"/>
      <c r="AR397" s="67"/>
      <c r="AS397" s="94">
        <v>0.0</v>
      </c>
      <c r="AT397" s="44"/>
      <c r="AU397" s="44"/>
      <c r="AV397" s="44"/>
      <c r="AW397" s="44"/>
      <c r="AX397" s="44"/>
      <c r="AY397" s="44"/>
      <c r="AZ397" s="44"/>
      <c r="BA397" s="43" t="s">
        <v>89</v>
      </c>
      <c r="BB397" s="44"/>
      <c r="BC397" s="109"/>
      <c r="BD397" s="70"/>
      <c r="BE397" s="71"/>
      <c r="BF397" s="130"/>
      <c r="BG397" s="73"/>
      <c r="BH397" s="73"/>
      <c r="BI397" s="73"/>
      <c r="BJ397" s="73"/>
      <c r="BK397" s="73"/>
      <c r="BL397" s="73"/>
      <c r="BM397" s="73"/>
      <c r="BN397" s="73"/>
      <c r="BO397" s="73"/>
      <c r="BP397" s="73"/>
      <c r="BQ397" s="73"/>
      <c r="BR397" s="73"/>
      <c r="BS397" s="73"/>
      <c r="BT397" s="73"/>
      <c r="BU397" s="73"/>
      <c r="BV397" s="73"/>
      <c r="BW397" s="74"/>
      <c r="BX397" s="74"/>
      <c r="BY397" s="63"/>
      <c r="BZ397" s="63"/>
    </row>
    <row r="398" ht="15.75" customHeight="1">
      <c r="A398" s="148" t="s">
        <v>2816</v>
      </c>
      <c r="B398" s="50" t="s">
        <v>2817</v>
      </c>
      <c r="C398" s="50" t="s">
        <v>271</v>
      </c>
      <c r="D398" s="50" t="s">
        <v>11</v>
      </c>
      <c r="E398" s="45"/>
      <c r="F398" s="78">
        <v>5.0E8</v>
      </c>
      <c r="G398" s="44" t="str">
        <f t="shared" si="8"/>
        <v>$500'000.000 a $1.000'000.000</v>
      </c>
      <c r="H398" s="44"/>
      <c r="I398" s="44"/>
      <c r="J398" s="50" t="s">
        <v>183</v>
      </c>
      <c r="K398" s="51" t="s">
        <v>184</v>
      </c>
      <c r="L398" s="50">
        <v>7.0</v>
      </c>
      <c r="M398" s="50"/>
      <c r="N398" s="50">
        <v>3.0</v>
      </c>
      <c r="O398" s="50">
        <v>1.0</v>
      </c>
      <c r="P398" s="50">
        <v>1.0</v>
      </c>
      <c r="Q398" s="113"/>
      <c r="R398" s="79">
        <v>180.0</v>
      </c>
      <c r="S398" s="56" t="str">
        <f t="shared" si="15"/>
        <v>Rentabilidad $1,600,000</v>
      </c>
      <c r="T398" s="50" t="s">
        <v>78</v>
      </c>
      <c r="U398" s="51" t="s">
        <v>184</v>
      </c>
      <c r="V398" s="50" t="s">
        <v>79</v>
      </c>
      <c r="W398" s="50"/>
      <c r="X398" s="44"/>
      <c r="Y398" s="50" t="s">
        <v>80</v>
      </c>
      <c r="Z398" s="80" t="s">
        <v>81</v>
      </c>
      <c r="AA398" s="59" t="str">
        <f>IF(Rentabilidad=0,"No aplica",TEXT(ROUND(Precio/Rentabilidad/12,0),0) &amp; " años")</f>
        <v>26 años</v>
      </c>
      <c r="AB398" s="60"/>
      <c r="AC398" s="61"/>
      <c r="AD398" s="62"/>
      <c r="AE398" s="63"/>
      <c r="AF398" s="64" t="s">
        <v>236</v>
      </c>
      <c r="AG398" s="63"/>
      <c r="AH398" s="65" t="s">
        <v>45</v>
      </c>
      <c r="AI398" s="63"/>
      <c r="AJ398" s="64" t="s">
        <v>1834</v>
      </c>
      <c r="AK398" s="298" t="s">
        <v>2818</v>
      </c>
      <c r="AL398" s="45" t="s">
        <v>86</v>
      </c>
      <c r="AM398" s="52"/>
      <c r="AN398" s="45">
        <v>3.133913052E9</v>
      </c>
      <c r="AO398" s="44"/>
      <c r="AP398" s="67"/>
      <c r="AQ398" s="67"/>
      <c r="AR398" s="67"/>
      <c r="AS398" s="94">
        <v>1600000.0</v>
      </c>
      <c r="AT398" s="50">
        <v>0.0</v>
      </c>
      <c r="AU398" s="44"/>
      <c r="AV398" s="44"/>
      <c r="AW398" s="44"/>
      <c r="AX398" s="44"/>
      <c r="AY398" s="50" t="s">
        <v>137</v>
      </c>
      <c r="AZ398" s="44"/>
      <c r="BA398" s="43" t="s">
        <v>89</v>
      </c>
      <c r="BB398" s="44"/>
      <c r="BC398" s="109"/>
      <c r="BD398" s="70"/>
      <c r="BE398" s="70"/>
      <c r="BF398" s="72"/>
      <c r="BG398" s="73"/>
      <c r="BH398" s="73"/>
      <c r="BI398" s="73"/>
      <c r="BJ398" s="73"/>
      <c r="BK398" s="73"/>
      <c r="BL398" s="73"/>
      <c r="BM398" s="73"/>
      <c r="BN398" s="73"/>
      <c r="BO398" s="73"/>
      <c r="BP398" s="73"/>
      <c r="BQ398" s="73"/>
      <c r="BR398" s="73"/>
      <c r="BS398" s="73"/>
      <c r="BT398" s="73"/>
      <c r="BU398" s="73"/>
      <c r="BV398" s="73"/>
      <c r="BW398" s="74"/>
      <c r="BX398" s="74"/>
      <c r="BY398" s="63"/>
      <c r="BZ398" s="63"/>
    </row>
    <row r="399" ht="15.75" customHeight="1">
      <c r="A399" s="41" t="s">
        <v>2819</v>
      </c>
      <c r="B399" s="112" t="s">
        <v>2820</v>
      </c>
      <c r="C399" s="50" t="s">
        <v>271</v>
      </c>
      <c r="D399" s="44" t="s">
        <v>205</v>
      </c>
      <c r="E399" s="45"/>
      <c r="F399" s="47">
        <v>5.0E8</v>
      </c>
      <c r="G399" s="44" t="str">
        <f t="shared" si="8"/>
        <v>$500'000.000 a $1.000'000.000</v>
      </c>
      <c r="H399" s="44"/>
      <c r="I399" s="44"/>
      <c r="J399" s="50" t="s">
        <v>76</v>
      </c>
      <c r="K399" s="119" t="s">
        <v>77</v>
      </c>
      <c r="L399" s="44">
        <v>3.0</v>
      </c>
      <c r="M399" s="44"/>
      <c r="N399" s="44">
        <v>4.0</v>
      </c>
      <c r="O399" s="50">
        <v>1.0</v>
      </c>
      <c r="P399" s="44">
        <v>2.0</v>
      </c>
      <c r="Q399" s="113">
        <v>190.0</v>
      </c>
      <c r="R399" s="79">
        <v>190.0</v>
      </c>
      <c r="S399" s="56" t="str">
        <f t="shared" si="15"/>
        <v>Rentabilidad $1,100,000</v>
      </c>
      <c r="T399" s="52" t="s">
        <v>78</v>
      </c>
      <c r="U399" s="142" t="s">
        <v>142</v>
      </c>
      <c r="V399" s="50" t="s">
        <v>79</v>
      </c>
      <c r="W399" s="50"/>
      <c r="X399" s="44">
        <v>2.0</v>
      </c>
      <c r="Y399" s="50" t="s">
        <v>80</v>
      </c>
      <c r="Z399" s="80" t="s">
        <v>81</v>
      </c>
      <c r="AA399" s="59" t="str">
        <f>IF(Rentabilidad=0,"No aplica",TEXT(ROUND(Precio/Rentabilidad/12,0),0) &amp; " años")</f>
        <v>38 años</v>
      </c>
      <c r="AB399" s="60"/>
      <c r="AC399" s="61"/>
      <c r="AD399" s="62"/>
      <c r="AE399" s="63"/>
      <c r="AF399" s="45" t="s">
        <v>236</v>
      </c>
      <c r="AG399" s="63"/>
      <c r="AH399" s="65" t="s">
        <v>45</v>
      </c>
      <c r="AI399" s="63"/>
      <c r="AJ399" s="64" t="s">
        <v>1834</v>
      </c>
      <c r="AK399" s="44"/>
      <c r="AL399" s="45" t="s">
        <v>86</v>
      </c>
      <c r="AM399" s="52" t="s">
        <v>2821</v>
      </c>
      <c r="AN399" s="45">
        <v>3.016675793E9</v>
      </c>
      <c r="AO399" s="52" t="s">
        <v>2822</v>
      </c>
      <c r="AP399" s="67">
        <v>0.0</v>
      </c>
      <c r="AQ399" s="67"/>
      <c r="AR399" s="67"/>
      <c r="AS399" s="68">
        <v>1100000.0</v>
      </c>
      <c r="AT399" s="44">
        <v>0.0</v>
      </c>
      <c r="AU399" s="44">
        <v>0.0</v>
      </c>
      <c r="AV399" s="44">
        <v>0.0</v>
      </c>
      <c r="AW399" s="50" t="s">
        <v>88</v>
      </c>
      <c r="AX399" s="44">
        <v>0.0</v>
      </c>
      <c r="AY399" s="44" t="s">
        <v>137</v>
      </c>
      <c r="AZ399" s="44">
        <v>0.0</v>
      </c>
      <c r="BA399" s="43" t="s">
        <v>89</v>
      </c>
      <c r="BB399" s="44">
        <v>0.0</v>
      </c>
      <c r="BC399" s="95" t="s">
        <v>2823</v>
      </c>
      <c r="BD399" s="71"/>
      <c r="BE399" s="71"/>
      <c r="BF399" s="72"/>
      <c r="BG399" s="73"/>
      <c r="BH399" s="73"/>
      <c r="BI399" s="73"/>
      <c r="BJ399" s="73"/>
      <c r="BK399" s="73"/>
      <c r="BL399" s="73"/>
      <c r="BM399" s="73"/>
      <c r="BN399" s="73"/>
      <c r="BO399" s="73"/>
      <c r="BP399" s="73"/>
      <c r="BQ399" s="73"/>
      <c r="BR399" s="73"/>
      <c r="BS399" s="73"/>
      <c r="BT399" s="73"/>
      <c r="BU399" s="73"/>
      <c r="BV399" s="73"/>
      <c r="BW399" s="74"/>
      <c r="BX399" s="74"/>
      <c r="BY399" s="63"/>
      <c r="BZ399" s="63"/>
    </row>
    <row r="400" ht="15.75" customHeight="1">
      <c r="A400" s="120" t="s">
        <v>2824</v>
      </c>
      <c r="B400" s="122" t="s">
        <v>2825</v>
      </c>
      <c r="C400" s="43" t="s">
        <v>70</v>
      </c>
      <c r="D400" s="52" t="s">
        <v>163</v>
      </c>
      <c r="E400" s="45"/>
      <c r="F400" s="47">
        <v>5.0E8</v>
      </c>
      <c r="G400" s="44" t="str">
        <f t="shared" si="8"/>
        <v>$500'000.000 a $1.000'000.000</v>
      </c>
      <c r="H400" s="44"/>
      <c r="I400" s="44"/>
      <c r="J400" s="43" t="s">
        <v>76</v>
      </c>
      <c r="K400" s="56" t="s">
        <v>77</v>
      </c>
      <c r="L400" s="52">
        <v>3.0</v>
      </c>
      <c r="M400" s="52"/>
      <c r="N400" s="52">
        <v>1.0</v>
      </c>
      <c r="O400" s="43">
        <v>1.0</v>
      </c>
      <c r="P400" s="52">
        <v>1.0</v>
      </c>
      <c r="Q400" s="54">
        <v>324.0</v>
      </c>
      <c r="R400" s="55">
        <v>324.0</v>
      </c>
      <c r="S400" s="56" t="str">
        <f t="shared" si="15"/>
        <v> </v>
      </c>
      <c r="T400" s="44" t="s">
        <v>78</v>
      </c>
      <c r="U400" s="142" t="s">
        <v>77</v>
      </c>
      <c r="V400" s="43" t="s">
        <v>79</v>
      </c>
      <c r="W400" s="43"/>
      <c r="X400" s="52">
        <v>0.0</v>
      </c>
      <c r="Y400" s="43" t="s">
        <v>80</v>
      </c>
      <c r="Z400" s="58" t="s">
        <v>81</v>
      </c>
      <c r="AA400" s="59" t="str">
        <f>IF(Rentabilidad=0,"No aplica",TEXT(ROUND(Precio/Rentabilidad/12,0),0) &amp; " años")</f>
        <v>No aplica</v>
      </c>
      <c r="AB400" s="60"/>
      <c r="AC400" s="61"/>
      <c r="AD400" s="62"/>
      <c r="AE400" s="63"/>
      <c r="AF400" s="64" t="s">
        <v>84</v>
      </c>
      <c r="AG400" s="63"/>
      <c r="AH400" s="65" t="s">
        <v>45</v>
      </c>
      <c r="AI400" s="63"/>
      <c r="AJ400" s="64" t="s">
        <v>1834</v>
      </c>
      <c r="AK400" s="44"/>
      <c r="AL400" s="45" t="s">
        <v>2826</v>
      </c>
      <c r="AM400" s="52">
        <v>3.167240292E9</v>
      </c>
      <c r="AN400" s="45">
        <v>0.0</v>
      </c>
      <c r="AO400" s="52" t="s">
        <v>2827</v>
      </c>
      <c r="AP400" s="67" t="s">
        <v>2828</v>
      </c>
      <c r="AQ400" s="67"/>
      <c r="AR400" s="67"/>
      <c r="AS400" s="135">
        <v>0.0</v>
      </c>
      <c r="AT400" s="44">
        <v>0.0</v>
      </c>
      <c r="AU400" s="52">
        <v>0.0</v>
      </c>
      <c r="AV400" s="52">
        <v>0.0</v>
      </c>
      <c r="AW400" s="52" t="s">
        <v>106</v>
      </c>
      <c r="AX400" s="44">
        <v>0.0</v>
      </c>
      <c r="AY400" s="44" t="s">
        <v>247</v>
      </c>
      <c r="AZ400" s="52">
        <v>12.0</v>
      </c>
      <c r="BA400" s="43" t="s">
        <v>89</v>
      </c>
      <c r="BB400" s="52">
        <v>27.0</v>
      </c>
      <c r="BC400" s="109"/>
      <c r="BD400" s="70"/>
      <c r="BE400" s="71"/>
      <c r="BF400" s="130"/>
      <c r="BG400" s="73"/>
      <c r="BH400" s="73"/>
      <c r="BI400" s="73"/>
      <c r="BJ400" s="73"/>
      <c r="BK400" s="73"/>
      <c r="BL400" s="73"/>
      <c r="BM400" s="73"/>
      <c r="BN400" s="73"/>
      <c r="BO400" s="73"/>
      <c r="BP400" s="73"/>
      <c r="BQ400" s="73"/>
      <c r="BR400" s="73"/>
      <c r="BS400" s="73"/>
      <c r="BT400" s="73"/>
      <c r="BU400" s="73"/>
      <c r="BV400" s="73"/>
      <c r="BW400" s="74"/>
      <c r="BX400" s="74"/>
      <c r="BY400" s="63"/>
      <c r="BZ400" s="63"/>
    </row>
    <row r="401" ht="15.75" customHeight="1">
      <c r="A401" s="75" t="s">
        <v>2829</v>
      </c>
      <c r="B401" s="112" t="s">
        <v>2830</v>
      </c>
      <c r="C401" s="50" t="s">
        <v>271</v>
      </c>
      <c r="D401" s="44" t="s">
        <v>71</v>
      </c>
      <c r="E401" s="45"/>
      <c r="F401" s="47">
        <v>5.0E8</v>
      </c>
      <c r="G401" s="44" t="str">
        <f t="shared" si="8"/>
        <v>$500'000.000 a $1.000'000.000</v>
      </c>
      <c r="H401" s="44"/>
      <c r="I401" s="44"/>
      <c r="J401" s="43" t="s">
        <v>76</v>
      </c>
      <c r="K401" s="51" t="s">
        <v>77</v>
      </c>
      <c r="L401" s="44">
        <v>7.0</v>
      </c>
      <c r="M401" s="44"/>
      <c r="N401" s="44">
        <v>5.0</v>
      </c>
      <c r="O401" s="50">
        <v>0.0</v>
      </c>
      <c r="P401" s="44">
        <v>2.0</v>
      </c>
      <c r="Q401" s="113">
        <v>380.0</v>
      </c>
      <c r="R401" s="79">
        <v>210.0</v>
      </c>
      <c r="S401" s="56" t="str">
        <f t="shared" si="15"/>
        <v>Rentabilidad $1,600,000</v>
      </c>
      <c r="T401" s="44" t="s">
        <v>2831</v>
      </c>
      <c r="U401" s="57" t="s">
        <v>184</v>
      </c>
      <c r="V401" s="50" t="s">
        <v>79</v>
      </c>
      <c r="W401" s="50"/>
      <c r="X401" s="44">
        <v>0.0</v>
      </c>
      <c r="Y401" s="50" t="s">
        <v>80</v>
      </c>
      <c r="Z401" s="80" t="s">
        <v>81</v>
      </c>
      <c r="AA401" s="59" t="str">
        <f>IF(Rentabilidad=0,"No aplica",TEXT(ROUND(Precio/Rentabilidad/12,0),0) &amp; " años")</f>
        <v>26 años</v>
      </c>
      <c r="AB401" s="220"/>
      <c r="AC401" s="61"/>
      <c r="AD401" s="62"/>
      <c r="AE401" s="63"/>
      <c r="AF401" s="45" t="s">
        <v>236</v>
      </c>
      <c r="AG401" s="63"/>
      <c r="AH401" s="65" t="s">
        <v>45</v>
      </c>
      <c r="AI401" s="63"/>
      <c r="AJ401" s="64" t="s">
        <v>1834</v>
      </c>
      <c r="AK401" s="44"/>
      <c r="AL401" s="45" t="s">
        <v>86</v>
      </c>
      <c r="AM401" s="44">
        <v>3.138587032E9</v>
      </c>
      <c r="AN401" s="45">
        <v>0.0</v>
      </c>
      <c r="AO401" s="52" t="s">
        <v>2832</v>
      </c>
      <c r="AP401" s="67" t="s">
        <v>2833</v>
      </c>
      <c r="AQ401" s="67"/>
      <c r="AR401" s="67"/>
      <c r="AS401" s="68">
        <v>1600000.0</v>
      </c>
      <c r="AT401" s="44" t="s">
        <v>88</v>
      </c>
      <c r="AU401" s="52">
        <v>0.0</v>
      </c>
      <c r="AV401" s="52">
        <v>0.0</v>
      </c>
      <c r="AW401" s="43" t="s">
        <v>88</v>
      </c>
      <c r="AX401" s="52">
        <v>0.0</v>
      </c>
      <c r="AY401" s="52" t="s">
        <v>137</v>
      </c>
      <c r="AZ401" s="44" t="s">
        <v>2834</v>
      </c>
      <c r="BA401" s="43" t="s">
        <v>89</v>
      </c>
      <c r="BB401" s="44">
        <v>28.0</v>
      </c>
      <c r="BC401" s="109"/>
      <c r="BD401" s="70"/>
      <c r="BE401" s="71"/>
      <c r="BF401" s="72"/>
      <c r="BG401" s="73"/>
      <c r="BH401" s="73"/>
      <c r="BI401" s="73"/>
      <c r="BJ401" s="73"/>
      <c r="BK401" s="73"/>
      <c r="BL401" s="73"/>
      <c r="BM401" s="73"/>
      <c r="BN401" s="73"/>
      <c r="BO401" s="73"/>
      <c r="BP401" s="73"/>
      <c r="BQ401" s="73"/>
      <c r="BR401" s="73"/>
      <c r="BS401" s="73"/>
      <c r="BT401" s="73"/>
      <c r="BU401" s="73"/>
      <c r="BV401" s="73"/>
      <c r="BW401" s="74"/>
      <c r="BX401" s="74"/>
      <c r="BY401" s="63"/>
      <c r="BZ401" s="63"/>
    </row>
    <row r="402" ht="15.75" customHeight="1">
      <c r="A402" s="120" t="s">
        <v>2835</v>
      </c>
      <c r="B402" s="112" t="s">
        <v>2701</v>
      </c>
      <c r="C402" s="50" t="s">
        <v>271</v>
      </c>
      <c r="D402" s="43" t="s">
        <v>389</v>
      </c>
      <c r="E402" s="77" t="s">
        <v>376</v>
      </c>
      <c r="F402" s="47">
        <v>5.0E8</v>
      </c>
      <c r="G402" s="44" t="str">
        <f t="shared" si="8"/>
        <v>$500'000.000 a $1.000'000.000</v>
      </c>
      <c r="H402" s="44"/>
      <c r="I402" s="44"/>
      <c r="J402" s="43" t="s">
        <v>76</v>
      </c>
      <c r="K402" s="56" t="s">
        <v>77</v>
      </c>
      <c r="L402" s="52">
        <v>3.0</v>
      </c>
      <c r="M402" s="52"/>
      <c r="N402" s="52">
        <v>2.0</v>
      </c>
      <c r="O402" s="43">
        <v>1.0</v>
      </c>
      <c r="P402" s="52">
        <v>1.0</v>
      </c>
      <c r="Q402" s="54">
        <v>200.0</v>
      </c>
      <c r="R402" s="55">
        <v>315.52</v>
      </c>
      <c r="S402" s="56" t="str">
        <f t="shared" si="15"/>
        <v>Rentabilidad $3,000,000</v>
      </c>
      <c r="T402" s="52" t="s">
        <v>78</v>
      </c>
      <c r="U402" s="142" t="s">
        <v>184</v>
      </c>
      <c r="V402" s="153" t="s">
        <v>79</v>
      </c>
      <c r="W402" s="153"/>
      <c r="X402" s="116">
        <v>0.0</v>
      </c>
      <c r="Y402" s="43" t="s">
        <v>80</v>
      </c>
      <c r="Z402" s="80" t="s">
        <v>81</v>
      </c>
      <c r="AA402" s="59" t="str">
        <f>IF(Rentabilidad=0,"No aplica",TEXT(ROUND(Precio/Rentabilidad/12,0),0) &amp; " años")</f>
        <v>14 años</v>
      </c>
      <c r="AB402" s="60"/>
      <c r="AC402" s="61"/>
      <c r="AD402" s="62"/>
      <c r="AE402" s="63"/>
      <c r="AF402" s="64" t="s">
        <v>84</v>
      </c>
      <c r="AG402" s="63"/>
      <c r="AH402" s="65" t="s">
        <v>45</v>
      </c>
      <c r="AI402" s="63"/>
      <c r="AJ402" s="64" t="s">
        <v>1834</v>
      </c>
      <c r="AK402" s="44"/>
      <c r="AL402" s="45" t="s">
        <v>86</v>
      </c>
      <c r="AM402" s="52">
        <v>3.134306082E9</v>
      </c>
      <c r="AN402" s="45">
        <v>3.1761795E9</v>
      </c>
      <c r="AO402" s="52" t="s">
        <v>2836</v>
      </c>
      <c r="AP402" s="67" t="s">
        <v>2837</v>
      </c>
      <c r="AQ402" s="67"/>
      <c r="AR402" s="67"/>
      <c r="AS402" s="135">
        <v>3000000.0</v>
      </c>
      <c r="AT402" s="44">
        <v>0.0</v>
      </c>
      <c r="AU402" s="52">
        <v>0.0</v>
      </c>
      <c r="AV402" s="52">
        <v>0.0</v>
      </c>
      <c r="AW402" s="43" t="s">
        <v>88</v>
      </c>
      <c r="AX402" s="52">
        <v>0.0</v>
      </c>
      <c r="AY402" s="52">
        <v>0.0</v>
      </c>
      <c r="AZ402" s="52">
        <v>9.86</v>
      </c>
      <c r="BA402" s="43" t="s">
        <v>89</v>
      </c>
      <c r="BB402" s="52">
        <v>32.0</v>
      </c>
      <c r="BC402" s="109"/>
      <c r="BD402" s="70"/>
      <c r="BE402" s="71"/>
      <c r="BF402" s="72"/>
      <c r="BG402" s="73"/>
      <c r="BH402" s="73"/>
      <c r="BI402" s="73"/>
      <c r="BJ402" s="73"/>
      <c r="BK402" s="73"/>
      <c r="BL402" s="73"/>
      <c r="BM402" s="73"/>
      <c r="BN402" s="73"/>
      <c r="BO402" s="73"/>
      <c r="BP402" s="73"/>
      <c r="BQ402" s="73"/>
      <c r="BR402" s="73"/>
      <c r="BS402" s="73"/>
      <c r="BT402" s="73"/>
      <c r="BU402" s="73"/>
      <c r="BV402" s="73"/>
      <c r="BW402" s="74"/>
      <c r="BX402" s="74"/>
      <c r="BY402" s="63"/>
      <c r="BZ402" s="63"/>
    </row>
    <row r="403" ht="15.75" customHeight="1">
      <c r="A403" s="120" t="s">
        <v>2838</v>
      </c>
      <c r="B403" s="112" t="s">
        <v>2839</v>
      </c>
      <c r="C403" s="50" t="s">
        <v>271</v>
      </c>
      <c r="D403" s="44" t="s">
        <v>2840</v>
      </c>
      <c r="E403" s="77" t="s">
        <v>376</v>
      </c>
      <c r="F403" s="47">
        <v>5.0E8</v>
      </c>
      <c r="G403" s="44" t="str">
        <f t="shared" si="8"/>
        <v>$500'000.000 a $1.000'000.000</v>
      </c>
      <c r="H403" s="44"/>
      <c r="I403" s="44"/>
      <c r="J403" s="50" t="s">
        <v>183</v>
      </c>
      <c r="K403" s="57"/>
      <c r="L403" s="52">
        <v>3.0</v>
      </c>
      <c r="M403" s="52"/>
      <c r="N403" s="52">
        <v>4.0</v>
      </c>
      <c r="O403" s="52">
        <v>0.0</v>
      </c>
      <c r="P403" s="52">
        <v>3.0</v>
      </c>
      <c r="Q403" s="54"/>
      <c r="R403" s="55">
        <v>115.0</v>
      </c>
      <c r="S403" s="56" t="str">
        <f t="shared" si="15"/>
        <v>Rentabilidad $2,500,000</v>
      </c>
      <c r="T403" s="52" t="s">
        <v>78</v>
      </c>
      <c r="U403" s="142" t="s">
        <v>184</v>
      </c>
      <c r="V403" s="43" t="s">
        <v>79</v>
      </c>
      <c r="W403" s="43"/>
      <c r="X403" s="52">
        <v>3.0</v>
      </c>
      <c r="Y403" s="43" t="s">
        <v>80</v>
      </c>
      <c r="Z403" s="58" t="s">
        <v>81</v>
      </c>
      <c r="AA403" s="59" t="str">
        <f>IF(Rentabilidad=0,"No aplica",TEXT(ROUND(Precio/Rentabilidad/12,0),0) &amp; " años")</f>
        <v>17 años</v>
      </c>
      <c r="AB403" s="60"/>
      <c r="AC403" s="61"/>
      <c r="AD403" s="62"/>
      <c r="AE403" s="63"/>
      <c r="AF403" s="64" t="s">
        <v>236</v>
      </c>
      <c r="AG403" s="63"/>
      <c r="AH403" s="63"/>
      <c r="AI403" s="63"/>
      <c r="AJ403" s="64" t="s">
        <v>1834</v>
      </c>
      <c r="AK403" s="44"/>
      <c r="AL403" s="45" t="s">
        <v>86</v>
      </c>
      <c r="AM403" s="52">
        <v>3.143820213E9</v>
      </c>
      <c r="AN403" s="45">
        <v>0.0</v>
      </c>
      <c r="AO403" s="52" t="s">
        <v>2841</v>
      </c>
      <c r="AP403" s="67">
        <v>0.0</v>
      </c>
      <c r="AQ403" s="67"/>
      <c r="AR403" s="67"/>
      <c r="AS403" s="135">
        <v>2500000.0</v>
      </c>
      <c r="AT403" s="44">
        <v>0.0</v>
      </c>
      <c r="AU403" s="52">
        <v>0.0</v>
      </c>
      <c r="AV403" s="52">
        <v>0.0</v>
      </c>
      <c r="AW403" s="43" t="s">
        <v>88</v>
      </c>
      <c r="AX403" s="52">
        <v>0.0</v>
      </c>
      <c r="AY403" s="52">
        <v>0.0</v>
      </c>
      <c r="AZ403" s="52">
        <v>0.0</v>
      </c>
      <c r="BA403" s="43" t="s">
        <v>89</v>
      </c>
      <c r="BB403" s="52">
        <v>0.0</v>
      </c>
      <c r="BC403" s="109"/>
      <c r="BD403" s="70"/>
      <c r="BE403" s="70"/>
      <c r="BF403" s="130"/>
      <c r="BG403" s="73"/>
      <c r="BH403" s="73"/>
      <c r="BI403" s="73"/>
      <c r="BJ403" s="73"/>
      <c r="BK403" s="73"/>
      <c r="BL403" s="73"/>
      <c r="BM403" s="73"/>
      <c r="BN403" s="73"/>
      <c r="BO403" s="73"/>
      <c r="BP403" s="73"/>
      <c r="BQ403" s="73"/>
      <c r="BR403" s="73"/>
      <c r="BS403" s="73"/>
      <c r="BT403" s="73"/>
      <c r="BU403" s="73"/>
      <c r="BV403" s="73"/>
      <c r="BW403" s="74"/>
      <c r="BX403" s="74"/>
      <c r="BY403" s="63"/>
      <c r="BZ403" s="63"/>
    </row>
    <row r="404" ht="15.75" customHeight="1">
      <c r="A404" s="75" t="s">
        <v>2842</v>
      </c>
      <c r="B404" s="112" t="s">
        <v>2617</v>
      </c>
      <c r="C404" s="50" t="s">
        <v>70</v>
      </c>
      <c r="D404" s="44" t="s">
        <v>2618</v>
      </c>
      <c r="E404" s="77" t="s">
        <v>376</v>
      </c>
      <c r="F404" s="47">
        <v>4.8E8</v>
      </c>
      <c r="G404" s="44" t="str">
        <f t="shared" si="8"/>
        <v>$400'000.000 a $500'000.000</v>
      </c>
      <c r="H404" s="44"/>
      <c r="I404" s="44"/>
      <c r="J404" s="50" t="s">
        <v>183</v>
      </c>
      <c r="K404" s="57"/>
      <c r="L404" s="52">
        <v>5.0</v>
      </c>
      <c r="M404" s="52"/>
      <c r="N404" s="52">
        <v>4.0</v>
      </c>
      <c r="O404" s="43">
        <v>3.0</v>
      </c>
      <c r="P404" s="44">
        <v>2.0</v>
      </c>
      <c r="Q404" s="113"/>
      <c r="R404" s="55">
        <v>143.0</v>
      </c>
      <c r="S404" s="56" t="str">
        <f t="shared" si="15"/>
        <v> </v>
      </c>
      <c r="T404" s="44" t="s">
        <v>78</v>
      </c>
      <c r="U404" s="57" t="s">
        <v>77</v>
      </c>
      <c r="V404" s="43" t="s">
        <v>79</v>
      </c>
      <c r="W404" s="43"/>
      <c r="X404" s="52">
        <v>5.0</v>
      </c>
      <c r="Y404" s="43" t="s">
        <v>80</v>
      </c>
      <c r="Z404" s="58" t="s">
        <v>81</v>
      </c>
      <c r="AA404" s="59" t="str">
        <f>IF(Rentabilidad=0,"No aplica",TEXT(ROUND(Precio/Rentabilidad/12,0),0) &amp; " años")</f>
        <v>No aplica</v>
      </c>
      <c r="AB404" s="60"/>
      <c r="AC404" s="61"/>
      <c r="AD404" s="62"/>
      <c r="AE404" s="63"/>
      <c r="AF404" s="45" t="s">
        <v>236</v>
      </c>
      <c r="AG404" s="63"/>
      <c r="AH404" s="63"/>
      <c r="AI404" s="63"/>
      <c r="AJ404" s="64" t="s">
        <v>1834</v>
      </c>
      <c r="AK404" s="44"/>
      <c r="AL404" s="45" t="s">
        <v>2843</v>
      </c>
      <c r="AM404" s="52">
        <v>3.176358259E9</v>
      </c>
      <c r="AN404" s="45">
        <v>3.17672095E9</v>
      </c>
      <c r="AO404" s="52" t="s">
        <v>2844</v>
      </c>
      <c r="AP404" s="67" t="s">
        <v>2845</v>
      </c>
      <c r="AQ404" s="67"/>
      <c r="AR404" s="67"/>
      <c r="AS404" s="68">
        <v>0.0</v>
      </c>
      <c r="AT404" s="44">
        <v>0.0</v>
      </c>
      <c r="AU404" s="52">
        <v>0.0</v>
      </c>
      <c r="AV404" s="52">
        <v>0.0</v>
      </c>
      <c r="AW404" s="52" t="s">
        <v>106</v>
      </c>
      <c r="AX404" s="52">
        <v>0.0</v>
      </c>
      <c r="AY404" s="52">
        <v>0.0</v>
      </c>
      <c r="AZ404" s="44">
        <v>6.5</v>
      </c>
      <c r="BA404" s="43" t="s">
        <v>89</v>
      </c>
      <c r="BB404" s="44">
        <v>22.0</v>
      </c>
      <c r="BC404" s="69" t="s">
        <v>537</v>
      </c>
      <c r="BD404" s="70"/>
      <c r="BE404" s="71"/>
      <c r="BF404" s="72"/>
      <c r="BG404" s="73"/>
      <c r="BH404" s="73"/>
      <c r="BI404" s="73"/>
      <c r="BJ404" s="73"/>
      <c r="BK404" s="73"/>
      <c r="BL404" s="73"/>
      <c r="BM404" s="73"/>
      <c r="BN404" s="73"/>
      <c r="BO404" s="73"/>
      <c r="BP404" s="73"/>
      <c r="BQ404" s="73"/>
      <c r="BR404" s="73"/>
      <c r="BS404" s="73"/>
      <c r="BT404" s="73"/>
      <c r="BU404" s="73"/>
      <c r="BV404" s="73"/>
      <c r="BW404" s="74"/>
      <c r="BX404" s="74"/>
      <c r="BY404" s="63"/>
      <c r="BZ404" s="63"/>
    </row>
    <row r="405" ht="15.75" customHeight="1">
      <c r="A405" s="41" t="s">
        <v>2846</v>
      </c>
      <c r="B405" s="122" t="s">
        <v>429</v>
      </c>
      <c r="C405" s="43" t="s">
        <v>70</v>
      </c>
      <c r="D405" s="44" t="s">
        <v>430</v>
      </c>
      <c r="E405" s="45"/>
      <c r="F405" s="47">
        <v>4.8E8</v>
      </c>
      <c r="G405" s="44" t="str">
        <f t="shared" si="8"/>
        <v>$400'000.000 a $500'000.000</v>
      </c>
      <c r="H405" s="44"/>
      <c r="I405" s="44"/>
      <c r="J405" s="50" t="s">
        <v>183</v>
      </c>
      <c r="K405" s="56" t="s">
        <v>184</v>
      </c>
      <c r="L405" s="44">
        <v>4.0</v>
      </c>
      <c r="M405" s="44"/>
      <c r="N405" s="44">
        <v>2.0</v>
      </c>
      <c r="O405" s="50">
        <v>1.0</v>
      </c>
      <c r="P405" s="44">
        <v>2.0</v>
      </c>
      <c r="Q405" s="54"/>
      <c r="R405" s="79">
        <v>98.0</v>
      </c>
      <c r="S405" s="56" t="str">
        <f t="shared" si="15"/>
        <v> </v>
      </c>
      <c r="T405" s="52" t="s">
        <v>78</v>
      </c>
      <c r="U405" s="142" t="s">
        <v>77</v>
      </c>
      <c r="V405" s="65" t="s">
        <v>79</v>
      </c>
      <c r="W405" s="65"/>
      <c r="X405" s="63">
        <v>4.0</v>
      </c>
      <c r="Y405" s="65" t="s">
        <v>80</v>
      </c>
      <c r="Z405" s="58" t="s">
        <v>81</v>
      </c>
      <c r="AA405" s="59" t="str">
        <f>IF(Rentabilidad=0,"No aplica",TEXT(ROUND(Precio/Rentabilidad/12,0),0) &amp; " años")</f>
        <v>No aplica</v>
      </c>
      <c r="AB405" s="60"/>
      <c r="AC405" s="61"/>
      <c r="AD405" s="62"/>
      <c r="AE405" s="63"/>
      <c r="AF405" s="45" t="s">
        <v>105</v>
      </c>
      <c r="AG405" s="63"/>
      <c r="AH405" s="65" t="s">
        <v>45</v>
      </c>
      <c r="AI405" s="63"/>
      <c r="AJ405" s="64" t="s">
        <v>1834</v>
      </c>
      <c r="AK405" s="44"/>
      <c r="AL405" s="45" t="s">
        <v>86</v>
      </c>
      <c r="AM405" s="52">
        <v>3.115229751E9</v>
      </c>
      <c r="AN405" s="45">
        <v>3.212312414E9</v>
      </c>
      <c r="AO405" s="52" t="s">
        <v>2847</v>
      </c>
      <c r="AP405" s="67" t="s">
        <v>2848</v>
      </c>
      <c r="AQ405" s="67"/>
      <c r="AR405" s="67"/>
      <c r="AS405" s="118">
        <v>0.0</v>
      </c>
      <c r="AT405" s="63">
        <v>0.0</v>
      </c>
      <c r="AU405" s="44">
        <v>0.0</v>
      </c>
      <c r="AV405" s="44">
        <v>0.0</v>
      </c>
      <c r="AW405" s="50" t="s">
        <v>88</v>
      </c>
      <c r="AX405" s="44">
        <v>0.0</v>
      </c>
      <c r="AY405" s="44">
        <v>0.0</v>
      </c>
      <c r="AZ405" s="63">
        <v>7.0</v>
      </c>
      <c r="BA405" s="43" t="s">
        <v>89</v>
      </c>
      <c r="BB405" s="63">
        <v>14.0</v>
      </c>
      <c r="BC405" s="95"/>
      <c r="BD405" s="71"/>
      <c r="BE405" s="71"/>
      <c r="BF405" s="130"/>
      <c r="BG405" s="73"/>
      <c r="BH405" s="73"/>
      <c r="BI405" s="73"/>
      <c r="BJ405" s="73"/>
      <c r="BK405" s="73"/>
      <c r="BL405" s="73"/>
      <c r="BM405" s="73"/>
      <c r="BN405" s="73"/>
      <c r="BO405" s="73"/>
      <c r="BP405" s="73"/>
      <c r="BQ405" s="73"/>
      <c r="BR405" s="73"/>
      <c r="BS405" s="73"/>
      <c r="BT405" s="73"/>
      <c r="BU405" s="73"/>
      <c r="BV405" s="73"/>
      <c r="BW405" s="74"/>
      <c r="BX405" s="74"/>
      <c r="BY405" s="63"/>
      <c r="BZ405" s="63"/>
    </row>
    <row r="406" ht="15.75" customHeight="1">
      <c r="A406" s="120" t="s">
        <v>2849</v>
      </c>
      <c r="B406" s="112" t="s">
        <v>2850</v>
      </c>
      <c r="C406" s="50" t="s">
        <v>271</v>
      </c>
      <c r="D406" s="44" t="s">
        <v>71</v>
      </c>
      <c r="E406" s="45"/>
      <c r="F406" s="47">
        <v>4.8E8</v>
      </c>
      <c r="G406" s="44" t="str">
        <f t="shared" si="8"/>
        <v>$400'000.000 a $500'000.000</v>
      </c>
      <c r="H406" s="44"/>
      <c r="I406" s="44"/>
      <c r="J406" s="43" t="s">
        <v>76</v>
      </c>
      <c r="K406" s="51" t="s">
        <v>77</v>
      </c>
      <c r="L406" s="52">
        <v>3.0</v>
      </c>
      <c r="M406" s="52"/>
      <c r="N406" s="52">
        <v>3.0</v>
      </c>
      <c r="O406" s="43">
        <v>0.0</v>
      </c>
      <c r="P406" s="52">
        <v>2.0</v>
      </c>
      <c r="Q406" s="54"/>
      <c r="R406" s="55">
        <v>180.0</v>
      </c>
      <c r="S406" s="56" t="str">
        <f t="shared" si="15"/>
        <v>Rentabilidad $1,400,000</v>
      </c>
      <c r="T406" s="52" t="s">
        <v>78</v>
      </c>
      <c r="U406" s="142" t="s">
        <v>77</v>
      </c>
      <c r="V406" s="43" t="s">
        <v>79</v>
      </c>
      <c r="W406" s="43"/>
      <c r="X406" s="52">
        <v>0.0</v>
      </c>
      <c r="Y406" s="43" t="s">
        <v>80</v>
      </c>
      <c r="Z406" s="80" t="s">
        <v>81</v>
      </c>
      <c r="AA406" s="59" t="str">
        <f>IF(Rentabilidad=0,"No aplica",TEXT(ROUND(Precio/Rentabilidad/12,0),0) &amp; " años")</f>
        <v>29 años</v>
      </c>
      <c r="AB406" s="60"/>
      <c r="AC406" s="61"/>
      <c r="AD406" s="62"/>
      <c r="AE406" s="63"/>
      <c r="AF406" s="64" t="s">
        <v>84</v>
      </c>
      <c r="AG406" s="63"/>
      <c r="AH406" s="65" t="s">
        <v>45</v>
      </c>
      <c r="AI406" s="63"/>
      <c r="AJ406" s="64" t="s">
        <v>1834</v>
      </c>
      <c r="AK406" s="44"/>
      <c r="AL406" s="45" t="s">
        <v>86</v>
      </c>
      <c r="AM406" s="52">
        <v>3.112178192E9</v>
      </c>
      <c r="AN406" s="45">
        <v>0.0</v>
      </c>
      <c r="AO406" s="52" t="s">
        <v>2851</v>
      </c>
      <c r="AP406" s="67" t="s">
        <v>2852</v>
      </c>
      <c r="AQ406" s="67"/>
      <c r="AR406" s="67"/>
      <c r="AS406" s="135">
        <v>1400000.0</v>
      </c>
      <c r="AT406" s="44">
        <v>0.0</v>
      </c>
      <c r="AU406" s="52">
        <v>0.0</v>
      </c>
      <c r="AV406" s="52">
        <v>0.0</v>
      </c>
      <c r="AW406" s="43" t="s">
        <v>88</v>
      </c>
      <c r="AX406" s="52">
        <v>0.0</v>
      </c>
      <c r="AY406" s="52">
        <v>0.0</v>
      </c>
      <c r="AZ406" s="52">
        <v>0.0</v>
      </c>
      <c r="BA406" s="43" t="s">
        <v>89</v>
      </c>
      <c r="BB406" s="52">
        <v>0.0</v>
      </c>
      <c r="BC406" s="69" t="s">
        <v>1137</v>
      </c>
      <c r="BD406" s="70"/>
      <c r="BE406" s="70"/>
      <c r="BF406" s="72"/>
      <c r="BG406" s="73"/>
      <c r="BH406" s="73"/>
      <c r="BI406" s="73"/>
      <c r="BJ406" s="73"/>
      <c r="BK406" s="73"/>
      <c r="BL406" s="73"/>
      <c r="BM406" s="73"/>
      <c r="BN406" s="73"/>
      <c r="BO406" s="73"/>
      <c r="BP406" s="73"/>
      <c r="BQ406" s="73"/>
      <c r="BR406" s="73"/>
      <c r="BS406" s="73"/>
      <c r="BT406" s="73"/>
      <c r="BU406" s="73"/>
      <c r="BV406" s="73"/>
      <c r="BW406" s="74"/>
      <c r="BX406" s="74"/>
      <c r="BY406" s="63"/>
      <c r="BZ406" s="63"/>
    </row>
    <row r="407" ht="15.75" customHeight="1">
      <c r="A407" s="120" t="s">
        <v>2853</v>
      </c>
      <c r="B407" s="122" t="s">
        <v>1921</v>
      </c>
      <c r="C407" s="43" t="s">
        <v>1228</v>
      </c>
      <c r="D407" s="44" t="s">
        <v>71</v>
      </c>
      <c r="E407" s="77" t="s">
        <v>376</v>
      </c>
      <c r="F407" s="47">
        <v>4.8E8</v>
      </c>
      <c r="G407" s="44" t="str">
        <f t="shared" si="8"/>
        <v>$400'000.000 a $500'000.000</v>
      </c>
      <c r="H407" s="44"/>
      <c r="I407" s="44"/>
      <c r="J407" s="50" t="s">
        <v>76</v>
      </c>
      <c r="K407" s="51" t="s">
        <v>77</v>
      </c>
      <c r="L407" s="52">
        <v>0.0</v>
      </c>
      <c r="M407" s="52"/>
      <c r="N407" s="52">
        <v>0.0</v>
      </c>
      <c r="O407" s="52">
        <v>0.0</v>
      </c>
      <c r="P407" s="52">
        <v>1.0</v>
      </c>
      <c r="Q407" s="54"/>
      <c r="R407" s="55">
        <v>290.0</v>
      </c>
      <c r="S407" s="56" t="str">
        <f t="shared" si="15"/>
        <v> </v>
      </c>
      <c r="T407" s="52" t="s">
        <v>78</v>
      </c>
      <c r="U407" s="142" t="s">
        <v>77</v>
      </c>
      <c r="V407" s="43" t="s">
        <v>118</v>
      </c>
      <c r="W407" s="43"/>
      <c r="X407" s="52">
        <v>0.0</v>
      </c>
      <c r="Y407" s="43" t="s">
        <v>80</v>
      </c>
      <c r="Z407" s="58" t="s">
        <v>81</v>
      </c>
      <c r="AA407" s="59" t="str">
        <f>IF(Rentabilidad=0,"No aplica",TEXT(ROUND(Precio/Rentabilidad/12,0),0) &amp; " años")</f>
        <v>No aplica</v>
      </c>
      <c r="AB407" s="195"/>
      <c r="AC407" s="61"/>
      <c r="AD407" s="62"/>
      <c r="AE407" s="63"/>
      <c r="AF407" s="45" t="s">
        <v>96</v>
      </c>
      <c r="AG407" s="63"/>
      <c r="AH407" s="65" t="s">
        <v>45</v>
      </c>
      <c r="AI407" s="63"/>
      <c r="AJ407" s="64" t="s">
        <v>1834</v>
      </c>
      <c r="AK407" s="44"/>
      <c r="AL407" s="45" t="s">
        <v>86</v>
      </c>
      <c r="AM407" s="52">
        <v>3.134613668E9</v>
      </c>
      <c r="AN407" s="45">
        <v>0.0</v>
      </c>
      <c r="AO407" s="52" t="s">
        <v>2854</v>
      </c>
      <c r="AP407" s="67" t="s">
        <v>2855</v>
      </c>
      <c r="AQ407" s="67"/>
      <c r="AR407" s="67"/>
      <c r="AS407" s="135">
        <v>0.0</v>
      </c>
      <c r="AT407" s="44">
        <v>0.0</v>
      </c>
      <c r="AU407" s="52">
        <v>0.0</v>
      </c>
      <c r="AV407" s="52">
        <v>0.0</v>
      </c>
      <c r="AW407" s="43" t="s">
        <v>88</v>
      </c>
      <c r="AX407" s="52">
        <v>0.0</v>
      </c>
      <c r="AY407" s="52" t="s">
        <v>110</v>
      </c>
      <c r="AZ407" s="52">
        <v>0.0</v>
      </c>
      <c r="BA407" s="43" t="s">
        <v>89</v>
      </c>
      <c r="BB407" s="52">
        <v>0.0</v>
      </c>
      <c r="BC407" s="69" t="s">
        <v>90</v>
      </c>
      <c r="BD407" s="70"/>
      <c r="BE407" s="71"/>
      <c r="BF407" s="130"/>
      <c r="BG407" s="73"/>
      <c r="BH407" s="73"/>
      <c r="BI407" s="73"/>
      <c r="BJ407" s="73"/>
      <c r="BK407" s="73"/>
      <c r="BL407" s="73"/>
      <c r="BM407" s="73"/>
      <c r="BN407" s="73"/>
      <c r="BO407" s="73"/>
      <c r="BP407" s="73"/>
      <c r="BQ407" s="73"/>
      <c r="BR407" s="73"/>
      <c r="BS407" s="73"/>
      <c r="BT407" s="73"/>
      <c r="BU407" s="73"/>
      <c r="BV407" s="73"/>
      <c r="BW407" s="74"/>
      <c r="BX407" s="74"/>
      <c r="BY407" s="63"/>
      <c r="BZ407" s="63"/>
    </row>
    <row r="408" ht="15.75" customHeight="1">
      <c r="A408" s="120" t="s">
        <v>2856</v>
      </c>
      <c r="B408" s="122" t="s">
        <v>2857</v>
      </c>
      <c r="C408" s="43" t="s">
        <v>1228</v>
      </c>
      <c r="D408" s="52" t="s">
        <v>193</v>
      </c>
      <c r="E408" s="77" t="s">
        <v>376</v>
      </c>
      <c r="F408" s="47">
        <v>4.7E8</v>
      </c>
      <c r="G408" s="44" t="str">
        <f t="shared" si="8"/>
        <v>$400'000.000 a $500'000.000</v>
      </c>
      <c r="H408" s="44"/>
      <c r="I408" s="44"/>
      <c r="J408" s="43" t="s">
        <v>76</v>
      </c>
      <c r="K408" s="56" t="s">
        <v>77</v>
      </c>
      <c r="L408" s="52">
        <v>0.0</v>
      </c>
      <c r="M408" s="52"/>
      <c r="N408" s="52">
        <v>0.0</v>
      </c>
      <c r="O408" s="52">
        <v>0.0</v>
      </c>
      <c r="P408" s="52">
        <v>0.0</v>
      </c>
      <c r="Q408" s="54"/>
      <c r="R408" s="55">
        <v>200.0</v>
      </c>
      <c r="S408" s="56" t="str">
        <f t="shared" si="15"/>
        <v> </v>
      </c>
      <c r="T408" s="52" t="s">
        <v>78</v>
      </c>
      <c r="U408" s="142" t="s">
        <v>77</v>
      </c>
      <c r="V408" s="43" t="s">
        <v>118</v>
      </c>
      <c r="W408" s="43"/>
      <c r="X408" s="52">
        <v>0.0</v>
      </c>
      <c r="Y408" s="43" t="s">
        <v>80</v>
      </c>
      <c r="Z408" s="80" t="s">
        <v>81</v>
      </c>
      <c r="AA408" s="59" t="str">
        <f>IF(Rentabilidad=0,"No aplica",TEXT(ROUND(Precio/Rentabilidad/12,0),0) &amp; " años")</f>
        <v>No aplica</v>
      </c>
      <c r="AB408" s="60"/>
      <c r="AC408" s="61"/>
      <c r="AD408" s="62"/>
      <c r="AE408" s="63"/>
      <c r="AF408" s="45" t="s">
        <v>96</v>
      </c>
      <c r="AG408" s="63"/>
      <c r="AH408" s="65" t="s">
        <v>45</v>
      </c>
      <c r="AI408" s="63"/>
      <c r="AJ408" s="64" t="s">
        <v>1834</v>
      </c>
      <c r="AK408" s="44"/>
      <c r="AL408" s="45" t="s">
        <v>2743</v>
      </c>
      <c r="AM408" s="52">
        <v>3.153201082E9</v>
      </c>
      <c r="AN408" s="45">
        <v>0.0</v>
      </c>
      <c r="AO408" s="52" t="s">
        <v>2858</v>
      </c>
      <c r="AP408" s="67">
        <v>0.0</v>
      </c>
      <c r="AQ408" s="67"/>
      <c r="AR408" s="67"/>
      <c r="AS408" s="135">
        <v>0.0</v>
      </c>
      <c r="AT408" s="63">
        <v>0.0</v>
      </c>
      <c r="AU408" s="52">
        <v>0.0</v>
      </c>
      <c r="AV408" s="52">
        <v>0.0</v>
      </c>
      <c r="AW408" s="43" t="s">
        <v>88</v>
      </c>
      <c r="AX408" s="52">
        <v>0.0</v>
      </c>
      <c r="AY408" s="52">
        <v>0.0</v>
      </c>
      <c r="AZ408" s="52">
        <v>0.0</v>
      </c>
      <c r="BA408" s="43" t="s">
        <v>89</v>
      </c>
      <c r="BB408" s="52">
        <v>0.0</v>
      </c>
      <c r="BC408" s="95" t="s">
        <v>2859</v>
      </c>
      <c r="BD408" s="71"/>
      <c r="BE408" s="71"/>
      <c r="BF408" s="130"/>
      <c r="BG408" s="73"/>
      <c r="BH408" s="73"/>
      <c r="BI408" s="73"/>
      <c r="BJ408" s="73"/>
      <c r="BK408" s="73"/>
      <c r="BL408" s="73"/>
      <c r="BM408" s="73"/>
      <c r="BN408" s="73"/>
      <c r="BO408" s="73"/>
      <c r="BP408" s="73"/>
      <c r="BQ408" s="73"/>
      <c r="BR408" s="73"/>
      <c r="BS408" s="73"/>
      <c r="BT408" s="73"/>
      <c r="BU408" s="73"/>
      <c r="BV408" s="73"/>
      <c r="BW408" s="74"/>
      <c r="BX408" s="74"/>
      <c r="BY408" s="63"/>
      <c r="BZ408" s="63"/>
    </row>
    <row r="409" ht="15.75" customHeight="1">
      <c r="A409" s="41" t="s">
        <v>2860</v>
      </c>
      <c r="B409" s="122" t="s">
        <v>429</v>
      </c>
      <c r="C409" s="43" t="s">
        <v>70</v>
      </c>
      <c r="D409" s="52" t="s">
        <v>430</v>
      </c>
      <c r="E409" s="77" t="s">
        <v>376</v>
      </c>
      <c r="F409" s="47">
        <v>4.6E8</v>
      </c>
      <c r="G409" s="44" t="str">
        <f t="shared" si="8"/>
        <v>$400'000.000 a $500'000.000</v>
      </c>
      <c r="H409" s="44"/>
      <c r="I409" s="44"/>
      <c r="J409" s="43" t="s">
        <v>183</v>
      </c>
      <c r="K409" s="56" t="s">
        <v>184</v>
      </c>
      <c r="L409" s="52">
        <v>4.0</v>
      </c>
      <c r="M409" s="52"/>
      <c r="N409" s="52">
        <v>3.0</v>
      </c>
      <c r="O409" s="43">
        <v>1.0</v>
      </c>
      <c r="P409" s="52">
        <v>2.0</v>
      </c>
      <c r="Q409" s="54"/>
      <c r="R409" s="55">
        <v>120.0</v>
      </c>
      <c r="S409" s="56" t="str">
        <f t="shared" si="15"/>
        <v> </v>
      </c>
      <c r="T409" s="52" t="s">
        <v>78</v>
      </c>
      <c r="U409" s="142" t="s">
        <v>77</v>
      </c>
      <c r="V409" s="43" t="s">
        <v>118</v>
      </c>
      <c r="W409" s="43"/>
      <c r="X409" s="52">
        <v>3.0</v>
      </c>
      <c r="Y409" s="43" t="s">
        <v>80</v>
      </c>
      <c r="Z409" s="58" t="s">
        <v>81</v>
      </c>
      <c r="AA409" s="59" t="str">
        <f>IF(Rentabilidad=0,"No aplica",TEXT(ROUND(Precio/Rentabilidad/12,0),0) &amp; " años")</f>
        <v>No aplica</v>
      </c>
      <c r="AB409" s="60"/>
      <c r="AC409" s="61"/>
      <c r="AD409" s="62"/>
      <c r="AE409" s="63"/>
      <c r="AF409" s="45" t="s">
        <v>105</v>
      </c>
      <c r="AG409" s="63"/>
      <c r="AH409" s="65" t="s">
        <v>45</v>
      </c>
      <c r="AI409" s="63"/>
      <c r="AJ409" s="64" t="s">
        <v>1834</v>
      </c>
      <c r="AK409" s="44"/>
      <c r="AL409" s="45" t="s">
        <v>86</v>
      </c>
      <c r="AM409" s="52">
        <v>3.188660075E9</v>
      </c>
      <c r="AN409" s="45">
        <v>0.0</v>
      </c>
      <c r="AO409" s="52" t="s">
        <v>2861</v>
      </c>
      <c r="AP409" s="67">
        <v>0.0</v>
      </c>
      <c r="AQ409" s="67"/>
      <c r="AR409" s="67"/>
      <c r="AS409" s="135">
        <v>0.0</v>
      </c>
      <c r="AT409" s="44">
        <v>0.0</v>
      </c>
      <c r="AU409" s="52">
        <v>0.0</v>
      </c>
      <c r="AV409" s="52">
        <v>0.0</v>
      </c>
      <c r="AW409" s="43" t="s">
        <v>88</v>
      </c>
      <c r="AX409" s="52">
        <v>0.0</v>
      </c>
      <c r="AY409" s="52">
        <v>0.0</v>
      </c>
      <c r="AZ409" s="52">
        <v>0.0</v>
      </c>
      <c r="BA409" s="43" t="s">
        <v>89</v>
      </c>
      <c r="BB409" s="52">
        <v>0.0</v>
      </c>
      <c r="BC409" s="109"/>
      <c r="BD409" s="70"/>
      <c r="BE409" s="71"/>
      <c r="BF409" s="72"/>
      <c r="BG409" s="73"/>
      <c r="BH409" s="73"/>
      <c r="BI409" s="73"/>
      <c r="BJ409" s="73"/>
      <c r="BK409" s="73"/>
      <c r="BL409" s="73"/>
      <c r="BM409" s="73"/>
      <c r="BN409" s="73"/>
      <c r="BO409" s="73"/>
      <c r="BP409" s="73"/>
      <c r="BQ409" s="73"/>
      <c r="BR409" s="73"/>
      <c r="BS409" s="73"/>
      <c r="BT409" s="73"/>
      <c r="BU409" s="73"/>
      <c r="BV409" s="73"/>
      <c r="BW409" s="74"/>
      <c r="BX409" s="74"/>
      <c r="BY409" s="63"/>
      <c r="BZ409" s="63"/>
    </row>
    <row r="410" ht="15.75" customHeight="1">
      <c r="A410" s="120" t="s">
        <v>2862</v>
      </c>
      <c r="B410" s="43" t="s">
        <v>2863</v>
      </c>
      <c r="C410" s="43" t="s">
        <v>315</v>
      </c>
      <c r="D410" s="202"/>
      <c r="E410" s="45"/>
      <c r="F410" s="47">
        <v>4.6E8</v>
      </c>
      <c r="G410" s="44" t="str">
        <f t="shared" si="8"/>
        <v>$400'000.000 a $500'000.000</v>
      </c>
      <c r="H410" s="44"/>
      <c r="I410" s="44"/>
      <c r="J410" s="50" t="s">
        <v>94</v>
      </c>
      <c r="K410" s="150"/>
      <c r="L410" s="52">
        <v>0.0</v>
      </c>
      <c r="M410" s="52"/>
      <c r="N410" s="52">
        <v>0.0</v>
      </c>
      <c r="O410" s="52">
        <v>0.0</v>
      </c>
      <c r="P410" s="52">
        <v>0.0</v>
      </c>
      <c r="Q410" s="55">
        <v>20000.0</v>
      </c>
      <c r="R410" s="55">
        <v>0.0</v>
      </c>
      <c r="S410" s="56" t="str">
        <f t="shared" si="15"/>
        <v> </v>
      </c>
      <c r="T410" s="52" t="s">
        <v>2864</v>
      </c>
      <c r="U410" s="142"/>
      <c r="V410" s="52"/>
      <c r="W410" s="52"/>
      <c r="X410" s="52">
        <v>0.0</v>
      </c>
      <c r="Y410" s="43" t="s">
        <v>80</v>
      </c>
      <c r="Z410" s="58" t="s">
        <v>81</v>
      </c>
      <c r="AA410" s="59" t="str">
        <f>IF(Rentabilidad=0,"No aplica",TEXT(ROUND(Precio/Rentabilidad/12,0),0) &amp; " años")</f>
        <v>No aplica</v>
      </c>
      <c r="AB410" s="60"/>
      <c r="AC410" s="61"/>
      <c r="AD410" s="216" t="s">
        <v>2865</v>
      </c>
      <c r="AE410" s="63"/>
      <c r="AF410" s="45" t="s">
        <v>96</v>
      </c>
      <c r="AG410" s="63"/>
      <c r="AH410" s="63"/>
      <c r="AI410" s="63"/>
      <c r="AJ410" s="64" t="s">
        <v>1834</v>
      </c>
      <c r="AK410" s="44"/>
      <c r="AL410" s="45" t="s">
        <v>109</v>
      </c>
      <c r="AM410" s="52">
        <v>3.112268192E9</v>
      </c>
      <c r="AN410" s="45">
        <v>0.0</v>
      </c>
      <c r="AO410" s="209"/>
      <c r="AP410" s="67" t="s">
        <v>2866</v>
      </c>
      <c r="AQ410" s="67"/>
      <c r="AR410" s="67"/>
      <c r="AS410" s="135">
        <v>0.0</v>
      </c>
      <c r="AT410" s="52">
        <v>0.0</v>
      </c>
      <c r="AU410" s="52">
        <v>0.0</v>
      </c>
      <c r="AV410" s="52">
        <v>0.0</v>
      </c>
      <c r="AW410" s="43" t="s">
        <v>88</v>
      </c>
      <c r="AX410" s="52">
        <v>0.0</v>
      </c>
      <c r="AY410" s="52">
        <v>0.0</v>
      </c>
      <c r="AZ410" s="52">
        <v>0.0</v>
      </c>
      <c r="BA410" s="43" t="s">
        <v>89</v>
      </c>
      <c r="BB410" s="52">
        <v>0.0</v>
      </c>
      <c r="BC410" s="170"/>
      <c r="BD410" s="128"/>
      <c r="BE410" s="129"/>
      <c r="BF410" s="72"/>
      <c r="BG410" s="73"/>
      <c r="BH410" s="73"/>
      <c r="BI410" s="73"/>
      <c r="BJ410" s="73"/>
      <c r="BK410" s="73"/>
      <c r="BL410" s="73"/>
      <c r="BM410" s="73"/>
      <c r="BN410" s="73"/>
      <c r="BO410" s="73"/>
      <c r="BP410" s="73"/>
      <c r="BQ410" s="73"/>
      <c r="BR410" s="73"/>
      <c r="BS410" s="73"/>
      <c r="BT410" s="73"/>
      <c r="BU410" s="73"/>
      <c r="BV410" s="73"/>
      <c r="BW410" s="74"/>
      <c r="BX410" s="74"/>
      <c r="BY410" s="63"/>
      <c r="BZ410" s="63"/>
    </row>
    <row r="411" ht="15.75" customHeight="1">
      <c r="A411" s="41" t="s">
        <v>2867</v>
      </c>
      <c r="B411" s="122" t="s">
        <v>409</v>
      </c>
      <c r="C411" s="43" t="s">
        <v>70</v>
      </c>
      <c r="D411" s="44" t="s">
        <v>205</v>
      </c>
      <c r="E411" s="45"/>
      <c r="F411" s="47">
        <v>4.5E8</v>
      </c>
      <c r="G411" s="44" t="str">
        <f t="shared" si="8"/>
        <v>$400'000.000 a $500'000.000</v>
      </c>
      <c r="H411" s="44"/>
      <c r="I411" s="44"/>
      <c r="J411" s="50" t="s">
        <v>76</v>
      </c>
      <c r="K411" s="119" t="s">
        <v>77</v>
      </c>
      <c r="L411" s="44">
        <v>3.0</v>
      </c>
      <c r="M411" s="44"/>
      <c r="N411" s="44">
        <v>1.0</v>
      </c>
      <c r="O411" s="50">
        <v>0.0</v>
      </c>
      <c r="P411" s="44">
        <v>1.0</v>
      </c>
      <c r="Q411" s="113"/>
      <c r="R411" s="79">
        <v>185.0</v>
      </c>
      <c r="S411" s="56" t="str">
        <f t="shared" si="15"/>
        <v> </v>
      </c>
      <c r="T411" s="52" t="s">
        <v>78</v>
      </c>
      <c r="U411" s="142" t="s">
        <v>184</v>
      </c>
      <c r="V411" s="50" t="s">
        <v>79</v>
      </c>
      <c r="W411" s="50"/>
      <c r="X411" s="44">
        <v>3.0</v>
      </c>
      <c r="Y411" s="50" t="s">
        <v>80</v>
      </c>
      <c r="Z411" s="58" t="s">
        <v>81</v>
      </c>
      <c r="AA411" s="59" t="str">
        <f>IF(Rentabilidad=0,"No aplica",TEXT(ROUND(Precio/Rentabilidad/12,0),0) &amp; " años")</f>
        <v>No aplica</v>
      </c>
      <c r="AB411" s="60"/>
      <c r="AC411" s="61"/>
      <c r="AD411" s="62"/>
      <c r="AE411" s="63"/>
      <c r="AF411" s="45" t="s">
        <v>236</v>
      </c>
      <c r="AG411" s="63"/>
      <c r="AH411" s="65" t="s">
        <v>45</v>
      </c>
      <c r="AI411" s="63"/>
      <c r="AJ411" s="64" t="s">
        <v>1834</v>
      </c>
      <c r="AK411" s="44"/>
      <c r="AL411" s="45" t="s">
        <v>86</v>
      </c>
      <c r="AM411" s="52">
        <v>3.112675213E9</v>
      </c>
      <c r="AN411" s="45">
        <v>3.158769073E9</v>
      </c>
      <c r="AO411" s="52" t="s">
        <v>2868</v>
      </c>
      <c r="AP411" s="67" t="s">
        <v>2869</v>
      </c>
      <c r="AQ411" s="67"/>
      <c r="AR411" s="67"/>
      <c r="AS411" s="68">
        <v>0.0</v>
      </c>
      <c r="AT411" s="44">
        <v>0.0</v>
      </c>
      <c r="AU411" s="44">
        <v>0.0</v>
      </c>
      <c r="AV411" s="44">
        <v>0.0</v>
      </c>
      <c r="AW411" s="50" t="s">
        <v>88</v>
      </c>
      <c r="AX411" s="44">
        <v>0.0</v>
      </c>
      <c r="AY411" s="44">
        <v>0.0</v>
      </c>
      <c r="AZ411" s="44">
        <v>8.0</v>
      </c>
      <c r="BA411" s="43" t="s">
        <v>89</v>
      </c>
      <c r="BB411" s="44">
        <v>23.0</v>
      </c>
      <c r="BC411" s="86"/>
      <c r="BD411" s="71"/>
      <c r="BE411" s="71"/>
      <c r="BF411" s="72"/>
      <c r="BG411" s="113"/>
      <c r="BH411" s="113"/>
      <c r="BI411" s="113"/>
      <c r="BJ411" s="113"/>
      <c r="BK411" s="113"/>
      <c r="BL411" s="113"/>
      <c r="BM411" s="113"/>
      <c r="BN411" s="113"/>
      <c r="BO411" s="113"/>
      <c r="BP411" s="113"/>
      <c r="BQ411" s="113"/>
      <c r="BR411" s="113"/>
      <c r="BS411" s="113"/>
      <c r="BT411" s="113"/>
      <c r="BU411" s="113"/>
      <c r="BV411" s="113"/>
      <c r="BW411" s="74"/>
      <c r="BX411" s="74"/>
      <c r="BY411" s="63"/>
      <c r="BZ411" s="63"/>
    </row>
    <row r="412" ht="15.75" customHeight="1">
      <c r="A412" s="120" t="s">
        <v>2870</v>
      </c>
      <c r="B412" s="112" t="s">
        <v>2871</v>
      </c>
      <c r="C412" s="50" t="s">
        <v>271</v>
      </c>
      <c r="D412" s="44" t="s">
        <v>430</v>
      </c>
      <c r="E412" s="45"/>
      <c r="F412" s="47">
        <v>4.5E8</v>
      </c>
      <c r="G412" s="44" t="str">
        <f t="shared" si="8"/>
        <v>$400'000.000 a $500'000.000</v>
      </c>
      <c r="H412" s="44"/>
      <c r="I412" s="44"/>
      <c r="J412" s="50" t="s">
        <v>183</v>
      </c>
      <c r="K412" s="56" t="s">
        <v>184</v>
      </c>
      <c r="L412" s="52">
        <v>9.0</v>
      </c>
      <c r="M412" s="52"/>
      <c r="N412" s="52">
        <v>7.0</v>
      </c>
      <c r="O412" s="43">
        <v>0.0</v>
      </c>
      <c r="P412" s="52">
        <v>2.0</v>
      </c>
      <c r="Q412" s="54">
        <v>220.0</v>
      </c>
      <c r="R412" s="55">
        <v>120.0</v>
      </c>
      <c r="S412" s="56" t="str">
        <f t="shared" si="15"/>
        <v>Rentabilidad $2,300,000</v>
      </c>
      <c r="T412" s="52" t="s">
        <v>78</v>
      </c>
      <c r="U412" s="142" t="s">
        <v>77</v>
      </c>
      <c r="V412" s="43" t="s">
        <v>118</v>
      </c>
      <c r="W412" s="43"/>
      <c r="X412" s="52">
        <v>9.0</v>
      </c>
      <c r="Y412" s="43" t="s">
        <v>80</v>
      </c>
      <c r="Z412" s="80" t="s">
        <v>81</v>
      </c>
      <c r="AA412" s="59" t="str">
        <f>IF(Rentabilidad=0,"No aplica",TEXT(ROUND(Precio/Rentabilidad/12,0),0) &amp; " años")</f>
        <v>16 años</v>
      </c>
      <c r="AB412" s="60"/>
      <c r="AC412" s="61"/>
      <c r="AD412" s="62"/>
      <c r="AE412" s="63"/>
      <c r="AF412" s="45" t="s">
        <v>236</v>
      </c>
      <c r="AG412" s="63"/>
      <c r="AH412" s="65" t="s">
        <v>45</v>
      </c>
      <c r="AI412" s="63"/>
      <c r="AJ412" s="64" t="s">
        <v>1834</v>
      </c>
      <c r="AK412" s="44"/>
      <c r="AL412" s="45" t="s">
        <v>86</v>
      </c>
      <c r="AM412" s="52">
        <v>3.132130029E9</v>
      </c>
      <c r="AN412" s="45">
        <v>3.114696369E9</v>
      </c>
      <c r="AO412" s="52"/>
      <c r="AP412" s="67" t="s">
        <v>2872</v>
      </c>
      <c r="AQ412" s="67"/>
      <c r="AR412" s="67"/>
      <c r="AS412" s="135">
        <v>2300000.0</v>
      </c>
      <c r="AT412" s="44">
        <v>0.0</v>
      </c>
      <c r="AU412" s="52">
        <v>0.0</v>
      </c>
      <c r="AV412" s="52">
        <v>0.0</v>
      </c>
      <c r="AW412" s="52" t="s">
        <v>106</v>
      </c>
      <c r="AX412" s="52">
        <v>0.0</v>
      </c>
      <c r="AY412" s="52">
        <v>0.0</v>
      </c>
      <c r="AZ412" s="52">
        <v>0.0</v>
      </c>
      <c r="BA412" s="43" t="s">
        <v>89</v>
      </c>
      <c r="BB412" s="52">
        <v>0.0</v>
      </c>
      <c r="BC412" s="95"/>
      <c r="BD412" s="71"/>
      <c r="BE412" s="71"/>
      <c r="BF412" s="72"/>
      <c r="BG412" s="73"/>
      <c r="BH412" s="73"/>
      <c r="BI412" s="73"/>
      <c r="BJ412" s="73"/>
      <c r="BK412" s="73"/>
      <c r="BL412" s="73"/>
      <c r="BM412" s="73"/>
      <c r="BN412" s="73"/>
      <c r="BO412" s="73"/>
      <c r="BP412" s="73"/>
      <c r="BQ412" s="73"/>
      <c r="BR412" s="73"/>
      <c r="BS412" s="73"/>
      <c r="BT412" s="73"/>
      <c r="BU412" s="73"/>
      <c r="BV412" s="73"/>
      <c r="BW412" s="74"/>
      <c r="BX412" s="74"/>
      <c r="BY412" s="63"/>
      <c r="BZ412" s="63"/>
    </row>
    <row r="413" ht="15.75" customHeight="1">
      <c r="A413" s="133" t="s">
        <v>2873</v>
      </c>
      <c r="B413" s="122" t="s">
        <v>2874</v>
      </c>
      <c r="C413" s="43" t="s">
        <v>1228</v>
      </c>
      <c r="D413" s="52" t="s">
        <v>205</v>
      </c>
      <c r="E413" s="45"/>
      <c r="F413" s="47">
        <v>4.5E8</v>
      </c>
      <c r="G413" s="44" t="str">
        <f t="shared" si="8"/>
        <v>$400'000.000 a $500'000.000</v>
      </c>
      <c r="H413" s="44"/>
      <c r="I413" s="44"/>
      <c r="J413" s="43" t="s">
        <v>76</v>
      </c>
      <c r="K413" s="119" t="s">
        <v>77</v>
      </c>
      <c r="L413" s="44">
        <v>4.0</v>
      </c>
      <c r="M413" s="44"/>
      <c r="N413" s="44">
        <v>1.0</v>
      </c>
      <c r="O413" s="50">
        <v>2.0</v>
      </c>
      <c r="P413" s="44">
        <v>2.0</v>
      </c>
      <c r="Q413" s="54"/>
      <c r="R413" s="55">
        <v>295.0</v>
      </c>
      <c r="S413" s="56" t="str">
        <f t="shared" si="15"/>
        <v> </v>
      </c>
      <c r="T413" s="44" t="s">
        <v>78</v>
      </c>
      <c r="U413" s="57" t="s">
        <v>142</v>
      </c>
      <c r="V413" s="50" t="s">
        <v>79</v>
      </c>
      <c r="W413" s="50"/>
      <c r="X413" s="44">
        <v>0.0</v>
      </c>
      <c r="Y413" s="43" t="s">
        <v>80</v>
      </c>
      <c r="Z413" s="58" t="s">
        <v>81</v>
      </c>
      <c r="AA413" s="59" t="str">
        <f>IF(Rentabilidad=0,"No aplica",TEXT(ROUND(Precio/Rentabilidad/12,0),0) &amp; " años")</f>
        <v>No aplica</v>
      </c>
      <c r="AB413" s="60"/>
      <c r="AC413" s="61"/>
      <c r="AD413" s="62"/>
      <c r="AE413" s="63"/>
      <c r="AF413" s="64" t="s">
        <v>84</v>
      </c>
      <c r="AG413" s="63"/>
      <c r="AH413" s="65" t="s">
        <v>45</v>
      </c>
      <c r="AI413" s="63"/>
      <c r="AJ413" s="64" t="s">
        <v>1834</v>
      </c>
      <c r="AK413" s="44"/>
      <c r="AL413" s="45" t="s">
        <v>86</v>
      </c>
      <c r="AM413" s="52">
        <v>3.005627475E9</v>
      </c>
      <c r="AN413" s="45">
        <v>3.005575058E9</v>
      </c>
      <c r="AO413" s="52" t="s">
        <v>2875</v>
      </c>
      <c r="AP413" s="67">
        <v>0.0</v>
      </c>
      <c r="AQ413" s="67"/>
      <c r="AR413" s="67"/>
      <c r="AS413" s="135">
        <v>0.0</v>
      </c>
      <c r="AT413" s="44">
        <v>0.0</v>
      </c>
      <c r="AU413" s="44">
        <v>0.0</v>
      </c>
      <c r="AV413" s="44">
        <v>0.0</v>
      </c>
      <c r="AW413" s="50" t="s">
        <v>88</v>
      </c>
      <c r="AX413" s="44">
        <v>0.0</v>
      </c>
      <c r="AY413" s="44">
        <v>0.0</v>
      </c>
      <c r="AZ413" s="44">
        <v>0.0</v>
      </c>
      <c r="BA413" s="43" t="s">
        <v>89</v>
      </c>
      <c r="BB413" s="44">
        <v>0.0</v>
      </c>
      <c r="BC413" s="86"/>
      <c r="BD413" s="71"/>
      <c r="BE413" s="71"/>
      <c r="BF413" s="72"/>
      <c r="BG413" s="73"/>
      <c r="BH413" s="73"/>
      <c r="BI413" s="73"/>
      <c r="BJ413" s="73"/>
      <c r="BK413" s="73"/>
      <c r="BL413" s="73"/>
      <c r="BM413" s="73"/>
      <c r="BN413" s="73"/>
      <c r="BO413" s="73"/>
      <c r="BP413" s="73"/>
      <c r="BQ413" s="73"/>
      <c r="BR413" s="73"/>
      <c r="BS413" s="73"/>
      <c r="BT413" s="73"/>
      <c r="BU413" s="73"/>
      <c r="BV413" s="73"/>
      <c r="BW413" s="74"/>
      <c r="BX413" s="74"/>
      <c r="BY413" s="63"/>
      <c r="BZ413" s="63"/>
    </row>
    <row r="414" ht="15.75" customHeight="1">
      <c r="A414" s="120" t="s">
        <v>2876</v>
      </c>
      <c r="B414" s="112" t="s">
        <v>2877</v>
      </c>
      <c r="C414" s="50" t="s">
        <v>271</v>
      </c>
      <c r="D414" s="50" t="s">
        <v>1222</v>
      </c>
      <c r="E414" s="64"/>
      <c r="F414" s="47">
        <v>4.5E8</v>
      </c>
      <c r="G414" s="44" t="str">
        <f t="shared" si="8"/>
        <v>$400'000.000 a $500'000.000</v>
      </c>
      <c r="H414" s="44"/>
      <c r="I414" s="44"/>
      <c r="J414" s="50" t="s">
        <v>183</v>
      </c>
      <c r="K414" s="51"/>
      <c r="L414" s="52">
        <v>6.0</v>
      </c>
      <c r="M414" s="52"/>
      <c r="N414" s="52">
        <v>3.0</v>
      </c>
      <c r="O414" s="43">
        <v>1.0</v>
      </c>
      <c r="P414" s="52">
        <v>2.0</v>
      </c>
      <c r="Q414" s="54">
        <v>280.0</v>
      </c>
      <c r="R414" s="55">
        <v>160.0</v>
      </c>
      <c r="S414" s="56" t="str">
        <f t="shared" si="15"/>
        <v>Rentabilidad $1,000,000</v>
      </c>
      <c r="T414" s="52" t="s">
        <v>78</v>
      </c>
      <c r="U414" s="142" t="s">
        <v>184</v>
      </c>
      <c r="V414" s="43" t="s">
        <v>118</v>
      </c>
      <c r="W414" s="43"/>
      <c r="X414" s="52">
        <v>0.0</v>
      </c>
      <c r="Y414" s="43" t="s">
        <v>80</v>
      </c>
      <c r="Z414" s="80" t="s">
        <v>81</v>
      </c>
      <c r="AA414" s="59" t="str">
        <f>IF(Rentabilidad=0,"No aplica",TEXT(ROUND(Precio/Rentabilidad/12,0),0) &amp; " años")</f>
        <v>38 años</v>
      </c>
      <c r="AB414" s="60"/>
      <c r="AC414" s="61"/>
      <c r="AD414" s="62"/>
      <c r="AE414" s="63"/>
      <c r="AF414" s="64" t="s">
        <v>84</v>
      </c>
      <c r="AG414" s="63"/>
      <c r="AH414" s="63"/>
      <c r="AI414" s="63"/>
      <c r="AJ414" s="64" t="s">
        <v>1834</v>
      </c>
      <c r="AK414" s="44"/>
      <c r="AL414" s="45" t="s">
        <v>86</v>
      </c>
      <c r="AM414" s="52">
        <v>3.214692386E9</v>
      </c>
      <c r="AN414" s="45" t="s">
        <v>2878</v>
      </c>
      <c r="AO414" s="52" t="s">
        <v>2879</v>
      </c>
      <c r="AP414" s="67" t="s">
        <v>2880</v>
      </c>
      <c r="AQ414" s="67"/>
      <c r="AR414" s="67"/>
      <c r="AS414" s="135">
        <v>1000000.0</v>
      </c>
      <c r="AT414" s="63">
        <v>0.0</v>
      </c>
      <c r="AU414" s="52">
        <v>0.0</v>
      </c>
      <c r="AV414" s="52">
        <v>0.0</v>
      </c>
      <c r="AW414" s="43" t="s">
        <v>88</v>
      </c>
      <c r="AX414" s="52">
        <v>0.0</v>
      </c>
      <c r="AY414" s="52">
        <v>0.0</v>
      </c>
      <c r="AZ414" s="52">
        <v>8.0</v>
      </c>
      <c r="BA414" s="43" t="s">
        <v>89</v>
      </c>
      <c r="BB414" s="52">
        <v>20.0</v>
      </c>
      <c r="BC414" s="109"/>
      <c r="BD414" s="70"/>
      <c r="BE414" s="71"/>
      <c r="BF414" s="72"/>
      <c r="BG414" s="73"/>
      <c r="BH414" s="73"/>
      <c r="BI414" s="73"/>
      <c r="BJ414" s="73"/>
      <c r="BK414" s="73"/>
      <c r="BL414" s="73"/>
      <c r="BM414" s="73"/>
      <c r="BN414" s="73"/>
      <c r="BO414" s="73"/>
      <c r="BP414" s="73"/>
      <c r="BQ414" s="73"/>
      <c r="BR414" s="73"/>
      <c r="BS414" s="73"/>
      <c r="BT414" s="73"/>
      <c r="BU414" s="73"/>
      <c r="BV414" s="73"/>
      <c r="BW414" s="74"/>
      <c r="BX414" s="74"/>
      <c r="BY414" s="63"/>
      <c r="BZ414" s="63"/>
    </row>
    <row r="415" ht="15.75" customHeight="1">
      <c r="A415" s="120" t="s">
        <v>2881</v>
      </c>
      <c r="B415" s="122" t="s">
        <v>2761</v>
      </c>
      <c r="C415" s="43" t="s">
        <v>315</v>
      </c>
      <c r="D415" s="44" t="s">
        <v>71</v>
      </c>
      <c r="E415" s="77" t="s">
        <v>376</v>
      </c>
      <c r="F415" s="47">
        <v>4.5E8</v>
      </c>
      <c r="G415" s="44" t="str">
        <f t="shared" si="8"/>
        <v>$400'000.000 a $500'000.000</v>
      </c>
      <c r="H415" s="44"/>
      <c r="I415" s="44"/>
      <c r="J415" s="50" t="s">
        <v>76</v>
      </c>
      <c r="K415" s="51" t="s">
        <v>77</v>
      </c>
      <c r="L415" s="52">
        <v>0.0</v>
      </c>
      <c r="M415" s="52"/>
      <c r="N415" s="52">
        <v>0.0</v>
      </c>
      <c r="O415" s="52">
        <v>0.0</v>
      </c>
      <c r="P415" s="52">
        <v>0.0</v>
      </c>
      <c r="Q415" s="54"/>
      <c r="R415" s="55">
        <v>120.25</v>
      </c>
      <c r="S415" s="56" t="str">
        <f t="shared" si="15"/>
        <v> </v>
      </c>
      <c r="T415" s="52" t="s">
        <v>78</v>
      </c>
      <c r="U415" s="142" t="s">
        <v>77</v>
      </c>
      <c r="V415" s="43" t="s">
        <v>79</v>
      </c>
      <c r="W415" s="43"/>
      <c r="X415" s="52">
        <v>0.0</v>
      </c>
      <c r="Y415" s="43" t="s">
        <v>80</v>
      </c>
      <c r="Z415" s="58" t="s">
        <v>81</v>
      </c>
      <c r="AA415" s="59" t="str">
        <f>IF(Rentabilidad=0,"No aplica",TEXT(ROUND(Precio/Rentabilidad/12,0),0) &amp; " años")</f>
        <v>No aplica</v>
      </c>
      <c r="AB415" s="60"/>
      <c r="AC415" s="61"/>
      <c r="AD415" s="62"/>
      <c r="AE415" s="63"/>
      <c r="AF415" s="45" t="s">
        <v>96</v>
      </c>
      <c r="AG415" s="63"/>
      <c r="AH415" s="65" t="s">
        <v>45</v>
      </c>
      <c r="AI415" s="63"/>
      <c r="AJ415" s="64" t="s">
        <v>1834</v>
      </c>
      <c r="AK415" s="44"/>
      <c r="AL415" s="45" t="s">
        <v>2098</v>
      </c>
      <c r="AM415" s="52">
        <v>3.21491776E9</v>
      </c>
      <c r="AN415" s="45">
        <v>0.0</v>
      </c>
      <c r="AO415" s="52" t="s">
        <v>2882</v>
      </c>
      <c r="AP415" s="67" t="s">
        <v>2883</v>
      </c>
      <c r="AQ415" s="67"/>
      <c r="AR415" s="67"/>
      <c r="AS415" s="135">
        <v>0.0</v>
      </c>
      <c r="AT415" s="44">
        <v>0.0</v>
      </c>
      <c r="AU415" s="52">
        <v>0.0</v>
      </c>
      <c r="AV415" s="52">
        <v>0.0</v>
      </c>
      <c r="AW415" s="43" t="s">
        <v>88</v>
      </c>
      <c r="AX415" s="52">
        <v>0.0</v>
      </c>
      <c r="AY415" s="52">
        <v>0.0</v>
      </c>
      <c r="AZ415" s="52">
        <v>12.0</v>
      </c>
      <c r="BA415" s="43" t="s">
        <v>89</v>
      </c>
      <c r="BB415" s="52">
        <v>31.0</v>
      </c>
      <c r="BC415" s="86"/>
      <c r="BD415" s="71"/>
      <c r="BE415" s="71"/>
      <c r="BF415" s="130"/>
      <c r="BG415" s="73"/>
      <c r="BH415" s="73"/>
      <c r="BI415" s="73"/>
      <c r="BJ415" s="73"/>
      <c r="BK415" s="73"/>
      <c r="BL415" s="73"/>
      <c r="BM415" s="73"/>
      <c r="BN415" s="73"/>
      <c r="BO415" s="73"/>
      <c r="BP415" s="73"/>
      <c r="BQ415" s="73"/>
      <c r="BR415" s="73"/>
      <c r="BS415" s="73"/>
      <c r="BT415" s="73"/>
      <c r="BU415" s="73"/>
      <c r="BV415" s="73"/>
      <c r="BW415" s="74"/>
      <c r="BX415" s="74"/>
      <c r="BY415" s="63"/>
      <c r="BZ415" s="63"/>
    </row>
    <row r="416" ht="15.75" customHeight="1">
      <c r="A416" s="120" t="s">
        <v>2884</v>
      </c>
      <c r="B416" s="112" t="s">
        <v>2885</v>
      </c>
      <c r="C416" s="50" t="s">
        <v>271</v>
      </c>
      <c r="D416" s="43" t="s">
        <v>389</v>
      </c>
      <c r="E416" s="77" t="s">
        <v>376</v>
      </c>
      <c r="F416" s="47">
        <v>4.5E8</v>
      </c>
      <c r="G416" s="44" t="str">
        <f t="shared" si="8"/>
        <v>$400'000.000 a $500'000.000</v>
      </c>
      <c r="H416" s="44"/>
      <c r="I416" s="44"/>
      <c r="J416" s="43" t="s">
        <v>76</v>
      </c>
      <c r="K416" s="56" t="s">
        <v>77</v>
      </c>
      <c r="L416" s="52">
        <v>4.0</v>
      </c>
      <c r="M416" s="52"/>
      <c r="N416" s="52">
        <v>2.0</v>
      </c>
      <c r="O416" s="43">
        <v>1.0</v>
      </c>
      <c r="P416" s="52">
        <v>1.0</v>
      </c>
      <c r="Q416" s="54">
        <v>280.0</v>
      </c>
      <c r="R416" s="55">
        <v>300.0</v>
      </c>
      <c r="S416" s="56" t="str">
        <f t="shared" si="15"/>
        <v>Rentabilidad $1,700,000</v>
      </c>
      <c r="T416" s="52" t="s">
        <v>78</v>
      </c>
      <c r="U416" s="142" t="s">
        <v>184</v>
      </c>
      <c r="V416" s="43" t="s">
        <v>79</v>
      </c>
      <c r="W416" s="43"/>
      <c r="X416" s="52">
        <v>1.0</v>
      </c>
      <c r="Y416" s="43" t="s">
        <v>80</v>
      </c>
      <c r="Z416" s="58" t="s">
        <v>81</v>
      </c>
      <c r="AA416" s="59" t="str">
        <f>IF(Rentabilidad=0,"No aplica",TEXT(ROUND(Precio/Rentabilidad/12,0),0) &amp; " años")</f>
        <v>22 años</v>
      </c>
      <c r="AB416" s="60"/>
      <c r="AC416" s="61"/>
      <c r="AD416" s="62"/>
      <c r="AE416" s="63"/>
      <c r="AF416" s="64" t="s">
        <v>84</v>
      </c>
      <c r="AG416" s="63"/>
      <c r="AH416" s="65" t="s">
        <v>45</v>
      </c>
      <c r="AI416" s="63"/>
      <c r="AJ416" s="64" t="s">
        <v>1834</v>
      </c>
      <c r="AK416" s="44"/>
      <c r="AL416" s="45" t="s">
        <v>2624</v>
      </c>
      <c r="AM416" s="52">
        <v>3.002852357E9</v>
      </c>
      <c r="AN416" s="64">
        <v>6.0</v>
      </c>
      <c r="AO416" s="52" t="s">
        <v>2886</v>
      </c>
      <c r="AP416" s="67" t="s">
        <v>2887</v>
      </c>
      <c r="AQ416" s="67"/>
      <c r="AR416" s="67"/>
      <c r="AS416" s="135">
        <v>1700000.0</v>
      </c>
      <c r="AT416" s="44">
        <v>0.0</v>
      </c>
      <c r="AU416" s="52">
        <v>0.0</v>
      </c>
      <c r="AV416" s="52">
        <v>0.0</v>
      </c>
      <c r="AW416" s="43" t="s">
        <v>88</v>
      </c>
      <c r="AX416" s="52">
        <v>0.0</v>
      </c>
      <c r="AY416" s="52">
        <v>0.0</v>
      </c>
      <c r="AZ416" s="52">
        <v>10.0</v>
      </c>
      <c r="BA416" s="43" t="s">
        <v>89</v>
      </c>
      <c r="BB416" s="52">
        <v>30.0</v>
      </c>
      <c r="BC416" s="86"/>
      <c r="BD416" s="129"/>
      <c r="BE416" s="129"/>
      <c r="BF416" s="72"/>
      <c r="BG416" s="73"/>
      <c r="BH416" s="73"/>
      <c r="BI416" s="73"/>
      <c r="BJ416" s="73"/>
      <c r="BK416" s="73"/>
      <c r="BL416" s="73"/>
      <c r="BM416" s="73"/>
      <c r="BN416" s="73"/>
      <c r="BO416" s="73"/>
      <c r="BP416" s="73"/>
      <c r="BQ416" s="73"/>
      <c r="BR416" s="73"/>
      <c r="BS416" s="73"/>
      <c r="BT416" s="73"/>
      <c r="BU416" s="73"/>
      <c r="BV416" s="73"/>
      <c r="BW416" s="74"/>
      <c r="BX416" s="74"/>
      <c r="BY416" s="63"/>
      <c r="BZ416" s="63"/>
    </row>
    <row r="417" ht="15.75" customHeight="1">
      <c r="A417" s="120" t="s">
        <v>2888</v>
      </c>
      <c r="B417" s="122" t="s">
        <v>69</v>
      </c>
      <c r="C417" s="43" t="s">
        <v>70</v>
      </c>
      <c r="D417" s="44" t="s">
        <v>71</v>
      </c>
      <c r="E417" s="77" t="s">
        <v>376</v>
      </c>
      <c r="F417" s="47">
        <v>4.5E8</v>
      </c>
      <c r="G417" s="44" t="str">
        <f t="shared" si="8"/>
        <v>$400'000.000 a $500'000.000</v>
      </c>
      <c r="H417" s="44"/>
      <c r="I417" s="44"/>
      <c r="J417" s="43" t="s">
        <v>76</v>
      </c>
      <c r="K417" s="51" t="s">
        <v>77</v>
      </c>
      <c r="L417" s="52">
        <v>3.0</v>
      </c>
      <c r="M417" s="52"/>
      <c r="N417" s="52">
        <v>1.0</v>
      </c>
      <c r="O417" s="43">
        <v>0.0</v>
      </c>
      <c r="P417" s="52">
        <v>1.0</v>
      </c>
      <c r="Q417" s="54"/>
      <c r="R417" s="55">
        <v>370.0</v>
      </c>
      <c r="S417" s="56" t="str">
        <f t="shared" si="15"/>
        <v>Rentabilidad $1,300,000</v>
      </c>
      <c r="T417" s="52" t="s">
        <v>78</v>
      </c>
      <c r="U417" s="142" t="s">
        <v>77</v>
      </c>
      <c r="V417" s="43" t="s">
        <v>79</v>
      </c>
      <c r="W417" s="43"/>
      <c r="X417" s="52">
        <v>0.0</v>
      </c>
      <c r="Y417" s="43" t="s">
        <v>80</v>
      </c>
      <c r="Z417" s="58" t="s">
        <v>81</v>
      </c>
      <c r="AA417" s="59" t="str">
        <f>IF(Rentabilidad=0,"No aplica",TEXT(ROUND(Precio/Rentabilidad/12,0),0) &amp; " años")</f>
        <v>29 años</v>
      </c>
      <c r="AB417" s="60"/>
      <c r="AC417" s="61"/>
      <c r="AD417" s="62"/>
      <c r="AE417" s="63"/>
      <c r="AF417" s="64" t="s">
        <v>84</v>
      </c>
      <c r="AG417" s="63"/>
      <c r="AH417" s="65" t="s">
        <v>45</v>
      </c>
      <c r="AI417" s="63"/>
      <c r="AJ417" s="64" t="s">
        <v>1834</v>
      </c>
      <c r="AK417" s="44"/>
      <c r="AL417" s="45" t="s">
        <v>2624</v>
      </c>
      <c r="AM417" s="52">
        <v>3.168005531E9</v>
      </c>
      <c r="AN417" s="45">
        <v>8740635.0</v>
      </c>
      <c r="AO417" s="52" t="s">
        <v>2889</v>
      </c>
      <c r="AP417" s="67" t="s">
        <v>2890</v>
      </c>
      <c r="AQ417" s="67"/>
      <c r="AR417" s="67"/>
      <c r="AS417" s="135">
        <v>1300000.0</v>
      </c>
      <c r="AT417" s="44">
        <v>0.0</v>
      </c>
      <c r="AU417" s="52">
        <v>0.0</v>
      </c>
      <c r="AV417" s="52">
        <v>0.0</v>
      </c>
      <c r="AW417" s="43" t="s">
        <v>88</v>
      </c>
      <c r="AX417" s="52">
        <v>0.0</v>
      </c>
      <c r="AY417" s="52">
        <v>0.0</v>
      </c>
      <c r="AZ417" s="52">
        <v>12.0</v>
      </c>
      <c r="BA417" s="43" t="s">
        <v>89</v>
      </c>
      <c r="BB417" s="52">
        <v>15.0</v>
      </c>
      <c r="BC417" s="109"/>
      <c r="BD417" s="45"/>
      <c r="BE417" s="71"/>
      <c r="BF417" s="72"/>
      <c r="BG417" s="73"/>
      <c r="BH417" s="73"/>
      <c r="BI417" s="73"/>
      <c r="BJ417" s="73"/>
      <c r="BK417" s="73"/>
      <c r="BL417" s="73"/>
      <c r="BM417" s="73"/>
      <c r="BN417" s="73"/>
      <c r="BO417" s="73"/>
      <c r="BP417" s="73"/>
      <c r="BQ417" s="73"/>
      <c r="BR417" s="73"/>
      <c r="BS417" s="73"/>
      <c r="BT417" s="73"/>
      <c r="BU417" s="73"/>
      <c r="BV417" s="73"/>
      <c r="BW417" s="74"/>
      <c r="BX417" s="74"/>
      <c r="BY417" s="63"/>
      <c r="BZ417" s="63"/>
    </row>
    <row r="418" ht="15.75" customHeight="1">
      <c r="A418" s="120" t="s">
        <v>2891</v>
      </c>
      <c r="B418" s="112" t="s">
        <v>2892</v>
      </c>
      <c r="C418" s="50" t="s">
        <v>271</v>
      </c>
      <c r="D418" s="52" t="s">
        <v>1216</v>
      </c>
      <c r="E418" s="77" t="s">
        <v>376</v>
      </c>
      <c r="F418" s="47">
        <v>4.5E8</v>
      </c>
      <c r="G418" s="44" t="str">
        <f t="shared" si="8"/>
        <v>$400'000.000 a $500'000.000</v>
      </c>
      <c r="H418" s="44"/>
      <c r="I418" s="44"/>
      <c r="J418" s="43" t="s">
        <v>76</v>
      </c>
      <c r="K418" s="51" t="s">
        <v>77</v>
      </c>
      <c r="L418" s="52">
        <v>7.0</v>
      </c>
      <c r="M418" s="52"/>
      <c r="N418" s="52">
        <v>5.0</v>
      </c>
      <c r="O418" s="52">
        <v>0.0</v>
      </c>
      <c r="P418" s="52">
        <v>1.0</v>
      </c>
      <c r="Q418" s="54"/>
      <c r="R418" s="55">
        <v>255.0</v>
      </c>
      <c r="S418" s="56" t="str">
        <f t="shared" si="15"/>
        <v>Rentabilidad $2,000,000</v>
      </c>
      <c r="T418" s="52" t="s">
        <v>78</v>
      </c>
      <c r="U418" s="142" t="s">
        <v>184</v>
      </c>
      <c r="V418" s="43" t="s">
        <v>79</v>
      </c>
      <c r="W418" s="43"/>
      <c r="X418" s="52">
        <v>0.0</v>
      </c>
      <c r="Y418" s="43" t="s">
        <v>80</v>
      </c>
      <c r="Z418" s="80" t="s">
        <v>81</v>
      </c>
      <c r="AA418" s="59" t="str">
        <f>IF(Rentabilidad=0,"No aplica",TEXT(ROUND(Precio/Rentabilidad/12,0),0) &amp; " años")</f>
        <v>19 años</v>
      </c>
      <c r="AB418" s="60"/>
      <c r="AC418" s="61"/>
      <c r="AD418" s="62"/>
      <c r="AE418" s="63"/>
      <c r="AF418" s="64" t="s">
        <v>84</v>
      </c>
      <c r="AG418" s="63"/>
      <c r="AH418" s="65" t="s">
        <v>45</v>
      </c>
      <c r="AI418" s="63"/>
      <c r="AJ418" s="64" t="s">
        <v>1834</v>
      </c>
      <c r="AK418" s="44"/>
      <c r="AL418" s="45" t="s">
        <v>2893</v>
      </c>
      <c r="AM418" s="52">
        <v>3.184600261E9</v>
      </c>
      <c r="AN418" s="45" t="s">
        <v>2894</v>
      </c>
      <c r="AO418" s="52" t="s">
        <v>2895</v>
      </c>
      <c r="AP418" s="67" t="s">
        <v>2896</v>
      </c>
      <c r="AQ418" s="67"/>
      <c r="AR418" s="67"/>
      <c r="AS418" s="135">
        <v>2000000.0</v>
      </c>
      <c r="AT418" s="44">
        <v>0.0</v>
      </c>
      <c r="AU418" s="52">
        <v>0.0</v>
      </c>
      <c r="AV418" s="52">
        <v>0.0</v>
      </c>
      <c r="AW418" s="43" t="s">
        <v>88</v>
      </c>
      <c r="AX418" s="52">
        <v>0.0</v>
      </c>
      <c r="AY418" s="52">
        <v>0.0</v>
      </c>
      <c r="AZ418" s="52">
        <v>17.0</v>
      </c>
      <c r="BA418" s="43" t="s">
        <v>89</v>
      </c>
      <c r="BB418" s="52">
        <v>15.0</v>
      </c>
      <c r="BC418" s="95" t="s">
        <v>1092</v>
      </c>
      <c r="BD418" s="71"/>
      <c r="BE418" s="71"/>
      <c r="BF418" s="130"/>
      <c r="BG418" s="73"/>
      <c r="BH418" s="73"/>
      <c r="BI418" s="73"/>
      <c r="BJ418" s="73"/>
      <c r="BK418" s="73"/>
      <c r="BL418" s="73"/>
      <c r="BM418" s="73"/>
      <c r="BN418" s="73"/>
      <c r="BO418" s="73"/>
      <c r="BP418" s="73"/>
      <c r="BQ418" s="73"/>
      <c r="BR418" s="73"/>
      <c r="BS418" s="73"/>
      <c r="BT418" s="73"/>
      <c r="BU418" s="73"/>
      <c r="BV418" s="73"/>
      <c r="BW418" s="74"/>
      <c r="BX418" s="74"/>
      <c r="BY418" s="63"/>
      <c r="BZ418" s="63"/>
    </row>
    <row r="419" ht="15.75" customHeight="1">
      <c r="A419" s="133" t="s">
        <v>2897</v>
      </c>
      <c r="B419" s="112" t="s">
        <v>2898</v>
      </c>
      <c r="C419" s="50" t="s">
        <v>271</v>
      </c>
      <c r="D419" s="44" t="s">
        <v>1216</v>
      </c>
      <c r="E419" s="77" t="s">
        <v>376</v>
      </c>
      <c r="F419" s="47">
        <v>4.5E8</v>
      </c>
      <c r="G419" s="44" t="str">
        <f t="shared" si="8"/>
        <v>$400'000.000 a $500'000.000</v>
      </c>
      <c r="H419" s="44"/>
      <c r="I419" s="44"/>
      <c r="J419" s="50" t="s">
        <v>76</v>
      </c>
      <c r="K419" s="51" t="s">
        <v>77</v>
      </c>
      <c r="L419" s="44">
        <v>7.0</v>
      </c>
      <c r="M419" s="44"/>
      <c r="N419" s="44">
        <v>3.0</v>
      </c>
      <c r="O419" s="50">
        <v>1.0</v>
      </c>
      <c r="P419" s="44">
        <v>2.0</v>
      </c>
      <c r="Q419" s="113"/>
      <c r="R419" s="79">
        <v>286.0</v>
      </c>
      <c r="S419" s="56" t="str">
        <f t="shared" si="15"/>
        <v>Rentabilidad $1,900,000</v>
      </c>
      <c r="T419" s="44" t="s">
        <v>78</v>
      </c>
      <c r="U419" s="57" t="s">
        <v>184</v>
      </c>
      <c r="V419" s="50" t="s">
        <v>79</v>
      </c>
      <c r="W419" s="50"/>
      <c r="X419" s="44">
        <v>0.0</v>
      </c>
      <c r="Y419" s="50" t="s">
        <v>80</v>
      </c>
      <c r="Z419" s="80" t="s">
        <v>81</v>
      </c>
      <c r="AA419" s="59" t="str">
        <f>IF(Rentabilidad=0,"No aplica",TEXT(ROUND(Precio/Rentabilidad/12,0),0) &amp; " años")</f>
        <v>20 años</v>
      </c>
      <c r="AB419" s="195"/>
      <c r="AC419" s="61"/>
      <c r="AD419" s="62"/>
      <c r="AE419" s="63"/>
      <c r="AF419" s="45" t="s">
        <v>236</v>
      </c>
      <c r="AG419" s="63"/>
      <c r="AH419" s="65" t="s">
        <v>45</v>
      </c>
      <c r="AI419" s="63"/>
      <c r="AJ419" s="64" t="s">
        <v>1834</v>
      </c>
      <c r="AK419" s="44"/>
      <c r="AL419" s="45" t="s">
        <v>2843</v>
      </c>
      <c r="AM419" s="52">
        <v>3.132436764E9</v>
      </c>
      <c r="AN419" s="45">
        <v>3.115396708E9</v>
      </c>
      <c r="AO419" s="52" t="s">
        <v>2899</v>
      </c>
      <c r="AP419" s="67" t="s">
        <v>2900</v>
      </c>
      <c r="AQ419" s="67"/>
      <c r="AR419" s="67"/>
      <c r="AS419" s="68">
        <v>1900000.0</v>
      </c>
      <c r="AT419" s="44">
        <v>0.0</v>
      </c>
      <c r="AU419" s="52">
        <v>0.0</v>
      </c>
      <c r="AV419" s="52">
        <v>0.0</v>
      </c>
      <c r="AW419" s="43" t="s">
        <v>88</v>
      </c>
      <c r="AX419" s="52">
        <v>0.0</v>
      </c>
      <c r="AY419" s="52">
        <v>0.0</v>
      </c>
      <c r="AZ419" s="44">
        <v>10.0</v>
      </c>
      <c r="BA419" s="43" t="s">
        <v>89</v>
      </c>
      <c r="BB419" s="44">
        <v>28.6</v>
      </c>
      <c r="BC419" s="109"/>
      <c r="BD419" s="70"/>
      <c r="BE419" s="71"/>
      <c r="BF419" s="72"/>
      <c r="BG419" s="73"/>
      <c r="BH419" s="73"/>
      <c r="BI419" s="73"/>
      <c r="BJ419" s="73"/>
      <c r="BK419" s="73"/>
      <c r="BL419" s="73"/>
      <c r="BM419" s="73"/>
      <c r="BN419" s="73"/>
      <c r="BO419" s="73"/>
      <c r="BP419" s="73"/>
      <c r="BQ419" s="73"/>
      <c r="BR419" s="73"/>
      <c r="BS419" s="73"/>
      <c r="BT419" s="73"/>
      <c r="BU419" s="73"/>
      <c r="BV419" s="73"/>
      <c r="BW419" s="74"/>
      <c r="BX419" s="74"/>
      <c r="BY419" s="63"/>
      <c r="BZ419" s="63"/>
    </row>
    <row r="420" ht="15.75" customHeight="1">
      <c r="A420" s="75" t="s">
        <v>2901</v>
      </c>
      <c r="B420" s="112" t="s">
        <v>2651</v>
      </c>
      <c r="C420" s="50" t="s">
        <v>1228</v>
      </c>
      <c r="D420" s="63" t="s">
        <v>155</v>
      </c>
      <c r="E420" s="77" t="s">
        <v>376</v>
      </c>
      <c r="F420" s="47">
        <v>4.5E8</v>
      </c>
      <c r="G420" s="44" t="str">
        <f t="shared" si="8"/>
        <v>$400'000.000 a $500'000.000</v>
      </c>
      <c r="H420" s="44"/>
      <c r="I420" s="44"/>
      <c r="J420" s="50" t="s">
        <v>76</v>
      </c>
      <c r="K420" s="51" t="s">
        <v>77</v>
      </c>
      <c r="L420" s="44">
        <v>3.0</v>
      </c>
      <c r="M420" s="44"/>
      <c r="N420" s="44">
        <v>1.0</v>
      </c>
      <c r="O420" s="50">
        <v>0.0</v>
      </c>
      <c r="P420" s="44">
        <v>1.0</v>
      </c>
      <c r="Q420" s="113">
        <v>180.0</v>
      </c>
      <c r="R420" s="79">
        <v>180.0</v>
      </c>
      <c r="S420" s="56" t="str">
        <f t="shared" si="15"/>
        <v> </v>
      </c>
      <c r="T420" s="44" t="s">
        <v>78</v>
      </c>
      <c r="U420" s="57" t="s">
        <v>77</v>
      </c>
      <c r="V420" s="50" t="s">
        <v>79</v>
      </c>
      <c r="W420" s="50"/>
      <c r="X420" s="44">
        <v>0.0</v>
      </c>
      <c r="Y420" s="50" t="s">
        <v>80</v>
      </c>
      <c r="Z420" s="58" t="s">
        <v>81</v>
      </c>
      <c r="AA420" s="59" t="str">
        <f>IF(Rentabilidad=0,"No aplica",TEXT(ROUND(Precio/Rentabilidad/12,0),0) &amp; " años")</f>
        <v>No aplica</v>
      </c>
      <c r="AB420" s="60"/>
      <c r="AC420" s="61"/>
      <c r="AD420" s="62"/>
      <c r="AE420" s="63"/>
      <c r="AF420" s="64" t="s">
        <v>84</v>
      </c>
      <c r="AG420" s="63"/>
      <c r="AH420" s="65" t="s">
        <v>45</v>
      </c>
      <c r="AI420" s="63"/>
      <c r="AJ420" s="64" t="s">
        <v>1834</v>
      </c>
      <c r="AK420" s="44"/>
      <c r="AL420" s="45" t="s">
        <v>86</v>
      </c>
      <c r="AM420" s="52">
        <v>3.165284273E9</v>
      </c>
      <c r="AN420" s="205"/>
      <c r="AO420" s="52"/>
      <c r="AP420" s="67" t="s">
        <v>2902</v>
      </c>
      <c r="AQ420" s="67"/>
      <c r="AR420" s="67"/>
      <c r="AS420" s="68">
        <v>0.0</v>
      </c>
      <c r="AT420" s="44">
        <v>0.0</v>
      </c>
      <c r="AU420" s="44">
        <v>0.0</v>
      </c>
      <c r="AV420" s="44">
        <v>0.0</v>
      </c>
      <c r="AW420" s="50" t="s">
        <v>88</v>
      </c>
      <c r="AX420" s="44">
        <v>0.0</v>
      </c>
      <c r="AY420" s="44">
        <v>0.0</v>
      </c>
      <c r="AZ420" s="44">
        <v>0.0</v>
      </c>
      <c r="BA420" s="43" t="s">
        <v>89</v>
      </c>
      <c r="BB420" s="44">
        <v>0.0</v>
      </c>
      <c r="BC420" s="95"/>
      <c r="BD420" s="71"/>
      <c r="BE420" s="71"/>
      <c r="BF420" s="72"/>
      <c r="BG420" s="73"/>
      <c r="BH420" s="73"/>
      <c r="BI420" s="73"/>
      <c r="BJ420" s="73"/>
      <c r="BK420" s="73"/>
      <c r="BL420" s="73"/>
      <c r="BM420" s="73"/>
      <c r="BN420" s="73"/>
      <c r="BO420" s="73"/>
      <c r="BP420" s="73"/>
      <c r="BQ420" s="73"/>
      <c r="BR420" s="73"/>
      <c r="BS420" s="73"/>
      <c r="BT420" s="73"/>
      <c r="BU420" s="73"/>
      <c r="BV420" s="73"/>
      <c r="BW420" s="74"/>
      <c r="BX420" s="74"/>
      <c r="BY420" s="63"/>
      <c r="BZ420" s="63"/>
    </row>
    <row r="421" ht="15.75" customHeight="1">
      <c r="A421" s="204" t="s">
        <v>2903</v>
      </c>
      <c r="B421" s="111" t="s">
        <v>409</v>
      </c>
      <c r="C421" s="111" t="s">
        <v>70</v>
      </c>
      <c r="D421" s="214" t="s">
        <v>205</v>
      </c>
      <c r="E421" s="205"/>
      <c r="F421" s="78">
        <v>4.4E8</v>
      </c>
      <c r="G421" s="44"/>
      <c r="H421" s="44"/>
      <c r="I421" s="44"/>
      <c r="J421" s="111" t="s">
        <v>76</v>
      </c>
      <c r="K421" s="187" t="s">
        <v>77</v>
      </c>
      <c r="L421" s="111">
        <v>3.0</v>
      </c>
      <c r="M421" s="111"/>
      <c r="N421" s="111">
        <v>3.0</v>
      </c>
      <c r="O421" s="111">
        <v>1.0</v>
      </c>
      <c r="P421" s="111">
        <v>2.0</v>
      </c>
      <c r="Q421" s="79">
        <v>118.0</v>
      </c>
      <c r="R421" s="79">
        <v>124.0</v>
      </c>
      <c r="S421" s="56" t="str">
        <f t="shared" si="15"/>
        <v> </v>
      </c>
      <c r="T421" s="111" t="s">
        <v>78</v>
      </c>
      <c r="U421" s="187" t="s">
        <v>154</v>
      </c>
      <c r="V421" s="111" t="s">
        <v>79</v>
      </c>
      <c r="W421" s="111"/>
      <c r="X421" s="111">
        <v>1.0</v>
      </c>
      <c r="Y421" s="111" t="s">
        <v>80</v>
      </c>
      <c r="Z421" s="58" t="s">
        <v>81</v>
      </c>
      <c r="AA421" s="81" t="s">
        <v>81</v>
      </c>
      <c r="AB421" s="158"/>
      <c r="AC421" s="61"/>
      <c r="AD421" s="218"/>
      <c r="AE421" s="209"/>
      <c r="AF421" s="217" t="s">
        <v>236</v>
      </c>
      <c r="AG421" s="111"/>
      <c r="AH421" s="111" t="s">
        <v>45</v>
      </c>
      <c r="AI421" s="65"/>
      <c r="AJ421" s="111" t="s">
        <v>1834</v>
      </c>
      <c r="AK421" s="111"/>
      <c r="AL421" s="45"/>
      <c r="AM421" s="217">
        <v>3.044182457E9</v>
      </c>
      <c r="AN421" s="217"/>
      <c r="AO421" s="111" t="s">
        <v>2904</v>
      </c>
      <c r="AP421" s="219" t="s">
        <v>2905</v>
      </c>
      <c r="AQ421" s="219"/>
      <c r="AR421" s="219"/>
      <c r="AS421" s="209"/>
      <c r="AT421" s="111">
        <v>0.0</v>
      </c>
      <c r="AU421" s="111">
        <v>0.0</v>
      </c>
      <c r="AV421" s="111">
        <v>0.0</v>
      </c>
      <c r="AW421" s="111" t="s">
        <v>106</v>
      </c>
      <c r="AX421" s="209"/>
      <c r="AY421" s="111" t="s">
        <v>137</v>
      </c>
      <c r="AZ421" s="209"/>
      <c r="BA421" s="43" t="s">
        <v>89</v>
      </c>
      <c r="BB421" s="111"/>
      <c r="BC421" s="109"/>
      <c r="BD421" s="70"/>
      <c r="BE421" s="70"/>
      <c r="BF421" s="72"/>
      <c r="BG421" s="74"/>
      <c r="BH421" s="74"/>
      <c r="BI421" s="74"/>
      <c r="BJ421" s="74"/>
      <c r="BK421" s="74"/>
      <c r="BL421" s="74"/>
      <c r="BM421" s="74"/>
      <c r="BN421" s="74"/>
      <c r="BO421" s="74"/>
      <c r="BP421" s="74"/>
      <c r="BQ421" s="74"/>
      <c r="BR421" s="74"/>
      <c r="BS421" s="74"/>
      <c r="BT421" s="74"/>
      <c r="BU421" s="74"/>
      <c r="BV421" s="74"/>
      <c r="BW421" s="74"/>
      <c r="BX421" s="74"/>
      <c r="BY421" s="63"/>
      <c r="BZ421" s="63"/>
    </row>
    <row r="422" ht="15.75" customHeight="1">
      <c r="A422" s="41" t="s">
        <v>2906</v>
      </c>
      <c r="B422" s="112" t="s">
        <v>388</v>
      </c>
      <c r="C422" s="50" t="s">
        <v>70</v>
      </c>
      <c r="D422" s="44" t="s">
        <v>389</v>
      </c>
      <c r="E422" s="77" t="s">
        <v>376</v>
      </c>
      <c r="F422" s="47">
        <v>4.3E8</v>
      </c>
      <c r="G422" s="44" t="str">
        <f t="shared" ref="G422:G971" si="16">IF(F422&lt;100000000,"$0 a $100'000.000",
  IF(F422&lt;200000000,"$100'000.000 a $200'000.000",
   IF(F422&lt;300000000,"$200'000.000 a $300'000.000",
    IF(F422&lt;400000000,"$300'000.000 a $400'000.000",
     IF(F422&lt;500000000,"$400'000.000 a $500'000.000",
      IF(F422&lt;1000000000,"$500'000.000 a $1.000'000.000",
       "Más de $1.000'000.000"
     ))))))</f>
        <v>$400'000.000 a $500'000.000</v>
      </c>
      <c r="H422" s="44"/>
      <c r="I422" s="44"/>
      <c r="J422" s="50" t="s">
        <v>183</v>
      </c>
      <c r="K422" s="56" t="s">
        <v>77</v>
      </c>
      <c r="L422" s="44">
        <v>3.0</v>
      </c>
      <c r="M422" s="44"/>
      <c r="N422" s="44">
        <v>3.0</v>
      </c>
      <c r="O422" s="50">
        <v>3.0</v>
      </c>
      <c r="P422" s="44">
        <v>1.0</v>
      </c>
      <c r="Q422" s="54">
        <v>150.0</v>
      </c>
      <c r="R422" s="55">
        <v>189.0</v>
      </c>
      <c r="S422" s="56" t="str">
        <f t="shared" si="15"/>
        <v> </v>
      </c>
      <c r="T422" s="52" t="s">
        <v>78</v>
      </c>
      <c r="U422" s="57" t="s">
        <v>77</v>
      </c>
      <c r="V422" s="50" t="s">
        <v>118</v>
      </c>
      <c r="W422" s="50"/>
      <c r="X422" s="44">
        <v>3.0</v>
      </c>
      <c r="Y422" s="50" t="s">
        <v>80</v>
      </c>
      <c r="Z422" s="58" t="s">
        <v>81</v>
      </c>
      <c r="AA422" s="59" t="str">
        <f>IF(Rentabilidad=0,"No aplica",TEXT(ROUND(Precio/Rentabilidad/12,0),0) &amp; " años")</f>
        <v>No aplica</v>
      </c>
      <c r="AB422" s="195"/>
      <c r="AC422" s="61"/>
      <c r="AD422" s="62"/>
      <c r="AE422" s="63"/>
      <c r="AF422" s="45" t="s">
        <v>105</v>
      </c>
      <c r="AG422" s="63"/>
      <c r="AH422" s="65" t="s">
        <v>45</v>
      </c>
      <c r="AI422" s="63"/>
      <c r="AJ422" s="64" t="s">
        <v>1834</v>
      </c>
      <c r="AK422" s="44"/>
      <c r="AL422" s="45" t="s">
        <v>2624</v>
      </c>
      <c r="AM422" s="44">
        <v>3.174390599E9</v>
      </c>
      <c r="AN422" s="45">
        <v>3.125062324E9</v>
      </c>
      <c r="AO422" s="52"/>
      <c r="AP422" s="67">
        <v>0.0</v>
      </c>
      <c r="AQ422" s="67"/>
      <c r="AR422" s="67"/>
      <c r="AS422" s="68">
        <v>0.0</v>
      </c>
      <c r="AT422" s="44">
        <v>0.0</v>
      </c>
      <c r="AU422" s="44">
        <v>0.0</v>
      </c>
      <c r="AV422" s="44">
        <v>0.0</v>
      </c>
      <c r="AW422" s="50" t="s">
        <v>88</v>
      </c>
      <c r="AX422" s="44">
        <v>0.0</v>
      </c>
      <c r="AY422" s="44">
        <v>0.0</v>
      </c>
      <c r="AZ422" s="44">
        <v>0.0</v>
      </c>
      <c r="BA422" s="43" t="s">
        <v>89</v>
      </c>
      <c r="BB422" s="44">
        <v>0.0</v>
      </c>
      <c r="BC422" s="69" t="s">
        <v>445</v>
      </c>
      <c r="BD422" s="70"/>
      <c r="BE422" s="71"/>
      <c r="BF422" s="72"/>
      <c r="BG422" s="73"/>
      <c r="BH422" s="73"/>
      <c r="BI422" s="73"/>
      <c r="BJ422" s="73"/>
      <c r="BK422" s="73"/>
      <c r="BL422" s="73"/>
      <c r="BM422" s="73"/>
      <c r="BN422" s="73"/>
      <c r="BO422" s="73"/>
      <c r="BP422" s="73"/>
      <c r="BQ422" s="73"/>
      <c r="BR422" s="73"/>
      <c r="BS422" s="73"/>
      <c r="BT422" s="73"/>
      <c r="BU422" s="73"/>
      <c r="BV422" s="73"/>
      <c r="BW422" s="74"/>
      <c r="BX422" s="74"/>
      <c r="BY422" s="63"/>
      <c r="BZ422" s="63"/>
    </row>
    <row r="423" ht="15.75" customHeight="1">
      <c r="A423" s="75" t="s">
        <v>2907</v>
      </c>
      <c r="B423" s="112" t="s">
        <v>2908</v>
      </c>
      <c r="C423" s="50" t="s">
        <v>128</v>
      </c>
      <c r="D423" s="58" t="s">
        <v>574</v>
      </c>
      <c r="E423" s="64" t="s">
        <v>2909</v>
      </c>
      <c r="F423" s="47">
        <v>4.2E8</v>
      </c>
      <c r="G423" s="44" t="str">
        <f t="shared" si="16"/>
        <v>$400'000.000 a $500'000.000</v>
      </c>
      <c r="H423" s="44"/>
      <c r="I423" s="44"/>
      <c r="J423" s="43" t="s">
        <v>76</v>
      </c>
      <c r="K423" s="51"/>
      <c r="L423" s="52">
        <v>4.0</v>
      </c>
      <c r="M423" s="52"/>
      <c r="N423" s="52">
        <v>4.0</v>
      </c>
      <c r="O423" s="43">
        <v>2.0</v>
      </c>
      <c r="P423" s="52">
        <v>2.0</v>
      </c>
      <c r="Q423" s="54">
        <v>124.0</v>
      </c>
      <c r="R423" s="55">
        <v>115.0</v>
      </c>
      <c r="S423" s="56" t="str">
        <f t="shared" si="15"/>
        <v> </v>
      </c>
      <c r="T423" s="52" t="s">
        <v>78</v>
      </c>
      <c r="U423" s="142" t="s">
        <v>77</v>
      </c>
      <c r="V423" s="43" t="s">
        <v>79</v>
      </c>
      <c r="W423" s="43"/>
      <c r="X423" s="52">
        <v>3.0</v>
      </c>
      <c r="Y423" s="43" t="s">
        <v>130</v>
      </c>
      <c r="Z423" s="151">
        <v>307000.0</v>
      </c>
      <c r="AA423" s="59" t="str">
        <f>IF(Rentabilidad=0,"No aplica",TEXT(ROUND(Precio/Rentabilidad/12,0),0) &amp; " años")</f>
        <v>No aplica</v>
      </c>
      <c r="AB423" s="134" t="s">
        <v>2910</v>
      </c>
      <c r="AC423" s="61"/>
      <c r="AD423" s="62"/>
      <c r="AE423" s="63"/>
      <c r="AF423" s="45" t="s">
        <v>105</v>
      </c>
      <c r="AG423" s="63"/>
      <c r="AH423" s="63"/>
      <c r="AI423" s="63"/>
      <c r="AJ423" s="64" t="s">
        <v>1834</v>
      </c>
      <c r="AK423" s="44"/>
      <c r="AL423" s="45" t="s">
        <v>109</v>
      </c>
      <c r="AM423" s="52">
        <v>3.229410311E9</v>
      </c>
      <c r="AN423" s="45">
        <v>0.0</v>
      </c>
      <c r="AO423" s="52" t="s">
        <v>2911</v>
      </c>
      <c r="AP423" s="67">
        <v>0.0</v>
      </c>
      <c r="AQ423" s="67"/>
      <c r="AR423" s="67"/>
      <c r="AS423" s="135">
        <v>0.0</v>
      </c>
      <c r="AT423" s="44">
        <v>0.0</v>
      </c>
      <c r="AU423" s="52" t="s">
        <v>106</v>
      </c>
      <c r="AV423" s="52" t="s">
        <v>106</v>
      </c>
      <c r="AW423" s="43" t="s">
        <v>88</v>
      </c>
      <c r="AX423" s="52">
        <v>0.0</v>
      </c>
      <c r="AY423" s="52" t="s">
        <v>137</v>
      </c>
      <c r="AZ423" s="52">
        <v>10.0</v>
      </c>
      <c r="BA423" s="43" t="s">
        <v>89</v>
      </c>
      <c r="BB423" s="52">
        <v>18.0</v>
      </c>
      <c r="BC423" s="95" t="s">
        <v>455</v>
      </c>
      <c r="BD423" s="71"/>
      <c r="BE423" s="71"/>
      <c r="BF423" s="72" t="s">
        <v>2912</v>
      </c>
      <c r="BG423" s="73"/>
      <c r="BH423" s="73"/>
      <c r="BI423" s="73"/>
      <c r="BJ423" s="73"/>
      <c r="BK423" s="73"/>
      <c r="BL423" s="73"/>
      <c r="BM423" s="73"/>
      <c r="BN423" s="73"/>
      <c r="BO423" s="73"/>
      <c r="BP423" s="73"/>
      <c r="BQ423" s="73"/>
      <c r="BR423" s="73"/>
      <c r="BS423" s="73"/>
      <c r="BT423" s="73"/>
      <c r="BU423" s="73"/>
      <c r="BV423" s="73"/>
      <c r="BW423" s="74"/>
      <c r="BX423" s="74"/>
      <c r="BY423" s="63"/>
      <c r="BZ423" s="63"/>
    </row>
    <row r="424" ht="15.75" customHeight="1">
      <c r="A424" s="41" t="s">
        <v>2913</v>
      </c>
      <c r="B424" s="112" t="s">
        <v>2914</v>
      </c>
      <c r="C424" s="50" t="s">
        <v>271</v>
      </c>
      <c r="D424" s="52" t="s">
        <v>131</v>
      </c>
      <c r="E424" s="45"/>
      <c r="F424" s="47">
        <v>4.2E8</v>
      </c>
      <c r="G424" s="44" t="str">
        <f t="shared" si="16"/>
        <v>$400'000.000 a $500'000.000</v>
      </c>
      <c r="H424" s="44"/>
      <c r="I424" s="44"/>
      <c r="J424" s="43" t="s">
        <v>183</v>
      </c>
      <c r="K424" s="142"/>
      <c r="L424" s="52">
        <v>7.0</v>
      </c>
      <c r="M424" s="52"/>
      <c r="N424" s="52">
        <v>5.0</v>
      </c>
      <c r="O424" s="43">
        <v>1.0</v>
      </c>
      <c r="P424" s="52">
        <v>2.0</v>
      </c>
      <c r="Q424" s="54">
        <v>250.0</v>
      </c>
      <c r="R424" s="55">
        <v>140.0</v>
      </c>
      <c r="S424" s="56" t="str">
        <f t="shared" si="15"/>
        <v>Rentabilidad $2,100,000</v>
      </c>
      <c r="T424" s="52" t="s">
        <v>78</v>
      </c>
      <c r="U424" s="142" t="s">
        <v>184</v>
      </c>
      <c r="V424" s="43" t="s">
        <v>118</v>
      </c>
      <c r="W424" s="43"/>
      <c r="X424" s="52">
        <v>7.0</v>
      </c>
      <c r="Y424" s="43" t="s">
        <v>80</v>
      </c>
      <c r="Z424" s="80" t="s">
        <v>81</v>
      </c>
      <c r="AA424" s="59" t="str">
        <f>IF(Rentabilidad=0,"No aplica",TEXT(ROUND(Precio/Rentabilidad/12,0),0) &amp; " años")</f>
        <v>17 años</v>
      </c>
      <c r="AB424" s="195"/>
      <c r="AC424" s="61"/>
      <c r="AD424" s="62"/>
      <c r="AE424" s="63"/>
      <c r="AF424" s="64" t="s">
        <v>236</v>
      </c>
      <c r="AG424" s="63"/>
      <c r="AH424" s="65" t="s">
        <v>45</v>
      </c>
      <c r="AI424" s="63"/>
      <c r="AJ424" s="64" t="s">
        <v>1834</v>
      </c>
      <c r="AK424" s="44" t="s">
        <v>2693</v>
      </c>
      <c r="AL424" s="45" t="s">
        <v>86</v>
      </c>
      <c r="AM424" s="52">
        <v>3.163414094E9</v>
      </c>
      <c r="AN424" s="45">
        <v>0.0</v>
      </c>
      <c r="AO424" s="52" t="s">
        <v>2915</v>
      </c>
      <c r="AP424" s="67" t="s">
        <v>2916</v>
      </c>
      <c r="AQ424" s="67"/>
      <c r="AR424" s="67"/>
      <c r="AS424" s="135">
        <v>2100000.0</v>
      </c>
      <c r="AT424" s="44">
        <v>0.0</v>
      </c>
      <c r="AU424" s="52">
        <v>0.0</v>
      </c>
      <c r="AV424" s="52">
        <v>0.0</v>
      </c>
      <c r="AW424" s="43" t="s">
        <v>88</v>
      </c>
      <c r="AX424" s="52">
        <v>0.0</v>
      </c>
      <c r="AY424" s="52">
        <v>0.0</v>
      </c>
      <c r="AZ424" s="52">
        <v>10.0</v>
      </c>
      <c r="BA424" s="43" t="s">
        <v>89</v>
      </c>
      <c r="BB424" s="52">
        <v>14.0</v>
      </c>
      <c r="BC424" s="170"/>
      <c r="BD424" s="128"/>
      <c r="BE424" s="129"/>
      <c r="BF424" s="72"/>
      <c r="BG424" s="73"/>
      <c r="BH424" s="73"/>
      <c r="BI424" s="73"/>
      <c r="BJ424" s="73"/>
      <c r="BK424" s="73"/>
      <c r="BL424" s="73"/>
      <c r="BM424" s="73"/>
      <c r="BN424" s="73"/>
      <c r="BO424" s="73"/>
      <c r="BP424" s="73"/>
      <c r="BQ424" s="73"/>
      <c r="BR424" s="73"/>
      <c r="BS424" s="73"/>
      <c r="BT424" s="73"/>
      <c r="BU424" s="73"/>
      <c r="BV424" s="73"/>
      <c r="BW424" s="74"/>
      <c r="BX424" s="74"/>
      <c r="BY424" s="63"/>
      <c r="BZ424" s="63"/>
    </row>
    <row r="425" ht="15.75" customHeight="1">
      <c r="A425" s="120" t="s">
        <v>2917</v>
      </c>
      <c r="B425" s="112" t="s">
        <v>2918</v>
      </c>
      <c r="C425" s="50" t="s">
        <v>271</v>
      </c>
      <c r="D425" s="44" t="s">
        <v>205</v>
      </c>
      <c r="E425" s="77" t="s">
        <v>376</v>
      </c>
      <c r="F425" s="47">
        <v>4.1E8</v>
      </c>
      <c r="G425" s="44" t="str">
        <f t="shared" si="16"/>
        <v>$400'000.000 a $500'000.000</v>
      </c>
      <c r="H425" s="44"/>
      <c r="I425" s="44"/>
      <c r="J425" s="43" t="s">
        <v>76</v>
      </c>
      <c r="K425" s="119" t="s">
        <v>77</v>
      </c>
      <c r="L425" s="52">
        <v>9.0</v>
      </c>
      <c r="M425" s="52"/>
      <c r="N425" s="52">
        <v>5.0</v>
      </c>
      <c r="O425" s="43">
        <v>0.0</v>
      </c>
      <c r="P425" s="52">
        <v>2.0</v>
      </c>
      <c r="Q425" s="54">
        <v>330.0</v>
      </c>
      <c r="R425" s="55">
        <v>189.0</v>
      </c>
      <c r="S425" s="56" t="str">
        <f t="shared" si="15"/>
        <v>Rentabilidad $2,500,000</v>
      </c>
      <c r="T425" s="52" t="s">
        <v>78</v>
      </c>
      <c r="U425" s="142" t="s">
        <v>184</v>
      </c>
      <c r="V425" s="43" t="s">
        <v>79</v>
      </c>
      <c r="W425" s="43"/>
      <c r="X425" s="52">
        <v>2.0</v>
      </c>
      <c r="Y425" s="43" t="s">
        <v>80</v>
      </c>
      <c r="Z425" s="80" t="s">
        <v>81</v>
      </c>
      <c r="AA425" s="59" t="str">
        <f>IF(Rentabilidad=0,"No aplica",TEXT(ROUND(Precio/Rentabilidad/12,0),0) &amp; " años")</f>
        <v>14 años</v>
      </c>
      <c r="AB425" s="195"/>
      <c r="AC425" s="61"/>
      <c r="AD425" s="62"/>
      <c r="AE425" s="63"/>
      <c r="AF425" s="64" t="s">
        <v>84</v>
      </c>
      <c r="AG425" s="63"/>
      <c r="AH425" s="65" t="s">
        <v>45</v>
      </c>
      <c r="AI425" s="63"/>
      <c r="AJ425" s="64" t="s">
        <v>1834</v>
      </c>
      <c r="AK425" s="44"/>
      <c r="AL425" s="45" t="s">
        <v>86</v>
      </c>
      <c r="AM425" s="52">
        <v>3.156194476E9</v>
      </c>
      <c r="AN425" s="45">
        <v>3.118956201E9</v>
      </c>
      <c r="AO425" s="52" t="s">
        <v>2919</v>
      </c>
      <c r="AP425" s="67" t="s">
        <v>2920</v>
      </c>
      <c r="AQ425" s="67"/>
      <c r="AR425" s="67"/>
      <c r="AS425" s="135">
        <v>2500000.0</v>
      </c>
      <c r="AT425" s="44">
        <v>0.0</v>
      </c>
      <c r="AU425" s="52">
        <v>0.0</v>
      </c>
      <c r="AV425" s="52">
        <v>0.0</v>
      </c>
      <c r="AW425" s="43" t="s">
        <v>88</v>
      </c>
      <c r="AX425" s="52">
        <v>0.0</v>
      </c>
      <c r="AY425" s="52">
        <v>0.0</v>
      </c>
      <c r="AZ425" s="52">
        <v>9.0</v>
      </c>
      <c r="BA425" s="43" t="s">
        <v>89</v>
      </c>
      <c r="BB425" s="52">
        <v>21.0</v>
      </c>
      <c r="BC425" s="109"/>
      <c r="BD425" s="70"/>
      <c r="BE425" s="71"/>
      <c r="BF425" s="72"/>
      <c r="BG425" s="73"/>
      <c r="BH425" s="73"/>
      <c r="BI425" s="73"/>
      <c r="BJ425" s="73"/>
      <c r="BK425" s="73"/>
      <c r="BL425" s="73"/>
      <c r="BM425" s="73"/>
      <c r="BN425" s="73"/>
      <c r="BO425" s="73"/>
      <c r="BP425" s="73"/>
      <c r="BQ425" s="73"/>
      <c r="BR425" s="73"/>
      <c r="BS425" s="73"/>
      <c r="BT425" s="73"/>
      <c r="BU425" s="73"/>
      <c r="BV425" s="73"/>
      <c r="BW425" s="74"/>
      <c r="BX425" s="74"/>
      <c r="BY425" s="63"/>
      <c r="BZ425" s="63"/>
    </row>
    <row r="426" ht="15.75" customHeight="1">
      <c r="A426" s="75" t="s">
        <v>2921</v>
      </c>
      <c r="B426" s="50" t="s">
        <v>436</v>
      </c>
      <c r="C426" s="50" t="s">
        <v>70</v>
      </c>
      <c r="D426" s="50" t="s">
        <v>11</v>
      </c>
      <c r="E426" s="77"/>
      <c r="F426" s="78">
        <v>4.0E8</v>
      </c>
      <c r="G426" s="44" t="str">
        <f t="shared" si="16"/>
        <v>$400'000.000 a $500'000.000</v>
      </c>
      <c r="H426" s="44"/>
      <c r="I426" s="44"/>
      <c r="J426" s="50" t="s">
        <v>183</v>
      </c>
      <c r="K426" s="51" t="s">
        <v>184</v>
      </c>
      <c r="L426" s="50">
        <v>5.0</v>
      </c>
      <c r="M426" s="50"/>
      <c r="N426" s="50">
        <v>2.0</v>
      </c>
      <c r="O426" s="50">
        <v>1.0</v>
      </c>
      <c r="P426" s="50">
        <v>1.0</v>
      </c>
      <c r="Q426" s="88"/>
      <c r="R426" s="88">
        <v>200.0</v>
      </c>
      <c r="S426" s="56" t="str">
        <f t="shared" si="15"/>
        <v> </v>
      </c>
      <c r="T426" s="50" t="s">
        <v>78</v>
      </c>
      <c r="U426" s="51" t="s">
        <v>184</v>
      </c>
      <c r="V426" s="50" t="s">
        <v>79</v>
      </c>
      <c r="W426" s="50"/>
      <c r="X426" s="50">
        <v>1.0</v>
      </c>
      <c r="Y426" s="43" t="s">
        <v>80</v>
      </c>
      <c r="Z426" s="58" t="s">
        <v>81</v>
      </c>
      <c r="AA426" s="81"/>
      <c r="AB426" s="123"/>
      <c r="AC426" s="124"/>
      <c r="AD426" s="125"/>
      <c r="AE426" s="63"/>
      <c r="AF426" s="64" t="s">
        <v>236</v>
      </c>
      <c r="AG426" s="65"/>
      <c r="AH426" s="65" t="s">
        <v>45</v>
      </c>
      <c r="AI426" s="65"/>
      <c r="AJ426" s="64" t="s">
        <v>1834</v>
      </c>
      <c r="AK426" s="50"/>
      <c r="AL426" s="45"/>
      <c r="AM426" s="43">
        <v>3.158484959E9</v>
      </c>
      <c r="AN426" s="64" t="s">
        <v>2922</v>
      </c>
      <c r="AO426" s="43"/>
      <c r="AP426" s="84" t="s">
        <v>2923</v>
      </c>
      <c r="AQ426" s="84"/>
      <c r="AR426" s="84"/>
      <c r="AS426" s="85"/>
      <c r="AT426" s="50">
        <v>0.0</v>
      </c>
      <c r="AU426" s="50">
        <v>0.0</v>
      </c>
      <c r="AV426" s="50">
        <v>0.0</v>
      </c>
      <c r="AW426" s="50" t="s">
        <v>106</v>
      </c>
      <c r="AX426" s="50"/>
      <c r="AY426" s="50" t="s">
        <v>247</v>
      </c>
      <c r="AZ426" s="50">
        <v>9.0</v>
      </c>
      <c r="BA426" s="43" t="s">
        <v>89</v>
      </c>
      <c r="BB426" s="50">
        <v>22.0</v>
      </c>
      <c r="BC426" s="95"/>
      <c r="BD426" s="71"/>
      <c r="BE426" s="71"/>
      <c r="BF426" s="72"/>
      <c r="BG426" s="73"/>
      <c r="BH426" s="73"/>
      <c r="BI426" s="73"/>
      <c r="BJ426" s="73"/>
      <c r="BK426" s="73"/>
      <c r="BL426" s="73"/>
      <c r="BM426" s="73"/>
      <c r="BN426" s="73"/>
      <c r="BO426" s="73"/>
      <c r="BP426" s="73"/>
      <c r="BQ426" s="73"/>
      <c r="BR426" s="73"/>
      <c r="BS426" s="73"/>
      <c r="BT426" s="73"/>
      <c r="BU426" s="73"/>
      <c r="BV426" s="73"/>
      <c r="BW426" s="74"/>
      <c r="BX426" s="74"/>
      <c r="BY426" s="63"/>
      <c r="BZ426" s="63"/>
    </row>
    <row r="427" ht="15.75" customHeight="1">
      <c r="A427" s="133" t="s">
        <v>2924</v>
      </c>
      <c r="B427" s="43" t="s">
        <v>2710</v>
      </c>
      <c r="C427" s="43" t="s">
        <v>70</v>
      </c>
      <c r="D427" s="153" t="s">
        <v>155</v>
      </c>
      <c r="E427" s="45"/>
      <c r="F427" s="78">
        <v>4.0E8</v>
      </c>
      <c r="G427" s="44" t="str">
        <f t="shared" si="16"/>
        <v>$400'000.000 a $500'000.000</v>
      </c>
      <c r="H427" s="44"/>
      <c r="I427" s="44"/>
      <c r="J427" s="43" t="s">
        <v>76</v>
      </c>
      <c r="K427" s="51" t="s">
        <v>142</v>
      </c>
      <c r="L427" s="43">
        <v>3.0</v>
      </c>
      <c r="M427" s="43"/>
      <c r="N427" s="43">
        <v>1.0</v>
      </c>
      <c r="O427" s="43">
        <v>1.0</v>
      </c>
      <c r="P427" s="43">
        <v>1.0</v>
      </c>
      <c r="Q427" s="88">
        <v>240.0</v>
      </c>
      <c r="R427" s="88">
        <v>240.0</v>
      </c>
      <c r="S427" s="56" t="str">
        <f t="shared" si="15"/>
        <v> </v>
      </c>
      <c r="T427" s="43" t="s">
        <v>78</v>
      </c>
      <c r="U427" s="56" t="s">
        <v>184</v>
      </c>
      <c r="V427" s="43" t="s">
        <v>79</v>
      </c>
      <c r="W427" s="43"/>
      <c r="X427" s="43">
        <v>0.0</v>
      </c>
      <c r="Y427" s="43" t="s">
        <v>80</v>
      </c>
      <c r="Z427" s="58" t="s">
        <v>81</v>
      </c>
      <c r="AA427" s="59" t="str">
        <f>IF(Rentabilidad=0,"No aplica",TEXT(ROUND(Precio/Rentabilidad/12,0),0) &amp; " años")</f>
        <v>No aplica</v>
      </c>
      <c r="AB427" s="60"/>
      <c r="AC427" s="131" t="s">
        <v>2925</v>
      </c>
      <c r="AD427" s="62"/>
      <c r="AE427" s="63"/>
      <c r="AF427" s="64" t="s">
        <v>236</v>
      </c>
      <c r="AG427" s="63"/>
      <c r="AH427" s="65" t="s">
        <v>45</v>
      </c>
      <c r="AI427" s="63"/>
      <c r="AJ427" s="64" t="s">
        <v>1834</v>
      </c>
      <c r="AK427" s="44"/>
      <c r="AL427" s="45"/>
      <c r="AM427" s="43">
        <v>3.167696862E9</v>
      </c>
      <c r="AN427" s="64">
        <v>3.155007873E9</v>
      </c>
      <c r="AO427" s="52"/>
      <c r="AP427" s="84" t="s">
        <v>2926</v>
      </c>
      <c r="AQ427" s="84"/>
      <c r="AR427" s="84"/>
      <c r="AS427" s="135"/>
      <c r="AT427" s="52"/>
      <c r="AU427" s="52"/>
      <c r="AV427" s="52"/>
      <c r="AW427" s="52"/>
      <c r="AX427" s="52"/>
      <c r="AY427" s="52"/>
      <c r="AZ427" s="43">
        <v>8.0</v>
      </c>
      <c r="BA427" s="43" t="s">
        <v>89</v>
      </c>
      <c r="BB427" s="43">
        <v>30.0</v>
      </c>
      <c r="BC427" s="69" t="s">
        <v>2927</v>
      </c>
      <c r="BD427" s="70"/>
      <c r="BE427" s="71"/>
      <c r="BF427" s="130"/>
      <c r="BG427" s="73"/>
      <c r="BH427" s="73"/>
      <c r="BI427" s="73"/>
      <c r="BJ427" s="73"/>
      <c r="BK427" s="73"/>
      <c r="BL427" s="73"/>
      <c r="BM427" s="73"/>
      <c r="BN427" s="73"/>
      <c r="BO427" s="73"/>
      <c r="BP427" s="73"/>
      <c r="BQ427" s="73"/>
      <c r="BR427" s="73"/>
      <c r="BS427" s="73"/>
      <c r="BT427" s="73"/>
      <c r="BU427" s="73"/>
      <c r="BV427" s="73"/>
      <c r="BW427" s="74"/>
      <c r="BX427" s="74"/>
      <c r="BY427" s="63"/>
      <c r="BZ427" s="63"/>
    </row>
    <row r="428" ht="15.75" customHeight="1">
      <c r="A428" s="75" t="s">
        <v>2928</v>
      </c>
      <c r="B428" s="112" t="s">
        <v>2414</v>
      </c>
      <c r="C428" s="50" t="s">
        <v>271</v>
      </c>
      <c r="D428" s="44" t="s">
        <v>11</v>
      </c>
      <c r="E428" s="77" t="s">
        <v>376</v>
      </c>
      <c r="F428" s="47">
        <v>4.0E8</v>
      </c>
      <c r="G428" s="44" t="str">
        <f t="shared" si="16"/>
        <v>$400'000.000 a $500'000.000</v>
      </c>
      <c r="H428" s="44"/>
      <c r="I428" s="44"/>
      <c r="J428" s="50" t="s">
        <v>183</v>
      </c>
      <c r="K428" s="51" t="s">
        <v>184</v>
      </c>
      <c r="L428" s="44">
        <v>4.0</v>
      </c>
      <c r="M428" s="44"/>
      <c r="N428" s="44">
        <v>3.0</v>
      </c>
      <c r="O428" s="50">
        <v>1.0</v>
      </c>
      <c r="P428" s="44">
        <v>1.0</v>
      </c>
      <c r="Q428" s="113">
        <v>220.0</v>
      </c>
      <c r="R428" s="79">
        <v>220.0</v>
      </c>
      <c r="S428" s="56" t="str">
        <f t="shared" si="15"/>
        <v>Rentabilidad $1,300,000</v>
      </c>
      <c r="T428" s="44" t="s">
        <v>78</v>
      </c>
      <c r="U428" s="57" t="s">
        <v>184</v>
      </c>
      <c r="V428" s="50" t="s">
        <v>118</v>
      </c>
      <c r="W428" s="50"/>
      <c r="X428" s="44">
        <v>0.0</v>
      </c>
      <c r="Y428" s="50" t="s">
        <v>80</v>
      </c>
      <c r="Z428" s="80" t="s">
        <v>81</v>
      </c>
      <c r="AA428" s="59" t="str">
        <f>IF(Rentabilidad=0,"No aplica",TEXT(ROUND(Precio/Rentabilidad/12,0),0) &amp; " años")</f>
        <v>26 años</v>
      </c>
      <c r="AB428" s="60"/>
      <c r="AC428" s="61"/>
      <c r="AD428" s="62"/>
      <c r="AE428" s="63"/>
      <c r="AF428" s="45" t="s">
        <v>96</v>
      </c>
      <c r="AG428" s="63"/>
      <c r="AH428" s="65" t="s">
        <v>45</v>
      </c>
      <c r="AI428" s="63"/>
      <c r="AJ428" s="64" t="s">
        <v>1834</v>
      </c>
      <c r="AK428" s="44"/>
      <c r="AL428" s="45" t="s">
        <v>86</v>
      </c>
      <c r="AM428" s="52">
        <v>3.175108345E9</v>
      </c>
      <c r="AN428" s="45">
        <v>0.0</v>
      </c>
      <c r="AO428" s="52"/>
      <c r="AP428" s="67">
        <v>0.0</v>
      </c>
      <c r="AQ428" s="67"/>
      <c r="AR428" s="67"/>
      <c r="AS428" s="68">
        <v>1300000.0</v>
      </c>
      <c r="AT428" s="44">
        <v>0.0</v>
      </c>
      <c r="AU428" s="44">
        <v>0.0</v>
      </c>
      <c r="AV428" s="44">
        <v>0.0</v>
      </c>
      <c r="AW428" s="44" t="s">
        <v>106</v>
      </c>
      <c r="AX428" s="44">
        <v>0.0</v>
      </c>
      <c r="AY428" s="44">
        <v>0.0</v>
      </c>
      <c r="AZ428" s="44">
        <v>0.0</v>
      </c>
      <c r="BA428" s="43" t="s">
        <v>89</v>
      </c>
      <c r="BB428" s="44">
        <v>0.0</v>
      </c>
      <c r="BC428" s="95"/>
      <c r="BD428" s="71"/>
      <c r="BE428" s="71"/>
      <c r="BF428" s="72"/>
      <c r="BG428" s="73"/>
      <c r="BH428" s="73"/>
      <c r="BI428" s="73"/>
      <c r="BJ428" s="73"/>
      <c r="BK428" s="73"/>
      <c r="BL428" s="73"/>
      <c r="BM428" s="73"/>
      <c r="BN428" s="73"/>
      <c r="BO428" s="73"/>
      <c r="BP428" s="73"/>
      <c r="BQ428" s="73"/>
      <c r="BR428" s="73"/>
      <c r="BS428" s="73"/>
      <c r="BT428" s="73"/>
      <c r="BU428" s="73"/>
      <c r="BV428" s="73"/>
      <c r="BW428" s="74"/>
      <c r="BX428" s="74"/>
      <c r="BY428" s="63"/>
      <c r="BZ428" s="63"/>
    </row>
    <row r="429" ht="15.75" customHeight="1">
      <c r="A429" s="75" t="s">
        <v>2929</v>
      </c>
      <c r="B429" s="112" t="s">
        <v>2710</v>
      </c>
      <c r="C429" s="50" t="s">
        <v>70</v>
      </c>
      <c r="D429" s="63" t="s">
        <v>155</v>
      </c>
      <c r="E429" s="45"/>
      <c r="F429" s="47">
        <v>4.0E8</v>
      </c>
      <c r="G429" s="44" t="str">
        <f t="shared" si="16"/>
        <v>$400'000.000 a $500'000.000</v>
      </c>
      <c r="H429" s="44"/>
      <c r="I429" s="44"/>
      <c r="J429" s="50" t="s">
        <v>76</v>
      </c>
      <c r="K429" s="51" t="s">
        <v>77</v>
      </c>
      <c r="L429" s="44">
        <v>5.0</v>
      </c>
      <c r="M429" s="44"/>
      <c r="N429" s="44">
        <v>2.0</v>
      </c>
      <c r="O429" s="44">
        <v>2.0</v>
      </c>
      <c r="P429" s="50">
        <v>1.0</v>
      </c>
      <c r="Q429" s="113">
        <v>247.0</v>
      </c>
      <c r="R429" s="79">
        <v>247.0</v>
      </c>
      <c r="S429" s="56" t="str">
        <f t="shared" si="15"/>
        <v> </v>
      </c>
      <c r="T429" s="44" t="s">
        <v>78</v>
      </c>
      <c r="U429" s="57" t="s">
        <v>184</v>
      </c>
      <c r="V429" s="50" t="s">
        <v>79</v>
      </c>
      <c r="W429" s="50"/>
      <c r="X429" s="44">
        <v>1.0</v>
      </c>
      <c r="Y429" s="50" t="s">
        <v>80</v>
      </c>
      <c r="Z429" s="58" t="s">
        <v>81</v>
      </c>
      <c r="AA429" s="59" t="str">
        <f>IF(Rentabilidad=0,"No aplica",TEXT(ROUND(Precio/Rentabilidad/12,0),0) &amp; " años")</f>
        <v>No aplica</v>
      </c>
      <c r="AB429" s="195"/>
      <c r="AC429" s="131" t="s">
        <v>2930</v>
      </c>
      <c r="AD429" s="62"/>
      <c r="AE429" s="63"/>
      <c r="AF429" s="64" t="s">
        <v>236</v>
      </c>
      <c r="AG429" s="63"/>
      <c r="AH429" s="65" t="s">
        <v>45</v>
      </c>
      <c r="AI429" s="63"/>
      <c r="AJ429" s="64" t="s">
        <v>1834</v>
      </c>
      <c r="AK429" s="44"/>
      <c r="AL429" s="45" t="s">
        <v>86</v>
      </c>
      <c r="AM429" s="52">
        <v>3.183894226E9</v>
      </c>
      <c r="AN429" s="45">
        <v>0.0</v>
      </c>
      <c r="AO429" s="52" t="s">
        <v>2931</v>
      </c>
      <c r="AP429" s="67" t="s">
        <v>2932</v>
      </c>
      <c r="AQ429" s="67"/>
      <c r="AR429" s="67"/>
      <c r="AS429" s="68">
        <v>0.0</v>
      </c>
      <c r="AT429" s="44">
        <v>0.0</v>
      </c>
      <c r="AU429" s="52">
        <v>0.0</v>
      </c>
      <c r="AV429" s="52">
        <v>0.0</v>
      </c>
      <c r="AW429" s="43" t="s">
        <v>88</v>
      </c>
      <c r="AX429" s="52">
        <v>0.0</v>
      </c>
      <c r="AY429" s="52">
        <v>0.0</v>
      </c>
      <c r="AZ429" s="44">
        <v>21.0</v>
      </c>
      <c r="BA429" s="43" t="s">
        <v>89</v>
      </c>
      <c r="BB429" s="44">
        <v>0.0</v>
      </c>
      <c r="BC429" s="109"/>
      <c r="BD429" s="70"/>
      <c r="BE429" s="70"/>
      <c r="BF429" s="130"/>
      <c r="BG429" s="73"/>
      <c r="BH429" s="73"/>
      <c r="BI429" s="73"/>
      <c r="BJ429" s="73"/>
      <c r="BK429" s="73"/>
      <c r="BL429" s="73"/>
      <c r="BM429" s="73"/>
      <c r="BN429" s="73"/>
      <c r="BO429" s="73"/>
      <c r="BP429" s="73"/>
      <c r="BQ429" s="73"/>
      <c r="BR429" s="73"/>
      <c r="BS429" s="73"/>
      <c r="BT429" s="73"/>
      <c r="BU429" s="73"/>
      <c r="BV429" s="73"/>
      <c r="BW429" s="74"/>
      <c r="BX429" s="74"/>
      <c r="BY429" s="63"/>
      <c r="BZ429" s="63"/>
    </row>
    <row r="430" ht="15.75" customHeight="1">
      <c r="A430" s="120" t="s">
        <v>2933</v>
      </c>
      <c r="B430" s="50" t="s">
        <v>2934</v>
      </c>
      <c r="C430" s="50" t="s">
        <v>271</v>
      </c>
      <c r="D430" s="44" t="s">
        <v>1216</v>
      </c>
      <c r="E430" s="45"/>
      <c r="F430" s="78">
        <v>4.0E8</v>
      </c>
      <c r="G430" s="44" t="str">
        <f t="shared" si="16"/>
        <v>$400'000.000 a $500'000.000</v>
      </c>
      <c r="H430" s="44"/>
      <c r="I430" s="44"/>
      <c r="J430" s="50" t="s">
        <v>76</v>
      </c>
      <c r="K430" s="51" t="s">
        <v>77</v>
      </c>
      <c r="L430" s="50">
        <v>7.0</v>
      </c>
      <c r="M430" s="50"/>
      <c r="N430" s="50">
        <v>4.0</v>
      </c>
      <c r="O430" s="50">
        <v>1.0</v>
      </c>
      <c r="P430" s="50">
        <v>2.0</v>
      </c>
      <c r="Q430" s="44"/>
      <c r="R430" s="79">
        <v>250.0</v>
      </c>
      <c r="S430" s="56" t="str">
        <f t="shared" si="15"/>
        <v> </v>
      </c>
      <c r="T430" s="44" t="s">
        <v>78</v>
      </c>
      <c r="U430" s="51" t="s">
        <v>77</v>
      </c>
      <c r="V430" s="50" t="s">
        <v>79</v>
      </c>
      <c r="W430" s="50"/>
      <c r="X430" s="44">
        <v>0.0</v>
      </c>
      <c r="Y430" s="50" t="s">
        <v>80</v>
      </c>
      <c r="Z430" s="58" t="s">
        <v>81</v>
      </c>
      <c r="AA430" s="59" t="str">
        <f>IF(Rentabilidad=0,"No aplica",TEXT(ROUND(Precio/Rentabilidad/12,0),0) &amp; " años")</f>
        <v>No aplica</v>
      </c>
      <c r="AB430" s="60"/>
      <c r="AC430" s="61"/>
      <c r="AD430" s="62"/>
      <c r="AE430" s="63"/>
      <c r="AF430" s="64" t="s">
        <v>236</v>
      </c>
      <c r="AG430" s="63"/>
      <c r="AH430" s="65" t="s">
        <v>45</v>
      </c>
      <c r="AI430" s="63"/>
      <c r="AJ430" s="64" t="s">
        <v>1834</v>
      </c>
      <c r="AK430" s="44"/>
      <c r="AL430" s="45" t="s">
        <v>86</v>
      </c>
      <c r="AM430" s="52">
        <v>3.18620929E9</v>
      </c>
      <c r="AN430" s="45">
        <v>0.0</v>
      </c>
      <c r="AO430" s="116"/>
      <c r="AP430" s="67">
        <v>0.0</v>
      </c>
      <c r="AQ430" s="67"/>
      <c r="AR430" s="67"/>
      <c r="AS430" s="44">
        <v>0.0</v>
      </c>
      <c r="AT430" s="44">
        <v>0.0</v>
      </c>
      <c r="AU430" s="44">
        <v>0.0</v>
      </c>
      <c r="AV430" s="44">
        <v>0.0</v>
      </c>
      <c r="AW430" s="50" t="s">
        <v>106</v>
      </c>
      <c r="AX430" s="44">
        <v>0.0</v>
      </c>
      <c r="AY430" s="44">
        <v>0.0</v>
      </c>
      <c r="AZ430" s="44">
        <v>0.0</v>
      </c>
      <c r="BA430" s="43" t="s">
        <v>89</v>
      </c>
      <c r="BB430" s="44">
        <v>0.0</v>
      </c>
      <c r="BC430" s="69" t="s">
        <v>445</v>
      </c>
      <c r="BD430" s="70"/>
      <c r="BE430" s="71"/>
      <c r="BF430" s="72"/>
      <c r="BG430" s="73"/>
      <c r="BH430" s="73"/>
      <c r="BI430" s="73"/>
      <c r="BJ430" s="73"/>
      <c r="BK430" s="73"/>
      <c r="BL430" s="73"/>
      <c r="BM430" s="73"/>
      <c r="BN430" s="73"/>
      <c r="BO430" s="73"/>
      <c r="BP430" s="73"/>
      <c r="BQ430" s="73"/>
      <c r="BR430" s="73"/>
      <c r="BS430" s="73"/>
      <c r="BT430" s="73"/>
      <c r="BU430" s="73"/>
      <c r="BV430" s="73"/>
      <c r="BW430" s="74"/>
      <c r="BX430" s="74"/>
      <c r="BY430" s="63"/>
      <c r="BZ430" s="63"/>
    </row>
    <row r="431" ht="15.75" customHeight="1">
      <c r="A431" s="41" t="s">
        <v>2935</v>
      </c>
      <c r="B431" s="112" t="s">
        <v>2936</v>
      </c>
      <c r="C431" s="50" t="s">
        <v>271</v>
      </c>
      <c r="D431" s="116" t="s">
        <v>155</v>
      </c>
      <c r="E431" s="45"/>
      <c r="F431" s="47">
        <v>4.0E8</v>
      </c>
      <c r="G431" s="44" t="str">
        <f t="shared" si="16"/>
        <v>$400'000.000 a $500'000.000</v>
      </c>
      <c r="H431" s="44"/>
      <c r="I431" s="44"/>
      <c r="J431" s="50" t="s">
        <v>76</v>
      </c>
      <c r="K431" s="51" t="s">
        <v>77</v>
      </c>
      <c r="L431" s="44">
        <v>4.0</v>
      </c>
      <c r="M431" s="44"/>
      <c r="N431" s="44">
        <v>2.0</v>
      </c>
      <c r="O431" s="50">
        <v>1.0</v>
      </c>
      <c r="P431" s="44">
        <v>1.0</v>
      </c>
      <c r="Q431" s="113">
        <v>197.8</v>
      </c>
      <c r="R431" s="79">
        <v>197.8</v>
      </c>
      <c r="S431" s="56" t="str">
        <f t="shared" si="15"/>
        <v>Rentabilidad $1,200,000</v>
      </c>
      <c r="T431" s="52" t="s">
        <v>78</v>
      </c>
      <c r="U431" s="57" t="s">
        <v>77</v>
      </c>
      <c r="V431" s="50" t="s">
        <v>79</v>
      </c>
      <c r="W431" s="50"/>
      <c r="X431" s="44">
        <v>0.0</v>
      </c>
      <c r="Y431" s="43" t="s">
        <v>80</v>
      </c>
      <c r="Z431" s="80" t="s">
        <v>81</v>
      </c>
      <c r="AA431" s="59" t="str">
        <f>IF(Rentabilidad=0,"No aplica",TEXT(ROUND(Precio/Rentabilidad/12,0),0) &amp; " años")</f>
        <v>28 años</v>
      </c>
      <c r="AB431" s="60"/>
      <c r="AC431" s="61"/>
      <c r="AD431" s="62"/>
      <c r="AE431" s="63"/>
      <c r="AF431" s="64" t="s">
        <v>84</v>
      </c>
      <c r="AG431" s="63"/>
      <c r="AH431" s="65" t="s">
        <v>45</v>
      </c>
      <c r="AI431" s="63"/>
      <c r="AJ431" s="64" t="s">
        <v>1834</v>
      </c>
      <c r="AK431" s="44"/>
      <c r="AL431" s="45" t="s">
        <v>86</v>
      </c>
      <c r="AM431" s="52">
        <v>3.175149903E9</v>
      </c>
      <c r="AN431" s="45">
        <v>0.0</v>
      </c>
      <c r="AO431" s="52" t="s">
        <v>2937</v>
      </c>
      <c r="AP431" s="67" t="s">
        <v>2938</v>
      </c>
      <c r="AQ431" s="67"/>
      <c r="AR431" s="67"/>
      <c r="AS431" s="68">
        <v>1200000.0</v>
      </c>
      <c r="AT431" s="63">
        <v>0.0</v>
      </c>
      <c r="AU431" s="44">
        <v>0.0</v>
      </c>
      <c r="AV431" s="44">
        <v>0.0</v>
      </c>
      <c r="AW431" s="50" t="s">
        <v>88</v>
      </c>
      <c r="AX431" s="44">
        <v>0.0</v>
      </c>
      <c r="AY431" s="44">
        <v>0.0</v>
      </c>
      <c r="AZ431" s="44">
        <v>8.6</v>
      </c>
      <c r="BA431" s="43" t="s">
        <v>89</v>
      </c>
      <c r="BB431" s="44">
        <v>23.0</v>
      </c>
      <c r="BC431" s="109"/>
      <c r="BD431" s="70"/>
      <c r="BE431" s="70"/>
      <c r="BF431" s="72"/>
      <c r="BG431" s="73"/>
      <c r="BH431" s="73"/>
      <c r="BI431" s="73"/>
      <c r="BJ431" s="73"/>
      <c r="BK431" s="73"/>
      <c r="BL431" s="73"/>
      <c r="BM431" s="73"/>
      <c r="BN431" s="73"/>
      <c r="BO431" s="73"/>
      <c r="BP431" s="73"/>
      <c r="BQ431" s="73"/>
      <c r="BR431" s="73"/>
      <c r="BS431" s="73"/>
      <c r="BT431" s="73"/>
      <c r="BU431" s="73"/>
      <c r="BV431" s="73"/>
      <c r="BW431" s="74"/>
      <c r="BX431" s="74"/>
      <c r="BY431" s="63"/>
      <c r="BZ431" s="63"/>
    </row>
    <row r="432" ht="15.75" customHeight="1">
      <c r="A432" s="120" t="s">
        <v>2939</v>
      </c>
      <c r="B432" s="122" t="s">
        <v>443</v>
      </c>
      <c r="C432" s="43" t="s">
        <v>70</v>
      </c>
      <c r="D432" s="44" t="s">
        <v>82</v>
      </c>
      <c r="E432" s="45"/>
      <c r="F432" s="47">
        <v>4.0E8</v>
      </c>
      <c r="G432" s="44" t="str">
        <f t="shared" si="16"/>
        <v>$400'000.000 a $500'000.000</v>
      </c>
      <c r="H432" s="44"/>
      <c r="I432" s="44"/>
      <c r="J432" s="50" t="s">
        <v>183</v>
      </c>
      <c r="K432" s="51" t="s">
        <v>184</v>
      </c>
      <c r="L432" s="52">
        <v>5.0</v>
      </c>
      <c r="M432" s="52"/>
      <c r="N432" s="52">
        <v>4.0</v>
      </c>
      <c r="O432" s="43">
        <v>1.0</v>
      </c>
      <c r="P432" s="52">
        <v>2.0</v>
      </c>
      <c r="Q432" s="54">
        <v>180.0</v>
      </c>
      <c r="R432" s="55">
        <v>98.0</v>
      </c>
      <c r="S432" s="56" t="str">
        <f t="shared" si="15"/>
        <v> </v>
      </c>
      <c r="T432" s="52" t="s">
        <v>78</v>
      </c>
      <c r="U432" s="142" t="s">
        <v>77</v>
      </c>
      <c r="V432" s="43" t="s">
        <v>79</v>
      </c>
      <c r="W432" s="43"/>
      <c r="X432" s="52">
        <v>4.0</v>
      </c>
      <c r="Y432" s="43" t="s">
        <v>80</v>
      </c>
      <c r="Z432" s="58" t="s">
        <v>81</v>
      </c>
      <c r="AA432" s="59" t="str">
        <f>IF(Rentabilidad=0,"No aplica",TEXT(ROUND(Precio/Rentabilidad/12,0),0) &amp; " años")</f>
        <v>No aplica</v>
      </c>
      <c r="AB432" s="134" t="s">
        <v>2940</v>
      </c>
      <c r="AC432" s="61"/>
      <c r="AD432" s="62"/>
      <c r="AE432" s="63"/>
      <c r="AF432" s="45" t="s">
        <v>105</v>
      </c>
      <c r="AG432" s="63"/>
      <c r="AH432" s="65" t="s">
        <v>45</v>
      </c>
      <c r="AI432" s="63"/>
      <c r="AJ432" s="64" t="s">
        <v>1834</v>
      </c>
      <c r="AK432" s="44"/>
      <c r="AL432" s="45" t="s">
        <v>86</v>
      </c>
      <c r="AM432" s="52">
        <v>3.114816802E9</v>
      </c>
      <c r="AN432" s="45"/>
      <c r="AO432" s="52" t="s">
        <v>2941</v>
      </c>
      <c r="AP432" s="67" t="s">
        <v>2942</v>
      </c>
      <c r="AQ432" s="67"/>
      <c r="AR432" s="67"/>
      <c r="AS432" s="135">
        <v>0.0</v>
      </c>
      <c r="AT432" s="44">
        <v>0.0</v>
      </c>
      <c r="AU432" s="52">
        <v>0.0</v>
      </c>
      <c r="AV432" s="52">
        <v>0.0</v>
      </c>
      <c r="AW432" s="43" t="s">
        <v>88</v>
      </c>
      <c r="AX432" s="52">
        <v>0.0</v>
      </c>
      <c r="AY432" s="52">
        <v>0.0</v>
      </c>
      <c r="AZ432" s="44">
        <v>7.0</v>
      </c>
      <c r="BA432" s="43" t="s">
        <v>89</v>
      </c>
      <c r="BB432" s="44">
        <v>14.0</v>
      </c>
      <c r="BC432" s="109"/>
      <c r="BD432" s="70"/>
      <c r="BE432" s="70"/>
      <c r="BF432" s="72" t="s">
        <v>2943</v>
      </c>
      <c r="BG432" s="73"/>
      <c r="BH432" s="73"/>
      <c r="BI432" s="73"/>
      <c r="BJ432" s="73"/>
      <c r="BK432" s="73"/>
      <c r="BL432" s="73"/>
      <c r="BM432" s="73"/>
      <c r="BN432" s="73"/>
      <c r="BO432" s="73"/>
      <c r="BP432" s="73"/>
      <c r="BQ432" s="73"/>
      <c r="BR432" s="73"/>
      <c r="BS432" s="73"/>
      <c r="BT432" s="73"/>
      <c r="BU432" s="73"/>
      <c r="BV432" s="73"/>
      <c r="BW432" s="74"/>
      <c r="BX432" s="74"/>
      <c r="BY432" s="63"/>
      <c r="BZ432" s="63"/>
    </row>
    <row r="433" ht="15.75" customHeight="1">
      <c r="A433" s="120" t="s">
        <v>2944</v>
      </c>
      <c r="B433" s="112" t="s">
        <v>2660</v>
      </c>
      <c r="C433" s="50" t="s">
        <v>271</v>
      </c>
      <c r="D433" s="52" t="s">
        <v>11</v>
      </c>
      <c r="E433" s="45"/>
      <c r="F433" s="47">
        <v>4.0E8</v>
      </c>
      <c r="G433" s="44" t="str">
        <f t="shared" si="16"/>
        <v>$400'000.000 a $500'000.000</v>
      </c>
      <c r="H433" s="44"/>
      <c r="I433" s="44"/>
      <c r="J433" s="43" t="s">
        <v>183</v>
      </c>
      <c r="K433" s="51" t="s">
        <v>184</v>
      </c>
      <c r="L433" s="52">
        <v>4.0</v>
      </c>
      <c r="M433" s="52"/>
      <c r="N433" s="52">
        <v>5.0</v>
      </c>
      <c r="O433" s="43">
        <v>1.0</v>
      </c>
      <c r="P433" s="52">
        <v>1.0</v>
      </c>
      <c r="Q433" s="54">
        <v>380.0</v>
      </c>
      <c r="R433" s="55">
        <v>400.0</v>
      </c>
      <c r="S433" s="56" t="str">
        <f t="shared" si="15"/>
        <v>Rentabilidad $1,500,000</v>
      </c>
      <c r="T433" s="52" t="s">
        <v>78</v>
      </c>
      <c r="U433" s="57" t="s">
        <v>184</v>
      </c>
      <c r="V433" s="43" t="s">
        <v>79</v>
      </c>
      <c r="W433" s="43"/>
      <c r="X433" s="52">
        <v>0.0</v>
      </c>
      <c r="Y433" s="43" t="s">
        <v>80</v>
      </c>
      <c r="Z433" s="80" t="s">
        <v>81</v>
      </c>
      <c r="AA433" s="59" t="str">
        <f>IF(Rentabilidad=0,"No aplica",TEXT(ROUND(Precio/Rentabilidad/12,0),0) &amp; " años")</f>
        <v>22 años</v>
      </c>
      <c r="AB433" s="195"/>
      <c r="AC433" s="61"/>
      <c r="AD433" s="62"/>
      <c r="AE433" s="63"/>
      <c r="AF433" s="45" t="s">
        <v>105</v>
      </c>
      <c r="AG433" s="63"/>
      <c r="AH433" s="65" t="s">
        <v>45</v>
      </c>
      <c r="AI433" s="63"/>
      <c r="AJ433" s="64" t="s">
        <v>1834</v>
      </c>
      <c r="AK433" s="44"/>
      <c r="AL433" s="45" t="s">
        <v>86</v>
      </c>
      <c r="AM433" s="52">
        <v>3.218421304E9</v>
      </c>
      <c r="AN433" s="45" t="s">
        <v>2945</v>
      </c>
      <c r="AO433" s="45" t="s">
        <v>2946</v>
      </c>
      <c r="AP433" s="67" t="s">
        <v>2947</v>
      </c>
      <c r="AQ433" s="67"/>
      <c r="AR433" s="67"/>
      <c r="AS433" s="135">
        <v>1500000.0</v>
      </c>
      <c r="AT433" s="63">
        <v>0.0</v>
      </c>
      <c r="AU433" s="52">
        <v>0.0</v>
      </c>
      <c r="AV433" s="52">
        <v>0.0</v>
      </c>
      <c r="AW433" s="52" t="s">
        <v>106</v>
      </c>
      <c r="AX433" s="52">
        <v>0.0</v>
      </c>
      <c r="AY433" s="52" t="s">
        <v>106</v>
      </c>
      <c r="AZ433" s="52">
        <v>10.0</v>
      </c>
      <c r="BA433" s="43" t="s">
        <v>89</v>
      </c>
      <c r="BB433" s="52">
        <v>40.0</v>
      </c>
      <c r="BC433" s="69" t="s">
        <v>716</v>
      </c>
      <c r="BD433" s="70"/>
      <c r="BE433" s="71"/>
      <c r="BF433" s="72"/>
      <c r="BG433" s="73"/>
      <c r="BH433" s="73"/>
      <c r="BI433" s="73"/>
      <c r="BJ433" s="73"/>
      <c r="BK433" s="73"/>
      <c r="BL433" s="73"/>
      <c r="BM433" s="73"/>
      <c r="BN433" s="73"/>
      <c r="BO433" s="73"/>
      <c r="BP433" s="73"/>
      <c r="BQ433" s="73"/>
      <c r="BR433" s="73"/>
      <c r="BS433" s="73"/>
      <c r="BT433" s="73"/>
      <c r="BU433" s="73"/>
      <c r="BV433" s="73"/>
      <c r="BW433" s="74"/>
      <c r="BX433" s="74"/>
      <c r="BY433" s="63"/>
      <c r="BZ433" s="63"/>
    </row>
    <row r="434" ht="15.75" customHeight="1">
      <c r="A434" s="120" t="s">
        <v>2948</v>
      </c>
      <c r="B434" s="122" t="s">
        <v>2761</v>
      </c>
      <c r="C434" s="43" t="s">
        <v>315</v>
      </c>
      <c r="D434" s="44" t="s">
        <v>71</v>
      </c>
      <c r="E434" s="45"/>
      <c r="F434" s="47">
        <v>4.0E8</v>
      </c>
      <c r="G434" s="44" t="str">
        <f t="shared" si="16"/>
        <v>$400'000.000 a $500'000.000</v>
      </c>
      <c r="H434" s="44"/>
      <c r="I434" s="44"/>
      <c r="J434" s="43" t="s">
        <v>76</v>
      </c>
      <c r="K434" s="51" t="s">
        <v>77</v>
      </c>
      <c r="L434" s="52">
        <v>0.0</v>
      </c>
      <c r="M434" s="52"/>
      <c r="N434" s="52">
        <v>0.0</v>
      </c>
      <c r="O434" s="52">
        <v>0.0</v>
      </c>
      <c r="P434" s="52">
        <v>0.0</v>
      </c>
      <c r="Q434" s="54"/>
      <c r="R434" s="55">
        <v>0.0</v>
      </c>
      <c r="S434" s="56" t="str">
        <f t="shared" si="15"/>
        <v> </v>
      </c>
      <c r="T434" s="52" t="s">
        <v>78</v>
      </c>
      <c r="U434" s="142" t="s">
        <v>142</v>
      </c>
      <c r="V434" s="43" t="s">
        <v>79</v>
      </c>
      <c r="W434" s="43"/>
      <c r="X434" s="52">
        <v>0.0</v>
      </c>
      <c r="Y434" s="43" t="s">
        <v>80</v>
      </c>
      <c r="Z434" s="80" t="s">
        <v>81</v>
      </c>
      <c r="AA434" s="59" t="str">
        <f>IF(Rentabilidad=0,"No aplica",TEXT(ROUND(Precio/Rentabilidad/12,0),0) &amp; " años")</f>
        <v>No aplica</v>
      </c>
      <c r="AB434" s="60"/>
      <c r="AC434" s="61"/>
      <c r="AD434" s="62"/>
      <c r="AE434" s="63"/>
      <c r="AF434" s="45" t="s">
        <v>96</v>
      </c>
      <c r="AG434" s="63"/>
      <c r="AH434" s="65" t="s">
        <v>45</v>
      </c>
      <c r="AI434" s="63"/>
      <c r="AJ434" s="64" t="s">
        <v>1834</v>
      </c>
      <c r="AK434" s="44"/>
      <c r="AL434" s="45" t="s">
        <v>86</v>
      </c>
      <c r="AM434" s="52">
        <v>3.008598751E9</v>
      </c>
      <c r="AN434" s="45">
        <v>3.219260325E9</v>
      </c>
      <c r="AO434" s="52" t="s">
        <v>2949</v>
      </c>
      <c r="AP434" s="67" t="s">
        <v>2950</v>
      </c>
      <c r="AQ434" s="67"/>
      <c r="AR434" s="67"/>
      <c r="AS434" s="135">
        <v>0.0</v>
      </c>
      <c r="AT434" s="44">
        <v>0.0</v>
      </c>
      <c r="AU434" s="52">
        <v>0.0</v>
      </c>
      <c r="AV434" s="52">
        <v>0.0</v>
      </c>
      <c r="AW434" s="43" t="s">
        <v>88</v>
      </c>
      <c r="AX434" s="52">
        <v>0.0</v>
      </c>
      <c r="AY434" s="52">
        <v>0.0</v>
      </c>
      <c r="AZ434" s="52">
        <v>0.0</v>
      </c>
      <c r="BA434" s="43" t="s">
        <v>89</v>
      </c>
      <c r="BB434" s="52">
        <v>0.0</v>
      </c>
      <c r="BC434" s="95"/>
      <c r="BD434" s="71"/>
      <c r="BE434" s="71"/>
      <c r="BF434" s="72"/>
      <c r="BG434" s="73"/>
      <c r="BH434" s="73"/>
      <c r="BI434" s="73"/>
      <c r="BJ434" s="73"/>
      <c r="BK434" s="73"/>
      <c r="BL434" s="73"/>
      <c r="BM434" s="73"/>
      <c r="BN434" s="73"/>
      <c r="BO434" s="73"/>
      <c r="BP434" s="73"/>
      <c r="BQ434" s="73"/>
      <c r="BR434" s="73"/>
      <c r="BS434" s="73"/>
      <c r="BT434" s="73"/>
      <c r="BU434" s="73"/>
      <c r="BV434" s="73"/>
      <c r="BW434" s="74"/>
      <c r="BX434" s="74"/>
      <c r="BY434" s="63"/>
      <c r="BZ434" s="63"/>
    </row>
    <row r="435" ht="15.75" customHeight="1">
      <c r="A435" s="120" t="s">
        <v>2951</v>
      </c>
      <c r="B435" s="112" t="s">
        <v>2952</v>
      </c>
      <c r="C435" s="50" t="s">
        <v>271</v>
      </c>
      <c r="D435" s="50" t="s">
        <v>1222</v>
      </c>
      <c r="E435" s="77" t="s">
        <v>376</v>
      </c>
      <c r="F435" s="47">
        <v>4.0E8</v>
      </c>
      <c r="G435" s="44" t="str">
        <f t="shared" si="16"/>
        <v>$400'000.000 a $500'000.000</v>
      </c>
      <c r="H435" s="44"/>
      <c r="I435" s="44"/>
      <c r="J435" s="50" t="s">
        <v>183</v>
      </c>
      <c r="K435" s="51"/>
      <c r="L435" s="52">
        <v>9.0</v>
      </c>
      <c r="M435" s="52"/>
      <c r="N435" s="52">
        <v>9.0</v>
      </c>
      <c r="O435" s="43">
        <v>1.0</v>
      </c>
      <c r="P435" s="52">
        <v>2.0</v>
      </c>
      <c r="Q435" s="54"/>
      <c r="R435" s="55">
        <v>180.0</v>
      </c>
      <c r="S435" s="56" t="str">
        <f t="shared" si="15"/>
        <v>Rentabilidad $2,600,000</v>
      </c>
      <c r="T435" s="52" t="s">
        <v>78</v>
      </c>
      <c r="U435" s="142" t="s">
        <v>184</v>
      </c>
      <c r="V435" s="43" t="s">
        <v>118</v>
      </c>
      <c r="W435" s="43"/>
      <c r="X435" s="52">
        <v>9.0</v>
      </c>
      <c r="Y435" s="43" t="s">
        <v>80</v>
      </c>
      <c r="Z435" s="58" t="s">
        <v>81</v>
      </c>
      <c r="AA435" s="59" t="str">
        <f>IF(Rentabilidad=0,"No aplica",TEXT(ROUND(Precio/Rentabilidad/12,0),0) &amp; " años")</f>
        <v>13 años</v>
      </c>
      <c r="AB435" s="195"/>
      <c r="AC435" s="61"/>
      <c r="AD435" s="62"/>
      <c r="AE435" s="63"/>
      <c r="AF435" s="64" t="s">
        <v>84</v>
      </c>
      <c r="AG435" s="63"/>
      <c r="AH435" s="63"/>
      <c r="AI435" s="63"/>
      <c r="AJ435" s="64" t="s">
        <v>1834</v>
      </c>
      <c r="AK435" s="44"/>
      <c r="AL435" s="45" t="s">
        <v>109</v>
      </c>
      <c r="AM435" s="52">
        <v>3.158024789E9</v>
      </c>
      <c r="AN435" s="45">
        <v>0.0</v>
      </c>
      <c r="AO435" s="116" t="s">
        <v>2953</v>
      </c>
      <c r="AP435" s="67" t="s">
        <v>2954</v>
      </c>
      <c r="AQ435" s="67"/>
      <c r="AR435" s="67"/>
      <c r="AS435" s="135">
        <v>2600000.0</v>
      </c>
      <c r="AT435" s="44">
        <v>0.0</v>
      </c>
      <c r="AU435" s="52">
        <v>0.0</v>
      </c>
      <c r="AV435" s="52">
        <v>0.0</v>
      </c>
      <c r="AW435" s="43" t="s">
        <v>88</v>
      </c>
      <c r="AX435" s="52">
        <v>0.0</v>
      </c>
      <c r="AY435" s="52">
        <v>0.0</v>
      </c>
      <c r="AZ435" s="52">
        <v>0.0</v>
      </c>
      <c r="BA435" s="43" t="s">
        <v>89</v>
      </c>
      <c r="BB435" s="52">
        <v>0.0</v>
      </c>
      <c r="BC435" s="109"/>
      <c r="BD435" s="70"/>
      <c r="BE435" s="70"/>
      <c r="BF435" s="72"/>
      <c r="BG435" s="73"/>
      <c r="BH435" s="73"/>
      <c r="BI435" s="73"/>
      <c r="BJ435" s="73"/>
      <c r="BK435" s="73"/>
      <c r="BL435" s="73"/>
      <c r="BM435" s="73"/>
      <c r="BN435" s="73"/>
      <c r="BO435" s="73"/>
      <c r="BP435" s="73"/>
      <c r="BQ435" s="73"/>
      <c r="BR435" s="73"/>
      <c r="BS435" s="73"/>
      <c r="BT435" s="73"/>
      <c r="BU435" s="73"/>
      <c r="BV435" s="73"/>
      <c r="BW435" s="74"/>
      <c r="BX435" s="74"/>
      <c r="BY435" s="63"/>
      <c r="BZ435" s="63"/>
    </row>
    <row r="436" ht="15.75" customHeight="1">
      <c r="A436" s="120" t="s">
        <v>2955</v>
      </c>
      <c r="B436" s="122" t="s">
        <v>2956</v>
      </c>
      <c r="C436" s="43" t="s">
        <v>70</v>
      </c>
      <c r="D436" s="44" t="s">
        <v>2706</v>
      </c>
      <c r="E436" s="77" t="s">
        <v>376</v>
      </c>
      <c r="F436" s="47">
        <v>4.0E8</v>
      </c>
      <c r="G436" s="44" t="str">
        <f t="shared" si="16"/>
        <v>$400'000.000 a $500'000.000</v>
      </c>
      <c r="H436" s="44"/>
      <c r="I436" s="44"/>
      <c r="J436" s="50" t="s">
        <v>183</v>
      </c>
      <c r="K436" s="57"/>
      <c r="L436" s="52">
        <v>5.0</v>
      </c>
      <c r="M436" s="52"/>
      <c r="N436" s="52">
        <v>2.0</v>
      </c>
      <c r="O436" s="43">
        <v>1.0</v>
      </c>
      <c r="P436" s="52">
        <v>1.0</v>
      </c>
      <c r="Q436" s="54">
        <v>240.0</v>
      </c>
      <c r="R436" s="55">
        <v>0.0</v>
      </c>
      <c r="S436" s="56" t="str">
        <f t="shared" si="15"/>
        <v>Rentabilidad $1,000,000</v>
      </c>
      <c r="T436" s="52" t="s">
        <v>78</v>
      </c>
      <c r="U436" s="142" t="s">
        <v>184</v>
      </c>
      <c r="V436" s="43" t="s">
        <v>118</v>
      </c>
      <c r="W436" s="43"/>
      <c r="X436" s="52">
        <v>4.0</v>
      </c>
      <c r="Y436" s="43" t="s">
        <v>80</v>
      </c>
      <c r="Z436" s="58" t="s">
        <v>81</v>
      </c>
      <c r="AA436" s="59" t="str">
        <f>IF(Rentabilidad=0,"No aplica",TEXT(ROUND(Precio/Rentabilidad/12,0),0) &amp; " años")</f>
        <v>33 años</v>
      </c>
      <c r="AB436" s="60"/>
      <c r="AC436" s="61"/>
      <c r="AD436" s="62"/>
      <c r="AE436" s="63"/>
      <c r="AF436" s="64" t="s">
        <v>236</v>
      </c>
      <c r="AG436" s="63"/>
      <c r="AH436" s="63"/>
      <c r="AI436" s="63"/>
      <c r="AJ436" s="64" t="s">
        <v>1834</v>
      </c>
      <c r="AK436" s="44"/>
      <c r="AL436" s="45" t="s">
        <v>2624</v>
      </c>
      <c r="AM436" s="52">
        <v>3.184253743E9</v>
      </c>
      <c r="AN436" s="45">
        <v>3.124271141E9</v>
      </c>
      <c r="AO436" s="52" t="s">
        <v>2957</v>
      </c>
      <c r="AP436" s="67" t="s">
        <v>2958</v>
      </c>
      <c r="AQ436" s="67"/>
      <c r="AR436" s="67"/>
      <c r="AS436" s="135">
        <v>1000000.0</v>
      </c>
      <c r="AT436" s="44">
        <v>0.0</v>
      </c>
      <c r="AU436" s="52">
        <v>0.0</v>
      </c>
      <c r="AV436" s="52">
        <v>0.0</v>
      </c>
      <c r="AW436" s="43" t="s">
        <v>88</v>
      </c>
      <c r="AX436" s="52">
        <v>0.0</v>
      </c>
      <c r="AY436" s="52">
        <v>0.0</v>
      </c>
      <c r="AZ436" s="52">
        <v>0.0</v>
      </c>
      <c r="BA436" s="43" t="s">
        <v>89</v>
      </c>
      <c r="BB436" s="52">
        <v>0.0</v>
      </c>
      <c r="BC436" s="69" t="s">
        <v>600</v>
      </c>
      <c r="BD436" s="70"/>
      <c r="BE436" s="71"/>
      <c r="BF436" s="72"/>
      <c r="BG436" s="73"/>
      <c r="BH436" s="73"/>
      <c r="BI436" s="73"/>
      <c r="BJ436" s="73"/>
      <c r="BK436" s="73"/>
      <c r="BL436" s="73"/>
      <c r="BM436" s="73"/>
      <c r="BN436" s="73"/>
      <c r="BO436" s="73"/>
      <c r="BP436" s="73"/>
      <c r="BQ436" s="73"/>
      <c r="BR436" s="73"/>
      <c r="BS436" s="73"/>
      <c r="BT436" s="73"/>
      <c r="BU436" s="73"/>
      <c r="BV436" s="73"/>
      <c r="BW436" s="74"/>
      <c r="BX436" s="74"/>
      <c r="BY436" s="63"/>
      <c r="BZ436" s="63"/>
    </row>
    <row r="437" ht="15.75" customHeight="1">
      <c r="A437" s="120" t="s">
        <v>2959</v>
      </c>
      <c r="B437" s="112" t="s">
        <v>2960</v>
      </c>
      <c r="C437" s="50" t="s">
        <v>271</v>
      </c>
      <c r="D437" s="43" t="s">
        <v>2961</v>
      </c>
      <c r="E437" s="77" t="s">
        <v>376</v>
      </c>
      <c r="F437" s="47">
        <v>4.0E8</v>
      </c>
      <c r="G437" s="44" t="str">
        <f t="shared" si="16"/>
        <v>$400'000.000 a $500'000.000</v>
      </c>
      <c r="H437" s="44"/>
      <c r="I437" s="44"/>
      <c r="J437" s="43" t="s">
        <v>183</v>
      </c>
      <c r="K437" s="56"/>
      <c r="L437" s="52">
        <v>2.0</v>
      </c>
      <c r="M437" s="52"/>
      <c r="N437" s="52">
        <v>3.0</v>
      </c>
      <c r="O437" s="43">
        <v>2.0</v>
      </c>
      <c r="P437" s="52">
        <v>1.0</v>
      </c>
      <c r="Q437" s="54"/>
      <c r="R437" s="55">
        <v>176.0</v>
      </c>
      <c r="S437" s="56" t="str">
        <f t="shared" si="15"/>
        <v>Rentabilidad $3,000,000</v>
      </c>
      <c r="T437" s="52" t="s">
        <v>78</v>
      </c>
      <c r="U437" s="142" t="s">
        <v>184</v>
      </c>
      <c r="V437" s="43" t="s">
        <v>79</v>
      </c>
      <c r="W437" s="43"/>
      <c r="X437" s="52">
        <v>1.0</v>
      </c>
      <c r="Y437" s="43" t="s">
        <v>80</v>
      </c>
      <c r="Z437" s="58" t="s">
        <v>81</v>
      </c>
      <c r="AA437" s="59" t="str">
        <f>IF(Rentabilidad=0,"No aplica",TEXT(ROUND(Precio/Rentabilidad/12,0),0) &amp; " años")</f>
        <v>11 años</v>
      </c>
      <c r="AB437" s="60"/>
      <c r="AC437" s="61"/>
      <c r="AD437" s="62"/>
      <c r="AE437" s="63"/>
      <c r="AF437" s="45" t="s">
        <v>105</v>
      </c>
      <c r="AG437" s="63"/>
      <c r="AH437" s="65" t="s">
        <v>45</v>
      </c>
      <c r="AI437" s="63"/>
      <c r="AJ437" s="64" t="s">
        <v>1834</v>
      </c>
      <c r="AK437" s="44"/>
      <c r="AL437" s="45" t="s">
        <v>86</v>
      </c>
      <c r="AM437" s="52">
        <v>3.187934219E9</v>
      </c>
      <c r="AN437" s="45">
        <v>3.16617518E9</v>
      </c>
      <c r="AO437" s="52" t="s">
        <v>2962</v>
      </c>
      <c r="AP437" s="67" t="s">
        <v>2963</v>
      </c>
      <c r="AQ437" s="67"/>
      <c r="AR437" s="67"/>
      <c r="AS437" s="135">
        <v>3000000.0</v>
      </c>
      <c r="AT437" s="44">
        <v>0.0</v>
      </c>
      <c r="AU437" s="52">
        <v>0.0</v>
      </c>
      <c r="AV437" s="52">
        <v>0.0</v>
      </c>
      <c r="AW437" s="43" t="s">
        <v>88</v>
      </c>
      <c r="AX437" s="52">
        <v>0.0</v>
      </c>
      <c r="AY437" s="52">
        <v>0.0</v>
      </c>
      <c r="AZ437" s="52">
        <v>8.0</v>
      </c>
      <c r="BA437" s="43" t="s">
        <v>89</v>
      </c>
      <c r="BB437" s="52">
        <v>22.0</v>
      </c>
      <c r="BC437" s="95" t="s">
        <v>2626</v>
      </c>
      <c r="BD437" s="71"/>
      <c r="BE437" s="71"/>
      <c r="BF437" s="72"/>
      <c r="BG437" s="73"/>
      <c r="BH437" s="73"/>
      <c r="BI437" s="73"/>
      <c r="BJ437" s="73"/>
      <c r="BK437" s="73"/>
      <c r="BL437" s="73"/>
      <c r="BM437" s="73"/>
      <c r="BN437" s="73"/>
      <c r="BO437" s="73"/>
      <c r="BP437" s="73"/>
      <c r="BQ437" s="73"/>
      <c r="BR437" s="73"/>
      <c r="BS437" s="73"/>
      <c r="BT437" s="73"/>
      <c r="BU437" s="73"/>
      <c r="BV437" s="73"/>
      <c r="BW437" s="74"/>
      <c r="BX437" s="74"/>
      <c r="BY437" s="63"/>
      <c r="BZ437" s="63"/>
    </row>
    <row r="438" ht="15.75" customHeight="1">
      <c r="A438" s="120" t="s">
        <v>2964</v>
      </c>
      <c r="B438" s="122" t="s">
        <v>2825</v>
      </c>
      <c r="C438" s="43" t="s">
        <v>70</v>
      </c>
      <c r="D438" s="52" t="s">
        <v>163</v>
      </c>
      <c r="E438" s="77" t="s">
        <v>376</v>
      </c>
      <c r="F438" s="47">
        <v>4.0E8</v>
      </c>
      <c r="G438" s="44" t="str">
        <f t="shared" si="16"/>
        <v>$400'000.000 a $500'000.000</v>
      </c>
      <c r="H438" s="44"/>
      <c r="I438" s="44"/>
      <c r="J438" s="43" t="s">
        <v>76</v>
      </c>
      <c r="K438" s="56" t="s">
        <v>77</v>
      </c>
      <c r="L438" s="52">
        <v>7.0</v>
      </c>
      <c r="M438" s="52"/>
      <c r="N438" s="52">
        <v>2.0</v>
      </c>
      <c r="O438" s="43">
        <v>1.0</v>
      </c>
      <c r="P438" s="52">
        <v>1.0</v>
      </c>
      <c r="Q438" s="54">
        <v>400.0</v>
      </c>
      <c r="R438" s="55">
        <v>480.0</v>
      </c>
      <c r="S438" s="56" t="str">
        <f t="shared" si="15"/>
        <v>Rentabilidad $1,000,000</v>
      </c>
      <c r="T438" s="52" t="s">
        <v>78</v>
      </c>
      <c r="U438" s="142" t="s">
        <v>184</v>
      </c>
      <c r="V438" s="43" t="s">
        <v>79</v>
      </c>
      <c r="W438" s="43"/>
      <c r="X438" s="52">
        <v>0.0</v>
      </c>
      <c r="Y438" s="43" t="s">
        <v>80</v>
      </c>
      <c r="Z438" s="58" t="s">
        <v>81</v>
      </c>
      <c r="AA438" s="59" t="str">
        <f>IF(Rentabilidad=0,"No aplica",TEXT(ROUND(Precio/Rentabilidad/12,0),0) &amp; " años")</f>
        <v>33 años</v>
      </c>
      <c r="AB438" s="172" t="s">
        <v>2303</v>
      </c>
      <c r="AC438" s="61"/>
      <c r="AD438" s="62"/>
      <c r="AE438" s="63"/>
      <c r="AF438" s="64" t="s">
        <v>84</v>
      </c>
      <c r="AG438" s="63"/>
      <c r="AH438" s="65" t="s">
        <v>45</v>
      </c>
      <c r="AI438" s="63"/>
      <c r="AJ438" s="64" t="s">
        <v>1834</v>
      </c>
      <c r="AK438" s="44"/>
      <c r="AL438" s="45" t="s">
        <v>86</v>
      </c>
      <c r="AM438" s="52">
        <v>3.214538234E9</v>
      </c>
      <c r="AN438" s="45">
        <v>0.0</v>
      </c>
      <c r="AO438" s="44"/>
      <c r="AP438" s="67" t="s">
        <v>2965</v>
      </c>
      <c r="AQ438" s="67"/>
      <c r="AR438" s="67"/>
      <c r="AS438" s="135">
        <v>1000000.0</v>
      </c>
      <c r="AT438" s="44">
        <v>0.0</v>
      </c>
      <c r="AU438" s="52">
        <v>0.0</v>
      </c>
      <c r="AV438" s="52">
        <v>0.0</v>
      </c>
      <c r="AW438" s="43" t="s">
        <v>88</v>
      </c>
      <c r="AX438" s="52">
        <v>0.0</v>
      </c>
      <c r="AY438" s="52">
        <v>0.0</v>
      </c>
      <c r="AZ438" s="52">
        <v>12.0</v>
      </c>
      <c r="BA438" s="43" t="s">
        <v>89</v>
      </c>
      <c r="BB438" s="52">
        <v>40.0</v>
      </c>
      <c r="BC438" s="109"/>
      <c r="BD438" s="70"/>
      <c r="BE438" s="71"/>
      <c r="BF438" s="72" t="s">
        <v>2308</v>
      </c>
      <c r="BG438" s="73"/>
      <c r="BH438" s="73"/>
      <c r="BI438" s="73"/>
      <c r="BJ438" s="73"/>
      <c r="BK438" s="73"/>
      <c r="BL438" s="73"/>
      <c r="BM438" s="73"/>
      <c r="BN438" s="73"/>
      <c r="BO438" s="73"/>
      <c r="BP438" s="73"/>
      <c r="BQ438" s="73"/>
      <c r="BR438" s="73"/>
      <c r="BS438" s="73"/>
      <c r="BT438" s="73"/>
      <c r="BU438" s="73"/>
      <c r="BV438" s="73"/>
      <c r="BW438" s="74"/>
      <c r="BX438" s="74"/>
      <c r="BY438" s="63"/>
      <c r="BZ438" s="63"/>
    </row>
    <row r="439" ht="15.75" customHeight="1">
      <c r="A439" s="120" t="s">
        <v>2966</v>
      </c>
      <c r="B439" s="112" t="s">
        <v>2414</v>
      </c>
      <c r="C439" s="50" t="s">
        <v>271</v>
      </c>
      <c r="D439" s="44" t="s">
        <v>11</v>
      </c>
      <c r="E439" s="77" t="s">
        <v>376</v>
      </c>
      <c r="F439" s="47">
        <v>4.0E8</v>
      </c>
      <c r="G439" s="44" t="str">
        <f t="shared" si="16"/>
        <v>$400'000.000 a $500'000.000</v>
      </c>
      <c r="H439" s="44"/>
      <c r="I439" s="44"/>
      <c r="J439" s="50" t="s">
        <v>183</v>
      </c>
      <c r="K439" s="51" t="s">
        <v>184</v>
      </c>
      <c r="L439" s="44">
        <v>6.0</v>
      </c>
      <c r="M439" s="44"/>
      <c r="N439" s="44">
        <v>3.0</v>
      </c>
      <c r="O439" s="50">
        <v>5.0</v>
      </c>
      <c r="P439" s="44">
        <v>1.0</v>
      </c>
      <c r="Q439" s="113">
        <v>200.0</v>
      </c>
      <c r="R439" s="79">
        <v>200.0</v>
      </c>
      <c r="S439" s="56" t="str">
        <f t="shared" si="15"/>
        <v>Rentabilidad $1,900,000</v>
      </c>
      <c r="T439" s="44" t="s">
        <v>78</v>
      </c>
      <c r="U439" s="57" t="s">
        <v>184</v>
      </c>
      <c r="V439" s="50" t="s">
        <v>118</v>
      </c>
      <c r="W439" s="50"/>
      <c r="X439" s="44">
        <v>6.0</v>
      </c>
      <c r="Y439" s="94" t="s">
        <v>80</v>
      </c>
      <c r="Z439" s="80" t="s">
        <v>81</v>
      </c>
      <c r="AA439" s="59" t="str">
        <f>IF(Rentabilidad=0,"No aplica",TEXT(ROUND(Precio/Rentabilidad/12,0),0) &amp; " años")</f>
        <v>18 años</v>
      </c>
      <c r="AB439" s="60"/>
      <c r="AC439" s="61"/>
      <c r="AD439" s="62"/>
      <c r="AE439" s="63"/>
      <c r="AF439" s="45" t="s">
        <v>105</v>
      </c>
      <c r="AG439" s="63"/>
      <c r="AH439" s="65" t="s">
        <v>45</v>
      </c>
      <c r="AI439" s="63"/>
      <c r="AJ439" s="64" t="s">
        <v>1834</v>
      </c>
      <c r="AK439" s="44"/>
      <c r="AL439" s="45" t="s">
        <v>2967</v>
      </c>
      <c r="AM439" s="52">
        <v>3.178705203E9</v>
      </c>
      <c r="AN439" s="45">
        <v>3.15775292E9</v>
      </c>
      <c r="AO439" s="52" t="s">
        <v>2968</v>
      </c>
      <c r="AP439" s="67" t="s">
        <v>2969</v>
      </c>
      <c r="AQ439" s="67"/>
      <c r="AR439" s="67"/>
      <c r="AS439" s="68">
        <v>1900000.0</v>
      </c>
      <c r="AT439" s="44">
        <v>0.0</v>
      </c>
      <c r="AU439" s="52">
        <v>0.0</v>
      </c>
      <c r="AV439" s="52">
        <v>2.0</v>
      </c>
      <c r="AW439" s="43" t="s">
        <v>88</v>
      </c>
      <c r="AX439" s="52">
        <v>0.0</v>
      </c>
      <c r="AY439" s="52">
        <v>0.0</v>
      </c>
      <c r="AZ439" s="44">
        <v>10.0</v>
      </c>
      <c r="BA439" s="43" t="s">
        <v>89</v>
      </c>
      <c r="BB439" s="44">
        <v>20.0</v>
      </c>
      <c r="BC439" s="95" t="s">
        <v>2970</v>
      </c>
      <c r="BD439" s="71"/>
      <c r="BE439" s="71"/>
      <c r="BF439" s="72"/>
      <c r="BG439" s="73"/>
      <c r="BH439" s="73"/>
      <c r="BI439" s="73"/>
      <c r="BJ439" s="73"/>
      <c r="BK439" s="73"/>
      <c r="BL439" s="73"/>
      <c r="BM439" s="73"/>
      <c r="BN439" s="73"/>
      <c r="BO439" s="73"/>
      <c r="BP439" s="73"/>
      <c r="BQ439" s="73"/>
      <c r="BR439" s="73"/>
      <c r="BS439" s="73"/>
      <c r="BT439" s="73"/>
      <c r="BU439" s="73"/>
      <c r="BV439" s="73"/>
      <c r="BW439" s="74"/>
      <c r="BX439" s="74"/>
      <c r="BY439" s="63"/>
      <c r="BZ439" s="63"/>
    </row>
    <row r="440" ht="15.75" customHeight="1">
      <c r="A440" s="75" t="s">
        <v>2971</v>
      </c>
      <c r="B440" s="112" t="s">
        <v>2972</v>
      </c>
      <c r="C440" s="43" t="s">
        <v>315</v>
      </c>
      <c r="D440" s="44" t="s">
        <v>389</v>
      </c>
      <c r="E440" s="77" t="s">
        <v>376</v>
      </c>
      <c r="F440" s="47">
        <v>4.0E8</v>
      </c>
      <c r="G440" s="44" t="str">
        <f t="shared" si="16"/>
        <v>$400'000.000 a $500'000.000</v>
      </c>
      <c r="H440" s="44"/>
      <c r="I440" s="44"/>
      <c r="J440" s="50" t="s">
        <v>76</v>
      </c>
      <c r="K440" s="56" t="s">
        <v>77</v>
      </c>
      <c r="L440" s="44">
        <v>0.0</v>
      </c>
      <c r="M440" s="44"/>
      <c r="N440" s="44">
        <v>0.0</v>
      </c>
      <c r="O440" s="44">
        <v>0.0</v>
      </c>
      <c r="P440" s="44">
        <v>1.0</v>
      </c>
      <c r="Q440" s="113"/>
      <c r="R440" s="79">
        <v>250.0</v>
      </c>
      <c r="S440" s="56" t="str">
        <f t="shared" si="15"/>
        <v> </v>
      </c>
      <c r="T440" s="44" t="s">
        <v>78</v>
      </c>
      <c r="U440" s="57" t="s">
        <v>77</v>
      </c>
      <c r="V440" s="50" t="s">
        <v>79</v>
      </c>
      <c r="W440" s="50"/>
      <c r="X440" s="44">
        <v>0.0</v>
      </c>
      <c r="Y440" s="50" t="s">
        <v>80</v>
      </c>
      <c r="Z440" s="58" t="s">
        <v>81</v>
      </c>
      <c r="AA440" s="59" t="str">
        <f>IF(Rentabilidad=0,"No aplica",TEXT(ROUND(Precio/Rentabilidad/12,0),0) &amp; " años")</f>
        <v>No aplica</v>
      </c>
      <c r="AB440" s="195"/>
      <c r="AC440" s="61"/>
      <c r="AD440" s="62"/>
      <c r="AE440" s="63"/>
      <c r="AF440" s="45" t="s">
        <v>96</v>
      </c>
      <c r="AG440" s="63"/>
      <c r="AH440" s="65" t="s">
        <v>45</v>
      </c>
      <c r="AI440" s="63"/>
      <c r="AJ440" s="64" t="s">
        <v>1834</v>
      </c>
      <c r="AK440" s="44"/>
      <c r="AL440" s="45" t="s">
        <v>86</v>
      </c>
      <c r="AM440" s="52">
        <v>3.102131274E9</v>
      </c>
      <c r="AN440" s="45">
        <v>3.115159413E9</v>
      </c>
      <c r="AO440" s="52" t="s">
        <v>2973</v>
      </c>
      <c r="AP440" s="67" t="s">
        <v>2974</v>
      </c>
      <c r="AQ440" s="67"/>
      <c r="AR440" s="67"/>
      <c r="AS440" s="68">
        <v>0.0</v>
      </c>
      <c r="AT440" s="44">
        <v>0.0</v>
      </c>
      <c r="AU440" s="52">
        <v>0.0</v>
      </c>
      <c r="AV440" s="52">
        <v>0.0</v>
      </c>
      <c r="AW440" s="43" t="s">
        <v>88</v>
      </c>
      <c r="AX440" s="52">
        <v>0.0</v>
      </c>
      <c r="AY440" s="52">
        <v>0.0</v>
      </c>
      <c r="AZ440" s="44">
        <v>0.0</v>
      </c>
      <c r="BA440" s="43" t="s">
        <v>89</v>
      </c>
      <c r="BB440" s="44">
        <v>0.0</v>
      </c>
      <c r="BC440" s="69" t="s">
        <v>2975</v>
      </c>
      <c r="BD440" s="70"/>
      <c r="BE440" s="71"/>
      <c r="BF440" s="72"/>
      <c r="BG440" s="73"/>
      <c r="BH440" s="73"/>
      <c r="BI440" s="73"/>
      <c r="BJ440" s="73"/>
      <c r="BK440" s="73"/>
      <c r="BL440" s="73"/>
      <c r="BM440" s="73"/>
      <c r="BN440" s="73"/>
      <c r="BO440" s="73"/>
      <c r="BP440" s="73"/>
      <c r="BQ440" s="73"/>
      <c r="BR440" s="73"/>
      <c r="BS440" s="73"/>
      <c r="BT440" s="73"/>
      <c r="BU440" s="73"/>
      <c r="BV440" s="73"/>
      <c r="BW440" s="74"/>
      <c r="BX440" s="74"/>
      <c r="BY440" s="63"/>
      <c r="BZ440" s="63"/>
    </row>
    <row r="441" ht="15.75" customHeight="1">
      <c r="A441" s="133" t="s">
        <v>2976</v>
      </c>
      <c r="B441" s="50" t="s">
        <v>436</v>
      </c>
      <c r="C441" s="50" t="s">
        <v>70</v>
      </c>
      <c r="D441" s="50" t="s">
        <v>11</v>
      </c>
      <c r="E441" s="77"/>
      <c r="F441" s="78">
        <v>4.0E8</v>
      </c>
      <c r="G441" s="44" t="str">
        <f t="shared" si="16"/>
        <v>$400'000.000 a $500'000.000</v>
      </c>
      <c r="H441" s="44"/>
      <c r="I441" s="44"/>
      <c r="J441" s="50" t="s">
        <v>183</v>
      </c>
      <c r="K441" s="51" t="s">
        <v>184</v>
      </c>
      <c r="L441" s="50">
        <v>6.0</v>
      </c>
      <c r="M441" s="50"/>
      <c r="N441" s="50">
        <v>2.0</v>
      </c>
      <c r="O441" s="50">
        <v>1.0</v>
      </c>
      <c r="P441" s="50">
        <v>1.0</v>
      </c>
      <c r="Q441" s="88"/>
      <c r="R441" s="88">
        <v>280.0</v>
      </c>
      <c r="S441" s="56" t="str">
        <f t="shared" si="15"/>
        <v> </v>
      </c>
      <c r="T441" s="50" t="s">
        <v>78</v>
      </c>
      <c r="U441" s="51" t="s">
        <v>184</v>
      </c>
      <c r="V441" s="50" t="s">
        <v>79</v>
      </c>
      <c r="W441" s="50"/>
      <c r="X441" s="50"/>
      <c r="Y441" s="43" t="s">
        <v>80</v>
      </c>
      <c r="Z441" s="58" t="s">
        <v>81</v>
      </c>
      <c r="AA441" s="81" t="s">
        <v>81</v>
      </c>
      <c r="AB441" s="123"/>
      <c r="AC441" s="124"/>
      <c r="AD441" s="125"/>
      <c r="AE441" s="63"/>
      <c r="AF441" s="64" t="s">
        <v>105</v>
      </c>
      <c r="AG441" s="65"/>
      <c r="AH441" s="65" t="s">
        <v>45</v>
      </c>
      <c r="AI441" s="65"/>
      <c r="AJ441" s="64" t="s">
        <v>1834</v>
      </c>
      <c r="AK441" s="50"/>
      <c r="AL441" s="45"/>
      <c r="AM441" s="52"/>
      <c r="AN441" s="45"/>
      <c r="AO441" s="43"/>
      <c r="AP441" s="84"/>
      <c r="AQ441" s="84"/>
      <c r="AR441" s="84"/>
      <c r="AS441" s="85"/>
      <c r="AT441" s="50">
        <v>0.0</v>
      </c>
      <c r="AU441" s="50">
        <v>0.0</v>
      </c>
      <c r="AV441" s="50">
        <v>0.0</v>
      </c>
      <c r="AW441" s="50" t="s">
        <v>106</v>
      </c>
      <c r="AX441" s="50"/>
      <c r="AY441" s="50" t="s">
        <v>247</v>
      </c>
      <c r="AZ441" s="44"/>
      <c r="BA441" s="43" t="s">
        <v>89</v>
      </c>
      <c r="BB441" s="44"/>
      <c r="BC441" s="109"/>
      <c r="BD441" s="70"/>
      <c r="BE441" s="70"/>
      <c r="BF441" s="72"/>
      <c r="BG441" s="73"/>
      <c r="BH441" s="73"/>
      <c r="BI441" s="73"/>
      <c r="BJ441" s="73"/>
      <c r="BK441" s="73"/>
      <c r="BL441" s="73"/>
      <c r="BM441" s="73"/>
      <c r="BN441" s="73"/>
      <c r="BO441" s="73"/>
      <c r="BP441" s="73"/>
      <c r="BQ441" s="73"/>
      <c r="BR441" s="73"/>
      <c r="BS441" s="73"/>
      <c r="BT441" s="73"/>
      <c r="BU441" s="73"/>
      <c r="BV441" s="73"/>
      <c r="BW441" s="74"/>
      <c r="BX441" s="74"/>
      <c r="BY441" s="63"/>
      <c r="BZ441" s="63"/>
    </row>
    <row r="442" ht="15.75" customHeight="1">
      <c r="A442" s="120" t="s">
        <v>2977</v>
      </c>
      <c r="B442" s="122" t="s">
        <v>2978</v>
      </c>
      <c r="C442" s="50" t="s">
        <v>573</v>
      </c>
      <c r="D442" s="43" t="s">
        <v>193</v>
      </c>
      <c r="E442" s="45"/>
      <c r="F442" s="47">
        <v>3.9E8</v>
      </c>
      <c r="G442" s="44" t="str">
        <f t="shared" si="16"/>
        <v>$300'000.000 a $400'000.000</v>
      </c>
      <c r="H442" s="44"/>
      <c r="I442" s="44"/>
      <c r="J442" s="43" t="s">
        <v>76</v>
      </c>
      <c r="K442" s="56" t="s">
        <v>77</v>
      </c>
      <c r="L442" s="52">
        <v>4.0</v>
      </c>
      <c r="M442" s="52"/>
      <c r="N442" s="52">
        <v>2.0</v>
      </c>
      <c r="O442" s="43">
        <v>2.0</v>
      </c>
      <c r="P442" s="43">
        <v>1.0</v>
      </c>
      <c r="Q442" s="54">
        <v>177.0</v>
      </c>
      <c r="R442" s="55">
        <v>177.0</v>
      </c>
      <c r="S442" s="56" t="str">
        <f t="shared" si="15"/>
        <v> </v>
      </c>
      <c r="T442" s="52" t="s">
        <v>78</v>
      </c>
      <c r="U442" s="142" t="s">
        <v>117</v>
      </c>
      <c r="V442" s="52"/>
      <c r="W442" s="52"/>
      <c r="X442" s="52">
        <v>3.0</v>
      </c>
      <c r="Y442" s="43" t="s">
        <v>119</v>
      </c>
      <c r="Z442" s="151">
        <v>400000.0</v>
      </c>
      <c r="AA442" s="59" t="str">
        <f>IF(Rentabilidad=0,"No aplica",TEXT(ROUND(Precio/Rentabilidad/12,0),0) &amp; " años")</f>
        <v>No aplica</v>
      </c>
      <c r="AB442" s="60"/>
      <c r="AC442" s="131" t="s">
        <v>2979</v>
      </c>
      <c r="AD442" s="62"/>
      <c r="AE442" s="63"/>
      <c r="AF442" s="45" t="s">
        <v>105</v>
      </c>
      <c r="AG442" s="63"/>
      <c r="AH442" s="65" t="s">
        <v>45</v>
      </c>
      <c r="AI442" s="63"/>
      <c r="AJ442" s="64" t="s">
        <v>1834</v>
      </c>
      <c r="AK442" s="44"/>
      <c r="AL442" s="45" t="s">
        <v>109</v>
      </c>
      <c r="AM442" s="52">
        <v>3.182817926E9</v>
      </c>
      <c r="AN442" s="45">
        <v>0.0</v>
      </c>
      <c r="AO442" s="52" t="s">
        <v>2980</v>
      </c>
      <c r="AP442" s="67" t="s">
        <v>2981</v>
      </c>
      <c r="AQ442" s="67"/>
      <c r="AR442" s="67"/>
      <c r="AS442" s="135">
        <v>0.0</v>
      </c>
      <c r="AT442" s="44">
        <v>0.0</v>
      </c>
      <c r="AU442" s="52">
        <v>0.0</v>
      </c>
      <c r="AV442" s="52">
        <v>0.0</v>
      </c>
      <c r="AW442" s="43" t="s">
        <v>88</v>
      </c>
      <c r="AX442" s="52">
        <v>0.0</v>
      </c>
      <c r="AY442" s="52">
        <v>0.0</v>
      </c>
      <c r="AZ442" s="52">
        <v>0.0</v>
      </c>
      <c r="BA442" s="43" t="s">
        <v>89</v>
      </c>
      <c r="BB442" s="52">
        <v>0.0</v>
      </c>
      <c r="BC442" s="109"/>
      <c r="BD442" s="70"/>
      <c r="BE442" s="71"/>
      <c r="BF442" s="72"/>
      <c r="BG442" s="73"/>
      <c r="BH442" s="73"/>
      <c r="BI442" s="73"/>
      <c r="BJ442" s="73"/>
      <c r="BK442" s="73"/>
      <c r="BL442" s="73"/>
      <c r="BM442" s="73"/>
      <c r="BN442" s="73"/>
      <c r="BO442" s="73"/>
      <c r="BP442" s="73"/>
      <c r="BQ442" s="73"/>
      <c r="BR442" s="73"/>
      <c r="BS442" s="73"/>
      <c r="BT442" s="73"/>
      <c r="BU442" s="73"/>
      <c r="BV442" s="73"/>
      <c r="BW442" s="74"/>
      <c r="BX442" s="74"/>
      <c r="BY442" s="63"/>
      <c r="BZ442" s="63"/>
    </row>
    <row r="443" ht="15.75" customHeight="1">
      <c r="A443" s="41" t="s">
        <v>2982</v>
      </c>
      <c r="B443" s="122" t="s">
        <v>429</v>
      </c>
      <c r="C443" s="43" t="s">
        <v>70</v>
      </c>
      <c r="D443" s="52" t="s">
        <v>430</v>
      </c>
      <c r="E443" s="77" t="s">
        <v>376</v>
      </c>
      <c r="F443" s="47">
        <v>3.9E8</v>
      </c>
      <c r="G443" s="44" t="str">
        <f t="shared" si="16"/>
        <v>$300'000.000 a $400'000.000</v>
      </c>
      <c r="H443" s="44"/>
      <c r="I443" s="44"/>
      <c r="J443" s="50" t="s">
        <v>183</v>
      </c>
      <c r="K443" s="56" t="s">
        <v>184</v>
      </c>
      <c r="L443" s="52">
        <v>4.0</v>
      </c>
      <c r="M443" s="52"/>
      <c r="N443" s="52">
        <v>2.0</v>
      </c>
      <c r="O443" s="43">
        <v>4.0</v>
      </c>
      <c r="P443" s="52">
        <v>2.0</v>
      </c>
      <c r="Q443" s="54"/>
      <c r="R443" s="55">
        <v>162.0</v>
      </c>
      <c r="S443" s="56" t="str">
        <f t="shared" si="15"/>
        <v> </v>
      </c>
      <c r="T443" s="52" t="s">
        <v>78</v>
      </c>
      <c r="U443" s="142" t="s">
        <v>77</v>
      </c>
      <c r="V443" s="43" t="s">
        <v>118</v>
      </c>
      <c r="W443" s="43"/>
      <c r="X443" s="52">
        <v>0.0</v>
      </c>
      <c r="Y443" s="43" t="s">
        <v>80</v>
      </c>
      <c r="Z443" s="58" t="s">
        <v>81</v>
      </c>
      <c r="AA443" s="59" t="str">
        <f>IF(Rentabilidad=0,"No aplica",TEXT(ROUND(Precio/Rentabilidad/12,0),0) &amp; " años")</f>
        <v>No aplica</v>
      </c>
      <c r="AB443" s="195"/>
      <c r="AC443" s="61"/>
      <c r="AD443" s="62"/>
      <c r="AE443" s="63"/>
      <c r="AF443" s="45" t="s">
        <v>105</v>
      </c>
      <c r="AG443" s="63"/>
      <c r="AH443" s="65" t="s">
        <v>45</v>
      </c>
      <c r="AI443" s="63"/>
      <c r="AJ443" s="64" t="s">
        <v>1834</v>
      </c>
      <c r="AK443" s="44"/>
      <c r="AL443" s="45" t="s">
        <v>109</v>
      </c>
      <c r="AM443" s="52">
        <v>3.10251239E9</v>
      </c>
      <c r="AN443" s="45">
        <v>0.0</v>
      </c>
      <c r="AO443" s="52" t="s">
        <v>2983</v>
      </c>
      <c r="AP443" s="67" t="s">
        <v>2984</v>
      </c>
      <c r="AQ443" s="67"/>
      <c r="AR443" s="67"/>
      <c r="AS443" s="135">
        <v>0.0</v>
      </c>
      <c r="AT443" s="44">
        <v>0.0</v>
      </c>
      <c r="AU443" s="52">
        <v>0.0</v>
      </c>
      <c r="AV443" s="52">
        <v>0.0</v>
      </c>
      <c r="AW443" s="43" t="s">
        <v>88</v>
      </c>
      <c r="AX443" s="52">
        <v>0.0</v>
      </c>
      <c r="AY443" s="52">
        <v>0.0</v>
      </c>
      <c r="AZ443" s="52">
        <v>0.0</v>
      </c>
      <c r="BA443" s="43" t="s">
        <v>89</v>
      </c>
      <c r="BB443" s="52">
        <v>0.0</v>
      </c>
      <c r="BC443" s="109"/>
      <c r="BD443" s="70"/>
      <c r="BE443" s="71"/>
      <c r="BF443" s="130"/>
      <c r="BG443" s="73"/>
      <c r="BH443" s="73"/>
      <c r="BI443" s="73"/>
      <c r="BJ443" s="73"/>
      <c r="BK443" s="73"/>
      <c r="BL443" s="73"/>
      <c r="BM443" s="73"/>
      <c r="BN443" s="73"/>
      <c r="BO443" s="73"/>
      <c r="BP443" s="73"/>
      <c r="BQ443" s="73"/>
      <c r="BR443" s="73"/>
      <c r="BS443" s="73"/>
      <c r="BT443" s="73"/>
      <c r="BU443" s="73"/>
      <c r="BV443" s="73"/>
      <c r="BW443" s="74"/>
      <c r="BX443" s="74"/>
      <c r="BY443" s="63"/>
      <c r="BZ443" s="63"/>
    </row>
    <row r="444" ht="15.75" customHeight="1">
      <c r="A444" s="41" t="s">
        <v>2985</v>
      </c>
      <c r="B444" s="122" t="s">
        <v>2243</v>
      </c>
      <c r="C444" s="43" t="s">
        <v>70</v>
      </c>
      <c r="D444" s="44" t="s">
        <v>2679</v>
      </c>
      <c r="E444" s="45"/>
      <c r="F444" s="47">
        <v>3.8E8</v>
      </c>
      <c r="G444" s="44" t="str">
        <f t="shared" si="16"/>
        <v>$300'000.000 a $400'000.000</v>
      </c>
      <c r="H444" s="44"/>
      <c r="I444" s="44"/>
      <c r="J444" s="50" t="s">
        <v>183</v>
      </c>
      <c r="K444" s="51" t="s">
        <v>184</v>
      </c>
      <c r="L444" s="44">
        <v>5.0</v>
      </c>
      <c r="M444" s="44"/>
      <c r="N444" s="44">
        <v>3.0</v>
      </c>
      <c r="O444" s="50">
        <v>1.0</v>
      </c>
      <c r="P444" s="44">
        <v>1.0</v>
      </c>
      <c r="Q444" s="113">
        <v>198.0</v>
      </c>
      <c r="R444" s="79">
        <v>198.0</v>
      </c>
      <c r="S444" s="56" t="str">
        <f t="shared" si="15"/>
        <v> </v>
      </c>
      <c r="T444" s="52" t="s">
        <v>78</v>
      </c>
      <c r="U444" s="142" t="s">
        <v>184</v>
      </c>
      <c r="V444" s="65" t="s">
        <v>79</v>
      </c>
      <c r="W444" s="65"/>
      <c r="X444" s="63">
        <v>0.0</v>
      </c>
      <c r="Y444" s="65" t="s">
        <v>80</v>
      </c>
      <c r="Z444" s="58" t="s">
        <v>81</v>
      </c>
      <c r="AA444" s="59" t="str">
        <f>IF(Rentabilidad=0,"No aplica",TEXT(ROUND(Precio/Rentabilidad/12,0),0) &amp; " años")</f>
        <v>No aplica</v>
      </c>
      <c r="AB444" s="195"/>
      <c r="AC444" s="61"/>
      <c r="AD444" s="62"/>
      <c r="AE444" s="63"/>
      <c r="AF444" s="45" t="s">
        <v>105</v>
      </c>
      <c r="AG444" s="63"/>
      <c r="AH444" s="65" t="s">
        <v>45</v>
      </c>
      <c r="AI444" s="63"/>
      <c r="AJ444" s="64" t="s">
        <v>1834</v>
      </c>
      <c r="AK444" s="44"/>
      <c r="AL444" s="45" t="s">
        <v>2986</v>
      </c>
      <c r="AM444" s="52">
        <v>3.184196396E9</v>
      </c>
      <c r="AN444" s="45">
        <v>0.0</v>
      </c>
      <c r="AO444" s="52" t="s">
        <v>2987</v>
      </c>
      <c r="AP444" s="67" t="s">
        <v>2988</v>
      </c>
      <c r="AQ444" s="67"/>
      <c r="AR444" s="67"/>
      <c r="AS444" s="68">
        <v>0.0</v>
      </c>
      <c r="AT444" s="44">
        <v>0.0</v>
      </c>
      <c r="AU444" s="44">
        <v>0.0</v>
      </c>
      <c r="AV444" s="44">
        <v>0.0</v>
      </c>
      <c r="AW444" s="44" t="s">
        <v>88</v>
      </c>
      <c r="AX444" s="44">
        <v>0.0</v>
      </c>
      <c r="AY444" s="44" t="s">
        <v>247</v>
      </c>
      <c r="AZ444" s="44">
        <v>9.0</v>
      </c>
      <c r="BA444" s="43" t="s">
        <v>89</v>
      </c>
      <c r="BB444" s="44">
        <v>22.0</v>
      </c>
      <c r="BC444" s="69" t="s">
        <v>1055</v>
      </c>
      <c r="BD444" s="70"/>
      <c r="BE444" s="71"/>
      <c r="BF444" s="130"/>
      <c r="BG444" s="73"/>
      <c r="BH444" s="73"/>
      <c r="BI444" s="73"/>
      <c r="BJ444" s="73"/>
      <c r="BK444" s="73"/>
      <c r="BL444" s="73"/>
      <c r="BM444" s="73"/>
      <c r="BN444" s="73"/>
      <c r="BO444" s="73"/>
      <c r="BP444" s="73"/>
      <c r="BQ444" s="73"/>
      <c r="BR444" s="73"/>
      <c r="BS444" s="73"/>
      <c r="BT444" s="73"/>
      <c r="BU444" s="73"/>
      <c r="BV444" s="73"/>
      <c r="BW444" s="74"/>
      <c r="BX444" s="74"/>
      <c r="BY444" s="63"/>
      <c r="BZ444" s="63"/>
    </row>
    <row r="445" ht="15.75" customHeight="1">
      <c r="A445" s="120" t="s">
        <v>2989</v>
      </c>
      <c r="B445" s="50" t="s">
        <v>2990</v>
      </c>
      <c r="C445" s="50" t="s">
        <v>271</v>
      </c>
      <c r="D445" s="50" t="s">
        <v>1222</v>
      </c>
      <c r="E445" s="64"/>
      <c r="F445" s="47">
        <v>3.8E8</v>
      </c>
      <c r="G445" s="44" t="str">
        <f t="shared" si="16"/>
        <v>$300'000.000 a $400'000.000</v>
      </c>
      <c r="H445" s="44"/>
      <c r="I445" s="44"/>
      <c r="J445" s="50" t="s">
        <v>183</v>
      </c>
      <c r="K445" s="51"/>
      <c r="L445" s="52">
        <v>11.0</v>
      </c>
      <c r="M445" s="52"/>
      <c r="N445" s="52">
        <v>7.0</v>
      </c>
      <c r="O445" s="43">
        <v>0.0</v>
      </c>
      <c r="P445" s="52">
        <v>1.0</v>
      </c>
      <c r="Q445" s="54">
        <v>262.0</v>
      </c>
      <c r="R445" s="55">
        <v>280.0</v>
      </c>
      <c r="S445" s="56" t="str">
        <f t="shared" si="15"/>
        <v>Rentabilidad $2,800,000</v>
      </c>
      <c r="T445" s="52" t="s">
        <v>78</v>
      </c>
      <c r="U445" s="142" t="s">
        <v>184</v>
      </c>
      <c r="V445" s="43" t="s">
        <v>118</v>
      </c>
      <c r="W445" s="43"/>
      <c r="X445" s="52">
        <v>0.0</v>
      </c>
      <c r="Y445" s="43" t="s">
        <v>80</v>
      </c>
      <c r="Z445" s="58" t="s">
        <v>81</v>
      </c>
      <c r="AA445" s="59" t="str">
        <f>IF(Rentabilidad=0,"No aplica",TEXT(ROUND(Precio/Rentabilidad/12,0),0) &amp; " años")</f>
        <v>11 años</v>
      </c>
      <c r="AB445" s="60"/>
      <c r="AC445" s="61"/>
      <c r="AD445" s="62"/>
      <c r="AE445" s="63"/>
      <c r="AF445" s="64" t="s">
        <v>84</v>
      </c>
      <c r="AG445" s="63"/>
      <c r="AH445" s="63"/>
      <c r="AI445" s="63"/>
      <c r="AJ445" s="64" t="s">
        <v>1834</v>
      </c>
      <c r="AK445" s="44"/>
      <c r="AL445" s="45" t="s">
        <v>86</v>
      </c>
      <c r="AM445" s="52">
        <v>3.015771913E9</v>
      </c>
      <c r="AN445" s="45">
        <v>3.023885396E9</v>
      </c>
      <c r="AO445" s="52" t="s">
        <v>2991</v>
      </c>
      <c r="AP445" s="67" t="s">
        <v>2992</v>
      </c>
      <c r="AQ445" s="67"/>
      <c r="AR445" s="67"/>
      <c r="AS445" s="135">
        <v>2800000.0</v>
      </c>
      <c r="AT445" s="44">
        <v>0.0</v>
      </c>
      <c r="AU445" s="52">
        <v>0.0</v>
      </c>
      <c r="AV445" s="52">
        <v>0.0</v>
      </c>
      <c r="AW445" s="43" t="s">
        <v>88</v>
      </c>
      <c r="AX445" s="52">
        <v>0.0</v>
      </c>
      <c r="AY445" s="52">
        <v>0.0</v>
      </c>
      <c r="AZ445" s="52">
        <v>10.0</v>
      </c>
      <c r="BA445" s="43" t="s">
        <v>89</v>
      </c>
      <c r="BB445" s="52">
        <v>28.0</v>
      </c>
      <c r="BC445" s="86"/>
      <c r="BD445" s="71"/>
      <c r="BE445" s="71"/>
      <c r="BF445" s="72"/>
      <c r="BG445" s="73"/>
      <c r="BH445" s="73"/>
      <c r="BI445" s="73"/>
      <c r="BJ445" s="73"/>
      <c r="BK445" s="73"/>
      <c r="BL445" s="73"/>
      <c r="BM445" s="73"/>
      <c r="BN445" s="73"/>
      <c r="BO445" s="73"/>
      <c r="BP445" s="73"/>
      <c r="BQ445" s="73"/>
      <c r="BR445" s="73"/>
      <c r="BS445" s="73"/>
      <c r="BT445" s="73"/>
      <c r="BU445" s="73"/>
      <c r="BV445" s="73"/>
      <c r="BW445" s="74"/>
      <c r="BX445" s="74"/>
      <c r="BY445" s="63"/>
      <c r="BZ445" s="63"/>
    </row>
    <row r="446" ht="15.75" customHeight="1">
      <c r="A446" s="120" t="s">
        <v>2993</v>
      </c>
      <c r="B446" s="112" t="s">
        <v>2994</v>
      </c>
      <c r="C446" s="50" t="s">
        <v>271</v>
      </c>
      <c r="D446" s="44" t="s">
        <v>2679</v>
      </c>
      <c r="E446" s="77" t="s">
        <v>376</v>
      </c>
      <c r="F446" s="47">
        <v>3.8E8</v>
      </c>
      <c r="G446" s="44" t="str">
        <f t="shared" si="16"/>
        <v>$300'000.000 a $400'000.000</v>
      </c>
      <c r="H446" s="44"/>
      <c r="I446" s="44"/>
      <c r="J446" s="50" t="s">
        <v>183</v>
      </c>
      <c r="K446" s="51" t="s">
        <v>184</v>
      </c>
      <c r="L446" s="52">
        <v>6.0</v>
      </c>
      <c r="M446" s="52"/>
      <c r="N446" s="52">
        <v>3.0</v>
      </c>
      <c r="O446" s="43">
        <v>1.0</v>
      </c>
      <c r="P446" s="52">
        <v>2.0</v>
      </c>
      <c r="Q446" s="54"/>
      <c r="R446" s="55">
        <v>180.0</v>
      </c>
      <c r="S446" s="56" t="str">
        <f t="shared" si="15"/>
        <v>Rentabilidad $1,270,000</v>
      </c>
      <c r="T446" s="52" t="s">
        <v>78</v>
      </c>
      <c r="U446" s="142" t="s">
        <v>184</v>
      </c>
      <c r="V446" s="43" t="s">
        <v>79</v>
      </c>
      <c r="W446" s="43"/>
      <c r="X446" s="52">
        <v>4.0</v>
      </c>
      <c r="Y446" s="94" t="s">
        <v>80</v>
      </c>
      <c r="Z446" s="80" t="s">
        <v>81</v>
      </c>
      <c r="AA446" s="59" t="str">
        <f>IF(Rentabilidad=0,"No aplica",TEXT(ROUND(Precio/Rentabilidad/12,0),0) &amp; " años")</f>
        <v>25 años</v>
      </c>
      <c r="AB446" s="60"/>
      <c r="AC446" s="61"/>
      <c r="AD446" s="62"/>
      <c r="AE446" s="63"/>
      <c r="AF446" s="64" t="s">
        <v>84</v>
      </c>
      <c r="AG446" s="63"/>
      <c r="AH446" s="65" t="s">
        <v>45</v>
      </c>
      <c r="AI446" s="63"/>
      <c r="AJ446" s="64" t="s">
        <v>1834</v>
      </c>
      <c r="AK446" s="44"/>
      <c r="AL446" s="45" t="s">
        <v>1388</v>
      </c>
      <c r="AM446" s="52">
        <v>3.002675357E9</v>
      </c>
      <c r="AN446" s="45">
        <v>0.0</v>
      </c>
      <c r="AO446" s="116" t="s">
        <v>2995</v>
      </c>
      <c r="AP446" s="67" t="s">
        <v>2996</v>
      </c>
      <c r="AQ446" s="67"/>
      <c r="AR446" s="67"/>
      <c r="AS446" s="135">
        <v>1270000.0</v>
      </c>
      <c r="AT446" s="44">
        <v>0.0</v>
      </c>
      <c r="AU446" s="52">
        <v>0.0</v>
      </c>
      <c r="AV446" s="52">
        <v>0.0</v>
      </c>
      <c r="AW446" s="43" t="s">
        <v>88</v>
      </c>
      <c r="AX446" s="52">
        <v>0.0</v>
      </c>
      <c r="AY446" s="52">
        <v>0.0</v>
      </c>
      <c r="AZ446" s="52">
        <v>9.0</v>
      </c>
      <c r="BA446" s="43" t="s">
        <v>89</v>
      </c>
      <c r="BB446" s="52">
        <v>20.0</v>
      </c>
      <c r="BC446" s="154"/>
      <c r="BD446" s="155"/>
      <c r="BE446" s="156"/>
      <c r="BF446" s="299"/>
      <c r="BG446" s="73"/>
      <c r="BH446" s="73"/>
      <c r="BI446" s="73"/>
      <c r="BJ446" s="73"/>
      <c r="BK446" s="73"/>
      <c r="BL446" s="73"/>
      <c r="BM446" s="73"/>
      <c r="BN446" s="73"/>
      <c r="BO446" s="73"/>
      <c r="BP446" s="73"/>
      <c r="BQ446" s="73"/>
      <c r="BR446" s="73"/>
      <c r="BS446" s="73"/>
      <c r="BT446" s="73"/>
      <c r="BU446" s="73"/>
      <c r="BV446" s="73"/>
      <c r="BW446" s="74"/>
      <c r="BX446" s="74"/>
      <c r="BY446" s="63"/>
      <c r="BZ446" s="63"/>
    </row>
    <row r="447" ht="15.75" customHeight="1">
      <c r="A447" s="120" t="s">
        <v>2997</v>
      </c>
      <c r="B447" s="112" t="s">
        <v>2998</v>
      </c>
      <c r="C447" s="50" t="s">
        <v>271</v>
      </c>
      <c r="D447" s="63" t="s">
        <v>155</v>
      </c>
      <c r="E447" s="77" t="s">
        <v>376</v>
      </c>
      <c r="F447" s="47">
        <v>3.8E8</v>
      </c>
      <c r="G447" s="44" t="str">
        <f t="shared" si="16"/>
        <v>$300'000.000 a $400'000.000</v>
      </c>
      <c r="H447" s="44"/>
      <c r="I447" s="44"/>
      <c r="J447" s="50" t="s">
        <v>76</v>
      </c>
      <c r="K447" s="51" t="s">
        <v>77</v>
      </c>
      <c r="L447" s="52">
        <v>3.0</v>
      </c>
      <c r="M447" s="52"/>
      <c r="N447" s="52">
        <v>1.0</v>
      </c>
      <c r="O447" s="43">
        <v>0.0</v>
      </c>
      <c r="P447" s="52">
        <v>1.0</v>
      </c>
      <c r="Q447" s="113"/>
      <c r="R447" s="55">
        <v>112.0</v>
      </c>
      <c r="S447" s="56" t="str">
        <f t="shared" si="15"/>
        <v> </v>
      </c>
      <c r="T447" s="43" t="s">
        <v>78</v>
      </c>
      <c r="U447" s="142" t="s">
        <v>77</v>
      </c>
      <c r="V447" s="43" t="s">
        <v>79</v>
      </c>
      <c r="W447" s="43"/>
      <c r="X447" s="52">
        <v>0.0</v>
      </c>
      <c r="Y447" s="43" t="s">
        <v>80</v>
      </c>
      <c r="Z447" s="80" t="s">
        <v>81</v>
      </c>
      <c r="AA447" s="59" t="str">
        <f>IF(Rentabilidad=0,"No aplica",TEXT(ROUND(Precio/Rentabilidad/12,0),0) &amp; " años")</f>
        <v>No aplica</v>
      </c>
      <c r="AB447" s="60"/>
      <c r="AC447" s="61"/>
      <c r="AD447" s="62"/>
      <c r="AE447" s="63"/>
      <c r="AF447" s="64" t="s">
        <v>84</v>
      </c>
      <c r="AG447" s="63"/>
      <c r="AH447" s="65" t="s">
        <v>45</v>
      </c>
      <c r="AI447" s="63"/>
      <c r="AJ447" s="64" t="s">
        <v>1834</v>
      </c>
      <c r="AK447" s="44"/>
      <c r="AL447" s="45" t="s">
        <v>86</v>
      </c>
      <c r="AM447" s="52">
        <v>3.204931589E9</v>
      </c>
      <c r="AN447" s="45">
        <v>3.114264183E9</v>
      </c>
      <c r="AO447" s="44" t="s">
        <v>2999</v>
      </c>
      <c r="AP447" s="67" t="s">
        <v>3000</v>
      </c>
      <c r="AQ447" s="67"/>
      <c r="AR447" s="67"/>
      <c r="AS447" s="135">
        <v>0.0</v>
      </c>
      <c r="AT447" s="44">
        <v>0.0</v>
      </c>
      <c r="AU447" s="52">
        <v>0.0</v>
      </c>
      <c r="AV447" s="52">
        <v>0.0</v>
      </c>
      <c r="AW447" s="43" t="s">
        <v>88</v>
      </c>
      <c r="AX447" s="52">
        <v>0.0</v>
      </c>
      <c r="AY447" s="52">
        <v>0.0</v>
      </c>
      <c r="AZ447" s="52">
        <v>0.0</v>
      </c>
      <c r="BA447" s="43" t="s">
        <v>89</v>
      </c>
      <c r="BB447" s="52">
        <v>0.0</v>
      </c>
      <c r="BC447" s="95" t="s">
        <v>537</v>
      </c>
      <c r="BD447" s="71"/>
      <c r="BE447" s="70"/>
      <c r="BF447" s="130"/>
      <c r="BG447" s="73"/>
      <c r="BH447" s="73"/>
      <c r="BI447" s="73"/>
      <c r="BJ447" s="73"/>
      <c r="BK447" s="73"/>
      <c r="BL447" s="73"/>
      <c r="BM447" s="73"/>
      <c r="BN447" s="73"/>
      <c r="BO447" s="73"/>
      <c r="BP447" s="73"/>
      <c r="BQ447" s="73"/>
      <c r="BR447" s="73"/>
      <c r="BS447" s="73"/>
      <c r="BT447" s="73"/>
      <c r="BU447" s="73"/>
      <c r="BV447" s="73"/>
      <c r="BW447" s="74"/>
      <c r="BX447" s="74"/>
      <c r="BY447" s="63"/>
      <c r="BZ447" s="63"/>
    </row>
    <row r="448" ht="15.75" customHeight="1">
      <c r="A448" s="41" t="s">
        <v>3001</v>
      </c>
      <c r="B448" s="112" t="s">
        <v>395</v>
      </c>
      <c r="C448" s="50" t="s">
        <v>70</v>
      </c>
      <c r="D448" s="50" t="s">
        <v>72</v>
      </c>
      <c r="E448" s="64"/>
      <c r="F448" s="47">
        <v>3.7E8</v>
      </c>
      <c r="G448" s="44" t="str">
        <f t="shared" si="16"/>
        <v>$300'000.000 a $400'000.000</v>
      </c>
      <c r="H448" s="44"/>
      <c r="I448" s="44"/>
      <c r="J448" s="50" t="s">
        <v>183</v>
      </c>
      <c r="K448" s="51" t="s">
        <v>184</v>
      </c>
      <c r="L448" s="44">
        <v>3.0</v>
      </c>
      <c r="M448" s="44"/>
      <c r="N448" s="44">
        <v>2.0</v>
      </c>
      <c r="O448" s="50">
        <v>1.0</v>
      </c>
      <c r="P448" s="44">
        <v>2.0</v>
      </c>
      <c r="Q448" s="113">
        <v>150.0</v>
      </c>
      <c r="R448" s="79">
        <v>84.0</v>
      </c>
      <c r="S448" s="56" t="str">
        <f t="shared" si="15"/>
        <v> </v>
      </c>
      <c r="T448" s="44" t="s">
        <v>78</v>
      </c>
      <c r="U448" s="57" t="s">
        <v>77</v>
      </c>
      <c r="V448" s="50" t="s">
        <v>79</v>
      </c>
      <c r="W448" s="50"/>
      <c r="X448" s="44">
        <v>3.0</v>
      </c>
      <c r="Y448" s="50" t="s">
        <v>80</v>
      </c>
      <c r="Z448" s="58" t="s">
        <v>81</v>
      </c>
      <c r="AA448" s="59" t="str">
        <f>IF(Rentabilidad=0,"No aplica",TEXT(ROUND(Precio/Rentabilidad/12,0),0) &amp; " años")</f>
        <v>No aplica</v>
      </c>
      <c r="AB448" s="220"/>
      <c r="AC448" s="61"/>
      <c r="AD448" s="62"/>
      <c r="AE448" s="63"/>
      <c r="AF448" s="45" t="s">
        <v>105</v>
      </c>
      <c r="AG448" s="63"/>
      <c r="AH448" s="65" t="s">
        <v>45</v>
      </c>
      <c r="AI448" s="63"/>
      <c r="AJ448" s="64" t="s">
        <v>1834</v>
      </c>
      <c r="AK448" s="44"/>
      <c r="AL448" s="45" t="s">
        <v>86</v>
      </c>
      <c r="AM448" s="52">
        <v>3.15856928E9</v>
      </c>
      <c r="AN448" s="45">
        <v>0.0</v>
      </c>
      <c r="AO448" s="52" t="s">
        <v>3002</v>
      </c>
      <c r="AP448" s="67" t="s">
        <v>3003</v>
      </c>
      <c r="AQ448" s="67"/>
      <c r="AR448" s="67"/>
      <c r="AS448" s="68">
        <v>0.0</v>
      </c>
      <c r="AT448" s="44">
        <v>0.0</v>
      </c>
      <c r="AU448" s="52">
        <v>0.0</v>
      </c>
      <c r="AV448" s="52">
        <v>0.0</v>
      </c>
      <c r="AW448" s="52" t="s">
        <v>106</v>
      </c>
      <c r="AX448" s="52">
        <v>0.0</v>
      </c>
      <c r="AY448" s="52" t="s">
        <v>137</v>
      </c>
      <c r="AZ448" s="44">
        <v>6.0</v>
      </c>
      <c r="BA448" s="43" t="s">
        <v>89</v>
      </c>
      <c r="BB448" s="44">
        <v>14.0</v>
      </c>
      <c r="BC448" s="109"/>
      <c r="BD448" s="70"/>
      <c r="BE448" s="71"/>
      <c r="BF448" s="72"/>
      <c r="BG448" s="73"/>
      <c r="BH448" s="73"/>
      <c r="BI448" s="73"/>
      <c r="BJ448" s="73"/>
      <c r="BK448" s="73"/>
      <c r="BL448" s="73"/>
      <c r="BM448" s="73"/>
      <c r="BN448" s="73"/>
      <c r="BO448" s="73"/>
      <c r="BP448" s="73"/>
      <c r="BQ448" s="73"/>
      <c r="BR448" s="73"/>
      <c r="BS448" s="73"/>
      <c r="BT448" s="73"/>
      <c r="BU448" s="73"/>
      <c r="BV448" s="73"/>
      <c r="BW448" s="74"/>
      <c r="BX448" s="74"/>
      <c r="BY448" s="63"/>
      <c r="BZ448" s="63"/>
    </row>
    <row r="449" ht="15.75" customHeight="1">
      <c r="A449" s="41" t="s">
        <v>3004</v>
      </c>
      <c r="B449" s="112" t="s">
        <v>3005</v>
      </c>
      <c r="C449" s="50" t="s">
        <v>271</v>
      </c>
      <c r="D449" s="43" t="s">
        <v>131</v>
      </c>
      <c r="E449" s="64"/>
      <c r="F449" s="47">
        <v>3.6E8</v>
      </c>
      <c r="G449" s="44" t="str">
        <f t="shared" si="16"/>
        <v>$300'000.000 a $400'000.000</v>
      </c>
      <c r="H449" s="44"/>
      <c r="I449" s="44"/>
      <c r="J449" s="43" t="s">
        <v>183</v>
      </c>
      <c r="K449" s="56"/>
      <c r="L449" s="52">
        <v>7.0</v>
      </c>
      <c r="M449" s="52"/>
      <c r="N449" s="52">
        <v>4.0</v>
      </c>
      <c r="O449" s="43">
        <v>1.0</v>
      </c>
      <c r="P449" s="52">
        <v>3.0</v>
      </c>
      <c r="Q449" s="54"/>
      <c r="R449" s="55">
        <v>112.0</v>
      </c>
      <c r="S449" s="56" t="str">
        <f t="shared" si="15"/>
        <v>Rentabilidad $1,750,000</v>
      </c>
      <c r="T449" s="52" t="s">
        <v>78</v>
      </c>
      <c r="U449" s="142" t="s">
        <v>184</v>
      </c>
      <c r="V449" s="43" t="s">
        <v>79</v>
      </c>
      <c r="W449" s="43"/>
      <c r="X449" s="52">
        <v>7.0</v>
      </c>
      <c r="Y449" s="43" t="s">
        <v>80</v>
      </c>
      <c r="Z449" s="80" t="s">
        <v>81</v>
      </c>
      <c r="AA449" s="59" t="str">
        <f>IF(Rentabilidad=0,"No aplica",TEXT(ROUND(Precio/Rentabilidad/12,0),0) &amp; " años")</f>
        <v>17 años</v>
      </c>
      <c r="AB449" s="195"/>
      <c r="AC449" s="61"/>
      <c r="AD449" s="62"/>
      <c r="AE449" s="63"/>
      <c r="AF449" s="64" t="s">
        <v>236</v>
      </c>
      <c r="AG449" s="63"/>
      <c r="AH449" s="65" t="s">
        <v>45</v>
      </c>
      <c r="AI449" s="63"/>
      <c r="AJ449" s="64" t="s">
        <v>1834</v>
      </c>
      <c r="AK449" s="44" t="s">
        <v>2693</v>
      </c>
      <c r="AL449" s="45" t="s">
        <v>3006</v>
      </c>
      <c r="AM449" s="52">
        <v>3.168652366E9</v>
      </c>
      <c r="AN449" s="45">
        <v>3.162799261E9</v>
      </c>
      <c r="AO449" s="52" t="s">
        <v>3007</v>
      </c>
      <c r="AP449" s="67" t="s">
        <v>3008</v>
      </c>
      <c r="AQ449" s="67"/>
      <c r="AR449" s="67"/>
      <c r="AS449" s="135">
        <v>1750000.0</v>
      </c>
      <c r="AT449" s="44">
        <v>0.0</v>
      </c>
      <c r="AU449" s="52">
        <v>0.0</v>
      </c>
      <c r="AV449" s="52">
        <v>0.0</v>
      </c>
      <c r="AW449" s="43" t="s">
        <v>88</v>
      </c>
      <c r="AX449" s="52">
        <v>0.0</v>
      </c>
      <c r="AY449" s="52">
        <v>0.0</v>
      </c>
      <c r="AZ449" s="52">
        <v>8.0</v>
      </c>
      <c r="BA449" s="43" t="s">
        <v>89</v>
      </c>
      <c r="BB449" s="52">
        <v>14.0</v>
      </c>
      <c r="BC449" s="109"/>
      <c r="BD449" s="70"/>
      <c r="BE449" s="71"/>
      <c r="BF449" s="130"/>
      <c r="BG449" s="73"/>
      <c r="BH449" s="73"/>
      <c r="BI449" s="73"/>
      <c r="BJ449" s="73"/>
      <c r="BK449" s="73"/>
      <c r="BL449" s="73"/>
      <c r="BM449" s="73"/>
      <c r="BN449" s="73"/>
      <c r="BO449" s="73"/>
      <c r="BP449" s="73"/>
      <c r="BQ449" s="73"/>
      <c r="BR449" s="73"/>
      <c r="BS449" s="73"/>
      <c r="BT449" s="73"/>
      <c r="BU449" s="73"/>
      <c r="BV449" s="73"/>
      <c r="BW449" s="74"/>
      <c r="BX449" s="74"/>
      <c r="BY449" s="63"/>
      <c r="BZ449" s="63"/>
    </row>
    <row r="450" ht="15.75" customHeight="1">
      <c r="A450" s="120" t="s">
        <v>3009</v>
      </c>
      <c r="B450" s="112" t="s">
        <v>3010</v>
      </c>
      <c r="C450" s="50" t="s">
        <v>271</v>
      </c>
      <c r="D450" s="63" t="s">
        <v>155</v>
      </c>
      <c r="E450" s="77" t="s">
        <v>376</v>
      </c>
      <c r="F450" s="47">
        <v>3.6E8</v>
      </c>
      <c r="G450" s="44" t="str">
        <f t="shared" si="16"/>
        <v>$300'000.000 a $400'000.000</v>
      </c>
      <c r="H450" s="44"/>
      <c r="I450" s="44"/>
      <c r="J450" s="50" t="s">
        <v>116</v>
      </c>
      <c r="K450" s="51" t="s">
        <v>77</v>
      </c>
      <c r="L450" s="44">
        <v>0.0</v>
      </c>
      <c r="M450" s="44"/>
      <c r="N450" s="44">
        <v>0.0</v>
      </c>
      <c r="O450" s="43">
        <v>0.0</v>
      </c>
      <c r="P450" s="52">
        <v>1.0</v>
      </c>
      <c r="Q450" s="54">
        <v>156.0</v>
      </c>
      <c r="R450" s="55">
        <v>156.0</v>
      </c>
      <c r="S450" s="56" t="str">
        <f t="shared" si="15"/>
        <v>Rentabilidad $2,500,000</v>
      </c>
      <c r="T450" s="52" t="s">
        <v>78</v>
      </c>
      <c r="U450" s="142" t="s">
        <v>142</v>
      </c>
      <c r="V450" s="43" t="s">
        <v>118</v>
      </c>
      <c r="W450" s="43"/>
      <c r="X450" s="44">
        <v>0.0</v>
      </c>
      <c r="Y450" s="43" t="s">
        <v>80</v>
      </c>
      <c r="Z450" s="58" t="s">
        <v>81</v>
      </c>
      <c r="AA450" s="59" t="str">
        <f>IF(Rentabilidad=0,"No aplica",TEXT(ROUND(Precio/Rentabilidad/12,0),0) &amp; " años")</f>
        <v>12 años</v>
      </c>
      <c r="AB450" s="195"/>
      <c r="AC450" s="61"/>
      <c r="AD450" s="62"/>
      <c r="AE450" s="63"/>
      <c r="AF450" s="64" t="s">
        <v>236</v>
      </c>
      <c r="AG450" s="63"/>
      <c r="AH450" s="65" t="s">
        <v>45</v>
      </c>
      <c r="AI450" s="63"/>
      <c r="AJ450" s="64" t="s">
        <v>1834</v>
      </c>
      <c r="AK450" s="44"/>
      <c r="AL450" s="45" t="s">
        <v>3011</v>
      </c>
      <c r="AM450" s="52">
        <v>3.124986055E9</v>
      </c>
      <c r="AN450" s="45">
        <v>0.0</v>
      </c>
      <c r="AO450" s="52" t="s">
        <v>3012</v>
      </c>
      <c r="AP450" s="67" t="s">
        <v>3013</v>
      </c>
      <c r="AQ450" s="67"/>
      <c r="AR450" s="67"/>
      <c r="AS450" s="135">
        <v>2500000.0</v>
      </c>
      <c r="AT450" s="44">
        <v>0.0</v>
      </c>
      <c r="AU450" s="52">
        <v>0.0</v>
      </c>
      <c r="AV450" s="52">
        <v>0.0</v>
      </c>
      <c r="AW450" s="43" t="s">
        <v>88</v>
      </c>
      <c r="AX450" s="52">
        <v>0.0</v>
      </c>
      <c r="AY450" s="52">
        <v>0.0</v>
      </c>
      <c r="AZ450" s="52">
        <v>13.0</v>
      </c>
      <c r="BA450" s="43" t="s">
        <v>89</v>
      </c>
      <c r="BB450" s="52">
        <v>12.0</v>
      </c>
      <c r="BC450" s="69" t="s">
        <v>3014</v>
      </c>
      <c r="BD450" s="70"/>
      <c r="BE450" s="71"/>
      <c r="BF450" s="130"/>
      <c r="BG450" s="73"/>
      <c r="BH450" s="73"/>
      <c r="BI450" s="73"/>
      <c r="BJ450" s="73"/>
      <c r="BK450" s="73"/>
      <c r="BL450" s="73"/>
      <c r="BM450" s="73"/>
      <c r="BN450" s="73"/>
      <c r="BO450" s="73"/>
      <c r="BP450" s="73"/>
      <c r="BQ450" s="73"/>
      <c r="BR450" s="73"/>
      <c r="BS450" s="73"/>
      <c r="BT450" s="73"/>
      <c r="BU450" s="73"/>
      <c r="BV450" s="73"/>
      <c r="BW450" s="74"/>
      <c r="BX450" s="74"/>
      <c r="BY450" s="63"/>
      <c r="BZ450" s="63"/>
    </row>
    <row r="451" ht="15.75" customHeight="1">
      <c r="A451" s="75" t="s">
        <v>3015</v>
      </c>
      <c r="B451" s="50" t="s">
        <v>436</v>
      </c>
      <c r="C451" s="50" t="s">
        <v>70</v>
      </c>
      <c r="D451" s="50" t="s">
        <v>11</v>
      </c>
      <c r="E451" s="77"/>
      <c r="F451" s="78">
        <v>3.5E8</v>
      </c>
      <c r="G451" s="44" t="str">
        <f t="shared" si="16"/>
        <v>$300'000.000 a $400'000.000</v>
      </c>
      <c r="H451" s="44"/>
      <c r="I451" s="44"/>
      <c r="J451" s="50" t="s">
        <v>183</v>
      </c>
      <c r="K451" s="51" t="s">
        <v>184</v>
      </c>
      <c r="L451" s="50">
        <v>6.0</v>
      </c>
      <c r="M451" s="50"/>
      <c r="N451" s="50">
        <v>3.0</v>
      </c>
      <c r="O451" s="50">
        <v>0.0</v>
      </c>
      <c r="P451" s="50">
        <v>1.0</v>
      </c>
      <c r="Q451" s="88"/>
      <c r="R451" s="88">
        <v>162.0</v>
      </c>
      <c r="S451" s="56" t="str">
        <f t="shared" si="15"/>
        <v>Rentabilidad $1,300,000</v>
      </c>
      <c r="T451" s="50" t="s">
        <v>78</v>
      </c>
      <c r="U451" s="51" t="s">
        <v>184</v>
      </c>
      <c r="V451" s="50" t="s">
        <v>79</v>
      </c>
      <c r="W451" s="50"/>
      <c r="X451" s="50">
        <v>0.0</v>
      </c>
      <c r="Y451" s="43" t="s">
        <v>80</v>
      </c>
      <c r="Z451" s="58" t="s">
        <v>81</v>
      </c>
      <c r="AA451" s="81"/>
      <c r="AB451" s="123"/>
      <c r="AC451" s="124"/>
      <c r="AD451" s="125"/>
      <c r="AE451" s="63"/>
      <c r="AF451" s="64" t="s">
        <v>236</v>
      </c>
      <c r="AG451" s="65"/>
      <c r="AH451" s="65" t="s">
        <v>45</v>
      </c>
      <c r="AI451" s="65"/>
      <c r="AJ451" s="64" t="s">
        <v>1834</v>
      </c>
      <c r="AK451" s="50"/>
      <c r="AL451" s="45"/>
      <c r="AM451" s="43">
        <v>3.228333193E9</v>
      </c>
      <c r="AN451" s="64">
        <v>3.144467663E9</v>
      </c>
      <c r="AO451" s="43" t="s">
        <v>3016</v>
      </c>
      <c r="AP451" s="84" t="s">
        <v>3017</v>
      </c>
      <c r="AQ451" s="84"/>
      <c r="AR451" s="84"/>
      <c r="AS451" s="85">
        <v>1300000.0</v>
      </c>
      <c r="AT451" s="50">
        <v>0.0</v>
      </c>
      <c r="AU451" s="50">
        <v>0.0</v>
      </c>
      <c r="AV451" s="50">
        <v>0.0</v>
      </c>
      <c r="AW451" s="50" t="s">
        <v>106</v>
      </c>
      <c r="AX451" s="50"/>
      <c r="AY451" s="50" t="s">
        <v>137</v>
      </c>
      <c r="AZ451" s="44"/>
      <c r="BA451" s="43" t="s">
        <v>89</v>
      </c>
      <c r="BB451" s="44"/>
      <c r="BC451" s="69" t="s">
        <v>3018</v>
      </c>
      <c r="BD451" s="70"/>
      <c r="BE451" s="70"/>
      <c r="BF451" s="72"/>
      <c r="BG451" s="73"/>
      <c r="BH451" s="73"/>
      <c r="BI451" s="73"/>
      <c r="BJ451" s="73"/>
      <c r="BK451" s="73"/>
      <c r="BL451" s="73"/>
      <c r="BM451" s="73"/>
      <c r="BN451" s="73"/>
      <c r="BO451" s="73"/>
      <c r="BP451" s="73"/>
      <c r="BQ451" s="73"/>
      <c r="BR451" s="73"/>
      <c r="BS451" s="73"/>
      <c r="BT451" s="73"/>
      <c r="BU451" s="73"/>
      <c r="BV451" s="73"/>
      <c r="BW451" s="74"/>
      <c r="BX451" s="74"/>
      <c r="BY451" s="63"/>
      <c r="BZ451" s="63"/>
    </row>
    <row r="452" ht="15.75" customHeight="1">
      <c r="A452" s="41" t="s">
        <v>3019</v>
      </c>
      <c r="B452" s="122" t="s">
        <v>429</v>
      </c>
      <c r="C452" s="43" t="s">
        <v>70</v>
      </c>
      <c r="D452" s="44" t="s">
        <v>430</v>
      </c>
      <c r="E452" s="45"/>
      <c r="F452" s="47">
        <v>3.5E8</v>
      </c>
      <c r="G452" s="44" t="str">
        <f t="shared" si="16"/>
        <v>$300'000.000 a $400'000.000</v>
      </c>
      <c r="H452" s="44"/>
      <c r="I452" s="44"/>
      <c r="J452" s="50" t="s">
        <v>183</v>
      </c>
      <c r="K452" s="56" t="s">
        <v>184</v>
      </c>
      <c r="L452" s="44">
        <v>5.0</v>
      </c>
      <c r="M452" s="44"/>
      <c r="N452" s="44">
        <v>3.0</v>
      </c>
      <c r="O452" s="50">
        <v>1.0</v>
      </c>
      <c r="P452" s="44">
        <v>2.0</v>
      </c>
      <c r="Q452" s="113"/>
      <c r="R452" s="79">
        <v>0.0</v>
      </c>
      <c r="S452" s="56" t="str">
        <f t="shared" si="15"/>
        <v> </v>
      </c>
      <c r="T452" s="74" t="s">
        <v>2831</v>
      </c>
      <c r="U452" s="57" t="s">
        <v>77</v>
      </c>
      <c r="V452" s="43" t="s">
        <v>118</v>
      </c>
      <c r="W452" s="43"/>
      <c r="X452" s="44">
        <v>2.0</v>
      </c>
      <c r="Y452" s="50" t="s">
        <v>80</v>
      </c>
      <c r="Z452" s="58" t="s">
        <v>81</v>
      </c>
      <c r="AA452" s="59" t="str">
        <f>IF(Rentabilidad=0,"No aplica",TEXT(ROUND(Precio/Rentabilidad/12,0),0) &amp; " años")</f>
        <v>No aplica</v>
      </c>
      <c r="AB452" s="220"/>
      <c r="AC452" s="61"/>
      <c r="AD452" s="62"/>
      <c r="AE452" s="63"/>
      <c r="AF452" s="64" t="s">
        <v>105</v>
      </c>
      <c r="AG452" s="63"/>
      <c r="AH452" s="65" t="s">
        <v>45</v>
      </c>
      <c r="AI452" s="63"/>
      <c r="AJ452" s="64" t="s">
        <v>1834</v>
      </c>
      <c r="AK452" s="44"/>
      <c r="AL452" s="45" t="s">
        <v>86</v>
      </c>
      <c r="AM452" s="44">
        <v>3.173204952E9</v>
      </c>
      <c r="AN452" s="45">
        <v>3.162200309E9</v>
      </c>
      <c r="AO452" s="63" t="s">
        <v>3020</v>
      </c>
      <c r="AP452" s="67" t="s">
        <v>3021</v>
      </c>
      <c r="AQ452" s="67"/>
      <c r="AR452" s="67"/>
      <c r="AS452" s="68">
        <v>0.0</v>
      </c>
      <c r="AT452" s="44">
        <v>0.0</v>
      </c>
      <c r="AU452" s="52">
        <v>0.0</v>
      </c>
      <c r="AV452" s="52">
        <v>0.0</v>
      </c>
      <c r="AW452" s="43" t="s">
        <v>88</v>
      </c>
      <c r="AX452" s="52">
        <v>0.0</v>
      </c>
      <c r="AY452" s="52" t="s">
        <v>137</v>
      </c>
      <c r="AZ452" s="44">
        <v>0.0</v>
      </c>
      <c r="BA452" s="43" t="s">
        <v>89</v>
      </c>
      <c r="BB452" s="44">
        <v>0.0</v>
      </c>
      <c r="BC452" s="69" t="s">
        <v>3022</v>
      </c>
      <c r="BD452" s="70"/>
      <c r="BE452" s="71"/>
      <c r="BF452" s="130"/>
      <c r="BG452" s="73"/>
      <c r="BH452" s="73"/>
      <c r="BI452" s="73"/>
      <c r="BJ452" s="73"/>
      <c r="BK452" s="73"/>
      <c r="BL452" s="73"/>
      <c r="BM452" s="73"/>
      <c r="BN452" s="73"/>
      <c r="BO452" s="73"/>
      <c r="BP452" s="73"/>
      <c r="BQ452" s="73"/>
      <c r="BR452" s="73"/>
      <c r="BS452" s="73"/>
      <c r="BT452" s="73"/>
      <c r="BU452" s="73"/>
      <c r="BV452" s="73"/>
      <c r="BW452" s="74"/>
      <c r="BX452" s="74"/>
      <c r="BY452" s="63"/>
      <c r="BZ452" s="63"/>
    </row>
    <row r="453" ht="15.75" customHeight="1">
      <c r="A453" s="75" t="s">
        <v>3023</v>
      </c>
      <c r="B453" s="112" t="s">
        <v>1346</v>
      </c>
      <c r="C453" s="50" t="s">
        <v>70</v>
      </c>
      <c r="D453" s="50" t="s">
        <v>1347</v>
      </c>
      <c r="E453" s="64"/>
      <c r="F453" s="47">
        <v>3.5E8</v>
      </c>
      <c r="G453" s="44" t="str">
        <f t="shared" si="16"/>
        <v>$300'000.000 a $400'000.000</v>
      </c>
      <c r="H453" s="44"/>
      <c r="I453" s="44"/>
      <c r="J453" s="50" t="s">
        <v>183</v>
      </c>
      <c r="K453" s="51" t="s">
        <v>184</v>
      </c>
      <c r="L453" s="44">
        <v>4.0</v>
      </c>
      <c r="M453" s="44"/>
      <c r="N453" s="44">
        <v>3.0</v>
      </c>
      <c r="O453" s="50">
        <v>1.0</v>
      </c>
      <c r="P453" s="52">
        <v>2.0</v>
      </c>
      <c r="Q453" s="113"/>
      <c r="R453" s="55">
        <v>0.0</v>
      </c>
      <c r="S453" s="56" t="str">
        <f t="shared" si="15"/>
        <v> </v>
      </c>
      <c r="T453" s="52" t="s">
        <v>78</v>
      </c>
      <c r="U453" s="57" t="s">
        <v>184</v>
      </c>
      <c r="V453" s="43" t="s">
        <v>79</v>
      </c>
      <c r="W453" s="43"/>
      <c r="X453" s="44">
        <v>3.0</v>
      </c>
      <c r="Y453" s="50" t="s">
        <v>80</v>
      </c>
      <c r="Z453" s="58" t="s">
        <v>81</v>
      </c>
      <c r="AA453" s="59" t="str">
        <f>IF(Rentabilidad=0,"No aplica",TEXT(ROUND(Precio/Rentabilidad/12,0),0) &amp; " años")</f>
        <v>No aplica</v>
      </c>
      <c r="AB453" s="195"/>
      <c r="AC453" s="61"/>
      <c r="AD453" s="62"/>
      <c r="AE453" s="63"/>
      <c r="AF453" s="45" t="s">
        <v>105</v>
      </c>
      <c r="AG453" s="63"/>
      <c r="AH453" s="63"/>
      <c r="AI453" s="63"/>
      <c r="AJ453" s="64" t="s">
        <v>1834</v>
      </c>
      <c r="AK453" s="44"/>
      <c r="AL453" s="45" t="s">
        <v>86</v>
      </c>
      <c r="AM453" s="52">
        <v>3.164985413E9</v>
      </c>
      <c r="AN453" s="45" t="s">
        <v>3024</v>
      </c>
      <c r="AO453" s="52" t="s">
        <v>3025</v>
      </c>
      <c r="AP453" s="67" t="s">
        <v>3026</v>
      </c>
      <c r="AQ453" s="67"/>
      <c r="AR453" s="67"/>
      <c r="AS453" s="68">
        <v>0.0</v>
      </c>
      <c r="AT453" s="52">
        <v>0.0</v>
      </c>
      <c r="AU453" s="52">
        <v>0.0</v>
      </c>
      <c r="AV453" s="52">
        <v>0.0</v>
      </c>
      <c r="AW453" s="43" t="s">
        <v>88</v>
      </c>
      <c r="AX453" s="52">
        <v>0.0</v>
      </c>
      <c r="AY453" s="52" t="s">
        <v>137</v>
      </c>
      <c r="AZ453" s="52">
        <v>0.0</v>
      </c>
      <c r="BA453" s="43" t="s">
        <v>89</v>
      </c>
      <c r="BB453" s="52">
        <v>0.0</v>
      </c>
      <c r="BC453" s="300"/>
      <c r="BD453" s="301"/>
      <c r="BE453" s="191"/>
      <c r="BF453" s="302"/>
      <c r="BG453" s="73"/>
      <c r="BH453" s="73"/>
      <c r="BI453" s="73"/>
      <c r="BJ453" s="73"/>
      <c r="BK453" s="73"/>
      <c r="BL453" s="73"/>
      <c r="BM453" s="73"/>
      <c r="BN453" s="73"/>
      <c r="BO453" s="73"/>
      <c r="BP453" s="73"/>
      <c r="BQ453" s="73"/>
      <c r="BR453" s="73"/>
      <c r="BS453" s="73"/>
      <c r="BT453" s="73"/>
      <c r="BU453" s="73"/>
      <c r="BV453" s="73"/>
      <c r="BW453" s="74"/>
      <c r="BX453" s="74"/>
      <c r="BY453" s="63"/>
      <c r="BZ453" s="63"/>
    </row>
    <row r="454" ht="15.75" customHeight="1">
      <c r="A454" s="120" t="s">
        <v>3027</v>
      </c>
      <c r="B454" s="112" t="s">
        <v>3028</v>
      </c>
      <c r="C454" s="50" t="s">
        <v>271</v>
      </c>
      <c r="D454" s="43" t="s">
        <v>2961</v>
      </c>
      <c r="E454" s="64"/>
      <c r="F454" s="47">
        <v>3.5E8</v>
      </c>
      <c r="G454" s="44" t="str">
        <f t="shared" si="16"/>
        <v>$300'000.000 a $400'000.000</v>
      </c>
      <c r="H454" s="44"/>
      <c r="I454" s="44"/>
      <c r="J454" s="43" t="s">
        <v>183</v>
      </c>
      <c r="K454" s="56"/>
      <c r="L454" s="52">
        <v>5.0</v>
      </c>
      <c r="M454" s="52"/>
      <c r="N454" s="52">
        <v>3.0</v>
      </c>
      <c r="O454" s="43">
        <v>1.0</v>
      </c>
      <c r="P454" s="52">
        <v>2.0</v>
      </c>
      <c r="Q454" s="54"/>
      <c r="R454" s="55">
        <v>96.0</v>
      </c>
      <c r="S454" s="56" t="str">
        <f t="shared" si="15"/>
        <v>Rentabilidad $1,200,000</v>
      </c>
      <c r="T454" s="44" t="s">
        <v>78</v>
      </c>
      <c r="U454" s="183" t="s">
        <v>184</v>
      </c>
      <c r="V454" s="43" t="s">
        <v>79</v>
      </c>
      <c r="W454" s="43"/>
      <c r="X454" s="52">
        <v>1.0</v>
      </c>
      <c r="Y454" s="43" t="s">
        <v>80</v>
      </c>
      <c r="Z454" s="58" t="s">
        <v>81</v>
      </c>
      <c r="AA454" s="59" t="str">
        <f>IF(Rentabilidad=0,"No aplica",TEXT(ROUND(Precio/Rentabilidad/12,0),0) &amp; " años")</f>
        <v>24 años</v>
      </c>
      <c r="AB454" s="60"/>
      <c r="AC454" s="61"/>
      <c r="AD454" s="62"/>
      <c r="AE454" s="63"/>
      <c r="AF454" s="45" t="s">
        <v>105</v>
      </c>
      <c r="AG454" s="63"/>
      <c r="AH454" s="65" t="s">
        <v>45</v>
      </c>
      <c r="AI454" s="63"/>
      <c r="AJ454" s="64" t="s">
        <v>1834</v>
      </c>
      <c r="AK454" s="44"/>
      <c r="AL454" s="45" t="s">
        <v>109</v>
      </c>
      <c r="AM454" s="52">
        <v>3.166258772E9</v>
      </c>
      <c r="AN454" s="45">
        <v>3.155225818E9</v>
      </c>
      <c r="AO454" s="52" t="s">
        <v>3029</v>
      </c>
      <c r="AP454" s="67" t="s">
        <v>3030</v>
      </c>
      <c r="AQ454" s="67"/>
      <c r="AR454" s="67"/>
      <c r="AS454" s="135">
        <v>1200000.0</v>
      </c>
      <c r="AT454" s="44">
        <v>0.0</v>
      </c>
      <c r="AU454" s="52">
        <v>0.0</v>
      </c>
      <c r="AV454" s="52">
        <v>0.0</v>
      </c>
      <c r="AW454" s="43" t="s">
        <v>88</v>
      </c>
      <c r="AX454" s="52">
        <v>0.0</v>
      </c>
      <c r="AY454" s="52">
        <v>0.0</v>
      </c>
      <c r="AZ454" s="52">
        <v>8.0</v>
      </c>
      <c r="BA454" s="43" t="s">
        <v>89</v>
      </c>
      <c r="BB454" s="52">
        <v>12.0</v>
      </c>
      <c r="BC454" s="95" t="s">
        <v>3031</v>
      </c>
      <c r="BD454" s="71"/>
      <c r="BE454" s="71"/>
      <c r="BF454" s="72"/>
      <c r="BG454" s="113"/>
      <c r="BH454" s="113"/>
      <c r="BI454" s="113"/>
      <c r="BJ454" s="113"/>
      <c r="BK454" s="113"/>
      <c r="BL454" s="113"/>
      <c r="BM454" s="113"/>
      <c r="BN454" s="113"/>
      <c r="BO454" s="113"/>
      <c r="BP454" s="113"/>
      <c r="BQ454" s="113"/>
      <c r="BR454" s="113"/>
      <c r="BS454" s="113"/>
      <c r="BT454" s="113"/>
      <c r="BU454" s="113"/>
      <c r="BV454" s="113"/>
      <c r="BW454" s="74"/>
      <c r="BX454" s="74"/>
      <c r="BY454" s="63"/>
      <c r="BZ454" s="63"/>
    </row>
    <row r="455" ht="15.75" customHeight="1">
      <c r="A455" s="120" t="s">
        <v>3032</v>
      </c>
      <c r="B455" s="122" t="s">
        <v>2825</v>
      </c>
      <c r="C455" s="43" t="s">
        <v>70</v>
      </c>
      <c r="D455" s="52" t="s">
        <v>163</v>
      </c>
      <c r="E455" s="45"/>
      <c r="F455" s="47">
        <v>3.5E8</v>
      </c>
      <c r="G455" s="44" t="str">
        <f t="shared" si="16"/>
        <v>$300'000.000 a $400'000.000</v>
      </c>
      <c r="H455" s="44"/>
      <c r="I455" s="44"/>
      <c r="J455" s="43" t="s">
        <v>76</v>
      </c>
      <c r="K455" s="56" t="s">
        <v>77</v>
      </c>
      <c r="L455" s="52">
        <v>5.0</v>
      </c>
      <c r="M455" s="52"/>
      <c r="N455" s="52">
        <v>3.0</v>
      </c>
      <c r="O455" s="43">
        <v>1.0</v>
      </c>
      <c r="P455" s="52">
        <v>1.0</v>
      </c>
      <c r="Q455" s="54">
        <v>210.0</v>
      </c>
      <c r="R455" s="55">
        <v>210.0</v>
      </c>
      <c r="S455" s="56" t="str">
        <f t="shared" si="15"/>
        <v>Rentabilidad $1,500,000</v>
      </c>
      <c r="T455" s="52" t="s">
        <v>78</v>
      </c>
      <c r="U455" s="142" t="s">
        <v>184</v>
      </c>
      <c r="V455" s="43" t="s">
        <v>79</v>
      </c>
      <c r="W455" s="43"/>
      <c r="X455" s="52">
        <v>0.0</v>
      </c>
      <c r="Y455" s="43" t="s">
        <v>80</v>
      </c>
      <c r="Z455" s="58" t="s">
        <v>81</v>
      </c>
      <c r="AA455" s="59" t="str">
        <f>IF(Rentabilidad=0,"No aplica",TEXT(ROUND(Precio/Rentabilidad/12,0),0) &amp; " años")</f>
        <v>19 años</v>
      </c>
      <c r="AB455" s="60"/>
      <c r="AC455" s="61"/>
      <c r="AD455" s="62"/>
      <c r="AE455" s="63"/>
      <c r="AF455" s="64" t="s">
        <v>84</v>
      </c>
      <c r="AG455" s="63"/>
      <c r="AH455" s="65" t="s">
        <v>45</v>
      </c>
      <c r="AI455" s="63"/>
      <c r="AJ455" s="64" t="s">
        <v>1834</v>
      </c>
      <c r="AK455" s="44"/>
      <c r="AL455" s="45" t="s">
        <v>86</v>
      </c>
      <c r="AM455" s="52">
        <v>3.16752336E9</v>
      </c>
      <c r="AN455" s="45">
        <v>3.21454805E9</v>
      </c>
      <c r="AO455" s="52" t="s">
        <v>3033</v>
      </c>
      <c r="AP455" s="67" t="s">
        <v>3034</v>
      </c>
      <c r="AQ455" s="67"/>
      <c r="AR455" s="67"/>
      <c r="AS455" s="135">
        <v>1500000.0</v>
      </c>
      <c r="AT455" s="63">
        <v>0.0</v>
      </c>
      <c r="AU455" s="52">
        <v>0.0</v>
      </c>
      <c r="AV455" s="52">
        <v>0.0</v>
      </c>
      <c r="AW455" s="43" t="s">
        <v>88</v>
      </c>
      <c r="AX455" s="52">
        <v>0.0</v>
      </c>
      <c r="AY455" s="52">
        <v>0.0</v>
      </c>
      <c r="AZ455" s="52">
        <v>0.0</v>
      </c>
      <c r="BA455" s="43" t="s">
        <v>89</v>
      </c>
      <c r="BB455" s="52">
        <v>0.0</v>
      </c>
      <c r="BC455" s="109"/>
      <c r="BD455" s="70"/>
      <c r="BE455" s="70"/>
      <c r="BF455" s="130"/>
      <c r="BG455" s="73"/>
      <c r="BH455" s="73"/>
      <c r="BI455" s="73"/>
      <c r="BJ455" s="73"/>
      <c r="BK455" s="73"/>
      <c r="BL455" s="73"/>
      <c r="BM455" s="73"/>
      <c r="BN455" s="73"/>
      <c r="BO455" s="73"/>
      <c r="BP455" s="73"/>
      <c r="BQ455" s="73"/>
      <c r="BR455" s="73"/>
      <c r="BS455" s="73"/>
      <c r="BT455" s="73"/>
      <c r="BU455" s="73"/>
      <c r="BV455" s="73"/>
      <c r="BW455" s="74"/>
      <c r="BX455" s="74"/>
      <c r="BY455" s="63"/>
      <c r="BZ455" s="63"/>
    </row>
    <row r="456" ht="15.75" customHeight="1">
      <c r="A456" s="120" t="s">
        <v>3035</v>
      </c>
      <c r="B456" s="122" t="s">
        <v>443</v>
      </c>
      <c r="C456" s="43" t="s">
        <v>70</v>
      </c>
      <c r="D456" s="44" t="s">
        <v>82</v>
      </c>
      <c r="E456" s="45"/>
      <c r="F456" s="47">
        <v>3.5E8</v>
      </c>
      <c r="G456" s="44" t="str">
        <f t="shared" si="16"/>
        <v>$300'000.000 a $400'000.000</v>
      </c>
      <c r="H456" s="44"/>
      <c r="I456" s="44"/>
      <c r="J456" s="50" t="s">
        <v>183</v>
      </c>
      <c r="K456" s="51" t="s">
        <v>184</v>
      </c>
      <c r="L456" s="52">
        <v>4.0</v>
      </c>
      <c r="M456" s="52"/>
      <c r="N456" s="52">
        <v>3.0</v>
      </c>
      <c r="O456" s="43">
        <v>1.0</v>
      </c>
      <c r="P456" s="52">
        <v>2.0</v>
      </c>
      <c r="Q456" s="54"/>
      <c r="R456" s="55">
        <v>90.0</v>
      </c>
      <c r="S456" s="56" t="str">
        <f t="shared" si="15"/>
        <v> </v>
      </c>
      <c r="T456" s="52" t="s">
        <v>78</v>
      </c>
      <c r="U456" s="142" t="s">
        <v>77</v>
      </c>
      <c r="V456" s="43" t="s">
        <v>79</v>
      </c>
      <c r="W456" s="43"/>
      <c r="X456" s="52">
        <v>4.0</v>
      </c>
      <c r="Y456" s="43" t="s">
        <v>80</v>
      </c>
      <c r="Z456" s="58" t="s">
        <v>81</v>
      </c>
      <c r="AA456" s="59" t="str">
        <f>IF(Rentabilidad=0,"No aplica",TEXT(ROUND(Precio/Rentabilidad/12,0),0) &amp; " años")</f>
        <v>No aplica</v>
      </c>
      <c r="AB456" s="60"/>
      <c r="AC456" s="61"/>
      <c r="AD456" s="62"/>
      <c r="AE456" s="63"/>
      <c r="AF456" s="45" t="s">
        <v>105</v>
      </c>
      <c r="AG456" s="63"/>
      <c r="AH456" s="65" t="s">
        <v>45</v>
      </c>
      <c r="AI456" s="63"/>
      <c r="AJ456" s="64" t="s">
        <v>1834</v>
      </c>
      <c r="AK456" s="44"/>
      <c r="AL456" s="45" t="s">
        <v>2624</v>
      </c>
      <c r="AM456" s="52">
        <v>3.213348671E9</v>
      </c>
      <c r="AN456" s="45">
        <v>3.125324537E9</v>
      </c>
      <c r="AO456" s="52"/>
      <c r="AP456" s="67">
        <v>0.0</v>
      </c>
      <c r="AQ456" s="67"/>
      <c r="AR456" s="67"/>
      <c r="AS456" s="135">
        <v>0.0</v>
      </c>
      <c r="AT456" s="44">
        <v>0.0</v>
      </c>
      <c r="AU456" s="52">
        <v>0.0</v>
      </c>
      <c r="AV456" s="52">
        <v>0.0</v>
      </c>
      <c r="AW456" s="43" t="s">
        <v>88</v>
      </c>
      <c r="AX456" s="52">
        <v>0.0</v>
      </c>
      <c r="AY456" s="52">
        <v>0.0</v>
      </c>
      <c r="AZ456" s="52">
        <v>0.0</v>
      </c>
      <c r="BA456" s="43" t="s">
        <v>89</v>
      </c>
      <c r="BB456" s="52">
        <v>0.0</v>
      </c>
      <c r="BC456" s="95" t="s">
        <v>1109</v>
      </c>
      <c r="BD456" s="71"/>
      <c r="BE456" s="71"/>
      <c r="BF456" s="72"/>
      <c r="BG456" s="73"/>
      <c r="BH456" s="73"/>
      <c r="BI456" s="73"/>
      <c r="BJ456" s="73"/>
      <c r="BK456" s="73"/>
      <c r="BL456" s="73"/>
      <c r="BM456" s="73"/>
      <c r="BN456" s="73"/>
      <c r="BO456" s="73"/>
      <c r="BP456" s="73"/>
      <c r="BQ456" s="73"/>
      <c r="BR456" s="73"/>
      <c r="BS456" s="73"/>
      <c r="BT456" s="73"/>
      <c r="BU456" s="73"/>
      <c r="BV456" s="73"/>
      <c r="BW456" s="74"/>
      <c r="BX456" s="74"/>
      <c r="BY456" s="63"/>
      <c r="BZ456" s="63"/>
    </row>
    <row r="457" ht="15.75" customHeight="1">
      <c r="A457" s="120" t="s">
        <v>3036</v>
      </c>
      <c r="B457" s="122" t="s">
        <v>3037</v>
      </c>
      <c r="C457" s="50" t="s">
        <v>573</v>
      </c>
      <c r="D457" s="45" t="s">
        <v>205</v>
      </c>
      <c r="E457" s="222"/>
      <c r="F457" s="47">
        <v>3.5E8</v>
      </c>
      <c r="G457" s="44" t="str">
        <f t="shared" si="16"/>
        <v>$300'000.000 a $400'000.000</v>
      </c>
      <c r="H457" s="44"/>
      <c r="I457" s="44"/>
      <c r="J457" s="43" t="s">
        <v>76</v>
      </c>
      <c r="K457" s="119" t="s">
        <v>77</v>
      </c>
      <c r="L457" s="52">
        <v>3.0</v>
      </c>
      <c r="M457" s="52"/>
      <c r="N457" s="52">
        <v>4.0</v>
      </c>
      <c r="O457" s="43">
        <v>0.0</v>
      </c>
      <c r="P457" s="43">
        <v>1.0</v>
      </c>
      <c r="Q457" s="54"/>
      <c r="R457" s="55">
        <v>200.0</v>
      </c>
      <c r="S457" s="56" t="str">
        <f t="shared" si="15"/>
        <v>Rentabilidad $3,000,000</v>
      </c>
      <c r="T457" s="52" t="s">
        <v>78</v>
      </c>
      <c r="U457" s="142" t="s">
        <v>154</v>
      </c>
      <c r="V457" s="43" t="s">
        <v>118</v>
      </c>
      <c r="W457" s="43"/>
      <c r="X457" s="52">
        <v>3.0</v>
      </c>
      <c r="Y457" s="43" t="s">
        <v>80</v>
      </c>
      <c r="Z457" s="58" t="s">
        <v>81</v>
      </c>
      <c r="AA457" s="59" t="str">
        <f>IF(Rentabilidad=0,"No aplica",TEXT(ROUND(Precio/Rentabilidad/12,0),0) &amp; " años")</f>
        <v>10 años</v>
      </c>
      <c r="AB457" s="60"/>
      <c r="AC457" s="131" t="s">
        <v>1818</v>
      </c>
      <c r="AD457" s="62"/>
      <c r="AE457" s="63"/>
      <c r="AF457" s="45" t="s">
        <v>105</v>
      </c>
      <c r="AG457" s="63"/>
      <c r="AH457" s="65" t="s">
        <v>45</v>
      </c>
      <c r="AI457" s="63"/>
      <c r="AJ457" s="64" t="s">
        <v>1834</v>
      </c>
      <c r="AK457" s="44"/>
      <c r="AL457" s="45" t="s">
        <v>3006</v>
      </c>
      <c r="AM457" s="52">
        <v>3.133759534E9</v>
      </c>
      <c r="AN457" s="45">
        <v>0.0</v>
      </c>
      <c r="AO457" s="52" t="s">
        <v>3038</v>
      </c>
      <c r="AP457" s="67" t="s">
        <v>3039</v>
      </c>
      <c r="AQ457" s="67"/>
      <c r="AR457" s="67"/>
      <c r="AS457" s="135">
        <v>3000000.0</v>
      </c>
      <c r="AT457" s="44">
        <v>0.0</v>
      </c>
      <c r="AU457" s="52">
        <v>0.0</v>
      </c>
      <c r="AV457" s="52">
        <v>0.0</v>
      </c>
      <c r="AW457" s="43" t="s">
        <v>88</v>
      </c>
      <c r="AX457" s="52">
        <v>0.0</v>
      </c>
      <c r="AY457" s="52">
        <v>0.0</v>
      </c>
      <c r="AZ457" s="52">
        <v>0.0</v>
      </c>
      <c r="BA457" s="43" t="s">
        <v>89</v>
      </c>
      <c r="BB457" s="52">
        <v>0.0</v>
      </c>
      <c r="BC457" s="69" t="s">
        <v>1137</v>
      </c>
      <c r="BD457" s="70"/>
      <c r="BE457" s="70"/>
      <c r="BF457" s="72"/>
      <c r="BG457" s="73"/>
      <c r="BH457" s="73"/>
      <c r="BI457" s="73"/>
      <c r="BJ457" s="73"/>
      <c r="BK457" s="73"/>
      <c r="BL457" s="73"/>
      <c r="BM457" s="73"/>
      <c r="BN457" s="73"/>
      <c r="BO457" s="73"/>
      <c r="BP457" s="73"/>
      <c r="BQ457" s="73"/>
      <c r="BR457" s="73"/>
      <c r="BS457" s="73"/>
      <c r="BT457" s="73"/>
      <c r="BU457" s="73"/>
      <c r="BV457" s="73"/>
      <c r="BW457" s="74"/>
      <c r="BX457" s="74"/>
      <c r="BY457" s="63"/>
      <c r="BZ457" s="63"/>
    </row>
    <row r="458" ht="15.75" customHeight="1">
      <c r="A458" s="120" t="s">
        <v>3040</v>
      </c>
      <c r="B458" s="112" t="s">
        <v>3028</v>
      </c>
      <c r="C458" s="50" t="s">
        <v>271</v>
      </c>
      <c r="D458" s="43" t="s">
        <v>2961</v>
      </c>
      <c r="E458" s="77" t="s">
        <v>376</v>
      </c>
      <c r="F458" s="47">
        <v>3.5E8</v>
      </c>
      <c r="G458" s="44" t="str">
        <f t="shared" si="16"/>
        <v>$300'000.000 a $400'000.000</v>
      </c>
      <c r="H458" s="44"/>
      <c r="I458" s="44"/>
      <c r="J458" s="43" t="s">
        <v>183</v>
      </c>
      <c r="K458" s="56"/>
      <c r="L458" s="52">
        <v>4.0</v>
      </c>
      <c r="M458" s="52"/>
      <c r="N458" s="52">
        <v>3.0</v>
      </c>
      <c r="O458" s="43">
        <v>2.0</v>
      </c>
      <c r="P458" s="52">
        <v>3.0</v>
      </c>
      <c r="Q458" s="54"/>
      <c r="R458" s="55">
        <v>112.0</v>
      </c>
      <c r="S458" s="56" t="str">
        <f t="shared" si="15"/>
        <v>Rentabilidad $1,600,000</v>
      </c>
      <c r="T458" s="52" t="s">
        <v>78</v>
      </c>
      <c r="U458" s="142" t="s">
        <v>184</v>
      </c>
      <c r="V458" s="43" t="s">
        <v>79</v>
      </c>
      <c r="W458" s="43"/>
      <c r="X458" s="52">
        <v>2.0</v>
      </c>
      <c r="Y458" s="43" t="s">
        <v>80</v>
      </c>
      <c r="Z458" s="58" t="s">
        <v>81</v>
      </c>
      <c r="AA458" s="59" t="str">
        <f>IF(Rentabilidad=0,"No aplica",TEXT(ROUND(Precio/Rentabilidad/12,0),0) &amp; " años")</f>
        <v>18 años</v>
      </c>
      <c r="AB458" s="60"/>
      <c r="AC458" s="61"/>
      <c r="AD458" s="62"/>
      <c r="AE458" s="63"/>
      <c r="AF458" s="45" t="s">
        <v>105</v>
      </c>
      <c r="AG458" s="63"/>
      <c r="AH458" s="65" t="s">
        <v>45</v>
      </c>
      <c r="AI458" s="63"/>
      <c r="AJ458" s="64" t="s">
        <v>1834</v>
      </c>
      <c r="AK458" s="44"/>
      <c r="AL458" s="45" t="s">
        <v>2624</v>
      </c>
      <c r="AM458" s="52">
        <v>3.108179657E9</v>
      </c>
      <c r="AN458" s="45">
        <v>3.123692743E9</v>
      </c>
      <c r="AO458" s="52" t="s">
        <v>3041</v>
      </c>
      <c r="AP458" s="67" t="s">
        <v>3042</v>
      </c>
      <c r="AQ458" s="67"/>
      <c r="AR458" s="67"/>
      <c r="AS458" s="135">
        <v>1600000.0</v>
      </c>
      <c r="AT458" s="44">
        <v>0.0</v>
      </c>
      <c r="AU458" s="44"/>
      <c r="AV458" s="44"/>
      <c r="AW458" s="44"/>
      <c r="AX458" s="44"/>
      <c r="AY458" s="44"/>
      <c r="AZ458" s="52">
        <v>8.0</v>
      </c>
      <c r="BA458" s="43" t="s">
        <v>89</v>
      </c>
      <c r="BB458" s="52">
        <v>14.0</v>
      </c>
      <c r="BC458" s="95"/>
      <c r="BD458" s="71"/>
      <c r="BE458" s="71"/>
      <c r="BF458" s="130"/>
      <c r="BG458" s="73"/>
      <c r="BH458" s="73"/>
      <c r="BI458" s="73"/>
      <c r="BJ458" s="73"/>
      <c r="BK458" s="73"/>
      <c r="BL458" s="73"/>
      <c r="BM458" s="73"/>
      <c r="BN458" s="73"/>
      <c r="BO458" s="73"/>
      <c r="BP458" s="73"/>
      <c r="BQ458" s="73"/>
      <c r="BR458" s="73"/>
      <c r="BS458" s="73"/>
      <c r="BT458" s="73"/>
      <c r="BU458" s="73"/>
      <c r="BV458" s="73"/>
      <c r="BW458" s="74"/>
      <c r="BX458" s="74"/>
      <c r="BY458" s="63"/>
      <c r="BZ458" s="63"/>
    </row>
    <row r="459" ht="15.75" customHeight="1">
      <c r="A459" s="120" t="s">
        <v>3043</v>
      </c>
      <c r="B459" s="112" t="s">
        <v>2914</v>
      </c>
      <c r="C459" s="50" t="s">
        <v>271</v>
      </c>
      <c r="D459" s="43" t="s">
        <v>131</v>
      </c>
      <c r="E459" s="77" t="s">
        <v>376</v>
      </c>
      <c r="F459" s="47">
        <v>3.5E8</v>
      </c>
      <c r="G459" s="44" t="str">
        <f t="shared" si="16"/>
        <v>$300'000.000 a $400'000.000</v>
      </c>
      <c r="H459" s="44"/>
      <c r="I459" s="44"/>
      <c r="J459" s="43" t="s">
        <v>183</v>
      </c>
      <c r="K459" s="56"/>
      <c r="L459" s="52">
        <v>7.0</v>
      </c>
      <c r="M459" s="52"/>
      <c r="N459" s="52">
        <v>4.0</v>
      </c>
      <c r="O459" s="43">
        <v>2.0</v>
      </c>
      <c r="P459" s="52">
        <v>3.0</v>
      </c>
      <c r="Q459" s="54"/>
      <c r="R459" s="55">
        <v>114.8</v>
      </c>
      <c r="S459" s="56" t="str">
        <f t="shared" si="15"/>
        <v>Rentabilidad $1,300,000</v>
      </c>
      <c r="T459" s="52" t="s">
        <v>78</v>
      </c>
      <c r="U459" s="142" t="s">
        <v>184</v>
      </c>
      <c r="V459" s="43" t="s">
        <v>79</v>
      </c>
      <c r="W459" s="43"/>
      <c r="X459" s="52">
        <v>4.0</v>
      </c>
      <c r="Y459" s="43" t="s">
        <v>80</v>
      </c>
      <c r="Z459" s="58" t="s">
        <v>81</v>
      </c>
      <c r="AA459" s="59" t="str">
        <f>IF(Rentabilidad=0,"No aplica",TEXT(ROUND(Precio/Rentabilidad/12,0),0) &amp; " años")</f>
        <v>22 años</v>
      </c>
      <c r="AB459" s="60"/>
      <c r="AC459" s="61"/>
      <c r="AD459" s="62"/>
      <c r="AE459" s="63"/>
      <c r="AF459" s="64" t="s">
        <v>236</v>
      </c>
      <c r="AG459" s="63"/>
      <c r="AH459" s="65" t="s">
        <v>45</v>
      </c>
      <c r="AI459" s="63"/>
      <c r="AJ459" s="64" t="s">
        <v>1834</v>
      </c>
      <c r="AK459" s="44"/>
      <c r="AL459" s="45" t="s">
        <v>86</v>
      </c>
      <c r="AM459" s="52">
        <v>3.173542364E9</v>
      </c>
      <c r="AN459" s="45">
        <v>3.176461556E9</v>
      </c>
      <c r="AO459" s="52" t="s">
        <v>2698</v>
      </c>
      <c r="AP459" s="67" t="s">
        <v>3044</v>
      </c>
      <c r="AQ459" s="67"/>
      <c r="AR459" s="67"/>
      <c r="AS459" s="135">
        <v>1300000.0</v>
      </c>
      <c r="AT459" s="44">
        <v>0.0</v>
      </c>
      <c r="AU459" s="52">
        <v>0.0</v>
      </c>
      <c r="AV459" s="52">
        <v>0.0</v>
      </c>
      <c r="AW459" s="43" t="s">
        <v>88</v>
      </c>
      <c r="AX459" s="52">
        <v>0.0</v>
      </c>
      <c r="AY459" s="52">
        <v>0.0</v>
      </c>
      <c r="AZ459" s="52">
        <v>8.2</v>
      </c>
      <c r="BA459" s="43" t="s">
        <v>89</v>
      </c>
      <c r="BB459" s="52">
        <v>14.0</v>
      </c>
      <c r="BC459" s="95" t="s">
        <v>3045</v>
      </c>
      <c r="BD459" s="71"/>
      <c r="BE459" s="71"/>
      <c r="BF459" s="130"/>
      <c r="BG459" s="74"/>
      <c r="BH459" s="74"/>
      <c r="BI459" s="74"/>
      <c r="BJ459" s="74"/>
      <c r="BK459" s="74"/>
      <c r="BL459" s="74"/>
      <c r="BM459" s="74"/>
      <c r="BN459" s="74"/>
      <c r="BO459" s="74"/>
      <c r="BP459" s="74"/>
      <c r="BQ459" s="74"/>
      <c r="BR459" s="74"/>
      <c r="BS459" s="74"/>
      <c r="BT459" s="74"/>
      <c r="BU459" s="74"/>
      <c r="BV459" s="74"/>
      <c r="BW459" s="74"/>
      <c r="BX459" s="74"/>
      <c r="BY459" s="63"/>
      <c r="BZ459" s="63"/>
    </row>
    <row r="460" ht="15.75" customHeight="1">
      <c r="A460" s="120" t="s">
        <v>3046</v>
      </c>
      <c r="B460" s="112" t="s">
        <v>3047</v>
      </c>
      <c r="C460" s="50" t="s">
        <v>271</v>
      </c>
      <c r="D460" s="43" t="s">
        <v>389</v>
      </c>
      <c r="E460" s="77" t="s">
        <v>376</v>
      </c>
      <c r="F460" s="47">
        <v>3.5E8</v>
      </c>
      <c r="G460" s="44" t="str">
        <f t="shared" si="16"/>
        <v>$300'000.000 a $400'000.000</v>
      </c>
      <c r="H460" s="44"/>
      <c r="I460" s="44"/>
      <c r="J460" s="43" t="s">
        <v>76</v>
      </c>
      <c r="K460" s="56" t="s">
        <v>77</v>
      </c>
      <c r="L460" s="52">
        <v>3.0</v>
      </c>
      <c r="M460" s="52"/>
      <c r="N460" s="52">
        <v>1.0</v>
      </c>
      <c r="O460" s="43">
        <v>0.0</v>
      </c>
      <c r="P460" s="52">
        <v>1.0</v>
      </c>
      <c r="Q460" s="54">
        <v>130.0</v>
      </c>
      <c r="R460" s="55">
        <v>129.0</v>
      </c>
      <c r="S460" s="56" t="str">
        <f t="shared" si="15"/>
        <v>Rentabilidad $800,000</v>
      </c>
      <c r="T460" s="52" t="s">
        <v>78</v>
      </c>
      <c r="U460" s="142" t="s">
        <v>184</v>
      </c>
      <c r="V460" s="153" t="s">
        <v>118</v>
      </c>
      <c r="W460" s="153"/>
      <c r="X460" s="52">
        <v>0.0</v>
      </c>
      <c r="Y460" s="43" t="s">
        <v>80</v>
      </c>
      <c r="Z460" s="58" t="s">
        <v>81</v>
      </c>
      <c r="AA460" s="59" t="str">
        <f>IF(Rentabilidad=0,"No aplica",TEXT(ROUND(Precio/Rentabilidad/12,0),0) &amp; " años")</f>
        <v>36 años</v>
      </c>
      <c r="AB460" s="134" t="s">
        <v>3048</v>
      </c>
      <c r="AC460" s="61"/>
      <c r="AD460" s="62"/>
      <c r="AE460" s="63"/>
      <c r="AF460" s="64" t="s">
        <v>84</v>
      </c>
      <c r="AG460" s="63"/>
      <c r="AH460" s="65" t="s">
        <v>45</v>
      </c>
      <c r="AI460" s="63"/>
      <c r="AJ460" s="64" t="s">
        <v>1834</v>
      </c>
      <c r="AK460" s="44"/>
      <c r="AL460" s="45" t="s">
        <v>109</v>
      </c>
      <c r="AM460" s="52">
        <v>3.208603617E9</v>
      </c>
      <c r="AN460" s="45">
        <v>0.0</v>
      </c>
      <c r="AO460" s="116" t="s">
        <v>3049</v>
      </c>
      <c r="AP460" s="67" t="s">
        <v>3050</v>
      </c>
      <c r="AQ460" s="67"/>
      <c r="AR460" s="67"/>
      <c r="AS460" s="303">
        <v>800000.0</v>
      </c>
      <c r="AT460" s="63">
        <v>0.0</v>
      </c>
      <c r="AU460" s="52">
        <v>0.0</v>
      </c>
      <c r="AV460" s="52">
        <v>0.0</v>
      </c>
      <c r="AW460" s="43" t="s">
        <v>88</v>
      </c>
      <c r="AX460" s="52">
        <v>0.0</v>
      </c>
      <c r="AY460" s="52">
        <v>0.0</v>
      </c>
      <c r="AZ460" s="52">
        <v>8.0</v>
      </c>
      <c r="BA460" s="43" t="s">
        <v>89</v>
      </c>
      <c r="BB460" s="52">
        <v>13.0</v>
      </c>
      <c r="BC460" s="109"/>
      <c r="BD460" s="70"/>
      <c r="BE460" s="71"/>
      <c r="BF460" s="72" t="s">
        <v>3051</v>
      </c>
      <c r="BG460" s="73"/>
      <c r="BH460" s="73"/>
      <c r="BI460" s="73"/>
      <c r="BJ460" s="73"/>
      <c r="BK460" s="73"/>
      <c r="BL460" s="73"/>
      <c r="BM460" s="73"/>
      <c r="BN460" s="73"/>
      <c r="BO460" s="73"/>
      <c r="BP460" s="73"/>
      <c r="BQ460" s="73"/>
      <c r="BR460" s="73"/>
      <c r="BS460" s="73"/>
      <c r="BT460" s="73"/>
      <c r="BU460" s="73"/>
      <c r="BV460" s="73"/>
      <c r="BW460" s="74"/>
      <c r="BX460" s="74"/>
      <c r="BY460" s="63"/>
      <c r="BZ460" s="63"/>
    </row>
    <row r="461" ht="15.75" customHeight="1">
      <c r="A461" s="120" t="s">
        <v>3052</v>
      </c>
      <c r="B461" s="122" t="s">
        <v>395</v>
      </c>
      <c r="C461" s="43" t="s">
        <v>70</v>
      </c>
      <c r="D461" s="50" t="s">
        <v>72</v>
      </c>
      <c r="E461" s="77" t="s">
        <v>376</v>
      </c>
      <c r="F461" s="47">
        <v>3.5E8</v>
      </c>
      <c r="G461" s="44" t="str">
        <f t="shared" si="16"/>
        <v>$300'000.000 a $400'000.000</v>
      </c>
      <c r="H461" s="44"/>
      <c r="I461" s="44"/>
      <c r="J461" s="50" t="s">
        <v>183</v>
      </c>
      <c r="K461" s="51" t="s">
        <v>184</v>
      </c>
      <c r="L461" s="52">
        <v>4.0</v>
      </c>
      <c r="M461" s="52"/>
      <c r="N461" s="52">
        <v>2.0</v>
      </c>
      <c r="O461" s="43">
        <v>1.0</v>
      </c>
      <c r="P461" s="52">
        <v>2.0</v>
      </c>
      <c r="Q461" s="54">
        <v>180.0</v>
      </c>
      <c r="R461" s="55">
        <v>180.0</v>
      </c>
      <c r="S461" s="56" t="str">
        <f t="shared" si="15"/>
        <v>Rentabilidad $1,000,000</v>
      </c>
      <c r="T461" s="52" t="s">
        <v>78</v>
      </c>
      <c r="U461" s="142" t="s">
        <v>77</v>
      </c>
      <c r="V461" s="43" t="s">
        <v>118</v>
      </c>
      <c r="W461" s="43"/>
      <c r="X461" s="52">
        <v>0.0</v>
      </c>
      <c r="Y461" s="43" t="s">
        <v>80</v>
      </c>
      <c r="Z461" s="58" t="s">
        <v>81</v>
      </c>
      <c r="AA461" s="59" t="str">
        <f>IF(Rentabilidad=0,"No aplica",TEXT(ROUND(Precio/Rentabilidad/12,0),0) &amp; " años")</f>
        <v>29 años</v>
      </c>
      <c r="AB461" s="195"/>
      <c r="AC461" s="61"/>
      <c r="AD461" s="62"/>
      <c r="AE461" s="63"/>
      <c r="AF461" s="45" t="s">
        <v>105</v>
      </c>
      <c r="AG461" s="63"/>
      <c r="AH461" s="65" t="s">
        <v>45</v>
      </c>
      <c r="AI461" s="63"/>
      <c r="AJ461" s="64" t="s">
        <v>1834</v>
      </c>
      <c r="AK461" s="44"/>
      <c r="AL461" s="45" t="s">
        <v>3053</v>
      </c>
      <c r="AM461" s="52">
        <v>3.143863474E9</v>
      </c>
      <c r="AN461" s="45">
        <v>0.0</v>
      </c>
      <c r="AO461" s="52" t="s">
        <v>3054</v>
      </c>
      <c r="AP461" s="67">
        <v>0.0</v>
      </c>
      <c r="AQ461" s="67"/>
      <c r="AR461" s="67"/>
      <c r="AS461" s="135">
        <v>1000000.0</v>
      </c>
      <c r="AT461" s="63">
        <v>0.0</v>
      </c>
      <c r="AU461" s="52">
        <v>0.0</v>
      </c>
      <c r="AV461" s="52">
        <v>0.0</v>
      </c>
      <c r="AW461" s="43" t="s">
        <v>88</v>
      </c>
      <c r="AX461" s="52">
        <v>0.0</v>
      </c>
      <c r="AY461" s="52">
        <v>0.0</v>
      </c>
      <c r="AZ461" s="52">
        <v>10.0</v>
      </c>
      <c r="BA461" s="43" t="s">
        <v>89</v>
      </c>
      <c r="BB461" s="52">
        <v>18.0</v>
      </c>
      <c r="BC461" s="95"/>
      <c r="BD461" s="71"/>
      <c r="BE461" s="71"/>
      <c r="BF461" s="72"/>
      <c r="BG461" s="73"/>
      <c r="BH461" s="73"/>
      <c r="BI461" s="73"/>
      <c r="BJ461" s="73"/>
      <c r="BK461" s="73"/>
      <c r="BL461" s="73"/>
      <c r="BM461" s="73"/>
      <c r="BN461" s="73"/>
      <c r="BO461" s="73"/>
      <c r="BP461" s="73"/>
      <c r="BQ461" s="73"/>
      <c r="BR461" s="73"/>
      <c r="BS461" s="73"/>
      <c r="BT461" s="73"/>
      <c r="BU461" s="73"/>
      <c r="BV461" s="73"/>
      <c r="BW461" s="74"/>
      <c r="BX461" s="74"/>
      <c r="BY461" s="63"/>
      <c r="BZ461" s="63"/>
    </row>
    <row r="462" ht="15.75" customHeight="1">
      <c r="A462" s="133" t="s">
        <v>3055</v>
      </c>
      <c r="B462" s="50" t="s">
        <v>2715</v>
      </c>
      <c r="C462" s="50" t="s">
        <v>1228</v>
      </c>
      <c r="D462" s="44" t="s">
        <v>11</v>
      </c>
      <c r="E462" s="77" t="s">
        <v>376</v>
      </c>
      <c r="F462" s="78">
        <v>3.5E8</v>
      </c>
      <c r="G462" s="44" t="str">
        <f t="shared" si="16"/>
        <v>$300'000.000 a $400'000.000</v>
      </c>
      <c r="H462" s="44"/>
      <c r="I462" s="44"/>
      <c r="J462" s="50" t="s">
        <v>183</v>
      </c>
      <c r="K462" s="51" t="s">
        <v>184</v>
      </c>
      <c r="L462" s="52">
        <v>4.0</v>
      </c>
      <c r="M462" s="52"/>
      <c r="N462" s="52">
        <v>2.0</v>
      </c>
      <c r="O462" s="43">
        <v>0.0</v>
      </c>
      <c r="P462" s="44">
        <v>1.0</v>
      </c>
      <c r="Q462" s="113">
        <v>131.0</v>
      </c>
      <c r="R462" s="55">
        <v>72.0</v>
      </c>
      <c r="S462" s="56" t="str">
        <f t="shared" si="15"/>
        <v>Rentabilidad $650,000</v>
      </c>
      <c r="T462" s="44" t="s">
        <v>78</v>
      </c>
      <c r="U462" s="57" t="s">
        <v>184</v>
      </c>
      <c r="V462" s="43" t="s">
        <v>79</v>
      </c>
      <c r="W462" s="43"/>
      <c r="X462" s="52">
        <v>0.0</v>
      </c>
      <c r="Y462" s="94" t="s">
        <v>80</v>
      </c>
      <c r="Z462" s="80" t="s">
        <v>81</v>
      </c>
      <c r="AA462" s="59" t="str">
        <f>IF(Rentabilidad=0,"No aplica",TEXT(ROUND(Precio/Rentabilidad/12,0),0) &amp; " años")</f>
        <v>45 años</v>
      </c>
      <c r="AB462" s="195"/>
      <c r="AC462" s="61"/>
      <c r="AD462" s="62"/>
      <c r="AE462" s="63"/>
      <c r="AF462" s="64" t="s">
        <v>84</v>
      </c>
      <c r="AG462" s="63"/>
      <c r="AH462" s="65" t="s">
        <v>45</v>
      </c>
      <c r="AI462" s="63"/>
      <c r="AJ462" s="64" t="s">
        <v>1834</v>
      </c>
      <c r="AK462" s="44"/>
      <c r="AL462" s="45" t="s">
        <v>109</v>
      </c>
      <c r="AM462" s="52">
        <v>3.102030568E9</v>
      </c>
      <c r="AN462" s="45" t="s">
        <v>3056</v>
      </c>
      <c r="AO462" s="52" t="s">
        <v>3057</v>
      </c>
      <c r="AP462" s="67" t="s">
        <v>3058</v>
      </c>
      <c r="AQ462" s="67"/>
      <c r="AR462" s="67"/>
      <c r="AS462" s="68">
        <v>650000.0</v>
      </c>
      <c r="AT462" s="44">
        <v>0.0</v>
      </c>
      <c r="AU462" s="52">
        <v>0.0</v>
      </c>
      <c r="AV462" s="52">
        <v>0.0</v>
      </c>
      <c r="AW462" s="43" t="s">
        <v>88</v>
      </c>
      <c r="AX462" s="52">
        <v>0.0</v>
      </c>
      <c r="AY462" s="52">
        <v>0.0</v>
      </c>
      <c r="AZ462" s="44">
        <v>4.0</v>
      </c>
      <c r="BA462" s="43" t="s">
        <v>89</v>
      </c>
      <c r="BB462" s="44">
        <v>18.0</v>
      </c>
      <c r="BC462" s="69" t="s">
        <v>732</v>
      </c>
      <c r="BD462" s="70"/>
      <c r="BE462" s="71"/>
      <c r="BF462" s="130"/>
      <c r="BG462" s="73"/>
      <c r="BH462" s="73"/>
      <c r="BI462" s="73"/>
      <c r="BJ462" s="73"/>
      <c r="BK462" s="73"/>
      <c r="BL462" s="73"/>
      <c r="BM462" s="73"/>
      <c r="BN462" s="73"/>
      <c r="BO462" s="73"/>
      <c r="BP462" s="73"/>
      <c r="BQ462" s="73"/>
      <c r="BR462" s="73"/>
      <c r="BS462" s="73"/>
      <c r="BT462" s="73"/>
      <c r="BU462" s="73"/>
      <c r="BV462" s="73"/>
      <c r="BW462" s="74"/>
      <c r="BX462" s="74"/>
      <c r="BY462" s="63"/>
      <c r="BZ462" s="63"/>
    </row>
    <row r="463" ht="15.75" customHeight="1">
      <c r="A463" s="133" t="s">
        <v>3059</v>
      </c>
      <c r="B463" s="122" t="s">
        <v>3060</v>
      </c>
      <c r="C463" s="43" t="s">
        <v>573</v>
      </c>
      <c r="D463" s="52" t="s">
        <v>389</v>
      </c>
      <c r="E463" s="77" t="s">
        <v>376</v>
      </c>
      <c r="F463" s="47">
        <v>3.5E8</v>
      </c>
      <c r="G463" s="44" t="str">
        <f t="shared" si="16"/>
        <v>$300'000.000 a $400'000.000</v>
      </c>
      <c r="H463" s="44"/>
      <c r="I463" s="44"/>
      <c r="J463" s="43" t="s">
        <v>76</v>
      </c>
      <c r="K463" s="56" t="s">
        <v>77</v>
      </c>
      <c r="L463" s="52">
        <v>2.0</v>
      </c>
      <c r="M463" s="52"/>
      <c r="N463" s="52">
        <v>1.0</v>
      </c>
      <c r="O463" s="43">
        <v>0.0</v>
      </c>
      <c r="P463" s="52">
        <v>1.0</v>
      </c>
      <c r="Q463" s="54">
        <v>85.0</v>
      </c>
      <c r="R463" s="55">
        <v>85.0</v>
      </c>
      <c r="S463" s="56" t="str">
        <f t="shared" si="15"/>
        <v> </v>
      </c>
      <c r="T463" s="52" t="s">
        <v>78</v>
      </c>
      <c r="U463" s="142" t="s">
        <v>77</v>
      </c>
      <c r="V463" s="43" t="s">
        <v>79</v>
      </c>
      <c r="W463" s="43"/>
      <c r="X463" s="52">
        <v>0.0</v>
      </c>
      <c r="Y463" s="94" t="s">
        <v>80</v>
      </c>
      <c r="Z463" s="80" t="s">
        <v>81</v>
      </c>
      <c r="AA463" s="59" t="str">
        <f>IF(Rentabilidad=0,"No aplica",TEXT(ROUND(Precio/Rentabilidad/12,0),0) &amp; " años")</f>
        <v>No aplica</v>
      </c>
      <c r="AB463" s="60"/>
      <c r="AC463" s="61"/>
      <c r="AD463" s="62"/>
      <c r="AE463" s="63"/>
      <c r="AF463" s="64" t="s">
        <v>84</v>
      </c>
      <c r="AG463" s="63"/>
      <c r="AH463" s="65" t="s">
        <v>45</v>
      </c>
      <c r="AI463" s="63"/>
      <c r="AJ463" s="64" t="s">
        <v>1834</v>
      </c>
      <c r="AK463" s="44"/>
      <c r="AL463" s="45" t="s">
        <v>86</v>
      </c>
      <c r="AM463" s="52">
        <v>3.133502335E9</v>
      </c>
      <c r="AN463" s="45">
        <v>0.0</v>
      </c>
      <c r="AO463" s="52" t="s">
        <v>3061</v>
      </c>
      <c r="AP463" s="67" t="s">
        <v>3062</v>
      </c>
      <c r="AQ463" s="67"/>
      <c r="AR463" s="67"/>
      <c r="AS463" s="135">
        <v>0.0</v>
      </c>
      <c r="AT463" s="44">
        <v>0.0</v>
      </c>
      <c r="AU463" s="52">
        <v>0.0</v>
      </c>
      <c r="AV463" s="52">
        <v>0.0</v>
      </c>
      <c r="AW463" s="43" t="s">
        <v>88</v>
      </c>
      <c r="AX463" s="52">
        <v>0.0</v>
      </c>
      <c r="AY463" s="52">
        <v>0.0</v>
      </c>
      <c r="AZ463" s="52">
        <v>5.0</v>
      </c>
      <c r="BA463" s="43" t="s">
        <v>89</v>
      </c>
      <c r="BB463" s="52">
        <v>17.0</v>
      </c>
      <c r="BC463" s="95"/>
      <c r="BD463" s="71"/>
      <c r="BE463" s="71"/>
      <c r="BF463" s="130"/>
      <c r="BG463" s="73"/>
      <c r="BH463" s="73"/>
      <c r="BI463" s="73"/>
      <c r="BJ463" s="73"/>
      <c r="BK463" s="73"/>
      <c r="BL463" s="73"/>
      <c r="BM463" s="73"/>
      <c r="BN463" s="73"/>
      <c r="BO463" s="73"/>
      <c r="BP463" s="73"/>
      <c r="BQ463" s="73"/>
      <c r="BR463" s="73"/>
      <c r="BS463" s="73"/>
      <c r="BT463" s="73"/>
      <c r="BU463" s="73"/>
      <c r="BV463" s="73"/>
      <c r="BW463" s="74"/>
      <c r="BX463" s="74"/>
      <c r="BY463" s="63"/>
      <c r="BZ463" s="63"/>
    </row>
    <row r="464" ht="15.75" customHeight="1">
      <c r="A464" s="41" t="s">
        <v>3063</v>
      </c>
      <c r="B464" s="122" t="s">
        <v>2715</v>
      </c>
      <c r="C464" s="43" t="s">
        <v>1228</v>
      </c>
      <c r="D464" s="44" t="s">
        <v>11</v>
      </c>
      <c r="E464" s="45"/>
      <c r="F464" s="47">
        <v>3.45E8</v>
      </c>
      <c r="G464" s="44" t="str">
        <f t="shared" si="16"/>
        <v>$300'000.000 a $400'000.000</v>
      </c>
      <c r="H464" s="44"/>
      <c r="I464" s="44"/>
      <c r="J464" s="50" t="s">
        <v>183</v>
      </c>
      <c r="K464" s="51" t="s">
        <v>184</v>
      </c>
      <c r="L464" s="44">
        <v>2.0</v>
      </c>
      <c r="M464" s="44"/>
      <c r="N464" s="44">
        <v>1.0</v>
      </c>
      <c r="O464" s="50">
        <v>1.0</v>
      </c>
      <c r="P464" s="44">
        <v>1.0</v>
      </c>
      <c r="Q464" s="113">
        <v>30.0</v>
      </c>
      <c r="R464" s="79">
        <v>3355.0</v>
      </c>
      <c r="S464" s="56" t="str">
        <f t="shared" si="15"/>
        <v> </v>
      </c>
      <c r="T464" s="52" t="s">
        <v>78</v>
      </c>
      <c r="U464" s="142" t="s">
        <v>184</v>
      </c>
      <c r="V464" s="50" t="s">
        <v>118</v>
      </c>
      <c r="W464" s="50"/>
      <c r="X464" s="44">
        <v>0.0</v>
      </c>
      <c r="Y464" s="50" t="s">
        <v>80</v>
      </c>
      <c r="Z464" s="58" t="s">
        <v>81</v>
      </c>
      <c r="AA464" s="59" t="str">
        <f>IF(Rentabilidad=0,"No aplica",TEXT(ROUND(Precio/Rentabilidad/12,0),0) &amp; " años")</f>
        <v>No aplica</v>
      </c>
      <c r="AB464" s="220"/>
      <c r="AC464" s="61"/>
      <c r="AD464" s="62"/>
      <c r="AE464" s="63"/>
      <c r="AF464" s="45" t="s">
        <v>236</v>
      </c>
      <c r="AG464" s="63"/>
      <c r="AH464" s="65" t="s">
        <v>45</v>
      </c>
      <c r="AI464" s="63"/>
      <c r="AJ464" s="64" t="s">
        <v>1834</v>
      </c>
      <c r="AK464" s="44"/>
      <c r="AL464" s="45" t="s">
        <v>86</v>
      </c>
      <c r="AM464" s="44">
        <v>3.213952415E9</v>
      </c>
      <c r="AN464" s="45">
        <v>3.016083166E9</v>
      </c>
      <c r="AO464" s="44" t="s">
        <v>3064</v>
      </c>
      <c r="AP464" s="67" t="s">
        <v>3065</v>
      </c>
      <c r="AQ464" s="67"/>
      <c r="AR464" s="67"/>
      <c r="AS464" s="68">
        <v>0.0</v>
      </c>
      <c r="AT464" s="44">
        <v>0.0</v>
      </c>
      <c r="AU464" s="44">
        <v>0.0</v>
      </c>
      <c r="AV464" s="44">
        <v>0.0</v>
      </c>
      <c r="AW464" s="50" t="s">
        <v>88</v>
      </c>
      <c r="AX464" s="44">
        <v>0.0</v>
      </c>
      <c r="AY464" s="44" t="s">
        <v>1609</v>
      </c>
      <c r="AZ464" s="44">
        <v>0.0</v>
      </c>
      <c r="BA464" s="43" t="s">
        <v>89</v>
      </c>
      <c r="BB464" s="44">
        <v>0.0</v>
      </c>
      <c r="BC464" s="69" t="s">
        <v>716</v>
      </c>
      <c r="BD464" s="70"/>
      <c r="BE464" s="70"/>
      <c r="BF464" s="72"/>
      <c r="BG464" s="73"/>
      <c r="BH464" s="73"/>
      <c r="BI464" s="73"/>
      <c r="BJ464" s="73"/>
      <c r="BK464" s="73"/>
      <c r="BL464" s="73"/>
      <c r="BM464" s="73"/>
      <c r="BN464" s="73"/>
      <c r="BO464" s="73"/>
      <c r="BP464" s="73"/>
      <c r="BQ464" s="73"/>
      <c r="BR464" s="73"/>
      <c r="BS464" s="73"/>
      <c r="BT464" s="73"/>
      <c r="BU464" s="73"/>
      <c r="BV464" s="73"/>
      <c r="BW464" s="74"/>
      <c r="BX464" s="74"/>
      <c r="BY464" s="63"/>
      <c r="BZ464" s="63"/>
    </row>
    <row r="465" ht="15.75" customHeight="1">
      <c r="A465" s="75" t="s">
        <v>3066</v>
      </c>
      <c r="B465" s="50" t="s">
        <v>3067</v>
      </c>
      <c r="C465" s="50" t="s">
        <v>271</v>
      </c>
      <c r="D465" s="50" t="s">
        <v>11</v>
      </c>
      <c r="E465" s="77"/>
      <c r="F465" s="78">
        <v>3.4E8</v>
      </c>
      <c r="G465" s="44" t="str">
        <f t="shared" si="16"/>
        <v>$300'000.000 a $400'000.000</v>
      </c>
      <c r="H465" s="44"/>
      <c r="I465" s="44"/>
      <c r="J465" s="50" t="s">
        <v>183</v>
      </c>
      <c r="K465" s="51" t="s">
        <v>184</v>
      </c>
      <c r="L465" s="50">
        <v>6.0</v>
      </c>
      <c r="M465" s="50"/>
      <c r="N465" s="50">
        <v>4.0</v>
      </c>
      <c r="O465" s="50">
        <v>1.0</v>
      </c>
      <c r="P465" s="50">
        <v>1.0</v>
      </c>
      <c r="Q465" s="88"/>
      <c r="R465" s="88">
        <v>250.0</v>
      </c>
      <c r="S465" s="56" t="str">
        <f t="shared" si="15"/>
        <v>Rentabilidad $1,950,000</v>
      </c>
      <c r="T465" s="50" t="s">
        <v>78</v>
      </c>
      <c r="U465" s="51" t="s">
        <v>184</v>
      </c>
      <c r="V465" s="50" t="s">
        <v>79</v>
      </c>
      <c r="W465" s="50"/>
      <c r="X465" s="50">
        <v>0.0</v>
      </c>
      <c r="Y465" s="43" t="s">
        <v>80</v>
      </c>
      <c r="Z465" s="58" t="s">
        <v>81</v>
      </c>
      <c r="AA465" s="81" t="s">
        <v>81</v>
      </c>
      <c r="AB465" s="123"/>
      <c r="AC465" s="124"/>
      <c r="AD465" s="125"/>
      <c r="AE465" s="63"/>
      <c r="AF465" s="64" t="s">
        <v>236</v>
      </c>
      <c r="AG465" s="65"/>
      <c r="AH465" s="65" t="s">
        <v>45</v>
      </c>
      <c r="AI465" s="65"/>
      <c r="AJ465" s="64" t="s">
        <v>1834</v>
      </c>
      <c r="AK465" s="50"/>
      <c r="AL465" s="45"/>
      <c r="AM465" s="43">
        <v>3.105604358E9</v>
      </c>
      <c r="AN465" s="64">
        <v>3.20254083E9</v>
      </c>
      <c r="AO465" s="43" t="s">
        <v>3068</v>
      </c>
      <c r="AP465" s="84" t="s">
        <v>3069</v>
      </c>
      <c r="AQ465" s="84">
        <v>2.946515</v>
      </c>
      <c r="AR465" s="84">
        <v>-75.2915012</v>
      </c>
      <c r="AS465" s="85">
        <v>1950000.0</v>
      </c>
      <c r="AT465" s="50">
        <v>0.0</v>
      </c>
      <c r="AU465" s="50">
        <v>0.0</v>
      </c>
      <c r="AV465" s="50">
        <v>0.0</v>
      </c>
      <c r="AW465" s="50" t="s">
        <v>106</v>
      </c>
      <c r="AX465" s="50"/>
      <c r="AY465" s="50" t="s">
        <v>247</v>
      </c>
      <c r="AZ465" s="50">
        <v>10.0</v>
      </c>
      <c r="BA465" s="43" t="s">
        <v>89</v>
      </c>
      <c r="BB465" s="50">
        <v>25.0</v>
      </c>
      <c r="BC465" s="69" t="s">
        <v>455</v>
      </c>
      <c r="BD465" s="70"/>
      <c r="BE465" s="71"/>
      <c r="BF465" s="130"/>
      <c r="BG465" s="73"/>
      <c r="BH465" s="73"/>
      <c r="BI465" s="73"/>
      <c r="BJ465" s="73"/>
      <c r="BK465" s="73"/>
      <c r="BL465" s="73"/>
      <c r="BM465" s="73"/>
      <c r="BN465" s="73"/>
      <c r="BO465" s="73"/>
      <c r="BP465" s="73"/>
      <c r="BQ465" s="73"/>
      <c r="BR465" s="73"/>
      <c r="BS465" s="73"/>
      <c r="BT465" s="73"/>
      <c r="BU465" s="73"/>
      <c r="BV465" s="73"/>
      <c r="BW465" s="74"/>
      <c r="BX465" s="74"/>
      <c r="BY465" s="63"/>
      <c r="BZ465" s="63"/>
    </row>
    <row r="466" ht="15.75" customHeight="1">
      <c r="A466" s="120" t="s">
        <v>3070</v>
      </c>
      <c r="B466" s="112" t="s">
        <v>1778</v>
      </c>
      <c r="C466" s="50" t="s">
        <v>271</v>
      </c>
      <c r="D466" s="52" t="s">
        <v>11</v>
      </c>
      <c r="E466" s="77" t="s">
        <v>376</v>
      </c>
      <c r="F466" s="47">
        <v>3.4E8</v>
      </c>
      <c r="G466" s="44" t="str">
        <f t="shared" si="16"/>
        <v>$300'000.000 a $400'000.000</v>
      </c>
      <c r="H466" s="44"/>
      <c r="I466" s="44"/>
      <c r="J466" s="43" t="s">
        <v>183</v>
      </c>
      <c r="K466" s="51" t="s">
        <v>184</v>
      </c>
      <c r="L466" s="44">
        <v>5.0</v>
      </c>
      <c r="M466" s="44"/>
      <c r="N466" s="44">
        <v>3.0</v>
      </c>
      <c r="O466" s="50">
        <v>2.0</v>
      </c>
      <c r="P466" s="44">
        <v>1.0</v>
      </c>
      <c r="Q466" s="54">
        <v>255.0</v>
      </c>
      <c r="R466" s="55">
        <v>255.0</v>
      </c>
      <c r="S466" s="56" t="str">
        <f t="shared" si="15"/>
        <v>Rentabilidad $1,700,000</v>
      </c>
      <c r="T466" s="52" t="s">
        <v>78</v>
      </c>
      <c r="U466" s="57" t="s">
        <v>184</v>
      </c>
      <c r="V466" s="50" t="s">
        <v>79</v>
      </c>
      <c r="W466" s="50"/>
      <c r="X466" s="44">
        <v>0.0</v>
      </c>
      <c r="Y466" s="43" t="s">
        <v>80</v>
      </c>
      <c r="Z466" s="80" t="s">
        <v>81</v>
      </c>
      <c r="AA466" s="59" t="str">
        <f>IF(Rentabilidad=0,"No aplica",TEXT(ROUND(Precio/Rentabilidad/12,0),0) &amp; " años")</f>
        <v>17 años</v>
      </c>
      <c r="AB466" s="195"/>
      <c r="AC466" s="61"/>
      <c r="AD466" s="62"/>
      <c r="AE466" s="63"/>
      <c r="AF466" s="64" t="s">
        <v>84</v>
      </c>
      <c r="AG466" s="63"/>
      <c r="AH466" s="65" t="s">
        <v>45</v>
      </c>
      <c r="AI466" s="63"/>
      <c r="AJ466" s="64" t="s">
        <v>1834</v>
      </c>
      <c r="AK466" s="44"/>
      <c r="AL466" s="45" t="s">
        <v>86</v>
      </c>
      <c r="AM466" s="52">
        <v>3.154881105E9</v>
      </c>
      <c r="AN466" s="45">
        <v>3.107649581E9</v>
      </c>
      <c r="AO466" s="52" t="s">
        <v>3071</v>
      </c>
      <c r="AP466" s="67" t="s">
        <v>3072</v>
      </c>
      <c r="AQ466" s="67"/>
      <c r="AR466" s="67"/>
      <c r="AS466" s="68">
        <v>1700000.0</v>
      </c>
      <c r="AT466" s="44">
        <v>0.0</v>
      </c>
      <c r="AU466" s="44">
        <v>0.0</v>
      </c>
      <c r="AV466" s="44">
        <v>0.0</v>
      </c>
      <c r="AW466" s="50" t="s">
        <v>88</v>
      </c>
      <c r="AX466" s="44">
        <v>0.0</v>
      </c>
      <c r="AY466" s="44" t="s">
        <v>247</v>
      </c>
      <c r="AZ466" s="44">
        <v>0.0</v>
      </c>
      <c r="BA466" s="43" t="s">
        <v>89</v>
      </c>
      <c r="BB466" s="44">
        <v>0.0</v>
      </c>
      <c r="BC466" s="95" t="s">
        <v>3073</v>
      </c>
      <c r="BD466" s="71"/>
      <c r="BE466" s="71"/>
      <c r="BF466" s="72"/>
      <c r="BG466" s="73"/>
      <c r="BH466" s="73"/>
      <c r="BI466" s="73"/>
      <c r="BJ466" s="73"/>
      <c r="BK466" s="73"/>
      <c r="BL466" s="73"/>
      <c r="BM466" s="73"/>
      <c r="BN466" s="73"/>
      <c r="BO466" s="73"/>
      <c r="BP466" s="73"/>
      <c r="BQ466" s="73"/>
      <c r="BR466" s="73"/>
      <c r="BS466" s="73"/>
      <c r="BT466" s="73"/>
      <c r="BU466" s="73"/>
      <c r="BV466" s="73"/>
      <c r="BW466" s="74"/>
      <c r="BX466" s="74"/>
      <c r="BY466" s="63"/>
      <c r="BZ466" s="63"/>
    </row>
    <row r="467" ht="15.75" customHeight="1">
      <c r="A467" s="120" t="s">
        <v>3074</v>
      </c>
      <c r="B467" s="122" t="s">
        <v>388</v>
      </c>
      <c r="C467" s="43" t="s">
        <v>70</v>
      </c>
      <c r="D467" s="52" t="s">
        <v>389</v>
      </c>
      <c r="E467" s="45"/>
      <c r="F467" s="47">
        <v>3.3E8</v>
      </c>
      <c r="G467" s="44" t="str">
        <f t="shared" si="16"/>
        <v>$300'000.000 a $400'000.000</v>
      </c>
      <c r="H467" s="44"/>
      <c r="I467" s="44"/>
      <c r="J467" s="43" t="s">
        <v>76</v>
      </c>
      <c r="K467" s="56" t="s">
        <v>77</v>
      </c>
      <c r="L467" s="52">
        <v>5.0</v>
      </c>
      <c r="M467" s="52"/>
      <c r="N467" s="52">
        <v>4.0</v>
      </c>
      <c r="O467" s="43">
        <v>2.0</v>
      </c>
      <c r="P467" s="52">
        <v>2.0</v>
      </c>
      <c r="Q467" s="54">
        <v>280.0</v>
      </c>
      <c r="R467" s="55">
        <v>154.0</v>
      </c>
      <c r="S467" s="56" t="str">
        <f t="shared" si="15"/>
        <v> </v>
      </c>
      <c r="T467" s="52" t="s">
        <v>78</v>
      </c>
      <c r="U467" s="142" t="s">
        <v>77</v>
      </c>
      <c r="V467" s="43" t="s">
        <v>79</v>
      </c>
      <c r="W467" s="43"/>
      <c r="X467" s="52">
        <v>4.0</v>
      </c>
      <c r="Y467" s="43" t="s">
        <v>80</v>
      </c>
      <c r="Z467" s="58" t="s">
        <v>81</v>
      </c>
      <c r="AA467" s="59" t="str">
        <f>IF(Rentabilidad=0,"No aplica",TEXT(ROUND(Precio/Rentabilidad/12,0),0) &amp; " años")</f>
        <v>No aplica</v>
      </c>
      <c r="AB467" s="60"/>
      <c r="AC467" s="61"/>
      <c r="AD467" s="62"/>
      <c r="AE467" s="63"/>
      <c r="AF467" s="45" t="s">
        <v>105</v>
      </c>
      <c r="AG467" s="63"/>
      <c r="AH467" s="65" t="s">
        <v>45</v>
      </c>
      <c r="AI467" s="63"/>
      <c r="AJ467" s="64" t="s">
        <v>1834</v>
      </c>
      <c r="AK467" s="44"/>
      <c r="AL467" s="45" t="s">
        <v>2986</v>
      </c>
      <c r="AM467" s="52">
        <v>3.142395685E9</v>
      </c>
      <c r="AN467" s="45">
        <v>0.0</v>
      </c>
      <c r="AO467" s="52" t="s">
        <v>3075</v>
      </c>
      <c r="AP467" s="67" t="s">
        <v>3076</v>
      </c>
      <c r="AQ467" s="67"/>
      <c r="AR467" s="67"/>
      <c r="AS467" s="135">
        <v>0.0</v>
      </c>
      <c r="AT467" s="52">
        <v>0.0</v>
      </c>
      <c r="AU467" s="52">
        <v>0.0</v>
      </c>
      <c r="AV467" s="52">
        <v>0.0</v>
      </c>
      <c r="AW467" s="52" t="s">
        <v>106</v>
      </c>
      <c r="AX467" s="44">
        <v>0.0</v>
      </c>
      <c r="AY467" s="44">
        <v>0.0</v>
      </c>
      <c r="AZ467" s="52">
        <v>9.0</v>
      </c>
      <c r="BA467" s="43" t="s">
        <v>89</v>
      </c>
      <c r="BB467" s="52">
        <v>0.0</v>
      </c>
      <c r="BC467" s="109"/>
      <c r="BD467" s="70"/>
      <c r="BE467" s="71"/>
      <c r="BF467" s="130"/>
      <c r="BG467" s="73"/>
      <c r="BH467" s="73"/>
      <c r="BI467" s="73"/>
      <c r="BJ467" s="73"/>
      <c r="BK467" s="73"/>
      <c r="BL467" s="73"/>
      <c r="BM467" s="73"/>
      <c r="BN467" s="73"/>
      <c r="BO467" s="73"/>
      <c r="BP467" s="73"/>
      <c r="BQ467" s="73"/>
      <c r="BR467" s="73"/>
      <c r="BS467" s="73"/>
      <c r="BT467" s="73"/>
      <c r="BU467" s="73"/>
      <c r="BV467" s="73"/>
      <c r="BW467" s="74"/>
      <c r="BX467" s="74"/>
      <c r="BY467" s="63"/>
      <c r="BZ467" s="63"/>
    </row>
    <row r="468" ht="15.75" customHeight="1">
      <c r="A468" s="41" t="s">
        <v>3077</v>
      </c>
      <c r="B468" s="122" t="s">
        <v>443</v>
      </c>
      <c r="C468" s="43" t="s">
        <v>70</v>
      </c>
      <c r="D468" s="44" t="s">
        <v>82</v>
      </c>
      <c r="E468" s="45"/>
      <c r="F468" s="47">
        <v>3.3E8</v>
      </c>
      <c r="G468" s="44" t="str">
        <f t="shared" si="16"/>
        <v>$300'000.000 a $400'000.000</v>
      </c>
      <c r="H468" s="44"/>
      <c r="I468" s="44"/>
      <c r="J468" s="50" t="s">
        <v>183</v>
      </c>
      <c r="K468" s="51" t="s">
        <v>184</v>
      </c>
      <c r="L468" s="44">
        <v>4.0</v>
      </c>
      <c r="M468" s="44"/>
      <c r="N468" s="44">
        <v>3.0</v>
      </c>
      <c r="O468" s="50">
        <v>1.0</v>
      </c>
      <c r="P468" s="44">
        <v>2.0</v>
      </c>
      <c r="Q468" s="113">
        <v>140.0</v>
      </c>
      <c r="R468" s="79">
        <v>209.0</v>
      </c>
      <c r="S468" s="56" t="str">
        <f t="shared" si="15"/>
        <v> </v>
      </c>
      <c r="T468" s="50" t="s">
        <v>78</v>
      </c>
      <c r="U468" s="142" t="s">
        <v>77</v>
      </c>
      <c r="V468" s="50" t="s">
        <v>118</v>
      </c>
      <c r="W468" s="50"/>
      <c r="X468" s="44">
        <v>3.0</v>
      </c>
      <c r="Y468" s="50" t="s">
        <v>80</v>
      </c>
      <c r="Z468" s="58" t="s">
        <v>81</v>
      </c>
      <c r="AA468" s="59" t="str">
        <f>IF(Rentabilidad=0,"No aplica",TEXT(ROUND(Precio/Rentabilidad/12,0),0) &amp; " años")</f>
        <v>No aplica</v>
      </c>
      <c r="AB468" s="190"/>
      <c r="AC468" s="61"/>
      <c r="AD468" s="62"/>
      <c r="AE468" s="63"/>
      <c r="AF468" s="45" t="s">
        <v>105</v>
      </c>
      <c r="AG468" s="63"/>
      <c r="AH468" s="65" t="s">
        <v>45</v>
      </c>
      <c r="AI468" s="63"/>
      <c r="AJ468" s="64" t="s">
        <v>1834</v>
      </c>
      <c r="AK468" s="44"/>
      <c r="AL468" s="45" t="s">
        <v>109</v>
      </c>
      <c r="AM468" s="52">
        <v>3.118389887E9</v>
      </c>
      <c r="AN468" s="45">
        <v>0.0</v>
      </c>
      <c r="AO468" s="52" t="s">
        <v>3078</v>
      </c>
      <c r="AP468" s="67" t="s">
        <v>3079</v>
      </c>
      <c r="AQ468" s="67"/>
      <c r="AR468" s="67"/>
      <c r="AS468" s="68">
        <v>0.0</v>
      </c>
      <c r="AT468" s="44">
        <v>0.0</v>
      </c>
      <c r="AU468" s="44">
        <v>0.0</v>
      </c>
      <c r="AV468" s="44">
        <v>0.0</v>
      </c>
      <c r="AW468" s="50" t="s">
        <v>88</v>
      </c>
      <c r="AX468" s="44">
        <v>0.0</v>
      </c>
      <c r="AY468" s="44">
        <v>0.0</v>
      </c>
      <c r="AZ468" s="44">
        <v>0.0</v>
      </c>
      <c r="BA468" s="43" t="s">
        <v>89</v>
      </c>
      <c r="BB468" s="44">
        <v>0.0</v>
      </c>
      <c r="BC468" s="69" t="s">
        <v>445</v>
      </c>
      <c r="BD468" s="70"/>
      <c r="BE468" s="71"/>
      <c r="BF468" s="72"/>
      <c r="BG468" s="73"/>
      <c r="BH468" s="73"/>
      <c r="BI468" s="73"/>
      <c r="BJ468" s="73"/>
      <c r="BK468" s="73"/>
      <c r="BL468" s="73"/>
      <c r="BM468" s="73"/>
      <c r="BN468" s="73"/>
      <c r="BO468" s="73"/>
      <c r="BP468" s="73"/>
      <c r="BQ468" s="73"/>
      <c r="BR468" s="73"/>
      <c r="BS468" s="73"/>
      <c r="BT468" s="73"/>
      <c r="BU468" s="73"/>
      <c r="BV468" s="73"/>
      <c r="BW468" s="74"/>
      <c r="BX468" s="74"/>
      <c r="BY468" s="63"/>
      <c r="BZ468" s="63"/>
    </row>
    <row r="469" ht="15.75" customHeight="1">
      <c r="A469" s="120" t="s">
        <v>3080</v>
      </c>
      <c r="B469" s="112" t="s">
        <v>3081</v>
      </c>
      <c r="C469" s="50" t="s">
        <v>271</v>
      </c>
      <c r="D469" s="43" t="s">
        <v>131</v>
      </c>
      <c r="E469" s="77" t="s">
        <v>376</v>
      </c>
      <c r="F469" s="47">
        <v>3.3E8</v>
      </c>
      <c r="G469" s="44" t="str">
        <f t="shared" si="16"/>
        <v>$300'000.000 a $400'000.000</v>
      </c>
      <c r="H469" s="44"/>
      <c r="I469" s="44"/>
      <c r="J469" s="43" t="s">
        <v>183</v>
      </c>
      <c r="K469" s="56"/>
      <c r="L469" s="52">
        <v>6.0</v>
      </c>
      <c r="M469" s="52"/>
      <c r="N469" s="52">
        <v>4.0</v>
      </c>
      <c r="O469" s="43">
        <v>1.0</v>
      </c>
      <c r="P469" s="52">
        <v>2.0</v>
      </c>
      <c r="Q469" s="54"/>
      <c r="R469" s="55">
        <v>112.0</v>
      </c>
      <c r="S469" s="56" t="str">
        <f t="shared" si="15"/>
        <v>Rentabilidad $1,200,000</v>
      </c>
      <c r="T469" s="52" t="s">
        <v>78</v>
      </c>
      <c r="U469" s="142" t="s">
        <v>184</v>
      </c>
      <c r="V469" s="43" t="s">
        <v>79</v>
      </c>
      <c r="W469" s="43"/>
      <c r="X469" s="52">
        <v>2.0</v>
      </c>
      <c r="Y469" s="43" t="s">
        <v>80</v>
      </c>
      <c r="Z469" s="58" t="s">
        <v>81</v>
      </c>
      <c r="AA469" s="59" t="str">
        <f>IF(Rentabilidad=0,"No aplica",TEXT(ROUND(Precio/Rentabilidad/12,0),0) &amp; " años")</f>
        <v>23 años</v>
      </c>
      <c r="AB469" s="60"/>
      <c r="AC469" s="61"/>
      <c r="AD469" s="62"/>
      <c r="AE469" s="63"/>
      <c r="AF469" s="45" t="s">
        <v>105</v>
      </c>
      <c r="AG469" s="63"/>
      <c r="AH469" s="65" t="s">
        <v>45</v>
      </c>
      <c r="AI469" s="63"/>
      <c r="AJ469" s="64" t="s">
        <v>1834</v>
      </c>
      <c r="AK469" s="44"/>
      <c r="AL469" s="45" t="s">
        <v>86</v>
      </c>
      <c r="AM469" s="52">
        <v>3.184720825E9</v>
      </c>
      <c r="AN469" s="45" t="s">
        <v>3082</v>
      </c>
      <c r="AO469" s="52" t="s">
        <v>3083</v>
      </c>
      <c r="AP469" s="67" t="s">
        <v>3084</v>
      </c>
      <c r="AQ469" s="67"/>
      <c r="AR469" s="67"/>
      <c r="AS469" s="135">
        <v>1200000.0</v>
      </c>
      <c r="AT469" s="44">
        <v>0.0</v>
      </c>
      <c r="AU469" s="52">
        <v>0.0</v>
      </c>
      <c r="AV469" s="52">
        <v>0.0</v>
      </c>
      <c r="AW469" s="43" t="s">
        <v>88</v>
      </c>
      <c r="AX469" s="52">
        <v>0.0</v>
      </c>
      <c r="AY469" s="52">
        <v>0.0</v>
      </c>
      <c r="AZ469" s="52">
        <v>8.0</v>
      </c>
      <c r="BA469" s="43" t="s">
        <v>89</v>
      </c>
      <c r="BB469" s="52">
        <v>14.0</v>
      </c>
      <c r="BC469" s="95" t="s">
        <v>439</v>
      </c>
      <c r="BD469" s="71"/>
      <c r="BE469" s="71"/>
      <c r="BF469" s="130"/>
      <c r="BG469" s="73"/>
      <c r="BH469" s="73"/>
      <c r="BI469" s="73"/>
      <c r="BJ469" s="73"/>
      <c r="BK469" s="73"/>
      <c r="BL469" s="73"/>
      <c r="BM469" s="73"/>
      <c r="BN469" s="73"/>
      <c r="BO469" s="73"/>
      <c r="BP469" s="73"/>
      <c r="BQ469" s="73"/>
      <c r="BR469" s="73"/>
      <c r="BS469" s="73"/>
      <c r="BT469" s="73"/>
      <c r="BU469" s="73"/>
      <c r="BV469" s="73"/>
      <c r="BW469" s="74"/>
      <c r="BX469" s="74"/>
      <c r="BY469" s="63"/>
      <c r="BZ469" s="63"/>
    </row>
    <row r="470" ht="15.75" customHeight="1">
      <c r="A470" s="133" t="s">
        <v>3085</v>
      </c>
      <c r="B470" s="50" t="s">
        <v>3086</v>
      </c>
      <c r="C470" s="50" t="s">
        <v>271</v>
      </c>
      <c r="D470" s="44" t="s">
        <v>817</v>
      </c>
      <c r="E470" s="77" t="s">
        <v>376</v>
      </c>
      <c r="F470" s="47">
        <v>3.2E8</v>
      </c>
      <c r="G470" s="44" t="str">
        <f t="shared" si="16"/>
        <v>$300'000.000 a $400'000.000</v>
      </c>
      <c r="H470" s="44"/>
      <c r="I470" s="44"/>
      <c r="J470" s="50" t="s">
        <v>183</v>
      </c>
      <c r="K470" s="57"/>
      <c r="L470" s="52">
        <v>7.0</v>
      </c>
      <c r="M470" s="52"/>
      <c r="N470" s="52">
        <v>2.0</v>
      </c>
      <c r="O470" s="43">
        <v>0.0</v>
      </c>
      <c r="P470" s="44">
        <v>2.0</v>
      </c>
      <c r="Q470" s="113">
        <v>173.0</v>
      </c>
      <c r="R470" s="55">
        <v>90.0</v>
      </c>
      <c r="S470" s="56" t="str">
        <f t="shared" si="15"/>
        <v>Rentabilidad $2,000,000</v>
      </c>
      <c r="T470" s="44" t="s">
        <v>78</v>
      </c>
      <c r="U470" s="57" t="s">
        <v>184</v>
      </c>
      <c r="V470" s="50" t="s">
        <v>118</v>
      </c>
      <c r="W470" s="50"/>
      <c r="X470" s="52">
        <v>4.0</v>
      </c>
      <c r="Y470" s="43" t="s">
        <v>80</v>
      </c>
      <c r="Z470" s="80" t="s">
        <v>81</v>
      </c>
      <c r="AA470" s="59" t="str">
        <f>IF(Rentabilidad=0,"No aplica",TEXT(ROUND(Precio/Rentabilidad/12,0),0) &amp; " años")</f>
        <v>13 años</v>
      </c>
      <c r="AB470" s="195"/>
      <c r="AC470" s="61"/>
      <c r="AD470" s="62"/>
      <c r="AE470" s="63"/>
      <c r="AF470" s="45" t="s">
        <v>105</v>
      </c>
      <c r="AG470" s="63"/>
      <c r="AH470" s="63"/>
      <c r="AI470" s="63"/>
      <c r="AJ470" s="64" t="s">
        <v>1834</v>
      </c>
      <c r="AK470" s="44"/>
      <c r="AL470" s="45" t="s">
        <v>2624</v>
      </c>
      <c r="AM470" s="52">
        <v>3.124888971E9</v>
      </c>
      <c r="AN470" s="45">
        <v>3.10889101E8</v>
      </c>
      <c r="AO470" s="43" t="s">
        <v>3087</v>
      </c>
      <c r="AP470" s="67" t="s">
        <v>3088</v>
      </c>
      <c r="AQ470" s="67"/>
      <c r="AR470" s="67"/>
      <c r="AS470" s="68">
        <v>2000000.0</v>
      </c>
      <c r="AT470" s="44">
        <v>0.0</v>
      </c>
      <c r="AU470" s="52">
        <v>0.0</v>
      </c>
      <c r="AV470" s="52">
        <v>0.0</v>
      </c>
      <c r="AW470" s="43" t="s">
        <v>88</v>
      </c>
      <c r="AX470" s="52">
        <v>0.0</v>
      </c>
      <c r="AY470" s="52">
        <v>0.0</v>
      </c>
      <c r="AZ470" s="44">
        <v>6.0</v>
      </c>
      <c r="BA470" s="43" t="s">
        <v>89</v>
      </c>
      <c r="BB470" s="44">
        <v>15.0</v>
      </c>
      <c r="BC470" s="304" t="s">
        <v>445</v>
      </c>
      <c r="BD470" s="155"/>
      <c r="BE470" s="156"/>
      <c r="BF470" s="157"/>
      <c r="BG470" s="73"/>
      <c r="BH470" s="73"/>
      <c r="BI470" s="73"/>
      <c r="BJ470" s="73"/>
      <c r="BK470" s="73"/>
      <c r="BL470" s="73"/>
      <c r="BM470" s="73"/>
      <c r="BN470" s="73"/>
      <c r="BO470" s="73"/>
      <c r="BP470" s="73"/>
      <c r="BQ470" s="73"/>
      <c r="BR470" s="73"/>
      <c r="BS470" s="73"/>
      <c r="BT470" s="73"/>
      <c r="BU470" s="73"/>
      <c r="BV470" s="73"/>
      <c r="BW470" s="74"/>
      <c r="BX470" s="74"/>
      <c r="BY470" s="63"/>
      <c r="BZ470" s="63"/>
    </row>
    <row r="471" ht="15.75" customHeight="1">
      <c r="A471" s="133" t="s">
        <v>3089</v>
      </c>
      <c r="B471" s="43" t="s">
        <v>388</v>
      </c>
      <c r="C471" s="43" t="s">
        <v>70</v>
      </c>
      <c r="D471" s="43" t="s">
        <v>389</v>
      </c>
      <c r="E471" s="45"/>
      <c r="F471" s="78">
        <v>3.2E8</v>
      </c>
      <c r="G471" s="44" t="str">
        <f t="shared" si="16"/>
        <v>$300'000.000 a $400'000.000</v>
      </c>
      <c r="H471" s="44"/>
      <c r="I471" s="44"/>
      <c r="J471" s="43" t="s">
        <v>76</v>
      </c>
      <c r="K471" s="56" t="s">
        <v>142</v>
      </c>
      <c r="L471" s="43">
        <v>5.0</v>
      </c>
      <c r="M471" s="43"/>
      <c r="N471" s="43">
        <v>1.0</v>
      </c>
      <c r="O471" s="43">
        <v>0.0</v>
      </c>
      <c r="P471" s="43">
        <v>1.0</v>
      </c>
      <c r="Q471" s="88">
        <v>95.0</v>
      </c>
      <c r="R471" s="88">
        <v>117.0</v>
      </c>
      <c r="S471" s="56" t="str">
        <f t="shared" si="15"/>
        <v> </v>
      </c>
      <c r="T471" s="43" t="s">
        <v>78</v>
      </c>
      <c r="U471" s="56" t="s">
        <v>184</v>
      </c>
      <c r="V471" s="43" t="s">
        <v>79</v>
      </c>
      <c r="W471" s="43"/>
      <c r="X471" s="43">
        <v>0.0</v>
      </c>
      <c r="Y471" s="43" t="s">
        <v>80</v>
      </c>
      <c r="Z471" s="58" t="s">
        <v>81</v>
      </c>
      <c r="AA471" s="59" t="str">
        <f>IF(Rentabilidad=0,"No aplica",TEXT(ROUND(Precio/Rentabilidad/12,0),0) &amp; " años")</f>
        <v>No aplica</v>
      </c>
      <c r="AB471" s="60"/>
      <c r="AC471" s="61"/>
      <c r="AD471" s="62"/>
      <c r="AE471" s="63"/>
      <c r="AF471" s="45"/>
      <c r="AG471" s="63"/>
      <c r="AH471" s="65" t="s">
        <v>45</v>
      </c>
      <c r="AI471" s="63"/>
      <c r="AJ471" s="64" t="s">
        <v>1834</v>
      </c>
      <c r="AK471" s="44"/>
      <c r="AL471" s="45"/>
      <c r="AM471" s="43" t="s">
        <v>3090</v>
      </c>
      <c r="AN471" s="64" t="s">
        <v>3091</v>
      </c>
      <c r="AO471" s="43" t="s">
        <v>3092</v>
      </c>
      <c r="AP471" s="84" t="s">
        <v>3093</v>
      </c>
      <c r="AQ471" s="84"/>
      <c r="AR471" s="84"/>
      <c r="AS471" s="135"/>
      <c r="AT471" s="43">
        <v>0.0</v>
      </c>
      <c r="AU471" s="43">
        <v>0.0</v>
      </c>
      <c r="AV471" s="43">
        <v>0.0</v>
      </c>
      <c r="AW471" s="43" t="s">
        <v>106</v>
      </c>
      <c r="AX471" s="52"/>
      <c r="AY471" s="43" t="s">
        <v>137</v>
      </c>
      <c r="AZ471" s="43">
        <v>9.0</v>
      </c>
      <c r="BA471" s="43" t="s">
        <v>89</v>
      </c>
      <c r="BB471" s="43">
        <v>13.0</v>
      </c>
      <c r="BC471" s="95" t="s">
        <v>3094</v>
      </c>
      <c r="BD471" s="71"/>
      <c r="BE471" s="71"/>
      <c r="BF471" s="72"/>
      <c r="BG471" s="73"/>
      <c r="BH471" s="73"/>
      <c r="BI471" s="73"/>
      <c r="BJ471" s="73"/>
      <c r="BK471" s="73"/>
      <c r="BL471" s="73"/>
      <c r="BM471" s="73"/>
      <c r="BN471" s="73"/>
      <c r="BO471" s="73"/>
      <c r="BP471" s="73"/>
      <c r="BQ471" s="73"/>
      <c r="BR471" s="73"/>
      <c r="BS471" s="73"/>
      <c r="BT471" s="73"/>
      <c r="BU471" s="73"/>
      <c r="BV471" s="73"/>
      <c r="BW471" s="74"/>
      <c r="BX471" s="74"/>
      <c r="BY471" s="63"/>
      <c r="BZ471" s="63"/>
    </row>
    <row r="472" ht="15.75" customHeight="1">
      <c r="A472" s="41" t="s">
        <v>3095</v>
      </c>
      <c r="B472" s="50" t="s">
        <v>443</v>
      </c>
      <c r="C472" s="50" t="s">
        <v>70</v>
      </c>
      <c r="D472" s="50" t="s">
        <v>82</v>
      </c>
      <c r="E472" s="45"/>
      <c r="F472" s="78">
        <v>3.2E8</v>
      </c>
      <c r="G472" s="44" t="str">
        <f t="shared" si="16"/>
        <v>$300'000.000 a $400'000.000</v>
      </c>
      <c r="H472" s="44"/>
      <c r="I472" s="44"/>
      <c r="J472" s="50" t="s">
        <v>183</v>
      </c>
      <c r="K472" s="51" t="s">
        <v>184</v>
      </c>
      <c r="L472" s="50">
        <v>4.0</v>
      </c>
      <c r="M472" s="50"/>
      <c r="N472" s="50">
        <v>2.0</v>
      </c>
      <c r="O472" s="50">
        <v>1.0</v>
      </c>
      <c r="P472" s="50">
        <v>2.0</v>
      </c>
      <c r="Q472" s="113"/>
      <c r="R472" s="79">
        <v>90.0</v>
      </c>
      <c r="S472" s="56" t="str">
        <f t="shared" si="15"/>
        <v> </v>
      </c>
      <c r="T472" s="50" t="s">
        <v>78</v>
      </c>
      <c r="U472" s="51" t="s">
        <v>77</v>
      </c>
      <c r="V472" s="50" t="s">
        <v>79</v>
      </c>
      <c r="W472" s="50"/>
      <c r="X472" s="50">
        <v>2.0</v>
      </c>
      <c r="Y472" s="50" t="s">
        <v>80</v>
      </c>
      <c r="Z472" s="58" t="s">
        <v>81</v>
      </c>
      <c r="AA472" s="59" t="str">
        <f>IF(Rentabilidad=0,"No aplica",TEXT(ROUND(Precio/Rentabilidad/12,0),0) &amp; " años")</f>
        <v>No aplica</v>
      </c>
      <c r="AB472" s="220"/>
      <c r="AC472" s="61"/>
      <c r="AD472" s="62"/>
      <c r="AE472" s="63"/>
      <c r="AF472" s="64">
        <v>0.0</v>
      </c>
      <c r="AG472" s="63"/>
      <c r="AH472" s="65" t="s">
        <v>45</v>
      </c>
      <c r="AI472" s="63"/>
      <c r="AJ472" s="64" t="s">
        <v>1834</v>
      </c>
      <c r="AK472" s="44"/>
      <c r="AL472" s="45" t="s">
        <v>86</v>
      </c>
      <c r="AM472" s="44"/>
      <c r="AN472" s="45"/>
      <c r="AO472" s="74"/>
      <c r="AP472" s="67"/>
      <c r="AQ472" s="67"/>
      <c r="AR472" s="67"/>
      <c r="AS472" s="94">
        <v>0.0</v>
      </c>
      <c r="AT472" s="44"/>
      <c r="AU472" s="44"/>
      <c r="AV472" s="44"/>
      <c r="AW472" s="44"/>
      <c r="AX472" s="44"/>
      <c r="AY472" s="44"/>
      <c r="AZ472" s="44"/>
      <c r="BA472" s="43" t="s">
        <v>89</v>
      </c>
      <c r="BB472" s="44"/>
      <c r="BC472" s="69" t="s">
        <v>3096</v>
      </c>
      <c r="BD472" s="70"/>
      <c r="BE472" s="70"/>
      <c r="BF472" s="72"/>
      <c r="BG472" s="73"/>
      <c r="BH472" s="73"/>
      <c r="BI472" s="73"/>
      <c r="BJ472" s="73"/>
      <c r="BK472" s="73"/>
      <c r="BL472" s="73"/>
      <c r="BM472" s="73"/>
      <c r="BN472" s="73"/>
      <c r="BO472" s="73"/>
      <c r="BP472" s="73"/>
      <c r="BQ472" s="73"/>
      <c r="BR472" s="73"/>
      <c r="BS472" s="73"/>
      <c r="BT472" s="73"/>
      <c r="BU472" s="73"/>
      <c r="BV472" s="73"/>
      <c r="BW472" s="74"/>
      <c r="BX472" s="74"/>
      <c r="BY472" s="63"/>
      <c r="BZ472" s="63"/>
    </row>
    <row r="473" ht="15.75" customHeight="1">
      <c r="A473" s="41" t="s">
        <v>3097</v>
      </c>
      <c r="B473" s="50" t="s">
        <v>3098</v>
      </c>
      <c r="C473" s="50" t="s">
        <v>271</v>
      </c>
      <c r="D473" s="44" t="s">
        <v>120</v>
      </c>
      <c r="E473" s="45"/>
      <c r="F473" s="47">
        <v>3.2E8</v>
      </c>
      <c r="G473" s="44" t="str">
        <f t="shared" si="16"/>
        <v>$300'000.000 a $400'000.000</v>
      </c>
      <c r="H473" s="44"/>
      <c r="I473" s="44"/>
      <c r="J473" s="50" t="s">
        <v>183</v>
      </c>
      <c r="K473" s="51" t="s">
        <v>184</v>
      </c>
      <c r="L473" s="44">
        <v>3.0</v>
      </c>
      <c r="M473" s="44"/>
      <c r="N473" s="44">
        <v>4.0</v>
      </c>
      <c r="O473" s="50">
        <v>1.0</v>
      </c>
      <c r="P473" s="44">
        <v>2.0</v>
      </c>
      <c r="Q473" s="113"/>
      <c r="R473" s="79">
        <v>0.0</v>
      </c>
      <c r="S473" s="56" t="str">
        <f t="shared" si="15"/>
        <v>Rentabilidad $1,330,000</v>
      </c>
      <c r="T473" s="182" t="s">
        <v>78</v>
      </c>
      <c r="U473" s="57" t="s">
        <v>184</v>
      </c>
      <c r="V473" s="50" t="s">
        <v>118</v>
      </c>
      <c r="W473" s="50"/>
      <c r="X473" s="44">
        <v>2.0</v>
      </c>
      <c r="Y473" s="50" t="s">
        <v>80</v>
      </c>
      <c r="Z473" s="80" t="s">
        <v>81</v>
      </c>
      <c r="AA473" s="59" t="str">
        <f>IF(Rentabilidad=0,"No aplica",TEXT(ROUND(Precio/Rentabilidad/12,0),0) &amp; " años")</f>
        <v>20 años</v>
      </c>
      <c r="AB473" s="220"/>
      <c r="AC473" s="61"/>
      <c r="AD473" s="62"/>
      <c r="AE473" s="63"/>
      <c r="AF473" s="45" t="s">
        <v>3099</v>
      </c>
      <c r="AG473" s="63"/>
      <c r="AH473" s="65" t="s">
        <v>45</v>
      </c>
      <c r="AI473" s="63"/>
      <c r="AJ473" s="64" t="s">
        <v>1834</v>
      </c>
      <c r="AK473" s="44"/>
      <c r="AL473" s="45" t="s">
        <v>86</v>
      </c>
      <c r="AM473" s="44">
        <v>3.153327453E9</v>
      </c>
      <c r="AN473" s="45">
        <v>3.185200394E9</v>
      </c>
      <c r="AO473" s="93" t="s">
        <v>3100</v>
      </c>
      <c r="AP473" s="67">
        <v>0.0</v>
      </c>
      <c r="AQ473" s="67"/>
      <c r="AR473" s="67"/>
      <c r="AS473" s="68">
        <v>1330000.0</v>
      </c>
      <c r="AT473" s="44">
        <v>0.0</v>
      </c>
      <c r="AU473" s="52">
        <v>0.0</v>
      </c>
      <c r="AV473" s="52">
        <v>0.0</v>
      </c>
      <c r="AW473" s="43" t="s">
        <v>88</v>
      </c>
      <c r="AX473" s="52">
        <v>0.0</v>
      </c>
      <c r="AY473" s="52" t="s">
        <v>137</v>
      </c>
      <c r="AZ473" s="44">
        <v>0.0</v>
      </c>
      <c r="BA473" s="43" t="s">
        <v>89</v>
      </c>
      <c r="BB473" s="44">
        <v>0.0</v>
      </c>
      <c r="BC473" s="95" t="s">
        <v>3101</v>
      </c>
      <c r="BD473" s="71"/>
      <c r="BE473" s="71"/>
      <c r="BF473" s="130"/>
      <c r="BG473" s="73"/>
      <c r="BH473" s="73"/>
      <c r="BI473" s="73"/>
      <c r="BJ473" s="73"/>
      <c r="BK473" s="73"/>
      <c r="BL473" s="73"/>
      <c r="BM473" s="73"/>
      <c r="BN473" s="73"/>
      <c r="BO473" s="73"/>
      <c r="BP473" s="73"/>
      <c r="BQ473" s="73"/>
      <c r="BR473" s="73"/>
      <c r="BS473" s="73"/>
      <c r="BT473" s="73"/>
      <c r="BU473" s="73"/>
      <c r="BV473" s="73"/>
      <c r="BW473" s="74"/>
      <c r="BX473" s="74"/>
      <c r="BY473" s="63"/>
      <c r="BZ473" s="63"/>
    </row>
    <row r="474" ht="15.75" customHeight="1">
      <c r="A474" s="41" t="s">
        <v>3102</v>
      </c>
      <c r="B474" s="43" t="s">
        <v>69</v>
      </c>
      <c r="C474" s="43" t="s">
        <v>70</v>
      </c>
      <c r="D474" s="44" t="s">
        <v>71</v>
      </c>
      <c r="E474" s="45"/>
      <c r="F474" s="47">
        <v>3.2E8</v>
      </c>
      <c r="G474" s="44" t="str">
        <f t="shared" si="16"/>
        <v>$300'000.000 a $400'000.000</v>
      </c>
      <c r="H474" s="44"/>
      <c r="I474" s="44"/>
      <c r="J474" s="50" t="s">
        <v>76</v>
      </c>
      <c r="K474" s="51" t="s">
        <v>77</v>
      </c>
      <c r="L474" s="44">
        <v>4.0</v>
      </c>
      <c r="M474" s="44"/>
      <c r="N474" s="44">
        <v>2.0</v>
      </c>
      <c r="O474" s="50">
        <v>1.0</v>
      </c>
      <c r="P474" s="44">
        <v>2.0</v>
      </c>
      <c r="Q474" s="54">
        <v>144.0</v>
      </c>
      <c r="R474" s="55">
        <v>132.0</v>
      </c>
      <c r="S474" s="56" t="str">
        <f t="shared" si="15"/>
        <v> </v>
      </c>
      <c r="T474" s="52" t="s">
        <v>78</v>
      </c>
      <c r="U474" s="142" t="s">
        <v>77</v>
      </c>
      <c r="V474" s="50" t="s">
        <v>79</v>
      </c>
      <c r="W474" s="50"/>
      <c r="X474" s="44">
        <v>4.0</v>
      </c>
      <c r="Y474" s="50" t="s">
        <v>80</v>
      </c>
      <c r="Z474" s="58" t="s">
        <v>81</v>
      </c>
      <c r="AA474" s="59" t="str">
        <f>IF(Rentabilidad=0,"No aplica",TEXT(ROUND(Precio/Rentabilidad/12,0),0) &amp; " años")</f>
        <v>No aplica</v>
      </c>
      <c r="AB474" s="195"/>
      <c r="AC474" s="61"/>
      <c r="AD474" s="62"/>
      <c r="AE474" s="63"/>
      <c r="AF474" s="45" t="s">
        <v>105</v>
      </c>
      <c r="AG474" s="63"/>
      <c r="AH474" s="65" t="s">
        <v>45</v>
      </c>
      <c r="AI474" s="63"/>
      <c r="AJ474" s="64" t="s">
        <v>1834</v>
      </c>
      <c r="AK474" s="44"/>
      <c r="AL474" s="45" t="s">
        <v>2986</v>
      </c>
      <c r="AM474" s="52" t="s">
        <v>3103</v>
      </c>
      <c r="AN474" s="45" t="s">
        <v>3104</v>
      </c>
      <c r="AO474" s="52" t="s">
        <v>3105</v>
      </c>
      <c r="AP474" s="67" t="s">
        <v>3106</v>
      </c>
      <c r="AQ474" s="67"/>
      <c r="AR474" s="67"/>
      <c r="AS474" s="68">
        <v>0.0</v>
      </c>
      <c r="AT474" s="44">
        <v>0.0</v>
      </c>
      <c r="AU474" s="44">
        <v>0.0</v>
      </c>
      <c r="AV474" s="44">
        <v>0.0</v>
      </c>
      <c r="AW474" s="44" t="s">
        <v>106</v>
      </c>
      <c r="AX474" s="44">
        <v>0.0</v>
      </c>
      <c r="AY474" s="44" t="s">
        <v>247</v>
      </c>
      <c r="AZ474" s="44">
        <v>0.0</v>
      </c>
      <c r="BA474" s="43" t="s">
        <v>89</v>
      </c>
      <c r="BB474" s="44">
        <v>0.0</v>
      </c>
      <c r="BC474" s="69" t="s">
        <v>455</v>
      </c>
      <c r="BD474" s="70"/>
      <c r="BE474" s="71"/>
      <c r="BF474" s="72"/>
      <c r="BG474" s="73"/>
      <c r="BH474" s="73"/>
      <c r="BI474" s="73"/>
      <c r="BJ474" s="73"/>
      <c r="BK474" s="73"/>
      <c r="BL474" s="73"/>
      <c r="BM474" s="73"/>
      <c r="BN474" s="73"/>
      <c r="BO474" s="73"/>
      <c r="BP474" s="73"/>
      <c r="BQ474" s="73"/>
      <c r="BR474" s="73"/>
      <c r="BS474" s="73"/>
      <c r="BT474" s="73"/>
      <c r="BU474" s="73"/>
      <c r="BV474" s="73"/>
      <c r="BW474" s="74"/>
      <c r="BX474" s="74"/>
      <c r="BY474" s="63"/>
      <c r="BZ474" s="63"/>
    </row>
    <row r="475" ht="15.75" customHeight="1">
      <c r="A475" s="120" t="s">
        <v>3107</v>
      </c>
      <c r="B475" s="50" t="s">
        <v>3086</v>
      </c>
      <c r="C475" s="50" t="s">
        <v>271</v>
      </c>
      <c r="D475" s="44" t="s">
        <v>817</v>
      </c>
      <c r="E475" s="45"/>
      <c r="F475" s="47">
        <v>3.2E8</v>
      </c>
      <c r="G475" s="44" t="str">
        <f t="shared" si="16"/>
        <v>$300'000.000 a $400'000.000</v>
      </c>
      <c r="H475" s="44"/>
      <c r="I475" s="44"/>
      <c r="J475" s="50" t="s">
        <v>183</v>
      </c>
      <c r="K475" s="57"/>
      <c r="L475" s="52">
        <v>7.0</v>
      </c>
      <c r="M475" s="52"/>
      <c r="N475" s="52">
        <v>2.0</v>
      </c>
      <c r="O475" s="43">
        <v>0.0</v>
      </c>
      <c r="P475" s="44">
        <v>2.0</v>
      </c>
      <c r="Q475" s="113">
        <v>173.0</v>
      </c>
      <c r="R475" s="55">
        <v>90.0</v>
      </c>
      <c r="S475" s="56" t="str">
        <f t="shared" si="15"/>
        <v>Rentabilidad $2,000,000</v>
      </c>
      <c r="T475" s="44" t="s">
        <v>78</v>
      </c>
      <c r="U475" s="57" t="s">
        <v>184</v>
      </c>
      <c r="V475" s="50" t="s">
        <v>118</v>
      </c>
      <c r="W475" s="50"/>
      <c r="X475" s="52">
        <v>4.0</v>
      </c>
      <c r="Y475" s="43" t="s">
        <v>80</v>
      </c>
      <c r="Z475" s="80" t="s">
        <v>81</v>
      </c>
      <c r="AA475" s="59" t="str">
        <f>IF(Rentabilidad=0,"No aplica",TEXT(ROUND(Precio/Rentabilidad/12,0),0) &amp; " años")</f>
        <v>13 años</v>
      </c>
      <c r="AB475" s="195"/>
      <c r="AC475" s="61"/>
      <c r="AD475" s="62"/>
      <c r="AE475" s="63"/>
      <c r="AF475" s="45" t="s">
        <v>105</v>
      </c>
      <c r="AG475" s="63"/>
      <c r="AH475" s="63"/>
      <c r="AI475" s="63"/>
      <c r="AJ475" s="64" t="s">
        <v>1834</v>
      </c>
      <c r="AK475" s="44"/>
      <c r="AL475" s="45" t="s">
        <v>2624</v>
      </c>
      <c r="AM475" s="52">
        <v>3.124888971E9</v>
      </c>
      <c r="AN475" s="45">
        <v>3.10889101E8</v>
      </c>
      <c r="AO475" s="52" t="s">
        <v>3108</v>
      </c>
      <c r="AP475" s="67" t="s">
        <v>3088</v>
      </c>
      <c r="AQ475" s="67"/>
      <c r="AR475" s="67"/>
      <c r="AS475" s="68">
        <v>2000000.0</v>
      </c>
      <c r="AT475" s="44">
        <v>0.0</v>
      </c>
      <c r="AU475" s="52">
        <v>0.0</v>
      </c>
      <c r="AV475" s="52">
        <v>0.0</v>
      </c>
      <c r="AW475" s="43" t="s">
        <v>88</v>
      </c>
      <c r="AX475" s="52">
        <v>0.0</v>
      </c>
      <c r="AY475" s="52">
        <v>0.0</v>
      </c>
      <c r="AZ475" s="44">
        <v>6.0</v>
      </c>
      <c r="BA475" s="43" t="s">
        <v>89</v>
      </c>
      <c r="BB475" s="44">
        <v>15.0</v>
      </c>
      <c r="BC475" s="109"/>
      <c r="BD475" s="121"/>
      <c r="BE475" s="129"/>
      <c r="BF475" s="130"/>
      <c r="BG475" s="73"/>
      <c r="BH475" s="73"/>
      <c r="BI475" s="73"/>
      <c r="BJ475" s="73"/>
      <c r="BK475" s="73"/>
      <c r="BL475" s="73"/>
      <c r="BM475" s="73"/>
      <c r="BN475" s="73"/>
      <c r="BO475" s="73"/>
      <c r="BP475" s="73"/>
      <c r="BQ475" s="73"/>
      <c r="BR475" s="73"/>
      <c r="BS475" s="73"/>
      <c r="BT475" s="73"/>
      <c r="BU475" s="73"/>
      <c r="BV475" s="73"/>
      <c r="BW475" s="74"/>
      <c r="BX475" s="74"/>
      <c r="BY475" s="63"/>
      <c r="BZ475" s="63"/>
    </row>
    <row r="476" ht="15.75" customHeight="1">
      <c r="A476" s="133" t="s">
        <v>3109</v>
      </c>
      <c r="B476" s="43" t="s">
        <v>3110</v>
      </c>
      <c r="C476" s="43" t="s">
        <v>70</v>
      </c>
      <c r="D476" s="43" t="s">
        <v>2961</v>
      </c>
      <c r="E476" s="77" t="s">
        <v>376</v>
      </c>
      <c r="F476" s="47">
        <v>3.2E8</v>
      </c>
      <c r="G476" s="44" t="str">
        <f t="shared" si="16"/>
        <v>$300'000.000 a $400'000.000</v>
      </c>
      <c r="H476" s="44"/>
      <c r="I476" s="44"/>
      <c r="J476" s="43" t="s">
        <v>183</v>
      </c>
      <c r="K476" s="56"/>
      <c r="L476" s="52">
        <v>2.0</v>
      </c>
      <c r="M476" s="52"/>
      <c r="N476" s="52">
        <v>2.0</v>
      </c>
      <c r="O476" s="43">
        <v>1.0</v>
      </c>
      <c r="P476" s="52">
        <v>1.0</v>
      </c>
      <c r="Q476" s="54"/>
      <c r="R476" s="55">
        <v>112.0</v>
      </c>
      <c r="S476" s="56" t="str">
        <f t="shared" si="15"/>
        <v>Rentabilidad $2,500,000</v>
      </c>
      <c r="T476" s="52" t="s">
        <v>78</v>
      </c>
      <c r="U476" s="142" t="s">
        <v>184</v>
      </c>
      <c r="V476" s="43" t="s">
        <v>79</v>
      </c>
      <c r="W476" s="43"/>
      <c r="X476" s="52">
        <v>2.0</v>
      </c>
      <c r="Y476" s="43" t="s">
        <v>80</v>
      </c>
      <c r="Z476" s="58" t="s">
        <v>81</v>
      </c>
      <c r="AA476" s="59" t="str">
        <f>IF(Rentabilidad=0,"No aplica",TEXT(ROUND(Precio/Rentabilidad/12,0),0) &amp; " años")</f>
        <v>11 años</v>
      </c>
      <c r="AB476" s="134" t="s">
        <v>3111</v>
      </c>
      <c r="AC476" s="61"/>
      <c r="AD476" s="62"/>
      <c r="AE476" s="63"/>
      <c r="AF476" s="64" t="s">
        <v>236</v>
      </c>
      <c r="AG476" s="63"/>
      <c r="AH476" s="65" t="s">
        <v>45</v>
      </c>
      <c r="AI476" s="63"/>
      <c r="AJ476" s="64" t="s">
        <v>1834</v>
      </c>
      <c r="AK476" s="44"/>
      <c r="AL476" s="45" t="s">
        <v>109</v>
      </c>
      <c r="AM476" s="52">
        <v>3.156042332E9</v>
      </c>
      <c r="AN476" s="45">
        <v>3.182282491E9</v>
      </c>
      <c r="AO476" s="52" t="s">
        <v>2803</v>
      </c>
      <c r="AP476" s="67" t="s">
        <v>3112</v>
      </c>
      <c r="AQ476" s="67"/>
      <c r="AR476" s="67"/>
      <c r="AS476" s="135">
        <v>2500000.0</v>
      </c>
      <c r="AT476" s="44">
        <v>0.0</v>
      </c>
      <c r="AU476" s="52">
        <v>0.0</v>
      </c>
      <c r="AV476" s="52">
        <v>0.0</v>
      </c>
      <c r="AW476" s="43" t="s">
        <v>88</v>
      </c>
      <c r="AX476" s="52">
        <v>0.0</v>
      </c>
      <c r="AY476" s="52">
        <v>0.0</v>
      </c>
      <c r="AZ476" s="52">
        <v>8.0</v>
      </c>
      <c r="BA476" s="43" t="s">
        <v>89</v>
      </c>
      <c r="BB476" s="52">
        <v>14.0</v>
      </c>
      <c r="BC476" s="69" t="s">
        <v>3113</v>
      </c>
      <c r="BD476" s="70"/>
      <c r="BE476" s="71"/>
      <c r="BF476" s="72" t="s">
        <v>3114</v>
      </c>
      <c r="BG476" s="73"/>
      <c r="BH476" s="73"/>
      <c r="BI476" s="73"/>
      <c r="BJ476" s="73"/>
      <c r="BK476" s="73"/>
      <c r="BL476" s="73"/>
      <c r="BM476" s="73"/>
      <c r="BN476" s="73"/>
      <c r="BO476" s="73"/>
      <c r="BP476" s="73"/>
      <c r="BQ476" s="73"/>
      <c r="BR476" s="73"/>
      <c r="BS476" s="73"/>
      <c r="BT476" s="73"/>
      <c r="BU476" s="73"/>
      <c r="BV476" s="73"/>
      <c r="BW476" s="74"/>
      <c r="BX476" s="74"/>
      <c r="BY476" s="63"/>
      <c r="BZ476" s="63"/>
    </row>
    <row r="477" ht="15.75" customHeight="1">
      <c r="A477" s="120" t="s">
        <v>3115</v>
      </c>
      <c r="B477" s="43" t="s">
        <v>388</v>
      </c>
      <c r="C477" s="43" t="s">
        <v>70</v>
      </c>
      <c r="D477" s="52" t="s">
        <v>389</v>
      </c>
      <c r="E477" s="77" t="s">
        <v>376</v>
      </c>
      <c r="F477" s="47">
        <v>3.2E8</v>
      </c>
      <c r="G477" s="44" t="str">
        <f t="shared" si="16"/>
        <v>$300'000.000 a $400'000.000</v>
      </c>
      <c r="H477" s="44"/>
      <c r="I477" s="44"/>
      <c r="J477" s="43" t="s">
        <v>76</v>
      </c>
      <c r="K477" s="56" t="s">
        <v>77</v>
      </c>
      <c r="L477" s="52">
        <v>8.0</v>
      </c>
      <c r="M477" s="52"/>
      <c r="N477" s="52">
        <v>2.0</v>
      </c>
      <c r="O477" s="43">
        <v>1.0</v>
      </c>
      <c r="P477" s="52">
        <v>1.0</v>
      </c>
      <c r="Q477" s="54">
        <v>336.0</v>
      </c>
      <c r="R477" s="55">
        <v>336.0</v>
      </c>
      <c r="S477" s="56" t="str">
        <f t="shared" si="15"/>
        <v>Rentabilidad $1,200,000</v>
      </c>
      <c r="T477" s="52" t="s">
        <v>78</v>
      </c>
      <c r="U477" s="142" t="s">
        <v>184</v>
      </c>
      <c r="V477" s="43" t="s">
        <v>79</v>
      </c>
      <c r="W477" s="43"/>
      <c r="X477" s="52">
        <v>0.0</v>
      </c>
      <c r="Y477" s="43" t="s">
        <v>80</v>
      </c>
      <c r="Z477" s="58" t="s">
        <v>81</v>
      </c>
      <c r="AA477" s="59" t="str">
        <f>IF(Rentabilidad=0,"No aplica",TEXT(ROUND(Precio/Rentabilidad/12,0),0) &amp; " años")</f>
        <v>22 años</v>
      </c>
      <c r="AB477" s="60"/>
      <c r="AC477" s="61"/>
      <c r="AD477" s="62"/>
      <c r="AE477" s="63"/>
      <c r="AF477" s="64" t="s">
        <v>84</v>
      </c>
      <c r="AG477" s="63"/>
      <c r="AH477" s="65" t="s">
        <v>45</v>
      </c>
      <c r="AI477" s="63"/>
      <c r="AJ477" s="64" t="s">
        <v>1834</v>
      </c>
      <c r="AK477" s="44"/>
      <c r="AL477" s="45" t="s">
        <v>2624</v>
      </c>
      <c r="AM477" s="52">
        <v>3.138994897E9</v>
      </c>
      <c r="AN477" s="45">
        <v>3.163380723E9</v>
      </c>
      <c r="AO477" s="116" t="s">
        <v>3116</v>
      </c>
      <c r="AP477" s="67" t="s">
        <v>3117</v>
      </c>
      <c r="AQ477" s="67"/>
      <c r="AR477" s="67"/>
      <c r="AS477" s="303">
        <v>1200000.0</v>
      </c>
      <c r="AT477" s="63">
        <v>0.0</v>
      </c>
      <c r="AU477" s="52">
        <v>0.0</v>
      </c>
      <c r="AV477" s="52">
        <v>0.0</v>
      </c>
      <c r="AW477" s="43" t="s">
        <v>88</v>
      </c>
      <c r="AX477" s="52">
        <v>0.0</v>
      </c>
      <c r="AY477" s="52">
        <v>0.0</v>
      </c>
      <c r="AZ477" s="52">
        <v>12.0</v>
      </c>
      <c r="BA477" s="43" t="s">
        <v>89</v>
      </c>
      <c r="BB477" s="52">
        <v>28.0</v>
      </c>
      <c r="BC477" s="109"/>
      <c r="BD477" s="70"/>
      <c r="BE477" s="71"/>
      <c r="BF477" s="72"/>
      <c r="BG477" s="73"/>
      <c r="BH477" s="73"/>
      <c r="BI477" s="73"/>
      <c r="BJ477" s="73"/>
      <c r="BK477" s="73"/>
      <c r="BL477" s="73"/>
      <c r="BM477" s="73"/>
      <c r="BN477" s="73"/>
      <c r="BO477" s="73"/>
      <c r="BP477" s="73"/>
      <c r="BQ477" s="73"/>
      <c r="BR477" s="73"/>
      <c r="BS477" s="73"/>
      <c r="BT477" s="73"/>
      <c r="BU477" s="73"/>
      <c r="BV477" s="73"/>
      <c r="BW477" s="74"/>
      <c r="BX477" s="74"/>
      <c r="BY477" s="63"/>
      <c r="BZ477" s="63"/>
    </row>
    <row r="478" ht="15.75" customHeight="1">
      <c r="A478" s="41" t="s">
        <v>3118</v>
      </c>
      <c r="B478" s="50" t="s">
        <v>395</v>
      </c>
      <c r="C478" s="50" t="s">
        <v>70</v>
      </c>
      <c r="D478" s="50" t="s">
        <v>72</v>
      </c>
      <c r="E478" s="64"/>
      <c r="F478" s="47">
        <v>3.0E8</v>
      </c>
      <c r="G478" s="44" t="str">
        <f t="shared" si="16"/>
        <v>$300'000.000 a $400'000.000</v>
      </c>
      <c r="H478" s="44"/>
      <c r="I478" s="44"/>
      <c r="J478" s="50" t="s">
        <v>183</v>
      </c>
      <c r="K478" s="51" t="s">
        <v>184</v>
      </c>
      <c r="L478" s="44">
        <v>4.0</v>
      </c>
      <c r="M478" s="44"/>
      <c r="N478" s="44">
        <v>4.0</v>
      </c>
      <c r="O478" s="50">
        <v>1.0</v>
      </c>
      <c r="P478" s="44">
        <v>2.0</v>
      </c>
      <c r="Q478" s="113">
        <v>155.0</v>
      </c>
      <c r="R478" s="79">
        <v>84.0</v>
      </c>
      <c r="S478" s="56" t="str">
        <f t="shared" si="15"/>
        <v> </v>
      </c>
      <c r="T478" s="44" t="s">
        <v>78</v>
      </c>
      <c r="U478" s="57" t="s">
        <v>77</v>
      </c>
      <c r="V478" s="50" t="s">
        <v>79</v>
      </c>
      <c r="W478" s="50"/>
      <c r="X478" s="44">
        <v>4.0</v>
      </c>
      <c r="Y478" s="50" t="s">
        <v>80</v>
      </c>
      <c r="Z478" s="58" t="s">
        <v>81</v>
      </c>
      <c r="AA478" s="59" t="str">
        <f>IF(Rentabilidad=0,"No aplica",TEXT(ROUND(Precio/Rentabilidad/12,0),0) &amp; " años")</f>
        <v>No aplica</v>
      </c>
      <c r="AB478" s="220"/>
      <c r="AC478" s="61"/>
      <c r="AD478" s="62"/>
      <c r="AE478" s="63"/>
      <c r="AF478" s="45" t="s">
        <v>105</v>
      </c>
      <c r="AG478" s="63"/>
      <c r="AH478" s="65" t="s">
        <v>45</v>
      </c>
      <c r="AI478" s="63"/>
      <c r="AJ478" s="64" t="s">
        <v>1834</v>
      </c>
      <c r="AK478" s="44"/>
      <c r="AL478" s="45" t="s">
        <v>86</v>
      </c>
      <c r="AM478" s="116">
        <v>3.107622638E9</v>
      </c>
      <c r="AN478" s="45">
        <v>0.0</v>
      </c>
      <c r="AO478" s="52" t="s">
        <v>3119</v>
      </c>
      <c r="AP478" s="67">
        <v>0.0</v>
      </c>
      <c r="AQ478" s="67"/>
      <c r="AR478" s="67"/>
      <c r="AS478" s="68">
        <v>0.0</v>
      </c>
      <c r="AT478" s="44">
        <v>0.0</v>
      </c>
      <c r="AU478" s="52">
        <v>0.0</v>
      </c>
      <c r="AV478" s="52">
        <v>0.0</v>
      </c>
      <c r="AW478" s="52" t="s">
        <v>88</v>
      </c>
      <c r="AX478" s="52">
        <v>0.0</v>
      </c>
      <c r="AY478" s="52" t="s">
        <v>137</v>
      </c>
      <c r="AZ478" s="44">
        <v>6.0</v>
      </c>
      <c r="BA478" s="43" t="s">
        <v>89</v>
      </c>
      <c r="BB478" s="44">
        <v>14.0</v>
      </c>
      <c r="BC478" s="109"/>
      <c r="BD478" s="70"/>
      <c r="BE478" s="71"/>
      <c r="BF478" s="72"/>
      <c r="BG478" s="73"/>
      <c r="BH478" s="73"/>
      <c r="BI478" s="73"/>
      <c r="BJ478" s="73"/>
      <c r="BK478" s="73"/>
      <c r="BL478" s="73"/>
      <c r="BM478" s="73"/>
      <c r="BN478" s="73"/>
      <c r="BO478" s="73"/>
      <c r="BP478" s="73"/>
      <c r="BQ478" s="73"/>
      <c r="BR478" s="73"/>
      <c r="BS478" s="73"/>
      <c r="BT478" s="73"/>
      <c r="BU478" s="73"/>
      <c r="BV478" s="73"/>
      <c r="BW478" s="74"/>
      <c r="BX478" s="74"/>
      <c r="BY478" s="63"/>
      <c r="BZ478" s="63"/>
    </row>
    <row r="479" ht="15.75" customHeight="1">
      <c r="A479" s="75" t="s">
        <v>3120</v>
      </c>
      <c r="B479" s="43" t="s">
        <v>436</v>
      </c>
      <c r="C479" s="43" t="s">
        <v>70</v>
      </c>
      <c r="D479" s="44" t="s">
        <v>11</v>
      </c>
      <c r="E479" s="45"/>
      <c r="F479" s="47">
        <v>3.0E8</v>
      </c>
      <c r="G479" s="44" t="str">
        <f t="shared" si="16"/>
        <v>$300'000.000 a $400'000.000</v>
      </c>
      <c r="H479" s="44"/>
      <c r="I479" s="44"/>
      <c r="J479" s="50" t="s">
        <v>183</v>
      </c>
      <c r="K479" s="51" t="s">
        <v>184</v>
      </c>
      <c r="L479" s="44">
        <v>3.0</v>
      </c>
      <c r="M479" s="44"/>
      <c r="N479" s="44">
        <v>3.0</v>
      </c>
      <c r="O479" s="50">
        <v>1.0</v>
      </c>
      <c r="P479" s="44">
        <v>1.0</v>
      </c>
      <c r="Q479" s="113">
        <v>180.0</v>
      </c>
      <c r="R479" s="79">
        <v>180.0</v>
      </c>
      <c r="S479" s="56" t="str">
        <f t="shared" si="15"/>
        <v> </v>
      </c>
      <c r="T479" s="44" t="s">
        <v>78</v>
      </c>
      <c r="U479" s="57" t="s">
        <v>184</v>
      </c>
      <c r="V479" s="50" t="s">
        <v>79</v>
      </c>
      <c r="W479" s="50"/>
      <c r="X479" s="44">
        <v>2.0</v>
      </c>
      <c r="Y479" s="50" t="s">
        <v>80</v>
      </c>
      <c r="Z479" s="58" t="s">
        <v>81</v>
      </c>
      <c r="AA479" s="59" t="str">
        <f>IF(Rentabilidad=0,"No aplica",TEXT(ROUND(Precio/Rentabilidad/12,0),0) &amp; " años")</f>
        <v>No aplica</v>
      </c>
      <c r="AB479" s="195"/>
      <c r="AC479" s="61"/>
      <c r="AD479" s="62"/>
      <c r="AE479" s="63"/>
      <c r="AF479" s="64" t="s">
        <v>236</v>
      </c>
      <c r="AG479" s="63"/>
      <c r="AH479" s="65" t="s">
        <v>45</v>
      </c>
      <c r="AI479" s="63"/>
      <c r="AJ479" s="64" t="s">
        <v>1834</v>
      </c>
      <c r="AK479" s="44"/>
      <c r="AL479" s="45" t="s">
        <v>86</v>
      </c>
      <c r="AM479" s="52">
        <v>3.00563377E9</v>
      </c>
      <c r="AN479" s="45">
        <v>3.15827557E9</v>
      </c>
      <c r="AO479" s="52" t="s">
        <v>3121</v>
      </c>
      <c r="AP479" s="67" t="s">
        <v>3122</v>
      </c>
      <c r="AQ479" s="67"/>
      <c r="AR479" s="67"/>
      <c r="AS479" s="68">
        <v>0.0</v>
      </c>
      <c r="AT479" s="44">
        <v>0.0</v>
      </c>
      <c r="AU479" s="52">
        <v>0.0</v>
      </c>
      <c r="AV479" s="52">
        <v>0.0</v>
      </c>
      <c r="AW479" s="52" t="s">
        <v>106</v>
      </c>
      <c r="AX479" s="52">
        <v>0.0</v>
      </c>
      <c r="AY479" s="52">
        <v>0.0</v>
      </c>
      <c r="AZ479" s="44">
        <v>9.0</v>
      </c>
      <c r="BA479" s="43" t="s">
        <v>89</v>
      </c>
      <c r="BB479" s="44">
        <v>20.0</v>
      </c>
      <c r="BC479" s="69" t="s">
        <v>439</v>
      </c>
      <c r="BD479" s="70"/>
      <c r="BE479" s="70"/>
      <c r="BF479" s="130"/>
      <c r="BG479" s="73"/>
      <c r="BH479" s="73"/>
      <c r="BI479" s="73"/>
      <c r="BJ479" s="73"/>
      <c r="BK479" s="73"/>
      <c r="BL479" s="73"/>
      <c r="BM479" s="73"/>
      <c r="BN479" s="73"/>
      <c r="BO479" s="73"/>
      <c r="BP479" s="73"/>
      <c r="BQ479" s="73"/>
      <c r="BR479" s="73"/>
      <c r="BS479" s="73"/>
      <c r="BT479" s="73"/>
      <c r="BU479" s="73"/>
      <c r="BV479" s="73"/>
      <c r="BW479" s="74"/>
      <c r="BX479" s="74"/>
      <c r="BY479" s="63"/>
      <c r="BZ479" s="63"/>
    </row>
    <row r="480" ht="15.75" customHeight="1">
      <c r="A480" s="41" t="s">
        <v>3123</v>
      </c>
      <c r="B480" s="50" t="s">
        <v>429</v>
      </c>
      <c r="C480" s="50" t="s">
        <v>70</v>
      </c>
      <c r="D480" s="44" t="s">
        <v>430</v>
      </c>
      <c r="E480" s="45"/>
      <c r="F480" s="47">
        <v>3.0E8</v>
      </c>
      <c r="G480" s="44" t="str">
        <f t="shared" si="16"/>
        <v>$300'000.000 a $400'000.000</v>
      </c>
      <c r="H480" s="44"/>
      <c r="I480" s="44"/>
      <c r="J480" s="50" t="s">
        <v>183</v>
      </c>
      <c r="K480" s="56" t="s">
        <v>184</v>
      </c>
      <c r="L480" s="44">
        <v>4.0</v>
      </c>
      <c r="M480" s="44"/>
      <c r="N480" s="44">
        <v>3.0</v>
      </c>
      <c r="O480" s="50">
        <v>1.0</v>
      </c>
      <c r="P480" s="44">
        <v>2.0</v>
      </c>
      <c r="Q480" s="113"/>
      <c r="R480" s="79">
        <v>120.0</v>
      </c>
      <c r="S480" s="56" t="str">
        <f t="shared" si="15"/>
        <v> </v>
      </c>
      <c r="T480" s="44" t="s">
        <v>78</v>
      </c>
      <c r="U480" s="57" t="s">
        <v>77</v>
      </c>
      <c r="V480" s="50" t="s">
        <v>79</v>
      </c>
      <c r="W480" s="50"/>
      <c r="X480" s="44">
        <v>1.0</v>
      </c>
      <c r="Y480" s="50" t="s">
        <v>80</v>
      </c>
      <c r="Z480" s="58" t="s">
        <v>81</v>
      </c>
      <c r="AA480" s="59" t="str">
        <f>IF(Rentabilidad=0,"No aplica",TEXT(ROUND(Precio/Rentabilidad/12,0),0) &amp; " años")</f>
        <v>No aplica</v>
      </c>
      <c r="AB480" s="195"/>
      <c r="AC480" s="61"/>
      <c r="AD480" s="62"/>
      <c r="AE480" s="63"/>
      <c r="AF480" s="45" t="s">
        <v>236</v>
      </c>
      <c r="AG480" s="63"/>
      <c r="AH480" s="65" t="s">
        <v>45</v>
      </c>
      <c r="AI480" s="63"/>
      <c r="AJ480" s="64" t="s">
        <v>1834</v>
      </c>
      <c r="AK480" s="44"/>
      <c r="AL480" s="45" t="s">
        <v>86</v>
      </c>
      <c r="AM480" s="52">
        <v>3.177772297E9</v>
      </c>
      <c r="AN480" s="45">
        <v>0.0</v>
      </c>
      <c r="AO480" s="52" t="s">
        <v>2520</v>
      </c>
      <c r="AP480" s="67" t="s">
        <v>3124</v>
      </c>
      <c r="AQ480" s="67"/>
      <c r="AR480" s="67"/>
      <c r="AS480" s="68">
        <v>0.0</v>
      </c>
      <c r="AT480" s="44">
        <v>0.0</v>
      </c>
      <c r="AU480" s="52">
        <v>0.0</v>
      </c>
      <c r="AV480" s="52">
        <v>0.0</v>
      </c>
      <c r="AW480" s="43" t="s">
        <v>88</v>
      </c>
      <c r="AX480" s="52">
        <v>0.0</v>
      </c>
      <c r="AY480" s="52">
        <v>0.0</v>
      </c>
      <c r="AZ480" s="44">
        <v>0.0</v>
      </c>
      <c r="BA480" s="43" t="s">
        <v>89</v>
      </c>
      <c r="BB480" s="44">
        <v>0.0</v>
      </c>
      <c r="BC480" s="69" t="s">
        <v>3125</v>
      </c>
      <c r="BD480" s="70"/>
      <c r="BE480" s="70"/>
      <c r="BF480" s="130"/>
      <c r="BG480" s="73"/>
      <c r="BH480" s="73"/>
      <c r="BI480" s="73"/>
      <c r="BJ480" s="73"/>
      <c r="BK480" s="73"/>
      <c r="BL480" s="73"/>
      <c r="BM480" s="73"/>
      <c r="BN480" s="73"/>
      <c r="BO480" s="73"/>
      <c r="BP480" s="73"/>
      <c r="BQ480" s="73"/>
      <c r="BR480" s="73"/>
      <c r="BS480" s="73"/>
      <c r="BT480" s="73"/>
      <c r="BU480" s="73"/>
      <c r="BV480" s="73"/>
      <c r="BW480" s="74"/>
      <c r="BX480" s="74"/>
      <c r="BY480" s="63"/>
      <c r="BZ480" s="63"/>
    </row>
    <row r="481" ht="15.75" customHeight="1">
      <c r="A481" s="41" t="s">
        <v>3126</v>
      </c>
      <c r="B481" s="50" t="s">
        <v>3127</v>
      </c>
      <c r="C481" s="50" t="s">
        <v>271</v>
      </c>
      <c r="D481" s="44" t="s">
        <v>11</v>
      </c>
      <c r="E481" s="45"/>
      <c r="F481" s="47">
        <v>3.0E8</v>
      </c>
      <c r="G481" s="44" t="str">
        <f t="shared" si="16"/>
        <v>$300'000.000 a $400'000.000</v>
      </c>
      <c r="H481" s="44"/>
      <c r="I481" s="44"/>
      <c r="J481" s="50" t="s">
        <v>183</v>
      </c>
      <c r="K481" s="51" t="s">
        <v>184</v>
      </c>
      <c r="L481" s="44">
        <v>5.0</v>
      </c>
      <c r="M481" s="44"/>
      <c r="N481" s="44">
        <v>3.0</v>
      </c>
      <c r="O481" s="50">
        <v>0.0</v>
      </c>
      <c r="P481" s="44">
        <v>2.0</v>
      </c>
      <c r="Q481" s="113">
        <v>295.0</v>
      </c>
      <c r="R481" s="79">
        <v>180.0</v>
      </c>
      <c r="S481" s="56" t="str">
        <f t="shared" si="15"/>
        <v>Rentabilidad $1,400,000</v>
      </c>
      <c r="T481" s="52" t="s">
        <v>78</v>
      </c>
      <c r="U481" s="142" t="s">
        <v>184</v>
      </c>
      <c r="V481" s="65" t="s">
        <v>118</v>
      </c>
      <c r="W481" s="65"/>
      <c r="X481" s="63">
        <v>3.0</v>
      </c>
      <c r="Y481" s="65" t="s">
        <v>80</v>
      </c>
      <c r="Z481" s="80" t="s">
        <v>81</v>
      </c>
      <c r="AA481" s="59" t="str">
        <f>IF(Rentabilidad=0,"No aplica",TEXT(ROUND(Precio/Rentabilidad/12,0),0) &amp; " años")</f>
        <v>18 años</v>
      </c>
      <c r="AB481" s="190"/>
      <c r="AC481" s="61"/>
      <c r="AD481" s="62"/>
      <c r="AE481" s="63"/>
      <c r="AF481" s="45" t="s">
        <v>236</v>
      </c>
      <c r="AG481" s="63"/>
      <c r="AH481" s="65" t="s">
        <v>45</v>
      </c>
      <c r="AI481" s="63"/>
      <c r="AJ481" s="64" t="s">
        <v>1834</v>
      </c>
      <c r="AK481" s="44"/>
      <c r="AL481" s="45" t="s">
        <v>2986</v>
      </c>
      <c r="AM481" s="52">
        <v>3.168287737E9</v>
      </c>
      <c r="AN481" s="45">
        <v>3.006254032E9</v>
      </c>
      <c r="AO481" s="52" t="s">
        <v>3128</v>
      </c>
      <c r="AP481" s="67" t="s">
        <v>3129</v>
      </c>
      <c r="AQ481" s="67"/>
      <c r="AR481" s="67"/>
      <c r="AS481" s="68">
        <v>1400000.0</v>
      </c>
      <c r="AT481" s="44">
        <v>0.0</v>
      </c>
      <c r="AU481" s="44">
        <v>0.0</v>
      </c>
      <c r="AV481" s="44">
        <v>0.0</v>
      </c>
      <c r="AW481" s="44" t="s">
        <v>106</v>
      </c>
      <c r="AX481" s="44">
        <v>0.0</v>
      </c>
      <c r="AY481" s="44">
        <v>0.0</v>
      </c>
      <c r="AZ481" s="44">
        <v>9.0</v>
      </c>
      <c r="BA481" s="43" t="s">
        <v>89</v>
      </c>
      <c r="BB481" s="44">
        <v>20.0</v>
      </c>
      <c r="BC481" s="69"/>
      <c r="BD481" s="70"/>
      <c r="BE481" s="70"/>
      <c r="BF481" s="130"/>
      <c r="BG481" s="73"/>
      <c r="BH481" s="73"/>
      <c r="BI481" s="73"/>
      <c r="BJ481" s="73"/>
      <c r="BK481" s="73"/>
      <c r="BL481" s="73"/>
      <c r="BM481" s="73"/>
      <c r="BN481" s="73"/>
      <c r="BO481" s="73"/>
      <c r="BP481" s="73"/>
      <c r="BQ481" s="73"/>
      <c r="BR481" s="73"/>
      <c r="BS481" s="73"/>
      <c r="BT481" s="73"/>
      <c r="BU481" s="73"/>
      <c r="BV481" s="73"/>
      <c r="BW481" s="74"/>
      <c r="BX481" s="74"/>
      <c r="BY481" s="63"/>
      <c r="BZ481" s="63"/>
    </row>
    <row r="482" ht="15.75" customHeight="1">
      <c r="A482" s="41" t="s">
        <v>3130</v>
      </c>
      <c r="B482" s="50" t="s">
        <v>3131</v>
      </c>
      <c r="C482" s="50" t="s">
        <v>271</v>
      </c>
      <c r="D482" s="44" t="s">
        <v>71</v>
      </c>
      <c r="E482" s="64"/>
      <c r="F482" s="47">
        <v>3.0E8</v>
      </c>
      <c r="G482" s="44" t="str">
        <f t="shared" si="16"/>
        <v>$300'000.000 a $400'000.000</v>
      </c>
      <c r="H482" s="44"/>
      <c r="I482" s="44"/>
      <c r="J482" s="50" t="s">
        <v>76</v>
      </c>
      <c r="K482" s="51" t="s">
        <v>77</v>
      </c>
      <c r="L482" s="44">
        <v>2.0</v>
      </c>
      <c r="M482" s="44"/>
      <c r="N482" s="44">
        <v>2.0</v>
      </c>
      <c r="O482" s="50">
        <v>1.0</v>
      </c>
      <c r="P482" s="44">
        <v>2.0</v>
      </c>
      <c r="Q482" s="113">
        <v>188.0</v>
      </c>
      <c r="R482" s="79">
        <v>121.0</v>
      </c>
      <c r="S482" s="56" t="str">
        <f t="shared" si="15"/>
        <v>Rentabilidad $1,200,000</v>
      </c>
      <c r="T482" s="52" t="s">
        <v>78</v>
      </c>
      <c r="U482" s="142" t="s">
        <v>142</v>
      </c>
      <c r="V482" s="44"/>
      <c r="W482" s="44"/>
      <c r="X482" s="44">
        <v>2.0</v>
      </c>
      <c r="Y482" s="50" t="s">
        <v>80</v>
      </c>
      <c r="Z482" s="80" t="s">
        <v>81</v>
      </c>
      <c r="AA482" s="59" t="str">
        <f>IF(Rentabilidad=0,"No aplica",TEXT(ROUND(Precio/Rentabilidad/12,0),0) &amp; " años")</f>
        <v>21 años</v>
      </c>
      <c r="AB482" s="60"/>
      <c r="AC482" s="61"/>
      <c r="AD482" s="62"/>
      <c r="AE482" s="63"/>
      <c r="AF482" s="45" t="s">
        <v>105</v>
      </c>
      <c r="AG482" s="63"/>
      <c r="AH482" s="65" t="s">
        <v>45</v>
      </c>
      <c r="AI482" s="63"/>
      <c r="AJ482" s="64" t="s">
        <v>1834</v>
      </c>
      <c r="AK482" s="44"/>
      <c r="AL482" s="45" t="s">
        <v>86</v>
      </c>
      <c r="AM482" s="52">
        <v>3.132652076E9</v>
      </c>
      <c r="AN482" s="45">
        <v>3.132652076E9</v>
      </c>
      <c r="AO482" s="52" t="s">
        <v>3132</v>
      </c>
      <c r="AP482" s="67" t="s">
        <v>3133</v>
      </c>
      <c r="AQ482" s="67"/>
      <c r="AR482" s="67"/>
      <c r="AS482" s="68">
        <v>1200000.0</v>
      </c>
      <c r="AT482" s="44">
        <v>0.0</v>
      </c>
      <c r="AU482" s="44">
        <v>0.0</v>
      </c>
      <c r="AV482" s="44">
        <v>0.0</v>
      </c>
      <c r="AW482" s="50" t="s">
        <v>88</v>
      </c>
      <c r="AX482" s="44">
        <v>0.0</v>
      </c>
      <c r="AY482" s="44">
        <v>0.0</v>
      </c>
      <c r="AZ482" s="44">
        <v>0.0</v>
      </c>
      <c r="BA482" s="43" t="s">
        <v>89</v>
      </c>
      <c r="BB482" s="44">
        <v>0.0</v>
      </c>
      <c r="BC482" s="95"/>
      <c r="BD482" s="71"/>
      <c r="BE482" s="70"/>
      <c r="BF482" s="72"/>
      <c r="BG482" s="73"/>
      <c r="BH482" s="73"/>
      <c r="BI482" s="73"/>
      <c r="BJ482" s="73"/>
      <c r="BK482" s="73"/>
      <c r="BL482" s="73"/>
      <c r="BM482" s="73"/>
      <c r="BN482" s="73"/>
      <c r="BO482" s="73"/>
      <c r="BP482" s="73"/>
      <c r="BQ482" s="73"/>
      <c r="BR482" s="73"/>
      <c r="BS482" s="73"/>
      <c r="BT482" s="73"/>
      <c r="BU482" s="73"/>
      <c r="BV482" s="73"/>
      <c r="BW482" s="74"/>
      <c r="BX482" s="74"/>
      <c r="BY482" s="63"/>
      <c r="BZ482" s="63"/>
    </row>
    <row r="483" ht="15.75" customHeight="1">
      <c r="A483" s="41" t="s">
        <v>3134</v>
      </c>
      <c r="B483" s="50" t="s">
        <v>3135</v>
      </c>
      <c r="C483" s="50" t="s">
        <v>271</v>
      </c>
      <c r="D483" s="63" t="s">
        <v>155</v>
      </c>
      <c r="E483" s="45"/>
      <c r="F483" s="47">
        <v>3.0E8</v>
      </c>
      <c r="G483" s="44" t="str">
        <f t="shared" si="16"/>
        <v>$300'000.000 a $400'000.000</v>
      </c>
      <c r="H483" s="44"/>
      <c r="I483" s="44"/>
      <c r="J483" s="50" t="s">
        <v>76</v>
      </c>
      <c r="K483" s="51" t="s">
        <v>77</v>
      </c>
      <c r="L483" s="44">
        <v>4.0</v>
      </c>
      <c r="M483" s="44"/>
      <c r="N483" s="44">
        <v>1.0</v>
      </c>
      <c r="O483" s="50">
        <v>0.0</v>
      </c>
      <c r="P483" s="44">
        <v>1.0</v>
      </c>
      <c r="Q483" s="54"/>
      <c r="R483" s="79">
        <v>184.0</v>
      </c>
      <c r="S483" s="56" t="str">
        <f t="shared" si="15"/>
        <v>Rentabilidad $1,300,000</v>
      </c>
      <c r="T483" s="52" t="s">
        <v>78</v>
      </c>
      <c r="U483" s="57" t="s">
        <v>184</v>
      </c>
      <c r="V483" s="50" t="s">
        <v>79</v>
      </c>
      <c r="W483" s="50"/>
      <c r="X483" s="44">
        <v>0.0</v>
      </c>
      <c r="Y483" s="44"/>
      <c r="Z483" s="58" t="s">
        <v>81</v>
      </c>
      <c r="AA483" s="59" t="str">
        <f>IF(Rentabilidad=0,"No aplica",TEXT(ROUND(Precio/Rentabilidad/12,0),0) &amp; " años")</f>
        <v>19 años</v>
      </c>
      <c r="AB483" s="60"/>
      <c r="AC483" s="61"/>
      <c r="AD483" s="62"/>
      <c r="AE483" s="63"/>
      <c r="AF483" s="64" t="s">
        <v>84</v>
      </c>
      <c r="AG483" s="63"/>
      <c r="AH483" s="65" t="s">
        <v>45</v>
      </c>
      <c r="AI483" s="63"/>
      <c r="AJ483" s="64" t="s">
        <v>1834</v>
      </c>
      <c r="AK483" s="44"/>
      <c r="AL483" s="45" t="s">
        <v>2656</v>
      </c>
      <c r="AM483" s="52">
        <v>3.15484608E9</v>
      </c>
      <c r="AN483" s="45">
        <v>3.214963691E9</v>
      </c>
      <c r="AO483" s="52" t="s">
        <v>3136</v>
      </c>
      <c r="AP483" s="67" t="s">
        <v>3137</v>
      </c>
      <c r="AQ483" s="67"/>
      <c r="AR483" s="67"/>
      <c r="AS483" s="68">
        <v>1300000.0</v>
      </c>
      <c r="AT483" s="44">
        <v>0.0</v>
      </c>
      <c r="AU483" s="44">
        <v>0.0</v>
      </c>
      <c r="AV483" s="44">
        <v>0.0</v>
      </c>
      <c r="AW483" s="50" t="s">
        <v>88</v>
      </c>
      <c r="AX483" s="44">
        <v>0.0</v>
      </c>
      <c r="AY483" s="44">
        <v>0.0</v>
      </c>
      <c r="AZ483" s="52">
        <v>11.5</v>
      </c>
      <c r="BA483" s="43" t="s">
        <v>89</v>
      </c>
      <c r="BB483" s="52">
        <v>16.0</v>
      </c>
      <c r="BC483" s="127" t="s">
        <v>3138</v>
      </c>
      <c r="BD483" s="128"/>
      <c r="BE483" s="129"/>
      <c r="BF483" s="72"/>
      <c r="BG483" s="73"/>
      <c r="BH483" s="73"/>
      <c r="BI483" s="73"/>
      <c r="BJ483" s="73"/>
      <c r="BK483" s="73"/>
      <c r="BL483" s="73"/>
      <c r="BM483" s="73"/>
      <c r="BN483" s="73"/>
      <c r="BO483" s="73"/>
      <c r="BP483" s="73"/>
      <c r="BQ483" s="73"/>
      <c r="BR483" s="73"/>
      <c r="BS483" s="73"/>
      <c r="BT483" s="73"/>
      <c r="BU483" s="73"/>
      <c r="BV483" s="73"/>
      <c r="BW483" s="74"/>
      <c r="BX483" s="74"/>
      <c r="BY483" s="63"/>
      <c r="BZ483" s="63"/>
    </row>
    <row r="484" ht="15.75" customHeight="1">
      <c r="A484" s="120" t="s">
        <v>3139</v>
      </c>
      <c r="B484" s="50" t="s">
        <v>1778</v>
      </c>
      <c r="C484" s="50" t="s">
        <v>271</v>
      </c>
      <c r="D484" s="44" t="s">
        <v>11</v>
      </c>
      <c r="E484" s="45"/>
      <c r="F484" s="47">
        <v>3.0E8</v>
      </c>
      <c r="G484" s="44" t="str">
        <f t="shared" si="16"/>
        <v>$300'000.000 a $400'000.000</v>
      </c>
      <c r="H484" s="44"/>
      <c r="I484" s="44"/>
      <c r="J484" s="50" t="s">
        <v>183</v>
      </c>
      <c r="K484" s="51" t="s">
        <v>184</v>
      </c>
      <c r="L484" s="52">
        <v>6.0</v>
      </c>
      <c r="M484" s="52"/>
      <c r="N484" s="52">
        <v>2.0</v>
      </c>
      <c r="O484" s="43">
        <v>0.0</v>
      </c>
      <c r="P484" s="52">
        <v>1.0</v>
      </c>
      <c r="Q484" s="54">
        <v>170.0</v>
      </c>
      <c r="R484" s="55">
        <v>180.0</v>
      </c>
      <c r="S484" s="56" t="str">
        <f t="shared" si="15"/>
        <v>Rentabilidad $1,200,000</v>
      </c>
      <c r="T484" s="52" t="s">
        <v>78</v>
      </c>
      <c r="U484" s="142" t="s">
        <v>184</v>
      </c>
      <c r="V484" s="43" t="s">
        <v>79</v>
      </c>
      <c r="W484" s="43"/>
      <c r="X484" s="52">
        <v>0.0</v>
      </c>
      <c r="Y484" s="43" t="s">
        <v>80</v>
      </c>
      <c r="Z484" s="80" t="s">
        <v>81</v>
      </c>
      <c r="AA484" s="59" t="str">
        <f>IF(Rentabilidad=0,"No aplica",TEXT(ROUND(Precio/Rentabilidad/12,0),0) &amp; " años")</f>
        <v>21 años</v>
      </c>
      <c r="AB484" s="195"/>
      <c r="AC484" s="61"/>
      <c r="AD484" s="62"/>
      <c r="AE484" s="63"/>
      <c r="AF484" s="64" t="s">
        <v>84</v>
      </c>
      <c r="AG484" s="63"/>
      <c r="AH484" s="65" t="s">
        <v>45</v>
      </c>
      <c r="AI484" s="63"/>
      <c r="AJ484" s="64" t="s">
        <v>1834</v>
      </c>
      <c r="AK484" s="44"/>
      <c r="AL484" s="45" t="s">
        <v>86</v>
      </c>
      <c r="AM484" s="52">
        <v>3.118988138E9</v>
      </c>
      <c r="AN484" s="45">
        <v>0.0</v>
      </c>
      <c r="AO484" s="52" t="s">
        <v>3140</v>
      </c>
      <c r="AP484" s="67" t="s">
        <v>3141</v>
      </c>
      <c r="AQ484" s="67"/>
      <c r="AR484" s="67"/>
      <c r="AS484" s="135">
        <v>1200000.0</v>
      </c>
      <c r="AT484" s="44">
        <v>0.0</v>
      </c>
      <c r="AU484" s="52">
        <v>0.0</v>
      </c>
      <c r="AV484" s="52">
        <v>0.0</v>
      </c>
      <c r="AW484" s="43" t="s">
        <v>88</v>
      </c>
      <c r="AX484" s="52">
        <v>0.0</v>
      </c>
      <c r="AY484" s="52" t="s">
        <v>106</v>
      </c>
      <c r="AZ484" s="44">
        <v>9.0</v>
      </c>
      <c r="BA484" s="43" t="s">
        <v>89</v>
      </c>
      <c r="BB484" s="44">
        <v>20.0</v>
      </c>
      <c r="BC484" s="109"/>
      <c r="BD484" s="70"/>
      <c r="BE484" s="71"/>
      <c r="BF484" s="130"/>
      <c r="BG484" s="73"/>
      <c r="BH484" s="73"/>
      <c r="BI484" s="73"/>
      <c r="BJ484" s="73"/>
      <c r="BK484" s="73"/>
      <c r="BL484" s="73"/>
      <c r="BM484" s="73"/>
      <c r="BN484" s="73"/>
      <c r="BO484" s="73"/>
      <c r="BP484" s="73"/>
      <c r="BQ484" s="73"/>
      <c r="BR484" s="73"/>
      <c r="BS484" s="73"/>
      <c r="BT484" s="73"/>
      <c r="BU484" s="73"/>
      <c r="BV484" s="73"/>
      <c r="BW484" s="74"/>
      <c r="BX484" s="74"/>
      <c r="BY484" s="63"/>
      <c r="BZ484" s="63"/>
    </row>
    <row r="485" ht="15.75" customHeight="1">
      <c r="A485" s="120" t="s">
        <v>3142</v>
      </c>
      <c r="B485" s="43" t="s">
        <v>2710</v>
      </c>
      <c r="C485" s="43" t="s">
        <v>70</v>
      </c>
      <c r="D485" s="116" t="s">
        <v>155</v>
      </c>
      <c r="E485" s="45"/>
      <c r="F485" s="47">
        <v>3.0E8</v>
      </c>
      <c r="G485" s="44" t="str">
        <f t="shared" si="16"/>
        <v>$300'000.000 a $400'000.000</v>
      </c>
      <c r="H485" s="44"/>
      <c r="I485" s="44"/>
      <c r="J485" s="43" t="s">
        <v>76</v>
      </c>
      <c r="K485" s="51" t="s">
        <v>77</v>
      </c>
      <c r="L485" s="52">
        <v>3.0</v>
      </c>
      <c r="M485" s="52"/>
      <c r="N485" s="52">
        <v>2.0</v>
      </c>
      <c r="O485" s="43">
        <v>0.0</v>
      </c>
      <c r="P485" s="52">
        <v>1.0</v>
      </c>
      <c r="Q485" s="113">
        <v>300.0</v>
      </c>
      <c r="R485" s="79">
        <v>300.0</v>
      </c>
      <c r="S485" s="56" t="str">
        <f t="shared" si="15"/>
        <v>Rentabilidad $900,000</v>
      </c>
      <c r="T485" s="52" t="s">
        <v>78</v>
      </c>
      <c r="U485" s="142" t="s">
        <v>184</v>
      </c>
      <c r="V485" s="43" t="s">
        <v>79</v>
      </c>
      <c r="W485" s="43"/>
      <c r="X485" s="52">
        <v>0.0</v>
      </c>
      <c r="Y485" s="43" t="s">
        <v>80</v>
      </c>
      <c r="Z485" s="58" t="s">
        <v>81</v>
      </c>
      <c r="AA485" s="59" t="str">
        <f>IF(Rentabilidad=0,"No aplica",TEXT(ROUND(Precio/Rentabilidad/12,0),0) &amp; " años")</f>
        <v>28 años</v>
      </c>
      <c r="AB485" s="60"/>
      <c r="AC485" s="61"/>
      <c r="AD485" s="62"/>
      <c r="AE485" s="63"/>
      <c r="AF485" s="64" t="s">
        <v>84</v>
      </c>
      <c r="AG485" s="63"/>
      <c r="AH485" s="65" t="s">
        <v>45</v>
      </c>
      <c r="AI485" s="63"/>
      <c r="AJ485" s="64" t="s">
        <v>1834</v>
      </c>
      <c r="AK485" s="44"/>
      <c r="AL485" s="45" t="s">
        <v>2802</v>
      </c>
      <c r="AM485" s="52">
        <v>3.004603597E9</v>
      </c>
      <c r="AN485" s="45">
        <v>0.0</v>
      </c>
      <c r="AO485" s="52" t="s">
        <v>3143</v>
      </c>
      <c r="AP485" s="67" t="s">
        <v>3144</v>
      </c>
      <c r="AQ485" s="67"/>
      <c r="AR485" s="67"/>
      <c r="AS485" s="135">
        <v>900000.0</v>
      </c>
      <c r="AT485" s="44">
        <v>0.0</v>
      </c>
      <c r="AU485" s="52">
        <v>0.0</v>
      </c>
      <c r="AV485" s="52">
        <v>0.0</v>
      </c>
      <c r="AW485" s="43" t="s">
        <v>88</v>
      </c>
      <c r="AX485" s="52">
        <v>0.0</v>
      </c>
      <c r="AY485" s="52">
        <v>0.0</v>
      </c>
      <c r="AZ485" s="52">
        <v>0.0</v>
      </c>
      <c r="BA485" s="43" t="s">
        <v>89</v>
      </c>
      <c r="BB485" s="52">
        <v>0.0</v>
      </c>
      <c r="BC485" s="69" t="s">
        <v>1718</v>
      </c>
      <c r="BD485" s="70"/>
      <c r="BE485" s="71"/>
      <c r="BF485" s="130"/>
      <c r="BG485" s="73"/>
      <c r="BH485" s="73"/>
      <c r="BI485" s="73"/>
      <c r="BJ485" s="73"/>
      <c r="BK485" s="73"/>
      <c r="BL485" s="73"/>
      <c r="BM485" s="73"/>
      <c r="BN485" s="73"/>
      <c r="BO485" s="73"/>
      <c r="BP485" s="73"/>
      <c r="BQ485" s="73"/>
      <c r="BR485" s="73"/>
      <c r="BS485" s="73"/>
      <c r="BT485" s="73"/>
      <c r="BU485" s="73"/>
      <c r="BV485" s="73"/>
      <c r="BW485" s="74"/>
      <c r="BX485" s="74"/>
      <c r="BY485" s="63"/>
      <c r="BZ485" s="63"/>
    </row>
    <row r="486" ht="15.75" customHeight="1">
      <c r="A486" s="120" t="s">
        <v>3145</v>
      </c>
      <c r="B486" s="50" t="s">
        <v>3146</v>
      </c>
      <c r="C486" s="50" t="s">
        <v>271</v>
      </c>
      <c r="D486" s="52" t="s">
        <v>3147</v>
      </c>
      <c r="E486" s="45"/>
      <c r="F486" s="47">
        <v>3.0E8</v>
      </c>
      <c r="G486" s="44" t="str">
        <f t="shared" si="16"/>
        <v>$300'000.000 a $400'000.000</v>
      </c>
      <c r="H486" s="44"/>
      <c r="I486" s="44"/>
      <c r="J486" s="43" t="s">
        <v>183</v>
      </c>
      <c r="K486" s="142"/>
      <c r="L486" s="52">
        <v>5.0</v>
      </c>
      <c r="M486" s="52"/>
      <c r="N486" s="52">
        <v>3.0</v>
      </c>
      <c r="O486" s="43">
        <v>2.0</v>
      </c>
      <c r="P486" s="52">
        <v>2.0</v>
      </c>
      <c r="Q486" s="54"/>
      <c r="R486" s="55">
        <v>75.0</v>
      </c>
      <c r="S486" s="56" t="str">
        <f t="shared" si="15"/>
        <v>Rentabilidad $1,000,000</v>
      </c>
      <c r="T486" s="52" t="s">
        <v>78</v>
      </c>
      <c r="U486" s="142" t="s">
        <v>184</v>
      </c>
      <c r="V486" s="43" t="s">
        <v>79</v>
      </c>
      <c r="W486" s="43"/>
      <c r="X486" s="52">
        <v>4.0</v>
      </c>
      <c r="Y486" s="43" t="s">
        <v>80</v>
      </c>
      <c r="Z486" s="80" t="s">
        <v>81</v>
      </c>
      <c r="AA486" s="59" t="str">
        <f>IF(Rentabilidad=0,"No aplica",TEXT(ROUND(Precio/Rentabilidad/12,0),0) &amp; " años")</f>
        <v>25 años</v>
      </c>
      <c r="AB486" s="60"/>
      <c r="AC486" s="61"/>
      <c r="AD486" s="62"/>
      <c r="AE486" s="63"/>
      <c r="AF486" s="45" t="s">
        <v>105</v>
      </c>
      <c r="AG486" s="63"/>
      <c r="AH486" s="63"/>
      <c r="AI486" s="63"/>
      <c r="AJ486" s="64" t="s">
        <v>1834</v>
      </c>
      <c r="AK486" s="44"/>
      <c r="AL486" s="45" t="s">
        <v>86</v>
      </c>
      <c r="AM486" s="52">
        <v>3.213049835E9</v>
      </c>
      <c r="AN486" s="45">
        <v>3.105714938E9</v>
      </c>
      <c r="AO486" s="52" t="s">
        <v>3148</v>
      </c>
      <c r="AP486" s="67" t="s">
        <v>3149</v>
      </c>
      <c r="AQ486" s="67"/>
      <c r="AR486" s="67"/>
      <c r="AS486" s="135">
        <v>1000000.0</v>
      </c>
      <c r="AT486" s="44">
        <v>0.0</v>
      </c>
      <c r="AU486" s="52">
        <v>0.0</v>
      </c>
      <c r="AV486" s="52">
        <v>0.0</v>
      </c>
      <c r="AW486" s="43" t="s">
        <v>88</v>
      </c>
      <c r="AX486" s="52">
        <v>0.0</v>
      </c>
      <c r="AY486" s="52">
        <v>0.0</v>
      </c>
      <c r="AZ486" s="52">
        <v>7.0</v>
      </c>
      <c r="BA486" s="43" t="s">
        <v>89</v>
      </c>
      <c r="BB486" s="52">
        <v>15.0</v>
      </c>
      <c r="BC486" s="69" t="s">
        <v>3150</v>
      </c>
      <c r="BD486" s="70"/>
      <c r="BE486" s="71"/>
      <c r="BF486" s="130"/>
      <c r="BG486" s="73"/>
      <c r="BH486" s="73"/>
      <c r="BI486" s="73"/>
      <c r="BJ486" s="73"/>
      <c r="BK486" s="73"/>
      <c r="BL486" s="73"/>
      <c r="BM486" s="73"/>
      <c r="BN486" s="73"/>
      <c r="BO486" s="73"/>
      <c r="BP486" s="73"/>
      <c r="BQ486" s="73"/>
      <c r="BR486" s="73"/>
      <c r="BS486" s="73"/>
      <c r="BT486" s="73"/>
      <c r="BU486" s="73"/>
      <c r="BV486" s="73"/>
      <c r="BW486" s="74"/>
      <c r="BX486" s="74"/>
      <c r="BY486" s="63"/>
      <c r="BZ486" s="63"/>
    </row>
    <row r="487" ht="15.75" customHeight="1">
      <c r="A487" s="41" t="s">
        <v>3151</v>
      </c>
      <c r="B487" s="50" t="s">
        <v>3152</v>
      </c>
      <c r="C487" s="50" t="s">
        <v>271</v>
      </c>
      <c r="D487" s="44" t="s">
        <v>71</v>
      </c>
      <c r="E487" s="77" t="s">
        <v>376</v>
      </c>
      <c r="F487" s="78">
        <v>3.0E8</v>
      </c>
      <c r="G487" s="44" t="str">
        <f t="shared" si="16"/>
        <v>$300'000.000 a $400'000.000</v>
      </c>
      <c r="H487" s="44"/>
      <c r="I487" s="44"/>
      <c r="J487" s="50" t="s">
        <v>76</v>
      </c>
      <c r="K487" s="51" t="s">
        <v>77</v>
      </c>
      <c r="L487" s="52">
        <v>6.0</v>
      </c>
      <c r="M487" s="52"/>
      <c r="N487" s="52">
        <v>4.0</v>
      </c>
      <c r="O487" s="43">
        <v>1.0</v>
      </c>
      <c r="P487" s="44">
        <v>1.0</v>
      </c>
      <c r="Q487" s="113">
        <v>230.0</v>
      </c>
      <c r="R487" s="55">
        <v>150.0</v>
      </c>
      <c r="S487" s="56" t="str">
        <f t="shared" si="15"/>
        <v>Rentabilidad $2,400,000</v>
      </c>
      <c r="T487" s="44" t="s">
        <v>78</v>
      </c>
      <c r="U487" s="57" t="s">
        <v>77</v>
      </c>
      <c r="V487" s="43" t="s">
        <v>79</v>
      </c>
      <c r="W487" s="43"/>
      <c r="X487" s="52">
        <v>0.0</v>
      </c>
      <c r="Y487" s="43" t="s">
        <v>80</v>
      </c>
      <c r="Z487" s="80" t="s">
        <v>81</v>
      </c>
      <c r="AA487" s="59" t="str">
        <f>IF(Rentabilidad=0,"No aplica",TEXT(ROUND(Precio/Rentabilidad/12,0),0) &amp; " años")</f>
        <v>10 años</v>
      </c>
      <c r="AB487" s="195"/>
      <c r="AC487" s="61"/>
      <c r="AD487" s="62"/>
      <c r="AE487" s="63"/>
      <c r="AF487" s="45" t="s">
        <v>236</v>
      </c>
      <c r="AG487" s="63"/>
      <c r="AH487" s="65" t="s">
        <v>45</v>
      </c>
      <c r="AI487" s="63"/>
      <c r="AJ487" s="64" t="s">
        <v>1834</v>
      </c>
      <c r="AK487" s="44"/>
      <c r="AL487" s="45" t="s">
        <v>86</v>
      </c>
      <c r="AM487" s="52">
        <v>3.167701239E9</v>
      </c>
      <c r="AN487" s="45">
        <v>3.163008395E9</v>
      </c>
      <c r="AO487" s="153" t="s">
        <v>3153</v>
      </c>
      <c r="AP487" s="67" t="s">
        <v>3154</v>
      </c>
      <c r="AQ487" s="67"/>
      <c r="AR487" s="67"/>
      <c r="AS487" s="85">
        <v>2400000.0</v>
      </c>
      <c r="AT487" s="44">
        <v>0.0</v>
      </c>
      <c r="AU487" s="52">
        <v>0.0</v>
      </c>
      <c r="AV487" s="52">
        <v>0.0</v>
      </c>
      <c r="AW487" s="43" t="s">
        <v>88</v>
      </c>
      <c r="AX487" s="52">
        <v>0.0</v>
      </c>
      <c r="AY487" s="52" t="s">
        <v>137</v>
      </c>
      <c r="AZ487" s="44">
        <v>6.0</v>
      </c>
      <c r="BA487" s="43" t="s">
        <v>89</v>
      </c>
      <c r="BB487" s="44">
        <v>25.0</v>
      </c>
      <c r="BC487" s="109"/>
      <c r="BD487" s="70"/>
      <c r="BE487" s="70"/>
      <c r="BF487" s="72"/>
      <c r="BG487" s="73"/>
      <c r="BH487" s="73"/>
      <c r="BI487" s="73"/>
      <c r="BJ487" s="73"/>
      <c r="BK487" s="73"/>
      <c r="BL487" s="73"/>
      <c r="BM487" s="73"/>
      <c r="BN487" s="73"/>
      <c r="BO487" s="73"/>
      <c r="BP487" s="73"/>
      <c r="BQ487" s="73"/>
      <c r="BR487" s="73"/>
      <c r="BS487" s="73"/>
      <c r="BT487" s="73"/>
      <c r="BU487" s="73"/>
      <c r="BV487" s="73"/>
      <c r="BW487" s="74"/>
      <c r="BX487" s="74"/>
      <c r="BY487" s="63"/>
      <c r="BZ487" s="63"/>
    </row>
    <row r="488" ht="15.75" customHeight="1">
      <c r="A488" s="133" t="s">
        <v>3155</v>
      </c>
      <c r="B488" s="50" t="s">
        <v>2414</v>
      </c>
      <c r="C488" s="50" t="s">
        <v>271</v>
      </c>
      <c r="D488" s="52" t="s">
        <v>11</v>
      </c>
      <c r="E488" s="77" t="s">
        <v>376</v>
      </c>
      <c r="F488" s="47">
        <v>3.0E8</v>
      </c>
      <c r="G488" s="44" t="str">
        <f t="shared" si="16"/>
        <v>$300'000.000 a $400'000.000</v>
      </c>
      <c r="H488" s="44"/>
      <c r="I488" s="44"/>
      <c r="J488" s="43" t="s">
        <v>183</v>
      </c>
      <c r="K488" s="51" t="s">
        <v>184</v>
      </c>
      <c r="L488" s="52">
        <v>5.0</v>
      </c>
      <c r="M488" s="52"/>
      <c r="N488" s="52">
        <v>2.0</v>
      </c>
      <c r="O488" s="43">
        <v>1.0</v>
      </c>
      <c r="P488" s="52">
        <v>2.0</v>
      </c>
      <c r="Q488" s="54">
        <v>240.0</v>
      </c>
      <c r="R488" s="55">
        <v>132.0</v>
      </c>
      <c r="S488" s="56" t="str">
        <f t="shared" si="15"/>
        <v>Rentabilidad $1,200,000</v>
      </c>
      <c r="T488" s="52" t="s">
        <v>78</v>
      </c>
      <c r="U488" s="142" t="s">
        <v>184</v>
      </c>
      <c r="V488" s="43" t="s">
        <v>79</v>
      </c>
      <c r="W488" s="43"/>
      <c r="X488" s="52">
        <v>3.0</v>
      </c>
      <c r="Y488" s="94" t="s">
        <v>80</v>
      </c>
      <c r="Z488" s="80" t="s">
        <v>81</v>
      </c>
      <c r="AA488" s="59" t="str">
        <f>IF(Rentabilidad=0,"No aplica",TEXT(ROUND(Precio/Rentabilidad/12,0),0) &amp; " años")</f>
        <v>21 años</v>
      </c>
      <c r="AB488" s="60"/>
      <c r="AC488" s="61"/>
      <c r="AD488" s="62"/>
      <c r="AE488" s="63"/>
      <c r="AF488" s="45" t="s">
        <v>236</v>
      </c>
      <c r="AG488" s="63"/>
      <c r="AH488" s="65" t="s">
        <v>45</v>
      </c>
      <c r="AI488" s="63"/>
      <c r="AJ488" s="64" t="s">
        <v>1834</v>
      </c>
      <c r="AK488" s="44"/>
      <c r="AL488" s="45" t="s">
        <v>2246</v>
      </c>
      <c r="AM488" s="52">
        <v>3.204992324E9</v>
      </c>
      <c r="AN488" s="45">
        <v>0.0</v>
      </c>
      <c r="AO488" s="52" t="s">
        <v>3156</v>
      </c>
      <c r="AP488" s="67" t="s">
        <v>3157</v>
      </c>
      <c r="AQ488" s="67"/>
      <c r="AR488" s="67"/>
      <c r="AS488" s="135">
        <v>1200000.0</v>
      </c>
      <c r="AT488" s="44">
        <v>0.0</v>
      </c>
      <c r="AU488" s="52">
        <v>0.0</v>
      </c>
      <c r="AV488" s="52">
        <v>0.0</v>
      </c>
      <c r="AW488" s="43" t="s">
        <v>88</v>
      </c>
      <c r="AX488" s="52">
        <v>0.0</v>
      </c>
      <c r="AY488" s="52">
        <v>0.0</v>
      </c>
      <c r="AZ488" s="52">
        <v>6.0</v>
      </c>
      <c r="BA488" s="43" t="s">
        <v>89</v>
      </c>
      <c r="BB488" s="52">
        <v>22.0</v>
      </c>
      <c r="BC488" s="69" t="s">
        <v>716</v>
      </c>
      <c r="BD488" s="70"/>
      <c r="BE488" s="71"/>
      <c r="BF488" s="130"/>
      <c r="BG488" s="73"/>
      <c r="BH488" s="73"/>
      <c r="BI488" s="73"/>
      <c r="BJ488" s="73"/>
      <c r="BK488" s="73"/>
      <c r="BL488" s="73"/>
      <c r="BM488" s="73"/>
      <c r="BN488" s="73"/>
      <c r="BO488" s="73"/>
      <c r="BP488" s="73"/>
      <c r="BQ488" s="73"/>
      <c r="BR488" s="73"/>
      <c r="BS488" s="73"/>
      <c r="BT488" s="73"/>
      <c r="BU488" s="73"/>
      <c r="BV488" s="73"/>
      <c r="BW488" s="74"/>
      <c r="BX488" s="74"/>
      <c r="BY488" s="63"/>
      <c r="BZ488" s="63"/>
    </row>
    <row r="489" ht="15.75" customHeight="1">
      <c r="A489" s="133" t="s">
        <v>3158</v>
      </c>
      <c r="B489" s="50" t="s">
        <v>3159</v>
      </c>
      <c r="C489" s="50" t="s">
        <v>271</v>
      </c>
      <c r="D489" s="52" t="s">
        <v>3147</v>
      </c>
      <c r="E489" s="77" t="s">
        <v>376</v>
      </c>
      <c r="F489" s="47">
        <v>3.0E8</v>
      </c>
      <c r="G489" s="44" t="str">
        <f t="shared" si="16"/>
        <v>$300'000.000 a $400'000.000</v>
      </c>
      <c r="H489" s="44"/>
      <c r="I489" s="44"/>
      <c r="J489" s="43" t="s">
        <v>183</v>
      </c>
      <c r="K489" s="142"/>
      <c r="L489" s="52">
        <v>7.0</v>
      </c>
      <c r="M489" s="52"/>
      <c r="N489" s="52">
        <v>4.0</v>
      </c>
      <c r="O489" s="43">
        <v>1.0</v>
      </c>
      <c r="P489" s="52">
        <v>3.0</v>
      </c>
      <c r="Q489" s="54">
        <f>SUM(U489*X489)</f>
        <v>8</v>
      </c>
      <c r="R489" s="55">
        <v>105.0</v>
      </c>
      <c r="S489" s="56" t="str">
        <f t="shared" si="15"/>
        <v>Rentabilidad $2,050,000</v>
      </c>
      <c r="T489" s="52" t="s">
        <v>78</v>
      </c>
      <c r="U489" s="142" t="s">
        <v>184</v>
      </c>
      <c r="V489" s="43" t="s">
        <v>79</v>
      </c>
      <c r="W489" s="43"/>
      <c r="X489" s="52">
        <v>4.0</v>
      </c>
      <c r="Y489" s="43" t="s">
        <v>80</v>
      </c>
      <c r="Z489" s="80" t="s">
        <v>81</v>
      </c>
      <c r="AA489" s="59" t="str">
        <f>IF(Rentabilidad=0,"No aplica",TEXT(ROUND(Precio/Rentabilidad/12,0),0) &amp; " años")</f>
        <v>12 años</v>
      </c>
      <c r="AB489" s="134" t="s">
        <v>3160</v>
      </c>
      <c r="AC489" s="61"/>
      <c r="AD489" s="62"/>
      <c r="AE489" s="63"/>
      <c r="AF489" s="64" t="s">
        <v>236</v>
      </c>
      <c r="AG489" s="63"/>
      <c r="AH489" s="63"/>
      <c r="AI489" s="63"/>
      <c r="AJ489" s="64" t="s">
        <v>1834</v>
      </c>
      <c r="AK489" s="44"/>
      <c r="AL489" s="45" t="s">
        <v>109</v>
      </c>
      <c r="AM489" s="52">
        <v>3.112297801E9</v>
      </c>
      <c r="AN489" s="45">
        <v>0.0</v>
      </c>
      <c r="AO489" s="52" t="s">
        <v>3161</v>
      </c>
      <c r="AP489" s="67" t="s">
        <v>3162</v>
      </c>
      <c r="AQ489" s="67"/>
      <c r="AR489" s="67"/>
      <c r="AS489" s="135">
        <v>2050000.0</v>
      </c>
      <c r="AT489" s="63">
        <v>0.0</v>
      </c>
      <c r="AU489" s="52">
        <v>0.0</v>
      </c>
      <c r="AV489" s="52">
        <v>0.0</v>
      </c>
      <c r="AW489" s="43" t="s">
        <v>88</v>
      </c>
      <c r="AX489" s="52">
        <v>0.0</v>
      </c>
      <c r="AY489" s="52">
        <v>0.0</v>
      </c>
      <c r="AZ489" s="52">
        <v>7.0</v>
      </c>
      <c r="BA489" s="43" t="s">
        <v>89</v>
      </c>
      <c r="BB489" s="52">
        <v>15.0</v>
      </c>
      <c r="BC489" s="109"/>
      <c r="BD489" s="70"/>
      <c r="BE489" s="71"/>
      <c r="BF489" s="72" t="s">
        <v>3163</v>
      </c>
      <c r="BG489" s="73"/>
      <c r="BH489" s="73"/>
      <c r="BI489" s="73"/>
      <c r="BJ489" s="73"/>
      <c r="BK489" s="73"/>
      <c r="BL489" s="73"/>
      <c r="BM489" s="73"/>
      <c r="BN489" s="73"/>
      <c r="BO489" s="73"/>
      <c r="BP489" s="73"/>
      <c r="BQ489" s="73"/>
      <c r="BR489" s="73"/>
      <c r="BS489" s="73"/>
      <c r="BT489" s="73"/>
      <c r="BU489" s="73"/>
      <c r="BV489" s="73"/>
      <c r="BW489" s="74"/>
      <c r="BX489" s="74"/>
      <c r="BY489" s="63"/>
      <c r="BZ489" s="63"/>
    </row>
    <row r="490" ht="15.75" customHeight="1">
      <c r="A490" s="133" t="s">
        <v>3164</v>
      </c>
      <c r="B490" s="50" t="s">
        <v>2414</v>
      </c>
      <c r="C490" s="50" t="s">
        <v>271</v>
      </c>
      <c r="D490" s="44" t="s">
        <v>11</v>
      </c>
      <c r="E490" s="64" t="s">
        <v>376</v>
      </c>
      <c r="F490" s="47">
        <v>3.0E8</v>
      </c>
      <c r="G490" s="44" t="str">
        <f t="shared" si="16"/>
        <v>$300'000.000 a $400'000.000</v>
      </c>
      <c r="H490" s="44"/>
      <c r="I490" s="44"/>
      <c r="J490" s="50" t="s">
        <v>183</v>
      </c>
      <c r="K490" s="51" t="s">
        <v>184</v>
      </c>
      <c r="L490" s="122">
        <v>6.0</v>
      </c>
      <c r="M490" s="122"/>
      <c r="N490" s="52">
        <v>2.0</v>
      </c>
      <c r="O490" s="43">
        <v>1.0</v>
      </c>
      <c r="P490" s="52">
        <v>1.0</v>
      </c>
      <c r="Q490" s="54" t="s">
        <v>3165</v>
      </c>
      <c r="R490" s="55">
        <v>278.4</v>
      </c>
      <c r="S490" s="56" t="str">
        <f t="shared" si="15"/>
        <v>Rentabilidad $1,000,000</v>
      </c>
      <c r="T490" s="52" t="s">
        <v>78</v>
      </c>
      <c r="U490" s="142" t="s">
        <v>184</v>
      </c>
      <c r="V490" s="43" t="s">
        <v>79</v>
      </c>
      <c r="W490" s="43"/>
      <c r="X490" s="52">
        <v>0.0</v>
      </c>
      <c r="Y490" s="94" t="s">
        <v>80</v>
      </c>
      <c r="Z490" s="80" t="s">
        <v>81</v>
      </c>
      <c r="AA490" s="59" t="str">
        <f>IF(Rentabilidad=0,"No aplica",TEXT(ROUND(Precio/Rentabilidad/12,0),0) &amp; " años")</f>
        <v>25 años</v>
      </c>
      <c r="AB490" s="195"/>
      <c r="AC490" s="61"/>
      <c r="AD490" s="62"/>
      <c r="AE490" s="63"/>
      <c r="AF490" s="64" t="s">
        <v>236</v>
      </c>
      <c r="AG490" s="63"/>
      <c r="AH490" s="65" t="s">
        <v>45</v>
      </c>
      <c r="AI490" s="63"/>
      <c r="AJ490" s="64" t="s">
        <v>1834</v>
      </c>
      <c r="AK490" s="44"/>
      <c r="AL490" s="45" t="s">
        <v>109</v>
      </c>
      <c r="AM490" s="52">
        <v>3.134988256E9</v>
      </c>
      <c r="AN490" s="45">
        <v>0.0</v>
      </c>
      <c r="AO490" s="52" t="s">
        <v>3166</v>
      </c>
      <c r="AP490" s="67" t="s">
        <v>3167</v>
      </c>
      <c r="AQ490" s="67"/>
      <c r="AR490" s="67"/>
      <c r="AS490" s="135">
        <v>1000000.0</v>
      </c>
      <c r="AT490" s="44">
        <v>0.0</v>
      </c>
      <c r="AU490" s="52">
        <v>0.0</v>
      </c>
      <c r="AV490" s="52">
        <v>0.0</v>
      </c>
      <c r="AW490" s="43" t="s">
        <v>88</v>
      </c>
      <c r="AX490" s="52">
        <v>0.0</v>
      </c>
      <c r="AY490" s="52">
        <v>0.0</v>
      </c>
      <c r="AZ490" s="52">
        <v>9.6</v>
      </c>
      <c r="BA490" s="43" t="s">
        <v>89</v>
      </c>
      <c r="BB490" s="52">
        <v>29.0</v>
      </c>
      <c r="BC490" s="69" t="s">
        <v>439</v>
      </c>
      <c r="BD490" s="70"/>
      <c r="BE490" s="71"/>
      <c r="BF490" s="130"/>
      <c r="BG490" s="73"/>
      <c r="BH490" s="73"/>
      <c r="BI490" s="73"/>
      <c r="BJ490" s="73"/>
      <c r="BK490" s="73"/>
      <c r="BL490" s="73"/>
      <c r="BM490" s="73"/>
      <c r="BN490" s="73"/>
      <c r="BO490" s="73"/>
      <c r="BP490" s="73"/>
      <c r="BQ490" s="73"/>
      <c r="BR490" s="73"/>
      <c r="BS490" s="73"/>
      <c r="BT490" s="73"/>
      <c r="BU490" s="73"/>
      <c r="BV490" s="73"/>
      <c r="BW490" s="74"/>
      <c r="BX490" s="74"/>
      <c r="BY490" s="63"/>
      <c r="BZ490" s="63"/>
    </row>
    <row r="491" ht="15.75" customHeight="1">
      <c r="A491" s="120" t="s">
        <v>3168</v>
      </c>
      <c r="B491" s="50" t="s">
        <v>3169</v>
      </c>
      <c r="C491" s="50" t="s">
        <v>271</v>
      </c>
      <c r="D491" s="50" t="s">
        <v>1347</v>
      </c>
      <c r="E491" s="64"/>
      <c r="F491" s="47">
        <v>2.95E8</v>
      </c>
      <c r="G491" s="44" t="str">
        <f t="shared" si="16"/>
        <v>$200'000.000 a $300'000.000</v>
      </c>
      <c r="H491" s="44"/>
      <c r="I491" s="44"/>
      <c r="J491" s="50" t="s">
        <v>183</v>
      </c>
      <c r="K491" s="51" t="s">
        <v>184</v>
      </c>
      <c r="L491" s="52">
        <v>8.0</v>
      </c>
      <c r="M491" s="52"/>
      <c r="N491" s="52">
        <v>5.0</v>
      </c>
      <c r="O491" s="43">
        <v>1.0</v>
      </c>
      <c r="P491" s="52">
        <v>3.0</v>
      </c>
      <c r="Q491" s="113"/>
      <c r="R491" s="55">
        <v>90.0</v>
      </c>
      <c r="S491" s="56" t="str">
        <f t="shared" si="15"/>
        <v>Rentabilidad $1,700,000</v>
      </c>
      <c r="T491" s="52" t="s">
        <v>78</v>
      </c>
      <c r="U491" s="57" t="s">
        <v>184</v>
      </c>
      <c r="V491" s="43" t="s">
        <v>118</v>
      </c>
      <c r="W491" s="43"/>
      <c r="X491" s="52">
        <v>4.0</v>
      </c>
      <c r="Y491" s="43" t="s">
        <v>80</v>
      </c>
      <c r="Z491" s="80" t="s">
        <v>81</v>
      </c>
      <c r="AA491" s="59" t="str">
        <f>IF(Rentabilidad=0,"No aplica",TEXT(ROUND(Precio/Rentabilidad/12,0),0) &amp; " años")</f>
        <v>14 años</v>
      </c>
      <c r="AB491" s="60"/>
      <c r="AC491" s="61"/>
      <c r="AD491" s="62"/>
      <c r="AE491" s="63"/>
      <c r="AF491" s="64" t="s">
        <v>84</v>
      </c>
      <c r="AG491" s="63"/>
      <c r="AH491" s="63"/>
      <c r="AI491" s="63"/>
      <c r="AJ491" s="64" t="s">
        <v>1834</v>
      </c>
      <c r="AK491" s="44"/>
      <c r="AL491" s="45" t="s">
        <v>3170</v>
      </c>
      <c r="AM491" s="52">
        <v>3.143130452E9</v>
      </c>
      <c r="AN491" s="45">
        <v>0.0</v>
      </c>
      <c r="AO491" s="52"/>
      <c r="AP491" s="67" t="s">
        <v>3171</v>
      </c>
      <c r="AQ491" s="67"/>
      <c r="AR491" s="67"/>
      <c r="AS491" s="135">
        <v>1700000.0</v>
      </c>
      <c r="AT491" s="44">
        <v>0.0</v>
      </c>
      <c r="AU491" s="52">
        <v>0.0</v>
      </c>
      <c r="AV491" s="52">
        <v>0.0</v>
      </c>
      <c r="AW491" s="43" t="s">
        <v>88</v>
      </c>
      <c r="AX491" s="52">
        <v>0.0</v>
      </c>
      <c r="AY491" s="52">
        <v>0.0</v>
      </c>
      <c r="AZ491" s="52">
        <v>6.0</v>
      </c>
      <c r="BA491" s="43" t="s">
        <v>89</v>
      </c>
      <c r="BB491" s="52">
        <v>15.0</v>
      </c>
      <c r="BC491" s="69" t="s">
        <v>3172</v>
      </c>
      <c r="BD491" s="70"/>
      <c r="BE491" s="71"/>
      <c r="BF491" s="130"/>
      <c r="BG491" s="73"/>
      <c r="BH491" s="73"/>
      <c r="BI491" s="73"/>
      <c r="BJ491" s="73"/>
      <c r="BK491" s="73"/>
      <c r="BL491" s="73"/>
      <c r="BM491" s="73"/>
      <c r="BN491" s="73"/>
      <c r="BO491" s="73"/>
      <c r="BP491" s="73"/>
      <c r="BQ491" s="73"/>
      <c r="BR491" s="73"/>
      <c r="BS491" s="73"/>
      <c r="BT491" s="73"/>
      <c r="BU491" s="73"/>
      <c r="BV491" s="73"/>
      <c r="BW491" s="74"/>
      <c r="BX491" s="74"/>
      <c r="BY491" s="63"/>
      <c r="BZ491" s="63"/>
    </row>
    <row r="492" ht="15.75" customHeight="1">
      <c r="A492" s="41" t="s">
        <v>3173</v>
      </c>
      <c r="B492" s="50" t="s">
        <v>436</v>
      </c>
      <c r="C492" s="50" t="s">
        <v>70</v>
      </c>
      <c r="D492" s="44" t="s">
        <v>11</v>
      </c>
      <c r="E492" s="45"/>
      <c r="F492" s="47">
        <v>2.9E8</v>
      </c>
      <c r="G492" s="44" t="str">
        <f t="shared" si="16"/>
        <v>$200'000.000 a $300'000.000</v>
      </c>
      <c r="H492" s="44"/>
      <c r="I492" s="44"/>
      <c r="J492" s="50" t="s">
        <v>183</v>
      </c>
      <c r="K492" s="51" t="s">
        <v>184</v>
      </c>
      <c r="L492" s="44">
        <v>4.0</v>
      </c>
      <c r="M492" s="44"/>
      <c r="N492" s="44">
        <v>2.0</v>
      </c>
      <c r="O492" s="50">
        <v>2.0</v>
      </c>
      <c r="P492" s="44">
        <v>1.0</v>
      </c>
      <c r="Q492" s="113">
        <v>180.0</v>
      </c>
      <c r="R492" s="79">
        <v>180.0</v>
      </c>
      <c r="S492" s="56" t="str">
        <f t="shared" si="15"/>
        <v> </v>
      </c>
      <c r="T492" s="44" t="s">
        <v>78</v>
      </c>
      <c r="U492" s="57" t="s">
        <v>184</v>
      </c>
      <c r="V492" s="50" t="s">
        <v>79</v>
      </c>
      <c r="W492" s="50"/>
      <c r="X492" s="44">
        <v>0.0</v>
      </c>
      <c r="Y492" s="50" t="s">
        <v>80</v>
      </c>
      <c r="Z492" s="58" t="s">
        <v>81</v>
      </c>
      <c r="AA492" s="59" t="str">
        <f>IF(Rentabilidad=0,"No aplica",TEXT(ROUND(Precio/Rentabilidad/12,0),0) &amp; " años")</f>
        <v>No aplica</v>
      </c>
      <c r="AB492" s="220"/>
      <c r="AC492" s="61"/>
      <c r="AD492" s="62"/>
      <c r="AE492" s="63"/>
      <c r="AF492" s="45" t="s">
        <v>105</v>
      </c>
      <c r="AG492" s="63"/>
      <c r="AH492" s="65" t="s">
        <v>45</v>
      </c>
      <c r="AI492" s="63"/>
      <c r="AJ492" s="64" t="s">
        <v>1834</v>
      </c>
      <c r="AK492" s="44"/>
      <c r="AL492" s="45" t="s">
        <v>2674</v>
      </c>
      <c r="AM492" s="44">
        <v>3.219899922E9</v>
      </c>
      <c r="AN492" s="45"/>
      <c r="AO492" s="93"/>
      <c r="AP492" s="67" t="s">
        <v>3174</v>
      </c>
      <c r="AQ492" s="67"/>
      <c r="AR492" s="67"/>
      <c r="AS492" s="68">
        <v>0.0</v>
      </c>
      <c r="AT492" s="44">
        <v>0.0</v>
      </c>
      <c r="AU492" s="52">
        <v>0.0</v>
      </c>
      <c r="AV492" s="52">
        <v>2.0</v>
      </c>
      <c r="AW492" s="52" t="s">
        <v>106</v>
      </c>
      <c r="AX492" s="52">
        <v>0.0</v>
      </c>
      <c r="AY492" s="52" t="s">
        <v>137</v>
      </c>
      <c r="AZ492" s="44">
        <v>9.0</v>
      </c>
      <c r="BA492" s="43" t="s">
        <v>89</v>
      </c>
      <c r="BB492" s="44">
        <v>20.0</v>
      </c>
      <c r="BC492" s="69" t="s">
        <v>3175</v>
      </c>
      <c r="BD492" s="71"/>
      <c r="BE492" s="70"/>
      <c r="BF492" s="72"/>
      <c r="BG492" s="73"/>
      <c r="BH492" s="73"/>
      <c r="BI492" s="73"/>
      <c r="BJ492" s="73"/>
      <c r="BK492" s="73"/>
      <c r="BL492" s="73"/>
      <c r="BM492" s="73"/>
      <c r="BN492" s="73"/>
      <c r="BO492" s="73"/>
      <c r="BP492" s="73"/>
      <c r="BQ492" s="73"/>
      <c r="BR492" s="73"/>
      <c r="BS492" s="73"/>
      <c r="BT492" s="73"/>
      <c r="BU492" s="73"/>
      <c r="BV492" s="73"/>
      <c r="BW492" s="74"/>
      <c r="BX492" s="74"/>
      <c r="BY492" s="63"/>
      <c r="BZ492" s="63"/>
    </row>
    <row r="493" ht="15.75" customHeight="1">
      <c r="A493" s="41" t="s">
        <v>3176</v>
      </c>
      <c r="B493" s="50" t="s">
        <v>443</v>
      </c>
      <c r="C493" s="50" t="s">
        <v>70</v>
      </c>
      <c r="D493" s="44" t="s">
        <v>82</v>
      </c>
      <c r="E493" s="45"/>
      <c r="F493" s="47">
        <v>2.9E8</v>
      </c>
      <c r="G493" s="44" t="str">
        <f t="shared" si="16"/>
        <v>$200'000.000 a $300'000.000</v>
      </c>
      <c r="H493" s="44"/>
      <c r="I493" s="44"/>
      <c r="J493" s="50" t="s">
        <v>183</v>
      </c>
      <c r="K493" s="51" t="s">
        <v>184</v>
      </c>
      <c r="L493" s="44">
        <v>4.0</v>
      </c>
      <c r="M493" s="44"/>
      <c r="N493" s="44">
        <v>3.0</v>
      </c>
      <c r="O493" s="50">
        <v>1.0</v>
      </c>
      <c r="P493" s="44">
        <v>2.0</v>
      </c>
      <c r="Q493" s="113">
        <v>150.0</v>
      </c>
      <c r="R493" s="79">
        <v>0.0</v>
      </c>
      <c r="S493" s="56" t="str">
        <f t="shared" si="15"/>
        <v> </v>
      </c>
      <c r="T493" s="44" t="s">
        <v>78</v>
      </c>
      <c r="U493" s="57" t="s">
        <v>77</v>
      </c>
      <c r="V493" s="50" t="s">
        <v>79</v>
      </c>
      <c r="W493" s="50"/>
      <c r="X493" s="44">
        <v>4.0</v>
      </c>
      <c r="Y493" s="50" t="s">
        <v>80</v>
      </c>
      <c r="Z493" s="58" t="s">
        <v>81</v>
      </c>
      <c r="AA493" s="59" t="str">
        <f>IF(Rentabilidad=0,"No aplica",TEXT(ROUND(Precio/Rentabilidad/12,0),0) &amp; " años")</f>
        <v>No aplica</v>
      </c>
      <c r="AB493" s="220"/>
      <c r="AC493" s="61"/>
      <c r="AD493" s="62"/>
      <c r="AE493" s="63"/>
      <c r="AF493" s="45" t="s">
        <v>236</v>
      </c>
      <c r="AG493" s="63"/>
      <c r="AH493" s="65" t="s">
        <v>45</v>
      </c>
      <c r="AI493" s="63"/>
      <c r="AJ493" s="64" t="s">
        <v>1834</v>
      </c>
      <c r="AK493" s="44"/>
      <c r="AL493" s="45" t="s">
        <v>86</v>
      </c>
      <c r="AM493" s="44">
        <v>3.214417246E9</v>
      </c>
      <c r="AN493" s="45"/>
      <c r="AO493" s="44" t="s">
        <v>3177</v>
      </c>
      <c r="AP493" s="67" t="s">
        <v>3178</v>
      </c>
      <c r="AQ493" s="67"/>
      <c r="AR493" s="67"/>
      <c r="AS493" s="68">
        <v>0.0</v>
      </c>
      <c r="AT493" s="44">
        <v>0.0</v>
      </c>
      <c r="AU493" s="52" t="s">
        <v>106</v>
      </c>
      <c r="AV493" s="52" t="s">
        <v>106</v>
      </c>
      <c r="AW493" s="52" t="s">
        <v>106</v>
      </c>
      <c r="AX493" s="52">
        <v>0.0</v>
      </c>
      <c r="AY493" s="52" t="s">
        <v>137</v>
      </c>
      <c r="AZ493" s="44">
        <v>0.0</v>
      </c>
      <c r="BA493" s="43" t="s">
        <v>89</v>
      </c>
      <c r="BB493" s="44">
        <v>0.0</v>
      </c>
      <c r="BC493" s="95" t="s">
        <v>3179</v>
      </c>
      <c r="BD493" s="71"/>
      <c r="BE493" s="71"/>
      <c r="BF493" s="130"/>
      <c r="BG493" s="73"/>
      <c r="BH493" s="73"/>
      <c r="BI493" s="73"/>
      <c r="BJ493" s="73"/>
      <c r="BK493" s="73"/>
      <c r="BL493" s="73"/>
      <c r="BM493" s="73"/>
      <c r="BN493" s="73"/>
      <c r="BO493" s="73"/>
      <c r="BP493" s="73"/>
      <c r="BQ493" s="73"/>
      <c r="BR493" s="73"/>
      <c r="BS493" s="73"/>
      <c r="BT493" s="73"/>
      <c r="BU493" s="73"/>
      <c r="BV493" s="73"/>
      <c r="BW493" s="74"/>
      <c r="BX493" s="74"/>
      <c r="BY493" s="63"/>
      <c r="BZ493" s="63"/>
    </row>
    <row r="494" ht="15.75" customHeight="1">
      <c r="A494" s="120" t="s">
        <v>3180</v>
      </c>
      <c r="B494" s="43" t="s">
        <v>395</v>
      </c>
      <c r="C494" s="43" t="s">
        <v>70</v>
      </c>
      <c r="D494" s="50" t="s">
        <v>72</v>
      </c>
      <c r="E494" s="64"/>
      <c r="F494" s="47">
        <v>2.9E8</v>
      </c>
      <c r="G494" s="44" t="str">
        <f t="shared" si="16"/>
        <v>$200'000.000 a $300'000.000</v>
      </c>
      <c r="H494" s="44"/>
      <c r="I494" s="44"/>
      <c r="J494" s="50" t="s">
        <v>183</v>
      </c>
      <c r="K494" s="51" t="s">
        <v>184</v>
      </c>
      <c r="L494" s="52">
        <v>4.0</v>
      </c>
      <c r="M494" s="52"/>
      <c r="N494" s="52">
        <v>3.0</v>
      </c>
      <c r="O494" s="43">
        <v>1.0</v>
      </c>
      <c r="P494" s="52">
        <v>2.0</v>
      </c>
      <c r="Q494" s="54">
        <v>141.0</v>
      </c>
      <c r="R494" s="55">
        <v>84.0</v>
      </c>
      <c r="S494" s="56" t="str">
        <f t="shared" si="15"/>
        <v> </v>
      </c>
      <c r="T494" s="52" t="s">
        <v>78</v>
      </c>
      <c r="U494" s="142" t="s">
        <v>77</v>
      </c>
      <c r="V494" s="43" t="s">
        <v>79</v>
      </c>
      <c r="W494" s="43"/>
      <c r="X494" s="52">
        <v>4.0</v>
      </c>
      <c r="Y494" s="43" t="s">
        <v>80</v>
      </c>
      <c r="Z494" s="58" t="s">
        <v>81</v>
      </c>
      <c r="AA494" s="59" t="str">
        <f>IF(Rentabilidad=0,"No aplica",TEXT(ROUND(Precio/Rentabilidad/12,0),0) &amp; " años")</f>
        <v>No aplica</v>
      </c>
      <c r="AB494" s="195"/>
      <c r="AC494" s="61"/>
      <c r="AD494" s="62"/>
      <c r="AE494" s="63"/>
      <c r="AF494" s="45" t="s">
        <v>236</v>
      </c>
      <c r="AG494" s="63"/>
      <c r="AH494" s="65" t="s">
        <v>45</v>
      </c>
      <c r="AI494" s="63"/>
      <c r="AJ494" s="64" t="s">
        <v>1834</v>
      </c>
      <c r="AK494" s="44"/>
      <c r="AL494" s="45" t="s">
        <v>3006</v>
      </c>
      <c r="AM494" s="52">
        <v>3.124590815E9</v>
      </c>
      <c r="AN494" s="45"/>
      <c r="AO494" s="52" t="s">
        <v>3181</v>
      </c>
      <c r="AP494" s="67" t="s">
        <v>3182</v>
      </c>
      <c r="AQ494" s="67"/>
      <c r="AR494" s="67"/>
      <c r="AS494" s="135">
        <v>0.0</v>
      </c>
      <c r="AT494" s="52">
        <v>0.0</v>
      </c>
      <c r="AU494" s="52">
        <v>0.0</v>
      </c>
      <c r="AV494" s="52">
        <v>2.0</v>
      </c>
      <c r="AW494" s="52" t="s">
        <v>88</v>
      </c>
      <c r="AX494" s="52">
        <v>0.0</v>
      </c>
      <c r="AY494" s="52" t="s">
        <v>137</v>
      </c>
      <c r="AZ494" s="52">
        <v>6.0</v>
      </c>
      <c r="BA494" s="43" t="s">
        <v>89</v>
      </c>
      <c r="BB494" s="52">
        <v>14.0</v>
      </c>
      <c r="BC494" s="95"/>
      <c r="BD494" s="71"/>
      <c r="BE494" s="71"/>
      <c r="BF494" s="130"/>
      <c r="BG494" s="73"/>
      <c r="BH494" s="73"/>
      <c r="BI494" s="73"/>
      <c r="BJ494" s="73"/>
      <c r="BK494" s="73"/>
      <c r="BL494" s="73"/>
      <c r="BM494" s="73"/>
      <c r="BN494" s="73"/>
      <c r="BO494" s="73"/>
      <c r="BP494" s="73"/>
      <c r="BQ494" s="73"/>
      <c r="BR494" s="73"/>
      <c r="BS494" s="73"/>
      <c r="BT494" s="73"/>
      <c r="BU494" s="73"/>
      <c r="BV494" s="73"/>
      <c r="BW494" s="74"/>
      <c r="BX494" s="74"/>
      <c r="BY494" s="63"/>
      <c r="BZ494" s="63"/>
    </row>
    <row r="495" ht="15.75" customHeight="1">
      <c r="A495" s="75" t="s">
        <v>3183</v>
      </c>
      <c r="B495" s="50" t="s">
        <v>395</v>
      </c>
      <c r="C495" s="50" t="s">
        <v>70</v>
      </c>
      <c r="D495" s="50" t="s">
        <v>72</v>
      </c>
      <c r="E495" s="77" t="s">
        <v>376</v>
      </c>
      <c r="F495" s="47">
        <v>2.9E8</v>
      </c>
      <c r="G495" s="44" t="str">
        <f t="shared" si="16"/>
        <v>$200'000.000 a $300'000.000</v>
      </c>
      <c r="H495" s="44"/>
      <c r="I495" s="44"/>
      <c r="J495" s="50" t="s">
        <v>183</v>
      </c>
      <c r="K495" s="51" t="s">
        <v>184</v>
      </c>
      <c r="L495" s="44">
        <v>4.0</v>
      </c>
      <c r="M495" s="44"/>
      <c r="N495" s="44">
        <v>3.0</v>
      </c>
      <c r="O495" s="50">
        <v>1.0</v>
      </c>
      <c r="P495" s="44">
        <v>2.0</v>
      </c>
      <c r="Q495" s="113">
        <v>149.0</v>
      </c>
      <c r="R495" s="79">
        <v>84.0</v>
      </c>
      <c r="S495" s="56" t="str">
        <f t="shared" si="15"/>
        <v> </v>
      </c>
      <c r="T495" s="63" t="s">
        <v>78</v>
      </c>
      <c r="U495" s="114" t="s">
        <v>77</v>
      </c>
      <c r="V495" s="65" t="s">
        <v>79</v>
      </c>
      <c r="W495" s="65"/>
      <c r="X495" s="63">
        <v>3.0</v>
      </c>
      <c r="Y495" s="65" t="s">
        <v>80</v>
      </c>
      <c r="Z495" s="58" t="s">
        <v>81</v>
      </c>
      <c r="AA495" s="59" t="str">
        <f>IF(Rentabilidad=0,"No aplica",TEXT(ROUND(Precio/Rentabilidad/12,0),0) &amp; " años")</f>
        <v>No aplica</v>
      </c>
      <c r="AB495" s="220"/>
      <c r="AC495" s="61"/>
      <c r="AD495" s="62"/>
      <c r="AE495" s="63"/>
      <c r="AF495" s="45" t="s">
        <v>105</v>
      </c>
      <c r="AG495" s="63"/>
      <c r="AH495" s="65" t="s">
        <v>45</v>
      </c>
      <c r="AI495" s="63"/>
      <c r="AJ495" s="64" t="s">
        <v>1834</v>
      </c>
      <c r="AK495" s="44"/>
      <c r="AL495" s="45" t="s">
        <v>86</v>
      </c>
      <c r="AM495" s="52">
        <v>3.223324724E9</v>
      </c>
      <c r="AN495" s="45"/>
      <c r="AO495" s="116" t="s">
        <v>3184</v>
      </c>
      <c r="AP495" s="67" t="s">
        <v>3185</v>
      </c>
      <c r="AQ495" s="67"/>
      <c r="AR495" s="67"/>
      <c r="AS495" s="118">
        <v>0.0</v>
      </c>
      <c r="AT495" s="63">
        <v>0.0</v>
      </c>
      <c r="AU495" s="52">
        <v>0.0</v>
      </c>
      <c r="AV495" s="52">
        <v>0.0</v>
      </c>
      <c r="AW495" s="52" t="s">
        <v>106</v>
      </c>
      <c r="AX495" s="52">
        <v>0.0</v>
      </c>
      <c r="AY495" s="52" t="s">
        <v>106</v>
      </c>
      <c r="AZ495" s="63">
        <v>6.0</v>
      </c>
      <c r="BA495" s="43" t="s">
        <v>89</v>
      </c>
      <c r="BB495" s="63">
        <v>14.0</v>
      </c>
      <c r="BC495" s="69" t="s">
        <v>3186</v>
      </c>
      <c r="BD495" s="70"/>
      <c r="BE495" s="71"/>
      <c r="BF495" s="72"/>
      <c r="BG495" s="73"/>
      <c r="BH495" s="73"/>
      <c r="BI495" s="73"/>
      <c r="BJ495" s="73"/>
      <c r="BK495" s="73"/>
      <c r="BL495" s="73"/>
      <c r="BM495" s="73"/>
      <c r="BN495" s="73"/>
      <c r="BO495" s="73"/>
      <c r="BP495" s="73"/>
      <c r="BQ495" s="73"/>
      <c r="BR495" s="73"/>
      <c r="BS495" s="73"/>
      <c r="BT495" s="73"/>
      <c r="BU495" s="73"/>
      <c r="BV495" s="73"/>
      <c r="BW495" s="74"/>
      <c r="BX495" s="74"/>
      <c r="BY495" s="63"/>
      <c r="BZ495" s="63"/>
    </row>
    <row r="496" ht="15.75" customHeight="1">
      <c r="A496" s="41" t="s">
        <v>3187</v>
      </c>
      <c r="B496" s="43" t="s">
        <v>395</v>
      </c>
      <c r="C496" s="43" t="s">
        <v>70</v>
      </c>
      <c r="D496" s="50" t="s">
        <v>72</v>
      </c>
      <c r="E496" s="64"/>
      <c r="F496" s="47">
        <v>2.85E8</v>
      </c>
      <c r="G496" s="44" t="str">
        <f t="shared" si="16"/>
        <v>$200'000.000 a $300'000.000</v>
      </c>
      <c r="H496" s="44"/>
      <c r="I496" s="44"/>
      <c r="J496" s="50" t="s">
        <v>183</v>
      </c>
      <c r="K496" s="51" t="s">
        <v>184</v>
      </c>
      <c r="L496" s="44">
        <v>4.0</v>
      </c>
      <c r="M496" s="44"/>
      <c r="N496" s="44">
        <v>3.0</v>
      </c>
      <c r="O496" s="50">
        <v>1.0</v>
      </c>
      <c r="P496" s="44">
        <v>2.0</v>
      </c>
      <c r="Q496" s="113">
        <v>130.0</v>
      </c>
      <c r="R496" s="79">
        <v>72.0</v>
      </c>
      <c r="S496" s="56" t="str">
        <f t="shared" si="15"/>
        <v> </v>
      </c>
      <c r="T496" s="44" t="s">
        <v>78</v>
      </c>
      <c r="U496" s="57" t="s">
        <v>77</v>
      </c>
      <c r="V496" s="50" t="s">
        <v>79</v>
      </c>
      <c r="W496" s="50"/>
      <c r="X496" s="44">
        <v>4.0</v>
      </c>
      <c r="Y496" s="50" t="s">
        <v>80</v>
      </c>
      <c r="Z496" s="58" t="s">
        <v>81</v>
      </c>
      <c r="AA496" s="59" t="str">
        <f>IF(Rentabilidad=0,"No aplica",TEXT(ROUND(Precio/Rentabilidad/12,0),0) &amp; " años")</f>
        <v>No aplica</v>
      </c>
      <c r="AB496" s="195"/>
      <c r="AC496" s="61"/>
      <c r="AD496" s="62"/>
      <c r="AE496" s="63"/>
      <c r="AF496" s="45" t="s">
        <v>105</v>
      </c>
      <c r="AG496" s="63"/>
      <c r="AH496" s="65" t="s">
        <v>45</v>
      </c>
      <c r="AI496" s="74"/>
      <c r="AJ496" s="64" t="s">
        <v>1834</v>
      </c>
      <c r="AK496" s="74"/>
      <c r="AL496" s="45" t="s">
        <v>86</v>
      </c>
      <c r="AM496" s="52">
        <v>3.178420871E9</v>
      </c>
      <c r="AN496" s="45">
        <v>3.002090636E9</v>
      </c>
      <c r="AO496" s="52" t="s">
        <v>3188</v>
      </c>
      <c r="AP496" s="67" t="s">
        <v>3189</v>
      </c>
      <c r="AQ496" s="67"/>
      <c r="AR496" s="67"/>
      <c r="AS496" s="68">
        <v>0.0</v>
      </c>
      <c r="AT496" s="44">
        <v>0.0</v>
      </c>
      <c r="AU496" s="52">
        <v>0.0</v>
      </c>
      <c r="AV496" s="52">
        <v>0.0</v>
      </c>
      <c r="AW496" s="43" t="s">
        <v>88</v>
      </c>
      <c r="AX496" s="52">
        <v>0.0</v>
      </c>
      <c r="AY496" s="52">
        <v>0.0</v>
      </c>
      <c r="AZ496" s="44">
        <v>6.0</v>
      </c>
      <c r="BA496" s="43" t="s">
        <v>89</v>
      </c>
      <c r="BB496" s="44">
        <v>12.0</v>
      </c>
      <c r="BC496" s="127" t="s">
        <v>445</v>
      </c>
      <c r="BD496" s="128"/>
      <c r="BE496" s="129"/>
      <c r="BF496" s="72"/>
      <c r="BG496" s="73"/>
      <c r="BH496" s="73"/>
      <c r="BI496" s="73"/>
      <c r="BJ496" s="73"/>
      <c r="BK496" s="73"/>
      <c r="BL496" s="73"/>
      <c r="BM496" s="73"/>
      <c r="BN496" s="73"/>
      <c r="BO496" s="73"/>
      <c r="BP496" s="73"/>
      <c r="BQ496" s="73"/>
      <c r="BR496" s="73"/>
      <c r="BS496" s="73"/>
      <c r="BT496" s="73"/>
      <c r="BU496" s="73"/>
      <c r="BV496" s="73"/>
      <c r="BW496" s="74"/>
      <c r="BX496" s="74"/>
      <c r="BY496" s="63"/>
      <c r="BZ496" s="63"/>
    </row>
    <row r="497" ht="15.75" customHeight="1">
      <c r="A497" s="75" t="s">
        <v>3190</v>
      </c>
      <c r="B497" s="50" t="s">
        <v>443</v>
      </c>
      <c r="C497" s="50" t="s">
        <v>70</v>
      </c>
      <c r="D497" s="50" t="s">
        <v>82</v>
      </c>
      <c r="E497" s="77"/>
      <c r="F497" s="78">
        <v>2.8E8</v>
      </c>
      <c r="G497" s="44" t="str">
        <f t="shared" si="16"/>
        <v>$200'000.000 a $300'000.000</v>
      </c>
      <c r="H497" s="44"/>
      <c r="I497" s="44"/>
      <c r="J497" s="50" t="s">
        <v>183</v>
      </c>
      <c r="K497" s="51" t="s">
        <v>184</v>
      </c>
      <c r="L497" s="50">
        <v>3.0</v>
      </c>
      <c r="M497" s="50"/>
      <c r="N497" s="50">
        <v>3.0</v>
      </c>
      <c r="O497" s="50">
        <v>1.0</v>
      </c>
      <c r="P497" s="50">
        <v>2.0</v>
      </c>
      <c r="Q497" s="88">
        <v>163.0</v>
      </c>
      <c r="R497" s="88">
        <v>163.0</v>
      </c>
      <c r="S497" s="56" t="str">
        <f t="shared" si="15"/>
        <v> </v>
      </c>
      <c r="T497" s="50" t="s">
        <v>78</v>
      </c>
      <c r="U497" s="51" t="s">
        <v>184</v>
      </c>
      <c r="V497" s="50" t="s">
        <v>118</v>
      </c>
      <c r="W497" s="50"/>
      <c r="X497" s="50">
        <v>3.0</v>
      </c>
      <c r="Y497" s="43" t="s">
        <v>80</v>
      </c>
      <c r="Z497" s="58" t="s">
        <v>81</v>
      </c>
      <c r="AA497" s="81" t="s">
        <v>81</v>
      </c>
      <c r="AB497" s="123"/>
      <c r="AC497" s="124" t="s">
        <v>3191</v>
      </c>
      <c r="AD497" s="125"/>
      <c r="AE497" s="63"/>
      <c r="AF497" s="64"/>
      <c r="AG497" s="65"/>
      <c r="AH497" s="65" t="s">
        <v>45</v>
      </c>
      <c r="AI497" s="65"/>
      <c r="AJ497" s="64" t="s">
        <v>1834</v>
      </c>
      <c r="AK497" s="50"/>
      <c r="AL497" s="45"/>
      <c r="AM497" s="43">
        <v>3.017878654E9</v>
      </c>
      <c r="AN497" s="64" t="s">
        <v>3192</v>
      </c>
      <c r="AO497" s="43" t="s">
        <v>3193</v>
      </c>
      <c r="AP497" s="84"/>
      <c r="AQ497" s="84"/>
      <c r="AR497" s="84"/>
      <c r="AS497" s="85"/>
      <c r="AT497" s="50"/>
      <c r="AU497" s="50"/>
      <c r="AV497" s="44"/>
      <c r="AW497" s="50" t="s">
        <v>106</v>
      </c>
      <c r="AX497" s="50"/>
      <c r="AY497" s="50">
        <v>1.0</v>
      </c>
      <c r="AZ497" s="44"/>
      <c r="BA497" s="43" t="s">
        <v>89</v>
      </c>
      <c r="BB497" s="44"/>
      <c r="BC497" s="127" t="s">
        <v>3194</v>
      </c>
      <c r="BD497" s="128"/>
      <c r="BE497" s="129"/>
      <c r="BF497" s="130"/>
      <c r="BG497" s="73"/>
      <c r="BH497" s="73"/>
      <c r="BI497" s="73"/>
      <c r="BJ497" s="73"/>
      <c r="BK497" s="73"/>
      <c r="BL497" s="73"/>
      <c r="BM497" s="73"/>
      <c r="BN497" s="73"/>
      <c r="BO497" s="73"/>
      <c r="BP497" s="73"/>
      <c r="BQ497" s="73"/>
      <c r="BR497" s="73"/>
      <c r="BS497" s="73"/>
      <c r="BT497" s="73"/>
      <c r="BU497" s="73"/>
      <c r="BV497" s="73"/>
      <c r="BW497" s="74"/>
      <c r="BX497" s="74"/>
      <c r="BY497" s="63"/>
      <c r="BZ497" s="63"/>
    </row>
    <row r="498" ht="15.75" customHeight="1">
      <c r="A498" s="75" t="s">
        <v>3195</v>
      </c>
      <c r="B498" s="50" t="s">
        <v>436</v>
      </c>
      <c r="C498" s="50" t="s">
        <v>70</v>
      </c>
      <c r="D498" s="50" t="s">
        <v>11</v>
      </c>
      <c r="E498" s="77"/>
      <c r="F498" s="78">
        <v>2.8E8</v>
      </c>
      <c r="G498" s="44" t="str">
        <f t="shared" si="16"/>
        <v>$200'000.000 a $300'000.000</v>
      </c>
      <c r="H498" s="44"/>
      <c r="I498" s="44"/>
      <c r="J498" s="50" t="s">
        <v>183</v>
      </c>
      <c r="K498" s="51" t="s">
        <v>184</v>
      </c>
      <c r="L498" s="50">
        <v>6.0</v>
      </c>
      <c r="M498" s="50"/>
      <c r="N498" s="50">
        <v>1.0</v>
      </c>
      <c r="O498" s="50">
        <v>0.0</v>
      </c>
      <c r="P498" s="50">
        <v>1.0</v>
      </c>
      <c r="Q498" s="88"/>
      <c r="R498" s="88">
        <v>180.0</v>
      </c>
      <c r="S498" s="56" t="str">
        <f t="shared" si="15"/>
        <v> </v>
      </c>
      <c r="T498" s="50" t="s">
        <v>78</v>
      </c>
      <c r="U498" s="51" t="s">
        <v>184</v>
      </c>
      <c r="V498" s="50" t="s">
        <v>79</v>
      </c>
      <c r="W498" s="50"/>
      <c r="X498" s="50">
        <v>0.0</v>
      </c>
      <c r="Y498" s="43" t="s">
        <v>80</v>
      </c>
      <c r="Z498" s="58" t="s">
        <v>81</v>
      </c>
      <c r="AA498" s="81" t="s">
        <v>81</v>
      </c>
      <c r="AB498" s="123"/>
      <c r="AC498" s="124" t="s">
        <v>3196</v>
      </c>
      <c r="AD498" s="125"/>
      <c r="AE498" s="63"/>
      <c r="AF498" s="64"/>
      <c r="AG498" s="65"/>
      <c r="AH498" s="65" t="s">
        <v>45</v>
      </c>
      <c r="AI498" s="65"/>
      <c r="AJ498" s="64" t="s">
        <v>1834</v>
      </c>
      <c r="AK498" s="50"/>
      <c r="AL498" s="45"/>
      <c r="AM498" s="43">
        <v>3.108795743E9</v>
      </c>
      <c r="AN498" s="45"/>
      <c r="AO498" s="43" t="s">
        <v>3197</v>
      </c>
      <c r="AP498" s="84"/>
      <c r="AQ498" s="84"/>
      <c r="AR498" s="84"/>
      <c r="AS498" s="85"/>
      <c r="AT498" s="50"/>
      <c r="AU498" s="50"/>
      <c r="AV498" s="44"/>
      <c r="AW498" s="50" t="s">
        <v>106</v>
      </c>
      <c r="AX498" s="50"/>
      <c r="AY498" s="50"/>
      <c r="AZ498" s="50">
        <v>9.0</v>
      </c>
      <c r="BA498" s="43" t="s">
        <v>89</v>
      </c>
      <c r="BB498" s="50">
        <v>20.0</v>
      </c>
      <c r="BC498" s="109"/>
      <c r="BD498" s="70"/>
      <c r="BE498" s="71"/>
      <c r="BF498" s="72"/>
      <c r="BG498" s="73"/>
      <c r="BH498" s="73"/>
      <c r="BI498" s="73"/>
      <c r="BJ498" s="73"/>
      <c r="BK498" s="73"/>
      <c r="BL498" s="73"/>
      <c r="BM498" s="73"/>
      <c r="BN498" s="73"/>
      <c r="BO498" s="73"/>
      <c r="BP498" s="73"/>
      <c r="BQ498" s="73"/>
      <c r="BR498" s="73"/>
      <c r="BS498" s="73"/>
      <c r="BT498" s="73"/>
      <c r="BU498" s="73"/>
      <c r="BV498" s="73"/>
      <c r="BW498" s="74"/>
      <c r="BX498" s="74"/>
      <c r="BY498" s="63"/>
      <c r="BZ498" s="63"/>
    </row>
    <row r="499" ht="15.75" customHeight="1">
      <c r="A499" s="41" t="s">
        <v>3198</v>
      </c>
      <c r="B499" s="50" t="s">
        <v>3199</v>
      </c>
      <c r="C499" s="50" t="s">
        <v>271</v>
      </c>
      <c r="D499" s="50" t="s">
        <v>72</v>
      </c>
      <c r="E499" s="64"/>
      <c r="F499" s="47">
        <v>2.8E8</v>
      </c>
      <c r="G499" s="44" t="str">
        <f t="shared" si="16"/>
        <v>$200'000.000 a $300'000.000</v>
      </c>
      <c r="H499" s="44"/>
      <c r="I499" s="44"/>
      <c r="J499" s="50" t="s">
        <v>183</v>
      </c>
      <c r="K499" s="51" t="s">
        <v>184</v>
      </c>
      <c r="L499" s="44">
        <v>3.0</v>
      </c>
      <c r="M499" s="44"/>
      <c r="N499" s="44">
        <v>3.0</v>
      </c>
      <c r="O499" s="50">
        <v>1.0</v>
      </c>
      <c r="P499" s="44">
        <v>2.0</v>
      </c>
      <c r="Q499" s="113">
        <v>150.0</v>
      </c>
      <c r="R499" s="79">
        <v>84.0</v>
      </c>
      <c r="S499" s="56" t="str">
        <f t="shared" si="15"/>
        <v>Rentabilidad $1,500,000</v>
      </c>
      <c r="T499" s="44" t="s">
        <v>78</v>
      </c>
      <c r="U499" s="57" t="s">
        <v>77</v>
      </c>
      <c r="V499" s="50" t="s">
        <v>79</v>
      </c>
      <c r="W499" s="50"/>
      <c r="X499" s="44">
        <v>2.0</v>
      </c>
      <c r="Y499" s="50" t="s">
        <v>80</v>
      </c>
      <c r="Z499" s="80" t="s">
        <v>81</v>
      </c>
      <c r="AA499" s="59" t="str">
        <f>IF(Rentabilidad=0,"No aplica",TEXT(ROUND(Precio/Rentabilidad/12,0),0) &amp; " años")</f>
        <v>16 años</v>
      </c>
      <c r="AB499" s="220"/>
      <c r="AC499" s="61"/>
      <c r="AD499" s="62"/>
      <c r="AE499" s="63"/>
      <c r="AF499" s="45" t="s">
        <v>105</v>
      </c>
      <c r="AG499" s="63"/>
      <c r="AH499" s="65" t="s">
        <v>45</v>
      </c>
      <c r="AI499" s="63"/>
      <c r="AJ499" s="64" t="s">
        <v>1834</v>
      </c>
      <c r="AK499" s="44"/>
      <c r="AL499" s="45" t="s">
        <v>86</v>
      </c>
      <c r="AM499" s="52">
        <v>3.003484306E9</v>
      </c>
      <c r="AN499" s="45"/>
      <c r="AO499" s="52" t="s">
        <v>3200</v>
      </c>
      <c r="AP499" s="67" t="s">
        <v>3201</v>
      </c>
      <c r="AQ499" s="67"/>
      <c r="AR499" s="67"/>
      <c r="AS499" s="68">
        <v>1500000.0</v>
      </c>
      <c r="AT499" s="44">
        <v>0.0</v>
      </c>
      <c r="AU499" s="52">
        <v>0.0</v>
      </c>
      <c r="AV499" s="52">
        <v>0.0</v>
      </c>
      <c r="AW499" s="52" t="s">
        <v>106</v>
      </c>
      <c r="AX499" s="52">
        <v>0.0</v>
      </c>
      <c r="AY499" s="52" t="s">
        <v>137</v>
      </c>
      <c r="AZ499" s="44">
        <v>6.0</v>
      </c>
      <c r="BA499" s="43" t="s">
        <v>89</v>
      </c>
      <c r="BB499" s="44">
        <v>14.0</v>
      </c>
      <c r="BC499" s="109"/>
      <c r="BD499" s="70"/>
      <c r="BE499" s="71"/>
      <c r="BF499" s="130"/>
      <c r="BG499" s="73"/>
      <c r="BH499" s="73"/>
      <c r="BI499" s="73"/>
      <c r="BJ499" s="73"/>
      <c r="BK499" s="73"/>
      <c r="BL499" s="73"/>
      <c r="BM499" s="73"/>
      <c r="BN499" s="73"/>
      <c r="BO499" s="73"/>
      <c r="BP499" s="73"/>
      <c r="BQ499" s="73"/>
      <c r="BR499" s="73"/>
      <c r="BS499" s="73"/>
      <c r="BT499" s="73"/>
      <c r="BU499" s="73"/>
      <c r="BV499" s="73"/>
      <c r="BW499" s="74"/>
      <c r="BX499" s="74"/>
      <c r="BY499" s="63"/>
      <c r="BZ499" s="63"/>
    </row>
    <row r="500" ht="15.75" customHeight="1">
      <c r="A500" s="120" t="s">
        <v>3202</v>
      </c>
      <c r="B500" s="50" t="s">
        <v>3203</v>
      </c>
      <c r="C500" s="50" t="s">
        <v>271</v>
      </c>
      <c r="D500" s="50" t="s">
        <v>72</v>
      </c>
      <c r="E500" s="64"/>
      <c r="F500" s="47">
        <v>2.8E8</v>
      </c>
      <c r="G500" s="44" t="str">
        <f t="shared" si="16"/>
        <v>$200'000.000 a $300'000.000</v>
      </c>
      <c r="H500" s="44"/>
      <c r="I500" s="44"/>
      <c r="J500" s="50" t="s">
        <v>183</v>
      </c>
      <c r="K500" s="51" t="s">
        <v>184</v>
      </c>
      <c r="L500" s="52">
        <v>5.0</v>
      </c>
      <c r="M500" s="52"/>
      <c r="N500" s="52">
        <v>3.0</v>
      </c>
      <c r="O500" s="43">
        <v>1.0</v>
      </c>
      <c r="P500" s="52">
        <v>2.0</v>
      </c>
      <c r="Q500" s="54">
        <v>150.0</v>
      </c>
      <c r="R500" s="55">
        <v>84.0</v>
      </c>
      <c r="S500" s="56" t="str">
        <f t="shared" si="15"/>
        <v>Rentabilidad $1,100,000</v>
      </c>
      <c r="T500" s="44" t="s">
        <v>78</v>
      </c>
      <c r="U500" s="142" t="s">
        <v>77</v>
      </c>
      <c r="V500" s="43" t="s">
        <v>79</v>
      </c>
      <c r="W500" s="43"/>
      <c r="X500" s="52">
        <v>1.0</v>
      </c>
      <c r="Y500" s="43" t="s">
        <v>80</v>
      </c>
      <c r="Z500" s="80" t="s">
        <v>81</v>
      </c>
      <c r="AA500" s="59" t="str">
        <f>IF(Rentabilidad=0,"No aplica",TEXT(ROUND(Precio/Rentabilidad/12,0),0) &amp; " años")</f>
        <v>21 años</v>
      </c>
      <c r="AB500" s="220"/>
      <c r="AC500" s="61"/>
      <c r="AD500" s="62"/>
      <c r="AE500" s="63"/>
      <c r="AF500" s="45" t="s">
        <v>105</v>
      </c>
      <c r="AG500" s="63"/>
      <c r="AH500" s="65" t="s">
        <v>45</v>
      </c>
      <c r="AI500" s="63"/>
      <c r="AJ500" s="64" t="s">
        <v>1834</v>
      </c>
      <c r="AK500" s="44"/>
      <c r="AL500" s="45" t="s">
        <v>3204</v>
      </c>
      <c r="AM500" s="52">
        <v>3.205672851E9</v>
      </c>
      <c r="AN500" s="45"/>
      <c r="AO500" s="52" t="s">
        <v>3205</v>
      </c>
      <c r="AP500" s="67" t="s">
        <v>3206</v>
      </c>
      <c r="AQ500" s="67"/>
      <c r="AR500" s="67"/>
      <c r="AS500" s="135">
        <v>1100000.0</v>
      </c>
      <c r="AT500" s="52">
        <v>0.0</v>
      </c>
      <c r="AU500" s="52">
        <v>0.0</v>
      </c>
      <c r="AV500" s="52">
        <v>0.0</v>
      </c>
      <c r="AW500" s="52" t="s">
        <v>88</v>
      </c>
      <c r="AX500" s="52">
        <v>0.0</v>
      </c>
      <c r="AY500" s="52" t="s">
        <v>137</v>
      </c>
      <c r="AZ500" s="52">
        <v>0.0</v>
      </c>
      <c r="BA500" s="43" t="s">
        <v>89</v>
      </c>
      <c r="BB500" s="52">
        <v>0.0</v>
      </c>
      <c r="BC500" s="109"/>
      <c r="BD500" s="70"/>
      <c r="BE500" s="71"/>
      <c r="BF500" s="130"/>
      <c r="BG500" s="73"/>
      <c r="BH500" s="73"/>
      <c r="BI500" s="73"/>
      <c r="BJ500" s="73"/>
      <c r="BK500" s="73"/>
      <c r="BL500" s="73"/>
      <c r="BM500" s="73"/>
      <c r="BN500" s="73"/>
      <c r="BO500" s="73"/>
      <c r="BP500" s="73"/>
      <c r="BQ500" s="73"/>
      <c r="BR500" s="73"/>
      <c r="BS500" s="73"/>
      <c r="BT500" s="73"/>
      <c r="BU500" s="73"/>
      <c r="BV500" s="73"/>
      <c r="BW500" s="74"/>
      <c r="BX500" s="74"/>
      <c r="BY500" s="63"/>
      <c r="BZ500" s="63"/>
    </row>
    <row r="501" ht="15.75" customHeight="1">
      <c r="A501" s="120" t="s">
        <v>3207</v>
      </c>
      <c r="B501" s="43" t="s">
        <v>388</v>
      </c>
      <c r="C501" s="43" t="s">
        <v>70</v>
      </c>
      <c r="D501" s="52" t="s">
        <v>389</v>
      </c>
      <c r="E501" s="45"/>
      <c r="F501" s="47">
        <v>2.8E8</v>
      </c>
      <c r="G501" s="44" t="str">
        <f t="shared" si="16"/>
        <v>$200'000.000 a $300'000.000</v>
      </c>
      <c r="H501" s="44"/>
      <c r="I501" s="44"/>
      <c r="J501" s="43" t="s">
        <v>76</v>
      </c>
      <c r="K501" s="56" t="s">
        <v>77</v>
      </c>
      <c r="L501" s="52">
        <v>4.0</v>
      </c>
      <c r="M501" s="52"/>
      <c r="N501" s="52">
        <v>1.0</v>
      </c>
      <c r="O501" s="43">
        <v>1.0</v>
      </c>
      <c r="P501" s="52">
        <v>1.0</v>
      </c>
      <c r="Q501" s="54">
        <v>200.0</v>
      </c>
      <c r="R501" s="55">
        <v>200.0</v>
      </c>
      <c r="S501" s="56" t="str">
        <f t="shared" si="15"/>
        <v>Rentabilidad $800,000</v>
      </c>
      <c r="T501" s="52" t="s">
        <v>78</v>
      </c>
      <c r="U501" s="142" t="s">
        <v>184</v>
      </c>
      <c r="V501" s="43" t="s">
        <v>79</v>
      </c>
      <c r="W501" s="43"/>
      <c r="X501" s="52">
        <v>0.0</v>
      </c>
      <c r="Y501" s="43" t="s">
        <v>80</v>
      </c>
      <c r="Z501" s="58" t="s">
        <v>81</v>
      </c>
      <c r="AA501" s="59" t="str">
        <f>IF(Rentabilidad=0,"No aplica",TEXT(ROUND(Precio/Rentabilidad/12,0),0) &amp; " años")</f>
        <v>29 años</v>
      </c>
      <c r="AB501" s="60"/>
      <c r="AC501" s="61"/>
      <c r="AD501" s="62"/>
      <c r="AE501" s="63"/>
      <c r="AF501" s="64" t="s">
        <v>84</v>
      </c>
      <c r="AG501" s="63"/>
      <c r="AH501" s="65" t="s">
        <v>45</v>
      </c>
      <c r="AI501" s="63"/>
      <c r="AJ501" s="64" t="s">
        <v>1834</v>
      </c>
      <c r="AK501" s="44"/>
      <c r="AL501" s="45" t="s">
        <v>86</v>
      </c>
      <c r="AM501" s="52">
        <v>3.22406128E9</v>
      </c>
      <c r="AN501" s="45">
        <v>3.167735256E9</v>
      </c>
      <c r="AO501" s="52" t="s">
        <v>3208</v>
      </c>
      <c r="AP501" s="67" t="s">
        <v>3209</v>
      </c>
      <c r="AQ501" s="67"/>
      <c r="AR501" s="67"/>
      <c r="AS501" s="135">
        <v>800000.0</v>
      </c>
      <c r="AT501" s="63">
        <v>0.0</v>
      </c>
      <c r="AU501" s="52">
        <v>0.0</v>
      </c>
      <c r="AV501" s="52">
        <v>0.0</v>
      </c>
      <c r="AW501" s="43" t="s">
        <v>88</v>
      </c>
      <c r="AX501" s="52">
        <v>0.0</v>
      </c>
      <c r="AY501" s="52">
        <v>0.0</v>
      </c>
      <c r="AZ501" s="52">
        <v>10.0</v>
      </c>
      <c r="BA501" s="43" t="s">
        <v>89</v>
      </c>
      <c r="BB501" s="52">
        <v>20.0</v>
      </c>
      <c r="BC501" s="69" t="s">
        <v>3210</v>
      </c>
      <c r="BD501" s="70"/>
      <c r="BE501" s="70"/>
      <c r="BF501" s="130"/>
      <c r="BG501" s="73"/>
      <c r="BH501" s="73"/>
      <c r="BI501" s="73"/>
      <c r="BJ501" s="73"/>
      <c r="BK501" s="73"/>
      <c r="BL501" s="73"/>
      <c r="BM501" s="73"/>
      <c r="BN501" s="73"/>
      <c r="BO501" s="73"/>
      <c r="BP501" s="73"/>
      <c r="BQ501" s="73"/>
      <c r="BR501" s="73"/>
      <c r="BS501" s="73"/>
      <c r="BT501" s="73"/>
      <c r="BU501" s="73"/>
      <c r="BV501" s="73"/>
      <c r="BW501" s="74"/>
      <c r="BX501" s="74"/>
      <c r="BY501" s="63"/>
      <c r="BZ501" s="63"/>
    </row>
    <row r="502" ht="15.75" customHeight="1">
      <c r="A502" s="120" t="s">
        <v>3211</v>
      </c>
      <c r="B502" s="50" t="s">
        <v>3212</v>
      </c>
      <c r="C502" s="50" t="s">
        <v>271</v>
      </c>
      <c r="D502" s="116" t="s">
        <v>155</v>
      </c>
      <c r="E502" s="45"/>
      <c r="F502" s="47">
        <v>2.8E8</v>
      </c>
      <c r="G502" s="44" t="str">
        <f t="shared" si="16"/>
        <v>$200'000.000 a $300'000.000</v>
      </c>
      <c r="H502" s="44"/>
      <c r="I502" s="44"/>
      <c r="J502" s="43" t="s">
        <v>76</v>
      </c>
      <c r="K502" s="51" t="s">
        <v>77</v>
      </c>
      <c r="L502" s="52">
        <v>8.0</v>
      </c>
      <c r="M502" s="52"/>
      <c r="N502" s="52">
        <v>4.0</v>
      </c>
      <c r="O502" s="43">
        <v>0.0</v>
      </c>
      <c r="P502" s="52">
        <v>1.0</v>
      </c>
      <c r="Q502" s="54">
        <v>250.0</v>
      </c>
      <c r="R502" s="55">
        <v>267.75</v>
      </c>
      <c r="S502" s="56" t="str">
        <f t="shared" si="15"/>
        <v>Rentabilidad $1,600,000</v>
      </c>
      <c r="T502" s="52" t="s">
        <v>78</v>
      </c>
      <c r="U502" s="142" t="s">
        <v>184</v>
      </c>
      <c r="V502" s="43" t="s">
        <v>79</v>
      </c>
      <c r="W502" s="43"/>
      <c r="X502" s="52">
        <v>0.0</v>
      </c>
      <c r="Y502" s="43" t="s">
        <v>80</v>
      </c>
      <c r="Z502" s="80" t="s">
        <v>81</v>
      </c>
      <c r="AA502" s="59" t="str">
        <f>IF(Rentabilidad=0,"No aplica",TEXT(ROUND(Precio/Rentabilidad/12,0),0) &amp; " años")</f>
        <v>15 años</v>
      </c>
      <c r="AB502" s="60"/>
      <c r="AC502" s="131" t="s">
        <v>3213</v>
      </c>
      <c r="AD502" s="62"/>
      <c r="AE502" s="63"/>
      <c r="AF502" s="64" t="s">
        <v>84</v>
      </c>
      <c r="AG502" s="63"/>
      <c r="AH502" s="65" t="s">
        <v>45</v>
      </c>
      <c r="AI502" s="63"/>
      <c r="AJ502" s="64" t="s">
        <v>1834</v>
      </c>
      <c r="AK502" s="44"/>
      <c r="AL502" s="45" t="s">
        <v>86</v>
      </c>
      <c r="AM502" s="52">
        <v>3.10881071E9</v>
      </c>
      <c r="AN502" s="45"/>
      <c r="AO502" s="52" t="s">
        <v>3214</v>
      </c>
      <c r="AP502" s="67" t="s">
        <v>3215</v>
      </c>
      <c r="AQ502" s="67"/>
      <c r="AR502" s="67"/>
      <c r="AS502" s="303">
        <v>1600000.0</v>
      </c>
      <c r="AT502" s="63">
        <v>0.0</v>
      </c>
      <c r="AU502" s="52">
        <v>0.0</v>
      </c>
      <c r="AV502" s="52">
        <v>0.0</v>
      </c>
      <c r="AW502" s="43" t="s">
        <v>88</v>
      </c>
      <c r="AX502" s="52">
        <v>0.0</v>
      </c>
      <c r="AY502" s="52">
        <v>0.0</v>
      </c>
      <c r="AZ502" s="52">
        <v>10.5</v>
      </c>
      <c r="BA502" s="43" t="s">
        <v>89</v>
      </c>
      <c r="BB502" s="52">
        <v>25.5</v>
      </c>
      <c r="BC502" s="69" t="s">
        <v>3216</v>
      </c>
      <c r="BD502" s="70"/>
      <c r="BE502" s="71"/>
      <c r="BF502" s="72"/>
      <c r="BG502" s="73"/>
      <c r="BH502" s="73"/>
      <c r="BI502" s="73"/>
      <c r="BJ502" s="73"/>
      <c r="BK502" s="73"/>
      <c r="BL502" s="73"/>
      <c r="BM502" s="73"/>
      <c r="BN502" s="73"/>
      <c r="BO502" s="73"/>
      <c r="BP502" s="73"/>
      <c r="BQ502" s="73"/>
      <c r="BR502" s="73"/>
      <c r="BS502" s="73"/>
      <c r="BT502" s="73"/>
      <c r="BU502" s="73"/>
      <c r="BV502" s="73"/>
      <c r="BW502" s="74"/>
      <c r="BX502" s="74"/>
      <c r="BY502" s="63"/>
      <c r="BZ502" s="63"/>
    </row>
    <row r="503" ht="15.75" customHeight="1">
      <c r="A503" s="120" t="s">
        <v>3217</v>
      </c>
      <c r="B503" s="43" t="s">
        <v>436</v>
      </c>
      <c r="C503" s="43" t="s">
        <v>70</v>
      </c>
      <c r="D503" s="44" t="s">
        <v>11</v>
      </c>
      <c r="E503" s="77" t="s">
        <v>376</v>
      </c>
      <c r="F503" s="47">
        <v>2.8E8</v>
      </c>
      <c r="G503" s="44" t="str">
        <f t="shared" si="16"/>
        <v>$200'000.000 a $300'000.000</v>
      </c>
      <c r="H503" s="44"/>
      <c r="I503" s="44"/>
      <c r="J503" s="50" t="s">
        <v>183</v>
      </c>
      <c r="K503" s="51" t="s">
        <v>184</v>
      </c>
      <c r="L503" s="52">
        <v>5.0</v>
      </c>
      <c r="M503" s="52"/>
      <c r="N503" s="52">
        <v>1.0</v>
      </c>
      <c r="O503" s="43">
        <v>1.0</v>
      </c>
      <c r="P503" s="52">
        <v>1.0</v>
      </c>
      <c r="Q503" s="54">
        <v>193.0</v>
      </c>
      <c r="R503" s="55">
        <v>193.0</v>
      </c>
      <c r="S503" s="56" t="str">
        <f t="shared" si="15"/>
        <v>Rentabilidad $800,000</v>
      </c>
      <c r="T503" s="52" t="s">
        <v>78</v>
      </c>
      <c r="U503" s="142" t="s">
        <v>184</v>
      </c>
      <c r="V503" s="43" t="s">
        <v>79</v>
      </c>
      <c r="W503" s="43"/>
      <c r="X503" s="52">
        <v>1.0</v>
      </c>
      <c r="Y503" s="94" t="s">
        <v>80</v>
      </c>
      <c r="Z503" s="58" t="s">
        <v>81</v>
      </c>
      <c r="AA503" s="59" t="str">
        <f>IF(Rentabilidad=0,"No aplica",TEXT(ROUND(Precio/Rentabilidad/12,0),0) &amp; " años")</f>
        <v>29 años</v>
      </c>
      <c r="AB503" s="60"/>
      <c r="AC503" s="61"/>
      <c r="AD503" s="62"/>
      <c r="AE503" s="63"/>
      <c r="AF503" s="64" t="s">
        <v>236</v>
      </c>
      <c r="AG503" s="63"/>
      <c r="AH503" s="65" t="s">
        <v>45</v>
      </c>
      <c r="AI503" s="63"/>
      <c r="AJ503" s="64" t="s">
        <v>1834</v>
      </c>
      <c r="AK503" s="44"/>
      <c r="AL503" s="45" t="s">
        <v>109</v>
      </c>
      <c r="AM503" s="52">
        <v>3.16726041E9</v>
      </c>
      <c r="AN503" s="45"/>
      <c r="AO503" s="52" t="s">
        <v>3218</v>
      </c>
      <c r="AP503" s="67" t="s">
        <v>3219</v>
      </c>
      <c r="AQ503" s="67"/>
      <c r="AR503" s="67"/>
      <c r="AS503" s="135">
        <v>800000.0</v>
      </c>
      <c r="AT503" s="63">
        <v>0.0</v>
      </c>
      <c r="AU503" s="52">
        <v>0.0</v>
      </c>
      <c r="AV503" s="52">
        <v>0.0</v>
      </c>
      <c r="AW503" s="43" t="s">
        <v>88</v>
      </c>
      <c r="AX503" s="52">
        <v>0.0</v>
      </c>
      <c r="AY503" s="52">
        <v>0.0</v>
      </c>
      <c r="AZ503" s="52">
        <v>9.0</v>
      </c>
      <c r="BA503" s="43" t="s">
        <v>89</v>
      </c>
      <c r="BB503" s="52">
        <v>21.45</v>
      </c>
      <c r="BC503" s="109"/>
      <c r="BD503" s="70"/>
      <c r="BE503" s="71"/>
      <c r="BF503" s="130"/>
      <c r="BG503" s="73"/>
      <c r="BH503" s="73"/>
      <c r="BI503" s="73"/>
      <c r="BJ503" s="73"/>
      <c r="BK503" s="73"/>
      <c r="BL503" s="73"/>
      <c r="BM503" s="73"/>
      <c r="BN503" s="73"/>
      <c r="BO503" s="73"/>
      <c r="BP503" s="73"/>
      <c r="BQ503" s="73"/>
      <c r="BR503" s="73"/>
      <c r="BS503" s="73"/>
      <c r="BT503" s="73"/>
      <c r="BU503" s="73"/>
      <c r="BV503" s="73"/>
      <c r="BW503" s="74"/>
      <c r="BX503" s="74"/>
      <c r="BY503" s="63"/>
      <c r="BZ503" s="63"/>
    </row>
    <row r="504" ht="15.75" customHeight="1">
      <c r="A504" s="133" t="s">
        <v>3220</v>
      </c>
      <c r="B504" s="50" t="s">
        <v>3221</v>
      </c>
      <c r="C504" s="50" t="s">
        <v>271</v>
      </c>
      <c r="D504" s="52" t="s">
        <v>3222</v>
      </c>
      <c r="E504" s="77" t="s">
        <v>376</v>
      </c>
      <c r="F504" s="78">
        <v>2.8E8</v>
      </c>
      <c r="G504" s="44" t="str">
        <f t="shared" si="16"/>
        <v>$200'000.000 a $300'000.000</v>
      </c>
      <c r="H504" s="44"/>
      <c r="I504" s="44"/>
      <c r="J504" s="43" t="s">
        <v>116</v>
      </c>
      <c r="K504" s="142"/>
      <c r="L504" s="43">
        <v>7.0</v>
      </c>
      <c r="M504" s="43"/>
      <c r="N504" s="43">
        <v>5.0</v>
      </c>
      <c r="O504" s="43">
        <v>1.0</v>
      </c>
      <c r="P504" s="52">
        <v>1.0</v>
      </c>
      <c r="Q504" s="55">
        <v>240.0</v>
      </c>
      <c r="R504" s="55">
        <v>252.0</v>
      </c>
      <c r="S504" s="56" t="str">
        <f t="shared" si="15"/>
        <v>Rentabilidad $2,200,000</v>
      </c>
      <c r="T504" s="52" t="s">
        <v>78</v>
      </c>
      <c r="U504" s="142" t="s">
        <v>184</v>
      </c>
      <c r="V504" s="43" t="s">
        <v>79</v>
      </c>
      <c r="W504" s="43"/>
      <c r="X504" s="43">
        <v>4.0</v>
      </c>
      <c r="Y504" s="43" t="s">
        <v>80</v>
      </c>
      <c r="Z504" s="80" t="s">
        <v>81</v>
      </c>
      <c r="AA504" s="59" t="str">
        <f>IF(Rentabilidad=0,"No aplica",TEXT(ROUND(Precio/Rentabilidad/12,0),0) &amp; " años")</f>
        <v>11 años</v>
      </c>
      <c r="AB504" s="134" t="s">
        <v>3223</v>
      </c>
      <c r="AC504" s="131" t="s">
        <v>3224</v>
      </c>
      <c r="AD504" s="107" t="s">
        <v>3225</v>
      </c>
      <c r="AE504" s="63"/>
      <c r="AF504" s="64" t="s">
        <v>236</v>
      </c>
      <c r="AG504" s="65" t="s">
        <v>106</v>
      </c>
      <c r="AH504" s="63"/>
      <c r="AI504" s="63"/>
      <c r="AJ504" s="64" t="s">
        <v>1834</v>
      </c>
      <c r="AK504" s="44"/>
      <c r="AL504" s="45" t="s">
        <v>109</v>
      </c>
      <c r="AM504" s="52">
        <v>3.133658857E9</v>
      </c>
      <c r="AN504" s="45"/>
      <c r="AO504" s="52" t="s">
        <v>3226</v>
      </c>
      <c r="AP504" s="67" t="s">
        <v>3227</v>
      </c>
      <c r="AQ504" s="67"/>
      <c r="AR504" s="67"/>
      <c r="AS504" s="94">
        <v>2200000.0</v>
      </c>
      <c r="AT504" s="44">
        <v>0.0</v>
      </c>
      <c r="AU504" s="52">
        <v>0.0</v>
      </c>
      <c r="AV504" s="52">
        <v>0.0</v>
      </c>
      <c r="AW504" s="43" t="s">
        <v>88</v>
      </c>
      <c r="AX504" s="52">
        <v>0.0</v>
      </c>
      <c r="AY504" s="52">
        <v>0.0</v>
      </c>
      <c r="AZ504" s="52">
        <v>10.5</v>
      </c>
      <c r="BA504" s="43" t="s">
        <v>89</v>
      </c>
      <c r="BB504" s="52">
        <v>24.0</v>
      </c>
      <c r="BC504" s="170"/>
      <c r="BD504" s="128"/>
      <c r="BE504" s="129"/>
      <c r="BF504" s="72" t="s">
        <v>3228</v>
      </c>
      <c r="BG504" s="73"/>
      <c r="BH504" s="73"/>
      <c r="BI504" s="73"/>
      <c r="BJ504" s="73"/>
      <c r="BK504" s="73"/>
      <c r="BL504" s="73"/>
      <c r="BM504" s="73"/>
      <c r="BN504" s="73"/>
      <c r="BO504" s="73"/>
      <c r="BP504" s="73"/>
      <c r="BQ504" s="73"/>
      <c r="BR504" s="73"/>
      <c r="BS504" s="73"/>
      <c r="BT504" s="73"/>
      <c r="BU504" s="73"/>
      <c r="BV504" s="73"/>
      <c r="BW504" s="74"/>
      <c r="BX504" s="74"/>
      <c r="BY504" s="63"/>
      <c r="BZ504" s="63"/>
    </row>
    <row r="505" ht="15.75" customHeight="1">
      <c r="A505" s="133" t="s">
        <v>3229</v>
      </c>
      <c r="B505" s="43" t="s">
        <v>2715</v>
      </c>
      <c r="C505" s="43" t="s">
        <v>1228</v>
      </c>
      <c r="D505" s="44" t="s">
        <v>11</v>
      </c>
      <c r="E505" s="77" t="s">
        <v>376</v>
      </c>
      <c r="F505" s="47">
        <v>2.8E8</v>
      </c>
      <c r="G505" s="44" t="str">
        <f t="shared" si="16"/>
        <v>$200'000.000 a $300'000.000</v>
      </c>
      <c r="H505" s="44"/>
      <c r="I505" s="44"/>
      <c r="J505" s="50" t="s">
        <v>183</v>
      </c>
      <c r="K505" s="51" t="s">
        <v>184</v>
      </c>
      <c r="L505" s="122">
        <v>3.0</v>
      </c>
      <c r="M505" s="122"/>
      <c r="N505" s="52">
        <v>1.0</v>
      </c>
      <c r="O505" s="43">
        <v>0.0</v>
      </c>
      <c r="P505" s="52">
        <v>1.0</v>
      </c>
      <c r="Q505" s="54">
        <v>270.0</v>
      </c>
      <c r="R505" s="55">
        <v>270.0</v>
      </c>
      <c r="S505" s="56" t="str">
        <f t="shared" si="15"/>
        <v>Rentabilidad $500,000</v>
      </c>
      <c r="T505" s="52" t="s">
        <v>78</v>
      </c>
      <c r="U505" s="142" t="s">
        <v>184</v>
      </c>
      <c r="V505" s="43" t="s">
        <v>79</v>
      </c>
      <c r="W505" s="43"/>
      <c r="X505" s="52">
        <v>0.0</v>
      </c>
      <c r="Y505" s="94" t="s">
        <v>80</v>
      </c>
      <c r="Z505" s="80" t="s">
        <v>81</v>
      </c>
      <c r="AA505" s="59" t="str">
        <f>IF(Rentabilidad=0,"No aplica",TEXT(ROUND(Precio/Rentabilidad/12,0),0) &amp; " años")</f>
        <v>47 años</v>
      </c>
      <c r="AB505" s="60"/>
      <c r="AC505" s="61"/>
      <c r="AD505" s="62"/>
      <c r="AE505" s="63"/>
      <c r="AF505" s="64" t="s">
        <v>84</v>
      </c>
      <c r="AG505" s="63"/>
      <c r="AH505" s="65" t="s">
        <v>45</v>
      </c>
      <c r="AI505" s="63"/>
      <c r="AJ505" s="64" t="s">
        <v>1834</v>
      </c>
      <c r="AK505" s="44"/>
      <c r="AL505" s="45" t="s">
        <v>1388</v>
      </c>
      <c r="AM505" s="52">
        <v>3.10850101E9</v>
      </c>
      <c r="AN505" s="45">
        <v>3.002382341E9</v>
      </c>
      <c r="AO505" s="52" t="s">
        <v>3230</v>
      </c>
      <c r="AP505" s="67" t="s">
        <v>3231</v>
      </c>
      <c r="AQ505" s="67"/>
      <c r="AR505" s="67"/>
      <c r="AS505" s="135">
        <v>500000.0</v>
      </c>
      <c r="AT505" s="44">
        <v>0.0</v>
      </c>
      <c r="AU505" s="52">
        <v>0.0</v>
      </c>
      <c r="AV505" s="52">
        <v>0.0</v>
      </c>
      <c r="AW505" s="43" t="s">
        <v>88</v>
      </c>
      <c r="AX505" s="52">
        <v>0.0</v>
      </c>
      <c r="AY505" s="52">
        <v>0.0</v>
      </c>
      <c r="AZ505" s="52">
        <v>10.0</v>
      </c>
      <c r="BA505" s="43" t="s">
        <v>89</v>
      </c>
      <c r="BB505" s="52">
        <v>27.0</v>
      </c>
      <c r="BC505" s="109"/>
      <c r="BD505" s="70"/>
      <c r="BE505" s="71"/>
      <c r="BF505" s="130"/>
      <c r="BG505" s="74"/>
      <c r="BH505" s="74"/>
      <c r="BI505" s="74"/>
      <c r="BJ505" s="74"/>
      <c r="BK505" s="74"/>
      <c r="BL505" s="74"/>
      <c r="BM505" s="74"/>
      <c r="BN505" s="74"/>
      <c r="BO505" s="74"/>
      <c r="BP505" s="74"/>
      <c r="BQ505" s="74"/>
      <c r="BR505" s="74"/>
      <c r="BS505" s="74"/>
      <c r="BT505" s="74"/>
      <c r="BU505" s="74"/>
      <c r="BV505" s="74"/>
      <c r="BW505" s="74"/>
      <c r="BX505" s="74"/>
      <c r="BY505" s="63"/>
      <c r="BZ505" s="63"/>
    </row>
    <row r="506" ht="15.75" customHeight="1">
      <c r="A506" s="152" t="s">
        <v>3232</v>
      </c>
      <c r="B506" s="50" t="s">
        <v>395</v>
      </c>
      <c r="C506" s="50" t="s">
        <v>70</v>
      </c>
      <c r="D506" s="50" t="s">
        <v>72</v>
      </c>
      <c r="E506" s="45"/>
      <c r="F506" s="78">
        <v>2.7E8</v>
      </c>
      <c r="G506" s="44" t="str">
        <f t="shared" si="16"/>
        <v>$200'000.000 a $300'000.000</v>
      </c>
      <c r="H506" s="44"/>
      <c r="I506" s="44"/>
      <c r="J506" s="50" t="s">
        <v>183</v>
      </c>
      <c r="K506" s="51" t="s">
        <v>184</v>
      </c>
      <c r="L506" s="50">
        <v>5.0</v>
      </c>
      <c r="M506" s="50"/>
      <c r="N506" s="50">
        <v>3.0</v>
      </c>
      <c r="O506" s="50">
        <v>1.0</v>
      </c>
      <c r="P506" s="50">
        <v>2.0</v>
      </c>
      <c r="Q506" s="113"/>
      <c r="R506" s="79">
        <v>112.0</v>
      </c>
      <c r="S506" s="56"/>
      <c r="T506" s="43" t="s">
        <v>78</v>
      </c>
      <c r="U506" s="56" t="s">
        <v>77</v>
      </c>
      <c r="V506" s="50" t="s">
        <v>79</v>
      </c>
      <c r="W506" s="50"/>
      <c r="X506" s="65">
        <v>2.0</v>
      </c>
      <c r="Y506" s="65" t="s">
        <v>80</v>
      </c>
      <c r="Z506" s="80" t="s">
        <v>81</v>
      </c>
      <c r="AA506" s="59"/>
      <c r="AB506" s="123"/>
      <c r="AC506" s="61"/>
      <c r="AD506" s="62"/>
      <c r="AE506" s="63"/>
      <c r="AF506" s="64" t="s">
        <v>105</v>
      </c>
      <c r="AG506" s="63"/>
      <c r="AH506" s="65" t="s">
        <v>45</v>
      </c>
      <c r="AI506" s="63"/>
      <c r="AJ506" s="64" t="s">
        <v>1834</v>
      </c>
      <c r="AK506" s="50" t="s">
        <v>81</v>
      </c>
      <c r="AL506" s="45"/>
      <c r="AM506" s="52"/>
      <c r="AN506" s="45"/>
      <c r="AO506" s="52"/>
      <c r="AP506" s="67"/>
      <c r="AQ506" s="67"/>
      <c r="AR506" s="67"/>
      <c r="AS506" s="118"/>
      <c r="AT506" s="65">
        <v>0.0</v>
      </c>
      <c r="AU506" s="50">
        <v>0.0</v>
      </c>
      <c r="AV506" s="50">
        <v>0.0</v>
      </c>
      <c r="AW506" s="50" t="s">
        <v>106</v>
      </c>
      <c r="AX506" s="44"/>
      <c r="AY506" s="44"/>
      <c r="AZ506" s="63"/>
      <c r="BA506" s="43" t="s">
        <v>89</v>
      </c>
      <c r="BB506" s="63"/>
      <c r="BC506" s="109"/>
      <c r="BD506" s="70"/>
      <c r="BE506" s="70"/>
      <c r="BF506" s="72"/>
      <c r="BG506" s="73"/>
      <c r="BH506" s="73"/>
      <c r="BI506" s="73"/>
      <c r="BJ506" s="73"/>
      <c r="BK506" s="73"/>
      <c r="BL506" s="73"/>
      <c r="BM506" s="73"/>
      <c r="BN506" s="73"/>
      <c r="BO506" s="73"/>
      <c r="BP506" s="73"/>
      <c r="BQ506" s="73"/>
      <c r="BR506" s="73"/>
      <c r="BS506" s="73"/>
      <c r="BT506" s="73"/>
      <c r="BU506" s="73"/>
      <c r="BV506" s="73"/>
      <c r="BW506" s="74"/>
      <c r="BX506" s="74"/>
      <c r="BY506" s="63"/>
      <c r="BZ506" s="63"/>
    </row>
    <row r="507" ht="15.75" customHeight="1">
      <c r="A507" s="41" t="s">
        <v>3233</v>
      </c>
      <c r="B507" s="50" t="s">
        <v>436</v>
      </c>
      <c r="C507" s="50" t="s">
        <v>70</v>
      </c>
      <c r="D507" s="44" t="s">
        <v>11</v>
      </c>
      <c r="E507" s="45"/>
      <c r="F507" s="47">
        <v>2.7E8</v>
      </c>
      <c r="G507" s="44" t="str">
        <f t="shared" si="16"/>
        <v>$200'000.000 a $300'000.000</v>
      </c>
      <c r="H507" s="44"/>
      <c r="I507" s="44"/>
      <c r="J507" s="50" t="s">
        <v>183</v>
      </c>
      <c r="K507" s="51" t="s">
        <v>184</v>
      </c>
      <c r="L507" s="44">
        <v>4.0</v>
      </c>
      <c r="M507" s="44"/>
      <c r="N507" s="44">
        <v>1.0</v>
      </c>
      <c r="O507" s="50">
        <v>1.0</v>
      </c>
      <c r="P507" s="44">
        <v>1.0</v>
      </c>
      <c r="Q507" s="113">
        <v>81.0</v>
      </c>
      <c r="R507" s="79">
        <v>81.0</v>
      </c>
      <c r="S507" s="56" t="str">
        <f t="shared" ref="S507:S655" si="17">IF(AS507=0," ","Rentabilidad $" &amp; TEXT(AS507,"#,##0"))</f>
        <v> </v>
      </c>
      <c r="T507" s="44" t="s">
        <v>78</v>
      </c>
      <c r="U507" s="57" t="s">
        <v>184</v>
      </c>
      <c r="V507" s="50" t="s">
        <v>79</v>
      </c>
      <c r="W507" s="50"/>
      <c r="X507" s="44">
        <v>0.0</v>
      </c>
      <c r="Y507" s="50" t="s">
        <v>80</v>
      </c>
      <c r="Z507" s="58" t="s">
        <v>81</v>
      </c>
      <c r="AA507" s="59" t="str">
        <f>IF(Rentabilidad=0,"No aplica",TEXT(ROUND(Precio/Rentabilidad/12,0),0) &amp; " años")</f>
        <v>No aplica</v>
      </c>
      <c r="AB507" s="220"/>
      <c r="AC507" s="61"/>
      <c r="AD507" s="62"/>
      <c r="AE507" s="63"/>
      <c r="AF507" s="45" t="s">
        <v>236</v>
      </c>
      <c r="AG507" s="63"/>
      <c r="AH507" s="65" t="s">
        <v>45</v>
      </c>
      <c r="AI507" s="63"/>
      <c r="AJ507" s="64" t="s">
        <v>1834</v>
      </c>
      <c r="AK507" s="44"/>
      <c r="AL507" s="45" t="s">
        <v>2674</v>
      </c>
      <c r="AM507" s="44">
        <v>3.214547673E9</v>
      </c>
      <c r="AN507" s="45"/>
      <c r="AO507" s="44" t="s">
        <v>3078</v>
      </c>
      <c r="AP507" s="67" t="s">
        <v>3234</v>
      </c>
      <c r="AQ507" s="67"/>
      <c r="AR507" s="67"/>
      <c r="AS507" s="68">
        <v>0.0</v>
      </c>
      <c r="AT507" s="44">
        <v>0.0</v>
      </c>
      <c r="AU507" s="52">
        <v>0.0</v>
      </c>
      <c r="AV507" s="52">
        <v>0.0</v>
      </c>
      <c r="AW507" s="52" t="s">
        <v>106</v>
      </c>
      <c r="AX507" s="52">
        <v>0.0</v>
      </c>
      <c r="AY507" s="52" t="s">
        <v>137</v>
      </c>
      <c r="AZ507" s="44">
        <v>9.0</v>
      </c>
      <c r="BA507" s="43" t="s">
        <v>89</v>
      </c>
      <c r="BB507" s="44">
        <v>9.0</v>
      </c>
      <c r="BC507" s="69" t="s">
        <v>3235</v>
      </c>
      <c r="BD507" s="70"/>
      <c r="BE507" s="71"/>
      <c r="BF507" s="130"/>
      <c r="BG507" s="73"/>
      <c r="BH507" s="73"/>
      <c r="BI507" s="73"/>
      <c r="BJ507" s="73"/>
      <c r="BK507" s="73"/>
      <c r="BL507" s="73"/>
      <c r="BM507" s="73"/>
      <c r="BN507" s="73"/>
      <c r="BO507" s="73"/>
      <c r="BP507" s="73"/>
      <c r="BQ507" s="73"/>
      <c r="BR507" s="73"/>
      <c r="BS507" s="73"/>
      <c r="BT507" s="73"/>
      <c r="BU507" s="73"/>
      <c r="BV507" s="73"/>
      <c r="BW507" s="74"/>
      <c r="BX507" s="74"/>
      <c r="BY507" s="63"/>
      <c r="BZ507" s="63"/>
    </row>
    <row r="508" ht="15.75" customHeight="1">
      <c r="A508" s="41" t="s">
        <v>3236</v>
      </c>
      <c r="B508" s="50" t="s">
        <v>3237</v>
      </c>
      <c r="C508" s="50" t="s">
        <v>271</v>
      </c>
      <c r="D508" s="43" t="s">
        <v>131</v>
      </c>
      <c r="E508" s="64"/>
      <c r="F508" s="47">
        <v>2.7E8</v>
      </c>
      <c r="G508" s="44" t="str">
        <f t="shared" si="16"/>
        <v>$200'000.000 a $300'000.000</v>
      </c>
      <c r="H508" s="44"/>
      <c r="I508" s="44"/>
      <c r="J508" s="43" t="s">
        <v>183</v>
      </c>
      <c r="K508" s="56"/>
      <c r="L508" s="52">
        <v>3.0</v>
      </c>
      <c r="M508" s="52"/>
      <c r="N508" s="52">
        <v>3.0</v>
      </c>
      <c r="O508" s="43">
        <v>1.0</v>
      </c>
      <c r="P508" s="52">
        <v>1.0</v>
      </c>
      <c r="Q508" s="54"/>
      <c r="R508" s="55">
        <v>112.0</v>
      </c>
      <c r="S508" s="56" t="str">
        <f t="shared" si="17"/>
        <v>Rentabilidad $1,250,000</v>
      </c>
      <c r="T508" s="52" t="s">
        <v>78</v>
      </c>
      <c r="U508" s="142" t="s">
        <v>184</v>
      </c>
      <c r="V508" s="43" t="s">
        <v>79</v>
      </c>
      <c r="W508" s="43"/>
      <c r="X508" s="52">
        <v>0.0</v>
      </c>
      <c r="Y508" s="43" t="s">
        <v>80</v>
      </c>
      <c r="Z508" s="80" t="s">
        <v>81</v>
      </c>
      <c r="AA508" s="59" t="str">
        <f>IF(Rentabilidad=0,"No aplica",TEXT(ROUND(Precio/Rentabilidad/12,0),0) &amp; " años")</f>
        <v>18 años</v>
      </c>
      <c r="AB508" s="195"/>
      <c r="AC508" s="61"/>
      <c r="AD508" s="62"/>
      <c r="AE508" s="63"/>
      <c r="AF508" s="64" t="s">
        <v>236</v>
      </c>
      <c r="AG508" s="63"/>
      <c r="AH508" s="65" t="s">
        <v>45</v>
      </c>
      <c r="AI508" s="63"/>
      <c r="AJ508" s="64" t="s">
        <v>1834</v>
      </c>
      <c r="AK508" s="44"/>
      <c r="AL508" s="45" t="s">
        <v>86</v>
      </c>
      <c r="AM508" s="52">
        <v>3.156307509E9</v>
      </c>
      <c r="AN508" s="45"/>
      <c r="AO508" s="52" t="s">
        <v>3238</v>
      </c>
      <c r="AP508" s="67" t="s">
        <v>3239</v>
      </c>
      <c r="AQ508" s="67"/>
      <c r="AR508" s="67"/>
      <c r="AS508" s="135">
        <v>1250000.0</v>
      </c>
      <c r="AT508" s="44">
        <v>0.0</v>
      </c>
      <c r="AU508" s="52">
        <v>0.0</v>
      </c>
      <c r="AV508" s="52">
        <v>0.0</v>
      </c>
      <c r="AW508" s="43" t="s">
        <v>88</v>
      </c>
      <c r="AX508" s="52">
        <v>0.0</v>
      </c>
      <c r="AY508" s="52">
        <v>0.0</v>
      </c>
      <c r="AZ508" s="52">
        <v>0.0</v>
      </c>
      <c r="BA508" s="43" t="s">
        <v>89</v>
      </c>
      <c r="BB508" s="52">
        <v>0.0</v>
      </c>
      <c r="BC508" s="170"/>
      <c r="BD508" s="128"/>
      <c r="BE508" s="129"/>
      <c r="BF508" s="130"/>
      <c r="BG508" s="73"/>
      <c r="BH508" s="73"/>
      <c r="BI508" s="73"/>
      <c r="BJ508" s="73"/>
      <c r="BK508" s="73"/>
      <c r="BL508" s="73"/>
      <c r="BM508" s="73"/>
      <c r="BN508" s="73"/>
      <c r="BO508" s="73"/>
      <c r="BP508" s="73"/>
      <c r="BQ508" s="73"/>
      <c r="BR508" s="73"/>
      <c r="BS508" s="73"/>
      <c r="BT508" s="73"/>
      <c r="BU508" s="73"/>
      <c r="BV508" s="73"/>
      <c r="BW508" s="74"/>
      <c r="BX508" s="74"/>
      <c r="BY508" s="63"/>
      <c r="BZ508" s="63"/>
    </row>
    <row r="509" ht="15.75" customHeight="1">
      <c r="A509" s="120" t="s">
        <v>3240</v>
      </c>
      <c r="B509" s="50" t="s">
        <v>3241</v>
      </c>
      <c r="C509" s="50" t="s">
        <v>271</v>
      </c>
      <c r="D509" s="52" t="s">
        <v>430</v>
      </c>
      <c r="E509" s="45"/>
      <c r="F509" s="47">
        <v>2.7E8</v>
      </c>
      <c r="G509" s="44" t="str">
        <f t="shared" si="16"/>
        <v>$200'000.000 a $300'000.000</v>
      </c>
      <c r="H509" s="44"/>
      <c r="I509" s="44"/>
      <c r="J509" s="43" t="s">
        <v>183</v>
      </c>
      <c r="K509" s="56" t="s">
        <v>184</v>
      </c>
      <c r="L509" s="52">
        <v>5.0</v>
      </c>
      <c r="M509" s="52"/>
      <c r="N509" s="52">
        <v>3.0</v>
      </c>
      <c r="O509" s="43">
        <v>1.0</v>
      </c>
      <c r="P509" s="52">
        <v>2.0</v>
      </c>
      <c r="Q509" s="54"/>
      <c r="R509" s="55">
        <v>120.0</v>
      </c>
      <c r="S509" s="56" t="str">
        <f t="shared" si="17"/>
        <v>Rentabilidad $1,300,000</v>
      </c>
      <c r="T509" s="52" t="s">
        <v>78</v>
      </c>
      <c r="U509" s="142" t="s">
        <v>77</v>
      </c>
      <c r="V509" s="43" t="s">
        <v>118</v>
      </c>
      <c r="W509" s="43"/>
      <c r="X509" s="52">
        <v>4.0</v>
      </c>
      <c r="Y509" s="43" t="s">
        <v>80</v>
      </c>
      <c r="Z509" s="80" t="s">
        <v>81</v>
      </c>
      <c r="AA509" s="59" t="str">
        <f>IF(Rentabilidad=0,"No aplica",TEXT(ROUND(Precio/Rentabilidad/12,0),0) &amp; " años")</f>
        <v>17 años</v>
      </c>
      <c r="AB509" s="60"/>
      <c r="AC509" s="61"/>
      <c r="AD509" s="62"/>
      <c r="AE509" s="63"/>
      <c r="AF509" s="45" t="s">
        <v>105</v>
      </c>
      <c r="AG509" s="63"/>
      <c r="AH509" s="65" t="s">
        <v>45</v>
      </c>
      <c r="AI509" s="63"/>
      <c r="AJ509" s="64" t="s">
        <v>1834</v>
      </c>
      <c r="AK509" s="44"/>
      <c r="AL509" s="45" t="s">
        <v>2661</v>
      </c>
      <c r="AM509" s="52">
        <v>3.112652151E9</v>
      </c>
      <c r="AN509" s="45"/>
      <c r="AO509" s="52" t="s">
        <v>3242</v>
      </c>
      <c r="AP509" s="67"/>
      <c r="AQ509" s="67"/>
      <c r="AR509" s="67"/>
      <c r="AS509" s="135">
        <v>1300000.0</v>
      </c>
      <c r="AT509" s="44">
        <v>0.0</v>
      </c>
      <c r="AU509" s="52">
        <v>0.0</v>
      </c>
      <c r="AV509" s="52">
        <v>0.0</v>
      </c>
      <c r="AW509" s="43" t="s">
        <v>88</v>
      </c>
      <c r="AX509" s="52">
        <v>0.0</v>
      </c>
      <c r="AY509" s="52">
        <v>0.0</v>
      </c>
      <c r="AZ509" s="52">
        <v>0.0</v>
      </c>
      <c r="BA509" s="43" t="s">
        <v>89</v>
      </c>
      <c r="BB509" s="52">
        <v>0.0</v>
      </c>
      <c r="BC509" s="69" t="s">
        <v>1092</v>
      </c>
      <c r="BD509" s="70"/>
      <c r="BE509" s="71"/>
      <c r="BF509" s="72"/>
      <c r="BG509" s="73"/>
      <c r="BH509" s="73"/>
      <c r="BI509" s="73"/>
      <c r="BJ509" s="73"/>
      <c r="BK509" s="73"/>
      <c r="BL509" s="73"/>
      <c r="BM509" s="73"/>
      <c r="BN509" s="73"/>
      <c r="BO509" s="73"/>
      <c r="BP509" s="73"/>
      <c r="BQ509" s="73"/>
      <c r="BR509" s="73"/>
      <c r="BS509" s="73"/>
      <c r="BT509" s="73"/>
      <c r="BU509" s="73"/>
      <c r="BV509" s="73"/>
      <c r="BW509" s="74"/>
      <c r="BX509" s="74"/>
      <c r="BY509" s="63"/>
      <c r="BZ509" s="63"/>
    </row>
    <row r="510" ht="15.75" customHeight="1">
      <c r="A510" s="120" t="s">
        <v>3243</v>
      </c>
      <c r="B510" s="43" t="s">
        <v>2617</v>
      </c>
      <c r="C510" s="43" t="s">
        <v>70</v>
      </c>
      <c r="D510" s="44" t="s">
        <v>2618</v>
      </c>
      <c r="E510" s="77" t="s">
        <v>376</v>
      </c>
      <c r="F510" s="47">
        <v>2.7E8</v>
      </c>
      <c r="G510" s="44" t="str">
        <f t="shared" si="16"/>
        <v>$200'000.000 a $300'000.000</v>
      </c>
      <c r="H510" s="44"/>
      <c r="I510" s="44"/>
      <c r="J510" s="50" t="s">
        <v>183</v>
      </c>
      <c r="K510" s="57"/>
      <c r="L510" s="52">
        <v>4.0</v>
      </c>
      <c r="M510" s="52"/>
      <c r="N510" s="52">
        <v>3.0</v>
      </c>
      <c r="O510" s="43">
        <v>1.0</v>
      </c>
      <c r="P510" s="52">
        <v>2.0</v>
      </c>
      <c r="Q510" s="54"/>
      <c r="R510" s="55">
        <v>117.0</v>
      </c>
      <c r="S510" s="56" t="str">
        <f t="shared" si="17"/>
        <v>Rentabilidad $1,000,000</v>
      </c>
      <c r="T510" s="52" t="s">
        <v>78</v>
      </c>
      <c r="U510" s="142" t="s">
        <v>77</v>
      </c>
      <c r="V510" s="43" t="s">
        <v>79</v>
      </c>
      <c r="W510" s="43"/>
      <c r="X510" s="52">
        <v>4.0</v>
      </c>
      <c r="Y510" s="43" t="s">
        <v>80</v>
      </c>
      <c r="Z510" s="58" t="s">
        <v>81</v>
      </c>
      <c r="AA510" s="59" t="str">
        <f>IF(Rentabilidad=0,"No aplica",TEXT(ROUND(Precio/Rentabilidad/12,0),0) &amp; " años")</f>
        <v>23 años</v>
      </c>
      <c r="AB510" s="60"/>
      <c r="AC510" s="61"/>
      <c r="AD510" s="62"/>
      <c r="AE510" s="63"/>
      <c r="AF510" s="64" t="s">
        <v>236</v>
      </c>
      <c r="AG510" s="63"/>
      <c r="AH510" s="63"/>
      <c r="AI510" s="63"/>
      <c r="AJ510" s="64" t="s">
        <v>1834</v>
      </c>
      <c r="AK510" s="44"/>
      <c r="AL510" s="45" t="s">
        <v>86</v>
      </c>
      <c r="AM510" s="52">
        <v>3.164436667E9</v>
      </c>
      <c r="AN510" s="45">
        <v>3.164420374E9</v>
      </c>
      <c r="AO510" s="52" t="s">
        <v>3244</v>
      </c>
      <c r="AP510" s="67" t="s">
        <v>3245</v>
      </c>
      <c r="AQ510" s="67"/>
      <c r="AR510" s="67"/>
      <c r="AS510" s="135">
        <v>1000000.0</v>
      </c>
      <c r="AT510" s="44">
        <v>0.0</v>
      </c>
      <c r="AU510" s="52">
        <v>0.0</v>
      </c>
      <c r="AV510" s="52">
        <v>0.0</v>
      </c>
      <c r="AW510" s="43" t="s">
        <v>88</v>
      </c>
      <c r="AX510" s="52">
        <v>0.0</v>
      </c>
      <c r="AY510" s="52">
        <v>0.0</v>
      </c>
      <c r="AZ510" s="52">
        <v>0.0</v>
      </c>
      <c r="BA510" s="43" t="s">
        <v>89</v>
      </c>
      <c r="BB510" s="52">
        <v>0.0</v>
      </c>
      <c r="BC510" s="95" t="s">
        <v>3246</v>
      </c>
      <c r="BD510" s="71"/>
      <c r="BE510" s="71"/>
      <c r="BF510" s="72"/>
      <c r="BG510" s="74"/>
      <c r="BH510" s="74"/>
      <c r="BI510" s="74"/>
      <c r="BJ510" s="74"/>
      <c r="BK510" s="74"/>
      <c r="BL510" s="74"/>
      <c r="BM510" s="74"/>
      <c r="BN510" s="74"/>
      <c r="BO510" s="74"/>
      <c r="BP510" s="74"/>
      <c r="BQ510" s="74"/>
      <c r="BR510" s="74"/>
      <c r="BS510" s="74"/>
      <c r="BT510" s="74"/>
      <c r="BU510" s="74"/>
      <c r="BV510" s="74"/>
      <c r="BW510" s="74"/>
      <c r="BX510" s="74"/>
      <c r="BY510" s="63"/>
      <c r="BZ510" s="63"/>
    </row>
    <row r="511" ht="15.75" customHeight="1">
      <c r="A511" s="41" t="s">
        <v>3247</v>
      </c>
      <c r="B511" s="50" t="s">
        <v>2376</v>
      </c>
      <c r="C511" s="50" t="s">
        <v>70</v>
      </c>
      <c r="D511" s="44" t="s">
        <v>2377</v>
      </c>
      <c r="E511" s="45"/>
      <c r="F511" s="47">
        <v>2.6E8</v>
      </c>
      <c r="G511" s="44" t="str">
        <f t="shared" si="16"/>
        <v>$200'000.000 a $300'000.000</v>
      </c>
      <c r="H511" s="44"/>
      <c r="I511" s="44"/>
      <c r="J511" s="50" t="s">
        <v>76</v>
      </c>
      <c r="K511" s="57"/>
      <c r="L511" s="44">
        <v>4.0</v>
      </c>
      <c r="M511" s="44"/>
      <c r="N511" s="44">
        <v>2.0</v>
      </c>
      <c r="O511" s="50">
        <v>2.0</v>
      </c>
      <c r="P511" s="44">
        <v>2.0</v>
      </c>
      <c r="Q511" s="113">
        <v>150.0</v>
      </c>
      <c r="R511" s="79">
        <v>112.8</v>
      </c>
      <c r="S511" s="56" t="str">
        <f t="shared" si="17"/>
        <v>Rentabilidad $900,000</v>
      </c>
      <c r="T511" s="44" t="s">
        <v>78</v>
      </c>
      <c r="U511" s="57" t="s">
        <v>184</v>
      </c>
      <c r="V511" s="50" t="s">
        <v>79</v>
      </c>
      <c r="W511" s="50"/>
      <c r="X511" s="44">
        <v>1.0</v>
      </c>
      <c r="Y511" s="44"/>
      <c r="Z511" s="58" t="s">
        <v>81</v>
      </c>
      <c r="AA511" s="59" t="str">
        <f>IF(Rentabilidad=0,"No aplica",TEXT(ROUND(Precio/Rentabilidad/12,0),0) &amp; " años")</f>
        <v>24 años</v>
      </c>
      <c r="AB511" s="115" t="s">
        <v>3248</v>
      </c>
      <c r="AC511" s="61"/>
      <c r="AD511" s="62"/>
      <c r="AE511" s="63"/>
      <c r="AF511" s="64" t="s">
        <v>236</v>
      </c>
      <c r="AG511" s="63"/>
      <c r="AH511" s="63"/>
      <c r="AI511" s="63"/>
      <c r="AJ511" s="64" t="s">
        <v>1834</v>
      </c>
      <c r="AK511" s="44"/>
      <c r="AL511" s="45" t="s">
        <v>109</v>
      </c>
      <c r="AM511" s="52">
        <v>3.203422918E9</v>
      </c>
      <c r="AN511" s="45"/>
      <c r="AO511" s="52" t="s">
        <v>3249</v>
      </c>
      <c r="AP511" s="67" t="s">
        <v>3250</v>
      </c>
      <c r="AQ511" s="67"/>
      <c r="AR511" s="67"/>
      <c r="AS511" s="68">
        <v>900000.0</v>
      </c>
      <c r="AT511" s="44">
        <v>0.0</v>
      </c>
      <c r="AU511" s="52">
        <v>0.0</v>
      </c>
      <c r="AV511" s="52">
        <v>0.0</v>
      </c>
      <c r="AW511" s="43" t="s">
        <v>88</v>
      </c>
      <c r="AX511" s="52">
        <v>0.0</v>
      </c>
      <c r="AY511" s="52">
        <v>0.0</v>
      </c>
      <c r="AZ511" s="44">
        <v>7.6</v>
      </c>
      <c r="BA511" s="43" t="s">
        <v>89</v>
      </c>
      <c r="BB511" s="44">
        <v>28.0</v>
      </c>
      <c r="BC511" s="69" t="s">
        <v>769</v>
      </c>
      <c r="BD511" s="70"/>
      <c r="BE511" s="71"/>
      <c r="BF511" s="72" t="s">
        <v>3251</v>
      </c>
      <c r="BG511" s="73"/>
      <c r="BH511" s="73"/>
      <c r="BI511" s="73"/>
      <c r="BJ511" s="73"/>
      <c r="BK511" s="73"/>
      <c r="BL511" s="73"/>
      <c r="BM511" s="73"/>
      <c r="BN511" s="73"/>
      <c r="BO511" s="73"/>
      <c r="BP511" s="73"/>
      <c r="BQ511" s="73"/>
      <c r="BR511" s="73"/>
      <c r="BS511" s="73"/>
      <c r="BT511" s="73"/>
      <c r="BU511" s="73"/>
      <c r="BV511" s="73"/>
      <c r="BW511" s="74"/>
      <c r="BX511" s="74"/>
      <c r="BY511" s="63"/>
      <c r="BZ511" s="63"/>
    </row>
    <row r="512" ht="15.75" customHeight="1">
      <c r="A512" s="41" t="s">
        <v>3252</v>
      </c>
      <c r="B512" s="43" t="s">
        <v>395</v>
      </c>
      <c r="C512" s="43" t="s">
        <v>70</v>
      </c>
      <c r="D512" s="50" t="s">
        <v>72</v>
      </c>
      <c r="E512" s="64"/>
      <c r="F512" s="47">
        <v>2.6E8</v>
      </c>
      <c r="G512" s="44" t="str">
        <f t="shared" si="16"/>
        <v>$200'000.000 a $300'000.000</v>
      </c>
      <c r="H512" s="44"/>
      <c r="I512" s="44"/>
      <c r="J512" s="43" t="s">
        <v>183</v>
      </c>
      <c r="K512" s="51" t="s">
        <v>184</v>
      </c>
      <c r="L512" s="52">
        <v>5.0</v>
      </c>
      <c r="M512" s="52"/>
      <c r="N512" s="52">
        <v>3.0</v>
      </c>
      <c r="O512" s="43">
        <v>1.0</v>
      </c>
      <c r="P512" s="52">
        <v>2.0</v>
      </c>
      <c r="Q512" s="54">
        <v>130.0</v>
      </c>
      <c r="R512" s="55">
        <v>72.0</v>
      </c>
      <c r="S512" s="56" t="str">
        <f t="shared" si="17"/>
        <v> </v>
      </c>
      <c r="T512" s="52" t="s">
        <v>78</v>
      </c>
      <c r="U512" s="142" t="s">
        <v>77</v>
      </c>
      <c r="V512" s="43" t="s">
        <v>79</v>
      </c>
      <c r="W512" s="43"/>
      <c r="X512" s="52">
        <v>2.0</v>
      </c>
      <c r="Y512" s="43" t="s">
        <v>80</v>
      </c>
      <c r="Z512" s="58" t="s">
        <v>81</v>
      </c>
      <c r="AA512" s="59" t="str">
        <f>IF(Rentabilidad=0,"No aplica",TEXT(ROUND(Precio/Rentabilidad/12,0),0) &amp; " años")</f>
        <v>No aplica</v>
      </c>
      <c r="AB512" s="190"/>
      <c r="AC512" s="61"/>
      <c r="AD512" s="62"/>
      <c r="AE512" s="63"/>
      <c r="AF512" s="45" t="s">
        <v>105</v>
      </c>
      <c r="AG512" s="63"/>
      <c r="AH512" s="65" t="s">
        <v>45</v>
      </c>
      <c r="AI512" s="63"/>
      <c r="AJ512" s="64" t="s">
        <v>1834</v>
      </c>
      <c r="AK512" s="44"/>
      <c r="AL512" s="45" t="s">
        <v>3006</v>
      </c>
      <c r="AM512" s="52">
        <v>3.016746634E9</v>
      </c>
      <c r="AN512" s="45">
        <v>3.017907403E9</v>
      </c>
      <c r="AO512" s="52" t="s">
        <v>3253</v>
      </c>
      <c r="AP512" s="67" t="s">
        <v>3254</v>
      </c>
      <c r="AQ512" s="67"/>
      <c r="AR512" s="67"/>
      <c r="AS512" s="135">
        <v>0.0</v>
      </c>
      <c r="AT512" s="52">
        <v>0.0</v>
      </c>
      <c r="AU512" s="52">
        <v>0.0</v>
      </c>
      <c r="AV512" s="52">
        <v>0.0</v>
      </c>
      <c r="AW512" s="52" t="s">
        <v>88</v>
      </c>
      <c r="AX512" s="52">
        <v>0.0</v>
      </c>
      <c r="AY512" s="52" t="s">
        <v>137</v>
      </c>
      <c r="AZ512" s="52">
        <v>6.0</v>
      </c>
      <c r="BA512" s="43" t="s">
        <v>89</v>
      </c>
      <c r="BB512" s="52">
        <v>12.0</v>
      </c>
      <c r="BC512" s="109"/>
      <c r="BD512" s="121"/>
      <c r="BE512" s="129"/>
      <c r="BF512" s="72"/>
      <c r="BG512" s="73"/>
      <c r="BH512" s="73"/>
      <c r="BI512" s="73"/>
      <c r="BJ512" s="73"/>
      <c r="BK512" s="73"/>
      <c r="BL512" s="73"/>
      <c r="BM512" s="73"/>
      <c r="BN512" s="73"/>
      <c r="BO512" s="73"/>
      <c r="BP512" s="73"/>
      <c r="BQ512" s="73"/>
      <c r="BR512" s="73"/>
      <c r="BS512" s="73"/>
      <c r="BT512" s="73"/>
      <c r="BU512" s="73"/>
      <c r="BV512" s="73"/>
      <c r="BW512" s="74"/>
      <c r="BX512" s="74"/>
      <c r="BY512" s="63"/>
      <c r="BZ512" s="63"/>
    </row>
    <row r="513" ht="15.75" customHeight="1">
      <c r="A513" s="120" t="s">
        <v>3255</v>
      </c>
      <c r="B513" s="43" t="s">
        <v>3256</v>
      </c>
      <c r="C513" s="43" t="s">
        <v>70</v>
      </c>
      <c r="D513" s="52" t="s">
        <v>1216</v>
      </c>
      <c r="E513" s="45"/>
      <c r="F513" s="47">
        <v>2.6E8</v>
      </c>
      <c r="G513" s="44" t="str">
        <f t="shared" si="16"/>
        <v>$200'000.000 a $300'000.000</v>
      </c>
      <c r="H513" s="44"/>
      <c r="I513" s="44"/>
      <c r="J513" s="43" t="s">
        <v>76</v>
      </c>
      <c r="K513" s="51" t="s">
        <v>77</v>
      </c>
      <c r="L513" s="52">
        <v>4.0</v>
      </c>
      <c r="M513" s="52"/>
      <c r="N513" s="52">
        <v>3.0</v>
      </c>
      <c r="O513" s="43">
        <v>1.0</v>
      </c>
      <c r="P513" s="52">
        <v>0.0</v>
      </c>
      <c r="Q513" s="54"/>
      <c r="R513" s="55">
        <v>140.0</v>
      </c>
      <c r="S513" s="56" t="str">
        <f t="shared" si="17"/>
        <v> </v>
      </c>
      <c r="T513" s="44" t="s">
        <v>78</v>
      </c>
      <c r="U513" s="142" t="s">
        <v>184</v>
      </c>
      <c r="V513" s="43" t="s">
        <v>79</v>
      </c>
      <c r="W513" s="43"/>
      <c r="X513" s="52">
        <v>0.0</v>
      </c>
      <c r="Y513" s="43" t="s">
        <v>80</v>
      </c>
      <c r="Z513" s="58" t="s">
        <v>81</v>
      </c>
      <c r="AA513" s="59" t="str">
        <f>IF(Rentabilidad=0,"No aplica",TEXT(ROUND(Precio/Rentabilidad/12,0),0) &amp; " años")</f>
        <v>No aplica</v>
      </c>
      <c r="AB513" s="60"/>
      <c r="AC513" s="61"/>
      <c r="AD513" s="62"/>
      <c r="AE513" s="63"/>
      <c r="AF513" s="64" t="s">
        <v>84</v>
      </c>
      <c r="AG513" s="63"/>
      <c r="AH513" s="65" t="s">
        <v>45</v>
      </c>
      <c r="AI513" s="63"/>
      <c r="AJ513" s="64" t="s">
        <v>1834</v>
      </c>
      <c r="AK513" s="44"/>
      <c r="AL513" s="45" t="s">
        <v>3006</v>
      </c>
      <c r="AM513" s="52">
        <v>0.0</v>
      </c>
      <c r="AN513" s="45"/>
      <c r="AO513" s="52"/>
      <c r="AP513" s="67"/>
      <c r="AQ513" s="67"/>
      <c r="AR513" s="67"/>
      <c r="AS513" s="135">
        <v>0.0</v>
      </c>
      <c r="AT513" s="52">
        <v>0.0</v>
      </c>
      <c r="AU513" s="52">
        <v>0.0</v>
      </c>
      <c r="AV513" s="52">
        <v>0.0</v>
      </c>
      <c r="AW513" s="43" t="s">
        <v>88</v>
      </c>
      <c r="AX513" s="44">
        <v>0.0</v>
      </c>
      <c r="AY513" s="44">
        <v>0.0</v>
      </c>
      <c r="AZ513" s="52">
        <v>0.0</v>
      </c>
      <c r="BA513" s="43" t="s">
        <v>89</v>
      </c>
      <c r="BB513" s="52">
        <v>0.0</v>
      </c>
      <c r="BC513" s="95"/>
      <c r="BD513" s="71"/>
      <c r="BE513" s="71"/>
      <c r="BF513" s="72"/>
      <c r="BG513" s="73"/>
      <c r="BH513" s="73"/>
      <c r="BI513" s="73"/>
      <c r="BJ513" s="73"/>
      <c r="BK513" s="73"/>
      <c r="BL513" s="73"/>
      <c r="BM513" s="73"/>
      <c r="BN513" s="73"/>
      <c r="BO513" s="73"/>
      <c r="BP513" s="73"/>
      <c r="BQ513" s="73"/>
      <c r="BR513" s="73"/>
      <c r="BS513" s="73"/>
      <c r="BT513" s="73"/>
      <c r="BU513" s="73"/>
      <c r="BV513" s="73"/>
      <c r="BW513" s="74"/>
      <c r="BX513" s="74"/>
      <c r="BY513" s="63"/>
      <c r="BZ513" s="63"/>
    </row>
    <row r="514" ht="15.75" customHeight="1">
      <c r="A514" s="120" t="s">
        <v>3257</v>
      </c>
      <c r="B514" s="43" t="s">
        <v>2651</v>
      </c>
      <c r="C514" s="43" t="s">
        <v>1228</v>
      </c>
      <c r="D514" s="116" t="s">
        <v>155</v>
      </c>
      <c r="E514" s="45"/>
      <c r="F514" s="47">
        <v>2.6E8</v>
      </c>
      <c r="G514" s="44" t="str">
        <f t="shared" si="16"/>
        <v>$200'000.000 a $300'000.000</v>
      </c>
      <c r="H514" s="44"/>
      <c r="I514" s="44"/>
      <c r="J514" s="43" t="s">
        <v>76</v>
      </c>
      <c r="K514" s="51" t="s">
        <v>77</v>
      </c>
      <c r="L514" s="52">
        <v>0.0</v>
      </c>
      <c r="M514" s="52"/>
      <c r="N514" s="52">
        <v>0.0</v>
      </c>
      <c r="O514" s="43">
        <v>0.0</v>
      </c>
      <c r="P514" s="43">
        <v>0.0</v>
      </c>
      <c r="Q514" s="54"/>
      <c r="R514" s="55">
        <v>260.0</v>
      </c>
      <c r="S514" s="56" t="str">
        <f t="shared" si="17"/>
        <v> </v>
      </c>
      <c r="T514" s="52" t="s">
        <v>78</v>
      </c>
      <c r="U514" s="142" t="s">
        <v>184</v>
      </c>
      <c r="V514" s="43" t="s">
        <v>79</v>
      </c>
      <c r="W514" s="43"/>
      <c r="X514" s="52">
        <v>0.0</v>
      </c>
      <c r="Y514" s="43" t="s">
        <v>80</v>
      </c>
      <c r="Z514" s="80" t="s">
        <v>81</v>
      </c>
      <c r="AA514" s="59" t="str">
        <f>IF(Rentabilidad=0,"No aplica",TEXT(ROUND(Precio/Rentabilidad/12,0),0) &amp; " años")</f>
        <v>No aplica</v>
      </c>
      <c r="AB514" s="60"/>
      <c r="AC514" s="61"/>
      <c r="AD514" s="62"/>
      <c r="AE514" s="63"/>
      <c r="AF514" s="45" t="s">
        <v>2666</v>
      </c>
      <c r="AG514" s="63"/>
      <c r="AH514" s="65" t="s">
        <v>45</v>
      </c>
      <c r="AI514" s="63"/>
      <c r="AJ514" s="64" t="s">
        <v>1834</v>
      </c>
      <c r="AK514" s="44"/>
      <c r="AL514" s="45" t="s">
        <v>2656</v>
      </c>
      <c r="AM514" s="52">
        <v>3.178535983E9</v>
      </c>
      <c r="AN514" s="45"/>
      <c r="AO514" s="52" t="s">
        <v>3258</v>
      </c>
      <c r="AP514" s="67" t="s">
        <v>3259</v>
      </c>
      <c r="AQ514" s="67"/>
      <c r="AR514" s="67"/>
      <c r="AS514" s="94">
        <v>0.0</v>
      </c>
      <c r="AT514" s="63">
        <v>0.0</v>
      </c>
      <c r="AU514" s="52">
        <v>0.0</v>
      </c>
      <c r="AV514" s="52">
        <v>0.0</v>
      </c>
      <c r="AW514" s="43" t="s">
        <v>88</v>
      </c>
      <c r="AX514" s="52">
        <v>0.0</v>
      </c>
      <c r="AY514" s="52">
        <v>0.0</v>
      </c>
      <c r="AZ514" s="52">
        <v>13.0</v>
      </c>
      <c r="BA514" s="43" t="s">
        <v>89</v>
      </c>
      <c r="BB514" s="52">
        <v>20.0</v>
      </c>
      <c r="BC514" s="109"/>
      <c r="BD514" s="70"/>
      <c r="BE514" s="71"/>
      <c r="BF514" s="72"/>
      <c r="BG514" s="73"/>
      <c r="BH514" s="73"/>
      <c r="BI514" s="73"/>
      <c r="BJ514" s="73"/>
      <c r="BK514" s="73"/>
      <c r="BL514" s="73"/>
      <c r="BM514" s="73"/>
      <c r="BN514" s="73"/>
      <c r="BO514" s="73"/>
      <c r="BP514" s="73"/>
      <c r="BQ514" s="73"/>
      <c r="BR514" s="73"/>
      <c r="BS514" s="73"/>
      <c r="BT514" s="73"/>
      <c r="BU514" s="73"/>
      <c r="BV514" s="73"/>
      <c r="BW514" s="74"/>
      <c r="BX514" s="74"/>
      <c r="BY514" s="63"/>
      <c r="BZ514" s="63"/>
    </row>
    <row r="515" ht="15.75" customHeight="1">
      <c r="A515" s="120" t="s">
        <v>3260</v>
      </c>
      <c r="B515" s="43" t="s">
        <v>3261</v>
      </c>
      <c r="C515" s="43" t="s">
        <v>70</v>
      </c>
      <c r="D515" s="44" t="s">
        <v>2840</v>
      </c>
      <c r="E515" s="77" t="s">
        <v>376</v>
      </c>
      <c r="F515" s="47">
        <v>2.6E8</v>
      </c>
      <c r="G515" s="44" t="str">
        <f t="shared" si="16"/>
        <v>$200'000.000 a $300'000.000</v>
      </c>
      <c r="H515" s="44"/>
      <c r="I515" s="44"/>
      <c r="J515" s="50" t="s">
        <v>183</v>
      </c>
      <c r="K515" s="57"/>
      <c r="L515" s="52">
        <v>4.0</v>
      </c>
      <c r="M515" s="52"/>
      <c r="N515" s="52">
        <v>2.0</v>
      </c>
      <c r="O515" s="43">
        <v>1.0</v>
      </c>
      <c r="P515" s="52">
        <v>2.0</v>
      </c>
      <c r="Q515" s="54"/>
      <c r="R515" s="55">
        <v>112.0</v>
      </c>
      <c r="S515" s="56" t="str">
        <f t="shared" si="17"/>
        <v>Rentabilidad $750,000</v>
      </c>
      <c r="T515" s="52" t="s">
        <v>78</v>
      </c>
      <c r="U515" s="142" t="s">
        <v>184</v>
      </c>
      <c r="V515" s="43" t="s">
        <v>79</v>
      </c>
      <c r="W515" s="43"/>
      <c r="X515" s="52">
        <v>4.0</v>
      </c>
      <c r="Y515" s="43" t="s">
        <v>80</v>
      </c>
      <c r="Z515" s="58" t="s">
        <v>81</v>
      </c>
      <c r="AA515" s="59" t="str">
        <f>IF(Rentabilidad=0,"No aplica",TEXT(ROUND(Precio/Rentabilidad/12,0),0) &amp; " años")</f>
        <v>29 años</v>
      </c>
      <c r="AB515" s="60"/>
      <c r="AC515" s="61"/>
      <c r="AD515" s="62"/>
      <c r="AE515" s="63"/>
      <c r="AF515" s="45" t="s">
        <v>105</v>
      </c>
      <c r="AG515" s="63"/>
      <c r="AH515" s="63"/>
      <c r="AI515" s="63"/>
      <c r="AJ515" s="64" t="s">
        <v>1834</v>
      </c>
      <c r="AK515" s="44"/>
      <c r="AL515" s="45" t="s">
        <v>86</v>
      </c>
      <c r="AM515" s="52">
        <v>3.156774048E9</v>
      </c>
      <c r="AN515" s="45" t="s">
        <v>3262</v>
      </c>
      <c r="AO515" s="93"/>
      <c r="AP515" s="67" t="s">
        <v>3263</v>
      </c>
      <c r="AQ515" s="67"/>
      <c r="AR515" s="67"/>
      <c r="AS515" s="135">
        <v>750000.0</v>
      </c>
      <c r="AT515" s="44">
        <v>0.0</v>
      </c>
      <c r="AU515" s="52">
        <v>0.0</v>
      </c>
      <c r="AV515" s="52">
        <v>0.0</v>
      </c>
      <c r="AW515" s="43" t="s">
        <v>88</v>
      </c>
      <c r="AX515" s="52">
        <v>0.0</v>
      </c>
      <c r="AY515" s="52">
        <v>0.0</v>
      </c>
      <c r="AZ515" s="52">
        <v>0.0</v>
      </c>
      <c r="BA515" s="43" t="s">
        <v>89</v>
      </c>
      <c r="BB515" s="52">
        <v>0.0</v>
      </c>
      <c r="BC515" s="69" t="s">
        <v>3264</v>
      </c>
      <c r="BD515" s="70"/>
      <c r="BE515" s="71"/>
      <c r="BF515" s="72"/>
      <c r="BG515" s="73"/>
      <c r="BH515" s="73"/>
      <c r="BI515" s="73"/>
      <c r="BJ515" s="73"/>
      <c r="BK515" s="73"/>
      <c r="BL515" s="73"/>
      <c r="BM515" s="73"/>
      <c r="BN515" s="73"/>
      <c r="BO515" s="73"/>
      <c r="BP515" s="73"/>
      <c r="BQ515" s="73"/>
      <c r="BR515" s="73"/>
      <c r="BS515" s="73"/>
      <c r="BT515" s="73"/>
      <c r="BU515" s="73"/>
      <c r="BV515" s="73"/>
      <c r="BW515" s="74"/>
      <c r="BX515" s="74"/>
      <c r="BY515" s="63"/>
      <c r="BZ515" s="63"/>
    </row>
    <row r="516" ht="15.75" customHeight="1">
      <c r="A516" s="41" t="s">
        <v>3265</v>
      </c>
      <c r="B516" s="50" t="s">
        <v>2742</v>
      </c>
      <c r="C516" s="50" t="s">
        <v>271</v>
      </c>
      <c r="D516" s="44" t="s">
        <v>389</v>
      </c>
      <c r="E516" s="77" t="s">
        <v>376</v>
      </c>
      <c r="F516" s="47">
        <v>2.6E8</v>
      </c>
      <c r="G516" s="44" t="str">
        <f t="shared" si="16"/>
        <v>$200'000.000 a $300'000.000</v>
      </c>
      <c r="H516" s="44"/>
      <c r="I516" s="44"/>
      <c r="J516" s="50" t="s">
        <v>76</v>
      </c>
      <c r="K516" s="56" t="s">
        <v>77</v>
      </c>
      <c r="L516" s="44">
        <v>3.0</v>
      </c>
      <c r="M516" s="44"/>
      <c r="N516" s="44">
        <v>2.0</v>
      </c>
      <c r="O516" s="50">
        <v>1.0</v>
      </c>
      <c r="P516" s="44">
        <v>1.0</v>
      </c>
      <c r="Q516" s="54">
        <v>114.0</v>
      </c>
      <c r="R516" s="55">
        <v>120.0</v>
      </c>
      <c r="S516" s="56" t="str">
        <f t="shared" si="17"/>
        <v>Rentabilidad $1,100,000</v>
      </c>
      <c r="T516" s="52" t="s">
        <v>78</v>
      </c>
      <c r="U516" s="57" t="s">
        <v>77</v>
      </c>
      <c r="V516" s="50" t="s">
        <v>118</v>
      </c>
      <c r="W516" s="50"/>
      <c r="X516" s="44">
        <v>1.0</v>
      </c>
      <c r="Y516" s="50" t="s">
        <v>80</v>
      </c>
      <c r="Z516" s="58" t="s">
        <v>81</v>
      </c>
      <c r="AA516" s="59" t="str">
        <f>IF(Rentabilidad=0,"No aplica",TEXT(ROUND(Precio/Rentabilidad/12,0),0) &amp; " años")</f>
        <v>20 años</v>
      </c>
      <c r="AB516" s="115" t="s">
        <v>3266</v>
      </c>
      <c r="AC516" s="61"/>
      <c r="AD516" s="62"/>
      <c r="AE516" s="63"/>
      <c r="AF516" s="45" t="s">
        <v>236</v>
      </c>
      <c r="AG516" s="63"/>
      <c r="AH516" s="65" t="s">
        <v>45</v>
      </c>
      <c r="AI516" s="63"/>
      <c r="AJ516" s="64" t="s">
        <v>1834</v>
      </c>
      <c r="AK516" s="44"/>
      <c r="AL516" s="45" t="s">
        <v>86</v>
      </c>
      <c r="AM516" s="44">
        <v>3.217035161E9</v>
      </c>
      <c r="AN516" s="45">
        <v>3.142197323E9</v>
      </c>
      <c r="AO516" s="52" t="s">
        <v>3267</v>
      </c>
      <c r="AP516" s="67" t="s">
        <v>3268</v>
      </c>
      <c r="AQ516" s="67"/>
      <c r="AR516" s="67"/>
      <c r="AS516" s="68">
        <v>1100000.0</v>
      </c>
      <c r="AT516" s="44">
        <v>0.0</v>
      </c>
      <c r="AU516" s="44">
        <v>0.0</v>
      </c>
      <c r="AV516" s="44">
        <v>0.0</v>
      </c>
      <c r="AW516" s="50" t="s">
        <v>88</v>
      </c>
      <c r="AX516" s="44">
        <v>0.0</v>
      </c>
      <c r="AY516" s="44">
        <v>0.0</v>
      </c>
      <c r="AZ516" s="44">
        <v>12.0</v>
      </c>
      <c r="BA516" s="43" t="s">
        <v>89</v>
      </c>
      <c r="BB516" s="44">
        <v>10.0</v>
      </c>
      <c r="BC516" s="69"/>
      <c r="BD516" s="70"/>
      <c r="BE516" s="71"/>
      <c r="BF516" s="72" t="s">
        <v>3269</v>
      </c>
      <c r="BG516" s="73"/>
      <c r="BH516" s="73"/>
      <c r="BI516" s="73"/>
      <c r="BJ516" s="73"/>
      <c r="BK516" s="73"/>
      <c r="BL516" s="73"/>
      <c r="BM516" s="73"/>
      <c r="BN516" s="73"/>
      <c r="BO516" s="73"/>
      <c r="BP516" s="73"/>
      <c r="BQ516" s="73"/>
      <c r="BR516" s="73"/>
      <c r="BS516" s="73"/>
      <c r="BT516" s="73"/>
      <c r="BU516" s="73"/>
      <c r="BV516" s="73"/>
      <c r="BW516" s="74"/>
      <c r="BX516" s="74"/>
      <c r="BY516" s="63"/>
      <c r="BZ516" s="63"/>
    </row>
    <row r="517" ht="15.75" customHeight="1">
      <c r="A517" s="75" t="s">
        <v>3270</v>
      </c>
      <c r="B517" s="50" t="s">
        <v>395</v>
      </c>
      <c r="C517" s="50" t="s">
        <v>70</v>
      </c>
      <c r="D517" s="50" t="s">
        <v>72</v>
      </c>
      <c r="E517" s="77" t="s">
        <v>376</v>
      </c>
      <c r="F517" s="47">
        <v>2.5E8</v>
      </c>
      <c r="G517" s="44" t="str">
        <f t="shared" si="16"/>
        <v>$200'000.000 a $300'000.000</v>
      </c>
      <c r="H517" s="44"/>
      <c r="I517" s="44"/>
      <c r="J517" s="50" t="s">
        <v>183</v>
      </c>
      <c r="K517" s="51" t="s">
        <v>184</v>
      </c>
      <c r="L517" s="52">
        <v>4.0</v>
      </c>
      <c r="M517" s="52"/>
      <c r="N517" s="52">
        <v>2.0</v>
      </c>
      <c r="O517" s="43">
        <v>2.0</v>
      </c>
      <c r="P517" s="44">
        <v>2.0</v>
      </c>
      <c r="Q517" s="113"/>
      <c r="R517" s="55">
        <v>112.0</v>
      </c>
      <c r="S517" s="56" t="str">
        <f t="shared" si="17"/>
        <v>Rentabilidad $800,000</v>
      </c>
      <c r="T517" s="44" t="s">
        <v>78</v>
      </c>
      <c r="U517" s="57" t="s">
        <v>77</v>
      </c>
      <c r="V517" s="50" t="s">
        <v>79</v>
      </c>
      <c r="W517" s="50"/>
      <c r="X517" s="52">
        <v>0.0</v>
      </c>
      <c r="Y517" s="43" t="s">
        <v>80</v>
      </c>
      <c r="Z517" s="58" t="s">
        <v>81</v>
      </c>
      <c r="AA517" s="59" t="str">
        <f>IF(Rentabilidad=0,"No aplica",TEXT(ROUND(Precio/Rentabilidad/12,0),0) &amp; " años")</f>
        <v>26 años</v>
      </c>
      <c r="AB517" s="60"/>
      <c r="AC517" s="61"/>
      <c r="AD517" s="62"/>
      <c r="AE517" s="63"/>
      <c r="AF517" s="45" t="s">
        <v>105</v>
      </c>
      <c r="AG517" s="63"/>
      <c r="AH517" s="65" t="s">
        <v>45</v>
      </c>
      <c r="AI517" s="63"/>
      <c r="AJ517" s="64" t="s">
        <v>1834</v>
      </c>
      <c r="AK517" s="44"/>
      <c r="AL517" s="45" t="s">
        <v>1388</v>
      </c>
      <c r="AM517" s="52">
        <v>3.108826136E9</v>
      </c>
      <c r="AN517" s="45"/>
      <c r="AO517" s="43" t="s">
        <v>3271</v>
      </c>
      <c r="AP517" s="67" t="s">
        <v>3272</v>
      </c>
      <c r="AQ517" s="67"/>
      <c r="AR517" s="67"/>
      <c r="AS517" s="68">
        <v>800000.0</v>
      </c>
      <c r="AT517" s="44">
        <v>0.0</v>
      </c>
      <c r="AU517" s="52">
        <v>0.0</v>
      </c>
      <c r="AV517" s="52">
        <v>0.0</v>
      </c>
      <c r="AW517" s="43" t="s">
        <v>88</v>
      </c>
      <c r="AX517" s="52">
        <v>0.0</v>
      </c>
      <c r="AY517" s="52">
        <v>0.0</v>
      </c>
      <c r="AZ517" s="44">
        <v>7.0</v>
      </c>
      <c r="BA517" s="43" t="s">
        <v>89</v>
      </c>
      <c r="BB517" s="44">
        <v>16.0</v>
      </c>
      <c r="BC517" s="69"/>
      <c r="BD517" s="70"/>
      <c r="BE517" s="71"/>
      <c r="BF517" s="72"/>
      <c r="BG517" s="73"/>
      <c r="BH517" s="73"/>
      <c r="BI517" s="73"/>
      <c r="BJ517" s="73"/>
      <c r="BK517" s="73"/>
      <c r="BL517" s="73"/>
      <c r="BM517" s="73"/>
      <c r="BN517" s="73"/>
      <c r="BO517" s="73"/>
      <c r="BP517" s="73"/>
      <c r="BQ517" s="73"/>
      <c r="BR517" s="73"/>
      <c r="BS517" s="73"/>
      <c r="BT517" s="73"/>
      <c r="BU517" s="73"/>
      <c r="BV517" s="73"/>
      <c r="BW517" s="74"/>
      <c r="BX517" s="74"/>
      <c r="BY517" s="63"/>
      <c r="BZ517" s="63"/>
    </row>
    <row r="518" ht="15.75" customHeight="1">
      <c r="A518" s="120" t="s">
        <v>3273</v>
      </c>
      <c r="B518" s="43" t="s">
        <v>429</v>
      </c>
      <c r="C518" s="43" t="s">
        <v>70</v>
      </c>
      <c r="D518" s="44" t="s">
        <v>430</v>
      </c>
      <c r="E518" s="45"/>
      <c r="F518" s="47">
        <v>2.5E8</v>
      </c>
      <c r="G518" s="44" t="str">
        <f t="shared" si="16"/>
        <v>$200'000.000 a $300'000.000</v>
      </c>
      <c r="H518" s="44"/>
      <c r="I518" s="44"/>
      <c r="J518" s="50" t="s">
        <v>183</v>
      </c>
      <c r="K518" s="56" t="s">
        <v>184</v>
      </c>
      <c r="L518" s="52">
        <v>4.0</v>
      </c>
      <c r="M518" s="52"/>
      <c r="N518" s="52">
        <v>4.0</v>
      </c>
      <c r="O518" s="43">
        <v>1.0</v>
      </c>
      <c r="P518" s="52">
        <v>2.0</v>
      </c>
      <c r="Q518" s="54"/>
      <c r="R518" s="55">
        <v>0.0</v>
      </c>
      <c r="S518" s="56" t="str">
        <f t="shared" si="17"/>
        <v> </v>
      </c>
      <c r="T518" s="52" t="s">
        <v>78</v>
      </c>
      <c r="U518" s="142" t="s">
        <v>77</v>
      </c>
      <c r="V518" s="43" t="s">
        <v>79</v>
      </c>
      <c r="W518" s="43"/>
      <c r="X518" s="52">
        <v>4.0</v>
      </c>
      <c r="Y518" s="43" t="s">
        <v>80</v>
      </c>
      <c r="Z518" s="58" t="s">
        <v>81</v>
      </c>
      <c r="AA518" s="59" t="str">
        <f>IF(Rentabilidad=0,"No aplica",TEXT(ROUND(Precio/Rentabilidad/12,0),0) &amp; " años")</f>
        <v>No aplica</v>
      </c>
      <c r="AB518" s="60"/>
      <c r="AC518" s="61"/>
      <c r="AD518" s="62"/>
      <c r="AE518" s="63"/>
      <c r="AF518" s="45" t="s">
        <v>105</v>
      </c>
      <c r="AG518" s="63"/>
      <c r="AH518" s="65" t="s">
        <v>45</v>
      </c>
      <c r="AI518" s="63"/>
      <c r="AJ518" s="64" t="s">
        <v>1834</v>
      </c>
      <c r="AK518" s="44"/>
      <c r="AL518" s="45" t="s">
        <v>86</v>
      </c>
      <c r="AM518" s="52">
        <v>3.112875585E9</v>
      </c>
      <c r="AN518" s="45">
        <v>3.143538899E9</v>
      </c>
      <c r="AO518" s="52" t="s">
        <v>3274</v>
      </c>
      <c r="AP518" s="67" t="s">
        <v>3275</v>
      </c>
      <c r="AQ518" s="67"/>
      <c r="AR518" s="67"/>
      <c r="AS518" s="135">
        <v>0.0</v>
      </c>
      <c r="AT518" s="63">
        <v>0.0</v>
      </c>
      <c r="AU518" s="52">
        <v>0.0</v>
      </c>
      <c r="AV518" s="52">
        <v>0.0</v>
      </c>
      <c r="AW518" s="43" t="s">
        <v>88</v>
      </c>
      <c r="AX518" s="52">
        <v>0.0</v>
      </c>
      <c r="AY518" s="52">
        <v>0.0</v>
      </c>
      <c r="AZ518" s="52">
        <v>0.0</v>
      </c>
      <c r="BA518" s="43" t="s">
        <v>89</v>
      </c>
      <c r="BB518" s="52">
        <v>0.0</v>
      </c>
      <c r="BC518" s="86"/>
      <c r="BD518" s="71"/>
      <c r="BE518" s="71"/>
      <c r="BF518" s="72"/>
      <c r="BG518" s="73"/>
      <c r="BH518" s="73"/>
      <c r="BI518" s="73"/>
      <c r="BJ518" s="73"/>
      <c r="BK518" s="73"/>
      <c r="BL518" s="73"/>
      <c r="BM518" s="73"/>
      <c r="BN518" s="73"/>
      <c r="BO518" s="73"/>
      <c r="BP518" s="73"/>
      <c r="BQ518" s="73"/>
      <c r="BR518" s="73"/>
      <c r="BS518" s="73"/>
      <c r="BT518" s="73"/>
      <c r="BU518" s="73"/>
      <c r="BV518" s="73"/>
      <c r="BW518" s="74"/>
      <c r="BX518" s="74"/>
      <c r="BY518" s="63"/>
      <c r="BZ518" s="63"/>
    </row>
    <row r="519" ht="15.75" customHeight="1">
      <c r="A519" s="120" t="s">
        <v>3276</v>
      </c>
      <c r="B519" s="43" t="s">
        <v>3277</v>
      </c>
      <c r="C519" s="43" t="s">
        <v>70</v>
      </c>
      <c r="D519" s="52" t="s">
        <v>3278</v>
      </c>
      <c r="E519" s="45"/>
      <c r="F519" s="47">
        <v>2.5E8</v>
      </c>
      <c r="G519" s="44" t="str">
        <f t="shared" si="16"/>
        <v>$200'000.000 a $300'000.000</v>
      </c>
      <c r="H519" s="44"/>
      <c r="I519" s="44"/>
      <c r="J519" s="43" t="s">
        <v>183</v>
      </c>
      <c r="K519" s="142"/>
      <c r="L519" s="52">
        <v>4.0</v>
      </c>
      <c r="M519" s="52"/>
      <c r="N519" s="52">
        <v>2.0</v>
      </c>
      <c r="O519" s="43">
        <v>1.0</v>
      </c>
      <c r="P519" s="52">
        <v>1.0</v>
      </c>
      <c r="Q519" s="54"/>
      <c r="R519" s="55">
        <v>120.0</v>
      </c>
      <c r="S519" s="56" t="str">
        <f t="shared" si="17"/>
        <v>Rentabilidad $1,000,000</v>
      </c>
      <c r="T519" s="52" t="s">
        <v>78</v>
      </c>
      <c r="U519" s="142" t="s">
        <v>77</v>
      </c>
      <c r="V519" s="43" t="s">
        <v>79</v>
      </c>
      <c r="W519" s="43"/>
      <c r="X519" s="52">
        <v>0.0</v>
      </c>
      <c r="Y519" s="43" t="s">
        <v>80</v>
      </c>
      <c r="Z519" s="58" t="s">
        <v>81</v>
      </c>
      <c r="AA519" s="59" t="str">
        <f>IF(Rentabilidad=0,"No aplica",TEXT(ROUND(Precio/Rentabilidad/12,0),0) &amp; " años")</f>
        <v>21 años</v>
      </c>
      <c r="AB519" s="60"/>
      <c r="AC519" s="61"/>
      <c r="AD519" s="62"/>
      <c r="AE519" s="63"/>
      <c r="AF519" s="45" t="s">
        <v>105</v>
      </c>
      <c r="AG519" s="63"/>
      <c r="AH519" s="63"/>
      <c r="AI519" s="63"/>
      <c r="AJ519" s="64" t="s">
        <v>1834</v>
      </c>
      <c r="AK519" s="44"/>
      <c r="AL519" s="45" t="s">
        <v>86</v>
      </c>
      <c r="AM519" s="52">
        <v>3.16389964E9</v>
      </c>
      <c r="AN519" s="45"/>
      <c r="AO519" s="52" t="s">
        <v>3279</v>
      </c>
      <c r="AP519" s="67" t="s">
        <v>3280</v>
      </c>
      <c r="AQ519" s="67"/>
      <c r="AR519" s="67"/>
      <c r="AS519" s="135">
        <v>1000000.0</v>
      </c>
      <c r="AT519" s="44">
        <v>0.0</v>
      </c>
      <c r="AU519" s="52">
        <v>0.0</v>
      </c>
      <c r="AV519" s="52">
        <v>0.0</v>
      </c>
      <c r="AW519" s="43" t="s">
        <v>88</v>
      </c>
      <c r="AX519" s="52">
        <v>0.0</v>
      </c>
      <c r="AY519" s="52">
        <v>0.0</v>
      </c>
      <c r="AZ519" s="52">
        <v>0.0</v>
      </c>
      <c r="BA519" s="43" t="s">
        <v>89</v>
      </c>
      <c r="BB519" s="52">
        <v>0.0</v>
      </c>
      <c r="BC519" s="95"/>
      <c r="BD519" s="71"/>
      <c r="BE519" s="71"/>
      <c r="BF519" s="72"/>
      <c r="BG519" s="73"/>
      <c r="BH519" s="73"/>
      <c r="BI519" s="73"/>
      <c r="BJ519" s="73"/>
      <c r="BK519" s="73"/>
      <c r="BL519" s="73"/>
      <c r="BM519" s="73"/>
      <c r="BN519" s="73"/>
      <c r="BO519" s="73"/>
      <c r="BP519" s="73"/>
      <c r="BQ519" s="73"/>
      <c r="BR519" s="73"/>
      <c r="BS519" s="73"/>
      <c r="BT519" s="73"/>
      <c r="BU519" s="73"/>
      <c r="BV519" s="73"/>
      <c r="BW519" s="74"/>
      <c r="BX519" s="74"/>
      <c r="BY519" s="63"/>
      <c r="BZ519" s="63"/>
    </row>
    <row r="520" ht="15.75" customHeight="1">
      <c r="A520" s="120" t="s">
        <v>3281</v>
      </c>
      <c r="B520" s="50" t="s">
        <v>3282</v>
      </c>
      <c r="C520" s="50" t="s">
        <v>271</v>
      </c>
      <c r="D520" s="44" t="s">
        <v>3283</v>
      </c>
      <c r="E520" s="45"/>
      <c r="F520" s="47">
        <v>2.5E8</v>
      </c>
      <c r="G520" s="44" t="str">
        <f t="shared" si="16"/>
        <v>$200'000.000 a $300'000.000</v>
      </c>
      <c r="H520" s="44"/>
      <c r="I520" s="44"/>
      <c r="J520" s="50" t="s">
        <v>183</v>
      </c>
      <c r="K520" s="57"/>
      <c r="L520" s="52">
        <v>6.0</v>
      </c>
      <c r="M520" s="52"/>
      <c r="N520" s="52">
        <v>3.0</v>
      </c>
      <c r="O520" s="43">
        <v>0.0</v>
      </c>
      <c r="P520" s="52">
        <v>2.0</v>
      </c>
      <c r="Q520" s="54"/>
      <c r="R520" s="55">
        <v>0.0</v>
      </c>
      <c r="S520" s="56" t="str">
        <f t="shared" si="17"/>
        <v>Rentabilidad $1,150,000</v>
      </c>
      <c r="T520" s="52" t="s">
        <v>78</v>
      </c>
      <c r="U520" s="142" t="s">
        <v>184</v>
      </c>
      <c r="V520" s="43" t="s">
        <v>79</v>
      </c>
      <c r="W520" s="43"/>
      <c r="X520" s="52">
        <v>2.0</v>
      </c>
      <c r="Y520" s="43" t="s">
        <v>80</v>
      </c>
      <c r="Z520" s="80" t="s">
        <v>81</v>
      </c>
      <c r="AA520" s="59" t="str">
        <f>IF(Rentabilidad=0,"No aplica",TEXT(ROUND(Precio/Rentabilidad/12,0),0) &amp; " años")</f>
        <v>18 años</v>
      </c>
      <c r="AB520" s="60"/>
      <c r="AC520" s="61"/>
      <c r="AD520" s="62"/>
      <c r="AE520" s="63"/>
      <c r="AF520" s="64" t="s">
        <v>236</v>
      </c>
      <c r="AG520" s="63"/>
      <c r="AH520" s="63"/>
      <c r="AI520" s="63"/>
      <c r="AJ520" s="64" t="s">
        <v>1834</v>
      </c>
      <c r="AK520" s="44"/>
      <c r="AL520" s="45" t="s">
        <v>86</v>
      </c>
      <c r="AM520" s="52">
        <v>3.132076247E9</v>
      </c>
      <c r="AN520" s="45">
        <v>3.166466328E9</v>
      </c>
      <c r="AO520" s="52" t="s">
        <v>3284</v>
      </c>
      <c r="AP520" s="67" t="s">
        <v>3285</v>
      </c>
      <c r="AQ520" s="67"/>
      <c r="AR520" s="67"/>
      <c r="AS520" s="135">
        <v>1150000.0</v>
      </c>
      <c r="AT520" s="44">
        <v>0.0</v>
      </c>
      <c r="AU520" s="52">
        <v>0.0</v>
      </c>
      <c r="AV520" s="52">
        <v>0.0</v>
      </c>
      <c r="AW520" s="43" t="s">
        <v>88</v>
      </c>
      <c r="AX520" s="52">
        <v>0.0</v>
      </c>
      <c r="AY520" s="52">
        <v>0.0</v>
      </c>
      <c r="AZ520" s="52">
        <v>0.0</v>
      </c>
      <c r="BA520" s="43" t="s">
        <v>89</v>
      </c>
      <c r="BB520" s="52">
        <v>0.0</v>
      </c>
      <c r="BC520" s="69" t="s">
        <v>439</v>
      </c>
      <c r="BD520" s="70"/>
      <c r="BE520" s="71"/>
      <c r="BF520" s="130"/>
      <c r="BG520" s="73"/>
      <c r="BH520" s="73"/>
      <c r="BI520" s="73"/>
      <c r="BJ520" s="73"/>
      <c r="BK520" s="73"/>
      <c r="BL520" s="73"/>
      <c r="BM520" s="73"/>
      <c r="BN520" s="73"/>
      <c r="BO520" s="73"/>
      <c r="BP520" s="73"/>
      <c r="BQ520" s="73"/>
      <c r="BR520" s="73"/>
      <c r="BS520" s="73"/>
      <c r="BT520" s="73"/>
      <c r="BU520" s="73"/>
      <c r="BV520" s="73"/>
      <c r="BW520" s="74"/>
      <c r="BX520" s="74"/>
      <c r="BY520" s="63"/>
      <c r="BZ520" s="63"/>
    </row>
    <row r="521" ht="15.75" customHeight="1">
      <c r="A521" s="120" t="s">
        <v>3286</v>
      </c>
      <c r="B521" s="50" t="s">
        <v>1371</v>
      </c>
      <c r="C521" s="50" t="s">
        <v>271</v>
      </c>
      <c r="D521" s="50" t="s">
        <v>1222</v>
      </c>
      <c r="E521" s="64"/>
      <c r="F521" s="47">
        <v>2.5E8</v>
      </c>
      <c r="G521" s="44" t="str">
        <f t="shared" si="16"/>
        <v>$200'000.000 a $300'000.000</v>
      </c>
      <c r="H521" s="44"/>
      <c r="I521" s="44"/>
      <c r="J521" s="50" t="s">
        <v>183</v>
      </c>
      <c r="K521" s="51"/>
      <c r="L521" s="52">
        <v>5.0</v>
      </c>
      <c r="M521" s="52"/>
      <c r="N521" s="52">
        <v>2.0</v>
      </c>
      <c r="O521" s="43">
        <v>5.0</v>
      </c>
      <c r="P521" s="52">
        <v>1.0</v>
      </c>
      <c r="Q521" s="113">
        <v>275.0</v>
      </c>
      <c r="R521" s="55">
        <v>200.0</v>
      </c>
      <c r="S521" s="56" t="str">
        <f t="shared" si="17"/>
        <v>Rentabilidad $1,200,000</v>
      </c>
      <c r="T521" s="52" t="s">
        <v>78</v>
      </c>
      <c r="U521" s="142" t="s">
        <v>184</v>
      </c>
      <c r="V521" s="43" t="s">
        <v>118</v>
      </c>
      <c r="W521" s="43"/>
      <c r="X521" s="52">
        <v>1.0</v>
      </c>
      <c r="Y521" s="43" t="s">
        <v>80</v>
      </c>
      <c r="Z521" s="80" t="s">
        <v>81</v>
      </c>
      <c r="AA521" s="59" t="str">
        <f>IF(Rentabilidad=0,"No aplica",TEXT(ROUND(Precio/Rentabilidad/12,0),0) &amp; " años")</f>
        <v>17 años</v>
      </c>
      <c r="AB521" s="115" t="s">
        <v>3287</v>
      </c>
      <c r="AC521" s="61"/>
      <c r="AD521" s="62"/>
      <c r="AE521" s="63"/>
      <c r="AF521" s="64" t="s">
        <v>236</v>
      </c>
      <c r="AG521" s="63"/>
      <c r="AH521" s="63"/>
      <c r="AI521" s="63"/>
      <c r="AJ521" s="64" t="s">
        <v>1834</v>
      </c>
      <c r="AK521" s="44"/>
      <c r="AL521" s="45" t="s">
        <v>109</v>
      </c>
      <c r="AM521" s="52">
        <v>3.102154497E9</v>
      </c>
      <c r="AN521" s="45"/>
      <c r="AO521" s="52" t="s">
        <v>3288</v>
      </c>
      <c r="AP521" s="67" t="s">
        <v>3289</v>
      </c>
      <c r="AQ521" s="67"/>
      <c r="AR521" s="67"/>
      <c r="AS521" s="135">
        <v>1200000.0</v>
      </c>
      <c r="AT521" s="44">
        <v>0.0</v>
      </c>
      <c r="AU521" s="52">
        <v>0.0</v>
      </c>
      <c r="AV521" s="52">
        <v>0.0</v>
      </c>
      <c r="AW521" s="43" t="s">
        <v>88</v>
      </c>
      <c r="AX521" s="52">
        <v>0.0</v>
      </c>
      <c r="AY521" s="52">
        <v>0.0</v>
      </c>
      <c r="AZ521" s="52">
        <v>10.0</v>
      </c>
      <c r="BA521" s="43" t="s">
        <v>89</v>
      </c>
      <c r="BB521" s="52">
        <v>20.0</v>
      </c>
      <c r="BC521" s="127" t="s">
        <v>3290</v>
      </c>
      <c r="BD521" s="156"/>
      <c r="BE521" s="156"/>
      <c r="BF521" s="157" t="s">
        <v>3291</v>
      </c>
      <c r="BG521" s="73"/>
      <c r="BH521" s="73"/>
      <c r="BI521" s="73"/>
      <c r="BJ521" s="73"/>
      <c r="BK521" s="73"/>
      <c r="BL521" s="73"/>
      <c r="BM521" s="73"/>
      <c r="BN521" s="73"/>
      <c r="BO521" s="73"/>
      <c r="BP521" s="73"/>
      <c r="BQ521" s="73"/>
      <c r="BR521" s="73"/>
      <c r="BS521" s="73"/>
      <c r="BT521" s="73"/>
      <c r="BU521" s="73"/>
      <c r="BV521" s="73"/>
      <c r="BW521" s="74"/>
      <c r="BX521" s="74"/>
      <c r="BY521" s="63"/>
      <c r="BZ521" s="63"/>
    </row>
    <row r="522" ht="15.75" customHeight="1">
      <c r="A522" s="120" t="s">
        <v>3292</v>
      </c>
      <c r="B522" s="50" t="s">
        <v>3293</v>
      </c>
      <c r="C522" s="50" t="s">
        <v>271</v>
      </c>
      <c r="D522" s="43" t="s">
        <v>2961</v>
      </c>
      <c r="E522" s="77" t="s">
        <v>376</v>
      </c>
      <c r="F522" s="47">
        <v>2.5E8</v>
      </c>
      <c r="G522" s="44" t="str">
        <f t="shared" si="16"/>
        <v>$200'000.000 a $300'000.000</v>
      </c>
      <c r="H522" s="44"/>
      <c r="I522" s="44"/>
      <c r="J522" s="43" t="s">
        <v>183</v>
      </c>
      <c r="K522" s="56"/>
      <c r="L522" s="52">
        <v>5.0</v>
      </c>
      <c r="M522" s="52"/>
      <c r="N522" s="52">
        <v>3.0</v>
      </c>
      <c r="O522" s="43">
        <v>3.0</v>
      </c>
      <c r="P522" s="52">
        <v>2.0</v>
      </c>
      <c r="Q522" s="54"/>
      <c r="R522" s="55">
        <v>112.0</v>
      </c>
      <c r="S522" s="56" t="str">
        <f t="shared" si="17"/>
        <v>Rentabilidad $1,200,000</v>
      </c>
      <c r="T522" s="52" t="s">
        <v>78</v>
      </c>
      <c r="U522" s="142" t="s">
        <v>184</v>
      </c>
      <c r="V522" s="43" t="s">
        <v>118</v>
      </c>
      <c r="W522" s="43"/>
      <c r="X522" s="52">
        <v>1.0</v>
      </c>
      <c r="Y522" s="43" t="s">
        <v>80</v>
      </c>
      <c r="Z522" s="80" t="s">
        <v>81</v>
      </c>
      <c r="AA522" s="59" t="str">
        <f>IF(Rentabilidad=0,"No aplica",TEXT(ROUND(Precio/Rentabilidad/12,0),0) &amp; " años")</f>
        <v>17 años</v>
      </c>
      <c r="AB522" s="60"/>
      <c r="AC522" s="61"/>
      <c r="AD522" s="62"/>
      <c r="AE522" s="63"/>
      <c r="AF522" s="64" t="s">
        <v>236</v>
      </c>
      <c r="AG522" s="63"/>
      <c r="AH522" s="65" t="s">
        <v>45</v>
      </c>
      <c r="AI522" s="63"/>
      <c r="AJ522" s="64" t="s">
        <v>1834</v>
      </c>
      <c r="AK522" s="44"/>
      <c r="AL522" s="45" t="s">
        <v>86</v>
      </c>
      <c r="AM522" s="52">
        <v>3.185954932E9</v>
      </c>
      <c r="AN522" s="45"/>
      <c r="AO522" s="52" t="s">
        <v>3294</v>
      </c>
      <c r="AP522" s="67" t="s">
        <v>3295</v>
      </c>
      <c r="AQ522" s="67"/>
      <c r="AR522" s="67"/>
      <c r="AS522" s="135">
        <v>1200000.0</v>
      </c>
      <c r="AT522" s="63">
        <v>0.0</v>
      </c>
      <c r="AU522" s="52">
        <v>0.0</v>
      </c>
      <c r="AV522" s="52">
        <v>0.0</v>
      </c>
      <c r="AW522" s="43" t="s">
        <v>88</v>
      </c>
      <c r="AX522" s="52">
        <v>0.0</v>
      </c>
      <c r="AY522" s="52">
        <v>0.0</v>
      </c>
      <c r="AZ522" s="52">
        <v>8.0</v>
      </c>
      <c r="BA522" s="43" t="s">
        <v>89</v>
      </c>
      <c r="BB522" s="52">
        <v>14.0</v>
      </c>
      <c r="BC522" s="95"/>
      <c r="BD522" s="71"/>
      <c r="BE522" s="71"/>
      <c r="BF522" s="130"/>
      <c r="BG522" s="73"/>
      <c r="BH522" s="73"/>
      <c r="BI522" s="73"/>
      <c r="BJ522" s="73"/>
      <c r="BK522" s="73"/>
      <c r="BL522" s="73"/>
      <c r="BM522" s="73"/>
      <c r="BN522" s="73"/>
      <c r="BO522" s="73"/>
      <c r="BP522" s="73"/>
      <c r="BQ522" s="73"/>
      <c r="BR522" s="73"/>
      <c r="BS522" s="73"/>
      <c r="BT522" s="73"/>
      <c r="BU522" s="73"/>
      <c r="BV522" s="73"/>
      <c r="BW522" s="74"/>
      <c r="BX522" s="74"/>
      <c r="BY522" s="63"/>
      <c r="BZ522" s="63"/>
    </row>
    <row r="523" ht="15.75" customHeight="1">
      <c r="A523" s="120" t="s">
        <v>3296</v>
      </c>
      <c r="B523" s="50" t="s">
        <v>3297</v>
      </c>
      <c r="C523" s="50" t="s">
        <v>271</v>
      </c>
      <c r="D523" s="44" t="s">
        <v>205</v>
      </c>
      <c r="E523" s="77" t="s">
        <v>376</v>
      </c>
      <c r="F523" s="47">
        <v>2.5E8</v>
      </c>
      <c r="G523" s="44" t="str">
        <f t="shared" si="16"/>
        <v>$200'000.000 a $300'000.000</v>
      </c>
      <c r="H523" s="44"/>
      <c r="I523" s="44"/>
      <c r="J523" s="43" t="s">
        <v>76</v>
      </c>
      <c r="K523" s="119" t="s">
        <v>77</v>
      </c>
      <c r="L523" s="52">
        <v>4.0</v>
      </c>
      <c r="M523" s="52"/>
      <c r="N523" s="52">
        <v>2.0</v>
      </c>
      <c r="O523" s="43">
        <v>1.0</v>
      </c>
      <c r="P523" s="52">
        <v>1.0</v>
      </c>
      <c r="Q523" s="54"/>
      <c r="R523" s="55">
        <v>166.5</v>
      </c>
      <c r="S523" s="56" t="str">
        <f t="shared" si="17"/>
        <v>Rentabilidad $1,100,000</v>
      </c>
      <c r="T523" s="52" t="s">
        <v>78</v>
      </c>
      <c r="U523" s="142" t="s">
        <v>77</v>
      </c>
      <c r="V523" s="43" t="s">
        <v>79</v>
      </c>
      <c r="W523" s="43"/>
      <c r="X523" s="52">
        <v>3.0</v>
      </c>
      <c r="Y523" s="43" t="s">
        <v>80</v>
      </c>
      <c r="Z523" s="80" t="s">
        <v>81</v>
      </c>
      <c r="AA523" s="59" t="str">
        <f>IF(Rentabilidad=0,"No aplica",TEXT(ROUND(Precio/Rentabilidad/12,0),0) &amp; " años")</f>
        <v>19 años</v>
      </c>
      <c r="AB523" s="195"/>
      <c r="AC523" s="61"/>
      <c r="AD523" s="62"/>
      <c r="AE523" s="63"/>
      <c r="AF523" s="64" t="s">
        <v>84</v>
      </c>
      <c r="AG523" s="63"/>
      <c r="AH523" s="65" t="s">
        <v>45</v>
      </c>
      <c r="AI523" s="63"/>
      <c r="AJ523" s="64" t="s">
        <v>1834</v>
      </c>
      <c r="AK523" s="44"/>
      <c r="AL523" s="45" t="s">
        <v>109</v>
      </c>
      <c r="AM523" s="52">
        <v>3.144614595E9</v>
      </c>
      <c r="AN523" s="45">
        <v>3.128625705E9</v>
      </c>
      <c r="AO523" s="116" t="s">
        <v>3298</v>
      </c>
      <c r="AP523" s="67" t="s">
        <v>3299</v>
      </c>
      <c r="AQ523" s="67"/>
      <c r="AR523" s="67"/>
      <c r="AS523" s="135">
        <v>1100000.0</v>
      </c>
      <c r="AT523" s="63">
        <v>0.0</v>
      </c>
      <c r="AU523" s="52">
        <v>0.0</v>
      </c>
      <c r="AV523" s="52">
        <v>0.0</v>
      </c>
      <c r="AW523" s="43" t="s">
        <v>88</v>
      </c>
      <c r="AX523" s="52">
        <v>0.0</v>
      </c>
      <c r="AY523" s="52">
        <v>0.0</v>
      </c>
      <c r="AZ523" s="52">
        <v>9.0</v>
      </c>
      <c r="BA523" s="43" t="s">
        <v>89</v>
      </c>
      <c r="BB523" s="52">
        <v>18.5</v>
      </c>
      <c r="BC523" s="95"/>
      <c r="BD523" s="71"/>
      <c r="BE523" s="71"/>
      <c r="BF523" s="72"/>
      <c r="BG523" s="73"/>
      <c r="BH523" s="73"/>
      <c r="BI523" s="73"/>
      <c r="BJ523" s="73"/>
      <c r="BK523" s="73"/>
      <c r="BL523" s="73"/>
      <c r="BM523" s="73"/>
      <c r="BN523" s="73"/>
      <c r="BO523" s="73"/>
      <c r="BP523" s="73"/>
      <c r="BQ523" s="73"/>
      <c r="BR523" s="73"/>
      <c r="BS523" s="73"/>
      <c r="BT523" s="73"/>
      <c r="BU523" s="73"/>
      <c r="BV523" s="73"/>
      <c r="BW523" s="74"/>
      <c r="BX523" s="74"/>
      <c r="BY523" s="63"/>
      <c r="BZ523" s="63"/>
    </row>
    <row r="524" ht="15.75" customHeight="1">
      <c r="A524" s="120" t="s">
        <v>3300</v>
      </c>
      <c r="B524" s="50" t="s">
        <v>3301</v>
      </c>
      <c r="C524" s="50" t="s">
        <v>271</v>
      </c>
      <c r="D524" s="52" t="s">
        <v>3302</v>
      </c>
      <c r="E524" s="77" t="s">
        <v>376</v>
      </c>
      <c r="F524" s="47">
        <v>2.5E8</v>
      </c>
      <c r="G524" s="44" t="str">
        <f t="shared" si="16"/>
        <v>$200'000.000 a $300'000.000</v>
      </c>
      <c r="H524" s="44"/>
      <c r="I524" s="44"/>
      <c r="J524" s="43" t="s">
        <v>183</v>
      </c>
      <c r="K524" s="142"/>
      <c r="L524" s="52">
        <v>8.0</v>
      </c>
      <c r="M524" s="52"/>
      <c r="N524" s="52">
        <v>4.0</v>
      </c>
      <c r="O524" s="43">
        <v>1.0</v>
      </c>
      <c r="P524" s="52">
        <v>2.0</v>
      </c>
      <c r="Q524" s="54"/>
      <c r="R524" s="55">
        <v>105.0</v>
      </c>
      <c r="S524" s="56" t="str">
        <f t="shared" si="17"/>
        <v>Rentabilidad $1,200,000</v>
      </c>
      <c r="T524" s="52" t="s">
        <v>78</v>
      </c>
      <c r="U524" s="142" t="s">
        <v>184</v>
      </c>
      <c r="V524" s="52"/>
      <c r="W524" s="52"/>
      <c r="X524" s="52">
        <v>0.0</v>
      </c>
      <c r="Y524" s="43" t="s">
        <v>80</v>
      </c>
      <c r="Z524" s="80" t="s">
        <v>81</v>
      </c>
      <c r="AA524" s="59" t="str">
        <f>IF(Rentabilidad=0,"No aplica",TEXT(ROUND(Precio/Rentabilidad/12,0),0) &amp; " años")</f>
        <v>17 años</v>
      </c>
      <c r="AB524" s="60"/>
      <c r="AC524" s="61"/>
      <c r="AD524" s="62"/>
      <c r="AE524" s="63"/>
      <c r="AF524" s="45" t="s">
        <v>96</v>
      </c>
      <c r="AG524" s="63"/>
      <c r="AH524" s="63"/>
      <c r="AI524" s="63"/>
      <c r="AJ524" s="64" t="s">
        <v>1834</v>
      </c>
      <c r="AK524" s="44"/>
      <c r="AL524" s="45" t="s">
        <v>2624</v>
      </c>
      <c r="AM524" s="52">
        <v>3.136713881E9</v>
      </c>
      <c r="AN524" s="45"/>
      <c r="AO524" s="74"/>
      <c r="AP524" s="67"/>
      <c r="AQ524" s="67"/>
      <c r="AR524" s="67"/>
      <c r="AS524" s="135">
        <v>1200000.0</v>
      </c>
      <c r="AT524" s="44">
        <v>0.0</v>
      </c>
      <c r="AU524" s="52">
        <v>0.0</v>
      </c>
      <c r="AV524" s="52">
        <v>0.0</v>
      </c>
      <c r="AW524" s="43" t="s">
        <v>88</v>
      </c>
      <c r="AX524" s="52">
        <v>0.0</v>
      </c>
      <c r="AY524" s="52">
        <v>0.0</v>
      </c>
      <c r="AZ524" s="52">
        <v>7.0</v>
      </c>
      <c r="BA524" s="43" t="s">
        <v>89</v>
      </c>
      <c r="BB524" s="52">
        <v>15.0</v>
      </c>
      <c r="BC524" s="69" t="s">
        <v>399</v>
      </c>
      <c r="BD524" s="70"/>
      <c r="BE524" s="71"/>
      <c r="BF524" s="72"/>
      <c r="BG524" s="73"/>
      <c r="BH524" s="73"/>
      <c r="BI524" s="73"/>
      <c r="BJ524" s="73"/>
      <c r="BK524" s="73"/>
      <c r="BL524" s="73"/>
      <c r="BM524" s="73"/>
      <c r="BN524" s="73"/>
      <c r="BO524" s="73"/>
      <c r="BP524" s="73"/>
      <c r="BQ524" s="73"/>
      <c r="BR524" s="73"/>
      <c r="BS524" s="73"/>
      <c r="BT524" s="73"/>
      <c r="BU524" s="73"/>
      <c r="BV524" s="73"/>
      <c r="BW524" s="74"/>
      <c r="BX524" s="74"/>
      <c r="BY524" s="63"/>
      <c r="BZ524" s="63"/>
    </row>
    <row r="525" ht="15.75" customHeight="1">
      <c r="A525" s="120" t="s">
        <v>3303</v>
      </c>
      <c r="B525" s="43" t="s">
        <v>1473</v>
      </c>
      <c r="C525" s="43" t="s">
        <v>70</v>
      </c>
      <c r="D525" s="44" t="s">
        <v>951</v>
      </c>
      <c r="E525" s="77" t="s">
        <v>376</v>
      </c>
      <c r="F525" s="47">
        <v>2.5E8</v>
      </c>
      <c r="G525" s="44" t="str">
        <f t="shared" si="16"/>
        <v>$200'000.000 a $300'000.000</v>
      </c>
      <c r="H525" s="44"/>
      <c r="I525" s="44"/>
      <c r="J525" s="50" t="s">
        <v>183</v>
      </c>
      <c r="K525" s="57"/>
      <c r="L525" s="52">
        <v>4.0</v>
      </c>
      <c r="M525" s="52"/>
      <c r="N525" s="52">
        <v>2.0</v>
      </c>
      <c r="O525" s="43">
        <v>1.0</v>
      </c>
      <c r="P525" s="52">
        <v>2.0</v>
      </c>
      <c r="Q525" s="54"/>
      <c r="R525" s="55">
        <v>120.0</v>
      </c>
      <c r="S525" s="56" t="str">
        <f t="shared" si="17"/>
        <v>Rentabilidad $700,000</v>
      </c>
      <c r="T525" s="52" t="s">
        <v>78</v>
      </c>
      <c r="U525" s="142" t="s">
        <v>184</v>
      </c>
      <c r="V525" s="43" t="s">
        <v>79</v>
      </c>
      <c r="W525" s="43"/>
      <c r="X525" s="52">
        <v>4.0</v>
      </c>
      <c r="Y525" s="43" t="s">
        <v>80</v>
      </c>
      <c r="Z525" s="58" t="s">
        <v>81</v>
      </c>
      <c r="AA525" s="59" t="str">
        <f>IF(Rentabilidad=0,"No aplica",TEXT(ROUND(Precio/Rentabilidad/12,0),0) &amp; " años")</f>
        <v>30 años</v>
      </c>
      <c r="AB525" s="60"/>
      <c r="AC525" s="61"/>
      <c r="AD525" s="62"/>
      <c r="AE525" s="63"/>
      <c r="AF525" s="45" t="s">
        <v>105</v>
      </c>
      <c r="AG525" s="63"/>
      <c r="AH525" s="63"/>
      <c r="AI525" s="63"/>
      <c r="AJ525" s="64" t="s">
        <v>1834</v>
      </c>
      <c r="AK525" s="44"/>
      <c r="AL525" s="45" t="s">
        <v>86</v>
      </c>
      <c r="AM525" s="52">
        <v>3.173197508E9</v>
      </c>
      <c r="AN525" s="45">
        <v>3.12776066E9</v>
      </c>
      <c r="AO525" s="52" t="s">
        <v>3304</v>
      </c>
      <c r="AP525" s="67"/>
      <c r="AQ525" s="67"/>
      <c r="AR525" s="67"/>
      <c r="AS525" s="135">
        <v>700000.0</v>
      </c>
      <c r="AT525" s="44">
        <v>0.0</v>
      </c>
      <c r="AU525" s="52">
        <v>0.0</v>
      </c>
      <c r="AV525" s="52">
        <v>0.0</v>
      </c>
      <c r="AW525" s="43" t="s">
        <v>88</v>
      </c>
      <c r="AX525" s="52">
        <v>0.0</v>
      </c>
      <c r="AY525" s="52">
        <v>0.0</v>
      </c>
      <c r="AZ525" s="52">
        <v>0.0</v>
      </c>
      <c r="BA525" s="43" t="s">
        <v>89</v>
      </c>
      <c r="BB525" s="52">
        <v>0.0</v>
      </c>
      <c r="BC525" s="95" t="s">
        <v>3305</v>
      </c>
      <c r="BD525" s="71"/>
      <c r="BE525" s="71"/>
      <c r="BF525" s="72"/>
      <c r="BG525" s="73"/>
      <c r="BH525" s="73"/>
      <c r="BI525" s="73"/>
      <c r="BJ525" s="73"/>
      <c r="BK525" s="73"/>
      <c r="BL525" s="73"/>
      <c r="BM525" s="73"/>
      <c r="BN525" s="73"/>
      <c r="BO525" s="73"/>
      <c r="BP525" s="73"/>
      <c r="BQ525" s="73"/>
      <c r="BR525" s="73"/>
      <c r="BS525" s="73"/>
      <c r="BT525" s="73"/>
      <c r="BU525" s="73"/>
      <c r="BV525" s="73"/>
      <c r="BW525" s="74"/>
      <c r="BX525" s="74"/>
      <c r="BY525" s="63"/>
      <c r="BZ525" s="63"/>
    </row>
    <row r="526" ht="15.75" customHeight="1">
      <c r="A526" s="120" t="s">
        <v>3306</v>
      </c>
      <c r="B526" s="43" t="s">
        <v>3307</v>
      </c>
      <c r="C526" s="43" t="s">
        <v>70</v>
      </c>
      <c r="D526" s="50" t="s">
        <v>1222</v>
      </c>
      <c r="E526" s="77" t="s">
        <v>376</v>
      </c>
      <c r="F526" s="47">
        <v>2.5E8</v>
      </c>
      <c r="G526" s="44" t="str">
        <f t="shared" si="16"/>
        <v>$200'000.000 a $300'000.000</v>
      </c>
      <c r="H526" s="44"/>
      <c r="I526" s="44"/>
      <c r="J526" s="50" t="s">
        <v>183</v>
      </c>
      <c r="K526" s="51"/>
      <c r="L526" s="52">
        <v>4.0</v>
      </c>
      <c r="M526" s="52"/>
      <c r="N526" s="52">
        <v>3.0</v>
      </c>
      <c r="O526" s="43">
        <v>1.0</v>
      </c>
      <c r="P526" s="52">
        <v>1.0</v>
      </c>
      <c r="Q526" s="54">
        <v>185.0</v>
      </c>
      <c r="R526" s="55">
        <v>165.0</v>
      </c>
      <c r="S526" s="56" t="str">
        <f t="shared" si="17"/>
        <v>Rentabilidad $800,000</v>
      </c>
      <c r="T526" s="52" t="s">
        <v>78</v>
      </c>
      <c r="U526" s="142" t="s">
        <v>184</v>
      </c>
      <c r="V526" s="43" t="s">
        <v>79</v>
      </c>
      <c r="W526" s="43"/>
      <c r="X526" s="52">
        <v>0.0</v>
      </c>
      <c r="Y526" s="43" t="s">
        <v>80</v>
      </c>
      <c r="Z526" s="58" t="s">
        <v>81</v>
      </c>
      <c r="AA526" s="59" t="str">
        <f>IF(Rentabilidad=0,"No aplica",TEXT(ROUND(Precio/Rentabilidad/12,0),0) &amp; " años")</f>
        <v>26 años</v>
      </c>
      <c r="AB526" s="60"/>
      <c r="AC526" s="61"/>
      <c r="AD526" s="62"/>
      <c r="AE526" s="63"/>
      <c r="AF526" s="64" t="s">
        <v>236</v>
      </c>
      <c r="AG526" s="63"/>
      <c r="AH526" s="63"/>
      <c r="AI526" s="63"/>
      <c r="AJ526" s="64" t="s">
        <v>1834</v>
      </c>
      <c r="AK526" s="44"/>
      <c r="AL526" s="45" t="s">
        <v>2624</v>
      </c>
      <c r="AM526" s="52">
        <v>3.18266E9</v>
      </c>
      <c r="AN526" s="45"/>
      <c r="AO526" s="52" t="s">
        <v>3308</v>
      </c>
      <c r="AP526" s="67" t="s">
        <v>3309</v>
      </c>
      <c r="AQ526" s="67"/>
      <c r="AR526" s="67"/>
      <c r="AS526" s="135">
        <v>800000.0</v>
      </c>
      <c r="AT526" s="44">
        <v>0.0</v>
      </c>
      <c r="AU526" s="52">
        <v>0.0</v>
      </c>
      <c r="AV526" s="52">
        <v>0.0</v>
      </c>
      <c r="AW526" s="43" t="s">
        <v>88</v>
      </c>
      <c r="AX526" s="52">
        <v>0.0</v>
      </c>
      <c r="AY526" s="52">
        <v>0.0</v>
      </c>
      <c r="AZ526" s="52">
        <v>8.25</v>
      </c>
      <c r="BA526" s="43" t="s">
        <v>89</v>
      </c>
      <c r="BB526" s="52">
        <v>20.0</v>
      </c>
      <c r="BC526" s="69" t="s">
        <v>2465</v>
      </c>
      <c r="BD526" s="70"/>
      <c r="BE526" s="71"/>
      <c r="BF526" s="72"/>
      <c r="BG526" s="73"/>
      <c r="BH526" s="73"/>
      <c r="BI526" s="73"/>
      <c r="BJ526" s="73"/>
      <c r="BK526" s="73"/>
      <c r="BL526" s="73"/>
      <c r="BM526" s="73"/>
      <c r="BN526" s="73"/>
      <c r="BO526" s="73"/>
      <c r="BP526" s="73"/>
      <c r="BQ526" s="73"/>
      <c r="BR526" s="73"/>
      <c r="BS526" s="73"/>
      <c r="BT526" s="73"/>
      <c r="BU526" s="73"/>
      <c r="BV526" s="73"/>
      <c r="BW526" s="74"/>
      <c r="BX526" s="74"/>
      <c r="BY526" s="63"/>
      <c r="BZ526" s="63"/>
    </row>
    <row r="527" ht="15.75" customHeight="1">
      <c r="A527" s="120" t="s">
        <v>3310</v>
      </c>
      <c r="B527" s="50" t="s">
        <v>3311</v>
      </c>
      <c r="C527" s="50" t="s">
        <v>271</v>
      </c>
      <c r="D527" s="44" t="s">
        <v>2840</v>
      </c>
      <c r="E527" s="77" t="s">
        <v>376</v>
      </c>
      <c r="F527" s="47">
        <v>2.5E8</v>
      </c>
      <c r="G527" s="44" t="str">
        <f t="shared" si="16"/>
        <v>$200'000.000 a $300'000.000</v>
      </c>
      <c r="H527" s="44"/>
      <c r="I527" s="44"/>
      <c r="J527" s="50" t="s">
        <v>183</v>
      </c>
      <c r="K527" s="57"/>
      <c r="L527" s="52">
        <v>6.0</v>
      </c>
      <c r="M527" s="52"/>
      <c r="N527" s="52">
        <v>2.0</v>
      </c>
      <c r="O527" s="43">
        <v>1.0</v>
      </c>
      <c r="P527" s="52">
        <v>2.0</v>
      </c>
      <c r="Q527" s="54">
        <v>144.0</v>
      </c>
      <c r="R527" s="55">
        <v>84.0</v>
      </c>
      <c r="S527" s="56" t="str">
        <f t="shared" si="17"/>
        <v>Rentabilidad $1,300,000</v>
      </c>
      <c r="T527" s="52" t="s">
        <v>78</v>
      </c>
      <c r="U527" s="142" t="s">
        <v>184</v>
      </c>
      <c r="V527" s="43" t="s">
        <v>79</v>
      </c>
      <c r="W527" s="43"/>
      <c r="X527" s="52">
        <v>5.0</v>
      </c>
      <c r="Y527" s="43" t="s">
        <v>80</v>
      </c>
      <c r="Z527" s="58" t="s">
        <v>81</v>
      </c>
      <c r="AA527" s="59" t="str">
        <f>IF(Rentabilidad=0,"No aplica",TEXT(ROUND(Precio/Rentabilidad/12,0),0) &amp; " años")</f>
        <v>16 años</v>
      </c>
      <c r="AB527" s="60"/>
      <c r="AC527" s="61"/>
      <c r="AD527" s="62"/>
      <c r="AE527" s="63"/>
      <c r="AF527" s="64" t="s">
        <v>236</v>
      </c>
      <c r="AG527" s="63"/>
      <c r="AH527" s="63"/>
      <c r="AI527" s="63"/>
      <c r="AJ527" s="64" t="s">
        <v>1834</v>
      </c>
      <c r="AK527" s="44"/>
      <c r="AL527" s="45" t="s">
        <v>2624</v>
      </c>
      <c r="AM527" s="52">
        <v>3.168725553E9</v>
      </c>
      <c r="AN527" s="45"/>
      <c r="AO527" s="52" t="s">
        <v>3312</v>
      </c>
      <c r="AP527" s="67" t="s">
        <v>3313</v>
      </c>
      <c r="AQ527" s="67"/>
      <c r="AR527" s="67"/>
      <c r="AS527" s="135">
        <v>1300000.0</v>
      </c>
      <c r="AT527" s="44">
        <v>0.0</v>
      </c>
      <c r="AU527" s="52">
        <v>0.0</v>
      </c>
      <c r="AV527" s="52">
        <v>0.0</v>
      </c>
      <c r="AW527" s="43" t="s">
        <v>88</v>
      </c>
      <c r="AX527" s="52">
        <v>0.0</v>
      </c>
      <c r="AY527" s="52">
        <v>0.0</v>
      </c>
      <c r="AZ527" s="52">
        <v>6.0</v>
      </c>
      <c r="BA527" s="43" t="s">
        <v>89</v>
      </c>
      <c r="BB527" s="52">
        <v>14.0</v>
      </c>
      <c r="BC527" s="109"/>
      <c r="BD527" s="70"/>
      <c r="BE527" s="71"/>
      <c r="BF527" s="72"/>
      <c r="BG527" s="73"/>
      <c r="BH527" s="73"/>
      <c r="BI527" s="73"/>
      <c r="BJ527" s="73"/>
      <c r="BK527" s="73"/>
      <c r="BL527" s="73"/>
      <c r="BM527" s="73"/>
      <c r="BN527" s="73"/>
      <c r="BO527" s="73"/>
      <c r="BP527" s="73"/>
      <c r="BQ527" s="73"/>
      <c r="BR527" s="73"/>
      <c r="BS527" s="73"/>
      <c r="BT527" s="73"/>
      <c r="BU527" s="73"/>
      <c r="BV527" s="73"/>
      <c r="BW527" s="74"/>
      <c r="BX527" s="74"/>
      <c r="BY527" s="63"/>
      <c r="BZ527" s="63"/>
    </row>
    <row r="528" ht="15.75" customHeight="1">
      <c r="A528" s="120" t="s">
        <v>3314</v>
      </c>
      <c r="B528" s="43" t="s">
        <v>395</v>
      </c>
      <c r="C528" s="43" t="s">
        <v>70</v>
      </c>
      <c r="D528" s="50" t="s">
        <v>72</v>
      </c>
      <c r="E528" s="77" t="s">
        <v>376</v>
      </c>
      <c r="F528" s="47">
        <v>2.5E8</v>
      </c>
      <c r="G528" s="44" t="str">
        <f t="shared" si="16"/>
        <v>$200'000.000 a $300'000.000</v>
      </c>
      <c r="H528" s="44"/>
      <c r="I528" s="44"/>
      <c r="J528" s="50" t="s">
        <v>183</v>
      </c>
      <c r="K528" s="51" t="s">
        <v>184</v>
      </c>
      <c r="L528" s="52">
        <v>5.0</v>
      </c>
      <c r="M528" s="52"/>
      <c r="N528" s="52">
        <v>3.0</v>
      </c>
      <c r="O528" s="43">
        <v>1.0</v>
      </c>
      <c r="P528" s="52">
        <v>2.0</v>
      </c>
      <c r="Q528" s="54"/>
      <c r="R528" s="55">
        <v>0.0</v>
      </c>
      <c r="S528" s="56" t="str">
        <f t="shared" si="17"/>
        <v> </v>
      </c>
      <c r="T528" s="52" t="s">
        <v>78</v>
      </c>
      <c r="U528" s="142" t="s">
        <v>77</v>
      </c>
      <c r="V528" s="43" t="s">
        <v>79</v>
      </c>
      <c r="W528" s="43"/>
      <c r="X528" s="52">
        <v>2.0</v>
      </c>
      <c r="Y528" s="94" t="s">
        <v>80</v>
      </c>
      <c r="Z528" s="58" t="s">
        <v>81</v>
      </c>
      <c r="AA528" s="59" t="str">
        <f>IF(Rentabilidad=0,"No aplica",TEXT(ROUND(Precio/Rentabilidad/12,0),0) &amp; " años")</f>
        <v>No aplica</v>
      </c>
      <c r="AB528" s="60"/>
      <c r="AC528" s="61"/>
      <c r="AD528" s="62"/>
      <c r="AE528" s="63"/>
      <c r="AF528" s="45" t="s">
        <v>236</v>
      </c>
      <c r="AG528" s="63"/>
      <c r="AH528" s="65" t="s">
        <v>45</v>
      </c>
      <c r="AI528" s="63"/>
      <c r="AJ528" s="64" t="s">
        <v>1834</v>
      </c>
      <c r="AK528" s="44"/>
      <c r="AL528" s="45" t="s">
        <v>1388</v>
      </c>
      <c r="AM528" s="52">
        <v>3.103240487E9</v>
      </c>
      <c r="AN528" s="45"/>
      <c r="AO528" s="52" t="s">
        <v>3315</v>
      </c>
      <c r="AP528" s="67" t="s">
        <v>3316</v>
      </c>
      <c r="AQ528" s="67"/>
      <c r="AR528" s="67"/>
      <c r="AS528" s="135">
        <v>0.0</v>
      </c>
      <c r="AT528" s="63">
        <v>0.0</v>
      </c>
      <c r="AU528" s="52">
        <v>0.0</v>
      </c>
      <c r="AV528" s="52">
        <v>0.0</v>
      </c>
      <c r="AW528" s="43" t="s">
        <v>88</v>
      </c>
      <c r="AX528" s="52">
        <v>0.0</v>
      </c>
      <c r="AY528" s="52">
        <v>0.0</v>
      </c>
      <c r="AZ528" s="52">
        <v>0.0</v>
      </c>
      <c r="BA528" s="43" t="s">
        <v>89</v>
      </c>
      <c r="BB528" s="52">
        <v>0.0</v>
      </c>
      <c r="BC528" s="95" t="s">
        <v>3317</v>
      </c>
      <c r="BD528" s="71"/>
      <c r="BE528" s="71"/>
      <c r="BF528" s="72"/>
      <c r="BG528" s="73"/>
      <c r="BH528" s="73"/>
      <c r="BI528" s="73"/>
      <c r="BJ528" s="73"/>
      <c r="BK528" s="73"/>
      <c r="BL528" s="73"/>
      <c r="BM528" s="73"/>
      <c r="BN528" s="73"/>
      <c r="BO528" s="73"/>
      <c r="BP528" s="73"/>
      <c r="BQ528" s="73"/>
      <c r="BR528" s="73"/>
      <c r="BS528" s="73"/>
      <c r="BT528" s="73"/>
      <c r="BU528" s="73"/>
      <c r="BV528" s="73"/>
      <c r="BW528" s="74"/>
      <c r="BX528" s="74"/>
      <c r="BY528" s="63"/>
      <c r="BZ528" s="63"/>
    </row>
    <row r="529" ht="15.75" customHeight="1">
      <c r="A529" s="133" t="s">
        <v>3318</v>
      </c>
      <c r="B529" s="50" t="s">
        <v>69</v>
      </c>
      <c r="C529" s="50" t="s">
        <v>70</v>
      </c>
      <c r="D529" s="44" t="s">
        <v>71</v>
      </c>
      <c r="E529" s="77" t="s">
        <v>376</v>
      </c>
      <c r="F529" s="47">
        <v>2.5E8</v>
      </c>
      <c r="G529" s="44" t="str">
        <f t="shared" si="16"/>
        <v>$200'000.000 a $300'000.000</v>
      </c>
      <c r="H529" s="44"/>
      <c r="I529" s="44"/>
      <c r="J529" s="43" t="s">
        <v>76</v>
      </c>
      <c r="K529" s="51" t="s">
        <v>77</v>
      </c>
      <c r="L529" s="52">
        <v>5.0</v>
      </c>
      <c r="M529" s="52"/>
      <c r="N529" s="52">
        <v>2.0</v>
      </c>
      <c r="O529" s="43">
        <v>0.0</v>
      </c>
      <c r="P529" s="44">
        <v>1.0</v>
      </c>
      <c r="Q529" s="54"/>
      <c r="R529" s="55">
        <v>253.0</v>
      </c>
      <c r="S529" s="56" t="str">
        <f t="shared" si="17"/>
        <v>Rentabilidad $800,000</v>
      </c>
      <c r="T529" s="52" t="s">
        <v>78</v>
      </c>
      <c r="U529" s="57" t="s">
        <v>184</v>
      </c>
      <c r="V529" s="43" t="s">
        <v>79</v>
      </c>
      <c r="W529" s="43"/>
      <c r="X529" s="52">
        <v>0.0</v>
      </c>
      <c r="Y529" s="43" t="s">
        <v>80</v>
      </c>
      <c r="Z529" s="58" t="s">
        <v>81</v>
      </c>
      <c r="AA529" s="59" t="str">
        <f>IF(Rentabilidad=0,"No aplica",TEXT(ROUND(Precio/Rentabilidad/12,0),0) &amp; " años")</f>
        <v>26 años</v>
      </c>
      <c r="AB529" s="60"/>
      <c r="AC529" s="61"/>
      <c r="AD529" s="62"/>
      <c r="AE529" s="63"/>
      <c r="AF529" s="64" t="s">
        <v>84</v>
      </c>
      <c r="AG529" s="63"/>
      <c r="AH529" s="65" t="s">
        <v>45</v>
      </c>
      <c r="AI529" s="63"/>
      <c r="AJ529" s="64" t="s">
        <v>1834</v>
      </c>
      <c r="AK529" s="44"/>
      <c r="AL529" s="45" t="s">
        <v>86</v>
      </c>
      <c r="AM529" s="52">
        <v>3.11274525E9</v>
      </c>
      <c r="AN529" s="45">
        <v>3.156114223E9</v>
      </c>
      <c r="AO529" s="52" t="s">
        <v>2987</v>
      </c>
      <c r="AP529" s="67" t="s">
        <v>3319</v>
      </c>
      <c r="AQ529" s="67"/>
      <c r="AR529" s="67"/>
      <c r="AS529" s="68">
        <v>800000.0</v>
      </c>
      <c r="AT529" s="44">
        <v>0.0</v>
      </c>
      <c r="AU529" s="52">
        <v>0.0</v>
      </c>
      <c r="AV529" s="52">
        <v>0.0</v>
      </c>
      <c r="AW529" s="43" t="s">
        <v>88</v>
      </c>
      <c r="AX529" s="52">
        <v>0.0</v>
      </c>
      <c r="AY529" s="52">
        <v>0.0</v>
      </c>
      <c r="AZ529" s="52">
        <v>0.0</v>
      </c>
      <c r="BA529" s="43" t="s">
        <v>89</v>
      </c>
      <c r="BB529" s="52">
        <v>0.0</v>
      </c>
      <c r="BC529" s="109"/>
      <c r="BD529" s="70"/>
      <c r="BE529" s="70"/>
      <c r="BF529" s="130"/>
      <c r="BG529" s="73"/>
      <c r="BH529" s="73"/>
      <c r="BI529" s="73"/>
      <c r="BJ529" s="73"/>
      <c r="BK529" s="73"/>
      <c r="BL529" s="73"/>
      <c r="BM529" s="73"/>
      <c r="BN529" s="73"/>
      <c r="BO529" s="73"/>
      <c r="BP529" s="73"/>
      <c r="BQ529" s="73"/>
      <c r="BR529" s="73"/>
      <c r="BS529" s="73"/>
      <c r="BT529" s="73"/>
      <c r="BU529" s="73"/>
      <c r="BV529" s="73"/>
      <c r="BW529" s="74"/>
      <c r="BX529" s="74"/>
      <c r="BY529" s="63"/>
      <c r="BZ529" s="63"/>
    </row>
    <row r="530" ht="15.75" customHeight="1">
      <c r="A530" s="133" t="s">
        <v>3320</v>
      </c>
      <c r="B530" s="43" t="s">
        <v>3321</v>
      </c>
      <c r="C530" s="43" t="s">
        <v>70</v>
      </c>
      <c r="D530" s="44" t="s">
        <v>1903</v>
      </c>
      <c r="E530" s="77" t="s">
        <v>376</v>
      </c>
      <c r="F530" s="47">
        <v>2.5E8</v>
      </c>
      <c r="G530" s="44" t="str">
        <f t="shared" si="16"/>
        <v>$200'000.000 a $300'000.000</v>
      </c>
      <c r="H530" s="44"/>
      <c r="I530" s="44"/>
      <c r="J530" s="50" t="s">
        <v>183</v>
      </c>
      <c r="K530" s="57"/>
      <c r="L530" s="52">
        <v>5.0</v>
      </c>
      <c r="M530" s="52"/>
      <c r="N530" s="52">
        <v>3.0</v>
      </c>
      <c r="O530" s="43">
        <v>1.0</v>
      </c>
      <c r="P530" s="52">
        <v>2.0</v>
      </c>
      <c r="Q530" s="54">
        <v>172.0</v>
      </c>
      <c r="R530" s="55">
        <v>90.0</v>
      </c>
      <c r="S530" s="56" t="str">
        <f t="shared" si="17"/>
        <v>Rentabilidad $800,000</v>
      </c>
      <c r="T530" s="52" t="s">
        <v>78</v>
      </c>
      <c r="U530" s="142" t="s">
        <v>184</v>
      </c>
      <c r="V530" s="43" t="s">
        <v>79</v>
      </c>
      <c r="W530" s="43"/>
      <c r="X530" s="52">
        <v>2.0</v>
      </c>
      <c r="Y530" s="43" t="s">
        <v>80</v>
      </c>
      <c r="Z530" s="58" t="s">
        <v>81</v>
      </c>
      <c r="AA530" s="59" t="str">
        <f>IF(Rentabilidad=0,"No aplica",TEXT(ROUND(Precio/Rentabilidad/12,0),0) &amp; " años")</f>
        <v>26 años</v>
      </c>
      <c r="AB530" s="60"/>
      <c r="AC530" s="61"/>
      <c r="AD530" s="62"/>
      <c r="AE530" s="63"/>
      <c r="AF530" s="45" t="s">
        <v>105</v>
      </c>
      <c r="AG530" s="63"/>
      <c r="AH530" s="63"/>
      <c r="AI530" s="63"/>
      <c r="AJ530" s="64" t="s">
        <v>1834</v>
      </c>
      <c r="AK530" s="44"/>
      <c r="AL530" s="45" t="s">
        <v>109</v>
      </c>
      <c r="AM530" s="52">
        <v>3.158828837E9</v>
      </c>
      <c r="AN530" s="45">
        <v>3.1387122E9</v>
      </c>
      <c r="AO530" s="52" t="s">
        <v>3322</v>
      </c>
      <c r="AP530" s="67" t="s">
        <v>3323</v>
      </c>
      <c r="AQ530" s="67"/>
      <c r="AR530" s="67"/>
      <c r="AS530" s="135">
        <v>800000.0</v>
      </c>
      <c r="AT530" s="63">
        <v>0.0</v>
      </c>
      <c r="AU530" s="52">
        <v>0.0</v>
      </c>
      <c r="AV530" s="52">
        <v>0.0</v>
      </c>
      <c r="AW530" s="43" t="s">
        <v>88</v>
      </c>
      <c r="AX530" s="52">
        <v>0.0</v>
      </c>
      <c r="AY530" s="52">
        <v>0.0</v>
      </c>
      <c r="AZ530" s="52">
        <v>6.0</v>
      </c>
      <c r="BA530" s="43" t="s">
        <v>89</v>
      </c>
      <c r="BB530" s="52">
        <v>15.0</v>
      </c>
      <c r="BC530" s="95"/>
      <c r="BD530" s="71"/>
      <c r="BE530" s="71"/>
      <c r="BF530" s="72"/>
      <c r="BG530" s="73"/>
      <c r="BH530" s="73"/>
      <c r="BI530" s="73"/>
      <c r="BJ530" s="73"/>
      <c r="BK530" s="73"/>
      <c r="BL530" s="73"/>
      <c r="BM530" s="73"/>
      <c r="BN530" s="73"/>
      <c r="BO530" s="73"/>
      <c r="BP530" s="73"/>
      <c r="BQ530" s="73"/>
      <c r="BR530" s="73"/>
      <c r="BS530" s="73"/>
      <c r="BT530" s="73"/>
      <c r="BU530" s="73"/>
      <c r="BV530" s="73"/>
      <c r="BW530" s="74"/>
      <c r="BX530" s="74"/>
      <c r="BY530" s="63"/>
      <c r="BZ530" s="63"/>
    </row>
    <row r="531" ht="15.75" customHeight="1">
      <c r="A531" s="133" t="s">
        <v>3324</v>
      </c>
      <c r="B531" s="43" t="s">
        <v>2723</v>
      </c>
      <c r="C531" s="43" t="s">
        <v>1228</v>
      </c>
      <c r="D531" s="52" t="s">
        <v>163</v>
      </c>
      <c r="E531" s="77" t="s">
        <v>376</v>
      </c>
      <c r="F531" s="78">
        <v>2.5E8</v>
      </c>
      <c r="G531" s="44" t="str">
        <f t="shared" si="16"/>
        <v>$200'000.000 a $300'000.000</v>
      </c>
      <c r="H531" s="44"/>
      <c r="I531" s="44"/>
      <c r="J531" s="43" t="s">
        <v>76</v>
      </c>
      <c r="K531" s="56" t="s">
        <v>77</v>
      </c>
      <c r="L531" s="52">
        <v>7.0</v>
      </c>
      <c r="M531" s="52"/>
      <c r="N531" s="52">
        <v>1.0</v>
      </c>
      <c r="O531" s="43">
        <v>0.0</v>
      </c>
      <c r="P531" s="52">
        <v>1.0</v>
      </c>
      <c r="Q531" s="54">
        <v>170.0</v>
      </c>
      <c r="R531" s="55">
        <v>170.0</v>
      </c>
      <c r="S531" s="56" t="str">
        <f t="shared" si="17"/>
        <v>Rentabilidad $300,000</v>
      </c>
      <c r="T531" s="52" t="s">
        <v>78</v>
      </c>
      <c r="U531" s="142" t="s">
        <v>77</v>
      </c>
      <c r="V531" s="43" t="s">
        <v>79</v>
      </c>
      <c r="W531" s="43"/>
      <c r="X531" s="52">
        <v>0.0</v>
      </c>
      <c r="Y531" s="43" t="s">
        <v>80</v>
      </c>
      <c r="Z531" s="80" t="s">
        <v>81</v>
      </c>
      <c r="AA531" s="59" t="str">
        <f>IF(Rentabilidad=0,"No aplica",TEXT(ROUND(Precio/Rentabilidad/12,0),0) &amp; " años")</f>
        <v>69 años</v>
      </c>
      <c r="AB531" s="60"/>
      <c r="AC531" s="61"/>
      <c r="AD531" s="62"/>
      <c r="AE531" s="63"/>
      <c r="AF531" s="64" t="s">
        <v>84</v>
      </c>
      <c r="AG531" s="63"/>
      <c r="AH531" s="65" t="s">
        <v>45</v>
      </c>
      <c r="AI531" s="63"/>
      <c r="AJ531" s="64" t="s">
        <v>1834</v>
      </c>
      <c r="AK531" s="44"/>
      <c r="AL531" s="45" t="s">
        <v>86</v>
      </c>
      <c r="AM531" s="52">
        <v>3.12311122E9</v>
      </c>
      <c r="AN531" s="45"/>
      <c r="AO531" s="52"/>
      <c r="AP531" s="67" t="s">
        <v>3325</v>
      </c>
      <c r="AQ531" s="67"/>
      <c r="AR531" s="67"/>
      <c r="AS531" s="135">
        <v>300000.0</v>
      </c>
      <c r="AT531" s="63">
        <v>0.0</v>
      </c>
      <c r="AU531" s="52">
        <v>0.0</v>
      </c>
      <c r="AV531" s="52">
        <v>0.0</v>
      </c>
      <c r="AW531" s="43" t="s">
        <v>88</v>
      </c>
      <c r="AX531" s="52">
        <v>0.0</v>
      </c>
      <c r="AY531" s="52">
        <v>0.0</v>
      </c>
      <c r="AZ531" s="52">
        <v>10.0</v>
      </c>
      <c r="BA531" s="43" t="s">
        <v>89</v>
      </c>
      <c r="BB531" s="52">
        <v>17.0</v>
      </c>
      <c r="BC531" s="69" t="s">
        <v>3326</v>
      </c>
      <c r="BD531" s="70"/>
      <c r="BE531" s="71"/>
      <c r="BF531" s="72"/>
      <c r="BG531" s="73"/>
      <c r="BH531" s="73"/>
      <c r="BI531" s="73"/>
      <c r="BJ531" s="73"/>
      <c r="BK531" s="73"/>
      <c r="BL531" s="73"/>
      <c r="BM531" s="73"/>
      <c r="BN531" s="73"/>
      <c r="BO531" s="73"/>
      <c r="BP531" s="73"/>
      <c r="BQ531" s="73"/>
      <c r="BR531" s="73"/>
      <c r="BS531" s="73"/>
      <c r="BT531" s="73"/>
      <c r="BU531" s="73"/>
      <c r="BV531" s="73"/>
      <c r="BW531" s="74"/>
      <c r="BX531" s="74"/>
      <c r="BY531" s="63"/>
      <c r="BZ531" s="63"/>
    </row>
    <row r="532" ht="15.75" customHeight="1">
      <c r="A532" s="41" t="s">
        <v>3327</v>
      </c>
      <c r="B532" s="43" t="s">
        <v>3328</v>
      </c>
      <c r="C532" s="43" t="s">
        <v>70</v>
      </c>
      <c r="D532" s="52" t="s">
        <v>120</v>
      </c>
      <c r="E532" s="45"/>
      <c r="F532" s="47">
        <v>2.4E8</v>
      </c>
      <c r="G532" s="44" t="str">
        <f t="shared" si="16"/>
        <v>$200'000.000 a $300'000.000</v>
      </c>
      <c r="H532" s="44"/>
      <c r="I532" s="44"/>
      <c r="J532" s="43" t="s">
        <v>183</v>
      </c>
      <c r="K532" s="51" t="s">
        <v>184</v>
      </c>
      <c r="L532" s="52">
        <v>4.0</v>
      </c>
      <c r="M532" s="52"/>
      <c r="N532" s="52">
        <v>3.0</v>
      </c>
      <c r="O532" s="43">
        <v>1.0</v>
      </c>
      <c r="P532" s="52">
        <v>2.0</v>
      </c>
      <c r="Q532" s="54">
        <v>112.0</v>
      </c>
      <c r="R532" s="55">
        <v>72.0</v>
      </c>
      <c r="S532" s="56" t="str">
        <f t="shared" si="17"/>
        <v> </v>
      </c>
      <c r="T532" s="52" t="s">
        <v>78</v>
      </c>
      <c r="U532" s="142" t="s">
        <v>184</v>
      </c>
      <c r="V532" s="43" t="s">
        <v>79</v>
      </c>
      <c r="W532" s="43"/>
      <c r="X532" s="52">
        <v>4.0</v>
      </c>
      <c r="Y532" s="43" t="s">
        <v>80</v>
      </c>
      <c r="Z532" s="58" t="s">
        <v>81</v>
      </c>
      <c r="AA532" s="59" t="str">
        <f>IF(Rentabilidad=0,"No aplica",TEXT(ROUND(Precio/Rentabilidad/12,0),0) &amp; " años")</f>
        <v>No aplica</v>
      </c>
      <c r="AB532" s="195"/>
      <c r="AC532" s="61"/>
      <c r="AD532" s="62"/>
      <c r="AE532" s="63"/>
      <c r="AF532" s="64" t="s">
        <v>236</v>
      </c>
      <c r="AG532" s="63"/>
      <c r="AH532" s="65" t="s">
        <v>45</v>
      </c>
      <c r="AI532" s="63"/>
      <c r="AJ532" s="64" t="s">
        <v>1834</v>
      </c>
      <c r="AK532" s="44"/>
      <c r="AL532" s="45" t="s">
        <v>86</v>
      </c>
      <c r="AM532" s="52">
        <v>3.114526242E9</v>
      </c>
      <c r="AN532" s="45"/>
      <c r="AO532" s="93"/>
      <c r="AP532" s="67" t="s">
        <v>3329</v>
      </c>
      <c r="AQ532" s="67"/>
      <c r="AR532" s="67"/>
      <c r="AS532" s="135">
        <v>0.0</v>
      </c>
      <c r="AT532" s="44">
        <v>0.0</v>
      </c>
      <c r="AU532" s="52">
        <v>0.0</v>
      </c>
      <c r="AV532" s="52">
        <v>0.0</v>
      </c>
      <c r="AW532" s="43" t="s">
        <v>88</v>
      </c>
      <c r="AX532" s="52">
        <v>0.0</v>
      </c>
      <c r="AY532" s="52">
        <v>0.0</v>
      </c>
      <c r="AZ532" s="52">
        <v>6.0</v>
      </c>
      <c r="BA532" s="43" t="s">
        <v>89</v>
      </c>
      <c r="BB532" s="52">
        <v>12.0</v>
      </c>
      <c r="BC532" s="69"/>
      <c r="BD532" s="70"/>
      <c r="BE532" s="71"/>
      <c r="BF532" s="130"/>
      <c r="BG532" s="73"/>
      <c r="BH532" s="73"/>
      <c r="BI532" s="73"/>
      <c r="BJ532" s="73"/>
      <c r="BK532" s="73"/>
      <c r="BL532" s="73"/>
      <c r="BM532" s="73"/>
      <c r="BN532" s="73"/>
      <c r="BO532" s="73"/>
      <c r="BP532" s="73"/>
      <c r="BQ532" s="73"/>
      <c r="BR532" s="73"/>
      <c r="BS532" s="73"/>
      <c r="BT532" s="73"/>
      <c r="BU532" s="73"/>
      <c r="BV532" s="73"/>
      <c r="BW532" s="74"/>
      <c r="BX532" s="74"/>
      <c r="BY532" s="63"/>
      <c r="BZ532" s="63"/>
    </row>
    <row r="533" ht="15.75" customHeight="1">
      <c r="A533" s="41" t="s">
        <v>3330</v>
      </c>
      <c r="B533" s="50" t="s">
        <v>429</v>
      </c>
      <c r="C533" s="50" t="s">
        <v>70</v>
      </c>
      <c r="D533" s="44" t="s">
        <v>430</v>
      </c>
      <c r="E533" s="45"/>
      <c r="F533" s="47">
        <v>2.4E8</v>
      </c>
      <c r="G533" s="44" t="str">
        <f t="shared" si="16"/>
        <v>$200'000.000 a $300'000.000</v>
      </c>
      <c r="H533" s="44"/>
      <c r="I533" s="44"/>
      <c r="J533" s="50" t="s">
        <v>183</v>
      </c>
      <c r="K533" s="56" t="s">
        <v>184</v>
      </c>
      <c r="L533" s="44">
        <v>5.0</v>
      </c>
      <c r="M533" s="44"/>
      <c r="N533" s="44">
        <v>2.0</v>
      </c>
      <c r="O533" s="50">
        <v>1.0</v>
      </c>
      <c r="P533" s="44">
        <v>2.0</v>
      </c>
      <c r="Q533" s="54">
        <v>133.0</v>
      </c>
      <c r="R533" s="55" t="s">
        <v>3331</v>
      </c>
      <c r="S533" s="56" t="str">
        <f t="shared" si="17"/>
        <v> </v>
      </c>
      <c r="T533" s="52" t="s">
        <v>78</v>
      </c>
      <c r="U533" s="51" t="s">
        <v>184</v>
      </c>
      <c r="V533" s="50" t="s">
        <v>79</v>
      </c>
      <c r="W533" s="50"/>
      <c r="X533" s="44">
        <v>2.0</v>
      </c>
      <c r="Y533" s="50" t="s">
        <v>80</v>
      </c>
      <c r="Z533" s="58" t="s">
        <v>81</v>
      </c>
      <c r="AA533" s="59" t="str">
        <f>IF(Rentabilidad=0,"No aplica",TEXT(ROUND(Precio/Rentabilidad/12,0),0) &amp; " años")</f>
        <v>No aplica</v>
      </c>
      <c r="AB533" s="60"/>
      <c r="AC533" s="61"/>
      <c r="AD533" s="62"/>
      <c r="AE533" s="63"/>
      <c r="AF533" s="45" t="s">
        <v>105</v>
      </c>
      <c r="AG533" s="63"/>
      <c r="AH533" s="65" t="s">
        <v>45</v>
      </c>
      <c r="AI533" s="63"/>
      <c r="AJ533" s="64" t="s">
        <v>1834</v>
      </c>
      <c r="AK533" s="44"/>
      <c r="AL533" s="45" t="s">
        <v>86</v>
      </c>
      <c r="AM533" s="52">
        <v>3.167630098E9</v>
      </c>
      <c r="AN533" s="45"/>
      <c r="AO533" s="52" t="s">
        <v>3332</v>
      </c>
      <c r="AP533" s="67"/>
      <c r="AQ533" s="67"/>
      <c r="AR533" s="67"/>
      <c r="AS533" s="68">
        <v>0.0</v>
      </c>
      <c r="AT533" s="44">
        <v>0.0</v>
      </c>
      <c r="AU533" s="52">
        <v>0.0</v>
      </c>
      <c r="AV533" s="52">
        <v>0.0</v>
      </c>
      <c r="AW533" s="43" t="s">
        <v>88</v>
      </c>
      <c r="AX533" s="52">
        <v>0.0</v>
      </c>
      <c r="AY533" s="52">
        <v>0.0</v>
      </c>
      <c r="AZ533" s="44" t="s">
        <v>3333</v>
      </c>
      <c r="BA533" s="43" t="s">
        <v>89</v>
      </c>
      <c r="BB533" s="44">
        <v>13.0</v>
      </c>
      <c r="BC533" s="69" t="s">
        <v>1092</v>
      </c>
      <c r="BD533" s="70"/>
      <c r="BE533" s="70"/>
      <c r="BF533" s="72"/>
      <c r="BG533" s="73"/>
      <c r="BH533" s="73"/>
      <c r="BI533" s="73"/>
      <c r="BJ533" s="73"/>
      <c r="BK533" s="73"/>
      <c r="BL533" s="73"/>
      <c r="BM533" s="73"/>
      <c r="BN533" s="73"/>
      <c r="BO533" s="73"/>
      <c r="BP533" s="73"/>
      <c r="BQ533" s="73"/>
      <c r="BR533" s="73"/>
      <c r="BS533" s="73"/>
      <c r="BT533" s="73"/>
      <c r="BU533" s="73"/>
      <c r="BV533" s="73"/>
      <c r="BW533" s="74"/>
      <c r="BX533" s="74"/>
      <c r="BY533" s="63"/>
      <c r="BZ533" s="63"/>
    </row>
    <row r="534" ht="15.75" customHeight="1">
      <c r="A534" s="120" t="s">
        <v>3334</v>
      </c>
      <c r="B534" s="43" t="s">
        <v>3335</v>
      </c>
      <c r="C534" s="43" t="s">
        <v>70</v>
      </c>
      <c r="D534" s="52" t="s">
        <v>182</v>
      </c>
      <c r="E534" s="45"/>
      <c r="F534" s="47">
        <v>2.4E8</v>
      </c>
      <c r="G534" s="44" t="str">
        <f t="shared" si="16"/>
        <v>$200'000.000 a $300'000.000</v>
      </c>
      <c r="H534" s="44"/>
      <c r="I534" s="44"/>
      <c r="J534" s="43" t="s">
        <v>183</v>
      </c>
      <c r="K534" s="56" t="s">
        <v>184</v>
      </c>
      <c r="L534" s="52">
        <v>3.0</v>
      </c>
      <c r="M534" s="52"/>
      <c r="N534" s="52">
        <v>2.0</v>
      </c>
      <c r="O534" s="43">
        <v>1.0</v>
      </c>
      <c r="P534" s="52">
        <v>2.0</v>
      </c>
      <c r="Q534" s="54"/>
      <c r="R534" s="55">
        <v>105.0</v>
      </c>
      <c r="S534" s="56" t="str">
        <f t="shared" si="17"/>
        <v> </v>
      </c>
      <c r="T534" s="52" t="s">
        <v>78</v>
      </c>
      <c r="U534" s="142" t="s">
        <v>184</v>
      </c>
      <c r="V534" s="43" t="s">
        <v>118</v>
      </c>
      <c r="W534" s="43"/>
      <c r="X534" s="52">
        <v>3.0</v>
      </c>
      <c r="Y534" s="43" t="s">
        <v>80</v>
      </c>
      <c r="Z534" s="58" t="s">
        <v>81</v>
      </c>
      <c r="AA534" s="59" t="str">
        <f>IF(Rentabilidad=0,"No aplica",TEXT(ROUND(Precio/Rentabilidad/12,0),0) &amp; " años")</f>
        <v>No aplica</v>
      </c>
      <c r="AB534" s="60"/>
      <c r="AC534" s="61"/>
      <c r="AD534" s="62"/>
      <c r="AE534" s="63"/>
      <c r="AF534" s="64" t="s">
        <v>236</v>
      </c>
      <c r="AG534" s="63"/>
      <c r="AH534" s="63"/>
      <c r="AI534" s="63"/>
      <c r="AJ534" s="64" t="s">
        <v>1834</v>
      </c>
      <c r="AK534" s="44"/>
      <c r="AL534" s="45" t="s">
        <v>2624</v>
      </c>
      <c r="AM534" s="52">
        <v>3.165838901E9</v>
      </c>
      <c r="AN534" s="45"/>
      <c r="AO534" s="52" t="s">
        <v>3336</v>
      </c>
      <c r="AP534" s="67" t="s">
        <v>3337</v>
      </c>
      <c r="AQ534" s="67"/>
      <c r="AR534" s="67"/>
      <c r="AS534" s="135">
        <v>0.0</v>
      </c>
      <c r="AT534" s="44">
        <v>0.0</v>
      </c>
      <c r="AU534" s="52">
        <v>0.0</v>
      </c>
      <c r="AV534" s="52">
        <v>0.0</v>
      </c>
      <c r="AW534" s="43" t="s">
        <v>88</v>
      </c>
      <c r="AX534" s="52">
        <v>0.0</v>
      </c>
      <c r="AY534" s="52">
        <v>0.0</v>
      </c>
      <c r="AZ534" s="52">
        <v>7.0</v>
      </c>
      <c r="BA534" s="43" t="s">
        <v>89</v>
      </c>
      <c r="BB534" s="52">
        <v>15.0</v>
      </c>
      <c r="BC534" s="95" t="s">
        <v>439</v>
      </c>
      <c r="BD534" s="71"/>
      <c r="BE534" s="71"/>
      <c r="BF534" s="130"/>
      <c r="BG534" s="73"/>
      <c r="BH534" s="73"/>
      <c r="BI534" s="73"/>
      <c r="BJ534" s="73"/>
      <c r="BK534" s="73"/>
      <c r="BL534" s="73"/>
      <c r="BM534" s="73"/>
      <c r="BN534" s="73"/>
      <c r="BO534" s="73"/>
      <c r="BP534" s="73"/>
      <c r="BQ534" s="73"/>
      <c r="BR534" s="73"/>
      <c r="BS534" s="73"/>
      <c r="BT534" s="73"/>
      <c r="BU534" s="73"/>
      <c r="BV534" s="73"/>
      <c r="BW534" s="74"/>
      <c r="BX534" s="74"/>
      <c r="BY534" s="63"/>
      <c r="BZ534" s="63"/>
    </row>
    <row r="535" ht="15.75" customHeight="1">
      <c r="A535" s="120" t="s">
        <v>3338</v>
      </c>
      <c r="B535" s="50" t="s">
        <v>3339</v>
      </c>
      <c r="C535" s="50" t="s">
        <v>271</v>
      </c>
      <c r="D535" s="50" t="s">
        <v>1222</v>
      </c>
      <c r="E535" s="64"/>
      <c r="F535" s="47">
        <v>2.4E8</v>
      </c>
      <c r="G535" s="44" t="str">
        <f t="shared" si="16"/>
        <v>$200'000.000 a $300'000.000</v>
      </c>
      <c r="H535" s="44"/>
      <c r="I535" s="44"/>
      <c r="J535" s="50" t="s">
        <v>183</v>
      </c>
      <c r="K535" s="51"/>
      <c r="L535" s="52">
        <v>6.0</v>
      </c>
      <c r="M535" s="52"/>
      <c r="N535" s="52">
        <v>3.0</v>
      </c>
      <c r="O535" s="43">
        <v>3.0</v>
      </c>
      <c r="P535" s="52">
        <v>1.0</v>
      </c>
      <c r="Q535" s="54">
        <v>240.0</v>
      </c>
      <c r="R535" s="55">
        <v>199.5</v>
      </c>
      <c r="S535" s="56" t="str">
        <f t="shared" si="17"/>
        <v>Rentabilidad $1,000,000</v>
      </c>
      <c r="T535" s="52" t="s">
        <v>78</v>
      </c>
      <c r="U535" s="142" t="s">
        <v>184</v>
      </c>
      <c r="V535" s="43" t="s">
        <v>118</v>
      </c>
      <c r="W535" s="43"/>
      <c r="X535" s="52">
        <v>0.0</v>
      </c>
      <c r="Y535" s="43" t="s">
        <v>80</v>
      </c>
      <c r="Z535" s="58" t="s">
        <v>81</v>
      </c>
      <c r="AA535" s="59" t="str">
        <f>IF(Rentabilidad=0,"No aplica",TEXT(ROUND(Precio/Rentabilidad/12,0),0) &amp; " años")</f>
        <v>20 años</v>
      </c>
      <c r="AB535" s="195"/>
      <c r="AC535" s="61"/>
      <c r="AD535" s="62"/>
      <c r="AE535" s="63"/>
      <c r="AF535" s="64" t="s">
        <v>236</v>
      </c>
      <c r="AG535" s="63"/>
      <c r="AH535" s="63"/>
      <c r="AI535" s="63"/>
      <c r="AJ535" s="64" t="s">
        <v>1834</v>
      </c>
      <c r="AK535" s="44"/>
      <c r="AL535" s="45" t="s">
        <v>109</v>
      </c>
      <c r="AM535" s="52">
        <v>3.114950632E9</v>
      </c>
      <c r="AN535" s="45"/>
      <c r="AO535" s="52" t="s">
        <v>3340</v>
      </c>
      <c r="AP535" s="67" t="s">
        <v>3341</v>
      </c>
      <c r="AQ535" s="67"/>
      <c r="AR535" s="67"/>
      <c r="AS535" s="135">
        <v>1000000.0</v>
      </c>
      <c r="AT535" s="44">
        <v>0.0</v>
      </c>
      <c r="AU535" s="52">
        <v>0.0</v>
      </c>
      <c r="AV535" s="52">
        <v>0.0</v>
      </c>
      <c r="AW535" s="43" t="s">
        <v>88</v>
      </c>
      <c r="AX535" s="52">
        <v>0.0</v>
      </c>
      <c r="AY535" s="52">
        <v>0.0</v>
      </c>
      <c r="AZ535" s="52">
        <v>9.5</v>
      </c>
      <c r="BA535" s="43" t="s">
        <v>89</v>
      </c>
      <c r="BB535" s="52">
        <v>21.0</v>
      </c>
      <c r="BC535" s="95" t="s">
        <v>3342</v>
      </c>
      <c r="BD535" s="71"/>
      <c r="BE535" s="71"/>
      <c r="BF535" s="130"/>
      <c r="BG535" s="73"/>
      <c r="BH535" s="73"/>
      <c r="BI535" s="73"/>
      <c r="BJ535" s="73"/>
      <c r="BK535" s="73"/>
      <c r="BL535" s="73"/>
      <c r="BM535" s="73"/>
      <c r="BN535" s="73"/>
      <c r="BO535" s="73"/>
      <c r="BP535" s="73"/>
      <c r="BQ535" s="73"/>
      <c r="BR535" s="73"/>
      <c r="BS535" s="73"/>
      <c r="BT535" s="73"/>
      <c r="BU535" s="73"/>
      <c r="BV535" s="73"/>
      <c r="BW535" s="74"/>
      <c r="BX535" s="74"/>
      <c r="BY535" s="63"/>
      <c r="BZ535" s="63"/>
    </row>
    <row r="536" ht="15.75" customHeight="1">
      <c r="A536" s="41" t="s">
        <v>3343</v>
      </c>
      <c r="B536" s="43" t="s">
        <v>1346</v>
      </c>
      <c r="C536" s="43" t="s">
        <v>70</v>
      </c>
      <c r="D536" s="50" t="s">
        <v>1347</v>
      </c>
      <c r="E536" s="64"/>
      <c r="F536" s="47">
        <v>2.35E8</v>
      </c>
      <c r="G536" s="44" t="str">
        <f t="shared" si="16"/>
        <v>$200'000.000 a $300'000.000</v>
      </c>
      <c r="H536" s="44"/>
      <c r="I536" s="44"/>
      <c r="J536" s="50" t="s">
        <v>183</v>
      </c>
      <c r="K536" s="51" t="s">
        <v>184</v>
      </c>
      <c r="L536" s="44">
        <v>4.0</v>
      </c>
      <c r="M536" s="44"/>
      <c r="N536" s="44">
        <v>2.0</v>
      </c>
      <c r="O536" s="50">
        <v>2.0</v>
      </c>
      <c r="P536" s="44">
        <v>2.0</v>
      </c>
      <c r="Q536" s="54"/>
      <c r="R536" s="55">
        <v>94.0</v>
      </c>
      <c r="S536" s="56" t="str">
        <f t="shared" si="17"/>
        <v> </v>
      </c>
      <c r="T536" s="52" t="s">
        <v>78</v>
      </c>
      <c r="U536" s="142" t="s">
        <v>184</v>
      </c>
      <c r="V536" s="50" t="s">
        <v>79</v>
      </c>
      <c r="W536" s="50"/>
      <c r="X536" s="44">
        <v>3.0</v>
      </c>
      <c r="Y536" s="50" t="s">
        <v>80</v>
      </c>
      <c r="Z536" s="58" t="s">
        <v>81</v>
      </c>
      <c r="AA536" s="59" t="str">
        <f>IF(Rentabilidad=0,"No aplica",TEXT(ROUND(Precio/Rentabilidad/12,0),0) &amp; " años")</f>
        <v>No aplica</v>
      </c>
      <c r="AB536" s="60"/>
      <c r="AC536" s="61"/>
      <c r="AD536" s="62"/>
      <c r="AE536" s="63"/>
      <c r="AF536" s="45" t="s">
        <v>105</v>
      </c>
      <c r="AG536" s="63"/>
      <c r="AH536" s="63"/>
      <c r="AI536" s="63"/>
      <c r="AJ536" s="64" t="s">
        <v>1834</v>
      </c>
      <c r="AK536" s="44"/>
      <c r="AL536" s="45" t="s">
        <v>2986</v>
      </c>
      <c r="AM536" s="52">
        <v>3.142965147E9</v>
      </c>
      <c r="AN536" s="45"/>
      <c r="AO536" s="52" t="s">
        <v>3344</v>
      </c>
      <c r="AP536" s="67" t="s">
        <v>3345</v>
      </c>
      <c r="AQ536" s="67"/>
      <c r="AR536" s="67"/>
      <c r="AS536" s="68">
        <v>0.0</v>
      </c>
      <c r="AT536" s="44">
        <v>0.0</v>
      </c>
      <c r="AU536" s="44">
        <v>0.0</v>
      </c>
      <c r="AV536" s="44">
        <v>0.0</v>
      </c>
      <c r="AW536" s="44" t="s">
        <v>106</v>
      </c>
      <c r="AX536" s="44">
        <v>0.0</v>
      </c>
      <c r="AY536" s="44" t="s">
        <v>247</v>
      </c>
      <c r="AZ536" s="44">
        <v>0.0</v>
      </c>
      <c r="BA536" s="43" t="s">
        <v>89</v>
      </c>
      <c r="BB536" s="44">
        <v>0.0</v>
      </c>
      <c r="BC536" s="95"/>
      <c r="BD536" s="71"/>
      <c r="BE536" s="71"/>
      <c r="BF536" s="72"/>
      <c r="BG536" s="73"/>
      <c r="BH536" s="73"/>
      <c r="BI536" s="73"/>
      <c r="BJ536" s="73"/>
      <c r="BK536" s="73"/>
      <c r="BL536" s="73"/>
      <c r="BM536" s="73"/>
      <c r="BN536" s="73"/>
      <c r="BO536" s="73"/>
      <c r="BP536" s="73"/>
      <c r="BQ536" s="73"/>
      <c r="BR536" s="73"/>
      <c r="BS536" s="73"/>
      <c r="BT536" s="73"/>
      <c r="BU536" s="73"/>
      <c r="BV536" s="73"/>
      <c r="BW536" s="74"/>
      <c r="BX536" s="74"/>
      <c r="BY536" s="63"/>
      <c r="BZ536" s="63"/>
    </row>
    <row r="537" ht="15.75" customHeight="1">
      <c r="A537" s="152" t="s">
        <v>3346</v>
      </c>
      <c r="B537" s="50" t="s">
        <v>3347</v>
      </c>
      <c r="C537" s="50" t="s">
        <v>70</v>
      </c>
      <c r="D537" s="50" t="s">
        <v>72</v>
      </c>
      <c r="E537" s="77"/>
      <c r="F537" s="78">
        <v>2.3E8</v>
      </c>
      <c r="G537" s="44" t="str">
        <f t="shared" si="16"/>
        <v>$200'000.000 a $300'000.000</v>
      </c>
      <c r="H537" s="44"/>
      <c r="I537" s="44"/>
      <c r="J537" s="50" t="s">
        <v>183</v>
      </c>
      <c r="K537" s="51" t="s">
        <v>77</v>
      </c>
      <c r="L537" s="50">
        <v>3.0</v>
      </c>
      <c r="M537" s="50"/>
      <c r="N537" s="50">
        <v>2.0</v>
      </c>
      <c r="O537" s="50">
        <v>1.0</v>
      </c>
      <c r="P537" s="50">
        <v>2.0</v>
      </c>
      <c r="Q537" s="88">
        <v>84.0</v>
      </c>
      <c r="R537" s="88">
        <v>84.0</v>
      </c>
      <c r="S537" s="56" t="str">
        <f t="shared" si="17"/>
        <v> </v>
      </c>
      <c r="T537" s="50" t="s">
        <v>78</v>
      </c>
      <c r="U537" s="51" t="s">
        <v>77</v>
      </c>
      <c r="V537" s="50" t="s">
        <v>79</v>
      </c>
      <c r="W537" s="50"/>
      <c r="X537" s="50">
        <v>0.0</v>
      </c>
      <c r="Y537" s="43"/>
      <c r="Z537" s="58"/>
      <c r="AA537" s="81"/>
      <c r="AB537" s="123"/>
      <c r="AC537" s="124"/>
      <c r="AD537" s="125"/>
      <c r="AE537" s="63"/>
      <c r="AF537" s="64" t="s">
        <v>105</v>
      </c>
      <c r="AG537" s="65"/>
      <c r="AH537" s="65" t="s">
        <v>45</v>
      </c>
      <c r="AI537" s="65"/>
      <c r="AJ537" s="64" t="s">
        <v>1834</v>
      </c>
      <c r="AK537" s="50"/>
      <c r="AL537" s="45"/>
      <c r="AM537" s="43">
        <v>3.214148055E9</v>
      </c>
      <c r="AN537" s="45">
        <f>50683732967</f>
        <v>50683732967</v>
      </c>
      <c r="AO537" s="43" t="s">
        <v>3348</v>
      </c>
      <c r="AP537" s="84"/>
      <c r="AQ537" s="84"/>
      <c r="AR537" s="84"/>
      <c r="AS537" s="85"/>
      <c r="AT537" s="50"/>
      <c r="AU537" s="50"/>
      <c r="AV537" s="44"/>
      <c r="AW537" s="50" t="s">
        <v>106</v>
      </c>
      <c r="AX537" s="50"/>
      <c r="AY537" s="50"/>
      <c r="AZ537" s="44"/>
      <c r="BA537" s="43" t="s">
        <v>89</v>
      </c>
      <c r="BB537" s="44"/>
      <c r="BC537" s="86"/>
      <c r="BD537" s="71"/>
      <c r="BE537" s="71"/>
      <c r="BF537" s="130"/>
      <c r="BG537" s="73"/>
      <c r="BH537" s="73"/>
      <c r="BI537" s="73"/>
      <c r="BJ537" s="73"/>
      <c r="BK537" s="73"/>
      <c r="BL537" s="73"/>
      <c r="BM537" s="73"/>
      <c r="BN537" s="73"/>
      <c r="BO537" s="73"/>
      <c r="BP537" s="73"/>
      <c r="BQ537" s="73"/>
      <c r="BR537" s="73"/>
      <c r="BS537" s="73"/>
      <c r="BT537" s="73"/>
      <c r="BU537" s="73"/>
      <c r="BV537" s="73"/>
      <c r="BW537" s="74"/>
      <c r="BX537" s="74"/>
      <c r="BY537" s="63"/>
      <c r="BZ537" s="63"/>
    </row>
    <row r="538" ht="15.75" customHeight="1">
      <c r="A538" s="120" t="s">
        <v>3349</v>
      </c>
      <c r="B538" s="43" t="s">
        <v>388</v>
      </c>
      <c r="C538" s="43" t="s">
        <v>70</v>
      </c>
      <c r="D538" s="52" t="s">
        <v>163</v>
      </c>
      <c r="E538" s="45"/>
      <c r="F538" s="47">
        <v>2.3E8</v>
      </c>
      <c r="G538" s="44" t="str">
        <f t="shared" si="16"/>
        <v>$200'000.000 a $300'000.000</v>
      </c>
      <c r="H538" s="44"/>
      <c r="I538" s="44"/>
      <c r="J538" s="43" t="s">
        <v>76</v>
      </c>
      <c r="K538" s="56" t="s">
        <v>77</v>
      </c>
      <c r="L538" s="52">
        <v>3.0</v>
      </c>
      <c r="M538" s="52"/>
      <c r="N538" s="52">
        <v>1.0</v>
      </c>
      <c r="O538" s="43">
        <v>0.0</v>
      </c>
      <c r="P538" s="52">
        <v>1.0</v>
      </c>
      <c r="Q538" s="54">
        <v>120.0</v>
      </c>
      <c r="R538" s="55">
        <v>120.0</v>
      </c>
      <c r="S538" s="56" t="str">
        <f t="shared" si="17"/>
        <v> </v>
      </c>
      <c r="T538" s="44" t="s">
        <v>78</v>
      </c>
      <c r="U538" s="142" t="s">
        <v>184</v>
      </c>
      <c r="V538" s="43" t="s">
        <v>79</v>
      </c>
      <c r="W538" s="43"/>
      <c r="X538" s="52">
        <v>0.0</v>
      </c>
      <c r="Y538" s="43" t="s">
        <v>80</v>
      </c>
      <c r="Z538" s="58" t="s">
        <v>81</v>
      </c>
      <c r="AA538" s="59" t="str">
        <f>IF(Rentabilidad=0,"No aplica",TEXT(ROUND(Precio/Rentabilidad/12,0),0) &amp; " años")</f>
        <v>No aplica</v>
      </c>
      <c r="AB538" s="60"/>
      <c r="AC538" s="61"/>
      <c r="AD538" s="62"/>
      <c r="AE538" s="63"/>
      <c r="AF538" s="64" t="s">
        <v>84</v>
      </c>
      <c r="AG538" s="63"/>
      <c r="AH538" s="65" t="s">
        <v>45</v>
      </c>
      <c r="AI538" s="63"/>
      <c r="AJ538" s="64" t="s">
        <v>1834</v>
      </c>
      <c r="AK538" s="44"/>
      <c r="AL538" s="45" t="s">
        <v>2826</v>
      </c>
      <c r="AM538" s="52">
        <v>3.115967492E9</v>
      </c>
      <c r="AN538" s="45"/>
      <c r="AO538" s="52" t="s">
        <v>3350</v>
      </c>
      <c r="AP538" s="67" t="s">
        <v>3351</v>
      </c>
      <c r="AQ538" s="67"/>
      <c r="AR538" s="67"/>
      <c r="AS538" s="135">
        <v>0.0</v>
      </c>
      <c r="AT538" s="44">
        <v>0.0</v>
      </c>
      <c r="AU538" s="52">
        <v>0.0</v>
      </c>
      <c r="AV538" s="52">
        <v>0.0</v>
      </c>
      <c r="AW538" s="52" t="s">
        <v>88</v>
      </c>
      <c r="AX538" s="44">
        <v>0.0</v>
      </c>
      <c r="AY538" s="44" t="s">
        <v>137</v>
      </c>
      <c r="AZ538" s="52">
        <v>6.0</v>
      </c>
      <c r="BA538" s="43" t="s">
        <v>89</v>
      </c>
      <c r="BB538" s="52">
        <v>20.0</v>
      </c>
      <c r="BC538" s="154"/>
      <c r="BD538" s="155"/>
      <c r="BE538" s="156"/>
      <c r="BF538" s="157"/>
      <c r="BG538" s="73"/>
      <c r="BH538" s="73"/>
      <c r="BI538" s="73"/>
      <c r="BJ538" s="73"/>
      <c r="BK538" s="73"/>
      <c r="BL538" s="73"/>
      <c r="BM538" s="73"/>
      <c r="BN538" s="73"/>
      <c r="BO538" s="73"/>
      <c r="BP538" s="73"/>
      <c r="BQ538" s="73"/>
      <c r="BR538" s="73"/>
      <c r="BS538" s="73"/>
      <c r="BT538" s="73"/>
      <c r="BU538" s="73"/>
      <c r="BV538" s="73"/>
      <c r="BW538" s="74"/>
      <c r="BX538" s="74"/>
      <c r="BY538" s="63"/>
      <c r="BZ538" s="63"/>
    </row>
    <row r="539" ht="15.75" customHeight="1">
      <c r="A539" s="120" t="s">
        <v>3352</v>
      </c>
      <c r="B539" s="43" t="s">
        <v>3335</v>
      </c>
      <c r="C539" s="43" t="s">
        <v>70</v>
      </c>
      <c r="D539" s="52" t="s">
        <v>182</v>
      </c>
      <c r="E539" s="45"/>
      <c r="F539" s="47">
        <v>2.3E8</v>
      </c>
      <c r="G539" s="44" t="str">
        <f t="shared" si="16"/>
        <v>$200'000.000 a $300'000.000</v>
      </c>
      <c r="H539" s="44"/>
      <c r="I539" s="44"/>
      <c r="J539" s="43" t="s">
        <v>183</v>
      </c>
      <c r="K539" s="56" t="s">
        <v>184</v>
      </c>
      <c r="L539" s="52">
        <v>3.0</v>
      </c>
      <c r="M539" s="52"/>
      <c r="N539" s="52">
        <v>2.0</v>
      </c>
      <c r="O539" s="43">
        <v>1.0</v>
      </c>
      <c r="P539" s="52">
        <v>2.0</v>
      </c>
      <c r="Q539" s="54"/>
      <c r="R539" s="55">
        <v>105.0</v>
      </c>
      <c r="S539" s="56" t="str">
        <f t="shared" si="17"/>
        <v>Rentabilidad $800,000</v>
      </c>
      <c r="T539" s="52" t="s">
        <v>78</v>
      </c>
      <c r="U539" s="142" t="s">
        <v>77</v>
      </c>
      <c r="V539" s="43" t="s">
        <v>118</v>
      </c>
      <c r="W539" s="43"/>
      <c r="X539" s="52">
        <v>3.0</v>
      </c>
      <c r="Y539" s="43" t="s">
        <v>80</v>
      </c>
      <c r="Z539" s="58" t="s">
        <v>81</v>
      </c>
      <c r="AA539" s="59" t="str">
        <f>IF(Rentabilidad=0,"No aplica",TEXT(ROUND(Precio/Rentabilidad/12,0),0) &amp; " años")</f>
        <v>24 años</v>
      </c>
      <c r="AB539" s="60"/>
      <c r="AC539" s="61"/>
      <c r="AD539" s="62"/>
      <c r="AE539" s="63"/>
      <c r="AF539" s="45" t="s">
        <v>105</v>
      </c>
      <c r="AG539" s="63"/>
      <c r="AH539" s="63"/>
      <c r="AI539" s="63"/>
      <c r="AJ539" s="64" t="s">
        <v>1834</v>
      </c>
      <c r="AK539" s="44"/>
      <c r="AL539" s="45" t="s">
        <v>86</v>
      </c>
      <c r="AM539" s="52">
        <v>3.107866986E9</v>
      </c>
      <c r="AN539" s="45"/>
      <c r="AO539" s="52" t="s">
        <v>3353</v>
      </c>
      <c r="AP539" s="67" t="s">
        <v>3354</v>
      </c>
      <c r="AQ539" s="67"/>
      <c r="AR539" s="67"/>
      <c r="AS539" s="135">
        <v>800000.0</v>
      </c>
      <c r="AT539" s="44">
        <v>0.0</v>
      </c>
      <c r="AU539" s="52">
        <v>0.0</v>
      </c>
      <c r="AV539" s="52">
        <v>0.0</v>
      </c>
      <c r="AW539" s="43" t="s">
        <v>88</v>
      </c>
      <c r="AX539" s="52">
        <v>0.0</v>
      </c>
      <c r="AY539" s="52">
        <v>0.0</v>
      </c>
      <c r="AZ539" s="52">
        <v>7.0</v>
      </c>
      <c r="BA539" s="43" t="s">
        <v>89</v>
      </c>
      <c r="BB539" s="52">
        <v>15.0</v>
      </c>
      <c r="BC539" s="109"/>
      <c r="BD539" s="70"/>
      <c r="BE539" s="71"/>
      <c r="BF539" s="72"/>
      <c r="BG539" s="73"/>
      <c r="BH539" s="73"/>
      <c r="BI539" s="73"/>
      <c r="BJ539" s="73"/>
      <c r="BK539" s="73"/>
      <c r="BL539" s="73"/>
      <c r="BM539" s="73"/>
      <c r="BN539" s="73"/>
      <c r="BO539" s="73"/>
      <c r="BP539" s="73"/>
      <c r="BQ539" s="73"/>
      <c r="BR539" s="73"/>
      <c r="BS539" s="73"/>
      <c r="BT539" s="73"/>
      <c r="BU539" s="73"/>
      <c r="BV539" s="73"/>
      <c r="BW539" s="74"/>
      <c r="BX539" s="74"/>
      <c r="BY539" s="63"/>
      <c r="BZ539" s="63"/>
    </row>
    <row r="540" ht="15.75" customHeight="1">
      <c r="A540" s="41" t="s">
        <v>3355</v>
      </c>
      <c r="B540" s="50" t="s">
        <v>3356</v>
      </c>
      <c r="C540" s="50" t="s">
        <v>271</v>
      </c>
      <c r="D540" s="44" t="s">
        <v>3357</v>
      </c>
      <c r="E540" s="45"/>
      <c r="F540" s="47">
        <v>2.2E8</v>
      </c>
      <c r="G540" s="44" t="str">
        <f t="shared" si="16"/>
        <v>$200'000.000 a $300'000.000</v>
      </c>
      <c r="H540" s="44"/>
      <c r="I540" s="44"/>
      <c r="J540" s="50" t="s">
        <v>183</v>
      </c>
      <c r="K540" s="57"/>
      <c r="L540" s="52">
        <v>7.0</v>
      </c>
      <c r="M540" s="52"/>
      <c r="N540" s="52">
        <v>3.0</v>
      </c>
      <c r="O540" s="43">
        <v>0.0</v>
      </c>
      <c r="P540" s="52">
        <v>2.0</v>
      </c>
      <c r="Q540" s="54"/>
      <c r="R540" s="55">
        <v>91.0</v>
      </c>
      <c r="S540" s="56" t="str">
        <f t="shared" si="17"/>
        <v>Rentabilidad $1,200,000</v>
      </c>
      <c r="T540" s="52" t="s">
        <v>78</v>
      </c>
      <c r="U540" s="142" t="s">
        <v>77</v>
      </c>
      <c r="V540" s="43" t="s">
        <v>79</v>
      </c>
      <c r="W540" s="43"/>
      <c r="X540" s="52">
        <v>7.0</v>
      </c>
      <c r="Y540" s="43" t="s">
        <v>80</v>
      </c>
      <c r="Z540" s="80" t="s">
        <v>81</v>
      </c>
      <c r="AA540" s="59" t="str">
        <f>IF(Rentabilidad=0,"No aplica",TEXT(ROUND(Precio/Rentabilidad/12,0),0) &amp; " años")</f>
        <v>15 años</v>
      </c>
      <c r="AB540" s="134" t="s">
        <v>3358</v>
      </c>
      <c r="AC540" s="61"/>
      <c r="AD540" s="62"/>
      <c r="AE540" s="63"/>
      <c r="AF540" s="45" t="s">
        <v>236</v>
      </c>
      <c r="AG540" s="63"/>
      <c r="AH540" s="63"/>
      <c r="AI540" s="63"/>
      <c r="AJ540" s="64" t="s">
        <v>1834</v>
      </c>
      <c r="AK540" s="44"/>
      <c r="AL540" s="45" t="s">
        <v>109</v>
      </c>
      <c r="AM540" s="52">
        <v>0.0</v>
      </c>
      <c r="AN540" s="45"/>
      <c r="AO540" s="93"/>
      <c r="AP540" s="67"/>
      <c r="AQ540" s="67"/>
      <c r="AR540" s="67"/>
      <c r="AS540" s="135">
        <v>1200000.0</v>
      </c>
      <c r="AT540" s="44">
        <v>0.0</v>
      </c>
      <c r="AU540" s="52">
        <v>0.0</v>
      </c>
      <c r="AV540" s="52">
        <v>0.0</v>
      </c>
      <c r="AW540" s="43" t="s">
        <v>88</v>
      </c>
      <c r="AX540" s="52">
        <v>0.0</v>
      </c>
      <c r="AY540" s="52">
        <v>0.0</v>
      </c>
      <c r="AZ540" s="52">
        <v>7.0</v>
      </c>
      <c r="BA540" s="43" t="s">
        <v>89</v>
      </c>
      <c r="BB540" s="52">
        <v>13.0</v>
      </c>
      <c r="BC540" s="95" t="s">
        <v>1610</v>
      </c>
      <c r="BD540" s="71"/>
      <c r="BE540" s="71"/>
      <c r="BF540" s="72" t="s">
        <v>3359</v>
      </c>
      <c r="BG540" s="73"/>
      <c r="BH540" s="73"/>
      <c r="BI540" s="73"/>
      <c r="BJ540" s="73"/>
      <c r="BK540" s="73"/>
      <c r="BL540" s="73"/>
      <c r="BM540" s="73"/>
      <c r="BN540" s="73"/>
      <c r="BO540" s="73"/>
      <c r="BP540" s="73"/>
      <c r="BQ540" s="73"/>
      <c r="BR540" s="73"/>
      <c r="BS540" s="73"/>
      <c r="BT540" s="73"/>
      <c r="BU540" s="73"/>
      <c r="BV540" s="73"/>
      <c r="BW540" s="74"/>
      <c r="BX540" s="74"/>
      <c r="BY540" s="63"/>
      <c r="BZ540" s="63"/>
    </row>
    <row r="541" ht="15.75" customHeight="1">
      <c r="A541" s="120" t="s">
        <v>3360</v>
      </c>
      <c r="B541" s="50" t="s">
        <v>3361</v>
      </c>
      <c r="C541" s="50" t="s">
        <v>271</v>
      </c>
      <c r="D541" s="44" t="s">
        <v>1903</v>
      </c>
      <c r="E541" s="77" t="s">
        <v>376</v>
      </c>
      <c r="F541" s="47">
        <v>2.2E8</v>
      </c>
      <c r="G541" s="44" t="str">
        <f t="shared" si="16"/>
        <v>$200'000.000 a $300'000.000</v>
      </c>
      <c r="H541" s="44"/>
      <c r="I541" s="44"/>
      <c r="J541" s="50" t="s">
        <v>183</v>
      </c>
      <c r="K541" s="57"/>
      <c r="L541" s="52">
        <v>6.0</v>
      </c>
      <c r="M541" s="52"/>
      <c r="N541" s="52">
        <v>3.0</v>
      </c>
      <c r="O541" s="43">
        <v>1.0</v>
      </c>
      <c r="P541" s="52">
        <v>2.0</v>
      </c>
      <c r="Q541" s="54">
        <v>172.0</v>
      </c>
      <c r="R541" s="55">
        <v>90.0</v>
      </c>
      <c r="S541" s="56" t="str">
        <f t="shared" si="17"/>
        <v>Rentabilidad $1,100,000</v>
      </c>
      <c r="T541" s="52" t="s">
        <v>78</v>
      </c>
      <c r="U541" s="142" t="s">
        <v>184</v>
      </c>
      <c r="V541" s="43" t="s">
        <v>79</v>
      </c>
      <c r="W541" s="43"/>
      <c r="X541" s="52">
        <v>3.0</v>
      </c>
      <c r="Y541" s="43" t="s">
        <v>80</v>
      </c>
      <c r="Z541" s="80" t="s">
        <v>81</v>
      </c>
      <c r="AA541" s="59" t="str">
        <f>IF(Rentabilidad=0,"No aplica",TEXT(ROUND(Precio/Rentabilidad/12,0),0) &amp; " años")</f>
        <v>17 años</v>
      </c>
      <c r="AB541" s="134" t="s">
        <v>3362</v>
      </c>
      <c r="AC541" s="61"/>
      <c r="AD541" s="62"/>
      <c r="AE541" s="63"/>
      <c r="AF541" s="45" t="s">
        <v>105</v>
      </c>
      <c r="AG541" s="63"/>
      <c r="AH541" s="63"/>
      <c r="AI541" s="65"/>
      <c r="AJ541" s="64" t="s">
        <v>1834</v>
      </c>
      <c r="AK541" s="44"/>
      <c r="AL541" s="45" t="s">
        <v>1925</v>
      </c>
      <c r="AM541" s="52">
        <v>3.1759549E9</v>
      </c>
      <c r="AN541" s="45">
        <v>3.176760676E9</v>
      </c>
      <c r="AO541" s="52" t="s">
        <v>3363</v>
      </c>
      <c r="AP541" s="67" t="s">
        <v>3364</v>
      </c>
      <c r="AQ541" s="67"/>
      <c r="AR541" s="67"/>
      <c r="AS541" s="135">
        <v>1100000.0</v>
      </c>
      <c r="AT541" s="44">
        <v>0.0</v>
      </c>
      <c r="AU541" s="52">
        <v>0.0</v>
      </c>
      <c r="AV541" s="52">
        <v>0.0</v>
      </c>
      <c r="AW541" s="43" t="s">
        <v>88</v>
      </c>
      <c r="AX541" s="52">
        <v>0.0</v>
      </c>
      <c r="AY541" s="52">
        <v>0.0</v>
      </c>
      <c r="AZ541" s="52">
        <v>6.0</v>
      </c>
      <c r="BA541" s="43" t="s">
        <v>89</v>
      </c>
      <c r="BB541" s="52">
        <v>15.0</v>
      </c>
      <c r="BC541" s="69" t="s">
        <v>3365</v>
      </c>
      <c r="BD541" s="70"/>
      <c r="BE541" s="71"/>
      <c r="BF541" s="72" t="s">
        <v>3366</v>
      </c>
      <c r="BG541" s="73"/>
      <c r="BH541" s="73"/>
      <c r="BI541" s="73"/>
      <c r="BJ541" s="73"/>
      <c r="BK541" s="73"/>
      <c r="BL541" s="73"/>
      <c r="BM541" s="73"/>
      <c r="BN541" s="73"/>
      <c r="BO541" s="73"/>
      <c r="BP541" s="73"/>
      <c r="BQ541" s="73"/>
      <c r="BR541" s="73"/>
      <c r="BS541" s="73"/>
      <c r="BT541" s="73"/>
      <c r="BU541" s="73"/>
      <c r="BV541" s="73"/>
      <c r="BW541" s="74"/>
      <c r="BX541" s="74"/>
      <c r="BY541" s="63"/>
      <c r="BZ541" s="63"/>
    </row>
    <row r="542" ht="15.75" customHeight="1">
      <c r="A542" s="120" t="s">
        <v>3367</v>
      </c>
      <c r="B542" s="43" t="s">
        <v>3261</v>
      </c>
      <c r="C542" s="43" t="s">
        <v>70</v>
      </c>
      <c r="D542" s="44" t="s">
        <v>2840</v>
      </c>
      <c r="E542" s="77" t="s">
        <v>376</v>
      </c>
      <c r="F542" s="47">
        <v>2.2E8</v>
      </c>
      <c r="G542" s="44" t="str">
        <f t="shared" si="16"/>
        <v>$200'000.000 a $300'000.000</v>
      </c>
      <c r="H542" s="44"/>
      <c r="I542" s="44"/>
      <c r="J542" s="50" t="s">
        <v>183</v>
      </c>
      <c r="K542" s="57"/>
      <c r="L542" s="52">
        <v>3.0</v>
      </c>
      <c r="M542" s="52"/>
      <c r="N542" s="52">
        <v>2.0</v>
      </c>
      <c r="O542" s="43">
        <v>1.0</v>
      </c>
      <c r="P542" s="52">
        <v>1.0</v>
      </c>
      <c r="Q542" s="54"/>
      <c r="R542" s="55">
        <v>72.0</v>
      </c>
      <c r="S542" s="56" t="str">
        <f t="shared" si="17"/>
        <v>Rentabilidad $750,000</v>
      </c>
      <c r="T542" s="52" t="s">
        <v>78</v>
      </c>
      <c r="U542" s="142" t="s">
        <v>184</v>
      </c>
      <c r="V542" s="43" t="s">
        <v>79</v>
      </c>
      <c r="W542" s="43"/>
      <c r="X542" s="52">
        <v>3.0</v>
      </c>
      <c r="Y542" s="43" t="s">
        <v>80</v>
      </c>
      <c r="Z542" s="58" t="s">
        <v>81</v>
      </c>
      <c r="AA542" s="59" t="str">
        <f>IF(Rentabilidad=0,"No aplica",TEXT(ROUND(Precio/Rentabilidad/12,0),0) &amp; " años")</f>
        <v>24 años</v>
      </c>
      <c r="AB542" s="60"/>
      <c r="AC542" s="61"/>
      <c r="AD542" s="62"/>
      <c r="AE542" s="63"/>
      <c r="AF542" s="45" t="s">
        <v>105</v>
      </c>
      <c r="AG542" s="63"/>
      <c r="AH542" s="63"/>
      <c r="AI542" s="63"/>
      <c r="AJ542" s="64" t="s">
        <v>1834</v>
      </c>
      <c r="AK542" s="44"/>
      <c r="AL542" s="45" t="s">
        <v>2661</v>
      </c>
      <c r="AM542" s="52">
        <v>3.142564846E9</v>
      </c>
      <c r="AN542" s="45"/>
      <c r="AO542" s="52" t="s">
        <v>3368</v>
      </c>
      <c r="AP542" s="67" t="s">
        <v>3369</v>
      </c>
      <c r="AQ542" s="67"/>
      <c r="AR542" s="67"/>
      <c r="AS542" s="135">
        <v>750000.0</v>
      </c>
      <c r="AT542" s="44">
        <v>0.0</v>
      </c>
      <c r="AU542" s="52">
        <v>0.0</v>
      </c>
      <c r="AV542" s="52">
        <v>0.0</v>
      </c>
      <c r="AW542" s="43" t="s">
        <v>88</v>
      </c>
      <c r="AX542" s="52">
        <v>0.0</v>
      </c>
      <c r="AY542" s="52">
        <v>0.0</v>
      </c>
      <c r="AZ542" s="52">
        <v>6.0</v>
      </c>
      <c r="BA542" s="43" t="s">
        <v>89</v>
      </c>
      <c r="BB542" s="52">
        <v>12.0</v>
      </c>
      <c r="BC542" s="109"/>
      <c r="BD542" s="70"/>
      <c r="BE542" s="71"/>
      <c r="BF542" s="130"/>
      <c r="BG542" s="73"/>
      <c r="BH542" s="73"/>
      <c r="BI542" s="73"/>
      <c r="BJ542" s="73"/>
      <c r="BK542" s="73"/>
      <c r="BL542" s="73"/>
      <c r="BM542" s="73"/>
      <c r="BN542" s="73"/>
      <c r="BO542" s="73"/>
      <c r="BP542" s="73"/>
      <c r="BQ542" s="73"/>
      <c r="BR542" s="73"/>
      <c r="BS542" s="73"/>
      <c r="BT542" s="73"/>
      <c r="BU542" s="73"/>
      <c r="BV542" s="73"/>
      <c r="BW542" s="74"/>
      <c r="BX542" s="74"/>
      <c r="BY542" s="63"/>
      <c r="BZ542" s="63"/>
    </row>
    <row r="543" ht="15.75" customHeight="1">
      <c r="A543" s="133" t="s">
        <v>3370</v>
      </c>
      <c r="B543" s="50" t="s">
        <v>3256</v>
      </c>
      <c r="C543" s="50" t="s">
        <v>70</v>
      </c>
      <c r="D543" s="44" t="s">
        <v>1216</v>
      </c>
      <c r="E543" s="77" t="s">
        <v>376</v>
      </c>
      <c r="F543" s="78">
        <v>2.2E8</v>
      </c>
      <c r="G543" s="44" t="str">
        <f t="shared" si="16"/>
        <v>$200'000.000 a $300'000.000</v>
      </c>
      <c r="H543" s="44"/>
      <c r="I543" s="44"/>
      <c r="J543" s="50" t="s">
        <v>76</v>
      </c>
      <c r="K543" s="51" t="s">
        <v>77</v>
      </c>
      <c r="L543" s="44">
        <v>3.0</v>
      </c>
      <c r="M543" s="44"/>
      <c r="N543" s="44">
        <v>1.0</v>
      </c>
      <c r="O543" s="50">
        <v>1.0</v>
      </c>
      <c r="P543" s="44">
        <v>1.0</v>
      </c>
      <c r="Q543" s="113"/>
      <c r="R543" s="79">
        <v>90.0</v>
      </c>
      <c r="S543" s="56" t="str">
        <f t="shared" si="17"/>
        <v> </v>
      </c>
      <c r="T543" s="44" t="s">
        <v>78</v>
      </c>
      <c r="U543" s="51" t="s">
        <v>184</v>
      </c>
      <c r="V543" s="50" t="s">
        <v>79</v>
      </c>
      <c r="W543" s="50"/>
      <c r="X543" s="44">
        <v>0.0</v>
      </c>
      <c r="Y543" s="50" t="s">
        <v>80</v>
      </c>
      <c r="Z543" s="58" t="s">
        <v>81</v>
      </c>
      <c r="AA543" s="59" t="str">
        <f>IF(Rentabilidad=0,"No aplica",TEXT(ROUND(Precio/Rentabilidad/12,0),0) &amp; " años")</f>
        <v>No aplica</v>
      </c>
      <c r="AB543" s="60"/>
      <c r="AC543" s="61"/>
      <c r="AD543" s="62"/>
      <c r="AE543" s="63"/>
      <c r="AF543" s="64" t="s">
        <v>84</v>
      </c>
      <c r="AG543" s="63"/>
      <c r="AH543" s="65" t="s">
        <v>45</v>
      </c>
      <c r="AI543" s="63"/>
      <c r="AJ543" s="64" t="s">
        <v>1834</v>
      </c>
      <c r="AK543" s="44"/>
      <c r="AL543" s="45" t="s">
        <v>2843</v>
      </c>
      <c r="AM543" s="52">
        <v>3.208420067E9</v>
      </c>
      <c r="AN543" s="45"/>
      <c r="AO543" s="43" t="s">
        <v>3371</v>
      </c>
      <c r="AP543" s="67"/>
      <c r="AQ543" s="67"/>
      <c r="AR543" s="67"/>
      <c r="AS543" s="68">
        <v>0.0</v>
      </c>
      <c r="AT543" s="44">
        <v>0.0</v>
      </c>
      <c r="AU543" s="52">
        <v>0.0</v>
      </c>
      <c r="AV543" s="52">
        <v>0.0</v>
      </c>
      <c r="AW543" s="43" t="s">
        <v>88</v>
      </c>
      <c r="AX543" s="52">
        <v>0.0</v>
      </c>
      <c r="AY543" s="52">
        <v>0.0</v>
      </c>
      <c r="AZ543" s="44">
        <v>0.0</v>
      </c>
      <c r="BA543" s="43" t="s">
        <v>89</v>
      </c>
      <c r="BB543" s="44">
        <v>0.0</v>
      </c>
      <c r="BC543" s="95" t="s">
        <v>1572</v>
      </c>
      <c r="BD543" s="71"/>
      <c r="BE543" s="71"/>
      <c r="BF543" s="72"/>
      <c r="BG543" s="73"/>
      <c r="BH543" s="73"/>
      <c r="BI543" s="73"/>
      <c r="BJ543" s="73"/>
      <c r="BK543" s="73"/>
      <c r="BL543" s="73"/>
      <c r="BM543" s="73"/>
      <c r="BN543" s="73"/>
      <c r="BO543" s="73"/>
      <c r="BP543" s="73"/>
      <c r="BQ543" s="73"/>
      <c r="BR543" s="73"/>
      <c r="BS543" s="73"/>
      <c r="BT543" s="73"/>
      <c r="BU543" s="73"/>
      <c r="BV543" s="73"/>
      <c r="BW543" s="74"/>
      <c r="BX543" s="74"/>
      <c r="BY543" s="63"/>
      <c r="BZ543" s="63"/>
    </row>
    <row r="544" ht="15.75" customHeight="1">
      <c r="A544" s="41" t="s">
        <v>3372</v>
      </c>
      <c r="B544" s="50" t="s">
        <v>3261</v>
      </c>
      <c r="C544" s="50" t="s">
        <v>70</v>
      </c>
      <c r="D544" s="44" t="s">
        <v>2840</v>
      </c>
      <c r="E544" s="77" t="s">
        <v>376</v>
      </c>
      <c r="F544" s="47">
        <v>2.15E8</v>
      </c>
      <c r="G544" s="44" t="str">
        <f t="shared" si="16"/>
        <v>$200'000.000 a $300'000.000</v>
      </c>
      <c r="H544" s="44"/>
      <c r="I544" s="44"/>
      <c r="J544" s="50" t="s">
        <v>183</v>
      </c>
      <c r="K544" s="57"/>
      <c r="L544" s="44">
        <v>5.0</v>
      </c>
      <c r="M544" s="44"/>
      <c r="N544" s="44">
        <v>3.0</v>
      </c>
      <c r="O544" s="50">
        <v>1.0</v>
      </c>
      <c r="P544" s="44">
        <v>2.0</v>
      </c>
      <c r="Q544" s="113"/>
      <c r="R544" s="79">
        <v>108.0</v>
      </c>
      <c r="S544" s="56" t="str">
        <f t="shared" si="17"/>
        <v>Rentabilidad $800,000</v>
      </c>
      <c r="T544" s="44" t="s">
        <v>78</v>
      </c>
      <c r="U544" s="57" t="s">
        <v>184</v>
      </c>
      <c r="V544" s="50" t="s">
        <v>79</v>
      </c>
      <c r="W544" s="50"/>
      <c r="X544" s="44">
        <v>3.0</v>
      </c>
      <c r="Y544" s="50" t="s">
        <v>80</v>
      </c>
      <c r="Z544" s="58" t="s">
        <v>81</v>
      </c>
      <c r="AA544" s="59" t="str">
        <f>IF(Rentabilidad=0,"No aplica",TEXT(ROUND(Precio/Rentabilidad/12,0),0) &amp; " años")</f>
        <v>22 años</v>
      </c>
      <c r="AB544" s="115" t="s">
        <v>3373</v>
      </c>
      <c r="AC544" s="61"/>
      <c r="AD544" s="62"/>
      <c r="AE544" s="63"/>
      <c r="AF544" s="64" t="s">
        <v>236</v>
      </c>
      <c r="AG544" s="63"/>
      <c r="AH544" s="63"/>
      <c r="AI544" s="63"/>
      <c r="AJ544" s="64" t="s">
        <v>1834</v>
      </c>
      <c r="AK544" s="44"/>
      <c r="AL544" s="45" t="s">
        <v>109</v>
      </c>
      <c r="AM544" s="52">
        <v>3.112175648E9</v>
      </c>
      <c r="AN544" s="45">
        <v>3.203422918E9</v>
      </c>
      <c r="AO544" s="52" t="s">
        <v>3374</v>
      </c>
      <c r="AP544" s="67" t="s">
        <v>3375</v>
      </c>
      <c r="AQ544" s="67"/>
      <c r="AR544" s="67"/>
      <c r="AS544" s="68">
        <v>800000.0</v>
      </c>
      <c r="AT544" s="44">
        <v>0.0</v>
      </c>
      <c r="AU544" s="52">
        <v>0.0</v>
      </c>
      <c r="AV544" s="52">
        <v>0.0</v>
      </c>
      <c r="AW544" s="43" t="s">
        <v>88</v>
      </c>
      <c r="AX544" s="52">
        <v>0.0</v>
      </c>
      <c r="AY544" s="52">
        <v>0.0</v>
      </c>
      <c r="AZ544" s="44">
        <v>6.0</v>
      </c>
      <c r="BA544" s="43" t="s">
        <v>89</v>
      </c>
      <c r="BB544" s="44">
        <v>18.0</v>
      </c>
      <c r="BC544" s="109"/>
      <c r="BD544" s="70"/>
      <c r="BE544" s="71"/>
      <c r="BF544" s="72" t="s">
        <v>3376</v>
      </c>
      <c r="BG544" s="73"/>
      <c r="BH544" s="73"/>
      <c r="BI544" s="73"/>
      <c r="BJ544" s="73"/>
      <c r="BK544" s="73"/>
      <c r="BL544" s="73"/>
      <c r="BM544" s="73"/>
      <c r="BN544" s="73"/>
      <c r="BO544" s="73"/>
      <c r="BP544" s="73"/>
      <c r="BQ544" s="73"/>
      <c r="BR544" s="73"/>
      <c r="BS544" s="73"/>
      <c r="BT544" s="73"/>
      <c r="BU544" s="73"/>
      <c r="BV544" s="73"/>
      <c r="BW544" s="74"/>
      <c r="BX544" s="74"/>
      <c r="BY544" s="63"/>
      <c r="BZ544" s="63"/>
    </row>
    <row r="545" ht="15.75" customHeight="1">
      <c r="A545" s="120" t="s">
        <v>3377</v>
      </c>
      <c r="B545" s="43" t="s">
        <v>3307</v>
      </c>
      <c r="C545" s="43" t="s">
        <v>70</v>
      </c>
      <c r="D545" s="50" t="s">
        <v>1222</v>
      </c>
      <c r="E545" s="77" t="s">
        <v>376</v>
      </c>
      <c r="F545" s="47">
        <v>2.0E8</v>
      </c>
      <c r="G545" s="44" t="str">
        <f t="shared" si="16"/>
        <v>$200'000.000 a $300'000.000</v>
      </c>
      <c r="H545" s="44"/>
      <c r="I545" s="44"/>
      <c r="J545" s="50" t="s">
        <v>183</v>
      </c>
      <c r="K545" s="51"/>
      <c r="L545" s="52">
        <v>4.0</v>
      </c>
      <c r="M545" s="52"/>
      <c r="N545" s="52">
        <v>3.0</v>
      </c>
      <c r="O545" s="43">
        <v>0.0</v>
      </c>
      <c r="P545" s="52">
        <v>1.0</v>
      </c>
      <c r="Q545" s="54">
        <v>171.0</v>
      </c>
      <c r="R545" s="55">
        <v>171.0</v>
      </c>
      <c r="S545" s="56" t="str">
        <f t="shared" si="17"/>
        <v>Rentabilidad $700,000</v>
      </c>
      <c r="T545" s="52" t="s">
        <v>78</v>
      </c>
      <c r="U545" s="142" t="s">
        <v>184</v>
      </c>
      <c r="V545" s="43" t="s">
        <v>79</v>
      </c>
      <c r="W545" s="43"/>
      <c r="X545" s="52">
        <v>0.0</v>
      </c>
      <c r="Y545" s="43" t="s">
        <v>80</v>
      </c>
      <c r="Z545" s="58" t="s">
        <v>81</v>
      </c>
      <c r="AA545" s="59" t="str">
        <f>IF(Rentabilidad=0,"No aplica",TEXT(ROUND(Precio/Rentabilidad/12,0),0) &amp; " años")</f>
        <v>24 años</v>
      </c>
      <c r="AB545" s="60"/>
      <c r="AC545" s="61"/>
      <c r="AD545" s="62"/>
      <c r="AE545" s="63"/>
      <c r="AF545" s="64" t="s">
        <v>84</v>
      </c>
      <c r="AG545" s="63"/>
      <c r="AH545" s="63"/>
      <c r="AI545" s="63"/>
      <c r="AJ545" s="64" t="s">
        <v>1834</v>
      </c>
      <c r="AK545" s="44"/>
      <c r="AL545" s="45" t="s">
        <v>86</v>
      </c>
      <c r="AM545" s="52">
        <v>3.134913204E9</v>
      </c>
      <c r="AN545" s="45"/>
      <c r="AO545" s="52" t="s">
        <v>3378</v>
      </c>
      <c r="AP545" s="67" t="s">
        <v>3379</v>
      </c>
      <c r="AQ545" s="67"/>
      <c r="AR545" s="67"/>
      <c r="AS545" s="135">
        <v>700000.0</v>
      </c>
      <c r="AT545" s="44">
        <v>0.0</v>
      </c>
      <c r="AU545" s="52">
        <v>0.0</v>
      </c>
      <c r="AV545" s="52">
        <v>0.0</v>
      </c>
      <c r="AW545" s="43" t="s">
        <v>88</v>
      </c>
      <c r="AX545" s="52">
        <v>0.0</v>
      </c>
      <c r="AY545" s="52">
        <v>0.0</v>
      </c>
      <c r="AZ545" s="52">
        <v>9.0</v>
      </c>
      <c r="BA545" s="43" t="s">
        <v>89</v>
      </c>
      <c r="BB545" s="52">
        <v>19.0</v>
      </c>
      <c r="BC545" s="95" t="s">
        <v>3101</v>
      </c>
      <c r="BD545" s="71"/>
      <c r="BE545" s="71"/>
      <c r="BF545" s="72"/>
      <c r="BG545" s="73"/>
      <c r="BH545" s="73"/>
      <c r="BI545" s="73"/>
      <c r="BJ545" s="73"/>
      <c r="BK545" s="73"/>
      <c r="BL545" s="73"/>
      <c r="BM545" s="73"/>
      <c r="BN545" s="73"/>
      <c r="BO545" s="73"/>
      <c r="BP545" s="73"/>
      <c r="BQ545" s="73"/>
      <c r="BR545" s="73"/>
      <c r="BS545" s="73"/>
      <c r="BT545" s="73"/>
      <c r="BU545" s="73"/>
      <c r="BV545" s="73"/>
      <c r="BW545" s="74"/>
      <c r="BX545" s="74"/>
      <c r="BY545" s="63"/>
      <c r="BZ545" s="63"/>
    </row>
    <row r="546" ht="15.75" customHeight="1">
      <c r="A546" s="120" t="s">
        <v>3380</v>
      </c>
      <c r="B546" s="43" t="s">
        <v>2710</v>
      </c>
      <c r="C546" s="43" t="s">
        <v>70</v>
      </c>
      <c r="D546" s="116" t="s">
        <v>155</v>
      </c>
      <c r="E546" s="77" t="s">
        <v>376</v>
      </c>
      <c r="F546" s="47">
        <v>2.0E8</v>
      </c>
      <c r="G546" s="44" t="str">
        <f t="shared" si="16"/>
        <v>$200'000.000 a $300'000.000</v>
      </c>
      <c r="H546" s="44"/>
      <c r="I546" s="44"/>
      <c r="J546" s="43" t="s">
        <v>76</v>
      </c>
      <c r="K546" s="51" t="s">
        <v>77</v>
      </c>
      <c r="L546" s="52">
        <v>2.0</v>
      </c>
      <c r="M546" s="52"/>
      <c r="N546" s="52">
        <v>1.0</v>
      </c>
      <c r="O546" s="43">
        <v>0.0</v>
      </c>
      <c r="P546" s="52">
        <v>1.0</v>
      </c>
      <c r="Q546" s="113">
        <v>100.0</v>
      </c>
      <c r="R546" s="79">
        <v>100.0</v>
      </c>
      <c r="S546" s="56" t="str">
        <f t="shared" si="17"/>
        <v>Rentabilidad $600,000</v>
      </c>
      <c r="T546" s="52" t="s">
        <v>78</v>
      </c>
      <c r="U546" s="142" t="s">
        <v>184</v>
      </c>
      <c r="V546" s="43" t="s">
        <v>79</v>
      </c>
      <c r="W546" s="43"/>
      <c r="X546" s="52">
        <v>0.0</v>
      </c>
      <c r="Y546" s="43" t="s">
        <v>80</v>
      </c>
      <c r="Z546" s="58" t="s">
        <v>81</v>
      </c>
      <c r="AA546" s="59" t="str">
        <f>IF(Rentabilidad=0,"No aplica",TEXT(ROUND(Precio/Rentabilidad/12,0),0) &amp; " años")</f>
        <v>28 años</v>
      </c>
      <c r="AB546" s="60"/>
      <c r="AC546" s="61"/>
      <c r="AD546" s="62"/>
      <c r="AE546" s="63"/>
      <c r="AF546" s="64" t="s">
        <v>84</v>
      </c>
      <c r="AG546" s="63"/>
      <c r="AH546" s="65" t="s">
        <v>45</v>
      </c>
      <c r="AI546" s="63"/>
      <c r="AJ546" s="64" t="s">
        <v>1834</v>
      </c>
      <c r="AK546" s="44"/>
      <c r="AL546" s="45" t="s">
        <v>2802</v>
      </c>
      <c r="AM546" s="52">
        <v>3.004603597E9</v>
      </c>
      <c r="AN546" s="45"/>
      <c r="AO546" s="52" t="s">
        <v>3143</v>
      </c>
      <c r="AP546" s="67" t="s">
        <v>3144</v>
      </c>
      <c r="AQ546" s="67"/>
      <c r="AR546" s="67"/>
      <c r="AS546" s="135">
        <v>600000.0</v>
      </c>
      <c r="AT546" s="44">
        <v>0.0</v>
      </c>
      <c r="AU546" s="52">
        <v>0.0</v>
      </c>
      <c r="AV546" s="52">
        <v>0.0</v>
      </c>
      <c r="AW546" s="43" t="s">
        <v>88</v>
      </c>
      <c r="AX546" s="52">
        <v>0.0</v>
      </c>
      <c r="AY546" s="52">
        <v>0.0</v>
      </c>
      <c r="AZ546" s="52">
        <v>0.0</v>
      </c>
      <c r="BA546" s="43" t="s">
        <v>89</v>
      </c>
      <c r="BB546" s="52">
        <v>0.0</v>
      </c>
      <c r="BC546" s="69" t="s">
        <v>1137</v>
      </c>
      <c r="BD546" s="70"/>
      <c r="BE546" s="70"/>
      <c r="BF546" s="72"/>
      <c r="BG546" s="73"/>
      <c r="BH546" s="73"/>
      <c r="BI546" s="73"/>
      <c r="BJ546" s="73"/>
      <c r="BK546" s="73"/>
      <c r="BL546" s="73"/>
      <c r="BM546" s="73"/>
      <c r="BN546" s="73"/>
      <c r="BO546" s="73"/>
      <c r="BP546" s="73"/>
      <c r="BQ546" s="73"/>
      <c r="BR546" s="73"/>
      <c r="BS546" s="73"/>
      <c r="BT546" s="73"/>
      <c r="BU546" s="73"/>
      <c r="BV546" s="73"/>
      <c r="BW546" s="74"/>
      <c r="BX546" s="74"/>
      <c r="BY546" s="63"/>
      <c r="BZ546" s="63"/>
    </row>
    <row r="547" ht="15.75" customHeight="1">
      <c r="A547" s="133" t="s">
        <v>3381</v>
      </c>
      <c r="B547" s="50" t="s">
        <v>3282</v>
      </c>
      <c r="C547" s="50" t="s">
        <v>271</v>
      </c>
      <c r="D547" s="44" t="s">
        <v>1903</v>
      </c>
      <c r="E547" s="77" t="s">
        <v>376</v>
      </c>
      <c r="F547" s="47">
        <v>2.0E8</v>
      </c>
      <c r="G547" s="44" t="str">
        <f t="shared" si="16"/>
        <v>$200'000.000 a $300'000.000</v>
      </c>
      <c r="H547" s="44"/>
      <c r="I547" s="44"/>
      <c r="J547" s="50" t="s">
        <v>183</v>
      </c>
      <c r="K547" s="57"/>
      <c r="L547" s="52">
        <v>6.0</v>
      </c>
      <c r="M547" s="52"/>
      <c r="N547" s="52">
        <v>4.0</v>
      </c>
      <c r="O547" s="43">
        <v>1.0</v>
      </c>
      <c r="P547" s="52">
        <v>2.0</v>
      </c>
      <c r="Q547" s="54">
        <v>170.0</v>
      </c>
      <c r="R547" s="55">
        <v>90.0</v>
      </c>
      <c r="S547" s="56" t="str">
        <f t="shared" si="17"/>
        <v>Rentabilidad $1,000,000</v>
      </c>
      <c r="T547" s="52" t="s">
        <v>78</v>
      </c>
      <c r="U547" s="142" t="s">
        <v>184</v>
      </c>
      <c r="V547" s="43" t="s">
        <v>79</v>
      </c>
      <c r="W547" s="43"/>
      <c r="X547" s="52">
        <v>5.0</v>
      </c>
      <c r="Y547" s="43" t="s">
        <v>80</v>
      </c>
      <c r="Z547" s="80" t="s">
        <v>81</v>
      </c>
      <c r="AA547" s="59" t="str">
        <f>IF(Rentabilidad=0,"No aplica",TEXT(ROUND(Precio/Rentabilidad/12,0),0) &amp; " años")</f>
        <v>17 años</v>
      </c>
      <c r="AB547" s="134" t="s">
        <v>3382</v>
      </c>
      <c r="AC547" s="61"/>
      <c r="AD547" s="62"/>
      <c r="AE547" s="63"/>
      <c r="AF547" s="45" t="s">
        <v>3383</v>
      </c>
      <c r="AG547" s="63"/>
      <c r="AH547" s="63"/>
      <c r="AI547" s="63"/>
      <c r="AJ547" s="64" t="s">
        <v>1834</v>
      </c>
      <c r="AK547" s="44"/>
      <c r="AL547" s="45" t="s">
        <v>109</v>
      </c>
      <c r="AM547" s="52">
        <v>3.124827047E9</v>
      </c>
      <c r="AN547" s="45"/>
      <c r="AO547" s="43" t="s">
        <v>3384</v>
      </c>
      <c r="AP547" s="67" t="s">
        <v>3385</v>
      </c>
      <c r="AQ547" s="67"/>
      <c r="AR547" s="67"/>
      <c r="AS547" s="135">
        <v>1000000.0</v>
      </c>
      <c r="AT547" s="63">
        <v>0.0</v>
      </c>
      <c r="AU547" s="52">
        <v>0.0</v>
      </c>
      <c r="AV547" s="52">
        <v>0.0</v>
      </c>
      <c r="AW547" s="43" t="s">
        <v>88</v>
      </c>
      <c r="AX547" s="52">
        <v>0.0</v>
      </c>
      <c r="AY547" s="52">
        <v>0.0</v>
      </c>
      <c r="AZ547" s="52">
        <v>6.0</v>
      </c>
      <c r="BA547" s="43" t="s">
        <v>89</v>
      </c>
      <c r="BB547" s="52">
        <v>15.0</v>
      </c>
      <c r="BC547" s="69"/>
      <c r="BD547" s="70"/>
      <c r="BE547" s="71"/>
      <c r="BF547" s="72" t="s">
        <v>3386</v>
      </c>
      <c r="BG547" s="73"/>
      <c r="BH547" s="73"/>
      <c r="BI547" s="73"/>
      <c r="BJ547" s="73"/>
      <c r="BK547" s="73"/>
      <c r="BL547" s="73"/>
      <c r="BM547" s="73"/>
      <c r="BN547" s="73"/>
      <c r="BO547" s="73"/>
      <c r="BP547" s="73"/>
      <c r="BQ547" s="73"/>
      <c r="BR547" s="73"/>
      <c r="BS547" s="73"/>
      <c r="BT547" s="73"/>
      <c r="BU547" s="73"/>
      <c r="BV547" s="73"/>
      <c r="BW547" s="74"/>
      <c r="BX547" s="74"/>
      <c r="BY547" s="63"/>
      <c r="BZ547" s="63"/>
    </row>
    <row r="548" ht="15.75" customHeight="1">
      <c r="A548" s="120" t="s">
        <v>3387</v>
      </c>
      <c r="B548" s="43" t="s">
        <v>3388</v>
      </c>
      <c r="C548" s="111" t="s">
        <v>323</v>
      </c>
      <c r="D548" s="50" t="s">
        <v>3389</v>
      </c>
      <c r="E548" s="64" t="s">
        <v>3390</v>
      </c>
      <c r="F548" s="47">
        <v>1.9E8</v>
      </c>
      <c r="G548" s="44" t="str">
        <f t="shared" si="16"/>
        <v>$100'000.000 a $200'000.000</v>
      </c>
      <c r="H548" s="44"/>
      <c r="I548" s="44"/>
      <c r="J548" s="50" t="s">
        <v>116</v>
      </c>
      <c r="K548" s="57"/>
      <c r="L548" s="52">
        <v>3.0</v>
      </c>
      <c r="M548" s="52"/>
      <c r="N548" s="52">
        <v>2.0</v>
      </c>
      <c r="O548" s="43">
        <v>1.0</v>
      </c>
      <c r="P548" s="43">
        <v>1.0</v>
      </c>
      <c r="Q548" s="113"/>
      <c r="R548" s="113"/>
      <c r="S548" s="56" t="str">
        <f t="shared" si="17"/>
        <v> </v>
      </c>
      <c r="T548" s="52" t="s">
        <v>78</v>
      </c>
      <c r="U548" s="142" t="s">
        <v>77</v>
      </c>
      <c r="V548" s="52"/>
      <c r="W548" s="52"/>
      <c r="X548" s="52">
        <v>3.0</v>
      </c>
      <c r="Y548" s="43" t="s">
        <v>130</v>
      </c>
      <c r="Z548" s="151">
        <v>320000.0</v>
      </c>
      <c r="AA548" s="59" t="str">
        <f>IF(Rentabilidad=0,"No aplica",TEXT(ROUND(Precio/Rentabilidad/12,0),0) &amp; " años")</f>
        <v>No aplica</v>
      </c>
      <c r="AB548" s="220"/>
      <c r="AC548" s="131" t="s">
        <v>3391</v>
      </c>
      <c r="AD548" s="62"/>
      <c r="AE548" s="63"/>
      <c r="AF548" s="45" t="s">
        <v>105</v>
      </c>
      <c r="AG548" s="63"/>
      <c r="AH548" s="63"/>
      <c r="AI548" s="63"/>
      <c r="AJ548" s="64" t="s">
        <v>1834</v>
      </c>
      <c r="AK548" s="44"/>
      <c r="AL548" s="45" t="s">
        <v>109</v>
      </c>
      <c r="AM548" s="52">
        <v>3.132882629E9</v>
      </c>
      <c r="AN548" s="45"/>
      <c r="AO548" s="52" t="s">
        <v>3392</v>
      </c>
      <c r="AP548" s="67" t="s">
        <v>3393</v>
      </c>
      <c r="AQ548" s="67"/>
      <c r="AR548" s="67"/>
      <c r="AS548" s="135">
        <v>0.0</v>
      </c>
      <c r="AT548" s="44">
        <v>0.0</v>
      </c>
      <c r="AU548" s="52">
        <v>0.0</v>
      </c>
      <c r="AV548" s="52">
        <v>0.0</v>
      </c>
      <c r="AW548" s="43" t="s">
        <v>88</v>
      </c>
      <c r="AX548" s="52">
        <v>0.0</v>
      </c>
      <c r="AY548" s="52">
        <v>0.0</v>
      </c>
      <c r="AZ548" s="52">
        <v>0.0</v>
      </c>
      <c r="BA548" s="43" t="s">
        <v>89</v>
      </c>
      <c r="BB548" s="52">
        <v>0.0</v>
      </c>
      <c r="BC548" s="109"/>
      <c r="BD548" s="70"/>
      <c r="BE548" s="71"/>
      <c r="BF548" s="72"/>
      <c r="BG548" s="73"/>
      <c r="BH548" s="73"/>
      <c r="BI548" s="73"/>
      <c r="BJ548" s="73"/>
      <c r="BK548" s="73"/>
      <c r="BL548" s="73"/>
      <c r="BM548" s="73"/>
      <c r="BN548" s="73"/>
      <c r="BO548" s="73"/>
      <c r="BP548" s="73"/>
      <c r="BQ548" s="73"/>
      <c r="BR548" s="73"/>
      <c r="BS548" s="73"/>
      <c r="BT548" s="73"/>
      <c r="BU548" s="73"/>
      <c r="BV548" s="73"/>
      <c r="BW548" s="74"/>
      <c r="BX548" s="74"/>
      <c r="BY548" s="63"/>
      <c r="BZ548" s="63"/>
    </row>
    <row r="549" ht="15.75" customHeight="1">
      <c r="A549" s="75" t="s">
        <v>3394</v>
      </c>
      <c r="B549" s="50" t="s">
        <v>3395</v>
      </c>
      <c r="C549" s="50" t="s">
        <v>271</v>
      </c>
      <c r="D549" s="44" t="s">
        <v>817</v>
      </c>
      <c r="E549" s="77" t="s">
        <v>376</v>
      </c>
      <c r="F549" s="47">
        <v>1.9E8</v>
      </c>
      <c r="G549" s="44" t="str">
        <f t="shared" si="16"/>
        <v>$100'000.000 a $200'000.000</v>
      </c>
      <c r="H549" s="44"/>
      <c r="I549" s="44"/>
      <c r="J549" s="50" t="s">
        <v>183</v>
      </c>
      <c r="K549" s="57"/>
      <c r="L549" s="52">
        <v>4.0</v>
      </c>
      <c r="M549" s="52"/>
      <c r="N549" s="52">
        <v>2.0</v>
      </c>
      <c r="O549" s="43">
        <v>1.0</v>
      </c>
      <c r="P549" s="44">
        <v>2.0</v>
      </c>
      <c r="Q549" s="113">
        <v>170.0</v>
      </c>
      <c r="R549" s="55">
        <v>90.0</v>
      </c>
      <c r="S549" s="56" t="str">
        <f t="shared" si="17"/>
        <v>Rentabilidad $1,000,000</v>
      </c>
      <c r="T549" s="44" t="s">
        <v>78</v>
      </c>
      <c r="U549" s="57" t="s">
        <v>184</v>
      </c>
      <c r="V549" s="43" t="s">
        <v>79</v>
      </c>
      <c r="W549" s="43"/>
      <c r="X549" s="52">
        <v>2.0</v>
      </c>
      <c r="Y549" s="43" t="s">
        <v>80</v>
      </c>
      <c r="Z549" s="80" t="s">
        <v>81</v>
      </c>
      <c r="AA549" s="59" t="str">
        <f>IF(Rentabilidad=0,"No aplica",TEXT(ROUND(Precio/Rentabilidad/12,0),0) &amp; " años")</f>
        <v>16 años</v>
      </c>
      <c r="AB549" s="60"/>
      <c r="AC549" s="61"/>
      <c r="AD549" s="62"/>
      <c r="AE549" s="63"/>
      <c r="AF549" s="64" t="s">
        <v>236</v>
      </c>
      <c r="AG549" s="63"/>
      <c r="AH549" s="63"/>
      <c r="AI549" s="63"/>
      <c r="AJ549" s="64" t="s">
        <v>1834</v>
      </c>
      <c r="AK549" s="44"/>
      <c r="AL549" s="45" t="s">
        <v>2624</v>
      </c>
      <c r="AM549" s="52">
        <v>3.228541265E9</v>
      </c>
      <c r="AN549" s="45"/>
      <c r="AO549" s="52" t="s">
        <v>3396</v>
      </c>
      <c r="AP549" s="67" t="s">
        <v>3397</v>
      </c>
      <c r="AQ549" s="67"/>
      <c r="AR549" s="67"/>
      <c r="AS549" s="68">
        <v>1000000.0</v>
      </c>
      <c r="AT549" s="44">
        <v>0.0</v>
      </c>
      <c r="AU549" s="52">
        <v>0.0</v>
      </c>
      <c r="AV549" s="52">
        <v>0.0</v>
      </c>
      <c r="AW549" s="43" t="s">
        <v>88</v>
      </c>
      <c r="AX549" s="52">
        <v>0.0</v>
      </c>
      <c r="AY549" s="52">
        <v>0.0</v>
      </c>
      <c r="AZ549" s="44">
        <v>6.0</v>
      </c>
      <c r="BA549" s="43" t="s">
        <v>89</v>
      </c>
      <c r="BB549" s="44">
        <v>15.0</v>
      </c>
      <c r="BC549" s="69" t="s">
        <v>1137</v>
      </c>
      <c r="BD549" s="70"/>
      <c r="BE549" s="71"/>
      <c r="BF549" s="72"/>
      <c r="BG549" s="73"/>
      <c r="BH549" s="73"/>
      <c r="BI549" s="73"/>
      <c r="BJ549" s="73"/>
      <c r="BK549" s="73"/>
      <c r="BL549" s="73"/>
      <c r="BM549" s="73"/>
      <c r="BN549" s="73"/>
      <c r="BO549" s="73"/>
      <c r="BP549" s="73"/>
      <c r="BQ549" s="73"/>
      <c r="BR549" s="73"/>
      <c r="BS549" s="73"/>
      <c r="BT549" s="73"/>
      <c r="BU549" s="73"/>
      <c r="BV549" s="73"/>
      <c r="BW549" s="74"/>
      <c r="BX549" s="74"/>
      <c r="BY549" s="63"/>
      <c r="BZ549" s="63"/>
    </row>
    <row r="550" ht="15.75" customHeight="1">
      <c r="A550" s="120" t="s">
        <v>3398</v>
      </c>
      <c r="B550" s="43" t="s">
        <v>3399</v>
      </c>
      <c r="C550" s="43" t="s">
        <v>315</v>
      </c>
      <c r="D550" s="44" t="s">
        <v>2840</v>
      </c>
      <c r="E550" s="77" t="s">
        <v>376</v>
      </c>
      <c r="F550" s="47">
        <v>1.85E8</v>
      </c>
      <c r="G550" s="44" t="str">
        <f t="shared" si="16"/>
        <v>$100'000.000 a $200'000.000</v>
      </c>
      <c r="H550" s="44"/>
      <c r="I550" s="44"/>
      <c r="J550" s="50" t="s">
        <v>183</v>
      </c>
      <c r="K550" s="57"/>
      <c r="L550" s="52">
        <v>0.0</v>
      </c>
      <c r="M550" s="52"/>
      <c r="N550" s="52">
        <v>0.0</v>
      </c>
      <c r="O550" s="43">
        <v>0.0</v>
      </c>
      <c r="P550" s="43">
        <v>0.0</v>
      </c>
      <c r="Q550" s="54"/>
      <c r="R550" s="55">
        <v>120.0</v>
      </c>
      <c r="S550" s="56" t="str">
        <f t="shared" si="17"/>
        <v> </v>
      </c>
      <c r="T550" s="52" t="s">
        <v>78</v>
      </c>
      <c r="U550" s="142" t="s">
        <v>184</v>
      </c>
      <c r="V550" s="43" t="s">
        <v>79</v>
      </c>
      <c r="W550" s="43"/>
      <c r="X550" s="52">
        <v>0.0</v>
      </c>
      <c r="Y550" s="43" t="s">
        <v>80</v>
      </c>
      <c r="Z550" s="58" t="s">
        <v>81</v>
      </c>
      <c r="AA550" s="59" t="str">
        <f>IF(Rentabilidad=0,"No aplica",TEXT(ROUND(Precio/Rentabilidad/12,0),0) &amp; " años")</f>
        <v>No aplica</v>
      </c>
      <c r="AB550" s="60"/>
      <c r="AC550" s="61"/>
      <c r="AD550" s="62"/>
      <c r="AE550" s="63"/>
      <c r="AF550" s="45" t="s">
        <v>2666</v>
      </c>
      <c r="AG550" s="63"/>
      <c r="AH550" s="63"/>
      <c r="AI550" s="63"/>
      <c r="AJ550" s="64" t="s">
        <v>1834</v>
      </c>
      <c r="AK550" s="44"/>
      <c r="AL550" s="45" t="s">
        <v>86</v>
      </c>
      <c r="AM550" s="52">
        <v>3.115228049E9</v>
      </c>
      <c r="AN550" s="45"/>
      <c r="AO550" s="52" t="s">
        <v>3400</v>
      </c>
      <c r="AP550" s="67" t="s">
        <v>3401</v>
      </c>
      <c r="AQ550" s="67"/>
      <c r="AR550" s="67"/>
      <c r="AS550" s="94">
        <v>0.0</v>
      </c>
      <c r="AT550" s="44">
        <v>0.0</v>
      </c>
      <c r="AU550" s="52">
        <v>0.0</v>
      </c>
      <c r="AV550" s="52">
        <v>0.0</v>
      </c>
      <c r="AW550" s="43" t="s">
        <v>88</v>
      </c>
      <c r="AX550" s="52">
        <v>0.0</v>
      </c>
      <c r="AY550" s="52">
        <v>0.0</v>
      </c>
      <c r="AZ550" s="52">
        <v>6.0</v>
      </c>
      <c r="BA550" s="43" t="s">
        <v>89</v>
      </c>
      <c r="BB550" s="52">
        <v>20.0</v>
      </c>
      <c r="BC550" s="95"/>
      <c r="BD550" s="71"/>
      <c r="BE550" s="71"/>
      <c r="BF550" s="72"/>
      <c r="BG550" s="73"/>
      <c r="BH550" s="73"/>
      <c r="BI550" s="73"/>
      <c r="BJ550" s="73"/>
      <c r="BK550" s="73"/>
      <c r="BL550" s="73"/>
      <c r="BM550" s="73"/>
      <c r="BN550" s="73"/>
      <c r="BO550" s="73"/>
      <c r="BP550" s="73"/>
      <c r="BQ550" s="73"/>
      <c r="BR550" s="73"/>
      <c r="BS550" s="73"/>
      <c r="BT550" s="73"/>
      <c r="BU550" s="73"/>
      <c r="BV550" s="73"/>
      <c r="BW550" s="74"/>
      <c r="BX550" s="74"/>
      <c r="BY550" s="63"/>
      <c r="BZ550" s="63"/>
    </row>
    <row r="551" ht="15.75" customHeight="1">
      <c r="A551" s="133" t="s">
        <v>3402</v>
      </c>
      <c r="B551" s="50" t="s">
        <v>3403</v>
      </c>
      <c r="C551" s="50" t="s">
        <v>573</v>
      </c>
      <c r="D551" s="63" t="s">
        <v>155</v>
      </c>
      <c r="E551" s="77" t="s">
        <v>376</v>
      </c>
      <c r="F551" s="47">
        <v>1.85E8</v>
      </c>
      <c r="G551" s="44" t="str">
        <f t="shared" si="16"/>
        <v>$100'000.000 a $200'000.000</v>
      </c>
      <c r="H551" s="44"/>
      <c r="I551" s="44"/>
      <c r="J551" s="50" t="s">
        <v>76</v>
      </c>
      <c r="K551" s="51" t="s">
        <v>77</v>
      </c>
      <c r="L551" s="44">
        <v>2.0</v>
      </c>
      <c r="M551" s="44"/>
      <c r="N551" s="44">
        <v>2.0</v>
      </c>
      <c r="O551" s="50">
        <v>0.0</v>
      </c>
      <c r="P551" s="44">
        <v>2.0</v>
      </c>
      <c r="Q551" s="54"/>
      <c r="R551" s="55">
        <v>70.0</v>
      </c>
      <c r="S551" s="56" t="str">
        <f t="shared" si="17"/>
        <v>Rentabilidad $750,000</v>
      </c>
      <c r="T551" s="52" t="s">
        <v>78</v>
      </c>
      <c r="U551" s="57" t="s">
        <v>184</v>
      </c>
      <c r="V551" s="50" t="s">
        <v>79</v>
      </c>
      <c r="W551" s="50"/>
      <c r="X551" s="44">
        <v>1.0</v>
      </c>
      <c r="Y551" s="50" t="s">
        <v>80</v>
      </c>
      <c r="Z551" s="80" t="s">
        <v>81</v>
      </c>
      <c r="AA551" s="59" t="str">
        <f>IF(Rentabilidad=0,"No aplica",TEXT(ROUND(Precio/Rentabilidad/12,0),0) &amp; " años")</f>
        <v>21 años</v>
      </c>
      <c r="AB551" s="195"/>
      <c r="AC551" s="61"/>
      <c r="AD551" s="62"/>
      <c r="AE551" s="63"/>
      <c r="AF551" s="45" t="s">
        <v>236</v>
      </c>
      <c r="AG551" s="63"/>
      <c r="AH551" s="65" t="s">
        <v>45</v>
      </c>
      <c r="AI551" s="63"/>
      <c r="AJ551" s="64" t="s">
        <v>1834</v>
      </c>
      <c r="AK551" s="44"/>
      <c r="AL551" s="45" t="s">
        <v>86</v>
      </c>
      <c r="AM551" s="52">
        <v>3.115486451E9</v>
      </c>
      <c r="AN551" s="45" t="s">
        <v>3404</v>
      </c>
      <c r="AO551" s="52" t="s">
        <v>3405</v>
      </c>
      <c r="AP551" s="67" t="s">
        <v>3406</v>
      </c>
      <c r="AQ551" s="67"/>
      <c r="AR551" s="67"/>
      <c r="AS551" s="68">
        <v>750000.0</v>
      </c>
      <c r="AT551" s="44">
        <v>0.0</v>
      </c>
      <c r="AU551" s="44">
        <v>0.0</v>
      </c>
      <c r="AV551" s="44">
        <v>0.0</v>
      </c>
      <c r="AW551" s="44" t="s">
        <v>88</v>
      </c>
      <c r="AX551" s="44">
        <v>0.0</v>
      </c>
      <c r="AY551" s="44">
        <v>0.0</v>
      </c>
      <c r="AZ551" s="44">
        <v>0.0</v>
      </c>
      <c r="BA551" s="43" t="s">
        <v>89</v>
      </c>
      <c r="BB551" s="44">
        <v>0.0</v>
      </c>
      <c r="BC551" s="69" t="s">
        <v>3407</v>
      </c>
      <c r="BD551" s="70"/>
      <c r="BE551" s="71"/>
      <c r="BF551" s="72"/>
      <c r="BG551" s="73"/>
      <c r="BH551" s="73"/>
      <c r="BI551" s="73"/>
      <c r="BJ551" s="73"/>
      <c r="BK551" s="73"/>
      <c r="BL551" s="73"/>
      <c r="BM551" s="73"/>
      <c r="BN551" s="73"/>
      <c r="BO551" s="73"/>
      <c r="BP551" s="73"/>
      <c r="BQ551" s="73"/>
      <c r="BR551" s="73"/>
      <c r="BS551" s="73"/>
      <c r="BT551" s="73"/>
      <c r="BU551" s="73"/>
      <c r="BV551" s="73"/>
      <c r="BW551" s="74"/>
      <c r="BX551" s="74"/>
      <c r="BY551" s="63"/>
      <c r="BZ551" s="63"/>
    </row>
    <row r="552" ht="15.75" customHeight="1">
      <c r="A552" s="120" t="s">
        <v>3408</v>
      </c>
      <c r="B552" s="43" t="s">
        <v>2620</v>
      </c>
      <c r="C552" s="43" t="s">
        <v>573</v>
      </c>
      <c r="D552" s="43" t="s">
        <v>131</v>
      </c>
      <c r="E552" s="64"/>
      <c r="F552" s="47">
        <v>1.8E8</v>
      </c>
      <c r="G552" s="44" t="str">
        <f t="shared" si="16"/>
        <v>$100'000.000 a $200'000.000</v>
      </c>
      <c r="H552" s="44"/>
      <c r="I552" s="44"/>
      <c r="J552" s="43" t="s">
        <v>183</v>
      </c>
      <c r="K552" s="56"/>
      <c r="L552" s="52">
        <v>3.0</v>
      </c>
      <c r="M552" s="52"/>
      <c r="N552" s="52">
        <v>2.0</v>
      </c>
      <c r="O552" s="43">
        <v>1.0</v>
      </c>
      <c r="P552" s="43">
        <v>1.0</v>
      </c>
      <c r="Q552" s="54"/>
      <c r="R552" s="55">
        <v>72.0</v>
      </c>
      <c r="S552" s="56" t="str">
        <f t="shared" si="17"/>
        <v>Rentabilidad $800,000</v>
      </c>
      <c r="T552" s="52" t="s">
        <v>78</v>
      </c>
      <c r="U552" s="142" t="s">
        <v>184</v>
      </c>
      <c r="V552" s="43" t="s">
        <v>79</v>
      </c>
      <c r="W552" s="43"/>
      <c r="X552" s="52">
        <v>3.0</v>
      </c>
      <c r="Y552" s="43" t="s">
        <v>80</v>
      </c>
      <c r="Z552" s="58" t="s">
        <v>81</v>
      </c>
      <c r="AA552" s="59" t="str">
        <f>IF(Rentabilidad=0,"No aplica",TEXT(ROUND(Precio/Rentabilidad/12,0),0) &amp; " años")</f>
        <v>19 años</v>
      </c>
      <c r="AB552" s="60"/>
      <c r="AC552" s="131" t="s">
        <v>2979</v>
      </c>
      <c r="AD552" s="62"/>
      <c r="AE552" s="63"/>
      <c r="AF552" s="64" t="s">
        <v>236</v>
      </c>
      <c r="AG552" s="63"/>
      <c r="AH552" s="63"/>
      <c r="AI552" s="63"/>
      <c r="AJ552" s="64" t="s">
        <v>1834</v>
      </c>
      <c r="AK552" s="44"/>
      <c r="AL552" s="45" t="s">
        <v>2624</v>
      </c>
      <c r="AM552" s="52">
        <v>3.185958466E9</v>
      </c>
      <c r="AN552" s="45">
        <v>3.232921798E9</v>
      </c>
      <c r="AO552" s="52" t="s">
        <v>3409</v>
      </c>
      <c r="AP552" s="67" t="s">
        <v>3410</v>
      </c>
      <c r="AQ552" s="67"/>
      <c r="AR552" s="67"/>
      <c r="AS552" s="135">
        <v>800000.0</v>
      </c>
      <c r="AT552" s="52">
        <v>0.0</v>
      </c>
      <c r="AU552" s="52">
        <v>0.0</v>
      </c>
      <c r="AV552" s="52">
        <v>0.0</v>
      </c>
      <c r="AW552" s="43" t="s">
        <v>88</v>
      </c>
      <c r="AX552" s="52">
        <v>0.0</v>
      </c>
      <c r="AY552" s="52">
        <v>0.0</v>
      </c>
      <c r="AZ552" s="52">
        <v>6.0</v>
      </c>
      <c r="BA552" s="43" t="s">
        <v>89</v>
      </c>
      <c r="BB552" s="52">
        <v>12.0</v>
      </c>
      <c r="BC552" s="109"/>
      <c r="BD552" s="70"/>
      <c r="BE552" s="70"/>
      <c r="BF552" s="72"/>
      <c r="BG552" s="73"/>
      <c r="BH552" s="73"/>
      <c r="BI552" s="73"/>
      <c r="BJ552" s="73"/>
      <c r="BK552" s="73"/>
      <c r="BL552" s="73"/>
      <c r="BM552" s="73"/>
      <c r="BN552" s="73"/>
      <c r="BO552" s="73"/>
      <c r="BP552" s="73"/>
      <c r="BQ552" s="73"/>
      <c r="BR552" s="73"/>
      <c r="BS552" s="73"/>
      <c r="BT552" s="73"/>
      <c r="BU552" s="73"/>
      <c r="BV552" s="73"/>
      <c r="BW552" s="74"/>
      <c r="BX552" s="74"/>
      <c r="BY552" s="63"/>
      <c r="BZ552" s="63"/>
    </row>
    <row r="553" ht="15.75" customHeight="1">
      <c r="A553" s="41" t="s">
        <v>3411</v>
      </c>
      <c r="B553" s="43" t="s">
        <v>3412</v>
      </c>
      <c r="C553" s="111" t="s">
        <v>323</v>
      </c>
      <c r="D553" s="58" t="s">
        <v>720</v>
      </c>
      <c r="E553" s="64" t="s">
        <v>3413</v>
      </c>
      <c r="F553" s="47">
        <v>1.8E8</v>
      </c>
      <c r="G553" s="44" t="str">
        <f t="shared" si="16"/>
        <v>$100'000.000 a $200'000.000</v>
      </c>
      <c r="H553" s="44"/>
      <c r="I553" s="44"/>
      <c r="J553" s="50" t="s">
        <v>94</v>
      </c>
      <c r="K553" s="51"/>
      <c r="L553" s="52">
        <v>3.0</v>
      </c>
      <c r="M553" s="52"/>
      <c r="N553" s="52">
        <v>2.0</v>
      </c>
      <c r="O553" s="43">
        <v>1.0</v>
      </c>
      <c r="P553" s="43">
        <v>1.0</v>
      </c>
      <c r="Q553" s="54" t="s">
        <v>3414</v>
      </c>
      <c r="R553" s="55">
        <v>79.1</v>
      </c>
      <c r="S553" s="56" t="str">
        <f t="shared" si="17"/>
        <v>Rentabilidad $700,000</v>
      </c>
      <c r="T553" s="52" t="s">
        <v>78</v>
      </c>
      <c r="U553" s="142" t="s">
        <v>77</v>
      </c>
      <c r="V553" s="52"/>
      <c r="W553" s="52"/>
      <c r="X553" s="52">
        <v>3.0</v>
      </c>
      <c r="Y553" s="43" t="s">
        <v>80</v>
      </c>
      <c r="Z553" s="58" t="s">
        <v>81</v>
      </c>
      <c r="AA553" s="59" t="str">
        <f>IF(Rentabilidad=0,"No aplica",TEXT(ROUND(Precio/Rentabilidad/12,0),0) &amp; " años")</f>
        <v>21 años</v>
      </c>
      <c r="AB553" s="60"/>
      <c r="AC553" s="131" t="s">
        <v>2979</v>
      </c>
      <c r="AD553" s="62"/>
      <c r="AE553" s="63"/>
      <c r="AF553" s="45" t="s">
        <v>105</v>
      </c>
      <c r="AG553" s="63"/>
      <c r="AH553" s="63"/>
      <c r="AI553" s="63"/>
      <c r="AJ553" s="64" t="s">
        <v>1834</v>
      </c>
      <c r="AK553" s="44"/>
      <c r="AL553" s="45" t="s">
        <v>86</v>
      </c>
      <c r="AM553" s="52" t="s">
        <v>3415</v>
      </c>
      <c r="AN553" s="45" t="s">
        <v>3415</v>
      </c>
      <c r="AO553" s="52" t="s">
        <v>3416</v>
      </c>
      <c r="AP553" s="67"/>
      <c r="AQ553" s="67"/>
      <c r="AR553" s="67"/>
      <c r="AS553" s="135">
        <v>700000.0</v>
      </c>
      <c r="AT553" s="52">
        <v>0.0</v>
      </c>
      <c r="AU553" s="52">
        <v>0.0</v>
      </c>
      <c r="AV553" s="52">
        <v>0.0</v>
      </c>
      <c r="AW553" s="43" t="s">
        <v>88</v>
      </c>
      <c r="AX553" s="52">
        <v>0.0</v>
      </c>
      <c r="AY553" s="52">
        <v>0.0</v>
      </c>
      <c r="AZ553" s="52">
        <v>0.0</v>
      </c>
      <c r="BA553" s="43" t="s">
        <v>89</v>
      </c>
      <c r="BB553" s="52">
        <v>0.0</v>
      </c>
      <c r="BC553" s="95" t="s">
        <v>3417</v>
      </c>
      <c r="BD553" s="71"/>
      <c r="BE553" s="71"/>
      <c r="BF553" s="72"/>
      <c r="BG553" s="73"/>
      <c r="BH553" s="73"/>
      <c r="BI553" s="73"/>
      <c r="BJ553" s="73"/>
      <c r="BK553" s="73"/>
      <c r="BL553" s="73"/>
      <c r="BM553" s="73"/>
      <c r="BN553" s="73"/>
      <c r="BO553" s="73"/>
      <c r="BP553" s="73"/>
      <c r="BQ553" s="73"/>
      <c r="BR553" s="73"/>
      <c r="BS553" s="73"/>
      <c r="BT553" s="73"/>
      <c r="BU553" s="73"/>
      <c r="BV553" s="73"/>
      <c r="BW553" s="74"/>
      <c r="BX553" s="74"/>
      <c r="BY553" s="63"/>
      <c r="BZ553" s="63"/>
    </row>
    <row r="554" ht="15.75" customHeight="1">
      <c r="A554" s="120" t="s">
        <v>3418</v>
      </c>
      <c r="B554" s="50" t="s">
        <v>3419</v>
      </c>
      <c r="C554" s="50" t="s">
        <v>271</v>
      </c>
      <c r="D554" s="50" t="s">
        <v>1222</v>
      </c>
      <c r="E554" s="77" t="s">
        <v>376</v>
      </c>
      <c r="F554" s="47">
        <v>1.8E8</v>
      </c>
      <c r="G554" s="44" t="str">
        <f t="shared" si="16"/>
        <v>$100'000.000 a $200'000.000</v>
      </c>
      <c r="H554" s="44"/>
      <c r="I554" s="44"/>
      <c r="J554" s="50" t="s">
        <v>183</v>
      </c>
      <c r="K554" s="51"/>
      <c r="L554" s="52">
        <v>5.0</v>
      </c>
      <c r="M554" s="52"/>
      <c r="N554" s="52">
        <v>2.0</v>
      </c>
      <c r="O554" s="43">
        <v>1.0</v>
      </c>
      <c r="P554" s="52">
        <v>1.0</v>
      </c>
      <c r="Q554" s="54">
        <v>253.0</v>
      </c>
      <c r="R554" s="55">
        <v>160.0</v>
      </c>
      <c r="S554" s="56" t="str">
        <f t="shared" si="17"/>
        <v>Rentabilidad $950,000</v>
      </c>
      <c r="T554" s="52" t="s">
        <v>78</v>
      </c>
      <c r="U554" s="142" t="s">
        <v>184</v>
      </c>
      <c r="V554" s="43" t="s">
        <v>79</v>
      </c>
      <c r="W554" s="43"/>
      <c r="X554" s="52">
        <v>0.0</v>
      </c>
      <c r="Y554" s="43" t="s">
        <v>80</v>
      </c>
      <c r="Z554" s="58" t="s">
        <v>81</v>
      </c>
      <c r="AA554" s="59" t="str">
        <f>IF(Rentabilidad=0,"No aplica",TEXT(ROUND(Precio/Rentabilidad/12,0),0) &amp; " años")</f>
        <v>16 años</v>
      </c>
      <c r="AB554" s="195"/>
      <c r="AC554" s="61"/>
      <c r="AD554" s="62"/>
      <c r="AE554" s="63"/>
      <c r="AF554" s="64" t="s">
        <v>84</v>
      </c>
      <c r="AG554" s="63"/>
      <c r="AH554" s="63"/>
      <c r="AI554" s="63"/>
      <c r="AJ554" s="64" t="s">
        <v>1834</v>
      </c>
      <c r="AK554" s="44"/>
      <c r="AL554" s="45" t="s">
        <v>109</v>
      </c>
      <c r="AM554" s="52">
        <v>3.227074027E9</v>
      </c>
      <c r="AN554" s="45"/>
      <c r="AO554" s="52" t="s">
        <v>3420</v>
      </c>
      <c r="AP554" s="67" t="s">
        <v>3421</v>
      </c>
      <c r="AQ554" s="67"/>
      <c r="AR554" s="67"/>
      <c r="AS554" s="135">
        <v>950000.0</v>
      </c>
      <c r="AT554" s="44">
        <v>0.0</v>
      </c>
      <c r="AU554" s="52">
        <v>0.0</v>
      </c>
      <c r="AV554" s="52">
        <v>0.0</v>
      </c>
      <c r="AW554" s="43" t="s">
        <v>88</v>
      </c>
      <c r="AX554" s="52">
        <v>0.0</v>
      </c>
      <c r="AY554" s="52">
        <v>0.0</v>
      </c>
      <c r="AZ554" s="52">
        <v>8.0</v>
      </c>
      <c r="BA554" s="43" t="s">
        <v>89</v>
      </c>
      <c r="BB554" s="52">
        <v>20.0</v>
      </c>
      <c r="BC554" s="109"/>
      <c r="BD554" s="70"/>
      <c r="BE554" s="70"/>
      <c r="BF554" s="72"/>
      <c r="BG554" s="73"/>
      <c r="BH554" s="73"/>
      <c r="BI554" s="73"/>
      <c r="BJ554" s="73"/>
      <c r="BK554" s="73"/>
      <c r="BL554" s="73"/>
      <c r="BM554" s="73"/>
      <c r="BN554" s="73"/>
      <c r="BO554" s="73"/>
      <c r="BP554" s="73"/>
      <c r="BQ554" s="73"/>
      <c r="BR554" s="73"/>
      <c r="BS554" s="73"/>
      <c r="BT554" s="73"/>
      <c r="BU554" s="73"/>
      <c r="BV554" s="73"/>
      <c r="BW554" s="74"/>
      <c r="BX554" s="74"/>
      <c r="BY554" s="63"/>
      <c r="BZ554" s="63"/>
    </row>
    <row r="555" ht="15.75" customHeight="1">
      <c r="A555" s="120" t="s">
        <v>3422</v>
      </c>
      <c r="B555" s="43" t="s">
        <v>3423</v>
      </c>
      <c r="C555" s="111" t="s">
        <v>323</v>
      </c>
      <c r="D555" s="58" t="s">
        <v>720</v>
      </c>
      <c r="E555" s="64" t="s">
        <v>3424</v>
      </c>
      <c r="F555" s="47">
        <v>1.8E8</v>
      </c>
      <c r="G555" s="44" t="str">
        <f t="shared" si="16"/>
        <v>$100'000.000 a $200'000.000</v>
      </c>
      <c r="H555" s="44"/>
      <c r="I555" s="44"/>
      <c r="J555" s="50" t="s">
        <v>94</v>
      </c>
      <c r="K555" s="51"/>
      <c r="L555" s="52">
        <v>3.0</v>
      </c>
      <c r="M555" s="52"/>
      <c r="N555" s="52">
        <v>2.0</v>
      </c>
      <c r="O555" s="43">
        <v>1.0</v>
      </c>
      <c r="P555" s="43">
        <v>1.0</v>
      </c>
      <c r="Q555" s="54">
        <v>75.0</v>
      </c>
      <c r="R555" s="55">
        <v>75.0</v>
      </c>
      <c r="S555" s="56" t="str">
        <f t="shared" si="17"/>
        <v>Rentabilidad $600,000</v>
      </c>
      <c r="T555" s="52" t="s">
        <v>78</v>
      </c>
      <c r="U555" s="142" t="s">
        <v>77</v>
      </c>
      <c r="V555" s="52"/>
      <c r="W555" s="52"/>
      <c r="X555" s="52">
        <v>3.0</v>
      </c>
      <c r="Y555" s="43" t="s">
        <v>80</v>
      </c>
      <c r="Z555" s="58" t="s">
        <v>81</v>
      </c>
      <c r="AA555" s="59" t="str">
        <f>IF(Rentabilidad=0,"No aplica",TEXT(ROUND(Precio/Rentabilidad/12,0),0) &amp; " años")</f>
        <v>25 años</v>
      </c>
      <c r="AB555" s="134" t="s">
        <v>3425</v>
      </c>
      <c r="AC555" s="131" t="s">
        <v>3426</v>
      </c>
      <c r="AD555" s="62"/>
      <c r="AE555" s="63"/>
      <c r="AF555" s="45" t="s">
        <v>105</v>
      </c>
      <c r="AG555" s="63"/>
      <c r="AH555" s="63"/>
      <c r="AI555" s="63"/>
      <c r="AJ555" s="64" t="s">
        <v>1834</v>
      </c>
      <c r="AK555" s="44"/>
      <c r="AL555" s="45" t="s">
        <v>109</v>
      </c>
      <c r="AM555" s="52">
        <v>3.183500013E9</v>
      </c>
      <c r="AN555" s="45"/>
      <c r="AO555" s="52" t="s">
        <v>2209</v>
      </c>
      <c r="AP555" s="67" t="s">
        <v>3427</v>
      </c>
      <c r="AQ555" s="67"/>
      <c r="AR555" s="67"/>
      <c r="AS555" s="135">
        <v>600000.0</v>
      </c>
      <c r="AT555" s="52">
        <v>0.0</v>
      </c>
      <c r="AU555" s="52">
        <v>0.0</v>
      </c>
      <c r="AV555" s="52">
        <v>0.0</v>
      </c>
      <c r="AW555" s="43" t="s">
        <v>88</v>
      </c>
      <c r="AX555" s="52">
        <v>0.0</v>
      </c>
      <c r="AY555" s="52">
        <v>0.0</v>
      </c>
      <c r="AZ555" s="52">
        <v>0.0</v>
      </c>
      <c r="BA555" s="43" t="s">
        <v>89</v>
      </c>
      <c r="BB555" s="52">
        <v>0.0</v>
      </c>
      <c r="BC555" s="109"/>
      <c r="BD555" s="70"/>
      <c r="BE555" s="70"/>
      <c r="BF555" s="72" t="s">
        <v>3428</v>
      </c>
      <c r="BG555" s="73"/>
      <c r="BH555" s="73"/>
      <c r="BI555" s="73"/>
      <c r="BJ555" s="73"/>
      <c r="BK555" s="73"/>
      <c r="BL555" s="73"/>
      <c r="BM555" s="73"/>
      <c r="BN555" s="73"/>
      <c r="BO555" s="73"/>
      <c r="BP555" s="73"/>
      <c r="BQ555" s="73"/>
      <c r="BR555" s="73"/>
      <c r="BS555" s="73"/>
      <c r="BT555" s="73"/>
      <c r="BU555" s="73"/>
      <c r="BV555" s="73"/>
      <c r="BW555" s="74"/>
      <c r="BX555" s="74"/>
      <c r="BY555" s="63"/>
      <c r="BZ555" s="63"/>
    </row>
    <row r="556" ht="15.75" customHeight="1">
      <c r="A556" s="120" t="s">
        <v>3429</v>
      </c>
      <c r="B556" s="43" t="s">
        <v>3430</v>
      </c>
      <c r="C556" s="43" t="s">
        <v>70</v>
      </c>
      <c r="D556" s="44" t="s">
        <v>2840</v>
      </c>
      <c r="E556" s="77" t="s">
        <v>376</v>
      </c>
      <c r="F556" s="47">
        <v>1.8E8</v>
      </c>
      <c r="G556" s="44" t="str">
        <f t="shared" si="16"/>
        <v>$100'000.000 a $200'000.000</v>
      </c>
      <c r="H556" s="44"/>
      <c r="I556" s="44"/>
      <c r="J556" s="50" t="s">
        <v>183</v>
      </c>
      <c r="K556" s="57"/>
      <c r="L556" s="52">
        <v>4.0</v>
      </c>
      <c r="M556" s="52"/>
      <c r="N556" s="52">
        <v>2.0</v>
      </c>
      <c r="O556" s="43">
        <v>1.0</v>
      </c>
      <c r="P556" s="52">
        <v>2.0</v>
      </c>
      <c r="Q556" s="54"/>
      <c r="R556" s="55">
        <v>112.0</v>
      </c>
      <c r="S556" s="56" t="str">
        <f t="shared" si="17"/>
        <v>Rentabilidad $650,000</v>
      </c>
      <c r="T556" s="52" t="s">
        <v>78</v>
      </c>
      <c r="U556" s="142" t="s">
        <v>184</v>
      </c>
      <c r="V556" s="43" t="s">
        <v>118</v>
      </c>
      <c r="W556" s="43"/>
      <c r="X556" s="52">
        <v>2.0</v>
      </c>
      <c r="Y556" s="43" t="s">
        <v>80</v>
      </c>
      <c r="Z556" s="58" t="s">
        <v>81</v>
      </c>
      <c r="AA556" s="59" t="str">
        <f>IF(Rentabilidad=0,"No aplica",TEXT(ROUND(Precio/Rentabilidad/12,0),0) &amp; " años")</f>
        <v>23 años</v>
      </c>
      <c r="AB556" s="60"/>
      <c r="AC556" s="61"/>
      <c r="AD556" s="62"/>
      <c r="AE556" s="63"/>
      <c r="AF556" s="64" t="s">
        <v>236</v>
      </c>
      <c r="AG556" s="63"/>
      <c r="AH556" s="63"/>
      <c r="AI556" s="63"/>
      <c r="AJ556" s="64" t="s">
        <v>1834</v>
      </c>
      <c r="AK556" s="44"/>
      <c r="AL556" s="45" t="s">
        <v>2624</v>
      </c>
      <c r="AM556" s="52">
        <v>3.148225169E9</v>
      </c>
      <c r="AN556" s="45">
        <v>8636839.0</v>
      </c>
      <c r="AO556" s="52" t="s">
        <v>2841</v>
      </c>
      <c r="AP556" s="67"/>
      <c r="AQ556" s="67"/>
      <c r="AR556" s="67"/>
      <c r="AS556" s="135">
        <v>650000.0</v>
      </c>
      <c r="AT556" s="44">
        <v>0.0</v>
      </c>
      <c r="AU556" s="52">
        <v>0.0</v>
      </c>
      <c r="AV556" s="52">
        <v>0.0</v>
      </c>
      <c r="AW556" s="43" t="s">
        <v>88</v>
      </c>
      <c r="AX556" s="52">
        <v>0.0</v>
      </c>
      <c r="AY556" s="52">
        <v>0.0</v>
      </c>
      <c r="AZ556" s="52">
        <v>0.0</v>
      </c>
      <c r="BA556" s="43" t="s">
        <v>89</v>
      </c>
      <c r="BB556" s="52">
        <v>0.0</v>
      </c>
      <c r="BC556" s="95"/>
      <c r="BD556" s="71"/>
      <c r="BE556" s="71"/>
      <c r="BF556" s="72"/>
      <c r="BG556" s="73"/>
      <c r="BH556" s="73"/>
      <c r="BI556" s="73"/>
      <c r="BJ556" s="73"/>
      <c r="BK556" s="73"/>
      <c r="BL556" s="73"/>
      <c r="BM556" s="73"/>
      <c r="BN556" s="73"/>
      <c r="BO556" s="73"/>
      <c r="BP556" s="73"/>
      <c r="BQ556" s="73"/>
      <c r="BR556" s="73"/>
      <c r="BS556" s="73"/>
      <c r="BT556" s="73"/>
      <c r="BU556" s="73"/>
      <c r="BV556" s="73"/>
      <c r="BW556" s="74"/>
      <c r="BX556" s="74"/>
      <c r="BY556" s="63"/>
      <c r="BZ556" s="63"/>
    </row>
    <row r="557" ht="15.75" customHeight="1">
      <c r="A557" s="120" t="s">
        <v>3431</v>
      </c>
      <c r="B557" s="50" t="s">
        <v>2934</v>
      </c>
      <c r="C557" s="50" t="s">
        <v>271</v>
      </c>
      <c r="D557" s="44" t="s">
        <v>1216</v>
      </c>
      <c r="E557" s="45"/>
      <c r="F557" s="47">
        <v>1.7E8</v>
      </c>
      <c r="G557" s="44" t="str">
        <f t="shared" si="16"/>
        <v>$100'000.000 a $200'000.000</v>
      </c>
      <c r="H557" s="44"/>
      <c r="I557" s="44"/>
      <c r="J557" s="43" t="s">
        <v>76</v>
      </c>
      <c r="K557" s="51" t="s">
        <v>77</v>
      </c>
      <c r="L557" s="52">
        <v>3.0</v>
      </c>
      <c r="M557" s="52"/>
      <c r="N557" s="52">
        <v>2.0</v>
      </c>
      <c r="O557" s="43">
        <v>0.0</v>
      </c>
      <c r="P557" s="52">
        <v>1.0</v>
      </c>
      <c r="Q557" s="54">
        <v>150.0</v>
      </c>
      <c r="R557" s="55">
        <v>150.0</v>
      </c>
      <c r="S557" s="56" t="str">
        <f t="shared" si="17"/>
        <v>Rentabilidad $1,000,000</v>
      </c>
      <c r="T557" s="52" t="s">
        <v>78</v>
      </c>
      <c r="U557" s="57" t="s">
        <v>184</v>
      </c>
      <c r="V557" s="43" t="s">
        <v>79</v>
      </c>
      <c r="W557" s="43"/>
      <c r="X557" s="52">
        <v>0.0</v>
      </c>
      <c r="Y557" s="43" t="s">
        <v>80</v>
      </c>
      <c r="Z557" s="80" t="s">
        <v>81</v>
      </c>
      <c r="AA557" s="59" t="str">
        <f>IF(Rentabilidad=0,"No aplica",TEXT(ROUND(Precio/Rentabilidad/12,0),0) &amp; " años")</f>
        <v>14 años</v>
      </c>
      <c r="AB557" s="60"/>
      <c r="AC557" s="61"/>
      <c r="AD557" s="62"/>
      <c r="AE557" s="63"/>
      <c r="AF557" s="64" t="s">
        <v>84</v>
      </c>
      <c r="AG557" s="63"/>
      <c r="AH557" s="65" t="s">
        <v>45</v>
      </c>
      <c r="AI557" s="63"/>
      <c r="AJ557" s="64" t="s">
        <v>1834</v>
      </c>
      <c r="AK557" s="44"/>
      <c r="AL557" s="45" t="s">
        <v>86</v>
      </c>
      <c r="AM557" s="52">
        <v>3.203045604E9</v>
      </c>
      <c r="AN557" s="45">
        <v>3.185287327E9</v>
      </c>
      <c r="AO557" s="52" t="s">
        <v>3432</v>
      </c>
      <c r="AP557" s="67" t="s">
        <v>3433</v>
      </c>
      <c r="AQ557" s="67"/>
      <c r="AR557" s="67"/>
      <c r="AS557" s="135">
        <v>1000000.0</v>
      </c>
      <c r="AT557" s="44">
        <v>0.0</v>
      </c>
      <c r="AU557" s="52">
        <v>0.0</v>
      </c>
      <c r="AV557" s="52">
        <v>0.0</v>
      </c>
      <c r="AW557" s="50" t="s">
        <v>88</v>
      </c>
      <c r="AX557" s="44">
        <v>0.0</v>
      </c>
      <c r="AY557" s="44">
        <v>0.0</v>
      </c>
      <c r="AZ557" s="44">
        <v>0.0</v>
      </c>
      <c r="BA557" s="43" t="s">
        <v>89</v>
      </c>
      <c r="BB557" s="44">
        <v>0.0</v>
      </c>
      <c r="BC557" s="170"/>
      <c r="BD557" s="156"/>
      <c r="BE557" s="156"/>
      <c r="BF557" s="157"/>
      <c r="BG557" s="73"/>
      <c r="BH557" s="73"/>
      <c r="BI557" s="73"/>
      <c r="BJ557" s="73"/>
      <c r="BK557" s="73"/>
      <c r="BL557" s="73"/>
      <c r="BM557" s="73"/>
      <c r="BN557" s="73"/>
      <c r="BO557" s="73"/>
      <c r="BP557" s="73"/>
      <c r="BQ557" s="73"/>
      <c r="BR557" s="73"/>
      <c r="BS557" s="73"/>
      <c r="BT557" s="73"/>
      <c r="BU557" s="73"/>
      <c r="BV557" s="73"/>
      <c r="BW557" s="74"/>
      <c r="BX557" s="74"/>
      <c r="BY557" s="63"/>
      <c r="BZ557" s="63"/>
    </row>
    <row r="558" ht="15.75" customHeight="1">
      <c r="A558" s="120" t="s">
        <v>3434</v>
      </c>
      <c r="B558" s="43" t="s">
        <v>1473</v>
      </c>
      <c r="C558" s="43" t="s">
        <v>70</v>
      </c>
      <c r="D558" s="44" t="s">
        <v>951</v>
      </c>
      <c r="E558" s="77" t="s">
        <v>376</v>
      </c>
      <c r="F558" s="47">
        <v>1.7E8</v>
      </c>
      <c r="G558" s="44" t="str">
        <f t="shared" si="16"/>
        <v>$100'000.000 a $200'000.000</v>
      </c>
      <c r="H558" s="44"/>
      <c r="I558" s="44"/>
      <c r="J558" s="50" t="s">
        <v>183</v>
      </c>
      <c r="K558" s="57"/>
      <c r="L558" s="52">
        <v>4.0</v>
      </c>
      <c r="M558" s="52"/>
      <c r="N558" s="52">
        <v>1.0</v>
      </c>
      <c r="O558" s="43">
        <v>2.0</v>
      </c>
      <c r="P558" s="52">
        <v>2.0</v>
      </c>
      <c r="Q558" s="54">
        <v>91.0</v>
      </c>
      <c r="R558" s="55">
        <v>91.0</v>
      </c>
      <c r="S558" s="56" t="str">
        <f t="shared" si="17"/>
        <v>Rentabilidad $600,000</v>
      </c>
      <c r="T558" s="52" t="s">
        <v>78</v>
      </c>
      <c r="U558" s="142" t="s">
        <v>184</v>
      </c>
      <c r="V558" s="43" t="s">
        <v>79</v>
      </c>
      <c r="W558" s="43"/>
      <c r="X558" s="52">
        <v>0.0</v>
      </c>
      <c r="Y558" s="43" t="s">
        <v>80</v>
      </c>
      <c r="Z558" s="58" t="s">
        <v>81</v>
      </c>
      <c r="AA558" s="59" t="str">
        <f>IF(Rentabilidad=0,"No aplica",TEXT(ROUND(Precio/Rentabilidad/12,0),0) &amp; " años")</f>
        <v>24 años</v>
      </c>
      <c r="AB558" s="60"/>
      <c r="AC558" s="61"/>
      <c r="AD558" s="62"/>
      <c r="AE558" s="63"/>
      <c r="AF558" s="64" t="s">
        <v>84</v>
      </c>
      <c r="AG558" s="63"/>
      <c r="AH558" s="63"/>
      <c r="AI558" s="63"/>
      <c r="AJ558" s="64" t="s">
        <v>1834</v>
      </c>
      <c r="AK558" s="44"/>
      <c r="AL558" s="45" t="s">
        <v>86</v>
      </c>
      <c r="AM558" s="52">
        <v>3.014393483E9</v>
      </c>
      <c r="AN558" s="45"/>
      <c r="AO558" s="52" t="s">
        <v>3435</v>
      </c>
      <c r="AP558" s="67" t="s">
        <v>3436</v>
      </c>
      <c r="AQ558" s="67"/>
      <c r="AR558" s="67"/>
      <c r="AS558" s="135">
        <v>600000.0</v>
      </c>
      <c r="AT558" s="44">
        <v>0.0</v>
      </c>
      <c r="AU558" s="52">
        <v>0.0</v>
      </c>
      <c r="AV558" s="52">
        <v>0.0</v>
      </c>
      <c r="AW558" s="43" t="s">
        <v>88</v>
      </c>
      <c r="AX558" s="52">
        <v>0.0</v>
      </c>
      <c r="AY558" s="52">
        <v>0.0</v>
      </c>
      <c r="AZ558" s="52">
        <v>6.5</v>
      </c>
      <c r="BA558" s="43" t="s">
        <v>89</v>
      </c>
      <c r="BB558" s="52">
        <v>14.0</v>
      </c>
      <c r="BC558" s="69" t="s">
        <v>439</v>
      </c>
      <c r="BD558" s="70"/>
      <c r="BE558" s="70"/>
      <c r="BF558" s="72"/>
      <c r="BG558" s="73"/>
      <c r="BH558" s="73"/>
      <c r="BI558" s="73"/>
      <c r="BJ558" s="73"/>
      <c r="BK558" s="73"/>
      <c r="BL558" s="73"/>
      <c r="BM558" s="73"/>
      <c r="BN558" s="73"/>
      <c r="BO558" s="73"/>
      <c r="BP558" s="73"/>
      <c r="BQ558" s="73"/>
      <c r="BR558" s="73"/>
      <c r="BS558" s="73"/>
      <c r="BT558" s="73"/>
      <c r="BU558" s="73"/>
      <c r="BV558" s="73"/>
      <c r="BW558" s="74"/>
      <c r="BX558" s="74"/>
      <c r="BY558" s="63"/>
      <c r="BZ558" s="63"/>
    </row>
    <row r="559" ht="15.75" customHeight="1">
      <c r="A559" s="120" t="s">
        <v>3437</v>
      </c>
      <c r="B559" s="43" t="s">
        <v>3438</v>
      </c>
      <c r="C559" s="111" t="s">
        <v>323</v>
      </c>
      <c r="D559" s="50" t="s">
        <v>11</v>
      </c>
      <c r="E559" s="64" t="s">
        <v>3439</v>
      </c>
      <c r="F559" s="47">
        <v>1.7E8</v>
      </c>
      <c r="G559" s="44" t="str">
        <f t="shared" si="16"/>
        <v>$100'000.000 a $200'000.000</v>
      </c>
      <c r="H559" s="44"/>
      <c r="I559" s="44"/>
      <c r="J559" s="50" t="s">
        <v>183</v>
      </c>
      <c r="K559" s="51"/>
      <c r="L559" s="52">
        <v>3.0</v>
      </c>
      <c r="M559" s="52"/>
      <c r="N559" s="52">
        <v>2.0</v>
      </c>
      <c r="O559" s="43">
        <v>1.0</v>
      </c>
      <c r="P559" s="43">
        <v>1.0</v>
      </c>
      <c r="Q559" s="54">
        <v>83.0</v>
      </c>
      <c r="R559" s="55">
        <v>83.0</v>
      </c>
      <c r="S559" s="56" t="str">
        <f t="shared" si="17"/>
        <v>Rentabilidad $980,000</v>
      </c>
      <c r="T559" s="52" t="s">
        <v>78</v>
      </c>
      <c r="U559" s="57" t="s">
        <v>77</v>
      </c>
      <c r="V559" s="52"/>
      <c r="W559" s="52"/>
      <c r="X559" s="52">
        <v>3.0</v>
      </c>
      <c r="Y559" s="43" t="s">
        <v>80</v>
      </c>
      <c r="Z559" s="151">
        <v>185000.0</v>
      </c>
      <c r="AA559" s="59" t="str">
        <f>IF(Rentabilidad=0,"No aplica",TEXT(ROUND(Precio/Rentabilidad/12,0),0) &amp; " años")</f>
        <v>14 años</v>
      </c>
      <c r="AB559" s="60"/>
      <c r="AC559" s="131" t="s">
        <v>3440</v>
      </c>
      <c r="AD559" s="62"/>
      <c r="AE559" s="63"/>
      <c r="AF559" s="45" t="s">
        <v>105</v>
      </c>
      <c r="AG559" s="63"/>
      <c r="AH559" s="63"/>
      <c r="AI559" s="63"/>
      <c r="AJ559" s="64" t="s">
        <v>1834</v>
      </c>
      <c r="AK559" s="44"/>
      <c r="AL559" s="45" t="s">
        <v>109</v>
      </c>
      <c r="AM559" s="52">
        <v>3.156514467E9</v>
      </c>
      <c r="AN559" s="45">
        <v>3.112510315E9</v>
      </c>
      <c r="AO559" s="43" t="s">
        <v>3441</v>
      </c>
      <c r="AP559" s="67" t="s">
        <v>1827</v>
      </c>
      <c r="AQ559" s="67"/>
      <c r="AR559" s="67"/>
      <c r="AS559" s="135">
        <v>980000.0</v>
      </c>
      <c r="AT559" s="52">
        <v>0.0</v>
      </c>
      <c r="AU559" s="52">
        <v>0.0</v>
      </c>
      <c r="AV559" s="52">
        <v>0.0</v>
      </c>
      <c r="AW559" s="43" t="s">
        <v>88</v>
      </c>
      <c r="AX559" s="52">
        <v>0.0</v>
      </c>
      <c r="AY559" s="52">
        <v>0.0</v>
      </c>
      <c r="AZ559" s="44">
        <v>0.0</v>
      </c>
      <c r="BA559" s="43" t="s">
        <v>89</v>
      </c>
      <c r="BB559" s="44">
        <v>0.0</v>
      </c>
      <c r="BC559" s="95"/>
      <c r="BD559" s="71"/>
      <c r="BE559" s="71"/>
      <c r="BF559" s="72"/>
      <c r="BG559" s="73"/>
      <c r="BH559" s="73"/>
      <c r="BI559" s="73"/>
      <c r="BJ559" s="73"/>
      <c r="BK559" s="73"/>
      <c r="BL559" s="73"/>
      <c r="BM559" s="73"/>
      <c r="BN559" s="73"/>
      <c r="BO559" s="73"/>
      <c r="BP559" s="73"/>
      <c r="BQ559" s="73"/>
      <c r="BR559" s="73"/>
      <c r="BS559" s="73"/>
      <c r="BT559" s="73"/>
      <c r="BU559" s="73"/>
      <c r="BV559" s="73"/>
      <c r="BW559" s="74"/>
      <c r="BX559" s="74"/>
      <c r="BY559" s="63"/>
      <c r="BZ559" s="63"/>
    </row>
    <row r="560" ht="15.75" customHeight="1">
      <c r="A560" s="120" t="s">
        <v>3442</v>
      </c>
      <c r="B560" s="43" t="s">
        <v>3443</v>
      </c>
      <c r="C560" s="111" t="s">
        <v>323</v>
      </c>
      <c r="D560" s="45" t="s">
        <v>76</v>
      </c>
      <c r="E560" s="77" t="s">
        <v>376</v>
      </c>
      <c r="F560" s="47">
        <v>1.6E8</v>
      </c>
      <c r="G560" s="44" t="str">
        <f t="shared" si="16"/>
        <v>$100'000.000 a $200'000.000</v>
      </c>
      <c r="H560" s="44"/>
      <c r="I560" s="44"/>
      <c r="J560" s="43" t="s">
        <v>76</v>
      </c>
      <c r="K560" s="305"/>
      <c r="L560" s="52">
        <v>3.0</v>
      </c>
      <c r="M560" s="52"/>
      <c r="N560" s="52">
        <v>2.0</v>
      </c>
      <c r="O560" s="43">
        <v>0.0</v>
      </c>
      <c r="P560" s="43">
        <v>1.0</v>
      </c>
      <c r="Q560" s="54">
        <v>77.0</v>
      </c>
      <c r="R560" s="55">
        <v>77.0</v>
      </c>
      <c r="S560" s="56" t="str">
        <f t="shared" si="17"/>
        <v>Rentabilidad $650,000</v>
      </c>
      <c r="T560" s="52" t="s">
        <v>78</v>
      </c>
      <c r="U560" s="142" t="s">
        <v>77</v>
      </c>
      <c r="V560" s="52"/>
      <c r="W560" s="52"/>
      <c r="X560" s="52">
        <v>2.0</v>
      </c>
      <c r="Y560" s="43" t="s">
        <v>80</v>
      </c>
      <c r="Z560" s="58" t="s">
        <v>81</v>
      </c>
      <c r="AA560" s="59" t="str">
        <f>IF(Rentabilidad=0,"No aplica",TEXT(ROUND(Precio/Rentabilidad/12,0),0) &amp; " años")</f>
        <v>21 años</v>
      </c>
      <c r="AB560" s="195"/>
      <c r="AC560" s="131" t="s">
        <v>3440</v>
      </c>
      <c r="AD560" s="62"/>
      <c r="AE560" s="63"/>
      <c r="AF560" s="64" t="s">
        <v>236</v>
      </c>
      <c r="AG560" s="63"/>
      <c r="AH560" s="63"/>
      <c r="AI560" s="63"/>
      <c r="AJ560" s="64" t="s">
        <v>1834</v>
      </c>
      <c r="AK560" s="44"/>
      <c r="AL560" s="45" t="s">
        <v>109</v>
      </c>
      <c r="AM560" s="52">
        <v>3.158996332E9</v>
      </c>
      <c r="AN560" s="45"/>
      <c r="AO560" s="52" t="s">
        <v>3444</v>
      </c>
      <c r="AP560" s="67" t="s">
        <v>3445</v>
      </c>
      <c r="AQ560" s="67"/>
      <c r="AR560" s="67"/>
      <c r="AS560" s="135">
        <v>650000.0</v>
      </c>
      <c r="AT560" s="52">
        <v>0.0</v>
      </c>
      <c r="AU560" s="52">
        <v>0.0</v>
      </c>
      <c r="AV560" s="52">
        <v>0.0</v>
      </c>
      <c r="AW560" s="43" t="s">
        <v>88</v>
      </c>
      <c r="AX560" s="52">
        <v>0.0</v>
      </c>
      <c r="AY560" s="52">
        <v>0.0</v>
      </c>
      <c r="AZ560" s="52">
        <v>0.0</v>
      </c>
      <c r="BA560" s="43" t="s">
        <v>89</v>
      </c>
      <c r="BB560" s="52">
        <v>0.0</v>
      </c>
      <c r="BC560" s="109"/>
      <c r="BD560" s="70"/>
      <c r="BE560" s="71"/>
      <c r="BF560" s="72"/>
      <c r="BG560" s="73"/>
      <c r="BH560" s="73"/>
      <c r="BI560" s="73"/>
      <c r="BJ560" s="73"/>
      <c r="BK560" s="73"/>
      <c r="BL560" s="73"/>
      <c r="BM560" s="73"/>
      <c r="BN560" s="73"/>
      <c r="BO560" s="73"/>
      <c r="BP560" s="73"/>
      <c r="BQ560" s="73"/>
      <c r="BR560" s="73"/>
      <c r="BS560" s="73"/>
      <c r="BT560" s="73"/>
      <c r="BU560" s="73"/>
      <c r="BV560" s="73"/>
      <c r="BW560" s="74"/>
      <c r="BX560" s="74"/>
      <c r="BY560" s="63"/>
      <c r="BZ560" s="63"/>
    </row>
    <row r="561" ht="15.75" customHeight="1">
      <c r="A561" s="120" t="s">
        <v>3446</v>
      </c>
      <c r="B561" s="43" t="s">
        <v>3447</v>
      </c>
      <c r="C561" s="43" t="s">
        <v>573</v>
      </c>
      <c r="D561" s="44" t="s">
        <v>756</v>
      </c>
      <c r="E561" s="77" t="s">
        <v>376</v>
      </c>
      <c r="F561" s="47">
        <v>1.6E8</v>
      </c>
      <c r="G561" s="44" t="str">
        <f t="shared" si="16"/>
        <v>$100'000.000 a $200'000.000</v>
      </c>
      <c r="H561" s="44"/>
      <c r="I561" s="44"/>
      <c r="J561" s="50" t="s">
        <v>183</v>
      </c>
      <c r="K561" s="57"/>
      <c r="L561" s="52">
        <v>3.0</v>
      </c>
      <c r="M561" s="52"/>
      <c r="N561" s="52">
        <v>2.0</v>
      </c>
      <c r="O561" s="43">
        <v>0.0</v>
      </c>
      <c r="P561" s="52">
        <v>1.0</v>
      </c>
      <c r="Q561" s="54">
        <v>90.0</v>
      </c>
      <c r="R561" s="55">
        <v>90.0</v>
      </c>
      <c r="S561" s="56" t="str">
        <f t="shared" si="17"/>
        <v>Rentabilidad $600,000</v>
      </c>
      <c r="T561" s="52" t="s">
        <v>78</v>
      </c>
      <c r="U561" s="142" t="s">
        <v>184</v>
      </c>
      <c r="V561" s="43" t="s">
        <v>79</v>
      </c>
      <c r="W561" s="43"/>
      <c r="X561" s="52">
        <v>3.0</v>
      </c>
      <c r="Y561" s="43" t="s">
        <v>80</v>
      </c>
      <c r="Z561" s="58" t="s">
        <v>81</v>
      </c>
      <c r="AA561" s="59" t="str">
        <f>IF(Rentabilidad=0,"No aplica",TEXT(ROUND(Precio/Rentabilidad/12,0),0) &amp; " años")</f>
        <v>22 años</v>
      </c>
      <c r="AB561" s="60"/>
      <c r="AC561" s="61"/>
      <c r="AD561" s="62"/>
      <c r="AE561" s="63"/>
      <c r="AF561" s="45" t="s">
        <v>105</v>
      </c>
      <c r="AG561" s="63"/>
      <c r="AH561" s="63"/>
      <c r="AI561" s="63"/>
      <c r="AJ561" s="64" t="s">
        <v>1834</v>
      </c>
      <c r="AK561" s="44"/>
      <c r="AL561" s="45" t="s">
        <v>86</v>
      </c>
      <c r="AM561" s="52">
        <v>3.1146914E9</v>
      </c>
      <c r="AN561" s="45"/>
      <c r="AO561" s="52"/>
      <c r="AP561" s="67"/>
      <c r="AQ561" s="67"/>
      <c r="AR561" s="67"/>
      <c r="AS561" s="135">
        <v>600000.0</v>
      </c>
      <c r="AT561" s="52">
        <v>0.0</v>
      </c>
      <c r="AU561" s="52">
        <v>0.0</v>
      </c>
      <c r="AV561" s="52">
        <v>0.0</v>
      </c>
      <c r="AW561" s="43" t="s">
        <v>88</v>
      </c>
      <c r="AX561" s="52">
        <v>0.0</v>
      </c>
      <c r="AY561" s="52">
        <v>0.0</v>
      </c>
      <c r="AZ561" s="52">
        <v>6.0</v>
      </c>
      <c r="BA561" s="43" t="s">
        <v>89</v>
      </c>
      <c r="BB561" s="52">
        <v>15.0</v>
      </c>
      <c r="BC561" s="95" t="s">
        <v>445</v>
      </c>
      <c r="BD561" s="71"/>
      <c r="BE561" s="71"/>
      <c r="BF561" s="72"/>
      <c r="BG561" s="73"/>
      <c r="BH561" s="73"/>
      <c r="BI561" s="73"/>
      <c r="BJ561" s="73"/>
      <c r="BK561" s="73"/>
      <c r="BL561" s="73"/>
      <c r="BM561" s="73"/>
      <c r="BN561" s="73"/>
      <c r="BO561" s="73"/>
      <c r="BP561" s="73"/>
      <c r="BQ561" s="73"/>
      <c r="BR561" s="73"/>
      <c r="BS561" s="73"/>
      <c r="BT561" s="73"/>
      <c r="BU561" s="73"/>
      <c r="BV561" s="73"/>
      <c r="BW561" s="74"/>
      <c r="BX561" s="74"/>
      <c r="BY561" s="63"/>
      <c r="BZ561" s="63"/>
    </row>
    <row r="562" ht="15.75" customHeight="1">
      <c r="A562" s="133" t="s">
        <v>3448</v>
      </c>
      <c r="B562" s="43" t="s">
        <v>3449</v>
      </c>
      <c r="C562" s="43" t="s">
        <v>1228</v>
      </c>
      <c r="D562" s="44" t="s">
        <v>1903</v>
      </c>
      <c r="E562" s="77" t="s">
        <v>376</v>
      </c>
      <c r="F562" s="47">
        <v>1.6E8</v>
      </c>
      <c r="G562" s="44" t="str">
        <f t="shared" si="16"/>
        <v>$100'000.000 a $200'000.000</v>
      </c>
      <c r="H562" s="44"/>
      <c r="I562" s="44"/>
      <c r="J562" s="50" t="s">
        <v>183</v>
      </c>
      <c r="K562" s="57"/>
      <c r="L562" s="52">
        <v>2.0</v>
      </c>
      <c r="M562" s="52"/>
      <c r="N562" s="52">
        <v>1.0</v>
      </c>
      <c r="O562" s="43">
        <v>1.0</v>
      </c>
      <c r="P562" s="52">
        <v>1.0</v>
      </c>
      <c r="Q562" s="54">
        <v>80.0</v>
      </c>
      <c r="R562" s="55">
        <v>120.0</v>
      </c>
      <c r="S562" s="56" t="str">
        <f t="shared" si="17"/>
        <v>Rentabilidad $600,000</v>
      </c>
      <c r="T562" s="52" t="s">
        <v>78</v>
      </c>
      <c r="U562" s="142" t="s">
        <v>184</v>
      </c>
      <c r="V562" s="43" t="s">
        <v>79</v>
      </c>
      <c r="W562" s="43"/>
      <c r="X562" s="52">
        <v>0.0</v>
      </c>
      <c r="Y562" s="43" t="s">
        <v>80</v>
      </c>
      <c r="Z562" s="80" t="s">
        <v>81</v>
      </c>
      <c r="AA562" s="59" t="str">
        <f>IF(Rentabilidad=0,"No aplica",TEXT(ROUND(Precio/Rentabilidad/12,0),0) &amp; " años")</f>
        <v>22 años</v>
      </c>
      <c r="AB562" s="60"/>
      <c r="AC562" s="61"/>
      <c r="AD562" s="62"/>
      <c r="AE562" s="63"/>
      <c r="AF562" s="64" t="s">
        <v>84</v>
      </c>
      <c r="AG562" s="63"/>
      <c r="AH562" s="63"/>
      <c r="AI562" s="63"/>
      <c r="AJ562" s="64" t="s">
        <v>1834</v>
      </c>
      <c r="AK562" s="44"/>
      <c r="AL562" s="45" t="s">
        <v>3450</v>
      </c>
      <c r="AM562" s="52">
        <v>3.11491629E9</v>
      </c>
      <c r="AN562" s="45"/>
      <c r="AO562" s="52" t="s">
        <v>3451</v>
      </c>
      <c r="AP562" s="67" t="s">
        <v>3452</v>
      </c>
      <c r="AQ562" s="67"/>
      <c r="AR562" s="67"/>
      <c r="AS562" s="135">
        <v>600000.0</v>
      </c>
      <c r="AT562" s="63">
        <v>0.0</v>
      </c>
      <c r="AU562" s="52">
        <v>0.0</v>
      </c>
      <c r="AV562" s="52">
        <v>0.0</v>
      </c>
      <c r="AW562" s="43" t="s">
        <v>88</v>
      </c>
      <c r="AX562" s="52">
        <v>0.0</v>
      </c>
      <c r="AY562" s="52">
        <v>0.0</v>
      </c>
      <c r="AZ562" s="52">
        <v>6.0</v>
      </c>
      <c r="BA562" s="43" t="s">
        <v>89</v>
      </c>
      <c r="BB562" s="52">
        <v>20.0</v>
      </c>
      <c r="BC562" s="109"/>
      <c r="BD562" s="70"/>
      <c r="BE562" s="71"/>
      <c r="BF562" s="72"/>
      <c r="BG562" s="74"/>
      <c r="BH562" s="74"/>
      <c r="BI562" s="74"/>
      <c r="BJ562" s="74"/>
      <c r="BK562" s="74"/>
      <c r="BL562" s="74"/>
      <c r="BM562" s="74"/>
      <c r="BN562" s="74"/>
      <c r="BO562" s="74"/>
      <c r="BP562" s="74"/>
      <c r="BQ562" s="74"/>
      <c r="BR562" s="74"/>
      <c r="BS562" s="74"/>
      <c r="BT562" s="74"/>
      <c r="BU562" s="74"/>
      <c r="BV562" s="74"/>
      <c r="BW562" s="74"/>
      <c r="BX562" s="74"/>
      <c r="BY562" s="63"/>
      <c r="BZ562" s="63"/>
    </row>
    <row r="563" ht="15.75" customHeight="1">
      <c r="A563" s="133" t="s">
        <v>3453</v>
      </c>
      <c r="B563" s="43" t="s">
        <v>3454</v>
      </c>
      <c r="C563" s="43" t="s">
        <v>573</v>
      </c>
      <c r="D563" s="50" t="s">
        <v>3455</v>
      </c>
      <c r="E563" s="77" t="s">
        <v>376</v>
      </c>
      <c r="F563" s="47">
        <v>1.6E8</v>
      </c>
      <c r="G563" s="44" t="str">
        <f t="shared" si="16"/>
        <v>$100'000.000 a $200'000.000</v>
      </c>
      <c r="H563" s="44"/>
      <c r="I563" s="44"/>
      <c r="J563" s="50" t="s">
        <v>183</v>
      </c>
      <c r="K563" s="57"/>
      <c r="L563" s="52">
        <v>2.0</v>
      </c>
      <c r="M563" s="52"/>
      <c r="N563" s="52">
        <v>3.0</v>
      </c>
      <c r="O563" s="43">
        <v>0.0</v>
      </c>
      <c r="P563" s="52">
        <v>1.0</v>
      </c>
      <c r="Q563" s="54"/>
      <c r="R563" s="55">
        <v>112.5</v>
      </c>
      <c r="S563" s="56" t="str">
        <f t="shared" si="17"/>
        <v>Rentabilidad $500,000</v>
      </c>
      <c r="T563" s="52" t="s">
        <v>78</v>
      </c>
      <c r="U563" s="142" t="s">
        <v>184</v>
      </c>
      <c r="V563" s="43" t="s">
        <v>79</v>
      </c>
      <c r="W563" s="43"/>
      <c r="X563" s="52">
        <v>1.0</v>
      </c>
      <c r="Y563" s="43" t="s">
        <v>80</v>
      </c>
      <c r="Z563" s="58" t="s">
        <v>81</v>
      </c>
      <c r="AA563" s="59" t="str">
        <f>IF(Rentabilidad=0,"No aplica",TEXT(ROUND(Precio/Rentabilidad/12,0),0) &amp; " años")</f>
        <v>27 años</v>
      </c>
      <c r="AB563" s="134" t="s">
        <v>3456</v>
      </c>
      <c r="AC563" s="61"/>
      <c r="AD563" s="62"/>
      <c r="AE563" s="63"/>
      <c r="AF563" s="64" t="s">
        <v>84</v>
      </c>
      <c r="AG563" s="63"/>
      <c r="AH563" s="63"/>
      <c r="AI563" s="63"/>
      <c r="AJ563" s="64" t="s">
        <v>1834</v>
      </c>
      <c r="AK563" s="44"/>
      <c r="AL563" s="45" t="s">
        <v>109</v>
      </c>
      <c r="AM563" s="52">
        <v>3.213711762E9</v>
      </c>
      <c r="AN563" s="45"/>
      <c r="AO563" s="52" t="s">
        <v>3457</v>
      </c>
      <c r="AP563" s="67" t="s">
        <v>3458</v>
      </c>
      <c r="AQ563" s="67"/>
      <c r="AR563" s="67"/>
      <c r="AS563" s="135">
        <v>500000.0</v>
      </c>
      <c r="AT563" s="52">
        <v>0.0</v>
      </c>
      <c r="AU563" s="52">
        <v>0.0</v>
      </c>
      <c r="AV563" s="52">
        <v>0.0</v>
      </c>
      <c r="AW563" s="43" t="s">
        <v>88</v>
      </c>
      <c r="AX563" s="52">
        <v>0.0</v>
      </c>
      <c r="AY563" s="52">
        <v>0.0</v>
      </c>
      <c r="AZ563" s="52">
        <v>7.5</v>
      </c>
      <c r="BA563" s="43" t="s">
        <v>89</v>
      </c>
      <c r="BB563" s="52">
        <v>15.0</v>
      </c>
      <c r="BC563" s="69" t="s">
        <v>1092</v>
      </c>
      <c r="BD563" s="70"/>
      <c r="BE563" s="70"/>
      <c r="BF563" s="72" t="s">
        <v>3459</v>
      </c>
      <c r="BG563" s="73"/>
      <c r="BH563" s="73"/>
      <c r="BI563" s="73"/>
      <c r="BJ563" s="73"/>
      <c r="BK563" s="73"/>
      <c r="BL563" s="73"/>
      <c r="BM563" s="73"/>
      <c r="BN563" s="73"/>
      <c r="BO563" s="73"/>
      <c r="BP563" s="73"/>
      <c r="BQ563" s="73"/>
      <c r="BR563" s="73"/>
      <c r="BS563" s="73"/>
      <c r="BT563" s="73"/>
      <c r="BU563" s="73"/>
      <c r="BV563" s="73"/>
      <c r="BW563" s="74"/>
      <c r="BX563" s="74"/>
      <c r="BY563" s="63"/>
      <c r="BZ563" s="63"/>
    </row>
    <row r="564" ht="15.75" customHeight="1">
      <c r="A564" s="133" t="s">
        <v>3460</v>
      </c>
      <c r="B564" s="43" t="s">
        <v>2956</v>
      </c>
      <c r="C564" s="43" t="s">
        <v>70</v>
      </c>
      <c r="D564" s="44" t="s">
        <v>2706</v>
      </c>
      <c r="E564" s="77" t="s">
        <v>376</v>
      </c>
      <c r="F564" s="47">
        <v>1.6E8</v>
      </c>
      <c r="G564" s="44" t="str">
        <f t="shared" si="16"/>
        <v>$100'000.000 a $200'000.000</v>
      </c>
      <c r="H564" s="44"/>
      <c r="I564" s="44"/>
      <c r="J564" s="50" t="s">
        <v>183</v>
      </c>
      <c r="K564" s="57"/>
      <c r="L564" s="52">
        <v>4.0</v>
      </c>
      <c r="M564" s="52"/>
      <c r="N564" s="52">
        <v>2.0</v>
      </c>
      <c r="O564" s="43">
        <v>1.0</v>
      </c>
      <c r="P564" s="52">
        <v>1.0</v>
      </c>
      <c r="Q564" s="54">
        <f>SUM(U564*X564)</f>
        <v>2</v>
      </c>
      <c r="R564" s="55">
        <v>154.0</v>
      </c>
      <c r="S564" s="56" t="str">
        <f t="shared" si="17"/>
        <v>Rentabilidad $500,000</v>
      </c>
      <c r="T564" s="52" t="s">
        <v>78</v>
      </c>
      <c r="U564" s="142" t="s">
        <v>184</v>
      </c>
      <c r="V564" s="43" t="s">
        <v>79</v>
      </c>
      <c r="W564" s="43"/>
      <c r="X564" s="52">
        <v>1.0</v>
      </c>
      <c r="Y564" s="43" t="s">
        <v>80</v>
      </c>
      <c r="Z564" s="58" t="s">
        <v>81</v>
      </c>
      <c r="AA564" s="59" t="str">
        <f>IF(Rentabilidad=0,"No aplica",TEXT(ROUND(Precio/Rentabilidad/12,0),0) &amp; " años")</f>
        <v>27 años</v>
      </c>
      <c r="AB564" s="306"/>
      <c r="AC564" s="61"/>
      <c r="AD564" s="62"/>
      <c r="AE564" s="63"/>
      <c r="AF564" s="64" t="s">
        <v>236</v>
      </c>
      <c r="AG564" s="63"/>
      <c r="AH564" s="63"/>
      <c r="AI564" s="63"/>
      <c r="AJ564" s="64" t="s">
        <v>1834</v>
      </c>
      <c r="AK564" s="44"/>
      <c r="AL564" s="45" t="s">
        <v>2624</v>
      </c>
      <c r="AM564" s="52">
        <v>3.1029411E9</v>
      </c>
      <c r="AN564" s="45"/>
      <c r="AO564" s="52" t="s">
        <v>3461</v>
      </c>
      <c r="AP564" s="67" t="s">
        <v>3462</v>
      </c>
      <c r="AQ564" s="67"/>
      <c r="AR564" s="67"/>
      <c r="AS564" s="135">
        <v>500000.0</v>
      </c>
      <c r="AT564" s="63">
        <v>0.0</v>
      </c>
      <c r="AU564" s="52">
        <v>0.0</v>
      </c>
      <c r="AV564" s="52">
        <v>0.0</v>
      </c>
      <c r="AW564" s="43" t="s">
        <v>88</v>
      </c>
      <c r="AX564" s="52">
        <v>0.0</v>
      </c>
      <c r="AY564" s="52">
        <v>0.0</v>
      </c>
      <c r="AZ564" s="52">
        <v>11.0</v>
      </c>
      <c r="BA564" s="43" t="s">
        <v>89</v>
      </c>
      <c r="BB564" s="52">
        <v>14.0</v>
      </c>
      <c r="BC564" s="109"/>
      <c r="BD564" s="70"/>
      <c r="BE564" s="71"/>
      <c r="BF564" s="72"/>
      <c r="BG564" s="73"/>
      <c r="BH564" s="73"/>
      <c r="BI564" s="73"/>
      <c r="BJ564" s="73"/>
      <c r="BK564" s="73"/>
      <c r="BL564" s="73"/>
      <c r="BM564" s="73"/>
      <c r="BN564" s="73"/>
      <c r="BO564" s="73"/>
      <c r="BP564" s="73"/>
      <c r="BQ564" s="73"/>
      <c r="BR564" s="73"/>
      <c r="BS564" s="73"/>
      <c r="BT564" s="73"/>
      <c r="BU564" s="73"/>
      <c r="BV564" s="73"/>
      <c r="BW564" s="74"/>
      <c r="BX564" s="74"/>
      <c r="BY564" s="63"/>
      <c r="BZ564" s="63"/>
    </row>
    <row r="565" ht="15.75" customHeight="1">
      <c r="A565" s="75" t="s">
        <v>3463</v>
      </c>
      <c r="B565" s="43" t="s">
        <v>3347</v>
      </c>
      <c r="C565" s="43" t="s">
        <v>70</v>
      </c>
      <c r="D565" s="50" t="s">
        <v>72</v>
      </c>
      <c r="E565" s="45"/>
      <c r="F565" s="78">
        <v>1.53E8</v>
      </c>
      <c r="G565" s="44" t="str">
        <f t="shared" si="16"/>
        <v>$100'000.000 a $200'000.000</v>
      </c>
      <c r="H565" s="44"/>
      <c r="I565" s="44"/>
      <c r="J565" s="50" t="s">
        <v>183</v>
      </c>
      <c r="K565" s="51" t="s">
        <v>184</v>
      </c>
      <c r="L565" s="50">
        <v>4.0</v>
      </c>
      <c r="M565" s="50"/>
      <c r="N565" s="50">
        <v>2.0</v>
      </c>
      <c r="O565" s="50">
        <v>1.0</v>
      </c>
      <c r="P565" s="43">
        <v>2.0</v>
      </c>
      <c r="Q565" s="54"/>
      <c r="R565" s="55">
        <v>90.0</v>
      </c>
      <c r="S565" s="56" t="str">
        <f t="shared" si="17"/>
        <v> </v>
      </c>
      <c r="T565" s="43" t="s">
        <v>78</v>
      </c>
      <c r="U565" s="51" t="s">
        <v>77</v>
      </c>
      <c r="V565" s="43" t="s">
        <v>79</v>
      </c>
      <c r="W565" s="43"/>
      <c r="X565" s="50">
        <v>2.0</v>
      </c>
      <c r="Y565" s="50" t="s">
        <v>80</v>
      </c>
      <c r="Z565" s="58" t="s">
        <v>81</v>
      </c>
      <c r="AA565" s="59" t="str">
        <f>IF(Rentabilidad=0,"No aplica",TEXT(ROUND(Precio/Rentabilidad/12,0),0) &amp; " años")</f>
        <v>No aplica</v>
      </c>
      <c r="AB565" s="60"/>
      <c r="AC565" s="61"/>
      <c r="AD565" s="62"/>
      <c r="AE565" s="63"/>
      <c r="AF565" s="64"/>
      <c r="AG565" s="63"/>
      <c r="AH565" s="65" t="s">
        <v>45</v>
      </c>
      <c r="AI565" s="63"/>
      <c r="AJ565" s="64" t="s">
        <v>1834</v>
      </c>
      <c r="AK565" s="44"/>
      <c r="AL565" s="45"/>
      <c r="AM565" s="52"/>
      <c r="AN565" s="45"/>
      <c r="AO565" s="52"/>
      <c r="AP565" s="67"/>
      <c r="AQ565" s="67"/>
      <c r="AR565" s="67"/>
      <c r="AS565" s="68"/>
      <c r="AT565" s="44"/>
      <c r="AU565" s="52"/>
      <c r="AV565" s="52"/>
      <c r="AW565" s="52"/>
      <c r="AX565" s="52"/>
      <c r="AY565" s="52"/>
      <c r="AZ565" s="52"/>
      <c r="BA565" s="43" t="s">
        <v>89</v>
      </c>
      <c r="BB565" s="52"/>
      <c r="BC565" s="109"/>
      <c r="BD565" s="70"/>
      <c r="BE565" s="71"/>
      <c r="BF565" s="130"/>
      <c r="BG565" s="73"/>
      <c r="BH565" s="73"/>
      <c r="BI565" s="73"/>
      <c r="BJ565" s="73"/>
      <c r="BK565" s="73"/>
      <c r="BL565" s="73"/>
      <c r="BM565" s="73"/>
      <c r="BN565" s="73"/>
      <c r="BO565" s="73"/>
      <c r="BP565" s="73"/>
      <c r="BQ565" s="73"/>
      <c r="BR565" s="73"/>
      <c r="BS565" s="73"/>
      <c r="BT565" s="73"/>
      <c r="BU565" s="73"/>
      <c r="BV565" s="73"/>
      <c r="BW565" s="74"/>
      <c r="BX565" s="74"/>
      <c r="BY565" s="63"/>
      <c r="BZ565" s="63"/>
    </row>
    <row r="566" ht="15.75" customHeight="1">
      <c r="A566" s="41" t="s">
        <v>3464</v>
      </c>
      <c r="B566" s="43" t="s">
        <v>3335</v>
      </c>
      <c r="C566" s="43" t="s">
        <v>70</v>
      </c>
      <c r="D566" s="52" t="s">
        <v>182</v>
      </c>
      <c r="E566" s="45"/>
      <c r="F566" s="47">
        <v>1.5E8</v>
      </c>
      <c r="G566" s="44" t="str">
        <f t="shared" si="16"/>
        <v>$100'000.000 a $200'000.000</v>
      </c>
      <c r="H566" s="44"/>
      <c r="I566" s="44"/>
      <c r="J566" s="43" t="s">
        <v>183</v>
      </c>
      <c r="K566" s="56" t="s">
        <v>184</v>
      </c>
      <c r="L566" s="52">
        <v>3.0</v>
      </c>
      <c r="M566" s="52"/>
      <c r="N566" s="52">
        <v>2.0</v>
      </c>
      <c r="O566" s="43">
        <v>0.0</v>
      </c>
      <c r="P566" s="52">
        <v>2.0</v>
      </c>
      <c r="Q566" s="54"/>
      <c r="R566" s="55">
        <v>58.0</v>
      </c>
      <c r="S566" s="56" t="str">
        <f t="shared" si="17"/>
        <v>Rentabilidad $500,000</v>
      </c>
      <c r="T566" s="52" t="s">
        <v>78</v>
      </c>
      <c r="U566" s="142" t="s">
        <v>77</v>
      </c>
      <c r="V566" s="43" t="s">
        <v>118</v>
      </c>
      <c r="W566" s="43"/>
      <c r="X566" s="52">
        <v>0.0</v>
      </c>
      <c r="Y566" s="43" t="s">
        <v>80</v>
      </c>
      <c r="Z566" s="58" t="s">
        <v>81</v>
      </c>
      <c r="AA566" s="59" t="str">
        <f>IF(Rentabilidad=0,"No aplica",TEXT(ROUND(Precio/Rentabilidad/12,0),0) &amp; " años")</f>
        <v>25 años</v>
      </c>
      <c r="AB566" s="60"/>
      <c r="AC566" s="61"/>
      <c r="AD566" s="62"/>
      <c r="AE566" s="63"/>
      <c r="AF566" s="64" t="s">
        <v>84</v>
      </c>
      <c r="AG566" s="63"/>
      <c r="AH566" s="63"/>
      <c r="AI566" s="63"/>
      <c r="AJ566" s="64" t="s">
        <v>1834</v>
      </c>
      <c r="AK566" s="44"/>
      <c r="AL566" s="45" t="s">
        <v>2624</v>
      </c>
      <c r="AM566" s="64" t="s">
        <v>3465</v>
      </c>
      <c r="AN566" s="45"/>
      <c r="AO566" s="52"/>
      <c r="AP566" s="67" t="s">
        <v>3466</v>
      </c>
      <c r="AQ566" s="67"/>
      <c r="AR566" s="67"/>
      <c r="AS566" s="135">
        <v>500000.0</v>
      </c>
      <c r="AT566" s="44">
        <v>0.0</v>
      </c>
      <c r="AU566" s="52">
        <v>0.0</v>
      </c>
      <c r="AV566" s="52">
        <v>0.0</v>
      </c>
      <c r="AW566" s="43" t="s">
        <v>88</v>
      </c>
      <c r="AX566" s="52">
        <v>0.0</v>
      </c>
      <c r="AY566" s="52">
        <v>0.0</v>
      </c>
      <c r="AZ566" s="52">
        <v>0.0</v>
      </c>
      <c r="BA566" s="43" t="s">
        <v>89</v>
      </c>
      <c r="BB566" s="52">
        <v>0.0</v>
      </c>
      <c r="BC566" s="69" t="s">
        <v>3467</v>
      </c>
      <c r="BD566" s="70"/>
      <c r="BE566" s="71"/>
      <c r="BF566" s="72"/>
      <c r="BG566" s="73"/>
      <c r="BH566" s="73"/>
      <c r="BI566" s="73"/>
      <c r="BJ566" s="73"/>
      <c r="BK566" s="73"/>
      <c r="BL566" s="73"/>
      <c r="BM566" s="73"/>
      <c r="BN566" s="73"/>
      <c r="BO566" s="73"/>
      <c r="BP566" s="73"/>
      <c r="BQ566" s="73"/>
      <c r="BR566" s="73"/>
      <c r="BS566" s="73"/>
      <c r="BT566" s="73"/>
      <c r="BU566" s="73"/>
      <c r="BV566" s="73"/>
      <c r="BW566" s="74"/>
      <c r="BX566" s="74"/>
      <c r="BY566" s="63"/>
      <c r="BZ566" s="63"/>
    </row>
    <row r="567" ht="15.75" customHeight="1">
      <c r="A567" s="41" t="s">
        <v>3468</v>
      </c>
      <c r="B567" s="50" t="s">
        <v>3469</v>
      </c>
      <c r="C567" s="50" t="s">
        <v>70</v>
      </c>
      <c r="D567" s="50" t="s">
        <v>574</v>
      </c>
      <c r="E567" s="64"/>
      <c r="F567" s="47">
        <v>1.5E8</v>
      </c>
      <c r="G567" s="44" t="str">
        <f t="shared" si="16"/>
        <v>$100'000.000 a $200'000.000</v>
      </c>
      <c r="H567" s="44"/>
      <c r="I567" s="44"/>
      <c r="J567" s="50" t="s">
        <v>116</v>
      </c>
      <c r="K567" s="51"/>
      <c r="L567" s="44">
        <v>3.0</v>
      </c>
      <c r="M567" s="44"/>
      <c r="N567" s="44">
        <v>1.0</v>
      </c>
      <c r="O567" s="50">
        <v>1.0</v>
      </c>
      <c r="P567" s="44">
        <v>1.0</v>
      </c>
      <c r="Q567" s="113">
        <v>84.0</v>
      </c>
      <c r="R567" s="79">
        <v>84.0</v>
      </c>
      <c r="S567" s="56" t="str">
        <f t="shared" si="17"/>
        <v> </v>
      </c>
      <c r="T567" s="44" t="s">
        <v>78</v>
      </c>
      <c r="U567" s="57" t="s">
        <v>184</v>
      </c>
      <c r="V567" s="50" t="s">
        <v>79</v>
      </c>
      <c r="W567" s="50"/>
      <c r="X567" s="44">
        <v>3.0</v>
      </c>
      <c r="Y567" s="50" t="s">
        <v>80</v>
      </c>
      <c r="Z567" s="58" t="s">
        <v>81</v>
      </c>
      <c r="AA567" s="59" t="str">
        <f>IF(Rentabilidad=0,"No aplica",TEXT(ROUND(Precio/Rentabilidad/12,0),0) &amp; " años")</f>
        <v>No aplica</v>
      </c>
      <c r="AB567" s="115" t="s">
        <v>3470</v>
      </c>
      <c r="AC567" s="61"/>
      <c r="AD567" s="62"/>
      <c r="AE567" s="63"/>
      <c r="AF567" s="45" t="s">
        <v>105</v>
      </c>
      <c r="AG567" s="63"/>
      <c r="AH567" s="63"/>
      <c r="AI567" s="63"/>
      <c r="AJ567" s="64" t="s">
        <v>1834</v>
      </c>
      <c r="AK567" s="44"/>
      <c r="AL567" s="45" t="s">
        <v>109</v>
      </c>
      <c r="AM567" s="52">
        <v>3.18377892E9</v>
      </c>
      <c r="AN567" s="45"/>
      <c r="AO567" s="52" t="s">
        <v>3471</v>
      </c>
      <c r="AP567" s="67" t="s">
        <v>3472</v>
      </c>
      <c r="AQ567" s="67"/>
      <c r="AR567" s="67"/>
      <c r="AS567" s="68">
        <v>0.0</v>
      </c>
      <c r="AT567" s="44">
        <v>0.0</v>
      </c>
      <c r="AU567" s="52">
        <v>0.0</v>
      </c>
      <c r="AV567" s="52">
        <v>0.0</v>
      </c>
      <c r="AW567" s="43" t="s">
        <v>88</v>
      </c>
      <c r="AX567" s="52">
        <v>0.0</v>
      </c>
      <c r="AY567" s="52">
        <v>0.0</v>
      </c>
      <c r="AZ567" s="44">
        <v>6.0</v>
      </c>
      <c r="BA567" s="43" t="s">
        <v>89</v>
      </c>
      <c r="BB567" s="44">
        <v>14.0</v>
      </c>
      <c r="BC567" s="86"/>
      <c r="BD567" s="71"/>
      <c r="BE567" s="71"/>
      <c r="BF567" s="72" t="s">
        <v>3473</v>
      </c>
      <c r="BG567" s="73"/>
      <c r="BH567" s="73"/>
      <c r="BI567" s="73"/>
      <c r="BJ567" s="73"/>
      <c r="BK567" s="73"/>
      <c r="BL567" s="73"/>
      <c r="BM567" s="73"/>
      <c r="BN567" s="73"/>
      <c r="BO567" s="73"/>
      <c r="BP567" s="73"/>
      <c r="BQ567" s="73"/>
      <c r="BR567" s="73"/>
      <c r="BS567" s="73"/>
      <c r="BT567" s="73"/>
      <c r="BU567" s="73"/>
      <c r="BV567" s="73"/>
      <c r="BW567" s="74"/>
      <c r="BX567" s="74"/>
      <c r="BY567" s="63"/>
      <c r="BZ567" s="63"/>
    </row>
    <row r="568" ht="15.75" customHeight="1">
      <c r="A568" s="120" t="s">
        <v>3474</v>
      </c>
      <c r="B568" s="43" t="s">
        <v>3475</v>
      </c>
      <c r="C568" s="111" t="s">
        <v>323</v>
      </c>
      <c r="D568" s="58" t="s">
        <v>11</v>
      </c>
      <c r="E568" s="64" t="s">
        <v>749</v>
      </c>
      <c r="F568" s="47">
        <v>1.5E8</v>
      </c>
      <c r="G568" s="44" t="str">
        <f t="shared" si="16"/>
        <v>$100'000.000 a $200'000.000</v>
      </c>
      <c r="H568" s="44"/>
      <c r="I568" s="44"/>
      <c r="J568" s="50" t="s">
        <v>183</v>
      </c>
      <c r="K568" s="51"/>
      <c r="L568" s="52">
        <v>3.0</v>
      </c>
      <c r="M568" s="52"/>
      <c r="N568" s="52">
        <v>2.0</v>
      </c>
      <c r="O568" s="43">
        <v>1.0</v>
      </c>
      <c r="P568" s="43">
        <v>1.0</v>
      </c>
      <c r="Q568" s="54"/>
      <c r="R568" s="55">
        <v>0.0</v>
      </c>
      <c r="S568" s="56" t="str">
        <f t="shared" si="17"/>
        <v>Rentabilidad $750,000</v>
      </c>
      <c r="T568" s="52" t="s">
        <v>78</v>
      </c>
      <c r="U568" s="142" t="s">
        <v>77</v>
      </c>
      <c r="V568" s="52"/>
      <c r="W568" s="52"/>
      <c r="X568" s="52">
        <v>2.0</v>
      </c>
      <c r="Y568" s="43" t="s">
        <v>97</v>
      </c>
      <c r="Z568" s="151">
        <v>150000.0</v>
      </c>
      <c r="AA568" s="59" t="str">
        <f>IF(Rentabilidad=0,"No aplica",TEXT(ROUND(Precio/Rentabilidad/12,0),0) &amp; " años")</f>
        <v>17 años</v>
      </c>
      <c r="AB568" s="60"/>
      <c r="AC568" s="131" t="s">
        <v>3391</v>
      </c>
      <c r="AD568" s="62"/>
      <c r="AE568" s="63"/>
      <c r="AF568" s="45" t="s">
        <v>236</v>
      </c>
      <c r="AG568" s="63"/>
      <c r="AH568" s="63"/>
      <c r="AI568" s="63"/>
      <c r="AJ568" s="64" t="s">
        <v>1834</v>
      </c>
      <c r="AK568" s="44"/>
      <c r="AL568" s="45" t="s">
        <v>86</v>
      </c>
      <c r="AM568" s="52">
        <v>3.134484195E9</v>
      </c>
      <c r="AN568" s="45"/>
      <c r="AO568" s="52" t="s">
        <v>3476</v>
      </c>
      <c r="AP568" s="67" t="s">
        <v>3477</v>
      </c>
      <c r="AQ568" s="67"/>
      <c r="AR568" s="67"/>
      <c r="AS568" s="135">
        <v>750000.0</v>
      </c>
      <c r="AT568" s="52" t="s">
        <v>88</v>
      </c>
      <c r="AU568" s="52">
        <v>0.0</v>
      </c>
      <c r="AV568" s="52">
        <v>0.0</v>
      </c>
      <c r="AW568" s="43" t="s">
        <v>88</v>
      </c>
      <c r="AX568" s="52">
        <v>0.0</v>
      </c>
      <c r="AY568" s="52">
        <v>0.0</v>
      </c>
      <c r="AZ568" s="44">
        <v>0.0</v>
      </c>
      <c r="BA568" s="43" t="s">
        <v>89</v>
      </c>
      <c r="BB568" s="44">
        <v>0.0</v>
      </c>
      <c r="BC568" s="86"/>
      <c r="BD568" s="71"/>
      <c r="BE568" s="70"/>
      <c r="BF568" s="130"/>
      <c r="BG568" s="73"/>
      <c r="BH568" s="73"/>
      <c r="BI568" s="73"/>
      <c r="BJ568" s="73"/>
      <c r="BK568" s="73"/>
      <c r="BL568" s="73"/>
      <c r="BM568" s="73"/>
      <c r="BN568" s="73"/>
      <c r="BO568" s="73"/>
      <c r="BP568" s="73"/>
      <c r="BQ568" s="73"/>
      <c r="BR568" s="73"/>
      <c r="BS568" s="73"/>
      <c r="BT568" s="73"/>
      <c r="BU568" s="73"/>
      <c r="BV568" s="73"/>
      <c r="BW568" s="74"/>
      <c r="BX568" s="74"/>
      <c r="BY568" s="63"/>
      <c r="BZ568" s="63"/>
    </row>
    <row r="569" ht="15.75" customHeight="1">
      <c r="A569" s="120" t="s">
        <v>3478</v>
      </c>
      <c r="B569" s="43" t="s">
        <v>3479</v>
      </c>
      <c r="C569" s="43" t="s">
        <v>315</v>
      </c>
      <c r="D569" s="202"/>
      <c r="E569" s="45"/>
      <c r="F569" s="47">
        <v>1.5E8</v>
      </c>
      <c r="G569" s="44" t="str">
        <f t="shared" si="16"/>
        <v>$100'000.000 a $200'000.000</v>
      </c>
      <c r="H569" s="44"/>
      <c r="I569" s="44"/>
      <c r="J569" s="50" t="s">
        <v>94</v>
      </c>
      <c r="K569" s="150"/>
      <c r="L569" s="52">
        <v>0.0</v>
      </c>
      <c r="M569" s="52"/>
      <c r="N569" s="52">
        <v>0.0</v>
      </c>
      <c r="O569" s="43">
        <v>0.0</v>
      </c>
      <c r="P569" s="43">
        <v>0.0</v>
      </c>
      <c r="Q569" s="54"/>
      <c r="R569" s="55">
        <v>4560.0</v>
      </c>
      <c r="S569" s="56" t="str">
        <f t="shared" si="17"/>
        <v> </v>
      </c>
      <c r="T569" s="52" t="s">
        <v>95</v>
      </c>
      <c r="U569" s="142"/>
      <c r="V569" s="52"/>
      <c r="W569" s="52"/>
      <c r="X569" s="52">
        <v>0.0</v>
      </c>
      <c r="Y569" s="43" t="s">
        <v>80</v>
      </c>
      <c r="Z569" s="58" t="s">
        <v>81</v>
      </c>
      <c r="AA569" s="59" t="str">
        <f>IF(Rentabilidad=0,"No aplica",TEXT(ROUND(Precio/Rentabilidad/12,0),0) &amp; " años")</f>
        <v>No aplica</v>
      </c>
      <c r="AB569" s="60"/>
      <c r="AC569" s="61"/>
      <c r="AD569" s="216" t="s">
        <v>3480</v>
      </c>
      <c r="AE569" s="63"/>
      <c r="AF569" s="45" t="s">
        <v>2666</v>
      </c>
      <c r="AG569" s="63"/>
      <c r="AH569" s="63"/>
      <c r="AI569" s="63"/>
      <c r="AJ569" s="64" t="s">
        <v>1834</v>
      </c>
      <c r="AK569" s="44"/>
      <c r="AL569" s="45" t="s">
        <v>2624</v>
      </c>
      <c r="AM569" s="52">
        <v>3.014857108E9</v>
      </c>
      <c r="AN569" s="45"/>
      <c r="AO569" s="52" t="s">
        <v>3481</v>
      </c>
      <c r="AP569" s="67"/>
      <c r="AQ569" s="67"/>
      <c r="AR569" s="67"/>
      <c r="AS569" s="94">
        <v>0.0</v>
      </c>
      <c r="AT569" s="44">
        <v>0.0</v>
      </c>
      <c r="AU569" s="52">
        <v>0.0</v>
      </c>
      <c r="AV569" s="52">
        <v>0.0</v>
      </c>
      <c r="AW569" s="43" t="s">
        <v>88</v>
      </c>
      <c r="AX569" s="52">
        <v>0.0</v>
      </c>
      <c r="AY569" s="52">
        <v>0.0</v>
      </c>
      <c r="AZ569" s="52">
        <v>48.0</v>
      </c>
      <c r="BA569" s="43" t="s">
        <v>89</v>
      </c>
      <c r="BB569" s="52">
        <v>95.0</v>
      </c>
      <c r="BC569" s="69" t="s">
        <v>1909</v>
      </c>
      <c r="BD569" s="70"/>
      <c r="BE569" s="71"/>
      <c r="BF569" s="130"/>
      <c r="BG569" s="73"/>
      <c r="BH569" s="73"/>
      <c r="BI569" s="73"/>
      <c r="BJ569" s="73"/>
      <c r="BK569" s="73"/>
      <c r="BL569" s="73"/>
      <c r="BM569" s="73"/>
      <c r="BN569" s="73"/>
      <c r="BO569" s="73"/>
      <c r="BP569" s="73"/>
      <c r="BQ569" s="73"/>
      <c r="BR569" s="73"/>
      <c r="BS569" s="73"/>
      <c r="BT569" s="73"/>
      <c r="BU569" s="73"/>
      <c r="BV569" s="73"/>
      <c r="BW569" s="74"/>
      <c r="BX569" s="74"/>
      <c r="BY569" s="63"/>
      <c r="BZ569" s="63"/>
    </row>
    <row r="570" ht="15.75" customHeight="1">
      <c r="A570" s="133" t="s">
        <v>3482</v>
      </c>
      <c r="B570" s="43" t="s">
        <v>2540</v>
      </c>
      <c r="C570" s="43" t="s">
        <v>573</v>
      </c>
      <c r="D570" s="44" t="s">
        <v>11</v>
      </c>
      <c r="E570" s="77" t="s">
        <v>376</v>
      </c>
      <c r="F570" s="47">
        <v>1.5E8</v>
      </c>
      <c r="G570" s="44" t="str">
        <f t="shared" si="16"/>
        <v>$100'000.000 a $200'000.000</v>
      </c>
      <c r="H570" s="44"/>
      <c r="I570" s="44"/>
      <c r="J570" s="50" t="s">
        <v>183</v>
      </c>
      <c r="K570" s="51" t="s">
        <v>184</v>
      </c>
      <c r="L570" s="52">
        <v>5.0</v>
      </c>
      <c r="M570" s="52"/>
      <c r="N570" s="52">
        <v>1.0</v>
      </c>
      <c r="O570" s="43">
        <v>0.0</v>
      </c>
      <c r="P570" s="52">
        <v>2.0</v>
      </c>
      <c r="Q570" s="54">
        <v>90.0</v>
      </c>
      <c r="R570" s="55">
        <v>72.0</v>
      </c>
      <c r="S570" s="56" t="str">
        <f t="shared" si="17"/>
        <v>Rentabilidad $600,000</v>
      </c>
      <c r="T570" s="52" t="s">
        <v>78</v>
      </c>
      <c r="U570" s="142" t="s">
        <v>184</v>
      </c>
      <c r="V570" s="43" t="s">
        <v>79</v>
      </c>
      <c r="W570" s="43"/>
      <c r="X570" s="52">
        <v>0.0</v>
      </c>
      <c r="Y570" s="43" t="s">
        <v>80</v>
      </c>
      <c r="Z570" s="80" t="s">
        <v>81</v>
      </c>
      <c r="AA570" s="59" t="str">
        <f>IF(Rentabilidad=0,"No aplica",TEXT(ROUND(Precio/Rentabilidad/12,0),0) &amp; " años")</f>
        <v>21 años</v>
      </c>
      <c r="AB570" s="195"/>
      <c r="AC570" s="61"/>
      <c r="AD570" s="62"/>
      <c r="AE570" s="63"/>
      <c r="AF570" s="64" t="s">
        <v>84</v>
      </c>
      <c r="AG570" s="63"/>
      <c r="AH570" s="65" t="s">
        <v>45</v>
      </c>
      <c r="AI570" s="63"/>
      <c r="AJ570" s="64" t="s">
        <v>1834</v>
      </c>
      <c r="AK570" s="44"/>
      <c r="AL570" s="45" t="s">
        <v>3483</v>
      </c>
      <c r="AM570" s="52">
        <v>3.208939728E9</v>
      </c>
      <c r="AN570" s="45"/>
      <c r="AO570" s="52" t="s">
        <v>3484</v>
      </c>
      <c r="AP570" s="67" t="s">
        <v>3485</v>
      </c>
      <c r="AQ570" s="67"/>
      <c r="AR570" s="67"/>
      <c r="AS570" s="135">
        <v>600000.0</v>
      </c>
      <c r="AT570" s="44">
        <v>0.0</v>
      </c>
      <c r="AU570" s="52">
        <v>0.0</v>
      </c>
      <c r="AV570" s="52">
        <v>0.0</v>
      </c>
      <c r="AW570" s="43" t="s">
        <v>88</v>
      </c>
      <c r="AX570" s="52">
        <v>0.0</v>
      </c>
      <c r="AY570" s="52" t="s">
        <v>137</v>
      </c>
      <c r="AZ570" s="52">
        <v>4.0</v>
      </c>
      <c r="BA570" s="43" t="s">
        <v>89</v>
      </c>
      <c r="BB570" s="52">
        <v>18.0</v>
      </c>
      <c r="BC570" s="86"/>
      <c r="BD570" s="71"/>
      <c r="BE570" s="71"/>
      <c r="BF570" s="72"/>
      <c r="BG570" s="73"/>
      <c r="BH570" s="73"/>
      <c r="BI570" s="73"/>
      <c r="BJ570" s="73"/>
      <c r="BK570" s="73"/>
      <c r="BL570" s="73"/>
      <c r="BM570" s="73"/>
      <c r="BN570" s="73"/>
      <c r="BO570" s="73"/>
      <c r="BP570" s="73"/>
      <c r="BQ570" s="73"/>
      <c r="BR570" s="73"/>
      <c r="BS570" s="73"/>
      <c r="BT570" s="73"/>
      <c r="BU570" s="73"/>
      <c r="BV570" s="73"/>
      <c r="BW570" s="74"/>
      <c r="BX570" s="74"/>
      <c r="BY570" s="63"/>
      <c r="BZ570" s="63"/>
    </row>
    <row r="571" ht="15.75" customHeight="1">
      <c r="A571" s="120" t="s">
        <v>3486</v>
      </c>
      <c r="B571" s="43" t="s">
        <v>3307</v>
      </c>
      <c r="C571" s="43" t="s">
        <v>70</v>
      </c>
      <c r="D571" s="50" t="s">
        <v>1222</v>
      </c>
      <c r="E571" s="77" t="s">
        <v>376</v>
      </c>
      <c r="F571" s="47">
        <v>1.4E8</v>
      </c>
      <c r="G571" s="44" t="str">
        <f t="shared" si="16"/>
        <v>$100'000.000 a $200'000.000</v>
      </c>
      <c r="H571" s="44"/>
      <c r="I571" s="44"/>
      <c r="J571" s="50" t="s">
        <v>183</v>
      </c>
      <c r="K571" s="51"/>
      <c r="L571" s="52">
        <v>4.0</v>
      </c>
      <c r="M571" s="52"/>
      <c r="N571" s="52">
        <v>1.0</v>
      </c>
      <c r="O571" s="43">
        <v>0.0</v>
      </c>
      <c r="P571" s="52">
        <v>1.0</v>
      </c>
      <c r="Q571" s="54">
        <v>160.0</v>
      </c>
      <c r="R571" s="55">
        <v>160.0</v>
      </c>
      <c r="S571" s="56" t="str">
        <f t="shared" si="17"/>
        <v>Rentabilidad $600,000</v>
      </c>
      <c r="T571" s="52" t="s">
        <v>78</v>
      </c>
      <c r="U571" s="142" t="s">
        <v>184</v>
      </c>
      <c r="V571" s="43" t="s">
        <v>79</v>
      </c>
      <c r="W571" s="43"/>
      <c r="X571" s="52">
        <v>0.0</v>
      </c>
      <c r="Y571" s="43" t="s">
        <v>80</v>
      </c>
      <c r="Z571" s="58" t="s">
        <v>81</v>
      </c>
      <c r="AA571" s="59" t="str">
        <f>IF(Rentabilidad=0,"No aplica",TEXT(ROUND(Precio/Rentabilidad/12,0),0) &amp; " años")</f>
        <v>19 años</v>
      </c>
      <c r="AB571" s="60"/>
      <c r="AC571" s="61"/>
      <c r="AD571" s="62"/>
      <c r="AE571" s="63"/>
      <c r="AF571" s="64" t="s">
        <v>84</v>
      </c>
      <c r="AG571" s="63"/>
      <c r="AH571" s="63"/>
      <c r="AI571" s="63"/>
      <c r="AJ571" s="64" t="s">
        <v>1834</v>
      </c>
      <c r="AK571" s="44"/>
      <c r="AL571" s="45" t="s">
        <v>2624</v>
      </c>
      <c r="AM571" s="52">
        <v>3.053425906E9</v>
      </c>
      <c r="AN571" s="45"/>
      <c r="AO571" s="116"/>
      <c r="AP571" s="67" t="s">
        <v>3487</v>
      </c>
      <c r="AQ571" s="67"/>
      <c r="AR571" s="67"/>
      <c r="AS571" s="135">
        <v>600000.0</v>
      </c>
      <c r="AT571" s="44">
        <v>0.0</v>
      </c>
      <c r="AU571" s="52">
        <v>0.0</v>
      </c>
      <c r="AV571" s="52">
        <v>0.0</v>
      </c>
      <c r="AW571" s="43" t="s">
        <v>88</v>
      </c>
      <c r="AX571" s="52">
        <v>0.0</v>
      </c>
      <c r="AY571" s="52">
        <v>0.0</v>
      </c>
      <c r="AZ571" s="52">
        <v>8.0</v>
      </c>
      <c r="BA571" s="43" t="s">
        <v>89</v>
      </c>
      <c r="BB571" s="52">
        <v>20.0</v>
      </c>
      <c r="BC571" s="69" t="s">
        <v>3488</v>
      </c>
      <c r="BD571" s="70"/>
      <c r="BE571" s="71"/>
      <c r="BF571" s="130"/>
      <c r="BG571" s="73"/>
      <c r="BH571" s="73"/>
      <c r="BI571" s="73"/>
      <c r="BJ571" s="73"/>
      <c r="BK571" s="73"/>
      <c r="BL571" s="73"/>
      <c r="BM571" s="73"/>
      <c r="BN571" s="73"/>
      <c r="BO571" s="73"/>
      <c r="BP571" s="73"/>
      <c r="BQ571" s="73"/>
      <c r="BR571" s="73"/>
      <c r="BS571" s="73"/>
      <c r="BT571" s="73"/>
      <c r="BU571" s="73"/>
      <c r="BV571" s="73"/>
      <c r="BW571" s="74"/>
      <c r="BX571" s="74"/>
      <c r="BY571" s="63"/>
      <c r="BZ571" s="63"/>
    </row>
    <row r="572" ht="15.75" customHeight="1">
      <c r="A572" s="133" t="s">
        <v>3489</v>
      </c>
      <c r="B572" s="43" t="s">
        <v>3454</v>
      </c>
      <c r="C572" s="43" t="s">
        <v>573</v>
      </c>
      <c r="D572" s="50" t="s">
        <v>3455</v>
      </c>
      <c r="E572" s="77" t="s">
        <v>376</v>
      </c>
      <c r="F572" s="47">
        <v>1.4E8</v>
      </c>
      <c r="G572" s="44" t="str">
        <f t="shared" si="16"/>
        <v>$100'000.000 a $200'000.000</v>
      </c>
      <c r="H572" s="44"/>
      <c r="I572" s="44"/>
      <c r="J572" s="50" t="s">
        <v>183</v>
      </c>
      <c r="K572" s="57"/>
      <c r="L572" s="52">
        <v>3.0</v>
      </c>
      <c r="M572" s="52"/>
      <c r="N572" s="52">
        <v>1.0</v>
      </c>
      <c r="O572" s="43">
        <v>0.0</v>
      </c>
      <c r="P572" s="52">
        <v>2.0</v>
      </c>
      <c r="Q572" s="54"/>
      <c r="R572" s="55">
        <v>112.5</v>
      </c>
      <c r="S572" s="56" t="str">
        <f t="shared" si="17"/>
        <v>Rentabilidad $450,000</v>
      </c>
      <c r="T572" s="52" t="s">
        <v>78</v>
      </c>
      <c r="U572" s="142" t="s">
        <v>184</v>
      </c>
      <c r="V572" s="43" t="s">
        <v>79</v>
      </c>
      <c r="W572" s="43"/>
      <c r="X572" s="52">
        <v>0.0</v>
      </c>
      <c r="Y572" s="43" t="s">
        <v>80</v>
      </c>
      <c r="Z572" s="58" t="s">
        <v>81</v>
      </c>
      <c r="AA572" s="59" t="str">
        <f>IF(Rentabilidad=0,"No aplica",TEXT(ROUND(Precio/Rentabilidad/12,0),0) &amp; " años")</f>
        <v>26 años</v>
      </c>
      <c r="AB572" s="134" t="s">
        <v>3490</v>
      </c>
      <c r="AC572" s="61"/>
      <c r="AD572" s="62"/>
      <c r="AE572" s="63"/>
      <c r="AF572" s="64" t="s">
        <v>84</v>
      </c>
      <c r="AG572" s="63"/>
      <c r="AH572" s="63"/>
      <c r="AI572" s="63"/>
      <c r="AJ572" s="64" t="s">
        <v>1834</v>
      </c>
      <c r="AK572" s="44"/>
      <c r="AL572" s="45" t="s">
        <v>109</v>
      </c>
      <c r="AM572" s="52">
        <v>3.213711762E9</v>
      </c>
      <c r="AN572" s="45"/>
      <c r="AO572" s="52" t="s">
        <v>3491</v>
      </c>
      <c r="AP572" s="67" t="s">
        <v>3458</v>
      </c>
      <c r="AQ572" s="67"/>
      <c r="AR572" s="67"/>
      <c r="AS572" s="135">
        <v>450000.0</v>
      </c>
      <c r="AT572" s="52">
        <v>0.0</v>
      </c>
      <c r="AU572" s="52">
        <v>0.0</v>
      </c>
      <c r="AV572" s="52">
        <v>0.0</v>
      </c>
      <c r="AW572" s="43" t="s">
        <v>88</v>
      </c>
      <c r="AX572" s="52">
        <v>0.0</v>
      </c>
      <c r="AY572" s="52">
        <v>0.0</v>
      </c>
      <c r="AZ572" s="52">
        <v>7.5</v>
      </c>
      <c r="BA572" s="43" t="s">
        <v>89</v>
      </c>
      <c r="BB572" s="52">
        <v>15.0</v>
      </c>
      <c r="BC572" s="69" t="s">
        <v>760</v>
      </c>
      <c r="BD572" s="70"/>
      <c r="BE572" s="71"/>
      <c r="BF572" s="72" t="s">
        <v>3492</v>
      </c>
      <c r="BG572" s="73"/>
      <c r="BH572" s="73"/>
      <c r="BI572" s="73"/>
      <c r="BJ572" s="73"/>
      <c r="BK572" s="73"/>
      <c r="BL572" s="73"/>
      <c r="BM572" s="73"/>
      <c r="BN572" s="73"/>
      <c r="BO572" s="73"/>
      <c r="BP572" s="73"/>
      <c r="BQ572" s="73"/>
      <c r="BR572" s="73"/>
      <c r="BS572" s="73"/>
      <c r="BT572" s="73"/>
      <c r="BU572" s="73"/>
      <c r="BV572" s="73"/>
      <c r="BW572" s="74"/>
      <c r="BX572" s="74"/>
      <c r="BY572" s="63"/>
      <c r="BZ572" s="63"/>
    </row>
    <row r="573" ht="15.75" customHeight="1">
      <c r="A573" s="133" t="s">
        <v>3493</v>
      </c>
      <c r="B573" s="43" t="s">
        <v>3494</v>
      </c>
      <c r="C573" s="43" t="s">
        <v>573</v>
      </c>
      <c r="D573" s="44" t="s">
        <v>11</v>
      </c>
      <c r="E573" s="77" t="s">
        <v>376</v>
      </c>
      <c r="F573" s="47">
        <v>1.35E8</v>
      </c>
      <c r="G573" s="44" t="str">
        <f t="shared" si="16"/>
        <v>$100'000.000 a $200'000.000</v>
      </c>
      <c r="H573" s="44"/>
      <c r="I573" s="44"/>
      <c r="J573" s="50" t="s">
        <v>183</v>
      </c>
      <c r="K573" s="51" t="s">
        <v>184</v>
      </c>
      <c r="L573" s="122">
        <v>2.0</v>
      </c>
      <c r="M573" s="122"/>
      <c r="N573" s="52">
        <v>1.0</v>
      </c>
      <c r="O573" s="43">
        <v>1.0</v>
      </c>
      <c r="P573" s="43">
        <v>1.0</v>
      </c>
      <c r="Q573" s="54">
        <v>60.0</v>
      </c>
      <c r="R573" s="55">
        <v>60.0</v>
      </c>
      <c r="S573" s="56" t="str">
        <f t="shared" si="17"/>
        <v>Rentabilidad $600,000</v>
      </c>
      <c r="T573" s="52" t="s">
        <v>78</v>
      </c>
      <c r="U573" s="142" t="s">
        <v>184</v>
      </c>
      <c r="V573" s="52"/>
      <c r="W573" s="52"/>
      <c r="X573" s="52">
        <v>1.0</v>
      </c>
      <c r="Y573" s="94" t="s">
        <v>80</v>
      </c>
      <c r="Z573" s="80" t="s">
        <v>81</v>
      </c>
      <c r="AA573" s="59" t="str">
        <f>IF(Rentabilidad=0,"No aplica",TEXT(ROUND(Precio/Rentabilidad/12,0),0) &amp; " años")</f>
        <v>19 años</v>
      </c>
      <c r="AB573" s="60"/>
      <c r="AC573" s="131" t="s">
        <v>3426</v>
      </c>
      <c r="AD573" s="62"/>
      <c r="AE573" s="63"/>
      <c r="AF573" s="64" t="s">
        <v>236</v>
      </c>
      <c r="AG573" s="63"/>
      <c r="AH573" s="65" t="s">
        <v>45</v>
      </c>
      <c r="AI573" s="63"/>
      <c r="AJ573" s="64" t="s">
        <v>1834</v>
      </c>
      <c r="AK573" s="44"/>
      <c r="AL573" s="45" t="s">
        <v>3006</v>
      </c>
      <c r="AM573" s="52">
        <v>3.186238801E9</v>
      </c>
      <c r="AN573" s="45">
        <v>3.177028518E9</v>
      </c>
      <c r="AO573" s="52" t="s">
        <v>3495</v>
      </c>
      <c r="AP573" s="67"/>
      <c r="AQ573" s="67"/>
      <c r="AR573" s="67"/>
      <c r="AS573" s="135">
        <v>600000.0</v>
      </c>
      <c r="AT573" s="52">
        <v>0.0</v>
      </c>
      <c r="AU573" s="52">
        <v>0.0</v>
      </c>
      <c r="AV573" s="52">
        <v>0.0</v>
      </c>
      <c r="AW573" s="43" t="s">
        <v>88</v>
      </c>
      <c r="AX573" s="52">
        <v>0.0</v>
      </c>
      <c r="AY573" s="52">
        <v>0.0</v>
      </c>
      <c r="AZ573" s="52">
        <v>3.0</v>
      </c>
      <c r="BA573" s="43" t="s">
        <v>89</v>
      </c>
      <c r="BB573" s="52">
        <v>20.0</v>
      </c>
      <c r="BC573" s="69" t="s">
        <v>1137</v>
      </c>
      <c r="BD573" s="70"/>
      <c r="BE573" s="70"/>
      <c r="BF573" s="72"/>
      <c r="BG573" s="73"/>
      <c r="BH573" s="73"/>
      <c r="BI573" s="73"/>
      <c r="BJ573" s="73"/>
      <c r="BK573" s="73"/>
      <c r="BL573" s="73"/>
      <c r="BM573" s="73"/>
      <c r="BN573" s="73"/>
      <c r="BO573" s="73"/>
      <c r="BP573" s="73"/>
      <c r="BQ573" s="73"/>
      <c r="BR573" s="73"/>
      <c r="BS573" s="73"/>
      <c r="BT573" s="73"/>
      <c r="BU573" s="73"/>
      <c r="BV573" s="73"/>
      <c r="BW573" s="74"/>
      <c r="BX573" s="74"/>
      <c r="BY573" s="63"/>
      <c r="BZ573" s="63"/>
    </row>
    <row r="574" ht="15.75" customHeight="1">
      <c r="A574" s="120" t="s">
        <v>3496</v>
      </c>
      <c r="B574" s="50" t="s">
        <v>1215</v>
      </c>
      <c r="C574" s="50" t="s">
        <v>271</v>
      </c>
      <c r="D574" s="52" t="s">
        <v>1216</v>
      </c>
      <c r="E574" s="45"/>
      <c r="F574" s="47">
        <v>1.3E8</v>
      </c>
      <c r="G574" s="44" t="str">
        <f t="shared" si="16"/>
        <v>$100'000.000 a $200'000.000</v>
      </c>
      <c r="H574" s="44"/>
      <c r="I574" s="44"/>
      <c r="J574" s="43" t="s">
        <v>76</v>
      </c>
      <c r="K574" s="51" t="s">
        <v>77</v>
      </c>
      <c r="L574" s="52">
        <v>5.0</v>
      </c>
      <c r="M574" s="52"/>
      <c r="N574" s="52">
        <v>2.0</v>
      </c>
      <c r="O574" s="43">
        <v>0.0</v>
      </c>
      <c r="P574" s="52">
        <v>1.0</v>
      </c>
      <c r="Q574" s="54">
        <v>78.0</v>
      </c>
      <c r="R574" s="55">
        <v>78.0</v>
      </c>
      <c r="S574" s="56" t="str">
        <f t="shared" si="17"/>
        <v>Rentabilidad $800,000</v>
      </c>
      <c r="T574" s="52" t="s">
        <v>78</v>
      </c>
      <c r="U574" s="142" t="s">
        <v>77</v>
      </c>
      <c r="V574" s="43" t="s">
        <v>118</v>
      </c>
      <c r="W574" s="43"/>
      <c r="X574" s="52">
        <v>1.0</v>
      </c>
      <c r="Y574" s="43" t="s">
        <v>80</v>
      </c>
      <c r="Z574" s="80" t="s">
        <v>81</v>
      </c>
      <c r="AA574" s="59" t="str">
        <f>IF(Rentabilidad=0,"No aplica",TEXT(ROUND(Precio/Rentabilidad/12,0),0) &amp; " años")</f>
        <v>14 años</v>
      </c>
      <c r="AB574" s="195"/>
      <c r="AC574" s="131" t="s">
        <v>3497</v>
      </c>
      <c r="AD574" s="62"/>
      <c r="AE574" s="63"/>
      <c r="AF574" s="64" t="s">
        <v>84</v>
      </c>
      <c r="AG574" s="63"/>
      <c r="AH574" s="65" t="s">
        <v>45</v>
      </c>
      <c r="AI574" s="63"/>
      <c r="AJ574" s="64" t="s">
        <v>1834</v>
      </c>
      <c r="AK574" s="44"/>
      <c r="AL574" s="45" t="s">
        <v>86</v>
      </c>
      <c r="AM574" s="52">
        <v>3.185457638E9</v>
      </c>
      <c r="AN574" s="45">
        <v>3.185457638E9</v>
      </c>
      <c r="AO574" s="52" t="s">
        <v>3498</v>
      </c>
      <c r="AP574" s="67" t="s">
        <v>3499</v>
      </c>
      <c r="AQ574" s="67"/>
      <c r="AR574" s="67"/>
      <c r="AS574" s="135">
        <v>800000.0</v>
      </c>
      <c r="AT574" s="52">
        <v>0.0</v>
      </c>
      <c r="AU574" s="52">
        <v>0.0</v>
      </c>
      <c r="AV574" s="52">
        <v>0.0</v>
      </c>
      <c r="AW574" s="43" t="s">
        <v>88</v>
      </c>
      <c r="AX574" s="52">
        <v>2.0</v>
      </c>
      <c r="AY574" s="52">
        <v>0.0</v>
      </c>
      <c r="AZ574" s="52">
        <v>6.5</v>
      </c>
      <c r="BA574" s="43" t="s">
        <v>89</v>
      </c>
      <c r="BB574" s="52">
        <v>12.0</v>
      </c>
      <c r="BC574" s="95" t="s">
        <v>716</v>
      </c>
      <c r="BD574" s="71"/>
      <c r="BE574" s="71"/>
      <c r="BF574" s="72"/>
      <c r="BG574" s="73"/>
      <c r="BH574" s="73"/>
      <c r="BI574" s="73"/>
      <c r="BJ574" s="73"/>
      <c r="BK574" s="73"/>
      <c r="BL574" s="73"/>
      <c r="BM574" s="73"/>
      <c r="BN574" s="73"/>
      <c r="BO574" s="73"/>
      <c r="BP574" s="73"/>
      <c r="BQ574" s="73"/>
      <c r="BR574" s="73"/>
      <c r="BS574" s="73"/>
      <c r="BT574" s="73"/>
      <c r="BU574" s="73"/>
      <c r="BV574" s="73"/>
      <c r="BW574" s="74"/>
      <c r="BX574" s="74"/>
      <c r="BY574" s="63"/>
      <c r="BZ574" s="63"/>
    </row>
    <row r="575" ht="15.75" customHeight="1">
      <c r="A575" s="159" t="s">
        <v>3500</v>
      </c>
      <c r="B575" s="50" t="s">
        <v>2710</v>
      </c>
      <c r="C575" s="50" t="s">
        <v>70</v>
      </c>
      <c r="D575" s="65" t="s">
        <v>155</v>
      </c>
      <c r="E575" s="45"/>
      <c r="F575" s="78">
        <v>1.3E8</v>
      </c>
      <c r="G575" s="44" t="str">
        <f t="shared" si="16"/>
        <v>$100'000.000 a $200'000.000</v>
      </c>
      <c r="H575" s="44"/>
      <c r="I575" s="44"/>
      <c r="J575" s="50" t="s">
        <v>76</v>
      </c>
      <c r="K575" s="51" t="s">
        <v>77</v>
      </c>
      <c r="L575" s="50">
        <v>3.0</v>
      </c>
      <c r="M575" s="50"/>
      <c r="N575" s="50">
        <v>1.0</v>
      </c>
      <c r="O575" s="50">
        <v>0.0</v>
      </c>
      <c r="P575" s="50">
        <v>1.0</v>
      </c>
      <c r="Q575" s="113"/>
      <c r="R575" s="79">
        <v>80.0</v>
      </c>
      <c r="S575" s="56" t="str">
        <f t="shared" si="17"/>
        <v>Rentabilidad $500,000</v>
      </c>
      <c r="T575" s="50" t="s">
        <v>78</v>
      </c>
      <c r="U575" s="51" t="s">
        <v>184</v>
      </c>
      <c r="V575" s="50" t="s">
        <v>79</v>
      </c>
      <c r="W575" s="50"/>
      <c r="X575" s="50">
        <v>0.0</v>
      </c>
      <c r="Y575" s="50" t="s">
        <v>80</v>
      </c>
      <c r="Z575" s="58" t="s">
        <v>81</v>
      </c>
      <c r="AA575" s="59" t="str">
        <f>IF(Rentabilidad=0,"No aplica",TEXT(ROUND(Precio/Rentabilidad/12,0),0) &amp; " años")</f>
        <v>22 años</v>
      </c>
      <c r="AB575" s="307"/>
      <c r="AC575" s="124"/>
      <c r="AD575" s="62"/>
      <c r="AE575" s="63"/>
      <c r="AF575" s="64" t="s">
        <v>84</v>
      </c>
      <c r="AG575" s="65"/>
      <c r="AH575" s="65" t="s">
        <v>45</v>
      </c>
      <c r="AI575" s="65"/>
      <c r="AJ575" s="64" t="s">
        <v>1834</v>
      </c>
      <c r="AK575" s="50"/>
      <c r="AL575" s="45"/>
      <c r="AM575" s="43">
        <v>3.144557344E9</v>
      </c>
      <c r="AN575" s="64" t="s">
        <v>3501</v>
      </c>
      <c r="AO575" s="153"/>
      <c r="AP575" s="308" t="s">
        <v>3502</v>
      </c>
      <c r="AQ575" s="308"/>
      <c r="AR575" s="308"/>
      <c r="AS575" s="85">
        <v>500000.0</v>
      </c>
      <c r="AT575" s="50">
        <v>0.0</v>
      </c>
      <c r="AU575" s="43">
        <v>0.0</v>
      </c>
      <c r="AV575" s="43">
        <v>0.0</v>
      </c>
      <c r="AW575" s="43" t="s">
        <v>88</v>
      </c>
      <c r="AX575" s="43">
        <v>0.0</v>
      </c>
      <c r="AY575" s="43">
        <v>0.0</v>
      </c>
      <c r="AZ575" s="43">
        <v>0.0</v>
      </c>
      <c r="BA575" s="43" t="s">
        <v>89</v>
      </c>
      <c r="BB575" s="43">
        <v>0.0</v>
      </c>
      <c r="BC575" s="69" t="s">
        <v>3503</v>
      </c>
      <c r="BD575" s="70"/>
      <c r="BE575" s="71"/>
      <c r="BF575" s="72"/>
      <c r="BG575" s="73"/>
      <c r="BH575" s="73"/>
      <c r="BI575" s="73"/>
      <c r="BJ575" s="73"/>
      <c r="BK575" s="73"/>
      <c r="BL575" s="73"/>
      <c r="BM575" s="73"/>
      <c r="BN575" s="73"/>
      <c r="BO575" s="73"/>
      <c r="BP575" s="73"/>
      <c r="BQ575" s="73"/>
      <c r="BR575" s="73"/>
      <c r="BS575" s="73"/>
      <c r="BT575" s="73"/>
      <c r="BU575" s="73"/>
      <c r="BV575" s="73"/>
      <c r="BW575" s="74"/>
      <c r="BX575" s="74"/>
      <c r="BY575" s="63"/>
      <c r="BZ575" s="63"/>
    </row>
    <row r="576" ht="15.75" customHeight="1">
      <c r="A576" s="120" t="s">
        <v>3504</v>
      </c>
      <c r="B576" s="43" t="s">
        <v>3505</v>
      </c>
      <c r="C576" s="43" t="s">
        <v>70</v>
      </c>
      <c r="D576" s="44" t="s">
        <v>3506</v>
      </c>
      <c r="E576" s="77" t="s">
        <v>376</v>
      </c>
      <c r="F576" s="47">
        <v>1.25E8</v>
      </c>
      <c r="G576" s="44" t="str">
        <f t="shared" si="16"/>
        <v>$100'000.000 a $200'000.000</v>
      </c>
      <c r="H576" s="44"/>
      <c r="I576" s="44"/>
      <c r="J576" s="50" t="s">
        <v>183</v>
      </c>
      <c r="K576" s="57"/>
      <c r="L576" s="52">
        <v>4.0</v>
      </c>
      <c r="M576" s="52"/>
      <c r="N576" s="52">
        <v>2.0</v>
      </c>
      <c r="O576" s="43">
        <v>0.0</v>
      </c>
      <c r="P576" s="52">
        <v>1.0</v>
      </c>
      <c r="Q576" s="54"/>
      <c r="R576" s="55">
        <v>120.0</v>
      </c>
      <c r="S576" s="56" t="str">
        <f t="shared" si="17"/>
        <v>Rentabilidad $500,000</v>
      </c>
      <c r="T576" s="52" t="s">
        <v>78</v>
      </c>
      <c r="U576" s="142" t="s">
        <v>184</v>
      </c>
      <c r="V576" s="43" t="s">
        <v>79</v>
      </c>
      <c r="W576" s="43"/>
      <c r="X576" s="52">
        <v>2.0</v>
      </c>
      <c r="Y576" s="43" t="s">
        <v>80</v>
      </c>
      <c r="Z576" s="58" t="s">
        <v>81</v>
      </c>
      <c r="AA576" s="59" t="str">
        <f>IF(Rentabilidad=0,"No aplica",TEXT(ROUND(Precio/Rentabilidad/12,0),0) &amp; " años")</f>
        <v>21 años</v>
      </c>
      <c r="AB576" s="60"/>
      <c r="AC576" s="61"/>
      <c r="AD576" s="62"/>
      <c r="AE576" s="63"/>
      <c r="AF576" s="64" t="s">
        <v>236</v>
      </c>
      <c r="AG576" s="63"/>
      <c r="AH576" s="63"/>
      <c r="AI576" s="63"/>
      <c r="AJ576" s="64" t="s">
        <v>1834</v>
      </c>
      <c r="AK576" s="44"/>
      <c r="AL576" s="45" t="s">
        <v>86</v>
      </c>
      <c r="AM576" s="52">
        <v>3.133426736E9</v>
      </c>
      <c r="AN576" s="45">
        <v>3.115846867E9</v>
      </c>
      <c r="AO576" s="52" t="s">
        <v>3507</v>
      </c>
      <c r="AP576" s="67" t="s">
        <v>3508</v>
      </c>
      <c r="AQ576" s="67"/>
      <c r="AR576" s="67"/>
      <c r="AS576" s="135">
        <v>500000.0</v>
      </c>
      <c r="AT576" s="44">
        <v>0.0</v>
      </c>
      <c r="AU576" s="52">
        <v>0.0</v>
      </c>
      <c r="AV576" s="52">
        <v>0.0</v>
      </c>
      <c r="AW576" s="43" t="s">
        <v>88</v>
      </c>
      <c r="AX576" s="52">
        <v>0.0</v>
      </c>
      <c r="AY576" s="52">
        <v>0.0</v>
      </c>
      <c r="AZ576" s="52">
        <v>0.0</v>
      </c>
      <c r="BA576" s="43" t="s">
        <v>89</v>
      </c>
      <c r="BB576" s="52">
        <v>0.0</v>
      </c>
      <c r="BC576" s="95"/>
      <c r="BD576" s="71"/>
      <c r="BE576" s="71"/>
      <c r="BF576" s="72"/>
      <c r="BG576" s="73"/>
      <c r="BH576" s="73"/>
      <c r="BI576" s="73"/>
      <c r="BJ576" s="73"/>
      <c r="BK576" s="73"/>
      <c r="BL576" s="73"/>
      <c r="BM576" s="73"/>
      <c r="BN576" s="73"/>
      <c r="BO576" s="73"/>
      <c r="BP576" s="73"/>
      <c r="BQ576" s="73"/>
      <c r="BR576" s="73"/>
      <c r="BS576" s="73"/>
      <c r="BT576" s="73"/>
      <c r="BU576" s="73"/>
      <c r="BV576" s="73"/>
      <c r="BW576" s="74"/>
      <c r="BX576" s="74"/>
      <c r="BY576" s="63"/>
      <c r="BZ576" s="63"/>
    </row>
    <row r="577" ht="15.75" customHeight="1">
      <c r="A577" s="133" t="s">
        <v>3509</v>
      </c>
      <c r="B577" s="43" t="s">
        <v>3510</v>
      </c>
      <c r="C577" s="43" t="s">
        <v>315</v>
      </c>
      <c r="D577" s="44" t="s">
        <v>212</v>
      </c>
      <c r="E577" s="77" t="s">
        <v>376</v>
      </c>
      <c r="F577" s="47">
        <v>1.2E8</v>
      </c>
      <c r="G577" s="44" t="str">
        <f t="shared" si="16"/>
        <v>$100'000.000 a $200'000.000</v>
      </c>
      <c r="H577" s="44"/>
      <c r="I577" s="44"/>
      <c r="J577" s="50" t="s">
        <v>116</v>
      </c>
      <c r="K577" s="57"/>
      <c r="L577" s="52">
        <v>0.0</v>
      </c>
      <c r="M577" s="52"/>
      <c r="N577" s="52">
        <v>0.0</v>
      </c>
      <c r="O577" s="43">
        <v>0.0</v>
      </c>
      <c r="P577" s="52">
        <v>0.0</v>
      </c>
      <c r="Q577" s="54"/>
      <c r="R577" s="55">
        <v>152.0</v>
      </c>
      <c r="S577" s="56" t="str">
        <f t="shared" si="17"/>
        <v> </v>
      </c>
      <c r="T577" s="52" t="s">
        <v>78</v>
      </c>
      <c r="U577" s="142" t="s">
        <v>142</v>
      </c>
      <c r="V577" s="43" t="s">
        <v>79</v>
      </c>
      <c r="W577" s="43"/>
      <c r="X577" s="52">
        <v>0.0</v>
      </c>
      <c r="Y577" s="43" t="s">
        <v>80</v>
      </c>
      <c r="Z577" s="58" t="s">
        <v>81</v>
      </c>
      <c r="AA577" s="59" t="str">
        <f>IF(Rentabilidad=0,"No aplica",TEXT(ROUND(Precio/Rentabilidad/12,0),0) &amp; " años")</f>
        <v>No aplica</v>
      </c>
      <c r="AB577" s="60"/>
      <c r="AC577" s="61"/>
      <c r="AD577" s="62"/>
      <c r="AE577" s="63"/>
      <c r="AF577" s="45" t="s">
        <v>2666</v>
      </c>
      <c r="AG577" s="63"/>
      <c r="AH577" s="63"/>
      <c r="AI577" s="63"/>
      <c r="AJ577" s="64" t="s">
        <v>1834</v>
      </c>
      <c r="AK577" s="44"/>
      <c r="AL577" s="45" t="s">
        <v>109</v>
      </c>
      <c r="AM577" s="52">
        <v>3.176549735E9</v>
      </c>
      <c r="AN577" s="45"/>
      <c r="AO577" s="52" t="s">
        <v>3511</v>
      </c>
      <c r="AP577" s="67" t="s">
        <v>3512</v>
      </c>
      <c r="AQ577" s="67"/>
      <c r="AR577" s="67"/>
      <c r="AS577" s="94">
        <v>0.0</v>
      </c>
      <c r="AT577" s="44">
        <v>0.0</v>
      </c>
      <c r="AU577" s="52">
        <v>0.0</v>
      </c>
      <c r="AV577" s="52">
        <v>0.0</v>
      </c>
      <c r="AW577" s="43" t="s">
        <v>88</v>
      </c>
      <c r="AX577" s="52">
        <v>0.0</v>
      </c>
      <c r="AY577" s="52">
        <v>0.0</v>
      </c>
      <c r="AZ577" s="52">
        <v>8.0</v>
      </c>
      <c r="BA577" s="43" t="s">
        <v>89</v>
      </c>
      <c r="BB577" s="52">
        <v>19.0</v>
      </c>
      <c r="BC577" s="170"/>
      <c r="BD577" s="128"/>
      <c r="BE577" s="129"/>
      <c r="BF577" s="72"/>
      <c r="BG577" s="73"/>
      <c r="BH577" s="73"/>
      <c r="BI577" s="73"/>
      <c r="BJ577" s="73"/>
      <c r="BK577" s="73"/>
      <c r="BL577" s="73"/>
      <c r="BM577" s="73"/>
      <c r="BN577" s="73"/>
      <c r="BO577" s="73"/>
      <c r="BP577" s="73"/>
      <c r="BQ577" s="73"/>
      <c r="BR577" s="73"/>
      <c r="BS577" s="73"/>
      <c r="BT577" s="73"/>
      <c r="BU577" s="73"/>
      <c r="BV577" s="73"/>
      <c r="BW577" s="74"/>
      <c r="BX577" s="74"/>
      <c r="BY577" s="63"/>
      <c r="BZ577" s="63"/>
    </row>
    <row r="578" ht="15.75" customHeight="1">
      <c r="A578" s="120" t="s">
        <v>3513</v>
      </c>
      <c r="B578" s="43" t="s">
        <v>3514</v>
      </c>
      <c r="C578" s="43" t="s">
        <v>315</v>
      </c>
      <c r="D578" s="52" t="s">
        <v>430</v>
      </c>
      <c r="E578" s="77" t="s">
        <v>376</v>
      </c>
      <c r="F578" s="47">
        <v>1.2E8</v>
      </c>
      <c r="G578" s="44" t="str">
        <f t="shared" si="16"/>
        <v>$100'000.000 a $200'000.000</v>
      </c>
      <c r="H578" s="44"/>
      <c r="I578" s="44"/>
      <c r="J578" s="43" t="s">
        <v>183</v>
      </c>
      <c r="K578" s="56" t="s">
        <v>184</v>
      </c>
      <c r="L578" s="52">
        <v>0.0</v>
      </c>
      <c r="M578" s="52"/>
      <c r="N578" s="52">
        <v>0.0</v>
      </c>
      <c r="O578" s="52">
        <v>0.0</v>
      </c>
      <c r="P578" s="52">
        <v>0.0</v>
      </c>
      <c r="Q578" s="54"/>
      <c r="R578" s="55">
        <v>105.0</v>
      </c>
      <c r="S578" s="56" t="str">
        <f t="shared" si="17"/>
        <v> </v>
      </c>
      <c r="T578" s="52" t="s">
        <v>78</v>
      </c>
      <c r="U578" s="142" t="s">
        <v>77</v>
      </c>
      <c r="V578" s="43" t="s">
        <v>118</v>
      </c>
      <c r="W578" s="43"/>
      <c r="X578" s="52">
        <v>0.0</v>
      </c>
      <c r="Y578" s="43" t="s">
        <v>80</v>
      </c>
      <c r="Z578" s="58" t="s">
        <v>81</v>
      </c>
      <c r="AA578" s="59" t="str">
        <f>IF(Rentabilidad=0,"No aplica",TEXT(ROUND(Precio/Rentabilidad/12,0),0) &amp; " años")</f>
        <v>No aplica</v>
      </c>
      <c r="AB578" s="60"/>
      <c r="AC578" s="61"/>
      <c r="AD578" s="62"/>
      <c r="AE578" s="63"/>
      <c r="AF578" s="296" t="s">
        <v>96</v>
      </c>
      <c r="AG578" s="63"/>
      <c r="AH578" s="65" t="s">
        <v>45</v>
      </c>
      <c r="AI578" s="63"/>
      <c r="AJ578" s="64" t="s">
        <v>1834</v>
      </c>
      <c r="AK578" s="44"/>
      <c r="AL578" s="45" t="s">
        <v>86</v>
      </c>
      <c r="AM578" s="52">
        <v>3.112183996E9</v>
      </c>
      <c r="AN578" s="45">
        <v>3.22228922E9</v>
      </c>
      <c r="AO578" s="52" t="s">
        <v>3515</v>
      </c>
      <c r="AP578" s="67" t="s">
        <v>3516</v>
      </c>
      <c r="AQ578" s="67"/>
      <c r="AR578" s="67"/>
      <c r="AS578" s="135">
        <v>0.0</v>
      </c>
      <c r="AT578" s="44">
        <v>0.0</v>
      </c>
      <c r="AU578" s="52">
        <v>0.0</v>
      </c>
      <c r="AV578" s="52">
        <v>0.0</v>
      </c>
      <c r="AW578" s="43" t="s">
        <v>88</v>
      </c>
      <c r="AX578" s="52">
        <v>0.0</v>
      </c>
      <c r="AY578" s="52">
        <v>0.0</v>
      </c>
      <c r="AZ578" s="52">
        <v>7.0</v>
      </c>
      <c r="BA578" s="43" t="s">
        <v>89</v>
      </c>
      <c r="BB578" s="52">
        <v>15.0</v>
      </c>
      <c r="BC578" s="69" t="s">
        <v>3517</v>
      </c>
      <c r="BD578" s="70"/>
      <c r="BE578" s="70"/>
      <c r="BF578" s="130"/>
      <c r="BG578" s="73"/>
      <c r="BH578" s="73"/>
      <c r="BI578" s="73"/>
      <c r="BJ578" s="73"/>
      <c r="BK578" s="73"/>
      <c r="BL578" s="73"/>
      <c r="BM578" s="73"/>
      <c r="BN578" s="73"/>
      <c r="BO578" s="73"/>
      <c r="BP578" s="73"/>
      <c r="BQ578" s="73"/>
      <c r="BR578" s="73"/>
      <c r="BS578" s="73"/>
      <c r="BT578" s="73"/>
      <c r="BU578" s="73"/>
      <c r="BV578" s="73"/>
      <c r="BW578" s="74"/>
      <c r="BX578" s="74"/>
      <c r="BY578" s="63"/>
      <c r="BZ578" s="63"/>
    </row>
    <row r="579" ht="15.75" customHeight="1">
      <c r="A579" s="309">
        <v>498.0</v>
      </c>
      <c r="B579" s="43" t="s">
        <v>1473</v>
      </c>
      <c r="C579" s="43" t="s">
        <v>70</v>
      </c>
      <c r="D579" s="44" t="s">
        <v>951</v>
      </c>
      <c r="E579" s="45"/>
      <c r="F579" s="47">
        <v>1.2E8</v>
      </c>
      <c r="G579" s="44" t="str">
        <f t="shared" si="16"/>
        <v>$100'000.000 a $200'000.000</v>
      </c>
      <c r="H579" s="44"/>
      <c r="I579" s="44"/>
      <c r="J579" s="50" t="s">
        <v>183</v>
      </c>
      <c r="K579" s="57"/>
      <c r="L579" s="52">
        <v>2.0</v>
      </c>
      <c r="M579" s="52"/>
      <c r="N579" s="52">
        <v>1.0</v>
      </c>
      <c r="O579" s="43">
        <v>0.0</v>
      </c>
      <c r="P579" s="52">
        <v>1.0</v>
      </c>
      <c r="Q579" s="54"/>
      <c r="R579" s="55">
        <v>97.5</v>
      </c>
      <c r="S579" s="56" t="str">
        <f t="shared" si="17"/>
        <v>Rentabilidad $400,000</v>
      </c>
      <c r="T579" s="52" t="s">
        <v>78</v>
      </c>
      <c r="U579" s="142" t="s">
        <v>184</v>
      </c>
      <c r="V579" s="43" t="s">
        <v>79</v>
      </c>
      <c r="W579" s="43"/>
      <c r="X579" s="52">
        <v>0.0</v>
      </c>
      <c r="Y579" s="43" t="s">
        <v>80</v>
      </c>
      <c r="Z579" s="58" t="s">
        <v>81</v>
      </c>
      <c r="AA579" s="59" t="str">
        <f>IF(Rentabilidad=0,"No aplica",TEXT(ROUND(Precio/Rentabilidad/12,0),0) &amp; " años")</f>
        <v>25 años</v>
      </c>
      <c r="AB579" s="60"/>
      <c r="AC579" s="61"/>
      <c r="AD579" s="62"/>
      <c r="AE579" s="63"/>
      <c r="AF579" s="64" t="s">
        <v>84</v>
      </c>
      <c r="AG579" s="63"/>
      <c r="AH579" s="63"/>
      <c r="AI579" s="63"/>
      <c r="AJ579" s="64" t="s">
        <v>1834</v>
      </c>
      <c r="AK579" s="44"/>
      <c r="AL579" s="45" t="s">
        <v>2624</v>
      </c>
      <c r="AM579" s="52">
        <v>3.107628191E9</v>
      </c>
      <c r="AN579" s="45"/>
      <c r="AO579" s="52" t="s">
        <v>2410</v>
      </c>
      <c r="AP579" s="67" t="s">
        <v>3518</v>
      </c>
      <c r="AQ579" s="67"/>
      <c r="AR579" s="67"/>
      <c r="AS579" s="135">
        <v>400000.0</v>
      </c>
      <c r="AT579" s="44">
        <v>0.0</v>
      </c>
      <c r="AU579" s="52">
        <v>0.0</v>
      </c>
      <c r="AV579" s="52">
        <v>0.0</v>
      </c>
      <c r="AW579" s="43" t="s">
        <v>88</v>
      </c>
      <c r="AX579" s="52">
        <v>0.0</v>
      </c>
      <c r="AY579" s="52">
        <v>0.0</v>
      </c>
      <c r="AZ579" s="52">
        <v>0.0</v>
      </c>
      <c r="BA579" s="43" t="s">
        <v>89</v>
      </c>
      <c r="BB579" s="52">
        <v>0.0</v>
      </c>
      <c r="BC579" s="69" t="s">
        <v>732</v>
      </c>
      <c r="BD579" s="70"/>
      <c r="BE579" s="71"/>
      <c r="BF579" s="72"/>
      <c r="BG579" s="73"/>
      <c r="BH579" s="73"/>
      <c r="BI579" s="73"/>
      <c r="BJ579" s="73"/>
      <c r="BK579" s="73"/>
      <c r="BL579" s="73"/>
      <c r="BM579" s="73"/>
      <c r="BN579" s="73"/>
      <c r="BO579" s="73"/>
      <c r="BP579" s="73"/>
      <c r="BQ579" s="73"/>
      <c r="BR579" s="73"/>
      <c r="BS579" s="73"/>
      <c r="BT579" s="73"/>
      <c r="BU579" s="73"/>
      <c r="BV579" s="73"/>
      <c r="BW579" s="74"/>
      <c r="BX579" s="74"/>
      <c r="BY579" s="63"/>
      <c r="BZ579" s="63"/>
    </row>
    <row r="580" ht="15.75" customHeight="1">
      <c r="A580" s="75" t="s">
        <v>3519</v>
      </c>
      <c r="B580" s="50" t="s">
        <v>3520</v>
      </c>
      <c r="C580" s="50" t="s">
        <v>70</v>
      </c>
      <c r="D580" s="44" t="s">
        <v>2532</v>
      </c>
      <c r="E580" s="77" t="s">
        <v>376</v>
      </c>
      <c r="F580" s="47">
        <v>9.5E7</v>
      </c>
      <c r="G580" s="44" t="str">
        <f t="shared" si="16"/>
        <v>$0 a $100'000.000</v>
      </c>
      <c r="H580" s="44"/>
      <c r="I580" s="44"/>
      <c r="J580" s="50" t="s">
        <v>94</v>
      </c>
      <c r="K580" s="57"/>
      <c r="L580" s="44">
        <v>3.0</v>
      </c>
      <c r="M580" s="44"/>
      <c r="N580" s="44">
        <v>1.0</v>
      </c>
      <c r="O580" s="50">
        <v>1.0</v>
      </c>
      <c r="P580" s="44">
        <v>1.0</v>
      </c>
      <c r="Q580" s="113">
        <v>100.0</v>
      </c>
      <c r="R580" s="79">
        <v>108.0</v>
      </c>
      <c r="S580" s="56" t="str">
        <f t="shared" si="17"/>
        <v> </v>
      </c>
      <c r="T580" s="44" t="s">
        <v>78</v>
      </c>
      <c r="U580" s="57" t="s">
        <v>184</v>
      </c>
      <c r="V580" s="50" t="s">
        <v>79</v>
      </c>
      <c r="W580" s="50"/>
      <c r="X580" s="44">
        <v>2.0</v>
      </c>
      <c r="Y580" s="50" t="s">
        <v>80</v>
      </c>
      <c r="Z580" s="58" t="s">
        <v>81</v>
      </c>
      <c r="AA580" s="59" t="str">
        <f>IF(Rentabilidad=0,"No aplica",TEXT(ROUND(Precio/Rentabilidad/12,0),0) &amp; " años")</f>
        <v>No aplica</v>
      </c>
      <c r="AB580" s="115" t="s">
        <v>3521</v>
      </c>
      <c r="AC580" s="61"/>
      <c r="AD580" s="62"/>
      <c r="AE580" s="63"/>
      <c r="AF580" s="64" t="s">
        <v>236</v>
      </c>
      <c r="AG580" s="63"/>
      <c r="AH580" s="65" t="s">
        <v>45</v>
      </c>
      <c r="AI580" s="63"/>
      <c r="AJ580" s="64" t="s">
        <v>1834</v>
      </c>
      <c r="AK580" s="44"/>
      <c r="AL580" s="45" t="s">
        <v>109</v>
      </c>
      <c r="AM580" s="52">
        <v>3.124415869E9</v>
      </c>
      <c r="AN580" s="45"/>
      <c r="AO580" s="52" t="s">
        <v>3522</v>
      </c>
      <c r="AP580" s="67" t="s">
        <v>3523</v>
      </c>
      <c r="AQ580" s="67"/>
      <c r="AR580" s="67"/>
      <c r="AS580" s="68">
        <v>0.0</v>
      </c>
      <c r="AT580" s="44">
        <v>0.0</v>
      </c>
      <c r="AU580" s="52">
        <v>0.0</v>
      </c>
      <c r="AV580" s="52">
        <v>0.0</v>
      </c>
      <c r="AW580" s="43" t="s">
        <v>88</v>
      </c>
      <c r="AX580" s="52">
        <v>0.0</v>
      </c>
      <c r="AY580" s="52">
        <v>0.0</v>
      </c>
      <c r="AZ580" s="44">
        <v>9.0</v>
      </c>
      <c r="BA580" s="43" t="s">
        <v>89</v>
      </c>
      <c r="BB580" s="44">
        <v>12.0</v>
      </c>
      <c r="BC580" s="95" t="s">
        <v>769</v>
      </c>
      <c r="BD580" s="71"/>
      <c r="BE580" s="71"/>
      <c r="BF580" s="72" t="s">
        <v>3524</v>
      </c>
      <c r="BG580" s="73"/>
      <c r="BH580" s="73"/>
      <c r="BI580" s="73"/>
      <c r="BJ580" s="73"/>
      <c r="BK580" s="73"/>
      <c r="BL580" s="73"/>
      <c r="BM580" s="73"/>
      <c r="BN580" s="73"/>
      <c r="BO580" s="73"/>
      <c r="BP580" s="73"/>
      <c r="BQ580" s="73"/>
      <c r="BR580" s="73"/>
      <c r="BS580" s="73"/>
      <c r="BT580" s="73"/>
      <c r="BU580" s="73"/>
      <c r="BV580" s="73"/>
      <c r="BW580" s="74"/>
      <c r="BX580" s="74"/>
      <c r="BY580" s="63"/>
      <c r="BZ580" s="63"/>
    </row>
    <row r="581" ht="15.75" customHeight="1">
      <c r="A581" s="75" t="s">
        <v>3525</v>
      </c>
      <c r="B581" s="50" t="s">
        <v>3060</v>
      </c>
      <c r="C581" s="50" t="s">
        <v>3526</v>
      </c>
      <c r="D581" s="50" t="s">
        <v>389</v>
      </c>
      <c r="E581" s="64"/>
      <c r="F581" s="78">
        <v>0.0</v>
      </c>
      <c r="G581" s="44" t="str">
        <f t="shared" si="16"/>
        <v>$0 a $100'000.000</v>
      </c>
      <c r="H581" s="44"/>
      <c r="I581" s="44"/>
      <c r="J581" s="50" t="s">
        <v>76</v>
      </c>
      <c r="K581" s="51" t="s">
        <v>142</v>
      </c>
      <c r="L581" s="44"/>
      <c r="M581" s="44"/>
      <c r="N581" s="44"/>
      <c r="O581" s="44"/>
      <c r="P581" s="50">
        <v>1.0</v>
      </c>
      <c r="Q581" s="89">
        <v>0.0</v>
      </c>
      <c r="R581" s="89">
        <v>0.0</v>
      </c>
      <c r="S581" s="56" t="str">
        <f t="shared" si="17"/>
        <v> </v>
      </c>
      <c r="T581" s="50" t="s">
        <v>78</v>
      </c>
      <c r="U581" s="57"/>
      <c r="V581" s="43" t="s">
        <v>1014</v>
      </c>
      <c r="W581" s="43"/>
      <c r="X581" s="44"/>
      <c r="Y581" s="44"/>
      <c r="Z581" s="91"/>
      <c r="AA581" s="59" t="str">
        <f>IF(Rentabilidad=0,"No aplica",TEXT(ROUND(Precio/Rentabilidad/12,0),0) &amp; " años")</f>
        <v>No aplica</v>
      </c>
      <c r="AB581" s="212"/>
      <c r="AC581" s="61"/>
      <c r="AD581" s="107"/>
      <c r="AE581" s="63"/>
      <c r="AF581" s="64"/>
      <c r="AG581" s="63"/>
      <c r="AH581" s="65" t="s">
        <v>45</v>
      </c>
      <c r="AI581" s="63"/>
      <c r="AJ581" s="64" t="s">
        <v>1834</v>
      </c>
      <c r="AK581" s="50"/>
      <c r="AL581" s="45"/>
      <c r="AM581" s="50">
        <v>3.184154811E9</v>
      </c>
      <c r="AN581" s="45"/>
      <c r="AO581" s="52"/>
      <c r="AP581" s="84" t="s">
        <v>3527</v>
      </c>
      <c r="AQ581" s="84"/>
      <c r="AR581" s="84"/>
      <c r="AS581" s="94"/>
      <c r="AT581" s="63"/>
      <c r="AU581" s="44"/>
      <c r="AV581" s="50"/>
      <c r="AW581" s="50"/>
      <c r="AX581" s="44"/>
      <c r="AY581" s="50"/>
      <c r="AZ581" s="44"/>
      <c r="BA581" s="43" t="s">
        <v>89</v>
      </c>
      <c r="BB581" s="44"/>
      <c r="BC581" s="86"/>
      <c r="BD581" s="71"/>
      <c r="BE581" s="71"/>
      <c r="BF581" s="130"/>
      <c r="BG581" s="73"/>
      <c r="BH581" s="73"/>
      <c r="BI581" s="73"/>
      <c r="BJ581" s="73"/>
      <c r="BK581" s="73"/>
      <c r="BL581" s="73"/>
      <c r="BM581" s="73"/>
      <c r="BN581" s="73"/>
      <c r="BO581" s="73"/>
      <c r="BP581" s="73"/>
      <c r="BQ581" s="73"/>
      <c r="BR581" s="73"/>
      <c r="BS581" s="73"/>
      <c r="BT581" s="73"/>
      <c r="BU581" s="73"/>
      <c r="BV581" s="73"/>
      <c r="BW581" s="74"/>
      <c r="BX581" s="74"/>
      <c r="BY581" s="63"/>
      <c r="BZ581" s="63"/>
    </row>
    <row r="582" ht="15.75" customHeight="1">
      <c r="A582" s="75" t="s">
        <v>3528</v>
      </c>
      <c r="B582" s="50" t="s">
        <v>2710</v>
      </c>
      <c r="C582" s="50" t="s">
        <v>271</v>
      </c>
      <c r="D582" s="50" t="s">
        <v>155</v>
      </c>
      <c r="E582" s="64"/>
      <c r="F582" s="78">
        <v>0.0</v>
      </c>
      <c r="G582" s="44" t="str">
        <f t="shared" si="16"/>
        <v>$0 a $100'000.000</v>
      </c>
      <c r="H582" s="44"/>
      <c r="I582" s="44"/>
      <c r="J582" s="50"/>
      <c r="K582" s="51" t="s">
        <v>142</v>
      </c>
      <c r="L582" s="44"/>
      <c r="M582" s="44"/>
      <c r="N582" s="44"/>
      <c r="O582" s="44"/>
      <c r="P582" s="50">
        <v>1.0</v>
      </c>
      <c r="Q582" s="89">
        <v>0.0</v>
      </c>
      <c r="R582" s="88">
        <v>400.0</v>
      </c>
      <c r="S582" s="56" t="str">
        <f t="shared" si="17"/>
        <v> </v>
      </c>
      <c r="T582" s="50" t="s">
        <v>78</v>
      </c>
      <c r="U582" s="57"/>
      <c r="V582" s="50" t="s">
        <v>118</v>
      </c>
      <c r="W582" s="50"/>
      <c r="X582" s="44"/>
      <c r="Y582" s="44"/>
      <c r="Z582" s="91"/>
      <c r="AA582" s="59" t="str">
        <f>IF(Rentabilidad=0,"No aplica",TEXT(ROUND(Precio/Rentabilidad/12,0),0) &amp; " años")</f>
        <v>No aplica</v>
      </c>
      <c r="AB582" s="212"/>
      <c r="AC582" s="61"/>
      <c r="AD582" s="107"/>
      <c r="AE582" s="63"/>
      <c r="AF582" s="64"/>
      <c r="AG582" s="63"/>
      <c r="AH582" s="65" t="s">
        <v>45</v>
      </c>
      <c r="AI582" s="63"/>
      <c r="AJ582" s="64" t="s">
        <v>1834</v>
      </c>
      <c r="AK582" s="50"/>
      <c r="AL582" s="45"/>
      <c r="AM582" s="50">
        <v>3.112593724E9</v>
      </c>
      <c r="AN582" s="64">
        <v>3.197959995E9</v>
      </c>
      <c r="AO582" s="52"/>
      <c r="AP582" s="67"/>
      <c r="AQ582" s="67"/>
      <c r="AR582" s="67"/>
      <c r="AS582" s="94"/>
      <c r="AT582" s="63"/>
      <c r="AU582" s="44"/>
      <c r="AV582" s="44"/>
      <c r="AW582" s="50" t="s">
        <v>88</v>
      </c>
      <c r="AX582" s="44"/>
      <c r="AY582" s="44"/>
      <c r="AZ582" s="44"/>
      <c r="BA582" s="43" t="s">
        <v>89</v>
      </c>
      <c r="BB582" s="44"/>
      <c r="BC582" s="69" t="s">
        <v>439</v>
      </c>
      <c r="BD582" s="70"/>
      <c r="BE582" s="71"/>
      <c r="BF582" s="72"/>
      <c r="BG582" s="73"/>
      <c r="BH582" s="73"/>
      <c r="BI582" s="73"/>
      <c r="BJ582" s="73"/>
      <c r="BK582" s="73"/>
      <c r="BL582" s="73"/>
      <c r="BM582" s="73"/>
      <c r="BN582" s="73"/>
      <c r="BO582" s="73"/>
      <c r="BP582" s="73"/>
      <c r="BQ582" s="73"/>
      <c r="BR582" s="73"/>
      <c r="BS582" s="73"/>
      <c r="BT582" s="73"/>
      <c r="BU582" s="73"/>
      <c r="BV582" s="73"/>
      <c r="BW582" s="74"/>
      <c r="BX582" s="74"/>
      <c r="BY582" s="63"/>
      <c r="BZ582" s="63"/>
    </row>
    <row r="583" ht="15.75" customHeight="1">
      <c r="A583" s="75" t="s">
        <v>3529</v>
      </c>
      <c r="B583" s="50" t="s">
        <v>3530</v>
      </c>
      <c r="C583" s="50" t="s">
        <v>70</v>
      </c>
      <c r="D583" s="50" t="s">
        <v>11</v>
      </c>
      <c r="E583" s="64"/>
      <c r="F583" s="78">
        <v>0.0</v>
      </c>
      <c r="G583" s="44" t="str">
        <f t="shared" si="16"/>
        <v>$0 a $100'000.000</v>
      </c>
      <c r="H583" s="44"/>
      <c r="I583" s="44"/>
      <c r="J583" s="50" t="s">
        <v>183</v>
      </c>
      <c r="K583" s="51" t="s">
        <v>184</v>
      </c>
      <c r="L583" s="44"/>
      <c r="M583" s="44"/>
      <c r="N583" s="44"/>
      <c r="O583" s="44"/>
      <c r="P583" s="44"/>
      <c r="Q583" s="88">
        <v>0.0</v>
      </c>
      <c r="R583" s="89">
        <v>0.0</v>
      </c>
      <c r="S583" s="56" t="str">
        <f t="shared" si="17"/>
        <v> </v>
      </c>
      <c r="T583" s="50" t="s">
        <v>78</v>
      </c>
      <c r="U583" s="51" t="s">
        <v>184</v>
      </c>
      <c r="V583" s="50" t="s">
        <v>79</v>
      </c>
      <c r="W583" s="50"/>
      <c r="X583" s="44"/>
      <c r="Y583" s="44"/>
      <c r="Z583" s="91"/>
      <c r="AA583" s="59" t="str">
        <f>IF(Rentabilidad=0,"No aplica",TEXT(ROUND(Precio/Rentabilidad/12,0),0) &amp; " años")</f>
        <v>No aplica</v>
      </c>
      <c r="AB583" s="212"/>
      <c r="AC583" s="61"/>
      <c r="AD583" s="107"/>
      <c r="AE583" s="63"/>
      <c r="AF583" s="64"/>
      <c r="AG583" s="63"/>
      <c r="AH583" s="65" t="s">
        <v>45</v>
      </c>
      <c r="AI583" s="63"/>
      <c r="AJ583" s="64" t="s">
        <v>1834</v>
      </c>
      <c r="AK583" s="50"/>
      <c r="AL583" s="45"/>
      <c r="AM583" s="50">
        <v>3.133091759E9</v>
      </c>
      <c r="AN583" s="64">
        <v>3.133091728E9</v>
      </c>
      <c r="AO583" s="52"/>
      <c r="AP583" s="84" t="s">
        <v>3531</v>
      </c>
      <c r="AQ583" s="67"/>
      <c r="AR583" s="67"/>
      <c r="AS583" s="94"/>
      <c r="AT583" s="63"/>
      <c r="AU583" s="44"/>
      <c r="AV583" s="44"/>
      <c r="AW583" s="50" t="s">
        <v>106</v>
      </c>
      <c r="AX583" s="44"/>
      <c r="AY583" s="44"/>
      <c r="AZ583" s="44"/>
      <c r="BA583" s="43" t="s">
        <v>89</v>
      </c>
      <c r="BB583" s="44"/>
      <c r="BC583" s="95"/>
      <c r="BD583" s="71"/>
      <c r="BE583" s="71"/>
      <c r="BF583" s="130"/>
      <c r="BG583" s="73"/>
      <c r="BH583" s="73"/>
      <c r="BI583" s="73"/>
      <c r="BJ583" s="73"/>
      <c r="BK583" s="73"/>
      <c r="BL583" s="73"/>
      <c r="BM583" s="73"/>
      <c r="BN583" s="73"/>
      <c r="BO583" s="73"/>
      <c r="BP583" s="73"/>
      <c r="BQ583" s="73"/>
      <c r="BR583" s="73"/>
      <c r="BS583" s="73"/>
      <c r="BT583" s="73"/>
      <c r="BU583" s="73"/>
      <c r="BV583" s="73"/>
      <c r="BW583" s="74"/>
      <c r="BX583" s="74"/>
      <c r="BY583" s="63"/>
      <c r="BZ583" s="63"/>
    </row>
    <row r="584" ht="15.75" customHeight="1">
      <c r="A584" s="41" t="s">
        <v>3532</v>
      </c>
      <c r="B584" s="44"/>
      <c r="C584" s="44"/>
      <c r="D584" s="44" t="s">
        <v>1383</v>
      </c>
      <c r="E584" s="45"/>
      <c r="F584" s="78">
        <v>0.0</v>
      </c>
      <c r="G584" s="44" t="str">
        <f t="shared" si="16"/>
        <v>$0 a $100'000.000</v>
      </c>
      <c r="H584" s="44"/>
      <c r="I584" s="44"/>
      <c r="J584" s="44"/>
      <c r="K584" s="57"/>
      <c r="L584" s="44"/>
      <c r="M584" s="44"/>
      <c r="N584" s="44"/>
      <c r="O584" s="44"/>
      <c r="P584" s="44"/>
      <c r="Q584" s="89">
        <v>0.0</v>
      </c>
      <c r="R584" s="89">
        <v>0.0</v>
      </c>
      <c r="S584" s="56" t="str">
        <f t="shared" si="17"/>
        <v> </v>
      </c>
      <c r="T584" s="44"/>
      <c r="U584" s="57"/>
      <c r="V584" s="44"/>
      <c r="W584" s="44"/>
      <c r="X584" s="44"/>
      <c r="Y584" s="44"/>
      <c r="Z584" s="91"/>
      <c r="AA584" s="59" t="str">
        <f>IF(Rentabilidad=0,"No aplica",TEXT(ROUND(Precio/Rentabilidad/12,0),0) &amp; " años")</f>
        <v>No aplica</v>
      </c>
      <c r="AB584" s="220"/>
      <c r="AC584" s="61"/>
      <c r="AD584" s="62"/>
      <c r="AE584" s="63"/>
      <c r="AF584" s="45" t="s">
        <v>1383</v>
      </c>
      <c r="AG584" s="63"/>
      <c r="AH584" s="65" t="s">
        <v>45</v>
      </c>
      <c r="AI584" s="63"/>
      <c r="AJ584" s="64" t="s">
        <v>1834</v>
      </c>
      <c r="AK584" s="44"/>
      <c r="AL584" s="45" t="s">
        <v>86</v>
      </c>
      <c r="AM584" s="44"/>
      <c r="AN584" s="45"/>
      <c r="AO584" s="44"/>
      <c r="AP584" s="67"/>
      <c r="AQ584" s="67"/>
      <c r="AR584" s="67"/>
      <c r="AS584" s="94">
        <v>0.0</v>
      </c>
      <c r="AT584" s="44"/>
      <c r="AU584" s="44"/>
      <c r="AV584" s="44"/>
      <c r="AW584" s="44"/>
      <c r="AX584" s="44"/>
      <c r="AY584" s="44"/>
      <c r="AZ584" s="44"/>
      <c r="BA584" s="43" t="s">
        <v>89</v>
      </c>
      <c r="BB584" s="44"/>
      <c r="BC584" s="109"/>
      <c r="BD584" s="70"/>
      <c r="BE584" s="71"/>
      <c r="BF584" s="72"/>
      <c r="BG584" s="73"/>
      <c r="BH584" s="73"/>
      <c r="BI584" s="73"/>
      <c r="BJ584" s="73"/>
      <c r="BK584" s="73"/>
      <c r="BL584" s="73"/>
      <c r="BM584" s="73"/>
      <c r="BN584" s="73"/>
      <c r="BO584" s="73"/>
      <c r="BP584" s="73"/>
      <c r="BQ584" s="73"/>
      <c r="BR584" s="73"/>
      <c r="BS584" s="73"/>
      <c r="BT584" s="73"/>
      <c r="BU584" s="73"/>
      <c r="BV584" s="73"/>
      <c r="BW584" s="74"/>
      <c r="BX584" s="74"/>
      <c r="BY584" s="63"/>
      <c r="BZ584" s="63"/>
    </row>
    <row r="585" ht="15.75" customHeight="1">
      <c r="A585" s="41" t="s">
        <v>3533</v>
      </c>
      <c r="B585" s="50" t="s">
        <v>3534</v>
      </c>
      <c r="C585" s="44"/>
      <c r="D585" s="44" t="s">
        <v>1383</v>
      </c>
      <c r="E585" s="45"/>
      <c r="F585" s="78">
        <v>0.0</v>
      </c>
      <c r="G585" s="44" t="str">
        <f t="shared" si="16"/>
        <v>$0 a $100'000.000</v>
      </c>
      <c r="H585" s="44"/>
      <c r="I585" s="44"/>
      <c r="J585" s="44"/>
      <c r="K585" s="57"/>
      <c r="L585" s="44"/>
      <c r="M585" s="44"/>
      <c r="N585" s="44"/>
      <c r="O585" s="44"/>
      <c r="P585" s="44"/>
      <c r="Q585" s="89">
        <v>0.0</v>
      </c>
      <c r="R585" s="89">
        <v>0.0</v>
      </c>
      <c r="S585" s="56" t="str">
        <f t="shared" si="17"/>
        <v> </v>
      </c>
      <c r="T585" s="44"/>
      <c r="U585" s="57"/>
      <c r="V585" s="44"/>
      <c r="W585" s="44"/>
      <c r="X585" s="44"/>
      <c r="Y585" s="44"/>
      <c r="Z585" s="91"/>
      <c r="AA585" s="59" t="str">
        <f>IF(Rentabilidad=0,"No aplica",TEXT(ROUND(Precio/Rentabilidad/12,0),0) &amp; " años")</f>
        <v>No aplica</v>
      </c>
      <c r="AB585" s="220"/>
      <c r="AC585" s="61"/>
      <c r="AD585" s="62"/>
      <c r="AE585" s="63"/>
      <c r="AF585" s="45" t="s">
        <v>1383</v>
      </c>
      <c r="AG585" s="63"/>
      <c r="AH585" s="65" t="s">
        <v>45</v>
      </c>
      <c r="AI585" s="63"/>
      <c r="AJ585" s="64" t="s">
        <v>1834</v>
      </c>
      <c r="AK585" s="44"/>
      <c r="AL585" s="45" t="s">
        <v>86</v>
      </c>
      <c r="AM585" s="44"/>
      <c r="AN585" s="45"/>
      <c r="AO585" s="44"/>
      <c r="AP585" s="67"/>
      <c r="AQ585" s="67"/>
      <c r="AR585" s="67"/>
      <c r="AS585" s="94">
        <v>0.0</v>
      </c>
      <c r="AT585" s="44"/>
      <c r="AU585" s="44"/>
      <c r="AV585" s="44"/>
      <c r="AW585" s="44"/>
      <c r="AX585" s="44"/>
      <c r="AY585" s="44"/>
      <c r="AZ585" s="44"/>
      <c r="BA585" s="43" t="s">
        <v>89</v>
      </c>
      <c r="BB585" s="44"/>
      <c r="BC585" s="109"/>
      <c r="BD585" s="70"/>
      <c r="BE585" s="71"/>
      <c r="BF585" s="72"/>
      <c r="BG585" s="73"/>
      <c r="BH585" s="73"/>
      <c r="BI585" s="73"/>
      <c r="BJ585" s="73"/>
      <c r="BK585" s="73"/>
      <c r="BL585" s="73"/>
      <c r="BM585" s="73"/>
      <c r="BN585" s="73"/>
      <c r="BO585" s="73"/>
      <c r="BP585" s="73"/>
      <c r="BQ585" s="73"/>
      <c r="BR585" s="73"/>
      <c r="BS585" s="73"/>
      <c r="BT585" s="73"/>
      <c r="BU585" s="73"/>
      <c r="BV585" s="73"/>
      <c r="BW585" s="74"/>
      <c r="BX585" s="74"/>
      <c r="BY585" s="63"/>
      <c r="BZ585" s="63"/>
    </row>
    <row r="586" ht="15.75" customHeight="1">
      <c r="A586" s="41" t="s">
        <v>3535</v>
      </c>
      <c r="B586" s="44"/>
      <c r="C586" s="44"/>
      <c r="D586" s="44" t="s">
        <v>389</v>
      </c>
      <c r="E586" s="45"/>
      <c r="F586" s="78">
        <v>0.0</v>
      </c>
      <c r="G586" s="44" t="str">
        <f t="shared" si="16"/>
        <v>$0 a $100'000.000</v>
      </c>
      <c r="H586" s="44"/>
      <c r="I586" s="44"/>
      <c r="J586" s="43" t="s">
        <v>76</v>
      </c>
      <c r="K586" s="56" t="s">
        <v>77</v>
      </c>
      <c r="L586" s="44"/>
      <c r="M586" s="44"/>
      <c r="N586" s="44"/>
      <c r="O586" s="44"/>
      <c r="P586" s="44"/>
      <c r="Q586" s="89">
        <v>0.0</v>
      </c>
      <c r="R586" s="89">
        <v>0.0</v>
      </c>
      <c r="S586" s="56" t="str">
        <f t="shared" si="17"/>
        <v> </v>
      </c>
      <c r="T586" s="44"/>
      <c r="U586" s="57"/>
      <c r="V586" s="44"/>
      <c r="W586" s="44"/>
      <c r="X586" s="44"/>
      <c r="Y586" s="44"/>
      <c r="Z586" s="80" t="s">
        <v>81</v>
      </c>
      <c r="AA586" s="59" t="str">
        <f>IF(Rentabilidad=0,"No aplica",TEXT(ROUND(Precio/Rentabilidad/12,0),0) &amp; " años")</f>
        <v>No aplica</v>
      </c>
      <c r="AB586" s="220"/>
      <c r="AC586" s="61"/>
      <c r="AD586" s="62"/>
      <c r="AE586" s="63"/>
      <c r="AF586" s="45" t="s">
        <v>1383</v>
      </c>
      <c r="AG586" s="63"/>
      <c r="AH586" s="65" t="s">
        <v>45</v>
      </c>
      <c r="AI586" s="63"/>
      <c r="AJ586" s="64" t="s">
        <v>1834</v>
      </c>
      <c r="AK586" s="44"/>
      <c r="AL586" s="45" t="s">
        <v>86</v>
      </c>
      <c r="AM586" s="52">
        <v>3.133502335E9</v>
      </c>
      <c r="AN586" s="45"/>
      <c r="AO586" s="44"/>
      <c r="AP586" s="67"/>
      <c r="AQ586" s="67"/>
      <c r="AR586" s="67"/>
      <c r="AS586" s="94">
        <v>0.0</v>
      </c>
      <c r="AT586" s="44"/>
      <c r="AU586" s="44"/>
      <c r="AV586" s="44"/>
      <c r="AW586" s="44"/>
      <c r="AX586" s="44"/>
      <c r="AY586" s="44"/>
      <c r="AZ586" s="44"/>
      <c r="BA586" s="43" t="s">
        <v>89</v>
      </c>
      <c r="BB586" s="44"/>
      <c r="BC586" s="86"/>
      <c r="BD586" s="71"/>
      <c r="BE586" s="71"/>
      <c r="BF586" s="72"/>
      <c r="BG586" s="73"/>
      <c r="BH586" s="73"/>
      <c r="BI586" s="73"/>
      <c r="BJ586" s="73"/>
      <c r="BK586" s="73"/>
      <c r="BL586" s="73"/>
      <c r="BM586" s="73"/>
      <c r="BN586" s="73"/>
      <c r="BO586" s="73"/>
      <c r="BP586" s="73"/>
      <c r="BQ586" s="73"/>
      <c r="BR586" s="73"/>
      <c r="BS586" s="73"/>
      <c r="BT586" s="73"/>
      <c r="BU586" s="73"/>
      <c r="BV586" s="73"/>
      <c r="BW586" s="74"/>
      <c r="BX586" s="74"/>
      <c r="BY586" s="63"/>
      <c r="BZ586" s="63"/>
    </row>
    <row r="587" ht="15.75" customHeight="1">
      <c r="A587" s="75" t="s">
        <v>3536</v>
      </c>
      <c r="B587" s="50" t="s">
        <v>3256</v>
      </c>
      <c r="C587" s="50" t="s">
        <v>271</v>
      </c>
      <c r="D587" s="50" t="s">
        <v>1216</v>
      </c>
      <c r="E587" s="64"/>
      <c r="F587" s="78">
        <v>0.0</v>
      </c>
      <c r="G587" s="44" t="str">
        <f t="shared" si="16"/>
        <v>$0 a $100'000.000</v>
      </c>
      <c r="H587" s="44"/>
      <c r="I587" s="44"/>
      <c r="J587" s="50" t="s">
        <v>76</v>
      </c>
      <c r="K587" s="51" t="s">
        <v>142</v>
      </c>
      <c r="L587" s="44"/>
      <c r="M587" s="44"/>
      <c r="N587" s="44"/>
      <c r="O587" s="44"/>
      <c r="P587" s="50">
        <v>2.0</v>
      </c>
      <c r="Q587" s="89">
        <v>0.0</v>
      </c>
      <c r="R587" s="89">
        <v>0.0</v>
      </c>
      <c r="S587" s="56" t="str">
        <f t="shared" si="17"/>
        <v> </v>
      </c>
      <c r="T587" s="50" t="s">
        <v>78</v>
      </c>
      <c r="U587" s="57"/>
      <c r="V587" s="50" t="s">
        <v>79</v>
      </c>
      <c r="W587" s="50"/>
      <c r="X587" s="44"/>
      <c r="Y587" s="44"/>
      <c r="Z587" s="91"/>
      <c r="AA587" s="59" t="str">
        <f>IF(Rentabilidad=0,"No aplica",TEXT(ROUND(Precio/Rentabilidad/12,0),0) &amp; " años")</f>
        <v>No aplica</v>
      </c>
      <c r="AB587" s="212"/>
      <c r="AC587" s="61"/>
      <c r="AD587" s="107"/>
      <c r="AE587" s="63"/>
      <c r="AF587" s="64"/>
      <c r="AG587" s="63"/>
      <c r="AH587" s="65" t="s">
        <v>45</v>
      </c>
      <c r="AI587" s="63"/>
      <c r="AJ587" s="64" t="s">
        <v>1834</v>
      </c>
      <c r="AK587" s="50"/>
      <c r="AL587" s="45"/>
      <c r="AM587" s="50">
        <v>3.156222714E9</v>
      </c>
      <c r="AN587" s="45"/>
      <c r="AO587" s="52"/>
      <c r="AP587" s="84" t="s">
        <v>3537</v>
      </c>
      <c r="AQ587" s="84"/>
      <c r="AR587" s="84"/>
      <c r="AS587" s="94"/>
      <c r="AT587" s="63"/>
      <c r="AU587" s="44"/>
      <c r="AV587" s="44"/>
      <c r="AW587" s="50" t="s">
        <v>106</v>
      </c>
      <c r="AX587" s="44"/>
      <c r="AY587" s="44"/>
      <c r="AZ587" s="44"/>
      <c r="BA587" s="43" t="s">
        <v>89</v>
      </c>
      <c r="BB587" s="44"/>
      <c r="BC587" s="109"/>
      <c r="BD587" s="70"/>
      <c r="BE587" s="71"/>
      <c r="BF587" s="72"/>
      <c r="BG587" s="73"/>
      <c r="BH587" s="73"/>
      <c r="BI587" s="73"/>
      <c r="BJ587" s="73"/>
      <c r="BK587" s="73"/>
      <c r="BL587" s="73"/>
      <c r="BM587" s="73"/>
      <c r="BN587" s="73"/>
      <c r="BO587" s="73"/>
      <c r="BP587" s="73"/>
      <c r="BQ587" s="73"/>
      <c r="BR587" s="73"/>
      <c r="BS587" s="73"/>
      <c r="BT587" s="73"/>
      <c r="BU587" s="73"/>
      <c r="BV587" s="73"/>
      <c r="BW587" s="74"/>
      <c r="BX587" s="74"/>
      <c r="BY587" s="63"/>
      <c r="BZ587" s="63"/>
    </row>
    <row r="588" ht="15.75" customHeight="1">
      <c r="A588" s="41" t="s">
        <v>3538</v>
      </c>
      <c r="B588" s="44"/>
      <c r="C588" s="44"/>
      <c r="D588" s="44" t="s">
        <v>1383</v>
      </c>
      <c r="E588" s="45"/>
      <c r="F588" s="78">
        <v>0.0</v>
      </c>
      <c r="G588" s="44" t="str">
        <f t="shared" si="16"/>
        <v>$0 a $100'000.000</v>
      </c>
      <c r="H588" s="44"/>
      <c r="I588" s="44"/>
      <c r="J588" s="44"/>
      <c r="K588" s="57"/>
      <c r="L588" s="44"/>
      <c r="M588" s="44"/>
      <c r="N588" s="44"/>
      <c r="O588" s="44"/>
      <c r="P588" s="44"/>
      <c r="Q588" s="89">
        <v>0.0</v>
      </c>
      <c r="R588" s="89">
        <v>0.0</v>
      </c>
      <c r="S588" s="56" t="str">
        <f t="shared" si="17"/>
        <v> </v>
      </c>
      <c r="T588" s="44"/>
      <c r="U588" s="57"/>
      <c r="V588" s="44"/>
      <c r="W588" s="44"/>
      <c r="X588" s="44"/>
      <c r="Y588" s="44"/>
      <c r="Z588" s="91"/>
      <c r="AA588" s="59" t="str">
        <f>IF(Rentabilidad=0,"No aplica",TEXT(ROUND(Precio/Rentabilidad/12,0),0) &amp; " años")</f>
        <v>No aplica</v>
      </c>
      <c r="AB588" s="220"/>
      <c r="AC588" s="61"/>
      <c r="AD588" s="62"/>
      <c r="AE588" s="63"/>
      <c r="AF588" s="45" t="s">
        <v>1383</v>
      </c>
      <c r="AG588" s="63"/>
      <c r="AH588" s="65" t="s">
        <v>45</v>
      </c>
      <c r="AI588" s="63"/>
      <c r="AJ588" s="64" t="s">
        <v>1834</v>
      </c>
      <c r="AK588" s="44"/>
      <c r="AL588" s="45" t="s">
        <v>86</v>
      </c>
      <c r="AM588" s="44">
        <v>3.106667866E9</v>
      </c>
      <c r="AN588" s="45"/>
      <c r="AO588" s="74"/>
      <c r="AP588" s="67"/>
      <c r="AQ588" s="67"/>
      <c r="AR588" s="67"/>
      <c r="AS588" s="94">
        <v>0.0</v>
      </c>
      <c r="AT588" s="44"/>
      <c r="AU588" s="44"/>
      <c r="AV588" s="44"/>
      <c r="AW588" s="44"/>
      <c r="AX588" s="44"/>
      <c r="AY588" s="44"/>
      <c r="AZ588" s="44"/>
      <c r="BA588" s="43" t="s">
        <v>89</v>
      </c>
      <c r="BB588" s="44"/>
      <c r="BC588" s="69" t="s">
        <v>1991</v>
      </c>
      <c r="BD588" s="70"/>
      <c r="BE588" s="71"/>
      <c r="BF588" s="72"/>
      <c r="BG588" s="73"/>
      <c r="BH588" s="73"/>
      <c r="BI588" s="73"/>
      <c r="BJ588" s="73"/>
      <c r="BK588" s="73"/>
      <c r="BL588" s="73"/>
      <c r="BM588" s="73"/>
      <c r="BN588" s="73"/>
      <c r="BO588" s="73"/>
      <c r="BP588" s="73"/>
      <c r="BQ588" s="73"/>
      <c r="BR588" s="73"/>
      <c r="BS588" s="73"/>
      <c r="BT588" s="73"/>
      <c r="BU588" s="73"/>
      <c r="BV588" s="73"/>
      <c r="BW588" s="74"/>
      <c r="BX588" s="74"/>
      <c r="BY588" s="63"/>
      <c r="BZ588" s="63"/>
    </row>
    <row r="589" ht="15.75" customHeight="1">
      <c r="A589" s="41" t="s">
        <v>3539</v>
      </c>
      <c r="B589" s="50" t="s">
        <v>3534</v>
      </c>
      <c r="C589" s="44"/>
      <c r="D589" s="44" t="s">
        <v>1383</v>
      </c>
      <c r="E589" s="45"/>
      <c r="F589" s="78">
        <v>0.0</v>
      </c>
      <c r="G589" s="44" t="str">
        <f t="shared" si="16"/>
        <v>$0 a $100'000.000</v>
      </c>
      <c r="H589" s="44"/>
      <c r="I589" s="44"/>
      <c r="J589" s="44"/>
      <c r="K589" s="57"/>
      <c r="L589" s="44"/>
      <c r="M589" s="44"/>
      <c r="N589" s="44"/>
      <c r="O589" s="44"/>
      <c r="P589" s="44"/>
      <c r="Q589" s="89">
        <v>0.0</v>
      </c>
      <c r="R589" s="89">
        <v>0.0</v>
      </c>
      <c r="S589" s="56" t="str">
        <f t="shared" si="17"/>
        <v> </v>
      </c>
      <c r="T589" s="44"/>
      <c r="U589" s="57"/>
      <c r="V589" s="44"/>
      <c r="W589" s="44"/>
      <c r="X589" s="44"/>
      <c r="Y589" s="44"/>
      <c r="Z589" s="80" t="s">
        <v>81</v>
      </c>
      <c r="AA589" s="59" t="str">
        <f>IF(Rentabilidad=0,"No aplica",TEXT(ROUND(Precio/Rentabilidad/12,0),0) &amp; " años")</f>
        <v>No aplica</v>
      </c>
      <c r="AB589" s="220"/>
      <c r="AC589" s="61"/>
      <c r="AD589" s="62"/>
      <c r="AE589" s="63"/>
      <c r="AF589" s="45" t="s">
        <v>1383</v>
      </c>
      <c r="AG589" s="63"/>
      <c r="AH589" s="65" t="s">
        <v>45</v>
      </c>
      <c r="AI589" s="63"/>
      <c r="AJ589" s="64" t="s">
        <v>1834</v>
      </c>
      <c r="AK589" s="44"/>
      <c r="AL589" s="45" t="s">
        <v>86</v>
      </c>
      <c r="AM589" s="44">
        <v>3.118105509E9</v>
      </c>
      <c r="AN589" s="259">
        <v>3.160544434E9</v>
      </c>
      <c r="AO589" s="52"/>
      <c r="AP589" s="67"/>
      <c r="AQ589" s="67"/>
      <c r="AR589" s="67"/>
      <c r="AS589" s="94">
        <v>0.0</v>
      </c>
      <c r="AT589" s="44"/>
      <c r="AU589" s="44"/>
      <c r="AV589" s="44"/>
      <c r="AW589" s="44"/>
      <c r="AX589" s="44"/>
      <c r="AY589" s="44"/>
      <c r="AZ589" s="44"/>
      <c r="BA589" s="43" t="s">
        <v>89</v>
      </c>
      <c r="BB589" s="44"/>
      <c r="BC589" s="95"/>
      <c r="BD589" s="71"/>
      <c r="BE589" s="71"/>
      <c r="BF589" s="72"/>
      <c r="BG589" s="73"/>
      <c r="BH589" s="73"/>
      <c r="BI589" s="73"/>
      <c r="BJ589" s="73"/>
      <c r="BK589" s="73"/>
      <c r="BL589" s="73"/>
      <c r="BM589" s="73"/>
      <c r="BN589" s="73"/>
      <c r="BO589" s="73"/>
      <c r="BP589" s="73"/>
      <c r="BQ589" s="73"/>
      <c r="BR589" s="73"/>
      <c r="BS589" s="73"/>
      <c r="BT589" s="73"/>
      <c r="BU589" s="73"/>
      <c r="BV589" s="73"/>
      <c r="BW589" s="74"/>
      <c r="BX589" s="74"/>
      <c r="BY589" s="63"/>
      <c r="BZ589" s="63"/>
    </row>
    <row r="590" ht="15.75" customHeight="1">
      <c r="A590" s="120" t="s">
        <v>3540</v>
      </c>
      <c r="B590" s="44"/>
      <c r="C590" s="44"/>
      <c r="D590" s="44" t="s">
        <v>1383</v>
      </c>
      <c r="E590" s="45"/>
      <c r="F590" s="78">
        <v>0.0</v>
      </c>
      <c r="G590" s="44" t="str">
        <f t="shared" si="16"/>
        <v>$0 a $100'000.000</v>
      </c>
      <c r="H590" s="44"/>
      <c r="I590" s="44"/>
      <c r="J590" s="44"/>
      <c r="K590" s="57"/>
      <c r="L590" s="44"/>
      <c r="M590" s="44"/>
      <c r="N590" s="44"/>
      <c r="O590" s="44"/>
      <c r="P590" s="44"/>
      <c r="Q590" s="89">
        <v>0.0</v>
      </c>
      <c r="R590" s="89">
        <v>0.0</v>
      </c>
      <c r="S590" s="56" t="str">
        <f t="shared" si="17"/>
        <v> </v>
      </c>
      <c r="T590" s="44"/>
      <c r="U590" s="57"/>
      <c r="V590" s="44"/>
      <c r="W590" s="44"/>
      <c r="X590" s="44"/>
      <c r="Y590" s="68"/>
      <c r="Z590" s="91"/>
      <c r="AA590" s="59" t="str">
        <f>IF(Rentabilidad=0,"No aplica",TEXT(ROUND(Precio/Rentabilidad/12,0),0) &amp; " años")</f>
        <v>No aplica</v>
      </c>
      <c r="AB590" s="220"/>
      <c r="AC590" s="61"/>
      <c r="AD590" s="62"/>
      <c r="AE590" s="63"/>
      <c r="AF590" s="45" t="s">
        <v>1383</v>
      </c>
      <c r="AG590" s="63"/>
      <c r="AH590" s="65" t="s">
        <v>45</v>
      </c>
      <c r="AI590" s="63"/>
      <c r="AJ590" s="64" t="s">
        <v>1834</v>
      </c>
      <c r="AK590" s="44"/>
      <c r="AL590" s="45" t="s">
        <v>86</v>
      </c>
      <c r="AM590" s="44">
        <v>3.05483655E9</v>
      </c>
      <c r="AN590" s="156">
        <v>0.0</v>
      </c>
      <c r="AO590" s="52" t="s">
        <v>3541</v>
      </c>
      <c r="AP590" s="67"/>
      <c r="AQ590" s="67"/>
      <c r="AR590" s="67"/>
      <c r="AS590" s="94">
        <v>0.0</v>
      </c>
      <c r="AT590" s="44"/>
      <c r="AU590" s="44"/>
      <c r="AV590" s="44"/>
      <c r="AW590" s="44"/>
      <c r="AX590" s="44"/>
      <c r="AY590" s="44"/>
      <c r="AZ590" s="44"/>
      <c r="BA590" s="43" t="s">
        <v>89</v>
      </c>
      <c r="BB590" s="44"/>
      <c r="BC590" s="95" t="s">
        <v>1909</v>
      </c>
      <c r="BD590" s="71"/>
      <c r="BE590" s="71"/>
      <c r="BF590" s="72"/>
      <c r="BG590" s="73"/>
      <c r="BH590" s="73"/>
      <c r="BI590" s="73"/>
      <c r="BJ590" s="73"/>
      <c r="BK590" s="73"/>
      <c r="BL590" s="73"/>
      <c r="BM590" s="73"/>
      <c r="BN590" s="73"/>
      <c r="BO590" s="73"/>
      <c r="BP590" s="73"/>
      <c r="BQ590" s="73"/>
      <c r="BR590" s="73"/>
      <c r="BS590" s="73"/>
      <c r="BT590" s="73"/>
      <c r="BU590" s="73"/>
      <c r="BV590" s="73"/>
      <c r="BW590" s="74"/>
      <c r="BX590" s="74"/>
      <c r="BY590" s="63"/>
      <c r="BZ590" s="63"/>
    </row>
    <row r="591" ht="15.75" customHeight="1">
      <c r="A591" s="120" t="s">
        <v>3542</v>
      </c>
      <c r="B591" s="44"/>
      <c r="C591" s="44"/>
      <c r="D591" s="44" t="s">
        <v>1383</v>
      </c>
      <c r="E591" s="45"/>
      <c r="F591" s="78">
        <v>0.0</v>
      </c>
      <c r="G591" s="44" t="str">
        <f t="shared" si="16"/>
        <v>$0 a $100'000.000</v>
      </c>
      <c r="H591" s="44"/>
      <c r="I591" s="44"/>
      <c r="J591" s="44"/>
      <c r="K591" s="57"/>
      <c r="L591" s="44"/>
      <c r="M591" s="44"/>
      <c r="N591" s="44"/>
      <c r="O591" s="44"/>
      <c r="P591" s="44"/>
      <c r="Q591" s="89">
        <v>0.0</v>
      </c>
      <c r="R591" s="88">
        <v>770.0</v>
      </c>
      <c r="S591" s="56" t="str">
        <f t="shared" si="17"/>
        <v> </v>
      </c>
      <c r="T591" s="44"/>
      <c r="U591" s="57"/>
      <c r="V591" s="44"/>
      <c r="W591" s="44"/>
      <c r="X591" s="44"/>
      <c r="Y591" s="44"/>
      <c r="Z591" s="91"/>
      <c r="AA591" s="59" t="str">
        <f>IF(Rentabilidad=0,"No aplica",TEXT(ROUND(Precio/Rentabilidad/12,0),0) &amp; " años")</f>
        <v>No aplica</v>
      </c>
      <c r="AB591" s="60"/>
      <c r="AC591" s="61"/>
      <c r="AD591" s="62"/>
      <c r="AE591" s="63"/>
      <c r="AF591" s="45" t="s">
        <v>1383</v>
      </c>
      <c r="AG591" s="63"/>
      <c r="AH591" s="65" t="s">
        <v>45</v>
      </c>
      <c r="AI591" s="63"/>
      <c r="AJ591" s="64" t="s">
        <v>1834</v>
      </c>
      <c r="AK591" s="44"/>
      <c r="AL591" s="45" t="s">
        <v>86</v>
      </c>
      <c r="AM591" s="52">
        <v>3.188895176E9</v>
      </c>
      <c r="AN591" s="45"/>
      <c r="AO591" s="44"/>
      <c r="AP591" s="67"/>
      <c r="AQ591" s="67"/>
      <c r="AR591" s="67"/>
      <c r="AS591" s="94">
        <v>0.0</v>
      </c>
      <c r="AT591" s="44"/>
      <c r="AU591" s="44"/>
      <c r="AV591" s="44"/>
      <c r="AW591" s="44"/>
      <c r="AX591" s="44"/>
      <c r="AY591" s="44"/>
      <c r="AZ591" s="44"/>
      <c r="BA591" s="43" t="s">
        <v>89</v>
      </c>
      <c r="BB591" s="44"/>
      <c r="BC591" s="69" t="s">
        <v>716</v>
      </c>
      <c r="BD591" s="70"/>
      <c r="BE591" s="71"/>
      <c r="BF591" s="72"/>
      <c r="BG591" s="73"/>
      <c r="BH591" s="73"/>
      <c r="BI591" s="73"/>
      <c r="BJ591" s="73"/>
      <c r="BK591" s="73"/>
      <c r="BL591" s="73"/>
      <c r="BM591" s="73"/>
      <c r="BN591" s="73"/>
      <c r="BO591" s="73"/>
      <c r="BP591" s="73"/>
      <c r="BQ591" s="73"/>
      <c r="BR591" s="73"/>
      <c r="BS591" s="73"/>
      <c r="BT591" s="73"/>
      <c r="BU591" s="73"/>
      <c r="BV591" s="73"/>
      <c r="BW591" s="74"/>
      <c r="BX591" s="74"/>
      <c r="BY591" s="63"/>
      <c r="BZ591" s="63"/>
    </row>
    <row r="592" ht="15.75" customHeight="1">
      <c r="A592" s="75" t="s">
        <v>3543</v>
      </c>
      <c r="B592" s="50" t="s">
        <v>3534</v>
      </c>
      <c r="C592" s="44"/>
      <c r="D592" s="44" t="s">
        <v>1383</v>
      </c>
      <c r="E592" s="45"/>
      <c r="F592" s="78">
        <v>0.0</v>
      </c>
      <c r="G592" s="44" t="str">
        <f t="shared" si="16"/>
        <v>$0 a $100'000.000</v>
      </c>
      <c r="H592" s="44"/>
      <c r="I592" s="44"/>
      <c r="J592" s="44"/>
      <c r="K592" s="57"/>
      <c r="L592" s="44"/>
      <c r="M592" s="44"/>
      <c r="N592" s="44"/>
      <c r="O592" s="44"/>
      <c r="P592" s="44"/>
      <c r="Q592" s="89">
        <v>0.0</v>
      </c>
      <c r="R592" s="89">
        <v>0.0</v>
      </c>
      <c r="S592" s="56" t="str">
        <f t="shared" si="17"/>
        <v> </v>
      </c>
      <c r="T592" s="44"/>
      <c r="U592" s="57"/>
      <c r="V592" s="44"/>
      <c r="W592" s="44"/>
      <c r="X592" s="44"/>
      <c r="Y592" s="44"/>
      <c r="Z592" s="80" t="s">
        <v>81</v>
      </c>
      <c r="AA592" s="59" t="str">
        <f>IF(Rentabilidad=0,"No aplica",TEXT(ROUND(Precio/Rentabilidad/12,0),0) &amp; " años")</f>
        <v>No aplica</v>
      </c>
      <c r="AB592" s="220"/>
      <c r="AC592" s="61"/>
      <c r="AD592" s="62"/>
      <c r="AE592" s="63"/>
      <c r="AF592" s="45" t="s">
        <v>1383</v>
      </c>
      <c r="AG592" s="63"/>
      <c r="AH592" s="65" t="s">
        <v>45</v>
      </c>
      <c r="AI592" s="63"/>
      <c r="AJ592" s="64" t="s">
        <v>1834</v>
      </c>
      <c r="AK592" s="44"/>
      <c r="AL592" s="45" t="s">
        <v>86</v>
      </c>
      <c r="AM592" s="44"/>
      <c r="AN592" s="45"/>
      <c r="AO592" s="44"/>
      <c r="AP592" s="67"/>
      <c r="AQ592" s="67"/>
      <c r="AR592" s="67"/>
      <c r="AS592" s="94">
        <v>0.0</v>
      </c>
      <c r="AT592" s="44"/>
      <c r="AU592" s="44"/>
      <c r="AV592" s="44"/>
      <c r="AW592" s="44"/>
      <c r="AX592" s="44"/>
      <c r="AY592" s="44"/>
      <c r="AZ592" s="44"/>
      <c r="BA592" s="43" t="s">
        <v>89</v>
      </c>
      <c r="BB592" s="44"/>
      <c r="BC592" s="69"/>
      <c r="BD592" s="70"/>
      <c r="BE592" s="70"/>
      <c r="BF592" s="72"/>
      <c r="BG592" s="73"/>
      <c r="BH592" s="73"/>
      <c r="BI592" s="73"/>
      <c r="BJ592" s="73"/>
      <c r="BK592" s="73"/>
      <c r="BL592" s="73"/>
      <c r="BM592" s="73"/>
      <c r="BN592" s="73"/>
      <c r="BO592" s="73"/>
      <c r="BP592" s="73"/>
      <c r="BQ592" s="73"/>
      <c r="BR592" s="73"/>
      <c r="BS592" s="73"/>
      <c r="BT592" s="73"/>
      <c r="BU592" s="73"/>
      <c r="BV592" s="73"/>
      <c r="BW592" s="74"/>
      <c r="BX592" s="74"/>
      <c r="BY592" s="63"/>
      <c r="BZ592" s="63"/>
    </row>
    <row r="593" ht="15.75" customHeight="1">
      <c r="A593" s="120" t="s">
        <v>3544</v>
      </c>
      <c r="B593" s="44"/>
      <c r="C593" s="44"/>
      <c r="D593" s="44" t="s">
        <v>1383</v>
      </c>
      <c r="E593" s="45"/>
      <c r="F593" s="78">
        <v>0.0</v>
      </c>
      <c r="G593" s="44" t="str">
        <f t="shared" si="16"/>
        <v>$0 a $100'000.000</v>
      </c>
      <c r="H593" s="44"/>
      <c r="I593" s="44"/>
      <c r="J593" s="44"/>
      <c r="K593" s="57"/>
      <c r="L593" s="44"/>
      <c r="M593" s="44"/>
      <c r="N593" s="44"/>
      <c r="O593" s="44"/>
      <c r="P593" s="44"/>
      <c r="Q593" s="89">
        <v>0.0</v>
      </c>
      <c r="R593" s="89">
        <v>0.0</v>
      </c>
      <c r="S593" s="56" t="str">
        <f t="shared" si="17"/>
        <v> </v>
      </c>
      <c r="T593" s="44"/>
      <c r="U593" s="57"/>
      <c r="V593" s="44"/>
      <c r="W593" s="44"/>
      <c r="X593" s="44"/>
      <c r="Y593" s="44"/>
      <c r="Z593" s="91"/>
      <c r="AA593" s="59" t="str">
        <f>IF(Rentabilidad=0,"No aplica",TEXT(ROUND(Precio/Rentabilidad/12,0),0) &amp; " años")</f>
        <v>No aplica</v>
      </c>
      <c r="AB593" s="220"/>
      <c r="AC593" s="61"/>
      <c r="AD593" s="62"/>
      <c r="AE593" s="63"/>
      <c r="AF593" s="45" t="s">
        <v>1383</v>
      </c>
      <c r="AG593" s="63"/>
      <c r="AH593" s="65" t="s">
        <v>45</v>
      </c>
      <c r="AI593" s="63"/>
      <c r="AJ593" s="64" t="s">
        <v>1834</v>
      </c>
      <c r="AK593" s="44"/>
      <c r="AL593" s="45" t="s">
        <v>86</v>
      </c>
      <c r="AM593" s="44"/>
      <c r="AN593" s="45"/>
      <c r="AO593" s="74"/>
      <c r="AP593" s="67"/>
      <c r="AQ593" s="67"/>
      <c r="AR593" s="67"/>
      <c r="AS593" s="94">
        <v>0.0</v>
      </c>
      <c r="AT593" s="44"/>
      <c r="AU593" s="44"/>
      <c r="AV593" s="44"/>
      <c r="AW593" s="44"/>
      <c r="AX593" s="44"/>
      <c r="AY593" s="44"/>
      <c r="AZ593" s="44"/>
      <c r="BA593" s="43" t="s">
        <v>89</v>
      </c>
      <c r="BB593" s="44"/>
      <c r="BC593" s="69"/>
      <c r="BD593" s="70"/>
      <c r="BE593" s="71"/>
      <c r="BF593" s="72"/>
      <c r="BG593" s="73"/>
      <c r="BH593" s="73"/>
      <c r="BI593" s="73"/>
      <c r="BJ593" s="73"/>
      <c r="BK593" s="73"/>
      <c r="BL593" s="73"/>
      <c r="BM593" s="73"/>
      <c r="BN593" s="73"/>
      <c r="BO593" s="73"/>
      <c r="BP593" s="73"/>
      <c r="BQ593" s="73"/>
      <c r="BR593" s="73"/>
      <c r="BS593" s="73"/>
      <c r="BT593" s="73"/>
      <c r="BU593" s="73"/>
      <c r="BV593" s="73"/>
      <c r="BW593" s="74"/>
      <c r="BX593" s="74"/>
      <c r="BY593" s="63"/>
      <c r="BZ593" s="63"/>
    </row>
    <row r="594" ht="15.75" customHeight="1">
      <c r="A594" s="120" t="s">
        <v>3545</v>
      </c>
      <c r="B594" s="52"/>
      <c r="C594" s="52"/>
      <c r="D594" s="310"/>
      <c r="E594" s="45"/>
      <c r="F594" s="78">
        <v>0.0</v>
      </c>
      <c r="G594" s="44" t="str">
        <f t="shared" si="16"/>
        <v>$0 a $100'000.000</v>
      </c>
      <c r="H594" s="44"/>
      <c r="I594" s="44"/>
      <c r="J594" s="43" t="s">
        <v>376</v>
      </c>
      <c r="K594" s="142"/>
      <c r="L594" s="52">
        <v>0.0</v>
      </c>
      <c r="M594" s="52"/>
      <c r="N594" s="52">
        <v>0.0</v>
      </c>
      <c r="O594" s="52">
        <v>0.0</v>
      </c>
      <c r="P594" s="52">
        <v>0.0</v>
      </c>
      <c r="Q594" s="88">
        <v>0.0</v>
      </c>
      <c r="R594" s="79">
        <v>0.0</v>
      </c>
      <c r="S594" s="56" t="str">
        <f t="shared" si="17"/>
        <v> </v>
      </c>
      <c r="T594" s="52" t="s">
        <v>78</v>
      </c>
      <c r="U594" s="142"/>
      <c r="V594" s="52"/>
      <c r="W594" s="52"/>
      <c r="X594" s="52">
        <v>0.0</v>
      </c>
      <c r="Y594" s="43" t="s">
        <v>80</v>
      </c>
      <c r="Z594" s="58" t="s">
        <v>81</v>
      </c>
      <c r="AA594" s="59" t="str">
        <f>IF(Rentabilidad=0,"No aplica",TEXT(ROUND(Precio/Rentabilidad/12,0),0) &amp; " años")</f>
        <v>No aplica</v>
      </c>
      <c r="AB594" s="60"/>
      <c r="AC594" s="61"/>
      <c r="AD594" s="62"/>
      <c r="AE594" s="63"/>
      <c r="AF594" s="45" t="s">
        <v>96</v>
      </c>
      <c r="AG594" s="63"/>
      <c r="AH594" s="63"/>
      <c r="AI594" s="63"/>
      <c r="AJ594" s="64" t="s">
        <v>1834</v>
      </c>
      <c r="AK594" s="44"/>
      <c r="AL594" s="45" t="s">
        <v>86</v>
      </c>
      <c r="AM594" s="52">
        <v>3.108057803E9</v>
      </c>
      <c r="AN594" s="45">
        <v>0.0</v>
      </c>
      <c r="AO594" s="52"/>
      <c r="AP594" s="67">
        <v>0.0</v>
      </c>
      <c r="AQ594" s="67"/>
      <c r="AR594" s="67"/>
      <c r="AS594" s="135">
        <v>0.0</v>
      </c>
      <c r="AT594" s="52">
        <v>0.0</v>
      </c>
      <c r="AU594" s="52">
        <v>0.0</v>
      </c>
      <c r="AV594" s="52">
        <v>0.0</v>
      </c>
      <c r="AW594" s="43" t="s">
        <v>88</v>
      </c>
      <c r="AX594" s="52">
        <v>0.0</v>
      </c>
      <c r="AY594" s="52">
        <v>0.0</v>
      </c>
      <c r="AZ594" s="52">
        <v>0.0</v>
      </c>
      <c r="BA594" s="43" t="s">
        <v>89</v>
      </c>
      <c r="BB594" s="52">
        <v>0.0</v>
      </c>
      <c r="BC594" s="69"/>
      <c r="BD594" s="70"/>
      <c r="BE594" s="70"/>
      <c r="BF594" s="72"/>
      <c r="BG594" s="73"/>
      <c r="BH594" s="73"/>
      <c r="BI594" s="73"/>
      <c r="BJ594" s="73"/>
      <c r="BK594" s="73"/>
      <c r="BL594" s="73"/>
      <c r="BM594" s="73"/>
      <c r="BN594" s="73"/>
      <c r="BO594" s="73"/>
      <c r="BP594" s="73"/>
      <c r="BQ594" s="73"/>
      <c r="BR594" s="73"/>
      <c r="BS594" s="73"/>
      <c r="BT594" s="73"/>
      <c r="BU594" s="73"/>
      <c r="BV594" s="73"/>
      <c r="BW594" s="74"/>
      <c r="BX594" s="74"/>
      <c r="BY594" s="63"/>
      <c r="BZ594" s="63"/>
    </row>
    <row r="595" ht="15.75" customHeight="1">
      <c r="A595" s="75" t="s">
        <v>3546</v>
      </c>
      <c r="B595" s="50" t="s">
        <v>409</v>
      </c>
      <c r="C595" s="50" t="s">
        <v>70</v>
      </c>
      <c r="D595" s="50" t="s">
        <v>205</v>
      </c>
      <c r="E595" s="64"/>
      <c r="F595" s="78">
        <v>0.0</v>
      </c>
      <c r="G595" s="44" t="str">
        <f t="shared" si="16"/>
        <v>$0 a $100'000.000</v>
      </c>
      <c r="H595" s="44"/>
      <c r="I595" s="44"/>
      <c r="J595" s="50" t="s">
        <v>76</v>
      </c>
      <c r="K595" s="51" t="s">
        <v>77</v>
      </c>
      <c r="L595" s="44"/>
      <c r="M595" s="44"/>
      <c r="N595" s="44"/>
      <c r="O595" s="44"/>
      <c r="P595" s="50">
        <v>2.0</v>
      </c>
      <c r="Q595" s="88">
        <v>0.0</v>
      </c>
      <c r="R595" s="89">
        <v>0.0</v>
      </c>
      <c r="S595" s="56" t="str">
        <f t="shared" si="17"/>
        <v> </v>
      </c>
      <c r="T595" s="50" t="s">
        <v>78</v>
      </c>
      <c r="U595" s="57"/>
      <c r="V595" s="50" t="s">
        <v>79</v>
      </c>
      <c r="W595" s="50"/>
      <c r="X595" s="44"/>
      <c r="Y595" s="44"/>
      <c r="Z595" s="91"/>
      <c r="AA595" s="59" t="str">
        <f>IF(Rentabilidad=0,"No aplica",TEXT(ROUND(Precio/Rentabilidad/12,0),0) &amp; " años")</f>
        <v>No aplica</v>
      </c>
      <c r="AB595" s="212"/>
      <c r="AC595" s="61"/>
      <c r="AD595" s="107"/>
      <c r="AE595" s="63"/>
      <c r="AF595" s="64"/>
      <c r="AG595" s="63"/>
      <c r="AH595" s="65" t="s">
        <v>45</v>
      </c>
      <c r="AI595" s="63"/>
      <c r="AJ595" s="64" t="s">
        <v>1834</v>
      </c>
      <c r="AK595" s="50"/>
      <c r="AL595" s="45"/>
      <c r="AM595" s="50">
        <v>3.21240451E9</v>
      </c>
      <c r="AN595" s="64">
        <v>3.003235523E9</v>
      </c>
      <c r="AO595" s="52"/>
      <c r="AP595" s="67"/>
      <c r="AQ595" s="67"/>
      <c r="AR595" s="67"/>
      <c r="AS595" s="94"/>
      <c r="AT595" s="63"/>
      <c r="AU595" s="44"/>
      <c r="AV595" s="44"/>
      <c r="AW595" s="50" t="s">
        <v>106</v>
      </c>
      <c r="AX595" s="44"/>
      <c r="AY595" s="44"/>
      <c r="AZ595" s="44"/>
      <c r="BA595" s="43" t="s">
        <v>89</v>
      </c>
      <c r="BB595" s="44"/>
      <c r="BC595" s="95"/>
      <c r="BD595" s="71"/>
      <c r="BE595" s="71"/>
      <c r="BF595" s="72"/>
      <c r="BG595" s="73"/>
      <c r="BH595" s="73"/>
      <c r="BI595" s="73"/>
      <c r="BJ595" s="73"/>
      <c r="BK595" s="73"/>
      <c r="BL595" s="73"/>
      <c r="BM595" s="73"/>
      <c r="BN595" s="73"/>
      <c r="BO595" s="73"/>
      <c r="BP595" s="73"/>
      <c r="BQ595" s="73"/>
      <c r="BR595" s="73"/>
      <c r="BS595" s="73"/>
      <c r="BT595" s="73"/>
      <c r="BU595" s="73"/>
      <c r="BV595" s="73"/>
      <c r="BW595" s="74"/>
      <c r="BX595" s="74"/>
      <c r="BY595" s="63"/>
      <c r="BZ595" s="63"/>
    </row>
    <row r="596" ht="15.75" customHeight="1">
      <c r="A596" s="41" t="s">
        <v>3547</v>
      </c>
      <c r="B596" s="50" t="s">
        <v>3548</v>
      </c>
      <c r="C596" s="50" t="s">
        <v>271</v>
      </c>
      <c r="D596" s="50" t="s">
        <v>72</v>
      </c>
      <c r="E596" s="64"/>
      <c r="F596" s="47">
        <v>3.2E8</v>
      </c>
      <c r="G596" s="44" t="str">
        <f t="shared" si="16"/>
        <v>$300'000.000 a $400'000.000</v>
      </c>
      <c r="H596" s="44"/>
      <c r="I596" s="44"/>
      <c r="J596" s="50" t="s">
        <v>183</v>
      </c>
      <c r="K596" s="51" t="s">
        <v>184</v>
      </c>
      <c r="L596" s="44">
        <v>6.0</v>
      </c>
      <c r="M596" s="44"/>
      <c r="N596" s="44">
        <v>2.0</v>
      </c>
      <c r="O596" s="50">
        <v>1.0</v>
      </c>
      <c r="P596" s="52">
        <v>2.0</v>
      </c>
      <c r="Q596" s="113"/>
      <c r="R596" s="55">
        <v>0.0</v>
      </c>
      <c r="S596" s="56" t="str">
        <f t="shared" si="17"/>
        <v>Rentabilidad $1,200,000</v>
      </c>
      <c r="T596" s="52" t="s">
        <v>78</v>
      </c>
      <c r="U596" s="57" t="s">
        <v>77</v>
      </c>
      <c r="V596" s="43" t="s">
        <v>79</v>
      </c>
      <c r="W596" s="43"/>
      <c r="X596" s="44">
        <v>2.0</v>
      </c>
      <c r="Y596" s="50" t="s">
        <v>80</v>
      </c>
      <c r="Z596" s="80" t="s">
        <v>81</v>
      </c>
      <c r="AA596" s="59" t="str">
        <f>IF(Rentabilidad=0,"No aplica",TEXT(ROUND(Precio/Rentabilidad/12,0),0) &amp; " años")</f>
        <v>22 años</v>
      </c>
      <c r="AB596" s="195"/>
      <c r="AC596" s="61"/>
      <c r="AD596" s="62"/>
      <c r="AE596" s="63"/>
      <c r="AF596" s="64" t="s">
        <v>236</v>
      </c>
      <c r="AG596" s="63"/>
      <c r="AH596" s="65" t="s">
        <v>45</v>
      </c>
      <c r="AI596" s="63"/>
      <c r="AJ596" s="64" t="s">
        <v>3549</v>
      </c>
      <c r="AK596" s="44"/>
      <c r="AL596" s="45" t="s">
        <v>86</v>
      </c>
      <c r="AM596" s="52">
        <v>3.138432016E9</v>
      </c>
      <c r="AN596" s="45">
        <v>0.0</v>
      </c>
      <c r="AO596" s="52"/>
      <c r="AP596" s="67" t="s">
        <v>3550</v>
      </c>
      <c r="AQ596" s="67"/>
      <c r="AR596" s="67"/>
      <c r="AS596" s="68">
        <v>1200000.0</v>
      </c>
      <c r="AT596" s="52">
        <v>0.0</v>
      </c>
      <c r="AU596" s="52">
        <v>0.0</v>
      </c>
      <c r="AV596" s="52">
        <v>0.0</v>
      </c>
      <c r="AW596" s="311" t="s">
        <v>88</v>
      </c>
      <c r="AX596" s="52">
        <v>0.0</v>
      </c>
      <c r="AY596" s="52" t="s">
        <v>137</v>
      </c>
      <c r="AZ596" s="52">
        <v>0.0</v>
      </c>
      <c r="BA596" s="43" t="s">
        <v>89</v>
      </c>
      <c r="BB596" s="52">
        <v>0.0</v>
      </c>
      <c r="BC596" s="109"/>
      <c r="BD596" s="70"/>
      <c r="BE596" s="71"/>
      <c r="BF596" s="130"/>
      <c r="BG596" s="73"/>
      <c r="BH596" s="73"/>
      <c r="BI596" s="73"/>
      <c r="BJ596" s="73"/>
      <c r="BK596" s="73"/>
      <c r="BL596" s="73"/>
      <c r="BM596" s="73"/>
      <c r="BN596" s="73"/>
      <c r="BO596" s="73"/>
      <c r="BP596" s="73"/>
      <c r="BQ596" s="73"/>
      <c r="BR596" s="73"/>
      <c r="BS596" s="73"/>
      <c r="BT596" s="73"/>
      <c r="BU596" s="73"/>
      <c r="BV596" s="73"/>
      <c r="BW596" s="74"/>
      <c r="BX596" s="74"/>
      <c r="BY596" s="63"/>
      <c r="BZ596" s="63"/>
    </row>
    <row r="597" ht="15.75" customHeight="1">
      <c r="A597" s="41" t="s">
        <v>3551</v>
      </c>
      <c r="B597" s="112" t="s">
        <v>3552</v>
      </c>
      <c r="C597" s="50" t="s">
        <v>271</v>
      </c>
      <c r="D597" s="116" t="s">
        <v>155</v>
      </c>
      <c r="E597" s="45"/>
      <c r="F597" s="47">
        <v>4.0E8</v>
      </c>
      <c r="G597" s="44" t="str">
        <f t="shared" si="16"/>
        <v>$400'000.000 a $500'000.000</v>
      </c>
      <c r="H597" s="44"/>
      <c r="I597" s="44"/>
      <c r="J597" s="50" t="s">
        <v>76</v>
      </c>
      <c r="K597" s="51" t="s">
        <v>77</v>
      </c>
      <c r="L597" s="44">
        <v>5.0</v>
      </c>
      <c r="M597" s="44"/>
      <c r="N597" s="44">
        <v>3.0</v>
      </c>
      <c r="O597" s="50">
        <v>2.0</v>
      </c>
      <c r="P597" s="44">
        <v>1.0</v>
      </c>
      <c r="Q597" s="113">
        <v>243.0</v>
      </c>
      <c r="R597" s="79">
        <v>243.0</v>
      </c>
      <c r="S597" s="56" t="str">
        <f t="shared" si="17"/>
        <v>Rentabilidad $1,400,000</v>
      </c>
      <c r="T597" s="52" t="s">
        <v>78</v>
      </c>
      <c r="U597" s="57" t="s">
        <v>184</v>
      </c>
      <c r="V597" s="50" t="s">
        <v>79</v>
      </c>
      <c r="W597" s="50"/>
      <c r="X597" s="44">
        <v>0.0</v>
      </c>
      <c r="Y597" s="50" t="s">
        <v>80</v>
      </c>
      <c r="Z597" s="58" t="s">
        <v>81</v>
      </c>
      <c r="AA597" s="59" t="str">
        <f>IF(Rentabilidad=0,"No aplica",TEXT(ROUND(Precio/Rentabilidad/12,0),0) &amp; " años")</f>
        <v>24 años</v>
      </c>
      <c r="AB597" s="60"/>
      <c r="AC597" s="61"/>
      <c r="AD597" s="62"/>
      <c r="AE597" s="63"/>
      <c r="AF597" s="64" t="s">
        <v>84</v>
      </c>
      <c r="AG597" s="63"/>
      <c r="AH597" s="65" t="s">
        <v>45</v>
      </c>
      <c r="AI597" s="63"/>
      <c r="AJ597" s="64" t="s">
        <v>3553</v>
      </c>
      <c r="AK597" s="50" t="s">
        <v>81</v>
      </c>
      <c r="AL597" s="45" t="s">
        <v>2656</v>
      </c>
      <c r="AM597" s="52">
        <v>3.153416977E9</v>
      </c>
      <c r="AN597" s="45">
        <v>0.0</v>
      </c>
      <c r="AO597" s="52" t="s">
        <v>3554</v>
      </c>
      <c r="AP597" s="67" t="s">
        <v>3555</v>
      </c>
      <c r="AQ597" s="67"/>
      <c r="AR597" s="67"/>
      <c r="AS597" s="68">
        <v>1400000.0</v>
      </c>
      <c r="AT597" s="63">
        <v>0.0</v>
      </c>
      <c r="AU597" s="44">
        <v>0.0</v>
      </c>
      <c r="AV597" s="44">
        <v>0.0</v>
      </c>
      <c r="AW597" s="50" t="s">
        <v>88</v>
      </c>
      <c r="AX597" s="44">
        <v>0.0</v>
      </c>
      <c r="AY597" s="44">
        <v>0.0</v>
      </c>
      <c r="AZ597" s="44">
        <v>9.0</v>
      </c>
      <c r="BA597" s="43" t="s">
        <v>89</v>
      </c>
      <c r="BB597" s="44">
        <v>27.0</v>
      </c>
      <c r="BC597" s="86"/>
      <c r="BD597" s="71"/>
      <c r="BE597" s="71"/>
      <c r="BF597" s="72"/>
      <c r="BG597" s="73"/>
      <c r="BH597" s="73"/>
      <c r="BI597" s="73"/>
      <c r="BJ597" s="73"/>
      <c r="BK597" s="73"/>
      <c r="BL597" s="73"/>
      <c r="BM597" s="73"/>
      <c r="BN597" s="73"/>
      <c r="BO597" s="73"/>
      <c r="BP597" s="73"/>
      <c r="BQ597" s="73"/>
      <c r="BR597" s="73"/>
      <c r="BS597" s="73"/>
      <c r="BT597" s="73"/>
      <c r="BU597" s="73"/>
      <c r="BV597" s="73"/>
      <c r="BW597" s="74"/>
      <c r="BX597" s="74"/>
      <c r="BY597" s="63"/>
      <c r="BZ597" s="63"/>
    </row>
    <row r="598" ht="15.75" customHeight="1">
      <c r="A598" s="120" t="s">
        <v>3556</v>
      </c>
      <c r="B598" s="122" t="s">
        <v>388</v>
      </c>
      <c r="C598" s="43" t="s">
        <v>70</v>
      </c>
      <c r="D598" s="44" t="s">
        <v>389</v>
      </c>
      <c r="E598" s="45"/>
      <c r="F598" s="47">
        <v>3.8E8</v>
      </c>
      <c r="G598" s="44" t="str">
        <f t="shared" si="16"/>
        <v>$300'000.000 a $400'000.000</v>
      </c>
      <c r="H598" s="44"/>
      <c r="I598" s="44"/>
      <c r="J598" s="50" t="s">
        <v>76</v>
      </c>
      <c r="K598" s="56" t="s">
        <v>77</v>
      </c>
      <c r="L598" s="52">
        <v>4.0</v>
      </c>
      <c r="M598" s="52"/>
      <c r="N598" s="52">
        <v>2.0</v>
      </c>
      <c r="O598" s="43">
        <v>1.0</v>
      </c>
      <c r="P598" s="52">
        <v>2.0</v>
      </c>
      <c r="Q598" s="54">
        <v>150.0</v>
      </c>
      <c r="R598" s="55">
        <v>84.0</v>
      </c>
      <c r="S598" s="56" t="str">
        <f t="shared" si="17"/>
        <v> </v>
      </c>
      <c r="T598" s="52" t="s">
        <v>78</v>
      </c>
      <c r="U598" s="142" t="s">
        <v>77</v>
      </c>
      <c r="V598" s="43" t="s">
        <v>79</v>
      </c>
      <c r="W598" s="43"/>
      <c r="X598" s="52">
        <v>4.0</v>
      </c>
      <c r="Y598" s="43" t="s">
        <v>80</v>
      </c>
      <c r="Z598" s="58" t="s">
        <v>81</v>
      </c>
      <c r="AA598" s="59" t="str">
        <f>IF(Rentabilidad=0,"No aplica",TEXT(ROUND(Precio/Rentabilidad/12,0),0) &amp; " años")</f>
        <v>No aplica</v>
      </c>
      <c r="AB598" s="60"/>
      <c r="AC598" s="61"/>
      <c r="AD598" s="62"/>
      <c r="AE598" s="63"/>
      <c r="AF598" s="64" t="s">
        <v>84</v>
      </c>
      <c r="AG598" s="63"/>
      <c r="AH598" s="65" t="s">
        <v>45</v>
      </c>
      <c r="AI598" s="63"/>
      <c r="AJ598" s="64" t="s">
        <v>3557</v>
      </c>
      <c r="AK598" s="44"/>
      <c r="AL598" s="45" t="s">
        <v>3006</v>
      </c>
      <c r="AM598" s="52">
        <v>3.158553692E9</v>
      </c>
      <c r="AN598" s="45">
        <v>0.0</v>
      </c>
      <c r="AO598" s="52" t="s">
        <v>3558</v>
      </c>
      <c r="AP598" s="67" t="s">
        <v>3559</v>
      </c>
      <c r="AQ598" s="67"/>
      <c r="AR598" s="67"/>
      <c r="AS598" s="135">
        <v>0.0</v>
      </c>
      <c r="AT598" s="63">
        <v>0.0</v>
      </c>
      <c r="AU598" s="52">
        <v>0.0</v>
      </c>
      <c r="AV598" s="52">
        <v>0.0</v>
      </c>
      <c r="AW598" s="43" t="s">
        <v>88</v>
      </c>
      <c r="AX598" s="52">
        <v>0.0</v>
      </c>
      <c r="AY598" s="52">
        <v>0.0</v>
      </c>
      <c r="AZ598" s="52">
        <v>7.0</v>
      </c>
      <c r="BA598" s="43" t="s">
        <v>89</v>
      </c>
      <c r="BB598" s="52">
        <v>12.0</v>
      </c>
      <c r="BC598" s="109"/>
      <c r="BD598" s="70"/>
      <c r="BE598" s="71"/>
      <c r="BF598" s="130"/>
      <c r="BG598" s="73"/>
      <c r="BH598" s="73"/>
      <c r="BI598" s="73"/>
      <c r="BJ598" s="73"/>
      <c r="BK598" s="73"/>
      <c r="BL598" s="73"/>
      <c r="BM598" s="73"/>
      <c r="BN598" s="73"/>
      <c r="BO598" s="73"/>
      <c r="BP598" s="73"/>
      <c r="BQ598" s="73"/>
      <c r="BR598" s="73"/>
      <c r="BS598" s="73"/>
      <c r="BT598" s="73"/>
      <c r="BU598" s="73"/>
      <c r="BV598" s="73"/>
      <c r="BW598" s="74"/>
      <c r="BX598" s="74"/>
      <c r="BY598" s="63"/>
      <c r="BZ598" s="63"/>
    </row>
    <row r="599" ht="15.75" customHeight="1">
      <c r="A599" s="41" t="s">
        <v>3560</v>
      </c>
      <c r="B599" s="43" t="s">
        <v>429</v>
      </c>
      <c r="C599" s="43" t="s">
        <v>70</v>
      </c>
      <c r="D599" s="52" t="s">
        <v>430</v>
      </c>
      <c r="E599" s="45"/>
      <c r="F599" s="47">
        <v>3.2E8</v>
      </c>
      <c r="G599" s="44" t="str">
        <f t="shared" si="16"/>
        <v>$300'000.000 a $400'000.000</v>
      </c>
      <c r="H599" s="44"/>
      <c r="I599" s="44"/>
      <c r="J599" s="43" t="s">
        <v>183</v>
      </c>
      <c r="K599" s="56" t="s">
        <v>184</v>
      </c>
      <c r="L599" s="52">
        <v>4.0</v>
      </c>
      <c r="M599" s="52"/>
      <c r="N599" s="52">
        <v>2.0</v>
      </c>
      <c r="O599" s="43">
        <v>1.0</v>
      </c>
      <c r="P599" s="52">
        <v>2.0</v>
      </c>
      <c r="Q599" s="54"/>
      <c r="R599" s="55">
        <v>87.75</v>
      </c>
      <c r="S599" s="56" t="str">
        <f t="shared" si="17"/>
        <v>Rentabilidad $1,200,000</v>
      </c>
      <c r="T599" s="52" t="s">
        <v>78</v>
      </c>
      <c r="U599" s="142" t="s">
        <v>77</v>
      </c>
      <c r="V599" s="43" t="s">
        <v>79</v>
      </c>
      <c r="W599" s="43"/>
      <c r="X599" s="52">
        <v>4.0</v>
      </c>
      <c r="Y599" s="43" t="s">
        <v>80</v>
      </c>
      <c r="Z599" s="58" t="s">
        <v>81</v>
      </c>
      <c r="AA599" s="59" t="str">
        <f>IF(Rentabilidad=0,"No aplica",TEXT(ROUND(Precio/Rentabilidad/12,0),0) &amp; " años")</f>
        <v>22 años</v>
      </c>
      <c r="AB599" s="134" t="s">
        <v>3561</v>
      </c>
      <c r="AC599" s="61"/>
      <c r="AD599" s="62"/>
      <c r="AE599" s="63"/>
      <c r="AF599" s="45" t="s">
        <v>105</v>
      </c>
      <c r="AG599" s="63"/>
      <c r="AH599" s="65" t="s">
        <v>45</v>
      </c>
      <c r="AI599" s="63"/>
      <c r="AJ599" s="64" t="s">
        <v>3562</v>
      </c>
      <c r="AK599" s="44"/>
      <c r="AL599" s="45" t="s">
        <v>109</v>
      </c>
      <c r="AM599" s="52">
        <v>3.214533881E9</v>
      </c>
      <c r="AN599" s="45">
        <v>0.0</v>
      </c>
      <c r="AO599" s="116"/>
      <c r="AP599" s="67" t="s">
        <v>2610</v>
      </c>
      <c r="AQ599" s="67"/>
      <c r="AR599" s="67"/>
      <c r="AS599" s="135">
        <v>1200000.0</v>
      </c>
      <c r="AT599" s="44">
        <v>0.0</v>
      </c>
      <c r="AU599" s="52">
        <v>0.0</v>
      </c>
      <c r="AV599" s="52">
        <v>0.0</v>
      </c>
      <c r="AW599" s="43" t="s">
        <v>88</v>
      </c>
      <c r="AX599" s="52">
        <v>0.0</v>
      </c>
      <c r="AY599" s="52">
        <v>0.0</v>
      </c>
      <c r="AZ599" s="52" t="s">
        <v>3333</v>
      </c>
      <c r="BA599" s="43" t="s">
        <v>89</v>
      </c>
      <c r="BB599" s="52" t="s">
        <v>3563</v>
      </c>
      <c r="BC599" s="69" t="s">
        <v>3564</v>
      </c>
      <c r="BD599" s="70"/>
      <c r="BE599" s="71"/>
      <c r="BF599" s="72" t="s">
        <v>3565</v>
      </c>
      <c r="BG599" s="73"/>
      <c r="BH599" s="73"/>
      <c r="BI599" s="73"/>
      <c r="BJ599" s="73"/>
      <c r="BK599" s="73"/>
      <c r="BL599" s="73"/>
      <c r="BM599" s="73"/>
      <c r="BN599" s="73"/>
      <c r="BO599" s="73"/>
      <c r="BP599" s="73"/>
      <c r="BQ599" s="73"/>
      <c r="BR599" s="73"/>
      <c r="BS599" s="73"/>
      <c r="BT599" s="73"/>
      <c r="BU599" s="73"/>
      <c r="BV599" s="73"/>
      <c r="BW599" s="74"/>
      <c r="BX599" s="74"/>
      <c r="BY599" s="63"/>
      <c r="BZ599" s="63"/>
    </row>
    <row r="600" ht="15.75" customHeight="1">
      <c r="A600" s="120" t="s">
        <v>3566</v>
      </c>
      <c r="B600" s="122" t="s">
        <v>409</v>
      </c>
      <c r="C600" s="43" t="s">
        <v>70</v>
      </c>
      <c r="D600" s="44" t="s">
        <v>205</v>
      </c>
      <c r="E600" s="77" t="s">
        <v>376</v>
      </c>
      <c r="F600" s="47">
        <v>7.8E8</v>
      </c>
      <c r="G600" s="44" t="str">
        <f t="shared" si="16"/>
        <v>$500'000.000 a $1.000'000.000</v>
      </c>
      <c r="H600" s="44"/>
      <c r="I600" s="44"/>
      <c r="J600" s="50" t="s">
        <v>76</v>
      </c>
      <c r="K600" s="119" t="s">
        <v>77</v>
      </c>
      <c r="L600" s="44">
        <v>4.0</v>
      </c>
      <c r="M600" s="44"/>
      <c r="N600" s="44">
        <v>3.0</v>
      </c>
      <c r="O600" s="50">
        <v>2.0</v>
      </c>
      <c r="P600" s="44">
        <v>2.0</v>
      </c>
      <c r="Q600" s="54">
        <v>410.0</v>
      </c>
      <c r="R600" s="55">
        <v>370.0</v>
      </c>
      <c r="S600" s="56" t="str">
        <f t="shared" si="17"/>
        <v> </v>
      </c>
      <c r="T600" s="52" t="s">
        <v>78</v>
      </c>
      <c r="U600" s="142" t="s">
        <v>142</v>
      </c>
      <c r="V600" s="43" t="s">
        <v>118</v>
      </c>
      <c r="W600" s="43"/>
      <c r="X600" s="44">
        <v>3.0</v>
      </c>
      <c r="Y600" s="50" t="s">
        <v>80</v>
      </c>
      <c r="Z600" s="58" t="s">
        <v>81</v>
      </c>
      <c r="AA600" s="59" t="str">
        <f>IF(Rentabilidad=0,"No aplica",TEXT(ROUND(Precio/Rentabilidad/12,0),0) &amp; " años")</f>
        <v>No aplica</v>
      </c>
      <c r="AB600" s="195"/>
      <c r="AC600" s="61"/>
      <c r="AD600" s="62"/>
      <c r="AE600" s="63"/>
      <c r="AF600" s="64" t="s">
        <v>84</v>
      </c>
      <c r="AG600" s="63"/>
      <c r="AH600" s="65" t="s">
        <v>45</v>
      </c>
      <c r="AI600" s="63"/>
      <c r="AJ600" s="64" t="s">
        <v>3567</v>
      </c>
      <c r="AK600" s="44"/>
      <c r="AL600" s="45" t="s">
        <v>3006</v>
      </c>
      <c r="AM600" s="52">
        <v>3.025387601E9</v>
      </c>
      <c r="AN600" s="45">
        <v>0.0</v>
      </c>
      <c r="AO600" s="52" t="s">
        <v>3568</v>
      </c>
      <c r="AP600" s="67" t="s">
        <v>3569</v>
      </c>
      <c r="AQ600" s="67"/>
      <c r="AR600" s="67"/>
      <c r="AS600" s="68">
        <v>0.0</v>
      </c>
      <c r="AT600" s="171">
        <v>0.0</v>
      </c>
      <c r="AU600" s="171">
        <v>0.0</v>
      </c>
      <c r="AV600" s="171">
        <v>0.0</v>
      </c>
      <c r="AW600" s="44" t="s">
        <v>88</v>
      </c>
      <c r="AX600" s="171">
        <v>0.0</v>
      </c>
      <c r="AY600" s="171">
        <v>0.0</v>
      </c>
      <c r="AZ600" s="171">
        <v>0.0</v>
      </c>
      <c r="BA600" s="43" t="s">
        <v>89</v>
      </c>
      <c r="BB600" s="171">
        <v>0.0</v>
      </c>
      <c r="BC600" s="95" t="s">
        <v>3570</v>
      </c>
      <c r="BD600" s="71"/>
      <c r="BE600" s="71"/>
      <c r="BF600" s="130"/>
      <c r="BG600" s="73"/>
      <c r="BH600" s="73"/>
      <c r="BI600" s="73"/>
      <c r="BJ600" s="73"/>
      <c r="BK600" s="73"/>
      <c r="BL600" s="73"/>
      <c r="BM600" s="73"/>
      <c r="BN600" s="73"/>
      <c r="BO600" s="73"/>
      <c r="BP600" s="73"/>
      <c r="BQ600" s="73"/>
      <c r="BR600" s="73"/>
      <c r="BS600" s="73"/>
      <c r="BT600" s="73"/>
      <c r="BU600" s="73"/>
      <c r="BV600" s="73"/>
      <c r="BW600" s="74"/>
      <c r="BX600" s="74"/>
      <c r="BY600" s="63"/>
      <c r="BZ600" s="63"/>
    </row>
    <row r="601" ht="15.75" customHeight="1">
      <c r="A601" s="133" t="s">
        <v>3571</v>
      </c>
      <c r="B601" s="122" t="s">
        <v>402</v>
      </c>
      <c r="C601" s="43" t="s">
        <v>70</v>
      </c>
      <c r="D601" s="52" t="s">
        <v>193</v>
      </c>
      <c r="E601" s="77" t="s">
        <v>376</v>
      </c>
      <c r="F601" s="47">
        <v>7.8E8</v>
      </c>
      <c r="G601" s="44" t="str">
        <f t="shared" si="16"/>
        <v>$500'000.000 a $1.000'000.000</v>
      </c>
      <c r="H601" s="44"/>
      <c r="I601" s="44"/>
      <c r="J601" s="43" t="s">
        <v>76</v>
      </c>
      <c r="K601" s="56" t="s">
        <v>77</v>
      </c>
      <c r="L601" s="52">
        <v>5.0</v>
      </c>
      <c r="M601" s="52"/>
      <c r="N601" s="52">
        <v>3.0</v>
      </c>
      <c r="O601" s="43">
        <v>1.0</v>
      </c>
      <c r="P601" s="43">
        <v>2.0</v>
      </c>
      <c r="Q601" s="54">
        <v>350.0</v>
      </c>
      <c r="R601" s="55">
        <v>380.0</v>
      </c>
      <c r="S601" s="56" t="str">
        <f t="shared" si="17"/>
        <v>Rentabilidad $4,000,000</v>
      </c>
      <c r="T601" s="52" t="s">
        <v>78</v>
      </c>
      <c r="U601" s="142" t="s">
        <v>142</v>
      </c>
      <c r="V601" s="43" t="s">
        <v>79</v>
      </c>
      <c r="W601" s="43"/>
      <c r="X601" s="52">
        <v>5.0</v>
      </c>
      <c r="Y601" s="43" t="s">
        <v>80</v>
      </c>
      <c r="Z601" s="58" t="s">
        <v>81</v>
      </c>
      <c r="AA601" s="59" t="str">
        <f>IF(Rentabilidad=0,"No aplica",TEXT(ROUND(Precio/Rentabilidad/12,0),0) &amp; " años")</f>
        <v>16 años</v>
      </c>
      <c r="AB601" s="60"/>
      <c r="AC601" s="61"/>
      <c r="AD601" s="62"/>
      <c r="AE601" s="63"/>
      <c r="AF601" s="45" t="s">
        <v>105</v>
      </c>
      <c r="AG601" s="63"/>
      <c r="AH601" s="65" t="s">
        <v>45</v>
      </c>
      <c r="AI601" s="63"/>
      <c r="AJ601" s="64" t="s">
        <v>3572</v>
      </c>
      <c r="AK601" s="44"/>
      <c r="AL601" s="45" t="s">
        <v>2967</v>
      </c>
      <c r="AM601" s="52" t="s">
        <v>3573</v>
      </c>
      <c r="AN601" s="45">
        <v>0.0</v>
      </c>
      <c r="AO601" s="52" t="s">
        <v>3574</v>
      </c>
      <c r="AP601" s="67" t="s">
        <v>3575</v>
      </c>
      <c r="AQ601" s="67"/>
      <c r="AR601" s="67"/>
      <c r="AS601" s="303">
        <v>4000000.0</v>
      </c>
      <c r="AT601" s="63">
        <v>0.0</v>
      </c>
      <c r="AU601" s="52">
        <v>0.0</v>
      </c>
      <c r="AV601" s="52">
        <v>0.0</v>
      </c>
      <c r="AW601" s="43" t="s">
        <v>88</v>
      </c>
      <c r="AX601" s="52">
        <v>0.0</v>
      </c>
      <c r="AY601" s="52">
        <v>0.0</v>
      </c>
      <c r="AZ601" s="52">
        <v>0.0</v>
      </c>
      <c r="BA601" s="43" t="s">
        <v>89</v>
      </c>
      <c r="BB601" s="52">
        <v>0.0</v>
      </c>
      <c r="BC601" s="95" t="s">
        <v>3576</v>
      </c>
      <c r="BD601" s="71"/>
      <c r="BE601" s="71"/>
      <c r="BF601" s="72"/>
      <c r="BG601" s="73"/>
      <c r="BH601" s="73"/>
      <c r="BI601" s="73"/>
      <c r="BJ601" s="73"/>
      <c r="BK601" s="73"/>
      <c r="BL601" s="73"/>
      <c r="BM601" s="73"/>
      <c r="BN601" s="73"/>
      <c r="BO601" s="73"/>
      <c r="BP601" s="73"/>
      <c r="BQ601" s="73"/>
      <c r="BR601" s="73"/>
      <c r="BS601" s="73"/>
      <c r="BT601" s="73"/>
      <c r="BU601" s="73"/>
      <c r="BV601" s="73"/>
      <c r="BW601" s="74"/>
      <c r="BX601" s="74"/>
      <c r="BY601" s="63"/>
      <c r="BZ601" s="63"/>
    </row>
    <row r="602" ht="15.75" customHeight="1">
      <c r="A602" s="267" t="s">
        <v>3577</v>
      </c>
      <c r="B602" s="50" t="s">
        <v>3578</v>
      </c>
      <c r="C602" s="50" t="s">
        <v>70</v>
      </c>
      <c r="D602" s="44" t="s">
        <v>3579</v>
      </c>
      <c r="E602" s="77" t="s">
        <v>376</v>
      </c>
      <c r="F602" s="78">
        <v>1.75E8</v>
      </c>
      <c r="G602" s="44" t="str">
        <f t="shared" si="16"/>
        <v>$100'000.000 a $200'000.000</v>
      </c>
      <c r="H602" s="44"/>
      <c r="I602" s="44"/>
      <c r="J602" s="50" t="s">
        <v>968</v>
      </c>
      <c r="K602" s="57"/>
      <c r="L602" s="44">
        <v>5.0</v>
      </c>
      <c r="M602" s="44"/>
      <c r="N602" s="50">
        <v>2.0</v>
      </c>
      <c r="O602" s="50">
        <v>0.0</v>
      </c>
      <c r="P602" s="44">
        <v>2.0</v>
      </c>
      <c r="Q602" s="54">
        <v>72.0</v>
      </c>
      <c r="R602" s="55">
        <v>72.0</v>
      </c>
      <c r="S602" s="56" t="str">
        <f t="shared" si="17"/>
        <v> </v>
      </c>
      <c r="T602" s="43" t="s">
        <v>342</v>
      </c>
      <c r="U602" s="57" t="s">
        <v>77</v>
      </c>
      <c r="V602" s="50" t="s">
        <v>79</v>
      </c>
      <c r="W602" s="50"/>
      <c r="X602" s="44">
        <v>0.0</v>
      </c>
      <c r="Y602" s="50" t="s">
        <v>80</v>
      </c>
      <c r="Z602" s="80" t="s">
        <v>81</v>
      </c>
      <c r="AA602" s="59" t="str">
        <f>IF(Rentabilidad=0,"No aplica",TEXT(ROUND(Precio/Rentabilidad/12,0),0) &amp; " años")</f>
        <v>No aplica</v>
      </c>
      <c r="AB602" s="257" t="s">
        <v>3580</v>
      </c>
      <c r="AC602" s="131" t="s">
        <v>3581</v>
      </c>
      <c r="AD602" s="218" t="s">
        <v>3582</v>
      </c>
      <c r="AE602" s="63"/>
      <c r="AF602" s="45" t="s">
        <v>84</v>
      </c>
      <c r="AG602" s="65" t="s">
        <v>106</v>
      </c>
      <c r="AH602" s="65"/>
      <c r="AI602" s="65" t="s">
        <v>1747</v>
      </c>
      <c r="AJ602" s="164" t="s">
        <v>3583</v>
      </c>
      <c r="AK602" s="264" t="s">
        <v>1749</v>
      </c>
      <c r="AL602" s="45" t="s">
        <v>109</v>
      </c>
      <c r="AM602" s="116">
        <v>3.15561548E9</v>
      </c>
      <c r="AN602" s="259"/>
      <c r="AO602" s="52" t="s">
        <v>3584</v>
      </c>
      <c r="AP602" s="84" t="s">
        <v>3585</v>
      </c>
      <c r="AQ602" s="84">
        <v>2.8574438</v>
      </c>
      <c r="AR602" s="84">
        <v>-75.3383057</v>
      </c>
      <c r="AS602" s="68">
        <v>0.0</v>
      </c>
      <c r="AT602" s="44">
        <v>0.0</v>
      </c>
      <c r="AU602" s="44">
        <v>0.0</v>
      </c>
      <c r="AV602" s="44">
        <v>0.0</v>
      </c>
      <c r="AW602" s="44" t="s">
        <v>88</v>
      </c>
      <c r="AX602" s="44">
        <v>0.0</v>
      </c>
      <c r="AY602" s="44">
        <v>0.0</v>
      </c>
      <c r="AZ602" s="44">
        <v>0.0</v>
      </c>
      <c r="BA602" s="43" t="s">
        <v>89</v>
      </c>
      <c r="BB602" s="44">
        <v>0.0</v>
      </c>
      <c r="BC602" s="109"/>
      <c r="BD602" s="70"/>
      <c r="BE602" s="71"/>
      <c r="BF602" s="72" t="s">
        <v>3586</v>
      </c>
      <c r="BG602" s="73"/>
      <c r="BH602" s="73"/>
      <c r="BI602" s="73"/>
      <c r="BJ602" s="73"/>
      <c r="BK602" s="73"/>
      <c r="BL602" s="73"/>
      <c r="BM602" s="73"/>
      <c r="BN602" s="73"/>
      <c r="BO602" s="73"/>
      <c r="BP602" s="73"/>
      <c r="BQ602" s="73"/>
      <c r="BR602" s="73"/>
      <c r="BS602" s="73"/>
      <c r="BT602" s="73"/>
      <c r="BU602" s="73"/>
      <c r="BV602" s="73"/>
      <c r="BW602" s="74"/>
      <c r="BX602" s="74"/>
      <c r="BY602" s="63"/>
      <c r="BZ602" s="63"/>
    </row>
    <row r="603" ht="15.75" customHeight="1">
      <c r="A603" s="224" t="s">
        <v>3587</v>
      </c>
      <c r="B603" s="50" t="s">
        <v>3588</v>
      </c>
      <c r="C603" s="50" t="s">
        <v>271</v>
      </c>
      <c r="D603" s="44" t="s">
        <v>11</v>
      </c>
      <c r="E603" s="77" t="s">
        <v>376</v>
      </c>
      <c r="F603" s="47">
        <v>3.2E9</v>
      </c>
      <c r="G603" s="44" t="str">
        <f t="shared" si="16"/>
        <v>Más de $1.000'000.000</v>
      </c>
      <c r="H603" s="44"/>
      <c r="I603" s="44"/>
      <c r="J603" s="50" t="s">
        <v>183</v>
      </c>
      <c r="K603" s="51" t="s">
        <v>184</v>
      </c>
      <c r="L603" s="52">
        <v>2.0</v>
      </c>
      <c r="M603" s="52"/>
      <c r="N603" s="52">
        <v>2.0</v>
      </c>
      <c r="O603" s="43">
        <v>100.0</v>
      </c>
      <c r="P603" s="52">
        <v>1.0</v>
      </c>
      <c r="Q603" s="54">
        <v>2800.0</v>
      </c>
      <c r="R603" s="55">
        <v>3120.0</v>
      </c>
      <c r="S603" s="56" t="str">
        <f t="shared" si="17"/>
        <v>Rentabilidad $14,000,000</v>
      </c>
      <c r="T603" s="52" t="s">
        <v>78</v>
      </c>
      <c r="U603" s="142" t="s">
        <v>184</v>
      </c>
      <c r="V603" s="43" t="s">
        <v>79</v>
      </c>
      <c r="W603" s="43"/>
      <c r="X603" s="52">
        <v>1.0</v>
      </c>
      <c r="Y603" s="94" t="s">
        <v>80</v>
      </c>
      <c r="Z603" s="80" t="s">
        <v>81</v>
      </c>
      <c r="AA603" s="59" t="str">
        <f>IF(Rentabilidad=0,"No aplica",TEXT(ROUND(Precio/Rentabilidad/12,0),0) &amp; " años")</f>
        <v>19 años</v>
      </c>
      <c r="AB603" s="172" t="s">
        <v>3589</v>
      </c>
      <c r="AC603" s="124" t="s">
        <v>3590</v>
      </c>
      <c r="AD603" s="258" t="s">
        <v>3591</v>
      </c>
      <c r="AE603" s="63"/>
      <c r="AF603" s="64" t="s">
        <v>84</v>
      </c>
      <c r="AG603" s="65" t="s">
        <v>106</v>
      </c>
      <c r="AH603" s="65" t="s">
        <v>45</v>
      </c>
      <c r="AI603" s="65" t="s">
        <v>1747</v>
      </c>
      <c r="AJ603" s="64" t="s">
        <v>3592</v>
      </c>
      <c r="AK603" s="264" t="s">
        <v>1749</v>
      </c>
      <c r="AL603" s="45" t="s">
        <v>109</v>
      </c>
      <c r="AM603" s="52">
        <v>3.15291185E9</v>
      </c>
      <c r="AN603" s="45">
        <v>0.0</v>
      </c>
      <c r="AO603" s="52" t="s">
        <v>3593</v>
      </c>
      <c r="AP603" s="67" t="s">
        <v>3594</v>
      </c>
      <c r="AQ603" s="143">
        <v>2.9499493</v>
      </c>
      <c r="AR603" s="143">
        <v>-75.2918332</v>
      </c>
      <c r="AS603" s="135">
        <v>1.4E7</v>
      </c>
      <c r="AT603" s="63">
        <v>0.0</v>
      </c>
      <c r="AU603" s="52">
        <v>0.0</v>
      </c>
      <c r="AV603" s="52">
        <v>0.0</v>
      </c>
      <c r="AW603" s="43" t="s">
        <v>88</v>
      </c>
      <c r="AX603" s="52">
        <v>0.0</v>
      </c>
      <c r="AY603" s="52">
        <v>0.0</v>
      </c>
      <c r="AZ603" s="52">
        <v>30.0</v>
      </c>
      <c r="BA603" s="43" t="s">
        <v>89</v>
      </c>
      <c r="BB603" s="52">
        <v>104.0</v>
      </c>
      <c r="BC603" s="95" t="s">
        <v>439</v>
      </c>
      <c r="BD603" s="71"/>
      <c r="BE603" s="71"/>
      <c r="BF603" s="72" t="s">
        <v>3595</v>
      </c>
      <c r="BG603" s="73"/>
      <c r="BH603" s="73"/>
      <c r="BI603" s="73"/>
      <c r="BJ603" s="73"/>
      <c r="BK603" s="73"/>
      <c r="BL603" s="73"/>
      <c r="BM603" s="73"/>
      <c r="BN603" s="73"/>
      <c r="BO603" s="73"/>
      <c r="BP603" s="73"/>
      <c r="BQ603" s="73"/>
      <c r="BR603" s="73"/>
      <c r="BS603" s="73"/>
      <c r="BT603" s="73"/>
      <c r="BU603" s="73"/>
      <c r="BV603" s="73"/>
      <c r="BW603" s="74"/>
      <c r="BX603" s="74"/>
      <c r="BY603" s="63"/>
      <c r="BZ603" s="63"/>
    </row>
    <row r="604" ht="15.75" customHeight="1">
      <c r="A604" s="120" t="s">
        <v>3596</v>
      </c>
      <c r="B604" s="43" t="s">
        <v>402</v>
      </c>
      <c r="C604" s="43" t="s">
        <v>70</v>
      </c>
      <c r="D604" s="52" t="s">
        <v>193</v>
      </c>
      <c r="E604" s="77" t="s">
        <v>376</v>
      </c>
      <c r="F604" s="47">
        <v>2.0E9</v>
      </c>
      <c r="G604" s="44" t="str">
        <f t="shared" si="16"/>
        <v>Más de $1.000'000.000</v>
      </c>
      <c r="H604" s="44"/>
      <c r="I604" s="44"/>
      <c r="J604" s="43" t="s">
        <v>76</v>
      </c>
      <c r="K604" s="56" t="s">
        <v>77</v>
      </c>
      <c r="L604" s="52">
        <v>11.0</v>
      </c>
      <c r="M604" s="52"/>
      <c r="N604" s="52">
        <v>12.0</v>
      </c>
      <c r="O604" s="43">
        <v>3.0</v>
      </c>
      <c r="P604" s="52">
        <v>2.0</v>
      </c>
      <c r="Q604" s="54">
        <v>436.0</v>
      </c>
      <c r="R604" s="55">
        <v>436.0</v>
      </c>
      <c r="S604" s="56" t="str">
        <f t="shared" si="17"/>
        <v>Rentabilidad $25,000,000</v>
      </c>
      <c r="T604" s="52" t="s">
        <v>78</v>
      </c>
      <c r="U604" s="206"/>
      <c r="V604" s="43" t="s">
        <v>118</v>
      </c>
      <c r="W604" s="43"/>
      <c r="X604" s="52">
        <v>10.0</v>
      </c>
      <c r="Y604" s="43" t="s">
        <v>80</v>
      </c>
      <c r="Z604" s="58" t="s">
        <v>81</v>
      </c>
      <c r="AA604" s="59" t="str">
        <f>IF(Rentabilidad=0,"No aplica",TEXT(ROUND(Precio/Rentabilidad/12,0),0) &amp; " años")</f>
        <v>7 años</v>
      </c>
      <c r="AB604" s="134" t="s">
        <v>3597</v>
      </c>
      <c r="AC604" s="61"/>
      <c r="AD604" s="62"/>
      <c r="AE604" s="63"/>
      <c r="AF604" s="64" t="s">
        <v>236</v>
      </c>
      <c r="AG604" s="63"/>
      <c r="AH604" s="65" t="s">
        <v>45</v>
      </c>
      <c r="AI604" s="63"/>
      <c r="AJ604" s="64" t="s">
        <v>3598</v>
      </c>
      <c r="AK604" s="44"/>
      <c r="AL604" s="45" t="s">
        <v>109</v>
      </c>
      <c r="AM604" s="52">
        <v>3.114527846E9</v>
      </c>
      <c r="AN604" s="45">
        <v>0.0</v>
      </c>
      <c r="AO604" s="52" t="s">
        <v>3599</v>
      </c>
      <c r="AP604" s="67" t="s">
        <v>3600</v>
      </c>
      <c r="AQ604" s="67"/>
      <c r="AR604" s="67"/>
      <c r="AS604" s="135">
        <v>2.5E7</v>
      </c>
      <c r="AT604" s="63">
        <v>0.0</v>
      </c>
      <c r="AU604" s="52">
        <v>0.0</v>
      </c>
      <c r="AV604" s="52">
        <v>0.0</v>
      </c>
      <c r="AW604" s="43" t="s">
        <v>88</v>
      </c>
      <c r="AX604" s="52">
        <v>0.0</v>
      </c>
      <c r="AY604" s="52">
        <v>0.0</v>
      </c>
      <c r="AZ604" s="52">
        <v>0.0</v>
      </c>
      <c r="BA604" s="43" t="s">
        <v>89</v>
      </c>
      <c r="BB604" s="52">
        <v>0.0</v>
      </c>
      <c r="BC604" s="127" t="s">
        <v>3601</v>
      </c>
      <c r="BD604" s="128"/>
      <c r="BE604" s="129"/>
      <c r="BF604" s="72" t="s">
        <v>3602</v>
      </c>
      <c r="BG604" s="73"/>
      <c r="BH604" s="73"/>
      <c r="BI604" s="73"/>
      <c r="BJ604" s="73"/>
      <c r="BK604" s="73"/>
      <c r="BL604" s="73"/>
      <c r="BM604" s="73"/>
      <c r="BN604" s="73"/>
      <c r="BO604" s="73"/>
      <c r="BP604" s="73"/>
      <c r="BQ604" s="73"/>
      <c r="BR604" s="73"/>
      <c r="BS604" s="73"/>
      <c r="BT604" s="73"/>
      <c r="BU604" s="73"/>
      <c r="BV604" s="73"/>
      <c r="BW604" s="74"/>
      <c r="BX604" s="74"/>
      <c r="BY604" s="63"/>
      <c r="BZ604" s="63"/>
    </row>
    <row r="605" ht="15.75" customHeight="1">
      <c r="A605" s="41" t="s">
        <v>3603</v>
      </c>
      <c r="B605" s="112" t="s">
        <v>402</v>
      </c>
      <c r="C605" s="50" t="s">
        <v>70</v>
      </c>
      <c r="D605" s="44" t="s">
        <v>193</v>
      </c>
      <c r="E605" s="45"/>
      <c r="F605" s="47">
        <v>6.5E8</v>
      </c>
      <c r="G605" s="44" t="str">
        <f t="shared" si="16"/>
        <v>$500'000.000 a $1.000'000.000</v>
      </c>
      <c r="H605" s="44"/>
      <c r="I605" s="44"/>
      <c r="J605" s="50" t="s">
        <v>76</v>
      </c>
      <c r="K605" s="56" t="s">
        <v>77</v>
      </c>
      <c r="L605" s="44">
        <v>5.0</v>
      </c>
      <c r="M605" s="44"/>
      <c r="N605" s="44">
        <v>4.0</v>
      </c>
      <c r="O605" s="50">
        <v>0.0</v>
      </c>
      <c r="P605" s="44">
        <v>2.0</v>
      </c>
      <c r="Q605" s="113">
        <v>221.0</v>
      </c>
      <c r="R605" s="79">
        <v>120.0</v>
      </c>
      <c r="S605" s="56" t="str">
        <f t="shared" si="17"/>
        <v>Rentabilidad $4,000,000</v>
      </c>
      <c r="T605" s="63" t="s">
        <v>78</v>
      </c>
      <c r="U605" s="114" t="s">
        <v>154</v>
      </c>
      <c r="V605" s="50" t="s">
        <v>79</v>
      </c>
      <c r="W605" s="50"/>
      <c r="X605" s="44">
        <v>3.0</v>
      </c>
      <c r="Y605" s="50" t="s">
        <v>80</v>
      </c>
      <c r="Z605" s="58" t="s">
        <v>81</v>
      </c>
      <c r="AA605" s="59" t="str">
        <f>IF(Rentabilidad=0,"No aplica",TEXT(ROUND(Precio/Rentabilidad/12,0),0) &amp; " años")</f>
        <v>14 años</v>
      </c>
      <c r="AB605" s="190"/>
      <c r="AC605" s="61"/>
      <c r="AD605" s="62"/>
      <c r="AE605" s="63"/>
      <c r="AF605" s="64" t="s">
        <v>236</v>
      </c>
      <c r="AG605" s="63"/>
      <c r="AH605" s="65" t="s">
        <v>45</v>
      </c>
      <c r="AI605" s="63"/>
      <c r="AJ605" s="64" t="s">
        <v>3604</v>
      </c>
      <c r="AK605" s="44"/>
      <c r="AL605" s="45" t="s">
        <v>109</v>
      </c>
      <c r="AM605" s="52">
        <v>3.156485666E9</v>
      </c>
      <c r="AN605" s="45">
        <v>0.0</v>
      </c>
      <c r="AO605" s="52"/>
      <c r="AP605" s="67" t="s">
        <v>3605</v>
      </c>
      <c r="AQ605" s="67"/>
      <c r="AR605" s="67"/>
      <c r="AS605" s="118">
        <v>4000000.0</v>
      </c>
      <c r="AT605" s="63">
        <v>0.0</v>
      </c>
      <c r="AU605" s="52">
        <v>0.0</v>
      </c>
      <c r="AV605" s="52">
        <v>0.0</v>
      </c>
      <c r="AW605" s="43" t="s">
        <v>88</v>
      </c>
      <c r="AX605" s="52">
        <v>0.0</v>
      </c>
      <c r="AY605" s="52">
        <v>0.0</v>
      </c>
      <c r="AZ605" s="63">
        <v>8.0</v>
      </c>
      <c r="BA605" s="43" t="s">
        <v>89</v>
      </c>
      <c r="BB605" s="63">
        <v>15.0</v>
      </c>
      <c r="BC605" s="109"/>
      <c r="BD605" s="71"/>
      <c r="BE605" s="70"/>
      <c r="BF605" s="72"/>
      <c r="BG605" s="73"/>
      <c r="BH605" s="73"/>
      <c r="BI605" s="73"/>
      <c r="BJ605" s="73"/>
      <c r="BK605" s="73"/>
      <c r="BL605" s="73"/>
      <c r="BM605" s="73"/>
      <c r="BN605" s="73"/>
      <c r="BO605" s="73"/>
      <c r="BP605" s="73"/>
      <c r="BQ605" s="73"/>
      <c r="BR605" s="73"/>
      <c r="BS605" s="73"/>
      <c r="BT605" s="73"/>
      <c r="BU605" s="73"/>
      <c r="BV605" s="73"/>
      <c r="BW605" s="74"/>
      <c r="BX605" s="74"/>
      <c r="BY605" s="63"/>
      <c r="BZ605" s="63"/>
    </row>
    <row r="606" ht="15.75" customHeight="1">
      <c r="A606" s="120" t="s">
        <v>3606</v>
      </c>
      <c r="B606" s="50" t="s">
        <v>3607</v>
      </c>
      <c r="C606" s="50" t="s">
        <v>128</v>
      </c>
      <c r="D606" s="193" t="s">
        <v>2061</v>
      </c>
      <c r="E606" s="64" t="s">
        <v>2062</v>
      </c>
      <c r="F606" s="47">
        <v>1.4E8</v>
      </c>
      <c r="G606" s="44" t="str">
        <f t="shared" si="16"/>
        <v>$100'000.000 a $200'000.000</v>
      </c>
      <c r="H606" s="44"/>
      <c r="I606" s="44"/>
      <c r="J606" s="50" t="s">
        <v>116</v>
      </c>
      <c r="K606" s="51"/>
      <c r="L606" s="52">
        <v>2.0</v>
      </c>
      <c r="M606" s="52"/>
      <c r="N606" s="52">
        <v>2.0</v>
      </c>
      <c r="O606" s="43">
        <v>1.0</v>
      </c>
      <c r="P606" s="52">
        <v>2.0</v>
      </c>
      <c r="Q606" s="54">
        <v>69.0</v>
      </c>
      <c r="R606" s="55">
        <v>58.0</v>
      </c>
      <c r="S606" s="56" t="str">
        <f t="shared" si="17"/>
        <v> </v>
      </c>
      <c r="T606" s="52" t="s">
        <v>78</v>
      </c>
      <c r="U606" s="142" t="s">
        <v>184</v>
      </c>
      <c r="V606" s="43" t="s">
        <v>79</v>
      </c>
      <c r="W606" s="43"/>
      <c r="X606" s="52">
        <v>2.0</v>
      </c>
      <c r="Y606" s="43" t="s">
        <v>130</v>
      </c>
      <c r="Z606" s="151">
        <v>166000.0</v>
      </c>
      <c r="AA606" s="59" t="str">
        <f>IF(Rentabilidad=0,"No aplica",TEXT(ROUND(Precio/Rentabilidad/12,0),0) &amp; " años")</f>
        <v>No aplica</v>
      </c>
      <c r="AB606" s="115" t="s">
        <v>3608</v>
      </c>
      <c r="AC606" s="61"/>
      <c r="AD606" s="62"/>
      <c r="AE606" s="63"/>
      <c r="AF606" s="45" t="s">
        <v>105</v>
      </c>
      <c r="AG606" s="63"/>
      <c r="AH606" s="63"/>
      <c r="AI606" s="63"/>
      <c r="AJ606" s="64" t="s">
        <v>3604</v>
      </c>
      <c r="AK606" s="44"/>
      <c r="AL606" s="45" t="s">
        <v>109</v>
      </c>
      <c r="AM606" s="52">
        <v>3.104888552E9</v>
      </c>
      <c r="AN606" s="45">
        <v>8630404.0</v>
      </c>
      <c r="AO606" s="52"/>
      <c r="AP606" s="67" t="s">
        <v>3609</v>
      </c>
      <c r="AQ606" s="67"/>
      <c r="AR606" s="67"/>
      <c r="AS606" s="135">
        <v>0.0</v>
      </c>
      <c r="AT606" s="63">
        <v>0.0</v>
      </c>
      <c r="AU606" s="52">
        <v>0.0</v>
      </c>
      <c r="AV606" s="52">
        <v>0.0</v>
      </c>
      <c r="AW606" s="43" t="s">
        <v>88</v>
      </c>
      <c r="AX606" s="52">
        <v>0.0</v>
      </c>
      <c r="AY606" s="52">
        <v>0.0</v>
      </c>
      <c r="AZ606" s="44">
        <v>0.0</v>
      </c>
      <c r="BA606" s="43" t="s">
        <v>89</v>
      </c>
      <c r="BB606" s="44">
        <v>0.0</v>
      </c>
      <c r="BC606" s="109"/>
      <c r="BD606" s="70"/>
      <c r="BE606" s="71"/>
      <c r="BF606" s="72" t="s">
        <v>3610</v>
      </c>
      <c r="BG606" s="73"/>
      <c r="BH606" s="73"/>
      <c r="BI606" s="73"/>
      <c r="BJ606" s="73"/>
      <c r="BK606" s="73"/>
      <c r="BL606" s="73"/>
      <c r="BM606" s="73"/>
      <c r="BN606" s="73"/>
      <c r="BO606" s="73"/>
      <c r="BP606" s="73"/>
      <c r="BQ606" s="73"/>
      <c r="BR606" s="73"/>
      <c r="BS606" s="73"/>
      <c r="BT606" s="73"/>
      <c r="BU606" s="73"/>
      <c r="BV606" s="73"/>
      <c r="BW606" s="74"/>
      <c r="BX606" s="74"/>
      <c r="BY606" s="63"/>
      <c r="BZ606" s="63"/>
    </row>
    <row r="607" ht="15.75" customHeight="1">
      <c r="A607" s="41" t="s">
        <v>3611</v>
      </c>
      <c r="B607" s="43" t="s">
        <v>395</v>
      </c>
      <c r="C607" s="43" t="s">
        <v>70</v>
      </c>
      <c r="D607" s="50" t="s">
        <v>72</v>
      </c>
      <c r="E607" s="64"/>
      <c r="F607" s="47">
        <v>3.1E8</v>
      </c>
      <c r="G607" s="44" t="str">
        <f t="shared" si="16"/>
        <v>$300'000.000 a $400'000.000</v>
      </c>
      <c r="H607" s="44"/>
      <c r="I607" s="44"/>
      <c r="J607" s="50" t="s">
        <v>183</v>
      </c>
      <c r="K607" s="51" t="s">
        <v>184</v>
      </c>
      <c r="L607" s="52">
        <v>5.0</v>
      </c>
      <c r="M607" s="52"/>
      <c r="N607" s="52">
        <v>3.0</v>
      </c>
      <c r="O607" s="43">
        <v>1.0</v>
      </c>
      <c r="P607" s="52">
        <v>2.0</v>
      </c>
      <c r="Q607" s="54">
        <v>115.0</v>
      </c>
      <c r="R607" s="55">
        <v>72.0</v>
      </c>
      <c r="S607" s="56" t="str">
        <f t="shared" si="17"/>
        <v> </v>
      </c>
      <c r="T607" s="52" t="s">
        <v>78</v>
      </c>
      <c r="U607" s="142" t="s">
        <v>77</v>
      </c>
      <c r="V607" s="43" t="s">
        <v>79</v>
      </c>
      <c r="W607" s="43"/>
      <c r="X607" s="52">
        <v>4.0</v>
      </c>
      <c r="Y607" s="43" t="s">
        <v>80</v>
      </c>
      <c r="Z607" s="58" t="s">
        <v>81</v>
      </c>
      <c r="AA607" s="59" t="str">
        <f>IF(Rentabilidad=0,"No aplica",TEXT(ROUND(Precio/Rentabilidad/12,0),0) &amp; " años")</f>
        <v>No aplica</v>
      </c>
      <c r="AB607" s="190"/>
      <c r="AC607" s="61"/>
      <c r="AD607" s="62"/>
      <c r="AE607" s="63"/>
      <c r="AF607" s="45" t="s">
        <v>105</v>
      </c>
      <c r="AG607" s="63"/>
      <c r="AH607" s="65" t="s">
        <v>45</v>
      </c>
      <c r="AI607" s="63"/>
      <c r="AJ607" s="64" t="s">
        <v>3612</v>
      </c>
      <c r="AK607" s="44"/>
      <c r="AL607" s="45" t="s">
        <v>3006</v>
      </c>
      <c r="AM607" s="52">
        <v>3.108849508E9</v>
      </c>
      <c r="AN607" s="45">
        <v>3.125142894E9</v>
      </c>
      <c r="AO607" s="52" t="s">
        <v>3613</v>
      </c>
      <c r="AP607" s="67" t="s">
        <v>3614</v>
      </c>
      <c r="AQ607" s="67"/>
      <c r="AR607" s="67"/>
      <c r="AS607" s="135">
        <v>0.0</v>
      </c>
      <c r="AT607" s="52">
        <v>0.0</v>
      </c>
      <c r="AU607" s="52">
        <v>0.0</v>
      </c>
      <c r="AV607" s="52">
        <v>0.0</v>
      </c>
      <c r="AW607" s="52" t="s">
        <v>88</v>
      </c>
      <c r="AX607" s="52">
        <v>0.0</v>
      </c>
      <c r="AY607" s="52" t="s">
        <v>137</v>
      </c>
      <c r="AZ607" s="52">
        <v>6.0</v>
      </c>
      <c r="BA607" s="43" t="s">
        <v>89</v>
      </c>
      <c r="BB607" s="52">
        <v>12.0</v>
      </c>
      <c r="BC607" s="69" t="s">
        <v>455</v>
      </c>
      <c r="BD607" s="70"/>
      <c r="BE607" s="71"/>
      <c r="BF607" s="130"/>
      <c r="BG607" s="73"/>
      <c r="BH607" s="73"/>
      <c r="BI607" s="73"/>
      <c r="BJ607" s="73"/>
      <c r="BK607" s="73"/>
      <c r="BL607" s="73"/>
      <c r="BM607" s="73"/>
      <c r="BN607" s="73"/>
      <c r="BO607" s="73"/>
      <c r="BP607" s="73"/>
      <c r="BQ607" s="73"/>
      <c r="BR607" s="73"/>
      <c r="BS607" s="73"/>
      <c r="BT607" s="73"/>
      <c r="BU607" s="73"/>
      <c r="BV607" s="73"/>
      <c r="BW607" s="74"/>
      <c r="BX607" s="74"/>
      <c r="BY607" s="63"/>
      <c r="BZ607" s="63"/>
    </row>
    <row r="608" ht="15.75" customHeight="1">
      <c r="A608" s="152" t="s">
        <v>3615</v>
      </c>
      <c r="B608" s="50" t="s">
        <v>3616</v>
      </c>
      <c r="C608" s="50" t="s">
        <v>93</v>
      </c>
      <c r="D608" s="50"/>
      <c r="E608" s="77"/>
      <c r="F608" s="78">
        <v>6.0E8</v>
      </c>
      <c r="G608" s="44" t="str">
        <f t="shared" si="16"/>
        <v>$500'000.000 a $1.000'000.000</v>
      </c>
      <c r="H608" s="44"/>
      <c r="I608" s="44"/>
      <c r="J608" s="50" t="s">
        <v>94</v>
      </c>
      <c r="K608" s="57"/>
      <c r="L608" s="50">
        <v>5.0</v>
      </c>
      <c r="M608" s="50"/>
      <c r="N608" s="50">
        <v>3.0</v>
      </c>
      <c r="O608" s="50">
        <v>3.0</v>
      </c>
      <c r="P608" s="50">
        <v>2.0</v>
      </c>
      <c r="Q608" s="88">
        <v>500.0</v>
      </c>
      <c r="R608" s="88">
        <v>1750.0</v>
      </c>
      <c r="S608" s="56" t="str">
        <f t="shared" si="17"/>
        <v> </v>
      </c>
      <c r="T608" s="50" t="s">
        <v>95</v>
      </c>
      <c r="U608" s="51"/>
      <c r="V608" s="50"/>
      <c r="W608" s="50"/>
      <c r="X608" s="50">
        <v>2.0</v>
      </c>
      <c r="Y608" s="43" t="s">
        <v>97</v>
      </c>
      <c r="Z608" s="58" t="s">
        <v>81</v>
      </c>
      <c r="AA608" s="81" t="s">
        <v>81</v>
      </c>
      <c r="AB608" s="136" t="s">
        <v>3617</v>
      </c>
      <c r="AC608" s="131" t="s">
        <v>3618</v>
      </c>
      <c r="AD608" s="125" t="s">
        <v>3619</v>
      </c>
      <c r="AE608" s="63"/>
      <c r="AF608" s="64" t="s">
        <v>105</v>
      </c>
      <c r="AG608" s="65" t="s">
        <v>106</v>
      </c>
      <c r="AH608" s="63"/>
      <c r="AI608" s="65" t="s">
        <v>107</v>
      </c>
      <c r="AJ608" s="64" t="s">
        <v>3620</v>
      </c>
      <c r="AK608" s="58" t="s">
        <v>81</v>
      </c>
      <c r="AL608" s="64" t="s">
        <v>109</v>
      </c>
      <c r="AM608" s="43">
        <v>3.152092988E9</v>
      </c>
      <c r="AN608" s="64">
        <v>0.0</v>
      </c>
      <c r="AO608" s="43">
        <v>0.0</v>
      </c>
      <c r="AP608" s="84">
        <v>0.0</v>
      </c>
      <c r="AQ608" s="84"/>
      <c r="AR608" s="84"/>
      <c r="AS608" s="94">
        <v>0.0</v>
      </c>
      <c r="AT608" s="50">
        <v>0.0</v>
      </c>
      <c r="AU608" s="43">
        <v>0.0</v>
      </c>
      <c r="AV608" s="43">
        <v>0.0</v>
      </c>
      <c r="AW608" s="43" t="s">
        <v>88</v>
      </c>
      <c r="AX608" s="43">
        <v>0.0</v>
      </c>
      <c r="AY608" s="43" t="s">
        <v>110</v>
      </c>
      <c r="AZ608" s="50">
        <v>0.0</v>
      </c>
      <c r="BA608" s="43" t="s">
        <v>89</v>
      </c>
      <c r="BB608" s="50">
        <v>0.0</v>
      </c>
      <c r="BC608" s="69" t="s">
        <v>769</v>
      </c>
      <c r="BD608" s="70"/>
      <c r="BE608" s="71"/>
      <c r="BF608" s="72" t="s">
        <v>3621</v>
      </c>
      <c r="BG608" s="73"/>
      <c r="BH608" s="73"/>
      <c r="BI608" s="73"/>
      <c r="BJ608" s="73"/>
      <c r="BK608" s="73"/>
      <c r="BL608" s="73"/>
      <c r="BM608" s="73"/>
      <c r="BN608" s="73"/>
      <c r="BO608" s="73"/>
      <c r="BP608" s="73"/>
      <c r="BQ608" s="73"/>
      <c r="BR608" s="73"/>
      <c r="BS608" s="73"/>
      <c r="BT608" s="73"/>
      <c r="BU608" s="73"/>
      <c r="BV608" s="73"/>
      <c r="BW608" s="74"/>
      <c r="BX608" s="74"/>
      <c r="BY608" s="63"/>
      <c r="BZ608" s="63"/>
    </row>
    <row r="609" ht="15.75" customHeight="1">
      <c r="A609" s="120" t="s">
        <v>3622</v>
      </c>
      <c r="B609" s="50" t="s">
        <v>69</v>
      </c>
      <c r="C609" s="50" t="s">
        <v>70</v>
      </c>
      <c r="D609" s="44" t="s">
        <v>71</v>
      </c>
      <c r="E609" s="64" t="s">
        <v>376</v>
      </c>
      <c r="F609" s="78">
        <v>1.4E9</v>
      </c>
      <c r="G609" s="44" t="str">
        <f t="shared" si="16"/>
        <v>Más de $1.000'000.000</v>
      </c>
      <c r="H609" s="44"/>
      <c r="I609" s="44"/>
      <c r="J609" s="50" t="s">
        <v>76</v>
      </c>
      <c r="K609" s="51" t="s">
        <v>77</v>
      </c>
      <c r="L609" s="50">
        <v>5.0</v>
      </c>
      <c r="M609" s="50"/>
      <c r="N609" s="50">
        <v>3.0</v>
      </c>
      <c r="O609" s="50">
        <v>3.0</v>
      </c>
      <c r="P609" s="50">
        <v>1.0</v>
      </c>
      <c r="Q609" s="54"/>
      <c r="R609" s="55">
        <v>770.0</v>
      </c>
      <c r="S609" s="56" t="str">
        <f t="shared" si="17"/>
        <v> </v>
      </c>
      <c r="T609" s="50" t="s">
        <v>78</v>
      </c>
      <c r="U609" s="51" t="s">
        <v>142</v>
      </c>
      <c r="V609" s="50" t="s">
        <v>79</v>
      </c>
      <c r="W609" s="50"/>
      <c r="X609" s="50">
        <v>5.0</v>
      </c>
      <c r="Y609" s="50" t="s">
        <v>80</v>
      </c>
      <c r="Z609" s="58" t="s">
        <v>81</v>
      </c>
      <c r="AA609" s="59" t="str">
        <f>IF(Rentabilidad=0,"No aplica",TEXT(ROUND(Precio/Rentabilidad/12,0),0) &amp; " años")</f>
        <v>No aplica</v>
      </c>
      <c r="AB609" s="82" t="s">
        <v>3623</v>
      </c>
      <c r="AC609" s="61"/>
      <c r="AD609" s="125" t="s">
        <v>3624</v>
      </c>
      <c r="AE609" s="63"/>
      <c r="AF609" s="64" t="s">
        <v>236</v>
      </c>
      <c r="AG609" s="65" t="s">
        <v>106</v>
      </c>
      <c r="AH609" s="65" t="s">
        <v>45</v>
      </c>
      <c r="AI609" s="65" t="s">
        <v>107</v>
      </c>
      <c r="AJ609" s="64" t="s">
        <v>3625</v>
      </c>
      <c r="AK609" s="50" t="s">
        <v>81</v>
      </c>
      <c r="AL609" s="45" t="s">
        <v>109</v>
      </c>
      <c r="AM609" s="52">
        <v>3.152092988E9</v>
      </c>
      <c r="AN609" s="45">
        <v>0.0</v>
      </c>
      <c r="AO609" s="52"/>
      <c r="AP609" s="67"/>
      <c r="AQ609" s="143">
        <v>2.9335449</v>
      </c>
      <c r="AR609" s="143">
        <v>-75.2871738</v>
      </c>
      <c r="AS609" s="94">
        <v>0.0</v>
      </c>
      <c r="AT609" s="44"/>
      <c r="AU609" s="44"/>
      <c r="AV609" s="44"/>
      <c r="AW609" s="44"/>
      <c r="AX609" s="44"/>
      <c r="AY609" s="44"/>
      <c r="AZ609" s="44"/>
      <c r="BA609" s="43" t="s">
        <v>89</v>
      </c>
      <c r="BB609" s="44"/>
      <c r="BC609" s="86"/>
      <c r="BD609" s="71"/>
      <c r="BE609" s="71"/>
      <c r="BF609" s="72" t="s">
        <v>3626</v>
      </c>
      <c r="BG609" s="74"/>
      <c r="BH609" s="74"/>
      <c r="BI609" s="74"/>
      <c r="BJ609" s="74"/>
      <c r="BK609" s="74"/>
      <c r="BL609" s="74"/>
      <c r="BM609" s="74"/>
      <c r="BN609" s="74"/>
      <c r="BO609" s="74"/>
      <c r="BP609" s="74"/>
      <c r="BQ609" s="74"/>
      <c r="BR609" s="74"/>
      <c r="BS609" s="74"/>
      <c r="BT609" s="74"/>
      <c r="BU609" s="74"/>
      <c r="BV609" s="74"/>
      <c r="BW609" s="74"/>
      <c r="BX609" s="74"/>
      <c r="BY609" s="63"/>
      <c r="BZ609" s="63"/>
    </row>
    <row r="610" ht="15.75" customHeight="1">
      <c r="A610" s="133" t="s">
        <v>3627</v>
      </c>
      <c r="B610" s="112" t="s">
        <v>92</v>
      </c>
      <c r="C610" s="50" t="s">
        <v>93</v>
      </c>
      <c r="D610" s="202"/>
      <c r="E610" s="45"/>
      <c r="F610" s="47">
        <v>6.0E8</v>
      </c>
      <c r="G610" s="44" t="str">
        <f t="shared" si="16"/>
        <v>$500'000.000 a $1.000'000.000</v>
      </c>
      <c r="H610" s="44"/>
      <c r="I610" s="44"/>
      <c r="J610" s="50" t="s">
        <v>94</v>
      </c>
      <c r="K610" s="150"/>
      <c r="L610" s="52">
        <v>3.0</v>
      </c>
      <c r="M610" s="52"/>
      <c r="N610" s="52">
        <v>2.0</v>
      </c>
      <c r="O610" s="43">
        <v>1.0</v>
      </c>
      <c r="P610" s="52">
        <v>1.0</v>
      </c>
      <c r="Q610" s="113">
        <v>150.0</v>
      </c>
      <c r="R610" s="79">
        <v>1000.0</v>
      </c>
      <c r="S610" s="56" t="str">
        <f t="shared" si="17"/>
        <v> </v>
      </c>
      <c r="T610" s="44"/>
      <c r="U610" s="142"/>
      <c r="V610" s="52"/>
      <c r="W610" s="52"/>
      <c r="X610" s="52">
        <v>3.0</v>
      </c>
      <c r="Y610" s="43" t="s">
        <v>80</v>
      </c>
      <c r="Z610" s="58" t="s">
        <v>81</v>
      </c>
      <c r="AA610" s="59" t="str">
        <f>IF(Rentabilidad=0,"No aplica",TEXT(ROUND(Precio/Rentabilidad/12,0),0) &amp; " años")</f>
        <v>No aplica</v>
      </c>
      <c r="AB610" s="134" t="s">
        <v>3628</v>
      </c>
      <c r="AC610" s="61"/>
      <c r="AD610" s="125" t="s">
        <v>3629</v>
      </c>
      <c r="AE610" s="63"/>
      <c r="AF610" s="45" t="s">
        <v>236</v>
      </c>
      <c r="AG610" s="65" t="s">
        <v>106</v>
      </c>
      <c r="AH610" s="65"/>
      <c r="AI610" s="65" t="s">
        <v>107</v>
      </c>
      <c r="AJ610" s="64" t="s">
        <v>3625</v>
      </c>
      <c r="AK610" s="58" t="s">
        <v>81</v>
      </c>
      <c r="AL610" s="45" t="s">
        <v>109</v>
      </c>
      <c r="AM610" s="52">
        <v>3.152092988E9</v>
      </c>
      <c r="AN610" s="45">
        <v>0.0</v>
      </c>
      <c r="AO610" s="52"/>
      <c r="AP610" s="67">
        <v>0.0</v>
      </c>
      <c r="AQ610" s="143">
        <v>2.9464726</v>
      </c>
      <c r="AR610" s="143">
        <v>-75.2621149</v>
      </c>
      <c r="AS610" s="94">
        <v>0.0</v>
      </c>
      <c r="AT610" s="52">
        <v>0.0</v>
      </c>
      <c r="AU610" s="52">
        <v>0.0</v>
      </c>
      <c r="AV610" s="52">
        <v>0.0</v>
      </c>
      <c r="AW610" s="43" t="s">
        <v>88</v>
      </c>
      <c r="AX610" s="52">
        <v>0.0</v>
      </c>
      <c r="AY610" s="52">
        <v>0.0</v>
      </c>
      <c r="AZ610" s="52">
        <v>0.0</v>
      </c>
      <c r="BA610" s="43" t="s">
        <v>89</v>
      </c>
      <c r="BB610" s="52">
        <v>0.0</v>
      </c>
      <c r="BC610" s="95"/>
      <c r="BD610" s="71"/>
      <c r="BE610" s="71"/>
      <c r="BF610" s="72" t="s">
        <v>3630</v>
      </c>
      <c r="BG610" s="73"/>
      <c r="BH610" s="73"/>
      <c r="BI610" s="73"/>
      <c r="BJ610" s="73"/>
      <c r="BK610" s="73"/>
      <c r="BL610" s="73"/>
      <c r="BM610" s="73"/>
      <c r="BN610" s="73"/>
      <c r="BO610" s="73"/>
      <c r="BP610" s="73"/>
      <c r="BQ610" s="73"/>
      <c r="BR610" s="73"/>
      <c r="BS610" s="73"/>
      <c r="BT610" s="73"/>
      <c r="BU610" s="73"/>
      <c r="BV610" s="73"/>
      <c r="BW610" s="74"/>
      <c r="BX610" s="74"/>
      <c r="BY610" s="63"/>
      <c r="BZ610" s="63"/>
    </row>
    <row r="611" ht="15.75" customHeight="1">
      <c r="A611" s="41" t="s">
        <v>3631</v>
      </c>
      <c r="B611" s="50" t="s">
        <v>3632</v>
      </c>
      <c r="C611" s="50" t="s">
        <v>128</v>
      </c>
      <c r="D611" s="111" t="s">
        <v>11</v>
      </c>
      <c r="E611" s="64" t="s">
        <v>3633</v>
      </c>
      <c r="F611" s="47">
        <v>2.6E8</v>
      </c>
      <c r="G611" s="44" t="str">
        <f t="shared" si="16"/>
        <v>$200'000.000 a $300'000.000</v>
      </c>
      <c r="H611" s="44"/>
      <c r="I611" s="44"/>
      <c r="J611" s="50" t="s">
        <v>183</v>
      </c>
      <c r="K611" s="150"/>
      <c r="L611" s="44">
        <v>4.0</v>
      </c>
      <c r="M611" s="44"/>
      <c r="N611" s="44">
        <v>3.0</v>
      </c>
      <c r="O611" s="50">
        <v>1.0</v>
      </c>
      <c r="P611" s="44">
        <v>1.0</v>
      </c>
      <c r="Q611" s="113"/>
      <c r="R611" s="113"/>
      <c r="S611" s="56" t="str">
        <f t="shared" si="17"/>
        <v> </v>
      </c>
      <c r="T611" s="44" t="s">
        <v>78</v>
      </c>
      <c r="U611" s="57" t="s">
        <v>77</v>
      </c>
      <c r="V611" s="50" t="s">
        <v>79</v>
      </c>
      <c r="W611" s="50"/>
      <c r="X611" s="44">
        <v>4.0</v>
      </c>
      <c r="Y611" s="50" t="s">
        <v>130</v>
      </c>
      <c r="Z611" s="91">
        <v>40000.0</v>
      </c>
      <c r="AA611" s="59" t="str">
        <f>IF(Rentabilidad=0,"No aplica",TEXT(ROUND(Precio/Rentabilidad/12,0),0) &amp; " años")</f>
        <v>No aplica</v>
      </c>
      <c r="AB611" s="190"/>
      <c r="AC611" s="61"/>
      <c r="AD611" s="62"/>
      <c r="AE611" s="63"/>
      <c r="AF611" s="45" t="s">
        <v>105</v>
      </c>
      <c r="AG611" s="63"/>
      <c r="AH611" s="63"/>
      <c r="AI611" s="65" t="s">
        <v>107</v>
      </c>
      <c r="AJ611" s="64" t="s">
        <v>3625</v>
      </c>
      <c r="AK611" s="58" t="s">
        <v>81</v>
      </c>
      <c r="AL611" s="45" t="s">
        <v>109</v>
      </c>
      <c r="AM611" s="52">
        <v>3.152092988E9</v>
      </c>
      <c r="AN611" s="45"/>
      <c r="AO611" s="116"/>
      <c r="AP611" s="67" t="s">
        <v>3634</v>
      </c>
      <c r="AQ611" s="67"/>
      <c r="AR611" s="67"/>
      <c r="AS611" s="68">
        <v>0.0</v>
      </c>
      <c r="AT611" s="44">
        <v>0.0</v>
      </c>
      <c r="AU611" s="52">
        <v>0.0</v>
      </c>
      <c r="AV611" s="52">
        <v>0.0</v>
      </c>
      <c r="AW611" s="43" t="s">
        <v>88</v>
      </c>
      <c r="AX611" s="52">
        <v>0.0</v>
      </c>
      <c r="AY611" s="52" t="s">
        <v>137</v>
      </c>
      <c r="AZ611" s="44">
        <v>0.0</v>
      </c>
      <c r="BA611" s="43" t="s">
        <v>89</v>
      </c>
      <c r="BB611" s="44">
        <v>0.0</v>
      </c>
      <c r="BC611" s="154"/>
      <c r="BD611" s="155"/>
      <c r="BE611" s="156"/>
      <c r="BF611" s="157"/>
      <c r="BG611" s="73"/>
      <c r="BH611" s="73"/>
      <c r="BI611" s="73"/>
      <c r="BJ611" s="73"/>
      <c r="BK611" s="73"/>
      <c r="BL611" s="73"/>
      <c r="BM611" s="73"/>
      <c r="BN611" s="73"/>
      <c r="BO611" s="73"/>
      <c r="BP611" s="73"/>
      <c r="BQ611" s="73"/>
      <c r="BR611" s="73"/>
      <c r="BS611" s="73"/>
      <c r="BT611" s="73"/>
      <c r="BU611" s="73"/>
      <c r="BV611" s="73"/>
      <c r="BW611" s="74"/>
      <c r="BX611" s="74"/>
      <c r="BY611" s="63"/>
      <c r="BZ611" s="63"/>
    </row>
    <row r="612" ht="15.75" customHeight="1">
      <c r="A612" s="120" t="s">
        <v>3635</v>
      </c>
      <c r="B612" s="50" t="s">
        <v>409</v>
      </c>
      <c r="C612" s="50" t="s">
        <v>70</v>
      </c>
      <c r="D612" s="52" t="s">
        <v>205</v>
      </c>
      <c r="E612" s="45"/>
      <c r="F612" s="47">
        <v>2.9E8</v>
      </c>
      <c r="G612" s="44" t="str">
        <f t="shared" si="16"/>
        <v>$200'000.000 a $300'000.000</v>
      </c>
      <c r="H612" s="44"/>
      <c r="I612" s="44"/>
      <c r="J612" s="43" t="s">
        <v>76</v>
      </c>
      <c r="K612" s="119" t="s">
        <v>77</v>
      </c>
      <c r="L612" s="44">
        <v>4.0</v>
      </c>
      <c r="M612" s="44"/>
      <c r="N612" s="44">
        <v>2.0</v>
      </c>
      <c r="O612" s="44">
        <v>0.0</v>
      </c>
      <c r="P612" s="44">
        <v>0.0</v>
      </c>
      <c r="Q612" s="44">
        <v>161.0</v>
      </c>
      <c r="R612" s="79">
        <v>161.0</v>
      </c>
      <c r="S612" s="56" t="str">
        <f t="shared" si="17"/>
        <v> </v>
      </c>
      <c r="T612" s="44" t="s">
        <v>78</v>
      </c>
      <c r="U612" s="57" t="s">
        <v>184</v>
      </c>
      <c r="V612" s="50" t="s">
        <v>79</v>
      </c>
      <c r="W612" s="50"/>
      <c r="X612" s="44">
        <v>2.0</v>
      </c>
      <c r="Y612" s="50" t="s">
        <v>80</v>
      </c>
      <c r="Z612" s="58" t="s">
        <v>81</v>
      </c>
      <c r="AA612" s="59" t="str">
        <f>IF(Rentabilidad=0,"No aplica",TEXT(ROUND(Precio/Rentabilidad/12,0),0) &amp; " años")</f>
        <v>No aplica</v>
      </c>
      <c r="AB612" s="60"/>
      <c r="AC612" s="61"/>
      <c r="AD612" s="62"/>
      <c r="AE612" s="63"/>
      <c r="AF612" s="64" t="s">
        <v>236</v>
      </c>
      <c r="AG612" s="63"/>
      <c r="AH612" s="65" t="s">
        <v>45</v>
      </c>
      <c r="AI612" s="63"/>
      <c r="AJ612" s="45" t="s">
        <v>3636</v>
      </c>
      <c r="AK612" s="58" t="s">
        <v>81</v>
      </c>
      <c r="AL612" s="45" t="s">
        <v>3006</v>
      </c>
      <c r="AM612" s="52">
        <v>3.167597703E9</v>
      </c>
      <c r="AN612" s="45"/>
      <c r="AO612" s="52"/>
      <c r="AP612" s="67"/>
      <c r="AQ612" s="67"/>
      <c r="AR612" s="67"/>
      <c r="AS612" s="44">
        <v>0.0</v>
      </c>
      <c r="AT612" s="44">
        <v>0.0</v>
      </c>
      <c r="AU612" s="44">
        <v>0.0</v>
      </c>
      <c r="AV612" s="44">
        <v>0.0</v>
      </c>
      <c r="AW612" s="50" t="s">
        <v>88</v>
      </c>
      <c r="AX612" s="44">
        <v>0.0</v>
      </c>
      <c r="AY612" s="44">
        <v>0.0</v>
      </c>
      <c r="AZ612" s="44">
        <v>0.0</v>
      </c>
      <c r="BA612" s="43" t="s">
        <v>89</v>
      </c>
      <c r="BB612" s="44">
        <v>0.0</v>
      </c>
      <c r="BC612" s="109"/>
      <c r="BD612" s="70"/>
      <c r="BE612" s="70"/>
      <c r="BF612" s="130"/>
      <c r="BG612" s="73"/>
      <c r="BH612" s="73"/>
      <c r="BI612" s="73"/>
      <c r="BJ612" s="73"/>
      <c r="BK612" s="73"/>
      <c r="BL612" s="73"/>
      <c r="BM612" s="73"/>
      <c r="BN612" s="73"/>
      <c r="BO612" s="73"/>
      <c r="BP612" s="73"/>
      <c r="BQ612" s="73"/>
      <c r="BR612" s="73"/>
      <c r="BS612" s="73"/>
      <c r="BT612" s="73"/>
      <c r="BU612" s="73"/>
      <c r="BV612" s="73"/>
      <c r="BW612" s="74"/>
      <c r="BX612" s="74"/>
      <c r="BY612" s="63"/>
      <c r="BZ612" s="63"/>
    </row>
    <row r="613" ht="15.75" customHeight="1">
      <c r="A613" s="41" t="s">
        <v>3637</v>
      </c>
      <c r="B613" s="43" t="s">
        <v>1921</v>
      </c>
      <c r="C613" s="43" t="s">
        <v>1228</v>
      </c>
      <c r="D613" s="44" t="s">
        <v>71</v>
      </c>
      <c r="E613" s="45"/>
      <c r="F613" s="47">
        <v>1.35E9</v>
      </c>
      <c r="G613" s="44" t="str">
        <f t="shared" si="16"/>
        <v>Más de $1.000'000.000</v>
      </c>
      <c r="H613" s="44"/>
      <c r="I613" s="44"/>
      <c r="J613" s="50" t="s">
        <v>76</v>
      </c>
      <c r="K613" s="51" t="s">
        <v>77</v>
      </c>
      <c r="L613" s="44">
        <v>5.0</v>
      </c>
      <c r="M613" s="44"/>
      <c r="N613" s="44">
        <v>2.0</v>
      </c>
      <c r="O613" s="50">
        <v>1.0</v>
      </c>
      <c r="P613" s="44">
        <v>1.0</v>
      </c>
      <c r="Q613" s="113"/>
      <c r="R613" s="79">
        <v>785.0</v>
      </c>
      <c r="S613" s="56" t="str">
        <f t="shared" si="17"/>
        <v> </v>
      </c>
      <c r="T613" s="52" t="s">
        <v>78</v>
      </c>
      <c r="U613" s="142" t="s">
        <v>77</v>
      </c>
      <c r="V613" s="50" t="s">
        <v>118</v>
      </c>
      <c r="W613" s="50"/>
      <c r="X613" s="44">
        <v>2.0</v>
      </c>
      <c r="Y613" s="50" t="s">
        <v>80</v>
      </c>
      <c r="Z613" s="80" t="s">
        <v>81</v>
      </c>
      <c r="AA613" s="59" t="str">
        <f>IF(Rentabilidad=0,"No aplica",TEXT(ROUND(Precio/Rentabilidad/12,0),0) &amp; " años")</f>
        <v>No aplica</v>
      </c>
      <c r="AB613" s="60"/>
      <c r="AC613" s="61"/>
      <c r="AD613" s="62"/>
      <c r="AE613" s="63"/>
      <c r="AF613" s="64" t="s">
        <v>84</v>
      </c>
      <c r="AG613" s="63"/>
      <c r="AH613" s="65" t="s">
        <v>45</v>
      </c>
      <c r="AI613" s="63"/>
      <c r="AJ613" s="45" t="s">
        <v>3638</v>
      </c>
      <c r="AK613" s="50" t="s">
        <v>81</v>
      </c>
      <c r="AL613" s="45" t="s">
        <v>86</v>
      </c>
      <c r="AM613" s="52">
        <v>3.125062334E9</v>
      </c>
      <c r="AN613" s="45">
        <v>3.174390599E9</v>
      </c>
      <c r="AO613" s="52"/>
      <c r="AP613" s="67" t="s">
        <v>3639</v>
      </c>
      <c r="AQ613" s="67"/>
      <c r="AR613" s="67"/>
      <c r="AS613" s="68">
        <v>0.0</v>
      </c>
      <c r="AT613" s="44">
        <v>0.0</v>
      </c>
      <c r="AU613" s="44">
        <v>0.0</v>
      </c>
      <c r="AV613" s="44">
        <v>0.0</v>
      </c>
      <c r="AW613" s="44" t="s">
        <v>88</v>
      </c>
      <c r="AX613" s="44">
        <v>0.0</v>
      </c>
      <c r="AY613" s="44" t="s">
        <v>247</v>
      </c>
      <c r="AZ613" s="44">
        <v>0.0</v>
      </c>
      <c r="BA613" s="43" t="s">
        <v>89</v>
      </c>
      <c r="BB613" s="44">
        <v>0.0</v>
      </c>
      <c r="BC613" s="109"/>
      <c r="BD613" s="70"/>
      <c r="BE613" s="71"/>
      <c r="BF613" s="130"/>
      <c r="BG613" s="73"/>
      <c r="BH613" s="73"/>
      <c r="BI613" s="73"/>
      <c r="BJ613" s="73"/>
      <c r="BK613" s="73"/>
      <c r="BL613" s="73"/>
      <c r="BM613" s="73"/>
      <c r="BN613" s="73"/>
      <c r="BO613" s="73"/>
      <c r="BP613" s="73"/>
      <c r="BQ613" s="73"/>
      <c r="BR613" s="73"/>
      <c r="BS613" s="73"/>
      <c r="BT613" s="73"/>
      <c r="BU613" s="73"/>
      <c r="BV613" s="73"/>
      <c r="BW613" s="74"/>
      <c r="BX613" s="74"/>
      <c r="BY613" s="63"/>
      <c r="BZ613" s="63"/>
    </row>
    <row r="614" ht="15.75" customHeight="1">
      <c r="A614" s="120" t="s">
        <v>3640</v>
      </c>
      <c r="B614" s="50" t="s">
        <v>3641</v>
      </c>
      <c r="C614" s="50" t="s">
        <v>3642</v>
      </c>
      <c r="D614" s="44" t="s">
        <v>11</v>
      </c>
      <c r="E614" s="45"/>
      <c r="F614" s="47">
        <v>1.35E9</v>
      </c>
      <c r="G614" s="44" t="str">
        <f t="shared" si="16"/>
        <v>Más de $1.000'000.000</v>
      </c>
      <c r="H614" s="44"/>
      <c r="I614" s="44"/>
      <c r="J614" s="50" t="s">
        <v>183</v>
      </c>
      <c r="K614" s="51" t="s">
        <v>184</v>
      </c>
      <c r="L614" s="44">
        <v>3.0</v>
      </c>
      <c r="M614" s="44"/>
      <c r="N614" s="44">
        <v>2.0</v>
      </c>
      <c r="O614" s="50">
        <v>1.0</v>
      </c>
      <c r="P614" s="44">
        <v>1.0</v>
      </c>
      <c r="Q614" s="113">
        <v>70.0</v>
      </c>
      <c r="R614" s="79">
        <v>1770.0</v>
      </c>
      <c r="S614" s="56" t="str">
        <f t="shared" si="17"/>
        <v>Rentabilidad $8,500,000</v>
      </c>
      <c r="T614" s="44" t="s">
        <v>78</v>
      </c>
      <c r="U614" s="142" t="s">
        <v>184</v>
      </c>
      <c r="V614" s="50" t="s">
        <v>79</v>
      </c>
      <c r="W614" s="50"/>
      <c r="X614" s="44">
        <v>0.0</v>
      </c>
      <c r="Y614" s="50" t="s">
        <v>80</v>
      </c>
      <c r="Z614" s="80" t="s">
        <v>81</v>
      </c>
      <c r="AA614" s="59" t="str">
        <f>IF(Rentabilidad=0,"No aplica",TEXT(ROUND(Precio/Rentabilidad/12,0),0) &amp; " años")</f>
        <v>13 años</v>
      </c>
      <c r="AB614" s="220"/>
      <c r="AC614" s="61"/>
      <c r="AD614" s="62"/>
      <c r="AE614" s="63"/>
      <c r="AF614" s="64" t="s">
        <v>84</v>
      </c>
      <c r="AG614" s="63"/>
      <c r="AH614" s="65" t="s">
        <v>45</v>
      </c>
      <c r="AI614" s="63"/>
      <c r="AJ614" s="45" t="s">
        <v>3643</v>
      </c>
      <c r="AK614" s="50" t="s">
        <v>81</v>
      </c>
      <c r="AL614" s="45" t="s">
        <v>2246</v>
      </c>
      <c r="AM614" s="52">
        <v>3.173192436E9</v>
      </c>
      <c r="AN614" s="45">
        <v>3.175394988E9</v>
      </c>
      <c r="AO614" s="52"/>
      <c r="AP614" s="67" t="s">
        <v>3644</v>
      </c>
      <c r="AQ614" s="67"/>
      <c r="AR614" s="67"/>
      <c r="AS614" s="68">
        <v>8500000.0</v>
      </c>
      <c r="AT614" s="44">
        <v>0.0</v>
      </c>
      <c r="AU614" s="44">
        <v>0.0</v>
      </c>
      <c r="AV614" s="44">
        <v>0.0</v>
      </c>
      <c r="AW614" s="50" t="s">
        <v>88</v>
      </c>
      <c r="AX614" s="44">
        <v>0.0</v>
      </c>
      <c r="AY614" s="44">
        <v>0.0</v>
      </c>
      <c r="AZ614" s="44">
        <v>30.0</v>
      </c>
      <c r="BA614" s="43" t="s">
        <v>89</v>
      </c>
      <c r="BB614" s="44">
        <v>59.0</v>
      </c>
      <c r="BC614" s="86"/>
      <c r="BD614" s="71"/>
      <c r="BE614" s="71"/>
      <c r="BF614" s="72"/>
      <c r="BG614" s="73"/>
      <c r="BH614" s="73"/>
      <c r="BI614" s="73"/>
      <c r="BJ614" s="73"/>
      <c r="BK614" s="73"/>
      <c r="BL614" s="73"/>
      <c r="BM614" s="73"/>
      <c r="BN614" s="73"/>
      <c r="BO614" s="73"/>
      <c r="BP614" s="73"/>
      <c r="BQ614" s="73"/>
      <c r="BR614" s="73"/>
      <c r="BS614" s="73"/>
      <c r="BT614" s="73"/>
      <c r="BU614" s="73"/>
      <c r="BV614" s="73"/>
      <c r="BW614" s="74"/>
      <c r="BX614" s="74"/>
      <c r="BY614" s="63"/>
      <c r="BZ614" s="63"/>
    </row>
    <row r="615" ht="15.75" customHeight="1">
      <c r="A615" s="75" t="s">
        <v>3645</v>
      </c>
      <c r="B615" s="153" t="s">
        <v>3646</v>
      </c>
      <c r="C615" s="43" t="s">
        <v>315</v>
      </c>
      <c r="D615" s="58" t="s">
        <v>279</v>
      </c>
      <c r="E615" s="64"/>
      <c r="F615" s="47">
        <v>7.0E8</v>
      </c>
      <c r="G615" s="44" t="str">
        <f t="shared" si="16"/>
        <v>$500'000.000 a $1.000'000.000</v>
      </c>
      <c r="H615" s="44"/>
      <c r="I615" s="44"/>
      <c r="J615" s="50" t="s">
        <v>116</v>
      </c>
      <c r="K615" s="51"/>
      <c r="L615" s="44">
        <v>0.0</v>
      </c>
      <c r="M615" s="44"/>
      <c r="N615" s="44">
        <v>0.0</v>
      </c>
      <c r="O615" s="44">
        <v>0.0</v>
      </c>
      <c r="P615" s="44">
        <v>0.0</v>
      </c>
      <c r="Q615" s="113"/>
      <c r="R615" s="79">
        <v>1000.0</v>
      </c>
      <c r="S615" s="56" t="str">
        <f t="shared" si="17"/>
        <v> </v>
      </c>
      <c r="T615" s="44" t="s">
        <v>78</v>
      </c>
      <c r="U615" s="57"/>
      <c r="V615" s="50" t="s">
        <v>118</v>
      </c>
      <c r="W615" s="50"/>
      <c r="X615" s="44">
        <v>0.0</v>
      </c>
      <c r="Y615" s="43" t="s">
        <v>80</v>
      </c>
      <c r="Z615" s="80" t="s">
        <v>81</v>
      </c>
      <c r="AA615" s="59" t="str">
        <f>IF(Rentabilidad=0,"No aplica",TEXT(ROUND(Precio/Rentabilidad/12,0),0) &amp; " años")</f>
        <v>No aplica</v>
      </c>
      <c r="AB615" s="140" t="s">
        <v>3647</v>
      </c>
      <c r="AC615" s="131" t="s">
        <v>3648</v>
      </c>
      <c r="AD615" s="125" t="s">
        <v>3649</v>
      </c>
      <c r="AE615" s="63"/>
      <c r="AF615" s="45" t="s">
        <v>96</v>
      </c>
      <c r="AG615" s="65" t="s">
        <v>106</v>
      </c>
      <c r="AH615" s="65"/>
      <c r="AI615" s="65" t="s">
        <v>107</v>
      </c>
      <c r="AJ615" s="45" t="s">
        <v>3650</v>
      </c>
      <c r="AK615" s="58" t="s">
        <v>81</v>
      </c>
      <c r="AL615" s="45" t="s">
        <v>109</v>
      </c>
      <c r="AM615" s="52">
        <v>3.103914892E9</v>
      </c>
      <c r="AN615" s="45">
        <v>0.0</v>
      </c>
      <c r="AO615" s="116"/>
      <c r="AP615" s="67" t="s">
        <v>3651</v>
      </c>
      <c r="AQ615" s="67"/>
      <c r="AR615" s="67"/>
      <c r="AS615" s="68">
        <v>0.0</v>
      </c>
      <c r="AT615" s="44">
        <v>0.0</v>
      </c>
      <c r="AU615" s="52">
        <v>0.0</v>
      </c>
      <c r="AV615" s="52">
        <v>0.0</v>
      </c>
      <c r="AW615" s="43" t="s">
        <v>88</v>
      </c>
      <c r="AX615" s="52">
        <v>0.0</v>
      </c>
      <c r="AY615" s="52">
        <v>0.0</v>
      </c>
      <c r="AZ615" s="44">
        <v>0.0</v>
      </c>
      <c r="BA615" s="43" t="s">
        <v>89</v>
      </c>
      <c r="BB615" s="44">
        <v>0.0</v>
      </c>
      <c r="BC615" s="69"/>
      <c r="BD615" s="70"/>
      <c r="BE615" s="71"/>
      <c r="BF615" s="72" t="s">
        <v>3652</v>
      </c>
      <c r="BG615" s="73"/>
      <c r="BH615" s="73"/>
      <c r="BI615" s="73"/>
      <c r="BJ615" s="73"/>
      <c r="BK615" s="73"/>
      <c r="BL615" s="73"/>
      <c r="BM615" s="73"/>
      <c r="BN615" s="73"/>
      <c r="BO615" s="73"/>
      <c r="BP615" s="73"/>
      <c r="BQ615" s="73"/>
      <c r="BR615" s="73"/>
      <c r="BS615" s="73"/>
      <c r="BT615" s="73"/>
      <c r="BU615" s="73"/>
      <c r="BV615" s="73"/>
      <c r="BW615" s="74"/>
      <c r="BX615" s="74"/>
      <c r="BY615" s="63"/>
      <c r="BZ615" s="63"/>
    </row>
    <row r="616" ht="15.75" customHeight="1">
      <c r="A616" s="75" t="s">
        <v>3653</v>
      </c>
      <c r="B616" s="50" t="s">
        <v>3654</v>
      </c>
      <c r="C616" s="50" t="s">
        <v>315</v>
      </c>
      <c r="D616" s="50"/>
      <c r="E616" s="64"/>
      <c r="F616" s="78">
        <v>8.0E8</v>
      </c>
      <c r="G616" s="44" t="str">
        <f t="shared" si="16"/>
        <v>$500'000.000 a $1.000'000.000</v>
      </c>
      <c r="H616" s="44"/>
      <c r="I616" s="44"/>
      <c r="J616" s="50" t="s">
        <v>116</v>
      </c>
      <c r="K616" s="51"/>
      <c r="L616" s="50">
        <v>0.0</v>
      </c>
      <c r="M616" s="50"/>
      <c r="N616" s="50">
        <v>0.0</v>
      </c>
      <c r="O616" s="50">
        <v>0.0</v>
      </c>
      <c r="P616" s="50">
        <v>0.0</v>
      </c>
      <c r="Q616" s="88">
        <v>0.0</v>
      </c>
      <c r="R616" s="88">
        <v>1944.0</v>
      </c>
      <c r="S616" s="56" t="str">
        <f t="shared" si="17"/>
        <v> </v>
      </c>
      <c r="T616" s="50" t="s">
        <v>78</v>
      </c>
      <c r="U616" s="57"/>
      <c r="V616" s="44"/>
      <c r="W616" s="44"/>
      <c r="X616" s="50">
        <v>0.0</v>
      </c>
      <c r="Y616" s="50" t="s">
        <v>80</v>
      </c>
      <c r="Z616" s="58" t="s">
        <v>81</v>
      </c>
      <c r="AA616" s="59" t="str">
        <f>IF(Rentabilidad=0,"No aplica",TEXT(ROUND(Precio/Rentabilidad/12,0),0) &amp; " años")</f>
        <v>No aplica</v>
      </c>
      <c r="AB616" s="82" t="s">
        <v>3655</v>
      </c>
      <c r="AC616" s="97" t="s">
        <v>3656</v>
      </c>
      <c r="AD616" s="97" t="s">
        <v>3657</v>
      </c>
      <c r="AE616" s="63"/>
      <c r="AF616" s="64">
        <v>0.0</v>
      </c>
      <c r="AG616" s="65" t="s">
        <v>106</v>
      </c>
      <c r="AH616" s="63"/>
      <c r="AI616" s="65" t="s">
        <v>107</v>
      </c>
      <c r="AJ616" s="64" t="s">
        <v>3658</v>
      </c>
      <c r="AK616" s="50" t="s">
        <v>81</v>
      </c>
      <c r="AL616" s="45" t="s">
        <v>86</v>
      </c>
      <c r="AM616" s="50" t="s">
        <v>3659</v>
      </c>
      <c r="AN616" s="64">
        <v>0.0</v>
      </c>
      <c r="AO616" s="52"/>
      <c r="AP616" s="67"/>
      <c r="AQ616" s="67"/>
      <c r="AR616" s="67"/>
      <c r="AS616" s="94">
        <v>0.0</v>
      </c>
      <c r="AT616" s="65" t="s">
        <v>88</v>
      </c>
      <c r="AU616" s="50">
        <v>0.0</v>
      </c>
      <c r="AV616" s="50">
        <v>0.0</v>
      </c>
      <c r="AW616" s="50" t="s">
        <v>88</v>
      </c>
      <c r="AX616" s="50">
        <v>0.0</v>
      </c>
      <c r="AY616" s="50">
        <v>0.0</v>
      </c>
      <c r="AZ616" s="50">
        <v>0.0</v>
      </c>
      <c r="BA616" s="43" t="s">
        <v>89</v>
      </c>
      <c r="BB616" s="50">
        <v>0.0</v>
      </c>
      <c r="BC616" s="95"/>
      <c r="BD616" s="71"/>
      <c r="BE616" s="71"/>
      <c r="BF616" s="72" t="s">
        <v>3660</v>
      </c>
      <c r="BG616" s="73"/>
      <c r="BH616" s="73"/>
      <c r="BI616" s="73"/>
      <c r="BJ616" s="73"/>
      <c r="BK616" s="73"/>
      <c r="BL616" s="73"/>
      <c r="BM616" s="73"/>
      <c r="BN616" s="73"/>
      <c r="BO616" s="73"/>
      <c r="BP616" s="73"/>
      <c r="BQ616" s="73"/>
      <c r="BR616" s="73"/>
      <c r="BS616" s="73"/>
      <c r="BT616" s="73"/>
      <c r="BU616" s="73"/>
      <c r="BV616" s="73"/>
      <c r="BW616" s="74"/>
      <c r="BX616" s="74"/>
      <c r="BY616" s="63"/>
      <c r="BZ616" s="63"/>
    </row>
    <row r="617" ht="15.75" customHeight="1">
      <c r="A617" s="75" t="s">
        <v>3661</v>
      </c>
      <c r="B617" s="50" t="s">
        <v>3662</v>
      </c>
      <c r="C617" s="50" t="s">
        <v>128</v>
      </c>
      <c r="D617" s="50"/>
      <c r="E617" s="64" t="s">
        <v>3663</v>
      </c>
      <c r="F617" s="78">
        <v>7.8E8</v>
      </c>
      <c r="G617" s="44" t="str">
        <f t="shared" si="16"/>
        <v>$500'000.000 a $1.000'000.000</v>
      </c>
      <c r="H617" s="44"/>
      <c r="I617" s="44"/>
      <c r="J617" s="50" t="s">
        <v>116</v>
      </c>
      <c r="K617" s="51"/>
      <c r="L617" s="50">
        <v>3.0</v>
      </c>
      <c r="M617" s="50"/>
      <c r="N617" s="50">
        <v>3.0</v>
      </c>
      <c r="O617" s="50">
        <v>2.0</v>
      </c>
      <c r="P617" s="50">
        <v>2.0</v>
      </c>
      <c r="Q617" s="88">
        <v>155.0</v>
      </c>
      <c r="R617" s="89">
        <v>0.0</v>
      </c>
      <c r="S617" s="56" t="str">
        <f t="shared" si="17"/>
        <v> </v>
      </c>
      <c r="T617" s="50" t="s">
        <v>78</v>
      </c>
      <c r="U617" s="51" t="s">
        <v>154</v>
      </c>
      <c r="V617" s="50" t="s">
        <v>118</v>
      </c>
      <c r="W617" s="50"/>
      <c r="X617" s="50">
        <v>3.0</v>
      </c>
      <c r="Y617" s="50" t="s">
        <v>130</v>
      </c>
      <c r="Z617" s="58">
        <v>520000.0</v>
      </c>
      <c r="AA617" s="59" t="str">
        <f>IF(Rentabilidad=0,"No aplica",TEXT(ROUND(Precio/Rentabilidad/12,0),0) &amp; " años")</f>
        <v>No aplica</v>
      </c>
      <c r="AB617" s="82" t="s">
        <v>3664</v>
      </c>
      <c r="AC617" s="110" t="s">
        <v>3665</v>
      </c>
      <c r="AD617" s="83" t="s">
        <v>3666</v>
      </c>
      <c r="AE617" s="63"/>
      <c r="AF617" s="64" t="s">
        <v>105</v>
      </c>
      <c r="AG617" s="65" t="s">
        <v>106</v>
      </c>
      <c r="AH617" s="63"/>
      <c r="AI617" s="65" t="s">
        <v>107</v>
      </c>
      <c r="AJ617" s="64" t="s">
        <v>3658</v>
      </c>
      <c r="AK617" s="50" t="s">
        <v>81</v>
      </c>
      <c r="AL617" s="45" t="s">
        <v>109</v>
      </c>
      <c r="AM617" s="50" t="s">
        <v>3659</v>
      </c>
      <c r="AN617" s="64">
        <v>0.0</v>
      </c>
      <c r="AO617" s="52"/>
      <c r="AP617" s="67"/>
      <c r="AQ617" s="67"/>
      <c r="AR617" s="67"/>
      <c r="AS617" s="94">
        <v>0.0</v>
      </c>
      <c r="AT617" s="65">
        <v>0.0</v>
      </c>
      <c r="AU617" s="50" t="s">
        <v>106</v>
      </c>
      <c r="AV617" s="50" t="s">
        <v>106</v>
      </c>
      <c r="AW617" s="50" t="s">
        <v>88</v>
      </c>
      <c r="AX617" s="50">
        <v>0.0</v>
      </c>
      <c r="AY617" s="50">
        <v>0.0</v>
      </c>
      <c r="AZ617" s="50">
        <v>0.0</v>
      </c>
      <c r="BA617" s="43" t="s">
        <v>89</v>
      </c>
      <c r="BB617" s="50">
        <v>0.0</v>
      </c>
      <c r="BC617" s="95"/>
      <c r="BD617" s="71"/>
      <c r="BE617" s="71"/>
      <c r="BF617" s="72" t="s">
        <v>3667</v>
      </c>
      <c r="BG617" s="73"/>
      <c r="BH617" s="73"/>
      <c r="BI617" s="73"/>
      <c r="BJ617" s="73"/>
      <c r="BK617" s="73"/>
      <c r="BL617" s="73"/>
      <c r="BM617" s="73"/>
      <c r="BN617" s="73"/>
      <c r="BO617" s="73"/>
      <c r="BP617" s="73"/>
      <c r="BQ617" s="73"/>
      <c r="BR617" s="73"/>
      <c r="BS617" s="73"/>
      <c r="BT617" s="73"/>
      <c r="BU617" s="73"/>
      <c r="BV617" s="73"/>
      <c r="BW617" s="74"/>
      <c r="BX617" s="74"/>
      <c r="BY617" s="63"/>
      <c r="BZ617" s="63"/>
    </row>
    <row r="618" ht="15.75" customHeight="1">
      <c r="A618" s="75" t="s">
        <v>3668</v>
      </c>
      <c r="B618" s="50" t="s">
        <v>3669</v>
      </c>
      <c r="C618" s="50" t="s">
        <v>70</v>
      </c>
      <c r="D618" s="50" t="s">
        <v>430</v>
      </c>
      <c r="E618" s="64"/>
      <c r="F618" s="78">
        <v>5.9E8</v>
      </c>
      <c r="G618" s="44" t="str">
        <f t="shared" si="16"/>
        <v>$500'000.000 a $1.000'000.000</v>
      </c>
      <c r="H618" s="44"/>
      <c r="I618" s="44"/>
      <c r="J618" s="50" t="s">
        <v>183</v>
      </c>
      <c r="K618" s="51" t="s">
        <v>184</v>
      </c>
      <c r="L618" s="50">
        <v>4.0</v>
      </c>
      <c r="M618" s="50"/>
      <c r="N618" s="50">
        <v>3.0</v>
      </c>
      <c r="O618" s="50">
        <v>4.0</v>
      </c>
      <c r="P618" s="50">
        <v>2.0</v>
      </c>
      <c r="Q618" s="88">
        <v>250.0</v>
      </c>
      <c r="R618" s="88">
        <v>183.0</v>
      </c>
      <c r="S618" s="56" t="str">
        <f t="shared" si="17"/>
        <v> </v>
      </c>
      <c r="T618" s="50" t="s">
        <v>78</v>
      </c>
      <c r="U618" s="51" t="s">
        <v>77</v>
      </c>
      <c r="V618" s="50" t="s">
        <v>118</v>
      </c>
      <c r="W618" s="50"/>
      <c r="X618" s="50">
        <v>4.0</v>
      </c>
      <c r="Y618" s="50" t="s">
        <v>80</v>
      </c>
      <c r="Z618" s="58" t="s">
        <v>81</v>
      </c>
      <c r="AA618" s="59" t="str">
        <f>IF(Rentabilidad=0,"No aplica",TEXT(ROUND(Precio/Rentabilidad/12,0),0) &amp; " años")</f>
        <v>No aplica</v>
      </c>
      <c r="AB618" s="82" t="s">
        <v>3670</v>
      </c>
      <c r="AC618" s="83" t="s">
        <v>3671</v>
      </c>
      <c r="AD618" s="83" t="s">
        <v>3672</v>
      </c>
      <c r="AE618" s="63"/>
      <c r="AF618" s="64" t="s">
        <v>105</v>
      </c>
      <c r="AG618" s="65" t="s">
        <v>106</v>
      </c>
      <c r="AH618" s="63"/>
      <c r="AI618" s="65" t="s">
        <v>107</v>
      </c>
      <c r="AJ618" s="64" t="s">
        <v>3658</v>
      </c>
      <c r="AK618" s="50" t="s">
        <v>81</v>
      </c>
      <c r="AL618" s="45" t="s">
        <v>86</v>
      </c>
      <c r="AM618" s="50" t="s">
        <v>3659</v>
      </c>
      <c r="AN618" s="64">
        <v>0.0</v>
      </c>
      <c r="AO618" s="52"/>
      <c r="AP618" s="67"/>
      <c r="AQ618" s="67"/>
      <c r="AR618" s="67"/>
      <c r="AS618" s="94">
        <v>0.0</v>
      </c>
      <c r="AT618" s="65" t="s">
        <v>88</v>
      </c>
      <c r="AU618" s="50">
        <v>0.0</v>
      </c>
      <c r="AV618" s="50">
        <v>0.0</v>
      </c>
      <c r="AW618" s="50" t="s">
        <v>106</v>
      </c>
      <c r="AX618" s="50">
        <v>0.0</v>
      </c>
      <c r="AY618" s="50">
        <v>0.0</v>
      </c>
      <c r="AZ618" s="50">
        <v>0.0</v>
      </c>
      <c r="BA618" s="43" t="s">
        <v>89</v>
      </c>
      <c r="BB618" s="50">
        <v>0.0</v>
      </c>
      <c r="BC618" s="95"/>
      <c r="BD618" s="71"/>
      <c r="BE618" s="71"/>
      <c r="BF618" s="72" t="s">
        <v>3673</v>
      </c>
      <c r="BG618" s="73"/>
      <c r="BH618" s="73"/>
      <c r="BI618" s="73"/>
      <c r="BJ618" s="73"/>
      <c r="BK618" s="73"/>
      <c r="BL618" s="73"/>
      <c r="BM618" s="73"/>
      <c r="BN618" s="73"/>
      <c r="BO618" s="73"/>
      <c r="BP618" s="73"/>
      <c r="BQ618" s="73"/>
      <c r="BR618" s="73"/>
      <c r="BS618" s="73"/>
      <c r="BT618" s="73"/>
      <c r="BU618" s="73"/>
      <c r="BV618" s="73"/>
      <c r="BW618" s="74"/>
      <c r="BX618" s="74"/>
      <c r="BY618" s="63"/>
      <c r="BZ618" s="63"/>
    </row>
    <row r="619" ht="15.75" customHeight="1">
      <c r="A619" s="75" t="s">
        <v>3674</v>
      </c>
      <c r="B619" s="50" t="s">
        <v>190</v>
      </c>
      <c r="C619" s="50" t="s">
        <v>70</v>
      </c>
      <c r="D619" s="50" t="s">
        <v>191</v>
      </c>
      <c r="E619" s="64"/>
      <c r="F619" s="78">
        <v>3.9E8</v>
      </c>
      <c r="G619" s="44" t="str">
        <f t="shared" si="16"/>
        <v>$300'000.000 a $400'000.000</v>
      </c>
      <c r="H619" s="44"/>
      <c r="I619" s="44"/>
      <c r="J619" s="50" t="s">
        <v>116</v>
      </c>
      <c r="K619" s="51" t="s">
        <v>192</v>
      </c>
      <c r="L619" s="50">
        <v>4.0</v>
      </c>
      <c r="M619" s="50"/>
      <c r="N619" s="50">
        <v>3.0</v>
      </c>
      <c r="O619" s="50">
        <v>4.0</v>
      </c>
      <c r="P619" s="50">
        <v>1.0</v>
      </c>
      <c r="Q619" s="88">
        <v>138.0</v>
      </c>
      <c r="R619" s="88">
        <v>249.0</v>
      </c>
      <c r="S619" s="56" t="str">
        <f t="shared" si="17"/>
        <v> </v>
      </c>
      <c r="T619" s="50" t="s">
        <v>78</v>
      </c>
      <c r="U619" s="51" t="s">
        <v>184</v>
      </c>
      <c r="V619" s="50" t="s">
        <v>118</v>
      </c>
      <c r="W619" s="50"/>
      <c r="X619" s="50">
        <v>3.0</v>
      </c>
      <c r="Y619" s="50" t="s">
        <v>80</v>
      </c>
      <c r="Z619" s="58" t="s">
        <v>81</v>
      </c>
      <c r="AA619" s="59" t="str">
        <f>IF(Rentabilidad=0,"No aplica",TEXT(ROUND(Precio/Rentabilidad/12,0),0) &amp; " años")</f>
        <v>No aplica</v>
      </c>
      <c r="AB619" s="82" t="s">
        <v>3675</v>
      </c>
      <c r="AC619" s="83" t="s">
        <v>3676</v>
      </c>
      <c r="AD619" s="83" t="s">
        <v>3677</v>
      </c>
      <c r="AE619" s="63"/>
      <c r="AF619" s="64" t="s">
        <v>105</v>
      </c>
      <c r="AG619" s="65" t="s">
        <v>106</v>
      </c>
      <c r="AH619" s="63"/>
      <c r="AI619" s="65" t="s">
        <v>107</v>
      </c>
      <c r="AJ619" s="64" t="s">
        <v>3658</v>
      </c>
      <c r="AK619" s="50" t="s">
        <v>81</v>
      </c>
      <c r="AL619" s="45" t="s">
        <v>109</v>
      </c>
      <c r="AM619" s="50" t="s">
        <v>3659</v>
      </c>
      <c r="AN619" s="64">
        <v>0.0</v>
      </c>
      <c r="AO619" s="52"/>
      <c r="AP619" s="67"/>
      <c r="AQ619" s="67"/>
      <c r="AR619" s="67"/>
      <c r="AS619" s="94">
        <v>0.0</v>
      </c>
      <c r="AT619" s="65">
        <v>0.0</v>
      </c>
      <c r="AU619" s="50">
        <v>0.0</v>
      </c>
      <c r="AV619" s="50">
        <v>0.0</v>
      </c>
      <c r="AW619" s="50" t="s">
        <v>88</v>
      </c>
      <c r="AX619" s="50">
        <v>0.0</v>
      </c>
      <c r="AY619" s="50">
        <v>0.0</v>
      </c>
      <c r="AZ619" s="50">
        <v>0.0</v>
      </c>
      <c r="BA619" s="43" t="s">
        <v>89</v>
      </c>
      <c r="BB619" s="50">
        <v>0.0</v>
      </c>
      <c r="BC619" s="95"/>
      <c r="BD619" s="71"/>
      <c r="BE619" s="71"/>
      <c r="BF619" s="72" t="s">
        <v>3678</v>
      </c>
      <c r="BG619" s="73"/>
      <c r="BH619" s="73"/>
      <c r="BI619" s="73"/>
      <c r="BJ619" s="73"/>
      <c r="BK619" s="73"/>
      <c r="BL619" s="73"/>
      <c r="BM619" s="73"/>
      <c r="BN619" s="73"/>
      <c r="BO619" s="73"/>
      <c r="BP619" s="73"/>
      <c r="BQ619" s="73"/>
      <c r="BR619" s="73"/>
      <c r="BS619" s="73"/>
      <c r="BT619" s="73"/>
      <c r="BU619" s="73"/>
      <c r="BV619" s="73"/>
      <c r="BW619" s="74"/>
      <c r="BX619" s="74"/>
      <c r="BY619" s="63"/>
      <c r="BZ619" s="63"/>
    </row>
    <row r="620" ht="15.75" customHeight="1">
      <c r="A620" s="75" t="s">
        <v>3679</v>
      </c>
      <c r="B620" s="50" t="s">
        <v>3680</v>
      </c>
      <c r="C620" s="50" t="s">
        <v>128</v>
      </c>
      <c r="D620" s="50"/>
      <c r="E620" s="64" t="s">
        <v>3681</v>
      </c>
      <c r="F620" s="78">
        <v>3.8E8</v>
      </c>
      <c r="G620" s="44" t="str">
        <f t="shared" si="16"/>
        <v>$300'000.000 a $400'000.000</v>
      </c>
      <c r="H620" s="44"/>
      <c r="I620" s="44"/>
      <c r="J620" s="50" t="s">
        <v>183</v>
      </c>
      <c r="K620" s="51"/>
      <c r="L620" s="50">
        <v>3.0</v>
      </c>
      <c r="M620" s="50"/>
      <c r="N620" s="50">
        <v>3.0</v>
      </c>
      <c r="O620" s="50">
        <v>1.0</v>
      </c>
      <c r="P620" s="50">
        <v>2.0</v>
      </c>
      <c r="Q620" s="88">
        <v>160.0</v>
      </c>
      <c r="R620" s="88">
        <v>96.0</v>
      </c>
      <c r="S620" s="56" t="str">
        <f t="shared" si="17"/>
        <v> </v>
      </c>
      <c r="T620" s="50" t="s">
        <v>78</v>
      </c>
      <c r="U620" s="51" t="s">
        <v>142</v>
      </c>
      <c r="V620" s="50" t="s">
        <v>79</v>
      </c>
      <c r="W620" s="50"/>
      <c r="X620" s="50">
        <v>3.0</v>
      </c>
      <c r="Y620" s="50" t="s">
        <v>130</v>
      </c>
      <c r="Z620" s="58">
        <v>360000.0</v>
      </c>
      <c r="AA620" s="59" t="str">
        <f>IF(Rentabilidad=0,"No aplica",TEXT(ROUND(Precio/Rentabilidad/12,0),0) &amp; " años")</f>
        <v>No aplica</v>
      </c>
      <c r="AB620" s="82" t="s">
        <v>3682</v>
      </c>
      <c r="AC620" s="83" t="s">
        <v>3683</v>
      </c>
      <c r="AD620" s="83" t="s">
        <v>3684</v>
      </c>
      <c r="AE620" s="63"/>
      <c r="AF620" s="64" t="s">
        <v>105</v>
      </c>
      <c r="AG620" s="65" t="s">
        <v>106</v>
      </c>
      <c r="AH620" s="63"/>
      <c r="AI620" s="65" t="s">
        <v>107</v>
      </c>
      <c r="AJ620" s="64" t="s">
        <v>3658</v>
      </c>
      <c r="AK620" s="50" t="s">
        <v>81</v>
      </c>
      <c r="AL620" s="45" t="s">
        <v>86</v>
      </c>
      <c r="AM620" s="50" t="s">
        <v>3659</v>
      </c>
      <c r="AN620" s="64">
        <v>0.0</v>
      </c>
      <c r="AO620" s="52"/>
      <c r="AP620" s="67"/>
      <c r="AQ620" s="67"/>
      <c r="AR620" s="67"/>
      <c r="AS620" s="94">
        <v>0.0</v>
      </c>
      <c r="AT620" s="65" t="s">
        <v>88</v>
      </c>
      <c r="AU620" s="50">
        <v>0.0</v>
      </c>
      <c r="AV620" s="50">
        <v>0.0</v>
      </c>
      <c r="AW620" s="50" t="s">
        <v>106</v>
      </c>
      <c r="AX620" s="50">
        <v>0.0</v>
      </c>
      <c r="AY620" s="50">
        <v>0.0</v>
      </c>
      <c r="AZ620" s="50">
        <v>0.0</v>
      </c>
      <c r="BA620" s="43" t="s">
        <v>89</v>
      </c>
      <c r="BB620" s="50">
        <v>0.0</v>
      </c>
      <c r="BC620" s="95"/>
      <c r="BD620" s="71"/>
      <c r="BE620" s="71"/>
      <c r="BF620" s="72" t="s">
        <v>3685</v>
      </c>
      <c r="BG620" s="73"/>
      <c r="BH620" s="73"/>
      <c r="BI620" s="73"/>
      <c r="BJ620" s="73"/>
      <c r="BK620" s="73"/>
      <c r="BL620" s="73"/>
      <c r="BM620" s="73"/>
      <c r="BN620" s="73"/>
      <c r="BO620" s="73"/>
      <c r="BP620" s="73"/>
      <c r="BQ620" s="73"/>
      <c r="BR620" s="73"/>
      <c r="BS620" s="73"/>
      <c r="BT620" s="73"/>
      <c r="BU620" s="73"/>
      <c r="BV620" s="73"/>
      <c r="BW620" s="74"/>
      <c r="BX620" s="74"/>
      <c r="BY620" s="63"/>
      <c r="BZ620" s="63"/>
    </row>
    <row r="621" ht="15.75" customHeight="1">
      <c r="A621" s="75" t="s">
        <v>3686</v>
      </c>
      <c r="B621" s="50" t="s">
        <v>3687</v>
      </c>
      <c r="C621" s="50" t="s">
        <v>70</v>
      </c>
      <c r="D621" s="50" t="s">
        <v>3688</v>
      </c>
      <c r="E621" s="64"/>
      <c r="F621" s="78">
        <v>3.8E8</v>
      </c>
      <c r="G621" s="44" t="str">
        <f t="shared" si="16"/>
        <v>$300'000.000 a $400'000.000</v>
      </c>
      <c r="H621" s="44"/>
      <c r="I621" s="44"/>
      <c r="J621" s="50" t="s">
        <v>116</v>
      </c>
      <c r="K621" s="51" t="s">
        <v>192</v>
      </c>
      <c r="L621" s="50">
        <v>4.0</v>
      </c>
      <c r="M621" s="50"/>
      <c r="N621" s="50">
        <v>4.0</v>
      </c>
      <c r="O621" s="50">
        <v>1.0</v>
      </c>
      <c r="P621" s="50">
        <v>2.0</v>
      </c>
      <c r="Q621" s="88">
        <v>140.0</v>
      </c>
      <c r="R621" s="88">
        <v>80.0</v>
      </c>
      <c r="S621" s="56" t="str">
        <f t="shared" si="17"/>
        <v> </v>
      </c>
      <c r="T621" s="50" t="s">
        <v>78</v>
      </c>
      <c r="U621" s="51" t="s">
        <v>77</v>
      </c>
      <c r="V621" s="50" t="s">
        <v>79</v>
      </c>
      <c r="W621" s="50"/>
      <c r="X621" s="50">
        <v>4.0</v>
      </c>
      <c r="Y621" s="50" t="s">
        <v>80</v>
      </c>
      <c r="Z621" s="80" t="s">
        <v>81</v>
      </c>
      <c r="AA621" s="59" t="str">
        <f>IF(Rentabilidad=0,"No aplica",TEXT(ROUND(Precio/Rentabilidad/12,0),0) &amp; " años")</f>
        <v>No aplica</v>
      </c>
      <c r="AB621" s="100" t="s">
        <v>3689</v>
      </c>
      <c r="AC621" s="169" t="s">
        <v>3690</v>
      </c>
      <c r="AD621" s="83" t="s">
        <v>3691</v>
      </c>
      <c r="AE621" s="63"/>
      <c r="AF621" s="64" t="s">
        <v>105</v>
      </c>
      <c r="AG621" s="65" t="s">
        <v>106</v>
      </c>
      <c r="AH621" s="63"/>
      <c r="AI621" s="65" t="s">
        <v>107</v>
      </c>
      <c r="AJ621" s="64" t="s">
        <v>3658</v>
      </c>
      <c r="AK621" s="50" t="s">
        <v>81</v>
      </c>
      <c r="AL621" s="45" t="s">
        <v>109</v>
      </c>
      <c r="AM621" s="50" t="s">
        <v>3659</v>
      </c>
      <c r="AN621" s="64">
        <v>0.0</v>
      </c>
      <c r="AO621" s="312"/>
      <c r="AP621" s="312"/>
      <c r="AQ621" s="313"/>
      <c r="AR621" s="313"/>
      <c r="AS621" s="314">
        <v>0.0</v>
      </c>
      <c r="AT621" s="232">
        <v>0.0</v>
      </c>
      <c r="AU621" s="315">
        <v>0.0</v>
      </c>
      <c r="AV621" s="315">
        <v>0.0</v>
      </c>
      <c r="AW621" s="315" t="s">
        <v>106</v>
      </c>
      <c r="AX621" s="313">
        <v>0.0</v>
      </c>
      <c r="AY621" s="315" t="s">
        <v>106</v>
      </c>
      <c r="AZ621" s="315">
        <v>0.0</v>
      </c>
      <c r="BA621" s="316" t="s">
        <v>89</v>
      </c>
      <c r="BB621" s="315">
        <v>0.0</v>
      </c>
      <c r="BC621" s="95"/>
      <c r="BD621" s="71"/>
      <c r="BE621" s="71"/>
      <c r="BF621" s="72" t="s">
        <v>3692</v>
      </c>
      <c r="BG621" s="73"/>
      <c r="BH621" s="73"/>
      <c r="BI621" s="73"/>
      <c r="BJ621" s="73"/>
      <c r="BK621" s="73"/>
      <c r="BL621" s="73"/>
      <c r="BM621" s="73"/>
      <c r="BN621" s="73"/>
      <c r="BO621" s="73"/>
      <c r="BP621" s="73"/>
      <c r="BQ621" s="73"/>
      <c r="BR621" s="73"/>
      <c r="BS621" s="73"/>
      <c r="BT621" s="73"/>
      <c r="BU621" s="73"/>
      <c r="BV621" s="73"/>
      <c r="BW621" s="74"/>
      <c r="BX621" s="74"/>
      <c r="BY621" s="63"/>
      <c r="BZ621" s="63"/>
    </row>
    <row r="622" ht="15.75" customHeight="1">
      <c r="A622" s="75" t="s">
        <v>3693</v>
      </c>
      <c r="B622" s="50" t="s">
        <v>3687</v>
      </c>
      <c r="C622" s="50" t="s">
        <v>70</v>
      </c>
      <c r="D622" s="50" t="s">
        <v>3688</v>
      </c>
      <c r="E622" s="64"/>
      <c r="F622" s="78">
        <v>3.7E8</v>
      </c>
      <c r="G622" s="44" t="str">
        <f t="shared" si="16"/>
        <v>$300'000.000 a $400'000.000</v>
      </c>
      <c r="H622" s="44"/>
      <c r="I622" s="44"/>
      <c r="J622" s="50" t="s">
        <v>116</v>
      </c>
      <c r="K622" s="51" t="s">
        <v>192</v>
      </c>
      <c r="L622" s="50">
        <v>3.0</v>
      </c>
      <c r="M622" s="50"/>
      <c r="N622" s="50">
        <v>2.0</v>
      </c>
      <c r="O622" s="50">
        <v>1.0</v>
      </c>
      <c r="P622" s="50">
        <v>2.0</v>
      </c>
      <c r="Q622" s="88">
        <v>140.0</v>
      </c>
      <c r="R622" s="88">
        <v>80.0</v>
      </c>
      <c r="S622" s="56" t="str">
        <f t="shared" si="17"/>
        <v> </v>
      </c>
      <c r="T622" s="50" t="s">
        <v>78</v>
      </c>
      <c r="U622" s="51" t="s">
        <v>77</v>
      </c>
      <c r="V622" s="50" t="s">
        <v>79</v>
      </c>
      <c r="W622" s="50"/>
      <c r="X622" s="50">
        <v>3.0</v>
      </c>
      <c r="Y622" s="50" t="s">
        <v>80</v>
      </c>
      <c r="Z622" s="58" t="s">
        <v>81</v>
      </c>
      <c r="AA622" s="59" t="str">
        <f>IF(Rentabilidad=0,"No aplica",TEXT(ROUND(Precio/Rentabilidad/12,0),0) &amp; " años")</f>
        <v>No aplica</v>
      </c>
      <c r="AB622" s="82" t="s">
        <v>3694</v>
      </c>
      <c r="AC622" s="83" t="s">
        <v>3695</v>
      </c>
      <c r="AD622" s="83" t="s">
        <v>3696</v>
      </c>
      <c r="AE622" s="63"/>
      <c r="AF622" s="64" t="s">
        <v>105</v>
      </c>
      <c r="AG622" s="65" t="s">
        <v>106</v>
      </c>
      <c r="AH622" s="63"/>
      <c r="AI622" s="65" t="s">
        <v>107</v>
      </c>
      <c r="AJ622" s="64" t="s">
        <v>3658</v>
      </c>
      <c r="AK622" s="50" t="s">
        <v>81</v>
      </c>
      <c r="AL622" s="45" t="s">
        <v>86</v>
      </c>
      <c r="AM622" s="50" t="s">
        <v>3659</v>
      </c>
      <c r="AN622" s="64">
        <v>0.0</v>
      </c>
      <c r="AO622" s="52"/>
      <c r="AP622" s="67"/>
      <c r="AQ622" s="67"/>
      <c r="AR622" s="67"/>
      <c r="AS622" s="94">
        <v>0.0</v>
      </c>
      <c r="AT622" s="65" t="s">
        <v>88</v>
      </c>
      <c r="AU622" s="50">
        <v>0.0</v>
      </c>
      <c r="AV622" s="50">
        <v>0.0</v>
      </c>
      <c r="AW622" s="50" t="s">
        <v>106</v>
      </c>
      <c r="AX622" s="50">
        <v>0.0</v>
      </c>
      <c r="AY622" s="50" t="s">
        <v>106</v>
      </c>
      <c r="AZ622" s="50">
        <v>0.0</v>
      </c>
      <c r="BA622" s="43" t="s">
        <v>89</v>
      </c>
      <c r="BB622" s="50">
        <v>0.0</v>
      </c>
      <c r="BC622" s="95"/>
      <c r="BD622" s="71"/>
      <c r="BE622" s="71"/>
      <c r="BF622" s="72" t="s">
        <v>3697</v>
      </c>
      <c r="BG622" s="73"/>
      <c r="BH622" s="73"/>
      <c r="BI622" s="73"/>
      <c r="BJ622" s="73"/>
      <c r="BK622" s="73"/>
      <c r="BL622" s="73"/>
      <c r="BM622" s="73"/>
      <c r="BN622" s="73"/>
      <c r="BO622" s="73"/>
      <c r="BP622" s="73"/>
      <c r="BQ622" s="73"/>
      <c r="BR622" s="73"/>
      <c r="BS622" s="73"/>
      <c r="BT622" s="73"/>
      <c r="BU622" s="73"/>
      <c r="BV622" s="73"/>
      <c r="BW622" s="74"/>
      <c r="BX622" s="74"/>
      <c r="BY622" s="63"/>
      <c r="BZ622" s="63"/>
    </row>
    <row r="623" ht="15.75" customHeight="1">
      <c r="A623" s="75" t="s">
        <v>3698</v>
      </c>
      <c r="B623" s="50" t="s">
        <v>3699</v>
      </c>
      <c r="C623" s="50" t="s">
        <v>128</v>
      </c>
      <c r="D623" s="50"/>
      <c r="E623" s="64" t="s">
        <v>3700</v>
      </c>
      <c r="F623" s="78">
        <v>3.5E8</v>
      </c>
      <c r="G623" s="44" t="str">
        <f t="shared" si="16"/>
        <v>$300'000.000 a $400'000.000</v>
      </c>
      <c r="H623" s="44"/>
      <c r="I623" s="44"/>
      <c r="J623" s="50" t="s">
        <v>116</v>
      </c>
      <c r="K623" s="51"/>
      <c r="L623" s="50">
        <v>3.0</v>
      </c>
      <c r="M623" s="50"/>
      <c r="N623" s="50">
        <v>3.0</v>
      </c>
      <c r="O623" s="50">
        <v>1.0</v>
      </c>
      <c r="P623" s="50">
        <v>2.0</v>
      </c>
      <c r="Q623" s="88">
        <v>120.0</v>
      </c>
      <c r="R623" s="88">
        <v>75.0</v>
      </c>
      <c r="S623" s="56" t="str">
        <f t="shared" si="17"/>
        <v> </v>
      </c>
      <c r="T623" s="50" t="s">
        <v>78</v>
      </c>
      <c r="U623" s="51" t="s">
        <v>142</v>
      </c>
      <c r="V623" s="50" t="s">
        <v>79</v>
      </c>
      <c r="W623" s="50"/>
      <c r="X623" s="50">
        <v>3.0</v>
      </c>
      <c r="Y623" s="50" t="s">
        <v>130</v>
      </c>
      <c r="Z623" s="58">
        <v>420000.0</v>
      </c>
      <c r="AA623" s="59" t="str">
        <f>IF(Rentabilidad=0,"No aplica",TEXT(ROUND(Precio/Rentabilidad/12,0),0) &amp; " años")</f>
        <v>No aplica</v>
      </c>
      <c r="AB623" s="82" t="s">
        <v>3701</v>
      </c>
      <c r="AC623" s="83" t="s">
        <v>3702</v>
      </c>
      <c r="AD623" s="110" t="s">
        <v>3703</v>
      </c>
      <c r="AE623" s="63"/>
      <c r="AF623" s="64" t="s">
        <v>105</v>
      </c>
      <c r="AG623" s="65" t="s">
        <v>106</v>
      </c>
      <c r="AH623" s="63"/>
      <c r="AI623" s="65" t="s">
        <v>107</v>
      </c>
      <c r="AJ623" s="64" t="s">
        <v>3658</v>
      </c>
      <c r="AK623" s="50" t="s">
        <v>81</v>
      </c>
      <c r="AL623" s="45" t="s">
        <v>86</v>
      </c>
      <c r="AM623" s="50" t="s">
        <v>3659</v>
      </c>
      <c r="AN623" s="64">
        <v>0.0</v>
      </c>
      <c r="AO623" s="52"/>
      <c r="AP623" s="67"/>
      <c r="AQ623" s="67"/>
      <c r="AR623" s="67"/>
      <c r="AS623" s="94">
        <v>0.0</v>
      </c>
      <c r="AT623" s="65" t="s">
        <v>88</v>
      </c>
      <c r="AU623" s="50">
        <v>0.0</v>
      </c>
      <c r="AV623" s="50">
        <v>0.0</v>
      </c>
      <c r="AW623" s="50" t="s">
        <v>88</v>
      </c>
      <c r="AX623" s="50">
        <v>0.0</v>
      </c>
      <c r="AY623" s="50">
        <v>0.0</v>
      </c>
      <c r="AZ623" s="50">
        <v>0.0</v>
      </c>
      <c r="BA623" s="43" t="s">
        <v>89</v>
      </c>
      <c r="BB623" s="50">
        <v>0.0</v>
      </c>
      <c r="BC623" s="95"/>
      <c r="BD623" s="71"/>
      <c r="BE623" s="71"/>
      <c r="BF623" s="72" t="s">
        <v>3704</v>
      </c>
      <c r="BG623" s="73"/>
      <c r="BH623" s="73"/>
      <c r="BI623" s="73"/>
      <c r="BJ623" s="73"/>
      <c r="BK623" s="73"/>
      <c r="BL623" s="73"/>
      <c r="BM623" s="73"/>
      <c r="BN623" s="73"/>
      <c r="BO623" s="73"/>
      <c r="BP623" s="73"/>
      <c r="BQ623" s="73"/>
      <c r="BR623" s="73"/>
      <c r="BS623" s="73"/>
      <c r="BT623" s="73"/>
      <c r="BU623" s="73"/>
      <c r="BV623" s="73"/>
      <c r="BW623" s="74"/>
      <c r="BX623" s="74"/>
      <c r="BY623" s="63"/>
      <c r="BZ623" s="63"/>
    </row>
    <row r="624" ht="15.75" customHeight="1">
      <c r="A624" s="133" t="s">
        <v>3705</v>
      </c>
      <c r="B624" s="43" t="s">
        <v>3706</v>
      </c>
      <c r="C624" s="43" t="s">
        <v>128</v>
      </c>
      <c r="D624" s="290"/>
      <c r="E624" s="64" t="s">
        <v>1689</v>
      </c>
      <c r="F624" s="78">
        <v>3.5E8</v>
      </c>
      <c r="G624" s="44" t="str">
        <f t="shared" si="16"/>
        <v>$300'000.000 a $400'000.000</v>
      </c>
      <c r="H624" s="44"/>
      <c r="I624" s="44"/>
      <c r="J624" s="43" t="s">
        <v>183</v>
      </c>
      <c r="K624" s="142"/>
      <c r="L624" s="43">
        <v>3.0</v>
      </c>
      <c r="M624" s="43"/>
      <c r="N624" s="43">
        <v>3.0</v>
      </c>
      <c r="O624" s="43">
        <v>1.0</v>
      </c>
      <c r="P624" s="43">
        <v>2.0</v>
      </c>
      <c r="Q624" s="79">
        <v>96.0</v>
      </c>
      <c r="R624" s="79">
        <v>170.0</v>
      </c>
      <c r="S624" s="56" t="str">
        <f t="shared" si="17"/>
        <v> </v>
      </c>
      <c r="T624" s="43" t="s">
        <v>78</v>
      </c>
      <c r="U624" s="56" t="s">
        <v>142</v>
      </c>
      <c r="V624" s="43" t="s">
        <v>79</v>
      </c>
      <c r="W624" s="43"/>
      <c r="X624" s="43">
        <v>3.0</v>
      </c>
      <c r="Y624" s="43" t="s">
        <v>130</v>
      </c>
      <c r="Z624" s="58">
        <v>360000.0</v>
      </c>
      <c r="AA624" s="81" t="s">
        <v>81</v>
      </c>
      <c r="AB624" s="180" t="s">
        <v>3707</v>
      </c>
      <c r="AC624" s="124" t="s">
        <v>3708</v>
      </c>
      <c r="AD624" s="107" t="s">
        <v>3709</v>
      </c>
      <c r="AE624" s="63"/>
      <c r="AF624" s="64" t="s">
        <v>105</v>
      </c>
      <c r="AG624" s="65" t="s">
        <v>106</v>
      </c>
      <c r="AH624" s="63"/>
      <c r="AI624" s="65" t="s">
        <v>107</v>
      </c>
      <c r="AJ624" s="64" t="s">
        <v>3658</v>
      </c>
      <c r="AK624" s="50" t="s">
        <v>81</v>
      </c>
      <c r="AL624" s="45" t="s">
        <v>109</v>
      </c>
      <c r="AM624" s="50" t="s">
        <v>3659</v>
      </c>
      <c r="AN624" s="64">
        <v>0.0</v>
      </c>
      <c r="AO624" s="43">
        <v>0.0</v>
      </c>
      <c r="AP624" s="84">
        <v>0.0</v>
      </c>
      <c r="AQ624" s="84"/>
      <c r="AR624" s="84"/>
      <c r="AS624" s="85">
        <v>0.0</v>
      </c>
      <c r="AT624" s="50" t="s">
        <v>88</v>
      </c>
      <c r="AU624" s="50">
        <v>0.0</v>
      </c>
      <c r="AV624" s="50">
        <v>0.0</v>
      </c>
      <c r="AW624" s="50" t="s">
        <v>88</v>
      </c>
      <c r="AX624" s="50">
        <v>0.0</v>
      </c>
      <c r="AY624" s="50">
        <v>0.0</v>
      </c>
      <c r="AZ624" s="50">
        <v>0.0</v>
      </c>
      <c r="BA624" s="43" t="s">
        <v>89</v>
      </c>
      <c r="BB624" s="50">
        <v>0.0</v>
      </c>
      <c r="BC624" s="127" t="s">
        <v>732</v>
      </c>
      <c r="BD624" s="128"/>
      <c r="BE624" s="129"/>
      <c r="BF624" s="72" t="s">
        <v>3710</v>
      </c>
      <c r="BG624" s="73"/>
      <c r="BH624" s="73"/>
      <c r="BI624" s="73"/>
      <c r="BJ624" s="73"/>
      <c r="BK624" s="73"/>
      <c r="BL624" s="73"/>
      <c r="BM624" s="73"/>
      <c r="BN624" s="73"/>
      <c r="BO624" s="73"/>
      <c r="BP624" s="73"/>
      <c r="BQ624" s="73"/>
      <c r="BR624" s="73"/>
      <c r="BS624" s="73"/>
      <c r="BT624" s="73"/>
      <c r="BU624" s="73"/>
      <c r="BV624" s="73"/>
      <c r="BW624" s="74"/>
      <c r="BX624" s="74"/>
      <c r="BY624" s="63"/>
      <c r="BZ624" s="63"/>
    </row>
    <row r="625" ht="15.75" customHeight="1">
      <c r="A625" s="75" t="s">
        <v>3711</v>
      </c>
      <c r="B625" s="50" t="s">
        <v>3712</v>
      </c>
      <c r="C625" s="50" t="s">
        <v>70</v>
      </c>
      <c r="D625" s="50" t="s">
        <v>3713</v>
      </c>
      <c r="E625" s="64"/>
      <c r="F625" s="78">
        <v>3.3E8</v>
      </c>
      <c r="G625" s="44" t="str">
        <f t="shared" si="16"/>
        <v>$300'000.000 a $400'000.000</v>
      </c>
      <c r="H625" s="44"/>
      <c r="I625" s="44"/>
      <c r="J625" s="50" t="s">
        <v>183</v>
      </c>
      <c r="K625" s="51"/>
      <c r="L625" s="50">
        <v>4.0</v>
      </c>
      <c r="M625" s="50"/>
      <c r="N625" s="50">
        <v>2.0</v>
      </c>
      <c r="O625" s="50">
        <v>2.0</v>
      </c>
      <c r="P625" s="50">
        <v>1.0</v>
      </c>
      <c r="Q625" s="88">
        <v>120.0</v>
      </c>
      <c r="R625" s="88">
        <v>120.0</v>
      </c>
      <c r="S625" s="56" t="str">
        <f t="shared" si="17"/>
        <v> </v>
      </c>
      <c r="T625" s="50" t="s">
        <v>78</v>
      </c>
      <c r="U625" s="51" t="s">
        <v>77</v>
      </c>
      <c r="V625" s="50" t="s">
        <v>79</v>
      </c>
      <c r="W625" s="50"/>
      <c r="X625" s="50">
        <v>3.0</v>
      </c>
      <c r="Y625" s="50" t="s">
        <v>80</v>
      </c>
      <c r="Z625" s="58" t="s">
        <v>81</v>
      </c>
      <c r="AA625" s="59" t="str">
        <f>IF(Rentabilidad=0,"No aplica",TEXT(ROUND(Precio/Rentabilidad/12,0),0) &amp; " años")</f>
        <v>No aplica</v>
      </c>
      <c r="AB625" s="82" t="s">
        <v>3714</v>
      </c>
      <c r="AC625" s="83" t="s">
        <v>3715</v>
      </c>
      <c r="AD625" s="83" t="s">
        <v>3716</v>
      </c>
      <c r="AE625" s="63"/>
      <c r="AF625" s="64" t="s">
        <v>105</v>
      </c>
      <c r="AG625" s="65" t="s">
        <v>106</v>
      </c>
      <c r="AH625" s="63"/>
      <c r="AI625" s="65" t="s">
        <v>107</v>
      </c>
      <c r="AJ625" s="64" t="s">
        <v>3658</v>
      </c>
      <c r="AK625" s="50" t="s">
        <v>81</v>
      </c>
      <c r="AL625" s="45" t="s">
        <v>86</v>
      </c>
      <c r="AM625" s="50" t="s">
        <v>3659</v>
      </c>
      <c r="AN625" s="64">
        <v>0.0</v>
      </c>
      <c r="AO625" s="52"/>
      <c r="AP625" s="67"/>
      <c r="AQ625" s="67"/>
      <c r="AR625" s="67"/>
      <c r="AS625" s="94">
        <v>0.0</v>
      </c>
      <c r="AT625" s="65" t="s">
        <v>88</v>
      </c>
      <c r="AU625" s="50">
        <v>0.0</v>
      </c>
      <c r="AV625" s="50">
        <v>0.0</v>
      </c>
      <c r="AW625" s="50" t="s">
        <v>106</v>
      </c>
      <c r="AX625" s="50">
        <v>0.0</v>
      </c>
      <c r="AY625" s="50">
        <v>0.0</v>
      </c>
      <c r="AZ625" s="50">
        <v>0.0</v>
      </c>
      <c r="BA625" s="43" t="s">
        <v>89</v>
      </c>
      <c r="BB625" s="50">
        <v>0.0</v>
      </c>
      <c r="BC625" s="95"/>
      <c r="BD625" s="71"/>
      <c r="BE625" s="71"/>
      <c r="BF625" s="72" t="s">
        <v>3717</v>
      </c>
      <c r="BG625" s="73"/>
      <c r="BH625" s="73"/>
      <c r="BI625" s="73"/>
      <c r="BJ625" s="73"/>
      <c r="BK625" s="73"/>
      <c r="BL625" s="73"/>
      <c r="BM625" s="73"/>
      <c r="BN625" s="73"/>
      <c r="BO625" s="73"/>
      <c r="BP625" s="73"/>
      <c r="BQ625" s="73"/>
      <c r="BR625" s="73"/>
      <c r="BS625" s="73"/>
      <c r="BT625" s="73"/>
      <c r="BU625" s="73"/>
      <c r="BV625" s="73"/>
      <c r="BW625" s="74"/>
      <c r="BX625" s="74"/>
      <c r="BY625" s="63"/>
      <c r="BZ625" s="63"/>
    </row>
    <row r="626" ht="15.75" customHeight="1">
      <c r="A626" s="75" t="s">
        <v>3718</v>
      </c>
      <c r="B626" s="50" t="s">
        <v>3719</v>
      </c>
      <c r="C626" s="50" t="s">
        <v>70</v>
      </c>
      <c r="D626" s="50" t="s">
        <v>191</v>
      </c>
      <c r="E626" s="64"/>
      <c r="F626" s="78">
        <v>3.3E8</v>
      </c>
      <c r="G626" s="44" t="str">
        <f t="shared" si="16"/>
        <v>$300'000.000 a $400'000.000</v>
      </c>
      <c r="H626" s="44"/>
      <c r="I626" s="44"/>
      <c r="J626" s="50" t="s">
        <v>116</v>
      </c>
      <c r="K626" s="51" t="s">
        <v>192</v>
      </c>
      <c r="L626" s="50">
        <v>3.0</v>
      </c>
      <c r="M626" s="50"/>
      <c r="N626" s="50">
        <v>3.0</v>
      </c>
      <c r="O626" s="50">
        <v>1.0</v>
      </c>
      <c r="P626" s="50">
        <v>2.0</v>
      </c>
      <c r="Q626" s="88">
        <v>170.0</v>
      </c>
      <c r="R626" s="88">
        <v>105.0</v>
      </c>
      <c r="S626" s="56" t="str">
        <f t="shared" si="17"/>
        <v> </v>
      </c>
      <c r="T626" s="50" t="s">
        <v>78</v>
      </c>
      <c r="U626" s="51" t="s">
        <v>77</v>
      </c>
      <c r="V626" s="50" t="s">
        <v>79</v>
      </c>
      <c r="W626" s="50"/>
      <c r="X626" s="50">
        <v>3.0</v>
      </c>
      <c r="Y626" s="50" t="s">
        <v>80</v>
      </c>
      <c r="Z626" s="91"/>
      <c r="AA626" s="59" t="str">
        <f>IF(Rentabilidad=0,"No aplica",TEXT(ROUND(Precio/Rentabilidad/12,0),0) &amp; " años")</f>
        <v>No aplica</v>
      </c>
      <c r="AB626" s="100" t="s">
        <v>3720</v>
      </c>
      <c r="AC626" s="102" t="s">
        <v>3721</v>
      </c>
      <c r="AD626" s="103" t="s">
        <v>3722</v>
      </c>
      <c r="AE626" s="63"/>
      <c r="AF626" s="45" t="s">
        <v>236</v>
      </c>
      <c r="AG626" s="65" t="s">
        <v>106</v>
      </c>
      <c r="AH626" s="63"/>
      <c r="AI626" s="65" t="s">
        <v>107</v>
      </c>
      <c r="AJ626" s="64" t="s">
        <v>3658</v>
      </c>
      <c r="AK626" s="50" t="s">
        <v>81</v>
      </c>
      <c r="AL626" s="45" t="s">
        <v>109</v>
      </c>
      <c r="AM626" s="50" t="s">
        <v>3659</v>
      </c>
      <c r="AN626" s="64">
        <v>0.0</v>
      </c>
      <c r="AO626" s="43">
        <v>0.0</v>
      </c>
      <c r="AP626" s="84">
        <v>0.0</v>
      </c>
      <c r="AQ626" s="84"/>
      <c r="AR626" s="84"/>
      <c r="AS626" s="85">
        <v>0.0</v>
      </c>
      <c r="AT626" s="50">
        <v>0.0</v>
      </c>
      <c r="AU626" s="50">
        <v>0.0</v>
      </c>
      <c r="AV626" s="50">
        <v>0.0</v>
      </c>
      <c r="AW626" s="50" t="s">
        <v>88</v>
      </c>
      <c r="AX626" s="50">
        <v>0.0</v>
      </c>
      <c r="AY626" s="50">
        <v>0.0</v>
      </c>
      <c r="AZ626" s="50">
        <v>0.0</v>
      </c>
      <c r="BA626" s="43" t="s">
        <v>89</v>
      </c>
      <c r="BB626" s="50">
        <v>0.0</v>
      </c>
      <c r="BC626" s="95"/>
      <c r="BD626" s="71"/>
      <c r="BE626" s="71"/>
      <c r="BF626" s="72" t="s">
        <v>3723</v>
      </c>
      <c r="BG626" s="73"/>
      <c r="BH626" s="73"/>
      <c r="BI626" s="73"/>
      <c r="BJ626" s="73"/>
      <c r="BK626" s="73"/>
      <c r="BL626" s="73"/>
      <c r="BM626" s="73"/>
      <c r="BN626" s="73"/>
      <c r="BO626" s="73"/>
      <c r="BP626" s="73"/>
      <c r="BQ626" s="73"/>
      <c r="BR626" s="73"/>
      <c r="BS626" s="73"/>
      <c r="BT626" s="73"/>
      <c r="BU626" s="73"/>
      <c r="BV626" s="73"/>
      <c r="BW626" s="74"/>
      <c r="BX626" s="74"/>
      <c r="BY626" s="63"/>
      <c r="BZ626" s="63"/>
    </row>
    <row r="627" ht="15.75" customHeight="1">
      <c r="A627" s="75" t="s">
        <v>3724</v>
      </c>
      <c r="B627" s="50" t="s">
        <v>3725</v>
      </c>
      <c r="C627" s="64" t="s">
        <v>340</v>
      </c>
      <c r="D627" s="50"/>
      <c r="E627" s="64" t="s">
        <v>3726</v>
      </c>
      <c r="F627" s="78">
        <v>2.8E8</v>
      </c>
      <c r="G627" s="44" t="str">
        <f t="shared" si="16"/>
        <v>$200'000.000 a $300'000.000</v>
      </c>
      <c r="H627" s="44"/>
      <c r="I627" s="44"/>
      <c r="J627" s="50" t="s">
        <v>94</v>
      </c>
      <c r="K627" s="51"/>
      <c r="L627" s="50">
        <v>0.0</v>
      </c>
      <c r="M627" s="50"/>
      <c r="N627" s="50">
        <v>0.0</v>
      </c>
      <c r="O627" s="50">
        <v>0.0</v>
      </c>
      <c r="P627" s="50">
        <v>0.0</v>
      </c>
      <c r="Q627" s="88">
        <v>0.0</v>
      </c>
      <c r="R627" s="88">
        <v>950.0</v>
      </c>
      <c r="S627" s="56" t="str">
        <f t="shared" si="17"/>
        <v> </v>
      </c>
      <c r="T627" s="50" t="s">
        <v>95</v>
      </c>
      <c r="U627" s="57"/>
      <c r="V627" s="50" t="s">
        <v>79</v>
      </c>
      <c r="W627" s="50"/>
      <c r="X627" s="50">
        <v>0.0</v>
      </c>
      <c r="Y627" s="50" t="s">
        <v>80</v>
      </c>
      <c r="Z627" s="91"/>
      <c r="AA627" s="59" t="str">
        <f>IF(Rentabilidad=0,"No aplica",TEXT(ROUND(Precio/Rentabilidad/12,0),0) &amp; " años")</f>
        <v>No aplica</v>
      </c>
      <c r="AB627" s="82" t="s">
        <v>3727</v>
      </c>
      <c r="AC627" s="83" t="s">
        <v>3728</v>
      </c>
      <c r="AD627" s="83" t="s">
        <v>3729</v>
      </c>
      <c r="AE627" s="63"/>
      <c r="AF627" s="64">
        <v>0.0</v>
      </c>
      <c r="AG627" s="65" t="s">
        <v>106</v>
      </c>
      <c r="AH627" s="63"/>
      <c r="AI627" s="65" t="s">
        <v>107</v>
      </c>
      <c r="AJ627" s="64" t="s">
        <v>3658</v>
      </c>
      <c r="AK627" s="50" t="s">
        <v>81</v>
      </c>
      <c r="AL627" s="45" t="s">
        <v>86</v>
      </c>
      <c r="AM627" s="50" t="s">
        <v>3659</v>
      </c>
      <c r="AN627" s="64">
        <v>0.0</v>
      </c>
      <c r="AO627" s="52"/>
      <c r="AP627" s="67"/>
      <c r="AQ627" s="67"/>
      <c r="AR627" s="67"/>
      <c r="AS627" s="94">
        <v>0.0</v>
      </c>
      <c r="AT627" s="65" t="s">
        <v>88</v>
      </c>
      <c r="AU627" s="50">
        <v>0.0</v>
      </c>
      <c r="AV627" s="50">
        <v>0.0</v>
      </c>
      <c r="AW627" s="50" t="s">
        <v>88</v>
      </c>
      <c r="AX627" s="50">
        <v>0.0</v>
      </c>
      <c r="AY627" s="50">
        <v>0.0</v>
      </c>
      <c r="AZ627" s="50">
        <v>0.0</v>
      </c>
      <c r="BA627" s="43" t="s">
        <v>89</v>
      </c>
      <c r="BB627" s="50">
        <v>0.0</v>
      </c>
      <c r="BC627" s="95"/>
      <c r="BD627" s="71"/>
      <c r="BE627" s="71"/>
      <c r="BF627" s="72" t="s">
        <v>3730</v>
      </c>
      <c r="BG627" s="73"/>
      <c r="BH627" s="73"/>
      <c r="BI627" s="73"/>
      <c r="BJ627" s="73"/>
      <c r="BK627" s="73"/>
      <c r="BL627" s="73"/>
      <c r="BM627" s="73"/>
      <c r="BN627" s="73"/>
      <c r="BO627" s="73"/>
      <c r="BP627" s="73"/>
      <c r="BQ627" s="73"/>
      <c r="BR627" s="73"/>
      <c r="BS627" s="73"/>
      <c r="BT627" s="73"/>
      <c r="BU627" s="73"/>
      <c r="BV627" s="73"/>
      <c r="BW627" s="74"/>
      <c r="BX627" s="74"/>
      <c r="BY627" s="63"/>
      <c r="BZ627" s="63"/>
    </row>
    <row r="628" ht="15.75" customHeight="1">
      <c r="A628" s="75" t="s">
        <v>3731</v>
      </c>
      <c r="B628" s="50" t="s">
        <v>3732</v>
      </c>
      <c r="C628" s="50" t="s">
        <v>271</v>
      </c>
      <c r="D628" s="50"/>
      <c r="E628" s="64"/>
      <c r="F628" s="78">
        <v>2.8E8</v>
      </c>
      <c r="G628" s="44" t="str">
        <f t="shared" si="16"/>
        <v>$200'000.000 a $300'000.000</v>
      </c>
      <c r="H628" s="44"/>
      <c r="I628" s="44"/>
      <c r="J628" s="50" t="s">
        <v>183</v>
      </c>
      <c r="K628" s="51"/>
      <c r="L628" s="50">
        <v>6.0</v>
      </c>
      <c r="M628" s="50"/>
      <c r="N628" s="50">
        <v>2.0</v>
      </c>
      <c r="O628" s="50">
        <v>1.0</v>
      </c>
      <c r="P628" s="50">
        <v>2.0</v>
      </c>
      <c r="Q628" s="88">
        <v>120.0</v>
      </c>
      <c r="R628" s="89">
        <v>0.0</v>
      </c>
      <c r="S628" s="56" t="str">
        <f t="shared" si="17"/>
        <v>Rentabilidad $1,200,000</v>
      </c>
      <c r="T628" s="50" t="s">
        <v>78</v>
      </c>
      <c r="U628" s="51" t="s">
        <v>184</v>
      </c>
      <c r="V628" s="50" t="s">
        <v>79</v>
      </c>
      <c r="W628" s="50"/>
      <c r="X628" s="50">
        <v>3.0</v>
      </c>
      <c r="Y628" s="50" t="s">
        <v>80</v>
      </c>
      <c r="Z628" s="58" t="s">
        <v>81</v>
      </c>
      <c r="AA628" s="59" t="str">
        <f>IF(Rentabilidad=0,"No aplica",TEXT(ROUND(Precio/Rentabilidad/12,0),0) &amp; " años")</f>
        <v>19 años</v>
      </c>
      <c r="AB628" s="82" t="s">
        <v>3733</v>
      </c>
      <c r="AC628" s="83" t="s">
        <v>3734</v>
      </c>
      <c r="AD628" s="83" t="s">
        <v>3735</v>
      </c>
      <c r="AE628" s="63"/>
      <c r="AF628" s="111" t="s">
        <v>84</v>
      </c>
      <c r="AG628" s="65" t="s">
        <v>106</v>
      </c>
      <c r="AH628" s="63"/>
      <c r="AI628" s="65" t="s">
        <v>107</v>
      </c>
      <c r="AJ628" s="64" t="s">
        <v>3658</v>
      </c>
      <c r="AK628" s="50" t="s">
        <v>81</v>
      </c>
      <c r="AL628" s="45" t="s">
        <v>86</v>
      </c>
      <c r="AM628" s="50" t="s">
        <v>3659</v>
      </c>
      <c r="AN628" s="64">
        <v>0.0</v>
      </c>
      <c r="AO628" s="52"/>
      <c r="AP628" s="67"/>
      <c r="AQ628" s="67"/>
      <c r="AR628" s="67"/>
      <c r="AS628" s="94">
        <v>1200000.0</v>
      </c>
      <c r="AT628" s="65" t="s">
        <v>88</v>
      </c>
      <c r="AU628" s="50">
        <v>0.0</v>
      </c>
      <c r="AV628" s="50">
        <v>0.0</v>
      </c>
      <c r="AW628" s="50" t="s">
        <v>106</v>
      </c>
      <c r="AX628" s="50">
        <v>0.0</v>
      </c>
      <c r="AY628" s="50">
        <v>0.0</v>
      </c>
      <c r="AZ628" s="50">
        <v>0.0</v>
      </c>
      <c r="BA628" s="43" t="s">
        <v>89</v>
      </c>
      <c r="BB628" s="50">
        <v>0.0</v>
      </c>
      <c r="BC628" s="95"/>
      <c r="BD628" s="71"/>
      <c r="BE628" s="71"/>
      <c r="BF628" s="72" t="s">
        <v>3736</v>
      </c>
      <c r="BG628" s="73"/>
      <c r="BH628" s="73"/>
      <c r="BI628" s="73"/>
      <c r="BJ628" s="73"/>
      <c r="BK628" s="73"/>
      <c r="BL628" s="73"/>
      <c r="BM628" s="73"/>
      <c r="BN628" s="73"/>
      <c r="BO628" s="73"/>
      <c r="BP628" s="73"/>
      <c r="BQ628" s="73"/>
      <c r="BR628" s="73"/>
      <c r="BS628" s="73"/>
      <c r="BT628" s="73"/>
      <c r="BU628" s="73"/>
      <c r="BV628" s="73"/>
      <c r="BW628" s="74"/>
      <c r="BX628" s="74"/>
      <c r="BY628" s="63"/>
      <c r="BZ628" s="63"/>
    </row>
    <row r="629" ht="15.75" customHeight="1">
      <c r="A629" s="75" t="s">
        <v>3737</v>
      </c>
      <c r="B629" s="50" t="s">
        <v>3738</v>
      </c>
      <c r="C629" s="50" t="s">
        <v>70</v>
      </c>
      <c r="D629" s="50" t="s">
        <v>3739</v>
      </c>
      <c r="E629" s="64"/>
      <c r="F629" s="78">
        <v>2.8E8</v>
      </c>
      <c r="G629" s="44" t="str">
        <f t="shared" si="16"/>
        <v>$200'000.000 a $300'000.000</v>
      </c>
      <c r="H629" s="44"/>
      <c r="I629" s="44"/>
      <c r="J629" s="50" t="s">
        <v>183</v>
      </c>
      <c r="K629" s="51"/>
      <c r="L629" s="50">
        <v>4.0</v>
      </c>
      <c r="M629" s="50"/>
      <c r="N629" s="50">
        <v>3.0</v>
      </c>
      <c r="O629" s="50">
        <v>1.0</v>
      </c>
      <c r="P629" s="50">
        <v>2.0</v>
      </c>
      <c r="Q629" s="88">
        <v>125.0</v>
      </c>
      <c r="R629" s="88">
        <v>84.0</v>
      </c>
      <c r="S629" s="56" t="str">
        <f t="shared" si="17"/>
        <v> </v>
      </c>
      <c r="T629" s="50" t="s">
        <v>78</v>
      </c>
      <c r="U629" s="51" t="s">
        <v>184</v>
      </c>
      <c r="V629" s="50" t="s">
        <v>79</v>
      </c>
      <c r="W629" s="50"/>
      <c r="X629" s="50">
        <v>4.0</v>
      </c>
      <c r="Y629" s="50" t="s">
        <v>80</v>
      </c>
      <c r="Z629" s="91"/>
      <c r="AA629" s="59" t="str">
        <f>IF(Rentabilidad=0,"No aplica",TEXT(ROUND(Precio/Rentabilidad/12,0),0) &amp; " años")</f>
        <v>No aplica</v>
      </c>
      <c r="AB629" s="82" t="s">
        <v>3740</v>
      </c>
      <c r="AC629" s="317" t="s">
        <v>3741</v>
      </c>
      <c r="AD629" s="83" t="s">
        <v>3742</v>
      </c>
      <c r="AE629" s="63"/>
      <c r="AF629" s="64" t="s">
        <v>105</v>
      </c>
      <c r="AG629" s="65" t="s">
        <v>106</v>
      </c>
      <c r="AH629" s="63"/>
      <c r="AI629" s="65" t="s">
        <v>107</v>
      </c>
      <c r="AJ629" s="64" t="s">
        <v>3658</v>
      </c>
      <c r="AK629" s="50" t="s">
        <v>81</v>
      </c>
      <c r="AL629" s="45" t="s">
        <v>109</v>
      </c>
      <c r="AM629" s="50" t="s">
        <v>3659</v>
      </c>
      <c r="AN629" s="64">
        <v>0.0</v>
      </c>
      <c r="AO629" s="52"/>
      <c r="AP629" s="67"/>
      <c r="AQ629" s="67"/>
      <c r="AR629" s="67"/>
      <c r="AS629" s="85">
        <v>0.0</v>
      </c>
      <c r="AT629" s="50">
        <v>0.0</v>
      </c>
      <c r="AU629" s="50">
        <v>0.0</v>
      </c>
      <c r="AV629" s="50">
        <v>0.0</v>
      </c>
      <c r="AW629" s="50" t="s">
        <v>106</v>
      </c>
      <c r="AX629" s="50">
        <v>0.0</v>
      </c>
      <c r="AY629" s="50">
        <v>0.0</v>
      </c>
      <c r="AZ629" s="50">
        <v>0.0</v>
      </c>
      <c r="BA629" s="43" t="s">
        <v>89</v>
      </c>
      <c r="BB629" s="50">
        <v>0.0</v>
      </c>
      <c r="BC629" s="95"/>
      <c r="BD629" s="71"/>
      <c r="BE629" s="71"/>
      <c r="BF629" s="72" t="s">
        <v>3743</v>
      </c>
      <c r="BG629" s="73"/>
      <c r="BH629" s="73"/>
      <c r="BI629" s="73"/>
      <c r="BJ629" s="73"/>
      <c r="BK629" s="73"/>
      <c r="BL629" s="73"/>
      <c r="BM629" s="73"/>
      <c r="BN629" s="73"/>
      <c r="BO629" s="73"/>
      <c r="BP629" s="73"/>
      <c r="BQ629" s="73"/>
      <c r="BR629" s="73"/>
      <c r="BS629" s="73"/>
      <c r="BT629" s="73"/>
      <c r="BU629" s="73"/>
      <c r="BV629" s="73"/>
      <c r="BW629" s="74"/>
      <c r="BX629" s="74"/>
      <c r="BY629" s="63"/>
      <c r="BZ629" s="63"/>
    </row>
    <row r="630" ht="15.75" customHeight="1">
      <c r="A630" s="75" t="s">
        <v>3744</v>
      </c>
      <c r="B630" s="50" t="s">
        <v>3745</v>
      </c>
      <c r="C630" s="50" t="s">
        <v>70</v>
      </c>
      <c r="D630" s="50" t="s">
        <v>720</v>
      </c>
      <c r="E630" s="64"/>
      <c r="F630" s="78">
        <v>2.7E8</v>
      </c>
      <c r="G630" s="44" t="str">
        <f t="shared" si="16"/>
        <v>$200'000.000 a $300'000.000</v>
      </c>
      <c r="H630" s="44"/>
      <c r="I630" s="44"/>
      <c r="J630" s="50" t="s">
        <v>94</v>
      </c>
      <c r="K630" s="51" t="s">
        <v>117</v>
      </c>
      <c r="L630" s="50">
        <v>4.0</v>
      </c>
      <c r="M630" s="50"/>
      <c r="N630" s="50">
        <v>3.0</v>
      </c>
      <c r="O630" s="50">
        <v>1.0</v>
      </c>
      <c r="P630" s="50">
        <v>2.0</v>
      </c>
      <c r="Q630" s="318">
        <v>125.0</v>
      </c>
      <c r="R630" s="318">
        <v>84.0</v>
      </c>
      <c r="S630" s="56" t="str">
        <f t="shared" si="17"/>
        <v> </v>
      </c>
      <c r="T630" s="50" t="s">
        <v>78</v>
      </c>
      <c r="U630" s="51" t="s">
        <v>184</v>
      </c>
      <c r="V630" s="50" t="s">
        <v>79</v>
      </c>
      <c r="W630" s="50"/>
      <c r="X630" s="50">
        <v>4.0</v>
      </c>
      <c r="Y630" s="50" t="s">
        <v>80</v>
      </c>
      <c r="Z630" s="91"/>
      <c r="AA630" s="281" t="str">
        <f>IF(Rentabilidad=0,"No aplica",TEXT(ROUND(Precio/Rentabilidad/12,0),0) &amp; " años")</f>
        <v>No aplica</v>
      </c>
      <c r="AB630" s="82" t="s">
        <v>3746</v>
      </c>
      <c r="AC630" s="319" t="s">
        <v>3747</v>
      </c>
      <c r="AD630" s="320" t="s">
        <v>3748</v>
      </c>
      <c r="AE630" s="44"/>
      <c r="AF630" s="45" t="s">
        <v>236</v>
      </c>
      <c r="AG630" s="50" t="s">
        <v>106</v>
      </c>
      <c r="AH630" s="44"/>
      <c r="AI630" s="50" t="s">
        <v>107</v>
      </c>
      <c r="AJ630" s="64" t="s">
        <v>3658</v>
      </c>
      <c r="AK630" s="50" t="s">
        <v>81</v>
      </c>
      <c r="AL630" s="45" t="s">
        <v>109</v>
      </c>
      <c r="AM630" s="50" t="s">
        <v>3659</v>
      </c>
      <c r="AN630" s="64">
        <v>0.0</v>
      </c>
      <c r="AO630" s="52"/>
      <c r="AP630" s="67"/>
      <c r="AQ630" s="67"/>
      <c r="AR630" s="67"/>
      <c r="AS630" s="94">
        <v>0.0</v>
      </c>
      <c r="AT630" s="50">
        <v>0.0</v>
      </c>
      <c r="AU630" s="50">
        <v>0.0</v>
      </c>
      <c r="AV630" s="50">
        <v>0.0</v>
      </c>
      <c r="AW630" s="50" t="s">
        <v>88</v>
      </c>
      <c r="AX630" s="50">
        <v>0.0</v>
      </c>
      <c r="AY630" s="50">
        <v>0.0</v>
      </c>
      <c r="AZ630" s="50">
        <v>0.0</v>
      </c>
      <c r="BA630" s="43" t="s">
        <v>89</v>
      </c>
      <c r="BB630" s="50">
        <v>0.0</v>
      </c>
      <c r="BC630" s="69"/>
      <c r="BD630" s="70"/>
      <c r="BE630" s="70"/>
      <c r="BF630" s="321" t="s">
        <v>3749</v>
      </c>
      <c r="BG630" s="73"/>
      <c r="BH630" s="73"/>
      <c r="BI630" s="73"/>
      <c r="BJ630" s="73"/>
      <c r="BK630" s="73"/>
      <c r="BL630" s="73"/>
      <c r="BM630" s="73"/>
      <c r="BN630" s="73"/>
      <c r="BO630" s="73"/>
      <c r="BP630" s="73"/>
      <c r="BQ630" s="73"/>
      <c r="BR630" s="73"/>
      <c r="BS630" s="73"/>
      <c r="BT630" s="73"/>
      <c r="BU630" s="73"/>
      <c r="BV630" s="73"/>
      <c r="BW630" s="74"/>
      <c r="BX630" s="74"/>
      <c r="BY630" s="63"/>
      <c r="BZ630" s="63"/>
    </row>
    <row r="631" ht="15.75" customHeight="1">
      <c r="A631" s="75" t="s">
        <v>3750</v>
      </c>
      <c r="B631" s="43" t="s">
        <v>1708</v>
      </c>
      <c r="C631" s="43" t="s">
        <v>70</v>
      </c>
      <c r="D631" s="50" t="s">
        <v>1931</v>
      </c>
      <c r="E631" s="77" t="s">
        <v>376</v>
      </c>
      <c r="F631" s="78">
        <v>2.5E8</v>
      </c>
      <c r="G631" s="44" t="str">
        <f t="shared" si="16"/>
        <v>$200'000.000 a $300'000.000</v>
      </c>
      <c r="H631" s="44"/>
      <c r="I631" s="44"/>
      <c r="J631" s="50" t="s">
        <v>183</v>
      </c>
      <c r="K631" s="51"/>
      <c r="L631" s="44">
        <v>3.0</v>
      </c>
      <c r="M631" s="44"/>
      <c r="N631" s="44">
        <v>2.0</v>
      </c>
      <c r="O631" s="50">
        <v>1.0</v>
      </c>
      <c r="P631" s="44">
        <v>2.0</v>
      </c>
      <c r="Q631" s="113"/>
      <c r="R631" s="79">
        <v>130.0</v>
      </c>
      <c r="S631" s="56" t="str">
        <f t="shared" si="17"/>
        <v> </v>
      </c>
      <c r="T631" s="52" t="s">
        <v>78</v>
      </c>
      <c r="U631" s="142" t="s">
        <v>184</v>
      </c>
      <c r="V631" s="65" t="s">
        <v>79</v>
      </c>
      <c r="W631" s="65"/>
      <c r="X631" s="63">
        <v>3.0</v>
      </c>
      <c r="Y631" s="65" t="s">
        <v>80</v>
      </c>
      <c r="Z631" s="58" t="s">
        <v>81</v>
      </c>
      <c r="AA631" s="59" t="str">
        <f>IF(Rentabilidad=0,"No aplica",TEXT(ROUND(Precio/Rentabilidad/12,0),0) &amp; " años")</f>
        <v>No aplica</v>
      </c>
      <c r="AB631" s="115" t="s">
        <v>3751</v>
      </c>
      <c r="AC631" s="167" t="s">
        <v>3752</v>
      </c>
      <c r="AD631" s="125" t="s">
        <v>3753</v>
      </c>
      <c r="AE631" s="63"/>
      <c r="AF631" s="45" t="s">
        <v>105</v>
      </c>
      <c r="AG631" s="65" t="s">
        <v>106</v>
      </c>
      <c r="AH631" s="65"/>
      <c r="AI631" s="65" t="s">
        <v>107</v>
      </c>
      <c r="AJ631" s="64" t="s">
        <v>3658</v>
      </c>
      <c r="AK631" s="50" t="s">
        <v>81</v>
      </c>
      <c r="AL631" s="45" t="s">
        <v>109</v>
      </c>
      <c r="AM631" s="50" t="s">
        <v>3659</v>
      </c>
      <c r="AN631" s="64">
        <v>0.0</v>
      </c>
      <c r="AO631" s="52"/>
      <c r="AP631" s="67" t="s">
        <v>3754</v>
      </c>
      <c r="AQ631" s="67"/>
      <c r="AR631" s="67"/>
      <c r="AS631" s="68">
        <v>0.0</v>
      </c>
      <c r="AT631" s="44">
        <v>0.0</v>
      </c>
      <c r="AU631" s="44" t="s">
        <v>88</v>
      </c>
      <c r="AV631" s="44">
        <v>1.0</v>
      </c>
      <c r="AW631" s="44" t="s">
        <v>106</v>
      </c>
      <c r="AX631" s="44">
        <v>0.0</v>
      </c>
      <c r="AY631" s="44" t="s">
        <v>137</v>
      </c>
      <c r="AZ631" s="44">
        <v>0.0</v>
      </c>
      <c r="BA631" s="43" t="s">
        <v>89</v>
      </c>
      <c r="BB631" s="44">
        <v>0.0</v>
      </c>
      <c r="BC631" s="69" t="s">
        <v>2823</v>
      </c>
      <c r="BD631" s="70"/>
      <c r="BE631" s="71"/>
      <c r="BF631" s="72" t="s">
        <v>3755</v>
      </c>
      <c r="BG631" s="73"/>
      <c r="BH631" s="73"/>
      <c r="BI631" s="73"/>
      <c r="BJ631" s="73"/>
      <c r="BK631" s="73"/>
      <c r="BL631" s="73"/>
      <c r="BM631" s="73"/>
      <c r="BN631" s="73"/>
      <c r="BO631" s="73"/>
      <c r="BP631" s="73"/>
      <c r="BQ631" s="73"/>
      <c r="BR631" s="73"/>
      <c r="BS631" s="73"/>
      <c r="BT631" s="73"/>
      <c r="BU631" s="73"/>
      <c r="BV631" s="73"/>
      <c r="BW631" s="74"/>
      <c r="BX631" s="74"/>
      <c r="BY631" s="63"/>
      <c r="BZ631" s="63"/>
    </row>
    <row r="632" ht="15.75" customHeight="1">
      <c r="A632" s="75" t="s">
        <v>3756</v>
      </c>
      <c r="B632" s="50" t="s">
        <v>3757</v>
      </c>
      <c r="C632" s="50" t="s">
        <v>70</v>
      </c>
      <c r="D632" s="50" t="s">
        <v>904</v>
      </c>
      <c r="E632" s="64"/>
      <c r="F632" s="78">
        <v>2.1E8</v>
      </c>
      <c r="G632" s="44" t="str">
        <f t="shared" si="16"/>
        <v>$200'000.000 a $300'000.000</v>
      </c>
      <c r="H632" s="44"/>
      <c r="I632" s="44"/>
      <c r="J632" s="50" t="s">
        <v>183</v>
      </c>
      <c r="K632" s="51" t="s">
        <v>241</v>
      </c>
      <c r="L632" s="50">
        <v>4.0</v>
      </c>
      <c r="M632" s="50"/>
      <c r="N632" s="50">
        <v>1.0</v>
      </c>
      <c r="O632" s="50">
        <v>0.0</v>
      </c>
      <c r="P632" s="50">
        <v>1.0</v>
      </c>
      <c r="Q632" s="88">
        <v>90.0</v>
      </c>
      <c r="R632" s="88">
        <v>90.0</v>
      </c>
      <c r="S632" s="56" t="str">
        <f t="shared" si="17"/>
        <v> </v>
      </c>
      <c r="T632" s="50" t="s">
        <v>78</v>
      </c>
      <c r="U632" s="51" t="s">
        <v>184</v>
      </c>
      <c r="V632" s="50" t="s">
        <v>79</v>
      </c>
      <c r="W632" s="50"/>
      <c r="X632" s="50">
        <v>4.0</v>
      </c>
      <c r="Y632" s="50" t="s">
        <v>80</v>
      </c>
      <c r="Z632" s="58" t="s">
        <v>81</v>
      </c>
      <c r="AA632" s="59" t="str">
        <f>IF(Rentabilidad=0,"No aplica",TEXT(ROUND(Precio/Rentabilidad/12,0),0) &amp; " años")</f>
        <v>No aplica</v>
      </c>
      <c r="AB632" s="82" t="s">
        <v>3758</v>
      </c>
      <c r="AC632" s="83" t="s">
        <v>3759</v>
      </c>
      <c r="AD632" s="83" t="s">
        <v>3760</v>
      </c>
      <c r="AE632" s="63"/>
      <c r="AF632" s="45" t="s">
        <v>236</v>
      </c>
      <c r="AG632" s="65" t="s">
        <v>106</v>
      </c>
      <c r="AH632" s="63"/>
      <c r="AI632" s="65" t="s">
        <v>107</v>
      </c>
      <c r="AJ632" s="64" t="s">
        <v>3658</v>
      </c>
      <c r="AK632" s="50" t="s">
        <v>81</v>
      </c>
      <c r="AL632" s="45" t="s">
        <v>86</v>
      </c>
      <c r="AM632" s="50" t="s">
        <v>3659</v>
      </c>
      <c r="AN632" s="64">
        <v>0.0</v>
      </c>
      <c r="AO632" s="52"/>
      <c r="AP632" s="67"/>
      <c r="AQ632" s="67"/>
      <c r="AR632" s="67"/>
      <c r="AS632" s="94">
        <v>0.0</v>
      </c>
      <c r="AT632" s="65" t="s">
        <v>88</v>
      </c>
      <c r="AU632" s="50">
        <v>0.0</v>
      </c>
      <c r="AV632" s="50">
        <v>0.0</v>
      </c>
      <c r="AW632" s="50" t="s">
        <v>106</v>
      </c>
      <c r="AX632" s="50">
        <v>0.0</v>
      </c>
      <c r="AY632" s="50">
        <v>0.0</v>
      </c>
      <c r="AZ632" s="50">
        <v>0.0</v>
      </c>
      <c r="BA632" s="43" t="s">
        <v>89</v>
      </c>
      <c r="BB632" s="50">
        <v>0.0</v>
      </c>
      <c r="BC632" s="95"/>
      <c r="BD632" s="71"/>
      <c r="BE632" s="71"/>
      <c r="BF632" s="72" t="s">
        <v>3761</v>
      </c>
      <c r="BG632" s="73"/>
      <c r="BH632" s="73"/>
      <c r="BI632" s="73"/>
      <c r="BJ632" s="73"/>
      <c r="BK632" s="73"/>
      <c r="BL632" s="73"/>
      <c r="BM632" s="73"/>
      <c r="BN632" s="73"/>
      <c r="BO632" s="73"/>
      <c r="BP632" s="73"/>
      <c r="BQ632" s="73"/>
      <c r="BR632" s="73"/>
      <c r="BS632" s="73"/>
      <c r="BT632" s="73"/>
      <c r="BU632" s="73"/>
      <c r="BV632" s="73"/>
      <c r="BW632" s="74"/>
      <c r="BX632" s="74"/>
      <c r="BY632" s="63"/>
      <c r="BZ632" s="63"/>
    </row>
    <row r="633" ht="15.75" customHeight="1">
      <c r="A633" s="75" t="s">
        <v>3762</v>
      </c>
      <c r="B633" s="50" t="s">
        <v>3763</v>
      </c>
      <c r="C633" s="50" t="s">
        <v>315</v>
      </c>
      <c r="D633" s="50"/>
      <c r="E633" s="64"/>
      <c r="F633" s="78">
        <v>1.6E8</v>
      </c>
      <c r="G633" s="44" t="str">
        <f t="shared" si="16"/>
        <v>$100'000.000 a $200'000.000</v>
      </c>
      <c r="H633" s="44"/>
      <c r="I633" s="44"/>
      <c r="J633" s="50" t="s">
        <v>94</v>
      </c>
      <c r="K633" s="51"/>
      <c r="L633" s="50">
        <v>0.0</v>
      </c>
      <c r="M633" s="50"/>
      <c r="N633" s="50">
        <v>0.0</v>
      </c>
      <c r="O633" s="50">
        <v>0.0</v>
      </c>
      <c r="P633" s="50">
        <v>0.0</v>
      </c>
      <c r="Q633" s="88">
        <v>0.0</v>
      </c>
      <c r="R633" s="88">
        <v>2209.0</v>
      </c>
      <c r="S633" s="56" t="str">
        <f t="shared" si="17"/>
        <v> </v>
      </c>
      <c r="T633" s="50" t="s">
        <v>95</v>
      </c>
      <c r="U633" s="57"/>
      <c r="V633" s="50" t="s">
        <v>79</v>
      </c>
      <c r="W633" s="50"/>
      <c r="X633" s="50">
        <v>0.0</v>
      </c>
      <c r="Y633" s="50" t="s">
        <v>80</v>
      </c>
      <c r="Z633" s="91"/>
      <c r="AA633" s="59" t="str">
        <f>IF(Rentabilidad=0,"No aplica",TEXT(ROUND(Precio/Rentabilidad/12,0),0) &amp; " años")</f>
        <v>No aplica</v>
      </c>
      <c r="AB633" s="82" t="s">
        <v>3764</v>
      </c>
      <c r="AC633" s="83" t="s">
        <v>3765</v>
      </c>
      <c r="AD633" s="83" t="s">
        <v>3766</v>
      </c>
      <c r="AE633" s="63"/>
      <c r="AF633" s="64">
        <v>0.0</v>
      </c>
      <c r="AG633" s="65" t="s">
        <v>106</v>
      </c>
      <c r="AH633" s="63"/>
      <c r="AI633" s="65" t="s">
        <v>107</v>
      </c>
      <c r="AJ633" s="64" t="s">
        <v>3658</v>
      </c>
      <c r="AK633" s="50" t="s">
        <v>81</v>
      </c>
      <c r="AL633" s="45" t="s">
        <v>86</v>
      </c>
      <c r="AM633" s="50" t="s">
        <v>3659</v>
      </c>
      <c r="AN633" s="64">
        <v>0.0</v>
      </c>
      <c r="AO633" s="52"/>
      <c r="AP633" s="67"/>
      <c r="AQ633" s="67"/>
      <c r="AR633" s="67"/>
      <c r="AS633" s="94">
        <v>0.0</v>
      </c>
      <c r="AT633" s="65" t="s">
        <v>88</v>
      </c>
      <c r="AU633" s="50">
        <v>0.0</v>
      </c>
      <c r="AV633" s="50">
        <v>0.0</v>
      </c>
      <c r="AW633" s="50" t="s">
        <v>88</v>
      </c>
      <c r="AX633" s="50">
        <v>0.0</v>
      </c>
      <c r="AY633" s="50">
        <v>0.0</v>
      </c>
      <c r="AZ633" s="50">
        <v>0.0</v>
      </c>
      <c r="BA633" s="43" t="s">
        <v>89</v>
      </c>
      <c r="BB633" s="50">
        <v>0.0</v>
      </c>
      <c r="BC633" s="95"/>
      <c r="BD633" s="71"/>
      <c r="BE633" s="71"/>
      <c r="BF633" s="72" t="s">
        <v>3767</v>
      </c>
      <c r="BG633" s="73"/>
      <c r="BH633" s="73"/>
      <c r="BI633" s="73"/>
      <c r="BJ633" s="73"/>
      <c r="BK633" s="73"/>
      <c r="BL633" s="73"/>
      <c r="BM633" s="73"/>
      <c r="BN633" s="73"/>
      <c r="BO633" s="73"/>
      <c r="BP633" s="73"/>
      <c r="BQ633" s="73"/>
      <c r="BR633" s="73"/>
      <c r="BS633" s="73"/>
      <c r="BT633" s="73"/>
      <c r="BU633" s="73"/>
      <c r="BV633" s="73"/>
      <c r="BW633" s="74"/>
      <c r="BX633" s="74"/>
      <c r="BY633" s="63"/>
      <c r="BZ633" s="63"/>
    </row>
    <row r="634" ht="15.75" customHeight="1">
      <c r="A634" s="41" t="s">
        <v>3768</v>
      </c>
      <c r="B634" s="50" t="s">
        <v>3769</v>
      </c>
      <c r="C634" s="50" t="s">
        <v>70</v>
      </c>
      <c r="D634" s="44" t="s">
        <v>1654</v>
      </c>
      <c r="E634" s="77" t="s">
        <v>376</v>
      </c>
      <c r="F634" s="47">
        <v>1.5E8</v>
      </c>
      <c r="G634" s="44" t="str">
        <f t="shared" si="16"/>
        <v>$100'000.000 a $200'000.000</v>
      </c>
      <c r="H634" s="44"/>
      <c r="I634" s="44"/>
      <c r="J634" s="50" t="s">
        <v>94</v>
      </c>
      <c r="K634" s="57"/>
      <c r="L634" s="44">
        <v>4.0</v>
      </c>
      <c r="M634" s="44"/>
      <c r="N634" s="44">
        <v>2.0</v>
      </c>
      <c r="O634" s="50">
        <v>0.0</v>
      </c>
      <c r="P634" s="44">
        <v>2.0</v>
      </c>
      <c r="Q634" s="113">
        <v>125.0</v>
      </c>
      <c r="R634" s="79">
        <v>85.0</v>
      </c>
      <c r="S634" s="56" t="str">
        <f t="shared" si="17"/>
        <v> </v>
      </c>
      <c r="T634" s="44" t="s">
        <v>78</v>
      </c>
      <c r="U634" s="57" t="s">
        <v>184</v>
      </c>
      <c r="V634" s="50" t="s">
        <v>79</v>
      </c>
      <c r="W634" s="50"/>
      <c r="X634" s="44">
        <v>3.0</v>
      </c>
      <c r="Y634" s="50" t="s">
        <v>80</v>
      </c>
      <c r="Z634" s="58" t="s">
        <v>81</v>
      </c>
      <c r="AA634" s="59" t="str">
        <f>IF(Rentabilidad=0,"No aplica",TEXT(ROUND(Precio/Rentabilidad/12,0),0) &amp; " años")</f>
        <v>No aplica</v>
      </c>
      <c r="AB634" s="134" t="s">
        <v>3770</v>
      </c>
      <c r="AC634" s="61"/>
      <c r="AD634" s="125" t="s">
        <v>3771</v>
      </c>
      <c r="AE634" s="63"/>
      <c r="AF634" s="45" t="s">
        <v>236</v>
      </c>
      <c r="AG634" s="65" t="s">
        <v>106</v>
      </c>
      <c r="AH634" s="65"/>
      <c r="AI634" s="65" t="s">
        <v>107</v>
      </c>
      <c r="AJ634" s="64" t="s">
        <v>3658</v>
      </c>
      <c r="AK634" s="50" t="s">
        <v>81</v>
      </c>
      <c r="AL634" s="45" t="s">
        <v>86</v>
      </c>
      <c r="AM634" s="50" t="s">
        <v>3659</v>
      </c>
      <c r="AN634" s="64">
        <v>0.0</v>
      </c>
      <c r="AO634" s="52"/>
      <c r="AP634" s="67"/>
      <c r="AQ634" s="143">
        <v>2.9648658</v>
      </c>
      <c r="AR634" s="143">
        <v>-75.2902804</v>
      </c>
      <c r="AS634" s="68">
        <v>0.0</v>
      </c>
      <c r="AT634" s="44">
        <v>0.0</v>
      </c>
      <c r="AU634" s="52">
        <v>0.0</v>
      </c>
      <c r="AV634" s="52">
        <v>0.0</v>
      </c>
      <c r="AW634" s="52" t="s">
        <v>106</v>
      </c>
      <c r="AX634" s="52">
        <v>0.0</v>
      </c>
      <c r="AY634" s="52" t="s">
        <v>137</v>
      </c>
      <c r="AZ634" s="44">
        <v>0.0</v>
      </c>
      <c r="BA634" s="43" t="s">
        <v>89</v>
      </c>
      <c r="BB634" s="44">
        <v>0.0</v>
      </c>
      <c r="BC634" s="127" t="s">
        <v>3772</v>
      </c>
      <c r="BD634" s="128"/>
      <c r="BE634" s="129"/>
      <c r="BF634" s="72" t="s">
        <v>3773</v>
      </c>
      <c r="BG634" s="113"/>
      <c r="BH634" s="113"/>
      <c r="BI634" s="113"/>
      <c r="BJ634" s="113"/>
      <c r="BK634" s="113"/>
      <c r="BL634" s="113"/>
      <c r="BM634" s="113"/>
      <c r="BN634" s="113"/>
      <c r="BO634" s="113"/>
      <c r="BP634" s="113"/>
      <c r="BQ634" s="113"/>
      <c r="BR634" s="113"/>
      <c r="BS634" s="113"/>
      <c r="BT634" s="113"/>
      <c r="BU634" s="113"/>
      <c r="BV634" s="113"/>
      <c r="BW634" s="93"/>
      <c r="BX634" s="74"/>
      <c r="BY634" s="63"/>
      <c r="BZ634" s="63"/>
    </row>
    <row r="635" ht="15.75" customHeight="1">
      <c r="A635" s="75" t="s">
        <v>3774</v>
      </c>
      <c r="B635" s="50" t="s">
        <v>356</v>
      </c>
      <c r="C635" s="64" t="s">
        <v>340</v>
      </c>
      <c r="D635" s="50"/>
      <c r="E635" s="64" t="s">
        <v>357</v>
      </c>
      <c r="F635" s="78">
        <v>1.4E8</v>
      </c>
      <c r="G635" s="44" t="str">
        <f t="shared" si="16"/>
        <v>$100'000.000 a $200'000.000</v>
      </c>
      <c r="H635" s="44"/>
      <c r="I635" s="44"/>
      <c r="J635" s="50" t="s">
        <v>94</v>
      </c>
      <c r="K635" s="51"/>
      <c r="L635" s="50">
        <v>0.0</v>
      </c>
      <c r="M635" s="50"/>
      <c r="N635" s="50">
        <v>0.0</v>
      </c>
      <c r="O635" s="50">
        <v>0.0</v>
      </c>
      <c r="P635" s="50">
        <v>0.0</v>
      </c>
      <c r="Q635" s="88">
        <v>0.0</v>
      </c>
      <c r="R635" s="88">
        <v>528.0</v>
      </c>
      <c r="S635" s="56" t="str">
        <f t="shared" si="17"/>
        <v> </v>
      </c>
      <c r="T635" s="50" t="s">
        <v>342</v>
      </c>
      <c r="U635" s="57"/>
      <c r="V635" s="50" t="s">
        <v>79</v>
      </c>
      <c r="W635" s="50"/>
      <c r="X635" s="50">
        <v>0.0</v>
      </c>
      <c r="Y635" s="50" t="s">
        <v>130</v>
      </c>
      <c r="Z635" s="58">
        <v>280000.0</v>
      </c>
      <c r="AA635" s="59" t="str">
        <f>IF(Rentabilidad=0,"No aplica",TEXT(ROUND(Precio/Rentabilidad/12,0),0) &amp; " años")</f>
        <v>No aplica</v>
      </c>
      <c r="AB635" s="82" t="s">
        <v>3775</v>
      </c>
      <c r="AC635" s="322" t="s">
        <v>3776</v>
      </c>
      <c r="AD635" s="83" t="s">
        <v>3777</v>
      </c>
      <c r="AE635" s="63"/>
      <c r="AF635" s="64">
        <v>0.0</v>
      </c>
      <c r="AG635" s="65" t="s">
        <v>106</v>
      </c>
      <c r="AH635" s="63"/>
      <c r="AI635" s="65" t="s">
        <v>107</v>
      </c>
      <c r="AJ635" s="64" t="s">
        <v>3658</v>
      </c>
      <c r="AK635" s="50" t="s">
        <v>81</v>
      </c>
      <c r="AL635" s="45" t="s">
        <v>86</v>
      </c>
      <c r="AM635" s="50" t="s">
        <v>3659</v>
      </c>
      <c r="AN635" s="64">
        <v>0.0</v>
      </c>
      <c r="AO635" s="52"/>
      <c r="AP635" s="67"/>
      <c r="AQ635" s="67"/>
      <c r="AR635" s="67"/>
      <c r="AS635" s="94">
        <v>0.0</v>
      </c>
      <c r="AT635" s="65" t="s">
        <v>88</v>
      </c>
      <c r="AU635" s="50">
        <v>0.0</v>
      </c>
      <c r="AV635" s="50">
        <v>0.0</v>
      </c>
      <c r="AW635" s="50" t="s">
        <v>88</v>
      </c>
      <c r="AX635" s="50">
        <v>0.0</v>
      </c>
      <c r="AY635" s="50">
        <v>0.0</v>
      </c>
      <c r="AZ635" s="50">
        <v>0.0</v>
      </c>
      <c r="BA635" s="43" t="s">
        <v>89</v>
      </c>
      <c r="BB635" s="50">
        <v>0.0</v>
      </c>
      <c r="BC635" s="95"/>
      <c r="BD635" s="71"/>
      <c r="BE635" s="71"/>
      <c r="BF635" s="72" t="s">
        <v>3778</v>
      </c>
      <c r="BG635" s="73"/>
      <c r="BH635" s="73"/>
      <c r="BI635" s="73"/>
      <c r="BJ635" s="73"/>
      <c r="BK635" s="73"/>
      <c r="BL635" s="73"/>
      <c r="BM635" s="73"/>
      <c r="BN635" s="73"/>
      <c r="BO635" s="73"/>
      <c r="BP635" s="73"/>
      <c r="BQ635" s="73"/>
      <c r="BR635" s="73"/>
      <c r="BS635" s="73"/>
      <c r="BT635" s="73"/>
      <c r="BU635" s="73"/>
      <c r="BV635" s="73"/>
      <c r="BW635" s="74"/>
      <c r="BX635" s="74"/>
      <c r="BY635" s="63"/>
      <c r="BZ635" s="63"/>
    </row>
    <row r="636" ht="15.75" customHeight="1">
      <c r="A636" s="75" t="s">
        <v>3779</v>
      </c>
      <c r="B636" s="50" t="s">
        <v>356</v>
      </c>
      <c r="C636" s="50" t="s">
        <v>340</v>
      </c>
      <c r="D636" s="50"/>
      <c r="E636" s="64" t="s">
        <v>3780</v>
      </c>
      <c r="F636" s="78">
        <v>1.12E8</v>
      </c>
      <c r="G636" s="44" t="str">
        <f t="shared" si="16"/>
        <v>$100'000.000 a $200'000.000</v>
      </c>
      <c r="H636" s="44"/>
      <c r="I636" s="44"/>
      <c r="J636" s="50" t="s">
        <v>94</v>
      </c>
      <c r="K636" s="51"/>
      <c r="L636" s="50">
        <v>0.0</v>
      </c>
      <c r="M636" s="50"/>
      <c r="N636" s="50">
        <v>0.0</v>
      </c>
      <c r="O636" s="50">
        <v>0.0</v>
      </c>
      <c r="P636" s="50">
        <v>0.0</v>
      </c>
      <c r="Q636" s="88">
        <v>501.0</v>
      </c>
      <c r="R636" s="88">
        <v>501.0</v>
      </c>
      <c r="S636" s="56" t="str">
        <f t="shared" si="17"/>
        <v> </v>
      </c>
      <c r="T636" s="50" t="s">
        <v>342</v>
      </c>
      <c r="U636" s="57"/>
      <c r="V636" s="50" t="s">
        <v>79</v>
      </c>
      <c r="W636" s="50"/>
      <c r="X636" s="50">
        <v>0.0</v>
      </c>
      <c r="Y636" s="50" t="s">
        <v>130</v>
      </c>
      <c r="Z636" s="58">
        <v>280000.0</v>
      </c>
      <c r="AA636" s="59" t="str">
        <f>IF(Rentabilidad=0,"No aplica",TEXT(ROUND(Precio/Rentabilidad/12,0),0) &amp; " años")</f>
        <v>No aplica</v>
      </c>
      <c r="AB636" s="82" t="s">
        <v>3781</v>
      </c>
      <c r="AC636" s="103" t="s">
        <v>3782</v>
      </c>
      <c r="AD636" s="107" t="s">
        <v>3783</v>
      </c>
      <c r="AE636" s="63"/>
      <c r="AF636" s="64">
        <v>0.0</v>
      </c>
      <c r="AG636" s="65" t="s">
        <v>106</v>
      </c>
      <c r="AH636" s="63"/>
      <c r="AI636" s="65" t="s">
        <v>107</v>
      </c>
      <c r="AJ636" s="64" t="s">
        <v>3658</v>
      </c>
      <c r="AK636" s="50" t="s">
        <v>81</v>
      </c>
      <c r="AL636" s="45" t="s">
        <v>86</v>
      </c>
      <c r="AM636" s="50" t="s">
        <v>3659</v>
      </c>
      <c r="AN636" s="64">
        <v>0.0</v>
      </c>
      <c r="AO636" s="52"/>
      <c r="AP636" s="67"/>
      <c r="AQ636" s="67"/>
      <c r="AR636" s="67"/>
      <c r="AS636" s="94">
        <v>0.0</v>
      </c>
      <c r="AT636" s="65">
        <v>0.0</v>
      </c>
      <c r="AU636" s="50">
        <v>0.0</v>
      </c>
      <c r="AV636" s="50">
        <v>0.0</v>
      </c>
      <c r="AW636" s="50" t="s">
        <v>88</v>
      </c>
      <c r="AX636" s="50">
        <v>0.0</v>
      </c>
      <c r="AY636" s="50">
        <v>0.0</v>
      </c>
      <c r="AZ636" s="50">
        <v>0.0</v>
      </c>
      <c r="BA636" s="43" t="s">
        <v>89</v>
      </c>
      <c r="BB636" s="50">
        <v>0.0</v>
      </c>
      <c r="BC636" s="95"/>
      <c r="BD636" s="71"/>
      <c r="BE636" s="71"/>
      <c r="BF636" s="72" t="s">
        <v>3784</v>
      </c>
      <c r="BG636" s="73"/>
      <c r="BH636" s="73"/>
      <c r="BI636" s="73"/>
      <c r="BJ636" s="73"/>
      <c r="BK636" s="73"/>
      <c r="BL636" s="73"/>
      <c r="BM636" s="73"/>
      <c r="BN636" s="73"/>
      <c r="BO636" s="73"/>
      <c r="BP636" s="73"/>
      <c r="BQ636" s="73"/>
      <c r="BR636" s="73"/>
      <c r="BS636" s="73"/>
      <c r="BT636" s="73"/>
      <c r="BU636" s="73"/>
      <c r="BV636" s="73"/>
      <c r="BW636" s="74"/>
      <c r="BX636" s="74"/>
      <c r="BY636" s="63"/>
      <c r="BZ636" s="63"/>
    </row>
    <row r="637" ht="15.75" customHeight="1">
      <c r="A637" s="75" t="s">
        <v>3785</v>
      </c>
      <c r="B637" s="50" t="s">
        <v>3786</v>
      </c>
      <c r="C637" s="50" t="s">
        <v>315</v>
      </c>
      <c r="D637" s="50"/>
      <c r="E637" s="64"/>
      <c r="F637" s="78">
        <v>1.0E8</v>
      </c>
      <c r="G637" s="44" t="str">
        <f t="shared" si="16"/>
        <v>$100'000.000 a $200'000.000</v>
      </c>
      <c r="H637" s="44"/>
      <c r="I637" s="44"/>
      <c r="J637" s="50"/>
      <c r="K637" s="51"/>
      <c r="L637" s="50">
        <v>0.0</v>
      </c>
      <c r="M637" s="50"/>
      <c r="N637" s="50">
        <v>0.0</v>
      </c>
      <c r="O637" s="50">
        <v>0.0</v>
      </c>
      <c r="P637" s="50">
        <v>0.0</v>
      </c>
      <c r="Q637" s="88">
        <v>0.0</v>
      </c>
      <c r="R637" s="88">
        <v>2000.0</v>
      </c>
      <c r="S637" s="56" t="str">
        <f t="shared" si="17"/>
        <v> </v>
      </c>
      <c r="T637" s="50" t="s">
        <v>78</v>
      </c>
      <c r="U637" s="57"/>
      <c r="V637" s="44"/>
      <c r="W637" s="44"/>
      <c r="X637" s="50">
        <v>0.0</v>
      </c>
      <c r="Y637" s="50" t="s">
        <v>80</v>
      </c>
      <c r="Z637" s="91"/>
      <c r="AA637" s="59" t="str">
        <f>IF(Rentabilidad=0,"No aplica",TEXT(ROUND(Precio/Rentabilidad/12,0),0) &amp; " años")</f>
        <v>No aplica</v>
      </c>
      <c r="AB637" s="82" t="s">
        <v>3787</v>
      </c>
      <c r="AC637" s="83" t="s">
        <v>3788</v>
      </c>
      <c r="AD637" s="83" t="s">
        <v>3789</v>
      </c>
      <c r="AE637" s="63"/>
      <c r="AF637" s="64">
        <v>0.0</v>
      </c>
      <c r="AG637" s="65" t="s">
        <v>106</v>
      </c>
      <c r="AH637" s="63"/>
      <c r="AI637" s="65" t="s">
        <v>107</v>
      </c>
      <c r="AJ637" s="64" t="s">
        <v>3658</v>
      </c>
      <c r="AK637" s="50" t="s">
        <v>81</v>
      </c>
      <c r="AL637" s="45" t="s">
        <v>86</v>
      </c>
      <c r="AM637" s="50" t="s">
        <v>3659</v>
      </c>
      <c r="AN637" s="64">
        <v>0.0</v>
      </c>
      <c r="AO637" s="52"/>
      <c r="AP637" s="67"/>
      <c r="AQ637" s="67"/>
      <c r="AR637" s="67"/>
      <c r="AS637" s="94">
        <v>0.0</v>
      </c>
      <c r="AT637" s="65" t="s">
        <v>88</v>
      </c>
      <c r="AU637" s="50">
        <v>0.0</v>
      </c>
      <c r="AV637" s="50">
        <v>0.0</v>
      </c>
      <c r="AW637" s="50" t="s">
        <v>88</v>
      </c>
      <c r="AX637" s="50">
        <v>0.0</v>
      </c>
      <c r="AY637" s="50">
        <v>0.0</v>
      </c>
      <c r="AZ637" s="50">
        <v>0.0</v>
      </c>
      <c r="BA637" s="43" t="s">
        <v>89</v>
      </c>
      <c r="BB637" s="50">
        <v>0.0</v>
      </c>
      <c r="BC637" s="95"/>
      <c r="BD637" s="71"/>
      <c r="BE637" s="71"/>
      <c r="BF637" s="72" t="s">
        <v>3790</v>
      </c>
      <c r="BG637" s="73"/>
      <c r="BH637" s="73"/>
      <c r="BI637" s="73"/>
      <c r="BJ637" s="73"/>
      <c r="BK637" s="73"/>
      <c r="BL637" s="73"/>
      <c r="BM637" s="73"/>
      <c r="BN637" s="73"/>
      <c r="BO637" s="73"/>
      <c r="BP637" s="73"/>
      <c r="BQ637" s="73"/>
      <c r="BR637" s="73"/>
      <c r="BS637" s="73"/>
      <c r="BT637" s="73"/>
      <c r="BU637" s="73"/>
      <c r="BV637" s="73"/>
      <c r="BW637" s="74"/>
      <c r="BX637" s="74"/>
      <c r="BY637" s="63"/>
      <c r="BZ637" s="63"/>
    </row>
    <row r="638" ht="15.75" customHeight="1">
      <c r="A638" s="75" t="s">
        <v>3791</v>
      </c>
      <c r="B638" s="50" t="s">
        <v>3792</v>
      </c>
      <c r="C638" s="64" t="s">
        <v>340</v>
      </c>
      <c r="D638" s="50"/>
      <c r="E638" s="64" t="s">
        <v>3793</v>
      </c>
      <c r="F638" s="78">
        <v>9.5E7</v>
      </c>
      <c r="G638" s="44" t="str">
        <f t="shared" si="16"/>
        <v>$0 a $100'000.000</v>
      </c>
      <c r="H638" s="44"/>
      <c r="I638" s="44"/>
      <c r="J638" s="50" t="s">
        <v>94</v>
      </c>
      <c r="K638" s="51"/>
      <c r="L638" s="50">
        <v>0.0</v>
      </c>
      <c r="M638" s="50"/>
      <c r="N638" s="50">
        <v>0.0</v>
      </c>
      <c r="O638" s="50">
        <v>0.0</v>
      </c>
      <c r="P638" s="50">
        <v>0.0</v>
      </c>
      <c r="Q638" s="88">
        <v>0.0</v>
      </c>
      <c r="R638" s="88">
        <v>482.0</v>
      </c>
      <c r="S638" s="56" t="str">
        <f t="shared" si="17"/>
        <v> </v>
      </c>
      <c r="T638" s="50" t="s">
        <v>342</v>
      </c>
      <c r="U638" s="57"/>
      <c r="V638" s="50" t="s">
        <v>118</v>
      </c>
      <c r="W638" s="50"/>
      <c r="X638" s="50">
        <v>0.0</v>
      </c>
      <c r="Y638" s="50" t="s">
        <v>130</v>
      </c>
      <c r="Z638" s="91"/>
      <c r="AA638" s="59" t="str">
        <f>IF(Rentabilidad=0,"No aplica",TEXT(ROUND(Precio/Rentabilidad/12,0),0) &amp; " años")</f>
        <v>No aplica</v>
      </c>
      <c r="AB638" s="82" t="s">
        <v>3794</v>
      </c>
      <c r="AC638" s="83" t="s">
        <v>3795</v>
      </c>
      <c r="AD638" s="83" t="s">
        <v>3796</v>
      </c>
      <c r="AE638" s="63"/>
      <c r="AF638" s="64">
        <v>0.0</v>
      </c>
      <c r="AG638" s="65" t="s">
        <v>106</v>
      </c>
      <c r="AH638" s="63"/>
      <c r="AI638" s="65" t="s">
        <v>107</v>
      </c>
      <c r="AJ638" s="64" t="s">
        <v>3658</v>
      </c>
      <c r="AK638" s="50" t="s">
        <v>81</v>
      </c>
      <c r="AL638" s="45" t="s">
        <v>86</v>
      </c>
      <c r="AM638" s="50" t="s">
        <v>3659</v>
      </c>
      <c r="AN638" s="64">
        <v>0.0</v>
      </c>
      <c r="AO638" s="52"/>
      <c r="AP638" s="67"/>
      <c r="AQ638" s="67"/>
      <c r="AR638" s="67"/>
      <c r="AS638" s="94">
        <v>0.0</v>
      </c>
      <c r="AT638" s="65" t="s">
        <v>88</v>
      </c>
      <c r="AU638" s="50">
        <v>0.0</v>
      </c>
      <c r="AV638" s="50">
        <v>0.0</v>
      </c>
      <c r="AW638" s="50" t="s">
        <v>88</v>
      </c>
      <c r="AX638" s="50">
        <v>0.0</v>
      </c>
      <c r="AY638" s="50">
        <v>0.0</v>
      </c>
      <c r="AZ638" s="50">
        <v>0.0</v>
      </c>
      <c r="BA638" s="43" t="s">
        <v>89</v>
      </c>
      <c r="BB638" s="50">
        <v>0.0</v>
      </c>
      <c r="BC638" s="95"/>
      <c r="BD638" s="71"/>
      <c r="BE638" s="71"/>
      <c r="BF638" s="72" t="s">
        <v>3797</v>
      </c>
      <c r="BG638" s="73"/>
      <c r="BH638" s="73"/>
      <c r="BI638" s="73"/>
      <c r="BJ638" s="73"/>
      <c r="BK638" s="73"/>
      <c r="BL638" s="73"/>
      <c r="BM638" s="73"/>
      <c r="BN638" s="73"/>
      <c r="BO638" s="73"/>
      <c r="BP638" s="73"/>
      <c r="BQ638" s="73"/>
      <c r="BR638" s="73"/>
      <c r="BS638" s="73"/>
      <c r="BT638" s="73"/>
      <c r="BU638" s="73"/>
      <c r="BV638" s="73"/>
      <c r="BW638" s="74"/>
      <c r="BX638" s="74"/>
      <c r="BY638" s="63"/>
      <c r="BZ638" s="63"/>
    </row>
    <row r="639" ht="15.75" customHeight="1">
      <c r="A639" s="75" t="s">
        <v>3798</v>
      </c>
      <c r="B639" s="50" t="s">
        <v>3799</v>
      </c>
      <c r="C639" s="50" t="s">
        <v>70</v>
      </c>
      <c r="D639" s="50" t="s">
        <v>1284</v>
      </c>
      <c r="E639" s="64"/>
      <c r="F639" s="78">
        <v>4.2E8</v>
      </c>
      <c r="G639" s="44" t="str">
        <f t="shared" si="16"/>
        <v>$400'000.000 a $500'000.000</v>
      </c>
      <c r="H639" s="44"/>
      <c r="I639" s="44"/>
      <c r="J639" s="50" t="s">
        <v>183</v>
      </c>
      <c r="K639" s="51" t="s">
        <v>192</v>
      </c>
      <c r="L639" s="50">
        <v>4.0</v>
      </c>
      <c r="M639" s="50"/>
      <c r="N639" s="50">
        <v>3.0</v>
      </c>
      <c r="O639" s="50">
        <v>1.0</v>
      </c>
      <c r="P639" s="50">
        <v>1.0</v>
      </c>
      <c r="Q639" s="88">
        <v>120.0</v>
      </c>
      <c r="R639" s="88">
        <v>140.0</v>
      </c>
      <c r="S639" s="56" t="str">
        <f t="shared" si="17"/>
        <v> </v>
      </c>
      <c r="T639" s="50" t="s">
        <v>78</v>
      </c>
      <c r="U639" s="51" t="s">
        <v>142</v>
      </c>
      <c r="V639" s="50" t="s">
        <v>79</v>
      </c>
      <c r="W639" s="50"/>
      <c r="X639" s="50">
        <v>4.0</v>
      </c>
      <c r="Y639" s="50" t="s">
        <v>80</v>
      </c>
      <c r="Z639" s="80" t="s">
        <v>81</v>
      </c>
      <c r="AA639" s="59" t="str">
        <f>IF(Rentabilidad=0,"No aplica",TEXT(ROUND(Precio/Rentabilidad/12,0),0) &amp; " años")</f>
        <v>No aplica</v>
      </c>
      <c r="AB639" s="82" t="s">
        <v>3800</v>
      </c>
      <c r="AC639" s="83" t="s">
        <v>3801</v>
      </c>
      <c r="AD639" s="83" t="s">
        <v>3802</v>
      </c>
      <c r="AE639" s="63"/>
      <c r="AF639" s="45" t="s">
        <v>236</v>
      </c>
      <c r="AG639" s="65" t="s">
        <v>106</v>
      </c>
      <c r="AH639" s="63"/>
      <c r="AI639" s="65" t="s">
        <v>107</v>
      </c>
      <c r="AJ639" s="323" t="s">
        <v>3803</v>
      </c>
      <c r="AK639" s="50" t="s">
        <v>81</v>
      </c>
      <c r="AL639" s="45" t="s">
        <v>109</v>
      </c>
      <c r="AM639" s="50">
        <v>3.133523454E9</v>
      </c>
      <c r="AN639" s="64">
        <v>0.0</v>
      </c>
      <c r="AO639" s="312"/>
      <c r="AP639" s="312"/>
      <c r="AQ639" s="313"/>
      <c r="AR639" s="313"/>
      <c r="AS639" s="314">
        <v>0.0</v>
      </c>
      <c r="AT639" s="232">
        <v>0.0</v>
      </c>
      <c r="AU639" s="315">
        <v>0.0</v>
      </c>
      <c r="AV639" s="315">
        <v>0.0</v>
      </c>
      <c r="AW639" s="315" t="s">
        <v>88</v>
      </c>
      <c r="AX639" s="313">
        <v>0.0</v>
      </c>
      <c r="AY639" s="315">
        <v>0.0</v>
      </c>
      <c r="AZ639" s="315">
        <v>0.0</v>
      </c>
      <c r="BA639" s="316" t="s">
        <v>89</v>
      </c>
      <c r="BB639" s="315">
        <v>0.0</v>
      </c>
      <c r="BC639" s="95"/>
      <c r="BD639" s="71"/>
      <c r="BE639" s="71"/>
      <c r="BF639" s="72" t="s">
        <v>3804</v>
      </c>
      <c r="BG639" s="73"/>
      <c r="BH639" s="73"/>
      <c r="BI639" s="73"/>
      <c r="BJ639" s="73"/>
      <c r="BK639" s="73"/>
      <c r="BL639" s="73"/>
      <c r="BM639" s="73"/>
      <c r="BN639" s="73"/>
      <c r="BO639" s="73"/>
      <c r="BP639" s="73"/>
      <c r="BQ639" s="73"/>
      <c r="BR639" s="73"/>
      <c r="BS639" s="73"/>
      <c r="BT639" s="73"/>
      <c r="BU639" s="73"/>
      <c r="BV639" s="73"/>
      <c r="BW639" s="74"/>
      <c r="BX639" s="74"/>
      <c r="BY639" s="63"/>
      <c r="BZ639" s="63"/>
    </row>
    <row r="640" ht="15.75" customHeight="1">
      <c r="A640" s="75" t="s">
        <v>3805</v>
      </c>
      <c r="B640" s="50" t="s">
        <v>3806</v>
      </c>
      <c r="C640" s="50" t="s">
        <v>93</v>
      </c>
      <c r="D640" s="213"/>
      <c r="E640" s="77"/>
      <c r="F640" s="78">
        <v>1.2E9</v>
      </c>
      <c r="G640" s="44" t="str">
        <f t="shared" si="16"/>
        <v>Más de $1.000'000.000</v>
      </c>
      <c r="H640" s="44"/>
      <c r="I640" s="44"/>
      <c r="J640" s="50" t="s">
        <v>116</v>
      </c>
      <c r="K640" s="119"/>
      <c r="L640" s="50">
        <v>6.0</v>
      </c>
      <c r="M640" s="50"/>
      <c r="N640" s="50">
        <v>7.0</v>
      </c>
      <c r="O640" s="50">
        <v>7.0</v>
      </c>
      <c r="P640" s="50">
        <v>1.0</v>
      </c>
      <c r="Q640" s="79">
        <v>850.0</v>
      </c>
      <c r="R640" s="79">
        <v>2000.0</v>
      </c>
      <c r="S640" s="56" t="str">
        <f t="shared" si="17"/>
        <v> </v>
      </c>
      <c r="T640" s="50" t="s">
        <v>78</v>
      </c>
      <c r="U640" s="51" t="s">
        <v>96</v>
      </c>
      <c r="V640" s="50"/>
      <c r="W640" s="50"/>
      <c r="X640" s="50">
        <v>6.0</v>
      </c>
      <c r="Y640" s="50" t="s">
        <v>97</v>
      </c>
      <c r="Z640" s="80">
        <v>70000.0</v>
      </c>
      <c r="AA640" s="81" t="s">
        <v>81</v>
      </c>
      <c r="AB640" s="136" t="s">
        <v>3807</v>
      </c>
      <c r="AC640" s="124" t="s">
        <v>3808</v>
      </c>
      <c r="AD640" s="125" t="s">
        <v>3809</v>
      </c>
      <c r="AE640" s="63"/>
      <c r="AF640" s="64" t="s">
        <v>105</v>
      </c>
      <c r="AG640" s="65" t="s">
        <v>106</v>
      </c>
      <c r="AH640" s="65"/>
      <c r="AI640" s="65" t="s">
        <v>107</v>
      </c>
      <c r="AJ640" s="64" t="s">
        <v>3810</v>
      </c>
      <c r="AK640" s="58" t="s">
        <v>81</v>
      </c>
      <c r="AL640" s="64" t="s">
        <v>109</v>
      </c>
      <c r="AM640" s="43" t="s">
        <v>3659</v>
      </c>
      <c r="AN640" s="64">
        <v>0.0</v>
      </c>
      <c r="AO640" s="116"/>
      <c r="AP640" s="67"/>
      <c r="AQ640" s="67"/>
      <c r="AR640" s="67"/>
      <c r="AS640" s="68">
        <v>0.0</v>
      </c>
      <c r="AT640" s="44">
        <v>0.0</v>
      </c>
      <c r="AU640" s="52">
        <v>0.0</v>
      </c>
      <c r="AV640" s="52">
        <v>0.0</v>
      </c>
      <c r="AW640" s="43" t="s">
        <v>88</v>
      </c>
      <c r="AX640" s="52">
        <v>0.0</v>
      </c>
      <c r="AY640" s="43" t="s">
        <v>106</v>
      </c>
      <c r="AZ640" s="44">
        <v>9.0</v>
      </c>
      <c r="BA640" s="43" t="s">
        <v>89</v>
      </c>
      <c r="BB640" s="44">
        <v>15.0</v>
      </c>
      <c r="BC640" s="109"/>
      <c r="BD640" s="70"/>
      <c r="BE640" s="71"/>
      <c r="BF640" s="72" t="s">
        <v>3811</v>
      </c>
      <c r="BG640" s="73"/>
      <c r="BH640" s="73"/>
      <c r="BI640" s="73"/>
      <c r="BJ640" s="73"/>
      <c r="BK640" s="73"/>
      <c r="BL640" s="73"/>
      <c r="BM640" s="73"/>
      <c r="BN640" s="73"/>
      <c r="BO640" s="73"/>
      <c r="BP640" s="73"/>
      <c r="BQ640" s="73"/>
      <c r="BR640" s="73"/>
      <c r="BS640" s="73"/>
      <c r="BT640" s="73"/>
      <c r="BU640" s="73"/>
      <c r="BV640" s="73"/>
      <c r="BW640" s="74"/>
      <c r="BX640" s="74"/>
      <c r="BY640" s="63"/>
      <c r="BZ640" s="63"/>
    </row>
    <row r="641" ht="15.75" customHeight="1">
      <c r="A641" s="75" t="s">
        <v>3812</v>
      </c>
      <c r="B641" s="50" t="s">
        <v>92</v>
      </c>
      <c r="C641" s="50" t="s">
        <v>93</v>
      </c>
      <c r="D641" s="203"/>
      <c r="E641" s="45"/>
      <c r="F641" s="78">
        <v>5.2E8</v>
      </c>
      <c r="G641" s="44" t="str">
        <f t="shared" si="16"/>
        <v>$500'000.000 a $1.000'000.000</v>
      </c>
      <c r="H641" s="44"/>
      <c r="I641" s="44"/>
      <c r="J641" s="50" t="s">
        <v>94</v>
      </c>
      <c r="K641" s="51"/>
      <c r="L641" s="43">
        <v>5.0</v>
      </c>
      <c r="M641" s="43"/>
      <c r="N641" s="43">
        <v>5.0</v>
      </c>
      <c r="O641" s="43">
        <v>7.0</v>
      </c>
      <c r="P641" s="43">
        <v>2.0</v>
      </c>
      <c r="Q641" s="55">
        <v>456.0</v>
      </c>
      <c r="R641" s="55">
        <v>1700.0</v>
      </c>
      <c r="S641" s="56" t="str">
        <f t="shared" si="17"/>
        <v> </v>
      </c>
      <c r="T641" s="43" t="s">
        <v>95</v>
      </c>
      <c r="U641" s="56" t="s">
        <v>96</v>
      </c>
      <c r="V641" s="43"/>
      <c r="W641" s="43"/>
      <c r="X641" s="43">
        <v>3.0</v>
      </c>
      <c r="Y641" s="43" t="s">
        <v>97</v>
      </c>
      <c r="Z641" s="280" t="s">
        <v>81</v>
      </c>
      <c r="AA641" s="81" t="s">
        <v>81</v>
      </c>
      <c r="AB641" s="134" t="s">
        <v>3813</v>
      </c>
      <c r="AC641" s="83" t="s">
        <v>3814</v>
      </c>
      <c r="AD641" s="83" t="s">
        <v>3815</v>
      </c>
      <c r="AE641" s="63"/>
      <c r="AF641" s="64" t="s">
        <v>105</v>
      </c>
      <c r="AG641" s="65" t="s">
        <v>106</v>
      </c>
      <c r="AH641" s="63"/>
      <c r="AI641" s="65" t="s">
        <v>107</v>
      </c>
      <c r="AJ641" s="64" t="s">
        <v>3810</v>
      </c>
      <c r="AK641" s="58" t="s">
        <v>81</v>
      </c>
      <c r="AL641" s="64" t="s">
        <v>109</v>
      </c>
      <c r="AM641" s="43" t="s">
        <v>3659</v>
      </c>
      <c r="AN641" s="64">
        <v>0.0</v>
      </c>
      <c r="AO641" s="52"/>
      <c r="AP641" s="67"/>
      <c r="AQ641" s="143">
        <v>2.9311416</v>
      </c>
      <c r="AR641" s="143">
        <v>-75.245683</v>
      </c>
      <c r="AS641" s="94">
        <v>0.0</v>
      </c>
      <c r="AT641" s="50">
        <v>0.0</v>
      </c>
      <c r="AU641" s="43">
        <v>0.0</v>
      </c>
      <c r="AV641" s="43">
        <v>0.0</v>
      </c>
      <c r="AW641" s="43" t="s">
        <v>88</v>
      </c>
      <c r="AX641" s="43">
        <v>0.0</v>
      </c>
      <c r="AY641" s="43" t="s">
        <v>110</v>
      </c>
      <c r="AZ641" s="43">
        <v>0.0</v>
      </c>
      <c r="BA641" s="43" t="s">
        <v>89</v>
      </c>
      <c r="BB641" s="43">
        <v>0.0</v>
      </c>
      <c r="BC641" s="69"/>
      <c r="BD641" s="70"/>
      <c r="BE641" s="71"/>
      <c r="BF641" s="72" t="s">
        <v>3816</v>
      </c>
      <c r="BG641" s="73"/>
      <c r="BH641" s="73"/>
      <c r="BI641" s="73"/>
      <c r="BJ641" s="73"/>
      <c r="BK641" s="73"/>
      <c r="BL641" s="73"/>
      <c r="BM641" s="73"/>
      <c r="BN641" s="73"/>
      <c r="BO641" s="73"/>
      <c r="BP641" s="73"/>
      <c r="BQ641" s="73"/>
      <c r="BR641" s="73"/>
      <c r="BS641" s="73"/>
      <c r="BT641" s="73"/>
      <c r="BU641" s="73"/>
      <c r="BV641" s="73"/>
      <c r="BW641" s="74"/>
      <c r="BX641" s="74"/>
      <c r="BY641" s="63"/>
      <c r="BZ641" s="63"/>
    </row>
    <row r="642" ht="15.75" customHeight="1">
      <c r="A642" s="133" t="s">
        <v>3817</v>
      </c>
      <c r="B642" s="43" t="s">
        <v>3818</v>
      </c>
      <c r="C642" s="43" t="s">
        <v>93</v>
      </c>
      <c r="D642" s="310"/>
      <c r="E642" s="77"/>
      <c r="F642" s="78">
        <v>4.3E8</v>
      </c>
      <c r="G642" s="44" t="str">
        <f t="shared" si="16"/>
        <v>$400'000.000 a $500'000.000</v>
      </c>
      <c r="H642" s="44"/>
      <c r="I642" s="44"/>
      <c r="J642" s="50" t="s">
        <v>94</v>
      </c>
      <c r="K642" s="56"/>
      <c r="L642" s="43">
        <v>3.0</v>
      </c>
      <c r="M642" s="43"/>
      <c r="N642" s="43">
        <v>2.0</v>
      </c>
      <c r="O642" s="43">
        <v>2.0</v>
      </c>
      <c r="P642" s="43">
        <v>1.0</v>
      </c>
      <c r="Q642" s="55">
        <v>370.0</v>
      </c>
      <c r="R642" s="55">
        <v>1480.0</v>
      </c>
      <c r="S642" s="56" t="str">
        <f t="shared" si="17"/>
        <v> </v>
      </c>
      <c r="T642" s="43" t="s">
        <v>3819</v>
      </c>
      <c r="U642" s="187" t="s">
        <v>96</v>
      </c>
      <c r="V642" s="43">
        <v>0.0</v>
      </c>
      <c r="W642" s="43"/>
      <c r="X642" s="43">
        <v>3.0</v>
      </c>
      <c r="Y642" s="43" t="s">
        <v>97</v>
      </c>
      <c r="Z642" s="58" t="s">
        <v>81</v>
      </c>
      <c r="AA642" s="81" t="s">
        <v>81</v>
      </c>
      <c r="AB642" s="134" t="s">
        <v>3820</v>
      </c>
      <c r="AC642" s="124" t="s">
        <v>3821</v>
      </c>
      <c r="AD642" s="107" t="s">
        <v>1202</v>
      </c>
      <c r="AE642" s="63"/>
      <c r="AF642" s="64" t="s">
        <v>84</v>
      </c>
      <c r="AG642" s="65" t="s">
        <v>106</v>
      </c>
      <c r="AH642" s="65"/>
      <c r="AI642" s="65" t="s">
        <v>107</v>
      </c>
      <c r="AJ642" s="64" t="s">
        <v>3810</v>
      </c>
      <c r="AK642" s="58" t="s">
        <v>81</v>
      </c>
      <c r="AL642" s="64" t="s">
        <v>109</v>
      </c>
      <c r="AM642" s="43" t="s">
        <v>3659</v>
      </c>
      <c r="AN642" s="64">
        <v>0.0</v>
      </c>
      <c r="AO642" s="43">
        <v>0.0</v>
      </c>
      <c r="AP642" s="84">
        <v>0.0</v>
      </c>
      <c r="AQ642" s="84"/>
      <c r="AR642" s="84"/>
      <c r="AS642" s="85">
        <v>0.0</v>
      </c>
      <c r="AT642" s="50" t="s">
        <v>88</v>
      </c>
      <c r="AU642" s="43">
        <v>0.0</v>
      </c>
      <c r="AV642" s="43" t="s">
        <v>106</v>
      </c>
      <c r="AW642" s="43" t="s">
        <v>88</v>
      </c>
      <c r="AX642" s="43">
        <v>0.0</v>
      </c>
      <c r="AY642" s="43" t="s">
        <v>137</v>
      </c>
      <c r="AZ642" s="50">
        <v>0.0</v>
      </c>
      <c r="BA642" s="43" t="s">
        <v>89</v>
      </c>
      <c r="BB642" s="50">
        <v>0.0</v>
      </c>
      <c r="BC642" s="69" t="s">
        <v>3822</v>
      </c>
      <c r="BD642" s="70"/>
      <c r="BE642" s="70"/>
      <c r="BF642" s="72" t="s">
        <v>3823</v>
      </c>
      <c r="BG642" s="73"/>
      <c r="BH642" s="73"/>
      <c r="BI642" s="73"/>
      <c r="BJ642" s="73"/>
      <c r="BK642" s="73"/>
      <c r="BL642" s="73"/>
      <c r="BM642" s="73"/>
      <c r="BN642" s="73"/>
      <c r="BO642" s="73"/>
      <c r="BP642" s="73"/>
      <c r="BQ642" s="73"/>
      <c r="BR642" s="73"/>
      <c r="BS642" s="73"/>
      <c r="BT642" s="73"/>
      <c r="BU642" s="73"/>
      <c r="BV642" s="73"/>
      <c r="BW642" s="74"/>
      <c r="BX642" s="74"/>
      <c r="BY642" s="63"/>
      <c r="BZ642" s="63"/>
    </row>
    <row r="643" ht="15.75" customHeight="1">
      <c r="A643" s="133" t="s">
        <v>3824</v>
      </c>
      <c r="B643" s="43" t="s">
        <v>3825</v>
      </c>
      <c r="C643" s="43" t="s">
        <v>128</v>
      </c>
      <c r="D643" s="43" t="s">
        <v>3455</v>
      </c>
      <c r="E643" s="45"/>
      <c r="F643" s="78">
        <v>3.8E8</v>
      </c>
      <c r="G643" s="44" t="str">
        <f t="shared" si="16"/>
        <v>$300'000.000 a $400'000.000</v>
      </c>
      <c r="H643" s="44"/>
      <c r="I643" s="44"/>
      <c r="J643" s="43" t="s">
        <v>183</v>
      </c>
      <c r="K643" s="56" t="s">
        <v>184</v>
      </c>
      <c r="L643" s="43">
        <v>4.0</v>
      </c>
      <c r="M643" s="43">
        <v>1.0</v>
      </c>
      <c r="N643" s="43">
        <v>3.0</v>
      </c>
      <c r="O643" s="43">
        <v>1.0</v>
      </c>
      <c r="P643" s="43">
        <v>2.0</v>
      </c>
      <c r="Q643" s="88">
        <v>126.0</v>
      </c>
      <c r="R643" s="88">
        <v>80.0</v>
      </c>
      <c r="S643" s="56" t="str">
        <f t="shared" si="17"/>
        <v> </v>
      </c>
      <c r="T643" s="43" t="s">
        <v>78</v>
      </c>
      <c r="U643" s="56" t="s">
        <v>184</v>
      </c>
      <c r="V643" s="43" t="s">
        <v>79</v>
      </c>
      <c r="W643" s="43"/>
      <c r="X643" s="43">
        <v>4.0</v>
      </c>
      <c r="Y643" s="43" t="s">
        <v>80</v>
      </c>
      <c r="Z643" s="58">
        <v>353000.0</v>
      </c>
      <c r="AA643" s="59" t="str">
        <f>IF(Rentabilidad=0,"No aplica",TEXT(ROUND(Precio/Rentabilidad/12,0),0) &amp; " años")</f>
        <v>No aplica</v>
      </c>
      <c r="AB643" s="140" t="s">
        <v>3826</v>
      </c>
      <c r="AC643" s="167" t="s">
        <v>3827</v>
      </c>
      <c r="AD643" s="167" t="s">
        <v>3828</v>
      </c>
      <c r="AE643" s="63"/>
      <c r="AF643" s="64" t="s">
        <v>105</v>
      </c>
      <c r="AG643" s="65" t="s">
        <v>106</v>
      </c>
      <c r="AH643" s="63"/>
      <c r="AI643" s="65" t="s">
        <v>107</v>
      </c>
      <c r="AJ643" s="64" t="s">
        <v>3810</v>
      </c>
      <c r="AK643" s="58" t="s">
        <v>81</v>
      </c>
      <c r="AL643" s="64" t="s">
        <v>109</v>
      </c>
      <c r="AM643" s="43" t="s">
        <v>3659</v>
      </c>
      <c r="AN643" s="64">
        <v>0.0</v>
      </c>
      <c r="AO643" s="43">
        <v>0.0</v>
      </c>
      <c r="AP643" s="84" t="s">
        <v>3829</v>
      </c>
      <c r="AQ643" s="84"/>
      <c r="AR643" s="84"/>
      <c r="AS643" s="85">
        <v>0.0</v>
      </c>
      <c r="AT643" s="50">
        <v>0.0</v>
      </c>
      <c r="AU643" s="50">
        <v>0.0</v>
      </c>
      <c r="AV643" s="50">
        <v>0.0</v>
      </c>
      <c r="AW643" s="50" t="s">
        <v>88</v>
      </c>
      <c r="AX643" s="50">
        <v>0.0</v>
      </c>
      <c r="AY643" s="50">
        <v>0.0</v>
      </c>
      <c r="AZ643" s="50">
        <v>0.0</v>
      </c>
      <c r="BA643" s="43" t="s">
        <v>89</v>
      </c>
      <c r="BB643" s="50">
        <v>0.0</v>
      </c>
      <c r="BC643" s="95" t="s">
        <v>3830</v>
      </c>
      <c r="BD643" s="71"/>
      <c r="BE643" s="71"/>
      <c r="BF643" s="72" t="s">
        <v>3831</v>
      </c>
      <c r="BG643" s="73"/>
      <c r="BH643" s="73"/>
      <c r="BI643" s="73"/>
      <c r="BJ643" s="73"/>
      <c r="BK643" s="73"/>
      <c r="BL643" s="73"/>
      <c r="BM643" s="73"/>
      <c r="BN643" s="73"/>
      <c r="BO643" s="73"/>
      <c r="BP643" s="73"/>
      <c r="BQ643" s="73"/>
      <c r="BR643" s="73"/>
      <c r="BS643" s="73"/>
      <c r="BT643" s="73"/>
      <c r="BU643" s="73"/>
      <c r="BV643" s="73"/>
      <c r="BW643" s="74"/>
      <c r="BX643" s="74"/>
      <c r="BY643" s="63"/>
      <c r="BZ643" s="63"/>
    </row>
    <row r="644" ht="15.75" customHeight="1">
      <c r="A644" s="201" t="s">
        <v>3832</v>
      </c>
      <c r="B644" s="50" t="s">
        <v>395</v>
      </c>
      <c r="C644" s="50" t="s">
        <v>70</v>
      </c>
      <c r="D644" s="50" t="s">
        <v>72</v>
      </c>
      <c r="E644" s="77" t="s">
        <v>376</v>
      </c>
      <c r="F644" s="47">
        <v>3.0E8</v>
      </c>
      <c r="G644" s="44" t="str">
        <f t="shared" si="16"/>
        <v>$300'000.000 a $400'000.000</v>
      </c>
      <c r="H644" s="44"/>
      <c r="I644" s="44"/>
      <c r="J644" s="50" t="s">
        <v>183</v>
      </c>
      <c r="K644" s="51" t="s">
        <v>184</v>
      </c>
      <c r="L644" s="44">
        <v>4.0</v>
      </c>
      <c r="M644" s="44"/>
      <c r="N644" s="44">
        <v>2.0</v>
      </c>
      <c r="O644" s="50">
        <v>1.0</v>
      </c>
      <c r="P644" s="44">
        <v>2.0</v>
      </c>
      <c r="Q644" s="113">
        <v>154.0</v>
      </c>
      <c r="R644" s="79">
        <v>84.0</v>
      </c>
      <c r="S644" s="56" t="str">
        <f t="shared" si="17"/>
        <v> </v>
      </c>
      <c r="T644" s="44" t="s">
        <v>78</v>
      </c>
      <c r="U644" s="57" t="s">
        <v>77</v>
      </c>
      <c r="V644" s="50" t="s">
        <v>79</v>
      </c>
      <c r="W644" s="50"/>
      <c r="X644" s="44">
        <v>4.0</v>
      </c>
      <c r="Y644" s="50" t="s">
        <v>80</v>
      </c>
      <c r="Z644" s="58" t="s">
        <v>81</v>
      </c>
      <c r="AA644" s="59" t="str">
        <f>IF(Rentabilidad=0,"No aplica",TEXT(ROUND(Precio/Rentabilidad/12,0),0) &amp; " años")</f>
        <v>No aplica</v>
      </c>
      <c r="AB644" s="115" t="s">
        <v>3833</v>
      </c>
      <c r="AC644" s="61"/>
      <c r="AD644" s="125" t="s">
        <v>3834</v>
      </c>
      <c r="AE644" s="63"/>
      <c r="AF644" s="64" t="s">
        <v>236</v>
      </c>
      <c r="AG644" s="65" t="s">
        <v>106</v>
      </c>
      <c r="AH644" s="65" t="s">
        <v>45</v>
      </c>
      <c r="AI644" s="65" t="s">
        <v>107</v>
      </c>
      <c r="AJ644" s="64" t="s">
        <v>3810</v>
      </c>
      <c r="AK644" s="58" t="s">
        <v>81</v>
      </c>
      <c r="AL644" s="64" t="s">
        <v>109</v>
      </c>
      <c r="AM644" s="43" t="s">
        <v>3659</v>
      </c>
      <c r="AN644" s="64">
        <v>0.0</v>
      </c>
      <c r="AO644" s="43">
        <v>0.0</v>
      </c>
      <c r="AP644" s="67">
        <v>0.0</v>
      </c>
      <c r="AQ644" s="143">
        <v>2.9460141</v>
      </c>
      <c r="AR644" s="143">
        <v>-75.2859494</v>
      </c>
      <c r="AS644" s="68">
        <v>0.0</v>
      </c>
      <c r="AT644" s="44">
        <v>0.0</v>
      </c>
      <c r="AU644" s="52">
        <v>0.0</v>
      </c>
      <c r="AV644" s="52">
        <v>0.0</v>
      </c>
      <c r="AW644" s="52" t="s">
        <v>88</v>
      </c>
      <c r="AX644" s="52">
        <v>0.0</v>
      </c>
      <c r="AY644" s="52" t="s">
        <v>137</v>
      </c>
      <c r="AZ644" s="44">
        <v>0.0</v>
      </c>
      <c r="BA644" s="43" t="s">
        <v>89</v>
      </c>
      <c r="BB644" s="44">
        <v>0.0</v>
      </c>
      <c r="BC644" s="86"/>
      <c r="BD644" s="71"/>
      <c r="BE644" s="71"/>
      <c r="BF644" s="72" t="s">
        <v>3835</v>
      </c>
      <c r="BG644" s="73"/>
      <c r="BH644" s="73"/>
      <c r="BI644" s="73"/>
      <c r="BJ644" s="73"/>
      <c r="BK644" s="73"/>
      <c r="BL644" s="73"/>
      <c r="BM644" s="73"/>
      <c r="BN644" s="73"/>
      <c r="BO644" s="73"/>
      <c r="BP644" s="73"/>
      <c r="BQ644" s="73"/>
      <c r="BR644" s="73"/>
      <c r="BS644" s="73"/>
      <c r="BT644" s="73"/>
      <c r="BU644" s="73"/>
      <c r="BV644" s="73"/>
      <c r="BW644" s="74"/>
      <c r="BX644" s="74"/>
      <c r="BY644" s="63"/>
      <c r="BZ644" s="63"/>
    </row>
    <row r="645" ht="15.75" customHeight="1">
      <c r="A645" s="75" t="s">
        <v>3836</v>
      </c>
      <c r="B645" s="50" t="s">
        <v>3837</v>
      </c>
      <c r="C645" s="50" t="s">
        <v>70</v>
      </c>
      <c r="D645" s="50" t="s">
        <v>3579</v>
      </c>
      <c r="E645" s="64"/>
      <c r="F645" s="78">
        <v>2.8E8</v>
      </c>
      <c r="G645" s="44" t="str">
        <f t="shared" si="16"/>
        <v>$200'000.000 a $300'000.000</v>
      </c>
      <c r="H645" s="44"/>
      <c r="I645" s="44"/>
      <c r="J645" s="50" t="s">
        <v>968</v>
      </c>
      <c r="K645" s="51"/>
      <c r="L645" s="50">
        <v>4.0</v>
      </c>
      <c r="M645" s="50"/>
      <c r="N645" s="50">
        <v>3.0</v>
      </c>
      <c r="O645" s="50">
        <v>1.0</v>
      </c>
      <c r="P645" s="50">
        <v>2.0</v>
      </c>
      <c r="Q645" s="88">
        <v>170.0</v>
      </c>
      <c r="R645" s="88">
        <v>90.0</v>
      </c>
      <c r="S645" s="56" t="str">
        <f t="shared" si="17"/>
        <v> </v>
      </c>
      <c r="T645" s="50" t="s">
        <v>342</v>
      </c>
      <c r="U645" s="51" t="s">
        <v>77</v>
      </c>
      <c r="V645" s="50" t="s">
        <v>79</v>
      </c>
      <c r="W645" s="50"/>
      <c r="X645" s="50">
        <v>3.0</v>
      </c>
      <c r="Y645" s="50" t="s">
        <v>80</v>
      </c>
      <c r="Z645" s="91"/>
      <c r="AA645" s="59" t="str">
        <f>IF(Rentabilidad=0,"No aplica",TEXT(ROUND(Precio/Rentabilidad/12,0),0) &amp; " años")</f>
        <v>No aplica</v>
      </c>
      <c r="AB645" s="82" t="s">
        <v>3838</v>
      </c>
      <c r="AC645" s="102" t="s">
        <v>3839</v>
      </c>
      <c r="AD645" s="103" t="s">
        <v>3840</v>
      </c>
      <c r="AE645" s="63"/>
      <c r="AF645" s="64" t="s">
        <v>105</v>
      </c>
      <c r="AG645" s="65" t="s">
        <v>106</v>
      </c>
      <c r="AH645" s="63"/>
      <c r="AI645" s="65" t="s">
        <v>107</v>
      </c>
      <c r="AJ645" s="64" t="s">
        <v>3810</v>
      </c>
      <c r="AK645" s="58" t="s">
        <v>81</v>
      </c>
      <c r="AL645" s="64" t="s">
        <v>109</v>
      </c>
      <c r="AM645" s="43" t="s">
        <v>3659</v>
      </c>
      <c r="AN645" s="64">
        <v>0.0</v>
      </c>
      <c r="AO645" s="43">
        <v>0.0</v>
      </c>
      <c r="AP645" s="84">
        <v>0.0</v>
      </c>
      <c r="AQ645" s="84"/>
      <c r="AR645" s="84"/>
      <c r="AS645" s="85">
        <v>0.0</v>
      </c>
      <c r="AT645" s="50">
        <v>0.0</v>
      </c>
      <c r="AU645" s="50">
        <v>0.0</v>
      </c>
      <c r="AV645" s="50">
        <v>0.0</v>
      </c>
      <c r="AW645" s="50" t="s">
        <v>88</v>
      </c>
      <c r="AX645" s="50">
        <v>0.0</v>
      </c>
      <c r="AY645" s="50">
        <v>0.0</v>
      </c>
      <c r="AZ645" s="50">
        <v>0.0</v>
      </c>
      <c r="BA645" s="43" t="s">
        <v>89</v>
      </c>
      <c r="BB645" s="50">
        <v>0.0</v>
      </c>
      <c r="BC645" s="95"/>
      <c r="BD645" s="71"/>
      <c r="BE645" s="71"/>
      <c r="BF645" s="72" t="s">
        <v>3841</v>
      </c>
      <c r="BG645" s="73"/>
      <c r="BH645" s="73"/>
      <c r="BI645" s="73"/>
      <c r="BJ645" s="73"/>
      <c r="BK645" s="73"/>
      <c r="BL645" s="73"/>
      <c r="BM645" s="73"/>
      <c r="BN645" s="73"/>
      <c r="BO645" s="73"/>
      <c r="BP645" s="73"/>
      <c r="BQ645" s="73"/>
      <c r="BR645" s="73"/>
      <c r="BS645" s="73"/>
      <c r="BT645" s="73"/>
      <c r="BU645" s="73"/>
      <c r="BV645" s="73"/>
      <c r="BW645" s="74"/>
      <c r="BX645" s="74"/>
      <c r="BY645" s="63"/>
      <c r="BZ645" s="63"/>
    </row>
    <row r="646" ht="15.75" customHeight="1">
      <c r="A646" s="148" t="s">
        <v>3842</v>
      </c>
      <c r="B646" s="50" t="s">
        <v>3843</v>
      </c>
      <c r="C646" s="50" t="s">
        <v>271</v>
      </c>
      <c r="D646" s="44" t="s">
        <v>3844</v>
      </c>
      <c r="E646" s="77" t="s">
        <v>376</v>
      </c>
      <c r="F646" s="78">
        <v>2.8E8</v>
      </c>
      <c r="G646" s="44" t="str">
        <f t="shared" si="16"/>
        <v>$200'000.000 a $300'000.000</v>
      </c>
      <c r="H646" s="44"/>
      <c r="I646" s="44"/>
      <c r="J646" s="43" t="s">
        <v>183</v>
      </c>
      <c r="K646" s="57"/>
      <c r="L646" s="50">
        <v>5.0</v>
      </c>
      <c r="M646" s="50"/>
      <c r="N646" s="50">
        <v>2.0</v>
      </c>
      <c r="O646" s="50">
        <v>1.0</v>
      </c>
      <c r="P646" s="50">
        <v>2.0</v>
      </c>
      <c r="Q646" s="113"/>
      <c r="R646" s="79">
        <v>110.0</v>
      </c>
      <c r="S646" s="56" t="str">
        <f t="shared" si="17"/>
        <v>Rentabilidad $1,300,000</v>
      </c>
      <c r="T646" s="50" t="s">
        <v>78</v>
      </c>
      <c r="U646" s="51" t="s">
        <v>184</v>
      </c>
      <c r="V646" s="50" t="s">
        <v>79</v>
      </c>
      <c r="W646" s="50"/>
      <c r="X646" s="111">
        <v>2.0</v>
      </c>
      <c r="Y646" s="50" t="s">
        <v>80</v>
      </c>
      <c r="Z646" s="58" t="s">
        <v>81</v>
      </c>
      <c r="AA646" s="59" t="str">
        <f>IF(Rentabilidad=0,"No aplica",TEXT(ROUND(Precio/Rentabilidad/12,0),0) &amp; " años")</f>
        <v>18 años</v>
      </c>
      <c r="AB646" s="82" t="s">
        <v>3845</v>
      </c>
      <c r="AC646" s="61"/>
      <c r="AD646" s="125" t="s">
        <v>3846</v>
      </c>
      <c r="AE646" s="63"/>
      <c r="AF646" s="64" t="s">
        <v>105</v>
      </c>
      <c r="AG646" s="65" t="s">
        <v>106</v>
      </c>
      <c r="AH646" s="65"/>
      <c r="AI646" s="65" t="s">
        <v>107</v>
      </c>
      <c r="AJ646" s="64" t="s">
        <v>3810</v>
      </c>
      <c r="AK646" s="58" t="s">
        <v>81</v>
      </c>
      <c r="AL646" s="64" t="s">
        <v>109</v>
      </c>
      <c r="AM646" s="43" t="s">
        <v>3659</v>
      </c>
      <c r="AN646" s="64">
        <v>0.0</v>
      </c>
      <c r="AO646" s="44"/>
      <c r="AP646" s="67"/>
      <c r="AQ646" s="67"/>
      <c r="AR646" s="67"/>
      <c r="AS646" s="94">
        <v>1300000.0</v>
      </c>
      <c r="AT646" s="44"/>
      <c r="AU646" s="44"/>
      <c r="AV646" s="44"/>
      <c r="AW646" s="44"/>
      <c r="AX646" s="44"/>
      <c r="AY646" s="44"/>
      <c r="AZ646" s="44"/>
      <c r="BA646" s="43" t="s">
        <v>89</v>
      </c>
      <c r="BB646" s="44"/>
      <c r="BC646" s="109"/>
      <c r="BD646" s="70"/>
      <c r="BE646" s="71"/>
      <c r="BF646" s="72" t="s">
        <v>3847</v>
      </c>
      <c r="BG646" s="73"/>
      <c r="BH646" s="73"/>
      <c r="BI646" s="73"/>
      <c r="BJ646" s="73"/>
      <c r="BK646" s="73"/>
      <c r="BL646" s="73"/>
      <c r="BM646" s="73"/>
      <c r="BN646" s="73"/>
      <c r="BO646" s="73"/>
      <c r="BP646" s="73"/>
      <c r="BQ646" s="73"/>
      <c r="BR646" s="73"/>
      <c r="BS646" s="73"/>
      <c r="BT646" s="73"/>
      <c r="BU646" s="73"/>
      <c r="BV646" s="73"/>
      <c r="BW646" s="74"/>
      <c r="BX646" s="74"/>
      <c r="BY646" s="63"/>
      <c r="BZ646" s="63"/>
    </row>
    <row r="647" ht="15.75" customHeight="1">
      <c r="A647" s="41" t="s">
        <v>3848</v>
      </c>
      <c r="B647" s="50" t="s">
        <v>395</v>
      </c>
      <c r="C647" s="50" t="s">
        <v>70</v>
      </c>
      <c r="D647" s="50" t="s">
        <v>72</v>
      </c>
      <c r="E647" s="77" t="s">
        <v>376</v>
      </c>
      <c r="F647" s="78">
        <v>2.8E8</v>
      </c>
      <c r="G647" s="44" t="str">
        <f t="shared" si="16"/>
        <v>$200'000.000 a $300'000.000</v>
      </c>
      <c r="H647" s="44"/>
      <c r="I647" s="44"/>
      <c r="J647" s="50" t="s">
        <v>183</v>
      </c>
      <c r="K647" s="51" t="s">
        <v>184</v>
      </c>
      <c r="L647" s="44">
        <v>4.0</v>
      </c>
      <c r="M647" s="44"/>
      <c r="N647" s="44">
        <v>3.0</v>
      </c>
      <c r="O647" s="50">
        <v>1.0</v>
      </c>
      <c r="P647" s="44">
        <v>2.0</v>
      </c>
      <c r="Q647" s="113">
        <v>134.0</v>
      </c>
      <c r="R647" s="79">
        <v>84.0</v>
      </c>
      <c r="S647" s="56" t="str">
        <f t="shared" si="17"/>
        <v> </v>
      </c>
      <c r="T647" s="44" t="s">
        <v>78</v>
      </c>
      <c r="U647" s="57" t="s">
        <v>77</v>
      </c>
      <c r="V647" s="50" t="s">
        <v>79</v>
      </c>
      <c r="W647" s="50"/>
      <c r="X647" s="44">
        <v>4.0</v>
      </c>
      <c r="Y647" s="50" t="s">
        <v>80</v>
      </c>
      <c r="Z647" s="58" t="s">
        <v>81</v>
      </c>
      <c r="AA647" s="59" t="str">
        <f>IF(Rentabilidad=0,"No aplica",TEXT(ROUND(Precio/Rentabilidad/12,0),0) &amp; " años")</f>
        <v>No aplica</v>
      </c>
      <c r="AB647" s="82" t="s">
        <v>3849</v>
      </c>
      <c r="AC647" s="61"/>
      <c r="AD647" s="125" t="s">
        <v>3850</v>
      </c>
      <c r="AE647" s="63"/>
      <c r="AF647" s="45" t="s">
        <v>105</v>
      </c>
      <c r="AG647" s="65" t="s">
        <v>106</v>
      </c>
      <c r="AH647" s="65" t="s">
        <v>45</v>
      </c>
      <c r="AI647" s="65" t="s">
        <v>107</v>
      </c>
      <c r="AJ647" s="64" t="s">
        <v>3810</v>
      </c>
      <c r="AK647" s="58" t="s">
        <v>81</v>
      </c>
      <c r="AL647" s="64" t="s">
        <v>109</v>
      </c>
      <c r="AM647" s="43" t="s">
        <v>3659</v>
      </c>
      <c r="AN647" s="64">
        <v>0.0</v>
      </c>
      <c r="AO647" s="116"/>
      <c r="AP647" s="67"/>
      <c r="AQ647" s="143">
        <v>2.9466814</v>
      </c>
      <c r="AR647" s="143">
        <v>-75.2872081</v>
      </c>
      <c r="AS647" s="68">
        <v>0.0</v>
      </c>
      <c r="AT647" s="44">
        <v>0.0</v>
      </c>
      <c r="AU647" s="52">
        <v>0.0</v>
      </c>
      <c r="AV647" s="52">
        <v>0.0</v>
      </c>
      <c r="AW647" s="52" t="s">
        <v>88</v>
      </c>
      <c r="AX647" s="52">
        <v>0.0</v>
      </c>
      <c r="AY647" s="52">
        <v>0.0</v>
      </c>
      <c r="AZ647" s="44">
        <v>0.0</v>
      </c>
      <c r="BA647" s="43" t="s">
        <v>89</v>
      </c>
      <c r="BB647" s="44">
        <v>0.0</v>
      </c>
      <c r="BC647" s="170"/>
      <c r="BD647" s="128"/>
      <c r="BE647" s="129"/>
      <c r="BF647" s="72" t="s">
        <v>3851</v>
      </c>
      <c r="BG647" s="73"/>
      <c r="BH647" s="73"/>
      <c r="BI647" s="73"/>
      <c r="BJ647" s="73"/>
      <c r="BK647" s="73"/>
      <c r="BL647" s="73"/>
      <c r="BM647" s="73"/>
      <c r="BN647" s="73"/>
      <c r="BO647" s="73"/>
      <c r="BP647" s="73"/>
      <c r="BQ647" s="73"/>
      <c r="BR647" s="73"/>
      <c r="BS647" s="73"/>
      <c r="BT647" s="73"/>
      <c r="BU647" s="73"/>
      <c r="BV647" s="73"/>
      <c r="BW647" s="74"/>
      <c r="BX647" s="74"/>
      <c r="BY647" s="63"/>
      <c r="BZ647" s="63"/>
    </row>
    <row r="648" ht="15.75" customHeight="1">
      <c r="A648" s="75" t="s">
        <v>3852</v>
      </c>
      <c r="B648" s="50" t="s">
        <v>3853</v>
      </c>
      <c r="C648" s="50" t="s">
        <v>315</v>
      </c>
      <c r="D648" s="50" t="s">
        <v>212</v>
      </c>
      <c r="E648" s="64"/>
      <c r="F648" s="78">
        <v>2.0E8</v>
      </c>
      <c r="G648" s="44" t="str">
        <f t="shared" si="16"/>
        <v>$200'000.000 a $300'000.000</v>
      </c>
      <c r="H648" s="44"/>
      <c r="I648" s="44"/>
      <c r="J648" s="50" t="s">
        <v>116</v>
      </c>
      <c r="K648" s="51" t="s">
        <v>192</v>
      </c>
      <c r="L648" s="50">
        <v>0.0</v>
      </c>
      <c r="M648" s="50"/>
      <c r="N648" s="50">
        <v>0.0</v>
      </c>
      <c r="O648" s="50">
        <v>0.0</v>
      </c>
      <c r="P648" s="50">
        <v>0.0</v>
      </c>
      <c r="Q648" s="88">
        <v>0.0</v>
      </c>
      <c r="R648" s="88">
        <v>144.0</v>
      </c>
      <c r="S648" s="56" t="str">
        <f t="shared" si="17"/>
        <v> </v>
      </c>
      <c r="T648" s="50" t="s">
        <v>78</v>
      </c>
      <c r="U648" s="51" t="s">
        <v>142</v>
      </c>
      <c r="V648" s="50" t="s">
        <v>79</v>
      </c>
      <c r="W648" s="50"/>
      <c r="X648" s="50">
        <v>0.0</v>
      </c>
      <c r="Y648" s="50" t="s">
        <v>80</v>
      </c>
      <c r="Z648" s="91"/>
      <c r="AA648" s="59" t="str">
        <f>IF(Rentabilidad=0,"No aplica",TEXT(ROUND(Precio/Rentabilidad/12,0),0) &amp; " años")</f>
        <v>No aplica</v>
      </c>
      <c r="AB648" s="82" t="s">
        <v>3854</v>
      </c>
      <c r="AC648" s="324" t="s">
        <v>3855</v>
      </c>
      <c r="AD648" s="325" t="s">
        <v>3856</v>
      </c>
      <c r="AE648" s="63"/>
      <c r="AF648" s="64">
        <v>0.0</v>
      </c>
      <c r="AG648" s="65" t="s">
        <v>106</v>
      </c>
      <c r="AH648" s="63"/>
      <c r="AI648" s="65" t="s">
        <v>107</v>
      </c>
      <c r="AJ648" s="64" t="s">
        <v>3810</v>
      </c>
      <c r="AK648" s="58" t="s">
        <v>81</v>
      </c>
      <c r="AL648" s="64" t="s">
        <v>109</v>
      </c>
      <c r="AM648" s="43" t="s">
        <v>3857</v>
      </c>
      <c r="AN648" s="64">
        <v>0.0</v>
      </c>
      <c r="AO648" s="43">
        <v>0.0</v>
      </c>
      <c r="AP648" s="84">
        <v>0.0</v>
      </c>
      <c r="AQ648" s="84"/>
      <c r="AR648" s="84"/>
      <c r="AS648" s="85">
        <v>0.0</v>
      </c>
      <c r="AT648" s="50" t="s">
        <v>88</v>
      </c>
      <c r="AU648" s="50">
        <v>0.0</v>
      </c>
      <c r="AV648" s="50">
        <v>0.0</v>
      </c>
      <c r="AW648" s="50" t="s">
        <v>88</v>
      </c>
      <c r="AX648" s="50">
        <v>0.0</v>
      </c>
      <c r="AY648" s="50">
        <v>0.0</v>
      </c>
      <c r="AZ648" s="50">
        <v>0.0</v>
      </c>
      <c r="BA648" s="43" t="s">
        <v>89</v>
      </c>
      <c r="BB648" s="50">
        <v>0.0</v>
      </c>
      <c r="BC648" s="95"/>
      <c r="BD648" s="71"/>
      <c r="BE648" s="71"/>
      <c r="BF648" s="72" t="s">
        <v>3858</v>
      </c>
      <c r="BG648" s="73"/>
      <c r="BH648" s="73"/>
      <c r="BI648" s="73"/>
      <c r="BJ648" s="73"/>
      <c r="BK648" s="73"/>
      <c r="BL648" s="73"/>
      <c r="BM648" s="73"/>
      <c r="BN648" s="73"/>
      <c r="BO648" s="73"/>
      <c r="BP648" s="73"/>
      <c r="BQ648" s="73"/>
      <c r="BR648" s="73"/>
      <c r="BS648" s="73"/>
      <c r="BT648" s="73"/>
      <c r="BU648" s="73"/>
      <c r="BV648" s="73"/>
      <c r="BW648" s="74"/>
      <c r="BX648" s="74"/>
      <c r="BY648" s="63"/>
      <c r="BZ648" s="63"/>
    </row>
    <row r="649" ht="15.75" customHeight="1">
      <c r="A649" s="75" t="s">
        <v>3859</v>
      </c>
      <c r="B649" s="50" t="s">
        <v>3860</v>
      </c>
      <c r="C649" s="50" t="s">
        <v>70</v>
      </c>
      <c r="D649" s="44" t="s">
        <v>3861</v>
      </c>
      <c r="E649" s="77" t="s">
        <v>376</v>
      </c>
      <c r="F649" s="78">
        <v>1.65E8</v>
      </c>
      <c r="G649" s="44" t="str">
        <f t="shared" si="16"/>
        <v>$100'000.000 a $200'000.000</v>
      </c>
      <c r="H649" s="44"/>
      <c r="I649" s="44"/>
      <c r="J649" s="50" t="s">
        <v>94</v>
      </c>
      <c r="K649" s="57"/>
      <c r="L649" s="68">
        <v>3.0</v>
      </c>
      <c r="M649" s="68"/>
      <c r="N649" s="44">
        <v>1.0</v>
      </c>
      <c r="O649" s="50">
        <v>1.0</v>
      </c>
      <c r="P649" s="44">
        <v>1.0</v>
      </c>
      <c r="Q649" s="113">
        <v>136.0</v>
      </c>
      <c r="R649" s="79">
        <v>136.0</v>
      </c>
      <c r="S649" s="56" t="str">
        <f t="shared" si="17"/>
        <v> </v>
      </c>
      <c r="T649" s="44" t="s">
        <v>78</v>
      </c>
      <c r="U649" s="57" t="s">
        <v>184</v>
      </c>
      <c r="V649" s="50" t="s">
        <v>79</v>
      </c>
      <c r="W649" s="50"/>
      <c r="X649" s="44">
        <v>0.0</v>
      </c>
      <c r="Y649" s="50" t="s">
        <v>80</v>
      </c>
      <c r="Z649" s="58" t="s">
        <v>81</v>
      </c>
      <c r="AA649" s="59" t="str">
        <f>IF(Rentabilidad=0,"No aplica",TEXT(ROUND(Precio/Rentabilidad/12,0),0) &amp; " años")</f>
        <v>No aplica</v>
      </c>
      <c r="AB649" s="140" t="s">
        <v>3862</v>
      </c>
      <c r="AC649" s="124" t="s">
        <v>3863</v>
      </c>
      <c r="AD649" s="326" t="s">
        <v>3864</v>
      </c>
      <c r="AE649" s="63"/>
      <c r="AF649" s="45" t="s">
        <v>84</v>
      </c>
      <c r="AG649" s="65"/>
      <c r="AH649" s="65"/>
      <c r="AI649" s="65" t="s">
        <v>107</v>
      </c>
      <c r="AJ649" s="64" t="s">
        <v>3810</v>
      </c>
      <c r="AK649" s="58" t="s">
        <v>81</v>
      </c>
      <c r="AL649" s="64" t="s">
        <v>109</v>
      </c>
      <c r="AM649" s="43" t="s">
        <v>3659</v>
      </c>
      <c r="AN649" s="64">
        <v>0.0</v>
      </c>
      <c r="AO649" s="43">
        <v>0.0</v>
      </c>
      <c r="AP649" s="67"/>
      <c r="AQ649" s="67"/>
      <c r="AR649" s="67"/>
      <c r="AS649" s="68">
        <v>0.0</v>
      </c>
      <c r="AT649" s="44">
        <v>0.0</v>
      </c>
      <c r="AU649" s="52">
        <v>0.0</v>
      </c>
      <c r="AV649" s="52">
        <v>0.0</v>
      </c>
      <c r="AW649" s="52" t="s">
        <v>106</v>
      </c>
      <c r="AX649" s="52">
        <v>0.0</v>
      </c>
      <c r="AY649" s="52" t="s">
        <v>137</v>
      </c>
      <c r="AZ649" s="44">
        <v>0.0</v>
      </c>
      <c r="BA649" s="43" t="s">
        <v>89</v>
      </c>
      <c r="BB649" s="44">
        <v>0.0</v>
      </c>
      <c r="BC649" s="69" t="s">
        <v>399</v>
      </c>
      <c r="BD649" s="70"/>
      <c r="BE649" s="71"/>
      <c r="BF649" s="72" t="s">
        <v>3865</v>
      </c>
      <c r="BG649" s="73"/>
      <c r="BH649" s="73"/>
      <c r="BI649" s="73"/>
      <c r="BJ649" s="73"/>
      <c r="BK649" s="73"/>
      <c r="BL649" s="73"/>
      <c r="BM649" s="73"/>
      <c r="BN649" s="73"/>
      <c r="BO649" s="73"/>
      <c r="BP649" s="73"/>
      <c r="BQ649" s="73"/>
      <c r="BR649" s="73"/>
      <c r="BS649" s="73"/>
      <c r="BT649" s="73"/>
      <c r="BU649" s="73"/>
      <c r="BV649" s="73"/>
      <c r="BW649" s="74"/>
      <c r="BX649" s="74"/>
      <c r="BY649" s="63"/>
      <c r="BZ649" s="63"/>
    </row>
    <row r="650" ht="15.75" customHeight="1">
      <c r="A650" s="75" t="s">
        <v>3866</v>
      </c>
      <c r="B650" s="50" t="s">
        <v>3867</v>
      </c>
      <c r="C650" s="50" t="s">
        <v>315</v>
      </c>
      <c r="D650" s="50" t="s">
        <v>191</v>
      </c>
      <c r="E650" s="64"/>
      <c r="F650" s="78">
        <v>1.5E8</v>
      </c>
      <c r="G650" s="44" t="str">
        <f t="shared" si="16"/>
        <v>$100'000.000 a $200'000.000</v>
      </c>
      <c r="H650" s="44"/>
      <c r="I650" s="44"/>
      <c r="J650" s="50" t="s">
        <v>116</v>
      </c>
      <c r="K650" s="51" t="s">
        <v>192</v>
      </c>
      <c r="L650" s="50">
        <v>0.0</v>
      </c>
      <c r="M650" s="50"/>
      <c r="N650" s="50">
        <v>0.0</v>
      </c>
      <c r="O650" s="50">
        <v>0.0</v>
      </c>
      <c r="P650" s="50">
        <v>0.0</v>
      </c>
      <c r="Q650" s="88">
        <v>0.0</v>
      </c>
      <c r="R650" s="88">
        <v>112.0</v>
      </c>
      <c r="S650" s="56" t="str">
        <f t="shared" si="17"/>
        <v> </v>
      </c>
      <c r="T650" s="50" t="s">
        <v>78</v>
      </c>
      <c r="U650" s="51" t="s">
        <v>77</v>
      </c>
      <c r="V650" s="50" t="s">
        <v>79</v>
      </c>
      <c r="W650" s="50"/>
      <c r="X650" s="50">
        <v>0.0</v>
      </c>
      <c r="Y650" s="43" t="s">
        <v>80</v>
      </c>
      <c r="Z650" s="91"/>
      <c r="AA650" s="59" t="str">
        <f>IF(Rentabilidad=0,"No aplica",TEXT(ROUND(Precio/Rentabilidad/12,0),0) &amp; " años")</f>
        <v>No aplica</v>
      </c>
      <c r="AB650" s="82" t="s">
        <v>3868</v>
      </c>
      <c r="AC650" s="327" t="s">
        <v>3869</v>
      </c>
      <c r="AD650" s="107" t="s">
        <v>3870</v>
      </c>
      <c r="AE650" s="63"/>
      <c r="AF650" s="64">
        <v>0.0</v>
      </c>
      <c r="AG650" s="65" t="s">
        <v>106</v>
      </c>
      <c r="AH650" s="63"/>
      <c r="AI650" s="65" t="s">
        <v>107</v>
      </c>
      <c r="AJ650" s="64" t="s">
        <v>3810</v>
      </c>
      <c r="AK650" s="58" t="s">
        <v>81</v>
      </c>
      <c r="AL650" s="64" t="s">
        <v>109</v>
      </c>
      <c r="AM650" s="43" t="s">
        <v>3659</v>
      </c>
      <c r="AN650" s="64">
        <v>0.0</v>
      </c>
      <c r="AO650" s="43"/>
      <c r="AP650" s="84">
        <v>0.0</v>
      </c>
      <c r="AQ650" s="84"/>
      <c r="AR650" s="84"/>
      <c r="AS650" s="85">
        <v>0.0</v>
      </c>
      <c r="AT650" s="50">
        <v>0.0</v>
      </c>
      <c r="AU650" s="50">
        <v>0.0</v>
      </c>
      <c r="AV650" s="50">
        <v>0.0</v>
      </c>
      <c r="AW650" s="50" t="s">
        <v>88</v>
      </c>
      <c r="AX650" s="50">
        <v>0.0</v>
      </c>
      <c r="AY650" s="50">
        <v>0.0</v>
      </c>
      <c r="AZ650" s="50">
        <v>0.0</v>
      </c>
      <c r="BA650" s="43" t="s">
        <v>89</v>
      </c>
      <c r="BB650" s="50">
        <v>0.0</v>
      </c>
      <c r="BC650" s="95"/>
      <c r="BD650" s="71"/>
      <c r="BE650" s="71"/>
      <c r="BF650" s="72" t="s">
        <v>3871</v>
      </c>
      <c r="BG650" s="73"/>
      <c r="BH650" s="73"/>
      <c r="BI650" s="73"/>
      <c r="BJ650" s="73"/>
      <c r="BK650" s="73"/>
      <c r="BL650" s="73"/>
      <c r="BM650" s="73"/>
      <c r="BN650" s="73"/>
      <c r="BO650" s="73"/>
      <c r="BP650" s="73"/>
      <c r="BQ650" s="73"/>
      <c r="BR650" s="73"/>
      <c r="BS650" s="73"/>
      <c r="BT650" s="73"/>
      <c r="BU650" s="73"/>
      <c r="BV650" s="73"/>
      <c r="BW650" s="74"/>
      <c r="BX650" s="74"/>
      <c r="BY650" s="63"/>
      <c r="BZ650" s="63"/>
    </row>
    <row r="651" ht="15.75" customHeight="1">
      <c r="A651" s="75" t="s">
        <v>3872</v>
      </c>
      <c r="B651" s="50" t="s">
        <v>3873</v>
      </c>
      <c r="C651" s="50" t="s">
        <v>315</v>
      </c>
      <c r="D651" s="50" t="s">
        <v>3874</v>
      </c>
      <c r="E651" s="64"/>
      <c r="F651" s="78">
        <v>1.4E8</v>
      </c>
      <c r="G651" s="44" t="str">
        <f t="shared" si="16"/>
        <v>$100'000.000 a $200'000.000</v>
      </c>
      <c r="H651" s="44"/>
      <c r="I651" s="44"/>
      <c r="J651" s="50" t="s">
        <v>116</v>
      </c>
      <c r="K651" s="51"/>
      <c r="L651" s="50">
        <v>0.0</v>
      </c>
      <c r="M651" s="50"/>
      <c r="N651" s="50">
        <v>0.0</v>
      </c>
      <c r="O651" s="50">
        <v>0.0</v>
      </c>
      <c r="P651" s="50">
        <v>0.0</v>
      </c>
      <c r="Q651" s="88">
        <v>0.0</v>
      </c>
      <c r="R651" s="88">
        <v>72.0</v>
      </c>
      <c r="S651" s="56" t="str">
        <f t="shared" si="17"/>
        <v> </v>
      </c>
      <c r="T651" s="50" t="s">
        <v>78</v>
      </c>
      <c r="U651" s="51" t="s">
        <v>77</v>
      </c>
      <c r="V651" s="50" t="s">
        <v>79</v>
      </c>
      <c r="W651" s="50"/>
      <c r="X651" s="50">
        <v>0.0</v>
      </c>
      <c r="Y651" s="50" t="s">
        <v>80</v>
      </c>
      <c r="Z651" s="58" t="s">
        <v>81</v>
      </c>
      <c r="AA651" s="59" t="str">
        <f>IF(Rentabilidad=0,"No aplica",TEXT(ROUND(Precio/Rentabilidad/12,0),0) &amp; " años")</f>
        <v>No aplica</v>
      </c>
      <c r="AB651" s="82" t="s">
        <v>3875</v>
      </c>
      <c r="AC651" s="324" t="s">
        <v>3876</v>
      </c>
      <c r="AD651" s="325" t="s">
        <v>3877</v>
      </c>
      <c r="AE651" s="63"/>
      <c r="AF651" s="64">
        <v>0.0</v>
      </c>
      <c r="AG651" s="65" t="s">
        <v>106</v>
      </c>
      <c r="AH651" s="63"/>
      <c r="AI651" s="65" t="s">
        <v>107</v>
      </c>
      <c r="AJ651" s="64" t="s">
        <v>3810</v>
      </c>
      <c r="AK651" s="58" t="s">
        <v>81</v>
      </c>
      <c r="AL651" s="64" t="s">
        <v>109</v>
      </c>
      <c r="AM651" s="43" t="s">
        <v>3659</v>
      </c>
      <c r="AN651" s="64">
        <v>0.0</v>
      </c>
      <c r="AO651" s="43">
        <v>0.0</v>
      </c>
      <c r="AP651" s="84">
        <v>0.0</v>
      </c>
      <c r="AQ651" s="84"/>
      <c r="AR651" s="84"/>
      <c r="AS651" s="85">
        <v>0.0</v>
      </c>
      <c r="AT651" s="50">
        <v>0.0</v>
      </c>
      <c r="AU651" s="50">
        <v>0.0</v>
      </c>
      <c r="AV651" s="50">
        <v>0.0</v>
      </c>
      <c r="AW651" s="50" t="s">
        <v>88</v>
      </c>
      <c r="AX651" s="50">
        <v>0.0</v>
      </c>
      <c r="AY651" s="50">
        <v>0.0</v>
      </c>
      <c r="AZ651" s="50">
        <v>6.0</v>
      </c>
      <c r="BA651" s="43" t="s">
        <v>89</v>
      </c>
      <c r="BB651" s="50">
        <v>12.0</v>
      </c>
      <c r="BC651" s="95"/>
      <c r="BD651" s="71"/>
      <c r="BE651" s="71"/>
      <c r="BF651" s="72" t="s">
        <v>3878</v>
      </c>
      <c r="BG651" s="73"/>
      <c r="BH651" s="73"/>
      <c r="BI651" s="73"/>
      <c r="BJ651" s="73"/>
      <c r="BK651" s="73"/>
      <c r="BL651" s="73"/>
      <c r="BM651" s="73"/>
      <c r="BN651" s="73"/>
      <c r="BO651" s="73"/>
      <c r="BP651" s="73"/>
      <c r="BQ651" s="73"/>
      <c r="BR651" s="73"/>
      <c r="BS651" s="73"/>
      <c r="BT651" s="73"/>
      <c r="BU651" s="73"/>
      <c r="BV651" s="73"/>
      <c r="BW651" s="74"/>
      <c r="BX651" s="74"/>
      <c r="BY651" s="63"/>
      <c r="BZ651" s="63"/>
    </row>
    <row r="652" ht="15.75" customHeight="1">
      <c r="A652" s="328" t="s">
        <v>3879</v>
      </c>
      <c r="B652" s="43" t="s">
        <v>3880</v>
      </c>
      <c r="C652" s="43" t="s">
        <v>70</v>
      </c>
      <c r="D652" s="193" t="s">
        <v>430</v>
      </c>
      <c r="E652" s="45"/>
      <c r="F652" s="78">
        <v>3.4E8</v>
      </c>
      <c r="G652" s="44" t="str">
        <f t="shared" si="16"/>
        <v>$300'000.000 a $400'000.000</v>
      </c>
      <c r="H652" s="44"/>
      <c r="I652" s="44"/>
      <c r="J652" s="50" t="s">
        <v>183</v>
      </c>
      <c r="K652" s="150"/>
      <c r="L652" s="199">
        <v>3.0</v>
      </c>
      <c r="M652" s="199"/>
      <c r="N652" s="199">
        <v>4.0</v>
      </c>
      <c r="O652" s="199">
        <v>1.0</v>
      </c>
      <c r="P652" s="199">
        <v>2.0</v>
      </c>
      <c r="Q652" s="55">
        <v>140.0</v>
      </c>
      <c r="R652" s="55">
        <v>105.0</v>
      </c>
      <c r="S652" s="56" t="str">
        <f t="shared" si="17"/>
        <v> </v>
      </c>
      <c r="T652" s="43" t="s">
        <v>78</v>
      </c>
      <c r="U652" s="56" t="s">
        <v>77</v>
      </c>
      <c r="V652" s="199" t="s">
        <v>118</v>
      </c>
      <c r="W652" s="199"/>
      <c r="X652" s="199">
        <v>3.0</v>
      </c>
      <c r="Y652" s="43" t="s">
        <v>80</v>
      </c>
      <c r="Z652" s="58" t="s">
        <v>81</v>
      </c>
      <c r="AA652" s="59" t="str">
        <f>IF(Rentabilidad=0,"No aplica",TEXT(ROUND(Precio/Rentabilidad/12,0),0) &amp; " años")</f>
        <v>No aplica</v>
      </c>
      <c r="AB652" s="140" t="s">
        <v>3881</v>
      </c>
      <c r="AC652" s="131" t="s">
        <v>3882</v>
      </c>
      <c r="AD652" s="125" t="s">
        <v>3883</v>
      </c>
      <c r="AE652" s="63"/>
      <c r="AF652" s="45" t="s">
        <v>105</v>
      </c>
      <c r="AG652" s="65" t="s">
        <v>106</v>
      </c>
      <c r="AH652" s="65" t="s">
        <v>45</v>
      </c>
      <c r="AI652" s="65" t="s">
        <v>107</v>
      </c>
      <c r="AJ652" s="64" t="s">
        <v>3884</v>
      </c>
      <c r="AK652" s="50" t="s">
        <v>81</v>
      </c>
      <c r="AL652" s="45" t="s">
        <v>109</v>
      </c>
      <c r="AM652" s="43" t="s">
        <v>3659</v>
      </c>
      <c r="AN652" s="64">
        <v>0.0</v>
      </c>
      <c r="AO652" s="52"/>
      <c r="AP652" s="67"/>
      <c r="AQ652" s="67"/>
      <c r="AR652" s="67"/>
      <c r="AS652" s="94">
        <v>0.0</v>
      </c>
      <c r="AT652" s="50">
        <v>0.0</v>
      </c>
      <c r="AU652" s="43">
        <v>0.0</v>
      </c>
      <c r="AV652" s="43">
        <v>0.0</v>
      </c>
      <c r="AW652" s="43" t="s">
        <v>106</v>
      </c>
      <c r="AX652" s="43">
        <v>0.0</v>
      </c>
      <c r="AY652" s="43" t="s">
        <v>137</v>
      </c>
      <c r="AZ652" s="43">
        <v>0.0</v>
      </c>
      <c r="BA652" s="43" t="s">
        <v>89</v>
      </c>
      <c r="BB652" s="43">
        <v>0.0</v>
      </c>
      <c r="BC652" s="109"/>
      <c r="BD652" s="70"/>
      <c r="BE652" s="71"/>
      <c r="BF652" s="72" t="s">
        <v>3885</v>
      </c>
      <c r="BG652" s="73"/>
      <c r="BH652" s="73"/>
      <c r="BI652" s="73"/>
      <c r="BJ652" s="73"/>
      <c r="BK652" s="73"/>
      <c r="BL652" s="73"/>
      <c r="BM652" s="73"/>
      <c r="BN652" s="73"/>
      <c r="BO652" s="73"/>
      <c r="BP652" s="73"/>
      <c r="BQ652" s="73"/>
      <c r="BR652" s="73"/>
      <c r="BS652" s="73"/>
      <c r="BT652" s="73"/>
      <c r="BU652" s="73"/>
      <c r="BV652" s="73"/>
      <c r="BW652" s="74"/>
      <c r="BX652" s="74"/>
      <c r="BY652" s="63"/>
      <c r="BZ652" s="63"/>
    </row>
    <row r="653" ht="15.75" customHeight="1">
      <c r="A653" s="41" t="s">
        <v>3886</v>
      </c>
      <c r="B653" s="43" t="s">
        <v>3887</v>
      </c>
      <c r="C653" s="43" t="s">
        <v>315</v>
      </c>
      <c r="D653" s="202"/>
      <c r="E653" s="45"/>
      <c r="F653" s="47">
        <v>8.0E7</v>
      </c>
      <c r="G653" s="44" t="str">
        <f t="shared" si="16"/>
        <v>$0 a $100'000.000</v>
      </c>
      <c r="H653" s="44"/>
      <c r="I653" s="44"/>
      <c r="J653" s="50" t="s">
        <v>94</v>
      </c>
      <c r="K653" s="150"/>
      <c r="L653" s="329">
        <v>0.0</v>
      </c>
      <c r="M653" s="329"/>
      <c r="N653" s="329">
        <v>0.0</v>
      </c>
      <c r="O653" s="199">
        <v>0.0</v>
      </c>
      <c r="P653" s="199">
        <v>0.0</v>
      </c>
      <c r="Q653" s="54"/>
      <c r="R653" s="55">
        <v>1200.0</v>
      </c>
      <c r="S653" s="56" t="str">
        <f t="shared" si="17"/>
        <v> </v>
      </c>
      <c r="T653" s="52" t="s">
        <v>920</v>
      </c>
      <c r="U653" s="142"/>
      <c r="V653" s="329"/>
      <c r="W653" s="329"/>
      <c r="X653" s="329">
        <v>0.0</v>
      </c>
      <c r="Y653" s="43" t="s">
        <v>80</v>
      </c>
      <c r="Z653" s="80" t="s">
        <v>81</v>
      </c>
      <c r="AA653" s="59" t="str">
        <f>IF(Rentabilidad=0,"No aplica",TEXT(ROUND(Precio/Rentabilidad/12,0),0) &amp; " años")</f>
        <v>No aplica</v>
      </c>
      <c r="AB653" s="60"/>
      <c r="AC653" s="211" t="s">
        <v>3888</v>
      </c>
      <c r="AD653" s="62"/>
      <c r="AE653" s="63"/>
      <c r="AF653" s="64">
        <v>0.0</v>
      </c>
      <c r="AG653" s="63"/>
      <c r="AH653" s="63"/>
      <c r="AI653" s="63"/>
      <c r="AJ653" s="64" t="s">
        <v>3889</v>
      </c>
      <c r="AK653" s="50" t="s">
        <v>81</v>
      </c>
      <c r="AL653" s="45" t="s">
        <v>2624</v>
      </c>
      <c r="AM653" s="52">
        <v>3.102214654E9</v>
      </c>
      <c r="AN653" s="45"/>
      <c r="AO653" s="52" t="s">
        <v>3889</v>
      </c>
      <c r="AP653" s="67"/>
      <c r="AQ653" s="67"/>
      <c r="AR653" s="67"/>
      <c r="AS653" s="94">
        <v>0.0</v>
      </c>
      <c r="AT653" s="44">
        <v>0.0</v>
      </c>
      <c r="AU653" s="52">
        <v>0.0</v>
      </c>
      <c r="AV653" s="52">
        <v>0.0</v>
      </c>
      <c r="AW653" s="43" t="s">
        <v>88</v>
      </c>
      <c r="AX653" s="52">
        <v>0.0</v>
      </c>
      <c r="AY653" s="52">
        <v>0.0</v>
      </c>
      <c r="AZ653" s="52">
        <v>0.0</v>
      </c>
      <c r="BA653" s="43" t="s">
        <v>89</v>
      </c>
      <c r="BB653" s="52">
        <v>0.0</v>
      </c>
      <c r="BC653" s="69" t="s">
        <v>3890</v>
      </c>
      <c r="BD653" s="70"/>
      <c r="BE653" s="70"/>
      <c r="BF653" s="72"/>
      <c r="BG653" s="73"/>
      <c r="BH653" s="73"/>
      <c r="BI653" s="73"/>
      <c r="BJ653" s="73"/>
      <c r="BK653" s="73"/>
      <c r="BL653" s="73"/>
      <c r="BM653" s="73"/>
      <c r="BN653" s="73"/>
      <c r="BO653" s="73"/>
      <c r="BP653" s="73"/>
      <c r="BQ653" s="73"/>
      <c r="BR653" s="73"/>
      <c r="BS653" s="73"/>
      <c r="BT653" s="73"/>
      <c r="BU653" s="73"/>
      <c r="BV653" s="73"/>
      <c r="BW653" s="74"/>
      <c r="BX653" s="74"/>
      <c r="BY653" s="63"/>
      <c r="BZ653" s="63"/>
    </row>
    <row r="654" ht="15.75" customHeight="1">
      <c r="A654" s="75" t="s">
        <v>3891</v>
      </c>
      <c r="B654" s="50" t="s">
        <v>3892</v>
      </c>
      <c r="C654" s="50" t="s">
        <v>315</v>
      </c>
      <c r="D654" s="50" t="s">
        <v>3893</v>
      </c>
      <c r="E654" s="64"/>
      <c r="F654" s="78">
        <v>1.168E10</v>
      </c>
      <c r="G654" s="44" t="str">
        <f t="shared" si="16"/>
        <v>Más de $1.000'000.000</v>
      </c>
      <c r="H654" s="44"/>
      <c r="I654" s="44"/>
      <c r="J654" s="50" t="s">
        <v>183</v>
      </c>
      <c r="K654" s="51" t="s">
        <v>184</v>
      </c>
      <c r="L654" s="50">
        <v>0.0</v>
      </c>
      <c r="M654" s="50"/>
      <c r="N654" s="50">
        <v>0.0</v>
      </c>
      <c r="O654" s="50">
        <v>0.0</v>
      </c>
      <c r="P654" s="50">
        <v>0.0</v>
      </c>
      <c r="Q654" s="89">
        <v>0.0</v>
      </c>
      <c r="R654" s="88">
        <v>14600.0</v>
      </c>
      <c r="S654" s="56" t="str">
        <f t="shared" si="17"/>
        <v> </v>
      </c>
      <c r="T654" s="50" t="s">
        <v>78</v>
      </c>
      <c r="U654" s="51" t="s">
        <v>679</v>
      </c>
      <c r="V654" s="50" t="s">
        <v>118</v>
      </c>
      <c r="W654" s="50"/>
      <c r="X654" s="50">
        <v>0.0</v>
      </c>
      <c r="Y654" s="50" t="s">
        <v>80</v>
      </c>
      <c r="Z654" s="58" t="s">
        <v>81</v>
      </c>
      <c r="AA654" s="59" t="str">
        <f>IF(Rentabilidad=0,"No aplica",TEXT(ROUND(Precio/Rentabilidad/12,0),0) &amp; " años")</f>
        <v>No aplica</v>
      </c>
      <c r="AB654" s="82" t="s">
        <v>3894</v>
      </c>
      <c r="AC654" s="131" t="s">
        <v>3895</v>
      </c>
      <c r="AD654" s="107" t="s">
        <v>3896</v>
      </c>
      <c r="AE654" s="63"/>
      <c r="AF654" s="64">
        <v>0.0</v>
      </c>
      <c r="AG654" s="65" t="s">
        <v>106</v>
      </c>
      <c r="AH654" s="63"/>
      <c r="AI654" s="65" t="s">
        <v>107</v>
      </c>
      <c r="AJ654" s="64" t="s">
        <v>3897</v>
      </c>
      <c r="AK654" s="58" t="s">
        <v>81</v>
      </c>
      <c r="AL654" s="64" t="s">
        <v>109</v>
      </c>
      <c r="AM654" s="52">
        <v>3.103914892E9</v>
      </c>
      <c r="AN654" s="64">
        <v>0.0</v>
      </c>
      <c r="AO654" s="43">
        <v>0.0</v>
      </c>
      <c r="AP654" s="84" t="s">
        <v>3898</v>
      </c>
      <c r="AQ654" s="84">
        <v>2.95344473732182</v>
      </c>
      <c r="AR654" s="84">
        <v>-75.286290150798</v>
      </c>
      <c r="AS654" s="94">
        <v>0.0</v>
      </c>
      <c r="AT654" s="65">
        <v>0.0</v>
      </c>
      <c r="AU654" s="50">
        <v>0.0</v>
      </c>
      <c r="AV654" s="50">
        <v>0.0</v>
      </c>
      <c r="AW654" s="50" t="s">
        <v>88</v>
      </c>
      <c r="AX654" s="50">
        <v>0.0</v>
      </c>
      <c r="AY654" s="50">
        <v>0.0</v>
      </c>
      <c r="AZ654" s="50">
        <v>0.0</v>
      </c>
      <c r="BA654" s="43" t="s">
        <v>89</v>
      </c>
      <c r="BB654" s="50">
        <v>0.0</v>
      </c>
      <c r="BC654" s="95"/>
      <c r="BD654" s="71"/>
      <c r="BE654" s="71"/>
      <c r="BF654" s="72" t="s">
        <v>3899</v>
      </c>
      <c r="BG654" s="73"/>
      <c r="BH654" s="73"/>
      <c r="BI654" s="73"/>
      <c r="BJ654" s="73"/>
      <c r="BK654" s="73"/>
      <c r="BL654" s="73"/>
      <c r="BM654" s="73"/>
      <c r="BN654" s="73"/>
      <c r="BO654" s="73"/>
      <c r="BP654" s="73"/>
      <c r="BQ654" s="73"/>
      <c r="BR654" s="73"/>
      <c r="BS654" s="73"/>
      <c r="BT654" s="73"/>
      <c r="BU654" s="73"/>
      <c r="BV654" s="73"/>
      <c r="BW654" s="74"/>
      <c r="BX654" s="74"/>
      <c r="BY654" s="63"/>
      <c r="BZ654" s="63"/>
    </row>
    <row r="655" ht="15.75" customHeight="1">
      <c r="A655" s="75" t="s">
        <v>3900</v>
      </c>
      <c r="B655" s="50" t="s">
        <v>3901</v>
      </c>
      <c r="C655" s="50" t="s">
        <v>315</v>
      </c>
      <c r="D655" s="50" t="s">
        <v>459</v>
      </c>
      <c r="E655" s="64"/>
      <c r="F655" s="78">
        <v>6.196E9</v>
      </c>
      <c r="G655" s="44" t="str">
        <f t="shared" si="16"/>
        <v>Más de $1.000'000.000</v>
      </c>
      <c r="H655" s="44"/>
      <c r="I655" s="44"/>
      <c r="J655" s="50" t="s">
        <v>116</v>
      </c>
      <c r="K655" s="51" t="s">
        <v>192</v>
      </c>
      <c r="L655" s="50">
        <v>0.0</v>
      </c>
      <c r="M655" s="50"/>
      <c r="N655" s="50">
        <v>0.0</v>
      </c>
      <c r="O655" s="50">
        <v>0.0</v>
      </c>
      <c r="P655" s="50">
        <v>0.0</v>
      </c>
      <c r="Q655" s="88">
        <v>0.0</v>
      </c>
      <c r="R655" s="88">
        <v>28163.0</v>
      </c>
      <c r="S655" s="56" t="str">
        <f t="shared" si="17"/>
        <v> </v>
      </c>
      <c r="T655" s="50" t="s">
        <v>78</v>
      </c>
      <c r="U655" s="51" t="s">
        <v>142</v>
      </c>
      <c r="V655" s="50" t="s">
        <v>79</v>
      </c>
      <c r="W655" s="50"/>
      <c r="X655" s="50">
        <v>0.0</v>
      </c>
      <c r="Y655" s="50" t="s">
        <v>80</v>
      </c>
      <c r="Z655" s="58" t="s">
        <v>81</v>
      </c>
      <c r="AA655" s="59" t="str">
        <f>IF(Rentabilidad=0,"No aplica",TEXT(ROUND(Precio/Rentabilidad/12,0),0) &amp; " años")</f>
        <v>No aplica</v>
      </c>
      <c r="AB655" s="82" t="s">
        <v>3902</v>
      </c>
      <c r="AC655" s="8" t="s">
        <v>3903</v>
      </c>
      <c r="AD655" s="83" t="s">
        <v>3904</v>
      </c>
      <c r="AE655" s="63"/>
      <c r="AF655" s="64">
        <v>0.0</v>
      </c>
      <c r="AG655" s="65" t="s">
        <v>106</v>
      </c>
      <c r="AH655" s="63"/>
      <c r="AI655" s="65" t="s">
        <v>107</v>
      </c>
      <c r="AJ655" s="64" t="s">
        <v>3897</v>
      </c>
      <c r="AK655" s="58" t="s">
        <v>81</v>
      </c>
      <c r="AL655" s="64" t="s">
        <v>109</v>
      </c>
      <c r="AM655" s="43">
        <v>3.208027317E9</v>
      </c>
      <c r="AN655" s="64">
        <v>0.0</v>
      </c>
      <c r="AO655" s="43">
        <v>0.0</v>
      </c>
      <c r="AP655" s="84" t="s">
        <v>3898</v>
      </c>
      <c r="AQ655" s="84"/>
      <c r="AR655" s="84"/>
      <c r="AS655" s="94">
        <v>0.0</v>
      </c>
      <c r="AT655" s="65">
        <v>0.0</v>
      </c>
      <c r="AU655" s="50">
        <v>0.0</v>
      </c>
      <c r="AV655" s="50">
        <v>0.0</v>
      </c>
      <c r="AW655" s="50" t="s">
        <v>88</v>
      </c>
      <c r="AX655" s="50">
        <v>0.0</v>
      </c>
      <c r="AY655" s="50">
        <v>0.0</v>
      </c>
      <c r="AZ655" s="50">
        <v>0.0</v>
      </c>
      <c r="BA655" s="43" t="s">
        <v>89</v>
      </c>
      <c r="BB655" s="50">
        <v>0.0</v>
      </c>
      <c r="BC655" s="95"/>
      <c r="BD655" s="71"/>
      <c r="BE655" s="71"/>
      <c r="BF655" s="72" t="s">
        <v>3905</v>
      </c>
      <c r="BG655" s="73"/>
      <c r="BH655" s="73"/>
      <c r="BI655" s="73"/>
      <c r="BJ655" s="73"/>
      <c r="BK655" s="73"/>
      <c r="BL655" s="73"/>
      <c r="BM655" s="73"/>
      <c r="BN655" s="73"/>
      <c r="BO655" s="73"/>
      <c r="BP655" s="73"/>
      <c r="BQ655" s="73"/>
      <c r="BR655" s="73"/>
      <c r="BS655" s="73"/>
      <c r="BT655" s="73"/>
      <c r="BU655" s="73"/>
      <c r="BV655" s="73"/>
      <c r="BW655" s="74"/>
      <c r="BX655" s="74"/>
      <c r="BY655" s="63"/>
      <c r="BZ655" s="63"/>
    </row>
    <row r="656" ht="15.75" customHeight="1">
      <c r="A656" s="75" t="s">
        <v>3906</v>
      </c>
      <c r="B656" s="50" t="s">
        <v>3907</v>
      </c>
      <c r="C656" s="50" t="s">
        <v>497</v>
      </c>
      <c r="D656" s="50"/>
      <c r="E656" s="64"/>
      <c r="F656" s="78">
        <v>3.7E9</v>
      </c>
      <c r="G656" s="44" t="str">
        <f t="shared" si="16"/>
        <v>Más de $1.000'000.000</v>
      </c>
      <c r="H656" s="44"/>
      <c r="I656" s="44"/>
      <c r="J656" s="50" t="s">
        <v>498</v>
      </c>
      <c r="K656" s="51"/>
      <c r="L656" s="50">
        <v>3.0</v>
      </c>
      <c r="M656" s="50"/>
      <c r="N656" s="50">
        <v>2.0</v>
      </c>
      <c r="O656" s="50">
        <v>2.0</v>
      </c>
      <c r="P656" s="50">
        <v>1.0</v>
      </c>
      <c r="Q656" s="88">
        <v>250.0</v>
      </c>
      <c r="R656" s="88" t="s">
        <v>3908</v>
      </c>
      <c r="S656" s="56"/>
      <c r="T656" s="50" t="s">
        <v>95</v>
      </c>
      <c r="U656" s="57"/>
      <c r="V656" s="44"/>
      <c r="W656" s="44"/>
      <c r="X656" s="50">
        <v>0.0</v>
      </c>
      <c r="Y656" s="50" t="s">
        <v>80</v>
      </c>
      <c r="Z656" s="58" t="s">
        <v>81</v>
      </c>
      <c r="AA656" s="59" t="str">
        <f>IF(Rentabilidad=0,"No aplica",TEXT(ROUND(Precio/Rentabilidad/12,0),0) &amp; " años")</f>
        <v>No aplica</v>
      </c>
      <c r="AB656" s="82" t="s">
        <v>3909</v>
      </c>
      <c r="AC656" s="327" t="s">
        <v>3910</v>
      </c>
      <c r="AD656" s="330" t="s">
        <v>3911</v>
      </c>
      <c r="AE656" s="63"/>
      <c r="AF656" s="64" t="s">
        <v>84</v>
      </c>
      <c r="AG656" s="65" t="s">
        <v>106</v>
      </c>
      <c r="AH656" s="63"/>
      <c r="AI656" s="65" t="s">
        <v>107</v>
      </c>
      <c r="AJ656" s="64" t="s">
        <v>3897</v>
      </c>
      <c r="AK656" s="58" t="s">
        <v>81</v>
      </c>
      <c r="AL656" s="45" t="s">
        <v>86</v>
      </c>
      <c r="AM656" s="52">
        <v>3.103914892E9</v>
      </c>
      <c r="AN656" s="64">
        <v>0.0</v>
      </c>
      <c r="AO656" s="44"/>
      <c r="AP656" s="67"/>
      <c r="AQ656" s="67"/>
      <c r="AR656" s="67"/>
      <c r="AS656" s="94">
        <v>0.0</v>
      </c>
      <c r="AT656" s="50">
        <v>0.0</v>
      </c>
      <c r="AU656" s="50">
        <v>0.0</v>
      </c>
      <c r="AV656" s="50">
        <v>0.0</v>
      </c>
      <c r="AW656" s="50" t="s">
        <v>88</v>
      </c>
      <c r="AX656" s="50">
        <v>0.0</v>
      </c>
      <c r="AY656" s="50" t="s">
        <v>106</v>
      </c>
      <c r="AZ656" s="50">
        <v>0.0</v>
      </c>
      <c r="BA656" s="43" t="s">
        <v>89</v>
      </c>
      <c r="BB656" s="50">
        <v>0.0</v>
      </c>
      <c r="BC656" s="86"/>
      <c r="BD656" s="71"/>
      <c r="BE656" s="71"/>
      <c r="BF656" s="72" t="s">
        <v>3912</v>
      </c>
      <c r="BG656" s="73"/>
      <c r="BH656" s="73"/>
      <c r="BI656" s="73"/>
      <c r="BJ656" s="73"/>
      <c r="BK656" s="73"/>
      <c r="BL656" s="73"/>
      <c r="BM656" s="73"/>
      <c r="BN656" s="73"/>
      <c r="BO656" s="73"/>
      <c r="BP656" s="73"/>
      <c r="BQ656" s="73"/>
      <c r="BR656" s="73"/>
      <c r="BS656" s="73"/>
      <c r="BT656" s="73"/>
      <c r="BU656" s="73"/>
      <c r="BV656" s="73"/>
      <c r="BW656" s="74"/>
      <c r="BX656" s="74"/>
      <c r="BY656" s="63"/>
      <c r="BZ656" s="63"/>
    </row>
    <row r="657" ht="15.75" customHeight="1">
      <c r="A657" s="75" t="s">
        <v>3913</v>
      </c>
      <c r="B657" s="50" t="s">
        <v>3914</v>
      </c>
      <c r="C657" s="50" t="s">
        <v>490</v>
      </c>
      <c r="D657" s="50" t="s">
        <v>896</v>
      </c>
      <c r="E657" s="77"/>
      <c r="F657" s="78">
        <v>3.5E9</v>
      </c>
      <c r="G657" s="44" t="str">
        <f t="shared" si="16"/>
        <v>Más de $1.000'000.000</v>
      </c>
      <c r="H657" s="44"/>
      <c r="I657" s="44"/>
      <c r="J657" s="50" t="s">
        <v>76</v>
      </c>
      <c r="K657" s="51" t="s">
        <v>142</v>
      </c>
      <c r="L657" s="50">
        <v>22.0</v>
      </c>
      <c r="M657" s="50"/>
      <c r="N657" s="50">
        <v>24.0</v>
      </c>
      <c r="O657" s="50">
        <v>0.0</v>
      </c>
      <c r="P657" s="50">
        <v>2.0</v>
      </c>
      <c r="Q657" s="88">
        <v>301.0</v>
      </c>
      <c r="R657" s="88">
        <v>150.0</v>
      </c>
      <c r="S657" s="56" t="str">
        <f t="shared" ref="S657:S664" si="18">IF(AS657=0," ","Rentabilidad $" &amp; TEXT(AS657,"#,##0"))</f>
        <v> </v>
      </c>
      <c r="T657" s="50" t="s">
        <v>78</v>
      </c>
      <c r="U657" s="51" t="s">
        <v>77</v>
      </c>
      <c r="V657" s="50" t="s">
        <v>79</v>
      </c>
      <c r="W657" s="50"/>
      <c r="X657" s="50">
        <v>22.0</v>
      </c>
      <c r="Y657" s="43" t="s">
        <v>80</v>
      </c>
      <c r="Z657" s="58" t="s">
        <v>81</v>
      </c>
      <c r="AA657" s="59" t="str">
        <f>IF(Rentabilidad=0,"No aplica",TEXT(ROUND(Precio/Rentabilidad/12,0),0) &amp; " años")</f>
        <v>No aplica</v>
      </c>
      <c r="AB657" s="136" t="s">
        <v>3915</v>
      </c>
      <c r="AC657" s="124" t="s">
        <v>3916</v>
      </c>
      <c r="AD657" s="327" t="s">
        <v>3917</v>
      </c>
      <c r="AE657" s="63"/>
      <c r="AF657" s="64" t="s">
        <v>236</v>
      </c>
      <c r="AG657" s="65" t="s">
        <v>106</v>
      </c>
      <c r="AH657" s="65"/>
      <c r="AI657" s="65" t="s">
        <v>107</v>
      </c>
      <c r="AJ657" s="64" t="s">
        <v>3897</v>
      </c>
      <c r="AK657" s="58" t="s">
        <v>81</v>
      </c>
      <c r="AL657" s="64" t="s">
        <v>109</v>
      </c>
      <c r="AM657" s="52">
        <v>3.103914892E9</v>
      </c>
      <c r="AN657" s="64">
        <v>0.0</v>
      </c>
      <c r="AO657" s="43">
        <v>0.0</v>
      </c>
      <c r="AP657" s="84">
        <v>0.0</v>
      </c>
      <c r="AQ657" s="84">
        <v>2.92355473474607</v>
      </c>
      <c r="AR657" s="84">
        <v>-75.2897061231164</v>
      </c>
      <c r="AS657" s="331">
        <v>0.0</v>
      </c>
      <c r="AT657" s="50">
        <v>0.0</v>
      </c>
      <c r="AU657" s="50">
        <v>0.0</v>
      </c>
      <c r="AV657" s="50">
        <v>0.0</v>
      </c>
      <c r="AW657" s="50" t="s">
        <v>88</v>
      </c>
      <c r="AX657" s="50">
        <v>0.0</v>
      </c>
      <c r="AY657" s="50" t="s">
        <v>106</v>
      </c>
      <c r="AZ657" s="50">
        <v>0.0</v>
      </c>
      <c r="BA657" s="43" t="s">
        <v>89</v>
      </c>
      <c r="BB657" s="50">
        <v>0.0</v>
      </c>
      <c r="BC657" s="69" t="s">
        <v>399</v>
      </c>
      <c r="BD657" s="70"/>
      <c r="BE657" s="71"/>
      <c r="BF657" s="72" t="s">
        <v>3918</v>
      </c>
      <c r="BG657" s="73"/>
      <c r="BH657" s="73"/>
      <c r="BI657" s="73"/>
      <c r="BJ657" s="73"/>
      <c r="BK657" s="73"/>
      <c r="BL657" s="73"/>
      <c r="BM657" s="73"/>
      <c r="BN657" s="73"/>
      <c r="BO657" s="73"/>
      <c r="BP657" s="73"/>
      <c r="BQ657" s="73"/>
      <c r="BR657" s="73"/>
      <c r="BS657" s="73"/>
      <c r="BT657" s="73"/>
      <c r="BU657" s="73"/>
      <c r="BV657" s="73"/>
      <c r="BW657" s="74"/>
      <c r="BX657" s="74"/>
      <c r="BY657" s="63"/>
      <c r="BZ657" s="63"/>
    </row>
    <row r="658" ht="15.75" customHeight="1">
      <c r="A658" s="75" t="s">
        <v>3919</v>
      </c>
      <c r="B658" s="50" t="s">
        <v>3920</v>
      </c>
      <c r="C658" s="50" t="s">
        <v>315</v>
      </c>
      <c r="D658" s="50" t="s">
        <v>459</v>
      </c>
      <c r="E658" s="64"/>
      <c r="F658" s="78">
        <v>2.73E9</v>
      </c>
      <c r="G658" s="44" t="str">
        <f t="shared" si="16"/>
        <v>Más de $1.000'000.000</v>
      </c>
      <c r="H658" s="44"/>
      <c r="I658" s="44"/>
      <c r="J658" s="50" t="s">
        <v>116</v>
      </c>
      <c r="K658" s="51" t="s">
        <v>192</v>
      </c>
      <c r="L658" s="50">
        <v>0.0</v>
      </c>
      <c r="M658" s="50"/>
      <c r="N658" s="50">
        <v>0.0</v>
      </c>
      <c r="O658" s="50">
        <v>0.0</v>
      </c>
      <c r="P658" s="50">
        <v>0.0</v>
      </c>
      <c r="Q658" s="88">
        <v>0.0</v>
      </c>
      <c r="R658" s="88">
        <v>7000.0</v>
      </c>
      <c r="S658" s="56" t="str">
        <f t="shared" si="18"/>
        <v> </v>
      </c>
      <c r="T658" s="50" t="s">
        <v>78</v>
      </c>
      <c r="U658" s="51" t="s">
        <v>142</v>
      </c>
      <c r="V658" s="50" t="s">
        <v>316</v>
      </c>
      <c r="W658" s="50"/>
      <c r="X658" s="50">
        <v>0.0</v>
      </c>
      <c r="Y658" s="50" t="s">
        <v>80</v>
      </c>
      <c r="Z658" s="91"/>
      <c r="AA658" s="59" t="str">
        <f>IF(Rentabilidad=0,"No aplica",TEXT(ROUND(Precio/Rentabilidad/12,0),0) &amp; " años")</f>
        <v>No aplica</v>
      </c>
      <c r="AB658" s="82" t="s">
        <v>3921</v>
      </c>
      <c r="AC658" s="169" t="s">
        <v>3922</v>
      </c>
      <c r="AD658" s="83" t="s">
        <v>3923</v>
      </c>
      <c r="AE658" s="63"/>
      <c r="AF658" s="64">
        <v>0.0</v>
      </c>
      <c r="AG658" s="65" t="s">
        <v>106</v>
      </c>
      <c r="AH658" s="63"/>
      <c r="AI658" s="65" t="s">
        <v>107</v>
      </c>
      <c r="AJ658" s="239" t="s">
        <v>3897</v>
      </c>
      <c r="AK658" s="332" t="s">
        <v>81</v>
      </c>
      <c r="AL658" s="239" t="s">
        <v>109</v>
      </c>
      <c r="AM658" s="333">
        <v>3.103914892E9</v>
      </c>
      <c r="AN658" s="312"/>
      <c r="AO658" s="312"/>
      <c r="AP658" s="334"/>
      <c r="AQ658" s="334"/>
      <c r="AR658" s="334"/>
      <c r="AS658" s="314">
        <v>0.0</v>
      </c>
      <c r="AT658" s="232">
        <v>0.0</v>
      </c>
      <c r="AU658" s="315">
        <v>0.0</v>
      </c>
      <c r="AV658" s="315">
        <v>0.0</v>
      </c>
      <c r="AW658" s="315" t="s">
        <v>88</v>
      </c>
      <c r="AX658" s="313">
        <v>0.0</v>
      </c>
      <c r="AY658" s="315">
        <v>0.0</v>
      </c>
      <c r="AZ658" s="315">
        <v>0.0</v>
      </c>
      <c r="BA658" s="316" t="s">
        <v>89</v>
      </c>
      <c r="BB658" s="315">
        <v>0.0</v>
      </c>
      <c r="BC658" s="95"/>
      <c r="BD658" s="71"/>
      <c r="BE658" s="71"/>
      <c r="BF658" s="72" t="s">
        <v>3924</v>
      </c>
      <c r="BG658" s="73"/>
      <c r="BH658" s="73"/>
      <c r="BI658" s="73"/>
      <c r="BJ658" s="73"/>
      <c r="BK658" s="73"/>
      <c r="BL658" s="73"/>
      <c r="BM658" s="73"/>
      <c r="BN658" s="73"/>
      <c r="BO658" s="73"/>
      <c r="BP658" s="73"/>
      <c r="BQ658" s="73"/>
      <c r="BR658" s="73"/>
      <c r="BS658" s="73"/>
      <c r="BT658" s="73"/>
      <c r="BU658" s="73"/>
      <c r="BV658" s="73"/>
      <c r="BW658" s="74"/>
      <c r="BX658" s="74"/>
      <c r="BY658" s="63"/>
      <c r="BZ658" s="63"/>
    </row>
    <row r="659" ht="15.75" customHeight="1">
      <c r="A659" s="75" t="s">
        <v>3925</v>
      </c>
      <c r="B659" s="50" t="s">
        <v>3926</v>
      </c>
      <c r="C659" s="50" t="s">
        <v>114</v>
      </c>
      <c r="D659" s="50" t="s">
        <v>459</v>
      </c>
      <c r="E659" s="64"/>
      <c r="F659" s="78">
        <v>2.7E9</v>
      </c>
      <c r="G659" s="44" t="str">
        <f t="shared" si="16"/>
        <v>Más de $1.000'000.000</v>
      </c>
      <c r="H659" s="44"/>
      <c r="I659" s="44"/>
      <c r="J659" s="50" t="s">
        <v>116</v>
      </c>
      <c r="K659" s="51" t="s">
        <v>192</v>
      </c>
      <c r="L659" s="50">
        <v>6.0</v>
      </c>
      <c r="M659" s="50"/>
      <c r="N659" s="50">
        <v>7.0</v>
      </c>
      <c r="O659" s="50">
        <v>3.0</v>
      </c>
      <c r="P659" s="50">
        <v>1.0</v>
      </c>
      <c r="Q659" s="88">
        <v>500.0</v>
      </c>
      <c r="R659" s="88">
        <v>2028.0</v>
      </c>
      <c r="S659" s="56" t="str">
        <f t="shared" si="18"/>
        <v> </v>
      </c>
      <c r="T659" s="50" t="s">
        <v>78</v>
      </c>
      <c r="U659" s="51" t="s">
        <v>142</v>
      </c>
      <c r="V659" s="50" t="s">
        <v>79</v>
      </c>
      <c r="W659" s="50"/>
      <c r="X659" s="50">
        <v>6.0</v>
      </c>
      <c r="Y659" s="50" t="s">
        <v>97</v>
      </c>
      <c r="Z659" s="91"/>
      <c r="AA659" s="59" t="str">
        <f>IF(Rentabilidad=0,"No aplica",TEXT(ROUND(Precio/Rentabilidad/12,0),0) &amp; " años")</f>
        <v>No aplica</v>
      </c>
      <c r="AB659" s="82" t="s">
        <v>3927</v>
      </c>
      <c r="AC659" s="102" t="s">
        <v>3928</v>
      </c>
      <c r="AD659" s="103" t="s">
        <v>3929</v>
      </c>
      <c r="AE659" s="63"/>
      <c r="AF659" s="64" t="s">
        <v>105</v>
      </c>
      <c r="AG659" s="65" t="s">
        <v>106</v>
      </c>
      <c r="AH659" s="63"/>
      <c r="AI659" s="65" t="s">
        <v>107</v>
      </c>
      <c r="AJ659" s="64" t="s">
        <v>3897</v>
      </c>
      <c r="AK659" s="58" t="s">
        <v>81</v>
      </c>
      <c r="AL659" s="64" t="s">
        <v>109</v>
      </c>
      <c r="AM659" s="52">
        <v>3.103914892E9</v>
      </c>
      <c r="AN659" s="64">
        <v>0.0</v>
      </c>
      <c r="AO659" s="43">
        <v>0.0</v>
      </c>
      <c r="AP659" s="84">
        <v>0.0</v>
      </c>
      <c r="AQ659" s="84">
        <v>2.93507769221973</v>
      </c>
      <c r="AR659" s="84">
        <v>-75.2189058829472</v>
      </c>
      <c r="AS659" s="85"/>
      <c r="AT659" s="50" t="s">
        <v>88</v>
      </c>
      <c r="AU659" s="50" t="s">
        <v>106</v>
      </c>
      <c r="AV659" s="50" t="s">
        <v>106</v>
      </c>
      <c r="AW659" s="50" t="s">
        <v>88</v>
      </c>
      <c r="AX659" s="50">
        <v>0.0</v>
      </c>
      <c r="AY659" s="50">
        <v>0.0</v>
      </c>
      <c r="AZ659" s="50">
        <v>0.0</v>
      </c>
      <c r="BA659" s="43" t="s">
        <v>89</v>
      </c>
      <c r="BB659" s="50">
        <v>0.0</v>
      </c>
      <c r="BC659" s="95"/>
      <c r="BD659" s="71"/>
      <c r="BE659" s="71"/>
      <c r="BF659" s="72" t="s">
        <v>3930</v>
      </c>
      <c r="BG659" s="73"/>
      <c r="BH659" s="73"/>
      <c r="BI659" s="73"/>
      <c r="BJ659" s="73"/>
      <c r="BK659" s="73"/>
      <c r="BL659" s="73"/>
      <c r="BM659" s="73"/>
      <c r="BN659" s="73"/>
      <c r="BO659" s="73"/>
      <c r="BP659" s="73"/>
      <c r="BQ659" s="73"/>
      <c r="BR659" s="73"/>
      <c r="BS659" s="73"/>
      <c r="BT659" s="73"/>
      <c r="BU659" s="73"/>
      <c r="BV659" s="73"/>
      <c r="BW659" s="74"/>
      <c r="BX659" s="74"/>
      <c r="BY659" s="63"/>
      <c r="BZ659" s="63"/>
    </row>
    <row r="660" ht="15.75" customHeight="1">
      <c r="A660" s="133" t="s">
        <v>3931</v>
      </c>
      <c r="B660" s="50" t="s">
        <v>3932</v>
      </c>
      <c r="C660" s="43" t="s">
        <v>128</v>
      </c>
      <c r="D660" s="50" t="s">
        <v>459</v>
      </c>
      <c r="E660" s="77" t="s">
        <v>3933</v>
      </c>
      <c r="F660" s="78">
        <v>2.4E9</v>
      </c>
      <c r="G660" s="44" t="str">
        <f t="shared" si="16"/>
        <v>Más de $1.000'000.000</v>
      </c>
      <c r="H660" s="44"/>
      <c r="I660" s="44"/>
      <c r="J660" s="50" t="s">
        <v>116</v>
      </c>
      <c r="K660" s="51"/>
      <c r="L660" s="43">
        <v>4.0</v>
      </c>
      <c r="M660" s="43"/>
      <c r="N660" s="43">
        <v>4.0</v>
      </c>
      <c r="O660" s="43">
        <v>2.0</v>
      </c>
      <c r="P660" s="43">
        <v>1.0</v>
      </c>
      <c r="Q660" s="55">
        <v>440.0</v>
      </c>
      <c r="R660" s="55">
        <v>660.0</v>
      </c>
      <c r="S660" s="56" t="str">
        <f t="shared" si="18"/>
        <v> </v>
      </c>
      <c r="T660" s="43" t="s">
        <v>78</v>
      </c>
      <c r="U660" s="51" t="s">
        <v>142</v>
      </c>
      <c r="V660" s="43" t="s">
        <v>79</v>
      </c>
      <c r="W660" s="43"/>
      <c r="X660" s="43">
        <v>4.0</v>
      </c>
      <c r="Y660" s="50" t="s">
        <v>97</v>
      </c>
      <c r="Z660" s="58">
        <v>900000.0</v>
      </c>
      <c r="AA660" s="81" t="s">
        <v>81</v>
      </c>
      <c r="AB660" s="134" t="s">
        <v>3934</v>
      </c>
      <c r="AC660" s="124" t="s">
        <v>3935</v>
      </c>
      <c r="AD660" s="107" t="s">
        <v>3936</v>
      </c>
      <c r="AE660" s="63"/>
      <c r="AF660" s="64" t="s">
        <v>105</v>
      </c>
      <c r="AG660" s="65" t="s">
        <v>106</v>
      </c>
      <c r="AH660" s="65"/>
      <c r="AI660" s="65" t="s">
        <v>107</v>
      </c>
      <c r="AJ660" s="64" t="s">
        <v>3897</v>
      </c>
      <c r="AK660" s="58" t="s">
        <v>81</v>
      </c>
      <c r="AL660" s="64" t="s">
        <v>109</v>
      </c>
      <c r="AM660" s="52">
        <v>3.103914892E9</v>
      </c>
      <c r="AN660" s="64">
        <v>0.0</v>
      </c>
      <c r="AO660" s="43">
        <v>0.0</v>
      </c>
      <c r="AP660" s="84">
        <v>0.0</v>
      </c>
      <c r="AQ660" s="84"/>
      <c r="AR660" s="84"/>
      <c r="AS660" s="85">
        <v>0.0</v>
      </c>
      <c r="AT660" s="50" t="s">
        <v>88</v>
      </c>
      <c r="AU660" s="50">
        <v>0.0</v>
      </c>
      <c r="AV660" s="50" t="s">
        <v>106</v>
      </c>
      <c r="AW660" s="50" t="s">
        <v>88</v>
      </c>
      <c r="AX660" s="50">
        <v>0.0</v>
      </c>
      <c r="AY660" s="50" t="s">
        <v>106</v>
      </c>
      <c r="AZ660" s="50">
        <v>0.0</v>
      </c>
      <c r="BA660" s="43" t="s">
        <v>89</v>
      </c>
      <c r="BB660" s="50">
        <v>0.0</v>
      </c>
      <c r="BC660" s="109"/>
      <c r="BD660" s="70"/>
      <c r="BE660" s="70"/>
      <c r="BF660" s="72" t="s">
        <v>3937</v>
      </c>
      <c r="BG660" s="73"/>
      <c r="BH660" s="73"/>
      <c r="BI660" s="73"/>
      <c r="BJ660" s="73"/>
      <c r="BK660" s="73"/>
      <c r="BL660" s="73"/>
      <c r="BM660" s="73"/>
      <c r="BN660" s="73"/>
      <c r="BO660" s="73"/>
      <c r="BP660" s="73"/>
      <c r="BQ660" s="73"/>
      <c r="BR660" s="73"/>
      <c r="BS660" s="73"/>
      <c r="BT660" s="73"/>
      <c r="BU660" s="73"/>
      <c r="BV660" s="73"/>
      <c r="BW660" s="74"/>
      <c r="BX660" s="74"/>
      <c r="BY660" s="63"/>
      <c r="BZ660" s="63"/>
    </row>
    <row r="661" ht="15.75" customHeight="1">
      <c r="A661" s="75" t="s">
        <v>3938</v>
      </c>
      <c r="B661" s="50" t="s">
        <v>3939</v>
      </c>
      <c r="C661" s="50" t="s">
        <v>448</v>
      </c>
      <c r="D661" s="50" t="s">
        <v>76</v>
      </c>
      <c r="E661" s="64"/>
      <c r="F661" s="78">
        <v>2.23035E9</v>
      </c>
      <c r="G661" s="44" t="str">
        <f t="shared" si="16"/>
        <v>Más de $1.000'000.000</v>
      </c>
      <c r="H661" s="44"/>
      <c r="I661" s="44"/>
      <c r="J661" s="50" t="s">
        <v>76</v>
      </c>
      <c r="K661" s="51" t="s">
        <v>142</v>
      </c>
      <c r="L661" s="50">
        <v>0.0</v>
      </c>
      <c r="M661" s="50"/>
      <c r="N661" s="50">
        <v>2.0</v>
      </c>
      <c r="O661" s="50">
        <v>2.0</v>
      </c>
      <c r="P661" s="50">
        <v>1.0</v>
      </c>
      <c r="Q661" s="88">
        <v>318.1</v>
      </c>
      <c r="R661" s="88">
        <v>318.1</v>
      </c>
      <c r="S661" s="56" t="str">
        <f t="shared" si="18"/>
        <v>Rentabilidad $9,712,075</v>
      </c>
      <c r="T661" s="50" t="s">
        <v>78</v>
      </c>
      <c r="U661" s="51" t="s">
        <v>142</v>
      </c>
      <c r="V661" s="50" t="s">
        <v>1014</v>
      </c>
      <c r="W661" s="50"/>
      <c r="X661" s="50">
        <v>0.0</v>
      </c>
      <c r="Y661" s="50" t="s">
        <v>80</v>
      </c>
      <c r="Z661" s="91"/>
      <c r="AA661" s="59" t="str">
        <f>IF(Rentabilidad=0,"No aplica",TEXT(ROUND(Precio/Rentabilidad/12,0),0) &amp; " años")</f>
        <v>19 años</v>
      </c>
      <c r="AB661" s="82" t="s">
        <v>3940</v>
      </c>
      <c r="AC661" s="186" t="s">
        <v>3941</v>
      </c>
      <c r="AD661" s="97" t="s">
        <v>3942</v>
      </c>
      <c r="AE661" s="63"/>
      <c r="AF661" s="64">
        <v>0.0</v>
      </c>
      <c r="AG661" s="65" t="s">
        <v>106</v>
      </c>
      <c r="AH661" s="63"/>
      <c r="AI661" s="65" t="s">
        <v>107</v>
      </c>
      <c r="AJ661" s="64" t="s">
        <v>3897</v>
      </c>
      <c r="AK661" s="58" t="s">
        <v>81</v>
      </c>
      <c r="AL661" s="64" t="s">
        <v>109</v>
      </c>
      <c r="AM661" s="52">
        <v>3.103914892E9</v>
      </c>
      <c r="AN661" s="64">
        <v>0.0</v>
      </c>
      <c r="AO661" s="43">
        <v>0.0</v>
      </c>
      <c r="AP661" s="84">
        <v>0.0</v>
      </c>
      <c r="AQ661" s="84">
        <v>2.93179269748484</v>
      </c>
      <c r="AR661" s="84">
        <v>-75.2905329010423</v>
      </c>
      <c r="AS661" s="85">
        <v>9712075.0</v>
      </c>
      <c r="AT661" s="50" t="s">
        <v>106</v>
      </c>
      <c r="AU661" s="50">
        <v>0.0</v>
      </c>
      <c r="AV661" s="50">
        <v>0.0</v>
      </c>
      <c r="AW661" s="50" t="s">
        <v>88</v>
      </c>
      <c r="AX661" s="50">
        <v>0.0</v>
      </c>
      <c r="AY661" s="50">
        <v>0.0</v>
      </c>
      <c r="AZ661" s="50">
        <v>0.0</v>
      </c>
      <c r="BA661" s="43" t="s">
        <v>89</v>
      </c>
      <c r="BB661" s="50">
        <v>0.0</v>
      </c>
      <c r="BC661" s="95"/>
      <c r="BD661" s="71"/>
      <c r="BE661" s="71"/>
      <c r="BF661" s="72" t="s">
        <v>3943</v>
      </c>
      <c r="BG661" s="73"/>
      <c r="BH661" s="73"/>
      <c r="BI661" s="73"/>
      <c r="BJ661" s="73"/>
      <c r="BK661" s="73"/>
      <c r="BL661" s="73"/>
      <c r="BM661" s="73"/>
      <c r="BN661" s="73"/>
      <c r="BO661" s="73"/>
      <c r="BP661" s="73"/>
      <c r="BQ661" s="73"/>
      <c r="BR661" s="73"/>
      <c r="BS661" s="73"/>
      <c r="BT661" s="73"/>
      <c r="BU661" s="73"/>
      <c r="BV661" s="73"/>
      <c r="BW661" s="74"/>
      <c r="BX661" s="74"/>
      <c r="BY661" s="63"/>
      <c r="BZ661" s="63"/>
    </row>
    <row r="662" ht="15.75" customHeight="1">
      <c r="A662" s="133" t="s">
        <v>3944</v>
      </c>
      <c r="B662" s="50" t="s">
        <v>3945</v>
      </c>
      <c r="C662" s="43" t="s">
        <v>128</v>
      </c>
      <c r="D662" s="50" t="s">
        <v>459</v>
      </c>
      <c r="E662" s="77" t="s">
        <v>3946</v>
      </c>
      <c r="F662" s="78">
        <v>2.1E9</v>
      </c>
      <c r="G662" s="44" t="str">
        <f t="shared" si="16"/>
        <v>Más de $1.000'000.000</v>
      </c>
      <c r="H662" s="44"/>
      <c r="I662" s="44"/>
      <c r="J662" s="50" t="s">
        <v>116</v>
      </c>
      <c r="K662" s="51"/>
      <c r="L662" s="43">
        <v>4.0</v>
      </c>
      <c r="M662" s="43"/>
      <c r="N662" s="43">
        <v>4.0</v>
      </c>
      <c r="O662" s="43">
        <v>2.0</v>
      </c>
      <c r="P662" s="43">
        <v>1.0</v>
      </c>
      <c r="Q662" s="55">
        <v>400.0</v>
      </c>
      <c r="R662" s="55">
        <v>600.0</v>
      </c>
      <c r="S662" s="56" t="str">
        <f t="shared" si="18"/>
        <v> </v>
      </c>
      <c r="T662" s="43" t="s">
        <v>78</v>
      </c>
      <c r="U662" s="51" t="s">
        <v>142</v>
      </c>
      <c r="V662" s="43" t="s">
        <v>79</v>
      </c>
      <c r="W662" s="43"/>
      <c r="X662" s="43">
        <v>4.0</v>
      </c>
      <c r="Y662" s="50" t="s">
        <v>97</v>
      </c>
      <c r="Z662" s="58">
        <v>1200000.0</v>
      </c>
      <c r="AA662" s="81" t="s">
        <v>81</v>
      </c>
      <c r="AB662" s="134" t="s">
        <v>3947</v>
      </c>
      <c r="AC662" s="124" t="s">
        <v>3948</v>
      </c>
      <c r="AD662" s="107" t="s">
        <v>3936</v>
      </c>
      <c r="AE662" s="63"/>
      <c r="AF662" s="64" t="s">
        <v>105</v>
      </c>
      <c r="AG662" s="65" t="s">
        <v>106</v>
      </c>
      <c r="AH662" s="65"/>
      <c r="AI662" s="65" t="s">
        <v>107</v>
      </c>
      <c r="AJ662" s="64" t="s">
        <v>3897</v>
      </c>
      <c r="AK662" s="58" t="s">
        <v>81</v>
      </c>
      <c r="AL662" s="64" t="s">
        <v>109</v>
      </c>
      <c r="AM662" s="64">
        <v>3.103914891E9</v>
      </c>
      <c r="AN662" s="64">
        <v>3.103914892E9</v>
      </c>
      <c r="AO662" s="43">
        <v>0.0</v>
      </c>
      <c r="AP662" s="84">
        <v>0.0</v>
      </c>
      <c r="AQ662" s="84"/>
      <c r="AR662" s="84"/>
      <c r="AS662" s="85">
        <v>0.0</v>
      </c>
      <c r="AT662" s="50" t="s">
        <v>88</v>
      </c>
      <c r="AU662" s="50">
        <v>0.0</v>
      </c>
      <c r="AV662" s="50" t="s">
        <v>106</v>
      </c>
      <c r="AW662" s="50" t="s">
        <v>88</v>
      </c>
      <c r="AX662" s="50">
        <v>0.0</v>
      </c>
      <c r="AY662" s="50" t="s">
        <v>106</v>
      </c>
      <c r="AZ662" s="50">
        <v>0.0</v>
      </c>
      <c r="BA662" s="43" t="s">
        <v>89</v>
      </c>
      <c r="BB662" s="50">
        <v>0.0</v>
      </c>
      <c r="BC662" s="95" t="s">
        <v>439</v>
      </c>
      <c r="BD662" s="71"/>
      <c r="BE662" s="71"/>
      <c r="BF662" s="72" t="s">
        <v>3949</v>
      </c>
      <c r="BG662" s="73"/>
      <c r="BH662" s="73"/>
      <c r="BI662" s="73"/>
      <c r="BJ662" s="73"/>
      <c r="BK662" s="73"/>
      <c r="BL662" s="73"/>
      <c r="BM662" s="73"/>
      <c r="BN662" s="73"/>
      <c r="BO662" s="73"/>
      <c r="BP662" s="73"/>
      <c r="BQ662" s="73"/>
      <c r="BR662" s="73"/>
      <c r="BS662" s="73"/>
      <c r="BT662" s="73"/>
      <c r="BU662" s="73"/>
      <c r="BV662" s="73"/>
      <c r="BW662" s="74"/>
      <c r="BX662" s="74"/>
      <c r="BY662" s="63"/>
      <c r="BZ662" s="63"/>
    </row>
    <row r="663" ht="15.75" customHeight="1">
      <c r="A663" s="75" t="s">
        <v>3950</v>
      </c>
      <c r="B663" s="50" t="s">
        <v>3939</v>
      </c>
      <c r="C663" s="50" t="s">
        <v>448</v>
      </c>
      <c r="D663" s="50" t="s">
        <v>76</v>
      </c>
      <c r="E663" s="64"/>
      <c r="F663" s="78">
        <v>1.87878E9</v>
      </c>
      <c r="G663" s="44" t="str">
        <f t="shared" si="16"/>
        <v>Más de $1.000'000.000</v>
      </c>
      <c r="H663" s="44"/>
      <c r="I663" s="44"/>
      <c r="J663" s="50" t="s">
        <v>76</v>
      </c>
      <c r="K663" s="51" t="s">
        <v>142</v>
      </c>
      <c r="L663" s="50">
        <v>0.0</v>
      </c>
      <c r="M663" s="50"/>
      <c r="N663" s="50">
        <v>2.0</v>
      </c>
      <c r="O663" s="50">
        <v>2.0</v>
      </c>
      <c r="P663" s="50">
        <v>2.0</v>
      </c>
      <c r="Q663" s="88">
        <v>313.1</v>
      </c>
      <c r="R663" s="88">
        <v>313.1</v>
      </c>
      <c r="S663" s="56" t="str">
        <f t="shared" si="18"/>
        <v>Rentabilidad $12,549,439</v>
      </c>
      <c r="T663" s="50" t="s">
        <v>78</v>
      </c>
      <c r="U663" s="51" t="s">
        <v>142</v>
      </c>
      <c r="V663" s="50" t="s">
        <v>542</v>
      </c>
      <c r="W663" s="50"/>
      <c r="X663" s="50">
        <v>0.0</v>
      </c>
      <c r="Y663" s="50" t="s">
        <v>80</v>
      </c>
      <c r="Z663" s="91"/>
      <c r="AA663" s="59" t="str">
        <f>IF(Rentabilidad=0,"No aplica",TEXT(ROUND(Precio/Rentabilidad/12,0),0) &amp; " años")</f>
        <v>12 años</v>
      </c>
      <c r="AB663" s="82" t="s">
        <v>3951</v>
      </c>
      <c r="AC663" s="186" t="s">
        <v>3952</v>
      </c>
      <c r="AD663" s="97" t="s">
        <v>3953</v>
      </c>
      <c r="AE663" s="63"/>
      <c r="AF663" s="64">
        <v>0.0</v>
      </c>
      <c r="AG663" s="65" t="s">
        <v>106</v>
      </c>
      <c r="AH663" s="63"/>
      <c r="AI663" s="65" t="s">
        <v>107</v>
      </c>
      <c r="AJ663" s="64" t="s">
        <v>3897</v>
      </c>
      <c r="AK663" s="58" t="s">
        <v>81</v>
      </c>
      <c r="AL663" s="64" t="s">
        <v>109</v>
      </c>
      <c r="AM663" s="52">
        <v>3.103914892E9</v>
      </c>
      <c r="AN663" s="64">
        <v>0.0</v>
      </c>
      <c r="AO663" s="43">
        <v>0.0</v>
      </c>
      <c r="AP663" s="84">
        <v>0.0</v>
      </c>
      <c r="AQ663" s="84">
        <v>2.93174245214684</v>
      </c>
      <c r="AR663" s="84">
        <v>-75.2904019121279</v>
      </c>
      <c r="AS663" s="85">
        <v>1.2549439E7</v>
      </c>
      <c r="AT663" s="50" t="s">
        <v>106</v>
      </c>
      <c r="AU663" s="50">
        <v>0.0</v>
      </c>
      <c r="AV663" s="50">
        <v>0.0</v>
      </c>
      <c r="AW663" s="50" t="s">
        <v>88</v>
      </c>
      <c r="AX663" s="50">
        <v>0.0</v>
      </c>
      <c r="AY663" s="50">
        <v>0.0</v>
      </c>
      <c r="AZ663" s="50">
        <v>0.0</v>
      </c>
      <c r="BA663" s="43" t="s">
        <v>89</v>
      </c>
      <c r="BB663" s="50">
        <v>0.0</v>
      </c>
      <c r="BC663" s="95"/>
      <c r="BD663" s="71"/>
      <c r="BE663" s="71"/>
      <c r="BF663" s="72" t="s">
        <v>3954</v>
      </c>
      <c r="BG663" s="73"/>
      <c r="BH663" s="73"/>
      <c r="BI663" s="73"/>
      <c r="BJ663" s="73"/>
      <c r="BK663" s="73"/>
      <c r="BL663" s="73"/>
      <c r="BM663" s="73"/>
      <c r="BN663" s="73"/>
      <c r="BO663" s="73"/>
      <c r="BP663" s="73"/>
      <c r="BQ663" s="73"/>
      <c r="BR663" s="73"/>
      <c r="BS663" s="73"/>
      <c r="BT663" s="73"/>
      <c r="BU663" s="73"/>
      <c r="BV663" s="73"/>
      <c r="BW663" s="74"/>
      <c r="BX663" s="74"/>
      <c r="BY663" s="63"/>
      <c r="BZ663" s="63"/>
    </row>
    <row r="664" ht="15.75" customHeight="1">
      <c r="A664" s="75" t="s">
        <v>3955</v>
      </c>
      <c r="B664" s="50" t="s">
        <v>3956</v>
      </c>
      <c r="C664" s="50" t="s">
        <v>114</v>
      </c>
      <c r="D664" s="76"/>
      <c r="E664" s="64" t="s">
        <v>3957</v>
      </c>
      <c r="F664" s="78">
        <v>1.85E9</v>
      </c>
      <c r="G664" s="44" t="str">
        <f t="shared" si="16"/>
        <v>Más de $1.000'000.000</v>
      </c>
      <c r="H664" s="44"/>
      <c r="I664" s="44"/>
      <c r="J664" s="50" t="s">
        <v>116</v>
      </c>
      <c r="K664" s="57"/>
      <c r="L664" s="50">
        <v>4.0</v>
      </c>
      <c r="M664" s="50"/>
      <c r="N664" s="50">
        <v>6.0</v>
      </c>
      <c r="O664" s="50">
        <v>4.0</v>
      </c>
      <c r="P664" s="50">
        <v>1.0</v>
      </c>
      <c r="Q664" s="88">
        <v>240.0</v>
      </c>
      <c r="R664" s="88">
        <v>700.0</v>
      </c>
      <c r="S664" s="56" t="str">
        <f t="shared" si="18"/>
        <v> </v>
      </c>
      <c r="T664" s="43" t="s">
        <v>78</v>
      </c>
      <c r="U664" s="51" t="s">
        <v>154</v>
      </c>
      <c r="V664" s="50" t="s">
        <v>79</v>
      </c>
      <c r="W664" s="50"/>
      <c r="X664" s="50">
        <v>4.0</v>
      </c>
      <c r="Y664" s="50" t="s">
        <v>97</v>
      </c>
      <c r="Z664" s="58">
        <v>480000.0</v>
      </c>
      <c r="AA664" s="81" t="s">
        <v>81</v>
      </c>
      <c r="AB664" s="82" t="s">
        <v>3958</v>
      </c>
      <c r="AC664" s="124" t="s">
        <v>3959</v>
      </c>
      <c r="AD664" s="107" t="s">
        <v>1202</v>
      </c>
      <c r="AE664" s="63"/>
      <c r="AF664" s="64" t="s">
        <v>105</v>
      </c>
      <c r="AG664" s="65" t="s">
        <v>106</v>
      </c>
      <c r="AH664" s="63"/>
      <c r="AI664" s="65" t="s">
        <v>107</v>
      </c>
      <c r="AJ664" s="64" t="s">
        <v>3897</v>
      </c>
      <c r="AK664" s="58" t="s">
        <v>81</v>
      </c>
      <c r="AL664" s="64" t="s">
        <v>109</v>
      </c>
      <c r="AM664" s="52">
        <v>3.103914892E9</v>
      </c>
      <c r="AN664" s="64">
        <v>0.0</v>
      </c>
      <c r="AO664" s="43">
        <v>0.0</v>
      </c>
      <c r="AP664" s="84">
        <v>0.0</v>
      </c>
      <c r="AQ664" s="84"/>
      <c r="AR664" s="84"/>
      <c r="AS664" s="85">
        <v>0.0</v>
      </c>
      <c r="AT664" s="50">
        <v>0.0</v>
      </c>
      <c r="AU664" s="50">
        <v>0.0</v>
      </c>
      <c r="AV664" s="50">
        <v>0.0</v>
      </c>
      <c r="AW664" s="50" t="s">
        <v>88</v>
      </c>
      <c r="AX664" s="50">
        <v>0.0</v>
      </c>
      <c r="AY664" s="50" t="s">
        <v>106</v>
      </c>
      <c r="AZ664" s="50">
        <v>0.0</v>
      </c>
      <c r="BA664" s="43" t="s">
        <v>89</v>
      </c>
      <c r="BB664" s="50">
        <v>0.0</v>
      </c>
      <c r="BC664" s="86"/>
      <c r="BD664" s="71"/>
      <c r="BE664" s="71"/>
      <c r="BF664" s="72" t="s">
        <v>3960</v>
      </c>
      <c r="BG664" s="73"/>
      <c r="BH664" s="73"/>
      <c r="BI664" s="73"/>
      <c r="BJ664" s="73"/>
      <c r="BK664" s="73"/>
      <c r="BL664" s="73"/>
      <c r="BM664" s="73"/>
      <c r="BN664" s="73"/>
      <c r="BO664" s="73"/>
      <c r="BP664" s="73"/>
      <c r="BQ664" s="73"/>
      <c r="BR664" s="73"/>
      <c r="BS664" s="73"/>
      <c r="BT664" s="73"/>
      <c r="BU664" s="73"/>
      <c r="BV664" s="73"/>
      <c r="BW664" s="74"/>
      <c r="BX664" s="74"/>
      <c r="BY664" s="63"/>
      <c r="BZ664" s="63"/>
    </row>
    <row r="665" ht="15.75" customHeight="1">
      <c r="A665" s="75" t="s">
        <v>3961</v>
      </c>
      <c r="B665" s="50" t="s">
        <v>3962</v>
      </c>
      <c r="C665" s="50" t="s">
        <v>497</v>
      </c>
      <c r="D665" s="50"/>
      <c r="E665" s="64"/>
      <c r="F665" s="78">
        <v>1.8E9</v>
      </c>
      <c r="G665" s="44" t="str">
        <f t="shared" si="16"/>
        <v>Más de $1.000'000.000</v>
      </c>
      <c r="H665" s="44"/>
      <c r="I665" s="44"/>
      <c r="J665" s="50" t="s">
        <v>498</v>
      </c>
      <c r="K665" s="51"/>
      <c r="L665" s="50">
        <v>7.0</v>
      </c>
      <c r="M665" s="50"/>
      <c r="N665" s="50">
        <v>6.0</v>
      </c>
      <c r="O665" s="50">
        <v>2.0</v>
      </c>
      <c r="P665" s="50">
        <v>2.0</v>
      </c>
      <c r="Q665" s="88">
        <v>350.0</v>
      </c>
      <c r="R665" s="88">
        <v>10000.0</v>
      </c>
      <c r="S665" s="56"/>
      <c r="T665" s="50" t="s">
        <v>342</v>
      </c>
      <c r="U665" s="57"/>
      <c r="V665" s="44"/>
      <c r="W665" s="44"/>
      <c r="X665" s="50">
        <v>4.0</v>
      </c>
      <c r="Y665" s="50" t="s">
        <v>97</v>
      </c>
      <c r="Z665" s="58" t="s">
        <v>81</v>
      </c>
      <c r="AA665" s="59" t="str">
        <f>IF(Rentabilidad=0,"No aplica",TEXT(ROUND(Precio/Rentabilidad/12,0),0) &amp; " años")</f>
        <v>71 años</v>
      </c>
      <c r="AB665" s="100" t="s">
        <v>3963</v>
      </c>
      <c r="AC665" s="327" t="s">
        <v>3964</v>
      </c>
      <c r="AD665" s="330" t="s">
        <v>3965</v>
      </c>
      <c r="AE665" s="63"/>
      <c r="AF665" s="64" t="s">
        <v>105</v>
      </c>
      <c r="AG665" s="65" t="s">
        <v>106</v>
      </c>
      <c r="AH665" s="63"/>
      <c r="AI665" s="65" t="s">
        <v>107</v>
      </c>
      <c r="AJ665" s="64" t="s">
        <v>3897</v>
      </c>
      <c r="AK665" s="58" t="s">
        <v>81</v>
      </c>
      <c r="AL665" s="45" t="s">
        <v>109</v>
      </c>
      <c r="AM665" s="52">
        <v>3.103914892E9</v>
      </c>
      <c r="AN665" s="45"/>
      <c r="AO665" s="116"/>
      <c r="AP665" s="84">
        <v>0.0</v>
      </c>
      <c r="AQ665" s="84"/>
      <c r="AR665" s="84"/>
      <c r="AS665" s="94">
        <v>2100000.0</v>
      </c>
      <c r="AT665" s="50">
        <v>0.0</v>
      </c>
      <c r="AU665" s="50">
        <v>0.0</v>
      </c>
      <c r="AV665" s="50">
        <v>0.0</v>
      </c>
      <c r="AW665" s="50" t="s">
        <v>88</v>
      </c>
      <c r="AX665" s="50">
        <v>0.0</v>
      </c>
      <c r="AY665" s="50" t="s">
        <v>106</v>
      </c>
      <c r="AZ665" s="50">
        <v>0.0</v>
      </c>
      <c r="BA665" s="43" t="s">
        <v>89</v>
      </c>
      <c r="BB665" s="50">
        <v>0.0</v>
      </c>
      <c r="BC665" s="86"/>
      <c r="BD665" s="71"/>
      <c r="BE665" s="71"/>
      <c r="BF665" s="271" t="s">
        <v>3966</v>
      </c>
      <c r="BG665" s="73"/>
      <c r="BH665" s="73"/>
      <c r="BI665" s="73"/>
      <c r="BJ665" s="73"/>
      <c r="BK665" s="73"/>
      <c r="BL665" s="73"/>
      <c r="BM665" s="73"/>
      <c r="BN665" s="73"/>
      <c r="BO665" s="73"/>
      <c r="BP665" s="73"/>
      <c r="BQ665" s="73"/>
      <c r="BR665" s="73"/>
      <c r="BS665" s="73"/>
      <c r="BT665" s="73"/>
      <c r="BU665" s="73"/>
      <c r="BV665" s="73"/>
      <c r="BW665" s="74"/>
      <c r="BX665" s="74"/>
      <c r="BY665" s="63"/>
      <c r="BZ665" s="63"/>
    </row>
    <row r="666" ht="15.75" customHeight="1">
      <c r="A666" s="75" t="s">
        <v>3967</v>
      </c>
      <c r="B666" s="50" t="s">
        <v>3939</v>
      </c>
      <c r="C666" s="50" t="s">
        <v>448</v>
      </c>
      <c r="D666" s="50" t="s">
        <v>76</v>
      </c>
      <c r="E666" s="64"/>
      <c r="F666" s="78">
        <v>1.79978E9</v>
      </c>
      <c r="G666" s="44" t="str">
        <f t="shared" si="16"/>
        <v>Más de $1.000'000.000</v>
      </c>
      <c r="H666" s="44"/>
      <c r="I666" s="44"/>
      <c r="J666" s="50" t="s">
        <v>76</v>
      </c>
      <c r="K666" s="51" t="s">
        <v>142</v>
      </c>
      <c r="L666" s="50">
        <v>0.0</v>
      </c>
      <c r="M666" s="50"/>
      <c r="N666" s="50">
        <v>2.0</v>
      </c>
      <c r="O666" s="50">
        <v>2.0</v>
      </c>
      <c r="P666" s="50">
        <v>3.0</v>
      </c>
      <c r="Q666" s="88">
        <v>223.3</v>
      </c>
      <c r="R666" s="88">
        <v>223.3</v>
      </c>
      <c r="S666" s="56" t="str">
        <f t="shared" ref="S666:S673" si="19">IF(AS666=0," ","Rentabilidad $" &amp; TEXT(AS666,"#,##0"))</f>
        <v>Rentabilidad $3,628,000</v>
      </c>
      <c r="T666" s="50" t="s">
        <v>78</v>
      </c>
      <c r="U666" s="51" t="s">
        <v>142</v>
      </c>
      <c r="V666" s="50" t="s">
        <v>642</v>
      </c>
      <c r="W666" s="50"/>
      <c r="X666" s="50">
        <v>0.0</v>
      </c>
      <c r="Y666" s="50" t="s">
        <v>80</v>
      </c>
      <c r="Z666" s="91"/>
      <c r="AA666" s="59" t="str">
        <f>IF(Rentabilidad=0,"No aplica",TEXT(ROUND(Precio/Rentabilidad/12,0),0) &amp; " años")</f>
        <v>41 años</v>
      </c>
      <c r="AB666" s="82" t="s">
        <v>3951</v>
      </c>
      <c r="AC666" s="186" t="s">
        <v>3968</v>
      </c>
      <c r="AD666" s="97" t="s">
        <v>3969</v>
      </c>
      <c r="AE666" s="63"/>
      <c r="AF666" s="64">
        <v>0.0</v>
      </c>
      <c r="AG666" s="65" t="s">
        <v>106</v>
      </c>
      <c r="AH666" s="63"/>
      <c r="AI666" s="65" t="s">
        <v>107</v>
      </c>
      <c r="AJ666" s="64" t="s">
        <v>3897</v>
      </c>
      <c r="AK666" s="58" t="s">
        <v>81</v>
      </c>
      <c r="AL666" s="64" t="s">
        <v>109</v>
      </c>
      <c r="AM666" s="52">
        <v>3.103914892E9</v>
      </c>
      <c r="AN666" s="64">
        <v>0.0</v>
      </c>
      <c r="AO666" s="43">
        <v>0.0</v>
      </c>
      <c r="AP666" s="84">
        <v>0.0</v>
      </c>
      <c r="AQ666" s="84">
        <v>2.93186235337959</v>
      </c>
      <c r="AR666" s="84">
        <v>-75.2903831960826</v>
      </c>
      <c r="AS666" s="85">
        <v>3628000.0</v>
      </c>
      <c r="AT666" s="50" t="s">
        <v>106</v>
      </c>
      <c r="AU666" s="50">
        <v>0.0</v>
      </c>
      <c r="AV666" s="50">
        <v>0.0</v>
      </c>
      <c r="AW666" s="50" t="s">
        <v>88</v>
      </c>
      <c r="AX666" s="50">
        <v>0.0</v>
      </c>
      <c r="AY666" s="50">
        <v>0.0</v>
      </c>
      <c r="AZ666" s="50">
        <v>0.0</v>
      </c>
      <c r="BA666" s="43" t="s">
        <v>89</v>
      </c>
      <c r="BB666" s="50">
        <v>0.0</v>
      </c>
      <c r="BC666" s="95"/>
      <c r="BD666" s="71"/>
      <c r="BE666" s="71"/>
      <c r="BF666" s="72" t="s">
        <v>3970</v>
      </c>
      <c r="BG666" s="73"/>
      <c r="BH666" s="73"/>
      <c r="BI666" s="73"/>
      <c r="BJ666" s="73"/>
      <c r="BK666" s="73"/>
      <c r="BL666" s="73"/>
      <c r="BM666" s="73"/>
      <c r="BN666" s="73"/>
      <c r="BO666" s="73"/>
      <c r="BP666" s="73"/>
      <c r="BQ666" s="73"/>
      <c r="BR666" s="73"/>
      <c r="BS666" s="73"/>
      <c r="BT666" s="73"/>
      <c r="BU666" s="73"/>
      <c r="BV666" s="73"/>
      <c r="BW666" s="74"/>
      <c r="BX666" s="74"/>
      <c r="BY666" s="63"/>
      <c r="BZ666" s="63"/>
    </row>
    <row r="667" ht="15.75" customHeight="1">
      <c r="A667" s="204" t="s">
        <v>3971</v>
      </c>
      <c r="B667" s="111" t="s">
        <v>3972</v>
      </c>
      <c r="C667" s="111" t="s">
        <v>128</v>
      </c>
      <c r="D667" s="80" t="s">
        <v>459</v>
      </c>
      <c r="E667" s="217" t="s">
        <v>3973</v>
      </c>
      <c r="F667" s="78">
        <v>1.7E9</v>
      </c>
      <c r="G667" s="44" t="str">
        <f t="shared" si="16"/>
        <v>Más de $1.000'000.000</v>
      </c>
      <c r="H667" s="44"/>
      <c r="I667" s="44"/>
      <c r="J667" s="111" t="s">
        <v>116</v>
      </c>
      <c r="K667" s="187"/>
      <c r="L667" s="111">
        <v>4.0</v>
      </c>
      <c r="M667" s="111"/>
      <c r="N667" s="111">
        <v>4.0</v>
      </c>
      <c r="O667" s="111">
        <v>2.0</v>
      </c>
      <c r="P667" s="111">
        <v>2.0</v>
      </c>
      <c r="Q667" s="88">
        <v>423.0</v>
      </c>
      <c r="R667" s="88">
        <v>1167.0</v>
      </c>
      <c r="S667" s="56" t="str">
        <f t="shared" si="19"/>
        <v> </v>
      </c>
      <c r="T667" s="111" t="s">
        <v>78</v>
      </c>
      <c r="U667" s="187" t="s">
        <v>142</v>
      </c>
      <c r="V667" s="111"/>
      <c r="W667" s="111"/>
      <c r="X667" s="111">
        <v>4.0</v>
      </c>
      <c r="Y667" s="111" t="s">
        <v>97</v>
      </c>
      <c r="Z667" s="80">
        <v>336000.0</v>
      </c>
      <c r="AA667" s="81" t="s">
        <v>81</v>
      </c>
      <c r="AB667" s="207" t="s">
        <v>3974</v>
      </c>
      <c r="AC667" s="83" t="s">
        <v>3975</v>
      </c>
      <c r="AD667" s="83" t="s">
        <v>3976</v>
      </c>
      <c r="AF667" s="64" t="s">
        <v>105</v>
      </c>
      <c r="AG667" s="111" t="s">
        <v>106</v>
      </c>
      <c r="AI667" s="65" t="s">
        <v>107</v>
      </c>
      <c r="AJ667" s="64" t="s">
        <v>3897</v>
      </c>
      <c r="AK667" s="58" t="s">
        <v>81</v>
      </c>
      <c r="AL667" s="64" t="s">
        <v>109</v>
      </c>
      <c r="AM667" s="52">
        <v>3.103914892E9</v>
      </c>
      <c r="AN667" s="64">
        <v>0.0</v>
      </c>
      <c r="AO667" s="43">
        <v>0.0</v>
      </c>
      <c r="AP667" s="84">
        <v>0.0</v>
      </c>
      <c r="AQ667" s="84"/>
      <c r="AR667" s="84"/>
      <c r="AS667" s="85">
        <v>0.0</v>
      </c>
      <c r="AT667" s="50">
        <v>0.0</v>
      </c>
      <c r="AU667" s="50" t="s">
        <v>106</v>
      </c>
      <c r="AV667" s="50" t="s">
        <v>106</v>
      </c>
      <c r="AW667" s="50" t="s">
        <v>88</v>
      </c>
      <c r="AX667" s="50">
        <v>0.0</v>
      </c>
      <c r="AY667" s="50" t="s">
        <v>106</v>
      </c>
      <c r="AZ667" s="50">
        <v>0.0</v>
      </c>
      <c r="BA667" s="43" t="s">
        <v>89</v>
      </c>
      <c r="BB667" s="50">
        <v>0.0</v>
      </c>
      <c r="BC667" s="109"/>
      <c r="BD667" s="70"/>
      <c r="BE667" s="70"/>
      <c r="BF667" s="72" t="s">
        <v>3977</v>
      </c>
      <c r="BG667" s="73"/>
      <c r="BH667" s="73"/>
      <c r="BI667" s="73"/>
      <c r="BJ667" s="73"/>
      <c r="BK667" s="73"/>
      <c r="BL667" s="73"/>
      <c r="BM667" s="73"/>
      <c r="BN667" s="73"/>
      <c r="BO667" s="73"/>
      <c r="BP667" s="73"/>
      <c r="BQ667" s="73"/>
      <c r="BR667" s="73"/>
      <c r="BS667" s="73"/>
      <c r="BT667" s="73"/>
      <c r="BU667" s="73"/>
      <c r="BV667" s="73"/>
      <c r="BW667" s="74"/>
      <c r="BX667" s="74"/>
      <c r="BY667" s="63"/>
      <c r="BZ667" s="63"/>
    </row>
    <row r="668" ht="15.75" customHeight="1">
      <c r="A668" s="75" t="s">
        <v>3978</v>
      </c>
      <c r="B668" s="50" t="s">
        <v>3979</v>
      </c>
      <c r="C668" s="50" t="s">
        <v>490</v>
      </c>
      <c r="D668" s="58" t="s">
        <v>3980</v>
      </c>
      <c r="E668" s="45"/>
      <c r="F668" s="78">
        <v>1.5E9</v>
      </c>
      <c r="G668" s="44" t="str">
        <f t="shared" si="16"/>
        <v>Más de $1.000'000.000</v>
      </c>
      <c r="H668" s="44"/>
      <c r="I668" s="44"/>
      <c r="J668" s="43" t="s">
        <v>76</v>
      </c>
      <c r="K668" s="51"/>
      <c r="L668" s="43">
        <v>12.0</v>
      </c>
      <c r="M668" s="43"/>
      <c r="N668" s="43">
        <v>8.0</v>
      </c>
      <c r="O668" s="43">
        <v>3.0</v>
      </c>
      <c r="P668" s="43">
        <v>4.0</v>
      </c>
      <c r="Q668" s="55">
        <v>490.0</v>
      </c>
      <c r="R668" s="55">
        <v>140.0</v>
      </c>
      <c r="S668" s="56" t="str">
        <f t="shared" si="19"/>
        <v>Rentabilidad $5,500,000</v>
      </c>
      <c r="T668" s="43" t="s">
        <v>78</v>
      </c>
      <c r="U668" s="56" t="s">
        <v>77</v>
      </c>
      <c r="V668" s="43" t="s">
        <v>79</v>
      </c>
      <c r="W668" s="43"/>
      <c r="X668" s="43">
        <v>12.0</v>
      </c>
      <c r="Y668" s="43" t="s">
        <v>80</v>
      </c>
      <c r="Z668" s="280" t="s">
        <v>81</v>
      </c>
      <c r="AA668" s="59" t="str">
        <f>IF(Rentabilidad=0,"No aplica",TEXT(ROUND(Precio/Rentabilidad/12,0),0) &amp; " años")</f>
        <v>23 años</v>
      </c>
      <c r="AB668" s="134" t="s">
        <v>3981</v>
      </c>
      <c r="AC668" s="124" t="s">
        <v>3982</v>
      </c>
      <c r="AD668" s="62"/>
      <c r="AE668" s="63"/>
      <c r="AF668" s="64" t="s">
        <v>236</v>
      </c>
      <c r="AG668" s="65" t="s">
        <v>106</v>
      </c>
      <c r="AH668" s="63"/>
      <c r="AI668" s="65" t="s">
        <v>107</v>
      </c>
      <c r="AJ668" s="64" t="s">
        <v>3897</v>
      </c>
      <c r="AK668" s="50" t="s">
        <v>81</v>
      </c>
      <c r="AL668" s="45" t="s">
        <v>109</v>
      </c>
      <c r="AM668" s="44">
        <v>3.174078852E9</v>
      </c>
      <c r="AN668" s="45"/>
      <c r="AO668" s="52"/>
      <c r="AP668" s="67"/>
      <c r="AQ668" s="67"/>
      <c r="AR668" s="67"/>
      <c r="AS668" s="94">
        <v>5500000.0</v>
      </c>
      <c r="AT668" s="50">
        <v>0.0</v>
      </c>
      <c r="AU668" s="43">
        <v>0.0</v>
      </c>
      <c r="AV668" s="43">
        <v>0.0</v>
      </c>
      <c r="AW668" s="43" t="s">
        <v>88</v>
      </c>
      <c r="AX668" s="43">
        <v>0.0</v>
      </c>
      <c r="AY668" s="43" t="s">
        <v>110</v>
      </c>
      <c r="AZ668" s="43">
        <v>0.0</v>
      </c>
      <c r="BA668" s="43" t="s">
        <v>89</v>
      </c>
      <c r="BB668" s="43">
        <v>0.0</v>
      </c>
      <c r="BC668" s="69" t="s">
        <v>2396</v>
      </c>
      <c r="BD668" s="70"/>
      <c r="BE668" s="71"/>
      <c r="BF668" s="72" t="s">
        <v>3983</v>
      </c>
      <c r="BG668" s="73"/>
      <c r="BH668" s="73"/>
      <c r="BI668" s="73"/>
      <c r="BJ668" s="73"/>
      <c r="BK668" s="73"/>
      <c r="BL668" s="73"/>
      <c r="BM668" s="73"/>
      <c r="BN668" s="73"/>
      <c r="BO668" s="73"/>
      <c r="BP668" s="73"/>
      <c r="BQ668" s="73"/>
      <c r="BR668" s="73"/>
      <c r="BS668" s="73"/>
      <c r="BT668" s="73"/>
      <c r="BU668" s="73"/>
      <c r="BV668" s="73"/>
      <c r="BW668" s="74"/>
      <c r="BX668" s="74"/>
      <c r="BY668" s="63"/>
      <c r="BZ668" s="63"/>
    </row>
    <row r="669" ht="15.75" customHeight="1">
      <c r="A669" s="75" t="s">
        <v>3984</v>
      </c>
      <c r="B669" s="50" t="s">
        <v>3985</v>
      </c>
      <c r="C669" s="50" t="s">
        <v>70</v>
      </c>
      <c r="D669" s="50" t="s">
        <v>76</v>
      </c>
      <c r="E669" s="77"/>
      <c r="F669" s="78">
        <v>1.1E9</v>
      </c>
      <c r="G669" s="44" t="str">
        <f t="shared" si="16"/>
        <v>Más de $1.000'000.000</v>
      </c>
      <c r="H669" s="44"/>
      <c r="I669" s="44"/>
      <c r="J669" s="50" t="s">
        <v>76</v>
      </c>
      <c r="K669" s="57"/>
      <c r="L669" s="50">
        <v>4.0</v>
      </c>
      <c r="M669" s="50"/>
      <c r="N669" s="50">
        <v>3.0</v>
      </c>
      <c r="O669" s="50">
        <v>2.0</v>
      </c>
      <c r="P669" s="50">
        <v>1.0</v>
      </c>
      <c r="Q669" s="79">
        <v>408.25</v>
      </c>
      <c r="R669" s="79">
        <v>349.05</v>
      </c>
      <c r="S669" s="56" t="str">
        <f t="shared" si="19"/>
        <v>Rentabilidad $6,000,000</v>
      </c>
      <c r="T669" s="50" t="s">
        <v>78</v>
      </c>
      <c r="U669" s="162" t="s">
        <v>142</v>
      </c>
      <c r="V669" s="65" t="s">
        <v>79</v>
      </c>
      <c r="W669" s="65"/>
      <c r="X669" s="65">
        <v>4.0</v>
      </c>
      <c r="Y669" s="43" t="s">
        <v>80</v>
      </c>
      <c r="Z669" s="58" t="s">
        <v>81</v>
      </c>
      <c r="AA669" s="59" t="str">
        <f>IF(Rentabilidad=0,"No aplica",TEXT(ROUND(Precio/Rentabilidad/12,0),0) &amp; " años")</f>
        <v>15 años</v>
      </c>
      <c r="AB669" s="115" t="s">
        <v>3986</v>
      </c>
      <c r="AC669" s="131" t="s">
        <v>3987</v>
      </c>
      <c r="AD669" s="125" t="s">
        <v>3988</v>
      </c>
      <c r="AE669" s="63"/>
      <c r="AF669" s="64" t="s">
        <v>236</v>
      </c>
      <c r="AG669" s="65" t="s">
        <v>106</v>
      </c>
      <c r="AH669" s="65"/>
      <c r="AI669" s="65" t="s">
        <v>107</v>
      </c>
      <c r="AJ669" s="64" t="s">
        <v>3897</v>
      </c>
      <c r="AK669" s="58" t="s">
        <v>81</v>
      </c>
      <c r="AL669" s="45" t="s">
        <v>109</v>
      </c>
      <c r="AM669" s="52">
        <v>3.103914892E9</v>
      </c>
      <c r="AN669" s="45"/>
      <c r="AO669" s="44"/>
      <c r="AP669" s="67"/>
      <c r="AQ669" s="67"/>
      <c r="AR669" s="67"/>
      <c r="AS669" s="335">
        <v>6000000.0</v>
      </c>
      <c r="AT669" s="65">
        <v>0.0</v>
      </c>
      <c r="AU669" s="43">
        <v>0.0</v>
      </c>
      <c r="AV669" s="43">
        <v>0.0</v>
      </c>
      <c r="AW669" s="43" t="s">
        <v>88</v>
      </c>
      <c r="AX669" s="43">
        <v>0.0</v>
      </c>
      <c r="AY669" s="43" t="s">
        <v>247</v>
      </c>
      <c r="AZ669" s="65">
        <v>0.0</v>
      </c>
      <c r="BA669" s="43" t="s">
        <v>89</v>
      </c>
      <c r="BB669" s="65">
        <v>0.0</v>
      </c>
      <c r="BC669" s="69" t="s">
        <v>2559</v>
      </c>
      <c r="BD669" s="70"/>
      <c r="BE669" s="71"/>
      <c r="BF669" s="72" t="s">
        <v>3989</v>
      </c>
      <c r="BG669" s="73"/>
      <c r="BH669" s="73"/>
      <c r="BI669" s="73"/>
      <c r="BJ669" s="73"/>
      <c r="BK669" s="73"/>
      <c r="BL669" s="73"/>
      <c r="BM669" s="73"/>
      <c r="BN669" s="73"/>
      <c r="BO669" s="73"/>
      <c r="BP669" s="73"/>
      <c r="BQ669" s="73"/>
      <c r="BR669" s="73"/>
      <c r="BS669" s="73"/>
      <c r="BT669" s="73"/>
      <c r="BU669" s="73"/>
      <c r="BV669" s="73"/>
      <c r="BW669" s="74"/>
      <c r="BX669" s="74"/>
      <c r="BY669" s="63"/>
      <c r="BZ669" s="63"/>
    </row>
    <row r="670" ht="15.75" customHeight="1">
      <c r="A670" s="75" t="s">
        <v>3990</v>
      </c>
      <c r="B670" s="50" t="s">
        <v>3991</v>
      </c>
      <c r="C670" s="50" t="s">
        <v>315</v>
      </c>
      <c r="D670" s="50"/>
      <c r="E670" s="64"/>
      <c r="F670" s="78">
        <v>1.00088E9</v>
      </c>
      <c r="G670" s="44" t="str">
        <f t="shared" si="16"/>
        <v>Más de $1.000'000.000</v>
      </c>
      <c r="H670" s="44"/>
      <c r="I670" s="44"/>
      <c r="J670" s="50" t="s">
        <v>94</v>
      </c>
      <c r="K670" s="51"/>
      <c r="L670" s="50">
        <v>0.0</v>
      </c>
      <c r="M670" s="50"/>
      <c r="N670" s="50">
        <v>0.0</v>
      </c>
      <c r="O670" s="50">
        <v>0.0</v>
      </c>
      <c r="P670" s="50">
        <v>0.0</v>
      </c>
      <c r="Q670" s="88">
        <v>0.0</v>
      </c>
      <c r="R670" s="88">
        <v>1000.0</v>
      </c>
      <c r="S670" s="56" t="str">
        <f t="shared" si="19"/>
        <v> </v>
      </c>
      <c r="T670" s="50" t="s">
        <v>78</v>
      </c>
      <c r="U670" s="57"/>
      <c r="V670" s="50" t="s">
        <v>316</v>
      </c>
      <c r="W670" s="50"/>
      <c r="X670" s="50">
        <v>0.0</v>
      </c>
      <c r="Y670" s="50" t="s">
        <v>80</v>
      </c>
      <c r="Z670" s="91"/>
      <c r="AA670" s="59" t="str">
        <f>IF(Rentabilidad=0,"No aplica",TEXT(ROUND(Precio/Rentabilidad/12,0),0) &amp; " años")</f>
        <v>No aplica</v>
      </c>
      <c r="AB670" s="82" t="s">
        <v>3992</v>
      </c>
      <c r="AC670" s="169" t="s">
        <v>3993</v>
      </c>
      <c r="AD670" s="83" t="s">
        <v>3994</v>
      </c>
      <c r="AE670" s="63"/>
      <c r="AF670" s="64">
        <v>0.0</v>
      </c>
      <c r="AG670" s="65" t="s">
        <v>106</v>
      </c>
      <c r="AH670" s="63"/>
      <c r="AI670" s="65" t="s">
        <v>107</v>
      </c>
      <c r="AJ670" s="239" t="s">
        <v>3897</v>
      </c>
      <c r="AK670" s="332" t="s">
        <v>81</v>
      </c>
      <c r="AL670" s="239" t="s">
        <v>109</v>
      </c>
      <c r="AM670" s="333">
        <v>3.103914892E9</v>
      </c>
      <c r="AN670" s="312"/>
      <c r="AO670" s="312"/>
      <c r="AP670" s="334"/>
      <c r="AQ670" s="334"/>
      <c r="AR670" s="334"/>
      <c r="AS670" s="314">
        <v>0.0</v>
      </c>
      <c r="AT670" s="232">
        <v>0.0</v>
      </c>
      <c r="AU670" s="315">
        <v>0.0</v>
      </c>
      <c r="AV670" s="315">
        <v>0.0</v>
      </c>
      <c r="AW670" s="315" t="s">
        <v>88</v>
      </c>
      <c r="AX670" s="313">
        <v>0.0</v>
      </c>
      <c r="AY670" s="315">
        <v>0.0</v>
      </c>
      <c r="AZ670" s="315">
        <v>0.0</v>
      </c>
      <c r="BA670" s="316" t="s">
        <v>89</v>
      </c>
      <c r="BB670" s="315">
        <v>0.0</v>
      </c>
      <c r="BC670" s="95"/>
      <c r="BD670" s="71"/>
      <c r="BE670" s="71"/>
      <c r="BF670" s="72" t="s">
        <v>3995</v>
      </c>
      <c r="BG670" s="73"/>
      <c r="BH670" s="73"/>
      <c r="BI670" s="73"/>
      <c r="BJ670" s="73"/>
      <c r="BK670" s="73"/>
      <c r="BL670" s="73"/>
      <c r="BM670" s="73"/>
      <c r="BN670" s="73"/>
      <c r="BO670" s="73"/>
      <c r="BP670" s="73"/>
      <c r="BQ670" s="73"/>
      <c r="BR670" s="73"/>
      <c r="BS670" s="73"/>
      <c r="BT670" s="73"/>
      <c r="BU670" s="73"/>
      <c r="BV670" s="73"/>
      <c r="BW670" s="74"/>
      <c r="BX670" s="74"/>
      <c r="BY670" s="63"/>
      <c r="BZ670" s="63"/>
    </row>
    <row r="671" ht="15.75" customHeight="1">
      <c r="A671" s="120" t="s">
        <v>3996</v>
      </c>
      <c r="B671" s="43" t="s">
        <v>3997</v>
      </c>
      <c r="C671" s="43" t="s">
        <v>114</v>
      </c>
      <c r="D671" s="58" t="s">
        <v>376</v>
      </c>
      <c r="E671" s="64" t="s">
        <v>3998</v>
      </c>
      <c r="F671" s="47">
        <v>1.0E9</v>
      </c>
      <c r="G671" s="44" t="str">
        <f t="shared" si="16"/>
        <v>Más de $1.000'000.000</v>
      </c>
      <c r="H671" s="44"/>
      <c r="I671" s="44"/>
      <c r="J671" s="50" t="s">
        <v>94</v>
      </c>
      <c r="K671" s="51"/>
      <c r="L671" s="52">
        <v>4.0</v>
      </c>
      <c r="M671" s="52"/>
      <c r="N671" s="52">
        <v>3.0</v>
      </c>
      <c r="O671" s="43">
        <v>1.0</v>
      </c>
      <c r="P671" s="52">
        <v>1.0</v>
      </c>
      <c r="Q671" s="54">
        <v>600.0</v>
      </c>
      <c r="R671" s="55">
        <v>2400.0</v>
      </c>
      <c r="S671" s="56" t="str">
        <f t="shared" si="19"/>
        <v> </v>
      </c>
      <c r="T671" s="52" t="s">
        <v>95</v>
      </c>
      <c r="U671" s="142"/>
      <c r="V671" s="52"/>
      <c r="W671" s="52"/>
      <c r="X671" s="52">
        <v>4.0</v>
      </c>
      <c r="Y671" s="43" t="s">
        <v>130</v>
      </c>
      <c r="Z671" s="151">
        <v>700000.0</v>
      </c>
      <c r="AA671" s="59" t="str">
        <f>IF(Rentabilidad=0,"No aplica",TEXT(ROUND(Precio/Rentabilidad/12,0),0) &amp; " años")</f>
        <v>No aplica</v>
      </c>
      <c r="AB671" s="180" t="s">
        <v>3999</v>
      </c>
      <c r="AC671" s="61"/>
      <c r="AD671" s="125" t="s">
        <v>4000</v>
      </c>
      <c r="AE671" s="63"/>
      <c r="AF671" s="45" t="s">
        <v>105</v>
      </c>
      <c r="AG671" s="65" t="s">
        <v>106</v>
      </c>
      <c r="AH671" s="65"/>
      <c r="AI671" s="65" t="s">
        <v>107</v>
      </c>
      <c r="AJ671" s="64" t="s">
        <v>3897</v>
      </c>
      <c r="AK671" s="58" t="s">
        <v>81</v>
      </c>
      <c r="AL671" s="45" t="s">
        <v>109</v>
      </c>
      <c r="AM671" s="52">
        <v>3.103914892E9</v>
      </c>
      <c r="AN671" s="45">
        <v>0.0</v>
      </c>
      <c r="AO671" s="116"/>
      <c r="AP671" s="67" t="s">
        <v>4001</v>
      </c>
      <c r="AQ671" s="84">
        <v>2.78293124486065</v>
      </c>
      <c r="AR671" s="84">
        <v>-75.2624329473226</v>
      </c>
      <c r="AS671" s="135">
        <v>0.0</v>
      </c>
      <c r="AT671" s="44">
        <v>0.0</v>
      </c>
      <c r="AU671" s="52">
        <v>0.0</v>
      </c>
      <c r="AV671" s="52">
        <v>0.0</v>
      </c>
      <c r="AW671" s="43" t="s">
        <v>88</v>
      </c>
      <c r="AX671" s="52">
        <v>0.0</v>
      </c>
      <c r="AY671" s="52">
        <v>0.0</v>
      </c>
      <c r="AZ671" s="52">
        <v>0.0</v>
      </c>
      <c r="BA671" s="43" t="s">
        <v>89</v>
      </c>
      <c r="BB671" s="52">
        <v>0.0</v>
      </c>
      <c r="BC671" s="86"/>
      <c r="BD671" s="71"/>
      <c r="BE671" s="71"/>
      <c r="BF671" s="72" t="s">
        <v>4002</v>
      </c>
      <c r="BG671" s="73"/>
      <c r="BH671" s="73"/>
      <c r="BI671" s="73"/>
      <c r="BJ671" s="73"/>
      <c r="BK671" s="73"/>
      <c r="BL671" s="73"/>
      <c r="BM671" s="73"/>
      <c r="BN671" s="73"/>
      <c r="BO671" s="73"/>
      <c r="BP671" s="73"/>
      <c r="BQ671" s="73"/>
      <c r="BR671" s="73"/>
      <c r="BS671" s="73"/>
      <c r="BT671" s="73"/>
      <c r="BU671" s="73"/>
      <c r="BV671" s="73"/>
      <c r="BW671" s="74"/>
      <c r="BX671" s="74"/>
      <c r="BY671" s="63"/>
      <c r="BZ671" s="63"/>
    </row>
    <row r="672" ht="15.75" customHeight="1">
      <c r="A672" s="41" t="s">
        <v>4003</v>
      </c>
      <c r="B672" s="50" t="s">
        <v>409</v>
      </c>
      <c r="C672" s="50" t="s">
        <v>70</v>
      </c>
      <c r="D672" s="44" t="s">
        <v>205</v>
      </c>
      <c r="E672" s="77" t="s">
        <v>376</v>
      </c>
      <c r="F672" s="78">
        <v>1.0E9</v>
      </c>
      <c r="G672" s="44" t="str">
        <f t="shared" si="16"/>
        <v>Más de $1.000'000.000</v>
      </c>
      <c r="H672" s="44"/>
      <c r="I672" s="44"/>
      <c r="J672" s="50" t="s">
        <v>76</v>
      </c>
      <c r="K672" s="119" t="s">
        <v>77</v>
      </c>
      <c r="L672" s="44">
        <v>7.0</v>
      </c>
      <c r="M672" s="44"/>
      <c r="N672" s="44">
        <v>4.0</v>
      </c>
      <c r="O672" s="50">
        <v>1.0</v>
      </c>
      <c r="P672" s="44">
        <v>2.0</v>
      </c>
      <c r="Q672" s="113">
        <v>280.0</v>
      </c>
      <c r="R672" s="79">
        <v>389.0</v>
      </c>
      <c r="S672" s="56" t="str">
        <f t="shared" si="19"/>
        <v> </v>
      </c>
      <c r="T672" s="44" t="s">
        <v>78</v>
      </c>
      <c r="U672" s="57" t="s">
        <v>142</v>
      </c>
      <c r="V672" s="50" t="s">
        <v>118</v>
      </c>
      <c r="W672" s="50"/>
      <c r="X672" s="44">
        <v>5.0</v>
      </c>
      <c r="Y672" s="50" t="s">
        <v>80</v>
      </c>
      <c r="Z672" s="58" t="s">
        <v>81</v>
      </c>
      <c r="AA672" s="59" t="str">
        <f>IF(Rentabilidad=0,"No aplica",TEXT(ROUND(Precio/Rentabilidad/12,0),0) &amp; " años")</f>
        <v>No aplica</v>
      </c>
      <c r="AB672" s="115" t="s">
        <v>4004</v>
      </c>
      <c r="AC672" s="61"/>
      <c r="AD672" s="107" t="s">
        <v>4005</v>
      </c>
      <c r="AE672" s="63"/>
      <c r="AF672" s="64" t="s">
        <v>236</v>
      </c>
      <c r="AG672" s="65" t="s">
        <v>106</v>
      </c>
      <c r="AH672" s="65" t="s">
        <v>45</v>
      </c>
      <c r="AI672" s="65" t="s">
        <v>107</v>
      </c>
      <c r="AJ672" s="64" t="s">
        <v>3897</v>
      </c>
      <c r="AK672" s="58" t="s">
        <v>81</v>
      </c>
      <c r="AL672" s="45" t="s">
        <v>109</v>
      </c>
      <c r="AM672" s="52">
        <v>3.103914892E9</v>
      </c>
      <c r="AN672" s="45">
        <v>0.0</v>
      </c>
      <c r="AO672" s="116"/>
      <c r="AP672" s="67">
        <v>0.0</v>
      </c>
      <c r="AQ672" s="143">
        <v>2.9379858</v>
      </c>
      <c r="AR672" s="143">
        <v>-75.2917451</v>
      </c>
      <c r="AS672" s="68">
        <v>0.0</v>
      </c>
      <c r="AT672" s="44">
        <v>0.0</v>
      </c>
      <c r="AU672" s="52">
        <v>0.0</v>
      </c>
      <c r="AV672" s="52">
        <v>0.0</v>
      </c>
      <c r="AW672" s="43" t="s">
        <v>88</v>
      </c>
      <c r="AX672" s="52">
        <v>0.0</v>
      </c>
      <c r="AY672" s="52">
        <v>0.0</v>
      </c>
      <c r="AZ672" s="44">
        <v>0.0</v>
      </c>
      <c r="BA672" s="43" t="s">
        <v>89</v>
      </c>
      <c r="BB672" s="44">
        <v>0.0</v>
      </c>
      <c r="BC672" s="95"/>
      <c r="BD672" s="71"/>
      <c r="BE672" s="71"/>
      <c r="BF672" s="72" t="s">
        <v>4006</v>
      </c>
      <c r="BG672" s="73"/>
      <c r="BH672" s="73"/>
      <c r="BI672" s="73"/>
      <c r="BJ672" s="73"/>
      <c r="BK672" s="73"/>
      <c r="BL672" s="73"/>
      <c r="BM672" s="73"/>
      <c r="BN672" s="73"/>
      <c r="BO672" s="73"/>
      <c r="BP672" s="73"/>
      <c r="BQ672" s="73"/>
      <c r="BR672" s="73"/>
      <c r="BS672" s="73"/>
      <c r="BT672" s="73"/>
      <c r="BU672" s="73"/>
      <c r="BV672" s="73"/>
      <c r="BW672" s="74"/>
      <c r="BX672" s="74"/>
      <c r="BY672" s="63"/>
      <c r="BZ672" s="63"/>
    </row>
    <row r="673" ht="15.75" customHeight="1">
      <c r="A673" s="75" t="s">
        <v>4007</v>
      </c>
      <c r="B673" s="50" t="s">
        <v>4008</v>
      </c>
      <c r="C673" s="50" t="s">
        <v>93</v>
      </c>
      <c r="D673" s="50"/>
      <c r="E673" s="64"/>
      <c r="F673" s="78">
        <v>9.3E8</v>
      </c>
      <c r="G673" s="44" t="str">
        <f t="shared" si="16"/>
        <v>$500'000.000 a $1.000'000.000</v>
      </c>
      <c r="H673" s="44"/>
      <c r="I673" s="44"/>
      <c r="J673" s="50" t="s">
        <v>94</v>
      </c>
      <c r="K673" s="51"/>
      <c r="L673" s="50">
        <v>7.0</v>
      </c>
      <c r="M673" s="50"/>
      <c r="N673" s="50">
        <v>9.0</v>
      </c>
      <c r="O673" s="50">
        <v>2.0</v>
      </c>
      <c r="P673" s="50">
        <v>1.0</v>
      </c>
      <c r="Q673" s="88">
        <v>554.0</v>
      </c>
      <c r="R673" s="88">
        <v>6040.0</v>
      </c>
      <c r="S673" s="56" t="str">
        <f t="shared" si="19"/>
        <v> </v>
      </c>
      <c r="T673" s="50" t="s">
        <v>95</v>
      </c>
      <c r="U673" s="57"/>
      <c r="V673" s="44"/>
      <c r="W673" s="44"/>
      <c r="X673" s="50">
        <v>4.0</v>
      </c>
      <c r="Y673" s="50" t="s">
        <v>97</v>
      </c>
      <c r="Z673" s="91"/>
      <c r="AA673" s="59" t="str">
        <f>IF(Rentabilidad=0,"No aplica",TEXT(ROUND(Precio/Rentabilidad/12,0),0) &amp; " años")</f>
        <v>No aplica</v>
      </c>
      <c r="AB673" s="82" t="s">
        <v>4009</v>
      </c>
      <c r="AC673" s="97" t="s">
        <v>4010</v>
      </c>
      <c r="AD673" s="97" t="s">
        <v>4011</v>
      </c>
      <c r="AE673" s="63"/>
      <c r="AF673" s="64" t="s">
        <v>105</v>
      </c>
      <c r="AG673" s="65" t="s">
        <v>106</v>
      </c>
      <c r="AH673" s="63"/>
      <c r="AI673" s="65" t="s">
        <v>107</v>
      </c>
      <c r="AJ673" s="239" t="s">
        <v>3897</v>
      </c>
      <c r="AK673" s="332" t="s">
        <v>81</v>
      </c>
      <c r="AL673" s="239" t="s">
        <v>109</v>
      </c>
      <c r="AM673" s="333">
        <v>3.103914892E9</v>
      </c>
      <c r="AN673" s="312"/>
      <c r="AO673" s="312"/>
      <c r="AP673" s="334"/>
      <c r="AQ673" s="334"/>
      <c r="AR673" s="334"/>
      <c r="AS673" s="314">
        <v>0.0</v>
      </c>
      <c r="AT673" s="232">
        <v>0.0</v>
      </c>
      <c r="AU673" s="315">
        <v>0.0</v>
      </c>
      <c r="AV673" s="315">
        <v>0.0</v>
      </c>
      <c r="AW673" s="315" t="s">
        <v>88</v>
      </c>
      <c r="AX673" s="313">
        <v>0.0</v>
      </c>
      <c r="AY673" s="315">
        <v>0.0</v>
      </c>
      <c r="AZ673" s="315">
        <v>0.0</v>
      </c>
      <c r="BA673" s="316" t="s">
        <v>89</v>
      </c>
      <c r="BB673" s="315">
        <v>0.0</v>
      </c>
      <c r="BC673" s="95"/>
      <c r="BD673" s="71"/>
      <c r="BE673" s="71"/>
      <c r="BF673" s="72" t="s">
        <v>4012</v>
      </c>
      <c r="BG673" s="73"/>
      <c r="BH673" s="73"/>
      <c r="BI673" s="73"/>
      <c r="BJ673" s="73"/>
      <c r="BK673" s="73"/>
      <c r="BL673" s="73"/>
      <c r="BM673" s="73"/>
      <c r="BN673" s="73"/>
      <c r="BO673" s="73"/>
      <c r="BP673" s="73"/>
      <c r="BQ673" s="73"/>
      <c r="BR673" s="73"/>
      <c r="BS673" s="73"/>
      <c r="BT673" s="73"/>
      <c r="BU673" s="73"/>
      <c r="BV673" s="73"/>
      <c r="BW673" s="74"/>
      <c r="BX673" s="74"/>
      <c r="BY673" s="63"/>
      <c r="BZ673" s="63"/>
    </row>
    <row r="674" ht="15.75" customHeight="1">
      <c r="A674" s="75" t="s">
        <v>4013</v>
      </c>
      <c r="B674" s="50" t="s">
        <v>4014</v>
      </c>
      <c r="C674" s="50" t="s">
        <v>497</v>
      </c>
      <c r="D674" s="50"/>
      <c r="E674" s="64"/>
      <c r="F674" s="78">
        <v>9.0E8</v>
      </c>
      <c r="G674" s="44" t="str">
        <f t="shared" si="16"/>
        <v>$500'000.000 a $1.000'000.000</v>
      </c>
      <c r="H674" s="44"/>
      <c r="I674" s="44"/>
      <c r="J674" s="50" t="s">
        <v>498</v>
      </c>
      <c r="K674" s="51"/>
      <c r="L674" s="50">
        <v>4.0</v>
      </c>
      <c r="M674" s="50"/>
      <c r="N674" s="50">
        <v>3.0</v>
      </c>
      <c r="O674" s="50">
        <v>1.0</v>
      </c>
      <c r="P674" s="50">
        <v>1.0</v>
      </c>
      <c r="Q674" s="88">
        <v>180.0</v>
      </c>
      <c r="R674" s="88">
        <v>26000.0</v>
      </c>
      <c r="S674" s="56" t="s">
        <v>96</v>
      </c>
      <c r="T674" s="50" t="s">
        <v>3480</v>
      </c>
      <c r="U674" s="57"/>
      <c r="V674" s="44"/>
      <c r="W674" s="44"/>
      <c r="X674" s="50">
        <v>3.0</v>
      </c>
      <c r="Y674" s="50" t="s">
        <v>97</v>
      </c>
      <c r="Z674" s="58" t="s">
        <v>81</v>
      </c>
      <c r="AA674" s="59" t="str">
        <f>IF(Rentabilidad=0,"No aplica",TEXT(ROUND(Precio/Rentabilidad/12,0),0) &amp; " años")</f>
        <v>No aplica</v>
      </c>
      <c r="AB674" s="82" t="s">
        <v>4015</v>
      </c>
      <c r="AC674" s="327" t="s">
        <v>4016</v>
      </c>
      <c r="AD674" s="330" t="s">
        <v>4017</v>
      </c>
      <c r="AE674" s="63"/>
      <c r="AF674" s="64" t="s">
        <v>236</v>
      </c>
      <c r="AG674" s="65" t="s">
        <v>106</v>
      </c>
      <c r="AH674" s="63"/>
      <c r="AI674" s="65" t="s">
        <v>107</v>
      </c>
      <c r="AJ674" s="64" t="s">
        <v>3897</v>
      </c>
      <c r="AK674" s="58" t="s">
        <v>81</v>
      </c>
      <c r="AL674" s="45" t="s">
        <v>109</v>
      </c>
      <c r="AM674" s="52">
        <v>3.103914892E9</v>
      </c>
      <c r="AN674" s="64">
        <v>0.0</v>
      </c>
      <c r="AO674" s="116"/>
      <c r="AP674" s="84">
        <v>0.0</v>
      </c>
      <c r="AQ674" s="84"/>
      <c r="AR674" s="84"/>
      <c r="AS674" s="94">
        <v>0.0</v>
      </c>
      <c r="AT674" s="50">
        <v>0.0</v>
      </c>
      <c r="AU674" s="50">
        <v>0.0</v>
      </c>
      <c r="AV674" s="50">
        <v>0.0</v>
      </c>
      <c r="AW674" s="50" t="s">
        <v>88</v>
      </c>
      <c r="AX674" s="50">
        <v>0.0</v>
      </c>
      <c r="AY674" s="50" t="s">
        <v>106</v>
      </c>
      <c r="AZ674" s="50">
        <v>0.0</v>
      </c>
      <c r="BA674" s="43" t="s">
        <v>89</v>
      </c>
      <c r="BB674" s="50">
        <v>0.0</v>
      </c>
      <c r="BC674" s="95"/>
      <c r="BD674" s="71"/>
      <c r="BE674" s="71"/>
      <c r="BF674" s="72" t="s">
        <v>4018</v>
      </c>
      <c r="BG674" s="73"/>
      <c r="BH674" s="73"/>
      <c r="BI674" s="73"/>
      <c r="BJ674" s="73"/>
      <c r="BK674" s="73"/>
      <c r="BL674" s="73"/>
      <c r="BM674" s="73"/>
      <c r="BN674" s="73"/>
      <c r="BO674" s="73"/>
      <c r="BP674" s="73"/>
      <c r="BQ674" s="73"/>
      <c r="BR674" s="73"/>
      <c r="BS674" s="73"/>
      <c r="BT674" s="73"/>
      <c r="BU674" s="73"/>
      <c r="BV674" s="73"/>
      <c r="BW674" s="74"/>
      <c r="BX674" s="74"/>
      <c r="BY674" s="63"/>
      <c r="BZ674" s="63"/>
    </row>
    <row r="675" ht="15.75" customHeight="1">
      <c r="A675" s="75" t="s">
        <v>4019</v>
      </c>
      <c r="B675" s="50" t="s">
        <v>4020</v>
      </c>
      <c r="C675" s="50" t="s">
        <v>70</v>
      </c>
      <c r="D675" s="50" t="s">
        <v>76</v>
      </c>
      <c r="E675" s="77"/>
      <c r="F675" s="78">
        <v>9.0E8</v>
      </c>
      <c r="G675" s="44" t="str">
        <f t="shared" si="16"/>
        <v>$500'000.000 a $1.000'000.000</v>
      </c>
      <c r="H675" s="44"/>
      <c r="I675" s="44"/>
      <c r="J675" s="50" t="s">
        <v>76</v>
      </c>
      <c r="K675" s="57"/>
      <c r="L675" s="50">
        <v>4.0</v>
      </c>
      <c r="M675" s="50"/>
      <c r="N675" s="50">
        <v>4.0</v>
      </c>
      <c r="O675" s="50">
        <v>1.0</v>
      </c>
      <c r="P675" s="50">
        <v>2.0</v>
      </c>
      <c r="Q675" s="79">
        <v>0.0</v>
      </c>
      <c r="R675" s="79">
        <v>0.0</v>
      </c>
      <c r="S675" s="56" t="str">
        <f t="shared" ref="S675:S802" si="20">IF(AS675=0," ","Rentabilidad $" &amp; TEXT(AS675,"#,##0"))</f>
        <v> </v>
      </c>
      <c r="T675" s="50" t="s">
        <v>78</v>
      </c>
      <c r="U675" s="162" t="s">
        <v>142</v>
      </c>
      <c r="V675" s="65" t="s">
        <v>79</v>
      </c>
      <c r="W675" s="65"/>
      <c r="X675" s="65">
        <v>4.0</v>
      </c>
      <c r="Y675" s="43" t="s">
        <v>80</v>
      </c>
      <c r="Z675" s="58" t="s">
        <v>81</v>
      </c>
      <c r="AA675" s="59" t="str">
        <f>IF(Rentabilidad=0,"No aplica",TEXT(ROUND(Precio/Rentabilidad/12,0),0) &amp; " años")</f>
        <v>No aplica</v>
      </c>
      <c r="AB675" s="115" t="s">
        <v>4021</v>
      </c>
      <c r="AC675" s="131" t="s">
        <v>4022</v>
      </c>
      <c r="AD675" s="107" t="s">
        <v>4023</v>
      </c>
      <c r="AE675" s="63"/>
      <c r="AF675" s="45" t="s">
        <v>105</v>
      </c>
      <c r="AG675" s="65" t="s">
        <v>106</v>
      </c>
      <c r="AH675" s="65"/>
      <c r="AI675" s="65" t="s">
        <v>107</v>
      </c>
      <c r="AJ675" s="64" t="s">
        <v>3897</v>
      </c>
      <c r="AK675" s="58" t="s">
        <v>81</v>
      </c>
      <c r="AL675" s="45" t="s">
        <v>109</v>
      </c>
      <c r="AM675" s="52">
        <v>3.103914892E9</v>
      </c>
      <c r="AN675" s="45"/>
      <c r="AO675" s="44"/>
      <c r="AP675" s="67"/>
      <c r="AQ675" s="67"/>
      <c r="AR675" s="67"/>
      <c r="AS675" s="335">
        <v>0.0</v>
      </c>
      <c r="AT675" s="65">
        <v>0.0</v>
      </c>
      <c r="AU675" s="43">
        <v>0.0</v>
      </c>
      <c r="AV675" s="43">
        <v>0.0</v>
      </c>
      <c r="AW675" s="43" t="s">
        <v>106</v>
      </c>
      <c r="AX675" s="43">
        <v>0.0</v>
      </c>
      <c r="AY675" s="43" t="s">
        <v>247</v>
      </c>
      <c r="AZ675" s="65">
        <v>0.0</v>
      </c>
      <c r="BA675" s="43" t="s">
        <v>89</v>
      </c>
      <c r="BB675" s="63"/>
      <c r="BC675" s="109"/>
      <c r="BD675" s="70"/>
      <c r="BE675" s="71"/>
      <c r="BF675" s="72" t="s">
        <v>4024</v>
      </c>
      <c r="BG675" s="74"/>
      <c r="BH675" s="74"/>
      <c r="BI675" s="74"/>
      <c r="BJ675" s="74"/>
      <c r="BK675" s="74"/>
      <c r="BL675" s="74"/>
      <c r="BM675" s="74"/>
      <c r="BN675" s="74"/>
      <c r="BO675" s="74"/>
      <c r="BP675" s="74"/>
      <c r="BQ675" s="74"/>
      <c r="BR675" s="74"/>
      <c r="BS675" s="74"/>
      <c r="BT675" s="74"/>
      <c r="BU675" s="74"/>
      <c r="BV675" s="74"/>
      <c r="BW675" s="74"/>
      <c r="BX675" s="74"/>
      <c r="BY675" s="63"/>
      <c r="BZ675" s="63"/>
    </row>
    <row r="676" ht="15.75" customHeight="1">
      <c r="A676" s="75" t="s">
        <v>4025</v>
      </c>
      <c r="B676" s="50" t="s">
        <v>4026</v>
      </c>
      <c r="C676" s="50" t="s">
        <v>128</v>
      </c>
      <c r="D676" s="203"/>
      <c r="E676" s="64" t="s">
        <v>4027</v>
      </c>
      <c r="F676" s="78">
        <v>8.5E8</v>
      </c>
      <c r="G676" s="44" t="str">
        <f t="shared" si="16"/>
        <v>$500'000.000 a $1.000'000.000</v>
      </c>
      <c r="H676" s="44"/>
      <c r="I676" s="44"/>
      <c r="J676" s="43" t="s">
        <v>116</v>
      </c>
      <c r="K676" s="51"/>
      <c r="L676" s="43">
        <v>3.0</v>
      </c>
      <c r="M676" s="43"/>
      <c r="N676" s="43">
        <v>4.0</v>
      </c>
      <c r="O676" s="43">
        <v>2.0</v>
      </c>
      <c r="P676" s="43">
        <v>1.0</v>
      </c>
      <c r="Q676" s="55">
        <v>215.0</v>
      </c>
      <c r="R676" s="55">
        <v>215.0</v>
      </c>
      <c r="S676" s="56" t="str">
        <f t="shared" si="20"/>
        <v> </v>
      </c>
      <c r="T676" s="43" t="s">
        <v>78</v>
      </c>
      <c r="U676" s="56" t="s">
        <v>154</v>
      </c>
      <c r="V676" s="43">
        <v>0.0</v>
      </c>
      <c r="W676" s="43"/>
      <c r="X676" s="43">
        <v>3.0</v>
      </c>
      <c r="Y676" s="43" t="s">
        <v>97</v>
      </c>
      <c r="Z676" s="280">
        <v>550000.0</v>
      </c>
      <c r="AA676" s="81" t="s">
        <v>81</v>
      </c>
      <c r="AB676" s="82" t="s">
        <v>4028</v>
      </c>
      <c r="AC676" s="61"/>
      <c r="AD676" s="62"/>
      <c r="AE676" s="63"/>
      <c r="AF676" s="64" t="s">
        <v>105</v>
      </c>
      <c r="AG676" s="65" t="s">
        <v>106</v>
      </c>
      <c r="AH676" s="63"/>
      <c r="AI676" s="65" t="s">
        <v>107</v>
      </c>
      <c r="AJ676" s="64" t="s">
        <v>3897</v>
      </c>
      <c r="AK676" s="50" t="s">
        <v>81</v>
      </c>
      <c r="AL676" s="45" t="s">
        <v>109</v>
      </c>
      <c r="AM676" s="44">
        <v>3.174078852E9</v>
      </c>
      <c r="AN676" s="45"/>
      <c r="AO676" s="52"/>
      <c r="AP676" s="67"/>
      <c r="AQ676" s="67"/>
      <c r="AR676" s="67"/>
      <c r="AS676" s="94">
        <v>0.0</v>
      </c>
      <c r="AT676" s="50">
        <v>0.0</v>
      </c>
      <c r="AU676" s="43">
        <v>0.0</v>
      </c>
      <c r="AV676" s="43">
        <v>2.0</v>
      </c>
      <c r="AW676" s="43" t="s">
        <v>88</v>
      </c>
      <c r="AX676" s="43">
        <v>0.0</v>
      </c>
      <c r="AY676" s="43" t="s">
        <v>137</v>
      </c>
      <c r="AZ676" s="43">
        <v>0.0</v>
      </c>
      <c r="BA676" s="43" t="s">
        <v>89</v>
      </c>
      <c r="BB676" s="43">
        <v>0.0</v>
      </c>
      <c r="BC676" s="109"/>
      <c r="BD676" s="70"/>
      <c r="BE676" s="71"/>
      <c r="BF676" s="72" t="s">
        <v>4029</v>
      </c>
      <c r="BG676" s="73"/>
      <c r="BH676" s="73"/>
      <c r="BI676" s="73"/>
      <c r="BJ676" s="73"/>
      <c r="BK676" s="73"/>
      <c r="BL676" s="73"/>
      <c r="BM676" s="73"/>
      <c r="BN676" s="73"/>
      <c r="BO676" s="73"/>
      <c r="BP676" s="73"/>
      <c r="BQ676" s="73"/>
      <c r="BR676" s="73"/>
      <c r="BS676" s="73"/>
      <c r="BT676" s="73"/>
      <c r="BU676" s="73"/>
      <c r="BV676" s="73"/>
      <c r="BW676" s="74"/>
      <c r="BX676" s="74"/>
      <c r="BY676" s="63"/>
      <c r="BZ676" s="63"/>
    </row>
    <row r="677" ht="15.75" customHeight="1">
      <c r="A677" s="41" t="s">
        <v>4030</v>
      </c>
      <c r="B677" s="50" t="s">
        <v>69</v>
      </c>
      <c r="C677" s="50" t="s">
        <v>70</v>
      </c>
      <c r="D677" s="44" t="s">
        <v>71</v>
      </c>
      <c r="E677" s="45"/>
      <c r="F677" s="47">
        <v>8.5E8</v>
      </c>
      <c r="G677" s="44" t="str">
        <f t="shared" si="16"/>
        <v>$500'000.000 a $1.000'000.000</v>
      </c>
      <c r="H677" s="44"/>
      <c r="I677" s="44"/>
      <c r="J677" s="50" t="s">
        <v>76</v>
      </c>
      <c r="K677" s="51" t="s">
        <v>77</v>
      </c>
      <c r="L677" s="44">
        <v>4.0</v>
      </c>
      <c r="M677" s="44"/>
      <c r="N677" s="44">
        <v>3.0</v>
      </c>
      <c r="O677" s="50">
        <v>1.0</v>
      </c>
      <c r="P677" s="50">
        <v>2.0</v>
      </c>
      <c r="Q677" s="54"/>
      <c r="R677" s="55">
        <v>496.0</v>
      </c>
      <c r="S677" s="56" t="str">
        <f t="shared" si="20"/>
        <v> </v>
      </c>
      <c r="T677" s="44" t="s">
        <v>78</v>
      </c>
      <c r="U677" s="57" t="s">
        <v>142</v>
      </c>
      <c r="V677" s="50" t="s">
        <v>79</v>
      </c>
      <c r="W677" s="50"/>
      <c r="X677" s="44">
        <v>4.0</v>
      </c>
      <c r="Y677" s="50" t="s">
        <v>80</v>
      </c>
      <c r="Z677" s="58" t="s">
        <v>81</v>
      </c>
      <c r="AA677" s="59" t="str">
        <f>IF(Rentabilidad=0,"No aplica",TEXT(ROUND(Precio/Rentabilidad/12,0),0) &amp; " años")</f>
        <v>No aplica</v>
      </c>
      <c r="AB677" s="115" t="s">
        <v>4031</v>
      </c>
      <c r="AC677" s="131" t="s">
        <v>4032</v>
      </c>
      <c r="AD677" s="107" t="s">
        <v>4033</v>
      </c>
      <c r="AE677" s="63"/>
      <c r="AF677" s="45" t="s">
        <v>105</v>
      </c>
      <c r="AG677" s="65" t="s">
        <v>106</v>
      </c>
      <c r="AH677" s="65" t="s">
        <v>45</v>
      </c>
      <c r="AI677" s="65" t="s">
        <v>107</v>
      </c>
      <c r="AJ677" s="64" t="s">
        <v>3897</v>
      </c>
      <c r="AK677" s="58" t="s">
        <v>81</v>
      </c>
      <c r="AL677" s="45" t="s">
        <v>109</v>
      </c>
      <c r="AM677" s="52">
        <v>3.103914892E9</v>
      </c>
      <c r="AN677" s="45">
        <v>0.0</v>
      </c>
      <c r="AO677" s="116"/>
      <c r="AP677" s="67" t="s">
        <v>4034</v>
      </c>
      <c r="AQ677" s="67"/>
      <c r="AR677" s="67"/>
      <c r="AS677" s="68">
        <v>0.0</v>
      </c>
      <c r="AT677" s="44">
        <v>0.0</v>
      </c>
      <c r="AU677" s="52">
        <v>0.0</v>
      </c>
      <c r="AV677" s="52">
        <v>0.0</v>
      </c>
      <c r="AW677" s="43" t="s">
        <v>88</v>
      </c>
      <c r="AX677" s="52">
        <v>0.0</v>
      </c>
      <c r="AY677" s="52">
        <v>0.0</v>
      </c>
      <c r="AZ677" s="44">
        <v>0.0</v>
      </c>
      <c r="BA677" s="43" t="s">
        <v>89</v>
      </c>
      <c r="BB677" s="44">
        <v>0.0</v>
      </c>
      <c r="BC677" s="109"/>
      <c r="BD677" s="70"/>
      <c r="BE677" s="71"/>
      <c r="BF677" s="72" t="s">
        <v>4035</v>
      </c>
      <c r="BG677" s="73"/>
      <c r="BH677" s="73"/>
      <c r="BI677" s="73"/>
      <c r="BJ677" s="73"/>
      <c r="BK677" s="73"/>
      <c r="BL677" s="73"/>
      <c r="BM677" s="73"/>
      <c r="BN677" s="73"/>
      <c r="BO677" s="73"/>
      <c r="BP677" s="73"/>
      <c r="BQ677" s="73"/>
      <c r="BR677" s="73"/>
      <c r="BS677" s="73"/>
      <c r="BT677" s="73"/>
      <c r="BU677" s="73"/>
      <c r="BV677" s="73"/>
      <c r="BW677" s="74"/>
      <c r="BX677" s="74"/>
      <c r="BY677" s="63"/>
      <c r="BZ677" s="63"/>
    </row>
    <row r="678" ht="15.75" customHeight="1">
      <c r="A678" s="75" t="s">
        <v>4036</v>
      </c>
      <c r="B678" s="50" t="s">
        <v>4037</v>
      </c>
      <c r="C678" s="50" t="s">
        <v>315</v>
      </c>
      <c r="D678" s="50" t="s">
        <v>279</v>
      </c>
      <c r="E678" s="64"/>
      <c r="F678" s="78">
        <v>8.5E8</v>
      </c>
      <c r="G678" s="44" t="str">
        <f t="shared" si="16"/>
        <v>$500'000.000 a $1.000'000.000</v>
      </c>
      <c r="H678" s="44"/>
      <c r="I678" s="44"/>
      <c r="J678" s="50" t="s">
        <v>116</v>
      </c>
      <c r="K678" s="51" t="s">
        <v>154</v>
      </c>
      <c r="L678" s="50">
        <v>1.0</v>
      </c>
      <c r="M678" s="50"/>
      <c r="N678" s="50">
        <v>1.0</v>
      </c>
      <c r="O678" s="50">
        <v>0.0</v>
      </c>
      <c r="P678" s="44"/>
      <c r="Q678" s="88">
        <v>0.0</v>
      </c>
      <c r="R678" s="88">
        <v>1000.0</v>
      </c>
      <c r="S678" s="56" t="str">
        <f t="shared" si="20"/>
        <v> </v>
      </c>
      <c r="T678" s="50" t="s">
        <v>78</v>
      </c>
      <c r="U678" s="51" t="s">
        <v>184</v>
      </c>
      <c r="V678" s="50" t="s">
        <v>79</v>
      </c>
      <c r="W678" s="50"/>
      <c r="X678" s="50">
        <v>0.0</v>
      </c>
      <c r="Y678" s="50" t="s">
        <v>80</v>
      </c>
      <c r="Z678" s="91"/>
      <c r="AA678" s="59" t="str">
        <f>IF(Rentabilidad=0,"No aplica",TEXT(ROUND(Precio/Rentabilidad/12,0),0) &amp; " años")</f>
        <v>No aplica</v>
      </c>
      <c r="AB678" s="82" t="s">
        <v>4038</v>
      </c>
      <c r="AC678" s="97" t="s">
        <v>4039</v>
      </c>
      <c r="AD678" s="97" t="s">
        <v>4040</v>
      </c>
      <c r="AE678" s="63"/>
      <c r="AF678" s="64">
        <v>0.0</v>
      </c>
      <c r="AG678" s="65" t="s">
        <v>106</v>
      </c>
      <c r="AH678" s="63"/>
      <c r="AI678" s="65" t="s">
        <v>107</v>
      </c>
      <c r="AJ678" s="239" t="s">
        <v>3897</v>
      </c>
      <c r="AK678" s="332" t="s">
        <v>81</v>
      </c>
      <c r="AL678" s="239" t="s">
        <v>109</v>
      </c>
      <c r="AM678" s="333">
        <v>3.103914892E9</v>
      </c>
      <c r="AN678" s="312"/>
      <c r="AO678" s="312"/>
      <c r="AP678" s="334"/>
      <c r="AQ678" s="334"/>
      <c r="AR678" s="334"/>
      <c r="AS678" s="314">
        <v>0.0</v>
      </c>
      <c r="AT678" s="232">
        <v>0.0</v>
      </c>
      <c r="AU678" s="315">
        <v>0.0</v>
      </c>
      <c r="AV678" s="315">
        <v>0.0</v>
      </c>
      <c r="AW678" s="315" t="s">
        <v>88</v>
      </c>
      <c r="AX678" s="313">
        <v>0.0</v>
      </c>
      <c r="AY678" s="315">
        <v>0.0</v>
      </c>
      <c r="AZ678" s="315">
        <v>0.0</v>
      </c>
      <c r="BA678" s="316" t="s">
        <v>89</v>
      </c>
      <c r="BB678" s="315">
        <v>0.0</v>
      </c>
      <c r="BC678" s="95"/>
      <c r="BD678" s="71"/>
      <c r="BE678" s="71"/>
      <c r="BF678" s="72" t="s">
        <v>4041</v>
      </c>
      <c r="BG678" s="73"/>
      <c r="BH678" s="73"/>
      <c r="BI678" s="73"/>
      <c r="BJ678" s="73"/>
      <c r="BK678" s="73"/>
      <c r="BL678" s="73"/>
      <c r="BM678" s="73"/>
      <c r="BN678" s="73"/>
      <c r="BO678" s="73"/>
      <c r="BP678" s="73"/>
      <c r="BQ678" s="73"/>
      <c r="BR678" s="73"/>
      <c r="BS678" s="73"/>
      <c r="BT678" s="73"/>
      <c r="BU678" s="73"/>
      <c r="BV678" s="73"/>
      <c r="BW678" s="74"/>
      <c r="BX678" s="74"/>
      <c r="BY678" s="63"/>
      <c r="BZ678" s="63"/>
    </row>
    <row r="679" ht="15.75" customHeight="1">
      <c r="A679" s="75" t="s">
        <v>4042</v>
      </c>
      <c r="B679" s="50" t="s">
        <v>4043</v>
      </c>
      <c r="C679" s="50" t="s">
        <v>128</v>
      </c>
      <c r="D679" s="50" t="s">
        <v>459</v>
      </c>
      <c r="E679" s="64"/>
      <c r="F679" s="78">
        <v>8.35E8</v>
      </c>
      <c r="G679" s="44" t="str">
        <f t="shared" si="16"/>
        <v>$500'000.000 a $1.000'000.000</v>
      </c>
      <c r="H679" s="44"/>
      <c r="I679" s="44"/>
      <c r="J679" s="50" t="s">
        <v>116</v>
      </c>
      <c r="K679" s="51" t="s">
        <v>192</v>
      </c>
      <c r="L679" s="50">
        <v>3.0</v>
      </c>
      <c r="M679" s="50"/>
      <c r="N679" s="50">
        <v>3.0</v>
      </c>
      <c r="O679" s="50">
        <v>2.0</v>
      </c>
      <c r="P679" s="50">
        <v>1.0</v>
      </c>
      <c r="Q679" s="88">
        <v>200.0</v>
      </c>
      <c r="R679" s="88">
        <v>220.0</v>
      </c>
      <c r="S679" s="56" t="str">
        <f t="shared" si="20"/>
        <v> </v>
      </c>
      <c r="T679" s="50" t="s">
        <v>78</v>
      </c>
      <c r="U679" s="51" t="s">
        <v>142</v>
      </c>
      <c r="V679" s="50" t="s">
        <v>79</v>
      </c>
      <c r="W679" s="50"/>
      <c r="X679" s="50">
        <v>3.0</v>
      </c>
      <c r="Y679" s="50" t="s">
        <v>130</v>
      </c>
      <c r="Z679" s="58">
        <v>685000.0</v>
      </c>
      <c r="AA679" s="59" t="str">
        <f>IF(Rentabilidad=0,"No aplica",TEXT(ROUND(Precio/Rentabilidad/12,0),0) &amp; " años")</f>
        <v>No aplica</v>
      </c>
      <c r="AB679" s="82" t="s">
        <v>4044</v>
      </c>
      <c r="AC679" s="97" t="s">
        <v>4045</v>
      </c>
      <c r="AD679" s="97" t="s">
        <v>4046</v>
      </c>
      <c r="AE679" s="63"/>
      <c r="AF679" s="64" t="s">
        <v>105</v>
      </c>
      <c r="AG679" s="65" t="s">
        <v>106</v>
      </c>
      <c r="AH679" s="63"/>
      <c r="AI679" s="65" t="s">
        <v>107</v>
      </c>
      <c r="AJ679" s="239" t="s">
        <v>3897</v>
      </c>
      <c r="AK679" s="332" t="s">
        <v>81</v>
      </c>
      <c r="AL679" s="239" t="s">
        <v>109</v>
      </c>
      <c r="AM679" s="333">
        <v>3.103914892E9</v>
      </c>
      <c r="AN679" s="312"/>
      <c r="AO679" s="312"/>
      <c r="AP679" s="334"/>
      <c r="AQ679" s="334"/>
      <c r="AR679" s="334"/>
      <c r="AS679" s="314">
        <v>0.0</v>
      </c>
      <c r="AT679" s="232">
        <v>0.0</v>
      </c>
      <c r="AU679" s="315">
        <v>0.0</v>
      </c>
      <c r="AV679" s="315">
        <v>0.0</v>
      </c>
      <c r="AW679" s="315" t="s">
        <v>88</v>
      </c>
      <c r="AX679" s="313">
        <v>0.0</v>
      </c>
      <c r="AY679" s="315">
        <v>0.0</v>
      </c>
      <c r="AZ679" s="315">
        <v>0.0</v>
      </c>
      <c r="BA679" s="316" t="s">
        <v>89</v>
      </c>
      <c r="BB679" s="315">
        <v>0.0</v>
      </c>
      <c r="BC679" s="95"/>
      <c r="BD679" s="71"/>
      <c r="BE679" s="71"/>
      <c r="BF679" s="72" t="s">
        <v>4047</v>
      </c>
      <c r="BG679" s="73"/>
      <c r="BH679" s="73"/>
      <c r="BI679" s="73"/>
      <c r="BJ679" s="73"/>
      <c r="BK679" s="73"/>
      <c r="BL679" s="73"/>
      <c r="BM679" s="73"/>
      <c r="BN679" s="73"/>
      <c r="BO679" s="73"/>
      <c r="BP679" s="73"/>
      <c r="BQ679" s="73"/>
      <c r="BR679" s="73"/>
      <c r="BS679" s="73"/>
      <c r="BT679" s="73"/>
      <c r="BU679" s="73"/>
      <c r="BV679" s="73"/>
      <c r="BW679" s="74"/>
      <c r="BX679" s="74"/>
      <c r="BY679" s="63"/>
      <c r="BZ679" s="63"/>
    </row>
    <row r="680" ht="15.75" customHeight="1">
      <c r="A680" s="75" t="s">
        <v>4048</v>
      </c>
      <c r="B680" s="50" t="s">
        <v>4049</v>
      </c>
      <c r="C680" s="50" t="s">
        <v>664</v>
      </c>
      <c r="D680" s="50"/>
      <c r="E680" s="64"/>
      <c r="F680" s="78">
        <v>8.31E8</v>
      </c>
      <c r="G680" s="44" t="str">
        <f t="shared" si="16"/>
        <v>$500'000.000 a $1.000'000.000</v>
      </c>
      <c r="H680" s="44"/>
      <c r="I680" s="44"/>
      <c r="J680" s="50" t="s">
        <v>116</v>
      </c>
      <c r="K680" s="51" t="s">
        <v>192</v>
      </c>
      <c r="L680" s="50">
        <v>0.0</v>
      </c>
      <c r="M680" s="50"/>
      <c r="N680" s="50">
        <v>0.0</v>
      </c>
      <c r="O680" s="50">
        <v>0.0</v>
      </c>
      <c r="P680" s="50">
        <v>0.0</v>
      </c>
      <c r="Q680" s="88">
        <v>0.0</v>
      </c>
      <c r="R680" s="88">
        <v>755.0</v>
      </c>
      <c r="S680" s="56" t="str">
        <f t="shared" si="20"/>
        <v> </v>
      </c>
      <c r="T680" s="50" t="s">
        <v>78</v>
      </c>
      <c r="U680" s="57"/>
      <c r="V680" s="50" t="s">
        <v>79</v>
      </c>
      <c r="W680" s="50"/>
      <c r="X680" s="50">
        <v>0.0</v>
      </c>
      <c r="Y680" s="50" t="s">
        <v>130</v>
      </c>
      <c r="Z680" s="91"/>
      <c r="AA680" s="59" t="str">
        <f>IF(Rentabilidad=0,"No aplica",TEXT(ROUND(Precio/Rentabilidad/12,0),0) &amp; " años")</f>
        <v>No aplica</v>
      </c>
      <c r="AB680" s="82" t="s">
        <v>4050</v>
      </c>
      <c r="AC680" s="186" t="s">
        <v>4051</v>
      </c>
      <c r="AD680" s="97" t="s">
        <v>4052</v>
      </c>
      <c r="AE680" s="63"/>
      <c r="AF680" s="64">
        <v>0.0</v>
      </c>
      <c r="AG680" s="65" t="s">
        <v>106</v>
      </c>
      <c r="AH680" s="63"/>
      <c r="AI680" s="65" t="s">
        <v>107</v>
      </c>
      <c r="AJ680" s="64" t="s">
        <v>3897</v>
      </c>
      <c r="AK680" s="58" t="s">
        <v>81</v>
      </c>
      <c r="AL680" s="64" t="s">
        <v>109</v>
      </c>
      <c r="AM680" s="52">
        <v>3.103914892E9</v>
      </c>
      <c r="AN680" s="64">
        <v>0.0</v>
      </c>
      <c r="AO680" s="43">
        <v>0.0</v>
      </c>
      <c r="AP680" s="84">
        <v>0.0</v>
      </c>
      <c r="AQ680" s="84"/>
      <c r="AR680" s="84"/>
      <c r="AS680" s="85">
        <v>0.0</v>
      </c>
      <c r="AT680" s="50" t="s">
        <v>88</v>
      </c>
      <c r="AU680" s="50">
        <v>0.0</v>
      </c>
      <c r="AV680" s="50">
        <v>0.0</v>
      </c>
      <c r="AW680" s="50" t="s">
        <v>88</v>
      </c>
      <c r="AX680" s="50">
        <v>0.0</v>
      </c>
      <c r="AY680" s="50">
        <v>0.0</v>
      </c>
      <c r="AZ680" s="50">
        <v>0.0</v>
      </c>
      <c r="BA680" s="43" t="s">
        <v>89</v>
      </c>
      <c r="BB680" s="50">
        <v>0.0</v>
      </c>
      <c r="BC680" s="95"/>
      <c r="BD680" s="71"/>
      <c r="BE680" s="71"/>
      <c r="BF680" s="72" t="s">
        <v>4053</v>
      </c>
      <c r="BG680" s="73"/>
      <c r="BH680" s="73"/>
      <c r="BI680" s="73"/>
      <c r="BJ680" s="73"/>
      <c r="BK680" s="73"/>
      <c r="BL680" s="73"/>
      <c r="BM680" s="73"/>
      <c r="BN680" s="73"/>
      <c r="BO680" s="73"/>
      <c r="BP680" s="73"/>
      <c r="BQ680" s="73"/>
      <c r="BR680" s="73"/>
      <c r="BS680" s="73"/>
      <c r="BT680" s="73"/>
      <c r="BU680" s="73"/>
      <c r="BV680" s="73"/>
      <c r="BW680" s="74"/>
      <c r="BX680" s="74"/>
      <c r="BY680" s="63"/>
      <c r="BZ680" s="63"/>
    </row>
    <row r="681" ht="15.75" customHeight="1">
      <c r="A681" s="75" t="s">
        <v>4054</v>
      </c>
      <c r="B681" s="50" t="s">
        <v>4055</v>
      </c>
      <c r="C681" s="50" t="s">
        <v>70</v>
      </c>
      <c r="D681" s="50" t="s">
        <v>817</v>
      </c>
      <c r="E681" s="77"/>
      <c r="F681" s="78">
        <v>8.0E8</v>
      </c>
      <c r="G681" s="44" t="str">
        <f t="shared" si="16"/>
        <v>$500'000.000 a $1.000'000.000</v>
      </c>
      <c r="H681" s="44"/>
      <c r="I681" s="44"/>
      <c r="J681" s="50" t="s">
        <v>183</v>
      </c>
      <c r="K681" s="57"/>
      <c r="L681" s="50">
        <v>5.0</v>
      </c>
      <c r="M681" s="50"/>
      <c r="N681" s="50">
        <v>3.0</v>
      </c>
      <c r="O681" s="50">
        <v>1.0</v>
      </c>
      <c r="P681" s="50">
        <v>3.0</v>
      </c>
      <c r="Q681" s="79">
        <v>320.0</v>
      </c>
      <c r="R681" s="79">
        <v>105.0</v>
      </c>
      <c r="S681" s="56" t="str">
        <f t="shared" si="20"/>
        <v> </v>
      </c>
      <c r="T681" s="50" t="s">
        <v>78</v>
      </c>
      <c r="U681" s="51" t="s">
        <v>184</v>
      </c>
      <c r="V681" s="50" t="s">
        <v>118</v>
      </c>
      <c r="W681" s="50"/>
      <c r="X681" s="50">
        <v>3.0</v>
      </c>
      <c r="Y681" s="43" t="s">
        <v>80</v>
      </c>
      <c r="Z681" s="58" t="s">
        <v>81</v>
      </c>
      <c r="AA681" s="59" t="str">
        <f>IF(Rentabilidad=0,"No aplica",TEXT(ROUND(Precio/Rentabilidad/12,0),0) &amp; " años")</f>
        <v>No aplica</v>
      </c>
      <c r="AB681" s="115" t="s">
        <v>4056</v>
      </c>
      <c r="AC681" s="131" t="s">
        <v>4057</v>
      </c>
      <c r="AD681" s="107" t="s">
        <v>4058</v>
      </c>
      <c r="AE681" s="63"/>
      <c r="AF681" s="45" t="s">
        <v>105</v>
      </c>
      <c r="AG681" s="65" t="s">
        <v>106</v>
      </c>
      <c r="AH681" s="63"/>
      <c r="AI681" s="65" t="s">
        <v>107</v>
      </c>
      <c r="AJ681" s="64" t="s">
        <v>3897</v>
      </c>
      <c r="AK681" s="58" t="s">
        <v>81</v>
      </c>
      <c r="AL681" s="45" t="s">
        <v>109</v>
      </c>
      <c r="AM681" s="52">
        <v>3.103914892E9</v>
      </c>
      <c r="AN681" s="45"/>
      <c r="AO681" s="52"/>
      <c r="AP681" s="67"/>
      <c r="AQ681" s="67"/>
      <c r="AR681" s="67"/>
      <c r="AS681" s="85">
        <v>0.0</v>
      </c>
      <c r="AT681" s="50">
        <v>0.0</v>
      </c>
      <c r="AU681" s="43">
        <v>0.0</v>
      </c>
      <c r="AV681" s="43">
        <v>0.0</v>
      </c>
      <c r="AW681" s="43" t="s">
        <v>106</v>
      </c>
      <c r="AX681" s="43">
        <v>0.0</v>
      </c>
      <c r="AY681" s="43" t="s">
        <v>137</v>
      </c>
      <c r="AZ681" s="50">
        <v>0.0</v>
      </c>
      <c r="BA681" s="43" t="s">
        <v>89</v>
      </c>
      <c r="BB681" s="50">
        <v>0.0</v>
      </c>
      <c r="BC681" s="69" t="s">
        <v>3772</v>
      </c>
      <c r="BD681" s="70"/>
      <c r="BE681" s="71"/>
      <c r="BF681" s="72" t="s">
        <v>4059</v>
      </c>
      <c r="BG681" s="73"/>
      <c r="BH681" s="73"/>
      <c r="BI681" s="73"/>
      <c r="BJ681" s="73"/>
      <c r="BK681" s="73"/>
      <c r="BL681" s="73"/>
      <c r="BM681" s="73"/>
      <c r="BN681" s="73"/>
      <c r="BO681" s="73"/>
      <c r="BP681" s="73"/>
      <c r="BQ681" s="73"/>
      <c r="BR681" s="73"/>
      <c r="BS681" s="73"/>
      <c r="BT681" s="73"/>
      <c r="BU681" s="73"/>
      <c r="BV681" s="73"/>
      <c r="BW681" s="74"/>
      <c r="BX681" s="74"/>
      <c r="BY681" s="63"/>
      <c r="BZ681" s="63"/>
    </row>
    <row r="682" ht="15.75" customHeight="1">
      <c r="A682" s="41" t="s">
        <v>4060</v>
      </c>
      <c r="B682" s="112" t="s">
        <v>402</v>
      </c>
      <c r="C682" s="50" t="s">
        <v>70</v>
      </c>
      <c r="D682" s="44" t="s">
        <v>193</v>
      </c>
      <c r="E682" s="45"/>
      <c r="F682" s="78">
        <v>8.0E8</v>
      </c>
      <c r="G682" s="44" t="str">
        <f t="shared" si="16"/>
        <v>$500'000.000 a $1.000'000.000</v>
      </c>
      <c r="H682" s="44"/>
      <c r="I682" s="44"/>
      <c r="J682" s="50" t="s">
        <v>76</v>
      </c>
      <c r="K682" s="56" t="s">
        <v>77</v>
      </c>
      <c r="L682" s="44">
        <v>4.0</v>
      </c>
      <c r="M682" s="44"/>
      <c r="N682" s="44">
        <v>3.0</v>
      </c>
      <c r="O682" s="50">
        <v>1.0</v>
      </c>
      <c r="P682" s="44">
        <v>1.0</v>
      </c>
      <c r="Q682" s="113">
        <v>163.0</v>
      </c>
      <c r="R682" s="79">
        <v>213.0</v>
      </c>
      <c r="S682" s="56" t="str">
        <f t="shared" si="20"/>
        <v> </v>
      </c>
      <c r="T682" s="44" t="s">
        <v>78</v>
      </c>
      <c r="U682" s="57" t="s">
        <v>154</v>
      </c>
      <c r="V682" s="50" t="s">
        <v>79</v>
      </c>
      <c r="W682" s="50"/>
      <c r="X682" s="44">
        <v>4.0</v>
      </c>
      <c r="Y682" s="50" t="s">
        <v>80</v>
      </c>
      <c r="Z682" s="58" t="s">
        <v>81</v>
      </c>
      <c r="AA682" s="59" t="str">
        <f>IF(Rentabilidad=0,"No aplica",TEXT(ROUND(Precio/Rentabilidad/12,0),0) &amp; " años")</f>
        <v>No aplica</v>
      </c>
      <c r="AB682" s="115" t="s">
        <v>4061</v>
      </c>
      <c r="AC682" s="61"/>
      <c r="AD682" s="107" t="s">
        <v>4062</v>
      </c>
      <c r="AE682" s="63"/>
      <c r="AF682" s="45" t="s">
        <v>105</v>
      </c>
      <c r="AG682" s="65" t="s">
        <v>106</v>
      </c>
      <c r="AH682" s="65" t="s">
        <v>45</v>
      </c>
      <c r="AI682" s="65" t="s">
        <v>107</v>
      </c>
      <c r="AJ682" s="64" t="s">
        <v>3897</v>
      </c>
      <c r="AK682" s="58" t="s">
        <v>81</v>
      </c>
      <c r="AL682" s="45" t="s">
        <v>109</v>
      </c>
      <c r="AM682" s="52">
        <v>3.103914892E9</v>
      </c>
      <c r="AN682" s="45">
        <v>0.0</v>
      </c>
      <c r="AO682" s="52"/>
      <c r="AP682" s="67">
        <v>0.0</v>
      </c>
      <c r="AQ682" s="143">
        <v>2.935048</v>
      </c>
      <c r="AR682" s="143">
        <v>-75.2903422</v>
      </c>
      <c r="AS682" s="68">
        <v>0.0</v>
      </c>
      <c r="AT682" s="44">
        <v>0.0</v>
      </c>
      <c r="AU682" s="52">
        <v>0.0</v>
      </c>
      <c r="AV682" s="52">
        <v>0.0</v>
      </c>
      <c r="AW682" s="43" t="s">
        <v>88</v>
      </c>
      <c r="AX682" s="52">
        <v>0.0</v>
      </c>
      <c r="AY682" s="52">
        <v>0.0</v>
      </c>
      <c r="AZ682" s="44">
        <v>0.0</v>
      </c>
      <c r="BA682" s="43" t="s">
        <v>89</v>
      </c>
      <c r="BB682" s="44">
        <v>0.0</v>
      </c>
      <c r="BC682" s="95" t="s">
        <v>439</v>
      </c>
      <c r="BD682" s="71"/>
      <c r="BE682" s="71"/>
      <c r="BF682" s="72" t="s">
        <v>4063</v>
      </c>
      <c r="BG682" s="73"/>
      <c r="BH682" s="73"/>
      <c r="BI682" s="73"/>
      <c r="BJ682" s="73"/>
      <c r="BK682" s="73"/>
      <c r="BL682" s="73"/>
      <c r="BM682" s="73"/>
      <c r="BN682" s="73"/>
      <c r="BO682" s="73"/>
      <c r="BP682" s="73"/>
      <c r="BQ682" s="73"/>
      <c r="BR682" s="73"/>
      <c r="BS682" s="73"/>
      <c r="BT682" s="73"/>
      <c r="BU682" s="73"/>
      <c r="BV682" s="73"/>
      <c r="BW682" s="74"/>
      <c r="BX682" s="74"/>
      <c r="BY682" s="63"/>
      <c r="BZ682" s="63"/>
    </row>
    <row r="683" ht="15.75" customHeight="1">
      <c r="A683" s="120" t="s">
        <v>4064</v>
      </c>
      <c r="B683" s="50" t="s">
        <v>4065</v>
      </c>
      <c r="C683" s="50" t="s">
        <v>128</v>
      </c>
      <c r="D683" s="58" t="s">
        <v>459</v>
      </c>
      <c r="E683" s="64" t="s">
        <v>1535</v>
      </c>
      <c r="F683" s="78">
        <v>7.8E8</v>
      </c>
      <c r="G683" s="44" t="str">
        <f t="shared" si="16"/>
        <v>$500'000.000 a $1.000'000.000</v>
      </c>
      <c r="H683" s="44"/>
      <c r="I683" s="44"/>
      <c r="J683" s="50" t="s">
        <v>116</v>
      </c>
      <c r="K683" s="51"/>
      <c r="L683" s="44">
        <v>4.0</v>
      </c>
      <c r="M683" s="44"/>
      <c r="N683" s="44">
        <v>4.0</v>
      </c>
      <c r="O683" s="50">
        <v>1.0</v>
      </c>
      <c r="P683" s="44">
        <v>2.0</v>
      </c>
      <c r="Q683" s="113">
        <v>243.0</v>
      </c>
      <c r="R683" s="79">
        <v>130.0</v>
      </c>
      <c r="S683" s="56" t="str">
        <f t="shared" si="20"/>
        <v> </v>
      </c>
      <c r="T683" s="44" t="s">
        <v>78</v>
      </c>
      <c r="U683" s="57" t="s">
        <v>142</v>
      </c>
      <c r="V683" s="50" t="s">
        <v>79</v>
      </c>
      <c r="W683" s="50"/>
      <c r="X683" s="44">
        <v>4.0</v>
      </c>
      <c r="Y683" s="50" t="s">
        <v>130</v>
      </c>
      <c r="Z683" s="80" t="s">
        <v>81</v>
      </c>
      <c r="AA683" s="59" t="str">
        <f>IF(Rentabilidad=0,"No aplica",TEXT(ROUND(Precio/Rentabilidad/12,0),0) &amp; " años")</f>
        <v>No aplica</v>
      </c>
      <c r="AB683" s="82" t="s">
        <v>4066</v>
      </c>
      <c r="AC683" s="61"/>
      <c r="AD683" s="125" t="s">
        <v>4067</v>
      </c>
      <c r="AE683" s="63"/>
      <c r="AF683" s="45" t="s">
        <v>105</v>
      </c>
      <c r="AG683" s="65" t="s">
        <v>106</v>
      </c>
      <c r="AH683" s="65"/>
      <c r="AI683" s="65" t="s">
        <v>107</v>
      </c>
      <c r="AJ683" s="64" t="s">
        <v>3897</v>
      </c>
      <c r="AK683" s="58" t="s">
        <v>81</v>
      </c>
      <c r="AL683" s="45" t="s">
        <v>109</v>
      </c>
      <c r="AM683" s="52">
        <v>3.103914892E9</v>
      </c>
      <c r="AN683" s="45">
        <v>0.0</v>
      </c>
      <c r="AO683" s="116"/>
      <c r="AP683" s="67">
        <v>0.0</v>
      </c>
      <c r="AQ683" s="67"/>
      <c r="AR683" s="67"/>
      <c r="AS683" s="68">
        <v>0.0</v>
      </c>
      <c r="AT683" s="44">
        <v>0.0</v>
      </c>
      <c r="AU683" s="52">
        <v>0.0</v>
      </c>
      <c r="AV683" s="52">
        <v>0.0</v>
      </c>
      <c r="AW683" s="43" t="s">
        <v>88</v>
      </c>
      <c r="AX683" s="52">
        <v>0.0</v>
      </c>
      <c r="AY683" s="52">
        <v>0.0</v>
      </c>
      <c r="AZ683" s="52">
        <v>0.0</v>
      </c>
      <c r="BA683" s="43" t="s">
        <v>89</v>
      </c>
      <c r="BB683" s="52">
        <v>0.0</v>
      </c>
      <c r="BC683" s="69" t="s">
        <v>90</v>
      </c>
      <c r="BD683" s="71"/>
      <c r="BE683" s="70"/>
      <c r="BF683" s="72" t="s">
        <v>4068</v>
      </c>
      <c r="BG683" s="73"/>
      <c r="BH683" s="73"/>
      <c r="BI683" s="73"/>
      <c r="BJ683" s="73"/>
      <c r="BK683" s="73"/>
      <c r="BL683" s="73"/>
      <c r="BM683" s="73"/>
      <c r="BN683" s="73"/>
      <c r="BO683" s="73"/>
      <c r="BP683" s="73"/>
      <c r="BQ683" s="73"/>
      <c r="BR683" s="73"/>
      <c r="BS683" s="73"/>
      <c r="BT683" s="73"/>
      <c r="BU683" s="73"/>
      <c r="BV683" s="73"/>
      <c r="BW683" s="74"/>
      <c r="BX683" s="74"/>
      <c r="BY683" s="63"/>
      <c r="BZ683" s="63"/>
    </row>
    <row r="684" ht="15.75" customHeight="1">
      <c r="A684" s="75" t="s">
        <v>4069</v>
      </c>
      <c r="B684" s="112" t="s">
        <v>409</v>
      </c>
      <c r="C684" s="50" t="s">
        <v>70</v>
      </c>
      <c r="D684" s="44" t="s">
        <v>205</v>
      </c>
      <c r="E684" s="77" t="s">
        <v>376</v>
      </c>
      <c r="F684" s="78">
        <v>7.5E8</v>
      </c>
      <c r="G684" s="44" t="str">
        <f t="shared" si="16"/>
        <v>$500'000.000 a $1.000'000.000</v>
      </c>
      <c r="H684" s="44"/>
      <c r="I684" s="44"/>
      <c r="J684" s="50" t="s">
        <v>76</v>
      </c>
      <c r="K684" s="119" t="s">
        <v>77</v>
      </c>
      <c r="L684" s="44">
        <v>4.0</v>
      </c>
      <c r="M684" s="44"/>
      <c r="N684" s="44">
        <v>3.0</v>
      </c>
      <c r="O684" s="50">
        <v>2.0</v>
      </c>
      <c r="P684" s="44">
        <v>3.0</v>
      </c>
      <c r="Q684" s="113">
        <v>335.0</v>
      </c>
      <c r="R684" s="79">
        <v>141.0</v>
      </c>
      <c r="S684" s="56" t="str">
        <f t="shared" si="20"/>
        <v> </v>
      </c>
      <c r="T684" s="44" t="s">
        <v>78</v>
      </c>
      <c r="U684" s="57" t="s">
        <v>142</v>
      </c>
      <c r="V684" s="50" t="s">
        <v>79</v>
      </c>
      <c r="W684" s="50"/>
      <c r="X684" s="44">
        <v>4.0</v>
      </c>
      <c r="Y684" s="50" t="s">
        <v>80</v>
      </c>
      <c r="Z684" s="58" t="s">
        <v>81</v>
      </c>
      <c r="AA684" s="59" t="str">
        <f>IF(Rentabilidad=0,"No aplica",TEXT(ROUND(Precio/Rentabilidad/12,0),0) &amp; " años")</f>
        <v>No aplica</v>
      </c>
      <c r="AB684" s="115" t="s">
        <v>4070</v>
      </c>
      <c r="AC684" s="61"/>
      <c r="AD684" s="125" t="s">
        <v>4071</v>
      </c>
      <c r="AE684" s="63"/>
      <c r="AF684" s="45" t="s">
        <v>105</v>
      </c>
      <c r="AG684" s="65" t="s">
        <v>106</v>
      </c>
      <c r="AH684" s="65" t="s">
        <v>45</v>
      </c>
      <c r="AI684" s="65" t="s">
        <v>107</v>
      </c>
      <c r="AJ684" s="64" t="s">
        <v>3897</v>
      </c>
      <c r="AK684" s="50" t="s">
        <v>81</v>
      </c>
      <c r="AL684" s="45" t="s">
        <v>109</v>
      </c>
      <c r="AM684" s="52">
        <v>3.103914892E9</v>
      </c>
      <c r="AN684" s="45">
        <v>0.0</v>
      </c>
      <c r="AO684" s="116"/>
      <c r="AP684" s="67" t="s">
        <v>4072</v>
      </c>
      <c r="AQ684" s="143">
        <v>2.9392145</v>
      </c>
      <c r="AR684" s="143">
        <v>-75.2922053</v>
      </c>
      <c r="AS684" s="68">
        <v>0.0</v>
      </c>
      <c r="AT684" s="44">
        <v>0.0</v>
      </c>
      <c r="AU684" s="52">
        <v>0.0</v>
      </c>
      <c r="AV684" s="52">
        <v>0.0</v>
      </c>
      <c r="AW684" s="43" t="s">
        <v>88</v>
      </c>
      <c r="AX684" s="52">
        <v>0.0</v>
      </c>
      <c r="AY684" s="52">
        <v>0.0</v>
      </c>
      <c r="AZ684" s="44">
        <v>9.0</v>
      </c>
      <c r="BA684" s="43" t="s">
        <v>89</v>
      </c>
      <c r="BB684" s="44">
        <v>15.0</v>
      </c>
      <c r="BC684" s="95" t="s">
        <v>4073</v>
      </c>
      <c r="BD684" s="71"/>
      <c r="BE684" s="71"/>
      <c r="BF684" s="72" t="s">
        <v>4074</v>
      </c>
      <c r="BG684" s="73"/>
      <c r="BH684" s="73"/>
      <c r="BI684" s="73"/>
      <c r="BJ684" s="73"/>
      <c r="BK684" s="73"/>
      <c r="BL684" s="73"/>
      <c r="BM684" s="73"/>
      <c r="BN684" s="73"/>
      <c r="BO684" s="73"/>
      <c r="BP684" s="73"/>
      <c r="BQ684" s="73"/>
      <c r="BR684" s="73"/>
      <c r="BS684" s="73"/>
      <c r="BT684" s="73"/>
      <c r="BU684" s="73"/>
      <c r="BV684" s="73"/>
      <c r="BW684" s="74"/>
      <c r="BX684" s="74"/>
      <c r="BY684" s="63"/>
      <c r="BZ684" s="63"/>
    </row>
    <row r="685" ht="15.75" customHeight="1">
      <c r="A685" s="75" t="s">
        <v>4075</v>
      </c>
      <c r="B685" s="50" t="s">
        <v>4076</v>
      </c>
      <c r="C685" s="50" t="s">
        <v>70</v>
      </c>
      <c r="D685" s="50" t="s">
        <v>459</v>
      </c>
      <c r="E685" s="77"/>
      <c r="F685" s="78">
        <v>6.5E8</v>
      </c>
      <c r="G685" s="44" t="str">
        <f t="shared" si="16"/>
        <v>$500'000.000 a $1.000'000.000</v>
      </c>
      <c r="H685" s="44"/>
      <c r="I685" s="44"/>
      <c r="J685" s="50" t="s">
        <v>116</v>
      </c>
      <c r="K685" s="57"/>
      <c r="L685" s="50">
        <v>4.0</v>
      </c>
      <c r="M685" s="50"/>
      <c r="N685" s="50">
        <v>4.0</v>
      </c>
      <c r="O685" s="50">
        <v>1.0</v>
      </c>
      <c r="P685" s="50">
        <v>2.0</v>
      </c>
      <c r="Q685" s="79">
        <v>199.3</v>
      </c>
      <c r="R685" s="79">
        <v>107.1</v>
      </c>
      <c r="S685" s="56" t="str">
        <f t="shared" si="20"/>
        <v> </v>
      </c>
      <c r="T685" s="50" t="s">
        <v>78</v>
      </c>
      <c r="U685" s="51" t="s">
        <v>142</v>
      </c>
      <c r="V685" s="50" t="s">
        <v>118</v>
      </c>
      <c r="W685" s="50"/>
      <c r="X685" s="50">
        <v>4.0</v>
      </c>
      <c r="Y685" s="50" t="s">
        <v>97</v>
      </c>
      <c r="Z685" s="58" t="s">
        <v>81</v>
      </c>
      <c r="AA685" s="59" t="str">
        <f>IF(Rentabilidad=0,"No aplica",TEXT(ROUND(Precio/Rentabilidad/12,0),0) &amp; " años")</f>
        <v>No aplica</v>
      </c>
      <c r="AB685" s="115" t="s">
        <v>4077</v>
      </c>
      <c r="AC685" s="131" t="s">
        <v>4078</v>
      </c>
      <c r="AD685" s="125" t="s">
        <v>4079</v>
      </c>
      <c r="AE685" s="63"/>
      <c r="AF685" s="45" t="s">
        <v>105</v>
      </c>
      <c r="AG685" s="65" t="s">
        <v>106</v>
      </c>
      <c r="AH685" s="63"/>
      <c r="AI685" s="65" t="s">
        <v>107</v>
      </c>
      <c r="AJ685" s="64" t="s">
        <v>3897</v>
      </c>
      <c r="AK685" s="50" t="s">
        <v>81</v>
      </c>
      <c r="AL685" s="45" t="s">
        <v>109</v>
      </c>
      <c r="AM685" s="52">
        <v>3.103914892E9</v>
      </c>
      <c r="AN685" s="45"/>
      <c r="AO685" s="52"/>
      <c r="AP685" s="67"/>
      <c r="AQ685" s="67"/>
      <c r="AR685" s="67"/>
      <c r="AS685" s="85">
        <v>0.0</v>
      </c>
      <c r="AT685" s="50">
        <v>0.0</v>
      </c>
      <c r="AU685" s="43">
        <v>0.0</v>
      </c>
      <c r="AV685" s="43">
        <v>0.0</v>
      </c>
      <c r="AW685" s="43" t="s">
        <v>106</v>
      </c>
      <c r="AX685" s="43">
        <v>0.0</v>
      </c>
      <c r="AY685" s="43" t="s">
        <v>247</v>
      </c>
      <c r="AZ685" s="50">
        <v>0.0</v>
      </c>
      <c r="BA685" s="43" t="s">
        <v>89</v>
      </c>
      <c r="BB685" s="50">
        <v>0.0</v>
      </c>
      <c r="BC685" s="95"/>
      <c r="BD685" s="71"/>
      <c r="BE685" s="71"/>
      <c r="BF685" s="72" t="s">
        <v>4080</v>
      </c>
      <c r="BG685" s="73"/>
      <c r="BH685" s="73"/>
      <c r="BI685" s="73"/>
      <c r="BJ685" s="73"/>
      <c r="BK685" s="73"/>
      <c r="BL685" s="73"/>
      <c r="BM685" s="73"/>
      <c r="BN685" s="73"/>
      <c r="BO685" s="73"/>
      <c r="BP685" s="73"/>
      <c r="BQ685" s="73"/>
      <c r="BR685" s="73"/>
      <c r="BS685" s="73"/>
      <c r="BT685" s="73"/>
      <c r="BU685" s="73"/>
      <c r="BV685" s="73"/>
      <c r="BW685" s="74"/>
      <c r="BX685" s="74"/>
      <c r="BY685" s="63"/>
      <c r="BZ685" s="63"/>
    </row>
    <row r="686" ht="15.75" customHeight="1">
      <c r="A686" s="75" t="s">
        <v>4081</v>
      </c>
      <c r="B686" s="50" t="s">
        <v>4082</v>
      </c>
      <c r="C686" s="50" t="s">
        <v>315</v>
      </c>
      <c r="D686" s="50" t="s">
        <v>76</v>
      </c>
      <c r="E686" s="64"/>
      <c r="F686" s="78">
        <v>6.4E8</v>
      </c>
      <c r="G686" s="44" t="str">
        <f t="shared" si="16"/>
        <v>$500'000.000 a $1.000'000.000</v>
      </c>
      <c r="H686" s="44"/>
      <c r="I686" s="44"/>
      <c r="J686" s="50" t="s">
        <v>76</v>
      </c>
      <c r="K686" s="51" t="s">
        <v>142</v>
      </c>
      <c r="L686" s="50">
        <v>0.0</v>
      </c>
      <c r="M686" s="50"/>
      <c r="N686" s="50">
        <v>0.0</v>
      </c>
      <c r="O686" s="50">
        <v>0.0</v>
      </c>
      <c r="P686" s="50">
        <v>0.0</v>
      </c>
      <c r="Q686" s="88">
        <v>0.0</v>
      </c>
      <c r="R686" s="88">
        <v>320.0</v>
      </c>
      <c r="S686" s="56" t="str">
        <f t="shared" si="20"/>
        <v> </v>
      </c>
      <c r="T686" s="50" t="s">
        <v>78</v>
      </c>
      <c r="U686" s="51" t="s">
        <v>142</v>
      </c>
      <c r="V686" s="50" t="s">
        <v>79</v>
      </c>
      <c r="W686" s="50"/>
      <c r="X686" s="50">
        <v>0.0</v>
      </c>
      <c r="Y686" s="50" t="s">
        <v>80</v>
      </c>
      <c r="Z686" s="91"/>
      <c r="AA686" s="59" t="str">
        <f>IF(Rentabilidad=0,"No aplica",TEXT(ROUND(Precio/Rentabilidad/12,0),0) &amp; " años")</f>
        <v>No aplica</v>
      </c>
      <c r="AB686" s="82" t="s">
        <v>4083</v>
      </c>
      <c r="AC686" s="169" t="s">
        <v>4084</v>
      </c>
      <c r="AD686" s="83" t="s">
        <v>4085</v>
      </c>
      <c r="AE686" s="63"/>
      <c r="AF686" s="64">
        <v>0.0</v>
      </c>
      <c r="AG686" s="65" t="s">
        <v>106</v>
      </c>
      <c r="AH686" s="63"/>
      <c r="AI686" s="65" t="s">
        <v>107</v>
      </c>
      <c r="AJ686" s="239" t="s">
        <v>3897</v>
      </c>
      <c r="AK686" s="332" t="s">
        <v>81</v>
      </c>
      <c r="AL686" s="239" t="s">
        <v>109</v>
      </c>
      <c r="AM686" s="333">
        <v>3.103914892E9</v>
      </c>
      <c r="AN686" s="312"/>
      <c r="AO686" s="312"/>
      <c r="AP686" s="334"/>
      <c r="AQ686" s="334"/>
      <c r="AR686" s="334"/>
      <c r="AS686" s="314">
        <v>0.0</v>
      </c>
      <c r="AT686" s="232">
        <v>0.0</v>
      </c>
      <c r="AU686" s="315">
        <v>0.0</v>
      </c>
      <c r="AV686" s="315">
        <v>0.0</v>
      </c>
      <c r="AW686" s="315" t="s">
        <v>88</v>
      </c>
      <c r="AX686" s="313">
        <v>0.0</v>
      </c>
      <c r="AY686" s="315">
        <v>0.0</v>
      </c>
      <c r="AZ686" s="315">
        <v>0.0</v>
      </c>
      <c r="BA686" s="316" t="s">
        <v>89</v>
      </c>
      <c r="BB686" s="315">
        <v>0.0</v>
      </c>
      <c r="BC686" s="95"/>
      <c r="BD686" s="71"/>
      <c r="BE686" s="71"/>
      <c r="BF686" s="72" t="s">
        <v>4086</v>
      </c>
      <c r="BG686" s="73"/>
      <c r="BH686" s="73"/>
      <c r="BI686" s="73"/>
      <c r="BJ686" s="73"/>
      <c r="BK686" s="73"/>
      <c r="BL686" s="73"/>
      <c r="BM686" s="73"/>
      <c r="BN686" s="73"/>
      <c r="BO686" s="73"/>
      <c r="BP686" s="73"/>
      <c r="BQ686" s="73"/>
      <c r="BR686" s="73"/>
      <c r="BS686" s="73"/>
      <c r="BT686" s="73"/>
      <c r="BU686" s="73"/>
      <c r="BV686" s="73"/>
      <c r="BW686" s="74"/>
      <c r="BX686" s="74"/>
      <c r="BY686" s="63"/>
      <c r="BZ686" s="63"/>
    </row>
    <row r="687" ht="15.75" customHeight="1">
      <c r="A687" s="75" t="s">
        <v>4087</v>
      </c>
      <c r="B687" s="50" t="s">
        <v>4088</v>
      </c>
      <c r="C687" s="50" t="s">
        <v>573</v>
      </c>
      <c r="D687" s="50" t="s">
        <v>71</v>
      </c>
      <c r="E687" s="64"/>
      <c r="F687" s="78">
        <v>6.2E8</v>
      </c>
      <c r="G687" s="44" t="str">
        <f t="shared" si="16"/>
        <v>$500'000.000 a $1.000'000.000</v>
      </c>
      <c r="H687" s="44"/>
      <c r="I687" s="44"/>
      <c r="J687" s="50" t="s">
        <v>76</v>
      </c>
      <c r="K687" s="51" t="s">
        <v>77</v>
      </c>
      <c r="L687" s="50">
        <v>4.0</v>
      </c>
      <c r="M687" s="50"/>
      <c r="N687" s="50">
        <v>4.0</v>
      </c>
      <c r="O687" s="50">
        <v>2.0</v>
      </c>
      <c r="P687" s="44"/>
      <c r="Q687" s="88">
        <v>156.7</v>
      </c>
      <c r="R687" s="88">
        <v>156.7</v>
      </c>
      <c r="S687" s="56" t="str">
        <f t="shared" si="20"/>
        <v> </v>
      </c>
      <c r="T687" s="50" t="s">
        <v>78</v>
      </c>
      <c r="U687" s="51" t="s">
        <v>154</v>
      </c>
      <c r="V687" s="44"/>
      <c r="W687" s="44"/>
      <c r="X687" s="50">
        <v>4.0</v>
      </c>
      <c r="Y687" s="50" t="s">
        <v>130</v>
      </c>
      <c r="Z687" s="58">
        <v>775900.0</v>
      </c>
      <c r="AA687" s="59" t="str">
        <f>IF(Rentabilidad=0,"No aplica",TEXT(ROUND(Precio/Rentabilidad/12,0),0) &amp; " años")</f>
        <v>No aplica</v>
      </c>
      <c r="AB687" s="82" t="s">
        <v>4089</v>
      </c>
      <c r="AC687" s="83" t="s">
        <v>4090</v>
      </c>
      <c r="AD687" s="83" t="s">
        <v>4091</v>
      </c>
      <c r="AE687" s="63"/>
      <c r="AF687" s="64" t="s">
        <v>105</v>
      </c>
      <c r="AG687" s="65" t="s">
        <v>106</v>
      </c>
      <c r="AH687" s="63"/>
      <c r="AI687" s="65" t="s">
        <v>107</v>
      </c>
      <c r="AJ687" s="239" t="s">
        <v>3897</v>
      </c>
      <c r="AK687" s="332" t="s">
        <v>81</v>
      </c>
      <c r="AL687" s="239" t="s">
        <v>109</v>
      </c>
      <c r="AM687" s="333">
        <v>3.103914892E9</v>
      </c>
      <c r="AN687" s="312"/>
      <c r="AO687" s="312"/>
      <c r="AP687" s="334"/>
      <c r="AQ687" s="334"/>
      <c r="AR687" s="334"/>
      <c r="AS687" s="314">
        <v>0.0</v>
      </c>
      <c r="AT687" s="232" t="s">
        <v>106</v>
      </c>
      <c r="AU687" s="315" t="s">
        <v>106</v>
      </c>
      <c r="AV687" s="315" t="s">
        <v>106</v>
      </c>
      <c r="AW687" s="315" t="s">
        <v>88</v>
      </c>
      <c r="AX687" s="313">
        <v>0.0</v>
      </c>
      <c r="AY687" s="315">
        <v>0.0</v>
      </c>
      <c r="AZ687" s="315">
        <v>0.0</v>
      </c>
      <c r="BA687" s="316" t="s">
        <v>89</v>
      </c>
      <c r="BB687" s="315">
        <v>0.0</v>
      </c>
      <c r="BC687" s="95"/>
      <c r="BD687" s="71"/>
      <c r="BE687" s="71"/>
      <c r="BF687" s="72" t="s">
        <v>4092</v>
      </c>
      <c r="BG687" s="73"/>
      <c r="BH687" s="73"/>
      <c r="BI687" s="73"/>
      <c r="BJ687" s="73"/>
      <c r="BK687" s="73"/>
      <c r="BL687" s="73"/>
      <c r="BM687" s="73"/>
      <c r="BN687" s="73"/>
      <c r="BO687" s="73"/>
      <c r="BP687" s="73"/>
      <c r="BQ687" s="73"/>
      <c r="BR687" s="73"/>
      <c r="BS687" s="73"/>
      <c r="BT687" s="73"/>
      <c r="BU687" s="73"/>
      <c r="BV687" s="73"/>
      <c r="BW687" s="74"/>
      <c r="BX687" s="74"/>
      <c r="BY687" s="63"/>
      <c r="BZ687" s="63"/>
    </row>
    <row r="688" ht="15.75" customHeight="1">
      <c r="A688" s="133" t="s">
        <v>4093</v>
      </c>
      <c r="B688" s="43" t="s">
        <v>4094</v>
      </c>
      <c r="C688" s="43" t="s">
        <v>773</v>
      </c>
      <c r="D688" s="43" t="s">
        <v>76</v>
      </c>
      <c r="E688" s="45"/>
      <c r="F688" s="78">
        <v>6.1974E8</v>
      </c>
      <c r="G688" s="44" t="str">
        <f t="shared" si="16"/>
        <v>$500'000.000 a $1.000'000.000</v>
      </c>
      <c r="H688" s="44"/>
      <c r="I688" s="44"/>
      <c r="J688" s="43" t="s">
        <v>76</v>
      </c>
      <c r="K688" s="56" t="s">
        <v>142</v>
      </c>
      <c r="L688" s="43">
        <v>0.0</v>
      </c>
      <c r="M688" s="43"/>
      <c r="N688" s="43">
        <v>0.0</v>
      </c>
      <c r="O688" s="43">
        <v>2.0</v>
      </c>
      <c r="P688" s="43">
        <v>4.0</v>
      </c>
      <c r="Q688" s="88">
        <v>103.3</v>
      </c>
      <c r="R688" s="88">
        <v>103.3</v>
      </c>
      <c r="S688" s="56" t="str">
        <f t="shared" si="20"/>
        <v> </v>
      </c>
      <c r="T688" s="43" t="s">
        <v>78</v>
      </c>
      <c r="U688" s="56" t="s">
        <v>142</v>
      </c>
      <c r="V688" s="43" t="s">
        <v>680</v>
      </c>
      <c r="W688" s="43"/>
      <c r="X688" s="43">
        <v>0.0</v>
      </c>
      <c r="Y688" s="43" t="s">
        <v>80</v>
      </c>
      <c r="Z688" s="58"/>
      <c r="AA688" s="59" t="str">
        <f>IF(Rentabilidad=0,"No aplica",TEXT(ROUND(Precio/Rentabilidad/12,0),0) &amp; " años")</f>
        <v>No aplica</v>
      </c>
      <c r="AB688" s="140" t="s">
        <v>4095</v>
      </c>
      <c r="AC688" s="336" t="s">
        <v>4096</v>
      </c>
      <c r="AD688" s="107" t="s">
        <v>4097</v>
      </c>
      <c r="AE688" s="63"/>
      <c r="AF688" s="64">
        <v>0.0</v>
      </c>
      <c r="AG688" s="65" t="s">
        <v>106</v>
      </c>
      <c r="AH688" s="63"/>
      <c r="AI688" s="65" t="s">
        <v>107</v>
      </c>
      <c r="AJ688" s="64" t="s">
        <v>3897</v>
      </c>
      <c r="AK688" s="58" t="s">
        <v>81</v>
      </c>
      <c r="AL688" s="64" t="s">
        <v>109</v>
      </c>
      <c r="AM688" s="52">
        <v>3.103914892E9</v>
      </c>
      <c r="AN688" s="64">
        <v>0.0</v>
      </c>
      <c r="AO688" s="43">
        <v>0.0</v>
      </c>
      <c r="AP688" s="84">
        <v>0.0</v>
      </c>
      <c r="AQ688" s="84">
        <v>2.93187177636376</v>
      </c>
      <c r="AR688" s="84">
        <v>-75.2903344753113</v>
      </c>
      <c r="AS688" s="85">
        <v>0.0</v>
      </c>
      <c r="AT688" s="50" t="s">
        <v>106</v>
      </c>
      <c r="AU688" s="50">
        <v>0.0</v>
      </c>
      <c r="AV688" s="50">
        <v>0.0</v>
      </c>
      <c r="AW688" s="50" t="s">
        <v>88</v>
      </c>
      <c r="AX688" s="50">
        <v>0.0</v>
      </c>
      <c r="AY688" s="50">
        <v>0.0</v>
      </c>
      <c r="AZ688" s="50">
        <v>0.0</v>
      </c>
      <c r="BA688" s="43" t="s">
        <v>89</v>
      </c>
      <c r="BB688" s="50">
        <v>0.0</v>
      </c>
      <c r="BC688" s="69" t="s">
        <v>1092</v>
      </c>
      <c r="BD688" s="70"/>
      <c r="BE688" s="70"/>
      <c r="BF688" s="72" t="s">
        <v>4098</v>
      </c>
      <c r="BG688" s="73"/>
      <c r="BH688" s="73"/>
      <c r="BI688" s="73"/>
      <c r="BJ688" s="73"/>
      <c r="BK688" s="73"/>
      <c r="BL688" s="73"/>
      <c r="BM688" s="73"/>
      <c r="BN688" s="73"/>
      <c r="BO688" s="73"/>
      <c r="BP688" s="73"/>
      <c r="BQ688" s="73"/>
      <c r="BR688" s="73"/>
      <c r="BS688" s="73"/>
      <c r="BT688" s="73"/>
      <c r="BU688" s="73"/>
      <c r="BV688" s="73"/>
      <c r="BW688" s="74"/>
      <c r="BX688" s="74"/>
      <c r="BY688" s="63"/>
      <c r="BZ688" s="63"/>
    </row>
    <row r="689" ht="15.75" customHeight="1">
      <c r="A689" s="133" t="s">
        <v>4099</v>
      </c>
      <c r="B689" s="43" t="s">
        <v>4094</v>
      </c>
      <c r="C689" s="43" t="s">
        <v>773</v>
      </c>
      <c r="D689" s="43" t="s">
        <v>76</v>
      </c>
      <c r="E689" s="45"/>
      <c r="F689" s="78">
        <v>6.156E8</v>
      </c>
      <c r="G689" s="44" t="str">
        <f t="shared" si="16"/>
        <v>$500'000.000 a $1.000'000.000</v>
      </c>
      <c r="H689" s="44"/>
      <c r="I689" s="44"/>
      <c r="J689" s="43" t="s">
        <v>76</v>
      </c>
      <c r="K689" s="56" t="s">
        <v>142</v>
      </c>
      <c r="L689" s="43">
        <v>0.0</v>
      </c>
      <c r="M689" s="43"/>
      <c r="N689" s="43">
        <v>0.0</v>
      </c>
      <c r="O689" s="43">
        <v>2.0</v>
      </c>
      <c r="P689" s="43">
        <v>4.0</v>
      </c>
      <c r="Q689" s="88">
        <v>102.6</v>
      </c>
      <c r="R689" s="88">
        <v>102.6</v>
      </c>
      <c r="S689" s="56" t="str">
        <f t="shared" si="20"/>
        <v> </v>
      </c>
      <c r="T689" s="43" t="s">
        <v>78</v>
      </c>
      <c r="U689" s="56" t="s">
        <v>142</v>
      </c>
      <c r="V689" s="43" t="s">
        <v>680</v>
      </c>
      <c r="W689" s="43"/>
      <c r="X689" s="43">
        <v>0.0</v>
      </c>
      <c r="Y689" s="43" t="s">
        <v>80</v>
      </c>
      <c r="Z689" s="58"/>
      <c r="AA689" s="59" t="str">
        <f>IF(Rentabilidad=0,"No aplica",TEXT(ROUND(Precio/Rentabilidad/12,0),0) &amp; " años")</f>
        <v>No aplica</v>
      </c>
      <c r="AB689" s="140" t="s">
        <v>4100</v>
      </c>
      <c r="AC689" s="336" t="s">
        <v>4101</v>
      </c>
      <c r="AD689" s="107" t="s">
        <v>4097</v>
      </c>
      <c r="AE689" s="63"/>
      <c r="AF689" s="64">
        <v>0.0</v>
      </c>
      <c r="AG689" s="65" t="s">
        <v>106</v>
      </c>
      <c r="AH689" s="63"/>
      <c r="AI689" s="65" t="s">
        <v>107</v>
      </c>
      <c r="AJ689" s="64" t="s">
        <v>3897</v>
      </c>
      <c r="AK689" s="58" t="s">
        <v>81</v>
      </c>
      <c r="AL689" s="64" t="s">
        <v>109</v>
      </c>
      <c r="AM689" s="52">
        <v>3.103914892E9</v>
      </c>
      <c r="AN689" s="64">
        <v>0.0</v>
      </c>
      <c r="AO689" s="43">
        <v>0.0</v>
      </c>
      <c r="AP689" s="84">
        <v>0.0</v>
      </c>
      <c r="AQ689" s="84">
        <v>2.93175934010865</v>
      </c>
      <c r="AR689" s="84">
        <v>-75.2902942671204</v>
      </c>
      <c r="AS689" s="85">
        <v>0.0</v>
      </c>
      <c r="AT689" s="50" t="s">
        <v>106</v>
      </c>
      <c r="AU689" s="50">
        <v>0.0</v>
      </c>
      <c r="AV689" s="50">
        <v>0.0</v>
      </c>
      <c r="AW689" s="50" t="s">
        <v>88</v>
      </c>
      <c r="AX689" s="50">
        <v>0.0</v>
      </c>
      <c r="AY689" s="50">
        <v>0.0</v>
      </c>
      <c r="AZ689" s="50">
        <v>0.0</v>
      </c>
      <c r="BA689" s="43" t="s">
        <v>89</v>
      </c>
      <c r="BB689" s="50">
        <v>0.0</v>
      </c>
      <c r="BC689" s="69" t="s">
        <v>1137</v>
      </c>
      <c r="BD689" s="70"/>
      <c r="BE689" s="71"/>
      <c r="BF689" s="72" t="s">
        <v>4102</v>
      </c>
      <c r="BG689" s="73"/>
      <c r="BH689" s="73"/>
      <c r="BI689" s="73"/>
      <c r="BJ689" s="73"/>
      <c r="BK689" s="73"/>
      <c r="BL689" s="73"/>
      <c r="BM689" s="73"/>
      <c r="BN689" s="73"/>
      <c r="BO689" s="73"/>
      <c r="BP689" s="73"/>
      <c r="BQ689" s="73"/>
      <c r="BR689" s="73"/>
      <c r="BS689" s="73"/>
      <c r="BT689" s="73"/>
      <c r="BU689" s="73"/>
      <c r="BV689" s="73"/>
      <c r="BW689" s="74"/>
      <c r="BX689" s="74"/>
      <c r="BY689" s="63"/>
      <c r="BZ689" s="63"/>
    </row>
    <row r="690" ht="15.75" customHeight="1">
      <c r="A690" s="75" t="s">
        <v>4103</v>
      </c>
      <c r="B690" s="50" t="s">
        <v>3985</v>
      </c>
      <c r="C690" s="50" t="s">
        <v>70</v>
      </c>
      <c r="D690" s="50" t="s">
        <v>76</v>
      </c>
      <c r="E690" s="77"/>
      <c r="F690" s="78">
        <v>6.0E8</v>
      </c>
      <c r="G690" s="44" t="str">
        <f t="shared" si="16"/>
        <v>$500'000.000 a $1.000'000.000</v>
      </c>
      <c r="H690" s="44"/>
      <c r="I690" s="44"/>
      <c r="J690" s="50" t="s">
        <v>76</v>
      </c>
      <c r="K690" s="57"/>
      <c r="L690" s="50">
        <v>11.0</v>
      </c>
      <c r="M690" s="50"/>
      <c r="N690" s="50">
        <v>4.0</v>
      </c>
      <c r="O690" s="50">
        <v>0.0</v>
      </c>
      <c r="P690" s="50">
        <v>2.0</v>
      </c>
      <c r="Q690" s="79">
        <v>324.0</v>
      </c>
      <c r="R690" s="79">
        <v>160.0</v>
      </c>
      <c r="S690" s="56" t="str">
        <f t="shared" si="20"/>
        <v> </v>
      </c>
      <c r="T690" s="50" t="s">
        <v>78</v>
      </c>
      <c r="U690" s="51" t="s">
        <v>142</v>
      </c>
      <c r="V690" s="50" t="s">
        <v>79</v>
      </c>
      <c r="W690" s="50"/>
      <c r="X690" s="50">
        <v>0.0</v>
      </c>
      <c r="Y690" s="50" t="s">
        <v>80</v>
      </c>
      <c r="Z690" s="58" t="s">
        <v>81</v>
      </c>
      <c r="AA690" s="59" t="str">
        <f>IF(Rentabilidad=0,"No aplica",TEXT(ROUND(Precio/Rentabilidad/12,0),0) &amp; " años")</f>
        <v>No aplica</v>
      </c>
      <c r="AB690" s="115" t="s">
        <v>4104</v>
      </c>
      <c r="AC690" s="131" t="s">
        <v>4105</v>
      </c>
      <c r="AD690" s="125" t="s">
        <v>4106</v>
      </c>
      <c r="AE690" s="63"/>
      <c r="AF690" s="64" t="s">
        <v>84</v>
      </c>
      <c r="AG690" s="65" t="s">
        <v>106</v>
      </c>
      <c r="AH690" s="63"/>
      <c r="AI690" s="65" t="s">
        <v>107</v>
      </c>
      <c r="AJ690" s="64" t="s">
        <v>3897</v>
      </c>
      <c r="AK690" s="50" t="s">
        <v>81</v>
      </c>
      <c r="AL690" s="45" t="s">
        <v>109</v>
      </c>
      <c r="AM690" s="52">
        <v>3.103914892E9</v>
      </c>
      <c r="AN690" s="64">
        <v>0.0</v>
      </c>
      <c r="AO690" s="52"/>
      <c r="AP690" s="67"/>
      <c r="AQ690" s="67"/>
      <c r="AR690" s="67"/>
      <c r="AS690" s="85">
        <v>0.0</v>
      </c>
      <c r="AT690" s="50">
        <v>0.0</v>
      </c>
      <c r="AU690" s="43">
        <v>0.0</v>
      </c>
      <c r="AV690" s="43">
        <v>0.0</v>
      </c>
      <c r="AW690" s="43" t="s">
        <v>88</v>
      </c>
      <c r="AX690" s="43">
        <v>0.0</v>
      </c>
      <c r="AY690" s="43" t="s">
        <v>247</v>
      </c>
      <c r="AZ690" s="50">
        <v>0.0</v>
      </c>
      <c r="BA690" s="43" t="s">
        <v>89</v>
      </c>
      <c r="BB690" s="50">
        <v>0.0</v>
      </c>
      <c r="BC690" s="69" t="s">
        <v>716</v>
      </c>
      <c r="BD690" s="70"/>
      <c r="BE690" s="71"/>
      <c r="BF690" s="72" t="s">
        <v>4107</v>
      </c>
      <c r="BG690" s="73"/>
      <c r="BH690" s="73"/>
      <c r="BI690" s="73"/>
      <c r="BJ690" s="73"/>
      <c r="BK690" s="73"/>
      <c r="BL690" s="73"/>
      <c r="BM690" s="73"/>
      <c r="BN690" s="73"/>
      <c r="BO690" s="73"/>
      <c r="BP690" s="73"/>
      <c r="BQ690" s="73"/>
      <c r="BR690" s="73"/>
      <c r="BS690" s="73"/>
      <c r="BT690" s="73"/>
      <c r="BU690" s="73"/>
      <c r="BV690" s="73"/>
      <c r="BW690" s="74"/>
      <c r="BX690" s="74"/>
      <c r="BY690" s="63"/>
      <c r="BZ690" s="63"/>
    </row>
    <row r="691" ht="15.75" customHeight="1">
      <c r="A691" s="159" t="s">
        <v>4108</v>
      </c>
      <c r="B691" s="50" t="s">
        <v>4109</v>
      </c>
      <c r="C691" s="50" t="s">
        <v>271</v>
      </c>
      <c r="D691" s="44" t="s">
        <v>76</v>
      </c>
      <c r="E691" s="64" t="s">
        <v>376</v>
      </c>
      <c r="F691" s="78">
        <v>6.0E8</v>
      </c>
      <c r="G691" s="44" t="str">
        <f t="shared" si="16"/>
        <v>$500'000.000 a $1.000'000.000</v>
      </c>
      <c r="H691" s="44"/>
      <c r="I691" s="44"/>
      <c r="J691" s="50" t="s">
        <v>76</v>
      </c>
      <c r="K691" s="57"/>
      <c r="L691" s="50">
        <v>3.0</v>
      </c>
      <c r="M691" s="50"/>
      <c r="N691" s="50">
        <v>2.0</v>
      </c>
      <c r="O691" s="50">
        <v>1.0</v>
      </c>
      <c r="P691" s="50">
        <v>1.0</v>
      </c>
      <c r="Q691" s="113"/>
      <c r="R691" s="79">
        <v>307.0</v>
      </c>
      <c r="S691" s="56" t="str">
        <f t="shared" si="20"/>
        <v> </v>
      </c>
      <c r="T691" s="50" t="s">
        <v>78</v>
      </c>
      <c r="U691" s="57"/>
      <c r="V691" s="50" t="s">
        <v>79</v>
      </c>
      <c r="W691" s="50"/>
      <c r="X691" s="44"/>
      <c r="Y691" s="43" t="s">
        <v>80</v>
      </c>
      <c r="Z691" s="58" t="s">
        <v>81</v>
      </c>
      <c r="AA691" s="59" t="str">
        <f>IF(Rentabilidad=0,"No aplica",TEXT(ROUND(Precio/Rentabilidad/12,0),0) &amp; " años")</f>
        <v>No aplica</v>
      </c>
      <c r="AB691" s="82" t="s">
        <v>4110</v>
      </c>
      <c r="AC691" s="61"/>
      <c r="AD691" s="125" t="s">
        <v>4111</v>
      </c>
      <c r="AE691" s="63"/>
      <c r="AF691" s="64" t="s">
        <v>84</v>
      </c>
      <c r="AG691" s="65" t="s">
        <v>106</v>
      </c>
      <c r="AH691" s="65"/>
      <c r="AI691" s="65" t="s">
        <v>107</v>
      </c>
      <c r="AJ691" s="64" t="s">
        <v>3897</v>
      </c>
      <c r="AK691" s="58" t="s">
        <v>81</v>
      </c>
      <c r="AL691" s="239" t="s">
        <v>109</v>
      </c>
      <c r="AM691" s="52">
        <v>3.103914892E9</v>
      </c>
      <c r="AN691" s="45"/>
      <c r="AO691" s="44"/>
      <c r="AP691" s="67"/>
      <c r="AQ691" s="67"/>
      <c r="AR691" s="67"/>
      <c r="AS691" s="94">
        <v>0.0</v>
      </c>
      <c r="AT691" s="44"/>
      <c r="AU691" s="44"/>
      <c r="AV691" s="44"/>
      <c r="AW691" s="44"/>
      <c r="AX691" s="44"/>
      <c r="AY691" s="44"/>
      <c r="AZ691" s="44"/>
      <c r="BA691" s="43" t="s">
        <v>89</v>
      </c>
      <c r="BB691" s="44"/>
      <c r="BC691" s="95"/>
      <c r="BD691" s="71"/>
      <c r="BE691" s="71"/>
      <c r="BF691" s="72" t="s">
        <v>4112</v>
      </c>
      <c r="BG691" s="73"/>
      <c r="BH691" s="73"/>
      <c r="BI691" s="73"/>
      <c r="BJ691" s="73"/>
      <c r="BK691" s="73"/>
      <c r="BL691" s="73"/>
      <c r="BM691" s="73"/>
      <c r="BN691" s="73"/>
      <c r="BO691" s="73"/>
      <c r="BP691" s="73"/>
      <c r="BQ691" s="73"/>
      <c r="BR691" s="73"/>
      <c r="BS691" s="73"/>
      <c r="BT691" s="73"/>
      <c r="BU691" s="73"/>
      <c r="BV691" s="73"/>
      <c r="BW691" s="74"/>
      <c r="BX691" s="74"/>
      <c r="BY691" s="63"/>
      <c r="BZ691" s="63"/>
    </row>
    <row r="692" ht="15.75" customHeight="1">
      <c r="A692" s="75" t="s">
        <v>4113</v>
      </c>
      <c r="B692" s="50" t="s">
        <v>4114</v>
      </c>
      <c r="C692" s="50" t="s">
        <v>573</v>
      </c>
      <c r="D692" s="50" t="s">
        <v>71</v>
      </c>
      <c r="E692" s="64"/>
      <c r="F692" s="78">
        <v>6.0E8</v>
      </c>
      <c r="G692" s="44" t="str">
        <f t="shared" si="16"/>
        <v>$500'000.000 a $1.000'000.000</v>
      </c>
      <c r="H692" s="44"/>
      <c r="I692" s="44"/>
      <c r="J692" s="50" t="s">
        <v>76</v>
      </c>
      <c r="K692" s="51" t="s">
        <v>77</v>
      </c>
      <c r="L692" s="50">
        <v>3.0</v>
      </c>
      <c r="M692" s="50"/>
      <c r="N692" s="50">
        <v>3.0</v>
      </c>
      <c r="O692" s="50">
        <v>2.0</v>
      </c>
      <c r="P692" s="44"/>
      <c r="Q692" s="88">
        <v>176.0</v>
      </c>
      <c r="R692" s="88">
        <v>176.0</v>
      </c>
      <c r="S692" s="56" t="str">
        <f t="shared" si="20"/>
        <v> </v>
      </c>
      <c r="T692" s="50" t="s">
        <v>78</v>
      </c>
      <c r="U692" s="51" t="s">
        <v>154</v>
      </c>
      <c r="V692" s="44"/>
      <c r="W692" s="44"/>
      <c r="X692" s="50">
        <v>3.0</v>
      </c>
      <c r="Y692" s="50" t="s">
        <v>130</v>
      </c>
      <c r="Z692" s="58">
        <v>760000.0</v>
      </c>
      <c r="AA692" s="59" t="str">
        <f>IF(Rentabilidad=0,"No aplica",TEXT(ROUND(Precio/Rentabilidad/12,0),0) &amp; " años")</f>
        <v>No aplica</v>
      </c>
      <c r="AB692" s="82" t="s">
        <v>4115</v>
      </c>
      <c r="AC692" s="83" t="s">
        <v>4116</v>
      </c>
      <c r="AD692" s="83" t="s">
        <v>4117</v>
      </c>
      <c r="AE692" s="63"/>
      <c r="AF692" s="64" t="s">
        <v>105</v>
      </c>
      <c r="AG692" s="65" t="s">
        <v>106</v>
      </c>
      <c r="AH692" s="63"/>
      <c r="AI692" s="65" t="s">
        <v>107</v>
      </c>
      <c r="AJ692" s="239" t="s">
        <v>3897</v>
      </c>
      <c r="AK692" s="332" t="s">
        <v>81</v>
      </c>
      <c r="AL692" s="239" t="s">
        <v>109</v>
      </c>
      <c r="AM692" s="333">
        <v>3.103914892E9</v>
      </c>
      <c r="AN692" s="312"/>
      <c r="AO692" s="312"/>
      <c r="AP692" s="334"/>
      <c r="AQ692" s="334"/>
      <c r="AR692" s="334"/>
      <c r="AS692" s="314">
        <v>0.0</v>
      </c>
      <c r="AT692" s="232" t="s">
        <v>106</v>
      </c>
      <c r="AU692" s="315" t="s">
        <v>106</v>
      </c>
      <c r="AV692" s="315" t="s">
        <v>106</v>
      </c>
      <c r="AW692" s="315" t="s">
        <v>88</v>
      </c>
      <c r="AX692" s="313">
        <v>0.0</v>
      </c>
      <c r="AY692" s="315">
        <v>0.0</v>
      </c>
      <c r="AZ692" s="315">
        <v>0.0</v>
      </c>
      <c r="BA692" s="316" t="s">
        <v>89</v>
      </c>
      <c r="BB692" s="315">
        <v>0.0</v>
      </c>
      <c r="BC692" s="95"/>
      <c r="BD692" s="71"/>
      <c r="BE692" s="71"/>
      <c r="BF692" s="72" t="s">
        <v>4118</v>
      </c>
      <c r="BG692" s="73"/>
      <c r="BH692" s="73"/>
      <c r="BI692" s="73"/>
      <c r="BJ692" s="73"/>
      <c r="BK692" s="73"/>
      <c r="BL692" s="73"/>
      <c r="BM692" s="73"/>
      <c r="BN692" s="73"/>
      <c r="BO692" s="73"/>
      <c r="BP692" s="73"/>
      <c r="BQ692" s="73"/>
      <c r="BR692" s="73"/>
      <c r="BS692" s="73"/>
      <c r="BT692" s="73"/>
      <c r="BU692" s="73"/>
      <c r="BV692" s="73"/>
      <c r="BW692" s="74"/>
      <c r="BX692" s="74"/>
      <c r="BY692" s="63"/>
      <c r="BZ692" s="63"/>
    </row>
    <row r="693" ht="15.75" customHeight="1">
      <c r="A693" s="75" t="s">
        <v>4119</v>
      </c>
      <c r="B693" s="50" t="s">
        <v>4120</v>
      </c>
      <c r="C693" s="50" t="s">
        <v>573</v>
      </c>
      <c r="D693" s="50" t="s">
        <v>71</v>
      </c>
      <c r="E693" s="64"/>
      <c r="F693" s="78">
        <v>6.0E8</v>
      </c>
      <c r="G693" s="44" t="str">
        <f t="shared" si="16"/>
        <v>$500'000.000 a $1.000'000.000</v>
      </c>
      <c r="H693" s="44"/>
      <c r="I693" s="44"/>
      <c r="J693" s="50" t="s">
        <v>76</v>
      </c>
      <c r="K693" s="51" t="s">
        <v>77</v>
      </c>
      <c r="L693" s="50">
        <v>3.0</v>
      </c>
      <c r="M693" s="50"/>
      <c r="N693" s="50">
        <v>3.0</v>
      </c>
      <c r="O693" s="50">
        <v>2.0</v>
      </c>
      <c r="P693" s="44"/>
      <c r="Q693" s="88">
        <v>164.0</v>
      </c>
      <c r="R693" s="88">
        <v>164.0</v>
      </c>
      <c r="S693" s="56" t="str">
        <f t="shared" si="20"/>
        <v> </v>
      </c>
      <c r="T693" s="50" t="s">
        <v>78</v>
      </c>
      <c r="U693" s="51" t="s">
        <v>154</v>
      </c>
      <c r="V693" s="44"/>
      <c r="W693" s="44"/>
      <c r="X693" s="50">
        <v>3.0</v>
      </c>
      <c r="Y693" s="50" t="s">
        <v>130</v>
      </c>
      <c r="Z693" s="58">
        <v>550000.0</v>
      </c>
      <c r="AA693" s="59" t="str">
        <f>IF(Rentabilidad=0,"No aplica",TEXT(ROUND(Precio/Rentabilidad/12,0),0) &amp; " años")</f>
        <v>No aplica</v>
      </c>
      <c r="AB693" s="82" t="s">
        <v>4121</v>
      </c>
      <c r="AC693" s="83" t="s">
        <v>4122</v>
      </c>
      <c r="AD693" s="337" t="s">
        <v>4123</v>
      </c>
      <c r="AE693" s="63"/>
      <c r="AF693" s="64" t="s">
        <v>105</v>
      </c>
      <c r="AG693" s="65" t="s">
        <v>106</v>
      </c>
      <c r="AH693" s="63"/>
      <c r="AI693" s="65" t="s">
        <v>107</v>
      </c>
      <c r="AJ693" s="239" t="s">
        <v>3897</v>
      </c>
      <c r="AK693" s="332" t="s">
        <v>81</v>
      </c>
      <c r="AL693" s="239" t="s">
        <v>109</v>
      </c>
      <c r="AM693" s="333">
        <v>3.103914892E9</v>
      </c>
      <c r="AN693" s="312"/>
      <c r="AO693" s="312"/>
      <c r="AP693" s="334"/>
      <c r="AQ693" s="334"/>
      <c r="AR693" s="334"/>
      <c r="AS693" s="314">
        <v>0.0</v>
      </c>
      <c r="AT693" s="232" t="s">
        <v>106</v>
      </c>
      <c r="AU693" s="315">
        <v>0.0</v>
      </c>
      <c r="AV693" s="315" t="s">
        <v>106</v>
      </c>
      <c r="AW693" s="315" t="s">
        <v>88</v>
      </c>
      <c r="AX693" s="313">
        <v>0.0</v>
      </c>
      <c r="AY693" s="315">
        <v>0.0</v>
      </c>
      <c r="AZ693" s="315">
        <v>0.0</v>
      </c>
      <c r="BA693" s="316" t="s">
        <v>89</v>
      </c>
      <c r="BB693" s="315">
        <v>0.0</v>
      </c>
      <c r="BC693" s="95"/>
      <c r="BD693" s="71"/>
      <c r="BE693" s="71"/>
      <c r="BF693" s="72" t="s">
        <v>4124</v>
      </c>
      <c r="BG693" s="73"/>
      <c r="BH693" s="73"/>
      <c r="BI693" s="73"/>
      <c r="BJ693" s="73"/>
      <c r="BK693" s="73"/>
      <c r="BL693" s="73"/>
      <c r="BM693" s="73"/>
      <c r="BN693" s="73"/>
      <c r="BO693" s="73"/>
      <c r="BP693" s="73"/>
      <c r="BQ693" s="73"/>
      <c r="BR693" s="73"/>
      <c r="BS693" s="73"/>
      <c r="BT693" s="73"/>
      <c r="BU693" s="73"/>
      <c r="BV693" s="73"/>
      <c r="BW693" s="74"/>
      <c r="BX693" s="74"/>
      <c r="BY693" s="63"/>
      <c r="BZ693" s="63"/>
    </row>
    <row r="694" ht="15.75" customHeight="1">
      <c r="A694" s="75" t="s">
        <v>4125</v>
      </c>
      <c r="B694" s="50" t="s">
        <v>4037</v>
      </c>
      <c r="C694" s="50" t="s">
        <v>315</v>
      </c>
      <c r="D694" s="50" t="s">
        <v>279</v>
      </c>
      <c r="E694" s="64"/>
      <c r="F694" s="78">
        <v>6.0E8</v>
      </c>
      <c r="G694" s="44" t="str">
        <f t="shared" si="16"/>
        <v>$500'000.000 a $1.000'000.000</v>
      </c>
      <c r="H694" s="44"/>
      <c r="I694" s="44"/>
      <c r="J694" s="50" t="s">
        <v>116</v>
      </c>
      <c r="K694" s="51" t="s">
        <v>154</v>
      </c>
      <c r="L694" s="50">
        <v>0.0</v>
      </c>
      <c r="M694" s="50"/>
      <c r="N694" s="50">
        <v>0.0</v>
      </c>
      <c r="O694" s="50">
        <v>0.0</v>
      </c>
      <c r="P694" s="50">
        <v>0.0</v>
      </c>
      <c r="Q694" s="88">
        <v>0.0</v>
      </c>
      <c r="R694" s="88">
        <v>700.0</v>
      </c>
      <c r="S694" s="56" t="str">
        <f t="shared" si="20"/>
        <v> </v>
      </c>
      <c r="T694" s="50" t="s">
        <v>78</v>
      </c>
      <c r="U694" s="51" t="s">
        <v>184</v>
      </c>
      <c r="V694" s="50" t="s">
        <v>316</v>
      </c>
      <c r="W694" s="50"/>
      <c r="X694" s="50">
        <v>0.0</v>
      </c>
      <c r="Y694" s="50" t="s">
        <v>80</v>
      </c>
      <c r="Z694" s="91"/>
      <c r="AA694" s="59" t="str">
        <f>IF(Rentabilidad=0,"No aplica",TEXT(ROUND(Precio/Rentabilidad/12,0),0) &amp; " años")</f>
        <v>No aplica</v>
      </c>
      <c r="AB694" s="82" t="s">
        <v>4126</v>
      </c>
      <c r="AC694" s="83" t="s">
        <v>4127</v>
      </c>
      <c r="AD694" s="169" t="s">
        <v>4128</v>
      </c>
      <c r="AE694" s="63"/>
      <c r="AF694" s="64">
        <v>0.0</v>
      </c>
      <c r="AG694" s="65" t="s">
        <v>106</v>
      </c>
      <c r="AH694" s="63"/>
      <c r="AI694" s="65" t="s">
        <v>107</v>
      </c>
      <c r="AJ694" s="239" t="s">
        <v>3897</v>
      </c>
      <c r="AK694" s="332" t="s">
        <v>81</v>
      </c>
      <c r="AL694" s="239" t="s">
        <v>109</v>
      </c>
      <c r="AM694" s="333">
        <v>3.103914892E9</v>
      </c>
      <c r="AN694" s="312"/>
      <c r="AO694" s="312"/>
      <c r="AP694" s="334"/>
      <c r="AQ694" s="334"/>
      <c r="AR694" s="334"/>
      <c r="AS694" s="314">
        <v>0.0</v>
      </c>
      <c r="AT694" s="232">
        <v>0.0</v>
      </c>
      <c r="AU694" s="315">
        <v>0.0</v>
      </c>
      <c r="AV694" s="315">
        <v>0.0</v>
      </c>
      <c r="AW694" s="315" t="s">
        <v>88</v>
      </c>
      <c r="AX694" s="313">
        <v>0.0</v>
      </c>
      <c r="AY694" s="315">
        <v>0.0</v>
      </c>
      <c r="AZ694" s="315">
        <v>0.0</v>
      </c>
      <c r="BA694" s="316" t="s">
        <v>89</v>
      </c>
      <c r="BB694" s="315">
        <v>0.0</v>
      </c>
      <c r="BC694" s="95"/>
      <c r="BD694" s="71"/>
      <c r="BE694" s="71"/>
      <c r="BF694" s="72" t="s">
        <v>4129</v>
      </c>
      <c r="BG694" s="73"/>
      <c r="BH694" s="73"/>
      <c r="BI694" s="73"/>
      <c r="BJ694" s="73"/>
      <c r="BK694" s="73"/>
      <c r="BL694" s="73"/>
      <c r="BM694" s="73"/>
      <c r="BN694" s="73"/>
      <c r="BO694" s="73"/>
      <c r="BP694" s="73"/>
      <c r="BQ694" s="73"/>
      <c r="BR694" s="73"/>
      <c r="BS694" s="73"/>
      <c r="BT694" s="73"/>
      <c r="BU694" s="73"/>
      <c r="BV694" s="73"/>
      <c r="BW694" s="74"/>
      <c r="BX694" s="74"/>
      <c r="BY694" s="63"/>
      <c r="BZ694" s="63"/>
    </row>
    <row r="695" ht="15.75" customHeight="1">
      <c r="A695" s="75" t="s">
        <v>4130</v>
      </c>
      <c r="B695" s="50" t="s">
        <v>4131</v>
      </c>
      <c r="C695" s="50" t="s">
        <v>315</v>
      </c>
      <c r="D695" s="50"/>
      <c r="E695" s="64"/>
      <c r="F695" s="78">
        <v>5.8E8</v>
      </c>
      <c r="G695" s="44" t="str">
        <f t="shared" si="16"/>
        <v>$500'000.000 a $1.000'000.000</v>
      </c>
      <c r="H695" s="44"/>
      <c r="I695" s="44"/>
      <c r="J695" s="50" t="s">
        <v>94</v>
      </c>
      <c r="K695" s="51"/>
      <c r="L695" s="50">
        <v>0.0</v>
      </c>
      <c r="M695" s="50"/>
      <c r="N695" s="50">
        <v>0.0</v>
      </c>
      <c r="O695" s="50">
        <v>0.0</v>
      </c>
      <c r="P695" s="50">
        <v>0.0</v>
      </c>
      <c r="Q695" s="88">
        <v>0.0</v>
      </c>
      <c r="R695" s="88">
        <v>8710.0</v>
      </c>
      <c r="S695" s="56" t="str">
        <f t="shared" si="20"/>
        <v> </v>
      </c>
      <c r="T695" s="50" t="s">
        <v>78</v>
      </c>
      <c r="U695" s="57"/>
      <c r="V695" s="50" t="s">
        <v>79</v>
      </c>
      <c r="W695" s="50"/>
      <c r="X695" s="50">
        <v>0.0</v>
      </c>
      <c r="Y695" s="50" t="s">
        <v>80</v>
      </c>
      <c r="Z695" s="58" t="s">
        <v>81</v>
      </c>
      <c r="AA695" s="59" t="str">
        <f>IF(Rentabilidad=0,"No aplica",TEXT(ROUND(Precio/Rentabilidad/12,0),0) &amp; " años")</f>
        <v>No aplica</v>
      </c>
      <c r="AB695" s="82" t="s">
        <v>4132</v>
      </c>
      <c r="AC695" s="8" t="s">
        <v>4133</v>
      </c>
      <c r="AD695" s="83" t="s">
        <v>4134</v>
      </c>
      <c r="AE695" s="63"/>
      <c r="AF695" s="64">
        <v>0.0</v>
      </c>
      <c r="AG695" s="65" t="s">
        <v>106</v>
      </c>
      <c r="AH695" s="63"/>
      <c r="AI695" s="65" t="s">
        <v>107</v>
      </c>
      <c r="AJ695" s="64" t="s">
        <v>3897</v>
      </c>
      <c r="AK695" s="58" t="s">
        <v>81</v>
      </c>
      <c r="AL695" s="45" t="s">
        <v>109</v>
      </c>
      <c r="AM695" s="52">
        <v>3.103914892E9</v>
      </c>
      <c r="AN695" s="217">
        <v>0.0</v>
      </c>
      <c r="AO695" s="111">
        <v>0.0</v>
      </c>
      <c r="AP695" s="219">
        <v>0.0</v>
      </c>
      <c r="AQ695" s="219"/>
      <c r="AR695" s="219"/>
      <c r="AS695" s="111">
        <v>0.0</v>
      </c>
      <c r="AT695" s="111">
        <v>0.0</v>
      </c>
      <c r="AU695" s="111">
        <v>0.0</v>
      </c>
      <c r="AV695" s="111">
        <v>0.0</v>
      </c>
      <c r="AW695" s="111" t="s">
        <v>88</v>
      </c>
      <c r="AX695" s="111">
        <v>0.0</v>
      </c>
      <c r="AY695" s="111">
        <v>0.0</v>
      </c>
      <c r="AZ695" s="111">
        <v>67.0</v>
      </c>
      <c r="BA695" s="43" t="s">
        <v>89</v>
      </c>
      <c r="BB695" s="111">
        <v>130.0</v>
      </c>
      <c r="BC695" s="95"/>
      <c r="BD695" s="71"/>
      <c r="BE695" s="71"/>
      <c r="BF695" s="72" t="s">
        <v>4135</v>
      </c>
      <c r="BG695" s="73"/>
      <c r="BH695" s="73"/>
      <c r="BI695" s="73"/>
      <c r="BJ695" s="73"/>
      <c r="BK695" s="73"/>
      <c r="BL695" s="73"/>
      <c r="BM695" s="73"/>
      <c r="BN695" s="73"/>
      <c r="BO695" s="73"/>
      <c r="BP695" s="73"/>
      <c r="BQ695" s="73"/>
      <c r="BR695" s="73"/>
      <c r="BS695" s="73"/>
      <c r="BT695" s="73"/>
      <c r="BU695" s="73"/>
      <c r="BV695" s="73"/>
      <c r="BW695" s="74"/>
      <c r="BX695" s="74"/>
      <c r="BY695" s="63"/>
      <c r="BZ695" s="63"/>
    </row>
    <row r="696" ht="15.75" customHeight="1">
      <c r="A696" s="75" t="s">
        <v>794</v>
      </c>
      <c r="B696" s="50" t="s">
        <v>4136</v>
      </c>
      <c r="C696" s="50" t="s">
        <v>271</v>
      </c>
      <c r="D696" s="50" t="s">
        <v>756</v>
      </c>
      <c r="E696" s="64"/>
      <c r="F696" s="78">
        <v>5.7E8</v>
      </c>
      <c r="G696" s="44" t="str">
        <f t="shared" si="16"/>
        <v>$500'000.000 a $1.000'000.000</v>
      </c>
      <c r="H696" s="44"/>
      <c r="I696" s="44"/>
      <c r="J696" s="50" t="s">
        <v>183</v>
      </c>
      <c r="K696" s="51" t="s">
        <v>184</v>
      </c>
      <c r="L696" s="50">
        <v>9.0</v>
      </c>
      <c r="M696" s="50"/>
      <c r="N696" s="50">
        <v>6.0</v>
      </c>
      <c r="O696" s="50">
        <v>0.0</v>
      </c>
      <c r="P696" s="50">
        <v>3.0</v>
      </c>
      <c r="Q696" s="88">
        <v>260.0</v>
      </c>
      <c r="R696" s="88">
        <v>90.0</v>
      </c>
      <c r="S696" s="56" t="str">
        <f t="shared" si="20"/>
        <v>Rentabilidad $2,700,000</v>
      </c>
      <c r="T696" s="50" t="s">
        <v>78</v>
      </c>
      <c r="U696" s="51" t="s">
        <v>184</v>
      </c>
      <c r="V696" s="50" t="s">
        <v>79</v>
      </c>
      <c r="W696" s="50"/>
      <c r="X696" s="50">
        <v>3.0</v>
      </c>
      <c r="Y696" s="50" t="s">
        <v>80</v>
      </c>
      <c r="Z696" s="91"/>
      <c r="AA696" s="59" t="str">
        <f>IF(Rentabilidad=0,"No aplica",TEXT(ROUND(Precio/Rentabilidad/12,0),0) &amp; " años")</f>
        <v>18 años</v>
      </c>
      <c r="AB696" s="82" t="s">
        <v>4137</v>
      </c>
      <c r="AC696" s="83" t="s">
        <v>4138</v>
      </c>
      <c r="AD696" s="337" t="s">
        <v>4139</v>
      </c>
      <c r="AE696" s="63"/>
      <c r="AF696" s="64" t="s">
        <v>84</v>
      </c>
      <c r="AG696" s="65" t="s">
        <v>106</v>
      </c>
      <c r="AH696" s="63"/>
      <c r="AI696" s="65" t="s">
        <v>107</v>
      </c>
      <c r="AJ696" s="239" t="s">
        <v>3897</v>
      </c>
      <c r="AK696" s="332" t="s">
        <v>81</v>
      </c>
      <c r="AL696" s="239" t="s">
        <v>109</v>
      </c>
      <c r="AM696" s="333">
        <v>3.103914892E9</v>
      </c>
      <c r="AN696" s="312"/>
      <c r="AO696" s="312"/>
      <c r="AP696" s="334"/>
      <c r="AQ696" s="334"/>
      <c r="AR696" s="334"/>
      <c r="AS696" s="314">
        <v>2700000.0</v>
      </c>
      <c r="AT696" s="232">
        <v>0.0</v>
      </c>
      <c r="AU696" s="315">
        <v>0.0</v>
      </c>
      <c r="AV696" s="315">
        <v>0.0</v>
      </c>
      <c r="AW696" s="315" t="s">
        <v>88</v>
      </c>
      <c r="AX696" s="313">
        <v>0.0</v>
      </c>
      <c r="AY696" s="315" t="s">
        <v>106</v>
      </c>
      <c r="AZ696" s="315">
        <v>0.0</v>
      </c>
      <c r="BA696" s="316" t="s">
        <v>89</v>
      </c>
      <c r="BB696" s="315">
        <v>0.0</v>
      </c>
      <c r="BC696" s="95"/>
      <c r="BD696" s="71"/>
      <c r="BE696" s="71"/>
      <c r="BF696" s="72" t="s">
        <v>4140</v>
      </c>
      <c r="BG696" s="73"/>
      <c r="BH696" s="73"/>
      <c r="BI696" s="73"/>
      <c r="BJ696" s="73"/>
      <c r="BK696" s="73"/>
      <c r="BL696" s="73"/>
      <c r="BM696" s="73"/>
      <c r="BN696" s="73"/>
      <c r="BO696" s="73"/>
      <c r="BP696" s="73"/>
      <c r="BQ696" s="73"/>
      <c r="BR696" s="73"/>
      <c r="BS696" s="73"/>
      <c r="BT696" s="73"/>
      <c r="BU696" s="73"/>
      <c r="BV696" s="73"/>
      <c r="BW696" s="74"/>
      <c r="BX696" s="74"/>
      <c r="BY696" s="63"/>
      <c r="BZ696" s="63"/>
    </row>
    <row r="697" ht="15.75" customHeight="1">
      <c r="A697" s="204" t="s">
        <v>4141</v>
      </c>
      <c r="B697" s="111" t="s">
        <v>4142</v>
      </c>
      <c r="C697" s="111" t="s">
        <v>271</v>
      </c>
      <c r="D697" s="111" t="s">
        <v>4143</v>
      </c>
      <c r="E697" s="205"/>
      <c r="F697" s="78">
        <v>5.5E8</v>
      </c>
      <c r="G697" s="44" t="str">
        <f t="shared" si="16"/>
        <v>$500'000.000 a $1.000'000.000</v>
      </c>
      <c r="H697" s="44"/>
      <c r="I697" s="44"/>
      <c r="J697" s="111" t="s">
        <v>968</v>
      </c>
      <c r="K697" s="206"/>
      <c r="L697" s="111">
        <v>0.0</v>
      </c>
      <c r="M697" s="111"/>
      <c r="N697" s="111">
        <v>2.0</v>
      </c>
      <c r="O697" s="111">
        <v>1.0</v>
      </c>
      <c r="P697" s="111">
        <v>1.0</v>
      </c>
      <c r="Q697" s="79">
        <v>153.0</v>
      </c>
      <c r="R697" s="79">
        <v>153.0</v>
      </c>
      <c r="S697" s="56" t="str">
        <f t="shared" si="20"/>
        <v> </v>
      </c>
      <c r="T697" s="111" t="s">
        <v>78</v>
      </c>
      <c r="U697" s="187" t="s">
        <v>77</v>
      </c>
      <c r="V697" s="50" t="s">
        <v>79</v>
      </c>
      <c r="W697" s="50"/>
      <c r="X697" s="111">
        <v>0.0</v>
      </c>
      <c r="Y697" s="43" t="s">
        <v>80</v>
      </c>
      <c r="Z697" s="80" t="s">
        <v>81</v>
      </c>
      <c r="AA697" s="59" t="str">
        <f>IF(Rentabilidad=0,"No aplica",TEXT(ROUND(Precio/Rentabilidad/12,0),0) &amp; " años")</f>
        <v>No aplica</v>
      </c>
      <c r="AB697" s="207" t="s">
        <v>4144</v>
      </c>
      <c r="AC697" s="131" t="s">
        <v>4145</v>
      </c>
      <c r="AD697" s="125" t="s">
        <v>4146</v>
      </c>
      <c r="AE697" s="209"/>
      <c r="AF697" s="64" t="s">
        <v>84</v>
      </c>
      <c r="AG697" s="65" t="s">
        <v>106</v>
      </c>
      <c r="AH697" s="209"/>
      <c r="AI697" s="65" t="s">
        <v>107</v>
      </c>
      <c r="AJ697" s="64" t="s">
        <v>3897</v>
      </c>
      <c r="AK697" s="58" t="s">
        <v>81</v>
      </c>
      <c r="AL697" s="45" t="s">
        <v>109</v>
      </c>
      <c r="AM697" s="52">
        <v>3.103914892E9</v>
      </c>
      <c r="AN697" s="217">
        <v>0.0</v>
      </c>
      <c r="AO697" s="209"/>
      <c r="AP697" s="210"/>
      <c r="AQ697" s="210"/>
      <c r="AR697" s="210"/>
      <c r="AS697" s="209"/>
      <c r="AT697" s="111">
        <v>0.0</v>
      </c>
      <c r="AU697" s="111">
        <v>0.0</v>
      </c>
      <c r="AV697" s="111">
        <v>0.0</v>
      </c>
      <c r="AW697" s="111" t="s">
        <v>88</v>
      </c>
      <c r="AX697" s="111">
        <v>0.0</v>
      </c>
      <c r="AY697" s="111">
        <v>0.0</v>
      </c>
      <c r="AZ697" s="111">
        <v>0.0</v>
      </c>
      <c r="BA697" s="43" t="s">
        <v>89</v>
      </c>
      <c r="BB697" s="111">
        <v>0.0</v>
      </c>
      <c r="BC697" s="69" t="s">
        <v>3570</v>
      </c>
      <c r="BD697" s="71"/>
      <c r="BE697" s="70"/>
      <c r="BF697" s="72" t="s">
        <v>4147</v>
      </c>
      <c r="BG697" s="73"/>
      <c r="BH697" s="73"/>
      <c r="BI697" s="73"/>
      <c r="BJ697" s="73"/>
      <c r="BK697" s="73"/>
      <c r="BL697" s="73"/>
      <c r="BM697" s="73"/>
      <c r="BN697" s="73"/>
      <c r="BO697" s="73"/>
      <c r="BP697" s="73"/>
      <c r="BQ697" s="73"/>
      <c r="BR697" s="73"/>
      <c r="BS697" s="73"/>
      <c r="BT697" s="73"/>
      <c r="BU697" s="73"/>
      <c r="BV697" s="73"/>
      <c r="BW697" s="74"/>
      <c r="BX697" s="74"/>
      <c r="BY697" s="63"/>
      <c r="BZ697" s="63"/>
    </row>
    <row r="698" ht="15.75" customHeight="1">
      <c r="A698" s="75" t="s">
        <v>4148</v>
      </c>
      <c r="B698" s="50" t="s">
        <v>4149</v>
      </c>
      <c r="C698" s="50" t="s">
        <v>271</v>
      </c>
      <c r="D698" s="50" t="s">
        <v>550</v>
      </c>
      <c r="E698" s="64"/>
      <c r="F698" s="78">
        <v>5.5E8</v>
      </c>
      <c r="G698" s="44" t="str">
        <f t="shared" si="16"/>
        <v>$500'000.000 a $1.000'000.000</v>
      </c>
      <c r="H698" s="44"/>
      <c r="I698" s="44"/>
      <c r="J698" s="50" t="s">
        <v>116</v>
      </c>
      <c r="K698" s="51" t="s">
        <v>192</v>
      </c>
      <c r="L698" s="50">
        <v>3.0</v>
      </c>
      <c r="M698" s="50"/>
      <c r="N698" s="50">
        <v>5.0</v>
      </c>
      <c r="O698" s="50">
        <v>0.0</v>
      </c>
      <c r="P698" s="50">
        <v>2.0</v>
      </c>
      <c r="Q698" s="88">
        <v>0.0</v>
      </c>
      <c r="R698" s="89">
        <v>0.0</v>
      </c>
      <c r="S698" s="56" t="str">
        <f t="shared" si="20"/>
        <v>Rentabilidad $3,800,000</v>
      </c>
      <c r="T698" s="50" t="s">
        <v>78</v>
      </c>
      <c r="U698" s="51" t="s">
        <v>77</v>
      </c>
      <c r="V698" s="50" t="s">
        <v>118</v>
      </c>
      <c r="W698" s="50"/>
      <c r="X698" s="50">
        <v>3.0</v>
      </c>
      <c r="Y698" s="50" t="s">
        <v>80</v>
      </c>
      <c r="Z698" s="91"/>
      <c r="AA698" s="59" t="str">
        <f>IF(Rentabilidad=0,"No aplica",TEXT(ROUND(Precio/Rentabilidad/12,0),0) &amp; " años")</f>
        <v>12 años</v>
      </c>
      <c r="AB698" s="82" t="s">
        <v>4150</v>
      </c>
      <c r="AC698" s="83" t="s">
        <v>4151</v>
      </c>
      <c r="AD698" s="169" t="s">
        <v>4152</v>
      </c>
      <c r="AE698" s="63"/>
      <c r="AF698" s="45" t="s">
        <v>236</v>
      </c>
      <c r="AG698" s="65" t="s">
        <v>106</v>
      </c>
      <c r="AH698" s="63"/>
      <c r="AI698" s="65" t="s">
        <v>107</v>
      </c>
      <c r="AJ698" s="239" t="s">
        <v>3897</v>
      </c>
      <c r="AK698" s="332" t="s">
        <v>81</v>
      </c>
      <c r="AL698" s="239" t="s">
        <v>109</v>
      </c>
      <c r="AM698" s="333">
        <v>3.103914892E9</v>
      </c>
      <c r="AN698" s="312"/>
      <c r="AO698" s="312"/>
      <c r="AP698" s="334"/>
      <c r="AQ698" s="334"/>
      <c r="AR698" s="334"/>
      <c r="AS698" s="314">
        <v>3800000.0</v>
      </c>
      <c r="AT698" s="232">
        <v>0.0</v>
      </c>
      <c r="AU698" s="315">
        <v>0.0</v>
      </c>
      <c r="AV698" s="315">
        <v>0.0</v>
      </c>
      <c r="AW698" s="315" t="s">
        <v>106</v>
      </c>
      <c r="AX698" s="313">
        <v>0.0</v>
      </c>
      <c r="AY698" s="315" t="s">
        <v>106</v>
      </c>
      <c r="AZ698" s="315">
        <v>0.0</v>
      </c>
      <c r="BA698" s="316" t="s">
        <v>89</v>
      </c>
      <c r="BB698" s="315">
        <v>0.0</v>
      </c>
      <c r="BC698" s="95"/>
      <c r="BD698" s="71"/>
      <c r="BE698" s="71"/>
      <c r="BF698" s="72" t="s">
        <v>4153</v>
      </c>
      <c r="BG698" s="73"/>
      <c r="BH698" s="73"/>
      <c r="BI698" s="73"/>
      <c r="BJ698" s="73"/>
      <c r="BK698" s="73"/>
      <c r="BL698" s="73"/>
      <c r="BM698" s="73"/>
      <c r="BN698" s="73"/>
      <c r="BO698" s="73"/>
      <c r="BP698" s="73"/>
      <c r="BQ698" s="73"/>
      <c r="BR698" s="73"/>
      <c r="BS698" s="73"/>
      <c r="BT698" s="73"/>
      <c r="BU698" s="73"/>
      <c r="BV698" s="73"/>
      <c r="BW698" s="74"/>
      <c r="BX698" s="74"/>
      <c r="BY698" s="63"/>
      <c r="BZ698" s="63"/>
    </row>
    <row r="699" ht="15.75" customHeight="1">
      <c r="A699" s="133" t="s">
        <v>4154</v>
      </c>
      <c r="B699" s="43" t="s">
        <v>870</v>
      </c>
      <c r="C699" s="43" t="s">
        <v>70</v>
      </c>
      <c r="D699" s="50" t="s">
        <v>477</v>
      </c>
      <c r="E699" s="45"/>
      <c r="F699" s="78">
        <v>5.4E8</v>
      </c>
      <c r="G699" s="44" t="str">
        <f t="shared" si="16"/>
        <v>$500'000.000 a $1.000'000.000</v>
      </c>
      <c r="H699" s="44"/>
      <c r="I699" s="44"/>
      <c r="J699" s="50" t="s">
        <v>76</v>
      </c>
      <c r="K699" s="57"/>
      <c r="L699" s="50">
        <v>4.0</v>
      </c>
      <c r="M699" s="50"/>
      <c r="N699" s="50">
        <v>3.0</v>
      </c>
      <c r="O699" s="50">
        <v>2.0</v>
      </c>
      <c r="P699" s="50">
        <v>2.0</v>
      </c>
      <c r="Q699" s="55">
        <v>210.0</v>
      </c>
      <c r="R699" s="55">
        <v>253.0</v>
      </c>
      <c r="S699" s="56" t="str">
        <f t="shared" si="20"/>
        <v> </v>
      </c>
      <c r="T699" s="43" t="s">
        <v>78</v>
      </c>
      <c r="U699" s="51" t="s">
        <v>77</v>
      </c>
      <c r="V699" s="50" t="s">
        <v>118</v>
      </c>
      <c r="W699" s="50"/>
      <c r="X699" s="50">
        <v>3.0</v>
      </c>
      <c r="Y699" s="50" t="s">
        <v>80</v>
      </c>
      <c r="Z699" s="58" t="s">
        <v>81</v>
      </c>
      <c r="AA699" s="81" t="s">
        <v>81</v>
      </c>
      <c r="AB699" s="140" t="s">
        <v>4155</v>
      </c>
      <c r="AC699" s="124" t="s">
        <v>4156</v>
      </c>
      <c r="AD699" s="107" t="s">
        <v>1202</v>
      </c>
      <c r="AE699" s="63"/>
      <c r="AF699" s="64" t="s">
        <v>236</v>
      </c>
      <c r="AG699" s="65" t="s">
        <v>106</v>
      </c>
      <c r="AH699" s="63"/>
      <c r="AI699" s="65" t="s">
        <v>107</v>
      </c>
      <c r="AJ699" s="64" t="s">
        <v>3897</v>
      </c>
      <c r="AK699" s="58" t="s">
        <v>81</v>
      </c>
      <c r="AL699" s="64" t="s">
        <v>109</v>
      </c>
      <c r="AM699" s="52">
        <v>3.103914892E9</v>
      </c>
      <c r="AN699" s="64">
        <v>0.0</v>
      </c>
      <c r="AO699" s="43">
        <v>0.0</v>
      </c>
      <c r="AP699" s="84">
        <v>0.0</v>
      </c>
      <c r="AQ699" s="84"/>
      <c r="AR699" s="84"/>
      <c r="AS699" s="85">
        <v>0.0</v>
      </c>
      <c r="AT699" s="50">
        <v>0.0</v>
      </c>
      <c r="AU699" s="50">
        <v>0.0</v>
      </c>
      <c r="AV699" s="50">
        <v>0.0</v>
      </c>
      <c r="AW699" s="50" t="s">
        <v>106</v>
      </c>
      <c r="AX699" s="50">
        <v>0.0</v>
      </c>
      <c r="AY699" s="50" t="s">
        <v>106</v>
      </c>
      <c r="AZ699" s="50">
        <v>0.0</v>
      </c>
      <c r="BA699" s="43" t="s">
        <v>89</v>
      </c>
      <c r="BB699" s="50">
        <v>0.0</v>
      </c>
      <c r="BC699" s="95" t="s">
        <v>1092</v>
      </c>
      <c r="BD699" s="71"/>
      <c r="BE699" s="71"/>
      <c r="BF699" s="72" t="s">
        <v>4157</v>
      </c>
      <c r="BG699" s="73"/>
      <c r="BH699" s="73"/>
      <c r="BI699" s="73"/>
      <c r="BJ699" s="73"/>
      <c r="BK699" s="73"/>
      <c r="BL699" s="73"/>
      <c r="BM699" s="73"/>
      <c r="BN699" s="73"/>
      <c r="BO699" s="73"/>
      <c r="BP699" s="73"/>
      <c r="BQ699" s="73"/>
      <c r="BR699" s="73"/>
      <c r="BS699" s="73"/>
      <c r="BT699" s="73"/>
      <c r="BU699" s="73"/>
      <c r="BV699" s="73"/>
      <c r="BW699" s="74"/>
      <c r="BX699" s="74"/>
      <c r="BY699" s="63"/>
      <c r="BZ699" s="63"/>
    </row>
    <row r="700" ht="15.75" customHeight="1">
      <c r="A700" s="133" t="s">
        <v>4158</v>
      </c>
      <c r="B700" s="43" t="s">
        <v>4159</v>
      </c>
      <c r="C700" s="43" t="s">
        <v>70</v>
      </c>
      <c r="D700" s="43" t="s">
        <v>4160</v>
      </c>
      <c r="E700" s="45"/>
      <c r="F700" s="78">
        <v>4.7E8</v>
      </c>
      <c r="G700" s="44" t="str">
        <f t="shared" si="16"/>
        <v>$400'000.000 a $500'000.000</v>
      </c>
      <c r="H700" s="44"/>
      <c r="I700" s="44"/>
      <c r="J700" s="43" t="s">
        <v>183</v>
      </c>
      <c r="K700" s="56" t="s">
        <v>184</v>
      </c>
      <c r="L700" s="43">
        <v>4.0</v>
      </c>
      <c r="M700" s="43"/>
      <c r="N700" s="43">
        <v>4.0</v>
      </c>
      <c r="O700" s="43">
        <v>1.0</v>
      </c>
      <c r="P700" s="43">
        <v>2.0</v>
      </c>
      <c r="Q700" s="88">
        <v>171.0</v>
      </c>
      <c r="R700" s="88">
        <v>90.0</v>
      </c>
      <c r="S700" s="56" t="str">
        <f t="shared" si="20"/>
        <v> </v>
      </c>
      <c r="T700" s="43" t="s">
        <v>78</v>
      </c>
      <c r="U700" s="56" t="s">
        <v>77</v>
      </c>
      <c r="V700" s="43" t="s">
        <v>118</v>
      </c>
      <c r="W700" s="43"/>
      <c r="X700" s="43">
        <v>4.0</v>
      </c>
      <c r="Y700" s="43" t="s">
        <v>80</v>
      </c>
      <c r="Z700" s="58"/>
      <c r="AA700" s="59" t="str">
        <f>IF(Rentabilidad=0,"No aplica",TEXT(ROUND(Precio/Rentabilidad/12,0),0) &amp; " años")</f>
        <v>No aplica</v>
      </c>
      <c r="AB700" s="140" t="s">
        <v>4161</v>
      </c>
      <c r="AC700" s="167" t="s">
        <v>4162</v>
      </c>
      <c r="AD700" s="107" t="s">
        <v>4163</v>
      </c>
      <c r="AE700" s="63"/>
      <c r="AF700" s="64" t="s">
        <v>105</v>
      </c>
      <c r="AG700" s="65" t="s">
        <v>106</v>
      </c>
      <c r="AH700" s="63"/>
      <c r="AI700" s="65" t="s">
        <v>107</v>
      </c>
      <c r="AJ700" s="64" t="s">
        <v>3897</v>
      </c>
      <c r="AK700" s="58" t="s">
        <v>81</v>
      </c>
      <c r="AL700" s="64" t="s">
        <v>109</v>
      </c>
      <c r="AM700" s="52">
        <v>3.103914892E9</v>
      </c>
      <c r="AN700" s="64">
        <v>0.0</v>
      </c>
      <c r="AO700" s="43">
        <v>0.0</v>
      </c>
      <c r="AP700" s="84">
        <v>0.0</v>
      </c>
      <c r="AQ700" s="84"/>
      <c r="AR700" s="84"/>
      <c r="AS700" s="85">
        <v>0.0</v>
      </c>
      <c r="AT700" s="50">
        <v>0.0</v>
      </c>
      <c r="AU700" s="50">
        <v>0.0</v>
      </c>
      <c r="AV700" s="50">
        <v>0.0</v>
      </c>
      <c r="AW700" s="50" t="s">
        <v>106</v>
      </c>
      <c r="AX700" s="50">
        <v>0.0</v>
      </c>
      <c r="AY700" s="50" t="s">
        <v>137</v>
      </c>
      <c r="AZ700" s="50">
        <v>0.0</v>
      </c>
      <c r="BA700" s="43" t="s">
        <v>89</v>
      </c>
      <c r="BB700" s="50">
        <v>0.0</v>
      </c>
      <c r="BC700" s="69" t="s">
        <v>1616</v>
      </c>
      <c r="BD700" s="70"/>
      <c r="BE700" s="71"/>
      <c r="BF700" s="72" t="s">
        <v>4164</v>
      </c>
      <c r="BG700" s="73"/>
      <c r="BH700" s="73"/>
      <c r="BI700" s="73"/>
      <c r="BJ700" s="73"/>
      <c r="BK700" s="73"/>
      <c r="BL700" s="73"/>
      <c r="BM700" s="73"/>
      <c r="BN700" s="73"/>
      <c r="BO700" s="73"/>
      <c r="BP700" s="73"/>
      <c r="BQ700" s="73"/>
      <c r="BR700" s="73"/>
      <c r="BS700" s="73"/>
      <c r="BT700" s="73"/>
      <c r="BU700" s="73"/>
      <c r="BV700" s="73"/>
      <c r="BW700" s="74"/>
      <c r="BX700" s="74"/>
      <c r="BY700" s="63"/>
      <c r="BZ700" s="63"/>
    </row>
    <row r="701" ht="15.75" customHeight="1">
      <c r="A701" s="120" t="s">
        <v>4165</v>
      </c>
      <c r="B701" s="50" t="s">
        <v>4166</v>
      </c>
      <c r="C701" s="50" t="s">
        <v>271</v>
      </c>
      <c r="D701" s="44" t="s">
        <v>756</v>
      </c>
      <c r="E701" s="64" t="s">
        <v>376</v>
      </c>
      <c r="F701" s="47">
        <v>4.5E8</v>
      </c>
      <c r="G701" s="44" t="str">
        <f t="shared" si="16"/>
        <v>$400'000.000 a $500'000.000</v>
      </c>
      <c r="H701" s="44"/>
      <c r="I701" s="44"/>
      <c r="J701" s="50" t="s">
        <v>183</v>
      </c>
      <c r="K701" s="57"/>
      <c r="L701" s="50">
        <v>6.0</v>
      </c>
      <c r="M701" s="50"/>
      <c r="N701" s="50">
        <v>5.0</v>
      </c>
      <c r="O701" s="50">
        <v>1.0</v>
      </c>
      <c r="P701" s="50">
        <v>2.0</v>
      </c>
      <c r="Q701" s="79">
        <v>150.0</v>
      </c>
      <c r="R701" s="79">
        <v>84.0</v>
      </c>
      <c r="S701" s="56" t="str">
        <f t="shared" si="20"/>
        <v>Rentabilidad $2,100,000</v>
      </c>
      <c r="T701" s="50" t="s">
        <v>78</v>
      </c>
      <c r="U701" s="51" t="s">
        <v>184</v>
      </c>
      <c r="V701" s="50" t="s">
        <v>118</v>
      </c>
      <c r="W701" s="50"/>
      <c r="X701" s="50">
        <v>4.0</v>
      </c>
      <c r="Y701" s="43" t="s">
        <v>80</v>
      </c>
      <c r="Z701" s="58" t="s">
        <v>81</v>
      </c>
      <c r="AA701" s="59" t="str">
        <f>IF(Rentabilidad=0,"No aplica",TEXT(ROUND(Precio/Rentabilidad/12,0),0) &amp; " años")</f>
        <v>18 años</v>
      </c>
      <c r="AB701" s="82" t="s">
        <v>4167</v>
      </c>
      <c r="AC701" s="176"/>
      <c r="AD701" s="138" t="s">
        <v>4168</v>
      </c>
      <c r="AE701" s="63"/>
      <c r="AF701" s="45" t="s">
        <v>236</v>
      </c>
      <c r="AG701" s="65" t="s">
        <v>106</v>
      </c>
      <c r="AH701" s="65"/>
      <c r="AI701" s="65" t="s">
        <v>107</v>
      </c>
      <c r="AJ701" s="64" t="s">
        <v>3897</v>
      </c>
      <c r="AK701" s="58" t="s">
        <v>81</v>
      </c>
      <c r="AL701" s="45" t="s">
        <v>109</v>
      </c>
      <c r="AM701" s="52">
        <v>3.103914892E9</v>
      </c>
      <c r="AN701" s="45"/>
      <c r="AO701" s="116"/>
      <c r="AP701" s="84">
        <v>0.0</v>
      </c>
      <c r="AQ701" s="84"/>
      <c r="AR701" s="84"/>
      <c r="AS701" s="94">
        <v>2100000.0</v>
      </c>
      <c r="AT701" s="44"/>
      <c r="AU701" s="44"/>
      <c r="AV701" s="44"/>
      <c r="AW701" s="44"/>
      <c r="AX701" s="44"/>
      <c r="AY701" s="44"/>
      <c r="AZ701" s="44"/>
      <c r="BA701" s="43" t="s">
        <v>89</v>
      </c>
      <c r="BB701" s="44"/>
      <c r="BC701" s="69" t="s">
        <v>4169</v>
      </c>
      <c r="BD701" s="70"/>
      <c r="BE701" s="71"/>
      <c r="BF701" s="72" t="s">
        <v>4170</v>
      </c>
      <c r="BG701" s="73"/>
      <c r="BH701" s="73"/>
      <c r="BI701" s="73"/>
      <c r="BJ701" s="73"/>
      <c r="BK701" s="73"/>
      <c r="BL701" s="73"/>
      <c r="BM701" s="73"/>
      <c r="BN701" s="73"/>
      <c r="BO701" s="73"/>
      <c r="BP701" s="73"/>
      <c r="BQ701" s="73"/>
      <c r="BR701" s="73"/>
      <c r="BS701" s="73"/>
      <c r="BT701" s="73"/>
      <c r="BU701" s="73"/>
      <c r="BV701" s="73"/>
      <c r="BW701" s="74"/>
      <c r="BX701" s="74"/>
      <c r="BY701" s="63"/>
      <c r="BZ701" s="63"/>
    </row>
    <row r="702" ht="15.75" customHeight="1">
      <c r="A702" s="75" t="s">
        <v>4171</v>
      </c>
      <c r="B702" s="50" t="s">
        <v>4172</v>
      </c>
      <c r="C702" s="50" t="s">
        <v>70</v>
      </c>
      <c r="D702" s="58" t="s">
        <v>4173</v>
      </c>
      <c r="E702" s="64"/>
      <c r="F702" s="78">
        <v>4.5E8</v>
      </c>
      <c r="G702" s="44" t="str">
        <f t="shared" si="16"/>
        <v>$400'000.000 a $500'000.000</v>
      </c>
      <c r="H702" s="44"/>
      <c r="I702" s="44"/>
      <c r="J702" s="50" t="s">
        <v>76</v>
      </c>
      <c r="K702" s="51"/>
      <c r="L702" s="43">
        <v>4.0</v>
      </c>
      <c r="M702" s="43"/>
      <c r="N702" s="43">
        <v>2.0</v>
      </c>
      <c r="O702" s="43">
        <v>0.0</v>
      </c>
      <c r="P702" s="43">
        <v>1.0</v>
      </c>
      <c r="Q702" s="55">
        <v>206.0</v>
      </c>
      <c r="R702" s="55">
        <v>227.0</v>
      </c>
      <c r="S702" s="56" t="str">
        <f t="shared" si="20"/>
        <v> </v>
      </c>
      <c r="T702" s="43" t="s">
        <v>78</v>
      </c>
      <c r="U702" s="56" t="s">
        <v>142</v>
      </c>
      <c r="V702" s="43" t="s">
        <v>79</v>
      </c>
      <c r="W702" s="43"/>
      <c r="X702" s="43">
        <v>0.0</v>
      </c>
      <c r="Y702" s="43" t="s">
        <v>80</v>
      </c>
      <c r="Z702" s="280" t="s">
        <v>81</v>
      </c>
      <c r="AA702" s="81" t="s">
        <v>81</v>
      </c>
      <c r="AB702" s="134" t="s">
        <v>4174</v>
      </c>
      <c r="AC702" s="124" t="s">
        <v>4175</v>
      </c>
      <c r="AD702" s="107" t="s">
        <v>4176</v>
      </c>
      <c r="AE702" s="63"/>
      <c r="AF702" s="64" t="s">
        <v>84</v>
      </c>
      <c r="AG702" s="65" t="s">
        <v>106</v>
      </c>
      <c r="AH702" s="63"/>
      <c r="AI702" s="65" t="s">
        <v>107</v>
      </c>
      <c r="AJ702" s="64" t="s">
        <v>3897</v>
      </c>
      <c r="AK702" s="58" t="s">
        <v>81</v>
      </c>
      <c r="AL702" s="64" t="s">
        <v>109</v>
      </c>
      <c r="AM702" s="52">
        <v>3.103914892E9</v>
      </c>
      <c r="AN702" s="64">
        <v>0.0</v>
      </c>
      <c r="AO702" s="43">
        <v>0.0</v>
      </c>
      <c r="AP702" s="84">
        <v>0.0</v>
      </c>
      <c r="AQ702" s="84"/>
      <c r="AR702" s="84"/>
      <c r="AS702" s="85">
        <v>0.0</v>
      </c>
      <c r="AT702" s="50" t="s">
        <v>88</v>
      </c>
      <c r="AU702" s="50" t="s">
        <v>88</v>
      </c>
      <c r="AV702" s="50">
        <v>0.0</v>
      </c>
      <c r="AW702" s="50" t="s">
        <v>88</v>
      </c>
      <c r="AX702" s="50">
        <v>0.0</v>
      </c>
      <c r="AY702" s="50" t="s">
        <v>137</v>
      </c>
      <c r="AZ702" s="50">
        <v>0.0</v>
      </c>
      <c r="BA702" s="43" t="s">
        <v>89</v>
      </c>
      <c r="BB702" s="50">
        <v>0.0</v>
      </c>
      <c r="BC702" s="86"/>
      <c r="BD702" s="71"/>
      <c r="BE702" s="71"/>
      <c r="BF702" s="72" t="s">
        <v>4177</v>
      </c>
      <c r="BG702" s="73"/>
      <c r="BH702" s="73"/>
      <c r="BI702" s="73"/>
      <c r="BJ702" s="73"/>
      <c r="BK702" s="73"/>
      <c r="BL702" s="73"/>
      <c r="BM702" s="73"/>
      <c r="BN702" s="73"/>
      <c r="BO702" s="73"/>
      <c r="BP702" s="73"/>
      <c r="BQ702" s="73"/>
      <c r="BR702" s="73"/>
      <c r="BS702" s="73"/>
      <c r="BT702" s="73"/>
      <c r="BU702" s="73"/>
      <c r="BV702" s="73"/>
      <c r="BW702" s="74"/>
      <c r="BX702" s="74"/>
      <c r="BY702" s="63"/>
      <c r="BZ702" s="63"/>
    </row>
    <row r="703" ht="15.75" customHeight="1">
      <c r="A703" s="133" t="s">
        <v>4178</v>
      </c>
      <c r="B703" s="43" t="s">
        <v>593</v>
      </c>
      <c r="C703" s="111" t="s">
        <v>323</v>
      </c>
      <c r="D703" s="50" t="s">
        <v>11</v>
      </c>
      <c r="E703" s="77" t="s">
        <v>1613</v>
      </c>
      <c r="F703" s="78">
        <v>4.5E8</v>
      </c>
      <c r="G703" s="44" t="str">
        <f t="shared" si="16"/>
        <v>$400'000.000 a $500'000.000</v>
      </c>
      <c r="H703" s="44"/>
      <c r="I703" s="44"/>
      <c r="J703" s="43" t="s">
        <v>183</v>
      </c>
      <c r="K703" s="56"/>
      <c r="L703" s="43">
        <v>3.0</v>
      </c>
      <c r="M703" s="43"/>
      <c r="N703" s="43">
        <v>2.0</v>
      </c>
      <c r="O703" s="43">
        <v>1.0</v>
      </c>
      <c r="P703" s="43">
        <v>4.0</v>
      </c>
      <c r="Q703" s="55">
        <v>100.0</v>
      </c>
      <c r="R703" s="55">
        <v>100.0</v>
      </c>
      <c r="S703" s="56" t="str">
        <f t="shared" si="20"/>
        <v> </v>
      </c>
      <c r="T703" s="43" t="s">
        <v>78</v>
      </c>
      <c r="U703" s="187" t="s">
        <v>142</v>
      </c>
      <c r="V703" s="43" t="s">
        <v>680</v>
      </c>
      <c r="W703" s="43"/>
      <c r="X703" s="43">
        <v>3.0</v>
      </c>
      <c r="Y703" s="43" t="s">
        <v>130</v>
      </c>
      <c r="Z703" s="58">
        <v>450000.0</v>
      </c>
      <c r="AA703" s="81" t="s">
        <v>81</v>
      </c>
      <c r="AB703" s="134" t="s">
        <v>4179</v>
      </c>
      <c r="AC703" s="124" t="s">
        <v>4180</v>
      </c>
      <c r="AD703" s="107" t="s">
        <v>4181</v>
      </c>
      <c r="AE703" s="63"/>
      <c r="AF703" s="64" t="s">
        <v>105</v>
      </c>
      <c r="AG703" s="65" t="s">
        <v>106</v>
      </c>
      <c r="AH703" s="65"/>
      <c r="AI703" s="65" t="s">
        <v>107</v>
      </c>
      <c r="AJ703" s="64" t="s">
        <v>3897</v>
      </c>
      <c r="AK703" s="58" t="s">
        <v>81</v>
      </c>
      <c r="AL703" s="45" t="s">
        <v>109</v>
      </c>
      <c r="AM703" s="52">
        <v>3.103914892E9</v>
      </c>
      <c r="AN703" s="64">
        <v>0.0</v>
      </c>
      <c r="AO703" s="43">
        <v>0.0</v>
      </c>
      <c r="AP703" s="84">
        <v>0.0</v>
      </c>
      <c r="AQ703" s="84">
        <v>2.95171819048902</v>
      </c>
      <c r="AR703" s="84">
        <v>-75.2894605585392</v>
      </c>
      <c r="AS703" s="85">
        <v>0.0</v>
      </c>
      <c r="AT703" s="50" t="s">
        <v>106</v>
      </c>
      <c r="AU703" s="43" t="s">
        <v>106</v>
      </c>
      <c r="AV703" s="43">
        <v>3.0</v>
      </c>
      <c r="AW703" s="43" t="s">
        <v>88</v>
      </c>
      <c r="AX703" s="43">
        <v>0.0</v>
      </c>
      <c r="AY703" s="43">
        <v>0.0</v>
      </c>
      <c r="AZ703" s="50">
        <v>0.0</v>
      </c>
      <c r="BA703" s="43" t="s">
        <v>89</v>
      </c>
      <c r="BB703" s="50">
        <v>0.0</v>
      </c>
      <c r="BC703" s="69"/>
      <c r="BD703" s="70"/>
      <c r="BE703" s="71"/>
      <c r="BF703" s="72" t="s">
        <v>4182</v>
      </c>
      <c r="BG703" s="73"/>
      <c r="BH703" s="73"/>
      <c r="BI703" s="73"/>
      <c r="BJ703" s="73"/>
      <c r="BK703" s="73"/>
      <c r="BL703" s="73"/>
      <c r="BM703" s="73"/>
      <c r="BN703" s="73"/>
      <c r="BO703" s="73"/>
      <c r="BP703" s="73"/>
      <c r="BQ703" s="73"/>
      <c r="BR703" s="73"/>
      <c r="BS703" s="73"/>
      <c r="BT703" s="73"/>
      <c r="BU703" s="73"/>
      <c r="BV703" s="73"/>
      <c r="BW703" s="74"/>
      <c r="BX703" s="74"/>
      <c r="BY703" s="63"/>
      <c r="BZ703" s="63"/>
    </row>
    <row r="704" ht="15.75" customHeight="1">
      <c r="A704" s="41" t="s">
        <v>4183</v>
      </c>
      <c r="B704" s="43" t="s">
        <v>92</v>
      </c>
      <c r="C704" s="43" t="s">
        <v>93</v>
      </c>
      <c r="D704" s="50" t="s">
        <v>376</v>
      </c>
      <c r="E704" s="64" t="s">
        <v>376</v>
      </c>
      <c r="F704" s="47">
        <v>4.5E8</v>
      </c>
      <c r="G704" s="44" t="str">
        <f t="shared" si="16"/>
        <v>$400'000.000 a $500'000.000</v>
      </c>
      <c r="H704" s="44"/>
      <c r="I704" s="44"/>
      <c r="J704" s="50" t="s">
        <v>116</v>
      </c>
      <c r="K704" s="51"/>
      <c r="L704" s="44">
        <v>4.0</v>
      </c>
      <c r="M704" s="44"/>
      <c r="N704" s="44">
        <v>2.0</v>
      </c>
      <c r="O704" s="50">
        <v>2.0</v>
      </c>
      <c r="P704" s="44">
        <v>1.0</v>
      </c>
      <c r="Q704" s="113">
        <v>210.0</v>
      </c>
      <c r="R704" s="79">
        <v>600.0</v>
      </c>
      <c r="S704" s="56" t="str">
        <f t="shared" si="20"/>
        <v> </v>
      </c>
      <c r="T704" s="44" t="s">
        <v>95</v>
      </c>
      <c r="U704" s="57"/>
      <c r="V704" s="44"/>
      <c r="W704" s="44"/>
      <c r="X704" s="44">
        <v>3.0</v>
      </c>
      <c r="Y704" s="50" t="s">
        <v>80</v>
      </c>
      <c r="Z704" s="80" t="s">
        <v>81</v>
      </c>
      <c r="AA704" s="59" t="str">
        <f>IF(Rentabilidad=0,"No aplica",TEXT(ROUND(Precio/Rentabilidad/12,0),0) &amp; " años")</f>
        <v>No aplica</v>
      </c>
      <c r="AB704" s="140" t="s">
        <v>4184</v>
      </c>
      <c r="AC704" s="131" t="s">
        <v>4185</v>
      </c>
      <c r="AD704" s="103" t="s">
        <v>4186</v>
      </c>
      <c r="AE704" s="63"/>
      <c r="AF704" s="45" t="s">
        <v>105</v>
      </c>
      <c r="AG704" s="65" t="s">
        <v>106</v>
      </c>
      <c r="AH704" s="65"/>
      <c r="AI704" s="65" t="s">
        <v>107</v>
      </c>
      <c r="AJ704" s="64" t="s">
        <v>3897</v>
      </c>
      <c r="AK704" s="58" t="s">
        <v>81</v>
      </c>
      <c r="AL704" s="45" t="s">
        <v>109</v>
      </c>
      <c r="AM704" s="52">
        <v>3.103914892E9</v>
      </c>
      <c r="AN704" s="45">
        <v>0.0</v>
      </c>
      <c r="AO704" s="116"/>
      <c r="AP704" s="67" t="s">
        <v>4187</v>
      </c>
      <c r="AQ704" s="67"/>
      <c r="AR704" s="67"/>
      <c r="AS704" s="68">
        <v>0.0</v>
      </c>
      <c r="AT704" s="44">
        <v>0.0</v>
      </c>
      <c r="AU704" s="52">
        <v>0.0</v>
      </c>
      <c r="AV704" s="52">
        <v>0.0</v>
      </c>
      <c r="AW704" s="43" t="s">
        <v>88</v>
      </c>
      <c r="AX704" s="52">
        <v>0.0</v>
      </c>
      <c r="AY704" s="52">
        <v>0.0</v>
      </c>
      <c r="AZ704" s="44">
        <v>0.0</v>
      </c>
      <c r="BA704" s="43" t="s">
        <v>89</v>
      </c>
      <c r="BB704" s="44">
        <v>0.0</v>
      </c>
      <c r="BC704" s="86"/>
      <c r="BD704" s="71"/>
      <c r="BE704" s="71"/>
      <c r="BF704" s="72" t="s">
        <v>4188</v>
      </c>
      <c r="BG704" s="73"/>
      <c r="BH704" s="73"/>
      <c r="BI704" s="73"/>
      <c r="BJ704" s="73"/>
      <c r="BK704" s="73"/>
      <c r="BL704" s="73"/>
      <c r="BM704" s="73"/>
      <c r="BN704" s="73"/>
      <c r="BO704" s="73"/>
      <c r="BP704" s="73"/>
      <c r="BQ704" s="73"/>
      <c r="BR704" s="73"/>
      <c r="BS704" s="73"/>
      <c r="BT704" s="73"/>
      <c r="BU704" s="73"/>
      <c r="BV704" s="73"/>
      <c r="BW704" s="74"/>
      <c r="BX704" s="74"/>
      <c r="BY704" s="63"/>
      <c r="BZ704" s="63"/>
    </row>
    <row r="705" ht="15.75" customHeight="1">
      <c r="A705" s="133" t="s">
        <v>4189</v>
      </c>
      <c r="B705" s="43" t="s">
        <v>1043</v>
      </c>
      <c r="C705" s="43" t="s">
        <v>70</v>
      </c>
      <c r="D705" s="43" t="s">
        <v>1044</v>
      </c>
      <c r="E705" s="77"/>
      <c r="F705" s="78">
        <v>4.3E8</v>
      </c>
      <c r="G705" s="44" t="str">
        <f t="shared" si="16"/>
        <v>$400'000.000 a $500'000.000</v>
      </c>
      <c r="H705" s="44"/>
      <c r="I705" s="44"/>
      <c r="J705" s="43" t="s">
        <v>116</v>
      </c>
      <c r="K705" s="56"/>
      <c r="L705" s="43">
        <v>3.0</v>
      </c>
      <c r="M705" s="43"/>
      <c r="N705" s="43">
        <v>3.0</v>
      </c>
      <c r="O705" s="43">
        <v>1.0</v>
      </c>
      <c r="P705" s="43">
        <v>2.0</v>
      </c>
      <c r="Q705" s="55">
        <v>204.0</v>
      </c>
      <c r="R705" s="55">
        <v>110.5</v>
      </c>
      <c r="S705" s="56" t="str">
        <f t="shared" si="20"/>
        <v> </v>
      </c>
      <c r="T705" s="43" t="s">
        <v>78</v>
      </c>
      <c r="U705" s="187" t="s">
        <v>77</v>
      </c>
      <c r="V705" s="43" t="s">
        <v>79</v>
      </c>
      <c r="W705" s="43"/>
      <c r="X705" s="43">
        <v>3.0</v>
      </c>
      <c r="Y705" s="43" t="s">
        <v>80</v>
      </c>
      <c r="Z705" s="58" t="s">
        <v>81</v>
      </c>
      <c r="AA705" s="81" t="s">
        <v>81</v>
      </c>
      <c r="AB705" s="134" t="s">
        <v>4190</v>
      </c>
      <c r="AC705" s="124" t="s">
        <v>4191</v>
      </c>
      <c r="AD705" s="107" t="s">
        <v>4192</v>
      </c>
      <c r="AE705" s="63"/>
      <c r="AF705" s="64" t="s">
        <v>105</v>
      </c>
      <c r="AG705" s="65" t="s">
        <v>106</v>
      </c>
      <c r="AH705" s="65"/>
      <c r="AI705" s="65" t="s">
        <v>107</v>
      </c>
      <c r="AJ705" s="64" t="s">
        <v>3897</v>
      </c>
      <c r="AK705" s="58" t="s">
        <v>81</v>
      </c>
      <c r="AL705" s="45" t="s">
        <v>109</v>
      </c>
      <c r="AM705" s="52">
        <v>3.103914892E9</v>
      </c>
      <c r="AN705" s="64">
        <v>0.0</v>
      </c>
      <c r="AO705" s="43">
        <v>0.0</v>
      </c>
      <c r="AP705" s="84">
        <v>0.0</v>
      </c>
      <c r="AQ705" s="84"/>
      <c r="AR705" s="84"/>
      <c r="AS705" s="85">
        <v>0.0</v>
      </c>
      <c r="AT705" s="50" t="s">
        <v>88</v>
      </c>
      <c r="AU705" s="43">
        <v>0.0</v>
      </c>
      <c r="AV705" s="43" t="s">
        <v>106</v>
      </c>
      <c r="AW705" s="43" t="s">
        <v>88</v>
      </c>
      <c r="AX705" s="43">
        <v>0.0</v>
      </c>
      <c r="AY705" s="43">
        <v>2.0</v>
      </c>
      <c r="AZ705" s="50">
        <v>0.0</v>
      </c>
      <c r="BA705" s="43" t="s">
        <v>89</v>
      </c>
      <c r="BB705" s="50">
        <v>0.0</v>
      </c>
      <c r="BC705" s="69" t="s">
        <v>1137</v>
      </c>
      <c r="BD705" s="70"/>
      <c r="BE705" s="70"/>
      <c r="BF705" s="72" t="s">
        <v>4193</v>
      </c>
      <c r="BG705" s="73"/>
      <c r="BH705" s="73"/>
      <c r="BI705" s="73"/>
      <c r="BJ705" s="73"/>
      <c r="BK705" s="73"/>
      <c r="BL705" s="73"/>
      <c r="BM705" s="73"/>
      <c r="BN705" s="73"/>
      <c r="BO705" s="73"/>
      <c r="BP705" s="73"/>
      <c r="BQ705" s="73"/>
      <c r="BR705" s="73"/>
      <c r="BS705" s="73"/>
      <c r="BT705" s="73"/>
      <c r="BU705" s="73"/>
      <c r="BV705" s="73"/>
      <c r="BW705" s="74"/>
      <c r="BX705" s="74"/>
      <c r="BY705" s="63"/>
      <c r="BZ705" s="63"/>
    </row>
    <row r="706" ht="15.75" customHeight="1">
      <c r="A706" s="133" t="s">
        <v>4194</v>
      </c>
      <c r="B706" s="43" t="s">
        <v>4195</v>
      </c>
      <c r="C706" s="50" t="s">
        <v>573</v>
      </c>
      <c r="D706" s="43" t="s">
        <v>76</v>
      </c>
      <c r="E706" s="77" t="s">
        <v>4196</v>
      </c>
      <c r="F706" s="78">
        <v>4.2E8</v>
      </c>
      <c r="G706" s="44" t="str">
        <f t="shared" si="16"/>
        <v>$400'000.000 a $500'000.000</v>
      </c>
      <c r="H706" s="44"/>
      <c r="I706" s="44"/>
      <c r="J706" s="43" t="s">
        <v>76</v>
      </c>
      <c r="K706" s="56"/>
      <c r="L706" s="43">
        <v>3.0</v>
      </c>
      <c r="M706" s="43"/>
      <c r="N706" s="43">
        <v>2.0</v>
      </c>
      <c r="O706" s="43">
        <v>1.0</v>
      </c>
      <c r="P706" s="43">
        <v>2.0</v>
      </c>
      <c r="Q706" s="55">
        <v>160.0</v>
      </c>
      <c r="R706" s="55">
        <v>160.0</v>
      </c>
      <c r="S706" s="56" t="str">
        <f t="shared" si="20"/>
        <v> </v>
      </c>
      <c r="T706" s="43" t="s">
        <v>78</v>
      </c>
      <c r="U706" s="187" t="s">
        <v>142</v>
      </c>
      <c r="V706" s="43" t="s">
        <v>542</v>
      </c>
      <c r="W706" s="43"/>
      <c r="X706" s="43">
        <v>3.0</v>
      </c>
      <c r="Y706" s="43" t="s">
        <v>130</v>
      </c>
      <c r="Z706" s="58">
        <v>450000.0</v>
      </c>
      <c r="AA706" s="59" t="str">
        <f>IF(Rentabilidad=0,"No aplica",TEXT(ROUND(Precio/Rentabilidad/12,0),0) &amp; " años")</f>
        <v>No aplica</v>
      </c>
      <c r="AB706" s="134" t="s">
        <v>4197</v>
      </c>
      <c r="AC706" s="131" t="s">
        <v>4198</v>
      </c>
      <c r="AD706" s="125" t="s">
        <v>4199</v>
      </c>
      <c r="AE706" s="63"/>
      <c r="AF706" s="45" t="s">
        <v>105</v>
      </c>
      <c r="AG706" s="65" t="s">
        <v>106</v>
      </c>
      <c r="AH706" s="65"/>
      <c r="AI706" s="65" t="s">
        <v>107</v>
      </c>
      <c r="AJ706" s="64" t="s">
        <v>3897</v>
      </c>
      <c r="AK706" s="58" t="s">
        <v>81</v>
      </c>
      <c r="AL706" s="45" t="s">
        <v>109</v>
      </c>
      <c r="AM706" s="52">
        <v>3.103914892E9</v>
      </c>
      <c r="AN706" s="45"/>
      <c r="AO706" s="52"/>
      <c r="AP706" s="67"/>
      <c r="AQ706" s="67"/>
      <c r="AR706" s="67"/>
      <c r="AS706" s="94">
        <v>0.0</v>
      </c>
      <c r="AT706" s="65" t="s">
        <v>106</v>
      </c>
      <c r="AU706" s="43" t="s">
        <v>106</v>
      </c>
      <c r="AV706" s="43" t="s">
        <v>106</v>
      </c>
      <c r="AW706" s="43" t="s">
        <v>88</v>
      </c>
      <c r="AX706" s="43">
        <v>0.0</v>
      </c>
      <c r="AY706" s="43">
        <v>0.0</v>
      </c>
      <c r="AZ706" s="43">
        <v>0.0</v>
      </c>
      <c r="BA706" s="43" t="s">
        <v>89</v>
      </c>
      <c r="BB706" s="43">
        <v>0.0</v>
      </c>
      <c r="BC706" s="95" t="s">
        <v>716</v>
      </c>
      <c r="BD706" s="71"/>
      <c r="BE706" s="71"/>
      <c r="BF706" s="72" t="s">
        <v>4200</v>
      </c>
      <c r="BG706" s="73"/>
      <c r="BH706" s="73"/>
      <c r="BI706" s="73"/>
      <c r="BJ706" s="73"/>
      <c r="BK706" s="73"/>
      <c r="BL706" s="73"/>
      <c r="BM706" s="73"/>
      <c r="BN706" s="73"/>
      <c r="BO706" s="73"/>
      <c r="BP706" s="73"/>
      <c r="BQ706" s="73"/>
      <c r="BR706" s="73"/>
      <c r="BS706" s="73"/>
      <c r="BT706" s="73"/>
      <c r="BU706" s="73"/>
      <c r="BV706" s="73"/>
      <c r="BW706" s="74"/>
      <c r="BX706" s="74"/>
      <c r="BY706" s="63"/>
      <c r="BZ706" s="63"/>
    </row>
    <row r="707" ht="15.75" customHeight="1">
      <c r="A707" s="75" t="s">
        <v>4201</v>
      </c>
      <c r="B707" s="50" t="s">
        <v>4202</v>
      </c>
      <c r="C707" s="50" t="s">
        <v>323</v>
      </c>
      <c r="D707" s="50" t="s">
        <v>574</v>
      </c>
      <c r="E707" s="64"/>
      <c r="F707" s="78">
        <v>4.2E8</v>
      </c>
      <c r="G707" s="44" t="str">
        <f t="shared" si="16"/>
        <v>$400'000.000 a $500'000.000</v>
      </c>
      <c r="H707" s="44"/>
      <c r="I707" s="44"/>
      <c r="J707" s="50" t="s">
        <v>116</v>
      </c>
      <c r="K707" s="51" t="s">
        <v>154</v>
      </c>
      <c r="L707" s="50">
        <v>3.0</v>
      </c>
      <c r="M707" s="50"/>
      <c r="N707" s="50">
        <v>2.0</v>
      </c>
      <c r="O707" s="50">
        <v>1.0</v>
      </c>
      <c r="P707" s="50">
        <v>2.0</v>
      </c>
      <c r="Q707" s="88">
        <v>113.0</v>
      </c>
      <c r="R707" s="88">
        <v>113.0</v>
      </c>
      <c r="S707" s="56" t="str">
        <f t="shared" si="20"/>
        <v> </v>
      </c>
      <c r="T707" s="50" t="s">
        <v>78</v>
      </c>
      <c r="U707" s="51" t="s">
        <v>142</v>
      </c>
      <c r="V707" s="50" t="s">
        <v>542</v>
      </c>
      <c r="W707" s="50"/>
      <c r="X707" s="50">
        <v>3.0</v>
      </c>
      <c r="Y707" s="50" t="s">
        <v>130</v>
      </c>
      <c r="Z707" s="58">
        <v>330000.0</v>
      </c>
      <c r="AA707" s="59" t="str">
        <f>IF(Rentabilidad=0,"No aplica",TEXT(ROUND(Precio/Rentabilidad/12,0),0) &amp; " años")</f>
        <v>No aplica</v>
      </c>
      <c r="AB707" s="82" t="s">
        <v>4203</v>
      </c>
      <c r="AC707" s="169" t="s">
        <v>4204</v>
      </c>
      <c r="AD707" s="83" t="s">
        <v>4205</v>
      </c>
      <c r="AE707" s="63"/>
      <c r="AF707" s="64" t="s">
        <v>105</v>
      </c>
      <c r="AG707" s="65" t="s">
        <v>106</v>
      </c>
      <c r="AH707" s="63"/>
      <c r="AI707" s="65" t="s">
        <v>107</v>
      </c>
      <c r="AJ707" s="239" t="s">
        <v>3897</v>
      </c>
      <c r="AK707" s="332" t="s">
        <v>81</v>
      </c>
      <c r="AL707" s="239" t="s">
        <v>109</v>
      </c>
      <c r="AM707" s="333">
        <v>3.103914892E9</v>
      </c>
      <c r="AN707" s="312"/>
      <c r="AO707" s="312"/>
      <c r="AP707" s="312"/>
      <c r="AQ707" s="315">
        <v>2.93754068538531</v>
      </c>
      <c r="AR707" s="315">
        <v>-75.2574501282189</v>
      </c>
      <c r="AS707" s="314">
        <v>0.0</v>
      </c>
      <c r="AT707" s="232" t="s">
        <v>106</v>
      </c>
      <c r="AU707" s="315">
        <v>0.0</v>
      </c>
      <c r="AV707" s="315">
        <v>3.0</v>
      </c>
      <c r="AW707" s="315" t="s">
        <v>88</v>
      </c>
      <c r="AX707" s="313">
        <v>0.0</v>
      </c>
      <c r="AY707" s="315">
        <v>0.0</v>
      </c>
      <c r="AZ707" s="315">
        <v>0.0</v>
      </c>
      <c r="BA707" s="316" t="s">
        <v>89</v>
      </c>
      <c r="BB707" s="315">
        <v>0.0</v>
      </c>
      <c r="BC707" s="95"/>
      <c r="BD707" s="71"/>
      <c r="BE707" s="71"/>
      <c r="BF707" s="72" t="s">
        <v>4206</v>
      </c>
      <c r="BG707" s="73"/>
      <c r="BH707" s="73"/>
      <c r="BI707" s="73"/>
      <c r="BJ707" s="73"/>
      <c r="BK707" s="73"/>
      <c r="BL707" s="73"/>
      <c r="BM707" s="73"/>
      <c r="BN707" s="73"/>
      <c r="BO707" s="73"/>
      <c r="BP707" s="73"/>
      <c r="BQ707" s="73"/>
      <c r="BR707" s="73"/>
      <c r="BS707" s="73"/>
      <c r="BT707" s="73"/>
      <c r="BU707" s="73"/>
      <c r="BV707" s="73"/>
      <c r="BW707" s="74"/>
      <c r="BX707" s="74"/>
      <c r="BY707" s="63"/>
      <c r="BZ707" s="63"/>
    </row>
    <row r="708" ht="15.75" customHeight="1">
      <c r="A708" s="75" t="s">
        <v>4207</v>
      </c>
      <c r="B708" s="50" t="s">
        <v>4208</v>
      </c>
      <c r="C708" s="50" t="s">
        <v>773</v>
      </c>
      <c r="D708" s="50" t="s">
        <v>131</v>
      </c>
      <c r="E708" s="64"/>
      <c r="F708" s="78">
        <v>4.2E8</v>
      </c>
      <c r="G708" s="44" t="str">
        <f t="shared" si="16"/>
        <v>$400'000.000 a $500'000.000</v>
      </c>
      <c r="H708" s="44"/>
      <c r="I708" s="44"/>
      <c r="J708" s="50" t="s">
        <v>183</v>
      </c>
      <c r="K708" s="51" t="s">
        <v>184</v>
      </c>
      <c r="L708" s="50">
        <v>0.0</v>
      </c>
      <c r="M708" s="50"/>
      <c r="N708" s="50">
        <v>0.0</v>
      </c>
      <c r="O708" s="50">
        <v>0.0</v>
      </c>
      <c r="P708" s="50">
        <v>1.0</v>
      </c>
      <c r="Q708" s="88">
        <v>95.45</v>
      </c>
      <c r="R708" s="88">
        <v>102.34</v>
      </c>
      <c r="S708" s="56" t="str">
        <f t="shared" si="20"/>
        <v> </v>
      </c>
      <c r="T708" s="50" t="s">
        <v>78</v>
      </c>
      <c r="U708" s="51" t="s">
        <v>679</v>
      </c>
      <c r="V708" s="50" t="s">
        <v>1014</v>
      </c>
      <c r="W708" s="50"/>
      <c r="X708" s="50">
        <v>0.0</v>
      </c>
      <c r="Y708" s="50" t="s">
        <v>80</v>
      </c>
      <c r="Z708" s="91"/>
      <c r="AA708" s="59" t="str">
        <f>IF(Rentabilidad=0,"No aplica",TEXT(ROUND(Precio/Rentabilidad/12,0),0) &amp; " años")</f>
        <v>No aplica</v>
      </c>
      <c r="AB708" s="82" t="s">
        <v>4209</v>
      </c>
      <c r="AC708" s="83" t="s">
        <v>4210</v>
      </c>
      <c r="AD708" s="83" t="s">
        <v>4211</v>
      </c>
      <c r="AE708" s="63"/>
      <c r="AF708" s="64">
        <v>0.0</v>
      </c>
      <c r="AG708" s="65" t="s">
        <v>106</v>
      </c>
      <c r="AH708" s="63"/>
      <c r="AI708" s="65" t="s">
        <v>107</v>
      </c>
      <c r="AJ708" s="239" t="s">
        <v>3897</v>
      </c>
      <c r="AK708" s="332" t="s">
        <v>81</v>
      </c>
      <c r="AL708" s="239" t="s">
        <v>109</v>
      </c>
      <c r="AM708" s="333">
        <v>3.103914892E9</v>
      </c>
      <c r="AN708" s="312"/>
      <c r="AO708" s="312"/>
      <c r="AP708" s="312"/>
      <c r="AQ708" s="315">
        <v>2.93184819839702</v>
      </c>
      <c r="AR708" s="315">
        <v>-75.2902115162076</v>
      </c>
      <c r="AS708" s="314">
        <v>0.0</v>
      </c>
      <c r="AT708" s="232">
        <v>0.0</v>
      </c>
      <c r="AU708" s="315">
        <v>0.0</v>
      </c>
      <c r="AV708" s="315">
        <v>0.0</v>
      </c>
      <c r="AW708" s="315" t="s">
        <v>88</v>
      </c>
      <c r="AX708" s="313">
        <v>0.0</v>
      </c>
      <c r="AY708" s="315">
        <v>0.0</v>
      </c>
      <c r="AZ708" s="315">
        <v>0.0</v>
      </c>
      <c r="BA708" s="316" t="s">
        <v>89</v>
      </c>
      <c r="BB708" s="315">
        <v>0.0</v>
      </c>
      <c r="BC708" s="95"/>
      <c r="BD708" s="71"/>
      <c r="BE708" s="71"/>
      <c r="BF708" s="72" t="s">
        <v>4212</v>
      </c>
      <c r="BG708" s="113"/>
      <c r="BH708" s="113"/>
      <c r="BI708" s="113"/>
      <c r="BJ708" s="113"/>
      <c r="BK708" s="113"/>
      <c r="BL708" s="113"/>
      <c r="BM708" s="113"/>
      <c r="BN708" s="113"/>
      <c r="BO708" s="113"/>
      <c r="BP708" s="113"/>
      <c r="BQ708" s="113"/>
      <c r="BR708" s="113"/>
      <c r="BS708" s="113"/>
      <c r="BT708" s="113"/>
      <c r="BU708" s="113"/>
      <c r="BV708" s="113"/>
      <c r="BW708" s="74"/>
      <c r="BX708" s="74"/>
      <c r="BY708" s="63"/>
      <c r="BZ708" s="63"/>
    </row>
    <row r="709" ht="15.75" customHeight="1">
      <c r="A709" s="133" t="s">
        <v>4213</v>
      </c>
      <c r="B709" s="122" t="s">
        <v>429</v>
      </c>
      <c r="C709" s="43" t="s">
        <v>70</v>
      </c>
      <c r="D709" s="44" t="s">
        <v>430</v>
      </c>
      <c r="E709" s="77" t="s">
        <v>376</v>
      </c>
      <c r="F709" s="78">
        <v>4.0E8</v>
      </c>
      <c r="G709" s="44" t="str">
        <f t="shared" si="16"/>
        <v>$400'000.000 a $500'000.000</v>
      </c>
      <c r="H709" s="44"/>
      <c r="I709" s="44"/>
      <c r="J709" s="50" t="s">
        <v>183</v>
      </c>
      <c r="K709" s="56" t="s">
        <v>184</v>
      </c>
      <c r="L709" s="44">
        <v>3.0</v>
      </c>
      <c r="M709" s="44"/>
      <c r="N709" s="44">
        <v>3.0</v>
      </c>
      <c r="O709" s="50">
        <v>1.0</v>
      </c>
      <c r="P709" s="44">
        <v>2.0</v>
      </c>
      <c r="Q709" s="113">
        <v>160.0</v>
      </c>
      <c r="R709" s="79">
        <v>84.0</v>
      </c>
      <c r="S709" s="56" t="str">
        <f t="shared" si="20"/>
        <v> </v>
      </c>
      <c r="T709" s="44" t="s">
        <v>78</v>
      </c>
      <c r="U709" s="57" t="s">
        <v>77</v>
      </c>
      <c r="V709" s="50" t="s">
        <v>118</v>
      </c>
      <c r="W709" s="50"/>
      <c r="X709" s="44">
        <v>3.0</v>
      </c>
      <c r="Y709" s="50" t="s">
        <v>80</v>
      </c>
      <c r="Z709" s="58" t="s">
        <v>81</v>
      </c>
      <c r="AA709" s="59" t="str">
        <f>IF(Rentabilidad=0,"No aplica",TEXT(ROUND(Precio/Rentabilidad/12,0),0) &amp; " años")</f>
        <v>No aplica</v>
      </c>
      <c r="AB709" s="136" t="s">
        <v>4214</v>
      </c>
      <c r="AC709" s="61"/>
      <c r="AD709" s="125" t="s">
        <v>4215</v>
      </c>
      <c r="AE709" s="63"/>
      <c r="AF709" s="45" t="s">
        <v>105</v>
      </c>
      <c r="AG709" s="65" t="s">
        <v>106</v>
      </c>
      <c r="AH709" s="65" t="s">
        <v>45</v>
      </c>
      <c r="AI709" s="65" t="s">
        <v>107</v>
      </c>
      <c r="AJ709" s="64" t="s">
        <v>3897</v>
      </c>
      <c r="AK709" s="58" t="s">
        <v>81</v>
      </c>
      <c r="AL709" s="45" t="s">
        <v>109</v>
      </c>
      <c r="AM709" s="52">
        <v>3.103914892E9</v>
      </c>
      <c r="AN709" s="45">
        <v>0.0</v>
      </c>
      <c r="AO709" s="116"/>
      <c r="AP709" s="67">
        <v>0.0</v>
      </c>
      <c r="AQ709" s="67"/>
      <c r="AR709" s="67"/>
      <c r="AS709" s="68">
        <v>0.0</v>
      </c>
      <c r="AT709" s="44">
        <v>0.0</v>
      </c>
      <c r="AU709" s="52">
        <v>0.0</v>
      </c>
      <c r="AV709" s="52">
        <v>0.0</v>
      </c>
      <c r="AW709" s="52" t="s">
        <v>106</v>
      </c>
      <c r="AX709" s="52">
        <v>0.0</v>
      </c>
      <c r="AY709" s="52">
        <v>0.0</v>
      </c>
      <c r="AZ709" s="52">
        <v>0.0</v>
      </c>
      <c r="BA709" s="43" t="s">
        <v>89</v>
      </c>
      <c r="BB709" s="52">
        <v>0.0</v>
      </c>
      <c r="BC709" s="69" t="s">
        <v>3601</v>
      </c>
      <c r="BD709" s="70"/>
      <c r="BE709" s="71"/>
      <c r="BF709" s="72" t="s">
        <v>4216</v>
      </c>
      <c r="BG709" s="73"/>
      <c r="BH709" s="73"/>
      <c r="BI709" s="73"/>
      <c r="BJ709" s="73"/>
      <c r="BK709" s="73"/>
      <c r="BL709" s="73"/>
      <c r="BM709" s="73"/>
      <c r="BN709" s="73"/>
      <c r="BO709" s="73"/>
      <c r="BP709" s="73"/>
      <c r="BQ709" s="73"/>
      <c r="BR709" s="73"/>
      <c r="BS709" s="73"/>
      <c r="BT709" s="73"/>
      <c r="BU709" s="73"/>
      <c r="BV709" s="73"/>
      <c r="BW709" s="74"/>
      <c r="BX709" s="74"/>
      <c r="BY709" s="63"/>
      <c r="BZ709" s="63"/>
    </row>
    <row r="710" ht="15.75" customHeight="1">
      <c r="A710" s="41" t="s">
        <v>4217</v>
      </c>
      <c r="B710" s="43" t="s">
        <v>4218</v>
      </c>
      <c r="C710" s="43" t="s">
        <v>271</v>
      </c>
      <c r="D710" s="43" t="s">
        <v>76</v>
      </c>
      <c r="E710" s="45"/>
      <c r="F710" s="78">
        <v>4.0E8</v>
      </c>
      <c r="G710" s="44" t="str">
        <f t="shared" si="16"/>
        <v>$400'000.000 a $500'000.000</v>
      </c>
      <c r="H710" s="44"/>
      <c r="I710" s="44"/>
      <c r="J710" s="43" t="s">
        <v>76</v>
      </c>
      <c r="K710" s="142"/>
      <c r="L710" s="43">
        <v>3.0</v>
      </c>
      <c r="M710" s="43"/>
      <c r="N710" s="43">
        <v>2.0</v>
      </c>
      <c r="O710" s="43">
        <v>1.0</v>
      </c>
      <c r="P710" s="43">
        <v>1.0</v>
      </c>
      <c r="Q710" s="55">
        <v>200.0</v>
      </c>
      <c r="R710" s="55">
        <v>215.0</v>
      </c>
      <c r="S710" s="56" t="str">
        <f t="shared" si="20"/>
        <v>Rentabilidad $1,400,000</v>
      </c>
      <c r="T710" s="52" t="s">
        <v>78</v>
      </c>
      <c r="U710" s="56" t="s">
        <v>77</v>
      </c>
      <c r="V710" s="43" t="s">
        <v>79</v>
      </c>
      <c r="W710" s="43"/>
      <c r="X710" s="43">
        <v>1.0</v>
      </c>
      <c r="Y710" s="43" t="s">
        <v>80</v>
      </c>
      <c r="Z710" s="80" t="s">
        <v>81</v>
      </c>
      <c r="AA710" s="59" t="str">
        <f>IF(Rentabilidad=0,"No aplica",TEXT(ROUND(Precio/Rentabilidad/12,0),0) &amp; " años")</f>
        <v>24 años</v>
      </c>
      <c r="AB710" s="134" t="s">
        <v>4219</v>
      </c>
      <c r="AC710" s="131" t="s">
        <v>4220</v>
      </c>
      <c r="AD710" s="125" t="s">
        <v>4221</v>
      </c>
      <c r="AE710" s="63"/>
      <c r="AF710" s="45" t="s">
        <v>105</v>
      </c>
      <c r="AG710" s="65" t="s">
        <v>106</v>
      </c>
      <c r="AH710" s="65" t="s">
        <v>45</v>
      </c>
      <c r="AI710" s="65" t="s">
        <v>107</v>
      </c>
      <c r="AJ710" s="64" t="s">
        <v>3897</v>
      </c>
      <c r="AK710" s="50" t="s">
        <v>81</v>
      </c>
      <c r="AL710" s="45" t="s">
        <v>109</v>
      </c>
      <c r="AM710" s="52">
        <v>3.103914892E9</v>
      </c>
      <c r="AN710" s="45">
        <v>0.0</v>
      </c>
      <c r="AO710" s="52"/>
      <c r="AP710" s="67">
        <v>0.0</v>
      </c>
      <c r="AQ710" s="143">
        <v>2.9570033</v>
      </c>
      <c r="AR710" s="143">
        <v>-75.2838074</v>
      </c>
      <c r="AS710" s="94">
        <v>1400000.0</v>
      </c>
      <c r="AT710" s="44">
        <v>0.0</v>
      </c>
      <c r="AU710" s="52">
        <v>0.0</v>
      </c>
      <c r="AV710" s="52">
        <v>0.0</v>
      </c>
      <c r="AW710" s="43" t="s">
        <v>88</v>
      </c>
      <c r="AX710" s="52">
        <v>0.0</v>
      </c>
      <c r="AY710" s="52">
        <v>0.0</v>
      </c>
      <c r="AZ710" s="52">
        <v>0.0</v>
      </c>
      <c r="BA710" s="43" t="s">
        <v>89</v>
      </c>
      <c r="BB710" s="52">
        <v>0.0</v>
      </c>
      <c r="BC710" s="109"/>
      <c r="BD710" s="70"/>
      <c r="BE710" s="71"/>
      <c r="BF710" s="72" t="s">
        <v>4222</v>
      </c>
      <c r="BG710" s="73"/>
      <c r="BH710" s="73"/>
      <c r="BI710" s="73"/>
      <c r="BJ710" s="73"/>
      <c r="BK710" s="73"/>
      <c r="BL710" s="73"/>
      <c r="BM710" s="73"/>
      <c r="BN710" s="73"/>
      <c r="BO710" s="73"/>
      <c r="BP710" s="73"/>
      <c r="BQ710" s="73"/>
      <c r="BR710" s="73"/>
      <c r="BS710" s="73"/>
      <c r="BT710" s="73"/>
      <c r="BU710" s="73"/>
      <c r="BV710" s="73"/>
      <c r="BW710" s="74"/>
      <c r="BX710" s="74"/>
      <c r="BY710" s="63"/>
      <c r="BZ710" s="63"/>
    </row>
    <row r="711" ht="15.75" customHeight="1">
      <c r="A711" s="133" t="s">
        <v>4223</v>
      </c>
      <c r="B711" s="43" t="s">
        <v>4224</v>
      </c>
      <c r="C711" s="43" t="s">
        <v>128</v>
      </c>
      <c r="D711" s="43" t="s">
        <v>1233</v>
      </c>
      <c r="E711" s="45"/>
      <c r="F711" s="78">
        <v>4.0E8</v>
      </c>
      <c r="G711" s="44" t="str">
        <f t="shared" si="16"/>
        <v>$400'000.000 a $500'000.000</v>
      </c>
      <c r="H711" s="44"/>
      <c r="I711" s="44"/>
      <c r="J711" s="43" t="s">
        <v>183</v>
      </c>
      <c r="K711" s="56" t="s">
        <v>184</v>
      </c>
      <c r="L711" s="43">
        <v>3.0</v>
      </c>
      <c r="M711" s="43"/>
      <c r="N711" s="43">
        <v>3.0</v>
      </c>
      <c r="O711" s="43">
        <v>1.0</v>
      </c>
      <c r="P711" s="43">
        <v>2.0</v>
      </c>
      <c r="Q711" s="88">
        <v>0.0</v>
      </c>
      <c r="R711" s="88">
        <v>124.0</v>
      </c>
      <c r="S711" s="56" t="str">
        <f t="shared" si="20"/>
        <v> </v>
      </c>
      <c r="T711" s="43" t="s">
        <v>78</v>
      </c>
      <c r="U711" s="56" t="s">
        <v>77</v>
      </c>
      <c r="V711" s="43" t="s">
        <v>79</v>
      </c>
      <c r="W711" s="43"/>
      <c r="X711" s="43">
        <v>3.0</v>
      </c>
      <c r="Y711" s="43" t="s">
        <v>130</v>
      </c>
      <c r="Z711" s="58">
        <v>360000.0</v>
      </c>
      <c r="AA711" s="59" t="str">
        <f>IF(Rentabilidad=0,"No aplica",TEXT(ROUND(Precio/Rentabilidad/12,0),0) &amp; " años")</f>
        <v>No aplica</v>
      </c>
      <c r="AB711" s="140" t="s">
        <v>4225</v>
      </c>
      <c r="AC711" s="167" t="s">
        <v>4226</v>
      </c>
      <c r="AD711" s="107" t="s">
        <v>583</v>
      </c>
      <c r="AE711" s="63"/>
      <c r="AF711" s="64" t="s">
        <v>105</v>
      </c>
      <c r="AG711" s="65" t="s">
        <v>106</v>
      </c>
      <c r="AH711" s="63"/>
      <c r="AI711" s="65" t="s">
        <v>107</v>
      </c>
      <c r="AJ711" s="64" t="s">
        <v>3897</v>
      </c>
      <c r="AK711" s="58" t="s">
        <v>81</v>
      </c>
      <c r="AL711" s="64" t="s">
        <v>109</v>
      </c>
      <c r="AM711" s="52">
        <v>3.103914892E9</v>
      </c>
      <c r="AN711" s="64">
        <v>0.0</v>
      </c>
      <c r="AO711" s="43">
        <v>0.0</v>
      </c>
      <c r="AP711" s="84">
        <v>0.0</v>
      </c>
      <c r="AQ711" s="84"/>
      <c r="AR711" s="84"/>
      <c r="AS711" s="85">
        <v>0.0</v>
      </c>
      <c r="AT711" s="50">
        <v>0.0</v>
      </c>
      <c r="AU711" s="50">
        <v>0.0</v>
      </c>
      <c r="AV711" s="50">
        <v>0.0</v>
      </c>
      <c r="AW711" s="50" t="s">
        <v>88</v>
      </c>
      <c r="AX711" s="50">
        <v>0.0</v>
      </c>
      <c r="AY711" s="50">
        <v>0.0</v>
      </c>
      <c r="AZ711" s="50">
        <v>0.0</v>
      </c>
      <c r="BA711" s="43" t="s">
        <v>89</v>
      </c>
      <c r="BB711" s="50">
        <v>0.0</v>
      </c>
      <c r="BC711" s="109"/>
      <c r="BD711" s="70"/>
      <c r="BE711" s="71"/>
      <c r="BF711" s="72" t="s">
        <v>4227</v>
      </c>
      <c r="BG711" s="73"/>
      <c r="BH711" s="73"/>
      <c r="BI711" s="73"/>
      <c r="BJ711" s="73"/>
      <c r="BK711" s="73"/>
      <c r="BL711" s="73"/>
      <c r="BM711" s="73"/>
      <c r="BN711" s="73"/>
      <c r="BO711" s="73"/>
      <c r="BP711" s="73"/>
      <c r="BQ711" s="73"/>
      <c r="BR711" s="73"/>
      <c r="BS711" s="73"/>
      <c r="BT711" s="73"/>
      <c r="BU711" s="73"/>
      <c r="BV711" s="73"/>
      <c r="BW711" s="74"/>
      <c r="BX711" s="74"/>
      <c r="BY711" s="63"/>
      <c r="BZ711" s="63"/>
    </row>
    <row r="712" ht="15.75" customHeight="1">
      <c r="A712" s="75" t="s">
        <v>4228</v>
      </c>
      <c r="B712" s="43" t="s">
        <v>4229</v>
      </c>
      <c r="C712" s="43" t="s">
        <v>271</v>
      </c>
      <c r="D712" s="193" t="s">
        <v>183</v>
      </c>
      <c r="E712" s="45"/>
      <c r="F712" s="78">
        <v>4.0E8</v>
      </c>
      <c r="G712" s="44" t="str">
        <f t="shared" si="16"/>
        <v>$400'000.000 a $500'000.000</v>
      </c>
      <c r="H712" s="44"/>
      <c r="I712" s="44"/>
      <c r="J712" s="50" t="s">
        <v>183</v>
      </c>
      <c r="K712" s="150"/>
      <c r="L712" s="199">
        <v>4.0</v>
      </c>
      <c r="M712" s="199"/>
      <c r="N712" s="199">
        <v>4.0</v>
      </c>
      <c r="O712" s="199">
        <v>1.0</v>
      </c>
      <c r="P712" s="199">
        <v>2.0</v>
      </c>
      <c r="Q712" s="55">
        <v>152.0</v>
      </c>
      <c r="R712" s="55">
        <v>152.0</v>
      </c>
      <c r="S712" s="56" t="str">
        <f t="shared" si="20"/>
        <v>Rentabilidad $1,200,000</v>
      </c>
      <c r="T712" s="43" t="s">
        <v>78</v>
      </c>
      <c r="U712" s="142"/>
      <c r="V712" s="199" t="s">
        <v>79</v>
      </c>
      <c r="W712" s="199"/>
      <c r="X712" s="199">
        <v>3.0</v>
      </c>
      <c r="Y712" s="43" t="s">
        <v>80</v>
      </c>
      <c r="Z712" s="80" t="s">
        <v>81</v>
      </c>
      <c r="AA712" s="59" t="str">
        <f>IF(Rentabilidad=0,"No aplica",TEXT(ROUND(Precio/Rentabilidad/12,0),0) &amp; " años")</f>
        <v>28 años</v>
      </c>
      <c r="AB712" s="140" t="s">
        <v>4230</v>
      </c>
      <c r="AC712" s="131" t="s">
        <v>4231</v>
      </c>
      <c r="AD712" s="125" t="s">
        <v>4232</v>
      </c>
      <c r="AE712" s="63"/>
      <c r="AF712" s="45" t="s">
        <v>105</v>
      </c>
      <c r="AG712" s="65" t="s">
        <v>106</v>
      </c>
      <c r="AH712" s="63"/>
      <c r="AI712" s="65" t="s">
        <v>107</v>
      </c>
      <c r="AJ712" s="64" t="s">
        <v>3897</v>
      </c>
      <c r="AK712" s="58" t="s">
        <v>81</v>
      </c>
      <c r="AL712" s="45" t="s">
        <v>109</v>
      </c>
      <c r="AM712" s="52">
        <v>3.103914892E9</v>
      </c>
      <c r="AN712" s="64">
        <v>0.0</v>
      </c>
      <c r="AO712" s="63"/>
      <c r="AP712" s="67"/>
      <c r="AQ712" s="67"/>
      <c r="AR712" s="67"/>
      <c r="AS712" s="94">
        <v>1200000.0</v>
      </c>
      <c r="AT712" s="50">
        <v>0.0</v>
      </c>
      <c r="AU712" s="43">
        <v>0.0</v>
      </c>
      <c r="AV712" s="43">
        <v>0.0</v>
      </c>
      <c r="AW712" s="43" t="s">
        <v>106</v>
      </c>
      <c r="AX712" s="43">
        <v>0.0</v>
      </c>
      <c r="AY712" s="43" t="s">
        <v>137</v>
      </c>
      <c r="AZ712" s="43">
        <v>0.0</v>
      </c>
      <c r="BA712" s="43" t="s">
        <v>89</v>
      </c>
      <c r="BB712" s="43">
        <v>0.0</v>
      </c>
      <c r="BC712" s="95" t="s">
        <v>716</v>
      </c>
      <c r="BD712" s="71"/>
      <c r="BE712" s="71"/>
      <c r="BF712" s="72" t="s">
        <v>4233</v>
      </c>
      <c r="BG712" s="73"/>
      <c r="BH712" s="73"/>
      <c r="BI712" s="73"/>
      <c r="BJ712" s="73"/>
      <c r="BK712" s="73"/>
      <c r="BL712" s="73"/>
      <c r="BM712" s="73"/>
      <c r="BN712" s="73"/>
      <c r="BO712" s="73"/>
      <c r="BP712" s="73"/>
      <c r="BQ712" s="73"/>
      <c r="BR712" s="73"/>
      <c r="BS712" s="73"/>
      <c r="BT712" s="73"/>
      <c r="BU712" s="73"/>
      <c r="BV712" s="73"/>
      <c r="BW712" s="74"/>
      <c r="BX712" s="74"/>
      <c r="BY712" s="63"/>
      <c r="BZ712" s="63"/>
    </row>
    <row r="713" ht="15.75" customHeight="1">
      <c r="A713" s="75" t="s">
        <v>4234</v>
      </c>
      <c r="B713" s="50" t="s">
        <v>4235</v>
      </c>
      <c r="C713" s="50" t="s">
        <v>70</v>
      </c>
      <c r="D713" s="50" t="s">
        <v>1037</v>
      </c>
      <c r="E713" s="77"/>
      <c r="F713" s="78">
        <v>4.0E8</v>
      </c>
      <c r="G713" s="44" t="str">
        <f t="shared" si="16"/>
        <v>$400'000.000 a $500'000.000</v>
      </c>
      <c r="H713" s="44"/>
      <c r="I713" s="44"/>
      <c r="J713" s="50" t="s">
        <v>968</v>
      </c>
      <c r="K713" s="57"/>
      <c r="L713" s="50">
        <v>3.0</v>
      </c>
      <c r="M713" s="50"/>
      <c r="N713" s="50">
        <v>3.0</v>
      </c>
      <c r="O713" s="50">
        <v>1.0</v>
      </c>
      <c r="P713" s="50">
        <v>2.0</v>
      </c>
      <c r="Q713" s="79">
        <v>185.0</v>
      </c>
      <c r="R713" s="79">
        <v>104.0</v>
      </c>
      <c r="S713" s="56" t="str">
        <f t="shared" si="20"/>
        <v> </v>
      </c>
      <c r="T713" s="50" t="s">
        <v>342</v>
      </c>
      <c r="U713" s="51" t="s">
        <v>184</v>
      </c>
      <c r="V713" s="50" t="s">
        <v>79</v>
      </c>
      <c r="W713" s="50"/>
      <c r="X713" s="50">
        <v>3.0</v>
      </c>
      <c r="Y713" s="43" t="s">
        <v>97</v>
      </c>
      <c r="Z713" s="58" t="s">
        <v>81</v>
      </c>
      <c r="AA713" s="59" t="str">
        <f>IF(Rentabilidad=0,"No aplica",TEXT(ROUND(Precio/Rentabilidad/12,0),0) &amp; " años")</f>
        <v>No aplica</v>
      </c>
      <c r="AB713" s="115" t="s">
        <v>4236</v>
      </c>
      <c r="AC713" s="131" t="s">
        <v>4237</v>
      </c>
      <c r="AD713" s="125" t="s">
        <v>4238</v>
      </c>
      <c r="AE713" s="63"/>
      <c r="AF713" s="45" t="s">
        <v>105</v>
      </c>
      <c r="AG713" s="65" t="s">
        <v>106</v>
      </c>
      <c r="AH713" s="63"/>
      <c r="AI713" s="65" t="s">
        <v>107</v>
      </c>
      <c r="AJ713" s="64" t="s">
        <v>3897</v>
      </c>
      <c r="AK713" s="50" t="s">
        <v>81</v>
      </c>
      <c r="AL713" s="45" t="s">
        <v>109</v>
      </c>
      <c r="AM713" s="52">
        <v>3.103914892E9</v>
      </c>
      <c r="AN713" s="64">
        <v>0.0</v>
      </c>
      <c r="AO713" s="52"/>
      <c r="AP713" s="67"/>
      <c r="AQ713" s="67"/>
      <c r="AR713" s="67"/>
      <c r="AS713" s="85">
        <v>0.0</v>
      </c>
      <c r="AT713" s="50">
        <v>0.0</v>
      </c>
      <c r="AU713" s="43">
        <v>0.0</v>
      </c>
      <c r="AV713" s="43">
        <v>0.0</v>
      </c>
      <c r="AW713" s="43" t="s">
        <v>106</v>
      </c>
      <c r="AX713" s="43">
        <v>0.0</v>
      </c>
      <c r="AY713" s="43" t="s">
        <v>137</v>
      </c>
      <c r="AZ713" s="50">
        <v>0.0</v>
      </c>
      <c r="BA713" s="43" t="s">
        <v>89</v>
      </c>
      <c r="BB713" s="50">
        <v>0.0</v>
      </c>
      <c r="BC713" s="69" t="s">
        <v>716</v>
      </c>
      <c r="BD713" s="70"/>
      <c r="BE713" s="70"/>
      <c r="BF713" s="72" t="s">
        <v>4239</v>
      </c>
      <c r="BG713" s="73"/>
      <c r="BH713" s="73"/>
      <c r="BI713" s="73"/>
      <c r="BJ713" s="73"/>
      <c r="BK713" s="73"/>
      <c r="BL713" s="73"/>
      <c r="BM713" s="73"/>
      <c r="BN713" s="73"/>
      <c r="BO713" s="73"/>
      <c r="BP713" s="73"/>
      <c r="BQ713" s="73"/>
      <c r="BR713" s="73"/>
      <c r="BS713" s="73"/>
      <c r="BT713" s="73"/>
      <c r="BU713" s="73"/>
      <c r="BV713" s="73"/>
      <c r="BW713" s="74"/>
      <c r="BX713" s="74"/>
      <c r="BY713" s="63"/>
      <c r="BZ713" s="63"/>
    </row>
    <row r="714" ht="15.75" customHeight="1">
      <c r="A714" s="75" t="s">
        <v>4240</v>
      </c>
      <c r="B714" s="50" t="s">
        <v>4241</v>
      </c>
      <c r="C714" s="50" t="s">
        <v>573</v>
      </c>
      <c r="D714" s="50" t="s">
        <v>506</v>
      </c>
      <c r="E714" s="64"/>
      <c r="F714" s="78">
        <v>3.95E8</v>
      </c>
      <c r="G714" s="44" t="str">
        <f t="shared" si="16"/>
        <v>$300'000.000 a $400'000.000</v>
      </c>
      <c r="H714" s="44"/>
      <c r="I714" s="44"/>
      <c r="J714" s="50" t="s">
        <v>116</v>
      </c>
      <c r="K714" s="51" t="s">
        <v>192</v>
      </c>
      <c r="L714" s="50">
        <v>3.0</v>
      </c>
      <c r="M714" s="50"/>
      <c r="N714" s="50">
        <v>2.0</v>
      </c>
      <c r="O714" s="50">
        <v>2.0</v>
      </c>
      <c r="P714" s="44"/>
      <c r="Q714" s="88">
        <v>97.0</v>
      </c>
      <c r="R714" s="88">
        <v>97.0</v>
      </c>
      <c r="S714" s="56" t="str">
        <f t="shared" si="20"/>
        <v> </v>
      </c>
      <c r="T714" s="50" t="s">
        <v>78</v>
      </c>
      <c r="U714" s="51" t="s">
        <v>77</v>
      </c>
      <c r="V714" s="44"/>
      <c r="W714" s="44"/>
      <c r="X714" s="50">
        <v>3.0</v>
      </c>
      <c r="Y714" s="50" t="s">
        <v>130</v>
      </c>
      <c r="Z714" s="91"/>
      <c r="AA714" s="59" t="str">
        <f>IF(Rentabilidad=0,"No aplica",TEXT(ROUND(Precio/Rentabilidad/12,0),0) &amp; " años")</f>
        <v>No aplica</v>
      </c>
      <c r="AB714" s="82" t="s">
        <v>4242</v>
      </c>
      <c r="AC714" s="169" t="s">
        <v>4243</v>
      </c>
      <c r="AD714" s="83" t="s">
        <v>4244</v>
      </c>
      <c r="AE714" s="63"/>
      <c r="AF714" s="64" t="s">
        <v>105</v>
      </c>
      <c r="AG714" s="65" t="s">
        <v>106</v>
      </c>
      <c r="AH714" s="63"/>
      <c r="AI714" s="65" t="s">
        <v>107</v>
      </c>
      <c r="AJ714" s="239" t="s">
        <v>3897</v>
      </c>
      <c r="AK714" s="332" t="s">
        <v>81</v>
      </c>
      <c r="AL714" s="239" t="s">
        <v>109</v>
      </c>
      <c r="AM714" s="333">
        <v>3.103914892E9</v>
      </c>
      <c r="AN714" s="312"/>
      <c r="AO714" s="312"/>
      <c r="AP714" s="334"/>
      <c r="AQ714" s="334">
        <v>2.93057061020198</v>
      </c>
      <c r="AR714" s="334">
        <v>-75.2641741669416</v>
      </c>
      <c r="AS714" s="314">
        <v>0.0</v>
      </c>
      <c r="AT714" s="232">
        <v>0.0</v>
      </c>
      <c r="AU714" s="315">
        <v>0.0</v>
      </c>
      <c r="AV714" s="315">
        <v>0.0</v>
      </c>
      <c r="AW714" s="315" t="s">
        <v>88</v>
      </c>
      <c r="AX714" s="313">
        <v>0.0</v>
      </c>
      <c r="AY714" s="315">
        <v>0.0</v>
      </c>
      <c r="AZ714" s="315">
        <v>0.0</v>
      </c>
      <c r="BA714" s="316" t="s">
        <v>89</v>
      </c>
      <c r="BB714" s="315">
        <v>0.0</v>
      </c>
      <c r="BC714" s="95"/>
      <c r="BD714" s="71"/>
      <c r="BE714" s="71"/>
      <c r="BF714" s="72" t="s">
        <v>4245</v>
      </c>
      <c r="BG714" s="73"/>
      <c r="BH714" s="73"/>
      <c r="BI714" s="73"/>
      <c r="BJ714" s="73"/>
      <c r="BK714" s="73"/>
      <c r="BL714" s="73"/>
      <c r="BM714" s="73"/>
      <c r="BN714" s="73"/>
      <c r="BO714" s="73"/>
      <c r="BP714" s="73"/>
      <c r="BQ714" s="73"/>
      <c r="BR714" s="73"/>
      <c r="BS714" s="73"/>
      <c r="BT714" s="73"/>
      <c r="BU714" s="73"/>
      <c r="BV714" s="73"/>
      <c r="BW714" s="74"/>
      <c r="BX714" s="74"/>
      <c r="BY714" s="63"/>
      <c r="BZ714" s="63"/>
    </row>
    <row r="715" ht="15.75" customHeight="1">
      <c r="A715" s="75" t="s">
        <v>4246</v>
      </c>
      <c r="B715" s="50" t="s">
        <v>4247</v>
      </c>
      <c r="C715" s="50" t="s">
        <v>128</v>
      </c>
      <c r="D715" s="76"/>
      <c r="E715" s="64" t="s">
        <v>4248</v>
      </c>
      <c r="F715" s="78">
        <v>3.6E8</v>
      </c>
      <c r="G715" s="44" t="str">
        <f t="shared" si="16"/>
        <v>$300'000.000 a $400'000.000</v>
      </c>
      <c r="H715" s="44"/>
      <c r="I715" s="44"/>
      <c r="J715" s="50" t="s">
        <v>183</v>
      </c>
      <c r="K715" s="51" t="s">
        <v>184</v>
      </c>
      <c r="L715" s="50">
        <v>3.0</v>
      </c>
      <c r="M715" s="50"/>
      <c r="N715" s="50">
        <v>3.0</v>
      </c>
      <c r="O715" s="50">
        <v>1.0</v>
      </c>
      <c r="P715" s="50">
        <v>2.0</v>
      </c>
      <c r="Q715" s="88">
        <v>165.0</v>
      </c>
      <c r="R715" s="88">
        <v>96.0</v>
      </c>
      <c r="S715" s="56" t="str">
        <f t="shared" si="20"/>
        <v> </v>
      </c>
      <c r="T715" s="43" t="s">
        <v>78</v>
      </c>
      <c r="U715" s="51" t="s">
        <v>142</v>
      </c>
      <c r="V715" s="50" t="s">
        <v>79</v>
      </c>
      <c r="W715" s="50"/>
      <c r="X715" s="50">
        <v>3.0</v>
      </c>
      <c r="Y715" s="50" t="s">
        <v>130</v>
      </c>
      <c r="Z715" s="58">
        <v>360000.0</v>
      </c>
      <c r="AA715" s="81" t="s">
        <v>81</v>
      </c>
      <c r="AB715" s="82" t="s">
        <v>4249</v>
      </c>
      <c r="AC715" s="124" t="s">
        <v>4250</v>
      </c>
      <c r="AD715" s="327" t="s">
        <v>4251</v>
      </c>
      <c r="AE715" s="63"/>
      <c r="AF715" s="64" t="s">
        <v>105</v>
      </c>
      <c r="AG715" s="65" t="s">
        <v>106</v>
      </c>
      <c r="AH715" s="63"/>
      <c r="AI715" s="65" t="s">
        <v>107</v>
      </c>
      <c r="AJ715" s="64" t="s">
        <v>3897</v>
      </c>
      <c r="AK715" s="58" t="s">
        <v>81</v>
      </c>
      <c r="AL715" s="45" t="s">
        <v>109</v>
      </c>
      <c r="AM715" s="52">
        <v>3.103914892E9</v>
      </c>
      <c r="AN715" s="64">
        <v>0.0</v>
      </c>
      <c r="AO715" s="116"/>
      <c r="AP715" s="84">
        <v>0.0</v>
      </c>
      <c r="AQ715" s="84"/>
      <c r="AR715" s="84"/>
      <c r="AS715" s="94">
        <v>0.0</v>
      </c>
      <c r="AT715" s="50">
        <v>0.0</v>
      </c>
      <c r="AU715" s="50">
        <v>0.0</v>
      </c>
      <c r="AV715" s="50">
        <v>0.0</v>
      </c>
      <c r="AW715" s="50" t="s">
        <v>88</v>
      </c>
      <c r="AX715" s="50">
        <v>0.0</v>
      </c>
      <c r="AY715" s="50" t="s">
        <v>137</v>
      </c>
      <c r="AZ715" s="50">
        <v>0.0</v>
      </c>
      <c r="BA715" s="43" t="s">
        <v>89</v>
      </c>
      <c r="BB715" s="50">
        <v>0.0</v>
      </c>
      <c r="BC715" s="95" t="s">
        <v>399</v>
      </c>
      <c r="BD715" s="70"/>
      <c r="BE715" s="70"/>
      <c r="BF715" s="72" t="s">
        <v>4252</v>
      </c>
      <c r="BG715" s="73"/>
      <c r="BH715" s="73"/>
      <c r="BI715" s="73"/>
      <c r="BJ715" s="73"/>
      <c r="BK715" s="73"/>
      <c r="BL715" s="73"/>
      <c r="BM715" s="73"/>
      <c r="BN715" s="73"/>
      <c r="BO715" s="73"/>
      <c r="BP715" s="73"/>
      <c r="BQ715" s="73"/>
      <c r="BR715" s="73"/>
      <c r="BS715" s="73"/>
      <c r="BT715" s="73"/>
      <c r="BU715" s="73"/>
      <c r="BV715" s="73"/>
      <c r="BW715" s="74"/>
      <c r="BX715" s="74"/>
      <c r="BY715" s="63"/>
      <c r="BZ715" s="63"/>
    </row>
    <row r="716" ht="15.75" customHeight="1">
      <c r="A716" s="75" t="s">
        <v>4253</v>
      </c>
      <c r="B716" s="50" t="s">
        <v>4254</v>
      </c>
      <c r="C716" s="111" t="s">
        <v>323</v>
      </c>
      <c r="D716" s="50" t="s">
        <v>3389</v>
      </c>
      <c r="E716" s="64"/>
      <c r="F716" s="78">
        <v>3.75E8</v>
      </c>
      <c r="G716" s="44" t="str">
        <f t="shared" si="16"/>
        <v>$300'000.000 a $400'000.000</v>
      </c>
      <c r="H716" s="44"/>
      <c r="I716" s="44"/>
      <c r="J716" s="50" t="s">
        <v>183</v>
      </c>
      <c r="K716" s="51" t="s">
        <v>241</v>
      </c>
      <c r="L716" s="50">
        <v>3.0</v>
      </c>
      <c r="M716" s="50"/>
      <c r="N716" s="50">
        <v>2.0</v>
      </c>
      <c r="O716" s="50">
        <v>1.0</v>
      </c>
      <c r="P716" s="50">
        <v>1.0</v>
      </c>
      <c r="Q716" s="88">
        <v>113.0</v>
      </c>
      <c r="R716" s="88">
        <v>113.0</v>
      </c>
      <c r="S716" s="56" t="str">
        <f t="shared" si="20"/>
        <v> </v>
      </c>
      <c r="T716" s="50" t="s">
        <v>78</v>
      </c>
      <c r="U716" s="51" t="s">
        <v>142</v>
      </c>
      <c r="V716" s="50" t="s">
        <v>4255</v>
      </c>
      <c r="W716" s="50"/>
      <c r="X716" s="50">
        <v>3.0</v>
      </c>
      <c r="Y716" s="50" t="s">
        <v>130</v>
      </c>
      <c r="Z716" s="58">
        <v>375000.0</v>
      </c>
      <c r="AA716" s="59" t="str">
        <f>IF(Rentabilidad=0,"No aplica",TEXT(ROUND(Precio/Rentabilidad/12,0),0) &amp; " años")</f>
        <v>No aplica</v>
      </c>
      <c r="AB716" s="82" t="s">
        <v>4256</v>
      </c>
      <c r="AC716" s="124" t="s">
        <v>4257</v>
      </c>
      <c r="AD716" s="107" t="s">
        <v>4258</v>
      </c>
      <c r="AE716" s="63"/>
      <c r="AF716" s="64" t="s">
        <v>105</v>
      </c>
      <c r="AG716" s="65" t="s">
        <v>106</v>
      </c>
      <c r="AH716" s="63"/>
      <c r="AI716" s="65" t="s">
        <v>107</v>
      </c>
      <c r="AJ716" s="64" t="s">
        <v>3897</v>
      </c>
      <c r="AK716" s="58" t="s">
        <v>81</v>
      </c>
      <c r="AL716" s="64" t="s">
        <v>109</v>
      </c>
      <c r="AM716" s="52">
        <v>3.103914892E9</v>
      </c>
      <c r="AN716" s="45"/>
      <c r="AO716" s="52"/>
      <c r="AP716" s="338" t="s">
        <v>4259</v>
      </c>
      <c r="AQ716" s="338">
        <v>2.93928594484052</v>
      </c>
      <c r="AR716" s="338">
        <v>-75.2987999586377</v>
      </c>
      <c r="AS716" s="94"/>
      <c r="AT716" s="65" t="s">
        <v>106</v>
      </c>
      <c r="AU716" s="50">
        <v>4.0</v>
      </c>
      <c r="AV716" s="50">
        <v>1.0</v>
      </c>
      <c r="AW716" s="50" t="s">
        <v>88</v>
      </c>
      <c r="AX716" s="50">
        <v>0.0</v>
      </c>
      <c r="AY716" s="50">
        <v>0.0</v>
      </c>
      <c r="AZ716" s="50">
        <v>0.0</v>
      </c>
      <c r="BA716" s="43" t="s">
        <v>89</v>
      </c>
      <c r="BB716" s="50">
        <v>0.0</v>
      </c>
      <c r="BC716" s="95"/>
      <c r="BD716" s="71"/>
      <c r="BE716" s="71"/>
      <c r="BF716" s="72" t="s">
        <v>4260</v>
      </c>
      <c r="BG716" s="73"/>
      <c r="BH716" s="73"/>
      <c r="BI716" s="73"/>
      <c r="BJ716" s="73"/>
      <c r="BK716" s="73"/>
      <c r="BL716" s="73"/>
      <c r="BM716" s="73"/>
      <c r="BN716" s="73"/>
      <c r="BO716" s="73"/>
      <c r="BP716" s="73"/>
      <c r="BQ716" s="73"/>
      <c r="BR716" s="73"/>
      <c r="BS716" s="73"/>
      <c r="BT716" s="73"/>
      <c r="BU716" s="73"/>
      <c r="BV716" s="73"/>
      <c r="BW716" s="74"/>
      <c r="BX716" s="74"/>
      <c r="BY716" s="63"/>
      <c r="BZ716" s="63"/>
    </row>
    <row r="717" ht="15.75" customHeight="1">
      <c r="A717" s="75" t="s">
        <v>4261</v>
      </c>
      <c r="B717" s="50" t="s">
        <v>4262</v>
      </c>
      <c r="C717" s="50" t="s">
        <v>497</v>
      </c>
      <c r="D717" s="50"/>
      <c r="E717" s="64"/>
      <c r="F717" s="78">
        <v>3.75E8</v>
      </c>
      <c r="G717" s="44" t="str">
        <f t="shared" si="16"/>
        <v>$300'000.000 a $400'000.000</v>
      </c>
      <c r="H717" s="44"/>
      <c r="I717" s="44"/>
      <c r="J717" s="50" t="s">
        <v>94</v>
      </c>
      <c r="K717" s="51"/>
      <c r="L717" s="50">
        <v>4.0</v>
      </c>
      <c r="M717" s="50"/>
      <c r="N717" s="50">
        <v>3.0</v>
      </c>
      <c r="O717" s="50">
        <v>0.0</v>
      </c>
      <c r="P717" s="50">
        <v>1.0</v>
      </c>
      <c r="Q717" s="88">
        <v>0.0</v>
      </c>
      <c r="R717" s="88">
        <v>1050.0</v>
      </c>
      <c r="S717" s="56" t="str">
        <f t="shared" si="20"/>
        <v> </v>
      </c>
      <c r="T717" s="50" t="s">
        <v>4263</v>
      </c>
      <c r="U717" s="57"/>
      <c r="V717" s="44"/>
      <c r="W717" s="44"/>
      <c r="X717" s="50">
        <v>0.0</v>
      </c>
      <c r="Y717" s="50" t="s">
        <v>80</v>
      </c>
      <c r="Z717" s="80" t="s">
        <v>81</v>
      </c>
      <c r="AA717" s="59" t="str">
        <f>IF(Rentabilidad=0,"No aplica",TEXT(ROUND(Precio/Rentabilidad/12,0),0) &amp; " años")</f>
        <v>No aplica</v>
      </c>
      <c r="AB717" s="82" t="s">
        <v>4264</v>
      </c>
      <c r="AC717" s="169" t="s">
        <v>4265</v>
      </c>
      <c r="AD717" s="83" t="s">
        <v>4266</v>
      </c>
      <c r="AE717" s="63"/>
      <c r="AF717" s="64" t="s">
        <v>84</v>
      </c>
      <c r="AG717" s="65" t="s">
        <v>106</v>
      </c>
      <c r="AH717" s="63"/>
      <c r="AI717" s="65" t="s">
        <v>107</v>
      </c>
      <c r="AJ717" s="239" t="s">
        <v>3897</v>
      </c>
      <c r="AK717" s="332" t="s">
        <v>81</v>
      </c>
      <c r="AL717" s="239" t="s">
        <v>109</v>
      </c>
      <c r="AM717" s="333">
        <v>3.103914892E9</v>
      </c>
      <c r="AN717" s="312"/>
      <c r="AO717" s="312"/>
      <c r="AP717" s="312"/>
      <c r="AQ717" s="313"/>
      <c r="AR717" s="313"/>
      <c r="AS717" s="339"/>
      <c r="AT717" s="232">
        <v>0.0</v>
      </c>
      <c r="AU717" s="315">
        <v>0.0</v>
      </c>
      <c r="AV717" s="315">
        <v>0.0</v>
      </c>
      <c r="AW717" s="315" t="s">
        <v>88</v>
      </c>
      <c r="AX717" s="313">
        <v>0.0</v>
      </c>
      <c r="AY717" s="315">
        <v>0.0</v>
      </c>
      <c r="AZ717" s="315">
        <v>0.0</v>
      </c>
      <c r="BA717" s="316" t="s">
        <v>89</v>
      </c>
      <c r="BB717" s="315">
        <v>0.0</v>
      </c>
      <c r="BC717" s="95"/>
      <c r="BD717" s="71"/>
      <c r="BE717" s="71"/>
      <c r="BF717" s="72" t="s">
        <v>4267</v>
      </c>
      <c r="BG717" s="73"/>
      <c r="BH717" s="73"/>
      <c r="BI717" s="73"/>
      <c r="BJ717" s="73"/>
      <c r="BK717" s="73"/>
      <c r="BL717" s="73"/>
      <c r="BM717" s="73"/>
      <c r="BN717" s="73"/>
      <c r="BO717" s="73"/>
      <c r="BP717" s="73"/>
      <c r="BQ717" s="73"/>
      <c r="BR717" s="73"/>
      <c r="BS717" s="73"/>
      <c r="BT717" s="73"/>
      <c r="BU717" s="73"/>
      <c r="BV717" s="73"/>
      <c r="BW717" s="74"/>
      <c r="BX717" s="74"/>
      <c r="BY717" s="63"/>
      <c r="BZ717" s="63"/>
    </row>
    <row r="718" ht="15.75" customHeight="1">
      <c r="A718" s="75" t="s">
        <v>4268</v>
      </c>
      <c r="B718" s="50" t="s">
        <v>4269</v>
      </c>
      <c r="C718" s="111" t="s">
        <v>323</v>
      </c>
      <c r="D718" s="50" t="s">
        <v>4270</v>
      </c>
      <c r="E718" s="64"/>
      <c r="F718" s="78">
        <v>3.4E8</v>
      </c>
      <c r="G718" s="44" t="str">
        <f t="shared" si="16"/>
        <v>$300'000.000 a $400'000.000</v>
      </c>
      <c r="H718" s="44"/>
      <c r="I718" s="44"/>
      <c r="J718" s="50" t="s">
        <v>183</v>
      </c>
      <c r="K718" s="51" t="s">
        <v>184</v>
      </c>
      <c r="L718" s="50">
        <v>3.0</v>
      </c>
      <c r="M718" s="50"/>
      <c r="N718" s="50">
        <v>2.0</v>
      </c>
      <c r="O718" s="50">
        <v>1.0</v>
      </c>
      <c r="P718" s="50">
        <v>4.0</v>
      </c>
      <c r="Q718" s="88">
        <v>72.0</v>
      </c>
      <c r="R718" s="88">
        <v>72.0</v>
      </c>
      <c r="S718" s="56" t="str">
        <f t="shared" si="20"/>
        <v> </v>
      </c>
      <c r="T718" s="50" t="s">
        <v>78</v>
      </c>
      <c r="U718" s="51" t="s">
        <v>77</v>
      </c>
      <c r="V718" s="50" t="s">
        <v>680</v>
      </c>
      <c r="W718" s="50"/>
      <c r="X718" s="50">
        <v>3.0</v>
      </c>
      <c r="Y718" s="50" t="s">
        <v>130</v>
      </c>
      <c r="Z718" s="58">
        <v>270000.0</v>
      </c>
      <c r="AA718" s="59" t="str">
        <f>IF(Rentabilidad=0,"No aplica",TEXT(ROUND(Precio/Rentabilidad/12,0),0) &amp; " años")</f>
        <v>No aplica</v>
      </c>
      <c r="AB718" s="82" t="s">
        <v>4271</v>
      </c>
      <c r="AC718" s="83" t="s">
        <v>4272</v>
      </c>
      <c r="AD718" s="83" t="s">
        <v>4273</v>
      </c>
      <c r="AE718" s="63"/>
      <c r="AF718" s="64" t="s">
        <v>105</v>
      </c>
      <c r="AG718" s="65" t="s">
        <v>106</v>
      </c>
      <c r="AH718" s="63"/>
      <c r="AI718" s="65" t="s">
        <v>107</v>
      </c>
      <c r="AJ718" s="64" t="s">
        <v>3897</v>
      </c>
      <c r="AK718" s="58" t="s">
        <v>81</v>
      </c>
      <c r="AL718" s="64" t="s">
        <v>109</v>
      </c>
      <c r="AM718" s="52">
        <v>3.103914892E9</v>
      </c>
      <c r="AN718" s="45"/>
      <c r="AO718" s="52"/>
      <c r="AP718" s="67"/>
      <c r="AQ718" s="67"/>
      <c r="AR718" s="67"/>
      <c r="AS718" s="94"/>
      <c r="AT718" s="50" t="s">
        <v>106</v>
      </c>
      <c r="AU718" s="50">
        <v>0.0</v>
      </c>
      <c r="AV718" s="50">
        <v>0.0</v>
      </c>
      <c r="AW718" s="50" t="s">
        <v>88</v>
      </c>
      <c r="AX718" s="50">
        <v>0.0</v>
      </c>
      <c r="AY718" s="50">
        <v>0.0</v>
      </c>
      <c r="AZ718" s="50">
        <v>0.0</v>
      </c>
      <c r="BA718" s="43" t="s">
        <v>89</v>
      </c>
      <c r="BB718" s="50">
        <v>0.0</v>
      </c>
      <c r="BC718" s="95"/>
      <c r="BD718" s="71"/>
      <c r="BE718" s="71"/>
      <c r="BF718" s="72" t="s">
        <v>4274</v>
      </c>
      <c r="BG718" s="73"/>
      <c r="BH718" s="73"/>
      <c r="BI718" s="73"/>
      <c r="BJ718" s="73"/>
      <c r="BK718" s="73"/>
      <c r="BL718" s="73"/>
      <c r="BM718" s="73"/>
      <c r="BN718" s="73"/>
      <c r="BO718" s="73"/>
      <c r="BP718" s="73"/>
      <c r="BQ718" s="73"/>
      <c r="BR718" s="73"/>
      <c r="BS718" s="73"/>
      <c r="BT718" s="73"/>
      <c r="BU718" s="73"/>
      <c r="BV718" s="73"/>
      <c r="BW718" s="74"/>
      <c r="BX718" s="74"/>
      <c r="BY718" s="63"/>
      <c r="BZ718" s="63"/>
    </row>
    <row r="719" ht="15.75" customHeight="1">
      <c r="A719" s="75" t="s">
        <v>4275</v>
      </c>
      <c r="B719" s="50" t="s">
        <v>4276</v>
      </c>
      <c r="C719" s="50" t="s">
        <v>271</v>
      </c>
      <c r="D719" s="50" t="s">
        <v>2338</v>
      </c>
      <c r="E719" s="64"/>
      <c r="F719" s="78">
        <v>3.7E8</v>
      </c>
      <c r="G719" s="44" t="str">
        <f t="shared" si="16"/>
        <v>$300'000.000 a $400'000.000</v>
      </c>
      <c r="H719" s="44"/>
      <c r="I719" s="44"/>
      <c r="J719" s="50" t="s">
        <v>183</v>
      </c>
      <c r="K719" s="51" t="s">
        <v>142</v>
      </c>
      <c r="L719" s="50">
        <v>4.0</v>
      </c>
      <c r="M719" s="50"/>
      <c r="N719" s="50">
        <v>3.0</v>
      </c>
      <c r="O719" s="50">
        <v>2.0</v>
      </c>
      <c r="P719" s="50">
        <v>1.0</v>
      </c>
      <c r="Q719" s="88">
        <v>170.0</v>
      </c>
      <c r="R719" s="88">
        <v>170.0</v>
      </c>
      <c r="S719" s="56" t="str">
        <f t="shared" si="20"/>
        <v> </v>
      </c>
      <c r="T719" s="50" t="s">
        <v>78</v>
      </c>
      <c r="U719" s="51" t="s">
        <v>184</v>
      </c>
      <c r="V719" s="50" t="s">
        <v>79</v>
      </c>
      <c r="W719" s="50"/>
      <c r="X719" s="50">
        <v>4.0</v>
      </c>
      <c r="Y719" s="50" t="s">
        <v>80</v>
      </c>
      <c r="Z719" s="58" t="s">
        <v>81</v>
      </c>
      <c r="AA719" s="59" t="str">
        <f>IF(Rentabilidad=0,"No aplica",TEXT(ROUND(Precio/Rentabilidad/12,0),0) &amp; " años")</f>
        <v>No aplica</v>
      </c>
      <c r="AB719" s="100" t="s">
        <v>4277</v>
      </c>
      <c r="AC719" s="102" t="s">
        <v>4278</v>
      </c>
      <c r="AD719" s="97" t="s">
        <v>4279</v>
      </c>
      <c r="AE719" s="63"/>
      <c r="AF719" s="64" t="s">
        <v>105</v>
      </c>
      <c r="AG719" s="65" t="s">
        <v>106</v>
      </c>
      <c r="AH719" s="63"/>
      <c r="AI719" s="65" t="s">
        <v>107</v>
      </c>
      <c r="AJ719" s="64" t="s">
        <v>3897</v>
      </c>
      <c r="AK719" s="58" t="s">
        <v>81</v>
      </c>
      <c r="AL719" s="64" t="s">
        <v>109</v>
      </c>
      <c r="AM719" s="52">
        <v>3.103914892E9</v>
      </c>
      <c r="AN719" s="64">
        <v>0.0</v>
      </c>
      <c r="AO719" s="43">
        <v>0.0</v>
      </c>
      <c r="AP719" s="84">
        <v>0.0</v>
      </c>
      <c r="AQ719" s="84"/>
      <c r="AR719" s="84"/>
      <c r="AS719" s="85">
        <v>0.0</v>
      </c>
      <c r="AT719" s="50" t="s">
        <v>88</v>
      </c>
      <c r="AU719" s="50">
        <v>0.0</v>
      </c>
      <c r="AV719" s="50">
        <v>0.0</v>
      </c>
      <c r="AW719" s="50" t="s">
        <v>88</v>
      </c>
      <c r="AX719" s="50">
        <v>0.0</v>
      </c>
      <c r="AY719" s="50">
        <v>0.0</v>
      </c>
      <c r="AZ719" s="50">
        <v>0.0</v>
      </c>
      <c r="BA719" s="43" t="s">
        <v>89</v>
      </c>
      <c r="BB719" s="50">
        <v>0.0</v>
      </c>
      <c r="BC719" s="95"/>
      <c r="BD719" s="71"/>
      <c r="BE719" s="71"/>
      <c r="BF719" s="72" t="s">
        <v>4280</v>
      </c>
      <c r="BG719" s="73"/>
      <c r="BH719" s="73"/>
      <c r="BI719" s="73"/>
      <c r="BJ719" s="73"/>
      <c r="BK719" s="73"/>
      <c r="BL719" s="73"/>
      <c r="BM719" s="73"/>
      <c r="BN719" s="73"/>
      <c r="BO719" s="73"/>
      <c r="BP719" s="73"/>
      <c r="BQ719" s="73"/>
      <c r="BR719" s="73"/>
      <c r="BS719" s="73"/>
      <c r="BT719" s="73"/>
      <c r="BU719" s="73"/>
      <c r="BV719" s="73"/>
      <c r="BW719" s="74"/>
      <c r="BX719" s="74"/>
      <c r="BY719" s="63"/>
      <c r="BZ719" s="63"/>
    </row>
    <row r="720" ht="15.75" customHeight="1">
      <c r="A720" s="75" t="s">
        <v>4281</v>
      </c>
      <c r="B720" s="50" t="s">
        <v>4282</v>
      </c>
      <c r="C720" s="50" t="s">
        <v>271</v>
      </c>
      <c r="D720" s="50" t="s">
        <v>1044</v>
      </c>
      <c r="E720" s="77"/>
      <c r="F720" s="78">
        <v>3.7E8</v>
      </c>
      <c r="G720" s="44" t="str">
        <f t="shared" si="16"/>
        <v>$300'000.000 a $400'000.000</v>
      </c>
      <c r="H720" s="44"/>
      <c r="I720" s="44"/>
      <c r="J720" s="50" t="s">
        <v>116</v>
      </c>
      <c r="K720" s="57"/>
      <c r="L720" s="50">
        <v>7.0</v>
      </c>
      <c r="M720" s="50"/>
      <c r="N720" s="50">
        <v>5.0</v>
      </c>
      <c r="O720" s="50">
        <v>1.0</v>
      </c>
      <c r="P720" s="50">
        <v>2.0</v>
      </c>
      <c r="Q720" s="79">
        <v>213.0</v>
      </c>
      <c r="R720" s="79">
        <v>105.5</v>
      </c>
      <c r="S720" s="56" t="str">
        <f t="shared" si="20"/>
        <v>Rentabilidad $2,000,000</v>
      </c>
      <c r="T720" s="50" t="s">
        <v>78</v>
      </c>
      <c r="U720" s="51" t="s">
        <v>77</v>
      </c>
      <c r="V720" s="50" t="s">
        <v>118</v>
      </c>
      <c r="W720" s="50"/>
      <c r="X720" s="50">
        <v>4.0</v>
      </c>
      <c r="Y720" s="50" t="s">
        <v>80</v>
      </c>
      <c r="Z720" s="80" t="s">
        <v>81</v>
      </c>
      <c r="AA720" s="59" t="str">
        <f>IF(Rentabilidad=0,"No aplica",TEXT(ROUND(Precio/Rentabilidad/12,0),0) &amp; " años")</f>
        <v>15 años</v>
      </c>
      <c r="AB720" s="115" t="s">
        <v>4283</v>
      </c>
      <c r="AC720" s="131" t="s">
        <v>4284</v>
      </c>
      <c r="AD720" s="125" t="s">
        <v>4285</v>
      </c>
      <c r="AE720" s="63"/>
      <c r="AF720" s="64" t="s">
        <v>105</v>
      </c>
      <c r="AG720" s="65" t="s">
        <v>106</v>
      </c>
      <c r="AH720" s="63"/>
      <c r="AI720" s="65" t="s">
        <v>107</v>
      </c>
      <c r="AJ720" s="64" t="s">
        <v>3897</v>
      </c>
      <c r="AK720" s="58" t="s">
        <v>81</v>
      </c>
      <c r="AL720" s="45" t="s">
        <v>109</v>
      </c>
      <c r="AM720" s="52">
        <v>3.103914892E9</v>
      </c>
      <c r="AN720" s="64">
        <v>0.0</v>
      </c>
      <c r="AO720" s="52"/>
      <c r="AP720" s="67"/>
      <c r="AQ720" s="67"/>
      <c r="AR720" s="67"/>
      <c r="AS720" s="85">
        <v>2000000.0</v>
      </c>
      <c r="AT720" s="50">
        <v>0.0</v>
      </c>
      <c r="AU720" s="43">
        <v>0.0</v>
      </c>
      <c r="AV720" s="43">
        <v>0.0</v>
      </c>
      <c r="AW720" s="43" t="s">
        <v>106</v>
      </c>
      <c r="AX720" s="43">
        <v>0.0</v>
      </c>
      <c r="AY720" s="43" t="s">
        <v>137</v>
      </c>
      <c r="AZ720" s="50">
        <v>0.0</v>
      </c>
      <c r="BA720" s="43" t="s">
        <v>89</v>
      </c>
      <c r="BB720" s="50">
        <v>0.0</v>
      </c>
      <c r="BC720" s="69" t="s">
        <v>3172</v>
      </c>
      <c r="BD720" s="70"/>
      <c r="BE720" s="70"/>
      <c r="BF720" s="72" t="s">
        <v>4286</v>
      </c>
      <c r="BG720" s="73"/>
      <c r="BH720" s="73"/>
      <c r="BI720" s="73"/>
      <c r="BJ720" s="73"/>
      <c r="BK720" s="73"/>
      <c r="BL720" s="73"/>
      <c r="BM720" s="73"/>
      <c r="BN720" s="73"/>
      <c r="BO720" s="73"/>
      <c r="BP720" s="73"/>
      <c r="BQ720" s="73"/>
      <c r="BR720" s="73"/>
      <c r="BS720" s="73"/>
      <c r="BT720" s="73"/>
      <c r="BU720" s="73"/>
      <c r="BV720" s="73"/>
      <c r="BW720" s="74"/>
      <c r="BX720" s="74"/>
      <c r="BY720" s="63"/>
      <c r="BZ720" s="63"/>
    </row>
    <row r="721" ht="15.75" customHeight="1">
      <c r="A721" s="75" t="s">
        <v>4287</v>
      </c>
      <c r="B721" s="43" t="s">
        <v>4288</v>
      </c>
      <c r="C721" s="43" t="s">
        <v>70</v>
      </c>
      <c r="D721" s="193" t="s">
        <v>116</v>
      </c>
      <c r="E721" s="45"/>
      <c r="F721" s="78">
        <v>3.7E8</v>
      </c>
      <c r="G721" s="44" t="str">
        <f t="shared" si="16"/>
        <v>$300'000.000 a $400'000.000</v>
      </c>
      <c r="H721" s="44"/>
      <c r="I721" s="44"/>
      <c r="J721" s="50" t="s">
        <v>116</v>
      </c>
      <c r="K721" s="150"/>
      <c r="L721" s="199">
        <v>3.0</v>
      </c>
      <c r="M721" s="199"/>
      <c r="N721" s="199">
        <v>2.0</v>
      </c>
      <c r="O721" s="199">
        <v>1.0</v>
      </c>
      <c r="P721" s="199">
        <v>2.0</v>
      </c>
      <c r="Q721" s="55">
        <v>142.0</v>
      </c>
      <c r="R721" s="55">
        <v>95.0</v>
      </c>
      <c r="S721" s="56" t="str">
        <f t="shared" si="20"/>
        <v> </v>
      </c>
      <c r="T721" s="43" t="s">
        <v>78</v>
      </c>
      <c r="U721" s="56" t="s">
        <v>77</v>
      </c>
      <c r="V721" s="199" t="s">
        <v>79</v>
      </c>
      <c r="W721" s="199"/>
      <c r="X721" s="199">
        <v>3.0</v>
      </c>
      <c r="Y721" s="43" t="s">
        <v>80</v>
      </c>
      <c r="Z721" s="58" t="s">
        <v>81</v>
      </c>
      <c r="AA721" s="59" t="str">
        <f>IF(Rentabilidad=0,"No aplica",TEXT(ROUND(Precio/Rentabilidad/12,0),0) &amp; " años")</f>
        <v>No aplica</v>
      </c>
      <c r="AB721" s="140" t="s">
        <v>4289</v>
      </c>
      <c r="AC721" s="131" t="s">
        <v>4290</v>
      </c>
      <c r="AD721" s="125" t="s">
        <v>4291</v>
      </c>
      <c r="AE721" s="63"/>
      <c r="AF721" s="45" t="s">
        <v>105</v>
      </c>
      <c r="AG721" s="65" t="s">
        <v>106</v>
      </c>
      <c r="AH721" s="63"/>
      <c r="AI721" s="65" t="s">
        <v>107</v>
      </c>
      <c r="AJ721" s="64" t="s">
        <v>3897</v>
      </c>
      <c r="AK721" s="50" t="s">
        <v>81</v>
      </c>
      <c r="AL721" s="45" t="s">
        <v>109</v>
      </c>
      <c r="AM721" s="44">
        <v>3.174078852E9</v>
      </c>
      <c r="AN721" s="45"/>
      <c r="AO721" s="52"/>
      <c r="AP721" s="67"/>
      <c r="AQ721" s="67"/>
      <c r="AR721" s="67"/>
      <c r="AS721" s="94">
        <v>0.0</v>
      </c>
      <c r="AT721" s="50">
        <v>0.0</v>
      </c>
      <c r="AU721" s="43">
        <v>0.0</v>
      </c>
      <c r="AV721" s="43">
        <v>0.0</v>
      </c>
      <c r="AW721" s="43" t="s">
        <v>106</v>
      </c>
      <c r="AX721" s="43">
        <v>0.0</v>
      </c>
      <c r="AY721" s="43" t="s">
        <v>137</v>
      </c>
      <c r="AZ721" s="43">
        <v>0.0</v>
      </c>
      <c r="BA721" s="43" t="s">
        <v>89</v>
      </c>
      <c r="BB721" s="43">
        <v>0.0</v>
      </c>
      <c r="BC721" s="69"/>
      <c r="BD721" s="121"/>
      <c r="BE721" s="129"/>
      <c r="BF721" s="72" t="s">
        <v>4292</v>
      </c>
      <c r="BG721" s="73"/>
      <c r="BH721" s="73"/>
      <c r="BI721" s="73"/>
      <c r="BJ721" s="73"/>
      <c r="BK721" s="73"/>
      <c r="BL721" s="73"/>
      <c r="BM721" s="73"/>
      <c r="BN721" s="73"/>
      <c r="BO721" s="73"/>
      <c r="BP721" s="73"/>
      <c r="BQ721" s="73"/>
      <c r="BR721" s="73"/>
      <c r="BS721" s="73"/>
      <c r="BT721" s="73"/>
      <c r="BU721" s="73"/>
      <c r="BV721" s="73"/>
      <c r="BW721" s="74"/>
      <c r="BX721" s="74"/>
      <c r="BY721" s="63"/>
      <c r="BZ721" s="63"/>
    </row>
    <row r="722" ht="15.75" customHeight="1">
      <c r="A722" s="75" t="s">
        <v>4293</v>
      </c>
      <c r="B722" s="50" t="s">
        <v>4294</v>
      </c>
      <c r="C722" s="50" t="s">
        <v>70</v>
      </c>
      <c r="D722" s="50" t="s">
        <v>728</v>
      </c>
      <c r="E722" s="64"/>
      <c r="F722" s="78">
        <v>3.6E8</v>
      </c>
      <c r="G722" s="44" t="str">
        <f t="shared" si="16"/>
        <v>$300'000.000 a $400'000.000</v>
      </c>
      <c r="H722" s="44"/>
      <c r="I722" s="44"/>
      <c r="J722" s="50" t="s">
        <v>116</v>
      </c>
      <c r="K722" s="51" t="s">
        <v>154</v>
      </c>
      <c r="L722" s="50">
        <v>4.0</v>
      </c>
      <c r="M722" s="50"/>
      <c r="N722" s="50">
        <v>3.0</v>
      </c>
      <c r="O722" s="50">
        <v>1.0</v>
      </c>
      <c r="P722" s="50">
        <v>2.0</v>
      </c>
      <c r="Q722" s="88">
        <v>150.0</v>
      </c>
      <c r="R722" s="89">
        <v>0.0</v>
      </c>
      <c r="S722" s="56" t="str">
        <f t="shared" si="20"/>
        <v> </v>
      </c>
      <c r="T722" s="50" t="s">
        <v>78</v>
      </c>
      <c r="U722" s="51" t="s">
        <v>77</v>
      </c>
      <c r="V722" s="50" t="s">
        <v>79</v>
      </c>
      <c r="W722" s="50"/>
      <c r="X722" s="50">
        <v>3.0</v>
      </c>
      <c r="Y722" s="50" t="s">
        <v>80</v>
      </c>
      <c r="Z722" s="91"/>
      <c r="AA722" s="59" t="str">
        <f>IF(Rentabilidad=0,"No aplica",TEXT(ROUND(Precio/Rentabilidad/12,0),0) &amp; " años")</f>
        <v>No aplica</v>
      </c>
      <c r="AB722" s="82" t="s">
        <v>4295</v>
      </c>
      <c r="AC722" s="124" t="s">
        <v>4296</v>
      </c>
      <c r="AD722" s="107" t="s">
        <v>4297</v>
      </c>
      <c r="AE722" s="63"/>
      <c r="AF722" s="64" t="s">
        <v>105</v>
      </c>
      <c r="AG722" s="65" t="s">
        <v>106</v>
      </c>
      <c r="AH722" s="63"/>
      <c r="AI722" s="65" t="s">
        <v>107</v>
      </c>
      <c r="AJ722" s="64" t="s">
        <v>3897</v>
      </c>
      <c r="AK722" s="58" t="s">
        <v>81</v>
      </c>
      <c r="AL722" s="64" t="s">
        <v>109</v>
      </c>
      <c r="AM722" s="52">
        <v>3.103914892E9</v>
      </c>
      <c r="AN722" s="45"/>
      <c r="AO722" s="52"/>
      <c r="AP722" s="67"/>
      <c r="AQ722" s="67"/>
      <c r="AR722" s="67"/>
      <c r="AS722" s="94"/>
      <c r="AT722" s="50">
        <v>0.0</v>
      </c>
      <c r="AU722" s="50">
        <v>0.0</v>
      </c>
      <c r="AV722" s="50">
        <v>0.0</v>
      </c>
      <c r="AW722" s="50" t="s">
        <v>106</v>
      </c>
      <c r="AX722" s="50">
        <v>0.0</v>
      </c>
      <c r="AY722" s="50" t="s">
        <v>137</v>
      </c>
      <c r="AZ722" s="50">
        <v>0.0</v>
      </c>
      <c r="BA722" s="43" t="s">
        <v>89</v>
      </c>
      <c r="BB722" s="50">
        <v>0.0</v>
      </c>
      <c r="BC722" s="95"/>
      <c r="BD722" s="71"/>
      <c r="BE722" s="71"/>
      <c r="BF722" s="72" t="s">
        <v>4298</v>
      </c>
      <c r="BG722" s="73"/>
      <c r="BH722" s="73"/>
      <c r="BI722" s="73"/>
      <c r="BJ722" s="73"/>
      <c r="BK722" s="73"/>
      <c r="BL722" s="73"/>
      <c r="BM722" s="73"/>
      <c r="BN722" s="73"/>
      <c r="BO722" s="73"/>
      <c r="BP722" s="73"/>
      <c r="BQ722" s="73"/>
      <c r="BR722" s="73"/>
      <c r="BS722" s="73"/>
      <c r="BT722" s="73"/>
      <c r="BU722" s="73"/>
      <c r="BV722" s="73"/>
      <c r="BW722" s="74"/>
      <c r="BX722" s="74"/>
      <c r="BY722" s="63"/>
      <c r="BZ722" s="63"/>
    </row>
    <row r="723" ht="15.75" customHeight="1">
      <c r="A723" s="133" t="s">
        <v>4299</v>
      </c>
      <c r="B723" s="43" t="s">
        <v>4300</v>
      </c>
      <c r="C723" s="43" t="s">
        <v>70</v>
      </c>
      <c r="D723" s="58" t="s">
        <v>1427</v>
      </c>
      <c r="E723" s="64"/>
      <c r="F723" s="78">
        <v>3.6E8</v>
      </c>
      <c r="G723" s="44" t="str">
        <f t="shared" si="16"/>
        <v>$300'000.000 a $400'000.000</v>
      </c>
      <c r="H723" s="44"/>
      <c r="I723" s="44"/>
      <c r="J723" s="43" t="s">
        <v>116</v>
      </c>
      <c r="K723" s="142"/>
      <c r="L723" s="43">
        <v>3.0</v>
      </c>
      <c r="M723" s="43"/>
      <c r="N723" s="43">
        <v>2.0</v>
      </c>
      <c r="O723" s="43">
        <v>1.0</v>
      </c>
      <c r="P723" s="43">
        <v>2.0</v>
      </c>
      <c r="Q723" s="79">
        <v>134.0</v>
      </c>
      <c r="R723" s="79">
        <v>105.0</v>
      </c>
      <c r="S723" s="56" t="str">
        <f t="shared" si="20"/>
        <v> </v>
      </c>
      <c r="T723" s="43" t="s">
        <v>78</v>
      </c>
      <c r="U723" s="56" t="s">
        <v>184</v>
      </c>
      <c r="V723" s="43" t="s">
        <v>79</v>
      </c>
      <c r="W723" s="43"/>
      <c r="X723" s="43">
        <v>3.0</v>
      </c>
      <c r="Y723" s="43" t="s">
        <v>80</v>
      </c>
      <c r="Z723" s="58" t="s">
        <v>81</v>
      </c>
      <c r="AA723" s="81" t="s">
        <v>81</v>
      </c>
      <c r="AB723" s="140" t="s">
        <v>4301</v>
      </c>
      <c r="AC723" s="124" t="s">
        <v>4302</v>
      </c>
      <c r="AD723" s="107" t="s">
        <v>583</v>
      </c>
      <c r="AE723" s="63"/>
      <c r="AF723" s="64" t="s">
        <v>105</v>
      </c>
      <c r="AG723" s="65" t="s">
        <v>106</v>
      </c>
      <c r="AH723" s="63"/>
      <c r="AI723" s="65" t="s">
        <v>107</v>
      </c>
      <c r="AJ723" s="64" t="s">
        <v>3897</v>
      </c>
      <c r="AK723" s="58" t="s">
        <v>81</v>
      </c>
      <c r="AL723" s="64" t="s">
        <v>109</v>
      </c>
      <c r="AM723" s="52">
        <v>3.103914892E9</v>
      </c>
      <c r="AN723" s="64">
        <v>0.0</v>
      </c>
      <c r="AO723" s="43">
        <v>0.0</v>
      </c>
      <c r="AP723" s="84">
        <v>0.0</v>
      </c>
      <c r="AQ723" s="84"/>
      <c r="AR723" s="84"/>
      <c r="AS723" s="85">
        <v>0.0</v>
      </c>
      <c r="AT723" s="50" t="s">
        <v>88</v>
      </c>
      <c r="AU723" s="50">
        <v>0.0</v>
      </c>
      <c r="AV723" s="50">
        <v>0.0</v>
      </c>
      <c r="AW723" s="50" t="s">
        <v>106</v>
      </c>
      <c r="AX723" s="50">
        <v>0.0</v>
      </c>
      <c r="AY723" s="50">
        <v>0.0</v>
      </c>
      <c r="AZ723" s="50">
        <v>0.0</v>
      </c>
      <c r="BA723" s="43" t="s">
        <v>89</v>
      </c>
      <c r="BB723" s="50">
        <v>0.0</v>
      </c>
      <c r="BC723" s="109"/>
      <c r="BD723" s="70"/>
      <c r="BE723" s="71"/>
      <c r="BF723" s="72" t="s">
        <v>4303</v>
      </c>
      <c r="BG723" s="73"/>
      <c r="BH723" s="73"/>
      <c r="BI723" s="73"/>
      <c r="BJ723" s="73"/>
      <c r="BK723" s="73"/>
      <c r="BL723" s="73"/>
      <c r="BM723" s="73"/>
      <c r="BN723" s="73"/>
      <c r="BO723" s="73"/>
      <c r="BP723" s="73"/>
      <c r="BQ723" s="73"/>
      <c r="BR723" s="73"/>
      <c r="BS723" s="73"/>
      <c r="BT723" s="73"/>
      <c r="BU723" s="73"/>
      <c r="BV723" s="73"/>
      <c r="BW723" s="74"/>
      <c r="BX723" s="74"/>
      <c r="BY723" s="63"/>
      <c r="BZ723" s="63"/>
    </row>
    <row r="724" ht="15.75" customHeight="1">
      <c r="A724" s="75" t="s">
        <v>4304</v>
      </c>
      <c r="B724" s="50" t="s">
        <v>4305</v>
      </c>
      <c r="C724" s="50" t="s">
        <v>271</v>
      </c>
      <c r="D724" s="50" t="s">
        <v>756</v>
      </c>
      <c r="E724" s="64"/>
      <c r="F724" s="78">
        <v>3.5E8</v>
      </c>
      <c r="G724" s="44" t="str">
        <f t="shared" si="16"/>
        <v>$300'000.000 a $400'000.000</v>
      </c>
      <c r="H724" s="44"/>
      <c r="I724" s="44"/>
      <c r="J724" s="50" t="s">
        <v>183</v>
      </c>
      <c r="K724" s="51" t="s">
        <v>184</v>
      </c>
      <c r="L724" s="50">
        <v>4.0</v>
      </c>
      <c r="M724" s="50"/>
      <c r="N724" s="50">
        <v>2.0</v>
      </c>
      <c r="O724" s="50">
        <v>1.0</v>
      </c>
      <c r="P724" s="50">
        <v>3.0</v>
      </c>
      <c r="Q724" s="88">
        <v>0.0</v>
      </c>
      <c r="R724" s="88">
        <v>102.0</v>
      </c>
      <c r="S724" s="56" t="str">
        <f t="shared" si="20"/>
        <v> </v>
      </c>
      <c r="T724" s="50" t="s">
        <v>78</v>
      </c>
      <c r="U724" s="51" t="s">
        <v>184</v>
      </c>
      <c r="V724" s="50" t="s">
        <v>79</v>
      </c>
      <c r="W724" s="50"/>
      <c r="X724" s="50">
        <v>0.0</v>
      </c>
      <c r="Y724" s="50" t="s">
        <v>80</v>
      </c>
      <c r="Z724" s="91"/>
      <c r="AA724" s="59" t="str">
        <f>IF(Rentabilidad=0,"No aplica",TEXT(ROUND(Precio/Rentabilidad/12,0),0) &amp; " años")</f>
        <v>No aplica</v>
      </c>
      <c r="AB724" s="82" t="s">
        <v>4306</v>
      </c>
      <c r="AC724" s="124" t="s">
        <v>4307</v>
      </c>
      <c r="AD724" s="107" t="s">
        <v>4308</v>
      </c>
      <c r="AE724" s="63"/>
      <c r="AF724" s="64" t="s">
        <v>84</v>
      </c>
      <c r="AG724" s="65" t="s">
        <v>106</v>
      </c>
      <c r="AH724" s="63"/>
      <c r="AI724" s="65" t="s">
        <v>107</v>
      </c>
      <c r="AJ724" s="64" t="s">
        <v>3897</v>
      </c>
      <c r="AK724" s="58" t="s">
        <v>81</v>
      </c>
      <c r="AL724" s="64" t="s">
        <v>109</v>
      </c>
      <c r="AM724" s="52">
        <v>3.103914892E9</v>
      </c>
      <c r="AN724" s="45"/>
      <c r="AO724" s="52"/>
      <c r="AP724" s="67"/>
      <c r="AQ724" s="67"/>
      <c r="AR724" s="67"/>
      <c r="AS724" s="85">
        <v>0.0</v>
      </c>
      <c r="AT724" s="50">
        <v>0.0</v>
      </c>
      <c r="AU724" s="50">
        <v>0.0</v>
      </c>
      <c r="AV724" s="50">
        <v>0.0</v>
      </c>
      <c r="AW724" s="50" t="s">
        <v>106</v>
      </c>
      <c r="AX724" s="50">
        <v>0.0</v>
      </c>
      <c r="AY724" s="50" t="s">
        <v>137</v>
      </c>
      <c r="AZ724" s="50">
        <v>0.0</v>
      </c>
      <c r="BA724" s="43" t="s">
        <v>89</v>
      </c>
      <c r="BB724" s="50">
        <v>0.0</v>
      </c>
      <c r="BC724" s="95"/>
      <c r="BD724" s="71"/>
      <c r="BE724" s="71"/>
      <c r="BF724" s="72" t="s">
        <v>4309</v>
      </c>
      <c r="BG724" s="73"/>
      <c r="BH724" s="73"/>
      <c r="BI724" s="73"/>
      <c r="BJ724" s="73"/>
      <c r="BK724" s="73"/>
      <c r="BL724" s="73"/>
      <c r="BM724" s="73"/>
      <c r="BN724" s="73"/>
      <c r="BO724" s="73"/>
      <c r="BP724" s="73"/>
      <c r="BQ724" s="73"/>
      <c r="BR724" s="73"/>
      <c r="BS724" s="73"/>
      <c r="BT724" s="73"/>
      <c r="BU724" s="73"/>
      <c r="BV724" s="73"/>
      <c r="BW724" s="74"/>
      <c r="BX724" s="74"/>
      <c r="BY724" s="63"/>
      <c r="BZ724" s="63"/>
    </row>
    <row r="725" ht="15.75" customHeight="1">
      <c r="A725" s="75" t="s">
        <v>4310</v>
      </c>
      <c r="B725" s="50" t="s">
        <v>4311</v>
      </c>
      <c r="C725" s="50" t="s">
        <v>573</v>
      </c>
      <c r="D725" s="50" t="s">
        <v>250</v>
      </c>
      <c r="E725" s="64"/>
      <c r="F725" s="78">
        <v>3.5E8</v>
      </c>
      <c r="G725" s="44" t="str">
        <f t="shared" si="16"/>
        <v>$300'000.000 a $400'000.000</v>
      </c>
      <c r="H725" s="44"/>
      <c r="I725" s="44"/>
      <c r="J725" s="50" t="s">
        <v>116</v>
      </c>
      <c r="K725" s="51" t="s">
        <v>192</v>
      </c>
      <c r="L725" s="50">
        <v>3.0</v>
      </c>
      <c r="M725" s="50"/>
      <c r="N725" s="50">
        <v>2.0</v>
      </c>
      <c r="O725" s="50">
        <v>1.0</v>
      </c>
      <c r="P725" s="50">
        <v>4.0</v>
      </c>
      <c r="Q725" s="88">
        <v>107.0</v>
      </c>
      <c r="R725" s="88">
        <v>107.0</v>
      </c>
      <c r="S725" s="56" t="str">
        <f t="shared" si="20"/>
        <v> </v>
      </c>
      <c r="T725" s="50" t="s">
        <v>78</v>
      </c>
      <c r="U725" s="51" t="s">
        <v>142</v>
      </c>
      <c r="V725" s="50" t="s">
        <v>680</v>
      </c>
      <c r="W725" s="50"/>
      <c r="X725" s="50">
        <v>3.0</v>
      </c>
      <c r="Y725" s="50" t="s">
        <v>80</v>
      </c>
      <c r="Z725" s="58">
        <v>280000.0</v>
      </c>
      <c r="AA725" s="59" t="str">
        <f>IF(Rentabilidad=0,"No aplica",TEXT(ROUND(Precio/Rentabilidad/12,0),0) &amp; " años")</f>
        <v>No aplica</v>
      </c>
      <c r="AB725" s="82" t="s">
        <v>4312</v>
      </c>
      <c r="AC725" s="102" t="s">
        <v>4313</v>
      </c>
      <c r="AD725" s="97" t="s">
        <v>4314</v>
      </c>
      <c r="AE725" s="63"/>
      <c r="AF725" s="64" t="s">
        <v>105</v>
      </c>
      <c r="AG725" s="65" t="s">
        <v>106</v>
      </c>
      <c r="AH725" s="63"/>
      <c r="AI725" s="65" t="s">
        <v>107</v>
      </c>
      <c r="AJ725" s="64" t="s">
        <v>3897</v>
      </c>
      <c r="AK725" s="58" t="s">
        <v>81</v>
      </c>
      <c r="AL725" s="64" t="s">
        <v>109</v>
      </c>
      <c r="AM725" s="52">
        <v>3.103914892E9</v>
      </c>
      <c r="AN725" s="64">
        <v>0.0</v>
      </c>
      <c r="AO725" s="43">
        <v>0.0</v>
      </c>
      <c r="AP725" s="84">
        <v>0.0</v>
      </c>
      <c r="AQ725" s="84"/>
      <c r="AR725" s="84"/>
      <c r="AS725" s="85">
        <v>0.0</v>
      </c>
      <c r="AT725" s="50" t="s">
        <v>106</v>
      </c>
      <c r="AU725" s="50">
        <v>0.0</v>
      </c>
      <c r="AV725" s="50">
        <v>0.0</v>
      </c>
      <c r="AW725" s="50" t="s">
        <v>88</v>
      </c>
      <c r="AX725" s="50">
        <v>0.0</v>
      </c>
      <c r="AY725" s="50">
        <v>0.0</v>
      </c>
      <c r="AZ725" s="50">
        <v>0.0</v>
      </c>
      <c r="BA725" s="43" t="s">
        <v>89</v>
      </c>
      <c r="BB725" s="50">
        <v>0.0</v>
      </c>
      <c r="BC725" s="95"/>
      <c r="BD725" s="71"/>
      <c r="BE725" s="71"/>
      <c r="BF725" s="72" t="s">
        <v>4315</v>
      </c>
      <c r="BG725" s="73"/>
      <c r="BH725" s="73"/>
      <c r="BI725" s="73"/>
      <c r="BJ725" s="73"/>
      <c r="BK725" s="73"/>
      <c r="BL725" s="73"/>
      <c r="BM725" s="73"/>
      <c r="BN725" s="73"/>
      <c r="BO725" s="73"/>
      <c r="BP725" s="73"/>
      <c r="BQ725" s="73"/>
      <c r="BR725" s="73"/>
      <c r="BS725" s="73"/>
      <c r="BT725" s="73"/>
      <c r="BU725" s="73"/>
      <c r="BV725" s="73"/>
      <c r="BW725" s="74"/>
      <c r="BX725" s="74"/>
      <c r="BY725" s="63"/>
      <c r="BZ725" s="63"/>
    </row>
    <row r="726" ht="15.75" customHeight="1">
      <c r="A726" s="75" t="s">
        <v>4316</v>
      </c>
      <c r="B726" s="50" t="s">
        <v>870</v>
      </c>
      <c r="C726" s="50" t="s">
        <v>70</v>
      </c>
      <c r="D726" s="50" t="s">
        <v>477</v>
      </c>
      <c r="E726" s="77"/>
      <c r="F726" s="78">
        <v>3.5E8</v>
      </c>
      <c r="G726" s="44" t="str">
        <f t="shared" si="16"/>
        <v>$300'000.000 a $400'000.000</v>
      </c>
      <c r="H726" s="44"/>
      <c r="I726" s="44"/>
      <c r="J726" s="50" t="s">
        <v>76</v>
      </c>
      <c r="K726" s="51"/>
      <c r="L726" s="50">
        <v>6.0</v>
      </c>
      <c r="M726" s="50"/>
      <c r="N726" s="50">
        <v>3.0</v>
      </c>
      <c r="O726" s="50">
        <v>1.0</v>
      </c>
      <c r="P726" s="50">
        <v>2.0</v>
      </c>
      <c r="Q726" s="79">
        <v>172.0</v>
      </c>
      <c r="R726" s="79">
        <v>132.0</v>
      </c>
      <c r="S726" s="56" t="str">
        <f t="shared" si="20"/>
        <v> </v>
      </c>
      <c r="T726" s="43" t="s">
        <v>78</v>
      </c>
      <c r="U726" s="56" t="s">
        <v>77</v>
      </c>
      <c r="V726" s="50" t="s">
        <v>79</v>
      </c>
      <c r="W726" s="50"/>
      <c r="X726" s="50">
        <v>4.0</v>
      </c>
      <c r="Y726" s="50" t="s">
        <v>80</v>
      </c>
      <c r="Z726" s="58" t="s">
        <v>81</v>
      </c>
      <c r="AA726" s="81" t="s">
        <v>81</v>
      </c>
      <c r="AB726" s="115" t="s">
        <v>4317</v>
      </c>
      <c r="AC726" s="61"/>
      <c r="AD726" s="62"/>
      <c r="AE726" s="63"/>
      <c r="AF726" s="45" t="s">
        <v>236</v>
      </c>
      <c r="AG726" s="65" t="s">
        <v>106</v>
      </c>
      <c r="AH726" s="65"/>
      <c r="AI726" s="65" t="s">
        <v>107</v>
      </c>
      <c r="AJ726" s="64" t="s">
        <v>3897</v>
      </c>
      <c r="AK726" s="58" t="s">
        <v>81</v>
      </c>
      <c r="AL726" s="45" t="s">
        <v>109</v>
      </c>
      <c r="AM726" s="52">
        <v>3.103914892E9</v>
      </c>
      <c r="AN726" s="64">
        <v>0.0</v>
      </c>
      <c r="AO726" s="52"/>
      <c r="AP726" s="84">
        <v>0.0</v>
      </c>
      <c r="AQ726" s="84"/>
      <c r="AR726" s="84"/>
      <c r="AS726" s="85">
        <v>0.0</v>
      </c>
      <c r="AT726" s="50" t="s">
        <v>88</v>
      </c>
      <c r="AU726" s="43">
        <v>0.0</v>
      </c>
      <c r="AV726" s="43">
        <v>0.0</v>
      </c>
      <c r="AW726" s="43" t="s">
        <v>106</v>
      </c>
      <c r="AX726" s="43">
        <v>0.0</v>
      </c>
      <c r="AY726" s="43" t="s">
        <v>110</v>
      </c>
      <c r="AZ726" s="50">
        <v>0.0</v>
      </c>
      <c r="BA726" s="43" t="s">
        <v>89</v>
      </c>
      <c r="BB726" s="50">
        <v>0.0</v>
      </c>
      <c r="BC726" s="109"/>
      <c r="BD726" s="70"/>
      <c r="BE726" s="71"/>
      <c r="BF726" s="72" t="s">
        <v>4318</v>
      </c>
      <c r="BG726" s="73"/>
      <c r="BH726" s="73"/>
      <c r="BI726" s="73"/>
      <c r="BJ726" s="73"/>
      <c r="BK726" s="73"/>
      <c r="BL726" s="73"/>
      <c r="BM726" s="73"/>
      <c r="BN726" s="73"/>
      <c r="BO726" s="73"/>
      <c r="BP726" s="73"/>
      <c r="BQ726" s="73"/>
      <c r="BR726" s="73"/>
      <c r="BS726" s="73"/>
      <c r="BT726" s="73"/>
      <c r="BU726" s="73"/>
      <c r="BV726" s="73"/>
      <c r="BW726" s="74"/>
      <c r="BX726" s="74"/>
      <c r="BY726" s="63"/>
      <c r="BZ726" s="63"/>
    </row>
    <row r="727" ht="15.75" customHeight="1">
      <c r="A727" s="41" t="s">
        <v>4319</v>
      </c>
      <c r="B727" s="50" t="s">
        <v>4320</v>
      </c>
      <c r="C727" s="50" t="s">
        <v>128</v>
      </c>
      <c r="D727" s="58" t="s">
        <v>376</v>
      </c>
      <c r="E727" s="64" t="s">
        <v>4321</v>
      </c>
      <c r="F727" s="47">
        <v>3.5E8</v>
      </c>
      <c r="G727" s="44" t="str">
        <f t="shared" si="16"/>
        <v>$300'000.000 a $400'000.000</v>
      </c>
      <c r="H727" s="44"/>
      <c r="I727" s="44"/>
      <c r="J727" s="50" t="s">
        <v>94</v>
      </c>
      <c r="K727" s="51"/>
      <c r="L727" s="44">
        <v>6.0</v>
      </c>
      <c r="M727" s="44"/>
      <c r="N727" s="44">
        <v>4.0</v>
      </c>
      <c r="O727" s="50">
        <v>1.0</v>
      </c>
      <c r="P727" s="44">
        <v>2.0</v>
      </c>
      <c r="Q727" s="113">
        <v>54.0</v>
      </c>
      <c r="R727" s="79">
        <v>340.0</v>
      </c>
      <c r="S727" s="56" t="str">
        <f t="shared" si="20"/>
        <v> </v>
      </c>
      <c r="T727" s="52" t="s">
        <v>1985</v>
      </c>
      <c r="U727" s="142" t="s">
        <v>184</v>
      </c>
      <c r="V727" s="50" t="s">
        <v>79</v>
      </c>
      <c r="W727" s="50"/>
      <c r="X727" s="44">
        <v>6.0</v>
      </c>
      <c r="Y727" s="50" t="s">
        <v>97</v>
      </c>
      <c r="Z727" s="340">
        <v>100000.0</v>
      </c>
      <c r="AA727" s="59" t="str">
        <f>IF(Rentabilidad=0,"No aplica",TEXT(ROUND(Precio/Rentabilidad/12,0),0) &amp; " años")</f>
        <v>No aplica</v>
      </c>
      <c r="AB727" s="82" t="s">
        <v>4322</v>
      </c>
      <c r="AC727" s="61"/>
      <c r="AD727" s="125" t="s">
        <v>4323</v>
      </c>
      <c r="AE727" s="63"/>
      <c r="AF727" s="45" t="s">
        <v>84</v>
      </c>
      <c r="AG727" s="65" t="s">
        <v>106</v>
      </c>
      <c r="AH727" s="65"/>
      <c r="AI727" s="65" t="s">
        <v>107</v>
      </c>
      <c r="AJ727" s="64" t="s">
        <v>3897</v>
      </c>
      <c r="AK727" s="58" t="s">
        <v>81</v>
      </c>
      <c r="AL727" s="45" t="s">
        <v>109</v>
      </c>
      <c r="AM727" s="52">
        <v>3.103914892E9</v>
      </c>
      <c r="AN727" s="45">
        <v>0.0</v>
      </c>
      <c r="AO727" s="52"/>
      <c r="AP727" s="67">
        <v>0.0</v>
      </c>
      <c r="AQ727" s="67"/>
      <c r="AR727" s="67"/>
      <c r="AS727" s="68">
        <v>0.0</v>
      </c>
      <c r="AT727" s="44">
        <v>0.0</v>
      </c>
      <c r="AU727" s="44">
        <v>0.0</v>
      </c>
      <c r="AV727" s="44">
        <v>0.0</v>
      </c>
      <c r="AW727" s="50" t="s">
        <v>88</v>
      </c>
      <c r="AX727" s="44">
        <v>0.0</v>
      </c>
      <c r="AY727" s="44" t="s">
        <v>137</v>
      </c>
      <c r="AZ727" s="44">
        <v>0.0</v>
      </c>
      <c r="BA727" s="43" t="s">
        <v>89</v>
      </c>
      <c r="BB727" s="44">
        <v>0.0</v>
      </c>
      <c r="BC727" s="69" t="s">
        <v>4324</v>
      </c>
      <c r="BD727" s="70"/>
      <c r="BE727" s="71"/>
      <c r="BF727" s="72" t="s">
        <v>4325</v>
      </c>
      <c r="BG727" s="74"/>
      <c r="BH727" s="74"/>
      <c r="BI727" s="74"/>
      <c r="BJ727" s="74"/>
      <c r="BK727" s="74"/>
      <c r="BL727" s="74"/>
      <c r="BM727" s="74"/>
      <c r="BN727" s="74"/>
      <c r="BO727" s="74"/>
      <c r="BP727" s="74"/>
      <c r="BQ727" s="74"/>
      <c r="BR727" s="74"/>
      <c r="BS727" s="74"/>
      <c r="BT727" s="74"/>
      <c r="BU727" s="74"/>
      <c r="BV727" s="74"/>
      <c r="BW727" s="74"/>
      <c r="BX727" s="74"/>
      <c r="BY727" s="63"/>
      <c r="BZ727" s="63"/>
    </row>
    <row r="728" ht="15.75" customHeight="1">
      <c r="A728" s="133" t="s">
        <v>4326</v>
      </c>
      <c r="B728" s="43" t="s">
        <v>4327</v>
      </c>
      <c r="C728" s="43" t="s">
        <v>573</v>
      </c>
      <c r="D728" s="310"/>
      <c r="E728" s="64"/>
      <c r="F728" s="78">
        <v>3.2E8</v>
      </c>
      <c r="G728" s="44" t="str">
        <f t="shared" si="16"/>
        <v>$300'000.000 a $400'000.000</v>
      </c>
      <c r="H728" s="44"/>
      <c r="I728" s="44"/>
      <c r="J728" s="43" t="s">
        <v>116</v>
      </c>
      <c r="K728" s="56"/>
      <c r="L728" s="43">
        <v>2.0</v>
      </c>
      <c r="M728" s="43"/>
      <c r="N728" s="43">
        <v>2.0</v>
      </c>
      <c r="O728" s="43">
        <v>1.0</v>
      </c>
      <c r="P728" s="43">
        <v>5.0</v>
      </c>
      <c r="Q728" s="55">
        <v>71.0</v>
      </c>
      <c r="R728" s="55">
        <v>71.0</v>
      </c>
      <c r="S728" s="56" t="str">
        <f t="shared" si="20"/>
        <v> </v>
      </c>
      <c r="T728" s="43" t="s">
        <v>78</v>
      </c>
      <c r="U728" s="56" t="s">
        <v>142</v>
      </c>
      <c r="V728" s="43" t="s">
        <v>333</v>
      </c>
      <c r="W728" s="43"/>
      <c r="X728" s="43">
        <v>2.0</v>
      </c>
      <c r="Y728" s="43" t="s">
        <v>130</v>
      </c>
      <c r="Z728" s="80">
        <v>0.0</v>
      </c>
      <c r="AA728" s="81" t="s">
        <v>81</v>
      </c>
      <c r="AB728" s="140" t="s">
        <v>4328</v>
      </c>
      <c r="AC728" s="124" t="s">
        <v>4329</v>
      </c>
      <c r="AD728" s="107" t="s">
        <v>4330</v>
      </c>
      <c r="AE728" s="63"/>
      <c r="AF728" s="295" t="s">
        <v>105</v>
      </c>
      <c r="AG728" s="65" t="s">
        <v>106</v>
      </c>
      <c r="AH728" s="65"/>
      <c r="AI728" s="65" t="s">
        <v>107</v>
      </c>
      <c r="AJ728" s="64" t="s">
        <v>3897</v>
      </c>
      <c r="AK728" s="58" t="s">
        <v>81</v>
      </c>
      <c r="AL728" s="64" t="s">
        <v>109</v>
      </c>
      <c r="AM728" s="52">
        <v>3.103914892E9</v>
      </c>
      <c r="AN728" s="64">
        <v>0.0</v>
      </c>
      <c r="AO728" s="43">
        <v>0.0</v>
      </c>
      <c r="AP728" s="84">
        <v>0.0</v>
      </c>
      <c r="AQ728" s="84"/>
      <c r="AR728" s="84"/>
      <c r="AS728" s="85">
        <v>0.0</v>
      </c>
      <c r="AT728" s="50" t="s">
        <v>106</v>
      </c>
      <c r="AU728" s="50" t="s">
        <v>106</v>
      </c>
      <c r="AV728" s="50">
        <v>2.0</v>
      </c>
      <c r="AW728" s="50" t="s">
        <v>88</v>
      </c>
      <c r="AX728" s="50">
        <v>0.0</v>
      </c>
      <c r="AY728" s="50">
        <v>0.0</v>
      </c>
      <c r="AZ728" s="50">
        <v>0.0</v>
      </c>
      <c r="BA728" s="43" t="s">
        <v>89</v>
      </c>
      <c r="BB728" s="50">
        <v>0.0</v>
      </c>
      <c r="BC728" s="86"/>
      <c r="BD728" s="71"/>
      <c r="BE728" s="71"/>
      <c r="BF728" s="72" t="s">
        <v>4331</v>
      </c>
      <c r="BG728" s="73"/>
      <c r="BH728" s="73"/>
      <c r="BI728" s="73"/>
      <c r="BJ728" s="73"/>
      <c r="BK728" s="73"/>
      <c r="BL728" s="73"/>
      <c r="BM728" s="73"/>
      <c r="BN728" s="73"/>
      <c r="BO728" s="73"/>
      <c r="BP728" s="73"/>
      <c r="BQ728" s="73"/>
      <c r="BR728" s="73"/>
      <c r="BS728" s="73"/>
      <c r="BT728" s="73"/>
      <c r="BU728" s="73"/>
      <c r="BV728" s="73"/>
      <c r="BW728" s="74"/>
      <c r="BX728" s="74"/>
      <c r="BY728" s="63"/>
      <c r="BZ728" s="63"/>
    </row>
    <row r="729" ht="15.75" customHeight="1">
      <c r="A729" s="75" t="s">
        <v>4332</v>
      </c>
      <c r="B729" s="50" t="s">
        <v>4333</v>
      </c>
      <c r="C729" s="50" t="s">
        <v>70</v>
      </c>
      <c r="D729" s="50" t="s">
        <v>4334</v>
      </c>
      <c r="E729" s="64"/>
      <c r="F729" s="78">
        <v>3.3E8</v>
      </c>
      <c r="G729" s="44" t="str">
        <f t="shared" si="16"/>
        <v>$300'000.000 a $400'000.000</v>
      </c>
      <c r="H729" s="44"/>
      <c r="I729" s="44"/>
      <c r="J729" s="50" t="s">
        <v>183</v>
      </c>
      <c r="K729" s="51"/>
      <c r="L729" s="50">
        <v>3.0</v>
      </c>
      <c r="M729" s="50"/>
      <c r="N729" s="50">
        <v>3.0</v>
      </c>
      <c r="O729" s="50">
        <v>1.0</v>
      </c>
      <c r="P729" s="50">
        <v>2.0</v>
      </c>
      <c r="Q729" s="88">
        <v>162.0</v>
      </c>
      <c r="R729" s="88">
        <v>90.0</v>
      </c>
      <c r="S729" s="56" t="str">
        <f t="shared" si="20"/>
        <v> </v>
      </c>
      <c r="T729" s="50" t="s">
        <v>78</v>
      </c>
      <c r="U729" s="51" t="s">
        <v>184</v>
      </c>
      <c r="V729" s="50" t="s">
        <v>118</v>
      </c>
      <c r="W729" s="50"/>
      <c r="X729" s="50">
        <v>3.0</v>
      </c>
      <c r="Y729" s="50" t="s">
        <v>80</v>
      </c>
      <c r="Z729" s="91"/>
      <c r="AA729" s="59" t="str">
        <f>IF(Rentabilidad=0,"No aplica",TEXT(ROUND(Precio/Rentabilidad/12,0),0) &amp; " años")</f>
        <v>No aplica</v>
      </c>
      <c r="AB729" s="82" t="s">
        <v>4335</v>
      </c>
      <c r="AC729" s="102" t="s">
        <v>4336</v>
      </c>
      <c r="AD729" s="103" t="s">
        <v>4337</v>
      </c>
      <c r="AE729" s="63"/>
      <c r="AF729" s="64" t="s">
        <v>105</v>
      </c>
      <c r="AG729" s="65" t="s">
        <v>106</v>
      </c>
      <c r="AH729" s="63"/>
      <c r="AI729" s="65" t="s">
        <v>107</v>
      </c>
      <c r="AJ729" s="64" t="s">
        <v>3897</v>
      </c>
      <c r="AK729" s="58" t="s">
        <v>81</v>
      </c>
      <c r="AL729" s="64" t="s">
        <v>109</v>
      </c>
      <c r="AM729" s="52">
        <v>3.103914892E9</v>
      </c>
      <c r="AN729" s="64">
        <v>0.0</v>
      </c>
      <c r="AO729" s="43">
        <v>0.0</v>
      </c>
      <c r="AP729" s="84">
        <v>0.0</v>
      </c>
      <c r="AQ729" s="84"/>
      <c r="AR729" s="84"/>
      <c r="AS729" s="85">
        <v>0.0</v>
      </c>
      <c r="AT729" s="50">
        <v>0.0</v>
      </c>
      <c r="AU729" s="50">
        <v>0.0</v>
      </c>
      <c r="AV729" s="50">
        <v>0.0</v>
      </c>
      <c r="AW729" s="50" t="s">
        <v>88</v>
      </c>
      <c r="AX729" s="50">
        <v>0.0</v>
      </c>
      <c r="AY729" s="50">
        <v>0.0</v>
      </c>
      <c r="AZ729" s="50">
        <v>0.0</v>
      </c>
      <c r="BA729" s="43" t="s">
        <v>89</v>
      </c>
      <c r="BB729" s="50">
        <v>0.0</v>
      </c>
      <c r="BC729" s="95"/>
      <c r="BD729" s="71"/>
      <c r="BE729" s="71"/>
      <c r="BF729" s="72" t="s">
        <v>4338</v>
      </c>
      <c r="BG729" s="73"/>
      <c r="BH729" s="73"/>
      <c r="BI729" s="73"/>
      <c r="BJ729" s="73"/>
      <c r="BK729" s="73"/>
      <c r="BL729" s="73"/>
      <c r="BM729" s="73"/>
      <c r="BN729" s="73"/>
      <c r="BO729" s="73"/>
      <c r="BP729" s="73"/>
      <c r="BQ729" s="73"/>
      <c r="BR729" s="73"/>
      <c r="BS729" s="73"/>
      <c r="BT729" s="73"/>
      <c r="BU729" s="73"/>
      <c r="BV729" s="73"/>
      <c r="BW729" s="74"/>
      <c r="BX729" s="74"/>
      <c r="BY729" s="63"/>
      <c r="BZ729" s="63"/>
    </row>
    <row r="730" ht="15.75" customHeight="1">
      <c r="A730" s="75" t="s">
        <v>4339</v>
      </c>
      <c r="B730" s="43" t="s">
        <v>4340</v>
      </c>
      <c r="C730" s="43" t="s">
        <v>70</v>
      </c>
      <c r="D730" s="193" t="s">
        <v>4341</v>
      </c>
      <c r="E730" s="64"/>
      <c r="F730" s="78">
        <v>3.2E8</v>
      </c>
      <c r="G730" s="44" t="str">
        <f t="shared" si="16"/>
        <v>$300'000.000 a $400'000.000</v>
      </c>
      <c r="H730" s="44"/>
      <c r="I730" s="44"/>
      <c r="J730" s="50" t="s">
        <v>116</v>
      </c>
      <c r="K730" s="150"/>
      <c r="L730" s="50">
        <v>5.0</v>
      </c>
      <c r="M730" s="50"/>
      <c r="N730" s="50">
        <v>1.0</v>
      </c>
      <c r="O730" s="50">
        <v>1.0</v>
      </c>
      <c r="P730" s="50">
        <v>1.0</v>
      </c>
      <c r="Q730" s="79">
        <v>167.0</v>
      </c>
      <c r="R730" s="79">
        <v>160.0</v>
      </c>
      <c r="S730" s="56" t="str">
        <f t="shared" si="20"/>
        <v> </v>
      </c>
      <c r="T730" s="50" t="s">
        <v>78</v>
      </c>
      <c r="U730" s="51" t="s">
        <v>77</v>
      </c>
      <c r="V730" s="50" t="s">
        <v>79</v>
      </c>
      <c r="W730" s="50"/>
      <c r="X730" s="50">
        <v>3.0</v>
      </c>
      <c r="Y730" s="43" t="s">
        <v>80</v>
      </c>
      <c r="Z730" s="58" t="s">
        <v>81</v>
      </c>
      <c r="AA730" s="59" t="str">
        <f>IF(Rentabilidad=0,"No aplica",TEXT(ROUND(Precio/Rentabilidad/12,0),0) &amp; " años")</f>
        <v>No aplica</v>
      </c>
      <c r="AB730" s="134" t="s">
        <v>4342</v>
      </c>
      <c r="AC730" s="131" t="s">
        <v>4343</v>
      </c>
      <c r="AD730" s="125" t="s">
        <v>4344</v>
      </c>
      <c r="AE730" s="63"/>
      <c r="AF730" s="45" t="s">
        <v>105</v>
      </c>
      <c r="AG730" s="65" t="s">
        <v>106</v>
      </c>
      <c r="AH730" s="63"/>
      <c r="AI730" s="65" t="s">
        <v>107</v>
      </c>
      <c r="AJ730" s="64" t="s">
        <v>3897</v>
      </c>
      <c r="AK730" s="50" t="s">
        <v>81</v>
      </c>
      <c r="AL730" s="45" t="s">
        <v>109</v>
      </c>
      <c r="AM730" s="52">
        <v>3.103914892E9</v>
      </c>
      <c r="AN730" s="45"/>
      <c r="AO730" s="116"/>
      <c r="AP730" s="84">
        <v>0.0</v>
      </c>
      <c r="AQ730" s="84"/>
      <c r="AR730" s="84"/>
      <c r="AS730" s="85">
        <v>0.0</v>
      </c>
      <c r="AT730" s="50">
        <v>0.0</v>
      </c>
      <c r="AU730" s="43">
        <v>0.0</v>
      </c>
      <c r="AV730" s="43">
        <v>0.0</v>
      </c>
      <c r="AW730" s="43" t="s">
        <v>106</v>
      </c>
      <c r="AX730" s="43">
        <v>0.0</v>
      </c>
      <c r="AY730" s="43" t="s">
        <v>247</v>
      </c>
      <c r="AZ730" s="50">
        <v>0.0</v>
      </c>
      <c r="BA730" s="43" t="s">
        <v>89</v>
      </c>
      <c r="BB730" s="50">
        <v>0.0</v>
      </c>
      <c r="BC730" s="127" t="s">
        <v>439</v>
      </c>
      <c r="BD730" s="156"/>
      <c r="BE730" s="156"/>
      <c r="BF730" s="157" t="s">
        <v>4345</v>
      </c>
      <c r="BG730" s="73"/>
      <c r="BH730" s="73"/>
      <c r="BI730" s="73"/>
      <c r="BJ730" s="73"/>
      <c r="BK730" s="73"/>
      <c r="BL730" s="73"/>
      <c r="BM730" s="73"/>
      <c r="BN730" s="73"/>
      <c r="BO730" s="73"/>
      <c r="BP730" s="73"/>
      <c r="BQ730" s="73"/>
      <c r="BR730" s="73"/>
      <c r="BS730" s="73"/>
      <c r="BT730" s="73"/>
      <c r="BU730" s="73"/>
      <c r="BV730" s="73"/>
      <c r="BW730" s="74"/>
      <c r="BX730" s="74"/>
      <c r="BY730" s="63"/>
      <c r="BZ730" s="63"/>
    </row>
    <row r="731" ht="15.75" customHeight="1">
      <c r="A731" s="133" t="s">
        <v>4346</v>
      </c>
      <c r="B731" s="50" t="s">
        <v>4347</v>
      </c>
      <c r="C731" s="50" t="s">
        <v>271</v>
      </c>
      <c r="D731" s="44" t="s">
        <v>4348</v>
      </c>
      <c r="E731" s="64" t="s">
        <v>376</v>
      </c>
      <c r="F731" s="78">
        <v>3.0E8</v>
      </c>
      <c r="G731" s="44" t="str">
        <f t="shared" si="16"/>
        <v>$300'000.000 a $400'000.000</v>
      </c>
      <c r="H731" s="44"/>
      <c r="I731" s="44"/>
      <c r="J731" s="50" t="s">
        <v>116</v>
      </c>
      <c r="K731" s="57"/>
      <c r="L731" s="50">
        <v>5.0</v>
      </c>
      <c r="M731" s="50"/>
      <c r="N731" s="50">
        <v>4.0</v>
      </c>
      <c r="O731" s="50">
        <v>1.0</v>
      </c>
      <c r="P731" s="50">
        <v>2.0</v>
      </c>
      <c r="Q731" s="113"/>
      <c r="R731" s="79">
        <v>105.0</v>
      </c>
      <c r="S731" s="56" t="str">
        <f t="shared" si="20"/>
        <v> </v>
      </c>
      <c r="T731" s="50" t="s">
        <v>78</v>
      </c>
      <c r="U731" s="51" t="s">
        <v>184</v>
      </c>
      <c r="V731" s="50" t="s">
        <v>79</v>
      </c>
      <c r="W731" s="50"/>
      <c r="X731" s="50">
        <v>4.0</v>
      </c>
      <c r="Y731" s="50" t="s">
        <v>80</v>
      </c>
      <c r="Z731" s="58" t="s">
        <v>81</v>
      </c>
      <c r="AA731" s="59" t="str">
        <f>IF(Rentabilidad=0,"No aplica",TEXT(ROUND(Precio/Rentabilidad/12,0),0) &amp; " años")</f>
        <v>No aplica</v>
      </c>
      <c r="AB731" s="82" t="s">
        <v>4349</v>
      </c>
      <c r="AC731" s="61"/>
      <c r="AD731" s="125" t="s">
        <v>4350</v>
      </c>
      <c r="AE731" s="63"/>
      <c r="AF731" s="64" t="s">
        <v>236</v>
      </c>
      <c r="AG731" s="65" t="s">
        <v>106</v>
      </c>
      <c r="AH731" s="65"/>
      <c r="AI731" s="65" t="s">
        <v>107</v>
      </c>
      <c r="AJ731" s="64" t="s">
        <v>3897</v>
      </c>
      <c r="AK731" s="58" t="s">
        <v>81</v>
      </c>
      <c r="AL731" s="45" t="s">
        <v>109</v>
      </c>
      <c r="AM731" s="52">
        <v>3.13351965E9</v>
      </c>
      <c r="AN731" s="45"/>
      <c r="AO731" s="44"/>
      <c r="AP731" s="67"/>
      <c r="AQ731" s="143">
        <v>2.9466019</v>
      </c>
      <c r="AR731" s="143">
        <v>-75.2540506</v>
      </c>
      <c r="AS731" s="94">
        <v>0.0</v>
      </c>
      <c r="AT731" s="44"/>
      <c r="AU731" s="44"/>
      <c r="AV731" s="44"/>
      <c r="AW731" s="44"/>
      <c r="AX731" s="44"/>
      <c r="AY731" s="44"/>
      <c r="AZ731" s="44"/>
      <c r="BA731" s="43" t="s">
        <v>89</v>
      </c>
      <c r="BB731" s="44"/>
      <c r="BC731" s="109"/>
      <c r="BD731" s="70"/>
      <c r="BE731" s="71"/>
      <c r="BF731" s="72" t="s">
        <v>4351</v>
      </c>
      <c r="BG731" s="73"/>
      <c r="BH731" s="73"/>
      <c r="BI731" s="73"/>
      <c r="BJ731" s="73"/>
      <c r="BK731" s="73"/>
      <c r="BL731" s="73"/>
      <c r="BM731" s="73"/>
      <c r="BN731" s="73"/>
      <c r="BO731" s="73"/>
      <c r="BP731" s="73"/>
      <c r="BQ731" s="73"/>
      <c r="BR731" s="73"/>
      <c r="BS731" s="73"/>
      <c r="BT731" s="73"/>
      <c r="BU731" s="73"/>
      <c r="BV731" s="73"/>
      <c r="BW731" s="74"/>
      <c r="BX731" s="74"/>
      <c r="BY731" s="63"/>
      <c r="BZ731" s="63"/>
    </row>
    <row r="732" ht="15.75" customHeight="1">
      <c r="A732" s="133" t="s">
        <v>4352</v>
      </c>
      <c r="B732" s="43" t="s">
        <v>4353</v>
      </c>
      <c r="C732" s="43" t="s">
        <v>664</v>
      </c>
      <c r="D732" s="52"/>
      <c r="E732" s="64" t="s">
        <v>4354</v>
      </c>
      <c r="F732" s="78">
        <v>2.85E8</v>
      </c>
      <c r="G732" s="44" t="str">
        <f t="shared" si="16"/>
        <v>$200'000.000 a $300'000.000</v>
      </c>
      <c r="H732" s="44"/>
      <c r="I732" s="44"/>
      <c r="J732" s="43" t="s">
        <v>94</v>
      </c>
      <c r="K732" s="142"/>
      <c r="L732" s="43">
        <v>0.0</v>
      </c>
      <c r="M732" s="43"/>
      <c r="N732" s="43">
        <v>0.0</v>
      </c>
      <c r="O732" s="43">
        <v>0.0</v>
      </c>
      <c r="P732" s="43">
        <v>0.0</v>
      </c>
      <c r="Q732" s="89">
        <v>0.0</v>
      </c>
      <c r="R732" s="88">
        <v>1306.0</v>
      </c>
      <c r="S732" s="56" t="str">
        <f t="shared" si="20"/>
        <v> </v>
      </c>
      <c r="T732" s="43" t="s">
        <v>95</v>
      </c>
      <c r="U732" s="142"/>
      <c r="V732" s="43" t="s">
        <v>79</v>
      </c>
      <c r="W732" s="43"/>
      <c r="X732" s="43">
        <v>0.0</v>
      </c>
      <c r="Y732" s="43" t="s">
        <v>130</v>
      </c>
      <c r="Z732" s="58">
        <v>808000.0</v>
      </c>
      <c r="AA732" s="59" t="str">
        <f>IF(Rentabilidad=0,"No aplica",TEXT(ROUND(Precio/Rentabilidad/12,0),0) &amp; " años")</f>
        <v>No aplica</v>
      </c>
      <c r="AB732" s="140" t="s">
        <v>4355</v>
      </c>
      <c r="AC732" s="167" t="s">
        <v>4356</v>
      </c>
      <c r="AD732" s="167" t="s">
        <v>4357</v>
      </c>
      <c r="AE732" s="63"/>
      <c r="AF732" s="64">
        <v>0.0</v>
      </c>
      <c r="AG732" s="65" t="s">
        <v>106</v>
      </c>
      <c r="AH732" s="63"/>
      <c r="AI732" s="65" t="s">
        <v>107</v>
      </c>
      <c r="AJ732" s="64" t="s">
        <v>3897</v>
      </c>
      <c r="AK732" s="58" t="s">
        <v>81</v>
      </c>
      <c r="AL732" s="64" t="s">
        <v>109</v>
      </c>
      <c r="AM732" s="52">
        <v>3.103914892E9</v>
      </c>
      <c r="AN732" s="64">
        <v>0.0</v>
      </c>
      <c r="AO732" s="43">
        <v>0.0</v>
      </c>
      <c r="AP732" s="84">
        <v>0.0</v>
      </c>
      <c r="AQ732" s="84"/>
      <c r="AR732" s="84"/>
      <c r="AS732" s="85">
        <v>0.0</v>
      </c>
      <c r="AT732" s="50">
        <v>0.0</v>
      </c>
      <c r="AU732" s="50">
        <v>0.0</v>
      </c>
      <c r="AV732" s="50">
        <v>0.0</v>
      </c>
      <c r="AW732" s="50" t="s">
        <v>88</v>
      </c>
      <c r="AX732" s="50">
        <v>0.0</v>
      </c>
      <c r="AY732" s="50">
        <v>0.0</v>
      </c>
      <c r="AZ732" s="50">
        <v>0.0</v>
      </c>
      <c r="BA732" s="43" t="s">
        <v>89</v>
      </c>
      <c r="BB732" s="50">
        <v>0.0</v>
      </c>
      <c r="BC732" s="95" t="s">
        <v>3073</v>
      </c>
      <c r="BD732" s="71"/>
      <c r="BE732" s="71"/>
      <c r="BF732" s="72" t="s">
        <v>4358</v>
      </c>
      <c r="BG732" s="73"/>
      <c r="BH732" s="73"/>
      <c r="BI732" s="73"/>
      <c r="BJ732" s="73"/>
      <c r="BK732" s="73"/>
      <c r="BL732" s="73"/>
      <c r="BM732" s="73"/>
      <c r="BN732" s="73"/>
      <c r="BO732" s="73"/>
      <c r="BP732" s="73"/>
      <c r="BQ732" s="73"/>
      <c r="BR732" s="73"/>
      <c r="BS732" s="73"/>
      <c r="BT732" s="73"/>
      <c r="BU732" s="73"/>
      <c r="BV732" s="73"/>
      <c r="BW732" s="74"/>
      <c r="BX732" s="74"/>
      <c r="BY732" s="63"/>
      <c r="BZ732" s="63"/>
    </row>
    <row r="733" ht="15.75" customHeight="1">
      <c r="A733" s="75" t="s">
        <v>4359</v>
      </c>
      <c r="B733" s="50" t="s">
        <v>4360</v>
      </c>
      <c r="C733" s="50" t="s">
        <v>323</v>
      </c>
      <c r="D733" s="50"/>
      <c r="E733" s="64" t="s">
        <v>4361</v>
      </c>
      <c r="F733" s="78">
        <v>2.8E8</v>
      </c>
      <c r="G733" s="44" t="str">
        <f t="shared" si="16"/>
        <v>$200'000.000 a $300'000.000</v>
      </c>
      <c r="H733" s="44"/>
      <c r="I733" s="44"/>
      <c r="J733" s="50" t="s">
        <v>94</v>
      </c>
      <c r="K733" s="51"/>
      <c r="L733" s="50">
        <v>3.0</v>
      </c>
      <c r="M733" s="50"/>
      <c r="N733" s="50">
        <v>2.0</v>
      </c>
      <c r="O733" s="50">
        <v>1.0</v>
      </c>
      <c r="P733" s="50">
        <v>10.0</v>
      </c>
      <c r="Q733" s="88">
        <v>92.0</v>
      </c>
      <c r="R733" s="88">
        <v>92.0</v>
      </c>
      <c r="S733" s="56" t="str">
        <f t="shared" si="20"/>
        <v> </v>
      </c>
      <c r="T733" s="50" t="s">
        <v>78</v>
      </c>
      <c r="U733" s="51" t="s">
        <v>142</v>
      </c>
      <c r="V733" s="50" t="s">
        <v>4362</v>
      </c>
      <c r="W733" s="50"/>
      <c r="X733" s="50">
        <v>3.0</v>
      </c>
      <c r="Y733" s="50" t="s">
        <v>130</v>
      </c>
      <c r="Z733" s="58">
        <v>311000.0</v>
      </c>
      <c r="AA733" s="59" t="str">
        <f>IF(Rentabilidad=0,"No aplica",TEXT(ROUND(Precio/Rentabilidad/12,0),0) &amp; " años")</f>
        <v>No aplica</v>
      </c>
      <c r="AB733" s="82" t="s">
        <v>4363</v>
      </c>
      <c r="AC733" s="102" t="s">
        <v>4364</v>
      </c>
      <c r="AD733" s="103" t="s">
        <v>4365</v>
      </c>
      <c r="AE733" s="63"/>
      <c r="AF733" s="64" t="s">
        <v>105</v>
      </c>
      <c r="AG733" s="65" t="s">
        <v>106</v>
      </c>
      <c r="AH733" s="63"/>
      <c r="AI733" s="65" t="s">
        <v>107</v>
      </c>
      <c r="AJ733" s="64" t="s">
        <v>3897</v>
      </c>
      <c r="AK733" s="58" t="s">
        <v>81</v>
      </c>
      <c r="AL733" s="64" t="s">
        <v>109</v>
      </c>
      <c r="AM733" s="52">
        <v>3.103914892E9</v>
      </c>
      <c r="AN733" s="64">
        <v>0.0</v>
      </c>
      <c r="AO733" s="43">
        <v>0.0</v>
      </c>
      <c r="AP733" s="84">
        <v>0.0</v>
      </c>
      <c r="AQ733" s="84"/>
      <c r="AR733" s="84"/>
      <c r="AS733" s="85">
        <v>0.0</v>
      </c>
      <c r="AT733" s="50" t="s">
        <v>106</v>
      </c>
      <c r="AU733" s="50">
        <v>0.0</v>
      </c>
      <c r="AV733" s="50">
        <v>0.0</v>
      </c>
      <c r="AW733" s="50" t="s">
        <v>88</v>
      </c>
      <c r="AX733" s="50">
        <v>0.0</v>
      </c>
      <c r="AY733" s="50">
        <v>0.0</v>
      </c>
      <c r="AZ733" s="50">
        <v>0.0</v>
      </c>
      <c r="BA733" s="43" t="s">
        <v>89</v>
      </c>
      <c r="BB733" s="50">
        <v>0.0</v>
      </c>
      <c r="BC733" s="95"/>
      <c r="BD733" s="71"/>
      <c r="BE733" s="71"/>
      <c r="BF733" s="72" t="s">
        <v>4366</v>
      </c>
      <c r="BG733" s="73"/>
      <c r="BH733" s="73"/>
      <c r="BI733" s="73"/>
      <c r="BJ733" s="73"/>
      <c r="BK733" s="73"/>
      <c r="BL733" s="73"/>
      <c r="BM733" s="73"/>
      <c r="BN733" s="73"/>
      <c r="BO733" s="73"/>
      <c r="BP733" s="73"/>
      <c r="BQ733" s="73"/>
      <c r="BR733" s="73"/>
      <c r="BS733" s="73"/>
      <c r="BT733" s="73"/>
      <c r="BU733" s="73"/>
      <c r="BV733" s="73"/>
      <c r="BW733" s="74"/>
      <c r="BX733" s="74"/>
      <c r="BY733" s="63"/>
      <c r="BZ733" s="63"/>
    </row>
    <row r="734" ht="15.75" customHeight="1">
      <c r="A734" s="75" t="s">
        <v>4367</v>
      </c>
      <c r="B734" s="43" t="s">
        <v>4368</v>
      </c>
      <c r="C734" s="43" t="s">
        <v>271</v>
      </c>
      <c r="D734" s="193" t="s">
        <v>4369</v>
      </c>
      <c r="E734" s="64"/>
      <c r="F734" s="78">
        <v>2.7E8</v>
      </c>
      <c r="G734" s="44" t="str">
        <f t="shared" si="16"/>
        <v>$200'000.000 a $300'000.000</v>
      </c>
      <c r="H734" s="44"/>
      <c r="I734" s="44"/>
      <c r="J734" s="50" t="s">
        <v>968</v>
      </c>
      <c r="K734" s="150"/>
      <c r="L734" s="50">
        <v>4.0</v>
      </c>
      <c r="M734" s="50"/>
      <c r="N734" s="50">
        <v>2.0</v>
      </c>
      <c r="O734" s="50">
        <v>2.0</v>
      </c>
      <c r="P734" s="50">
        <v>2.0</v>
      </c>
      <c r="Q734" s="79">
        <v>140.0</v>
      </c>
      <c r="R734" s="79">
        <v>84.0</v>
      </c>
      <c r="S734" s="56" t="str">
        <f t="shared" si="20"/>
        <v>Rentabilidad $1,100,000</v>
      </c>
      <c r="T734" s="50" t="s">
        <v>78</v>
      </c>
      <c r="U734" s="51" t="s">
        <v>77</v>
      </c>
      <c r="V734" s="65" t="s">
        <v>79</v>
      </c>
      <c r="W734" s="65"/>
      <c r="X734" s="50">
        <v>4.0</v>
      </c>
      <c r="Y734" s="43" t="s">
        <v>80</v>
      </c>
      <c r="Z734" s="80" t="s">
        <v>81</v>
      </c>
      <c r="AA734" s="59"/>
      <c r="AB734" s="134" t="s">
        <v>4370</v>
      </c>
      <c r="AC734" s="131" t="s">
        <v>4371</v>
      </c>
      <c r="AD734" s="125" t="s">
        <v>4372</v>
      </c>
      <c r="AE734" s="63"/>
      <c r="AF734" s="45" t="s">
        <v>236</v>
      </c>
      <c r="AG734" s="65" t="s">
        <v>106</v>
      </c>
      <c r="AH734" s="63"/>
      <c r="AI734" s="65" t="s">
        <v>107</v>
      </c>
      <c r="AJ734" s="64" t="s">
        <v>3897</v>
      </c>
      <c r="AK734" s="58" t="s">
        <v>81</v>
      </c>
      <c r="AL734" s="45" t="s">
        <v>109</v>
      </c>
      <c r="AM734" s="52">
        <v>3.103914892E9</v>
      </c>
      <c r="AN734" s="45"/>
      <c r="AO734" s="116"/>
      <c r="AP734" s="84"/>
      <c r="AQ734" s="84"/>
      <c r="AR734" s="84"/>
      <c r="AS734" s="85">
        <v>1100000.0</v>
      </c>
      <c r="AT734" s="50">
        <v>0.0</v>
      </c>
      <c r="AU734" s="43">
        <v>0.0</v>
      </c>
      <c r="AV734" s="43">
        <v>0.0</v>
      </c>
      <c r="AW734" s="43" t="s">
        <v>106</v>
      </c>
      <c r="AX734" s="43">
        <v>0.0</v>
      </c>
      <c r="AY734" s="43" t="s">
        <v>137</v>
      </c>
      <c r="AZ734" s="50">
        <v>0.0</v>
      </c>
      <c r="BA734" s="43" t="s">
        <v>89</v>
      </c>
      <c r="BB734" s="50">
        <v>0.0</v>
      </c>
      <c r="BC734" s="109"/>
      <c r="BD734" s="70"/>
      <c r="BE734" s="71"/>
      <c r="BF734" s="72" t="s">
        <v>4373</v>
      </c>
      <c r="BG734" s="73"/>
      <c r="BH734" s="73"/>
      <c r="BI734" s="73"/>
      <c r="BJ734" s="73"/>
      <c r="BK734" s="73"/>
      <c r="BL734" s="73"/>
      <c r="BM734" s="73"/>
      <c r="BN734" s="73"/>
      <c r="BO734" s="73"/>
      <c r="BP734" s="73"/>
      <c r="BQ734" s="73"/>
      <c r="BR734" s="73"/>
      <c r="BS734" s="73"/>
      <c r="BT734" s="73"/>
      <c r="BU734" s="73"/>
      <c r="BV734" s="73"/>
      <c r="BW734" s="74"/>
      <c r="BX734" s="74"/>
      <c r="BY734" s="63"/>
      <c r="BZ734" s="63"/>
    </row>
    <row r="735" ht="15.75" customHeight="1">
      <c r="A735" s="75" t="s">
        <v>4374</v>
      </c>
      <c r="B735" s="50" t="s">
        <v>2628</v>
      </c>
      <c r="C735" s="50" t="s">
        <v>70</v>
      </c>
      <c r="D735" s="50" t="s">
        <v>272</v>
      </c>
      <c r="E735" s="77"/>
      <c r="F735" s="78">
        <v>2.5E8</v>
      </c>
      <c r="G735" s="44" t="str">
        <f t="shared" si="16"/>
        <v>$200'000.000 a $300'000.000</v>
      </c>
      <c r="H735" s="44"/>
      <c r="I735" s="44"/>
      <c r="J735" s="50" t="s">
        <v>116</v>
      </c>
      <c r="K735" s="57"/>
      <c r="L735" s="50">
        <v>3.0</v>
      </c>
      <c r="M735" s="50"/>
      <c r="N735" s="50">
        <v>2.0</v>
      </c>
      <c r="O735" s="50">
        <v>2.0</v>
      </c>
      <c r="P735" s="50">
        <v>1.0</v>
      </c>
      <c r="Q735" s="79">
        <v>140.0</v>
      </c>
      <c r="R735" s="79">
        <v>150.0</v>
      </c>
      <c r="S735" s="56" t="str">
        <f t="shared" si="20"/>
        <v> </v>
      </c>
      <c r="T735" s="50" t="s">
        <v>78</v>
      </c>
      <c r="U735" s="162" t="s">
        <v>77</v>
      </c>
      <c r="V735" s="65" t="s">
        <v>79</v>
      </c>
      <c r="W735" s="65"/>
      <c r="X735" s="65">
        <v>2.0</v>
      </c>
      <c r="Y735" s="65" t="s">
        <v>80</v>
      </c>
      <c r="Z735" s="58" t="s">
        <v>81</v>
      </c>
      <c r="AA735" s="59"/>
      <c r="AB735" s="115" t="s">
        <v>4375</v>
      </c>
      <c r="AC735" s="131" t="s">
        <v>4376</v>
      </c>
      <c r="AD735" s="125" t="s">
        <v>4377</v>
      </c>
      <c r="AE735" s="63"/>
      <c r="AF735" s="64" t="s">
        <v>105</v>
      </c>
      <c r="AG735" s="65" t="s">
        <v>106</v>
      </c>
      <c r="AH735" s="65"/>
      <c r="AI735" s="65" t="s">
        <v>107</v>
      </c>
      <c r="AJ735" s="64" t="s">
        <v>3897</v>
      </c>
      <c r="AK735" s="58" t="s">
        <v>81</v>
      </c>
      <c r="AL735" s="45" t="s">
        <v>109</v>
      </c>
      <c r="AM735" s="52">
        <v>3.103914892E9</v>
      </c>
      <c r="AN735" s="64">
        <v>0.0</v>
      </c>
      <c r="AO735" s="44"/>
      <c r="AP735" s="84">
        <v>0.0</v>
      </c>
      <c r="AQ735" s="84"/>
      <c r="AR735" s="84"/>
      <c r="AS735" s="335">
        <v>0.0</v>
      </c>
      <c r="AT735" s="65">
        <v>0.0</v>
      </c>
      <c r="AU735" s="43">
        <v>0.0</v>
      </c>
      <c r="AV735" s="43">
        <v>0.0</v>
      </c>
      <c r="AW735" s="43" t="s">
        <v>88</v>
      </c>
      <c r="AX735" s="43">
        <v>0.0</v>
      </c>
      <c r="AY735" s="43" t="s">
        <v>247</v>
      </c>
      <c r="AZ735" s="65">
        <v>0.0</v>
      </c>
      <c r="BA735" s="43" t="s">
        <v>89</v>
      </c>
      <c r="BB735" s="65">
        <v>0.0</v>
      </c>
      <c r="BC735" s="69" t="s">
        <v>445</v>
      </c>
      <c r="BD735" s="70"/>
      <c r="BE735" s="70"/>
      <c r="BF735" s="72" t="s">
        <v>4378</v>
      </c>
      <c r="BG735" s="73"/>
      <c r="BH735" s="73"/>
      <c r="BI735" s="73"/>
      <c r="BJ735" s="73"/>
      <c r="BK735" s="73"/>
      <c r="BL735" s="73"/>
      <c r="BM735" s="73"/>
      <c r="BN735" s="73"/>
      <c r="BO735" s="73"/>
      <c r="BP735" s="73"/>
      <c r="BQ735" s="73"/>
      <c r="BR735" s="73"/>
      <c r="BS735" s="73"/>
      <c r="BT735" s="73"/>
      <c r="BU735" s="73"/>
      <c r="BV735" s="73"/>
      <c r="BW735" s="74"/>
      <c r="BX735" s="74"/>
      <c r="BY735" s="63"/>
      <c r="BZ735" s="63"/>
    </row>
    <row r="736" ht="15.75" customHeight="1">
      <c r="A736" s="75" t="s">
        <v>4379</v>
      </c>
      <c r="B736" s="50" t="s">
        <v>4380</v>
      </c>
      <c r="C736" s="50" t="s">
        <v>93</v>
      </c>
      <c r="D736" s="50"/>
      <c r="E736" s="64"/>
      <c r="F736" s="78">
        <v>2.5E8</v>
      </c>
      <c r="G736" s="44" t="str">
        <f t="shared" si="16"/>
        <v>$200'000.000 a $300'000.000</v>
      </c>
      <c r="H736" s="44"/>
      <c r="I736" s="44"/>
      <c r="J736" s="50" t="s">
        <v>968</v>
      </c>
      <c r="K736" s="51"/>
      <c r="L736" s="50">
        <v>3.0</v>
      </c>
      <c r="M736" s="50"/>
      <c r="N736" s="50">
        <v>2.0</v>
      </c>
      <c r="O736" s="50">
        <v>1.0</v>
      </c>
      <c r="P736" s="50">
        <v>1.0</v>
      </c>
      <c r="Q736" s="88">
        <v>250.0</v>
      </c>
      <c r="R736" s="88">
        <v>1448.0</v>
      </c>
      <c r="S736" s="56" t="str">
        <f t="shared" si="20"/>
        <v> </v>
      </c>
      <c r="T736" s="50" t="s">
        <v>342</v>
      </c>
      <c r="U736" s="57"/>
      <c r="V736" s="44"/>
      <c r="W736" s="44"/>
      <c r="X736" s="50">
        <v>2.0</v>
      </c>
      <c r="Y736" s="50" t="s">
        <v>80</v>
      </c>
      <c r="Z736" s="91"/>
      <c r="AA736" s="59" t="str">
        <f>IF(Rentabilidad=0,"No aplica",TEXT(ROUND(Precio/Rentabilidad/12,0),0) &amp; " años")</f>
        <v>No aplica</v>
      </c>
      <c r="AB736" s="82" t="s">
        <v>4381</v>
      </c>
      <c r="AC736" s="8" t="s">
        <v>4382</v>
      </c>
      <c r="AD736" s="169" t="s">
        <v>4383</v>
      </c>
      <c r="AE736" s="63"/>
      <c r="AF736" s="64" t="s">
        <v>105</v>
      </c>
      <c r="AG736" s="65" t="s">
        <v>106</v>
      </c>
      <c r="AH736" s="63"/>
      <c r="AI736" s="65" t="s">
        <v>107</v>
      </c>
      <c r="AJ736" s="64" t="s">
        <v>3897</v>
      </c>
      <c r="AK736" s="58" t="s">
        <v>81</v>
      </c>
      <c r="AL736" s="64" t="s">
        <v>109</v>
      </c>
      <c r="AM736" s="52">
        <v>3.103914892E9</v>
      </c>
      <c r="AN736" s="45"/>
      <c r="AO736" s="52"/>
      <c r="AP736" s="67"/>
      <c r="AQ736" s="67"/>
      <c r="AR736" s="67"/>
      <c r="AS736" s="85">
        <v>0.0</v>
      </c>
      <c r="AT736" s="50">
        <v>0.0</v>
      </c>
      <c r="AU736" s="50">
        <v>0.0</v>
      </c>
      <c r="AV736" s="50" t="s">
        <v>106</v>
      </c>
      <c r="AW736" s="50" t="s">
        <v>88</v>
      </c>
      <c r="AX736" s="50">
        <v>0.0</v>
      </c>
      <c r="AY736" s="50" t="s">
        <v>106</v>
      </c>
      <c r="AZ736" s="50">
        <v>0.0</v>
      </c>
      <c r="BA736" s="43" t="s">
        <v>89</v>
      </c>
      <c r="BB736" s="50">
        <v>0.0</v>
      </c>
      <c r="BC736" s="95"/>
      <c r="BD736" s="71"/>
      <c r="BE736" s="71"/>
      <c r="BF736" s="72" t="s">
        <v>4384</v>
      </c>
      <c r="BG736" s="73"/>
      <c r="BH736" s="73"/>
      <c r="BI736" s="73"/>
      <c r="BJ736" s="73"/>
      <c r="BK736" s="73"/>
      <c r="BL736" s="73"/>
      <c r="BM736" s="73"/>
      <c r="BN736" s="73"/>
      <c r="BO736" s="73"/>
      <c r="BP736" s="73"/>
      <c r="BQ736" s="73"/>
      <c r="BR736" s="73"/>
      <c r="BS736" s="73"/>
      <c r="BT736" s="73"/>
      <c r="BU736" s="73"/>
      <c r="BV736" s="73"/>
      <c r="BW736" s="74"/>
      <c r="BX736" s="74"/>
      <c r="BY736" s="63"/>
      <c r="BZ736" s="63"/>
    </row>
    <row r="737" ht="15.75" customHeight="1">
      <c r="A737" s="75" t="s">
        <v>4385</v>
      </c>
      <c r="B737" s="50" t="s">
        <v>4386</v>
      </c>
      <c r="C737" s="50" t="s">
        <v>573</v>
      </c>
      <c r="D737" s="50" t="s">
        <v>76</v>
      </c>
      <c r="E737" s="64"/>
      <c r="F737" s="78">
        <v>2.35E8</v>
      </c>
      <c r="G737" s="44" t="str">
        <f t="shared" si="16"/>
        <v>$200'000.000 a $300'000.000</v>
      </c>
      <c r="H737" s="44"/>
      <c r="I737" s="44"/>
      <c r="J737" s="50" t="s">
        <v>76</v>
      </c>
      <c r="K737" s="51" t="s">
        <v>142</v>
      </c>
      <c r="L737" s="50">
        <v>3.0</v>
      </c>
      <c r="M737" s="50"/>
      <c r="N737" s="50">
        <v>3.0</v>
      </c>
      <c r="O737" s="50">
        <v>1.0</v>
      </c>
      <c r="P737" s="50">
        <v>3.0</v>
      </c>
      <c r="Q737" s="88">
        <v>119.91</v>
      </c>
      <c r="R737" s="88">
        <v>119.91</v>
      </c>
      <c r="S737" s="56" t="str">
        <f t="shared" si="20"/>
        <v> </v>
      </c>
      <c r="T737" s="50" t="s">
        <v>78</v>
      </c>
      <c r="U737" s="51" t="s">
        <v>142</v>
      </c>
      <c r="V737" s="50">
        <v>3.0</v>
      </c>
      <c r="W737" s="50"/>
      <c r="X737" s="50">
        <v>3.0</v>
      </c>
      <c r="Y737" s="50" t="s">
        <v>80</v>
      </c>
      <c r="Z737" s="91"/>
      <c r="AA737" s="59" t="str">
        <f>IF(Rentabilidad=0,"No aplica",TEXT(ROUND(Precio/Rentabilidad/12,0),0) &amp; " años")</f>
        <v>No aplica</v>
      </c>
      <c r="AB737" s="82" t="s">
        <v>4387</v>
      </c>
      <c r="AC737" s="8" t="s">
        <v>4388</v>
      </c>
      <c r="AD737" s="169" t="s">
        <v>4389</v>
      </c>
      <c r="AE737" s="63"/>
      <c r="AF737" s="64" t="s">
        <v>105</v>
      </c>
      <c r="AG737" s="65" t="s">
        <v>106</v>
      </c>
      <c r="AH737" s="63"/>
      <c r="AI737" s="65" t="s">
        <v>107</v>
      </c>
      <c r="AJ737" s="64" t="s">
        <v>3897</v>
      </c>
      <c r="AK737" s="58" t="s">
        <v>81</v>
      </c>
      <c r="AL737" s="64" t="s">
        <v>109</v>
      </c>
      <c r="AM737" s="52">
        <v>3.103914892E9</v>
      </c>
      <c r="AN737" s="64">
        <v>0.0</v>
      </c>
      <c r="AO737" s="43">
        <v>0.0</v>
      </c>
      <c r="AP737" s="84">
        <v>0.0</v>
      </c>
      <c r="AQ737" s="84"/>
      <c r="AR737" s="84"/>
      <c r="AS737" s="85">
        <v>0.0</v>
      </c>
      <c r="AT737" s="50" t="s">
        <v>88</v>
      </c>
      <c r="AU737" s="50">
        <v>0.0</v>
      </c>
      <c r="AV737" s="50">
        <v>0.0</v>
      </c>
      <c r="AW737" s="50" t="s">
        <v>88</v>
      </c>
      <c r="AX737" s="50">
        <v>0.0</v>
      </c>
      <c r="AY737" s="50">
        <v>0.0</v>
      </c>
      <c r="AZ737" s="50">
        <v>0.0</v>
      </c>
      <c r="BA737" s="43" t="s">
        <v>89</v>
      </c>
      <c r="BB737" s="50">
        <v>0.0</v>
      </c>
      <c r="BC737" s="95"/>
      <c r="BD737" s="71"/>
      <c r="BE737" s="71"/>
      <c r="BF737" s="72" t="s">
        <v>4390</v>
      </c>
      <c r="BG737" s="73"/>
      <c r="BH737" s="73"/>
      <c r="BI737" s="73"/>
      <c r="BJ737" s="73"/>
      <c r="BK737" s="73"/>
      <c r="BL737" s="73"/>
      <c r="BM737" s="73"/>
      <c r="BN737" s="73"/>
      <c r="BO737" s="73"/>
      <c r="BP737" s="73"/>
      <c r="BQ737" s="73"/>
      <c r="BR737" s="73"/>
      <c r="BS737" s="73"/>
      <c r="BT737" s="73"/>
      <c r="BU737" s="73"/>
      <c r="BV737" s="73"/>
      <c r="BW737" s="74"/>
      <c r="BX737" s="74"/>
      <c r="BY737" s="63"/>
      <c r="BZ737" s="63"/>
    </row>
    <row r="738" ht="15.75" customHeight="1">
      <c r="A738" s="41" t="s">
        <v>4391</v>
      </c>
      <c r="B738" s="50" t="s">
        <v>4392</v>
      </c>
      <c r="C738" s="50" t="s">
        <v>70</v>
      </c>
      <c r="D738" s="58" t="s">
        <v>904</v>
      </c>
      <c r="E738" s="77" t="s">
        <v>376</v>
      </c>
      <c r="F738" s="78">
        <v>2.2E8</v>
      </c>
      <c r="G738" s="44" t="str">
        <f t="shared" si="16"/>
        <v>$200'000.000 a $300'000.000</v>
      </c>
      <c r="H738" s="44"/>
      <c r="I738" s="44"/>
      <c r="J738" s="50" t="s">
        <v>183</v>
      </c>
      <c r="K738" s="57"/>
      <c r="L738" s="44">
        <v>3.0</v>
      </c>
      <c r="M738" s="44"/>
      <c r="N738" s="44">
        <v>3.0</v>
      </c>
      <c r="O738" s="50">
        <v>1.0</v>
      </c>
      <c r="P738" s="44">
        <v>1.0</v>
      </c>
      <c r="Q738" s="113">
        <v>94.0</v>
      </c>
      <c r="R738" s="79">
        <v>94.0</v>
      </c>
      <c r="S738" s="56" t="str">
        <f t="shared" si="20"/>
        <v> </v>
      </c>
      <c r="T738" s="44" t="s">
        <v>78</v>
      </c>
      <c r="U738" s="57" t="s">
        <v>184</v>
      </c>
      <c r="V738" s="50" t="s">
        <v>79</v>
      </c>
      <c r="W738" s="50"/>
      <c r="X738" s="44">
        <v>3.0</v>
      </c>
      <c r="Y738" s="50" t="s">
        <v>80</v>
      </c>
      <c r="Z738" s="58" t="s">
        <v>81</v>
      </c>
      <c r="AA738" s="59" t="str">
        <f>IF(Rentabilidad=0,"No aplica",TEXT(ROUND(Precio/Rentabilidad/12,0),0) &amp; " años")</f>
        <v>No aplica</v>
      </c>
      <c r="AB738" s="140" t="s">
        <v>4393</v>
      </c>
      <c r="AC738" s="61"/>
      <c r="AD738" s="107" t="s">
        <v>4394</v>
      </c>
      <c r="AE738" s="63"/>
      <c r="AF738" s="45" t="s">
        <v>105</v>
      </c>
      <c r="AG738" s="65" t="s">
        <v>106</v>
      </c>
      <c r="AH738" s="65"/>
      <c r="AI738" s="65" t="s">
        <v>107</v>
      </c>
      <c r="AJ738" s="64" t="s">
        <v>3897</v>
      </c>
      <c r="AK738" s="58" t="s">
        <v>81</v>
      </c>
      <c r="AL738" s="45" t="s">
        <v>109</v>
      </c>
      <c r="AM738" s="52">
        <v>3.103914892E9</v>
      </c>
      <c r="AN738" s="45"/>
      <c r="AO738" s="52"/>
      <c r="AP738" s="67"/>
      <c r="AQ738" s="143">
        <v>2.9127225</v>
      </c>
      <c r="AR738" s="143">
        <v>-75.2809065</v>
      </c>
      <c r="AS738" s="68">
        <v>0.0</v>
      </c>
      <c r="AT738" s="44">
        <v>0.0</v>
      </c>
      <c r="AU738" s="52">
        <v>0.0</v>
      </c>
      <c r="AV738" s="52">
        <v>0.0</v>
      </c>
      <c r="AW738" s="52" t="s">
        <v>106</v>
      </c>
      <c r="AX738" s="52">
        <v>0.0</v>
      </c>
      <c r="AY738" s="52" t="s">
        <v>137</v>
      </c>
      <c r="AZ738" s="44">
        <v>0.0</v>
      </c>
      <c r="BA738" s="43" t="s">
        <v>89</v>
      </c>
      <c r="BB738" s="44">
        <v>0.0</v>
      </c>
      <c r="BC738" s="95" t="s">
        <v>439</v>
      </c>
      <c r="BD738" s="71"/>
      <c r="BE738" s="71"/>
      <c r="BF738" s="72" t="s">
        <v>4395</v>
      </c>
      <c r="BG738" s="73"/>
      <c r="BH738" s="73"/>
      <c r="BI738" s="73"/>
      <c r="BJ738" s="73"/>
      <c r="BK738" s="73"/>
      <c r="BL738" s="73"/>
      <c r="BM738" s="73"/>
      <c r="BN738" s="73"/>
      <c r="BO738" s="73"/>
      <c r="BP738" s="73"/>
      <c r="BQ738" s="73"/>
      <c r="BR738" s="73"/>
      <c r="BS738" s="73"/>
      <c r="BT738" s="73"/>
      <c r="BU738" s="73"/>
      <c r="BV738" s="73"/>
      <c r="BW738" s="74"/>
      <c r="BX738" s="74"/>
      <c r="BY738" s="63"/>
      <c r="BZ738" s="63"/>
    </row>
    <row r="739" ht="15.75" customHeight="1">
      <c r="A739" s="133" t="s">
        <v>4396</v>
      </c>
      <c r="B739" s="43" t="s">
        <v>4397</v>
      </c>
      <c r="C739" s="111" t="s">
        <v>773</v>
      </c>
      <c r="D739" s="43" t="s">
        <v>131</v>
      </c>
      <c r="E739" s="45"/>
      <c r="F739" s="78">
        <v>2.1E8</v>
      </c>
      <c r="G739" s="44" t="str">
        <f t="shared" si="16"/>
        <v>$200'000.000 a $300'000.000</v>
      </c>
      <c r="H739" s="44"/>
      <c r="I739" s="44"/>
      <c r="J739" s="43" t="s">
        <v>183</v>
      </c>
      <c r="K739" s="56" t="s">
        <v>184</v>
      </c>
      <c r="L739" s="43">
        <v>0.0</v>
      </c>
      <c r="M739" s="43"/>
      <c r="N739" s="43">
        <v>1.0</v>
      </c>
      <c r="O739" s="43">
        <v>0.0</v>
      </c>
      <c r="P739" s="43">
        <v>1.0</v>
      </c>
      <c r="Q739" s="88">
        <v>3119.0</v>
      </c>
      <c r="R739" s="88">
        <v>3119.0</v>
      </c>
      <c r="S739" s="56" t="str">
        <f t="shared" si="20"/>
        <v> </v>
      </c>
      <c r="T739" s="43" t="s">
        <v>78</v>
      </c>
      <c r="U739" s="56" t="s">
        <v>679</v>
      </c>
      <c r="V739" s="43" t="s">
        <v>118</v>
      </c>
      <c r="W739" s="43"/>
      <c r="X739" s="43">
        <v>1.0</v>
      </c>
      <c r="Y739" s="43" t="s">
        <v>80</v>
      </c>
      <c r="Z739" s="58"/>
      <c r="AA739" s="59" t="str">
        <f>IF(Rentabilidad=0,"No aplica",TEXT(ROUND(Precio/Rentabilidad/12,0),0) &amp; " años")</f>
        <v>No aplica</v>
      </c>
      <c r="AB739" s="140" t="s">
        <v>4398</v>
      </c>
      <c r="AC739" s="167" t="s">
        <v>4399</v>
      </c>
      <c r="AD739" s="107" t="s">
        <v>4400</v>
      </c>
      <c r="AE739" s="63"/>
      <c r="AF739" s="64">
        <v>0.0</v>
      </c>
      <c r="AG739" s="65" t="s">
        <v>106</v>
      </c>
      <c r="AH739" s="63"/>
      <c r="AI739" s="65" t="s">
        <v>107</v>
      </c>
      <c r="AJ739" s="64" t="s">
        <v>3897</v>
      </c>
      <c r="AK739" s="58" t="s">
        <v>81</v>
      </c>
      <c r="AL739" s="64" t="s">
        <v>109</v>
      </c>
      <c r="AM739" s="52">
        <v>3.103914892E9</v>
      </c>
      <c r="AN739" s="64">
        <v>0.0</v>
      </c>
      <c r="AO739" s="43">
        <v>0.0</v>
      </c>
      <c r="AP739" s="84">
        <v>0.0</v>
      </c>
      <c r="AQ739" s="84">
        <v>2.95217125896054</v>
      </c>
      <c r="AR739" s="84">
        <v>-75.2866049980668</v>
      </c>
      <c r="AS739" s="85">
        <v>0.0</v>
      </c>
      <c r="AT739" s="50" t="s">
        <v>106</v>
      </c>
      <c r="AU739" s="50">
        <v>0.0</v>
      </c>
      <c r="AV739" s="50">
        <v>0.0</v>
      </c>
      <c r="AW739" s="50" t="s">
        <v>88</v>
      </c>
      <c r="AX739" s="50">
        <v>0.0</v>
      </c>
      <c r="AY739" s="50">
        <v>0.0</v>
      </c>
      <c r="AZ739" s="50">
        <v>0.0</v>
      </c>
      <c r="BA739" s="43" t="s">
        <v>89</v>
      </c>
      <c r="BB739" s="50">
        <v>0.0</v>
      </c>
      <c r="BC739" s="95" t="s">
        <v>716</v>
      </c>
      <c r="BD739" s="71"/>
      <c r="BE739" s="71"/>
      <c r="BF739" s="72" t="s">
        <v>4401</v>
      </c>
      <c r="BG739" s="73"/>
      <c r="BH739" s="73"/>
      <c r="BI739" s="73"/>
      <c r="BJ739" s="73"/>
      <c r="BK739" s="73"/>
      <c r="BL739" s="73"/>
      <c r="BM739" s="73"/>
      <c r="BN739" s="73"/>
      <c r="BO739" s="73"/>
      <c r="BP739" s="73"/>
      <c r="BQ739" s="73"/>
      <c r="BR739" s="73"/>
      <c r="BS739" s="73"/>
      <c r="BT739" s="73"/>
      <c r="BU739" s="73"/>
      <c r="BV739" s="73"/>
      <c r="BW739" s="74"/>
      <c r="BX739" s="74"/>
      <c r="BY739" s="63"/>
      <c r="BZ739" s="63"/>
    </row>
    <row r="740" ht="15.75" customHeight="1">
      <c r="A740" s="133" t="s">
        <v>2714</v>
      </c>
      <c r="B740" s="43" t="s">
        <v>4402</v>
      </c>
      <c r="C740" s="43" t="s">
        <v>1228</v>
      </c>
      <c r="D740" s="52"/>
      <c r="E740" s="45"/>
      <c r="F740" s="78">
        <v>2.0E8</v>
      </c>
      <c r="G740" s="44" t="str">
        <f t="shared" si="16"/>
        <v>$200'000.000 a $300'000.000</v>
      </c>
      <c r="H740" s="44"/>
      <c r="I740" s="44"/>
      <c r="J740" s="43" t="s">
        <v>94</v>
      </c>
      <c r="K740" s="142"/>
      <c r="L740" s="43">
        <v>2.0</v>
      </c>
      <c r="M740" s="43"/>
      <c r="N740" s="43">
        <v>1.0</v>
      </c>
      <c r="O740" s="43">
        <v>0.0</v>
      </c>
      <c r="P740" s="43">
        <v>1.0</v>
      </c>
      <c r="Q740" s="88">
        <v>48.0</v>
      </c>
      <c r="R740" s="88">
        <v>3070.0</v>
      </c>
      <c r="S740" s="56" t="str">
        <f t="shared" si="20"/>
        <v> </v>
      </c>
      <c r="T740" s="43" t="s">
        <v>95</v>
      </c>
      <c r="U740" s="142"/>
      <c r="V740" s="52"/>
      <c r="W740" s="52"/>
      <c r="X740" s="43">
        <v>0.0</v>
      </c>
      <c r="Y740" s="43" t="s">
        <v>80</v>
      </c>
      <c r="Z740" s="58"/>
      <c r="AA740" s="59" t="str">
        <f>IF(Rentabilidad=0,"No aplica",TEXT(ROUND(Precio/Rentabilidad/12,0),0) &amp; " años")</f>
        <v>No aplica</v>
      </c>
      <c r="AB740" s="140" t="s">
        <v>4403</v>
      </c>
      <c r="AC740" s="167" t="s">
        <v>4404</v>
      </c>
      <c r="AD740" s="107" t="s">
        <v>4405</v>
      </c>
      <c r="AE740" s="63"/>
      <c r="AF740" s="64" t="s">
        <v>84</v>
      </c>
      <c r="AG740" s="65" t="s">
        <v>106</v>
      </c>
      <c r="AH740" s="63"/>
      <c r="AI740" s="65" t="s">
        <v>107</v>
      </c>
      <c r="AJ740" s="64" t="s">
        <v>3897</v>
      </c>
      <c r="AK740" s="58" t="s">
        <v>81</v>
      </c>
      <c r="AL740" s="64" t="s">
        <v>109</v>
      </c>
      <c r="AM740" s="52">
        <v>3.103914892E9</v>
      </c>
      <c r="AN740" s="64">
        <v>0.0</v>
      </c>
      <c r="AO740" s="43">
        <v>0.0</v>
      </c>
      <c r="AP740" s="84">
        <v>0.0</v>
      </c>
      <c r="AQ740" s="84">
        <v>2.9524302</v>
      </c>
      <c r="AR740" s="84">
        <v>-75.2910136</v>
      </c>
      <c r="AS740" s="85">
        <v>0.0</v>
      </c>
      <c r="AT740" s="50">
        <v>0.0</v>
      </c>
      <c r="AU740" s="50">
        <v>0.0</v>
      </c>
      <c r="AV740" s="50">
        <v>0.0</v>
      </c>
      <c r="AW740" s="50" t="s">
        <v>88</v>
      </c>
      <c r="AX740" s="50">
        <v>0.0</v>
      </c>
      <c r="AY740" s="50">
        <v>0.0</v>
      </c>
      <c r="AZ740" s="50">
        <v>0.0</v>
      </c>
      <c r="BA740" s="43" t="s">
        <v>89</v>
      </c>
      <c r="BB740" s="50">
        <v>0.0</v>
      </c>
      <c r="BC740" s="69" t="s">
        <v>732</v>
      </c>
      <c r="BD740" s="70"/>
      <c r="BE740" s="70"/>
      <c r="BF740" s="72" t="s">
        <v>4406</v>
      </c>
      <c r="BG740" s="73"/>
      <c r="BH740" s="73"/>
      <c r="BI740" s="73"/>
      <c r="BJ740" s="73"/>
      <c r="BK740" s="73"/>
      <c r="BL740" s="73"/>
      <c r="BM740" s="73"/>
      <c r="BN740" s="73"/>
      <c r="BO740" s="73"/>
      <c r="BP740" s="73"/>
      <c r="BQ740" s="73"/>
      <c r="BR740" s="73"/>
      <c r="BS740" s="73"/>
      <c r="BT740" s="73"/>
      <c r="BU740" s="73"/>
      <c r="BV740" s="73"/>
      <c r="BW740" s="74"/>
      <c r="BX740" s="74"/>
      <c r="BY740" s="63"/>
      <c r="BZ740" s="63"/>
    </row>
    <row r="741" ht="15.75" customHeight="1">
      <c r="A741" s="75" t="s">
        <v>4407</v>
      </c>
      <c r="B741" s="50" t="s">
        <v>4408</v>
      </c>
      <c r="C741" s="50" t="s">
        <v>573</v>
      </c>
      <c r="D741" s="50" t="s">
        <v>76</v>
      </c>
      <c r="E741" s="64"/>
      <c r="F741" s="78">
        <v>1.9E8</v>
      </c>
      <c r="G741" s="44" t="str">
        <f t="shared" si="16"/>
        <v>$100'000.000 a $200'000.000</v>
      </c>
      <c r="H741" s="44"/>
      <c r="I741" s="44"/>
      <c r="J741" s="50" t="s">
        <v>76</v>
      </c>
      <c r="K741" s="51" t="s">
        <v>142</v>
      </c>
      <c r="L741" s="50">
        <v>3.0</v>
      </c>
      <c r="M741" s="50"/>
      <c r="N741" s="50">
        <v>3.0</v>
      </c>
      <c r="O741" s="50">
        <v>1.0</v>
      </c>
      <c r="P741" s="50">
        <v>2.0</v>
      </c>
      <c r="Q741" s="88">
        <v>101.66</v>
      </c>
      <c r="R741" s="88">
        <v>110.0</v>
      </c>
      <c r="S741" s="56" t="str">
        <f t="shared" si="20"/>
        <v> </v>
      </c>
      <c r="T741" s="50" t="s">
        <v>78</v>
      </c>
      <c r="U741" s="51" t="s">
        <v>184</v>
      </c>
      <c r="V741" s="50" t="s">
        <v>542</v>
      </c>
      <c r="W741" s="50"/>
      <c r="X741" s="50">
        <v>3.0</v>
      </c>
      <c r="Y741" s="43" t="s">
        <v>80</v>
      </c>
      <c r="Z741" s="91"/>
      <c r="AA741" s="59" t="str">
        <f>IF(Rentabilidad=0,"No aplica",TEXT(ROUND(Precio/Rentabilidad/12,0),0) &amp; " años")</f>
        <v>No aplica</v>
      </c>
      <c r="AB741" s="82" t="s">
        <v>4409</v>
      </c>
      <c r="AC741" s="8" t="s">
        <v>4410</v>
      </c>
      <c r="AD741" s="83" t="s">
        <v>4411</v>
      </c>
      <c r="AE741" s="63"/>
      <c r="AF741" s="64" t="s">
        <v>105</v>
      </c>
      <c r="AG741" s="65" t="s">
        <v>106</v>
      </c>
      <c r="AH741" s="63"/>
      <c r="AI741" s="65" t="s">
        <v>107</v>
      </c>
      <c r="AJ741" s="64" t="s">
        <v>3897</v>
      </c>
      <c r="AK741" s="58" t="s">
        <v>81</v>
      </c>
      <c r="AL741" s="64" t="s">
        <v>109</v>
      </c>
      <c r="AM741" s="52">
        <v>3.103914892E9</v>
      </c>
      <c r="AN741" s="64">
        <v>0.0</v>
      </c>
      <c r="AO741" s="43">
        <v>0.0</v>
      </c>
      <c r="AP741" s="84">
        <v>0.0</v>
      </c>
      <c r="AQ741" s="84"/>
      <c r="AR741" s="84"/>
      <c r="AS741" s="85">
        <v>0.0</v>
      </c>
      <c r="AT741" s="50" t="s">
        <v>88</v>
      </c>
      <c r="AU741" s="50">
        <v>0.0</v>
      </c>
      <c r="AV741" s="50">
        <v>0.0</v>
      </c>
      <c r="AW741" s="50" t="s">
        <v>88</v>
      </c>
      <c r="AX741" s="50">
        <v>0.0</v>
      </c>
      <c r="AY741" s="50">
        <v>0.0</v>
      </c>
      <c r="AZ741" s="50">
        <v>0.0</v>
      </c>
      <c r="BA741" s="43" t="s">
        <v>89</v>
      </c>
      <c r="BB741" s="50">
        <v>0.0</v>
      </c>
      <c r="BC741" s="95"/>
      <c r="BD741" s="71"/>
      <c r="BE741" s="71"/>
      <c r="BF741" s="72" t="s">
        <v>4412</v>
      </c>
      <c r="BG741" s="73"/>
      <c r="BH741" s="73"/>
      <c r="BI741" s="73"/>
      <c r="BJ741" s="73"/>
      <c r="BK741" s="73"/>
      <c r="BL741" s="73"/>
      <c r="BM741" s="73"/>
      <c r="BN741" s="73"/>
      <c r="BO741" s="73"/>
      <c r="BP741" s="73"/>
      <c r="BQ741" s="73"/>
      <c r="BR741" s="73"/>
      <c r="BS741" s="73"/>
      <c r="BT741" s="73"/>
      <c r="BU741" s="73"/>
      <c r="BV741" s="73"/>
      <c r="BW741" s="74"/>
      <c r="BX741" s="74"/>
      <c r="BY741" s="63"/>
      <c r="BZ741" s="63"/>
    </row>
    <row r="742" ht="15.75" customHeight="1">
      <c r="A742" s="75" t="s">
        <v>4413</v>
      </c>
      <c r="B742" s="50" t="s">
        <v>1132</v>
      </c>
      <c r="C742" s="50" t="s">
        <v>340</v>
      </c>
      <c r="D742" s="50"/>
      <c r="E742" s="64"/>
      <c r="F742" s="78">
        <v>1.7E8</v>
      </c>
      <c r="G742" s="44" t="str">
        <f t="shared" si="16"/>
        <v>$100'000.000 a $200'000.000</v>
      </c>
      <c r="H742" s="44"/>
      <c r="I742" s="44"/>
      <c r="J742" s="50" t="s">
        <v>968</v>
      </c>
      <c r="K742" s="51"/>
      <c r="L742" s="50">
        <v>0.0</v>
      </c>
      <c r="M742" s="50"/>
      <c r="N742" s="50">
        <v>0.0</v>
      </c>
      <c r="O742" s="50">
        <v>0.0</v>
      </c>
      <c r="P742" s="50">
        <v>0.0</v>
      </c>
      <c r="Q742" s="88">
        <v>0.0</v>
      </c>
      <c r="R742" s="88">
        <v>1040.0</v>
      </c>
      <c r="S742" s="56" t="str">
        <f t="shared" si="20"/>
        <v> </v>
      </c>
      <c r="T742" s="50" t="s">
        <v>342</v>
      </c>
      <c r="U742" s="57"/>
      <c r="V742" s="50" t="s">
        <v>79</v>
      </c>
      <c r="W742" s="50"/>
      <c r="X742" s="50">
        <v>0.0</v>
      </c>
      <c r="Y742" s="50" t="s">
        <v>130</v>
      </c>
      <c r="Z742" s="91"/>
      <c r="AA742" s="59" t="str">
        <f>IF(Rentabilidad=0,"No aplica",TEXT(ROUND(Precio/Rentabilidad/12,0),0) &amp; " años")</f>
        <v>No aplica</v>
      </c>
      <c r="AB742" s="82" t="s">
        <v>4414</v>
      </c>
      <c r="AC742" s="317" t="s">
        <v>4415</v>
      </c>
      <c r="AD742" s="83" t="s">
        <v>4416</v>
      </c>
      <c r="AE742" s="63"/>
      <c r="AF742" s="64">
        <v>0.0</v>
      </c>
      <c r="AG742" s="65" t="s">
        <v>106</v>
      </c>
      <c r="AH742" s="63"/>
      <c r="AI742" s="65" t="s">
        <v>107</v>
      </c>
      <c r="AJ742" s="64" t="s">
        <v>3897</v>
      </c>
      <c r="AK742" s="58" t="s">
        <v>81</v>
      </c>
      <c r="AL742" s="64" t="s">
        <v>109</v>
      </c>
      <c r="AM742" s="52">
        <v>3.103914892E9</v>
      </c>
      <c r="AN742" s="64">
        <v>0.0</v>
      </c>
      <c r="AO742" s="43">
        <v>0.0</v>
      </c>
      <c r="AP742" s="84">
        <v>0.0</v>
      </c>
      <c r="AQ742" s="84">
        <v>2.94013187294452</v>
      </c>
      <c r="AR742" s="84">
        <v>-75.3338560981232</v>
      </c>
      <c r="AS742" s="85">
        <v>0.0</v>
      </c>
      <c r="AT742" s="50">
        <v>0.0</v>
      </c>
      <c r="AU742" s="50">
        <v>0.0</v>
      </c>
      <c r="AV742" s="50">
        <v>0.0</v>
      </c>
      <c r="AW742" s="50" t="s">
        <v>88</v>
      </c>
      <c r="AX742" s="50">
        <v>0.0</v>
      </c>
      <c r="AY742" s="50">
        <v>0.0</v>
      </c>
      <c r="AZ742" s="50">
        <v>0.0</v>
      </c>
      <c r="BA742" s="43" t="s">
        <v>89</v>
      </c>
      <c r="BB742" s="50">
        <v>0.0</v>
      </c>
      <c r="BC742" s="95"/>
      <c r="BD742" s="71"/>
      <c r="BE742" s="71"/>
      <c r="BF742" s="72" t="s">
        <v>4417</v>
      </c>
      <c r="BG742" s="73"/>
      <c r="BH742" s="73"/>
      <c r="BI742" s="73"/>
      <c r="BJ742" s="73"/>
      <c r="BK742" s="73"/>
      <c r="BL742" s="73"/>
      <c r="BM742" s="73"/>
      <c r="BN742" s="73"/>
      <c r="BO742" s="73"/>
      <c r="BP742" s="73"/>
      <c r="BQ742" s="73"/>
      <c r="BR742" s="73"/>
      <c r="BS742" s="73"/>
      <c r="BT742" s="73"/>
      <c r="BU742" s="73"/>
      <c r="BV742" s="73"/>
      <c r="BW742" s="74"/>
      <c r="BX742" s="74"/>
      <c r="BY742" s="63"/>
      <c r="BZ742" s="63"/>
    </row>
    <row r="743" ht="15.75" customHeight="1">
      <c r="A743" s="204" t="s">
        <v>4418</v>
      </c>
      <c r="B743" s="111" t="s">
        <v>4419</v>
      </c>
      <c r="C743" s="111" t="s">
        <v>70</v>
      </c>
      <c r="D743" s="111" t="s">
        <v>4420</v>
      </c>
      <c r="E743" s="205"/>
      <c r="F743" s="78">
        <v>1.7E8</v>
      </c>
      <c r="G743" s="44" t="str">
        <f t="shared" si="16"/>
        <v>$100'000.000 a $200'000.000</v>
      </c>
      <c r="H743" s="44"/>
      <c r="I743" s="44"/>
      <c r="J743" s="111" t="s">
        <v>94</v>
      </c>
      <c r="K743" s="187" t="s">
        <v>294</v>
      </c>
      <c r="L743" s="111">
        <v>3.0</v>
      </c>
      <c r="M743" s="111"/>
      <c r="N743" s="111">
        <v>2.0</v>
      </c>
      <c r="O743" s="111">
        <v>1.0</v>
      </c>
      <c r="P743" s="111">
        <v>2.0</v>
      </c>
      <c r="Q743" s="79"/>
      <c r="R743" s="79">
        <v>160.0</v>
      </c>
      <c r="S743" s="56" t="str">
        <f t="shared" si="20"/>
        <v> </v>
      </c>
      <c r="T743" s="44" t="s">
        <v>78</v>
      </c>
      <c r="U743" s="187" t="s">
        <v>184</v>
      </c>
      <c r="V743" s="111" t="s">
        <v>118</v>
      </c>
      <c r="W743" s="111"/>
      <c r="X743" s="111">
        <v>2.0</v>
      </c>
      <c r="Y743" s="65" t="s">
        <v>80</v>
      </c>
      <c r="Z743" s="58" t="s">
        <v>81</v>
      </c>
      <c r="AA743" s="59" t="str">
        <f>IF(Rentabilidad=0,"No aplica",TEXT(ROUND(Precio/Rentabilidad/12,0),0) &amp; " años")</f>
        <v>No aplica</v>
      </c>
      <c r="AB743" s="207" t="s">
        <v>4421</v>
      </c>
      <c r="AC743" s="61"/>
      <c r="AD743" s="208"/>
      <c r="AE743" s="209"/>
      <c r="AF743" s="64" t="s">
        <v>84</v>
      </c>
      <c r="AG743" s="111" t="s">
        <v>106</v>
      </c>
      <c r="AH743" s="209"/>
      <c r="AI743" s="65" t="s">
        <v>107</v>
      </c>
      <c r="AJ743" s="64" t="s">
        <v>3897</v>
      </c>
      <c r="AK743" s="50" t="s">
        <v>81</v>
      </c>
      <c r="AL743" s="45" t="s">
        <v>109</v>
      </c>
      <c r="AM743" s="52">
        <v>3.103914892E9</v>
      </c>
      <c r="AN743" s="205"/>
      <c r="AO743" s="209"/>
      <c r="AP743" s="210"/>
      <c r="AQ743" s="210"/>
      <c r="AR743" s="210"/>
      <c r="AS743" s="209"/>
      <c r="AT743" s="209"/>
      <c r="AU743" s="209"/>
      <c r="AV743" s="209"/>
      <c r="AW743" s="209"/>
      <c r="AX743" s="209"/>
      <c r="AY743" s="209"/>
      <c r="AZ743" s="209"/>
      <c r="BA743" s="43" t="s">
        <v>89</v>
      </c>
      <c r="BB743" s="209"/>
      <c r="BC743" s="95"/>
      <c r="BD743" s="71"/>
      <c r="BE743" s="71"/>
      <c r="BF743" s="72" t="s">
        <v>4422</v>
      </c>
      <c r="BG743" s="73"/>
      <c r="BH743" s="73"/>
      <c r="BI743" s="73"/>
      <c r="BJ743" s="73"/>
      <c r="BK743" s="73"/>
      <c r="BL743" s="73"/>
      <c r="BM743" s="73"/>
      <c r="BN743" s="73"/>
      <c r="BO743" s="73"/>
      <c r="BP743" s="73"/>
      <c r="BQ743" s="73"/>
      <c r="BR743" s="73"/>
      <c r="BS743" s="73"/>
      <c r="BT743" s="73"/>
      <c r="BU743" s="73"/>
      <c r="BV743" s="73"/>
      <c r="BW743" s="74"/>
      <c r="BX743" s="74"/>
      <c r="BY743" s="63"/>
      <c r="BZ743" s="63"/>
    </row>
    <row r="744" ht="15.75" customHeight="1">
      <c r="A744" s="341" t="s">
        <v>4423</v>
      </c>
      <c r="B744" s="43" t="s">
        <v>1346</v>
      </c>
      <c r="C744" s="43" t="s">
        <v>70</v>
      </c>
      <c r="D744" s="50" t="s">
        <v>1347</v>
      </c>
      <c r="E744" s="77" t="s">
        <v>376</v>
      </c>
      <c r="F744" s="47">
        <v>1.7E8</v>
      </c>
      <c r="G744" s="44" t="str">
        <f t="shared" si="16"/>
        <v>$100'000.000 a $200'000.000</v>
      </c>
      <c r="H744" s="44"/>
      <c r="I744" s="44"/>
      <c r="J744" s="50" t="s">
        <v>183</v>
      </c>
      <c r="K744" s="51" t="s">
        <v>184</v>
      </c>
      <c r="L744" s="44">
        <v>3.0</v>
      </c>
      <c r="M744" s="44"/>
      <c r="N744" s="44">
        <v>1.0</v>
      </c>
      <c r="O744" s="50">
        <v>1.0</v>
      </c>
      <c r="P744" s="44">
        <v>1.0</v>
      </c>
      <c r="Q744" s="113">
        <v>75.0</v>
      </c>
      <c r="R744" s="79">
        <v>75.0</v>
      </c>
      <c r="S744" s="56" t="str">
        <f t="shared" si="20"/>
        <v> </v>
      </c>
      <c r="T744" s="44" t="s">
        <v>78</v>
      </c>
      <c r="U744" s="57" t="s">
        <v>184</v>
      </c>
      <c r="V744" s="50" t="s">
        <v>79</v>
      </c>
      <c r="W744" s="50"/>
      <c r="X744" s="44">
        <v>1.0</v>
      </c>
      <c r="Y744" s="50" t="s">
        <v>80</v>
      </c>
      <c r="Z744" s="58" t="s">
        <v>81</v>
      </c>
      <c r="AA744" s="59" t="str">
        <f>IF(Rentabilidad=0,"No aplica",TEXT(ROUND(Precio/Rentabilidad/12,0),0) &amp; " años")</f>
        <v>No aplica</v>
      </c>
      <c r="AB744" s="82" t="s">
        <v>4424</v>
      </c>
      <c r="AC744" s="61"/>
      <c r="AD744" s="125" t="s">
        <v>4425</v>
      </c>
      <c r="AE744" s="63"/>
      <c r="AF744" s="45" t="s">
        <v>236</v>
      </c>
      <c r="AG744" s="65"/>
      <c r="AH744" s="65"/>
      <c r="AI744" s="65" t="s">
        <v>107</v>
      </c>
      <c r="AJ744" s="64" t="s">
        <v>3897</v>
      </c>
      <c r="AK744" s="58" t="s">
        <v>81</v>
      </c>
      <c r="AL744" s="45" t="s">
        <v>109</v>
      </c>
      <c r="AM744" s="52">
        <v>3.103914892E9</v>
      </c>
      <c r="AN744" s="45"/>
      <c r="AO744" s="116"/>
      <c r="AP744" s="67"/>
      <c r="AQ744" s="67"/>
      <c r="AR744" s="67"/>
      <c r="AS744" s="68">
        <v>0.0</v>
      </c>
      <c r="AT744" s="44">
        <v>0.0</v>
      </c>
      <c r="AU744" s="52">
        <v>0.0</v>
      </c>
      <c r="AV744" s="52">
        <v>0.0</v>
      </c>
      <c r="AW744" s="52" t="s">
        <v>106</v>
      </c>
      <c r="AX744" s="52">
        <v>0.0</v>
      </c>
      <c r="AY744" s="52" t="s">
        <v>137</v>
      </c>
      <c r="AZ744" s="52">
        <v>0.0</v>
      </c>
      <c r="BA744" s="43" t="s">
        <v>89</v>
      </c>
      <c r="BB744" s="52">
        <v>0.0</v>
      </c>
      <c r="BC744" s="127" t="s">
        <v>4426</v>
      </c>
      <c r="BD744" s="128"/>
      <c r="BE744" s="129"/>
      <c r="BF744" s="72" t="s">
        <v>4427</v>
      </c>
      <c r="BG744" s="73"/>
      <c r="BH744" s="73"/>
      <c r="BI744" s="73"/>
      <c r="BJ744" s="73"/>
      <c r="BK744" s="73"/>
      <c r="BL744" s="73"/>
      <c r="BM744" s="73"/>
      <c r="BN744" s="73"/>
      <c r="BO744" s="73"/>
      <c r="BP744" s="73"/>
      <c r="BQ744" s="73"/>
      <c r="BR744" s="73"/>
      <c r="BS744" s="73"/>
      <c r="BT744" s="73"/>
      <c r="BU744" s="73"/>
      <c r="BV744" s="73"/>
      <c r="BW744" s="74"/>
      <c r="BX744" s="74"/>
      <c r="BY744" s="63"/>
      <c r="BZ744" s="63"/>
    </row>
    <row r="745" ht="15.75" customHeight="1">
      <c r="A745" s="75" t="s">
        <v>4428</v>
      </c>
      <c r="B745" s="50" t="s">
        <v>4429</v>
      </c>
      <c r="C745" s="50" t="s">
        <v>664</v>
      </c>
      <c r="D745" s="50"/>
      <c r="E745" s="64"/>
      <c r="F745" s="78">
        <v>1.6E8</v>
      </c>
      <c r="G745" s="44" t="str">
        <f t="shared" si="16"/>
        <v>$100'000.000 a $200'000.000</v>
      </c>
      <c r="H745" s="44"/>
      <c r="I745" s="44"/>
      <c r="J745" s="50" t="s">
        <v>498</v>
      </c>
      <c r="K745" s="51"/>
      <c r="L745" s="50">
        <v>0.0</v>
      </c>
      <c r="M745" s="50"/>
      <c r="N745" s="50">
        <v>0.0</v>
      </c>
      <c r="O745" s="50">
        <v>0.0</v>
      </c>
      <c r="P745" s="50">
        <v>0.0</v>
      </c>
      <c r="Q745" s="88">
        <v>0.0</v>
      </c>
      <c r="R745" s="88">
        <v>2209.0</v>
      </c>
      <c r="S745" s="56" t="str">
        <f t="shared" si="20"/>
        <v> </v>
      </c>
      <c r="T745" s="50" t="s">
        <v>95</v>
      </c>
      <c r="U745" s="57"/>
      <c r="V745" s="50" t="s">
        <v>79</v>
      </c>
      <c r="W745" s="50"/>
      <c r="X745" s="50">
        <v>0.0</v>
      </c>
      <c r="Y745" s="50" t="s">
        <v>80</v>
      </c>
      <c r="Z745" s="91"/>
      <c r="AA745" s="59" t="str">
        <f>IF(Rentabilidad=0,"No aplica",TEXT(ROUND(Precio/Rentabilidad/12,0),0) &amp; " años")</f>
        <v>No aplica</v>
      </c>
      <c r="AB745" s="82" t="s">
        <v>4430</v>
      </c>
      <c r="AC745" s="8" t="s">
        <v>4431</v>
      </c>
      <c r="AD745" s="107" t="s">
        <v>1190</v>
      </c>
      <c r="AE745" s="63"/>
      <c r="AF745" s="64">
        <v>0.0</v>
      </c>
      <c r="AG745" s="65" t="s">
        <v>106</v>
      </c>
      <c r="AH745" s="63"/>
      <c r="AI745" s="65" t="s">
        <v>107</v>
      </c>
      <c r="AJ745" s="64" t="s">
        <v>3897</v>
      </c>
      <c r="AK745" s="58" t="s">
        <v>81</v>
      </c>
      <c r="AL745" s="64" t="s">
        <v>109</v>
      </c>
      <c r="AM745" s="52">
        <v>3.103914892E9</v>
      </c>
      <c r="AN745" s="64">
        <v>0.0</v>
      </c>
      <c r="AO745" s="43">
        <v>0.0</v>
      </c>
      <c r="AP745" s="84">
        <v>0.0</v>
      </c>
      <c r="AQ745" s="84"/>
      <c r="AR745" s="84"/>
      <c r="AS745" s="85">
        <v>0.0</v>
      </c>
      <c r="AT745" s="50">
        <v>0.0</v>
      </c>
      <c r="AU745" s="50">
        <v>0.0</v>
      </c>
      <c r="AV745" s="50">
        <v>0.0</v>
      </c>
      <c r="AW745" s="50" t="s">
        <v>88</v>
      </c>
      <c r="AX745" s="50">
        <v>0.0</v>
      </c>
      <c r="AY745" s="50">
        <v>0.0</v>
      </c>
      <c r="AZ745" s="50">
        <v>0.0</v>
      </c>
      <c r="BA745" s="43" t="s">
        <v>89</v>
      </c>
      <c r="BB745" s="50">
        <v>0.0</v>
      </c>
      <c r="BC745" s="95"/>
      <c r="BD745" s="71"/>
      <c r="BE745" s="71"/>
      <c r="BF745" s="72" t="s">
        <v>4432</v>
      </c>
      <c r="BG745" s="73"/>
      <c r="BH745" s="73"/>
      <c r="BI745" s="73"/>
      <c r="BJ745" s="73"/>
      <c r="BK745" s="73"/>
      <c r="BL745" s="73"/>
      <c r="BM745" s="73"/>
      <c r="BN745" s="73"/>
      <c r="BO745" s="73"/>
      <c r="BP745" s="73"/>
      <c r="BQ745" s="73"/>
      <c r="BR745" s="73"/>
      <c r="BS745" s="73"/>
      <c r="BT745" s="73"/>
      <c r="BU745" s="73"/>
      <c r="BV745" s="73"/>
      <c r="BW745" s="74"/>
      <c r="BX745" s="74"/>
      <c r="BY745" s="63"/>
      <c r="BZ745" s="63"/>
    </row>
    <row r="746" ht="15.75" customHeight="1">
      <c r="A746" s="75" t="s">
        <v>4433</v>
      </c>
      <c r="B746" s="43" t="s">
        <v>4434</v>
      </c>
      <c r="C746" s="43" t="s">
        <v>70</v>
      </c>
      <c r="D746" s="193" t="s">
        <v>4435</v>
      </c>
      <c r="E746" s="64"/>
      <c r="F746" s="78">
        <v>1.6E8</v>
      </c>
      <c r="G746" s="44" t="str">
        <f t="shared" si="16"/>
        <v>$100'000.000 a $200'000.000</v>
      </c>
      <c r="H746" s="44"/>
      <c r="I746" s="44"/>
      <c r="J746" s="50" t="s">
        <v>94</v>
      </c>
      <c r="K746" s="194"/>
      <c r="L746" s="50">
        <v>2.0</v>
      </c>
      <c r="M746" s="50"/>
      <c r="N746" s="50">
        <v>1.0</v>
      </c>
      <c r="O746" s="50">
        <v>1.0</v>
      </c>
      <c r="P746" s="50">
        <v>1.0</v>
      </c>
      <c r="Q746" s="79">
        <v>84.0</v>
      </c>
      <c r="R746" s="79">
        <v>84.0</v>
      </c>
      <c r="S746" s="56" t="str">
        <f t="shared" si="20"/>
        <v> </v>
      </c>
      <c r="T746" s="50" t="s">
        <v>78</v>
      </c>
      <c r="U746" s="51" t="s">
        <v>184</v>
      </c>
      <c r="V746" s="50" t="s">
        <v>79</v>
      </c>
      <c r="W746" s="50"/>
      <c r="X746" s="50">
        <v>0.0</v>
      </c>
      <c r="Y746" s="43" t="s">
        <v>80</v>
      </c>
      <c r="Z746" s="58" t="s">
        <v>81</v>
      </c>
      <c r="AA746" s="59"/>
      <c r="AB746" s="134" t="s">
        <v>4436</v>
      </c>
      <c r="AC746" s="131" t="s">
        <v>4437</v>
      </c>
      <c r="AD746" s="218" t="s">
        <v>4438</v>
      </c>
      <c r="AE746" s="63"/>
      <c r="AF746" s="64" t="s">
        <v>84</v>
      </c>
      <c r="AG746" s="65" t="s">
        <v>106</v>
      </c>
      <c r="AH746" s="63"/>
      <c r="AI746" s="65" t="s">
        <v>107</v>
      </c>
      <c r="AJ746" s="164" t="s">
        <v>3897</v>
      </c>
      <c r="AK746" s="50" t="s">
        <v>81</v>
      </c>
      <c r="AL746" s="45" t="s">
        <v>109</v>
      </c>
      <c r="AM746" s="52">
        <v>3.103914892E9</v>
      </c>
      <c r="AN746" s="64">
        <v>0.0</v>
      </c>
      <c r="AO746" s="116"/>
      <c r="AP746" s="84">
        <v>0.0</v>
      </c>
      <c r="AQ746" s="84"/>
      <c r="AR746" s="84"/>
      <c r="AS746" s="85">
        <v>0.0</v>
      </c>
      <c r="AT746" s="50">
        <v>0.0</v>
      </c>
      <c r="AU746" s="43">
        <v>0.0</v>
      </c>
      <c r="AV746" s="43">
        <v>0.0</v>
      </c>
      <c r="AW746" s="43" t="s">
        <v>106</v>
      </c>
      <c r="AX746" s="43">
        <v>0.0</v>
      </c>
      <c r="AY746" s="43" t="s">
        <v>247</v>
      </c>
      <c r="AZ746" s="50">
        <v>0.0</v>
      </c>
      <c r="BA746" s="43" t="s">
        <v>89</v>
      </c>
      <c r="BB746" s="50">
        <v>0.0</v>
      </c>
      <c r="BC746" s="95" t="s">
        <v>4439</v>
      </c>
      <c r="BD746" s="71"/>
      <c r="BE746" s="71"/>
      <c r="BF746" s="72" t="s">
        <v>4440</v>
      </c>
      <c r="BG746" s="73"/>
      <c r="BH746" s="73"/>
      <c r="BI746" s="73"/>
      <c r="BJ746" s="73"/>
      <c r="BK746" s="73"/>
      <c r="BL746" s="73"/>
      <c r="BM746" s="73"/>
      <c r="BN746" s="73"/>
      <c r="BO746" s="73"/>
      <c r="BP746" s="73"/>
      <c r="BQ746" s="73"/>
      <c r="BR746" s="73"/>
      <c r="BS746" s="73"/>
      <c r="BT746" s="73"/>
      <c r="BU746" s="73"/>
      <c r="BV746" s="73"/>
      <c r="BW746" s="74"/>
      <c r="BX746" s="74"/>
      <c r="BY746" s="63"/>
      <c r="BZ746" s="63"/>
    </row>
    <row r="747" ht="15.75" customHeight="1">
      <c r="A747" s="41" t="s">
        <v>4441</v>
      </c>
      <c r="B747" s="50" t="s">
        <v>4442</v>
      </c>
      <c r="C747" s="50" t="s">
        <v>70</v>
      </c>
      <c r="D747" s="44" t="s">
        <v>1342</v>
      </c>
      <c r="E747" s="77" t="s">
        <v>376</v>
      </c>
      <c r="F747" s="78">
        <v>1.5E8</v>
      </c>
      <c r="G747" s="44" t="str">
        <f t="shared" si="16"/>
        <v>$100'000.000 a $200'000.000</v>
      </c>
      <c r="H747" s="44"/>
      <c r="I747" s="44"/>
      <c r="J747" s="50" t="s">
        <v>94</v>
      </c>
      <c r="K747" s="57"/>
      <c r="L747" s="44">
        <v>2.0</v>
      </c>
      <c r="M747" s="44"/>
      <c r="N747" s="44">
        <v>1.0</v>
      </c>
      <c r="O747" s="50">
        <v>1.0</v>
      </c>
      <c r="P747" s="44">
        <v>1.0</v>
      </c>
      <c r="Q747" s="113">
        <v>84.0</v>
      </c>
      <c r="R747" s="79">
        <v>84.0</v>
      </c>
      <c r="S747" s="56" t="str">
        <f t="shared" si="20"/>
        <v> </v>
      </c>
      <c r="T747" s="44" t="s">
        <v>78</v>
      </c>
      <c r="U747" s="57" t="s">
        <v>184</v>
      </c>
      <c r="V747" s="50" t="s">
        <v>118</v>
      </c>
      <c r="W747" s="50"/>
      <c r="X747" s="44">
        <v>0.0</v>
      </c>
      <c r="Y747" s="50" t="s">
        <v>80</v>
      </c>
      <c r="Z747" s="58" t="s">
        <v>81</v>
      </c>
      <c r="AA747" s="59" t="str">
        <f>IF(Rentabilidad=0,"No aplica",TEXT(ROUND(Precio/Rentabilidad/12,0),0) &amp; " años")</f>
        <v>No aplica</v>
      </c>
      <c r="AB747" s="134" t="s">
        <v>4443</v>
      </c>
      <c r="AC747" s="61"/>
      <c r="AD747" s="125" t="s">
        <v>4444</v>
      </c>
      <c r="AE747" s="63"/>
      <c r="AF747" s="45" t="s">
        <v>236</v>
      </c>
      <c r="AG747" s="65" t="s">
        <v>106</v>
      </c>
      <c r="AH747" s="65"/>
      <c r="AI747" s="65" t="s">
        <v>107</v>
      </c>
      <c r="AJ747" s="64" t="s">
        <v>3897</v>
      </c>
      <c r="AK747" s="50" t="s">
        <v>81</v>
      </c>
      <c r="AL747" s="45" t="s">
        <v>109</v>
      </c>
      <c r="AM747" s="52">
        <v>3.103914892E9</v>
      </c>
      <c r="AN747" s="45"/>
      <c r="AO747" s="52"/>
      <c r="AP747" s="67"/>
      <c r="AQ747" s="67"/>
      <c r="AR747" s="67"/>
      <c r="AS747" s="68">
        <v>0.0</v>
      </c>
      <c r="AT747" s="44">
        <v>0.0</v>
      </c>
      <c r="AU747" s="52">
        <v>0.0</v>
      </c>
      <c r="AV747" s="52">
        <v>0.0</v>
      </c>
      <c r="AW747" s="52" t="s">
        <v>106</v>
      </c>
      <c r="AX747" s="52">
        <v>0.0</v>
      </c>
      <c r="AY747" s="52">
        <v>0.0</v>
      </c>
      <c r="AZ747" s="44">
        <v>0.0</v>
      </c>
      <c r="BA747" s="43" t="s">
        <v>89</v>
      </c>
      <c r="BB747" s="44">
        <v>0.0</v>
      </c>
      <c r="BC747" s="86"/>
      <c r="BD747" s="71"/>
      <c r="BE747" s="71"/>
      <c r="BF747" s="72" t="s">
        <v>4445</v>
      </c>
      <c r="BG747" s="73"/>
      <c r="BH747" s="73"/>
      <c r="BI747" s="73"/>
      <c r="BJ747" s="73"/>
      <c r="BK747" s="73"/>
      <c r="BL747" s="73"/>
      <c r="BM747" s="73"/>
      <c r="BN747" s="73"/>
      <c r="BO747" s="73"/>
      <c r="BP747" s="73"/>
      <c r="BQ747" s="73"/>
      <c r="BR747" s="73"/>
      <c r="BS747" s="73"/>
      <c r="BT747" s="73"/>
      <c r="BU747" s="73"/>
      <c r="BV747" s="73"/>
      <c r="BW747" s="74"/>
      <c r="BX747" s="74"/>
      <c r="BY747" s="63"/>
      <c r="BZ747" s="63"/>
    </row>
    <row r="748" ht="15.75" customHeight="1">
      <c r="A748" s="75" t="s">
        <v>4446</v>
      </c>
      <c r="B748" s="50" t="s">
        <v>4447</v>
      </c>
      <c r="C748" s="50" t="s">
        <v>323</v>
      </c>
      <c r="D748" s="50" t="s">
        <v>904</v>
      </c>
      <c r="E748" s="64" t="s">
        <v>4448</v>
      </c>
      <c r="F748" s="78">
        <v>1.5E8</v>
      </c>
      <c r="G748" s="44" t="str">
        <f t="shared" si="16"/>
        <v>$100'000.000 a $200'000.000</v>
      </c>
      <c r="H748" s="44"/>
      <c r="I748" s="44"/>
      <c r="J748" s="50" t="s">
        <v>183</v>
      </c>
      <c r="K748" s="51" t="s">
        <v>241</v>
      </c>
      <c r="L748" s="50">
        <v>3.0</v>
      </c>
      <c r="M748" s="50"/>
      <c r="N748" s="50">
        <v>1.0</v>
      </c>
      <c r="O748" s="50">
        <v>1.0</v>
      </c>
      <c r="P748" s="50">
        <v>5.0</v>
      </c>
      <c r="Q748" s="88">
        <v>0.0</v>
      </c>
      <c r="R748" s="89">
        <v>0.0</v>
      </c>
      <c r="S748" s="56" t="str">
        <f t="shared" si="20"/>
        <v> </v>
      </c>
      <c r="T748" s="50" t="s">
        <v>78</v>
      </c>
      <c r="U748" s="51" t="s">
        <v>184</v>
      </c>
      <c r="V748" s="50" t="s">
        <v>333</v>
      </c>
      <c r="W748" s="50"/>
      <c r="X748" s="50">
        <v>3.0</v>
      </c>
      <c r="Y748" s="43" t="s">
        <v>80</v>
      </c>
      <c r="Z748" s="58">
        <v>115000.0</v>
      </c>
      <c r="AA748" s="59" t="str">
        <f>IF(Rentabilidad=0,"No aplica",TEXT(ROUND(Precio/Rentabilidad/12,0),0) &amp; " años")</f>
        <v>No aplica</v>
      </c>
      <c r="AB748" s="82" t="s">
        <v>4449</v>
      </c>
      <c r="AC748" s="8" t="s">
        <v>4450</v>
      </c>
      <c r="AD748" s="169" t="s">
        <v>4451</v>
      </c>
      <c r="AE748" s="63"/>
      <c r="AF748" s="45" t="s">
        <v>236</v>
      </c>
      <c r="AG748" s="65" t="s">
        <v>106</v>
      </c>
      <c r="AH748" s="63"/>
      <c r="AI748" s="65" t="s">
        <v>107</v>
      </c>
      <c r="AJ748" s="64" t="s">
        <v>3897</v>
      </c>
      <c r="AK748" s="58" t="s">
        <v>81</v>
      </c>
      <c r="AL748" s="64" t="s">
        <v>109</v>
      </c>
      <c r="AM748" s="52">
        <v>3.103914892E9</v>
      </c>
      <c r="AN748" s="64">
        <v>0.0</v>
      </c>
      <c r="AO748" s="43">
        <v>0.0</v>
      </c>
      <c r="AP748" s="84">
        <v>0.0</v>
      </c>
      <c r="AQ748" s="84"/>
      <c r="AR748" s="84"/>
      <c r="AS748" s="85">
        <v>0.0</v>
      </c>
      <c r="AT748" s="50" t="s">
        <v>88</v>
      </c>
      <c r="AU748" s="50">
        <v>0.0</v>
      </c>
      <c r="AV748" s="50">
        <v>0.0</v>
      </c>
      <c r="AW748" s="50" t="s">
        <v>88</v>
      </c>
      <c r="AX748" s="50">
        <v>0.0</v>
      </c>
      <c r="AY748" s="50" t="s">
        <v>137</v>
      </c>
      <c r="AZ748" s="50">
        <v>0.0</v>
      </c>
      <c r="BA748" s="43" t="s">
        <v>89</v>
      </c>
      <c r="BB748" s="50">
        <v>0.0</v>
      </c>
      <c r="BC748" s="95"/>
      <c r="BD748" s="71"/>
      <c r="BE748" s="71"/>
      <c r="BF748" s="72" t="s">
        <v>4452</v>
      </c>
      <c r="BG748" s="73"/>
      <c r="BH748" s="73"/>
      <c r="BI748" s="73"/>
      <c r="BJ748" s="73"/>
      <c r="BK748" s="73"/>
      <c r="BL748" s="73"/>
      <c r="BM748" s="73"/>
      <c r="BN748" s="73"/>
      <c r="BO748" s="73"/>
      <c r="BP748" s="73"/>
      <c r="BQ748" s="73"/>
      <c r="BR748" s="73"/>
      <c r="BS748" s="73"/>
      <c r="BT748" s="73"/>
      <c r="BU748" s="73"/>
      <c r="BV748" s="73"/>
      <c r="BW748" s="74"/>
      <c r="BX748" s="74"/>
      <c r="BY748" s="63"/>
      <c r="BZ748" s="63"/>
    </row>
    <row r="749" ht="15.75" customHeight="1">
      <c r="A749" s="133" t="s">
        <v>4453</v>
      </c>
      <c r="B749" s="50" t="s">
        <v>4454</v>
      </c>
      <c r="C749" s="43" t="s">
        <v>70</v>
      </c>
      <c r="D749" s="50" t="s">
        <v>4455</v>
      </c>
      <c r="E749" s="77"/>
      <c r="F749" s="78">
        <v>1.4E8</v>
      </c>
      <c r="G749" s="44" t="str">
        <f t="shared" si="16"/>
        <v>$100'000.000 a $200'000.000</v>
      </c>
      <c r="H749" s="44"/>
      <c r="I749" s="44"/>
      <c r="J749" s="50" t="s">
        <v>94</v>
      </c>
      <c r="K749" s="51"/>
      <c r="L749" s="43">
        <v>3.0</v>
      </c>
      <c r="M749" s="43"/>
      <c r="N749" s="43">
        <v>1.0</v>
      </c>
      <c r="O749" s="43">
        <v>1.0</v>
      </c>
      <c r="P749" s="43">
        <v>1.0</v>
      </c>
      <c r="Q749" s="55">
        <v>84.0</v>
      </c>
      <c r="R749" s="55">
        <v>84.0</v>
      </c>
      <c r="S749" s="56" t="str">
        <f t="shared" si="20"/>
        <v> </v>
      </c>
      <c r="T749" s="43" t="s">
        <v>78</v>
      </c>
      <c r="U749" s="51" t="s">
        <v>184</v>
      </c>
      <c r="V749" s="43" t="s">
        <v>79</v>
      </c>
      <c r="W749" s="43"/>
      <c r="X749" s="43">
        <v>0.0</v>
      </c>
      <c r="Y749" s="50" t="s">
        <v>80</v>
      </c>
      <c r="Z749" s="58" t="s">
        <v>81</v>
      </c>
      <c r="AA749" s="81" t="s">
        <v>81</v>
      </c>
      <c r="AB749" s="134" t="s">
        <v>4456</v>
      </c>
      <c r="AC749" s="124" t="s">
        <v>4457</v>
      </c>
      <c r="AD749" s="107" t="s">
        <v>4458</v>
      </c>
      <c r="AE749" s="63"/>
      <c r="AF749" s="64" t="s">
        <v>84</v>
      </c>
      <c r="AG749" s="65" t="s">
        <v>106</v>
      </c>
      <c r="AH749" s="65"/>
      <c r="AI749" s="65" t="s">
        <v>107</v>
      </c>
      <c r="AJ749" s="64" t="s">
        <v>3897</v>
      </c>
      <c r="AK749" s="58" t="s">
        <v>81</v>
      </c>
      <c r="AL749" s="64" t="s">
        <v>109</v>
      </c>
      <c r="AM749" s="52">
        <v>3.103914892E9</v>
      </c>
      <c r="AN749" s="64">
        <v>0.0</v>
      </c>
      <c r="AO749" s="43">
        <v>0.0</v>
      </c>
      <c r="AP749" s="84">
        <v>0.0</v>
      </c>
      <c r="AQ749" s="84"/>
      <c r="AR749" s="84"/>
      <c r="AS749" s="85">
        <v>0.0</v>
      </c>
      <c r="AT749" s="50" t="s">
        <v>88</v>
      </c>
      <c r="AU749" s="50">
        <v>0.0</v>
      </c>
      <c r="AV749" s="50">
        <v>0.0</v>
      </c>
      <c r="AW749" s="50" t="s">
        <v>106</v>
      </c>
      <c r="AX749" s="50">
        <v>0.0</v>
      </c>
      <c r="AY749" s="50" t="s">
        <v>137</v>
      </c>
      <c r="AZ749" s="50">
        <v>0.0</v>
      </c>
      <c r="BA749" s="43" t="s">
        <v>89</v>
      </c>
      <c r="BB749" s="50">
        <v>0.0</v>
      </c>
      <c r="BC749" s="109"/>
      <c r="BD749" s="70"/>
      <c r="BE749" s="71"/>
      <c r="BF749" s="72" t="s">
        <v>4459</v>
      </c>
      <c r="BG749" s="73"/>
      <c r="BH749" s="73"/>
      <c r="BI749" s="73"/>
      <c r="BJ749" s="73"/>
      <c r="BK749" s="73"/>
      <c r="BL749" s="73"/>
      <c r="BM749" s="73"/>
      <c r="BN749" s="73"/>
      <c r="BO749" s="73"/>
      <c r="BP749" s="73"/>
      <c r="BQ749" s="73"/>
      <c r="BR749" s="73"/>
      <c r="BS749" s="73"/>
      <c r="BT749" s="73"/>
      <c r="BU749" s="73"/>
      <c r="BV749" s="73"/>
      <c r="BW749" s="74"/>
      <c r="BX749" s="74"/>
      <c r="BY749" s="63"/>
      <c r="BZ749" s="63"/>
    </row>
    <row r="750" ht="15.75" customHeight="1">
      <c r="A750" s="133" t="s">
        <v>4460</v>
      </c>
      <c r="B750" s="43" t="s">
        <v>4461</v>
      </c>
      <c r="C750" s="43" t="s">
        <v>664</v>
      </c>
      <c r="D750" s="52"/>
      <c r="E750" s="64" t="s">
        <v>4462</v>
      </c>
      <c r="F750" s="78">
        <v>1.45E8</v>
      </c>
      <c r="G750" s="44" t="str">
        <f t="shared" si="16"/>
        <v>$100'000.000 a $200'000.000</v>
      </c>
      <c r="H750" s="44"/>
      <c r="I750" s="44"/>
      <c r="J750" s="43" t="s">
        <v>183</v>
      </c>
      <c r="K750" s="142"/>
      <c r="L750" s="43">
        <v>0.0</v>
      </c>
      <c r="M750" s="43"/>
      <c r="N750" s="43">
        <v>0.0</v>
      </c>
      <c r="O750" s="43">
        <v>0.0</v>
      </c>
      <c r="P750" s="43">
        <v>0.0</v>
      </c>
      <c r="Q750" s="89">
        <v>0.0</v>
      </c>
      <c r="R750" s="88">
        <v>531.0</v>
      </c>
      <c r="S750" s="56" t="str">
        <f t="shared" si="20"/>
        <v> </v>
      </c>
      <c r="T750" s="43" t="s">
        <v>78</v>
      </c>
      <c r="U750" s="142"/>
      <c r="V750" s="43" t="s">
        <v>79</v>
      </c>
      <c r="W750" s="43"/>
      <c r="X750" s="43">
        <v>0.0</v>
      </c>
      <c r="Y750" s="43" t="s">
        <v>80</v>
      </c>
      <c r="Z750" s="58"/>
      <c r="AA750" s="59" t="str">
        <f>IF(Rentabilidad=0,"No aplica",TEXT(ROUND(Precio/Rentabilidad/12,0),0) &amp; " años")</f>
        <v>No aplica</v>
      </c>
      <c r="AB750" s="140" t="s">
        <v>4463</v>
      </c>
      <c r="AC750" s="167" t="s">
        <v>4464</v>
      </c>
      <c r="AD750" s="167" t="s">
        <v>4465</v>
      </c>
      <c r="AE750" s="63"/>
      <c r="AF750" s="64">
        <v>0.0</v>
      </c>
      <c r="AG750" s="65" t="s">
        <v>106</v>
      </c>
      <c r="AH750" s="63"/>
      <c r="AI750" s="65" t="s">
        <v>107</v>
      </c>
      <c r="AJ750" s="64" t="s">
        <v>3897</v>
      </c>
      <c r="AK750" s="58" t="s">
        <v>81</v>
      </c>
      <c r="AL750" s="64" t="s">
        <v>109</v>
      </c>
      <c r="AM750" s="52">
        <v>3.103914892E9</v>
      </c>
      <c r="AN750" s="64">
        <v>0.0</v>
      </c>
      <c r="AO750" s="43">
        <v>0.0</v>
      </c>
      <c r="AP750" s="84">
        <v>0.0</v>
      </c>
      <c r="AQ750" s="84"/>
      <c r="AR750" s="84"/>
      <c r="AS750" s="85">
        <v>0.0</v>
      </c>
      <c r="AT750" s="50">
        <v>0.0</v>
      </c>
      <c r="AU750" s="50">
        <v>0.0</v>
      </c>
      <c r="AV750" s="50">
        <v>0.0</v>
      </c>
      <c r="AW750" s="50" t="s">
        <v>88</v>
      </c>
      <c r="AX750" s="50">
        <v>0.0</v>
      </c>
      <c r="AY750" s="50">
        <v>0.0</v>
      </c>
      <c r="AZ750" s="50">
        <v>0.0</v>
      </c>
      <c r="BA750" s="43" t="s">
        <v>89</v>
      </c>
      <c r="BB750" s="50">
        <v>0.0</v>
      </c>
      <c r="BC750" s="109"/>
      <c r="BD750" s="70"/>
      <c r="BE750" s="71"/>
      <c r="BF750" s="72" t="s">
        <v>4466</v>
      </c>
      <c r="BG750" s="73"/>
      <c r="BH750" s="73"/>
      <c r="BI750" s="73"/>
      <c r="BJ750" s="73"/>
      <c r="BK750" s="73"/>
      <c r="BL750" s="73"/>
      <c r="BM750" s="73"/>
      <c r="BN750" s="73"/>
      <c r="BO750" s="73"/>
      <c r="BP750" s="73"/>
      <c r="BQ750" s="73"/>
      <c r="BR750" s="73"/>
      <c r="BS750" s="73"/>
      <c r="BT750" s="73"/>
      <c r="BU750" s="73"/>
      <c r="BV750" s="73"/>
      <c r="BW750" s="74"/>
      <c r="BX750" s="74"/>
      <c r="BY750" s="63"/>
      <c r="BZ750" s="63"/>
    </row>
    <row r="751" ht="15.75" customHeight="1">
      <c r="A751" s="75" t="s">
        <v>4467</v>
      </c>
      <c r="B751" s="50" t="s">
        <v>4468</v>
      </c>
      <c r="C751" s="50" t="s">
        <v>340</v>
      </c>
      <c r="D751" s="50"/>
      <c r="E751" s="64"/>
      <c r="F751" s="78">
        <v>1.4E8</v>
      </c>
      <c r="G751" s="44" t="str">
        <f t="shared" si="16"/>
        <v>$100'000.000 a $200'000.000</v>
      </c>
      <c r="H751" s="44"/>
      <c r="I751" s="44"/>
      <c r="J751" s="50" t="s">
        <v>968</v>
      </c>
      <c r="K751" s="51"/>
      <c r="L751" s="50">
        <v>0.0</v>
      </c>
      <c r="M751" s="50"/>
      <c r="N751" s="50">
        <v>0.0</v>
      </c>
      <c r="O751" s="50">
        <v>0.0</v>
      </c>
      <c r="P751" s="50">
        <v>0.0</v>
      </c>
      <c r="Q751" s="88">
        <v>0.0</v>
      </c>
      <c r="R751" s="88">
        <v>528.0</v>
      </c>
      <c r="S751" s="56" t="str">
        <f t="shared" si="20"/>
        <v> </v>
      </c>
      <c r="T751" s="50" t="s">
        <v>342</v>
      </c>
      <c r="U751" s="57"/>
      <c r="V751" s="50" t="s">
        <v>79</v>
      </c>
      <c r="W751" s="50"/>
      <c r="X751" s="50">
        <v>0.0</v>
      </c>
      <c r="Y751" s="50" t="s">
        <v>130</v>
      </c>
      <c r="Z751" s="58">
        <v>280000.0</v>
      </c>
      <c r="AA751" s="59" t="str">
        <f>IF(Rentabilidad=0,"No aplica",TEXT(ROUND(Precio/Rentabilidad/12,0),0) &amp; " años")</f>
        <v>No aplica</v>
      </c>
      <c r="AB751" s="82" t="s">
        <v>4469</v>
      </c>
      <c r="AC751" s="8" t="s">
        <v>4470</v>
      </c>
      <c r="AD751" s="169" t="s">
        <v>4471</v>
      </c>
      <c r="AE751" s="63"/>
      <c r="AF751" s="64">
        <v>0.0</v>
      </c>
      <c r="AG751" s="65" t="s">
        <v>106</v>
      </c>
      <c r="AH751" s="63"/>
      <c r="AI751" s="65" t="s">
        <v>107</v>
      </c>
      <c r="AJ751" s="64" t="s">
        <v>3897</v>
      </c>
      <c r="AK751" s="58" t="s">
        <v>81</v>
      </c>
      <c r="AL751" s="64" t="s">
        <v>109</v>
      </c>
      <c r="AM751" s="52">
        <v>3.103914892E9</v>
      </c>
      <c r="AN751" s="64">
        <v>0.0</v>
      </c>
      <c r="AO751" s="43">
        <v>0.0</v>
      </c>
      <c r="AP751" s="84">
        <v>0.0</v>
      </c>
      <c r="AQ751" s="84"/>
      <c r="AR751" s="84"/>
      <c r="AS751" s="85">
        <v>0.0</v>
      </c>
      <c r="AT751" s="50">
        <v>0.0</v>
      </c>
      <c r="AU751" s="50">
        <v>0.0</v>
      </c>
      <c r="AV751" s="50">
        <v>0.0</v>
      </c>
      <c r="AW751" s="50" t="s">
        <v>88</v>
      </c>
      <c r="AX751" s="50">
        <v>0.0</v>
      </c>
      <c r="AY751" s="50">
        <v>0.0</v>
      </c>
      <c r="AZ751" s="50">
        <v>0.0</v>
      </c>
      <c r="BA751" s="43" t="s">
        <v>89</v>
      </c>
      <c r="BB751" s="50">
        <v>0.0</v>
      </c>
      <c r="BC751" s="95"/>
      <c r="BD751" s="71"/>
      <c r="BE751" s="71"/>
      <c r="BF751" s="72" t="s">
        <v>4472</v>
      </c>
      <c r="BG751" s="73"/>
      <c r="BH751" s="73"/>
      <c r="BI751" s="73"/>
      <c r="BJ751" s="73"/>
      <c r="BK751" s="73"/>
      <c r="BL751" s="73"/>
      <c r="BM751" s="73"/>
      <c r="BN751" s="73"/>
      <c r="BO751" s="73"/>
      <c r="BP751" s="73"/>
      <c r="BQ751" s="73"/>
      <c r="BR751" s="73"/>
      <c r="BS751" s="73"/>
      <c r="BT751" s="73"/>
      <c r="BU751" s="73"/>
      <c r="BV751" s="73"/>
      <c r="BW751" s="74"/>
      <c r="BX751" s="74"/>
      <c r="BY751" s="63"/>
      <c r="BZ751" s="63"/>
    </row>
    <row r="752" ht="15.75" customHeight="1">
      <c r="A752" s="75" t="s">
        <v>4473</v>
      </c>
      <c r="B752" s="50" t="s">
        <v>4468</v>
      </c>
      <c r="C752" s="50" t="s">
        <v>340</v>
      </c>
      <c r="D752" s="50"/>
      <c r="E752" s="64" t="s">
        <v>4474</v>
      </c>
      <c r="F752" s="78">
        <v>1.4E8</v>
      </c>
      <c r="G752" s="44" t="str">
        <f t="shared" si="16"/>
        <v>$100'000.000 a $200'000.000</v>
      </c>
      <c r="H752" s="44"/>
      <c r="I752" s="44"/>
      <c r="J752" s="50" t="s">
        <v>968</v>
      </c>
      <c r="K752" s="51"/>
      <c r="L752" s="50">
        <v>0.0</v>
      </c>
      <c r="M752" s="50"/>
      <c r="N752" s="50">
        <v>0.0</v>
      </c>
      <c r="O752" s="50">
        <v>0.0</v>
      </c>
      <c r="P752" s="50">
        <v>0.0</v>
      </c>
      <c r="Q752" s="88">
        <v>0.0</v>
      </c>
      <c r="R752" s="88">
        <v>528.0</v>
      </c>
      <c r="S752" s="56" t="str">
        <f t="shared" si="20"/>
        <v> </v>
      </c>
      <c r="T752" s="50" t="s">
        <v>342</v>
      </c>
      <c r="U752" s="57"/>
      <c r="V752" s="50" t="s">
        <v>79</v>
      </c>
      <c r="W752" s="50"/>
      <c r="X752" s="50">
        <v>0.0</v>
      </c>
      <c r="Y752" s="50" t="s">
        <v>130</v>
      </c>
      <c r="Z752" s="58">
        <v>214000.0</v>
      </c>
      <c r="AA752" s="59" t="str">
        <f>IF(Rentabilidad=0,"No aplica",TEXT(ROUND(Precio/Rentabilidad/12,0),0) &amp; " años")</f>
        <v>No aplica</v>
      </c>
      <c r="AB752" s="82" t="s">
        <v>4475</v>
      </c>
      <c r="AC752" s="8" t="s">
        <v>4476</v>
      </c>
      <c r="AD752" s="83" t="s">
        <v>4477</v>
      </c>
      <c r="AE752" s="63"/>
      <c r="AF752" s="64">
        <v>0.0</v>
      </c>
      <c r="AG752" s="65" t="s">
        <v>106</v>
      </c>
      <c r="AH752" s="63"/>
      <c r="AI752" s="65" t="s">
        <v>107</v>
      </c>
      <c r="AJ752" s="64" t="s">
        <v>3897</v>
      </c>
      <c r="AK752" s="58" t="s">
        <v>81</v>
      </c>
      <c r="AL752" s="45" t="s">
        <v>86</v>
      </c>
      <c r="AM752" s="52">
        <v>3.103914892E9</v>
      </c>
      <c r="AN752" s="64">
        <v>0.0</v>
      </c>
      <c r="AO752" s="44"/>
      <c r="AP752" s="67"/>
      <c r="AQ752" s="67"/>
      <c r="AR752" s="67"/>
      <c r="AS752" s="94">
        <v>0.0</v>
      </c>
      <c r="AT752" s="50">
        <v>0.0</v>
      </c>
      <c r="AU752" s="50">
        <v>0.0</v>
      </c>
      <c r="AV752" s="50">
        <v>0.0</v>
      </c>
      <c r="AW752" s="50" t="s">
        <v>88</v>
      </c>
      <c r="AX752" s="50">
        <v>0.0</v>
      </c>
      <c r="AY752" s="50">
        <v>0.0</v>
      </c>
      <c r="AZ752" s="50">
        <v>0.0</v>
      </c>
      <c r="BA752" s="43" t="s">
        <v>89</v>
      </c>
      <c r="BB752" s="50">
        <v>0.0</v>
      </c>
      <c r="BC752" s="95"/>
      <c r="BD752" s="71"/>
      <c r="BE752" s="71"/>
      <c r="BF752" s="72" t="s">
        <v>4478</v>
      </c>
      <c r="BG752" s="73"/>
      <c r="BH752" s="73"/>
      <c r="BI752" s="73"/>
      <c r="BJ752" s="73"/>
      <c r="BK752" s="73"/>
      <c r="BL752" s="73"/>
      <c r="BM752" s="73"/>
      <c r="BN752" s="73"/>
      <c r="BO752" s="73"/>
      <c r="BP752" s="73"/>
      <c r="BQ752" s="73"/>
      <c r="BR752" s="73"/>
      <c r="BS752" s="73"/>
      <c r="BT752" s="73"/>
      <c r="BU752" s="73"/>
      <c r="BV752" s="73"/>
      <c r="BW752" s="74"/>
      <c r="BX752" s="74"/>
      <c r="BY752" s="63"/>
      <c r="BZ752" s="63"/>
    </row>
    <row r="753" ht="15.75" customHeight="1">
      <c r="A753" s="41" t="s">
        <v>4479</v>
      </c>
      <c r="B753" s="50" t="s">
        <v>1140</v>
      </c>
      <c r="C753" s="50" t="s">
        <v>70</v>
      </c>
      <c r="D753" s="44" t="s">
        <v>1141</v>
      </c>
      <c r="E753" s="77" t="s">
        <v>376</v>
      </c>
      <c r="F753" s="47">
        <v>1.3E8</v>
      </c>
      <c r="G753" s="44" t="str">
        <f t="shared" si="16"/>
        <v>$100'000.000 a $200'000.000</v>
      </c>
      <c r="H753" s="44"/>
      <c r="I753" s="44"/>
      <c r="J753" s="50" t="s">
        <v>94</v>
      </c>
      <c r="K753" s="51" t="s">
        <v>117</v>
      </c>
      <c r="L753" s="44">
        <v>3.0</v>
      </c>
      <c r="M753" s="44"/>
      <c r="N753" s="44">
        <v>1.0</v>
      </c>
      <c r="O753" s="50">
        <v>0.0</v>
      </c>
      <c r="P753" s="44">
        <v>1.0</v>
      </c>
      <c r="Q753" s="113">
        <v>78.0</v>
      </c>
      <c r="R753" s="79">
        <v>78.0</v>
      </c>
      <c r="S753" s="56" t="str">
        <f t="shared" si="20"/>
        <v> </v>
      </c>
      <c r="T753" s="44" t="s">
        <v>78</v>
      </c>
      <c r="U753" s="57" t="s">
        <v>184</v>
      </c>
      <c r="V753" s="50" t="s">
        <v>79</v>
      </c>
      <c r="W753" s="50"/>
      <c r="X753" s="44">
        <v>3.0</v>
      </c>
      <c r="Y753" s="50" t="s">
        <v>80</v>
      </c>
      <c r="Z753" s="58" t="s">
        <v>81</v>
      </c>
      <c r="AA753" s="59" t="str">
        <f>IF(Rentabilidad=0,"No aplica",TEXT(ROUND(Precio/Rentabilidad/12,0),0) &amp; " años")</f>
        <v>No aplica</v>
      </c>
      <c r="AB753" s="134" t="s">
        <v>4480</v>
      </c>
      <c r="AC753" s="61"/>
      <c r="AD753" s="62"/>
      <c r="AE753" s="63"/>
      <c r="AF753" s="45" t="s">
        <v>236</v>
      </c>
      <c r="AG753" s="65" t="s">
        <v>106</v>
      </c>
      <c r="AH753" s="65"/>
      <c r="AI753" s="65" t="s">
        <v>107</v>
      </c>
      <c r="AJ753" s="64" t="s">
        <v>3897</v>
      </c>
      <c r="AK753" s="50" t="s">
        <v>81</v>
      </c>
      <c r="AL753" s="45" t="s">
        <v>109</v>
      </c>
      <c r="AM753" s="52">
        <v>3.103914892E9</v>
      </c>
      <c r="AN753" s="45"/>
      <c r="AO753" s="52"/>
      <c r="AP753" s="67"/>
      <c r="AQ753" s="67"/>
      <c r="AR753" s="67"/>
      <c r="AS753" s="68">
        <v>0.0</v>
      </c>
      <c r="AT753" s="44">
        <v>0.0</v>
      </c>
      <c r="AU753" s="52">
        <v>0.0</v>
      </c>
      <c r="AV753" s="52">
        <v>0.0</v>
      </c>
      <c r="AW753" s="52" t="s">
        <v>106</v>
      </c>
      <c r="AX753" s="52">
        <v>0.0</v>
      </c>
      <c r="AY753" s="52">
        <v>0.0</v>
      </c>
      <c r="AZ753" s="44">
        <v>0.0</v>
      </c>
      <c r="BA753" s="43" t="s">
        <v>89</v>
      </c>
      <c r="BB753" s="44">
        <v>0.0</v>
      </c>
      <c r="BC753" s="127" t="s">
        <v>716</v>
      </c>
      <c r="BD753" s="128"/>
      <c r="BE753" s="129"/>
      <c r="BF753" s="72" t="s">
        <v>4481</v>
      </c>
      <c r="BG753" s="73"/>
      <c r="BH753" s="73"/>
      <c r="BI753" s="73"/>
      <c r="BJ753" s="73"/>
      <c r="BK753" s="73"/>
      <c r="BL753" s="73"/>
      <c r="BM753" s="73"/>
      <c r="BN753" s="73"/>
      <c r="BO753" s="73"/>
      <c r="BP753" s="73"/>
      <c r="BQ753" s="73"/>
      <c r="BR753" s="73"/>
      <c r="BS753" s="73"/>
      <c r="BT753" s="73"/>
      <c r="BU753" s="73"/>
      <c r="BV753" s="73"/>
      <c r="BW753" s="74"/>
      <c r="BX753" s="74"/>
      <c r="BY753" s="63"/>
      <c r="BZ753" s="63"/>
    </row>
    <row r="754" ht="15.75" customHeight="1">
      <c r="A754" s="133" t="s">
        <v>4482</v>
      </c>
      <c r="B754" s="43" t="s">
        <v>4483</v>
      </c>
      <c r="C754" s="43" t="s">
        <v>1228</v>
      </c>
      <c r="D754" s="43" t="s">
        <v>4484</v>
      </c>
      <c r="E754" s="45"/>
      <c r="F754" s="78">
        <v>1.3E8</v>
      </c>
      <c r="G754" s="44" t="str">
        <f t="shared" si="16"/>
        <v>$100'000.000 a $200'000.000</v>
      </c>
      <c r="H754" s="44"/>
      <c r="I754" s="44"/>
      <c r="J754" s="43" t="s">
        <v>183</v>
      </c>
      <c r="K754" s="142"/>
      <c r="L754" s="43">
        <v>3.0</v>
      </c>
      <c r="M754" s="43"/>
      <c r="N754" s="43">
        <v>2.0</v>
      </c>
      <c r="O754" s="43">
        <v>1.0</v>
      </c>
      <c r="P754" s="43">
        <v>1.0</v>
      </c>
      <c r="Q754" s="88">
        <v>96.0</v>
      </c>
      <c r="R754" s="88">
        <v>1245.0</v>
      </c>
      <c r="S754" s="56" t="str">
        <f t="shared" si="20"/>
        <v> </v>
      </c>
      <c r="T754" s="43" t="s">
        <v>78</v>
      </c>
      <c r="U754" s="142"/>
      <c r="V754" s="43" t="s">
        <v>79</v>
      </c>
      <c r="W754" s="43"/>
      <c r="X754" s="43">
        <v>0.0</v>
      </c>
      <c r="Y754" s="43" t="s">
        <v>80</v>
      </c>
      <c r="Z754" s="58" t="s">
        <v>81</v>
      </c>
      <c r="AA754" s="59" t="str">
        <f>IF(Rentabilidad=0,"No aplica",TEXT(ROUND(Precio/Rentabilidad/12,0),0) &amp; " años")</f>
        <v>No aplica</v>
      </c>
      <c r="AB754" s="140" t="s">
        <v>4485</v>
      </c>
      <c r="AC754" s="167" t="s">
        <v>4486</v>
      </c>
      <c r="AD754" s="107" t="s">
        <v>4487</v>
      </c>
      <c r="AE754" s="63"/>
      <c r="AF754" s="64" t="s">
        <v>84</v>
      </c>
      <c r="AG754" s="65" t="s">
        <v>106</v>
      </c>
      <c r="AH754" s="63"/>
      <c r="AI754" s="65" t="s">
        <v>107</v>
      </c>
      <c r="AJ754" s="64" t="s">
        <v>3897</v>
      </c>
      <c r="AK754" s="58" t="s">
        <v>81</v>
      </c>
      <c r="AL754" s="64" t="s">
        <v>109</v>
      </c>
      <c r="AM754" s="52">
        <v>3.103914892E9</v>
      </c>
      <c r="AN754" s="64">
        <v>0.0</v>
      </c>
      <c r="AO754" s="43">
        <v>0.0</v>
      </c>
      <c r="AP754" s="84">
        <v>0.0</v>
      </c>
      <c r="AQ754" s="84"/>
      <c r="AR754" s="84"/>
      <c r="AS754" s="85">
        <v>0.0</v>
      </c>
      <c r="AT754" s="50">
        <v>0.0</v>
      </c>
      <c r="AU754" s="50">
        <v>0.0</v>
      </c>
      <c r="AV754" s="50">
        <v>0.0</v>
      </c>
      <c r="AW754" s="50" t="s">
        <v>88</v>
      </c>
      <c r="AX754" s="50">
        <v>0.0</v>
      </c>
      <c r="AY754" s="50">
        <v>0.0</v>
      </c>
      <c r="AZ754" s="50">
        <v>0.0</v>
      </c>
      <c r="BA754" s="43" t="s">
        <v>89</v>
      </c>
      <c r="BB754" s="50">
        <v>0.0</v>
      </c>
      <c r="BC754" s="69" t="s">
        <v>445</v>
      </c>
      <c r="BD754" s="121"/>
      <c r="BE754" s="129"/>
      <c r="BF754" s="72" t="s">
        <v>4488</v>
      </c>
      <c r="BG754" s="73"/>
      <c r="BH754" s="73"/>
      <c r="BI754" s="73"/>
      <c r="BJ754" s="73"/>
      <c r="BK754" s="73"/>
      <c r="BL754" s="73"/>
      <c r="BM754" s="73"/>
      <c r="BN754" s="73"/>
      <c r="BO754" s="73"/>
      <c r="BP754" s="73"/>
      <c r="BQ754" s="73"/>
      <c r="BR754" s="73"/>
      <c r="BS754" s="73"/>
      <c r="BT754" s="73"/>
      <c r="BU754" s="73"/>
      <c r="BV754" s="73"/>
      <c r="BW754" s="74"/>
      <c r="BX754" s="74"/>
      <c r="BY754" s="63"/>
      <c r="BZ754" s="63"/>
    </row>
    <row r="755" ht="15.75" customHeight="1">
      <c r="A755" s="133" t="s">
        <v>4489</v>
      </c>
      <c r="B755" s="43" t="s">
        <v>4490</v>
      </c>
      <c r="C755" s="43" t="s">
        <v>664</v>
      </c>
      <c r="D755" s="52"/>
      <c r="E755" s="64" t="s">
        <v>4491</v>
      </c>
      <c r="F755" s="78">
        <v>1.25E8</v>
      </c>
      <c r="G755" s="44" t="str">
        <f t="shared" si="16"/>
        <v>$100'000.000 a $200'000.000</v>
      </c>
      <c r="H755" s="44"/>
      <c r="I755" s="44"/>
      <c r="J755" s="43" t="s">
        <v>183</v>
      </c>
      <c r="K755" s="142"/>
      <c r="L755" s="43">
        <v>0.0</v>
      </c>
      <c r="M755" s="43"/>
      <c r="N755" s="43">
        <v>0.0</v>
      </c>
      <c r="O755" s="43">
        <v>0.0</v>
      </c>
      <c r="P755" s="43">
        <v>0.0</v>
      </c>
      <c r="Q755" s="89">
        <v>0.0</v>
      </c>
      <c r="R755" s="88">
        <v>250.0</v>
      </c>
      <c r="S755" s="56" t="str">
        <f t="shared" si="20"/>
        <v> </v>
      </c>
      <c r="T755" s="43" t="s">
        <v>342</v>
      </c>
      <c r="U755" s="142"/>
      <c r="V755" s="43" t="s">
        <v>79</v>
      </c>
      <c r="W755" s="43"/>
      <c r="X755" s="43">
        <v>0.0</v>
      </c>
      <c r="Y755" s="43" t="s">
        <v>130</v>
      </c>
      <c r="Z755" s="58"/>
      <c r="AA755" s="59" t="str">
        <f>IF(Rentabilidad=0,"No aplica",TEXT(ROUND(Precio/Rentabilidad/12,0),0) &amp; " años")</f>
        <v>No aplica</v>
      </c>
      <c r="AB755" s="140" t="s">
        <v>4492</v>
      </c>
      <c r="AC755" s="342" t="s">
        <v>4493</v>
      </c>
      <c r="AD755" s="167" t="s">
        <v>4494</v>
      </c>
      <c r="AE755" s="63"/>
      <c r="AF755" s="64">
        <v>0.0</v>
      </c>
      <c r="AG755" s="65" t="s">
        <v>106</v>
      </c>
      <c r="AH755" s="63"/>
      <c r="AI755" s="65" t="s">
        <v>107</v>
      </c>
      <c r="AJ755" s="64" t="s">
        <v>3897</v>
      </c>
      <c r="AK755" s="58" t="s">
        <v>81</v>
      </c>
      <c r="AL755" s="64" t="s">
        <v>109</v>
      </c>
      <c r="AM755" s="52">
        <v>3.103914892E9</v>
      </c>
      <c r="AN755" s="64">
        <v>0.0</v>
      </c>
      <c r="AO755" s="43">
        <v>0.0</v>
      </c>
      <c r="AP755" s="84">
        <v>0.0</v>
      </c>
      <c r="AQ755" s="84"/>
      <c r="AR755" s="84"/>
      <c r="AS755" s="85">
        <v>0.0</v>
      </c>
      <c r="AT755" s="50">
        <v>0.0</v>
      </c>
      <c r="AU755" s="50">
        <v>0.0</v>
      </c>
      <c r="AV755" s="50">
        <v>0.0</v>
      </c>
      <c r="AW755" s="50" t="s">
        <v>88</v>
      </c>
      <c r="AX755" s="50">
        <v>0.0</v>
      </c>
      <c r="AY755" s="50">
        <v>0.0</v>
      </c>
      <c r="AZ755" s="50">
        <v>0.0</v>
      </c>
      <c r="BA755" s="43" t="s">
        <v>89</v>
      </c>
      <c r="BB755" s="50">
        <v>0.0</v>
      </c>
      <c r="BC755" s="69" t="s">
        <v>1957</v>
      </c>
      <c r="BD755" s="70"/>
      <c r="BE755" s="71"/>
      <c r="BF755" s="72" t="s">
        <v>4495</v>
      </c>
      <c r="BG755" s="73"/>
      <c r="BH755" s="73"/>
      <c r="BI755" s="73"/>
      <c r="BJ755" s="73"/>
      <c r="BK755" s="73"/>
      <c r="BL755" s="73"/>
      <c r="BM755" s="73"/>
      <c r="BN755" s="73"/>
      <c r="BO755" s="73"/>
      <c r="BP755" s="73"/>
      <c r="BQ755" s="73"/>
      <c r="BR755" s="73"/>
      <c r="BS755" s="73"/>
      <c r="BT755" s="73"/>
      <c r="BU755" s="73"/>
      <c r="BV755" s="73"/>
      <c r="BW755" s="74"/>
      <c r="BX755" s="74"/>
      <c r="BY755" s="63"/>
      <c r="BZ755" s="63"/>
    </row>
    <row r="756" ht="15.75" customHeight="1">
      <c r="A756" s="75" t="s">
        <v>4496</v>
      </c>
      <c r="B756" s="50" t="s">
        <v>4497</v>
      </c>
      <c r="C756" s="50" t="s">
        <v>664</v>
      </c>
      <c r="D756" s="50"/>
      <c r="E756" s="64" t="s">
        <v>4498</v>
      </c>
      <c r="F756" s="78">
        <v>1.09E8</v>
      </c>
      <c r="G756" s="44" t="str">
        <f t="shared" si="16"/>
        <v>$100'000.000 a $200'000.000</v>
      </c>
      <c r="H756" s="44"/>
      <c r="I756" s="44"/>
      <c r="J756" s="50" t="s">
        <v>94</v>
      </c>
      <c r="K756" s="51"/>
      <c r="L756" s="50">
        <v>0.0</v>
      </c>
      <c r="M756" s="50"/>
      <c r="N756" s="50">
        <v>0.0</v>
      </c>
      <c r="O756" s="50">
        <v>0.0</v>
      </c>
      <c r="P756" s="50">
        <v>0.0</v>
      </c>
      <c r="Q756" s="88">
        <v>0.0</v>
      </c>
      <c r="R756" s="88">
        <v>1500.0</v>
      </c>
      <c r="S756" s="56" t="str">
        <f t="shared" si="20"/>
        <v> </v>
      </c>
      <c r="T756" s="50" t="s">
        <v>920</v>
      </c>
      <c r="U756" s="57"/>
      <c r="V756" s="50" t="s">
        <v>79</v>
      </c>
      <c r="W756" s="50"/>
      <c r="X756" s="50">
        <v>0.0</v>
      </c>
      <c r="Y756" s="50" t="s">
        <v>80</v>
      </c>
      <c r="Z756" s="58" t="s">
        <v>81</v>
      </c>
      <c r="AA756" s="59" t="str">
        <f>IF(Rentabilidad=0,"No aplica",TEXT(ROUND(Precio/Rentabilidad/12,0),0) &amp; " años")</f>
        <v>No aplica</v>
      </c>
      <c r="AB756" s="82" t="s">
        <v>4499</v>
      </c>
      <c r="AC756" s="8" t="s">
        <v>4500</v>
      </c>
      <c r="AD756" s="83" t="s">
        <v>4501</v>
      </c>
      <c r="AE756" s="63"/>
      <c r="AF756" s="64">
        <v>0.0</v>
      </c>
      <c r="AG756" s="65" t="s">
        <v>106</v>
      </c>
      <c r="AH756" s="63"/>
      <c r="AI756" s="65" t="s">
        <v>107</v>
      </c>
      <c r="AJ756" s="64" t="s">
        <v>3897</v>
      </c>
      <c r="AK756" s="58" t="s">
        <v>81</v>
      </c>
      <c r="AL756" s="64" t="s">
        <v>109</v>
      </c>
      <c r="AM756" s="52">
        <v>3.103914892E9</v>
      </c>
      <c r="AN756" s="64">
        <v>0.0</v>
      </c>
      <c r="AO756" s="43">
        <v>0.0</v>
      </c>
      <c r="AP756" s="84">
        <v>0.0</v>
      </c>
      <c r="AQ756" s="84"/>
      <c r="AR756" s="84"/>
      <c r="AS756" s="85">
        <v>0.0</v>
      </c>
      <c r="AT756" s="50">
        <v>0.0</v>
      </c>
      <c r="AU756" s="50">
        <v>0.0</v>
      </c>
      <c r="AV756" s="50">
        <v>0.0</v>
      </c>
      <c r="AW756" s="50" t="s">
        <v>88</v>
      </c>
      <c r="AX756" s="50">
        <v>0.0</v>
      </c>
      <c r="AY756" s="50">
        <v>0.0</v>
      </c>
      <c r="AZ756" s="50">
        <v>0.0</v>
      </c>
      <c r="BA756" s="43" t="s">
        <v>89</v>
      </c>
      <c r="BB756" s="50">
        <v>0.0</v>
      </c>
      <c r="BC756" s="95"/>
      <c r="BD756" s="71"/>
      <c r="BE756" s="71"/>
      <c r="BF756" s="72" t="s">
        <v>4502</v>
      </c>
      <c r="BG756" s="73"/>
      <c r="BH756" s="73"/>
      <c r="BI756" s="73"/>
      <c r="BJ756" s="73"/>
      <c r="BK756" s="73"/>
      <c r="BL756" s="73"/>
      <c r="BM756" s="73"/>
      <c r="BN756" s="73"/>
      <c r="BO756" s="73"/>
      <c r="BP756" s="73"/>
      <c r="BQ756" s="73"/>
      <c r="BR756" s="73"/>
      <c r="BS756" s="73"/>
      <c r="BT756" s="73"/>
      <c r="BU756" s="73"/>
      <c r="BV756" s="73"/>
      <c r="BW756" s="74"/>
      <c r="BX756" s="74"/>
      <c r="BY756" s="63"/>
      <c r="BZ756" s="63"/>
    </row>
    <row r="757" ht="15.75" customHeight="1">
      <c r="A757" s="133" t="s">
        <v>4503</v>
      </c>
      <c r="B757" s="43" t="s">
        <v>4504</v>
      </c>
      <c r="C757" s="43" t="s">
        <v>664</v>
      </c>
      <c r="D757" s="52"/>
      <c r="E757" s="64" t="s">
        <v>4505</v>
      </c>
      <c r="F757" s="78">
        <v>9.5E7</v>
      </c>
      <c r="G757" s="44" t="str">
        <f t="shared" si="16"/>
        <v>$0 a $100'000.000</v>
      </c>
      <c r="H757" s="44"/>
      <c r="I757" s="44"/>
      <c r="J757" s="43" t="s">
        <v>94</v>
      </c>
      <c r="K757" s="142"/>
      <c r="L757" s="43">
        <v>0.0</v>
      </c>
      <c r="M757" s="43"/>
      <c r="N757" s="43">
        <v>0.0</v>
      </c>
      <c r="O757" s="43">
        <v>0.0</v>
      </c>
      <c r="P757" s="43">
        <v>0.0</v>
      </c>
      <c r="Q757" s="89">
        <v>0.0</v>
      </c>
      <c r="R757" s="88">
        <v>482.0</v>
      </c>
      <c r="S757" s="56" t="str">
        <f t="shared" si="20"/>
        <v> </v>
      </c>
      <c r="T757" s="43" t="s">
        <v>342</v>
      </c>
      <c r="U757" s="142"/>
      <c r="V757" s="43" t="s">
        <v>118</v>
      </c>
      <c r="W757" s="43"/>
      <c r="X757" s="43">
        <v>0.0</v>
      </c>
      <c r="Y757" s="43" t="s">
        <v>80</v>
      </c>
      <c r="Z757" s="58"/>
      <c r="AA757" s="59" t="str">
        <f>IF(Rentabilidad=0,"No aplica",TEXT(ROUND(Precio/Rentabilidad/12,0),0) &amp; " años")</f>
        <v>No aplica</v>
      </c>
      <c r="AB757" s="140" t="s">
        <v>4506</v>
      </c>
      <c r="AC757" s="167" t="s">
        <v>4507</v>
      </c>
      <c r="AD757" s="167" t="s">
        <v>4508</v>
      </c>
      <c r="AE757" s="63"/>
      <c r="AF757" s="64">
        <v>0.0</v>
      </c>
      <c r="AG757" s="65" t="s">
        <v>106</v>
      </c>
      <c r="AH757" s="63"/>
      <c r="AI757" s="65" t="s">
        <v>107</v>
      </c>
      <c r="AJ757" s="64" t="s">
        <v>3897</v>
      </c>
      <c r="AK757" s="58" t="s">
        <v>81</v>
      </c>
      <c r="AL757" s="64" t="s">
        <v>109</v>
      </c>
      <c r="AM757" s="52">
        <v>3.103914892E9</v>
      </c>
      <c r="AN757" s="64">
        <v>0.0</v>
      </c>
      <c r="AO757" s="43">
        <v>0.0</v>
      </c>
      <c r="AP757" s="84">
        <v>0.0</v>
      </c>
      <c r="AQ757" s="84"/>
      <c r="AR757" s="84"/>
      <c r="AS757" s="85">
        <v>0.0</v>
      </c>
      <c r="AT757" s="50">
        <v>0.0</v>
      </c>
      <c r="AU757" s="50">
        <v>0.0</v>
      </c>
      <c r="AV757" s="50">
        <v>0.0</v>
      </c>
      <c r="AW757" s="50" t="s">
        <v>88</v>
      </c>
      <c r="AX757" s="50">
        <v>0.0</v>
      </c>
      <c r="AY757" s="50">
        <v>0.0</v>
      </c>
      <c r="AZ757" s="50">
        <v>0.0</v>
      </c>
      <c r="BA757" s="43" t="s">
        <v>89</v>
      </c>
      <c r="BB757" s="50">
        <v>0.0</v>
      </c>
      <c r="BC757" s="69" t="s">
        <v>1909</v>
      </c>
      <c r="BD757" s="70"/>
      <c r="BE757" s="70"/>
      <c r="BF757" s="72" t="s">
        <v>4509</v>
      </c>
      <c r="BG757" s="73"/>
      <c r="BH757" s="73"/>
      <c r="BI757" s="73"/>
      <c r="BJ757" s="73"/>
      <c r="BK757" s="73"/>
      <c r="BL757" s="73"/>
      <c r="BM757" s="73"/>
      <c r="BN757" s="73"/>
      <c r="BO757" s="73"/>
      <c r="BP757" s="73"/>
      <c r="BQ757" s="73"/>
      <c r="BR757" s="73"/>
      <c r="BS757" s="73"/>
      <c r="BT757" s="73"/>
      <c r="BU757" s="73"/>
      <c r="BV757" s="73"/>
      <c r="BW757" s="74"/>
      <c r="BX757" s="74"/>
      <c r="BY757" s="63"/>
      <c r="BZ757" s="63"/>
    </row>
    <row r="758" ht="15.75" customHeight="1">
      <c r="A758" s="133" t="s">
        <v>4510</v>
      </c>
      <c r="B758" s="50" t="s">
        <v>4511</v>
      </c>
      <c r="C758" s="111" t="s">
        <v>323</v>
      </c>
      <c r="D758" s="50" t="s">
        <v>720</v>
      </c>
      <c r="E758" s="77" t="s">
        <v>4512</v>
      </c>
      <c r="F758" s="78">
        <v>8.5E7</v>
      </c>
      <c r="G758" s="44" t="str">
        <f t="shared" si="16"/>
        <v>$0 a $100'000.000</v>
      </c>
      <c r="H758" s="44"/>
      <c r="I758" s="44"/>
      <c r="J758" s="50" t="s">
        <v>94</v>
      </c>
      <c r="K758" s="51"/>
      <c r="L758" s="50">
        <v>3.0</v>
      </c>
      <c r="M758" s="50"/>
      <c r="N758" s="50">
        <v>1.0</v>
      </c>
      <c r="O758" s="50">
        <v>1.0</v>
      </c>
      <c r="P758" s="50">
        <v>3.0</v>
      </c>
      <c r="Q758" s="79">
        <v>46.15</v>
      </c>
      <c r="R758" s="79">
        <v>49.8</v>
      </c>
      <c r="S758" s="56" t="str">
        <f t="shared" si="20"/>
        <v> </v>
      </c>
      <c r="T758" s="50" t="s">
        <v>78</v>
      </c>
      <c r="U758" s="51" t="s">
        <v>241</v>
      </c>
      <c r="V758" s="50" t="s">
        <v>642</v>
      </c>
      <c r="W758" s="50"/>
      <c r="X758" s="50">
        <v>2.0</v>
      </c>
      <c r="Y758" s="50" t="s">
        <v>80</v>
      </c>
      <c r="Z758" s="58">
        <v>52000.0</v>
      </c>
      <c r="AA758" s="59" t="str">
        <f>IF(Rentabilidad=0,"No aplica",TEXT(ROUND(Precio/Rentabilidad/12,0),0) &amp; " años")</f>
        <v>No aplica</v>
      </c>
      <c r="AB758" s="82" t="s">
        <v>4513</v>
      </c>
      <c r="AC758" s="61"/>
      <c r="AD758" s="125" t="s">
        <v>4514</v>
      </c>
      <c r="AE758" s="63"/>
      <c r="AF758" s="45" t="s">
        <v>236</v>
      </c>
      <c r="AG758" s="65" t="s">
        <v>106</v>
      </c>
      <c r="AH758" s="65"/>
      <c r="AI758" s="65" t="s">
        <v>107</v>
      </c>
      <c r="AJ758" s="64" t="s">
        <v>3897</v>
      </c>
      <c r="AK758" s="58" t="s">
        <v>81</v>
      </c>
      <c r="AL758" s="64" t="s">
        <v>109</v>
      </c>
      <c r="AM758" s="52">
        <v>3.103914892E9</v>
      </c>
      <c r="AN758" s="45"/>
      <c r="AO758" s="52"/>
      <c r="AP758" s="67"/>
      <c r="AQ758" s="67"/>
      <c r="AR758" s="67"/>
      <c r="AS758" s="85">
        <v>0.0</v>
      </c>
      <c r="AT758" s="50">
        <v>0.0</v>
      </c>
      <c r="AU758" s="50">
        <v>0.0</v>
      </c>
      <c r="AV758" s="50">
        <v>0.0</v>
      </c>
      <c r="AW758" s="50" t="s">
        <v>88</v>
      </c>
      <c r="AX758" s="50">
        <v>0.0</v>
      </c>
      <c r="AY758" s="50">
        <v>0.0</v>
      </c>
      <c r="AZ758" s="50">
        <v>0.0</v>
      </c>
      <c r="BA758" s="43" t="s">
        <v>89</v>
      </c>
      <c r="BB758" s="50">
        <v>0.0</v>
      </c>
      <c r="BC758" s="69" t="s">
        <v>660</v>
      </c>
      <c r="BD758" s="70"/>
      <c r="BE758" s="71"/>
      <c r="BF758" s="72" t="s">
        <v>4515</v>
      </c>
      <c r="BG758" s="73"/>
      <c r="BH758" s="73"/>
      <c r="BI758" s="73"/>
      <c r="BJ758" s="73"/>
      <c r="BK758" s="73"/>
      <c r="BL758" s="73"/>
      <c r="BM758" s="73"/>
      <c r="BN758" s="73"/>
      <c r="BO758" s="73"/>
      <c r="BP758" s="73"/>
      <c r="BQ758" s="73"/>
      <c r="BR758" s="73"/>
      <c r="BS758" s="73"/>
      <c r="BT758" s="73"/>
      <c r="BU758" s="73"/>
      <c r="BV758" s="73"/>
      <c r="BW758" s="74"/>
      <c r="BX758" s="74"/>
      <c r="BY758" s="63"/>
      <c r="BZ758" s="63"/>
    </row>
    <row r="759" ht="15.75" customHeight="1">
      <c r="A759" s="133" t="s">
        <v>4516</v>
      </c>
      <c r="B759" s="43" t="s">
        <v>4504</v>
      </c>
      <c r="C759" s="43" t="s">
        <v>664</v>
      </c>
      <c r="D759" s="52"/>
      <c r="E759" s="64" t="s">
        <v>4505</v>
      </c>
      <c r="F759" s="78">
        <v>7.0E7</v>
      </c>
      <c r="G759" s="44" t="str">
        <f t="shared" si="16"/>
        <v>$0 a $100'000.000</v>
      </c>
      <c r="H759" s="44"/>
      <c r="I759" s="44"/>
      <c r="J759" s="43" t="s">
        <v>94</v>
      </c>
      <c r="K759" s="142"/>
      <c r="L759" s="43">
        <v>0.0</v>
      </c>
      <c r="M759" s="43"/>
      <c r="N759" s="43">
        <v>0.0</v>
      </c>
      <c r="O759" s="43">
        <v>0.0</v>
      </c>
      <c r="P759" s="43">
        <v>0.0</v>
      </c>
      <c r="Q759" s="89">
        <v>0.0</v>
      </c>
      <c r="R759" s="88">
        <v>400.0</v>
      </c>
      <c r="S759" s="56" t="str">
        <f t="shared" si="20"/>
        <v> </v>
      </c>
      <c r="T759" s="43" t="s">
        <v>342</v>
      </c>
      <c r="U759" s="142"/>
      <c r="V759" s="43" t="s">
        <v>79</v>
      </c>
      <c r="W759" s="43"/>
      <c r="X759" s="43">
        <v>0.0</v>
      </c>
      <c r="Y759" s="43" t="s">
        <v>80</v>
      </c>
      <c r="Z759" s="58"/>
      <c r="AA759" s="59" t="str">
        <f>IF(Rentabilidad=0,"No aplica",TEXT(ROUND(Precio/Rentabilidad/12,0),0) &amp; " años")</f>
        <v>No aplica</v>
      </c>
      <c r="AB759" s="140" t="s">
        <v>4517</v>
      </c>
      <c r="AC759" s="167" t="s">
        <v>4518</v>
      </c>
      <c r="AD759" s="167" t="s">
        <v>4519</v>
      </c>
      <c r="AE759" s="63"/>
      <c r="AF759" s="64">
        <v>0.0</v>
      </c>
      <c r="AG759" s="65" t="s">
        <v>106</v>
      </c>
      <c r="AH759" s="63"/>
      <c r="AI759" s="65" t="s">
        <v>107</v>
      </c>
      <c r="AJ759" s="64" t="s">
        <v>3897</v>
      </c>
      <c r="AK759" s="58" t="s">
        <v>81</v>
      </c>
      <c r="AL759" s="64" t="s">
        <v>109</v>
      </c>
      <c r="AM759" s="52">
        <v>3.103914892E9</v>
      </c>
      <c r="AN759" s="64">
        <v>0.0</v>
      </c>
      <c r="AO759" s="43">
        <v>0.0</v>
      </c>
      <c r="AP759" s="84">
        <v>0.0</v>
      </c>
      <c r="AQ759" s="84"/>
      <c r="AR759" s="84"/>
      <c r="AS759" s="85">
        <v>0.0</v>
      </c>
      <c r="AT759" s="50">
        <v>0.0</v>
      </c>
      <c r="AU759" s="50">
        <v>0.0</v>
      </c>
      <c r="AV759" s="50">
        <v>0.0</v>
      </c>
      <c r="AW759" s="50" t="s">
        <v>88</v>
      </c>
      <c r="AX759" s="50">
        <v>0.0</v>
      </c>
      <c r="AY759" s="50">
        <v>0.0</v>
      </c>
      <c r="AZ759" s="50">
        <v>0.0</v>
      </c>
      <c r="BA759" s="43" t="s">
        <v>89</v>
      </c>
      <c r="BB759" s="50">
        <v>0.0</v>
      </c>
      <c r="BC759" s="109"/>
      <c r="BD759" s="70"/>
      <c r="BE759" s="71"/>
      <c r="BF759" s="72" t="s">
        <v>4520</v>
      </c>
      <c r="BG759" s="73"/>
      <c r="BH759" s="73"/>
      <c r="BI759" s="73"/>
      <c r="BJ759" s="73"/>
      <c r="BK759" s="73"/>
      <c r="BL759" s="73"/>
      <c r="BM759" s="73"/>
      <c r="BN759" s="73"/>
      <c r="BO759" s="73"/>
      <c r="BP759" s="73"/>
      <c r="BQ759" s="73"/>
      <c r="BR759" s="73"/>
      <c r="BS759" s="73"/>
      <c r="BT759" s="73"/>
      <c r="BU759" s="73"/>
      <c r="BV759" s="73"/>
      <c r="BW759" s="74"/>
      <c r="BX759" s="74"/>
      <c r="BY759" s="63"/>
      <c r="BZ759" s="63"/>
    </row>
    <row r="760" ht="15.75" customHeight="1">
      <c r="A760" s="133" t="s">
        <v>4521</v>
      </c>
      <c r="B760" s="43" t="s">
        <v>4522</v>
      </c>
      <c r="C760" s="43" t="s">
        <v>664</v>
      </c>
      <c r="D760" s="52"/>
      <c r="E760" s="64" t="s">
        <v>4523</v>
      </c>
      <c r="F760" s="78">
        <v>6.5E7</v>
      </c>
      <c r="G760" s="44" t="str">
        <f t="shared" si="16"/>
        <v>$0 a $100'000.000</v>
      </c>
      <c r="H760" s="44"/>
      <c r="I760" s="44"/>
      <c r="J760" s="43" t="s">
        <v>94</v>
      </c>
      <c r="K760" s="142"/>
      <c r="L760" s="43">
        <v>0.0</v>
      </c>
      <c r="M760" s="43"/>
      <c r="N760" s="43">
        <v>0.0</v>
      </c>
      <c r="O760" s="43">
        <v>0.0</v>
      </c>
      <c r="P760" s="43">
        <v>0.0</v>
      </c>
      <c r="Q760" s="89">
        <v>0.0</v>
      </c>
      <c r="R760" s="88">
        <v>1800.0</v>
      </c>
      <c r="S760" s="56" t="str">
        <f t="shared" si="20"/>
        <v> </v>
      </c>
      <c r="T760" s="43" t="s">
        <v>2105</v>
      </c>
      <c r="U760" s="56" t="s">
        <v>96</v>
      </c>
      <c r="V760" s="43" t="s">
        <v>79</v>
      </c>
      <c r="W760" s="43"/>
      <c r="X760" s="43">
        <v>0.0</v>
      </c>
      <c r="Y760" s="43" t="s">
        <v>80</v>
      </c>
      <c r="Z760" s="58"/>
      <c r="AA760" s="59" t="str">
        <f>IF(Rentabilidad=0,"No aplica",TEXT(ROUND(Precio/Rentabilidad/12,0),0) &amp; " años")</f>
        <v>No aplica</v>
      </c>
      <c r="AB760" s="140" t="s">
        <v>4524</v>
      </c>
      <c r="AC760" s="167" t="s">
        <v>4525</v>
      </c>
      <c r="AD760" s="167" t="s">
        <v>4526</v>
      </c>
      <c r="AE760" s="63"/>
      <c r="AF760" s="64">
        <v>0.0</v>
      </c>
      <c r="AG760" s="65" t="s">
        <v>106</v>
      </c>
      <c r="AH760" s="63"/>
      <c r="AI760" s="65" t="s">
        <v>107</v>
      </c>
      <c r="AJ760" s="64" t="s">
        <v>3897</v>
      </c>
      <c r="AK760" s="58" t="s">
        <v>81</v>
      </c>
      <c r="AL760" s="64" t="s">
        <v>109</v>
      </c>
      <c r="AM760" s="52">
        <v>3.103914892E9</v>
      </c>
      <c r="AN760" s="64">
        <v>0.0</v>
      </c>
      <c r="AO760" s="43">
        <v>0.0</v>
      </c>
      <c r="AP760" s="84">
        <v>0.0</v>
      </c>
      <c r="AQ760" s="84"/>
      <c r="AR760" s="84"/>
      <c r="AS760" s="85">
        <v>0.0</v>
      </c>
      <c r="AT760" s="50">
        <v>0.0</v>
      </c>
      <c r="AU760" s="50">
        <v>0.0</v>
      </c>
      <c r="AV760" s="50">
        <v>0.0</v>
      </c>
      <c r="AW760" s="50" t="s">
        <v>88</v>
      </c>
      <c r="AX760" s="50">
        <v>0.0</v>
      </c>
      <c r="AY760" s="50">
        <v>0.0</v>
      </c>
      <c r="AZ760" s="50">
        <v>0.0</v>
      </c>
      <c r="BA760" s="43" t="s">
        <v>89</v>
      </c>
      <c r="BB760" s="50">
        <v>0.0</v>
      </c>
      <c r="BC760" s="69"/>
      <c r="BD760" s="70"/>
      <c r="BE760" s="71"/>
      <c r="BF760" s="72" t="s">
        <v>4527</v>
      </c>
      <c r="BG760" s="73"/>
      <c r="BH760" s="73"/>
      <c r="BI760" s="73"/>
      <c r="BJ760" s="73"/>
      <c r="BK760" s="73"/>
      <c r="BL760" s="73"/>
      <c r="BM760" s="73"/>
      <c r="BN760" s="73"/>
      <c r="BO760" s="73"/>
      <c r="BP760" s="73"/>
      <c r="BQ760" s="73"/>
      <c r="BR760" s="73"/>
      <c r="BS760" s="73"/>
      <c r="BT760" s="73"/>
      <c r="BU760" s="73"/>
      <c r="BV760" s="73"/>
      <c r="BW760" s="74"/>
      <c r="BX760" s="74"/>
      <c r="BY760" s="63"/>
      <c r="BZ760" s="63"/>
    </row>
    <row r="761" ht="15.75" customHeight="1">
      <c r="A761" s="75" t="s">
        <v>4528</v>
      </c>
      <c r="B761" s="50" t="s">
        <v>4529</v>
      </c>
      <c r="C761" s="50" t="s">
        <v>315</v>
      </c>
      <c r="D761" s="50"/>
      <c r="E761" s="64"/>
      <c r="F761" s="78">
        <v>1.0E8</v>
      </c>
      <c r="G761" s="44" t="str">
        <f t="shared" si="16"/>
        <v>$100'000.000 a $200'000.000</v>
      </c>
      <c r="H761" s="44"/>
      <c r="I761" s="44"/>
      <c r="J761" s="50" t="s">
        <v>94</v>
      </c>
      <c r="K761" s="51"/>
      <c r="L761" s="50">
        <v>0.0</v>
      </c>
      <c r="M761" s="50"/>
      <c r="N761" s="50">
        <v>0.0</v>
      </c>
      <c r="O761" s="50">
        <v>0.0</v>
      </c>
      <c r="P761" s="50">
        <v>0.0</v>
      </c>
      <c r="Q761" s="88">
        <v>0.0</v>
      </c>
      <c r="R761" s="88">
        <v>2000.0</v>
      </c>
      <c r="S761" s="56" t="str">
        <f t="shared" si="20"/>
        <v> </v>
      </c>
      <c r="T761" s="50" t="s">
        <v>95</v>
      </c>
      <c r="U761" s="57"/>
      <c r="V761" s="50" t="s">
        <v>79</v>
      </c>
      <c r="W761" s="50"/>
      <c r="X761" s="50">
        <v>0.0</v>
      </c>
      <c r="Y761" s="50" t="s">
        <v>80</v>
      </c>
      <c r="Z761" s="58" t="s">
        <v>81</v>
      </c>
      <c r="AA761" s="59" t="str">
        <f>IF(Rentabilidad=0,"No aplica",TEXT(ROUND(Precio/Rentabilidad/12,0),0) &amp; " años")</f>
        <v>No aplica</v>
      </c>
      <c r="AB761" s="82" t="s">
        <v>4530</v>
      </c>
      <c r="AC761" s="8" t="s">
        <v>4531</v>
      </c>
      <c r="AD761" s="83" t="s">
        <v>4532</v>
      </c>
      <c r="AE761" s="63"/>
      <c r="AF761" s="64">
        <v>0.0</v>
      </c>
      <c r="AG761" s="65" t="s">
        <v>106</v>
      </c>
      <c r="AH761" s="63"/>
      <c r="AI761" s="63"/>
      <c r="AJ761" s="64" t="s">
        <v>3897</v>
      </c>
      <c r="AK761" s="58" t="s">
        <v>81</v>
      </c>
      <c r="AL761" s="64" t="s">
        <v>109</v>
      </c>
      <c r="AM761" s="52">
        <v>3.103914892E9</v>
      </c>
      <c r="AN761" s="64">
        <v>0.0</v>
      </c>
      <c r="AO761" s="43">
        <v>0.0</v>
      </c>
      <c r="AP761" s="84">
        <v>0.0</v>
      </c>
      <c r="AQ761" s="84"/>
      <c r="AR761" s="84"/>
      <c r="AS761" s="85">
        <v>0.0</v>
      </c>
      <c r="AT761" s="50">
        <v>0.0</v>
      </c>
      <c r="AU761" s="50">
        <v>0.0</v>
      </c>
      <c r="AV761" s="50">
        <v>0.0</v>
      </c>
      <c r="AW761" s="50" t="s">
        <v>88</v>
      </c>
      <c r="AX761" s="50">
        <v>0.0</v>
      </c>
      <c r="AY761" s="50">
        <v>0.0</v>
      </c>
      <c r="AZ761" s="50">
        <v>0.0</v>
      </c>
      <c r="BA761" s="43" t="s">
        <v>89</v>
      </c>
      <c r="BB761" s="50">
        <v>0.0</v>
      </c>
      <c r="BC761" s="95"/>
      <c r="BD761" s="71"/>
      <c r="BE761" s="71"/>
      <c r="BF761" s="72" t="s">
        <v>4533</v>
      </c>
      <c r="BG761" s="74"/>
      <c r="BH761" s="74"/>
      <c r="BI761" s="74"/>
      <c r="BJ761" s="74"/>
      <c r="BK761" s="74"/>
      <c r="BL761" s="74"/>
      <c r="BM761" s="74"/>
      <c r="BN761" s="74"/>
      <c r="BO761" s="74"/>
      <c r="BP761" s="74"/>
      <c r="BQ761" s="74"/>
      <c r="BR761" s="74"/>
      <c r="BS761" s="74"/>
      <c r="BT761" s="74"/>
      <c r="BU761" s="74"/>
      <c r="BV761" s="74"/>
      <c r="BW761" s="74"/>
      <c r="BX761" s="74"/>
      <c r="BY761" s="63"/>
      <c r="BZ761" s="63"/>
    </row>
    <row r="762" ht="15.75" customHeight="1">
      <c r="A762" s="75" t="s">
        <v>4534</v>
      </c>
      <c r="B762" s="50" t="s">
        <v>4535</v>
      </c>
      <c r="C762" s="50" t="s">
        <v>271</v>
      </c>
      <c r="D762" s="50" t="s">
        <v>477</v>
      </c>
      <c r="E762" s="77"/>
      <c r="F762" s="78">
        <v>5.5E8</v>
      </c>
      <c r="G762" s="44" t="str">
        <f t="shared" si="16"/>
        <v>$500'000.000 a $1.000'000.000</v>
      </c>
      <c r="H762" s="44"/>
      <c r="I762" s="44"/>
      <c r="J762" s="50" t="s">
        <v>116</v>
      </c>
      <c r="K762" s="57"/>
      <c r="L762" s="50">
        <v>5.0</v>
      </c>
      <c r="M762" s="50"/>
      <c r="N762" s="50">
        <v>2.0</v>
      </c>
      <c r="O762" s="50">
        <v>3.0</v>
      </c>
      <c r="P762" s="50">
        <v>1.0</v>
      </c>
      <c r="Q762" s="79">
        <v>223.0</v>
      </c>
      <c r="R762" s="79">
        <v>265.0</v>
      </c>
      <c r="S762" s="56" t="str">
        <f t="shared" si="20"/>
        <v>Rentabilidad $1,100,000</v>
      </c>
      <c r="T762" s="50" t="s">
        <v>78</v>
      </c>
      <c r="U762" s="51" t="s">
        <v>142</v>
      </c>
      <c r="V762" s="50" t="s">
        <v>79</v>
      </c>
      <c r="W762" s="50"/>
      <c r="X762" s="50">
        <v>2.0</v>
      </c>
      <c r="Y762" s="50" t="s">
        <v>80</v>
      </c>
      <c r="Z762" s="58" t="s">
        <v>81</v>
      </c>
      <c r="AA762" s="59" t="str">
        <f>IF(Rentabilidad=0,"No aplica",TEXT(ROUND(Precio/Rentabilidad/12,0),0) &amp; " años")</f>
        <v>42 años</v>
      </c>
      <c r="AB762" s="115" t="s">
        <v>4536</v>
      </c>
      <c r="AC762" s="131" t="s">
        <v>4537</v>
      </c>
      <c r="AD762" s="62"/>
      <c r="AE762" s="63"/>
      <c r="AF762" s="64" t="s">
        <v>84</v>
      </c>
      <c r="AG762" s="65" t="s">
        <v>106</v>
      </c>
      <c r="AH762" s="63"/>
      <c r="AI762" s="65" t="s">
        <v>107</v>
      </c>
      <c r="AJ762" s="64" t="s">
        <v>4538</v>
      </c>
      <c r="AK762" s="58" t="s">
        <v>81</v>
      </c>
      <c r="AL762" s="45" t="s">
        <v>109</v>
      </c>
      <c r="AM762" s="52">
        <v>3.103914892E9</v>
      </c>
      <c r="AN762" s="64">
        <v>0.0</v>
      </c>
      <c r="AO762" s="52"/>
      <c r="AP762" s="67"/>
      <c r="AQ762" s="67"/>
      <c r="AR762" s="67"/>
      <c r="AS762" s="85">
        <v>1100000.0</v>
      </c>
      <c r="AT762" s="50">
        <v>0.0</v>
      </c>
      <c r="AU762" s="43">
        <v>0.0</v>
      </c>
      <c r="AV762" s="43">
        <v>0.0</v>
      </c>
      <c r="AW762" s="43" t="s">
        <v>106</v>
      </c>
      <c r="AX762" s="43">
        <v>0.0</v>
      </c>
      <c r="AY762" s="43" t="s">
        <v>137</v>
      </c>
      <c r="AZ762" s="50">
        <v>0.0</v>
      </c>
      <c r="BA762" s="43" t="s">
        <v>89</v>
      </c>
      <c r="BB762" s="50">
        <v>0.0</v>
      </c>
      <c r="BC762" s="109"/>
      <c r="BD762" s="70"/>
      <c r="BE762" s="70"/>
      <c r="BF762" s="72" t="s">
        <v>4539</v>
      </c>
      <c r="BG762" s="73"/>
      <c r="BH762" s="73"/>
      <c r="BI762" s="73"/>
      <c r="BJ762" s="73"/>
      <c r="BK762" s="73"/>
      <c r="BL762" s="73"/>
      <c r="BM762" s="73"/>
      <c r="BN762" s="73"/>
      <c r="BO762" s="73"/>
      <c r="BP762" s="73"/>
      <c r="BQ762" s="73"/>
      <c r="BR762" s="73"/>
      <c r="BS762" s="73"/>
      <c r="BT762" s="73"/>
      <c r="BU762" s="73"/>
      <c r="BV762" s="73"/>
      <c r="BW762" s="74"/>
      <c r="BX762" s="74"/>
      <c r="BY762" s="63"/>
      <c r="BZ762" s="63"/>
    </row>
    <row r="763" ht="15.75" customHeight="1">
      <c r="A763" s="204" t="s">
        <v>4540</v>
      </c>
      <c r="B763" s="111" t="s">
        <v>4541</v>
      </c>
      <c r="C763" s="50" t="s">
        <v>573</v>
      </c>
      <c r="D763" s="111" t="s">
        <v>193</v>
      </c>
      <c r="E763" s="205"/>
      <c r="F763" s="78">
        <v>4.0E8</v>
      </c>
      <c r="G763" s="44" t="str">
        <f t="shared" si="16"/>
        <v>$400'000.000 a $500'000.000</v>
      </c>
      <c r="H763" s="44"/>
      <c r="I763" s="44"/>
      <c r="J763" s="111" t="s">
        <v>76</v>
      </c>
      <c r="K763" s="206"/>
      <c r="L763" s="111">
        <v>3.0</v>
      </c>
      <c r="M763" s="111"/>
      <c r="N763" s="111">
        <v>3.0</v>
      </c>
      <c r="O763" s="111">
        <v>1.0</v>
      </c>
      <c r="P763" s="111">
        <v>1.0</v>
      </c>
      <c r="Q763" s="88">
        <v>150.0</v>
      </c>
      <c r="R763" s="88">
        <v>150.0</v>
      </c>
      <c r="S763" s="56" t="str">
        <f t="shared" si="20"/>
        <v> </v>
      </c>
      <c r="T763" s="111" t="s">
        <v>78</v>
      </c>
      <c r="U763" s="187" t="s">
        <v>142</v>
      </c>
      <c r="V763" s="209"/>
      <c r="W763" s="209"/>
      <c r="X763" s="111">
        <v>3.0</v>
      </c>
      <c r="Y763" s="111" t="s">
        <v>130</v>
      </c>
      <c r="Z763" s="58">
        <v>650000.0</v>
      </c>
      <c r="AA763" s="59" t="str">
        <f>IF(Rentabilidad=0,"No aplica",TEXT(ROUND(Precio/Rentabilidad/12,0),0) &amp; " años")</f>
        <v>No aplica</v>
      </c>
      <c r="AB763" s="207" t="s">
        <v>4542</v>
      </c>
      <c r="AC763" s="61"/>
      <c r="AD763" s="208"/>
      <c r="AF763" s="217" t="s">
        <v>105</v>
      </c>
      <c r="AG763" s="111" t="s">
        <v>106</v>
      </c>
      <c r="AI763" s="65" t="s">
        <v>107</v>
      </c>
      <c r="AJ763" s="111" t="s">
        <v>4543</v>
      </c>
      <c r="AK763" s="50" t="s">
        <v>81</v>
      </c>
      <c r="AL763" s="45" t="s">
        <v>109</v>
      </c>
      <c r="AM763" s="209"/>
      <c r="AN763" s="205"/>
      <c r="AO763" s="209"/>
      <c r="AP763" s="210"/>
      <c r="AQ763" s="210"/>
      <c r="AR763" s="210"/>
      <c r="AS763" s="209"/>
      <c r="AT763" s="111" t="s">
        <v>106</v>
      </c>
      <c r="AU763" s="209"/>
      <c r="AV763" s="209"/>
      <c r="AW763" s="209"/>
      <c r="AX763" s="209"/>
      <c r="AY763" s="209"/>
      <c r="AZ763" s="209"/>
      <c r="BA763" s="43" t="s">
        <v>89</v>
      </c>
      <c r="BB763" s="209"/>
      <c r="BC763" s="95"/>
      <c r="BD763" s="71"/>
      <c r="BE763" s="71"/>
      <c r="BF763" s="72" t="s">
        <v>4544</v>
      </c>
      <c r="BG763" s="73"/>
      <c r="BH763" s="73"/>
      <c r="BI763" s="73"/>
      <c r="BJ763" s="73"/>
      <c r="BK763" s="73"/>
      <c r="BL763" s="73"/>
      <c r="BM763" s="73"/>
      <c r="BN763" s="73"/>
      <c r="BO763" s="73"/>
      <c r="BP763" s="73"/>
      <c r="BQ763" s="73"/>
      <c r="BR763" s="73"/>
      <c r="BS763" s="73"/>
      <c r="BT763" s="73"/>
      <c r="BU763" s="73"/>
      <c r="BV763" s="73"/>
      <c r="BW763" s="74"/>
      <c r="BX763" s="74"/>
      <c r="BY763" s="63"/>
      <c r="BZ763" s="63"/>
    </row>
    <row r="764" ht="15.75" customHeight="1">
      <c r="A764" s="133" t="s">
        <v>4545</v>
      </c>
      <c r="B764" s="43" t="s">
        <v>4546</v>
      </c>
      <c r="C764" s="43" t="s">
        <v>93</v>
      </c>
      <c r="D764" s="43" t="s">
        <v>920</v>
      </c>
      <c r="E764" s="77"/>
      <c r="F764" s="78">
        <v>1.6E9</v>
      </c>
      <c r="G764" s="44" t="str">
        <f t="shared" si="16"/>
        <v>Más de $1.000'000.000</v>
      </c>
      <c r="H764" s="44"/>
      <c r="I764" s="44"/>
      <c r="J764" s="50" t="s">
        <v>94</v>
      </c>
      <c r="K764" s="56"/>
      <c r="L764" s="43">
        <v>5.0</v>
      </c>
      <c r="M764" s="43"/>
      <c r="N764" s="43">
        <v>7.0</v>
      </c>
      <c r="O764" s="43">
        <v>5.0</v>
      </c>
      <c r="P764" s="43">
        <v>2.0</v>
      </c>
      <c r="Q764" s="55">
        <v>500.0</v>
      </c>
      <c r="R764" s="55">
        <v>1730.0</v>
      </c>
      <c r="S764" s="56" t="str">
        <f t="shared" si="20"/>
        <v> </v>
      </c>
      <c r="T764" s="43" t="s">
        <v>920</v>
      </c>
      <c r="U764" s="187" t="s">
        <v>96</v>
      </c>
      <c r="V764" s="43">
        <v>0.0</v>
      </c>
      <c r="W764" s="43"/>
      <c r="X764" s="43">
        <v>5.0</v>
      </c>
      <c r="Y764" s="43" t="s">
        <v>97</v>
      </c>
      <c r="Z764" s="58" t="s">
        <v>81</v>
      </c>
      <c r="AA764" s="81" t="s">
        <v>81</v>
      </c>
      <c r="AB764" s="134" t="s">
        <v>4547</v>
      </c>
      <c r="AC764" s="124" t="s">
        <v>4548</v>
      </c>
      <c r="AD764" s="107" t="s">
        <v>4549</v>
      </c>
      <c r="AE764" s="63"/>
      <c r="AF764" s="64" t="s">
        <v>105</v>
      </c>
      <c r="AG764" s="65" t="s">
        <v>106</v>
      </c>
      <c r="AH764" s="65"/>
      <c r="AI764" s="65" t="s">
        <v>107</v>
      </c>
      <c r="AJ764" s="64" t="s">
        <v>4550</v>
      </c>
      <c r="AK764" s="50" t="s">
        <v>81</v>
      </c>
      <c r="AL764" s="45" t="s">
        <v>109</v>
      </c>
      <c r="AM764" s="43">
        <v>3.213605848E9</v>
      </c>
      <c r="AN764" s="64">
        <v>3.213624001E9</v>
      </c>
      <c r="AO764" s="43">
        <v>0.0</v>
      </c>
      <c r="AP764" s="84">
        <v>0.0</v>
      </c>
      <c r="AQ764" s="84"/>
      <c r="AR764" s="84"/>
      <c r="AS764" s="85">
        <v>0.0</v>
      </c>
      <c r="AT764" s="50">
        <v>0.0</v>
      </c>
      <c r="AU764" s="50" t="s">
        <v>106</v>
      </c>
      <c r="AV764" s="50">
        <v>5.0</v>
      </c>
      <c r="AW764" s="50" t="s">
        <v>106</v>
      </c>
      <c r="AX764" s="50">
        <v>0.0</v>
      </c>
      <c r="AY764" s="50" t="s">
        <v>110</v>
      </c>
      <c r="AZ764" s="50">
        <v>0.0</v>
      </c>
      <c r="BA764" s="43" t="s">
        <v>89</v>
      </c>
      <c r="BB764" s="50">
        <v>0.0</v>
      </c>
      <c r="BC764" s="109"/>
      <c r="BD764" s="70"/>
      <c r="BE764" s="71"/>
      <c r="BF764" s="72" t="s">
        <v>4551</v>
      </c>
      <c r="BG764" s="73"/>
      <c r="BH764" s="73"/>
      <c r="BI764" s="73"/>
      <c r="BJ764" s="73"/>
      <c r="BK764" s="73"/>
      <c r="BL764" s="73"/>
      <c r="BM764" s="73"/>
      <c r="BN764" s="73"/>
      <c r="BO764" s="73"/>
      <c r="BP764" s="73"/>
      <c r="BQ764" s="73"/>
      <c r="BR764" s="73"/>
      <c r="BS764" s="73"/>
      <c r="BT764" s="73"/>
      <c r="BU764" s="73"/>
      <c r="BV764" s="73"/>
      <c r="BW764" s="74"/>
      <c r="BX764" s="74"/>
      <c r="BY764" s="63"/>
      <c r="BZ764" s="63"/>
    </row>
    <row r="765" ht="15.75" customHeight="1">
      <c r="A765" s="75" t="s">
        <v>4552</v>
      </c>
      <c r="B765" s="50" t="s">
        <v>92</v>
      </c>
      <c r="C765" s="50" t="s">
        <v>93</v>
      </c>
      <c r="D765" s="203"/>
      <c r="E765" s="45"/>
      <c r="F765" s="78">
        <v>1.5E9</v>
      </c>
      <c r="G765" s="44" t="str">
        <f t="shared" si="16"/>
        <v>Más de $1.000'000.000</v>
      </c>
      <c r="H765" s="44"/>
      <c r="I765" s="44"/>
      <c r="J765" s="50" t="s">
        <v>94</v>
      </c>
      <c r="K765" s="51"/>
      <c r="L765" s="43">
        <v>5.0</v>
      </c>
      <c r="M765" s="43"/>
      <c r="N765" s="43">
        <v>5.0</v>
      </c>
      <c r="O765" s="43">
        <v>5.0</v>
      </c>
      <c r="P765" s="43">
        <v>1.0</v>
      </c>
      <c r="Q765" s="89">
        <v>0.0</v>
      </c>
      <c r="R765" s="89">
        <v>0.0</v>
      </c>
      <c r="S765" s="56" t="str">
        <f t="shared" si="20"/>
        <v> </v>
      </c>
      <c r="T765" s="43" t="s">
        <v>95</v>
      </c>
      <c r="U765" s="142"/>
      <c r="V765" s="43" t="s">
        <v>79</v>
      </c>
      <c r="W765" s="43"/>
      <c r="X765" s="43">
        <v>5.0</v>
      </c>
      <c r="Y765" s="43" t="s">
        <v>97</v>
      </c>
      <c r="Z765" s="151"/>
      <c r="AA765" s="59"/>
      <c r="AB765" s="134" t="s">
        <v>4553</v>
      </c>
      <c r="AC765" s="124" t="s">
        <v>4554</v>
      </c>
      <c r="AD765" s="107" t="s">
        <v>4555</v>
      </c>
      <c r="AE765" s="63"/>
      <c r="AF765" s="64" t="s">
        <v>105</v>
      </c>
      <c r="AG765" s="65" t="s">
        <v>106</v>
      </c>
      <c r="AH765" s="63"/>
      <c r="AI765" s="65" t="s">
        <v>107</v>
      </c>
      <c r="AJ765" s="64" t="s">
        <v>4550</v>
      </c>
      <c r="AK765" s="50" t="s">
        <v>81</v>
      </c>
      <c r="AL765" s="45" t="s">
        <v>109</v>
      </c>
      <c r="AM765" s="43">
        <v>3.213605848E9</v>
      </c>
      <c r="AN765" s="64">
        <v>3.213624001E9</v>
      </c>
      <c r="AO765" s="52"/>
      <c r="AP765" s="67"/>
      <c r="AQ765" s="67"/>
      <c r="AR765" s="67"/>
      <c r="AS765" s="135"/>
      <c r="AT765" s="50">
        <v>0.0</v>
      </c>
      <c r="AU765" s="43" t="s">
        <v>106</v>
      </c>
      <c r="AV765" s="43">
        <v>5.0</v>
      </c>
      <c r="AW765" s="52"/>
      <c r="AX765" s="52"/>
      <c r="AY765" s="43" t="s">
        <v>110</v>
      </c>
      <c r="AZ765" s="52"/>
      <c r="BA765" s="43" t="s">
        <v>89</v>
      </c>
      <c r="BB765" s="52"/>
      <c r="BC765" s="86"/>
      <c r="BD765" s="71"/>
      <c r="BE765" s="71"/>
      <c r="BF765" s="72" t="s">
        <v>4556</v>
      </c>
      <c r="BG765" s="73"/>
      <c r="BH765" s="73"/>
      <c r="BI765" s="73"/>
      <c r="BJ765" s="73"/>
      <c r="BK765" s="73"/>
      <c r="BL765" s="73"/>
      <c r="BM765" s="73"/>
      <c r="BN765" s="73"/>
      <c r="BO765" s="73"/>
      <c r="BP765" s="73"/>
      <c r="BQ765" s="73"/>
      <c r="BR765" s="73"/>
      <c r="BS765" s="73"/>
      <c r="BT765" s="73"/>
      <c r="BU765" s="73"/>
      <c r="BV765" s="73"/>
      <c r="BW765" s="74"/>
      <c r="BX765" s="74"/>
      <c r="BY765" s="63"/>
      <c r="BZ765" s="63"/>
    </row>
    <row r="766" ht="15.75" customHeight="1">
      <c r="A766" s="75" t="s">
        <v>4557</v>
      </c>
      <c r="B766" s="50" t="s">
        <v>4558</v>
      </c>
      <c r="C766" s="50" t="s">
        <v>114</v>
      </c>
      <c r="D766" s="50"/>
      <c r="E766" s="64" t="s">
        <v>4559</v>
      </c>
      <c r="F766" s="78">
        <v>1.3E9</v>
      </c>
      <c r="G766" s="44" t="str">
        <f t="shared" si="16"/>
        <v>Más de $1.000'000.000</v>
      </c>
      <c r="H766" s="44"/>
      <c r="I766" s="44"/>
      <c r="J766" s="50" t="s">
        <v>94</v>
      </c>
      <c r="K766" s="51"/>
      <c r="L766" s="50">
        <v>5.0</v>
      </c>
      <c r="M766" s="50"/>
      <c r="N766" s="50">
        <v>3.0</v>
      </c>
      <c r="O766" s="50">
        <v>4.0</v>
      </c>
      <c r="P766" s="50">
        <v>1.0</v>
      </c>
      <c r="Q766" s="88">
        <v>430.0</v>
      </c>
      <c r="R766" s="88">
        <v>2100.0</v>
      </c>
      <c r="S766" s="56" t="str">
        <f t="shared" si="20"/>
        <v> </v>
      </c>
      <c r="T766" s="50" t="s">
        <v>342</v>
      </c>
      <c r="U766" s="51" t="s">
        <v>498</v>
      </c>
      <c r="V766" s="50" t="s">
        <v>79</v>
      </c>
      <c r="W766" s="50"/>
      <c r="X766" s="50">
        <v>5.0</v>
      </c>
      <c r="Y766" s="50" t="s">
        <v>97</v>
      </c>
      <c r="Z766" s="91"/>
      <c r="AA766" s="59" t="str">
        <f>IF(Rentabilidad=0,"No aplica",TEXT(ROUND(Precio/Rentabilidad/12,0),0) &amp; " años")</f>
        <v>No aplica</v>
      </c>
      <c r="AB766" s="82" t="s">
        <v>4560</v>
      </c>
      <c r="AC766" s="131" t="s">
        <v>4561</v>
      </c>
      <c r="AD766" s="107" t="s">
        <v>4562</v>
      </c>
      <c r="AE766" s="63"/>
      <c r="AF766" s="64" t="s">
        <v>105</v>
      </c>
      <c r="AG766" s="65" t="s">
        <v>106</v>
      </c>
      <c r="AH766" s="63"/>
      <c r="AI766" s="65" t="s">
        <v>107</v>
      </c>
      <c r="AJ766" s="64" t="s">
        <v>4550</v>
      </c>
      <c r="AK766" s="50" t="s">
        <v>81</v>
      </c>
      <c r="AL766" s="45" t="s">
        <v>109</v>
      </c>
      <c r="AM766" s="43">
        <v>3.213605848E9</v>
      </c>
      <c r="AN766" s="64">
        <v>3.213624001E9</v>
      </c>
      <c r="AO766" s="116"/>
      <c r="AP766" s="84"/>
      <c r="AQ766" s="84">
        <v>2.94006509130097</v>
      </c>
      <c r="AR766" s="84">
        <v>-75.3325793812519</v>
      </c>
      <c r="AS766" s="85">
        <v>0.0</v>
      </c>
      <c r="AT766" s="50" t="s">
        <v>88</v>
      </c>
      <c r="AU766" s="43">
        <v>0.0</v>
      </c>
      <c r="AV766" s="43">
        <v>0.0</v>
      </c>
      <c r="AW766" s="43" t="s">
        <v>88</v>
      </c>
      <c r="AX766" s="43"/>
      <c r="AY766" s="43" t="s">
        <v>106</v>
      </c>
      <c r="AZ766" s="50">
        <v>0.0</v>
      </c>
      <c r="BA766" s="43" t="s">
        <v>89</v>
      </c>
      <c r="BB766" s="50">
        <v>0.0</v>
      </c>
      <c r="BC766" s="95"/>
      <c r="BD766" s="71"/>
      <c r="BE766" s="71"/>
      <c r="BF766" s="72" t="s">
        <v>4563</v>
      </c>
      <c r="BG766" s="73"/>
      <c r="BH766" s="73"/>
      <c r="BI766" s="73"/>
      <c r="BJ766" s="73"/>
      <c r="BK766" s="73"/>
      <c r="BL766" s="73"/>
      <c r="BM766" s="73"/>
      <c r="BN766" s="73"/>
      <c r="BO766" s="73"/>
      <c r="BP766" s="73"/>
      <c r="BQ766" s="73"/>
      <c r="BR766" s="73"/>
      <c r="BS766" s="73"/>
      <c r="BT766" s="73"/>
      <c r="BU766" s="73"/>
      <c r="BV766" s="73"/>
      <c r="BW766" s="74"/>
      <c r="BX766" s="74"/>
      <c r="BY766" s="63"/>
      <c r="BZ766" s="63"/>
    </row>
    <row r="767" ht="15.75" customHeight="1">
      <c r="A767" s="75" t="s">
        <v>4564</v>
      </c>
      <c r="B767" s="50" t="s">
        <v>4565</v>
      </c>
      <c r="C767" s="50" t="s">
        <v>93</v>
      </c>
      <c r="D767" s="50"/>
      <c r="E767" s="64"/>
      <c r="F767" s="78">
        <v>8.25E8</v>
      </c>
      <c r="G767" s="44" t="str">
        <f t="shared" si="16"/>
        <v>$500'000.000 a $1.000'000.000</v>
      </c>
      <c r="H767" s="44"/>
      <c r="I767" s="44"/>
      <c r="J767" s="50" t="s">
        <v>94</v>
      </c>
      <c r="K767" s="51"/>
      <c r="L767" s="50">
        <v>5.0</v>
      </c>
      <c r="M767" s="50"/>
      <c r="N767" s="50">
        <v>3.0</v>
      </c>
      <c r="O767" s="50">
        <v>1.0</v>
      </c>
      <c r="P767" s="50">
        <v>2.0</v>
      </c>
      <c r="Q767" s="88">
        <v>450.0</v>
      </c>
      <c r="R767" s="88">
        <v>347.0</v>
      </c>
      <c r="S767" s="56" t="str">
        <f t="shared" si="20"/>
        <v> </v>
      </c>
      <c r="T767" s="50" t="s">
        <v>95</v>
      </c>
      <c r="U767" s="57"/>
      <c r="V767" s="50" t="s">
        <v>79</v>
      </c>
      <c r="W767" s="50"/>
      <c r="X767" s="50">
        <v>4.0</v>
      </c>
      <c r="Y767" s="50" t="s">
        <v>97</v>
      </c>
      <c r="Z767" s="58" t="s">
        <v>81</v>
      </c>
      <c r="AA767" s="59" t="str">
        <f>IF(Rentabilidad=0,"No aplica",TEXT(ROUND(Precio/Rentabilidad/12,0),0) &amp; " años")</f>
        <v>No aplica</v>
      </c>
      <c r="AB767" s="82" t="s">
        <v>4566</v>
      </c>
      <c r="AC767" s="97" t="s">
        <v>4567</v>
      </c>
      <c r="AD767" s="97" t="s">
        <v>4568</v>
      </c>
      <c r="AE767" s="63"/>
      <c r="AF767" s="64" t="s">
        <v>84</v>
      </c>
      <c r="AG767" s="65" t="s">
        <v>106</v>
      </c>
      <c r="AH767" s="63"/>
      <c r="AI767" s="65" t="s">
        <v>107</v>
      </c>
      <c r="AJ767" s="64" t="s">
        <v>4550</v>
      </c>
      <c r="AK767" s="50" t="s">
        <v>81</v>
      </c>
      <c r="AL767" s="45" t="s">
        <v>109</v>
      </c>
      <c r="AM767" s="43">
        <v>3.213605848E9</v>
      </c>
      <c r="AN767" s="64">
        <v>3.213624001E9</v>
      </c>
      <c r="AO767" s="43">
        <v>0.0</v>
      </c>
      <c r="AP767" s="67"/>
      <c r="AQ767" s="67"/>
      <c r="AR767" s="67"/>
      <c r="AS767" s="94"/>
      <c r="AT767" s="65">
        <v>0.0</v>
      </c>
      <c r="AU767" s="50">
        <v>0.0</v>
      </c>
      <c r="AV767" s="50">
        <v>0.0</v>
      </c>
      <c r="AW767" s="50" t="s">
        <v>88</v>
      </c>
      <c r="AX767" s="44"/>
      <c r="AY767" s="50" t="s">
        <v>137</v>
      </c>
      <c r="AZ767" s="50">
        <v>0.0</v>
      </c>
      <c r="BA767" s="43" t="s">
        <v>89</v>
      </c>
      <c r="BB767" s="50">
        <v>0.0</v>
      </c>
      <c r="BC767" s="95"/>
      <c r="BD767" s="71"/>
      <c r="BE767" s="71"/>
      <c r="BF767" s="72" t="s">
        <v>4569</v>
      </c>
      <c r="BG767" s="73"/>
      <c r="BH767" s="73"/>
      <c r="BI767" s="73"/>
      <c r="BJ767" s="73"/>
      <c r="BK767" s="73"/>
      <c r="BL767" s="73"/>
      <c r="BM767" s="73"/>
      <c r="BN767" s="73"/>
      <c r="BO767" s="73"/>
      <c r="BP767" s="73"/>
      <c r="BQ767" s="73"/>
      <c r="BR767" s="73"/>
      <c r="BS767" s="73"/>
      <c r="BT767" s="73"/>
      <c r="BU767" s="73"/>
      <c r="BV767" s="73"/>
      <c r="BW767" s="74"/>
      <c r="BX767" s="74"/>
      <c r="BY767" s="63"/>
      <c r="BZ767" s="63"/>
    </row>
    <row r="768" ht="15.75" customHeight="1">
      <c r="A768" s="75" t="s">
        <v>4570</v>
      </c>
      <c r="B768" s="50" t="s">
        <v>4571</v>
      </c>
      <c r="C768" s="50" t="s">
        <v>323</v>
      </c>
      <c r="D768" s="50"/>
      <c r="E768" s="64" t="s">
        <v>4572</v>
      </c>
      <c r="F768" s="78">
        <v>7.6E8</v>
      </c>
      <c r="G768" s="44" t="str">
        <f t="shared" si="16"/>
        <v>$500'000.000 a $1.000'000.000</v>
      </c>
      <c r="H768" s="44"/>
      <c r="I768" s="44"/>
      <c r="J768" s="50" t="s">
        <v>116</v>
      </c>
      <c r="K768" s="51"/>
      <c r="L768" s="50">
        <v>2.0</v>
      </c>
      <c r="M768" s="50"/>
      <c r="N768" s="50">
        <v>2.0</v>
      </c>
      <c r="O768" s="50">
        <v>2.0</v>
      </c>
      <c r="P768" s="50">
        <v>7.0</v>
      </c>
      <c r="Q768" s="88">
        <v>152.0</v>
      </c>
      <c r="R768" s="88">
        <v>152.0</v>
      </c>
      <c r="S768" s="56" t="str">
        <f t="shared" si="20"/>
        <v> </v>
      </c>
      <c r="T768" s="50" t="s">
        <v>78</v>
      </c>
      <c r="U768" s="51" t="s">
        <v>154</v>
      </c>
      <c r="V768" s="50" t="s">
        <v>1913</v>
      </c>
      <c r="W768" s="50"/>
      <c r="X768" s="50">
        <v>2.0</v>
      </c>
      <c r="Y768" s="50" t="s">
        <v>130</v>
      </c>
      <c r="Z768" s="58">
        <v>760000.0</v>
      </c>
      <c r="AA768" s="59" t="str">
        <f>IF(Rentabilidad=0,"No aplica",TEXT(ROUND(Precio/Rentabilidad/12,0),0) &amp; " años")</f>
        <v>No aplica</v>
      </c>
      <c r="AB768" s="82" t="s">
        <v>4573</v>
      </c>
      <c r="AC768" s="83" t="s">
        <v>4574</v>
      </c>
      <c r="AD768" s="83" t="s">
        <v>4575</v>
      </c>
      <c r="AE768" s="63"/>
      <c r="AF768" s="64" t="s">
        <v>105</v>
      </c>
      <c r="AG768" s="65" t="s">
        <v>106</v>
      </c>
      <c r="AH768" s="63"/>
      <c r="AI768" s="65" t="s">
        <v>107</v>
      </c>
      <c r="AJ768" s="64" t="s">
        <v>4550</v>
      </c>
      <c r="AK768" s="50" t="s">
        <v>81</v>
      </c>
      <c r="AL768" s="45" t="s">
        <v>109</v>
      </c>
      <c r="AM768" s="43">
        <v>3.213605848E9</v>
      </c>
      <c r="AN768" s="64">
        <v>3.213624001E9</v>
      </c>
      <c r="AO768" s="52"/>
      <c r="AP768" s="67"/>
      <c r="AQ768" s="67"/>
      <c r="AR768" s="67"/>
      <c r="AS768" s="94">
        <v>0.0</v>
      </c>
      <c r="AT768" s="65" t="s">
        <v>106</v>
      </c>
      <c r="AU768" s="50">
        <v>0.0</v>
      </c>
      <c r="AV768" s="50">
        <v>0.0</v>
      </c>
      <c r="AW768" s="50" t="s">
        <v>88</v>
      </c>
      <c r="AX768" s="50">
        <v>0.0</v>
      </c>
      <c r="AY768" s="50">
        <v>0.0</v>
      </c>
      <c r="AZ768" s="50">
        <v>0.0</v>
      </c>
      <c r="BA768" s="43" t="s">
        <v>89</v>
      </c>
      <c r="BB768" s="50">
        <v>0.0</v>
      </c>
      <c r="BC768" s="95"/>
      <c r="BD768" s="71"/>
      <c r="BE768" s="71"/>
      <c r="BF768" s="72" t="s">
        <v>4576</v>
      </c>
      <c r="BG768" s="73"/>
      <c r="BH768" s="73"/>
      <c r="BI768" s="73"/>
      <c r="BJ768" s="73"/>
      <c r="BK768" s="73"/>
      <c r="BL768" s="73"/>
      <c r="BM768" s="73"/>
      <c r="BN768" s="73"/>
      <c r="BO768" s="73"/>
      <c r="BP768" s="73"/>
      <c r="BQ768" s="73"/>
      <c r="BR768" s="73"/>
      <c r="BS768" s="73"/>
      <c r="BT768" s="73"/>
      <c r="BU768" s="73"/>
      <c r="BV768" s="73"/>
      <c r="BW768" s="74"/>
      <c r="BX768" s="74"/>
      <c r="BY768" s="63"/>
      <c r="BZ768" s="63"/>
    </row>
    <row r="769" ht="15.75" customHeight="1">
      <c r="A769" s="75" t="s">
        <v>4577</v>
      </c>
      <c r="B769" s="50" t="s">
        <v>4578</v>
      </c>
      <c r="C769" s="50" t="s">
        <v>271</v>
      </c>
      <c r="D769" s="58" t="s">
        <v>4579</v>
      </c>
      <c r="E769" s="45"/>
      <c r="F769" s="78">
        <v>6.0E8</v>
      </c>
      <c r="G769" s="44" t="str">
        <f t="shared" si="16"/>
        <v>$500'000.000 a $1.000'000.000</v>
      </c>
      <c r="H769" s="44"/>
      <c r="I769" s="44"/>
      <c r="J769" s="50" t="s">
        <v>94</v>
      </c>
      <c r="K769" s="51" t="s">
        <v>117</v>
      </c>
      <c r="L769" s="43">
        <v>4.0</v>
      </c>
      <c r="M769" s="43"/>
      <c r="N769" s="43">
        <v>6.0</v>
      </c>
      <c r="O769" s="43">
        <v>0.0</v>
      </c>
      <c r="P769" s="43">
        <v>2.0</v>
      </c>
      <c r="Q769" s="89">
        <v>0.0</v>
      </c>
      <c r="R769" s="89">
        <v>0.0</v>
      </c>
      <c r="S769" s="56" t="str">
        <f t="shared" si="20"/>
        <v>Rentabilidad $4,000,000</v>
      </c>
      <c r="T769" s="43" t="s">
        <v>78</v>
      </c>
      <c r="U769" s="56" t="s">
        <v>184</v>
      </c>
      <c r="V769" s="43" t="s">
        <v>118</v>
      </c>
      <c r="W769" s="43"/>
      <c r="X769" s="43">
        <v>0.0</v>
      </c>
      <c r="Y769" s="43" t="s">
        <v>80</v>
      </c>
      <c r="Z769" s="80" t="s">
        <v>81</v>
      </c>
      <c r="AA769" s="59" t="str">
        <f>IF(Rentabilidad=0,"No aplica",TEXT(ROUND(Precio/Rentabilidad/12,0),0) &amp; " años")</f>
        <v>13 años</v>
      </c>
      <c r="AB769" s="134" t="s">
        <v>4580</v>
      </c>
      <c r="AC769" s="61"/>
      <c r="AD769" s="107" t="s">
        <v>4581</v>
      </c>
      <c r="AE769" s="63"/>
      <c r="AF769" s="64" t="s">
        <v>236</v>
      </c>
      <c r="AG769" s="65"/>
      <c r="AH769" s="63"/>
      <c r="AI769" s="65" t="s">
        <v>107</v>
      </c>
      <c r="AJ769" s="64" t="s">
        <v>4550</v>
      </c>
      <c r="AK769" s="50" t="s">
        <v>81</v>
      </c>
      <c r="AL769" s="45" t="s">
        <v>109</v>
      </c>
      <c r="AM769" s="43">
        <v>3.213605848E9</v>
      </c>
      <c r="AN769" s="64">
        <v>3.213624001E9</v>
      </c>
      <c r="AO769" s="52"/>
      <c r="AP769" s="67"/>
      <c r="AQ769" s="67"/>
      <c r="AR769" s="67"/>
      <c r="AS769" s="94">
        <v>4000000.0</v>
      </c>
      <c r="AT769" s="44"/>
      <c r="AU769" s="52"/>
      <c r="AV769" s="52"/>
      <c r="AW769" s="43" t="s">
        <v>88</v>
      </c>
      <c r="AX769" s="52"/>
      <c r="AY769" s="43" t="s">
        <v>106</v>
      </c>
      <c r="AZ769" s="52"/>
      <c r="BA769" s="43" t="s">
        <v>89</v>
      </c>
      <c r="BB769" s="52"/>
      <c r="BC769" s="69" t="s">
        <v>716</v>
      </c>
      <c r="BD769" s="70"/>
      <c r="BE769" s="71"/>
      <c r="BF769" s="72" t="s">
        <v>4582</v>
      </c>
      <c r="BG769" s="73"/>
      <c r="BH769" s="73"/>
      <c r="BI769" s="73"/>
      <c r="BJ769" s="73"/>
      <c r="BK769" s="73"/>
      <c r="BL769" s="73"/>
      <c r="BM769" s="73"/>
      <c r="BN769" s="73"/>
      <c r="BO769" s="73"/>
      <c r="BP769" s="73"/>
      <c r="BQ769" s="73"/>
      <c r="BR769" s="73"/>
      <c r="BS769" s="73"/>
      <c r="BT769" s="73"/>
      <c r="BU769" s="73"/>
      <c r="BV769" s="73"/>
      <c r="BW769" s="74"/>
      <c r="BX769" s="74"/>
      <c r="BY769" s="63"/>
      <c r="BZ769" s="63"/>
    </row>
    <row r="770" ht="15.75" customHeight="1">
      <c r="A770" s="152" t="s">
        <v>4583</v>
      </c>
      <c r="B770" s="50" t="s">
        <v>4584</v>
      </c>
      <c r="C770" s="50" t="s">
        <v>271</v>
      </c>
      <c r="D770" s="50" t="s">
        <v>1229</v>
      </c>
      <c r="E770" s="45"/>
      <c r="F770" s="78">
        <v>4.95E8</v>
      </c>
      <c r="G770" s="44" t="str">
        <f t="shared" si="16"/>
        <v>$400'000.000 a $500'000.000</v>
      </c>
      <c r="H770" s="44"/>
      <c r="I770" s="44"/>
      <c r="J770" s="50" t="s">
        <v>76</v>
      </c>
      <c r="K770" s="51" t="s">
        <v>142</v>
      </c>
      <c r="L770" s="50">
        <v>5.0</v>
      </c>
      <c r="M770" s="50"/>
      <c r="N770" s="50">
        <v>2.0</v>
      </c>
      <c r="O770" s="50">
        <v>0.0</v>
      </c>
      <c r="P770" s="50">
        <v>1.0</v>
      </c>
      <c r="Q770" s="79">
        <v>228.0</v>
      </c>
      <c r="R770" s="79"/>
      <c r="S770" s="56" t="str">
        <f t="shared" si="20"/>
        <v> </v>
      </c>
      <c r="T770" s="43" t="s">
        <v>78</v>
      </c>
      <c r="U770" s="51" t="s">
        <v>184</v>
      </c>
      <c r="V770" s="50" t="s">
        <v>79</v>
      </c>
      <c r="W770" s="50"/>
      <c r="X770" s="50">
        <v>2.0</v>
      </c>
      <c r="Y770" s="43" t="s">
        <v>80</v>
      </c>
      <c r="Z770" s="80" t="s">
        <v>81</v>
      </c>
      <c r="AA770" s="59"/>
      <c r="AB770" s="140" t="s">
        <v>4585</v>
      </c>
      <c r="AC770" s="61"/>
      <c r="AD770" s="107" t="s">
        <v>4586</v>
      </c>
      <c r="AE770" s="63"/>
      <c r="AF770" s="64" t="s">
        <v>236</v>
      </c>
      <c r="AG770" s="65" t="s">
        <v>106</v>
      </c>
      <c r="AH770" s="65"/>
      <c r="AI770" s="65" t="s">
        <v>107</v>
      </c>
      <c r="AJ770" s="64" t="s">
        <v>4550</v>
      </c>
      <c r="AK770" s="50" t="s">
        <v>81</v>
      </c>
      <c r="AL770" s="45" t="s">
        <v>109</v>
      </c>
      <c r="AM770" s="43">
        <v>3.213605848E9</v>
      </c>
      <c r="AN770" s="64">
        <v>3.213624001E9</v>
      </c>
      <c r="AO770" s="52"/>
      <c r="AP770" s="67"/>
      <c r="AQ770" s="67"/>
      <c r="AR770" s="67"/>
      <c r="AS770" s="68"/>
      <c r="AT770" s="65"/>
      <c r="AU770" s="50"/>
      <c r="AV770" s="50"/>
      <c r="AW770" s="50" t="s">
        <v>106</v>
      </c>
      <c r="AX770" s="44"/>
      <c r="AY770" s="50" t="s">
        <v>106</v>
      </c>
      <c r="AZ770" s="44"/>
      <c r="BA770" s="43" t="s">
        <v>89</v>
      </c>
      <c r="BB770" s="44"/>
      <c r="BC770" s="109"/>
      <c r="BD770" s="70"/>
      <c r="BE770" s="71"/>
      <c r="BF770" s="72" t="s">
        <v>4587</v>
      </c>
      <c r="BG770" s="73"/>
      <c r="BH770" s="73"/>
      <c r="BI770" s="73"/>
      <c r="BJ770" s="73"/>
      <c r="BK770" s="73"/>
      <c r="BL770" s="73"/>
      <c r="BM770" s="73"/>
      <c r="BN770" s="73"/>
      <c r="BO770" s="73"/>
      <c r="BP770" s="73"/>
      <c r="BQ770" s="73"/>
      <c r="BR770" s="73"/>
      <c r="BS770" s="73"/>
      <c r="BT770" s="73"/>
      <c r="BU770" s="73"/>
      <c r="BV770" s="73"/>
      <c r="BW770" s="74"/>
      <c r="BX770" s="74"/>
      <c r="BY770" s="63"/>
      <c r="BZ770" s="63"/>
    </row>
    <row r="771" ht="15.75" customHeight="1">
      <c r="A771" s="75" t="s">
        <v>4588</v>
      </c>
      <c r="B771" s="50" t="s">
        <v>4589</v>
      </c>
      <c r="C771" s="50" t="s">
        <v>271</v>
      </c>
      <c r="D771" s="58" t="s">
        <v>1427</v>
      </c>
      <c r="E771" s="45"/>
      <c r="F771" s="78">
        <v>4.2E8</v>
      </c>
      <c r="G771" s="44" t="str">
        <f t="shared" si="16"/>
        <v>$400'000.000 a $500'000.000</v>
      </c>
      <c r="H771" s="44"/>
      <c r="I771" s="44"/>
      <c r="J771" s="50" t="s">
        <v>116</v>
      </c>
      <c r="K771" s="51"/>
      <c r="L771" s="50">
        <v>4.0</v>
      </c>
      <c r="M771" s="50"/>
      <c r="N771" s="50">
        <v>3.0</v>
      </c>
      <c r="O771" s="50">
        <v>3.0</v>
      </c>
      <c r="P771" s="50">
        <v>2.0</v>
      </c>
      <c r="Q771" s="79">
        <v>0.0</v>
      </c>
      <c r="R771" s="79">
        <v>0.0</v>
      </c>
      <c r="S771" s="56" t="str">
        <f t="shared" si="20"/>
        <v>Rentabilidad $1,500,000</v>
      </c>
      <c r="T771" s="43" t="s">
        <v>78</v>
      </c>
      <c r="U771" s="56" t="s">
        <v>184</v>
      </c>
      <c r="V771" s="50" t="s">
        <v>79</v>
      </c>
      <c r="W771" s="50"/>
      <c r="X771" s="50">
        <v>3.0</v>
      </c>
      <c r="Y771" s="50" t="s">
        <v>80</v>
      </c>
      <c r="Z771" s="80" t="s">
        <v>81</v>
      </c>
      <c r="AA771" s="343" t="s">
        <v>81</v>
      </c>
      <c r="AB771" s="134" t="s">
        <v>4590</v>
      </c>
      <c r="AC771" s="124" t="s">
        <v>4591</v>
      </c>
      <c r="AD771" s="107" t="s">
        <v>899</v>
      </c>
      <c r="AE771" s="63"/>
      <c r="AF771" s="64" t="s">
        <v>105</v>
      </c>
      <c r="AG771" s="65" t="s">
        <v>106</v>
      </c>
      <c r="AH771" s="65"/>
      <c r="AI771" s="65" t="s">
        <v>107</v>
      </c>
      <c r="AJ771" s="64" t="s">
        <v>4550</v>
      </c>
      <c r="AK771" s="50" t="s">
        <v>81</v>
      </c>
      <c r="AL771" s="45" t="s">
        <v>109</v>
      </c>
      <c r="AM771" s="43">
        <v>3.213605848E9</v>
      </c>
      <c r="AN771" s="64">
        <v>3.213624001E9</v>
      </c>
      <c r="AO771" s="43">
        <v>0.0</v>
      </c>
      <c r="AP771" s="84">
        <v>0.0</v>
      </c>
      <c r="AQ771" s="84"/>
      <c r="AR771" s="84"/>
      <c r="AS771" s="94">
        <v>1500000.0</v>
      </c>
      <c r="AT771" s="50">
        <v>0.0</v>
      </c>
      <c r="AU771" s="43">
        <v>0.0</v>
      </c>
      <c r="AV771" s="43">
        <v>0.0</v>
      </c>
      <c r="AW771" s="43" t="s">
        <v>88</v>
      </c>
      <c r="AX771" s="43">
        <v>0.0</v>
      </c>
      <c r="AY771" s="43" t="s">
        <v>137</v>
      </c>
      <c r="AZ771" s="43">
        <v>0.0</v>
      </c>
      <c r="BA771" s="43" t="s">
        <v>89</v>
      </c>
      <c r="BB771" s="43">
        <v>0.0</v>
      </c>
      <c r="BC771" s="69" t="s">
        <v>3194</v>
      </c>
      <c r="BD771" s="70"/>
      <c r="BE771" s="71"/>
      <c r="BF771" s="72" t="s">
        <v>4592</v>
      </c>
      <c r="BG771" s="73"/>
      <c r="BH771" s="73"/>
      <c r="BI771" s="73"/>
      <c r="BJ771" s="73"/>
      <c r="BK771" s="73"/>
      <c r="BL771" s="73"/>
      <c r="BM771" s="73"/>
      <c r="BN771" s="73"/>
      <c r="BO771" s="73"/>
      <c r="BP771" s="73"/>
      <c r="BQ771" s="73"/>
      <c r="BR771" s="73"/>
      <c r="BS771" s="73"/>
      <c r="BT771" s="73"/>
      <c r="BU771" s="73"/>
      <c r="BV771" s="73"/>
      <c r="BW771" s="74"/>
      <c r="BX771" s="74"/>
      <c r="BY771" s="63"/>
      <c r="BZ771" s="63"/>
    </row>
    <row r="772" ht="15.75" customHeight="1">
      <c r="A772" s="344" t="s">
        <v>4593</v>
      </c>
      <c r="B772" s="50" t="s">
        <v>4594</v>
      </c>
      <c r="C772" s="50" t="s">
        <v>315</v>
      </c>
      <c r="D772" s="50" t="s">
        <v>191</v>
      </c>
      <c r="E772" s="64"/>
      <c r="F772" s="78">
        <v>4.05E8</v>
      </c>
      <c r="G772" s="44" t="str">
        <f t="shared" si="16"/>
        <v>$400'000.000 a $500'000.000</v>
      </c>
      <c r="H772" s="44"/>
      <c r="I772" s="44"/>
      <c r="J772" s="50" t="s">
        <v>116</v>
      </c>
      <c r="K772" s="51" t="s">
        <v>154</v>
      </c>
      <c r="L772" s="50">
        <v>0.0</v>
      </c>
      <c r="M772" s="50"/>
      <c r="N772" s="50">
        <v>0.0</v>
      </c>
      <c r="O772" s="50">
        <v>0.0</v>
      </c>
      <c r="P772" s="50">
        <v>0.0</v>
      </c>
      <c r="Q772" s="88">
        <v>0.0</v>
      </c>
      <c r="R772" s="88">
        <v>225.0</v>
      </c>
      <c r="S772" s="56" t="str">
        <f t="shared" si="20"/>
        <v> </v>
      </c>
      <c r="T772" s="50" t="s">
        <v>78</v>
      </c>
      <c r="U772" s="51" t="s">
        <v>77</v>
      </c>
      <c r="V772" s="50" t="s">
        <v>79</v>
      </c>
      <c r="W772" s="50"/>
      <c r="X772" s="50">
        <v>0.0</v>
      </c>
      <c r="Y772" s="50" t="s">
        <v>80</v>
      </c>
      <c r="Z772" s="91"/>
      <c r="AA772" s="59" t="str">
        <f>IF(Rentabilidad=0,"No aplica",TEXT(ROUND(Precio/Rentabilidad/12,0),0) &amp; " años")</f>
        <v>No aplica</v>
      </c>
      <c r="AB772" s="82" t="s">
        <v>4595</v>
      </c>
      <c r="AC772" s="132" t="s">
        <v>4596</v>
      </c>
      <c r="AD772" s="107"/>
      <c r="AE772" s="63"/>
      <c r="AF772" s="64"/>
      <c r="AG772" s="65" t="s">
        <v>106</v>
      </c>
      <c r="AH772" s="63"/>
      <c r="AI772" s="65" t="s">
        <v>107</v>
      </c>
      <c r="AJ772" s="64" t="s">
        <v>4550</v>
      </c>
      <c r="AK772" s="50" t="s">
        <v>81</v>
      </c>
      <c r="AL772" s="45" t="s">
        <v>109</v>
      </c>
      <c r="AM772" s="43">
        <v>3.213605848E9</v>
      </c>
      <c r="AN772" s="64">
        <v>3.213624001E9</v>
      </c>
      <c r="AO772" s="43">
        <v>0.0</v>
      </c>
      <c r="AP772" s="84">
        <v>0.0</v>
      </c>
      <c r="AQ772" s="84"/>
      <c r="AR772" s="84"/>
      <c r="AS772" s="94">
        <v>0.0</v>
      </c>
      <c r="AT772" s="50">
        <v>0.0</v>
      </c>
      <c r="AU772" s="43">
        <v>0.0</v>
      </c>
      <c r="AV772" s="43">
        <v>0.0</v>
      </c>
      <c r="AW772" s="43" t="s">
        <v>88</v>
      </c>
      <c r="AX772" s="43">
        <v>0.0</v>
      </c>
      <c r="AY772" s="43">
        <v>0.0</v>
      </c>
      <c r="AZ772" s="43">
        <v>0.0</v>
      </c>
      <c r="BA772" s="43" t="s">
        <v>89</v>
      </c>
      <c r="BB772" s="43">
        <v>0.0</v>
      </c>
      <c r="BC772" s="109"/>
      <c r="BD772" s="70"/>
      <c r="BE772" s="70"/>
      <c r="BF772" s="72" t="s">
        <v>4597</v>
      </c>
      <c r="BG772" s="73"/>
      <c r="BH772" s="73"/>
      <c r="BI772" s="73"/>
      <c r="BJ772" s="73"/>
      <c r="BK772" s="73"/>
      <c r="BL772" s="73"/>
      <c r="BM772" s="73"/>
      <c r="BN772" s="73"/>
      <c r="BO772" s="73"/>
      <c r="BP772" s="73"/>
      <c r="BQ772" s="73"/>
      <c r="BR772" s="73"/>
      <c r="BS772" s="73"/>
      <c r="BT772" s="73"/>
      <c r="BU772" s="73"/>
      <c r="BV772" s="73"/>
      <c r="BW772" s="74"/>
      <c r="BX772" s="74"/>
      <c r="BY772" s="63"/>
      <c r="BZ772" s="63"/>
    </row>
    <row r="773" ht="15.75" customHeight="1">
      <c r="A773" s="152" t="s">
        <v>4598</v>
      </c>
      <c r="B773" s="43" t="s">
        <v>4599</v>
      </c>
      <c r="C773" s="43" t="s">
        <v>128</v>
      </c>
      <c r="D773" s="111" t="s">
        <v>349</v>
      </c>
      <c r="E773" s="345" t="s">
        <v>4600</v>
      </c>
      <c r="F773" s="78">
        <v>3.95E8</v>
      </c>
      <c r="G773" s="44" t="str">
        <f t="shared" si="16"/>
        <v>$300'000.000 a $400'000.000</v>
      </c>
      <c r="H773" s="44"/>
      <c r="I773" s="44"/>
      <c r="J773" s="50" t="s">
        <v>116</v>
      </c>
      <c r="K773" s="194" t="s">
        <v>294</v>
      </c>
      <c r="L773" s="50">
        <v>3.0</v>
      </c>
      <c r="M773" s="50"/>
      <c r="N773" s="50">
        <v>2.0</v>
      </c>
      <c r="O773" s="50">
        <v>1.0</v>
      </c>
      <c r="P773" s="50">
        <v>2.0</v>
      </c>
      <c r="Q773" s="79">
        <v>111.92</v>
      </c>
      <c r="R773" s="79"/>
      <c r="S773" s="56" t="str">
        <f t="shared" si="20"/>
        <v> </v>
      </c>
      <c r="T773" s="50" t="s">
        <v>78</v>
      </c>
      <c r="U773" s="51" t="s">
        <v>77</v>
      </c>
      <c r="V773" s="50" t="s">
        <v>79</v>
      </c>
      <c r="W773" s="50"/>
      <c r="X773" s="50">
        <v>3.0</v>
      </c>
      <c r="Y773" s="43" t="s">
        <v>80</v>
      </c>
      <c r="Z773" s="58"/>
      <c r="AA773" s="59"/>
      <c r="AB773" s="134" t="s">
        <v>4601</v>
      </c>
      <c r="AC773" s="131" t="s">
        <v>4602</v>
      </c>
      <c r="AD773" s="125" t="s">
        <v>4603</v>
      </c>
      <c r="AE773" s="63"/>
      <c r="AF773" s="64" t="s">
        <v>105</v>
      </c>
      <c r="AG773" s="65" t="s">
        <v>106</v>
      </c>
      <c r="AH773" s="63"/>
      <c r="AI773" s="65" t="s">
        <v>107</v>
      </c>
      <c r="AJ773" s="64" t="s">
        <v>4550</v>
      </c>
      <c r="AK773" s="50" t="s">
        <v>81</v>
      </c>
      <c r="AL773" s="45" t="s">
        <v>109</v>
      </c>
      <c r="AM773" s="43">
        <v>3.213605848E9</v>
      </c>
      <c r="AN773" s="64">
        <v>3.213624001E9</v>
      </c>
      <c r="AO773" s="116"/>
      <c r="AP773" s="84"/>
      <c r="AQ773" s="84"/>
      <c r="AR773" s="84"/>
      <c r="AS773" s="85"/>
      <c r="AT773" s="50"/>
      <c r="AU773" s="43"/>
      <c r="AV773" s="43"/>
      <c r="AW773" s="43"/>
      <c r="AX773" s="43"/>
      <c r="AY773" s="43" t="s">
        <v>106</v>
      </c>
      <c r="AZ773" s="50"/>
      <c r="BA773" s="43" t="s">
        <v>89</v>
      </c>
      <c r="BB773" s="50"/>
      <c r="BC773" s="95" t="s">
        <v>439</v>
      </c>
      <c r="BD773" s="71"/>
      <c r="BE773" s="71"/>
      <c r="BF773" s="72" t="s">
        <v>4604</v>
      </c>
      <c r="BG773" s="73"/>
      <c r="BH773" s="73"/>
      <c r="BI773" s="73"/>
      <c r="BJ773" s="73"/>
      <c r="BK773" s="73"/>
      <c r="BL773" s="73"/>
      <c r="BM773" s="73"/>
      <c r="BN773" s="73"/>
      <c r="BO773" s="73"/>
      <c r="BP773" s="73"/>
      <c r="BQ773" s="73"/>
      <c r="BR773" s="73"/>
      <c r="BS773" s="73"/>
      <c r="BT773" s="73"/>
      <c r="BU773" s="73"/>
      <c r="BV773" s="73"/>
      <c r="BW773" s="74"/>
      <c r="BX773" s="74"/>
      <c r="BY773" s="63"/>
      <c r="BZ773" s="63"/>
    </row>
    <row r="774" ht="15.75" customHeight="1">
      <c r="A774" s="159" t="s">
        <v>4605</v>
      </c>
      <c r="B774" s="50" t="s">
        <v>4606</v>
      </c>
      <c r="C774" s="50" t="s">
        <v>70</v>
      </c>
      <c r="D774" s="50" t="s">
        <v>4607</v>
      </c>
      <c r="E774" s="77"/>
      <c r="F774" s="78">
        <v>3.8E8</v>
      </c>
      <c r="G774" s="44" t="str">
        <f t="shared" si="16"/>
        <v>$300'000.000 a $400'000.000</v>
      </c>
      <c r="H774" s="44"/>
      <c r="I774" s="44"/>
      <c r="J774" s="50" t="s">
        <v>183</v>
      </c>
      <c r="K774" s="51" t="s">
        <v>241</v>
      </c>
      <c r="L774" s="43">
        <v>2.0</v>
      </c>
      <c r="M774" s="43"/>
      <c r="N774" s="43">
        <v>3.0</v>
      </c>
      <c r="O774" s="43">
        <v>1.0</v>
      </c>
      <c r="P774" s="43">
        <v>2.0</v>
      </c>
      <c r="Q774" s="89">
        <v>0.0</v>
      </c>
      <c r="R774" s="89">
        <v>0.0</v>
      </c>
      <c r="S774" s="56" t="str">
        <f t="shared" si="20"/>
        <v> </v>
      </c>
      <c r="T774" s="43" t="s">
        <v>78</v>
      </c>
      <c r="U774" s="56" t="s">
        <v>77</v>
      </c>
      <c r="V774" s="43" t="s">
        <v>79</v>
      </c>
      <c r="W774" s="43"/>
      <c r="X774" s="43">
        <v>2.0</v>
      </c>
      <c r="Y774" s="43" t="s">
        <v>80</v>
      </c>
      <c r="Z774" s="58" t="s">
        <v>81</v>
      </c>
      <c r="AA774" s="59" t="str">
        <f>IF(Rentabilidad=0,"No aplica",TEXT(ROUND(Precio/Rentabilidad/12,0),0) &amp; " años")</f>
        <v>No aplica</v>
      </c>
      <c r="AB774" s="180" t="s">
        <v>4608</v>
      </c>
      <c r="AC774" s="83" t="s">
        <v>4609</v>
      </c>
      <c r="AD774" s="110" t="s">
        <v>4610</v>
      </c>
      <c r="AE774" s="63"/>
      <c r="AF774" s="45" t="s">
        <v>236</v>
      </c>
      <c r="AG774" s="65" t="s">
        <v>106</v>
      </c>
      <c r="AH774" s="63"/>
      <c r="AI774" s="65" t="s">
        <v>107</v>
      </c>
      <c r="AJ774" s="64" t="s">
        <v>4550</v>
      </c>
      <c r="AK774" s="50" t="s">
        <v>81</v>
      </c>
      <c r="AL774" s="45" t="s">
        <v>109</v>
      </c>
      <c r="AM774" s="43">
        <v>3.213605848E9</v>
      </c>
      <c r="AN774" s="64">
        <v>3.213624001E9</v>
      </c>
      <c r="AO774" s="52"/>
      <c r="AP774" s="67"/>
      <c r="AQ774" s="67"/>
      <c r="AR774" s="67"/>
      <c r="AS774" s="135"/>
      <c r="AT774" s="44"/>
      <c r="AU774" s="52"/>
      <c r="AV774" s="52"/>
      <c r="AW774" s="43" t="s">
        <v>106</v>
      </c>
      <c r="AX774" s="52"/>
      <c r="AY774" s="43" t="s">
        <v>137</v>
      </c>
      <c r="AZ774" s="52"/>
      <c r="BA774" s="43" t="s">
        <v>89</v>
      </c>
      <c r="BB774" s="52"/>
      <c r="BC774" s="95"/>
      <c r="BD774" s="71"/>
      <c r="BE774" s="71"/>
      <c r="BF774" s="72" t="s">
        <v>4611</v>
      </c>
      <c r="BG774" s="73"/>
      <c r="BH774" s="73"/>
      <c r="BI774" s="73"/>
      <c r="BJ774" s="73"/>
      <c r="BK774" s="73"/>
      <c r="BL774" s="73"/>
      <c r="BM774" s="73"/>
      <c r="BN774" s="73"/>
      <c r="BO774" s="73"/>
      <c r="BP774" s="73"/>
      <c r="BQ774" s="73"/>
      <c r="BR774" s="73"/>
      <c r="BS774" s="73"/>
      <c r="BT774" s="73"/>
      <c r="BU774" s="73"/>
      <c r="BV774" s="73"/>
      <c r="BW774" s="74"/>
      <c r="BX774" s="74"/>
      <c r="BY774" s="63"/>
      <c r="BZ774" s="63"/>
    </row>
    <row r="775" ht="15.75" customHeight="1">
      <c r="A775" s="75" t="s">
        <v>4612</v>
      </c>
      <c r="B775" s="50" t="s">
        <v>4613</v>
      </c>
      <c r="C775" s="50" t="s">
        <v>70</v>
      </c>
      <c r="D775" s="50" t="s">
        <v>4614</v>
      </c>
      <c r="E775" s="45"/>
      <c r="F775" s="78">
        <v>3.7E8</v>
      </c>
      <c r="G775" s="44" t="str">
        <f t="shared" si="16"/>
        <v>$300'000.000 a $400'000.000</v>
      </c>
      <c r="H775" s="44"/>
      <c r="I775" s="44"/>
      <c r="J775" s="50" t="s">
        <v>116</v>
      </c>
      <c r="K775" s="51"/>
      <c r="L775" s="50">
        <v>3.0</v>
      </c>
      <c r="M775" s="50"/>
      <c r="N775" s="50">
        <v>3.0</v>
      </c>
      <c r="O775" s="50">
        <v>1.0</v>
      </c>
      <c r="P775" s="50">
        <v>3.0</v>
      </c>
      <c r="Q775" s="79">
        <v>140.0</v>
      </c>
      <c r="R775" s="79">
        <v>72.0</v>
      </c>
      <c r="S775" s="56" t="str">
        <f t="shared" si="20"/>
        <v> </v>
      </c>
      <c r="T775" s="43" t="s">
        <v>78</v>
      </c>
      <c r="U775" s="56" t="s">
        <v>77</v>
      </c>
      <c r="V775" s="50" t="s">
        <v>79</v>
      </c>
      <c r="W775" s="50"/>
      <c r="X775" s="50">
        <v>3.0</v>
      </c>
      <c r="Y775" s="50" t="s">
        <v>80</v>
      </c>
      <c r="Z775" s="58" t="s">
        <v>81</v>
      </c>
      <c r="AA775" s="343" t="s">
        <v>81</v>
      </c>
      <c r="AB775" s="134" t="s">
        <v>4615</v>
      </c>
      <c r="AC775" s="124" t="s">
        <v>4616</v>
      </c>
      <c r="AD775" s="107" t="s">
        <v>899</v>
      </c>
      <c r="AE775" s="63"/>
      <c r="AF775" s="64" t="s">
        <v>105</v>
      </c>
      <c r="AG775" s="65" t="s">
        <v>106</v>
      </c>
      <c r="AH775" s="65"/>
      <c r="AI775" s="65" t="s">
        <v>107</v>
      </c>
      <c r="AJ775" s="64" t="s">
        <v>4550</v>
      </c>
      <c r="AK775" s="50" t="s">
        <v>81</v>
      </c>
      <c r="AL775" s="45" t="s">
        <v>109</v>
      </c>
      <c r="AM775" s="43">
        <v>3.213605848E9</v>
      </c>
      <c r="AN775" s="64">
        <v>3.213624001E9</v>
      </c>
      <c r="AO775" s="43">
        <v>0.0</v>
      </c>
      <c r="AP775" s="84">
        <v>0.0</v>
      </c>
      <c r="AQ775" s="84"/>
      <c r="AR775" s="84"/>
      <c r="AS775" s="94">
        <v>0.0</v>
      </c>
      <c r="AT775" s="50">
        <v>0.0</v>
      </c>
      <c r="AU775" s="43">
        <v>0.0</v>
      </c>
      <c r="AV775" s="43">
        <v>3.0</v>
      </c>
      <c r="AW775" s="43" t="s">
        <v>106</v>
      </c>
      <c r="AX775" s="43">
        <v>0.0</v>
      </c>
      <c r="AY775" s="43" t="s">
        <v>137</v>
      </c>
      <c r="AZ775" s="43">
        <v>0.0</v>
      </c>
      <c r="BA775" s="43" t="s">
        <v>89</v>
      </c>
      <c r="BB775" s="43">
        <v>0.0</v>
      </c>
      <c r="BC775" s="69" t="s">
        <v>4617</v>
      </c>
      <c r="BD775" s="70"/>
      <c r="BE775" s="70"/>
      <c r="BF775" s="72" t="s">
        <v>4618</v>
      </c>
      <c r="BG775" s="73"/>
      <c r="BH775" s="73"/>
      <c r="BI775" s="73"/>
      <c r="BJ775" s="73"/>
      <c r="BK775" s="73"/>
      <c r="BL775" s="73"/>
      <c r="BM775" s="73"/>
      <c r="BN775" s="73"/>
      <c r="BO775" s="73"/>
      <c r="BP775" s="73"/>
      <c r="BQ775" s="73"/>
      <c r="BR775" s="73"/>
      <c r="BS775" s="73"/>
      <c r="BT775" s="73"/>
      <c r="BU775" s="73"/>
      <c r="BV775" s="73"/>
      <c r="BW775" s="74"/>
      <c r="BX775" s="74"/>
      <c r="BY775" s="63"/>
      <c r="BZ775" s="63"/>
    </row>
    <row r="776" ht="15.75" customHeight="1">
      <c r="A776" s="75" t="s">
        <v>4619</v>
      </c>
      <c r="B776" s="50" t="s">
        <v>4620</v>
      </c>
      <c r="C776" s="50" t="s">
        <v>271</v>
      </c>
      <c r="D776" s="50" t="s">
        <v>1654</v>
      </c>
      <c r="E776" s="64"/>
      <c r="F776" s="78">
        <v>3.7E8</v>
      </c>
      <c r="G776" s="44" t="str">
        <f t="shared" si="16"/>
        <v>$300'000.000 a $400'000.000</v>
      </c>
      <c r="H776" s="44"/>
      <c r="I776" s="44"/>
      <c r="J776" s="50" t="s">
        <v>94</v>
      </c>
      <c r="K776" s="51" t="s">
        <v>117</v>
      </c>
      <c r="L776" s="50">
        <v>3.0</v>
      </c>
      <c r="M776" s="50"/>
      <c r="N776" s="50">
        <v>3.0</v>
      </c>
      <c r="O776" s="50">
        <v>1.0</v>
      </c>
      <c r="P776" s="50">
        <v>2.0</v>
      </c>
      <c r="Q776" s="88">
        <v>0.0</v>
      </c>
      <c r="R776" s="89">
        <v>0.0</v>
      </c>
      <c r="S776" s="56" t="str">
        <f t="shared" si="20"/>
        <v>Rentabilidad $1,400,000</v>
      </c>
      <c r="T776" s="50" t="s">
        <v>78</v>
      </c>
      <c r="U776" s="51" t="s">
        <v>184</v>
      </c>
      <c r="V776" s="50" t="s">
        <v>118</v>
      </c>
      <c r="W776" s="50"/>
      <c r="X776" s="50">
        <v>3.0</v>
      </c>
      <c r="Y776" s="50" t="s">
        <v>80</v>
      </c>
      <c r="Z776" s="58" t="s">
        <v>81</v>
      </c>
      <c r="AA776" s="59" t="str">
        <f>IF(Rentabilidad=0,"No aplica",TEXT(ROUND(Precio/Rentabilidad/12,0),0) &amp; " años")</f>
        <v>22 años</v>
      </c>
      <c r="AB776" s="82" t="s">
        <v>4621</v>
      </c>
      <c r="AC776" s="131" t="s">
        <v>4622</v>
      </c>
      <c r="AD776" s="107" t="s">
        <v>4623</v>
      </c>
      <c r="AE776" s="63"/>
      <c r="AF776" s="45" t="s">
        <v>236</v>
      </c>
      <c r="AG776" s="65" t="s">
        <v>106</v>
      </c>
      <c r="AH776" s="63"/>
      <c r="AI776" s="65" t="s">
        <v>107</v>
      </c>
      <c r="AJ776" s="64" t="s">
        <v>4550</v>
      </c>
      <c r="AK776" s="50" t="s">
        <v>81</v>
      </c>
      <c r="AL776" s="45" t="s">
        <v>109</v>
      </c>
      <c r="AM776" s="43">
        <v>3.213605848E9</v>
      </c>
      <c r="AN776" s="64">
        <v>3.213624001E9</v>
      </c>
      <c r="AO776" s="116"/>
      <c r="AP776" s="84"/>
      <c r="AQ776" s="84"/>
      <c r="AR776" s="84"/>
      <c r="AS776" s="85">
        <v>1400000.0</v>
      </c>
      <c r="AT776" s="50" t="s">
        <v>88</v>
      </c>
      <c r="AU776" s="43">
        <v>0.0</v>
      </c>
      <c r="AV776" s="43">
        <v>0.0</v>
      </c>
      <c r="AW776" s="43" t="s">
        <v>88</v>
      </c>
      <c r="AX776" s="43"/>
      <c r="AY776" s="43" t="s">
        <v>106</v>
      </c>
      <c r="AZ776" s="50">
        <v>0.0</v>
      </c>
      <c r="BA776" s="43" t="s">
        <v>89</v>
      </c>
      <c r="BB776" s="50">
        <v>0.0</v>
      </c>
      <c r="BC776" s="95"/>
      <c r="BD776" s="71"/>
      <c r="BE776" s="71"/>
      <c r="BF776" s="72" t="s">
        <v>4624</v>
      </c>
      <c r="BG776" s="73"/>
      <c r="BH776" s="73"/>
      <c r="BI776" s="73"/>
      <c r="BJ776" s="73"/>
      <c r="BK776" s="73"/>
      <c r="BL776" s="73"/>
      <c r="BM776" s="73"/>
      <c r="BN776" s="73"/>
      <c r="BO776" s="73"/>
      <c r="BP776" s="73"/>
      <c r="BQ776" s="73"/>
      <c r="BR776" s="73"/>
      <c r="BS776" s="73"/>
      <c r="BT776" s="73"/>
      <c r="BU776" s="73"/>
      <c r="BV776" s="73"/>
      <c r="BW776" s="74"/>
      <c r="BX776" s="74"/>
      <c r="BY776" s="63"/>
      <c r="BZ776" s="63"/>
    </row>
    <row r="777" ht="15.75" customHeight="1">
      <c r="A777" s="75" t="s">
        <v>4625</v>
      </c>
      <c r="B777" s="50" t="s">
        <v>4626</v>
      </c>
      <c r="C777" s="111" t="s">
        <v>323</v>
      </c>
      <c r="D777" s="50"/>
      <c r="E777" s="64" t="s">
        <v>4627</v>
      </c>
      <c r="F777" s="78">
        <v>3.5E8</v>
      </c>
      <c r="G777" s="44" t="str">
        <f t="shared" si="16"/>
        <v>$300'000.000 a $400'000.000</v>
      </c>
      <c r="H777" s="44"/>
      <c r="I777" s="44"/>
      <c r="J777" s="50" t="s">
        <v>94</v>
      </c>
      <c r="K777" s="51" t="s">
        <v>117</v>
      </c>
      <c r="L777" s="50">
        <v>3.0</v>
      </c>
      <c r="M777" s="50"/>
      <c r="N777" s="50">
        <v>2.0</v>
      </c>
      <c r="O777" s="50">
        <v>2.0</v>
      </c>
      <c r="P777" s="50">
        <v>3.0</v>
      </c>
      <c r="Q777" s="88">
        <v>88.39</v>
      </c>
      <c r="R777" s="88">
        <v>88.39</v>
      </c>
      <c r="S777" s="56" t="str">
        <f t="shared" si="20"/>
        <v> </v>
      </c>
      <c r="T777" s="50" t="s">
        <v>78</v>
      </c>
      <c r="U777" s="51" t="s">
        <v>77</v>
      </c>
      <c r="V777" s="50" t="s">
        <v>642</v>
      </c>
      <c r="W777" s="50"/>
      <c r="X777" s="50">
        <v>3.0</v>
      </c>
      <c r="Y777" s="50" t="s">
        <v>130</v>
      </c>
      <c r="Z777" s="58">
        <v>375000.0</v>
      </c>
      <c r="AA777" s="59" t="str">
        <f>IF(Rentabilidad=0,"No aplica",TEXT(ROUND(Precio/Rentabilidad/12,0),0) &amp; " años")</f>
        <v>No aplica</v>
      </c>
      <c r="AB777" s="82" t="s">
        <v>4628</v>
      </c>
      <c r="AC777" s="83" t="s">
        <v>4629</v>
      </c>
      <c r="AD777" s="83" t="s">
        <v>4630</v>
      </c>
      <c r="AE777" s="63"/>
      <c r="AF777" s="64" t="s">
        <v>105</v>
      </c>
      <c r="AG777" s="65" t="s">
        <v>106</v>
      </c>
      <c r="AH777" s="63"/>
      <c r="AI777" s="65" t="s">
        <v>107</v>
      </c>
      <c r="AJ777" s="64" t="s">
        <v>4550</v>
      </c>
      <c r="AK777" s="50" t="s">
        <v>81</v>
      </c>
      <c r="AL777" s="45" t="s">
        <v>109</v>
      </c>
      <c r="AM777" s="43">
        <v>3.213605848E9</v>
      </c>
      <c r="AN777" s="64">
        <v>3.213624001E9</v>
      </c>
      <c r="AO777" s="43">
        <v>0.0</v>
      </c>
      <c r="AP777" s="67"/>
      <c r="AQ777" s="67"/>
      <c r="AR777" s="67"/>
      <c r="AS777" s="94"/>
      <c r="AT777" s="65" t="s">
        <v>106</v>
      </c>
      <c r="AU777" s="50">
        <v>0.0</v>
      </c>
      <c r="AV777" s="50">
        <v>0.0</v>
      </c>
      <c r="AW777" s="50" t="s">
        <v>88</v>
      </c>
      <c r="AX777" s="44"/>
      <c r="AY777" s="50" t="s">
        <v>137</v>
      </c>
      <c r="AZ777" s="50">
        <v>0.0</v>
      </c>
      <c r="BA777" s="43" t="s">
        <v>89</v>
      </c>
      <c r="BB777" s="50">
        <v>0.0</v>
      </c>
      <c r="BC777" s="95"/>
      <c r="BD777" s="71"/>
      <c r="BE777" s="71"/>
      <c r="BF777" s="72" t="s">
        <v>4631</v>
      </c>
      <c r="BG777" s="73"/>
      <c r="BH777" s="73"/>
      <c r="BI777" s="73"/>
      <c r="BJ777" s="73"/>
      <c r="BK777" s="73"/>
      <c r="BL777" s="73"/>
      <c r="BM777" s="73"/>
      <c r="BN777" s="73"/>
      <c r="BO777" s="73"/>
      <c r="BP777" s="73"/>
      <c r="BQ777" s="73"/>
      <c r="BR777" s="73"/>
      <c r="BS777" s="73"/>
      <c r="BT777" s="73"/>
      <c r="BU777" s="73"/>
      <c r="BV777" s="73"/>
      <c r="BW777" s="74"/>
      <c r="BX777" s="74"/>
      <c r="BY777" s="63"/>
      <c r="BZ777" s="63"/>
    </row>
    <row r="778" ht="15.75" customHeight="1">
      <c r="A778" s="133" t="s">
        <v>4632</v>
      </c>
      <c r="B778" s="43" t="s">
        <v>4633</v>
      </c>
      <c r="C778" s="43" t="s">
        <v>128</v>
      </c>
      <c r="D778" s="310"/>
      <c r="E778" s="77" t="s">
        <v>4634</v>
      </c>
      <c r="F778" s="78">
        <v>3.5E8</v>
      </c>
      <c r="G778" s="44" t="str">
        <f t="shared" si="16"/>
        <v>$300'000.000 a $400'000.000</v>
      </c>
      <c r="H778" s="44"/>
      <c r="I778" s="44"/>
      <c r="J778" s="43" t="s">
        <v>94</v>
      </c>
      <c r="K778" s="51"/>
      <c r="L778" s="43">
        <v>3.0</v>
      </c>
      <c r="M778" s="43"/>
      <c r="N778" s="43">
        <v>3.0</v>
      </c>
      <c r="O778" s="43">
        <v>1.0</v>
      </c>
      <c r="P778" s="43">
        <v>2.0</v>
      </c>
      <c r="Q778" s="55">
        <v>163.0</v>
      </c>
      <c r="R778" s="55">
        <v>102.0</v>
      </c>
      <c r="S778" s="56" t="str">
        <f t="shared" si="20"/>
        <v> </v>
      </c>
      <c r="T778" s="43" t="s">
        <v>78</v>
      </c>
      <c r="U778" s="56" t="s">
        <v>142</v>
      </c>
      <c r="V778" s="43" t="s">
        <v>79</v>
      </c>
      <c r="W778" s="43"/>
      <c r="X778" s="43">
        <v>3.0</v>
      </c>
      <c r="Y778" s="43" t="s">
        <v>130</v>
      </c>
      <c r="Z778" s="58">
        <v>0.0</v>
      </c>
      <c r="AA778" s="81" t="s">
        <v>81</v>
      </c>
      <c r="AB778" s="165" t="s">
        <v>4635</v>
      </c>
      <c r="AC778" s="131" t="s">
        <v>4636</v>
      </c>
      <c r="AD778" s="107" t="s">
        <v>4637</v>
      </c>
      <c r="AE778" s="63"/>
      <c r="AF778" s="64" t="s">
        <v>105</v>
      </c>
      <c r="AG778" s="65" t="s">
        <v>106</v>
      </c>
      <c r="AH778" s="65"/>
      <c r="AI778" s="65" t="s">
        <v>107</v>
      </c>
      <c r="AJ778" s="64" t="s">
        <v>4550</v>
      </c>
      <c r="AK778" s="50" t="s">
        <v>81</v>
      </c>
      <c r="AL778" s="45" t="s">
        <v>109</v>
      </c>
      <c r="AM778" s="43">
        <v>3.213605848E9</v>
      </c>
      <c r="AN778" s="64">
        <v>3.213624001E9</v>
      </c>
      <c r="AO778" s="43">
        <v>0.0</v>
      </c>
      <c r="AP778" s="84">
        <v>0.0</v>
      </c>
      <c r="AQ778" s="84"/>
      <c r="AR778" s="84"/>
      <c r="AS778" s="85">
        <v>0.0</v>
      </c>
      <c r="AT778" s="50">
        <v>0.0</v>
      </c>
      <c r="AU778" s="43">
        <v>0.0</v>
      </c>
      <c r="AV778" s="43" t="s">
        <v>106</v>
      </c>
      <c r="AW778" s="43" t="s">
        <v>106</v>
      </c>
      <c r="AX778" s="43">
        <v>0.0</v>
      </c>
      <c r="AY778" s="43" t="s">
        <v>106</v>
      </c>
      <c r="AZ778" s="50">
        <v>0.0</v>
      </c>
      <c r="BA778" s="43" t="s">
        <v>89</v>
      </c>
      <c r="BB778" s="50">
        <v>0.0</v>
      </c>
      <c r="BC778" s="86"/>
      <c r="BD778" s="71"/>
      <c r="BE778" s="71"/>
      <c r="BF778" s="72" t="s">
        <v>4638</v>
      </c>
      <c r="BG778" s="73"/>
      <c r="BH778" s="73"/>
      <c r="BI778" s="73"/>
      <c r="BJ778" s="73"/>
      <c r="BK778" s="73"/>
      <c r="BL778" s="73"/>
      <c r="BM778" s="73"/>
      <c r="BN778" s="73"/>
      <c r="BO778" s="73"/>
      <c r="BP778" s="73"/>
      <c r="BQ778" s="73"/>
      <c r="BR778" s="73"/>
      <c r="BS778" s="73"/>
      <c r="BT778" s="73"/>
      <c r="BU778" s="73"/>
      <c r="BV778" s="73"/>
      <c r="BW778" s="74"/>
      <c r="BX778" s="74"/>
      <c r="BY778" s="63"/>
      <c r="BZ778" s="63"/>
    </row>
    <row r="779" ht="15.75" customHeight="1">
      <c r="A779" s="75" t="s">
        <v>4639</v>
      </c>
      <c r="B779" s="50" t="s">
        <v>4640</v>
      </c>
      <c r="C779" s="111" t="s">
        <v>323</v>
      </c>
      <c r="D779" s="50"/>
      <c r="E779" s="64" t="s">
        <v>4641</v>
      </c>
      <c r="F779" s="78">
        <v>3.0E8</v>
      </c>
      <c r="G779" s="44" t="str">
        <f t="shared" si="16"/>
        <v>$300'000.000 a $400'000.000</v>
      </c>
      <c r="H779" s="44"/>
      <c r="I779" s="44"/>
      <c r="J779" s="50" t="s">
        <v>94</v>
      </c>
      <c r="K779" s="51"/>
      <c r="L779" s="50">
        <v>3.0</v>
      </c>
      <c r="M779" s="50"/>
      <c r="N779" s="50">
        <v>2.0</v>
      </c>
      <c r="O779" s="50">
        <v>1.0</v>
      </c>
      <c r="P779" s="50">
        <v>6.0</v>
      </c>
      <c r="Q779" s="88">
        <v>0.0</v>
      </c>
      <c r="R779" s="89">
        <v>0.0</v>
      </c>
      <c r="S779" s="56" t="str">
        <f t="shared" si="20"/>
        <v> </v>
      </c>
      <c r="T779" s="50" t="s">
        <v>78</v>
      </c>
      <c r="U779" s="51" t="s">
        <v>77</v>
      </c>
      <c r="V779" s="50" t="s">
        <v>696</v>
      </c>
      <c r="W779" s="50"/>
      <c r="X779" s="50">
        <v>3.0</v>
      </c>
      <c r="Y779" s="50" t="s">
        <v>130</v>
      </c>
      <c r="Z779" s="58">
        <v>356400.0</v>
      </c>
      <c r="AA779" s="59" t="str">
        <f>IF(Rentabilidad=0,"No aplica",TEXT(ROUND(Precio/Rentabilidad/12,0),0) &amp; " años")</f>
        <v>No aplica</v>
      </c>
      <c r="AB779" s="82" t="s">
        <v>4642</v>
      </c>
      <c r="AC779" s="83" t="s">
        <v>4643</v>
      </c>
      <c r="AD779" s="83" t="s">
        <v>4644</v>
      </c>
      <c r="AE779" s="63"/>
      <c r="AF779" s="64" t="s">
        <v>105</v>
      </c>
      <c r="AG779" s="65" t="s">
        <v>106</v>
      </c>
      <c r="AH779" s="63"/>
      <c r="AI779" s="65" t="s">
        <v>107</v>
      </c>
      <c r="AJ779" s="64" t="s">
        <v>4550</v>
      </c>
      <c r="AK779" s="50" t="s">
        <v>81</v>
      </c>
      <c r="AL779" s="45" t="s">
        <v>109</v>
      </c>
      <c r="AM779" s="43">
        <v>3.213605848E9</v>
      </c>
      <c r="AN779" s="64">
        <v>3.213624001E9</v>
      </c>
      <c r="AO779" s="43">
        <v>0.0</v>
      </c>
      <c r="AP779" s="67"/>
      <c r="AQ779" s="67"/>
      <c r="AR779" s="67"/>
      <c r="AS779" s="94"/>
      <c r="AT779" s="65" t="s">
        <v>106</v>
      </c>
      <c r="AU779" s="50">
        <v>0.0</v>
      </c>
      <c r="AV779" s="50">
        <v>0.0</v>
      </c>
      <c r="AW779" s="50" t="s">
        <v>88</v>
      </c>
      <c r="AX779" s="44"/>
      <c r="AY779" s="50">
        <v>0.0</v>
      </c>
      <c r="AZ779" s="50">
        <v>0.0</v>
      </c>
      <c r="BA779" s="43" t="s">
        <v>89</v>
      </c>
      <c r="BB779" s="50">
        <v>0.0</v>
      </c>
      <c r="BC779" s="95"/>
      <c r="BD779" s="71"/>
      <c r="BE779" s="71"/>
      <c r="BF779" s="72" t="s">
        <v>4645</v>
      </c>
      <c r="BG779" s="73"/>
      <c r="BH779" s="73"/>
      <c r="BI779" s="73"/>
      <c r="BJ779" s="73"/>
      <c r="BK779" s="73"/>
      <c r="BL779" s="73"/>
      <c r="BM779" s="73"/>
      <c r="BN779" s="73"/>
      <c r="BO779" s="73"/>
      <c r="BP779" s="73"/>
      <c r="BQ779" s="73"/>
      <c r="BR779" s="73"/>
      <c r="BS779" s="73"/>
      <c r="BT779" s="73"/>
      <c r="BU779" s="73"/>
      <c r="BV779" s="73"/>
      <c r="BW779" s="74"/>
      <c r="BX779" s="74"/>
      <c r="BY779" s="63"/>
      <c r="BZ779" s="63"/>
    </row>
    <row r="780" ht="15.75" customHeight="1">
      <c r="A780" s="75" t="s">
        <v>4646</v>
      </c>
      <c r="B780" s="50" t="s">
        <v>4647</v>
      </c>
      <c r="C780" s="50" t="s">
        <v>70</v>
      </c>
      <c r="D780" s="50" t="s">
        <v>3893</v>
      </c>
      <c r="E780" s="64"/>
      <c r="F780" s="78">
        <v>2.8E8</v>
      </c>
      <c r="G780" s="44" t="str">
        <f t="shared" si="16"/>
        <v>$200'000.000 a $300'000.000</v>
      </c>
      <c r="H780" s="44"/>
      <c r="I780" s="44"/>
      <c r="J780" s="50" t="s">
        <v>183</v>
      </c>
      <c r="K780" s="51" t="s">
        <v>184</v>
      </c>
      <c r="L780" s="50">
        <v>4.0</v>
      </c>
      <c r="M780" s="50"/>
      <c r="N780" s="50">
        <v>3.0</v>
      </c>
      <c r="O780" s="50">
        <v>1.0</v>
      </c>
      <c r="P780" s="50">
        <v>2.0</v>
      </c>
      <c r="Q780" s="88">
        <v>0.0</v>
      </c>
      <c r="R780" s="89">
        <v>0.0</v>
      </c>
      <c r="S780" s="56" t="str">
        <f t="shared" si="20"/>
        <v> </v>
      </c>
      <c r="T780" s="50" t="s">
        <v>78</v>
      </c>
      <c r="U780" s="51" t="s">
        <v>184</v>
      </c>
      <c r="V780" s="50" t="s">
        <v>79</v>
      </c>
      <c r="W780" s="50"/>
      <c r="X780" s="50">
        <v>3.0</v>
      </c>
      <c r="Y780" s="50" t="s">
        <v>80</v>
      </c>
      <c r="Z780" s="58" t="s">
        <v>81</v>
      </c>
      <c r="AA780" s="59" t="str">
        <f>IF(Rentabilidad=0,"No aplica",TEXT(ROUND(Precio/Rentabilidad/12,0),0) &amp; " años")</f>
        <v>No aplica</v>
      </c>
      <c r="AB780" s="82" t="s">
        <v>4648</v>
      </c>
      <c r="AC780" s="131" t="s">
        <v>4649</v>
      </c>
      <c r="AD780" s="107" t="s">
        <v>4650</v>
      </c>
      <c r="AE780" s="63"/>
      <c r="AF780" s="45" t="s">
        <v>236</v>
      </c>
      <c r="AG780" s="65" t="s">
        <v>106</v>
      </c>
      <c r="AH780" s="63"/>
      <c r="AI780" s="65" t="s">
        <v>107</v>
      </c>
      <c r="AJ780" s="64" t="s">
        <v>4550</v>
      </c>
      <c r="AK780" s="50" t="s">
        <v>81</v>
      </c>
      <c r="AL780" s="45" t="s">
        <v>109</v>
      </c>
      <c r="AM780" s="43">
        <v>3.213605848E9</v>
      </c>
      <c r="AN780" s="64">
        <v>3.213624001E9</v>
      </c>
      <c r="AO780" s="116"/>
      <c r="AP780" s="84"/>
      <c r="AQ780" s="84"/>
      <c r="AR780" s="84"/>
      <c r="AS780" s="85">
        <v>0.0</v>
      </c>
      <c r="AT780" s="50" t="s">
        <v>88</v>
      </c>
      <c r="AU780" s="43">
        <v>0.0</v>
      </c>
      <c r="AV780" s="43">
        <v>0.0</v>
      </c>
      <c r="AW780" s="43" t="s">
        <v>106</v>
      </c>
      <c r="AX780" s="43"/>
      <c r="AY780" s="43" t="s">
        <v>106</v>
      </c>
      <c r="AZ780" s="50">
        <v>0.0</v>
      </c>
      <c r="BA780" s="43" t="s">
        <v>89</v>
      </c>
      <c r="BB780" s="50">
        <v>0.0</v>
      </c>
      <c r="BC780" s="109"/>
      <c r="BD780" s="70"/>
      <c r="BE780" s="70"/>
      <c r="BF780" s="72" t="s">
        <v>4651</v>
      </c>
      <c r="BG780" s="73"/>
      <c r="BH780" s="73"/>
      <c r="BI780" s="73"/>
      <c r="BJ780" s="73"/>
      <c r="BK780" s="73"/>
      <c r="BL780" s="73"/>
      <c r="BM780" s="73"/>
      <c r="BN780" s="73"/>
      <c r="BO780" s="73"/>
      <c r="BP780" s="73"/>
      <c r="BQ780" s="73"/>
      <c r="BR780" s="73"/>
      <c r="BS780" s="73"/>
      <c r="BT780" s="73"/>
      <c r="BU780" s="73"/>
      <c r="BV780" s="73"/>
      <c r="BW780" s="74"/>
      <c r="BX780" s="74"/>
      <c r="BY780" s="63"/>
      <c r="BZ780" s="63"/>
    </row>
    <row r="781" ht="15.75" customHeight="1">
      <c r="A781" s="75" t="s">
        <v>4652</v>
      </c>
      <c r="B781" s="50" t="s">
        <v>4653</v>
      </c>
      <c r="C781" s="111" t="s">
        <v>70</v>
      </c>
      <c r="D781" s="50" t="s">
        <v>293</v>
      </c>
      <c r="E781" s="64"/>
      <c r="F781" s="78">
        <v>2.65E8</v>
      </c>
      <c r="G781" s="44" t="str">
        <f t="shared" si="16"/>
        <v>$200'000.000 a $300'000.000</v>
      </c>
      <c r="H781" s="44"/>
      <c r="I781" s="44"/>
      <c r="J781" s="50" t="s">
        <v>116</v>
      </c>
      <c r="K781" s="51" t="s">
        <v>294</v>
      </c>
      <c r="L781" s="50">
        <v>3.0</v>
      </c>
      <c r="M781" s="50"/>
      <c r="N781" s="50">
        <v>2.0</v>
      </c>
      <c r="O781" s="50">
        <v>1.0</v>
      </c>
      <c r="P781" s="50">
        <v>1.0</v>
      </c>
      <c r="Q781" s="88">
        <v>90.0</v>
      </c>
      <c r="R781" s="88">
        <v>90.0</v>
      </c>
      <c r="S781" s="56" t="str">
        <f t="shared" si="20"/>
        <v> </v>
      </c>
      <c r="T781" s="50" t="s">
        <v>78</v>
      </c>
      <c r="U781" s="51" t="s">
        <v>184</v>
      </c>
      <c r="V781" s="50" t="s">
        <v>79</v>
      </c>
      <c r="W781" s="50"/>
      <c r="X781" s="50">
        <v>3.0</v>
      </c>
      <c r="Y781" s="50" t="s">
        <v>80</v>
      </c>
      <c r="Z781" s="58" t="s">
        <v>81</v>
      </c>
      <c r="AA781" s="59" t="str">
        <f>IF(Rentabilidad=0,"No aplica",TEXT(ROUND(Precio/Rentabilidad/12,0),0) &amp; " años")</f>
        <v>No aplica</v>
      </c>
      <c r="AB781" s="82" t="s">
        <v>4654</v>
      </c>
      <c r="AC781" s="83" t="s">
        <v>4655</v>
      </c>
      <c r="AD781" s="83" t="s">
        <v>4656</v>
      </c>
      <c r="AE781" s="63"/>
      <c r="AF781" s="64" t="s">
        <v>105</v>
      </c>
      <c r="AG781" s="65" t="s">
        <v>106</v>
      </c>
      <c r="AH781" s="63"/>
      <c r="AI781" s="65" t="s">
        <v>107</v>
      </c>
      <c r="AJ781" s="64" t="s">
        <v>4550</v>
      </c>
      <c r="AK781" s="50" t="s">
        <v>81</v>
      </c>
      <c r="AL781" s="45" t="s">
        <v>109</v>
      </c>
      <c r="AM781" s="43">
        <v>3.213605848E9</v>
      </c>
      <c r="AN781" s="64">
        <v>3.213624001E9</v>
      </c>
      <c r="AO781" s="52"/>
      <c r="AP781" s="67"/>
      <c r="AQ781" s="67"/>
      <c r="AR781" s="67"/>
      <c r="AS781" s="94">
        <v>0.0</v>
      </c>
      <c r="AT781" s="65">
        <v>0.0</v>
      </c>
      <c r="AU781" s="50">
        <v>0.0</v>
      </c>
      <c r="AV781" s="50">
        <v>0.0</v>
      </c>
      <c r="AW781" s="50" t="s">
        <v>106</v>
      </c>
      <c r="AX781" s="50">
        <v>0.0</v>
      </c>
      <c r="AY781" s="50">
        <v>0.0</v>
      </c>
      <c r="AZ781" s="50">
        <v>0.0</v>
      </c>
      <c r="BA781" s="43" t="s">
        <v>89</v>
      </c>
      <c r="BB781" s="50">
        <v>0.0</v>
      </c>
      <c r="BC781" s="95"/>
      <c r="BD781" s="71"/>
      <c r="BE781" s="71"/>
      <c r="BF781" s="72" t="s">
        <v>4657</v>
      </c>
      <c r="BG781" s="73"/>
      <c r="BH781" s="73"/>
      <c r="BI781" s="73"/>
      <c r="BJ781" s="73"/>
      <c r="BK781" s="73"/>
      <c r="BL781" s="73"/>
      <c r="BM781" s="73"/>
      <c r="BN781" s="73"/>
      <c r="BO781" s="73"/>
      <c r="BP781" s="73"/>
      <c r="BQ781" s="73"/>
      <c r="BR781" s="73"/>
      <c r="BS781" s="73"/>
      <c r="BT781" s="73"/>
      <c r="BU781" s="73"/>
      <c r="BV781" s="73"/>
      <c r="BW781" s="74"/>
      <c r="BX781" s="74"/>
      <c r="BY781" s="63"/>
      <c r="BZ781" s="63"/>
    </row>
    <row r="782" ht="15.75" customHeight="1">
      <c r="A782" s="75" t="s">
        <v>4658</v>
      </c>
      <c r="B782" s="50" t="s">
        <v>3719</v>
      </c>
      <c r="C782" s="50" t="s">
        <v>70</v>
      </c>
      <c r="D782" s="50" t="s">
        <v>4659</v>
      </c>
      <c r="E782" s="64"/>
      <c r="F782" s="78">
        <v>2.65E8</v>
      </c>
      <c r="G782" s="44" t="str">
        <f t="shared" si="16"/>
        <v>$200'000.000 a $300'000.000</v>
      </c>
      <c r="H782" s="44"/>
      <c r="I782" s="44"/>
      <c r="J782" s="50" t="s">
        <v>116</v>
      </c>
      <c r="K782" s="51" t="s">
        <v>154</v>
      </c>
      <c r="L782" s="50">
        <v>3.0</v>
      </c>
      <c r="M782" s="50"/>
      <c r="N782" s="50">
        <v>2.0</v>
      </c>
      <c r="O782" s="50">
        <v>1.0</v>
      </c>
      <c r="P782" s="50">
        <v>1.0</v>
      </c>
      <c r="Q782" s="88">
        <v>101.25</v>
      </c>
      <c r="R782" s="88">
        <v>102.25</v>
      </c>
      <c r="S782" s="56" t="str">
        <f t="shared" si="20"/>
        <v> </v>
      </c>
      <c r="T782" s="50" t="s">
        <v>78</v>
      </c>
      <c r="U782" s="51" t="s">
        <v>77</v>
      </c>
      <c r="V782" s="50" t="s">
        <v>79</v>
      </c>
      <c r="W782" s="50"/>
      <c r="X782" s="50">
        <v>3.0</v>
      </c>
      <c r="Y782" s="50" t="s">
        <v>80</v>
      </c>
      <c r="Z782" s="58" t="s">
        <v>81</v>
      </c>
      <c r="AA782" s="59" t="str">
        <f>IF(Rentabilidad=0,"No aplica",TEXT(ROUND(Precio/Rentabilidad/12,0),0) &amp; " años")</f>
        <v>No aplica</v>
      </c>
      <c r="AB782" s="82" t="s">
        <v>4660</v>
      </c>
      <c r="AC782" s="83" t="s">
        <v>4661</v>
      </c>
      <c r="AD782" s="83" t="s">
        <v>4662</v>
      </c>
      <c r="AE782" s="63"/>
      <c r="AF782" s="64" t="s">
        <v>105</v>
      </c>
      <c r="AG782" s="65" t="s">
        <v>106</v>
      </c>
      <c r="AH782" s="63"/>
      <c r="AI782" s="65" t="s">
        <v>107</v>
      </c>
      <c r="AJ782" s="64" t="s">
        <v>4550</v>
      </c>
      <c r="AK782" s="50" t="s">
        <v>81</v>
      </c>
      <c r="AL782" s="45" t="s">
        <v>109</v>
      </c>
      <c r="AM782" s="43">
        <v>3.213605848E9</v>
      </c>
      <c r="AN782" s="64">
        <v>3.213624001E9</v>
      </c>
      <c r="AO782" s="52"/>
      <c r="AP782" s="67"/>
      <c r="AQ782" s="67"/>
      <c r="AR782" s="67"/>
      <c r="AS782" s="94">
        <v>0.0</v>
      </c>
      <c r="AT782" s="65">
        <v>0.0</v>
      </c>
      <c r="AU782" s="50">
        <v>0.0</v>
      </c>
      <c r="AV782" s="50">
        <v>0.0</v>
      </c>
      <c r="AW782" s="50" t="s">
        <v>106</v>
      </c>
      <c r="AX782" s="50">
        <v>0.0</v>
      </c>
      <c r="AY782" s="50">
        <v>0.0</v>
      </c>
      <c r="AZ782" s="50">
        <v>0.0</v>
      </c>
      <c r="BA782" s="43" t="s">
        <v>89</v>
      </c>
      <c r="BB782" s="50">
        <v>0.0</v>
      </c>
      <c r="BC782" s="95"/>
      <c r="BD782" s="71"/>
      <c r="BE782" s="71"/>
      <c r="BF782" s="72" t="s">
        <v>4663</v>
      </c>
      <c r="BG782" s="73"/>
      <c r="BH782" s="73"/>
      <c r="BI782" s="73"/>
      <c r="BJ782" s="73"/>
      <c r="BK782" s="73"/>
      <c r="BL782" s="73"/>
      <c r="BM782" s="73"/>
      <c r="BN782" s="73"/>
      <c r="BO782" s="73"/>
      <c r="BP782" s="73"/>
      <c r="BQ782" s="73"/>
      <c r="BR782" s="73"/>
      <c r="BS782" s="73"/>
      <c r="BT782" s="73"/>
      <c r="BU782" s="73"/>
      <c r="BV782" s="73"/>
      <c r="BW782" s="74"/>
      <c r="BX782" s="74"/>
      <c r="BY782" s="63"/>
      <c r="BZ782" s="63"/>
    </row>
    <row r="783" ht="15.75" customHeight="1">
      <c r="A783" s="75" t="s">
        <v>4664</v>
      </c>
      <c r="B783" s="50" t="s">
        <v>4665</v>
      </c>
      <c r="C783" s="50" t="s">
        <v>70</v>
      </c>
      <c r="D783" s="50" t="s">
        <v>349</v>
      </c>
      <c r="E783" s="64"/>
      <c r="F783" s="78">
        <v>2.5E8</v>
      </c>
      <c r="G783" s="44" t="str">
        <f t="shared" si="16"/>
        <v>$200'000.000 a $300'000.000</v>
      </c>
      <c r="H783" s="44"/>
      <c r="I783" s="44"/>
      <c r="J783" s="50" t="s">
        <v>116</v>
      </c>
      <c r="K783" s="51" t="s">
        <v>294</v>
      </c>
      <c r="L783" s="50">
        <v>3.0</v>
      </c>
      <c r="M783" s="50"/>
      <c r="N783" s="50">
        <v>2.0</v>
      </c>
      <c r="O783" s="50">
        <v>1.0</v>
      </c>
      <c r="P783" s="50">
        <v>1.0</v>
      </c>
      <c r="Q783" s="88">
        <v>0.0</v>
      </c>
      <c r="R783" s="89">
        <v>0.0</v>
      </c>
      <c r="S783" s="56" t="str">
        <f t="shared" si="20"/>
        <v> </v>
      </c>
      <c r="T783" s="50" t="s">
        <v>78</v>
      </c>
      <c r="U783" s="51" t="s">
        <v>77</v>
      </c>
      <c r="V783" s="50" t="s">
        <v>79</v>
      </c>
      <c r="W783" s="50"/>
      <c r="X783" s="50">
        <v>3.0</v>
      </c>
      <c r="Y783" s="50" t="s">
        <v>80</v>
      </c>
      <c r="Z783" s="58" t="s">
        <v>81</v>
      </c>
      <c r="AA783" s="59" t="str">
        <f>IF(Rentabilidad=0,"No aplica",TEXT(ROUND(Precio/Rentabilidad/12,0),0) &amp; " años")</f>
        <v>No aplica</v>
      </c>
      <c r="AB783" s="82" t="s">
        <v>4666</v>
      </c>
      <c r="AC783" s="83" t="s">
        <v>4667</v>
      </c>
      <c r="AD783" s="83" t="s">
        <v>4668</v>
      </c>
      <c r="AE783" s="63"/>
      <c r="AF783" s="64" t="s">
        <v>105</v>
      </c>
      <c r="AG783" s="65" t="s">
        <v>106</v>
      </c>
      <c r="AH783" s="63"/>
      <c r="AI783" s="65" t="s">
        <v>107</v>
      </c>
      <c r="AJ783" s="64" t="s">
        <v>4550</v>
      </c>
      <c r="AK783" s="50" t="s">
        <v>81</v>
      </c>
      <c r="AL783" s="45" t="s">
        <v>109</v>
      </c>
      <c r="AM783" s="43">
        <v>3.213605848E9</v>
      </c>
      <c r="AN783" s="64">
        <v>3.213624001E9</v>
      </c>
      <c r="AO783" s="52"/>
      <c r="AP783" s="67"/>
      <c r="AQ783" s="67"/>
      <c r="AR783" s="67"/>
      <c r="AS783" s="94">
        <v>0.0</v>
      </c>
      <c r="AT783" s="65">
        <v>0.0</v>
      </c>
      <c r="AU783" s="50">
        <v>0.0</v>
      </c>
      <c r="AV783" s="50">
        <v>0.0</v>
      </c>
      <c r="AW783" s="50" t="s">
        <v>106</v>
      </c>
      <c r="AX783" s="50">
        <v>0.0</v>
      </c>
      <c r="AY783" s="50">
        <v>0.0</v>
      </c>
      <c r="AZ783" s="50">
        <v>0.0</v>
      </c>
      <c r="BA783" s="43" t="s">
        <v>89</v>
      </c>
      <c r="BB783" s="50">
        <v>0.0</v>
      </c>
      <c r="BC783" s="95"/>
      <c r="BD783" s="71"/>
      <c r="BE783" s="71"/>
      <c r="BF783" s="72" t="s">
        <v>4669</v>
      </c>
      <c r="BG783" s="73"/>
      <c r="BH783" s="73"/>
      <c r="BI783" s="73"/>
      <c r="BJ783" s="73"/>
      <c r="BK783" s="73"/>
      <c r="BL783" s="73"/>
      <c r="BM783" s="73"/>
      <c r="BN783" s="73"/>
      <c r="BO783" s="73"/>
      <c r="BP783" s="73"/>
      <c r="BQ783" s="73"/>
      <c r="BR783" s="73"/>
      <c r="BS783" s="73"/>
      <c r="BT783" s="73"/>
      <c r="BU783" s="73"/>
      <c r="BV783" s="73"/>
      <c r="BW783" s="74"/>
      <c r="BX783" s="74"/>
      <c r="BY783" s="63"/>
      <c r="BZ783" s="63"/>
    </row>
    <row r="784" ht="15.75" customHeight="1">
      <c r="A784" s="75" t="s">
        <v>4670</v>
      </c>
      <c r="B784" s="50" t="s">
        <v>4671</v>
      </c>
      <c r="C784" s="50" t="s">
        <v>128</v>
      </c>
      <c r="E784" s="50" t="s">
        <v>4672</v>
      </c>
      <c r="F784" s="78">
        <v>2.5E8</v>
      </c>
      <c r="G784" s="44" t="str">
        <f t="shared" si="16"/>
        <v>$200'000.000 a $300'000.000</v>
      </c>
      <c r="H784" s="44"/>
      <c r="I784" s="44"/>
      <c r="J784" s="50" t="s">
        <v>94</v>
      </c>
      <c r="K784" s="51"/>
      <c r="L784" s="50">
        <v>3.0</v>
      </c>
      <c r="M784" s="50"/>
      <c r="N784" s="50">
        <v>2.0</v>
      </c>
      <c r="O784" s="50">
        <v>1.0</v>
      </c>
      <c r="P784" s="50">
        <v>2.0</v>
      </c>
      <c r="Q784" s="88">
        <v>0.0</v>
      </c>
      <c r="R784" s="89">
        <v>0.0</v>
      </c>
      <c r="S784" s="56" t="str">
        <f t="shared" si="20"/>
        <v> </v>
      </c>
      <c r="T784" s="50" t="s">
        <v>78</v>
      </c>
      <c r="U784" s="51" t="s">
        <v>184</v>
      </c>
      <c r="V784" s="50" t="s">
        <v>79</v>
      </c>
      <c r="W784" s="50"/>
      <c r="X784" s="50">
        <v>3.0</v>
      </c>
      <c r="Y784" s="50" t="s">
        <v>80</v>
      </c>
      <c r="Z784" s="58" t="s">
        <v>81</v>
      </c>
      <c r="AA784" s="59" t="str">
        <f>IF(Rentabilidad=0,"No aplica",TEXT(ROUND(Precio/Rentabilidad/12,0),0) &amp; " años")</f>
        <v>No aplica</v>
      </c>
      <c r="AB784" s="82" t="s">
        <v>4673</v>
      </c>
      <c r="AC784" s="83" t="s">
        <v>4674</v>
      </c>
      <c r="AD784" s="83" t="s">
        <v>4675</v>
      </c>
      <c r="AE784" s="63"/>
      <c r="AF784" s="64" t="s">
        <v>105</v>
      </c>
      <c r="AG784" s="65" t="s">
        <v>106</v>
      </c>
      <c r="AH784" s="63"/>
      <c r="AI784" s="65" t="s">
        <v>107</v>
      </c>
      <c r="AJ784" s="64" t="s">
        <v>4550</v>
      </c>
      <c r="AK784" s="50" t="s">
        <v>81</v>
      </c>
      <c r="AL784" s="45" t="s">
        <v>109</v>
      </c>
      <c r="AM784" s="43">
        <v>3.213605848E9</v>
      </c>
      <c r="AN784" s="64">
        <v>3.213624001E9</v>
      </c>
      <c r="AO784" s="52"/>
      <c r="AP784" s="67"/>
      <c r="AQ784" s="67"/>
      <c r="AR784" s="67"/>
      <c r="AS784" s="94">
        <v>0.0</v>
      </c>
      <c r="AT784" s="65">
        <v>0.0</v>
      </c>
      <c r="AU784" s="50">
        <v>0.0</v>
      </c>
      <c r="AV784" s="50">
        <v>0.0</v>
      </c>
      <c r="AW784" s="50" t="s">
        <v>106</v>
      </c>
      <c r="AX784" s="50">
        <v>0.0</v>
      </c>
      <c r="AY784" s="50">
        <v>0.0</v>
      </c>
      <c r="AZ784" s="50">
        <v>0.0</v>
      </c>
      <c r="BA784" s="43" t="s">
        <v>89</v>
      </c>
      <c r="BB784" s="50">
        <v>0.0</v>
      </c>
      <c r="BC784" s="95"/>
      <c r="BD784" s="71"/>
      <c r="BE784" s="71"/>
      <c r="BF784" s="72" t="s">
        <v>4676</v>
      </c>
      <c r="BG784" s="73"/>
      <c r="BH784" s="73"/>
      <c r="BI784" s="73"/>
      <c r="BJ784" s="73"/>
      <c r="BK784" s="73"/>
      <c r="BL784" s="73"/>
      <c r="BM784" s="73"/>
      <c r="BN784" s="73"/>
      <c r="BO784" s="73"/>
      <c r="BP784" s="73"/>
      <c r="BQ784" s="73"/>
      <c r="BR784" s="73"/>
      <c r="BS784" s="73"/>
      <c r="BT784" s="73"/>
      <c r="BU784" s="73"/>
      <c r="BV784" s="73"/>
      <c r="BW784" s="74"/>
      <c r="BX784" s="74"/>
      <c r="BY784" s="63"/>
      <c r="BZ784" s="63"/>
    </row>
    <row r="785" ht="15.75" customHeight="1">
      <c r="A785" s="75" t="s">
        <v>4677</v>
      </c>
      <c r="B785" s="50" t="s">
        <v>4678</v>
      </c>
      <c r="C785" s="50" t="s">
        <v>128</v>
      </c>
      <c r="D785" s="44"/>
      <c r="E785" s="77" t="s">
        <v>4679</v>
      </c>
      <c r="F785" s="78">
        <v>2.45E8</v>
      </c>
      <c r="G785" s="44" t="str">
        <f t="shared" si="16"/>
        <v>$200'000.000 a $300'000.000</v>
      </c>
      <c r="H785" s="44"/>
      <c r="I785" s="44"/>
      <c r="J785" s="50" t="s">
        <v>183</v>
      </c>
      <c r="K785" s="51"/>
      <c r="L785" s="50">
        <v>3.0</v>
      </c>
      <c r="M785" s="50"/>
      <c r="N785" s="50">
        <v>3.0</v>
      </c>
      <c r="O785" s="50">
        <v>1.0</v>
      </c>
      <c r="P785" s="50">
        <v>2.0</v>
      </c>
      <c r="Q785" s="113"/>
      <c r="R785" s="79">
        <v>104.0</v>
      </c>
      <c r="S785" s="56" t="str">
        <f t="shared" si="20"/>
        <v> </v>
      </c>
      <c r="T785" s="50" t="s">
        <v>78</v>
      </c>
      <c r="U785" s="51" t="s">
        <v>77</v>
      </c>
      <c r="V785" s="50" t="s">
        <v>79</v>
      </c>
      <c r="W785" s="50"/>
      <c r="X785" s="50">
        <v>3.0</v>
      </c>
      <c r="Y785" s="50" t="s">
        <v>130</v>
      </c>
      <c r="Z785" s="80">
        <v>85000.0</v>
      </c>
      <c r="AA785" s="59"/>
      <c r="AB785" s="140" t="s">
        <v>4680</v>
      </c>
      <c r="AC785" s="336" t="s">
        <v>4681</v>
      </c>
      <c r="AD785" s="336" t="s">
        <v>4682</v>
      </c>
      <c r="AE785" s="63"/>
      <c r="AF785" s="64" t="s">
        <v>105</v>
      </c>
      <c r="AG785" s="65" t="s">
        <v>106</v>
      </c>
      <c r="AH785" s="65"/>
      <c r="AI785" s="65" t="s">
        <v>107</v>
      </c>
      <c r="AJ785" s="64" t="s">
        <v>4550</v>
      </c>
      <c r="AK785" s="50" t="s">
        <v>81</v>
      </c>
      <c r="AL785" s="45" t="s">
        <v>109</v>
      </c>
      <c r="AM785" s="43">
        <v>3.213605848E9</v>
      </c>
      <c r="AN785" s="64">
        <v>3.213624001E9</v>
      </c>
      <c r="AO785" s="52"/>
      <c r="AP785" s="67"/>
      <c r="AQ785" s="67"/>
      <c r="AR785" s="67"/>
      <c r="AS785" s="68"/>
      <c r="AT785" s="65">
        <v>0.0</v>
      </c>
      <c r="AU785" s="50">
        <v>0.0</v>
      </c>
      <c r="AV785" s="50">
        <v>0.0</v>
      </c>
      <c r="AW785" s="50" t="s">
        <v>88</v>
      </c>
      <c r="AX785" s="50">
        <v>0.0</v>
      </c>
      <c r="AY785" s="50" t="s">
        <v>106</v>
      </c>
      <c r="AZ785" s="50">
        <v>0.0</v>
      </c>
      <c r="BA785" s="43" t="s">
        <v>89</v>
      </c>
      <c r="BB785" s="50">
        <v>0.0</v>
      </c>
      <c r="BC785" s="69" t="s">
        <v>4683</v>
      </c>
      <c r="BD785" s="70"/>
      <c r="BE785" s="70"/>
      <c r="BF785" s="72" t="s">
        <v>4684</v>
      </c>
      <c r="BG785" s="73"/>
      <c r="BH785" s="73"/>
      <c r="BI785" s="73"/>
      <c r="BJ785" s="73"/>
      <c r="BK785" s="73"/>
      <c r="BL785" s="73"/>
      <c r="BM785" s="73"/>
      <c r="BN785" s="73"/>
      <c r="BO785" s="73"/>
      <c r="BP785" s="73"/>
      <c r="BQ785" s="73"/>
      <c r="BR785" s="73"/>
      <c r="BS785" s="73"/>
      <c r="BT785" s="73"/>
      <c r="BU785" s="73"/>
      <c r="BV785" s="73"/>
      <c r="BW785" s="74"/>
      <c r="BX785" s="74"/>
      <c r="BY785" s="63"/>
      <c r="BZ785" s="63"/>
    </row>
    <row r="786" ht="15.75" customHeight="1">
      <c r="A786" s="75" t="s">
        <v>4685</v>
      </c>
      <c r="B786" s="50" t="s">
        <v>4686</v>
      </c>
      <c r="C786" s="50" t="s">
        <v>70</v>
      </c>
      <c r="D786" s="50" t="s">
        <v>308</v>
      </c>
      <c r="E786" s="64"/>
      <c r="F786" s="78">
        <v>2.4E8</v>
      </c>
      <c r="G786" s="44" t="str">
        <f t="shared" si="16"/>
        <v>$200'000.000 a $300'000.000</v>
      </c>
      <c r="H786" s="44"/>
      <c r="I786" s="44"/>
      <c r="J786" s="50" t="s">
        <v>94</v>
      </c>
      <c r="K786" s="51" t="s">
        <v>117</v>
      </c>
      <c r="L786" s="50">
        <v>3.0</v>
      </c>
      <c r="M786" s="50"/>
      <c r="N786" s="50">
        <v>3.0</v>
      </c>
      <c r="O786" s="50">
        <v>1.0</v>
      </c>
      <c r="P786" s="50">
        <v>2.0</v>
      </c>
      <c r="Q786" s="88">
        <v>0.0</v>
      </c>
      <c r="R786" s="89">
        <v>0.0</v>
      </c>
      <c r="S786" s="56" t="str">
        <f t="shared" si="20"/>
        <v> </v>
      </c>
      <c r="T786" s="50" t="s">
        <v>78</v>
      </c>
      <c r="U786" s="51" t="s">
        <v>184</v>
      </c>
      <c r="V786" s="50" t="s">
        <v>79</v>
      </c>
      <c r="W786" s="50"/>
      <c r="X786" s="50">
        <v>3.0</v>
      </c>
      <c r="Y786" s="50" t="s">
        <v>80</v>
      </c>
      <c r="Z786" s="58" t="s">
        <v>81</v>
      </c>
      <c r="AA786" s="59" t="str">
        <f>IF(Rentabilidad=0,"No aplica",TEXT(ROUND(Precio/Rentabilidad/12,0),0) &amp; " años")</f>
        <v>No aplica</v>
      </c>
      <c r="AB786" s="82" t="s">
        <v>4687</v>
      </c>
      <c r="AC786" s="83" t="s">
        <v>4688</v>
      </c>
      <c r="AD786" s="83" t="s">
        <v>4689</v>
      </c>
      <c r="AE786" s="63"/>
      <c r="AF786" s="64" t="s">
        <v>105</v>
      </c>
      <c r="AG786" s="65" t="s">
        <v>106</v>
      </c>
      <c r="AH786" s="63"/>
      <c r="AI786" s="65" t="s">
        <v>107</v>
      </c>
      <c r="AJ786" s="64" t="s">
        <v>4550</v>
      </c>
      <c r="AK786" s="50" t="s">
        <v>81</v>
      </c>
      <c r="AL786" s="45" t="s">
        <v>109</v>
      </c>
      <c r="AM786" s="43">
        <v>3.213605848E9</v>
      </c>
      <c r="AN786" s="64">
        <v>3.213624001E9</v>
      </c>
      <c r="AO786" s="52"/>
      <c r="AP786" s="67"/>
      <c r="AQ786" s="67"/>
      <c r="AR786" s="67"/>
      <c r="AS786" s="94">
        <v>0.0</v>
      </c>
      <c r="AT786" s="65">
        <v>0.0</v>
      </c>
      <c r="AU786" s="50">
        <v>0.0</v>
      </c>
      <c r="AV786" s="50">
        <v>1.0</v>
      </c>
      <c r="AW786" s="50" t="s">
        <v>106</v>
      </c>
      <c r="AX786" s="50">
        <v>0.0</v>
      </c>
      <c r="AY786" s="50">
        <v>0.0</v>
      </c>
      <c r="AZ786" s="50">
        <v>0.0</v>
      </c>
      <c r="BA786" s="43" t="s">
        <v>89</v>
      </c>
      <c r="BB786" s="50">
        <v>0.0</v>
      </c>
      <c r="BC786" s="95"/>
      <c r="BD786" s="71"/>
      <c r="BE786" s="71"/>
      <c r="BF786" s="72" t="s">
        <v>4690</v>
      </c>
      <c r="BG786" s="73"/>
      <c r="BH786" s="73"/>
      <c r="BI786" s="73"/>
      <c r="BJ786" s="73"/>
      <c r="BK786" s="73"/>
      <c r="BL786" s="73"/>
      <c r="BM786" s="73"/>
      <c r="BN786" s="73"/>
      <c r="BO786" s="73"/>
      <c r="BP786" s="73"/>
      <c r="BQ786" s="73"/>
      <c r="BR786" s="73"/>
      <c r="BS786" s="73"/>
      <c r="BT786" s="73"/>
      <c r="BU786" s="73"/>
      <c r="BV786" s="73"/>
      <c r="BW786" s="74"/>
      <c r="BX786" s="74"/>
      <c r="BY786" s="63"/>
      <c r="BZ786" s="63"/>
    </row>
    <row r="787" ht="15.75" customHeight="1">
      <c r="A787" s="75" t="s">
        <v>4691</v>
      </c>
      <c r="B787" s="50" t="s">
        <v>4692</v>
      </c>
      <c r="C787" s="50" t="s">
        <v>70</v>
      </c>
      <c r="D787" s="50" t="s">
        <v>1931</v>
      </c>
      <c r="E787" s="64"/>
      <c r="F787" s="78">
        <v>2.39E8</v>
      </c>
      <c r="G787" s="44" t="str">
        <f t="shared" si="16"/>
        <v>$200'000.000 a $300'000.000</v>
      </c>
      <c r="H787" s="44"/>
      <c r="I787" s="44"/>
      <c r="J787" s="50" t="s">
        <v>76</v>
      </c>
      <c r="K787" s="51"/>
      <c r="L787" s="50">
        <v>3.0</v>
      </c>
      <c r="M787" s="50"/>
      <c r="N787" s="50">
        <v>2.0</v>
      </c>
      <c r="O787" s="50">
        <v>2.0</v>
      </c>
      <c r="P787" s="50">
        <v>1.0</v>
      </c>
      <c r="Q787" s="88">
        <v>130.0</v>
      </c>
      <c r="R787" s="88">
        <v>130.0</v>
      </c>
      <c r="S787" s="56" t="str">
        <f t="shared" si="20"/>
        <v> </v>
      </c>
      <c r="T787" s="50" t="s">
        <v>95</v>
      </c>
      <c r="U787" s="51" t="s">
        <v>184</v>
      </c>
      <c r="V787" s="50" t="s">
        <v>79</v>
      </c>
      <c r="W787" s="50"/>
      <c r="X787" s="50">
        <v>3.0</v>
      </c>
      <c r="Y787" s="50" t="s">
        <v>80</v>
      </c>
      <c r="Z787" s="58" t="s">
        <v>81</v>
      </c>
      <c r="AA787" s="59" t="str">
        <f>IF(Rentabilidad=0,"No aplica",TEXT(ROUND(Precio/Rentabilidad/12,0),0) &amp; " años")</f>
        <v>No aplica</v>
      </c>
      <c r="AB787" s="82" t="s">
        <v>4693</v>
      </c>
      <c r="AC787" s="325" t="s">
        <v>4694</v>
      </c>
      <c r="AD787" s="325" t="s">
        <v>4695</v>
      </c>
      <c r="AE787" s="63"/>
      <c r="AF787" s="64" t="s">
        <v>105</v>
      </c>
      <c r="AG787" s="65" t="s">
        <v>106</v>
      </c>
      <c r="AH787" s="63"/>
      <c r="AI787" s="65" t="s">
        <v>107</v>
      </c>
      <c r="AJ787" s="64" t="s">
        <v>4550</v>
      </c>
      <c r="AK787" s="50" t="s">
        <v>81</v>
      </c>
      <c r="AL787" s="45" t="s">
        <v>109</v>
      </c>
      <c r="AM787" s="43">
        <v>3.213605848E9</v>
      </c>
      <c r="AN787" s="64">
        <v>3.213624001E9</v>
      </c>
      <c r="AO787" s="52"/>
      <c r="AP787" s="67"/>
      <c r="AQ787" s="67"/>
      <c r="AR787" s="67"/>
      <c r="AS787" s="94">
        <v>0.0</v>
      </c>
      <c r="AT787" s="65">
        <v>0.0</v>
      </c>
      <c r="AU787" s="50">
        <v>0.0</v>
      </c>
      <c r="AV787" s="50">
        <v>0.0</v>
      </c>
      <c r="AW787" s="50" t="s">
        <v>106</v>
      </c>
      <c r="AX787" s="50">
        <v>0.0</v>
      </c>
      <c r="AY787" s="50">
        <v>0.0</v>
      </c>
      <c r="AZ787" s="50">
        <v>0.0</v>
      </c>
      <c r="BA787" s="43" t="s">
        <v>89</v>
      </c>
      <c r="BB787" s="50">
        <v>0.0</v>
      </c>
      <c r="BC787" s="95"/>
      <c r="BD787" s="71"/>
      <c r="BE787" s="71"/>
      <c r="BF787" s="72" t="s">
        <v>4696</v>
      </c>
      <c r="BG787" s="73"/>
      <c r="BH787" s="73"/>
      <c r="BI787" s="73"/>
      <c r="BJ787" s="73"/>
      <c r="BK787" s="73"/>
      <c r="BL787" s="73"/>
      <c r="BM787" s="73"/>
      <c r="BN787" s="73"/>
      <c r="BO787" s="73"/>
      <c r="BP787" s="73"/>
      <c r="BQ787" s="73"/>
      <c r="BR787" s="73"/>
      <c r="BS787" s="73"/>
      <c r="BT787" s="73"/>
      <c r="BU787" s="73"/>
      <c r="BV787" s="73"/>
      <c r="BW787" s="74"/>
      <c r="BX787" s="74"/>
      <c r="BY787" s="63"/>
      <c r="BZ787" s="63"/>
    </row>
    <row r="788" ht="15.75" customHeight="1">
      <c r="A788" s="75" t="s">
        <v>4697</v>
      </c>
      <c r="B788" s="50" t="s">
        <v>4698</v>
      </c>
      <c r="C788" s="50" t="s">
        <v>664</v>
      </c>
      <c r="D788" s="50"/>
      <c r="E788" s="64" t="s">
        <v>4699</v>
      </c>
      <c r="F788" s="78">
        <v>2.35E8</v>
      </c>
      <c r="G788" s="44" t="str">
        <f t="shared" si="16"/>
        <v>$200'000.000 a $300'000.000</v>
      </c>
      <c r="H788" s="44"/>
      <c r="I788" s="44"/>
      <c r="J788" s="50"/>
      <c r="K788" s="51"/>
      <c r="L788" s="50">
        <v>0.0</v>
      </c>
      <c r="M788" s="50"/>
      <c r="N788" s="50">
        <v>0.0</v>
      </c>
      <c r="O788" s="50">
        <v>0.0</v>
      </c>
      <c r="P788" s="50">
        <v>0.0</v>
      </c>
      <c r="Q788" s="88">
        <v>0.0</v>
      </c>
      <c r="R788" s="89">
        <v>0.0</v>
      </c>
      <c r="S788" s="56" t="str">
        <f t="shared" si="20"/>
        <v> </v>
      </c>
      <c r="T788" s="50" t="s">
        <v>342</v>
      </c>
      <c r="U788" s="57"/>
      <c r="V788" s="50" t="s">
        <v>79</v>
      </c>
      <c r="W788" s="50"/>
      <c r="X788" s="50">
        <v>0.0</v>
      </c>
      <c r="Y788" s="50" t="s">
        <v>130</v>
      </c>
      <c r="Z788" s="58" t="s">
        <v>81</v>
      </c>
      <c r="AA788" s="59" t="str">
        <f>IF(Rentabilidad=0,"No aplica",TEXT(ROUND(Precio/Rentabilidad/12,0),0) &amp; " años")</f>
        <v>No aplica</v>
      </c>
      <c r="AB788" s="82" t="s">
        <v>4700</v>
      </c>
      <c r="AC788" s="83" t="s">
        <v>4701</v>
      </c>
      <c r="AD788" s="83" t="s">
        <v>4702</v>
      </c>
      <c r="AE788" s="63"/>
      <c r="AF788" s="64">
        <v>0.0</v>
      </c>
      <c r="AG788" s="65" t="s">
        <v>106</v>
      </c>
      <c r="AH788" s="63"/>
      <c r="AI788" s="65" t="s">
        <v>107</v>
      </c>
      <c r="AJ788" s="64" t="s">
        <v>4550</v>
      </c>
      <c r="AK788" s="50" t="s">
        <v>81</v>
      </c>
      <c r="AL788" s="45" t="s">
        <v>109</v>
      </c>
      <c r="AM788" s="43">
        <v>3.213605848E9</v>
      </c>
      <c r="AN788" s="64">
        <v>3.213624001E9</v>
      </c>
      <c r="AO788" s="52"/>
      <c r="AP788" s="67"/>
      <c r="AQ788" s="67"/>
      <c r="AR788" s="67"/>
      <c r="AS788" s="94">
        <v>0.0</v>
      </c>
      <c r="AT788" s="65">
        <v>0.0</v>
      </c>
      <c r="AU788" s="50">
        <v>0.0</v>
      </c>
      <c r="AV788" s="50">
        <v>0.0</v>
      </c>
      <c r="AW788" s="50" t="s">
        <v>88</v>
      </c>
      <c r="AX788" s="50">
        <v>0.0</v>
      </c>
      <c r="AY788" s="50">
        <v>0.0</v>
      </c>
      <c r="AZ788" s="50">
        <v>0.0</v>
      </c>
      <c r="BA788" s="43" t="s">
        <v>89</v>
      </c>
      <c r="BB788" s="50">
        <v>0.0</v>
      </c>
      <c r="BC788" s="95"/>
      <c r="BD788" s="71"/>
      <c r="BE788" s="71"/>
      <c r="BF788" s="72" t="s">
        <v>4703</v>
      </c>
      <c r="BG788" s="73"/>
      <c r="BH788" s="73"/>
      <c r="BI788" s="73"/>
      <c r="BJ788" s="73"/>
      <c r="BK788" s="73"/>
      <c r="BL788" s="73"/>
      <c r="BM788" s="73"/>
      <c r="BN788" s="73"/>
      <c r="BO788" s="73"/>
      <c r="BP788" s="73"/>
      <c r="BQ788" s="73"/>
      <c r="BR788" s="73"/>
      <c r="BS788" s="73"/>
      <c r="BT788" s="73"/>
      <c r="BU788" s="73"/>
      <c r="BV788" s="73"/>
      <c r="BW788" s="74"/>
      <c r="BX788" s="74"/>
      <c r="BY788" s="63"/>
      <c r="BZ788" s="63"/>
    </row>
    <row r="789" ht="15.75" customHeight="1">
      <c r="A789" s="75" t="s">
        <v>4704</v>
      </c>
      <c r="B789" s="50" t="s">
        <v>4705</v>
      </c>
      <c r="C789" s="50" t="s">
        <v>323</v>
      </c>
      <c r="D789" s="50"/>
      <c r="E789" s="64" t="s">
        <v>721</v>
      </c>
      <c r="F789" s="78">
        <v>2.25E8</v>
      </c>
      <c r="G789" s="44" t="str">
        <f t="shared" si="16"/>
        <v>$200'000.000 a $300'000.000</v>
      </c>
      <c r="H789" s="44"/>
      <c r="I789" s="44"/>
      <c r="J789" s="50" t="s">
        <v>94</v>
      </c>
      <c r="K789" s="51" t="s">
        <v>117</v>
      </c>
      <c r="L789" s="50">
        <v>3.0</v>
      </c>
      <c r="M789" s="50"/>
      <c r="N789" s="50">
        <v>2.0</v>
      </c>
      <c r="O789" s="50">
        <v>1.0</v>
      </c>
      <c r="P789" s="50">
        <v>8.0</v>
      </c>
      <c r="Q789" s="88">
        <v>95.75</v>
      </c>
      <c r="R789" s="88">
        <v>104.6</v>
      </c>
      <c r="S789" s="56" t="str">
        <f t="shared" si="20"/>
        <v> </v>
      </c>
      <c r="T789" s="50" t="s">
        <v>78</v>
      </c>
      <c r="U789" s="51" t="s">
        <v>77</v>
      </c>
      <c r="V789" s="50" t="s">
        <v>4706</v>
      </c>
      <c r="W789" s="50"/>
      <c r="X789" s="50">
        <v>3.0</v>
      </c>
      <c r="Y789" s="50" t="s">
        <v>130</v>
      </c>
      <c r="Z789" s="91"/>
      <c r="AA789" s="59" t="str">
        <f>IF(Rentabilidad=0,"No aplica",TEXT(ROUND(Precio/Rentabilidad/12,0),0) &amp; " años")</f>
        <v>No aplica</v>
      </c>
      <c r="AB789" s="82" t="s">
        <v>4707</v>
      </c>
      <c r="AC789" s="83" t="s">
        <v>4708</v>
      </c>
      <c r="AD789" s="83" t="s">
        <v>4709</v>
      </c>
      <c r="AE789" s="63"/>
      <c r="AF789" s="64" t="s">
        <v>105</v>
      </c>
      <c r="AG789" s="65" t="s">
        <v>106</v>
      </c>
      <c r="AH789" s="63"/>
      <c r="AI789" s="65" t="s">
        <v>107</v>
      </c>
      <c r="AJ789" s="64" t="s">
        <v>4550</v>
      </c>
      <c r="AK789" s="50" t="s">
        <v>81</v>
      </c>
      <c r="AL789" s="45" t="s">
        <v>109</v>
      </c>
      <c r="AM789" s="43">
        <v>3.213605848E9</v>
      </c>
      <c r="AN789" s="64">
        <v>3.213624001E9</v>
      </c>
      <c r="AO789" s="52"/>
      <c r="AP789" s="67"/>
      <c r="AQ789" s="67"/>
      <c r="AR789" s="67"/>
      <c r="AS789" s="94">
        <v>0.0</v>
      </c>
      <c r="AT789" s="65" t="s">
        <v>106</v>
      </c>
      <c r="AU789" s="50">
        <v>0.0</v>
      </c>
      <c r="AV789" s="50">
        <v>0.0</v>
      </c>
      <c r="AW789" s="50" t="s">
        <v>88</v>
      </c>
      <c r="AX789" s="50">
        <v>0.0</v>
      </c>
      <c r="AY789" s="50">
        <v>0.0</v>
      </c>
      <c r="AZ789" s="50">
        <v>0.0</v>
      </c>
      <c r="BA789" s="43" t="s">
        <v>89</v>
      </c>
      <c r="BB789" s="50">
        <v>0.0</v>
      </c>
      <c r="BC789" s="95"/>
      <c r="BD789" s="71"/>
      <c r="BE789" s="71"/>
      <c r="BF789" s="72" t="s">
        <v>4710</v>
      </c>
      <c r="BG789" s="73"/>
      <c r="BH789" s="73"/>
      <c r="BI789" s="73"/>
      <c r="BJ789" s="73"/>
      <c r="BK789" s="73"/>
      <c r="BL789" s="73"/>
      <c r="BM789" s="73"/>
      <c r="BN789" s="73"/>
      <c r="BO789" s="73"/>
      <c r="BP789" s="73"/>
      <c r="BQ789" s="73"/>
      <c r="BR789" s="73"/>
      <c r="BS789" s="73"/>
      <c r="BT789" s="73"/>
      <c r="BU789" s="73"/>
      <c r="BV789" s="73"/>
      <c r="BW789" s="74"/>
      <c r="BX789" s="74"/>
      <c r="BY789" s="63"/>
      <c r="BZ789" s="63"/>
    </row>
    <row r="790" ht="15.75" customHeight="1">
      <c r="A790" s="75" t="s">
        <v>4711</v>
      </c>
      <c r="B790" s="50" t="s">
        <v>4712</v>
      </c>
      <c r="C790" s="50" t="s">
        <v>70</v>
      </c>
      <c r="D790" s="50"/>
      <c r="E790" s="64"/>
      <c r="F790" s="78">
        <v>2.25E8</v>
      </c>
      <c r="G790" s="44" t="str">
        <f t="shared" si="16"/>
        <v>$200'000.000 a $300'000.000</v>
      </c>
      <c r="H790" s="44"/>
      <c r="I790" s="44"/>
      <c r="J790" s="50" t="s">
        <v>94</v>
      </c>
      <c r="K790" s="51"/>
      <c r="L790" s="50">
        <v>3.0</v>
      </c>
      <c r="M790" s="50"/>
      <c r="N790" s="50">
        <v>2.0</v>
      </c>
      <c r="O790" s="50">
        <v>1.0</v>
      </c>
      <c r="P790" s="50">
        <v>1.0</v>
      </c>
      <c r="Q790" s="88">
        <v>97.5</v>
      </c>
      <c r="R790" s="88">
        <v>97.5</v>
      </c>
      <c r="S790" s="56" t="str">
        <f t="shared" si="20"/>
        <v> </v>
      </c>
      <c r="T790" s="50" t="s">
        <v>78</v>
      </c>
      <c r="U790" s="57"/>
      <c r="V790" s="50" t="s">
        <v>79</v>
      </c>
      <c r="W790" s="50"/>
      <c r="X790" s="50">
        <v>3.0</v>
      </c>
      <c r="Y790" s="50" t="s">
        <v>80</v>
      </c>
      <c r="Z790" s="58" t="s">
        <v>81</v>
      </c>
      <c r="AA790" s="59" t="str">
        <f>IF(Rentabilidad=0,"No aplica",TEXT(ROUND(Precio/Rentabilidad/12,0),0) &amp; " años")</f>
        <v>No aplica</v>
      </c>
      <c r="AB790" s="82" t="s">
        <v>4713</v>
      </c>
      <c r="AC790" s="83" t="s">
        <v>4714</v>
      </c>
      <c r="AD790" s="83" t="s">
        <v>4715</v>
      </c>
      <c r="AE790" s="63"/>
      <c r="AF790" s="64" t="s">
        <v>105</v>
      </c>
      <c r="AG790" s="65" t="s">
        <v>106</v>
      </c>
      <c r="AH790" s="63"/>
      <c r="AI790" s="65" t="s">
        <v>107</v>
      </c>
      <c r="AJ790" s="64" t="s">
        <v>4550</v>
      </c>
      <c r="AK790" s="50" t="s">
        <v>81</v>
      </c>
      <c r="AL790" s="45" t="s">
        <v>109</v>
      </c>
      <c r="AM790" s="43">
        <v>3.213605848E9</v>
      </c>
      <c r="AN790" s="64">
        <v>3.213624001E9</v>
      </c>
      <c r="AO790" s="52"/>
      <c r="AP790" s="67"/>
      <c r="AQ790" s="67"/>
      <c r="AR790" s="67"/>
      <c r="AS790" s="94">
        <v>0.0</v>
      </c>
      <c r="AT790" s="65">
        <v>0.0</v>
      </c>
      <c r="AU790" s="50">
        <v>0.0</v>
      </c>
      <c r="AV790" s="50">
        <v>1.0</v>
      </c>
      <c r="AW790" s="50" t="s">
        <v>106</v>
      </c>
      <c r="AX790" s="50">
        <v>0.0</v>
      </c>
      <c r="AY790" s="50">
        <v>0.0</v>
      </c>
      <c r="AZ790" s="50">
        <v>0.0</v>
      </c>
      <c r="BA790" s="43" t="s">
        <v>89</v>
      </c>
      <c r="BB790" s="50">
        <v>0.0</v>
      </c>
      <c r="BC790" s="95"/>
      <c r="BD790" s="71"/>
      <c r="BE790" s="71"/>
      <c r="BF790" s="72" t="s">
        <v>4716</v>
      </c>
      <c r="BG790" s="73"/>
      <c r="BH790" s="73"/>
      <c r="BI790" s="73"/>
      <c r="BJ790" s="73"/>
      <c r="BK790" s="73"/>
      <c r="BL790" s="73"/>
      <c r="BM790" s="73"/>
      <c r="BN790" s="73"/>
      <c r="BO790" s="73"/>
      <c r="BP790" s="73"/>
      <c r="BQ790" s="73"/>
      <c r="BR790" s="73"/>
      <c r="BS790" s="73"/>
      <c r="BT790" s="73"/>
      <c r="BU790" s="73"/>
      <c r="BV790" s="73"/>
      <c r="BW790" s="74"/>
      <c r="BX790" s="74"/>
      <c r="BY790" s="63"/>
      <c r="BZ790" s="63"/>
    </row>
    <row r="791" ht="15.75" customHeight="1">
      <c r="A791" s="133" t="s">
        <v>4717</v>
      </c>
      <c r="B791" s="50" t="s">
        <v>4718</v>
      </c>
      <c r="C791" s="50" t="s">
        <v>573</v>
      </c>
      <c r="D791" s="50" t="s">
        <v>131</v>
      </c>
      <c r="E791" s="64" t="s">
        <v>4719</v>
      </c>
      <c r="F791" s="78">
        <v>2.1E8</v>
      </c>
      <c r="G791" s="44" t="str">
        <f t="shared" si="16"/>
        <v>$200'000.000 a $300'000.000</v>
      </c>
      <c r="H791" s="44"/>
      <c r="I791" s="44"/>
      <c r="J791" s="50" t="s">
        <v>183</v>
      </c>
      <c r="K791" s="57"/>
      <c r="L791" s="50">
        <v>3.0</v>
      </c>
      <c r="M791" s="50"/>
      <c r="N791" s="50">
        <v>2.0</v>
      </c>
      <c r="O791" s="50">
        <v>1.0</v>
      </c>
      <c r="P791" s="50">
        <v>3.0</v>
      </c>
      <c r="Q791" s="55">
        <v>73.2</v>
      </c>
      <c r="R791" s="55">
        <v>73.2</v>
      </c>
      <c r="S791" s="56" t="str">
        <f t="shared" si="20"/>
        <v> </v>
      </c>
      <c r="T791" s="43" t="s">
        <v>78</v>
      </c>
      <c r="U791" s="51" t="s">
        <v>184</v>
      </c>
      <c r="V791" s="43" t="s">
        <v>642</v>
      </c>
      <c r="W791" s="43"/>
      <c r="X791" s="50">
        <v>3.0</v>
      </c>
      <c r="Y791" s="50" t="s">
        <v>130</v>
      </c>
      <c r="Z791" s="58">
        <v>0.0</v>
      </c>
      <c r="AA791" s="81" t="s">
        <v>81</v>
      </c>
      <c r="AB791" s="140" t="s">
        <v>4720</v>
      </c>
      <c r="AC791" s="124" t="s">
        <v>4721</v>
      </c>
      <c r="AD791" s="107" t="s">
        <v>1151</v>
      </c>
      <c r="AE791" s="63"/>
      <c r="AF791" s="64" t="s">
        <v>105</v>
      </c>
      <c r="AG791" s="65" t="s">
        <v>106</v>
      </c>
      <c r="AH791" s="63"/>
      <c r="AI791" s="65" t="s">
        <v>107</v>
      </c>
      <c r="AJ791" s="64" t="s">
        <v>4550</v>
      </c>
      <c r="AK791" s="50" t="s">
        <v>81</v>
      </c>
      <c r="AL791" s="45" t="s">
        <v>109</v>
      </c>
      <c r="AM791" s="43">
        <v>3.213605848E9</v>
      </c>
      <c r="AN791" s="64">
        <v>3.213624001E9</v>
      </c>
      <c r="AO791" s="43">
        <v>0.0</v>
      </c>
      <c r="AP791" s="84">
        <v>0.0</v>
      </c>
      <c r="AQ791" s="84"/>
      <c r="AR791" s="84"/>
      <c r="AS791" s="85">
        <v>0.0</v>
      </c>
      <c r="AT791" s="50" t="s">
        <v>106</v>
      </c>
      <c r="AU791" s="50" t="s">
        <v>106</v>
      </c>
      <c r="AV791" s="50">
        <v>0.0</v>
      </c>
      <c r="AW791" s="50" t="s">
        <v>88</v>
      </c>
      <c r="AX791" s="50">
        <v>0.0</v>
      </c>
      <c r="AY791" s="50">
        <v>0.0</v>
      </c>
      <c r="AZ791" s="50">
        <v>0.0</v>
      </c>
      <c r="BA791" s="43" t="s">
        <v>89</v>
      </c>
      <c r="BB791" s="50">
        <v>0.0</v>
      </c>
      <c r="BC791" s="95" t="s">
        <v>4722</v>
      </c>
      <c r="BD791" s="71"/>
      <c r="BE791" s="71"/>
      <c r="BF791" s="72" t="s">
        <v>4723</v>
      </c>
      <c r="BG791" s="73"/>
      <c r="BH791" s="73"/>
      <c r="BI791" s="73"/>
      <c r="BJ791" s="73"/>
      <c r="BK791" s="73"/>
      <c r="BL791" s="73"/>
      <c r="BM791" s="73"/>
      <c r="BN791" s="73"/>
      <c r="BO791" s="73"/>
      <c r="BP791" s="73"/>
      <c r="BQ791" s="73"/>
      <c r="BR791" s="73"/>
      <c r="BS791" s="73"/>
      <c r="BT791" s="73"/>
      <c r="BU791" s="73"/>
      <c r="BV791" s="73"/>
      <c r="BW791" s="74"/>
      <c r="BX791" s="74"/>
      <c r="BY791" s="63"/>
      <c r="BZ791" s="63"/>
    </row>
    <row r="792" ht="15.75" customHeight="1">
      <c r="A792" s="75" t="s">
        <v>4724</v>
      </c>
      <c r="B792" s="50" t="s">
        <v>4725</v>
      </c>
      <c r="C792" s="50" t="s">
        <v>323</v>
      </c>
      <c r="D792" s="50"/>
      <c r="E792" s="64" t="s">
        <v>4726</v>
      </c>
      <c r="F792" s="78">
        <v>2.05E8</v>
      </c>
      <c r="G792" s="44" t="str">
        <f t="shared" si="16"/>
        <v>$200'000.000 a $300'000.000</v>
      </c>
      <c r="H792" s="44"/>
      <c r="I792" s="44"/>
      <c r="J792" s="50" t="s">
        <v>183</v>
      </c>
      <c r="K792" s="51"/>
      <c r="L792" s="50">
        <v>3.0</v>
      </c>
      <c r="M792" s="50"/>
      <c r="N792" s="50">
        <v>2.0</v>
      </c>
      <c r="O792" s="50" t="s">
        <v>4727</v>
      </c>
      <c r="P792" s="50">
        <v>2.0</v>
      </c>
      <c r="Q792" s="88">
        <v>60.66</v>
      </c>
      <c r="R792" s="88">
        <v>60.66</v>
      </c>
      <c r="S792" s="56" t="str">
        <f t="shared" si="20"/>
        <v> </v>
      </c>
      <c r="T792" s="50" t="s">
        <v>78</v>
      </c>
      <c r="U792" s="51" t="s">
        <v>77</v>
      </c>
      <c r="V792" s="50" t="s">
        <v>542</v>
      </c>
      <c r="W792" s="50"/>
      <c r="X792" s="50">
        <v>3.0</v>
      </c>
      <c r="Y792" s="50" t="s">
        <v>130</v>
      </c>
      <c r="Z792" s="58">
        <v>163000.0</v>
      </c>
      <c r="AA792" s="59" t="str">
        <f>IF(Rentabilidad=0,"No aplica",TEXT(ROUND(Precio/Rentabilidad/12,0),0) &amp; " años")</f>
        <v>No aplica</v>
      </c>
      <c r="AB792" s="82" t="s">
        <v>4728</v>
      </c>
      <c r="AC792" s="325" t="s">
        <v>4729</v>
      </c>
      <c r="AD792" s="325" t="s">
        <v>4730</v>
      </c>
      <c r="AE792" s="63"/>
      <c r="AF792" s="64" t="s">
        <v>105</v>
      </c>
      <c r="AG792" s="65" t="s">
        <v>106</v>
      </c>
      <c r="AH792" s="63"/>
      <c r="AI792" s="65" t="s">
        <v>107</v>
      </c>
      <c r="AJ792" s="64" t="s">
        <v>4550</v>
      </c>
      <c r="AK792" s="50" t="s">
        <v>81</v>
      </c>
      <c r="AL792" s="45" t="s">
        <v>109</v>
      </c>
      <c r="AM792" s="43">
        <v>3.213605848E9</v>
      </c>
      <c r="AN792" s="64">
        <v>3.213624001E9</v>
      </c>
      <c r="AO792" s="52"/>
      <c r="AP792" s="67"/>
      <c r="AQ792" s="67"/>
      <c r="AR792" s="67"/>
      <c r="AS792" s="94">
        <v>0.0</v>
      </c>
      <c r="AT792" s="65" t="s">
        <v>106</v>
      </c>
      <c r="AU792" s="50">
        <v>0.0</v>
      </c>
      <c r="AV792" s="50">
        <v>0.0</v>
      </c>
      <c r="AW792" s="50" t="s">
        <v>88</v>
      </c>
      <c r="AX792" s="50">
        <v>0.0</v>
      </c>
      <c r="AY792" s="50">
        <v>0.0</v>
      </c>
      <c r="AZ792" s="50">
        <v>0.0</v>
      </c>
      <c r="BA792" s="43" t="s">
        <v>89</v>
      </c>
      <c r="BB792" s="50">
        <v>0.0</v>
      </c>
      <c r="BC792" s="95"/>
      <c r="BD792" s="71"/>
      <c r="BE792" s="71"/>
      <c r="BF792" s="72" t="s">
        <v>4731</v>
      </c>
      <c r="BG792" s="73"/>
      <c r="BH792" s="73"/>
      <c r="BI792" s="73"/>
      <c r="BJ792" s="73"/>
      <c r="BK792" s="73"/>
      <c r="BL792" s="73"/>
      <c r="BM792" s="73"/>
      <c r="BN792" s="73"/>
      <c r="BO792" s="73"/>
      <c r="BP792" s="73"/>
      <c r="BQ792" s="73"/>
      <c r="BR792" s="73"/>
      <c r="BS792" s="73"/>
      <c r="BT792" s="73"/>
      <c r="BU792" s="73"/>
      <c r="BV792" s="73"/>
      <c r="BW792" s="74"/>
      <c r="BX792" s="74"/>
      <c r="BY792" s="63"/>
      <c r="BZ792" s="63"/>
    </row>
    <row r="793" ht="15.75" customHeight="1">
      <c r="A793" s="75" t="s">
        <v>4732</v>
      </c>
      <c r="B793" s="50" t="s">
        <v>4733</v>
      </c>
      <c r="C793" s="50" t="s">
        <v>323</v>
      </c>
      <c r="D793" s="50"/>
      <c r="E793" s="64" t="s">
        <v>4734</v>
      </c>
      <c r="F793" s="78">
        <v>1.7E8</v>
      </c>
      <c r="G793" s="44" t="str">
        <f t="shared" si="16"/>
        <v>$100'000.000 a $200'000.000</v>
      </c>
      <c r="H793" s="44"/>
      <c r="I793" s="44"/>
      <c r="J793" s="50" t="s">
        <v>183</v>
      </c>
      <c r="K793" s="51"/>
      <c r="L793" s="50">
        <v>3.0</v>
      </c>
      <c r="M793" s="50"/>
      <c r="N793" s="50">
        <v>1.0</v>
      </c>
      <c r="O793" s="50" t="s">
        <v>4727</v>
      </c>
      <c r="P793" s="50">
        <v>11.0</v>
      </c>
      <c r="Q793" s="88">
        <v>54.0</v>
      </c>
      <c r="R793" s="88">
        <v>54.0</v>
      </c>
      <c r="S793" s="56" t="str">
        <f t="shared" si="20"/>
        <v> </v>
      </c>
      <c r="T793" s="50" t="s">
        <v>78</v>
      </c>
      <c r="U793" s="51" t="s">
        <v>77</v>
      </c>
      <c r="V793" s="50" t="s">
        <v>4735</v>
      </c>
      <c r="W793" s="50"/>
      <c r="X793" s="50">
        <v>3.0</v>
      </c>
      <c r="Y793" s="50" t="s">
        <v>130</v>
      </c>
      <c r="Z793" s="58">
        <v>152000.0</v>
      </c>
      <c r="AA793" s="59" t="str">
        <f>IF(Rentabilidad=0,"No aplica",TEXT(ROUND(Precio/Rentabilidad/12,0),0) &amp; " años")</f>
        <v>No aplica</v>
      </c>
      <c r="AB793" s="82" t="s">
        <v>4736</v>
      </c>
      <c r="AC793" s="83" t="s">
        <v>4737</v>
      </c>
      <c r="AD793" s="83" t="s">
        <v>4738</v>
      </c>
      <c r="AE793" s="63"/>
      <c r="AF793" s="64" t="s">
        <v>105</v>
      </c>
      <c r="AG793" s="65" t="s">
        <v>106</v>
      </c>
      <c r="AH793" s="63"/>
      <c r="AI793" s="65" t="s">
        <v>107</v>
      </c>
      <c r="AJ793" s="64" t="s">
        <v>4550</v>
      </c>
      <c r="AK793" s="50" t="s">
        <v>81</v>
      </c>
      <c r="AL793" s="45" t="s">
        <v>109</v>
      </c>
      <c r="AM793" s="43">
        <v>3.213605848E9</v>
      </c>
      <c r="AN793" s="64">
        <v>3.213624001E9</v>
      </c>
      <c r="AO793" s="52"/>
      <c r="AP793" s="67"/>
      <c r="AQ793" s="67"/>
      <c r="AR793" s="67"/>
      <c r="AS793" s="94">
        <v>0.0</v>
      </c>
      <c r="AT793" s="65" t="s">
        <v>106</v>
      </c>
      <c r="AU793" s="50">
        <v>0.0</v>
      </c>
      <c r="AV793" s="50">
        <v>0.0</v>
      </c>
      <c r="AW793" s="50" t="s">
        <v>88</v>
      </c>
      <c r="AX793" s="50">
        <v>0.0</v>
      </c>
      <c r="AY793" s="50">
        <v>0.0</v>
      </c>
      <c r="AZ793" s="50">
        <v>0.0</v>
      </c>
      <c r="BA793" s="43" t="s">
        <v>89</v>
      </c>
      <c r="BB793" s="50">
        <v>0.0</v>
      </c>
      <c r="BC793" s="95"/>
      <c r="BD793" s="71"/>
      <c r="BE793" s="71"/>
      <c r="BF793" s="72" t="s">
        <v>4739</v>
      </c>
      <c r="BG793" s="73"/>
      <c r="BH793" s="73"/>
      <c r="BI793" s="73"/>
      <c r="BJ793" s="73"/>
      <c r="BK793" s="73"/>
      <c r="BL793" s="73"/>
      <c r="BM793" s="73"/>
      <c r="BN793" s="73"/>
      <c r="BO793" s="73"/>
      <c r="BP793" s="73"/>
      <c r="BQ793" s="73"/>
      <c r="BR793" s="73"/>
      <c r="BS793" s="73"/>
      <c r="BT793" s="73"/>
      <c r="BU793" s="73"/>
      <c r="BV793" s="73"/>
      <c r="BW793" s="74"/>
      <c r="BX793" s="74"/>
      <c r="BY793" s="63"/>
      <c r="BZ793" s="63"/>
    </row>
    <row r="794" ht="15.75" customHeight="1">
      <c r="A794" s="75" t="s">
        <v>4740</v>
      </c>
      <c r="B794" s="50" t="s">
        <v>1721</v>
      </c>
      <c r="C794" s="111" t="s">
        <v>323</v>
      </c>
      <c r="D794" s="58" t="s">
        <v>720</v>
      </c>
      <c r="E794" s="64" t="s">
        <v>4741</v>
      </c>
      <c r="F794" s="78">
        <v>1.55E8</v>
      </c>
      <c r="G794" s="44" t="str">
        <f t="shared" si="16"/>
        <v>$100'000.000 a $200'000.000</v>
      </c>
      <c r="H794" s="44"/>
      <c r="I794" s="44"/>
      <c r="J794" s="50" t="s">
        <v>94</v>
      </c>
      <c r="K794" s="51"/>
      <c r="L794" s="50">
        <v>3.0</v>
      </c>
      <c r="M794" s="50"/>
      <c r="N794" s="50">
        <v>2.0</v>
      </c>
      <c r="O794" s="50">
        <v>0.0</v>
      </c>
      <c r="P794" s="50">
        <v>3.0</v>
      </c>
      <c r="Q794" s="79">
        <v>62.0</v>
      </c>
      <c r="R794" s="79">
        <v>62.0</v>
      </c>
      <c r="S794" s="56" t="str">
        <f t="shared" si="20"/>
        <v> </v>
      </c>
      <c r="T794" s="43" t="s">
        <v>78</v>
      </c>
      <c r="U794" s="56" t="s">
        <v>184</v>
      </c>
      <c r="V794" s="50" t="s">
        <v>642</v>
      </c>
      <c r="W794" s="50"/>
      <c r="X794" s="50">
        <v>3.0</v>
      </c>
      <c r="Y794" s="50" t="s">
        <v>130</v>
      </c>
      <c r="Z794" s="80" t="s">
        <v>81</v>
      </c>
      <c r="AA794" s="343" t="s">
        <v>81</v>
      </c>
      <c r="AB794" s="172" t="s">
        <v>4742</v>
      </c>
      <c r="AC794" s="124" t="s">
        <v>4743</v>
      </c>
      <c r="AD794" s="107" t="s">
        <v>1202</v>
      </c>
      <c r="AE794" s="63"/>
      <c r="AF794" s="64" t="s">
        <v>105</v>
      </c>
      <c r="AG794" s="65" t="s">
        <v>106</v>
      </c>
      <c r="AH794" s="65"/>
      <c r="AI794" s="65" t="s">
        <v>107</v>
      </c>
      <c r="AJ794" s="64" t="s">
        <v>4550</v>
      </c>
      <c r="AK794" s="50" t="s">
        <v>81</v>
      </c>
      <c r="AL794" s="45" t="s">
        <v>109</v>
      </c>
      <c r="AM794" s="43">
        <v>3.213605848E9</v>
      </c>
      <c r="AN794" s="64">
        <v>3.213624001E9</v>
      </c>
      <c r="AO794" s="43">
        <v>0.0</v>
      </c>
      <c r="AP794" s="84">
        <v>0.0</v>
      </c>
      <c r="AQ794" s="84"/>
      <c r="AR794" s="84"/>
      <c r="AS794" s="94">
        <v>0.0</v>
      </c>
      <c r="AT794" s="50" t="s">
        <v>88</v>
      </c>
      <c r="AU794" s="43">
        <v>0.0</v>
      </c>
      <c r="AV794" s="43">
        <v>0.0</v>
      </c>
      <c r="AW794" s="43" t="s">
        <v>88</v>
      </c>
      <c r="AX794" s="43">
        <v>0.0</v>
      </c>
      <c r="AY794" s="43">
        <v>0.0</v>
      </c>
      <c r="AZ794" s="43">
        <v>0.0</v>
      </c>
      <c r="BA794" s="43" t="s">
        <v>89</v>
      </c>
      <c r="BB794" s="43">
        <v>0.0</v>
      </c>
      <c r="BC794" s="95"/>
      <c r="BD794" s="70"/>
      <c r="BE794" s="70"/>
      <c r="BF794" s="72" t="s">
        <v>4744</v>
      </c>
      <c r="BG794" s="73"/>
      <c r="BH794" s="73"/>
      <c r="BI794" s="73"/>
      <c r="BJ794" s="73"/>
      <c r="BK794" s="73"/>
      <c r="BL794" s="73"/>
      <c r="BM794" s="73"/>
      <c r="BN794" s="73"/>
      <c r="BO794" s="73"/>
      <c r="BP794" s="73"/>
      <c r="BQ794" s="73"/>
      <c r="BR794" s="73"/>
      <c r="BS794" s="73"/>
      <c r="BT794" s="73"/>
      <c r="BU794" s="73"/>
      <c r="BV794" s="73"/>
      <c r="BW794" s="74"/>
      <c r="BX794" s="74"/>
      <c r="BY794" s="63"/>
      <c r="BZ794" s="63"/>
    </row>
    <row r="795" ht="15.75" customHeight="1">
      <c r="A795" s="75" t="s">
        <v>4745</v>
      </c>
      <c r="B795" s="50" t="s">
        <v>4746</v>
      </c>
      <c r="C795" s="50" t="s">
        <v>70</v>
      </c>
      <c r="D795" s="50" t="s">
        <v>1335</v>
      </c>
      <c r="E795" s="45"/>
      <c r="F795" s="78">
        <v>1.4E8</v>
      </c>
      <c r="G795" s="44" t="str">
        <f t="shared" si="16"/>
        <v>$100'000.000 a $200'000.000</v>
      </c>
      <c r="H795" s="44"/>
      <c r="I795" s="44"/>
      <c r="J795" s="50" t="s">
        <v>94</v>
      </c>
      <c r="K795" s="51"/>
      <c r="L795" s="50">
        <v>3.0</v>
      </c>
      <c r="M795" s="50"/>
      <c r="N795" s="50">
        <v>1.0</v>
      </c>
      <c r="O795" s="50">
        <v>0.0</v>
      </c>
      <c r="P795" s="50">
        <v>1.0</v>
      </c>
      <c r="Q795" s="79">
        <v>90.0</v>
      </c>
      <c r="R795" s="79">
        <v>90.0</v>
      </c>
      <c r="S795" s="56" t="str">
        <f t="shared" si="20"/>
        <v> </v>
      </c>
      <c r="T795" s="43" t="s">
        <v>78</v>
      </c>
      <c r="U795" s="56" t="s">
        <v>184</v>
      </c>
      <c r="V795" s="50" t="s">
        <v>79</v>
      </c>
      <c r="W795" s="50"/>
      <c r="X795" s="50">
        <v>1.0</v>
      </c>
      <c r="Y795" s="50" t="s">
        <v>80</v>
      </c>
      <c r="Z795" s="58" t="s">
        <v>81</v>
      </c>
      <c r="AA795" s="343" t="s">
        <v>81</v>
      </c>
      <c r="AB795" s="134" t="s">
        <v>4747</v>
      </c>
      <c r="AC795" s="124" t="s">
        <v>4748</v>
      </c>
      <c r="AD795" s="107" t="s">
        <v>1202</v>
      </c>
      <c r="AE795" s="63"/>
      <c r="AF795" s="64" t="s">
        <v>84</v>
      </c>
      <c r="AG795" s="65" t="s">
        <v>106</v>
      </c>
      <c r="AH795" s="65"/>
      <c r="AI795" s="65" t="s">
        <v>107</v>
      </c>
      <c r="AJ795" s="64" t="s">
        <v>4550</v>
      </c>
      <c r="AK795" s="50" t="s">
        <v>81</v>
      </c>
      <c r="AL795" s="45" t="s">
        <v>109</v>
      </c>
      <c r="AM795" s="43">
        <v>3.213605848E9</v>
      </c>
      <c r="AN795" s="64">
        <v>3.213624001E9</v>
      </c>
      <c r="AO795" s="43">
        <v>0.0</v>
      </c>
      <c r="AP795" s="84">
        <v>0.0</v>
      </c>
      <c r="AQ795" s="84"/>
      <c r="AR795" s="84"/>
      <c r="AS795" s="94">
        <v>0.0</v>
      </c>
      <c r="AT795" s="50">
        <v>0.0</v>
      </c>
      <c r="AU795" s="43">
        <v>0.0</v>
      </c>
      <c r="AV795" s="43">
        <v>0.0</v>
      </c>
      <c r="AW795" s="43" t="s">
        <v>106</v>
      </c>
      <c r="AX795" s="43">
        <v>0.0</v>
      </c>
      <c r="AY795" s="43" t="s">
        <v>137</v>
      </c>
      <c r="AZ795" s="43">
        <v>0.0</v>
      </c>
      <c r="BA795" s="43" t="s">
        <v>89</v>
      </c>
      <c r="BB795" s="43">
        <v>0.0</v>
      </c>
      <c r="BC795" s="69" t="s">
        <v>4749</v>
      </c>
      <c r="BD795" s="70"/>
      <c r="BE795" s="71"/>
      <c r="BF795" s="72" t="s">
        <v>4750</v>
      </c>
      <c r="BG795" s="73"/>
      <c r="BH795" s="73"/>
      <c r="BI795" s="73"/>
      <c r="BJ795" s="73"/>
      <c r="BK795" s="73"/>
      <c r="BL795" s="73"/>
      <c r="BM795" s="73"/>
      <c r="BN795" s="73"/>
      <c r="BO795" s="73"/>
      <c r="BP795" s="73"/>
      <c r="BQ795" s="73"/>
      <c r="BR795" s="73"/>
      <c r="BS795" s="73"/>
      <c r="BT795" s="73"/>
      <c r="BU795" s="73"/>
      <c r="BV795" s="73"/>
      <c r="BW795" s="74"/>
      <c r="BX795" s="74"/>
      <c r="BY795" s="63"/>
      <c r="BZ795" s="63"/>
    </row>
    <row r="796" ht="15.75" customHeight="1">
      <c r="A796" s="75" t="s">
        <v>4751</v>
      </c>
      <c r="B796" s="50" t="s">
        <v>356</v>
      </c>
      <c r="C796" s="50" t="s">
        <v>340</v>
      </c>
      <c r="D796" s="50"/>
      <c r="E796" s="64" t="s">
        <v>4752</v>
      </c>
      <c r="F796" s="78">
        <v>1.2E8</v>
      </c>
      <c r="G796" s="44" t="str">
        <f t="shared" si="16"/>
        <v>$100'000.000 a $200'000.000</v>
      </c>
      <c r="H796" s="44"/>
      <c r="I796" s="44"/>
      <c r="J796" s="50" t="s">
        <v>94</v>
      </c>
      <c r="K796" s="51"/>
      <c r="L796" s="50">
        <v>0.0</v>
      </c>
      <c r="M796" s="50"/>
      <c r="N796" s="50">
        <v>0.0</v>
      </c>
      <c r="O796" s="50">
        <v>0.0</v>
      </c>
      <c r="P796" s="50">
        <v>0.0</v>
      </c>
      <c r="Q796" s="88">
        <v>0.0</v>
      </c>
      <c r="R796" s="88">
        <v>501.0</v>
      </c>
      <c r="S796" s="56" t="str">
        <f t="shared" si="20"/>
        <v> </v>
      </c>
      <c r="T796" s="50" t="s">
        <v>342</v>
      </c>
      <c r="U796" s="57"/>
      <c r="V796" s="50" t="s">
        <v>79</v>
      </c>
      <c r="W796" s="50"/>
      <c r="X796" s="50">
        <v>0.0</v>
      </c>
      <c r="Y796" s="50" t="s">
        <v>130</v>
      </c>
      <c r="Z796" s="58">
        <v>214000.0</v>
      </c>
      <c r="AA796" s="59" t="str">
        <f>IF(Rentabilidad=0,"No aplica",TEXT(ROUND(Precio/Rentabilidad/12,0),0) &amp; " años")</f>
        <v>No aplica</v>
      </c>
      <c r="AB796" s="82" t="s">
        <v>4753</v>
      </c>
      <c r="AC796" s="132" t="s">
        <v>4754</v>
      </c>
      <c r="AD796" s="107"/>
      <c r="AE796" s="63"/>
      <c r="AF796" s="64"/>
      <c r="AG796" s="65" t="s">
        <v>106</v>
      </c>
      <c r="AH796" s="63"/>
      <c r="AI796" s="65" t="s">
        <v>107</v>
      </c>
      <c r="AJ796" s="64" t="s">
        <v>4550</v>
      </c>
      <c r="AK796" s="50" t="s">
        <v>81</v>
      </c>
      <c r="AL796" s="45" t="s">
        <v>109</v>
      </c>
      <c r="AM796" s="43">
        <v>3.213605848E9</v>
      </c>
      <c r="AN796" s="64">
        <v>3.213624001E9</v>
      </c>
      <c r="AO796" s="43">
        <v>0.0</v>
      </c>
      <c r="AP796" s="84">
        <v>0.0</v>
      </c>
      <c r="AQ796" s="84"/>
      <c r="AR796" s="84"/>
      <c r="AS796" s="94">
        <v>0.0</v>
      </c>
      <c r="AT796" s="50">
        <v>0.0</v>
      </c>
      <c r="AU796" s="43">
        <v>0.0</v>
      </c>
      <c r="AV796" s="43">
        <v>0.0</v>
      </c>
      <c r="AW796" s="43" t="s">
        <v>88</v>
      </c>
      <c r="AX796" s="43">
        <v>0.0</v>
      </c>
      <c r="AY796" s="43">
        <v>0.0</v>
      </c>
      <c r="AZ796" s="43">
        <v>0.0</v>
      </c>
      <c r="BA796" s="43" t="s">
        <v>89</v>
      </c>
      <c r="BB796" s="43">
        <v>0.0</v>
      </c>
      <c r="BC796" s="69"/>
      <c r="BD796" s="70"/>
      <c r="BE796" s="71"/>
      <c r="BF796" s="72" t="s">
        <v>4755</v>
      </c>
      <c r="BG796" s="74"/>
      <c r="BH796" s="74"/>
      <c r="BI796" s="74"/>
      <c r="BJ796" s="74"/>
      <c r="BK796" s="74"/>
      <c r="BL796" s="74"/>
      <c r="BM796" s="74"/>
      <c r="BN796" s="74"/>
      <c r="BO796" s="74"/>
      <c r="BP796" s="74"/>
      <c r="BQ796" s="74"/>
      <c r="BR796" s="74"/>
      <c r="BS796" s="74"/>
      <c r="BT796" s="74"/>
      <c r="BU796" s="74"/>
      <c r="BV796" s="74"/>
      <c r="BW796" s="74"/>
      <c r="BX796" s="74"/>
      <c r="BY796" s="63"/>
      <c r="BZ796" s="63"/>
    </row>
    <row r="797" ht="15.75" customHeight="1">
      <c r="A797" s="133" t="s">
        <v>4756</v>
      </c>
      <c r="B797" s="50" t="s">
        <v>4757</v>
      </c>
      <c r="C797" s="50" t="s">
        <v>70</v>
      </c>
      <c r="D797" s="50" t="s">
        <v>286</v>
      </c>
      <c r="E797" s="45"/>
      <c r="F797" s="78">
        <v>3.0E8</v>
      </c>
      <c r="G797" s="44" t="str">
        <f t="shared" si="16"/>
        <v>$300'000.000 a $400'000.000</v>
      </c>
      <c r="H797" s="44"/>
      <c r="I797" s="44"/>
      <c r="J797" s="50" t="s">
        <v>94</v>
      </c>
      <c r="K797" s="51" t="s">
        <v>117</v>
      </c>
      <c r="L797" s="50">
        <v>4.0</v>
      </c>
      <c r="M797" s="50"/>
      <c r="N797" s="50">
        <v>3.0</v>
      </c>
      <c r="O797" s="50">
        <v>1.0</v>
      </c>
      <c r="P797" s="50">
        <v>3.0</v>
      </c>
      <c r="Q797" s="55">
        <v>240.0</v>
      </c>
      <c r="R797" s="55">
        <v>75.0</v>
      </c>
      <c r="S797" s="56" t="str">
        <f t="shared" si="20"/>
        <v> </v>
      </c>
      <c r="T797" s="43" t="s">
        <v>78</v>
      </c>
      <c r="U797" s="51" t="s">
        <v>77</v>
      </c>
      <c r="V797" s="50" t="s">
        <v>79</v>
      </c>
      <c r="W797" s="50"/>
      <c r="X797" s="50">
        <v>3.0</v>
      </c>
      <c r="Y797" s="50" t="s">
        <v>80</v>
      </c>
      <c r="Z797" s="58" t="s">
        <v>81</v>
      </c>
      <c r="AA797" s="81" t="s">
        <v>81</v>
      </c>
      <c r="AB797" s="140" t="s">
        <v>4758</v>
      </c>
      <c r="AC797" s="124" t="s">
        <v>4759</v>
      </c>
      <c r="AD797" s="107" t="s">
        <v>899</v>
      </c>
      <c r="AE797" s="63"/>
      <c r="AF797" s="64" t="s">
        <v>105</v>
      </c>
      <c r="AG797" s="65" t="s">
        <v>106</v>
      </c>
      <c r="AH797" s="63"/>
      <c r="AI797" s="65" t="s">
        <v>107</v>
      </c>
      <c r="AJ797" s="64" t="s">
        <v>4760</v>
      </c>
      <c r="AK797" s="50" t="s">
        <v>81</v>
      </c>
      <c r="AL797" s="45" t="s">
        <v>109</v>
      </c>
      <c r="AM797" s="43" t="s">
        <v>4761</v>
      </c>
      <c r="AN797" s="64" t="s">
        <v>1538</v>
      </c>
      <c r="AO797" s="52"/>
      <c r="AP797" s="146" t="s">
        <v>4762</v>
      </c>
      <c r="AQ797" s="146"/>
      <c r="AR797" s="146"/>
      <c r="AS797" s="85">
        <v>0.0</v>
      </c>
      <c r="AT797" s="65">
        <v>0.0</v>
      </c>
      <c r="AU797" s="50">
        <v>0.0</v>
      </c>
      <c r="AV797" s="50">
        <v>0.0</v>
      </c>
      <c r="AW797" s="50" t="s">
        <v>106</v>
      </c>
      <c r="AX797" s="50">
        <v>0.0</v>
      </c>
      <c r="AY797" s="50">
        <v>0.0</v>
      </c>
      <c r="AZ797" s="50">
        <v>0.0</v>
      </c>
      <c r="BA797" s="43" t="s">
        <v>89</v>
      </c>
      <c r="BB797" s="50">
        <v>0.0</v>
      </c>
      <c r="BC797" s="109"/>
      <c r="BD797" s="70"/>
      <c r="BE797" s="71"/>
      <c r="BF797" s="72" t="s">
        <v>4763</v>
      </c>
      <c r="BG797" s="73"/>
      <c r="BH797" s="73"/>
      <c r="BI797" s="73"/>
      <c r="BJ797" s="73"/>
      <c r="BK797" s="73"/>
      <c r="BL797" s="73"/>
      <c r="BM797" s="73"/>
      <c r="BN797" s="73"/>
      <c r="BO797" s="73"/>
      <c r="BP797" s="73"/>
      <c r="BQ797" s="73"/>
      <c r="BR797" s="73"/>
      <c r="BS797" s="73"/>
      <c r="BT797" s="73"/>
      <c r="BU797" s="73"/>
      <c r="BV797" s="73"/>
      <c r="BW797" s="74"/>
      <c r="BX797" s="74"/>
      <c r="BY797" s="63"/>
      <c r="BZ797" s="63"/>
    </row>
    <row r="798" ht="15.75" customHeight="1">
      <c r="A798" s="267" t="s">
        <v>4764</v>
      </c>
      <c r="B798" s="50" t="s">
        <v>436</v>
      </c>
      <c r="C798" s="50" t="s">
        <v>70</v>
      </c>
      <c r="D798" s="50" t="s">
        <v>11</v>
      </c>
      <c r="E798" s="45"/>
      <c r="F798" s="78">
        <v>3.5E8</v>
      </c>
      <c r="G798" s="44" t="str">
        <f t="shared" si="16"/>
        <v>$300'000.000 a $400'000.000</v>
      </c>
      <c r="H798" s="44"/>
      <c r="I798" s="44"/>
      <c r="J798" s="50" t="s">
        <v>183</v>
      </c>
      <c r="K798" s="51" t="s">
        <v>184</v>
      </c>
      <c r="L798" s="282">
        <v>5.0</v>
      </c>
      <c r="M798" s="282"/>
      <c r="N798" s="282">
        <v>3.0</v>
      </c>
      <c r="O798" s="282">
        <v>1.0</v>
      </c>
      <c r="P798" s="282">
        <v>1.0</v>
      </c>
      <c r="Q798" s="113"/>
      <c r="R798" s="79">
        <v>220.0</v>
      </c>
      <c r="S798" s="56" t="str">
        <f t="shared" si="20"/>
        <v> </v>
      </c>
      <c r="T798" s="50" t="s">
        <v>78</v>
      </c>
      <c r="U798" s="51" t="s">
        <v>184</v>
      </c>
      <c r="V798" s="282" t="s">
        <v>79</v>
      </c>
      <c r="W798" s="282"/>
      <c r="X798" s="281"/>
      <c r="Y798" s="43" t="s">
        <v>80</v>
      </c>
      <c r="Z798" s="58" t="s">
        <v>81</v>
      </c>
      <c r="AA798" s="59" t="str">
        <f>IF(Rentabilidad=0,"No aplica",TEXT(ROUND(Precio/Rentabilidad/12,0),0) &amp; " años")</f>
        <v>No aplica</v>
      </c>
      <c r="AB798" s="220"/>
      <c r="AC798" s="61"/>
      <c r="AD798" s="62"/>
      <c r="AE798" s="63"/>
      <c r="AF798" s="45" t="s">
        <v>1383</v>
      </c>
      <c r="AG798" s="63"/>
      <c r="AH798" s="65" t="s">
        <v>45</v>
      </c>
      <c r="AI798" s="65" t="s">
        <v>1747</v>
      </c>
      <c r="AJ798" s="45" t="s">
        <v>4765</v>
      </c>
      <c r="AK798" s="225" t="s">
        <v>1749</v>
      </c>
      <c r="AL798" s="45" t="s">
        <v>86</v>
      </c>
      <c r="AM798" s="116">
        <v>3.153150047E9</v>
      </c>
      <c r="AN798" s="64">
        <v>0.0</v>
      </c>
      <c r="AO798" s="52" t="s">
        <v>4766</v>
      </c>
      <c r="AP798" s="67"/>
      <c r="AQ798" s="67"/>
      <c r="AR798" s="67"/>
      <c r="AS798" s="94">
        <v>0.0</v>
      </c>
      <c r="AT798" s="281"/>
      <c r="AU798" s="44"/>
      <c r="AV798" s="44"/>
      <c r="AW798" s="44"/>
      <c r="AX798" s="44"/>
      <c r="AY798" s="44"/>
      <c r="AZ798" s="44"/>
      <c r="BA798" s="43" t="s">
        <v>89</v>
      </c>
      <c r="BB798" s="44"/>
      <c r="BC798" s="109"/>
      <c r="BD798" s="70"/>
      <c r="BE798" s="70"/>
      <c r="BF798" s="72"/>
      <c r="BG798" s="73"/>
      <c r="BH798" s="73"/>
      <c r="BI798" s="73"/>
      <c r="BJ798" s="73"/>
      <c r="BK798" s="73"/>
      <c r="BL798" s="73"/>
      <c r="BM798" s="73"/>
      <c r="BN798" s="73"/>
      <c r="BO798" s="73"/>
      <c r="BP798" s="73"/>
      <c r="BQ798" s="73"/>
      <c r="BR798" s="73"/>
      <c r="BS798" s="73"/>
      <c r="BT798" s="73"/>
      <c r="BU798" s="73"/>
      <c r="BV798" s="73"/>
      <c r="BW798" s="74"/>
      <c r="BX798" s="74"/>
      <c r="BY798" s="63"/>
      <c r="BZ798" s="63"/>
    </row>
    <row r="799" ht="15.75" customHeight="1">
      <c r="A799" s="75" t="s">
        <v>4767</v>
      </c>
      <c r="B799" s="50" t="s">
        <v>4768</v>
      </c>
      <c r="C799" s="50" t="s">
        <v>93</v>
      </c>
      <c r="D799" s="50"/>
      <c r="E799" s="64"/>
      <c r="F799" s="78">
        <v>1.6E9</v>
      </c>
      <c r="G799" s="44" t="str">
        <f t="shared" si="16"/>
        <v>Más de $1.000'000.000</v>
      </c>
      <c r="H799" s="44"/>
      <c r="I799" s="44"/>
      <c r="J799" s="50" t="s">
        <v>94</v>
      </c>
      <c r="K799" s="51"/>
      <c r="L799" s="50">
        <v>6.0</v>
      </c>
      <c r="M799" s="50"/>
      <c r="N799" s="50">
        <v>6.0</v>
      </c>
      <c r="O799" s="44"/>
      <c r="P799" s="50">
        <v>1.0</v>
      </c>
      <c r="Q799" s="88">
        <v>2400.0</v>
      </c>
      <c r="R799" s="88">
        <v>3400.0</v>
      </c>
      <c r="S799" s="56" t="str">
        <f t="shared" si="20"/>
        <v> </v>
      </c>
      <c r="T799" s="50" t="s">
        <v>95</v>
      </c>
      <c r="U799" s="57"/>
      <c r="V799" s="44"/>
      <c r="W799" s="44"/>
      <c r="X799" s="50">
        <v>4.0</v>
      </c>
      <c r="Y799" s="50" t="s">
        <v>97</v>
      </c>
      <c r="Z799" s="58" t="s">
        <v>81</v>
      </c>
      <c r="AA799" s="59" t="str">
        <f>IF(Rentabilidad=0,"No aplica",TEXT(ROUND(Precio/Rentabilidad/12,0),0) &amp; " años")</f>
        <v>No aplica</v>
      </c>
      <c r="AB799" s="82" t="s">
        <v>4769</v>
      </c>
      <c r="AC799" s="83" t="s">
        <v>4770</v>
      </c>
      <c r="AD799" s="83" t="s">
        <v>4771</v>
      </c>
      <c r="AE799" s="63"/>
      <c r="AF799" s="64" t="s">
        <v>105</v>
      </c>
      <c r="AG799" s="65" t="s">
        <v>106</v>
      </c>
      <c r="AH799" s="63"/>
      <c r="AI799" s="65" t="s">
        <v>107</v>
      </c>
      <c r="AJ799" s="64" t="s">
        <v>4772</v>
      </c>
      <c r="AK799" s="50" t="s">
        <v>81</v>
      </c>
      <c r="AL799" s="45" t="s">
        <v>109</v>
      </c>
      <c r="AM799" s="50">
        <v>3.133523454E9</v>
      </c>
      <c r="AN799" s="64">
        <v>0.0</v>
      </c>
      <c r="AO799" s="52"/>
      <c r="AP799" s="67"/>
      <c r="AQ799" s="67"/>
      <c r="AR799" s="67"/>
      <c r="AS799" s="94">
        <v>0.0</v>
      </c>
      <c r="AT799" s="65">
        <v>0.0</v>
      </c>
      <c r="AU799" s="50">
        <v>0.0</v>
      </c>
      <c r="AV799" s="50">
        <v>0.0</v>
      </c>
      <c r="AW799" s="50" t="s">
        <v>88</v>
      </c>
      <c r="AX799" s="50">
        <v>0.0</v>
      </c>
      <c r="AY799" s="50">
        <v>0.0</v>
      </c>
      <c r="AZ799" s="50">
        <v>0.0</v>
      </c>
      <c r="BA799" s="43" t="s">
        <v>89</v>
      </c>
      <c r="BB799" s="50">
        <v>0.0</v>
      </c>
      <c r="BC799" s="95"/>
      <c r="BD799" s="71"/>
      <c r="BE799" s="71"/>
      <c r="BF799" s="72" t="s">
        <v>4773</v>
      </c>
      <c r="BG799" s="73"/>
      <c r="BH799" s="73"/>
      <c r="BI799" s="73"/>
      <c r="BJ799" s="73"/>
      <c r="BK799" s="73"/>
      <c r="BL799" s="73"/>
      <c r="BM799" s="73"/>
      <c r="BN799" s="73"/>
      <c r="BO799" s="73"/>
      <c r="BP799" s="73"/>
      <c r="BQ799" s="73"/>
      <c r="BR799" s="73"/>
      <c r="BS799" s="73"/>
      <c r="BT799" s="73"/>
      <c r="BU799" s="73"/>
      <c r="BV799" s="73"/>
      <c r="BW799" s="74"/>
      <c r="BX799" s="74"/>
      <c r="BY799" s="63"/>
      <c r="BZ799" s="63"/>
    </row>
    <row r="800" ht="15.75" customHeight="1">
      <c r="A800" s="75" t="s">
        <v>4774</v>
      </c>
      <c r="B800" s="50" t="s">
        <v>4775</v>
      </c>
      <c r="C800" s="50" t="s">
        <v>573</v>
      </c>
      <c r="D800" s="50" t="s">
        <v>71</v>
      </c>
      <c r="E800" s="64"/>
      <c r="F800" s="78">
        <v>1.4E9</v>
      </c>
      <c r="G800" s="44" t="str">
        <f t="shared" si="16"/>
        <v>Más de $1.000'000.000</v>
      </c>
      <c r="H800" s="44"/>
      <c r="I800" s="44"/>
      <c r="J800" s="50" t="s">
        <v>76</v>
      </c>
      <c r="K800" s="51" t="s">
        <v>77</v>
      </c>
      <c r="L800" s="50">
        <v>5.0</v>
      </c>
      <c r="M800" s="50"/>
      <c r="N800" s="50">
        <v>7.0</v>
      </c>
      <c r="O800" s="50">
        <v>2.0</v>
      </c>
      <c r="P800" s="50">
        <v>12.0</v>
      </c>
      <c r="Q800" s="88">
        <v>321.0</v>
      </c>
      <c r="R800" s="88">
        <v>321.0</v>
      </c>
      <c r="S800" s="56" t="str">
        <f t="shared" si="20"/>
        <v> </v>
      </c>
      <c r="T800" s="50" t="s">
        <v>78</v>
      </c>
      <c r="U800" s="51" t="s">
        <v>154</v>
      </c>
      <c r="V800" s="50" t="s">
        <v>1006</v>
      </c>
      <c r="W800" s="50"/>
      <c r="X800" s="50">
        <v>5.0</v>
      </c>
      <c r="Y800" s="50" t="s">
        <v>130</v>
      </c>
      <c r="Z800" s="91"/>
      <c r="AA800" s="59" t="str">
        <f>IF(Rentabilidad=0,"No aplica",TEXT(ROUND(Precio/Rentabilidad/12,0),0) &amp; " años")</f>
        <v>No aplica</v>
      </c>
      <c r="AB800" s="82" t="s">
        <v>4776</v>
      </c>
      <c r="AC800" s="110" t="s">
        <v>4777</v>
      </c>
      <c r="AD800" s="83" t="s">
        <v>4778</v>
      </c>
      <c r="AE800" s="63"/>
      <c r="AF800" s="64" t="s">
        <v>105</v>
      </c>
      <c r="AG800" s="65" t="s">
        <v>106</v>
      </c>
      <c r="AH800" s="63"/>
      <c r="AI800" s="65" t="s">
        <v>107</v>
      </c>
      <c r="AJ800" s="64" t="s">
        <v>4772</v>
      </c>
      <c r="AK800" s="50" t="s">
        <v>81</v>
      </c>
      <c r="AL800" s="45" t="s">
        <v>109</v>
      </c>
      <c r="AM800" s="50">
        <v>3.133523454E9</v>
      </c>
      <c r="AN800" s="64">
        <v>0.0</v>
      </c>
      <c r="AO800" s="52"/>
      <c r="AP800" s="67"/>
      <c r="AQ800" s="67"/>
      <c r="AR800" s="67"/>
      <c r="AS800" s="94">
        <v>0.0</v>
      </c>
      <c r="AT800" s="65" t="s">
        <v>106</v>
      </c>
      <c r="AU800" s="50" t="s">
        <v>106</v>
      </c>
      <c r="AV800" s="50" t="s">
        <v>106</v>
      </c>
      <c r="AW800" s="50" t="s">
        <v>88</v>
      </c>
      <c r="AX800" s="50">
        <v>0.0</v>
      </c>
      <c r="AY800" s="50">
        <v>0.0</v>
      </c>
      <c r="AZ800" s="50">
        <v>0.0</v>
      </c>
      <c r="BA800" s="43" t="s">
        <v>89</v>
      </c>
      <c r="BB800" s="50">
        <v>0.0</v>
      </c>
      <c r="BC800" s="95"/>
      <c r="BD800" s="71"/>
      <c r="BE800" s="70"/>
      <c r="BF800" s="72" t="s">
        <v>4779</v>
      </c>
      <c r="BG800" s="73"/>
      <c r="BH800" s="73"/>
      <c r="BI800" s="73"/>
      <c r="BJ800" s="73"/>
      <c r="BK800" s="73"/>
      <c r="BL800" s="73"/>
      <c r="BM800" s="73"/>
      <c r="BN800" s="73"/>
      <c r="BO800" s="73"/>
      <c r="BP800" s="73"/>
      <c r="BQ800" s="73"/>
      <c r="BR800" s="73"/>
      <c r="BS800" s="73"/>
      <c r="BT800" s="73"/>
      <c r="BU800" s="73"/>
      <c r="BV800" s="73"/>
      <c r="BW800" s="74"/>
      <c r="BX800" s="74"/>
      <c r="BY800" s="63"/>
      <c r="BZ800" s="63"/>
    </row>
    <row r="801" ht="15.75" customHeight="1">
      <c r="A801" s="75" t="s">
        <v>4780</v>
      </c>
      <c r="B801" s="50" t="s">
        <v>4781</v>
      </c>
      <c r="C801" s="50" t="s">
        <v>114</v>
      </c>
      <c r="D801" s="50"/>
      <c r="E801" s="64" t="s">
        <v>4752</v>
      </c>
      <c r="F801" s="78">
        <v>1.28E9</v>
      </c>
      <c r="G801" s="44" t="str">
        <f t="shared" si="16"/>
        <v>Más de $1.000'000.000</v>
      </c>
      <c r="H801" s="44"/>
      <c r="I801" s="44"/>
      <c r="J801" s="50" t="s">
        <v>94</v>
      </c>
      <c r="K801" s="51"/>
      <c r="L801" s="50">
        <v>5.0</v>
      </c>
      <c r="M801" s="50"/>
      <c r="N801" s="50">
        <v>4.0</v>
      </c>
      <c r="O801" s="50">
        <v>2.0</v>
      </c>
      <c r="P801" s="50">
        <v>2.0</v>
      </c>
      <c r="Q801" s="88">
        <v>360.0</v>
      </c>
      <c r="R801" s="88">
        <v>528.0</v>
      </c>
      <c r="S801" s="56" t="str">
        <f t="shared" si="20"/>
        <v> </v>
      </c>
      <c r="T801" s="50" t="s">
        <v>342</v>
      </c>
      <c r="U801" s="51" t="s">
        <v>184</v>
      </c>
      <c r="V801" s="50" t="s">
        <v>79</v>
      </c>
      <c r="W801" s="50"/>
      <c r="X801" s="50">
        <v>5.0</v>
      </c>
      <c r="Y801" s="50" t="s">
        <v>97</v>
      </c>
      <c r="Z801" s="83">
        <v>272000.0</v>
      </c>
      <c r="AA801" s="59" t="str">
        <f>IF(Rentabilidad=0,"No aplica",TEXT(ROUND(Precio/Rentabilidad/12,0),0) &amp; " años")</f>
        <v>No aplica</v>
      </c>
      <c r="AB801" s="82" t="s">
        <v>4782</v>
      </c>
      <c r="AC801" s="83" t="s">
        <v>4783</v>
      </c>
      <c r="AD801" s="110" t="s">
        <v>4784</v>
      </c>
      <c r="AE801" s="63"/>
      <c r="AF801" s="64" t="s">
        <v>105</v>
      </c>
      <c r="AG801" s="65" t="s">
        <v>106</v>
      </c>
      <c r="AH801" s="63"/>
      <c r="AI801" s="65" t="s">
        <v>107</v>
      </c>
      <c r="AJ801" s="64" t="s">
        <v>4772</v>
      </c>
      <c r="AK801" s="50" t="s">
        <v>81</v>
      </c>
      <c r="AL801" s="45" t="s">
        <v>109</v>
      </c>
      <c r="AM801" s="50">
        <v>3.133523454E9</v>
      </c>
      <c r="AN801" s="64">
        <v>0.0</v>
      </c>
      <c r="AO801" s="52"/>
      <c r="AP801" s="67"/>
      <c r="AQ801" s="84">
        <v>2.9356273593715</v>
      </c>
      <c r="AR801" s="84">
        <v>-75.2193836993992</v>
      </c>
      <c r="AS801" s="94">
        <v>0.0</v>
      </c>
      <c r="AT801" s="65">
        <v>0.0</v>
      </c>
      <c r="AU801" s="50">
        <v>0.0</v>
      </c>
      <c r="AV801" s="50" t="s">
        <v>106</v>
      </c>
      <c r="AW801" s="50" t="s">
        <v>88</v>
      </c>
      <c r="AX801" s="50">
        <v>0.0</v>
      </c>
      <c r="AY801" s="50">
        <v>0.0</v>
      </c>
      <c r="AZ801" s="50">
        <v>0.0</v>
      </c>
      <c r="BA801" s="43" t="s">
        <v>89</v>
      </c>
      <c r="BB801" s="50">
        <v>0.0</v>
      </c>
      <c r="BC801" s="95"/>
      <c r="BD801" s="71"/>
      <c r="BE801" s="71"/>
      <c r="BF801" s="72" t="s">
        <v>4785</v>
      </c>
      <c r="BG801" s="73"/>
      <c r="BH801" s="73"/>
      <c r="BI801" s="73"/>
      <c r="BJ801" s="73"/>
      <c r="BK801" s="73"/>
      <c r="BL801" s="73"/>
      <c r="BM801" s="73"/>
      <c r="BN801" s="73"/>
      <c r="BO801" s="73"/>
      <c r="BP801" s="73"/>
      <c r="BQ801" s="73"/>
      <c r="BR801" s="73"/>
      <c r="BS801" s="73"/>
      <c r="BT801" s="73"/>
      <c r="BU801" s="73"/>
      <c r="BV801" s="73"/>
      <c r="BW801" s="74"/>
      <c r="BX801" s="74"/>
      <c r="BY801" s="63"/>
      <c r="BZ801" s="63"/>
    </row>
    <row r="802" ht="15.75" customHeight="1">
      <c r="A802" s="75" t="s">
        <v>4786</v>
      </c>
      <c r="B802" s="50" t="s">
        <v>4787</v>
      </c>
      <c r="C802" s="50" t="s">
        <v>114</v>
      </c>
      <c r="D802" s="50"/>
      <c r="E802" s="64" t="s">
        <v>4788</v>
      </c>
      <c r="F802" s="78">
        <v>1.2E9</v>
      </c>
      <c r="G802" s="44" t="str">
        <f t="shared" si="16"/>
        <v>Más de $1.000'000.000</v>
      </c>
      <c r="H802" s="44"/>
      <c r="I802" s="44"/>
      <c r="J802" s="50" t="s">
        <v>94</v>
      </c>
      <c r="K802" s="51"/>
      <c r="L802" s="50">
        <v>6.0</v>
      </c>
      <c r="M802" s="50"/>
      <c r="N802" s="50">
        <v>6.0</v>
      </c>
      <c r="O802" s="50">
        <v>2.0</v>
      </c>
      <c r="P802" s="50">
        <v>1.0</v>
      </c>
      <c r="Q802" s="88">
        <v>750.0</v>
      </c>
      <c r="R802" s="88">
        <v>2500.0</v>
      </c>
      <c r="S802" s="56" t="str">
        <f t="shared" si="20"/>
        <v> </v>
      </c>
      <c r="T802" s="50" t="s">
        <v>95</v>
      </c>
      <c r="U802" s="57"/>
      <c r="V802" s="50" t="s">
        <v>79</v>
      </c>
      <c r="W802" s="50"/>
      <c r="X802" s="50">
        <v>6.0</v>
      </c>
      <c r="Y802" s="50" t="s">
        <v>97</v>
      </c>
      <c r="Z802" s="91"/>
      <c r="AA802" s="59" t="str">
        <f>IF(Rentabilidad=0,"No aplica",TEXT(ROUND(Precio/Rentabilidad/12,0),0) &amp; " años")</f>
        <v>No aplica</v>
      </c>
      <c r="AB802" s="82" t="s">
        <v>4789</v>
      </c>
      <c r="AC802" s="110" t="s">
        <v>4790</v>
      </c>
      <c r="AD802" s="83" t="s">
        <v>4791</v>
      </c>
      <c r="AE802" s="63"/>
      <c r="AF802" s="64" t="s">
        <v>105</v>
      </c>
      <c r="AG802" s="65" t="s">
        <v>106</v>
      </c>
      <c r="AH802" s="63"/>
      <c r="AI802" s="65" t="s">
        <v>107</v>
      </c>
      <c r="AJ802" s="64" t="s">
        <v>4772</v>
      </c>
      <c r="AK802" s="50" t="s">
        <v>81</v>
      </c>
      <c r="AL802" s="45" t="s">
        <v>109</v>
      </c>
      <c r="AM802" s="50">
        <v>3.133523454E9</v>
      </c>
      <c r="AN802" s="64">
        <v>0.0</v>
      </c>
      <c r="AO802" s="52"/>
      <c r="AP802" s="67"/>
      <c r="AQ802" s="67"/>
      <c r="AR802" s="67"/>
      <c r="AS802" s="94">
        <v>0.0</v>
      </c>
      <c r="AT802" s="65">
        <v>0.0</v>
      </c>
      <c r="AU802" s="50">
        <v>0.0</v>
      </c>
      <c r="AV802" s="50">
        <v>0.0</v>
      </c>
      <c r="AW802" s="50" t="s">
        <v>88</v>
      </c>
      <c r="AX802" s="50">
        <v>0.0</v>
      </c>
      <c r="AY802" s="50">
        <v>0.0</v>
      </c>
      <c r="AZ802" s="50">
        <v>0.0</v>
      </c>
      <c r="BA802" s="43" t="s">
        <v>89</v>
      </c>
      <c r="BB802" s="50">
        <v>0.0</v>
      </c>
      <c r="BC802" s="95"/>
      <c r="BD802" s="71"/>
      <c r="BE802" s="71"/>
      <c r="BF802" s="72" t="s">
        <v>4792</v>
      </c>
      <c r="BG802" s="74"/>
      <c r="BH802" s="74"/>
      <c r="BI802" s="74"/>
      <c r="BJ802" s="74"/>
      <c r="BK802" s="74"/>
      <c r="BL802" s="74"/>
      <c r="BM802" s="74"/>
      <c r="BN802" s="74"/>
      <c r="BO802" s="74"/>
      <c r="BP802" s="74"/>
      <c r="BQ802" s="74"/>
      <c r="BR802" s="74"/>
      <c r="BS802" s="74"/>
      <c r="BT802" s="74"/>
      <c r="BU802" s="74"/>
      <c r="BV802" s="74"/>
      <c r="BW802" s="74"/>
      <c r="BX802" s="74"/>
      <c r="BY802" s="63"/>
      <c r="BZ802" s="63"/>
    </row>
    <row r="803" ht="15.75" customHeight="1">
      <c r="A803" s="75" t="s">
        <v>4793</v>
      </c>
      <c r="B803" s="50" t="s">
        <v>4794</v>
      </c>
      <c r="C803" s="50" t="s">
        <v>128</v>
      </c>
      <c r="D803" s="50" t="s">
        <v>459</v>
      </c>
      <c r="E803" s="64" t="s">
        <v>4795</v>
      </c>
      <c r="F803" s="78">
        <v>9.0E8</v>
      </c>
      <c r="G803" s="44" t="str">
        <f t="shared" si="16"/>
        <v>$500'000.000 a $1.000'000.000</v>
      </c>
      <c r="H803" s="44"/>
      <c r="I803" s="44"/>
      <c r="J803" s="50" t="s">
        <v>116</v>
      </c>
      <c r="K803" s="51" t="s">
        <v>192</v>
      </c>
      <c r="L803" s="50">
        <v>3.0</v>
      </c>
      <c r="M803" s="50"/>
      <c r="N803" s="50">
        <v>3.0</v>
      </c>
      <c r="O803" s="50">
        <v>2.0</v>
      </c>
      <c r="P803" s="50">
        <v>1.0</v>
      </c>
      <c r="Q803" s="88">
        <v>261.0</v>
      </c>
      <c r="R803" s="88">
        <v>300.0</v>
      </c>
      <c r="S803" s="56"/>
      <c r="T803" s="50" t="s">
        <v>78</v>
      </c>
      <c r="U803" s="51" t="s">
        <v>154</v>
      </c>
      <c r="V803" s="50" t="s">
        <v>79</v>
      </c>
      <c r="W803" s="50"/>
      <c r="X803" s="50">
        <v>3.0</v>
      </c>
      <c r="Y803" s="50" t="s">
        <v>130</v>
      </c>
      <c r="Z803" s="58">
        <v>740000.0</v>
      </c>
      <c r="AA803" s="59" t="str">
        <f>IF(Rentabilidad=0,"No aplica",TEXT(ROUND(Precio/Rentabilidad/12,0),0) &amp; " años")</f>
        <v>No aplica</v>
      </c>
      <c r="AB803" s="82" t="s">
        <v>4796</v>
      </c>
      <c r="AC803" s="97" t="s">
        <v>4797</v>
      </c>
      <c r="AD803" s="97" t="s">
        <v>4798</v>
      </c>
      <c r="AE803" s="63"/>
      <c r="AF803" s="64" t="s">
        <v>105</v>
      </c>
      <c r="AG803" s="65" t="s">
        <v>106</v>
      </c>
      <c r="AH803" s="63"/>
      <c r="AI803" s="65" t="s">
        <v>107</v>
      </c>
      <c r="AJ803" s="64" t="s">
        <v>4772</v>
      </c>
      <c r="AK803" s="50" t="s">
        <v>81</v>
      </c>
      <c r="AL803" s="45" t="s">
        <v>109</v>
      </c>
      <c r="AM803" s="50">
        <v>3.133523454E9</v>
      </c>
      <c r="AN803" s="64">
        <v>0.0</v>
      </c>
      <c r="AO803" s="52"/>
      <c r="AP803" s="67"/>
      <c r="AQ803" s="67"/>
      <c r="AR803" s="67"/>
      <c r="AS803" s="94">
        <v>0.0</v>
      </c>
      <c r="AT803" s="65">
        <v>0.0</v>
      </c>
      <c r="AU803" s="50" t="s">
        <v>106</v>
      </c>
      <c r="AV803" s="50" t="s">
        <v>106</v>
      </c>
      <c r="AW803" s="50" t="s">
        <v>88</v>
      </c>
      <c r="AX803" s="50">
        <v>0.0</v>
      </c>
      <c r="AY803" s="50">
        <v>0.0</v>
      </c>
      <c r="AZ803" s="50">
        <v>0.0</v>
      </c>
      <c r="BA803" s="43" t="s">
        <v>89</v>
      </c>
      <c r="BB803" s="50">
        <v>0.0</v>
      </c>
      <c r="BC803" s="86"/>
      <c r="BD803" s="71"/>
      <c r="BE803" s="71"/>
      <c r="BF803" s="72" t="s">
        <v>4799</v>
      </c>
      <c r="BG803" s="73"/>
      <c r="BH803" s="73"/>
      <c r="BI803" s="73"/>
      <c r="BJ803" s="73"/>
      <c r="BK803" s="73"/>
      <c r="BL803" s="73"/>
      <c r="BM803" s="73"/>
      <c r="BN803" s="73"/>
      <c r="BO803" s="73"/>
      <c r="BP803" s="73"/>
      <c r="BQ803" s="73"/>
      <c r="BR803" s="73"/>
      <c r="BS803" s="73"/>
      <c r="BT803" s="73"/>
      <c r="BU803" s="73"/>
      <c r="BV803" s="73"/>
      <c r="BW803" s="74"/>
      <c r="BX803" s="74"/>
      <c r="BY803" s="63"/>
      <c r="BZ803" s="63"/>
    </row>
    <row r="804" ht="15.75" customHeight="1">
      <c r="A804" s="75" t="s">
        <v>4800</v>
      </c>
      <c r="B804" s="50" t="s">
        <v>4801</v>
      </c>
      <c r="C804" s="50" t="s">
        <v>128</v>
      </c>
      <c r="D804" s="50" t="s">
        <v>459</v>
      </c>
      <c r="E804" s="64"/>
      <c r="F804" s="78">
        <v>8.55E8</v>
      </c>
      <c r="G804" s="44" t="str">
        <f t="shared" si="16"/>
        <v>$500'000.000 a $1.000'000.000</v>
      </c>
      <c r="H804" s="44"/>
      <c r="I804" s="44"/>
      <c r="J804" s="50" t="s">
        <v>116</v>
      </c>
      <c r="K804" s="51" t="s">
        <v>192</v>
      </c>
      <c r="L804" s="50">
        <v>4.0</v>
      </c>
      <c r="M804" s="50"/>
      <c r="N804" s="50">
        <v>3.0</v>
      </c>
      <c r="O804" s="50">
        <v>2.0</v>
      </c>
      <c r="P804" s="50">
        <v>1.0</v>
      </c>
      <c r="Q804" s="88">
        <v>0.0</v>
      </c>
      <c r="R804" s="89">
        <v>0.0</v>
      </c>
      <c r="S804" s="56" t="str">
        <f t="shared" ref="S804:S805" si="21">IF(AS804=0," ","Rentabilidad $" &amp; TEXT(AS804,"#,##0"))</f>
        <v> </v>
      </c>
      <c r="T804" s="50" t="s">
        <v>78</v>
      </c>
      <c r="U804" s="51" t="s">
        <v>154</v>
      </c>
      <c r="V804" s="50" t="s">
        <v>79</v>
      </c>
      <c r="W804" s="50"/>
      <c r="X804" s="50">
        <v>4.0</v>
      </c>
      <c r="Y804" s="50" t="s">
        <v>130</v>
      </c>
      <c r="Z804" s="91"/>
      <c r="AA804" s="59" t="str">
        <f>IF(Rentabilidad=0,"No aplica",TEXT(ROUND(Precio/Rentabilidad/12,0),0) &amp; " años")</f>
        <v>No aplica</v>
      </c>
      <c r="AB804" s="82" t="s">
        <v>4802</v>
      </c>
      <c r="AC804" s="97" t="s">
        <v>4803</v>
      </c>
      <c r="AD804" s="97" t="s">
        <v>4804</v>
      </c>
      <c r="AE804" s="63"/>
      <c r="AF804" s="64" t="s">
        <v>105</v>
      </c>
      <c r="AG804" s="65" t="s">
        <v>106</v>
      </c>
      <c r="AH804" s="63"/>
      <c r="AI804" s="65" t="s">
        <v>107</v>
      </c>
      <c r="AJ804" s="64" t="s">
        <v>4772</v>
      </c>
      <c r="AK804" s="50" t="s">
        <v>81</v>
      </c>
      <c r="AL804" s="45" t="s">
        <v>109</v>
      </c>
      <c r="AM804" s="50">
        <v>3.133523454E9</v>
      </c>
      <c r="AN804" s="64">
        <v>0.0</v>
      </c>
      <c r="AO804" s="52"/>
      <c r="AP804" s="67"/>
      <c r="AQ804" s="67"/>
      <c r="AR804" s="67"/>
      <c r="AS804" s="94">
        <v>0.0</v>
      </c>
      <c r="AT804" s="65">
        <v>0.0</v>
      </c>
      <c r="AU804" s="50" t="s">
        <v>106</v>
      </c>
      <c r="AV804" s="50" t="s">
        <v>106</v>
      </c>
      <c r="AW804" s="50" t="s">
        <v>88</v>
      </c>
      <c r="AX804" s="50">
        <v>0.0</v>
      </c>
      <c r="AY804" s="50">
        <v>0.0</v>
      </c>
      <c r="AZ804" s="50">
        <v>0.0</v>
      </c>
      <c r="BA804" s="43" t="s">
        <v>89</v>
      </c>
      <c r="BB804" s="50">
        <v>0.0</v>
      </c>
      <c r="BC804" s="95"/>
      <c r="BD804" s="71"/>
      <c r="BE804" s="71"/>
      <c r="BF804" s="72" t="s">
        <v>4805</v>
      </c>
      <c r="BG804" s="73"/>
      <c r="BH804" s="73"/>
      <c r="BI804" s="73"/>
      <c r="BJ804" s="73"/>
      <c r="BK804" s="73"/>
      <c r="BL804" s="73"/>
      <c r="BM804" s="73"/>
      <c r="BN804" s="73"/>
      <c r="BO804" s="73"/>
      <c r="BP804" s="73"/>
      <c r="BQ804" s="73"/>
      <c r="BR804" s="73"/>
      <c r="BS804" s="73"/>
      <c r="BT804" s="73"/>
      <c r="BU804" s="73"/>
      <c r="BV804" s="73"/>
      <c r="BW804" s="74"/>
      <c r="BX804" s="74"/>
      <c r="BY804" s="63"/>
      <c r="BZ804" s="63"/>
    </row>
    <row r="805" ht="15.75" customHeight="1">
      <c r="A805" s="75" t="s">
        <v>4806</v>
      </c>
      <c r="B805" s="50" t="s">
        <v>4043</v>
      </c>
      <c r="C805" s="50" t="s">
        <v>128</v>
      </c>
      <c r="D805" s="50" t="s">
        <v>459</v>
      </c>
      <c r="E805" s="64" t="s">
        <v>4807</v>
      </c>
      <c r="F805" s="78">
        <v>8.5E8</v>
      </c>
      <c r="G805" s="44" t="str">
        <f t="shared" si="16"/>
        <v>$500'000.000 a $1.000'000.000</v>
      </c>
      <c r="H805" s="44"/>
      <c r="I805" s="44"/>
      <c r="J805" s="50" t="s">
        <v>116</v>
      </c>
      <c r="K805" s="51" t="s">
        <v>192</v>
      </c>
      <c r="L805" s="50">
        <v>4.0</v>
      </c>
      <c r="M805" s="50"/>
      <c r="N805" s="50">
        <v>3.0</v>
      </c>
      <c r="O805" s="50">
        <v>2.0</v>
      </c>
      <c r="P805" s="50">
        <v>1.0</v>
      </c>
      <c r="Q805" s="88">
        <v>243.0</v>
      </c>
      <c r="R805" s="88">
        <v>243.0</v>
      </c>
      <c r="S805" s="56" t="str">
        <f t="shared" si="21"/>
        <v> </v>
      </c>
      <c r="T805" s="50" t="s">
        <v>78</v>
      </c>
      <c r="U805" s="51" t="s">
        <v>154</v>
      </c>
      <c r="V805" s="50" t="s">
        <v>79</v>
      </c>
      <c r="W805" s="50"/>
      <c r="X805" s="50">
        <v>4.0</v>
      </c>
      <c r="Y805" s="50" t="s">
        <v>130</v>
      </c>
      <c r="Z805" s="91"/>
      <c r="AA805" s="59" t="str">
        <f>IF(Rentabilidad=0,"No aplica",TEXT(ROUND(Precio/Rentabilidad/12,0),0) &amp; " años")</f>
        <v>No aplica</v>
      </c>
      <c r="AB805" s="82" t="s">
        <v>4808</v>
      </c>
      <c r="AC805" s="110" t="s">
        <v>4809</v>
      </c>
      <c r="AD805" s="83" t="s">
        <v>4810</v>
      </c>
      <c r="AE805" s="63"/>
      <c r="AF805" s="64" t="s">
        <v>105</v>
      </c>
      <c r="AG805" s="65" t="s">
        <v>106</v>
      </c>
      <c r="AH805" s="63"/>
      <c r="AI805" s="65" t="s">
        <v>107</v>
      </c>
      <c r="AJ805" s="64" t="s">
        <v>4772</v>
      </c>
      <c r="AK805" s="50" t="s">
        <v>81</v>
      </c>
      <c r="AL805" s="45" t="s">
        <v>109</v>
      </c>
      <c r="AM805" s="50">
        <v>3.133523454E9</v>
      </c>
      <c r="AN805" s="64">
        <v>0.0</v>
      </c>
      <c r="AO805" s="52"/>
      <c r="AP805" s="67"/>
      <c r="AQ805" s="84">
        <v>2.93167857700578</v>
      </c>
      <c r="AR805" s="84">
        <v>-75.2512641836376</v>
      </c>
      <c r="AS805" s="94">
        <v>0.0</v>
      </c>
      <c r="AT805" s="65">
        <v>0.0</v>
      </c>
      <c r="AU805" s="50" t="s">
        <v>106</v>
      </c>
      <c r="AV805" s="50" t="s">
        <v>106</v>
      </c>
      <c r="AW805" s="50" t="s">
        <v>88</v>
      </c>
      <c r="AX805" s="50">
        <v>0.0</v>
      </c>
      <c r="AY805" s="50">
        <v>0.0</v>
      </c>
      <c r="AZ805" s="50">
        <v>0.0</v>
      </c>
      <c r="BA805" s="43" t="s">
        <v>89</v>
      </c>
      <c r="BB805" s="50">
        <v>0.0</v>
      </c>
      <c r="BC805" s="95"/>
      <c r="BD805" s="71"/>
      <c r="BE805" s="71"/>
      <c r="BF805" s="72" t="s">
        <v>4811</v>
      </c>
      <c r="BG805" s="73"/>
      <c r="BH805" s="73"/>
      <c r="BI805" s="73"/>
      <c r="BJ805" s="73"/>
      <c r="BK805" s="73"/>
      <c r="BL805" s="73"/>
      <c r="BM805" s="73"/>
      <c r="BN805" s="73"/>
      <c r="BO805" s="73"/>
      <c r="BP805" s="73"/>
      <c r="BQ805" s="73"/>
      <c r="BR805" s="73"/>
      <c r="BS805" s="73"/>
      <c r="BT805" s="73"/>
      <c r="BU805" s="73"/>
      <c r="BV805" s="73"/>
      <c r="BW805" s="74"/>
      <c r="BX805" s="74"/>
      <c r="BY805" s="63"/>
      <c r="BZ805" s="63"/>
    </row>
    <row r="806" ht="15.75" customHeight="1">
      <c r="A806" s="75" t="s">
        <v>4812</v>
      </c>
      <c r="B806" s="50" t="s">
        <v>4813</v>
      </c>
      <c r="C806" s="50" t="s">
        <v>323</v>
      </c>
      <c r="D806" s="50"/>
      <c r="E806" s="77" t="s">
        <v>4814</v>
      </c>
      <c r="F806" s="78">
        <v>7.8E8</v>
      </c>
      <c r="G806" s="44" t="str">
        <f t="shared" si="16"/>
        <v>$500'000.000 a $1.000'000.000</v>
      </c>
      <c r="H806" s="44"/>
      <c r="I806" s="44"/>
      <c r="J806" s="50" t="s">
        <v>116</v>
      </c>
      <c r="K806" s="51"/>
      <c r="L806" s="50">
        <v>4.0</v>
      </c>
      <c r="M806" s="50"/>
      <c r="N806" s="50">
        <v>4.0</v>
      </c>
      <c r="O806" s="50">
        <v>2.0</v>
      </c>
      <c r="P806" s="50">
        <v>9.0</v>
      </c>
      <c r="Q806" s="88">
        <v>138.0</v>
      </c>
      <c r="R806" s="88">
        <v>138.0</v>
      </c>
      <c r="S806" s="56"/>
      <c r="T806" s="50" t="s">
        <v>78</v>
      </c>
      <c r="U806" s="51" t="s">
        <v>154</v>
      </c>
      <c r="V806" s="50" t="s">
        <v>656</v>
      </c>
      <c r="W806" s="50"/>
      <c r="X806" s="50">
        <v>4.0</v>
      </c>
      <c r="Y806" s="50" t="s">
        <v>130</v>
      </c>
      <c r="Z806" s="58"/>
      <c r="AA806" s="81" t="s">
        <v>81</v>
      </c>
      <c r="AB806" s="82" t="s">
        <v>4815</v>
      </c>
      <c r="AC806" s="97" t="s">
        <v>4816</v>
      </c>
      <c r="AD806" s="97" t="s">
        <v>4817</v>
      </c>
      <c r="AE806" s="63"/>
      <c r="AF806" s="64" t="s">
        <v>105</v>
      </c>
      <c r="AG806" s="65" t="s">
        <v>106</v>
      </c>
      <c r="AH806" s="63"/>
      <c r="AI806" s="65" t="s">
        <v>107</v>
      </c>
      <c r="AJ806" s="64" t="s">
        <v>4772</v>
      </c>
      <c r="AK806" s="50" t="s">
        <v>81</v>
      </c>
      <c r="AL806" s="45" t="s">
        <v>109</v>
      </c>
      <c r="AM806" s="50">
        <v>3.133523454E9</v>
      </c>
      <c r="AN806" s="64">
        <v>0.0</v>
      </c>
      <c r="AO806" s="52"/>
      <c r="AP806" s="67"/>
      <c r="AQ806" s="84">
        <v>2.93845631272938</v>
      </c>
      <c r="AR806" s="84">
        <v>-75.2458219007388</v>
      </c>
      <c r="AS806" s="94">
        <v>0.0</v>
      </c>
      <c r="AT806" s="65" t="s">
        <v>106</v>
      </c>
      <c r="AU806" s="50" t="s">
        <v>106</v>
      </c>
      <c r="AV806" s="50" t="s">
        <v>106</v>
      </c>
      <c r="AW806" s="50" t="s">
        <v>88</v>
      </c>
      <c r="AX806" s="50">
        <v>0.0</v>
      </c>
      <c r="AY806" s="50">
        <v>0.0</v>
      </c>
      <c r="AZ806" s="50">
        <v>0.0</v>
      </c>
      <c r="BA806" s="43" t="s">
        <v>89</v>
      </c>
      <c r="BB806" s="50">
        <v>0.0</v>
      </c>
      <c r="BC806" s="69"/>
      <c r="BD806" s="70"/>
      <c r="BE806" s="71"/>
      <c r="BF806" s="72" t="s">
        <v>4818</v>
      </c>
      <c r="BG806" s="73"/>
      <c r="BH806" s="73"/>
      <c r="BI806" s="73"/>
      <c r="BJ806" s="73"/>
      <c r="BK806" s="73"/>
      <c r="BL806" s="73"/>
      <c r="BM806" s="73"/>
      <c r="BN806" s="73"/>
      <c r="BO806" s="73"/>
      <c r="BP806" s="73"/>
      <c r="BQ806" s="73"/>
      <c r="BR806" s="73"/>
      <c r="BS806" s="73"/>
      <c r="BT806" s="73"/>
      <c r="BU806" s="73"/>
      <c r="BV806" s="73"/>
      <c r="BW806" s="74"/>
      <c r="BX806" s="74"/>
      <c r="BY806" s="63"/>
      <c r="BZ806" s="63"/>
    </row>
    <row r="807" ht="15.75" customHeight="1">
      <c r="A807" s="75" t="s">
        <v>4819</v>
      </c>
      <c r="B807" s="50" t="s">
        <v>4820</v>
      </c>
      <c r="C807" s="50" t="s">
        <v>70</v>
      </c>
      <c r="D807" s="50" t="s">
        <v>76</v>
      </c>
      <c r="E807" s="64"/>
      <c r="F807" s="78">
        <v>7.5E8</v>
      </c>
      <c r="G807" s="44" t="str">
        <f t="shared" si="16"/>
        <v>$500'000.000 a $1.000'000.000</v>
      </c>
      <c r="H807" s="44"/>
      <c r="I807" s="44"/>
      <c r="J807" s="50" t="s">
        <v>76</v>
      </c>
      <c r="K807" s="51" t="s">
        <v>142</v>
      </c>
      <c r="L807" s="50">
        <v>5.0</v>
      </c>
      <c r="M807" s="50"/>
      <c r="N807" s="50">
        <v>4.0</v>
      </c>
      <c r="O807" s="50">
        <v>1.0</v>
      </c>
      <c r="P807" s="50">
        <v>2.0</v>
      </c>
      <c r="Q807" s="88">
        <v>210.0</v>
      </c>
      <c r="R807" s="88">
        <v>150.0</v>
      </c>
      <c r="S807" s="56" t="str">
        <f t="shared" ref="S807:S808" si="22">IF(AS807=0," ","Rentabilidad $" &amp; TEXT(AS807,"#,##0"))</f>
        <v> </v>
      </c>
      <c r="T807" s="50" t="s">
        <v>78</v>
      </c>
      <c r="U807" s="51" t="s">
        <v>142</v>
      </c>
      <c r="V807" s="50" t="s">
        <v>79</v>
      </c>
      <c r="W807" s="50"/>
      <c r="X807" s="50">
        <v>4.0</v>
      </c>
      <c r="Y807" s="50" t="s">
        <v>80</v>
      </c>
      <c r="Z807" s="58" t="s">
        <v>81</v>
      </c>
      <c r="AA807" s="59" t="str">
        <f>IF(Rentabilidad=0,"No aplica",TEXT(ROUND(Precio/Rentabilidad/12,0),0) &amp; " años")</f>
        <v>No aplica</v>
      </c>
      <c r="AB807" s="82" t="s">
        <v>4821</v>
      </c>
      <c r="AC807" s="83" t="s">
        <v>4822</v>
      </c>
      <c r="AD807" s="110" t="s">
        <v>4823</v>
      </c>
      <c r="AE807" s="63"/>
      <c r="AF807" s="64" t="s">
        <v>105</v>
      </c>
      <c r="AG807" s="65" t="s">
        <v>106</v>
      </c>
      <c r="AH807" s="63"/>
      <c r="AI807" s="65" t="s">
        <v>107</v>
      </c>
      <c r="AJ807" s="64" t="s">
        <v>4772</v>
      </c>
      <c r="AK807" s="50" t="s">
        <v>81</v>
      </c>
      <c r="AL807" s="45" t="s">
        <v>109</v>
      </c>
      <c r="AM807" s="50">
        <v>3.133523454E9</v>
      </c>
      <c r="AN807" s="64">
        <v>0.0</v>
      </c>
      <c r="AO807" s="52"/>
      <c r="AP807" s="67"/>
      <c r="AQ807" s="67"/>
      <c r="AR807" s="67"/>
      <c r="AS807" s="94">
        <v>0.0</v>
      </c>
      <c r="AT807" s="65">
        <v>0.0</v>
      </c>
      <c r="AU807" s="50">
        <v>0.0</v>
      </c>
      <c r="AV807" s="50">
        <v>0.0</v>
      </c>
      <c r="AW807" s="50" t="s">
        <v>106</v>
      </c>
      <c r="AX807" s="50">
        <v>0.0</v>
      </c>
      <c r="AY807" s="50">
        <v>0.0</v>
      </c>
      <c r="AZ807" s="50">
        <v>0.0</v>
      </c>
      <c r="BA807" s="43" t="s">
        <v>89</v>
      </c>
      <c r="BB807" s="50">
        <v>0.0</v>
      </c>
      <c r="BC807" s="95"/>
      <c r="BD807" s="71"/>
      <c r="BE807" s="71"/>
      <c r="BF807" s="72" t="s">
        <v>4824</v>
      </c>
      <c r="BG807" s="73"/>
      <c r="BH807" s="73"/>
      <c r="BI807" s="73"/>
      <c r="BJ807" s="73"/>
      <c r="BK807" s="73"/>
      <c r="BL807" s="73"/>
      <c r="BM807" s="73"/>
      <c r="BN807" s="73"/>
      <c r="BO807" s="73"/>
      <c r="BP807" s="73"/>
      <c r="BQ807" s="73"/>
      <c r="BR807" s="73"/>
      <c r="BS807" s="73"/>
      <c r="BT807" s="73"/>
      <c r="BU807" s="73"/>
      <c r="BV807" s="73"/>
      <c r="BW807" s="74"/>
      <c r="BX807" s="74"/>
      <c r="BY807" s="63"/>
      <c r="BZ807" s="63"/>
    </row>
    <row r="808" ht="15.75" customHeight="1">
      <c r="A808" s="75" t="s">
        <v>4825</v>
      </c>
      <c r="B808" s="50" t="s">
        <v>4826</v>
      </c>
      <c r="C808" s="50" t="s">
        <v>128</v>
      </c>
      <c r="D808" s="50" t="s">
        <v>459</v>
      </c>
      <c r="E808" s="64" t="s">
        <v>4827</v>
      </c>
      <c r="F808" s="78">
        <v>6.6E8</v>
      </c>
      <c r="G808" s="44" t="str">
        <f t="shared" si="16"/>
        <v>$500'000.000 a $1.000'000.000</v>
      </c>
      <c r="H808" s="44"/>
      <c r="I808" s="44"/>
      <c r="J808" s="50" t="s">
        <v>116</v>
      </c>
      <c r="K808" s="51" t="s">
        <v>192</v>
      </c>
      <c r="L808" s="50">
        <v>3.0</v>
      </c>
      <c r="M808" s="50"/>
      <c r="N808" s="50">
        <v>2.0</v>
      </c>
      <c r="O808" s="50">
        <v>2.0</v>
      </c>
      <c r="P808" s="50">
        <v>1.0</v>
      </c>
      <c r="Q808" s="88">
        <v>155.0</v>
      </c>
      <c r="R808" s="88">
        <v>155.0</v>
      </c>
      <c r="S808" s="56" t="str">
        <f t="shared" si="22"/>
        <v> </v>
      </c>
      <c r="T808" s="50" t="s">
        <v>78</v>
      </c>
      <c r="U808" s="51" t="s">
        <v>142</v>
      </c>
      <c r="V808" s="50" t="s">
        <v>118</v>
      </c>
      <c r="W808" s="50"/>
      <c r="X808" s="50">
        <v>3.0</v>
      </c>
      <c r="Y808" s="50" t="s">
        <v>130</v>
      </c>
      <c r="Z808" s="58">
        <v>429000.0</v>
      </c>
      <c r="AA808" s="59" t="str">
        <f>IF(Rentabilidad=0,"No aplica",TEXT(ROUND(Precio/Rentabilidad/12,0),0) &amp; " años")</f>
        <v>No aplica</v>
      </c>
      <c r="AB808" s="82" t="s">
        <v>4828</v>
      </c>
      <c r="AC808" s="110" t="s">
        <v>4829</v>
      </c>
      <c r="AD808" s="83" t="s">
        <v>4830</v>
      </c>
      <c r="AE808" s="63"/>
      <c r="AF808" s="64" t="s">
        <v>105</v>
      </c>
      <c r="AG808" s="65" t="s">
        <v>106</v>
      </c>
      <c r="AH808" s="63"/>
      <c r="AI808" s="65" t="s">
        <v>107</v>
      </c>
      <c r="AJ808" s="64" t="s">
        <v>4772</v>
      </c>
      <c r="AK808" s="50" t="s">
        <v>81</v>
      </c>
      <c r="AL808" s="45" t="s">
        <v>109</v>
      </c>
      <c r="AM808" s="50">
        <v>3.133523454E9</v>
      </c>
      <c r="AN808" s="64">
        <v>0.0</v>
      </c>
      <c r="AO808" s="52"/>
      <c r="AP808" s="67"/>
      <c r="AQ808" s="67"/>
      <c r="AR808" s="67"/>
      <c r="AS808" s="94">
        <v>0.0</v>
      </c>
      <c r="AT808" s="65">
        <v>0.0</v>
      </c>
      <c r="AU808" s="50" t="s">
        <v>106</v>
      </c>
      <c r="AV808" s="50" t="s">
        <v>106</v>
      </c>
      <c r="AW808" s="50" t="s">
        <v>88</v>
      </c>
      <c r="AX808" s="50">
        <v>0.0</v>
      </c>
      <c r="AY808" s="50">
        <v>0.0</v>
      </c>
      <c r="AZ808" s="50">
        <v>0.0</v>
      </c>
      <c r="BA808" s="43" t="s">
        <v>89</v>
      </c>
      <c r="BB808" s="50">
        <v>0.0</v>
      </c>
      <c r="BC808" s="95"/>
      <c r="BD808" s="71"/>
      <c r="BE808" s="71"/>
      <c r="BF808" s="72" t="s">
        <v>4831</v>
      </c>
      <c r="BG808" s="73"/>
      <c r="BH808" s="73"/>
      <c r="BI808" s="73"/>
      <c r="BJ808" s="73"/>
      <c r="BK808" s="73"/>
      <c r="BL808" s="73"/>
      <c r="BM808" s="73"/>
      <c r="BN808" s="73"/>
      <c r="BO808" s="73"/>
      <c r="BP808" s="73"/>
      <c r="BQ808" s="73"/>
      <c r="BR808" s="73"/>
      <c r="BS808" s="73"/>
      <c r="BT808" s="73"/>
      <c r="BU808" s="73"/>
      <c r="BV808" s="73"/>
      <c r="BW808" s="74"/>
      <c r="BX808" s="74"/>
      <c r="BY808" s="63"/>
      <c r="BZ808" s="63"/>
    </row>
    <row r="809" ht="15.75" customHeight="1">
      <c r="A809" s="75" t="s">
        <v>4832</v>
      </c>
      <c r="B809" s="50" t="s">
        <v>4120</v>
      </c>
      <c r="C809" s="50" t="s">
        <v>573</v>
      </c>
      <c r="D809" s="50"/>
      <c r="E809" s="77"/>
      <c r="F809" s="78">
        <v>6.0E8</v>
      </c>
      <c r="G809" s="44" t="str">
        <f t="shared" si="16"/>
        <v>$500'000.000 a $1.000'000.000</v>
      </c>
      <c r="H809" s="44"/>
      <c r="I809" s="44"/>
      <c r="J809" s="50" t="s">
        <v>76</v>
      </c>
      <c r="K809" s="51" t="s">
        <v>77</v>
      </c>
      <c r="L809" s="50">
        <v>4.0</v>
      </c>
      <c r="M809" s="50"/>
      <c r="N809" s="50">
        <v>2.0</v>
      </c>
      <c r="O809" s="50">
        <v>2.0</v>
      </c>
      <c r="P809" s="50">
        <v>12.0</v>
      </c>
      <c r="Q809" s="88">
        <v>162.0</v>
      </c>
      <c r="R809" s="88">
        <v>162.0</v>
      </c>
      <c r="S809" s="56"/>
      <c r="T809" s="50" t="s">
        <v>78</v>
      </c>
      <c r="U809" s="51" t="s">
        <v>154</v>
      </c>
      <c r="V809" s="50" t="s">
        <v>1006</v>
      </c>
      <c r="W809" s="50"/>
      <c r="X809" s="50">
        <v>4.0</v>
      </c>
      <c r="Y809" s="50" t="s">
        <v>130</v>
      </c>
      <c r="Z809" s="58">
        <v>600000.0</v>
      </c>
      <c r="AA809" s="81" t="s">
        <v>81</v>
      </c>
      <c r="AB809" s="82" t="s">
        <v>4833</v>
      </c>
      <c r="AC809" s="110" t="s">
        <v>4834</v>
      </c>
      <c r="AD809" s="83" t="s">
        <v>4835</v>
      </c>
      <c r="AE809" s="63"/>
      <c r="AF809" s="64" t="s">
        <v>105</v>
      </c>
      <c r="AG809" s="65" t="s">
        <v>106</v>
      </c>
      <c r="AH809" s="63"/>
      <c r="AI809" s="65" t="s">
        <v>107</v>
      </c>
      <c r="AJ809" s="64" t="s">
        <v>4772</v>
      </c>
      <c r="AK809" s="50" t="s">
        <v>81</v>
      </c>
      <c r="AL809" s="45" t="s">
        <v>109</v>
      </c>
      <c r="AM809" s="50">
        <v>3.133523454E9</v>
      </c>
      <c r="AN809" s="64">
        <v>0.0</v>
      </c>
      <c r="AO809" s="52"/>
      <c r="AP809" s="67"/>
      <c r="AQ809" s="67"/>
      <c r="AR809" s="67"/>
      <c r="AS809" s="94">
        <v>0.0</v>
      </c>
      <c r="AT809" s="65" t="s">
        <v>106</v>
      </c>
      <c r="AU809" s="50" t="s">
        <v>106</v>
      </c>
      <c r="AV809" s="50" t="s">
        <v>106</v>
      </c>
      <c r="AW809" s="50" t="s">
        <v>88</v>
      </c>
      <c r="AX809" s="50">
        <v>0.0</v>
      </c>
      <c r="AY809" s="50">
        <v>0.0</v>
      </c>
      <c r="AZ809" s="50">
        <v>0.0</v>
      </c>
      <c r="BA809" s="43" t="s">
        <v>89</v>
      </c>
      <c r="BB809" s="50">
        <v>0.0</v>
      </c>
      <c r="BC809" s="69"/>
      <c r="BD809" s="70"/>
      <c r="BE809" s="71"/>
      <c r="BF809" s="72" t="s">
        <v>4836</v>
      </c>
      <c r="BG809" s="73"/>
      <c r="BH809" s="73"/>
      <c r="BI809" s="73"/>
      <c r="BJ809" s="73"/>
      <c r="BK809" s="73"/>
      <c r="BL809" s="73"/>
      <c r="BM809" s="73"/>
      <c r="BN809" s="73"/>
      <c r="BO809" s="73"/>
      <c r="BP809" s="73"/>
      <c r="BQ809" s="73"/>
      <c r="BR809" s="73"/>
      <c r="BS809" s="73"/>
      <c r="BT809" s="73"/>
      <c r="BU809" s="73"/>
      <c r="BV809" s="73"/>
      <c r="BW809" s="74"/>
      <c r="BX809" s="74"/>
      <c r="BY809" s="63"/>
      <c r="BZ809" s="63"/>
    </row>
    <row r="810" ht="15.75" customHeight="1">
      <c r="A810" s="75" t="s">
        <v>4837</v>
      </c>
      <c r="B810" s="50" t="s">
        <v>4838</v>
      </c>
      <c r="C810" s="50" t="s">
        <v>323</v>
      </c>
      <c r="D810" s="50"/>
      <c r="E810" s="64" t="s">
        <v>4839</v>
      </c>
      <c r="F810" s="78">
        <v>5.4E8</v>
      </c>
      <c r="G810" s="44" t="str">
        <f t="shared" si="16"/>
        <v>$500'000.000 a $1.000'000.000</v>
      </c>
      <c r="H810" s="44"/>
      <c r="I810" s="44"/>
      <c r="J810" s="50" t="s">
        <v>116</v>
      </c>
      <c r="K810" s="51"/>
      <c r="L810" s="50">
        <v>3.0</v>
      </c>
      <c r="M810" s="50"/>
      <c r="N810" s="50">
        <v>3.0</v>
      </c>
      <c r="O810" s="50">
        <v>1.0</v>
      </c>
      <c r="P810" s="50">
        <v>6.0</v>
      </c>
      <c r="Q810" s="88">
        <v>95.0</v>
      </c>
      <c r="R810" s="88">
        <v>104.0</v>
      </c>
      <c r="S810" s="56" t="str">
        <f t="shared" ref="S810:S830" si="23">IF(AS810=0," ","Rentabilidad $" &amp; TEXT(AS810,"#,##0"))</f>
        <v> </v>
      </c>
      <c r="T810" s="50" t="s">
        <v>78</v>
      </c>
      <c r="U810" s="51" t="s">
        <v>154</v>
      </c>
      <c r="V810" s="50" t="s">
        <v>696</v>
      </c>
      <c r="W810" s="50"/>
      <c r="X810" s="50">
        <v>3.0</v>
      </c>
      <c r="Y810" s="50" t="s">
        <v>130</v>
      </c>
      <c r="Z810" s="58">
        <v>400000.0</v>
      </c>
      <c r="AA810" s="59" t="str">
        <f>IF(Rentabilidad=0,"No aplica",TEXT(ROUND(Precio/Rentabilidad/12,0),0) &amp; " años")</f>
        <v>No aplica</v>
      </c>
      <c r="AB810" s="82" t="s">
        <v>4840</v>
      </c>
      <c r="AC810" s="83" t="s">
        <v>4841</v>
      </c>
      <c r="AD810" s="83" t="s">
        <v>4842</v>
      </c>
      <c r="AE810" s="63"/>
      <c r="AF810" s="64" t="s">
        <v>105</v>
      </c>
      <c r="AG810" s="65" t="s">
        <v>106</v>
      </c>
      <c r="AH810" s="63"/>
      <c r="AI810" s="65" t="s">
        <v>107</v>
      </c>
      <c r="AJ810" s="64" t="s">
        <v>4772</v>
      </c>
      <c r="AK810" s="50" t="s">
        <v>81</v>
      </c>
      <c r="AL810" s="45" t="s">
        <v>109</v>
      </c>
      <c r="AM810" s="50">
        <v>3.133523454E9</v>
      </c>
      <c r="AN810" s="64">
        <v>0.0</v>
      </c>
      <c r="AO810" s="52"/>
      <c r="AP810" s="67"/>
      <c r="AQ810" s="67"/>
      <c r="AR810" s="67"/>
      <c r="AS810" s="94">
        <v>0.0</v>
      </c>
      <c r="AT810" s="65" t="s">
        <v>106</v>
      </c>
      <c r="AU810" s="50" t="s">
        <v>106</v>
      </c>
      <c r="AV810" s="50" t="s">
        <v>106</v>
      </c>
      <c r="AW810" s="50" t="s">
        <v>88</v>
      </c>
      <c r="AX810" s="50">
        <v>0.0</v>
      </c>
      <c r="AY810" s="50">
        <v>0.0</v>
      </c>
      <c r="AZ810" s="50">
        <v>0.0</v>
      </c>
      <c r="BA810" s="43" t="s">
        <v>89</v>
      </c>
      <c r="BB810" s="50">
        <v>0.0</v>
      </c>
      <c r="BC810" s="95"/>
      <c r="BD810" s="71"/>
      <c r="BE810" s="70"/>
      <c r="BF810" s="72" t="s">
        <v>4843</v>
      </c>
      <c r="BG810" s="73"/>
      <c r="BH810" s="73"/>
      <c r="BI810" s="73"/>
      <c r="BJ810" s="73"/>
      <c r="BK810" s="73"/>
      <c r="BL810" s="73"/>
      <c r="BM810" s="73"/>
      <c r="BN810" s="73"/>
      <c r="BO810" s="73"/>
      <c r="BP810" s="73"/>
      <c r="BQ810" s="73"/>
      <c r="BR810" s="73"/>
      <c r="BS810" s="73"/>
      <c r="BT810" s="73"/>
      <c r="BU810" s="73"/>
      <c r="BV810" s="73"/>
      <c r="BW810" s="74"/>
      <c r="BX810" s="74"/>
      <c r="BY810" s="63"/>
      <c r="BZ810" s="63"/>
    </row>
    <row r="811" ht="15.75" customHeight="1">
      <c r="A811" s="75" t="s">
        <v>4844</v>
      </c>
      <c r="B811" s="50" t="s">
        <v>4845</v>
      </c>
      <c r="C811" s="111" t="s">
        <v>323</v>
      </c>
      <c r="D811" s="50"/>
      <c r="E811" s="64" t="s">
        <v>4846</v>
      </c>
      <c r="F811" s="78">
        <v>5.4E8</v>
      </c>
      <c r="G811" s="44" t="str">
        <f t="shared" si="16"/>
        <v>$500'000.000 a $1.000'000.000</v>
      </c>
      <c r="H811" s="44"/>
      <c r="I811" s="44"/>
      <c r="J811" s="50" t="s">
        <v>116</v>
      </c>
      <c r="K811" s="51" t="s">
        <v>294</v>
      </c>
      <c r="L811" s="50">
        <v>3.0</v>
      </c>
      <c r="M811" s="50"/>
      <c r="N811" s="50">
        <v>2.0</v>
      </c>
      <c r="O811" s="50">
        <v>2.0</v>
      </c>
      <c r="P811" s="50">
        <v>9.0</v>
      </c>
      <c r="Q811" s="88">
        <v>95.0</v>
      </c>
      <c r="R811" s="88">
        <v>95.0</v>
      </c>
      <c r="S811" s="56" t="str">
        <f t="shared" si="23"/>
        <v> </v>
      </c>
      <c r="T811" s="50" t="s">
        <v>78</v>
      </c>
      <c r="U811" s="51" t="s">
        <v>154</v>
      </c>
      <c r="V811" s="50" t="s">
        <v>656</v>
      </c>
      <c r="W811" s="50"/>
      <c r="X811" s="50">
        <v>3.0</v>
      </c>
      <c r="Y811" s="50" t="s">
        <v>130</v>
      </c>
      <c r="Z811" s="91"/>
      <c r="AA811" s="59" t="str">
        <f>IF(Rentabilidad=0,"No aplica",TEXT(ROUND(Precio/Rentabilidad/12,0),0) &amp; " años")</f>
        <v>No aplica</v>
      </c>
      <c r="AB811" s="82" t="s">
        <v>4847</v>
      </c>
      <c r="AC811" s="83" t="s">
        <v>4848</v>
      </c>
      <c r="AD811" s="83" t="s">
        <v>4849</v>
      </c>
      <c r="AE811" s="63"/>
      <c r="AF811" s="64" t="s">
        <v>4850</v>
      </c>
      <c r="AG811" s="65" t="s">
        <v>106</v>
      </c>
      <c r="AH811" s="63"/>
      <c r="AI811" s="65" t="s">
        <v>107</v>
      </c>
      <c r="AJ811" s="64" t="s">
        <v>4772</v>
      </c>
      <c r="AK811" s="50" t="s">
        <v>81</v>
      </c>
      <c r="AL811" s="45" t="s">
        <v>109</v>
      </c>
      <c r="AM811" s="50">
        <v>3.133523454E9</v>
      </c>
      <c r="AN811" s="64">
        <v>0.0</v>
      </c>
      <c r="AO811" s="52"/>
      <c r="AP811" s="67"/>
      <c r="AQ811" s="67"/>
      <c r="AR811" s="67"/>
      <c r="AS811" s="94">
        <v>0.0</v>
      </c>
      <c r="AT811" s="65" t="s">
        <v>106</v>
      </c>
      <c r="AU811" s="50">
        <v>0.0</v>
      </c>
      <c r="AV811" s="50">
        <v>0.0</v>
      </c>
      <c r="AW811" s="50" t="s">
        <v>88</v>
      </c>
      <c r="AX811" s="50">
        <v>0.0</v>
      </c>
      <c r="AY811" s="50">
        <v>0.0</v>
      </c>
      <c r="AZ811" s="50">
        <v>0.0</v>
      </c>
      <c r="BA811" s="43" t="s">
        <v>89</v>
      </c>
      <c r="BB811" s="50">
        <v>0.0</v>
      </c>
      <c r="BC811" s="95"/>
      <c r="BD811" s="71"/>
      <c r="BE811" s="71"/>
      <c r="BF811" s="72" t="s">
        <v>4851</v>
      </c>
      <c r="BG811" s="73"/>
      <c r="BH811" s="73"/>
      <c r="BI811" s="73"/>
      <c r="BJ811" s="73"/>
      <c r="BK811" s="73"/>
      <c r="BL811" s="73"/>
      <c r="BM811" s="73"/>
      <c r="BN811" s="73"/>
      <c r="BO811" s="73"/>
      <c r="BP811" s="73"/>
      <c r="BQ811" s="73"/>
      <c r="BR811" s="73"/>
      <c r="BS811" s="73"/>
      <c r="BT811" s="73"/>
      <c r="BU811" s="73"/>
      <c r="BV811" s="73"/>
      <c r="BW811" s="74"/>
      <c r="BX811" s="74"/>
      <c r="BY811" s="63"/>
      <c r="BZ811" s="63"/>
    </row>
    <row r="812" ht="15.75" customHeight="1">
      <c r="A812" s="75" t="s">
        <v>4852</v>
      </c>
      <c r="B812" s="50" t="s">
        <v>4571</v>
      </c>
      <c r="C812" s="111" t="s">
        <v>323</v>
      </c>
      <c r="D812" s="50"/>
      <c r="E812" s="64" t="s">
        <v>4853</v>
      </c>
      <c r="F812" s="78">
        <v>5.4E8</v>
      </c>
      <c r="G812" s="44" t="str">
        <f t="shared" si="16"/>
        <v>$500'000.000 a $1.000'000.000</v>
      </c>
      <c r="H812" s="44"/>
      <c r="I812" s="44"/>
      <c r="J812" s="50" t="s">
        <v>116</v>
      </c>
      <c r="K812" s="51" t="s">
        <v>294</v>
      </c>
      <c r="L812" s="50">
        <v>2.0</v>
      </c>
      <c r="M812" s="50"/>
      <c r="N812" s="50">
        <v>2.0</v>
      </c>
      <c r="O812" s="50">
        <v>1.0</v>
      </c>
      <c r="P812" s="50">
        <v>4.0</v>
      </c>
      <c r="Q812" s="88">
        <v>93.0</v>
      </c>
      <c r="R812" s="88">
        <v>93.0</v>
      </c>
      <c r="S812" s="56" t="str">
        <f t="shared" si="23"/>
        <v> </v>
      </c>
      <c r="T812" s="50" t="s">
        <v>78</v>
      </c>
      <c r="U812" s="51" t="s">
        <v>154</v>
      </c>
      <c r="V812" s="50" t="s">
        <v>680</v>
      </c>
      <c r="W812" s="50"/>
      <c r="X812" s="50">
        <v>2.0</v>
      </c>
      <c r="Y812" s="50" t="s">
        <v>130</v>
      </c>
      <c r="Z812" s="58">
        <v>290000.0</v>
      </c>
      <c r="AA812" s="59" t="str">
        <f>IF(Rentabilidad=0,"No aplica",TEXT(ROUND(Precio/Rentabilidad/12,0),0) &amp; " años")</f>
        <v>No aplica</v>
      </c>
      <c r="AB812" s="82" t="s">
        <v>4854</v>
      </c>
      <c r="AC812" s="110" t="s">
        <v>4855</v>
      </c>
      <c r="AD812" s="83" t="s">
        <v>4856</v>
      </c>
      <c r="AE812" s="63"/>
      <c r="AF812" s="64" t="s">
        <v>4850</v>
      </c>
      <c r="AG812" s="65" t="s">
        <v>106</v>
      </c>
      <c r="AH812" s="63"/>
      <c r="AI812" s="65" t="s">
        <v>107</v>
      </c>
      <c r="AJ812" s="64" t="s">
        <v>4772</v>
      </c>
      <c r="AK812" s="50" t="s">
        <v>81</v>
      </c>
      <c r="AL812" s="45" t="s">
        <v>109</v>
      </c>
      <c r="AM812" s="50">
        <v>3.133523454E9</v>
      </c>
      <c r="AN812" s="64">
        <v>0.0</v>
      </c>
      <c r="AO812" s="52"/>
      <c r="AP812" s="67"/>
      <c r="AQ812" s="143">
        <v>2.9323636</v>
      </c>
      <c r="AR812" s="143">
        <v>-75.2499523</v>
      </c>
      <c r="AS812" s="94">
        <v>0.0</v>
      </c>
      <c r="AT812" s="65" t="s">
        <v>106</v>
      </c>
      <c r="AU812" s="50">
        <v>0.0</v>
      </c>
      <c r="AV812" s="50">
        <v>0.0</v>
      </c>
      <c r="AW812" s="50" t="s">
        <v>88</v>
      </c>
      <c r="AX812" s="50">
        <v>0.0</v>
      </c>
      <c r="AY812" s="50">
        <v>0.0</v>
      </c>
      <c r="AZ812" s="50">
        <v>0.0</v>
      </c>
      <c r="BA812" s="43" t="s">
        <v>89</v>
      </c>
      <c r="BB812" s="50">
        <v>0.0</v>
      </c>
      <c r="BC812" s="95"/>
      <c r="BD812" s="71"/>
      <c r="BE812" s="71"/>
      <c r="BF812" s="72" t="s">
        <v>4857</v>
      </c>
      <c r="BG812" s="73"/>
      <c r="BH812" s="73"/>
      <c r="BI812" s="73"/>
      <c r="BJ812" s="73"/>
      <c r="BK812" s="73"/>
      <c r="BL812" s="73"/>
      <c r="BM812" s="73"/>
      <c r="BN812" s="73"/>
      <c r="BO812" s="73"/>
      <c r="BP812" s="73"/>
      <c r="BQ812" s="73"/>
      <c r="BR812" s="73"/>
      <c r="BS812" s="73"/>
      <c r="BT812" s="73"/>
      <c r="BU812" s="73"/>
      <c r="BV812" s="73"/>
      <c r="BW812" s="74"/>
      <c r="BX812" s="74"/>
      <c r="BY812" s="63"/>
      <c r="BZ812" s="63"/>
    </row>
    <row r="813" ht="15.75" customHeight="1">
      <c r="A813" s="75" t="s">
        <v>4858</v>
      </c>
      <c r="B813" s="50" t="s">
        <v>4859</v>
      </c>
      <c r="C813" s="50" t="s">
        <v>114</v>
      </c>
      <c r="D813" s="50"/>
      <c r="E813" s="64"/>
      <c r="F813" s="78">
        <v>5.2E8</v>
      </c>
      <c r="G813" s="44" t="str">
        <f t="shared" si="16"/>
        <v>$500'000.000 a $1.000'000.000</v>
      </c>
      <c r="H813" s="44"/>
      <c r="I813" s="44"/>
      <c r="J813" s="50" t="s">
        <v>94</v>
      </c>
      <c r="K813" s="51"/>
      <c r="L813" s="50">
        <v>3.0</v>
      </c>
      <c r="M813" s="50"/>
      <c r="N813" s="50">
        <v>2.0</v>
      </c>
      <c r="O813" s="50">
        <v>4.0</v>
      </c>
      <c r="P813" s="50">
        <v>1.0</v>
      </c>
      <c r="Q813" s="88">
        <v>240.0</v>
      </c>
      <c r="R813" s="88">
        <v>1000.0</v>
      </c>
      <c r="S813" s="56" t="str">
        <f t="shared" si="23"/>
        <v> </v>
      </c>
      <c r="T813" s="50" t="s">
        <v>95</v>
      </c>
      <c r="U813" s="57"/>
      <c r="V813" s="50" t="s">
        <v>79</v>
      </c>
      <c r="W813" s="50"/>
      <c r="X813" s="50">
        <v>3.0</v>
      </c>
      <c r="Y813" s="50" t="s">
        <v>97</v>
      </c>
      <c r="Z813" s="58">
        <v>350000.0</v>
      </c>
      <c r="AA813" s="59" t="str">
        <f>IF(Rentabilidad=0,"No aplica",TEXT(ROUND(Precio/Rentabilidad/12,0),0) &amp; " años")</f>
        <v>No aplica</v>
      </c>
      <c r="AB813" s="82" t="s">
        <v>4860</v>
      </c>
      <c r="AC813" s="83" t="s">
        <v>4861</v>
      </c>
      <c r="AD813" s="110" t="s">
        <v>4862</v>
      </c>
      <c r="AE813" s="63"/>
      <c r="AF813" s="64" t="s">
        <v>236</v>
      </c>
      <c r="AG813" s="65" t="s">
        <v>106</v>
      </c>
      <c r="AH813" s="63"/>
      <c r="AI813" s="65" t="s">
        <v>107</v>
      </c>
      <c r="AJ813" s="64" t="s">
        <v>4772</v>
      </c>
      <c r="AK813" s="50" t="s">
        <v>81</v>
      </c>
      <c r="AL813" s="45" t="s">
        <v>109</v>
      </c>
      <c r="AM813" s="50">
        <v>3.133523454E9</v>
      </c>
      <c r="AN813" s="64">
        <v>0.0</v>
      </c>
      <c r="AO813" s="52"/>
      <c r="AP813" s="67"/>
      <c r="AQ813" s="67"/>
      <c r="AR813" s="67"/>
      <c r="AS813" s="94">
        <v>0.0</v>
      </c>
      <c r="AT813" s="65">
        <v>0.0</v>
      </c>
      <c r="AU813" s="50" t="s">
        <v>106</v>
      </c>
      <c r="AV813" s="50">
        <v>0.0</v>
      </c>
      <c r="AW813" s="50" t="s">
        <v>88</v>
      </c>
      <c r="AX813" s="50">
        <v>0.0</v>
      </c>
      <c r="AY813" s="50">
        <v>0.0</v>
      </c>
      <c r="AZ813" s="50">
        <v>0.0</v>
      </c>
      <c r="BA813" s="43" t="s">
        <v>89</v>
      </c>
      <c r="BB813" s="50">
        <v>0.0</v>
      </c>
      <c r="BC813" s="95"/>
      <c r="BD813" s="71"/>
      <c r="BE813" s="71"/>
      <c r="BF813" s="72" t="s">
        <v>4863</v>
      </c>
      <c r="BG813" s="73"/>
      <c r="BH813" s="73"/>
      <c r="BI813" s="73"/>
      <c r="BJ813" s="73"/>
      <c r="BK813" s="73"/>
      <c r="BL813" s="73"/>
      <c r="BM813" s="73"/>
      <c r="BN813" s="73"/>
      <c r="BO813" s="73"/>
      <c r="BP813" s="73"/>
      <c r="BQ813" s="73"/>
      <c r="BR813" s="73"/>
      <c r="BS813" s="73"/>
      <c r="BT813" s="73"/>
      <c r="BU813" s="73"/>
      <c r="BV813" s="73"/>
      <c r="BW813" s="74"/>
      <c r="BX813" s="74"/>
      <c r="BY813" s="63"/>
      <c r="BZ813" s="63"/>
    </row>
    <row r="814" ht="15.75" customHeight="1">
      <c r="A814" s="75" t="s">
        <v>4864</v>
      </c>
      <c r="B814" s="50" t="s">
        <v>4865</v>
      </c>
      <c r="C814" s="50" t="s">
        <v>323</v>
      </c>
      <c r="D814" s="50" t="s">
        <v>430</v>
      </c>
      <c r="E814" s="64" t="s">
        <v>4866</v>
      </c>
      <c r="F814" s="78">
        <v>4.6E8</v>
      </c>
      <c r="G814" s="44" t="str">
        <f t="shared" si="16"/>
        <v>$400'000.000 a $500'000.000</v>
      </c>
      <c r="H814" s="44"/>
      <c r="I814" s="44"/>
      <c r="J814" s="50" t="s">
        <v>183</v>
      </c>
      <c r="K814" s="51" t="s">
        <v>184</v>
      </c>
      <c r="L814" s="50">
        <v>3.0</v>
      </c>
      <c r="M814" s="50"/>
      <c r="N814" s="50">
        <v>2.0</v>
      </c>
      <c r="O814" s="50">
        <v>1.0</v>
      </c>
      <c r="P814" s="50">
        <v>2.0</v>
      </c>
      <c r="Q814" s="88">
        <v>95.0</v>
      </c>
      <c r="R814" s="88">
        <v>105.0</v>
      </c>
      <c r="S814" s="56" t="str">
        <f t="shared" si="23"/>
        <v> </v>
      </c>
      <c r="T814" s="50" t="s">
        <v>78</v>
      </c>
      <c r="U814" s="51" t="s">
        <v>142</v>
      </c>
      <c r="V814" s="50" t="s">
        <v>542</v>
      </c>
      <c r="W814" s="50"/>
      <c r="X814" s="50">
        <v>3.0</v>
      </c>
      <c r="Y814" s="50" t="s">
        <v>130</v>
      </c>
      <c r="Z814" s="58">
        <v>380000.0</v>
      </c>
      <c r="AA814" s="59" t="str">
        <f>IF(Rentabilidad=0,"No aplica",TEXT(ROUND(Precio/Rentabilidad/12,0),0) &amp; " años")</f>
        <v>No aplica</v>
      </c>
      <c r="AB814" s="82" t="s">
        <v>4867</v>
      </c>
      <c r="AC814" s="110" t="s">
        <v>4868</v>
      </c>
      <c r="AD814" s="83" t="s">
        <v>4869</v>
      </c>
      <c r="AE814" s="63"/>
      <c r="AF814" s="64" t="s">
        <v>105</v>
      </c>
      <c r="AG814" s="65" t="s">
        <v>106</v>
      </c>
      <c r="AH814" s="63"/>
      <c r="AI814" s="65" t="s">
        <v>107</v>
      </c>
      <c r="AJ814" s="64" t="s">
        <v>4772</v>
      </c>
      <c r="AK814" s="50" t="s">
        <v>81</v>
      </c>
      <c r="AL814" s="45" t="s">
        <v>109</v>
      </c>
      <c r="AM814" s="50">
        <v>3.133523454E9</v>
      </c>
      <c r="AN814" s="64">
        <v>0.0</v>
      </c>
      <c r="AO814" s="52"/>
      <c r="AP814" s="67"/>
      <c r="AQ814" s="84">
        <v>2.95863862037934</v>
      </c>
      <c r="AR814" s="84">
        <v>-75.2867734726699</v>
      </c>
      <c r="AS814" s="94">
        <v>0.0</v>
      </c>
      <c r="AT814" s="65" t="s">
        <v>106</v>
      </c>
      <c r="AU814" s="50" t="s">
        <v>106</v>
      </c>
      <c r="AV814" s="50" t="s">
        <v>106</v>
      </c>
      <c r="AW814" s="50" t="s">
        <v>88</v>
      </c>
      <c r="AX814" s="50">
        <v>0.0</v>
      </c>
      <c r="AY814" s="50">
        <v>0.0</v>
      </c>
      <c r="AZ814" s="50">
        <v>0.0</v>
      </c>
      <c r="BA814" s="43" t="s">
        <v>89</v>
      </c>
      <c r="BB814" s="50">
        <v>0.0</v>
      </c>
      <c r="BC814" s="95"/>
      <c r="BD814" s="71"/>
      <c r="BE814" s="71"/>
      <c r="BF814" s="72" t="s">
        <v>4870</v>
      </c>
      <c r="BG814" s="73"/>
      <c r="BH814" s="73"/>
      <c r="BI814" s="73"/>
      <c r="BJ814" s="73"/>
      <c r="BK814" s="73"/>
      <c r="BL814" s="73"/>
      <c r="BM814" s="73"/>
      <c r="BN814" s="73"/>
      <c r="BO814" s="73"/>
      <c r="BP814" s="73"/>
      <c r="BQ814" s="73"/>
      <c r="BR814" s="73"/>
      <c r="BS814" s="73"/>
      <c r="BT814" s="73"/>
      <c r="BU814" s="73"/>
      <c r="BV814" s="73"/>
      <c r="BW814" s="74"/>
      <c r="BX814" s="74"/>
      <c r="BY814" s="63"/>
      <c r="BZ814" s="63"/>
    </row>
    <row r="815" ht="15.75" customHeight="1">
      <c r="A815" s="75" t="s">
        <v>4871</v>
      </c>
      <c r="B815" s="50" t="s">
        <v>4665</v>
      </c>
      <c r="C815" s="50" t="s">
        <v>70</v>
      </c>
      <c r="D815" s="50" t="s">
        <v>349</v>
      </c>
      <c r="E815" s="64"/>
      <c r="F815" s="78">
        <v>4.5E8</v>
      </c>
      <c r="G815" s="44" t="str">
        <f t="shared" si="16"/>
        <v>$400'000.000 a $500'000.000</v>
      </c>
      <c r="H815" s="44"/>
      <c r="I815" s="44"/>
      <c r="J815" s="50" t="s">
        <v>116</v>
      </c>
      <c r="K815" s="51" t="s">
        <v>294</v>
      </c>
      <c r="L815" s="50">
        <v>4.0</v>
      </c>
      <c r="M815" s="50"/>
      <c r="N815" s="50">
        <v>3.0</v>
      </c>
      <c r="O815" s="50">
        <v>1.0</v>
      </c>
      <c r="P815" s="50">
        <v>2.0</v>
      </c>
      <c r="Q815" s="88">
        <v>160.0</v>
      </c>
      <c r="R815" s="88">
        <v>105.0</v>
      </c>
      <c r="S815" s="56" t="str">
        <f t="shared" si="23"/>
        <v> </v>
      </c>
      <c r="T815" s="50" t="s">
        <v>78</v>
      </c>
      <c r="U815" s="51" t="s">
        <v>184</v>
      </c>
      <c r="V815" s="50" t="s">
        <v>79</v>
      </c>
      <c r="W815" s="50"/>
      <c r="X815" s="50">
        <v>4.0</v>
      </c>
      <c r="Y815" s="43" t="s">
        <v>80</v>
      </c>
      <c r="Z815" s="80" t="s">
        <v>81</v>
      </c>
      <c r="AA815" s="59" t="str">
        <f>IF(Rentabilidad=0,"No aplica",TEXT(ROUND(Precio/Rentabilidad/12,0),0) &amp; " años")</f>
        <v>No aplica</v>
      </c>
      <c r="AB815" s="82" t="s">
        <v>4872</v>
      </c>
      <c r="AC815" s="83" t="s">
        <v>4873</v>
      </c>
      <c r="AD815" s="83" t="s">
        <v>4874</v>
      </c>
      <c r="AE815" s="63"/>
      <c r="AF815" s="64" t="s">
        <v>105</v>
      </c>
      <c r="AG815" s="65" t="s">
        <v>106</v>
      </c>
      <c r="AH815" s="63"/>
      <c r="AI815" s="65" t="s">
        <v>107</v>
      </c>
      <c r="AJ815" s="64" t="s">
        <v>4772</v>
      </c>
      <c r="AK815" s="50" t="s">
        <v>81</v>
      </c>
      <c r="AL815" s="45" t="s">
        <v>109</v>
      </c>
      <c r="AM815" s="50">
        <v>3.133523454E9</v>
      </c>
      <c r="AN815" s="64">
        <v>0.0</v>
      </c>
      <c r="AO815" s="52"/>
      <c r="AP815" s="67"/>
      <c r="AQ815" s="67"/>
      <c r="AR815" s="67"/>
      <c r="AS815" s="94">
        <v>0.0</v>
      </c>
      <c r="AT815" s="65">
        <v>0.0</v>
      </c>
      <c r="AU815" s="50">
        <v>0.0</v>
      </c>
      <c r="AV815" s="50">
        <v>0.0</v>
      </c>
      <c r="AW815" s="50" t="s">
        <v>88</v>
      </c>
      <c r="AX815" s="50">
        <v>0.0</v>
      </c>
      <c r="AY815" s="50">
        <v>0.0</v>
      </c>
      <c r="AZ815" s="50">
        <v>0.0</v>
      </c>
      <c r="BA815" s="43" t="s">
        <v>89</v>
      </c>
      <c r="BB815" s="50">
        <v>0.0</v>
      </c>
      <c r="BC815" s="95"/>
      <c r="BD815" s="71"/>
      <c r="BE815" s="71"/>
      <c r="BF815" s="72" t="s">
        <v>4875</v>
      </c>
      <c r="BG815" s="73"/>
      <c r="BH815" s="73"/>
      <c r="BI815" s="73"/>
      <c r="BJ815" s="73"/>
      <c r="BK815" s="73"/>
      <c r="BL815" s="73"/>
      <c r="BM815" s="73"/>
      <c r="BN815" s="73"/>
      <c r="BO815" s="73"/>
      <c r="BP815" s="73"/>
      <c r="BQ815" s="73"/>
      <c r="BR815" s="73"/>
      <c r="BS815" s="73"/>
      <c r="BT815" s="73"/>
      <c r="BU815" s="73"/>
      <c r="BV815" s="73"/>
      <c r="BW815" s="74"/>
      <c r="BX815" s="74"/>
      <c r="BY815" s="63"/>
      <c r="BZ815" s="63"/>
    </row>
    <row r="816" ht="15.75" customHeight="1">
      <c r="A816" s="75" t="s">
        <v>4876</v>
      </c>
      <c r="B816" s="50" t="s">
        <v>4877</v>
      </c>
      <c r="C816" s="50" t="s">
        <v>128</v>
      </c>
      <c r="D816" s="50"/>
      <c r="E816" s="64" t="s">
        <v>4878</v>
      </c>
      <c r="F816" s="78">
        <v>4.0E8</v>
      </c>
      <c r="G816" s="44" t="str">
        <f t="shared" si="16"/>
        <v>$400'000.000 a $500'000.000</v>
      </c>
      <c r="H816" s="44"/>
      <c r="I816" s="44"/>
      <c r="J816" s="50" t="s">
        <v>183</v>
      </c>
      <c r="K816" s="51"/>
      <c r="L816" s="50">
        <v>3.0</v>
      </c>
      <c r="M816" s="50"/>
      <c r="N816" s="50">
        <v>3.0</v>
      </c>
      <c r="O816" s="50">
        <v>1.0</v>
      </c>
      <c r="P816" s="50">
        <v>2.0</v>
      </c>
      <c r="Q816" s="88">
        <v>210.0</v>
      </c>
      <c r="R816" s="88">
        <v>125.0</v>
      </c>
      <c r="S816" s="56" t="str">
        <f t="shared" si="23"/>
        <v> </v>
      </c>
      <c r="T816" s="50" t="s">
        <v>78</v>
      </c>
      <c r="U816" s="51" t="s">
        <v>142</v>
      </c>
      <c r="V816" s="50" t="s">
        <v>79</v>
      </c>
      <c r="W816" s="50"/>
      <c r="X816" s="50">
        <v>3.0</v>
      </c>
      <c r="Y816" s="50" t="s">
        <v>130</v>
      </c>
      <c r="Z816" s="58">
        <v>125000.0</v>
      </c>
      <c r="AA816" s="59" t="str">
        <f>IF(Rentabilidad=0,"No aplica",TEXT(ROUND(Precio/Rentabilidad/12,0),0) &amp; " años")</f>
        <v>No aplica</v>
      </c>
      <c r="AB816" s="82" t="s">
        <v>4879</v>
      </c>
      <c r="AC816" s="325" t="s">
        <v>4880</v>
      </c>
      <c r="AD816" s="325" t="s">
        <v>4881</v>
      </c>
      <c r="AE816" s="63"/>
      <c r="AF816" s="64" t="s">
        <v>105</v>
      </c>
      <c r="AG816" s="65" t="s">
        <v>106</v>
      </c>
      <c r="AH816" s="63"/>
      <c r="AI816" s="65" t="s">
        <v>107</v>
      </c>
      <c r="AJ816" s="64" t="s">
        <v>4772</v>
      </c>
      <c r="AK816" s="50" t="s">
        <v>81</v>
      </c>
      <c r="AL816" s="45" t="s">
        <v>109</v>
      </c>
      <c r="AM816" s="50">
        <v>3.133523454E9</v>
      </c>
      <c r="AN816" s="64">
        <v>0.0</v>
      </c>
      <c r="AO816" s="52"/>
      <c r="AP816" s="67"/>
      <c r="AQ816" s="67"/>
      <c r="AR816" s="67"/>
      <c r="AS816" s="94">
        <v>0.0</v>
      </c>
      <c r="AT816" s="65">
        <v>0.0</v>
      </c>
      <c r="AU816" s="50" t="s">
        <v>106</v>
      </c>
      <c r="AV816" s="50" t="s">
        <v>106</v>
      </c>
      <c r="AW816" s="50" t="s">
        <v>88</v>
      </c>
      <c r="AX816" s="50">
        <v>0.0</v>
      </c>
      <c r="AY816" s="50">
        <v>0.0</v>
      </c>
      <c r="AZ816" s="50">
        <v>0.0</v>
      </c>
      <c r="BA816" s="43" t="s">
        <v>89</v>
      </c>
      <c r="BB816" s="50">
        <v>0.0</v>
      </c>
      <c r="BC816" s="95"/>
      <c r="BD816" s="71"/>
      <c r="BE816" s="71"/>
      <c r="BF816" s="72" t="s">
        <v>4882</v>
      </c>
      <c r="BG816" s="73"/>
      <c r="BH816" s="73"/>
      <c r="BI816" s="73"/>
      <c r="BJ816" s="73"/>
      <c r="BK816" s="73"/>
      <c r="BL816" s="73"/>
      <c r="BM816" s="73"/>
      <c r="BN816" s="73"/>
      <c r="BO816" s="73"/>
      <c r="BP816" s="73"/>
      <c r="BQ816" s="73"/>
      <c r="BR816" s="73"/>
      <c r="BS816" s="73"/>
      <c r="BT816" s="73"/>
      <c r="BU816" s="73"/>
      <c r="BV816" s="73"/>
      <c r="BW816" s="74"/>
      <c r="BX816" s="74"/>
      <c r="BY816" s="63"/>
      <c r="BZ816" s="63"/>
    </row>
    <row r="817" ht="15.75" customHeight="1">
      <c r="A817" s="75" t="s">
        <v>4883</v>
      </c>
      <c r="B817" s="50" t="s">
        <v>4884</v>
      </c>
      <c r="C817" s="50" t="s">
        <v>323</v>
      </c>
      <c r="D817" s="50" t="s">
        <v>3455</v>
      </c>
      <c r="E817" s="64" t="s">
        <v>4885</v>
      </c>
      <c r="F817" s="78">
        <v>4.0E8</v>
      </c>
      <c r="G817" s="44" t="str">
        <f t="shared" si="16"/>
        <v>$400'000.000 a $500'000.000</v>
      </c>
      <c r="H817" s="44"/>
      <c r="I817" s="44"/>
      <c r="J817" s="50" t="s">
        <v>183</v>
      </c>
      <c r="K817" s="51" t="s">
        <v>184</v>
      </c>
      <c r="L817" s="50">
        <v>3.0</v>
      </c>
      <c r="M817" s="50"/>
      <c r="N817" s="50">
        <v>2.0</v>
      </c>
      <c r="O817" s="50">
        <v>1.0</v>
      </c>
      <c r="P817" s="50">
        <v>4.0</v>
      </c>
      <c r="Q817" s="88">
        <v>96.0</v>
      </c>
      <c r="R817" s="88">
        <v>96.0</v>
      </c>
      <c r="S817" s="56" t="str">
        <f t="shared" si="23"/>
        <v> </v>
      </c>
      <c r="T817" s="50" t="s">
        <v>78</v>
      </c>
      <c r="U817" s="51" t="s">
        <v>142</v>
      </c>
      <c r="V817" s="50" t="s">
        <v>680</v>
      </c>
      <c r="W817" s="50"/>
      <c r="X817" s="50">
        <v>3.0</v>
      </c>
      <c r="Y817" s="50" t="s">
        <v>130</v>
      </c>
      <c r="Z817" s="58">
        <v>478000.0</v>
      </c>
      <c r="AA817" s="59" t="str">
        <f>IF(Rentabilidad=0,"No aplica",TEXT(ROUND(Precio/Rentabilidad/12,0),0) &amp; " años")</f>
        <v>No aplica</v>
      </c>
      <c r="AB817" s="82" t="s">
        <v>4886</v>
      </c>
      <c r="AC817" s="110" t="s">
        <v>4887</v>
      </c>
      <c r="AD817" s="169" t="s">
        <v>4888</v>
      </c>
      <c r="AE817" s="63"/>
      <c r="AF817" s="64" t="s">
        <v>105</v>
      </c>
      <c r="AG817" s="65" t="s">
        <v>106</v>
      </c>
      <c r="AH817" s="63"/>
      <c r="AI817" s="65" t="s">
        <v>107</v>
      </c>
      <c r="AJ817" s="64" t="s">
        <v>4772</v>
      </c>
      <c r="AK817" s="50" t="s">
        <v>81</v>
      </c>
      <c r="AL817" s="45" t="s">
        <v>109</v>
      </c>
      <c r="AM817" s="50">
        <v>3.133523454E9</v>
      </c>
      <c r="AN817" s="64">
        <v>0.0</v>
      </c>
      <c r="AO817" s="52"/>
      <c r="AP817" s="67"/>
      <c r="AQ817" s="67"/>
      <c r="AR817" s="67"/>
      <c r="AS817" s="94">
        <v>0.0</v>
      </c>
      <c r="AT817" s="65">
        <v>0.0</v>
      </c>
      <c r="AU817" s="50">
        <v>0.0</v>
      </c>
      <c r="AV817" s="50">
        <v>0.0</v>
      </c>
      <c r="AW817" s="50" t="s">
        <v>88</v>
      </c>
      <c r="AX817" s="50">
        <v>0.0</v>
      </c>
      <c r="AY817" s="50">
        <v>0.0</v>
      </c>
      <c r="AZ817" s="50">
        <v>0.0</v>
      </c>
      <c r="BA817" s="43" t="s">
        <v>89</v>
      </c>
      <c r="BB817" s="50">
        <v>0.0</v>
      </c>
      <c r="BC817" s="95"/>
      <c r="BD817" s="71"/>
      <c r="BE817" s="71"/>
      <c r="BF817" s="72" t="s">
        <v>4889</v>
      </c>
      <c r="BG817" s="73"/>
      <c r="BH817" s="73"/>
      <c r="BI817" s="73"/>
      <c r="BJ817" s="73"/>
      <c r="BK817" s="73"/>
      <c r="BL817" s="73"/>
      <c r="BM817" s="73"/>
      <c r="BN817" s="73"/>
      <c r="BO817" s="73"/>
      <c r="BP817" s="73"/>
      <c r="BQ817" s="73"/>
      <c r="BR817" s="73"/>
      <c r="BS817" s="73"/>
      <c r="BT817" s="73"/>
      <c r="BU817" s="73"/>
      <c r="BV817" s="73"/>
      <c r="BW817" s="74"/>
      <c r="BX817" s="74"/>
      <c r="BY817" s="63"/>
      <c r="BZ817" s="63"/>
    </row>
    <row r="818" ht="15.75" customHeight="1">
      <c r="A818" s="75" t="s">
        <v>4890</v>
      </c>
      <c r="B818" s="50" t="s">
        <v>211</v>
      </c>
      <c r="C818" s="50" t="s">
        <v>70</v>
      </c>
      <c r="D818" s="50" t="s">
        <v>212</v>
      </c>
      <c r="E818" s="64"/>
      <c r="F818" s="78">
        <v>4.0E8</v>
      </c>
      <c r="G818" s="44" t="str">
        <f t="shared" si="16"/>
        <v>$400'000.000 a $500'000.000</v>
      </c>
      <c r="H818" s="44"/>
      <c r="I818" s="44"/>
      <c r="J818" s="50" t="s">
        <v>116</v>
      </c>
      <c r="K818" s="51" t="s">
        <v>192</v>
      </c>
      <c r="L818" s="50">
        <v>3.0</v>
      </c>
      <c r="M818" s="50"/>
      <c r="N818" s="50">
        <v>3.0</v>
      </c>
      <c r="O818" s="50">
        <v>1.0</v>
      </c>
      <c r="P818" s="50">
        <v>2.0</v>
      </c>
      <c r="Q818" s="88">
        <v>160.0</v>
      </c>
      <c r="R818" s="89">
        <v>0.0</v>
      </c>
      <c r="S818" s="56" t="str">
        <f t="shared" si="23"/>
        <v> </v>
      </c>
      <c r="T818" s="50" t="s">
        <v>78</v>
      </c>
      <c r="U818" s="51" t="s">
        <v>77</v>
      </c>
      <c r="V818" s="50" t="s">
        <v>79</v>
      </c>
      <c r="W818" s="50"/>
      <c r="X818" s="50">
        <v>3.0</v>
      </c>
      <c r="Y818" s="50" t="s">
        <v>80</v>
      </c>
      <c r="Z818" s="91"/>
      <c r="AA818" s="59" t="str">
        <f>IF(Rentabilidad=0,"No aplica",TEXT(ROUND(Precio/Rentabilidad/12,0),0) &amp; " años")</f>
        <v>No aplica</v>
      </c>
      <c r="AB818" s="82" t="s">
        <v>4891</v>
      </c>
      <c r="AC818" s="110" t="s">
        <v>4892</v>
      </c>
      <c r="AD818" s="83" t="s">
        <v>4893</v>
      </c>
      <c r="AE818" s="63"/>
      <c r="AF818" s="64" t="s">
        <v>105</v>
      </c>
      <c r="AG818" s="65" t="s">
        <v>106</v>
      </c>
      <c r="AH818" s="63"/>
      <c r="AI818" s="65" t="s">
        <v>107</v>
      </c>
      <c r="AJ818" s="64" t="s">
        <v>4772</v>
      </c>
      <c r="AK818" s="50" t="s">
        <v>81</v>
      </c>
      <c r="AL818" s="45" t="s">
        <v>109</v>
      </c>
      <c r="AM818" s="50">
        <v>3.133523454E9</v>
      </c>
      <c r="AN818" s="64">
        <v>0.0</v>
      </c>
      <c r="AO818" s="52"/>
      <c r="AP818" s="67"/>
      <c r="AQ818" s="67"/>
      <c r="AR818" s="67"/>
      <c r="AS818" s="94">
        <v>0.0</v>
      </c>
      <c r="AT818" s="65">
        <v>0.0</v>
      </c>
      <c r="AU818" s="50">
        <v>0.0</v>
      </c>
      <c r="AV818" s="50">
        <v>0.0</v>
      </c>
      <c r="AW818" s="50" t="s">
        <v>106</v>
      </c>
      <c r="AX818" s="50">
        <v>0.0</v>
      </c>
      <c r="AY818" s="50">
        <v>0.0</v>
      </c>
      <c r="AZ818" s="50">
        <v>0.0</v>
      </c>
      <c r="BA818" s="43" t="s">
        <v>89</v>
      </c>
      <c r="BB818" s="50">
        <v>0.0</v>
      </c>
      <c r="BC818" s="95"/>
      <c r="BD818" s="71"/>
      <c r="BE818" s="71"/>
      <c r="BF818" s="72" t="s">
        <v>4894</v>
      </c>
      <c r="BG818" s="73"/>
      <c r="BH818" s="73"/>
      <c r="BI818" s="73"/>
      <c r="BJ818" s="73"/>
      <c r="BK818" s="73"/>
      <c r="BL818" s="73"/>
      <c r="BM818" s="73"/>
      <c r="BN818" s="73"/>
      <c r="BO818" s="73"/>
      <c r="BP818" s="73"/>
      <c r="BQ818" s="73"/>
      <c r="BR818" s="73"/>
      <c r="BS818" s="73"/>
      <c r="BT818" s="73"/>
      <c r="BU818" s="73"/>
      <c r="BV818" s="73"/>
      <c r="BW818" s="74"/>
      <c r="BX818" s="74"/>
      <c r="BY818" s="63"/>
      <c r="BZ818" s="63"/>
    </row>
    <row r="819" ht="15.75" customHeight="1">
      <c r="A819" s="75" t="s">
        <v>4895</v>
      </c>
      <c r="B819" s="50" t="s">
        <v>4896</v>
      </c>
      <c r="C819" s="50" t="s">
        <v>573</v>
      </c>
      <c r="D819" s="50" t="s">
        <v>76</v>
      </c>
      <c r="E819" s="64"/>
      <c r="F819" s="78">
        <v>3.7E8</v>
      </c>
      <c r="G819" s="44" t="str">
        <f t="shared" si="16"/>
        <v>$300'000.000 a $400'000.000</v>
      </c>
      <c r="H819" s="44"/>
      <c r="I819" s="44"/>
      <c r="J819" s="50" t="s">
        <v>76</v>
      </c>
      <c r="K819" s="51" t="s">
        <v>142</v>
      </c>
      <c r="L819" s="50">
        <v>3.0</v>
      </c>
      <c r="M819" s="50"/>
      <c r="N819" s="50">
        <v>2.0</v>
      </c>
      <c r="O819" s="50">
        <v>1.0</v>
      </c>
      <c r="P819" s="50">
        <v>2.0</v>
      </c>
      <c r="Q819" s="88">
        <v>110.0</v>
      </c>
      <c r="R819" s="88">
        <v>110.0</v>
      </c>
      <c r="S819" s="56" t="str">
        <f t="shared" si="23"/>
        <v> </v>
      </c>
      <c r="T819" s="50" t="s">
        <v>78</v>
      </c>
      <c r="U819" s="51" t="s">
        <v>142</v>
      </c>
      <c r="V819" s="50" t="s">
        <v>325</v>
      </c>
      <c r="W819" s="50"/>
      <c r="X819" s="50">
        <v>3.0</v>
      </c>
      <c r="Y819" s="50" t="s">
        <v>130</v>
      </c>
      <c r="Z819" s="58">
        <v>500000.0</v>
      </c>
      <c r="AA819" s="59" t="str">
        <f>IF(Rentabilidad=0,"No aplica",TEXT(ROUND(Precio/Rentabilidad/12,0),0) &amp; " años")</f>
        <v>No aplica</v>
      </c>
      <c r="AB819" s="82" t="s">
        <v>4897</v>
      </c>
      <c r="AC819" s="83" t="s">
        <v>4898</v>
      </c>
      <c r="AD819" s="83" t="s">
        <v>4899</v>
      </c>
      <c r="AE819" s="63"/>
      <c r="AF819" s="64" t="s">
        <v>105</v>
      </c>
      <c r="AG819" s="65" t="s">
        <v>106</v>
      </c>
      <c r="AH819" s="63"/>
      <c r="AI819" s="65" t="s">
        <v>107</v>
      </c>
      <c r="AJ819" s="64" t="s">
        <v>4772</v>
      </c>
      <c r="AK819" s="50" t="s">
        <v>81</v>
      </c>
      <c r="AL819" s="45" t="s">
        <v>109</v>
      </c>
      <c r="AM819" s="50">
        <v>3.133523454E9</v>
      </c>
      <c r="AN819" s="64">
        <v>0.0</v>
      </c>
      <c r="AO819" s="52"/>
      <c r="AP819" s="67"/>
      <c r="AQ819" s="67"/>
      <c r="AR819" s="67"/>
      <c r="AS819" s="94">
        <v>0.0</v>
      </c>
      <c r="AT819" s="65" t="s">
        <v>106</v>
      </c>
      <c r="AU819" s="50" t="s">
        <v>106</v>
      </c>
      <c r="AV819" s="50" t="s">
        <v>106</v>
      </c>
      <c r="AW819" s="50" t="s">
        <v>88</v>
      </c>
      <c r="AX819" s="50">
        <v>0.0</v>
      </c>
      <c r="AY819" s="50">
        <v>0.0</v>
      </c>
      <c r="AZ819" s="50">
        <v>0.0</v>
      </c>
      <c r="BA819" s="43" t="s">
        <v>89</v>
      </c>
      <c r="BB819" s="50">
        <v>0.0</v>
      </c>
      <c r="BC819" s="95"/>
      <c r="BD819" s="71"/>
      <c r="BE819" s="71"/>
      <c r="BF819" s="72" t="s">
        <v>4900</v>
      </c>
      <c r="BG819" s="73"/>
      <c r="BH819" s="73"/>
      <c r="BI819" s="73"/>
      <c r="BJ819" s="73"/>
      <c r="BK819" s="73"/>
      <c r="BL819" s="73"/>
      <c r="BM819" s="73"/>
      <c r="BN819" s="73"/>
      <c r="BO819" s="73"/>
      <c r="BP819" s="73"/>
      <c r="BQ819" s="73"/>
      <c r="BR819" s="73"/>
      <c r="BS819" s="73"/>
      <c r="BT819" s="73"/>
      <c r="BU819" s="73"/>
      <c r="BV819" s="73"/>
      <c r="BW819" s="74"/>
      <c r="BX819" s="74"/>
      <c r="BY819" s="63"/>
      <c r="BZ819" s="63"/>
    </row>
    <row r="820" ht="15.75" customHeight="1">
      <c r="A820" s="75" t="s">
        <v>4901</v>
      </c>
      <c r="B820" s="50" t="s">
        <v>4902</v>
      </c>
      <c r="C820" s="50" t="s">
        <v>323</v>
      </c>
      <c r="D820" s="50"/>
      <c r="E820" s="64" t="s">
        <v>4903</v>
      </c>
      <c r="F820" s="78">
        <v>3.7E8</v>
      </c>
      <c r="G820" s="44" t="str">
        <f t="shared" si="16"/>
        <v>$300'000.000 a $400'000.000</v>
      </c>
      <c r="H820" s="44"/>
      <c r="I820" s="44"/>
      <c r="J820" s="50" t="s">
        <v>94</v>
      </c>
      <c r="K820" s="51"/>
      <c r="L820" s="50">
        <v>3.0</v>
      </c>
      <c r="M820" s="50"/>
      <c r="N820" s="50">
        <v>2.0</v>
      </c>
      <c r="O820" s="50">
        <v>1.0</v>
      </c>
      <c r="P820" s="50">
        <v>9.0</v>
      </c>
      <c r="Q820" s="88">
        <v>89.0</v>
      </c>
      <c r="R820" s="88">
        <v>89.0</v>
      </c>
      <c r="S820" s="56" t="str">
        <f t="shared" si="23"/>
        <v> </v>
      </c>
      <c r="T820" s="50" t="s">
        <v>4904</v>
      </c>
      <c r="U820" s="51" t="s">
        <v>142</v>
      </c>
      <c r="V820" s="50" t="s">
        <v>656</v>
      </c>
      <c r="W820" s="50"/>
      <c r="X820" s="50">
        <v>3.0</v>
      </c>
      <c r="Y820" s="50" t="s">
        <v>130</v>
      </c>
      <c r="Z820" s="58">
        <v>330000.0</v>
      </c>
      <c r="AA820" s="59" t="str">
        <f>IF(Rentabilidad=0,"No aplica",TEXT(ROUND(Precio/Rentabilidad/12,0),0) &amp; " años")</f>
        <v>No aplica</v>
      </c>
      <c r="AB820" s="82" t="s">
        <v>4905</v>
      </c>
      <c r="AC820" s="83" t="s">
        <v>4906</v>
      </c>
      <c r="AD820" s="83" t="s">
        <v>4907</v>
      </c>
      <c r="AE820" s="63"/>
      <c r="AF820" s="64" t="s">
        <v>105</v>
      </c>
      <c r="AG820" s="65" t="s">
        <v>106</v>
      </c>
      <c r="AH820" s="63"/>
      <c r="AI820" s="65" t="s">
        <v>107</v>
      </c>
      <c r="AJ820" s="64" t="s">
        <v>4772</v>
      </c>
      <c r="AK820" s="50" t="s">
        <v>81</v>
      </c>
      <c r="AL820" s="45" t="s">
        <v>109</v>
      </c>
      <c r="AM820" s="50">
        <v>3.133523454E9</v>
      </c>
      <c r="AN820" s="64">
        <v>0.0</v>
      </c>
      <c r="AO820" s="52"/>
      <c r="AP820" s="67"/>
      <c r="AQ820" s="84">
        <v>2.90623259777415</v>
      </c>
      <c r="AR820" s="84">
        <v>-75.2773345363737</v>
      </c>
      <c r="AS820" s="94">
        <v>0.0</v>
      </c>
      <c r="AT820" s="65" t="s">
        <v>106</v>
      </c>
      <c r="AU820" s="50" t="s">
        <v>106</v>
      </c>
      <c r="AV820" s="50" t="s">
        <v>106</v>
      </c>
      <c r="AW820" s="50" t="s">
        <v>88</v>
      </c>
      <c r="AX820" s="50">
        <v>0.0</v>
      </c>
      <c r="AY820" s="50">
        <v>0.0</v>
      </c>
      <c r="AZ820" s="50">
        <v>0.0</v>
      </c>
      <c r="BA820" s="43" t="s">
        <v>89</v>
      </c>
      <c r="BB820" s="50">
        <v>0.0</v>
      </c>
      <c r="BC820" s="95"/>
      <c r="BD820" s="71"/>
      <c r="BE820" s="71"/>
      <c r="BF820" s="72" t="s">
        <v>4908</v>
      </c>
      <c r="BG820" s="73"/>
      <c r="BH820" s="73"/>
      <c r="BI820" s="73"/>
      <c r="BJ820" s="73"/>
      <c r="BK820" s="73"/>
      <c r="BL820" s="73"/>
      <c r="BM820" s="73"/>
      <c r="BN820" s="73"/>
      <c r="BO820" s="73"/>
      <c r="BP820" s="73"/>
      <c r="BQ820" s="73"/>
      <c r="BR820" s="73"/>
      <c r="BS820" s="73"/>
      <c r="BT820" s="73"/>
      <c r="BU820" s="73"/>
      <c r="BV820" s="73"/>
      <c r="BW820" s="74"/>
      <c r="BX820" s="74"/>
      <c r="BY820" s="63"/>
      <c r="BZ820" s="63"/>
    </row>
    <row r="821" ht="15.75" customHeight="1">
      <c r="A821" s="75" t="s">
        <v>4909</v>
      </c>
      <c r="B821" s="50" t="s">
        <v>4910</v>
      </c>
      <c r="C821" s="50" t="s">
        <v>114</v>
      </c>
      <c r="D821" s="50"/>
      <c r="E821" s="64" t="s">
        <v>4911</v>
      </c>
      <c r="F821" s="78">
        <v>3.6E8</v>
      </c>
      <c r="G821" s="44" t="str">
        <f t="shared" si="16"/>
        <v>$300'000.000 a $400'000.000</v>
      </c>
      <c r="H821" s="44"/>
      <c r="I821" s="44"/>
      <c r="J821" s="50"/>
      <c r="K821" s="51"/>
      <c r="L821" s="50">
        <v>6.0</v>
      </c>
      <c r="M821" s="50"/>
      <c r="N821" s="50">
        <v>2.0</v>
      </c>
      <c r="O821" s="44"/>
      <c r="P821" s="50">
        <v>1.0</v>
      </c>
      <c r="Q821" s="88">
        <v>280.0</v>
      </c>
      <c r="R821" s="88">
        <v>800.0</v>
      </c>
      <c r="S821" s="56" t="str">
        <f t="shared" si="23"/>
        <v> </v>
      </c>
      <c r="T821" s="50" t="s">
        <v>4912</v>
      </c>
      <c r="U821" s="57"/>
      <c r="V821" s="44"/>
      <c r="W821" s="44"/>
      <c r="X821" s="50">
        <v>4.0</v>
      </c>
      <c r="Y821" s="43" t="s">
        <v>80</v>
      </c>
      <c r="Z821" s="58">
        <v>160000.0</v>
      </c>
      <c r="AA821" s="59" t="str">
        <f>IF(Rentabilidad=0,"No aplica",TEXT(ROUND(Precio/Rentabilidad/12,0),0) &amp; " años")</f>
        <v>No aplica</v>
      </c>
      <c r="AB821" s="82" t="s">
        <v>4913</v>
      </c>
      <c r="AC821" s="110" t="s">
        <v>4914</v>
      </c>
      <c r="AD821" s="83" t="s">
        <v>4915</v>
      </c>
      <c r="AE821" s="63"/>
      <c r="AF821" s="111" t="s">
        <v>105</v>
      </c>
      <c r="AG821" s="65" t="s">
        <v>106</v>
      </c>
      <c r="AH821" s="63"/>
      <c r="AI821" s="65" t="s">
        <v>107</v>
      </c>
      <c r="AJ821" s="64" t="s">
        <v>4772</v>
      </c>
      <c r="AK821" s="50" t="s">
        <v>81</v>
      </c>
      <c r="AL821" s="45" t="s">
        <v>109</v>
      </c>
      <c r="AM821" s="50">
        <v>3.133523454E9</v>
      </c>
      <c r="AN821" s="64">
        <v>0.0</v>
      </c>
      <c r="AO821" s="52"/>
      <c r="AP821" s="67"/>
      <c r="AQ821" s="67"/>
      <c r="AR821" s="67"/>
      <c r="AS821" s="94">
        <v>0.0</v>
      </c>
      <c r="AT821" s="65">
        <v>0.0</v>
      </c>
      <c r="AU821" s="50">
        <v>0.0</v>
      </c>
      <c r="AV821" s="50">
        <v>0.0</v>
      </c>
      <c r="AW821" s="50" t="s">
        <v>88</v>
      </c>
      <c r="AX821" s="50">
        <v>0.0</v>
      </c>
      <c r="AY821" s="50">
        <v>0.0</v>
      </c>
      <c r="AZ821" s="50">
        <v>0.0</v>
      </c>
      <c r="BA821" s="43" t="s">
        <v>89</v>
      </c>
      <c r="BB821" s="50">
        <v>0.0</v>
      </c>
      <c r="BC821" s="95"/>
      <c r="BD821" s="71"/>
      <c r="BE821" s="71"/>
      <c r="BF821" s="72" t="s">
        <v>4916</v>
      </c>
      <c r="BG821" s="73"/>
      <c r="BH821" s="73"/>
      <c r="BI821" s="73"/>
      <c r="BJ821" s="73"/>
      <c r="BK821" s="73"/>
      <c r="BL821" s="73"/>
      <c r="BM821" s="73"/>
      <c r="BN821" s="73"/>
      <c r="BO821" s="73"/>
      <c r="BP821" s="73"/>
      <c r="BQ821" s="73"/>
      <c r="BR821" s="73"/>
      <c r="BS821" s="73"/>
      <c r="BT821" s="73"/>
      <c r="BU821" s="73"/>
      <c r="BV821" s="73"/>
      <c r="BW821" s="74"/>
      <c r="BX821" s="74"/>
      <c r="BY821" s="63"/>
      <c r="BZ821" s="63"/>
    </row>
    <row r="822" ht="15.75" customHeight="1">
      <c r="A822" s="75" t="s">
        <v>4917</v>
      </c>
      <c r="B822" s="50" t="s">
        <v>4918</v>
      </c>
      <c r="C822" s="50" t="s">
        <v>323</v>
      </c>
      <c r="D822" s="50"/>
      <c r="E822" s="64" t="s">
        <v>4919</v>
      </c>
      <c r="F822" s="78">
        <v>3.5E8</v>
      </c>
      <c r="G822" s="44" t="str">
        <f t="shared" si="16"/>
        <v>$300'000.000 a $400'000.000</v>
      </c>
      <c r="H822" s="44"/>
      <c r="I822" s="44"/>
      <c r="J822" s="50" t="s">
        <v>183</v>
      </c>
      <c r="K822" s="51"/>
      <c r="L822" s="50">
        <v>3.0</v>
      </c>
      <c r="M822" s="50"/>
      <c r="N822" s="50">
        <v>2.0</v>
      </c>
      <c r="O822" s="50">
        <v>1.0</v>
      </c>
      <c r="P822" s="50">
        <v>5.0</v>
      </c>
      <c r="Q822" s="88">
        <v>115.0</v>
      </c>
      <c r="R822" s="88">
        <v>115.0</v>
      </c>
      <c r="S822" s="56" t="str">
        <f t="shared" si="23"/>
        <v> </v>
      </c>
      <c r="T822" s="50" t="s">
        <v>78</v>
      </c>
      <c r="U822" s="51" t="s">
        <v>142</v>
      </c>
      <c r="V822" s="50" t="s">
        <v>333</v>
      </c>
      <c r="W822" s="50"/>
      <c r="X822" s="50">
        <v>3.0</v>
      </c>
      <c r="Y822" s="50" t="s">
        <v>130</v>
      </c>
      <c r="Z822" s="58">
        <v>478000.0</v>
      </c>
      <c r="AA822" s="59" t="str">
        <f>IF(Rentabilidad=0,"No aplica",TEXT(ROUND(Precio/Rentabilidad/12,0),0) &amp; " años")</f>
        <v>No aplica</v>
      </c>
      <c r="AB822" s="82" t="s">
        <v>4920</v>
      </c>
      <c r="AC822" s="83" t="s">
        <v>4921</v>
      </c>
      <c r="AD822" s="83" t="s">
        <v>4922</v>
      </c>
      <c r="AE822" s="63"/>
      <c r="AF822" s="64" t="s">
        <v>105</v>
      </c>
      <c r="AG822" s="65" t="s">
        <v>106</v>
      </c>
      <c r="AH822" s="63"/>
      <c r="AI822" s="65" t="s">
        <v>107</v>
      </c>
      <c r="AJ822" s="64" t="s">
        <v>4772</v>
      </c>
      <c r="AK822" s="50" t="s">
        <v>81</v>
      </c>
      <c r="AL822" s="45" t="s">
        <v>109</v>
      </c>
      <c r="AM822" s="50">
        <v>3.133523454E9</v>
      </c>
      <c r="AN822" s="64">
        <v>0.0</v>
      </c>
      <c r="AO822" s="52"/>
      <c r="AP822" s="67"/>
      <c r="AQ822" s="67"/>
      <c r="AR822" s="67"/>
      <c r="AS822" s="94">
        <v>0.0</v>
      </c>
      <c r="AT822" s="65" t="s">
        <v>106</v>
      </c>
      <c r="AU822" s="50">
        <v>0.0</v>
      </c>
      <c r="AV822" s="50" t="s">
        <v>106</v>
      </c>
      <c r="AW822" s="50" t="s">
        <v>88</v>
      </c>
      <c r="AX822" s="50">
        <v>0.0</v>
      </c>
      <c r="AY822" s="50">
        <v>0.0</v>
      </c>
      <c r="AZ822" s="50">
        <v>0.0</v>
      </c>
      <c r="BA822" s="43" t="s">
        <v>89</v>
      </c>
      <c r="BB822" s="50">
        <v>0.0</v>
      </c>
      <c r="BC822" s="95"/>
      <c r="BD822" s="71"/>
      <c r="BE822" s="71"/>
      <c r="BF822" s="72" t="s">
        <v>4923</v>
      </c>
      <c r="BG822" s="73"/>
      <c r="BH822" s="73"/>
      <c r="BI822" s="73"/>
      <c r="BJ822" s="73"/>
      <c r="BK822" s="73"/>
      <c r="BL822" s="73"/>
      <c r="BM822" s="73"/>
      <c r="BN822" s="73"/>
      <c r="BO822" s="73"/>
      <c r="BP822" s="73"/>
      <c r="BQ822" s="73"/>
      <c r="BR822" s="73"/>
      <c r="BS822" s="73"/>
      <c r="BT822" s="73"/>
      <c r="BU822" s="73"/>
      <c r="BV822" s="73"/>
      <c r="BW822" s="74"/>
      <c r="BX822" s="74"/>
      <c r="BY822" s="63"/>
      <c r="BZ822" s="63"/>
    </row>
    <row r="823" ht="15.75" customHeight="1">
      <c r="A823" s="75" t="s">
        <v>4924</v>
      </c>
      <c r="B823" s="50" t="s">
        <v>4925</v>
      </c>
      <c r="C823" s="50" t="s">
        <v>323</v>
      </c>
      <c r="D823" s="50"/>
      <c r="E823" s="64" t="s">
        <v>4926</v>
      </c>
      <c r="F823" s="78">
        <v>3.5E8</v>
      </c>
      <c r="G823" s="44" t="str">
        <f t="shared" si="16"/>
        <v>$300'000.000 a $400'000.000</v>
      </c>
      <c r="H823" s="44"/>
      <c r="I823" s="44"/>
      <c r="J823" s="50" t="s">
        <v>116</v>
      </c>
      <c r="K823" s="51"/>
      <c r="L823" s="50">
        <v>3.0</v>
      </c>
      <c r="M823" s="50"/>
      <c r="N823" s="50">
        <v>2.0</v>
      </c>
      <c r="O823" s="50">
        <v>1.0</v>
      </c>
      <c r="P823" s="50">
        <v>7.0</v>
      </c>
      <c r="Q823" s="88">
        <v>86.0</v>
      </c>
      <c r="R823" s="88">
        <v>86.0</v>
      </c>
      <c r="S823" s="56" t="str">
        <f t="shared" si="23"/>
        <v> </v>
      </c>
      <c r="T823" s="50" t="s">
        <v>78</v>
      </c>
      <c r="U823" s="51" t="s">
        <v>142</v>
      </c>
      <c r="V823" s="50" t="s">
        <v>1913</v>
      </c>
      <c r="W823" s="50"/>
      <c r="X823" s="50">
        <v>3.0</v>
      </c>
      <c r="Y823" s="50" t="s">
        <v>130</v>
      </c>
      <c r="Z823" s="58">
        <v>300000.0</v>
      </c>
      <c r="AA823" s="59" t="str">
        <f>IF(Rentabilidad=0,"No aplica",TEXT(ROUND(Precio/Rentabilidad/12,0),0) &amp; " años")</f>
        <v>No aplica</v>
      </c>
      <c r="AB823" s="82" t="s">
        <v>4927</v>
      </c>
      <c r="AC823" s="131" t="s">
        <v>4928</v>
      </c>
      <c r="AD823" s="83" t="s">
        <v>4929</v>
      </c>
      <c r="AE823" s="63"/>
      <c r="AF823" s="64" t="s">
        <v>105</v>
      </c>
      <c r="AG823" s="65" t="s">
        <v>106</v>
      </c>
      <c r="AH823" s="63"/>
      <c r="AI823" s="65" t="s">
        <v>107</v>
      </c>
      <c r="AJ823" s="64" t="s">
        <v>4772</v>
      </c>
      <c r="AK823" s="50" t="s">
        <v>81</v>
      </c>
      <c r="AL823" s="45" t="s">
        <v>109</v>
      </c>
      <c r="AM823" s="50">
        <v>3.133523454E9</v>
      </c>
      <c r="AN823" s="64">
        <v>0.0</v>
      </c>
      <c r="AO823" s="52"/>
      <c r="AP823" s="67"/>
      <c r="AQ823" s="84">
        <v>2.94454831042082</v>
      </c>
      <c r="AR823" s="84">
        <v>-75.2589738580734</v>
      </c>
      <c r="AS823" s="94">
        <v>0.0</v>
      </c>
      <c r="AT823" s="65" t="s">
        <v>106</v>
      </c>
      <c r="AU823" s="50">
        <v>0.0</v>
      </c>
      <c r="AV823" s="50">
        <v>0.0</v>
      </c>
      <c r="AW823" s="50" t="s">
        <v>88</v>
      </c>
      <c r="AX823" s="50">
        <v>0.0</v>
      </c>
      <c r="AY823" s="50">
        <v>0.0</v>
      </c>
      <c r="AZ823" s="50">
        <v>0.0</v>
      </c>
      <c r="BA823" s="43" t="s">
        <v>89</v>
      </c>
      <c r="BB823" s="50">
        <v>0.0</v>
      </c>
      <c r="BC823" s="95"/>
      <c r="BD823" s="71"/>
      <c r="BE823" s="70"/>
      <c r="BF823" s="72" t="s">
        <v>4930</v>
      </c>
      <c r="BG823" s="73"/>
      <c r="BH823" s="73"/>
      <c r="BI823" s="73"/>
      <c r="BJ823" s="73"/>
      <c r="BK823" s="73"/>
      <c r="BL823" s="73"/>
      <c r="BM823" s="73"/>
      <c r="BN823" s="73"/>
      <c r="BO823" s="73"/>
      <c r="BP823" s="73"/>
      <c r="BQ823" s="73"/>
      <c r="BR823" s="73"/>
      <c r="BS823" s="73"/>
      <c r="BT823" s="73"/>
      <c r="BU823" s="73"/>
      <c r="BV823" s="73"/>
      <c r="BW823" s="74"/>
      <c r="BX823" s="74"/>
      <c r="BY823" s="63"/>
      <c r="BZ823" s="63"/>
    </row>
    <row r="824" ht="15.75" customHeight="1">
      <c r="A824" s="75" t="s">
        <v>4931</v>
      </c>
      <c r="B824" s="50" t="s">
        <v>4932</v>
      </c>
      <c r="C824" s="50" t="s">
        <v>114</v>
      </c>
      <c r="D824" s="50"/>
      <c r="E824" s="64"/>
      <c r="F824" s="78">
        <v>3.5E8</v>
      </c>
      <c r="G824" s="44" t="str">
        <f t="shared" si="16"/>
        <v>$300'000.000 a $400'000.000</v>
      </c>
      <c r="H824" s="44"/>
      <c r="I824" s="44"/>
      <c r="J824" s="50" t="s">
        <v>94</v>
      </c>
      <c r="K824" s="51"/>
      <c r="L824" s="50">
        <v>2.0</v>
      </c>
      <c r="M824" s="50"/>
      <c r="N824" s="50">
        <v>1.0</v>
      </c>
      <c r="O824" s="50">
        <v>0.0</v>
      </c>
      <c r="P824" s="50">
        <v>1.0</v>
      </c>
      <c r="Q824" s="88">
        <v>550.0</v>
      </c>
      <c r="R824" s="88">
        <v>1600.0</v>
      </c>
      <c r="S824" s="56" t="str">
        <f t="shared" si="23"/>
        <v> </v>
      </c>
      <c r="T824" s="50" t="s">
        <v>3480</v>
      </c>
      <c r="U824" s="57"/>
      <c r="V824" s="44"/>
      <c r="W824" s="44"/>
      <c r="X824" s="50">
        <v>2.0</v>
      </c>
      <c r="Y824" s="50" t="s">
        <v>80</v>
      </c>
      <c r="Z824" s="58" t="s">
        <v>81</v>
      </c>
      <c r="AA824" s="59" t="str">
        <f>IF(Rentabilidad=0,"No aplica",TEXT(ROUND(Precio/Rentabilidad/12,0),0) &amp; " años")</f>
        <v>No aplica</v>
      </c>
      <c r="AB824" s="82" t="s">
        <v>4933</v>
      </c>
      <c r="AC824" s="83" t="s">
        <v>4934</v>
      </c>
      <c r="AD824" s="83" t="s">
        <v>4935</v>
      </c>
      <c r="AE824" s="63"/>
      <c r="AF824" s="64" t="s">
        <v>105</v>
      </c>
      <c r="AG824" s="65" t="s">
        <v>106</v>
      </c>
      <c r="AH824" s="63"/>
      <c r="AI824" s="65" t="s">
        <v>107</v>
      </c>
      <c r="AJ824" s="64" t="s">
        <v>4772</v>
      </c>
      <c r="AK824" s="50" t="s">
        <v>81</v>
      </c>
      <c r="AL824" s="45" t="s">
        <v>109</v>
      </c>
      <c r="AM824" s="50">
        <v>3.133523454E9</v>
      </c>
      <c r="AN824" s="64">
        <v>0.0</v>
      </c>
      <c r="AO824" s="52"/>
      <c r="AP824" s="67"/>
      <c r="AQ824" s="67"/>
      <c r="AR824" s="67"/>
      <c r="AS824" s="94">
        <v>0.0</v>
      </c>
      <c r="AT824" s="65">
        <v>0.0</v>
      </c>
      <c r="AU824" s="50">
        <v>0.0</v>
      </c>
      <c r="AV824" s="50">
        <v>0.0</v>
      </c>
      <c r="AW824" s="50" t="s">
        <v>88</v>
      </c>
      <c r="AX824" s="50">
        <v>0.0</v>
      </c>
      <c r="AY824" s="50">
        <v>0.0</v>
      </c>
      <c r="AZ824" s="50">
        <v>0.0</v>
      </c>
      <c r="BA824" s="43" t="s">
        <v>89</v>
      </c>
      <c r="BB824" s="50">
        <v>0.0</v>
      </c>
      <c r="BC824" s="95"/>
      <c r="BD824" s="71"/>
      <c r="BE824" s="71"/>
      <c r="BF824" s="72" t="s">
        <v>4936</v>
      </c>
      <c r="BG824" s="73"/>
      <c r="BH824" s="73"/>
      <c r="BI824" s="73"/>
      <c r="BJ824" s="73"/>
      <c r="BK824" s="73"/>
      <c r="BL824" s="73"/>
      <c r="BM824" s="73"/>
      <c r="BN824" s="73"/>
      <c r="BO824" s="73"/>
      <c r="BP824" s="73"/>
      <c r="BQ824" s="73"/>
      <c r="BR824" s="73"/>
      <c r="BS824" s="73"/>
      <c r="BT824" s="73"/>
      <c r="BU824" s="73"/>
      <c r="BV824" s="73"/>
      <c r="BW824" s="74"/>
      <c r="BX824" s="74"/>
      <c r="BY824" s="63"/>
      <c r="BZ824" s="63"/>
    </row>
    <row r="825" ht="15.75" customHeight="1">
      <c r="A825" s="75" t="s">
        <v>4937</v>
      </c>
      <c r="B825" s="50" t="s">
        <v>4910</v>
      </c>
      <c r="C825" s="50" t="s">
        <v>114</v>
      </c>
      <c r="D825" s="50"/>
      <c r="E825" s="64" t="s">
        <v>4911</v>
      </c>
      <c r="F825" s="78">
        <v>3.5E8</v>
      </c>
      <c r="G825" s="44" t="str">
        <f t="shared" si="16"/>
        <v>$300'000.000 a $400'000.000</v>
      </c>
      <c r="H825" s="44"/>
      <c r="I825" s="44"/>
      <c r="J825" s="50"/>
      <c r="K825" s="51"/>
      <c r="L825" s="50">
        <v>6.0</v>
      </c>
      <c r="M825" s="50"/>
      <c r="N825" s="50">
        <v>3.0</v>
      </c>
      <c r="O825" s="44"/>
      <c r="P825" s="50">
        <v>1.0</v>
      </c>
      <c r="Q825" s="88">
        <v>300.0</v>
      </c>
      <c r="R825" s="88">
        <v>800.0</v>
      </c>
      <c r="S825" s="56" t="str">
        <f t="shared" si="23"/>
        <v> </v>
      </c>
      <c r="T825" s="50" t="s">
        <v>4912</v>
      </c>
      <c r="U825" s="57"/>
      <c r="V825" s="44"/>
      <c r="W825" s="44"/>
      <c r="X825" s="50">
        <v>5.0</v>
      </c>
      <c r="Y825" s="43" t="s">
        <v>80</v>
      </c>
      <c r="Z825" s="58">
        <v>160000.0</v>
      </c>
      <c r="AA825" s="59" t="str">
        <f>IF(Rentabilidad=0,"No aplica",TEXT(ROUND(Precio/Rentabilidad/12,0),0) &amp; " años")</f>
        <v>No aplica</v>
      </c>
      <c r="AB825" s="82" t="s">
        <v>4938</v>
      </c>
      <c r="AC825" s="83" t="s">
        <v>4939</v>
      </c>
      <c r="AD825" s="83" t="s">
        <v>4940</v>
      </c>
      <c r="AE825" s="63"/>
      <c r="AF825" s="111" t="s">
        <v>84</v>
      </c>
      <c r="AG825" s="65" t="s">
        <v>106</v>
      </c>
      <c r="AH825" s="63"/>
      <c r="AI825" s="65" t="s">
        <v>107</v>
      </c>
      <c r="AJ825" s="64" t="s">
        <v>4772</v>
      </c>
      <c r="AK825" s="50" t="s">
        <v>81</v>
      </c>
      <c r="AL825" s="45" t="s">
        <v>109</v>
      </c>
      <c r="AM825" s="50">
        <v>3.133523454E9</v>
      </c>
      <c r="AN825" s="64">
        <v>0.0</v>
      </c>
      <c r="AO825" s="52"/>
      <c r="AP825" s="67"/>
      <c r="AQ825" s="67"/>
      <c r="AR825" s="67"/>
      <c r="AS825" s="94">
        <v>0.0</v>
      </c>
      <c r="AT825" s="65">
        <v>0.0</v>
      </c>
      <c r="AU825" s="50">
        <v>0.0</v>
      </c>
      <c r="AV825" s="50">
        <v>0.0</v>
      </c>
      <c r="AW825" s="50" t="s">
        <v>88</v>
      </c>
      <c r="AX825" s="50">
        <v>0.0</v>
      </c>
      <c r="AY825" s="50">
        <v>0.0</v>
      </c>
      <c r="AZ825" s="50">
        <v>0.0</v>
      </c>
      <c r="BA825" s="43" t="s">
        <v>89</v>
      </c>
      <c r="BB825" s="50">
        <v>0.0</v>
      </c>
      <c r="BC825" s="95"/>
      <c r="BD825" s="71"/>
      <c r="BE825" s="71"/>
      <c r="BF825" s="72" t="s">
        <v>4916</v>
      </c>
      <c r="BG825" s="73"/>
      <c r="BH825" s="73"/>
      <c r="BI825" s="73"/>
      <c r="BJ825" s="73"/>
      <c r="BK825" s="73"/>
      <c r="BL825" s="73"/>
      <c r="BM825" s="73"/>
      <c r="BN825" s="73"/>
      <c r="BO825" s="73"/>
      <c r="BP825" s="73"/>
      <c r="BQ825" s="73"/>
      <c r="BR825" s="73"/>
      <c r="BS825" s="73"/>
      <c r="BT825" s="73"/>
      <c r="BU825" s="73"/>
      <c r="BV825" s="73"/>
      <c r="BW825" s="74"/>
      <c r="BX825" s="74"/>
      <c r="BY825" s="63"/>
      <c r="BZ825" s="63"/>
    </row>
    <row r="826" ht="15.75" customHeight="1">
      <c r="A826" s="75" t="s">
        <v>4941</v>
      </c>
      <c r="B826" s="50" t="s">
        <v>4942</v>
      </c>
      <c r="C826" s="111" t="s">
        <v>323</v>
      </c>
      <c r="D826" s="50"/>
      <c r="E826" s="64" t="s">
        <v>4943</v>
      </c>
      <c r="F826" s="78">
        <v>3.5E8</v>
      </c>
      <c r="G826" s="44" t="str">
        <f t="shared" si="16"/>
        <v>$300'000.000 a $400'000.000</v>
      </c>
      <c r="H826" s="44"/>
      <c r="I826" s="44"/>
      <c r="J826" s="50" t="s">
        <v>116</v>
      </c>
      <c r="K826" s="51"/>
      <c r="L826" s="50">
        <v>3.0</v>
      </c>
      <c r="M826" s="50"/>
      <c r="N826" s="50">
        <v>3.0</v>
      </c>
      <c r="O826" s="50">
        <v>1.0</v>
      </c>
      <c r="P826" s="50">
        <v>8.0</v>
      </c>
      <c r="Q826" s="88">
        <v>95.0</v>
      </c>
      <c r="R826" s="88">
        <v>95.0</v>
      </c>
      <c r="S826" s="56" t="str">
        <f t="shared" si="23"/>
        <v> </v>
      </c>
      <c r="T826" s="50" t="s">
        <v>78</v>
      </c>
      <c r="U826" s="51" t="s">
        <v>77</v>
      </c>
      <c r="V826" s="50" t="s">
        <v>4706</v>
      </c>
      <c r="W826" s="50"/>
      <c r="X826" s="50">
        <v>3.0</v>
      </c>
      <c r="Y826" s="50" t="s">
        <v>130</v>
      </c>
      <c r="Z826" s="58">
        <v>309000.0</v>
      </c>
      <c r="AA826" s="59" t="str">
        <f>IF(Rentabilidad=0,"No aplica",TEXT(ROUND(Precio/Rentabilidad/12,0),0) &amp; " años")</f>
        <v>No aplica</v>
      </c>
      <c r="AB826" s="82" t="s">
        <v>4944</v>
      </c>
      <c r="AC826" s="83" t="s">
        <v>4945</v>
      </c>
      <c r="AD826" s="83" t="s">
        <v>4946</v>
      </c>
      <c r="AE826" s="63"/>
      <c r="AF826" s="64" t="s">
        <v>4850</v>
      </c>
      <c r="AG826" s="65" t="s">
        <v>106</v>
      </c>
      <c r="AH826" s="63"/>
      <c r="AI826" s="65" t="s">
        <v>107</v>
      </c>
      <c r="AJ826" s="64" t="s">
        <v>4772</v>
      </c>
      <c r="AK826" s="50" t="s">
        <v>81</v>
      </c>
      <c r="AL826" s="45" t="s">
        <v>109</v>
      </c>
      <c r="AM826" s="50">
        <v>3.133523454E9</v>
      </c>
      <c r="AN826" s="64">
        <v>0.0</v>
      </c>
      <c r="AO826" s="52"/>
      <c r="AP826" s="67"/>
      <c r="AQ826" s="84">
        <v>2.94463402778533</v>
      </c>
      <c r="AR826" s="84">
        <v>-75.2588423201529</v>
      </c>
      <c r="AS826" s="94">
        <v>0.0</v>
      </c>
      <c r="AT826" s="65" t="s">
        <v>106</v>
      </c>
      <c r="AU826" s="50">
        <v>0.0</v>
      </c>
      <c r="AV826" s="50">
        <v>0.0</v>
      </c>
      <c r="AW826" s="50" t="s">
        <v>88</v>
      </c>
      <c r="AX826" s="50">
        <v>0.0</v>
      </c>
      <c r="AY826" s="50">
        <v>0.0</v>
      </c>
      <c r="AZ826" s="50">
        <v>0.0</v>
      </c>
      <c r="BA826" s="43" t="s">
        <v>89</v>
      </c>
      <c r="BB826" s="50">
        <v>0.0</v>
      </c>
      <c r="BC826" s="95"/>
      <c r="BD826" s="71"/>
      <c r="BE826" s="71"/>
      <c r="BF826" s="72" t="s">
        <v>4947</v>
      </c>
      <c r="BG826" s="73"/>
      <c r="BH826" s="73"/>
      <c r="BI826" s="73"/>
      <c r="BJ826" s="73"/>
      <c r="BK826" s="73"/>
      <c r="BL826" s="73"/>
      <c r="BM826" s="73"/>
      <c r="BN826" s="73"/>
      <c r="BO826" s="73"/>
      <c r="BP826" s="73"/>
      <c r="BQ826" s="73"/>
      <c r="BR826" s="73"/>
      <c r="BS826" s="73"/>
      <c r="BT826" s="73"/>
      <c r="BU826" s="73"/>
      <c r="BV826" s="73"/>
      <c r="BW826" s="74"/>
      <c r="BX826" s="74"/>
      <c r="BY826" s="63"/>
      <c r="BZ826" s="63"/>
    </row>
    <row r="827" ht="15.75" customHeight="1">
      <c r="A827" s="75" t="s">
        <v>4948</v>
      </c>
      <c r="B827" s="50" t="s">
        <v>4949</v>
      </c>
      <c r="C827" s="50" t="s">
        <v>128</v>
      </c>
      <c r="D827" s="50"/>
      <c r="E827" s="64" t="s">
        <v>4950</v>
      </c>
      <c r="F827" s="78">
        <v>3.4E8</v>
      </c>
      <c r="G827" s="44" t="str">
        <f t="shared" si="16"/>
        <v>$300'000.000 a $400'000.000</v>
      </c>
      <c r="H827" s="44"/>
      <c r="I827" s="44"/>
      <c r="J827" s="50" t="s">
        <v>183</v>
      </c>
      <c r="K827" s="51"/>
      <c r="L827" s="50">
        <v>3.0</v>
      </c>
      <c r="M827" s="50"/>
      <c r="N827" s="50">
        <v>3.0</v>
      </c>
      <c r="O827" s="50">
        <v>1.0</v>
      </c>
      <c r="P827" s="50">
        <v>3.0</v>
      </c>
      <c r="Q827" s="88">
        <v>210.0</v>
      </c>
      <c r="R827" s="88">
        <v>98.0</v>
      </c>
      <c r="S827" s="56" t="str">
        <f t="shared" si="23"/>
        <v> </v>
      </c>
      <c r="T827" s="50" t="s">
        <v>78</v>
      </c>
      <c r="U827" s="51" t="s">
        <v>142</v>
      </c>
      <c r="V827" s="50" t="s">
        <v>79</v>
      </c>
      <c r="W827" s="50"/>
      <c r="X827" s="50">
        <v>3.0</v>
      </c>
      <c r="Y827" s="50" t="s">
        <v>130</v>
      </c>
      <c r="Z827" s="58">
        <v>380000.0</v>
      </c>
      <c r="AA827" s="59" t="str">
        <f>IF(Rentabilidad=0,"No aplica",TEXT(ROUND(Precio/Rentabilidad/12,0),0) &amp; " años")</f>
        <v>No aplica</v>
      </c>
      <c r="AB827" s="82" t="s">
        <v>4951</v>
      </c>
      <c r="AC827" s="325" t="s">
        <v>4952</v>
      </c>
      <c r="AD827" s="325" t="s">
        <v>4953</v>
      </c>
      <c r="AE827" s="63"/>
      <c r="AF827" s="64" t="s">
        <v>105</v>
      </c>
      <c r="AG827" s="65" t="s">
        <v>106</v>
      </c>
      <c r="AH827" s="63"/>
      <c r="AI827" s="65" t="s">
        <v>107</v>
      </c>
      <c r="AJ827" s="64" t="s">
        <v>4772</v>
      </c>
      <c r="AK827" s="50" t="s">
        <v>81</v>
      </c>
      <c r="AL827" s="45" t="s">
        <v>109</v>
      </c>
      <c r="AM827" s="50">
        <v>3.133523454E9</v>
      </c>
      <c r="AN827" s="64">
        <v>0.0</v>
      </c>
      <c r="AO827" s="52"/>
      <c r="AP827" s="67"/>
      <c r="AQ827" s="67"/>
      <c r="AR827" s="67"/>
      <c r="AS827" s="94">
        <v>0.0</v>
      </c>
      <c r="AT827" s="65">
        <v>0.0</v>
      </c>
      <c r="AU827" s="50" t="s">
        <v>106</v>
      </c>
      <c r="AV827" s="50" t="s">
        <v>106</v>
      </c>
      <c r="AW827" s="50" t="s">
        <v>88</v>
      </c>
      <c r="AX827" s="50">
        <v>0.0</v>
      </c>
      <c r="AY827" s="50">
        <v>0.0</v>
      </c>
      <c r="AZ827" s="50">
        <v>0.0</v>
      </c>
      <c r="BA827" s="43" t="s">
        <v>89</v>
      </c>
      <c r="BB827" s="50">
        <v>0.0</v>
      </c>
      <c r="BC827" s="95"/>
      <c r="BD827" s="71"/>
      <c r="BE827" s="71"/>
      <c r="BF827" s="72" t="s">
        <v>4954</v>
      </c>
      <c r="BG827" s="73"/>
      <c r="BH827" s="73"/>
      <c r="BI827" s="73"/>
      <c r="BJ827" s="73"/>
      <c r="BK827" s="73"/>
      <c r="BL827" s="73"/>
      <c r="BM827" s="73"/>
      <c r="BN827" s="73"/>
      <c r="BO827" s="73"/>
      <c r="BP827" s="73"/>
      <c r="BQ827" s="73"/>
      <c r="BR827" s="73"/>
      <c r="BS827" s="73"/>
      <c r="BT827" s="73"/>
      <c r="BU827" s="73"/>
      <c r="BV827" s="73"/>
      <c r="BW827" s="74"/>
      <c r="BX827" s="74"/>
      <c r="BY827" s="63"/>
      <c r="BZ827" s="63"/>
    </row>
    <row r="828" ht="15.75" customHeight="1">
      <c r="A828" s="75" t="s">
        <v>4955</v>
      </c>
      <c r="B828" s="50" t="s">
        <v>4956</v>
      </c>
      <c r="C828" s="50" t="s">
        <v>573</v>
      </c>
      <c r="D828" s="50" t="s">
        <v>703</v>
      </c>
      <c r="E828" s="64"/>
      <c r="F828" s="78">
        <v>3.3E8</v>
      </c>
      <c r="G828" s="44" t="str">
        <f t="shared" si="16"/>
        <v>$300'000.000 a $400'000.000</v>
      </c>
      <c r="H828" s="44"/>
      <c r="I828" s="44"/>
      <c r="J828" s="50" t="s">
        <v>76</v>
      </c>
      <c r="K828" s="51" t="s">
        <v>142</v>
      </c>
      <c r="L828" s="50">
        <v>3.0</v>
      </c>
      <c r="M828" s="50"/>
      <c r="N828" s="50">
        <v>2.0</v>
      </c>
      <c r="O828" s="50">
        <v>1.0</v>
      </c>
      <c r="P828" s="50">
        <v>3.0</v>
      </c>
      <c r="Q828" s="88">
        <v>87.0</v>
      </c>
      <c r="R828" s="88">
        <v>87.0</v>
      </c>
      <c r="S828" s="56" t="str">
        <f t="shared" si="23"/>
        <v> </v>
      </c>
      <c r="T828" s="50" t="s">
        <v>78</v>
      </c>
      <c r="U828" s="51" t="s">
        <v>142</v>
      </c>
      <c r="V828" s="50" t="s">
        <v>542</v>
      </c>
      <c r="W828" s="50"/>
      <c r="X828" s="50">
        <v>3.0</v>
      </c>
      <c r="Y828" s="50" t="s">
        <v>130</v>
      </c>
      <c r="Z828" s="58">
        <v>308000.0</v>
      </c>
      <c r="AA828" s="59" t="str">
        <f>IF(Rentabilidad=0,"No aplica",TEXT(ROUND(Precio/Rentabilidad/12,0),0) &amp; " años")</f>
        <v>No aplica</v>
      </c>
      <c r="AB828" s="82" t="s">
        <v>4957</v>
      </c>
      <c r="AC828" s="83" t="s">
        <v>4958</v>
      </c>
      <c r="AD828" s="83" t="s">
        <v>4959</v>
      </c>
      <c r="AE828" s="63"/>
      <c r="AF828" s="64" t="s">
        <v>105</v>
      </c>
      <c r="AG828" s="65" t="s">
        <v>106</v>
      </c>
      <c r="AH828" s="63"/>
      <c r="AI828" s="65" t="s">
        <v>107</v>
      </c>
      <c r="AJ828" s="64" t="s">
        <v>4772</v>
      </c>
      <c r="AK828" s="50" t="s">
        <v>81</v>
      </c>
      <c r="AL828" s="45" t="s">
        <v>109</v>
      </c>
      <c r="AM828" s="50">
        <v>3.133523454E9</v>
      </c>
      <c r="AN828" s="64">
        <v>0.0</v>
      </c>
      <c r="AO828" s="52"/>
      <c r="AP828" s="67"/>
      <c r="AQ828" s="67"/>
      <c r="AR828" s="67"/>
      <c r="AS828" s="94">
        <v>0.0</v>
      </c>
      <c r="AT828" s="65" t="s">
        <v>106</v>
      </c>
      <c r="AU828" s="50" t="s">
        <v>106</v>
      </c>
      <c r="AV828" s="50" t="s">
        <v>106</v>
      </c>
      <c r="AW828" s="50" t="s">
        <v>88</v>
      </c>
      <c r="AX828" s="50">
        <v>0.0</v>
      </c>
      <c r="AY828" s="50">
        <v>0.0</v>
      </c>
      <c r="AZ828" s="50">
        <v>0.0</v>
      </c>
      <c r="BA828" s="43" t="s">
        <v>89</v>
      </c>
      <c r="BB828" s="50">
        <v>0.0</v>
      </c>
      <c r="BC828" s="95"/>
      <c r="BD828" s="71"/>
      <c r="BE828" s="71"/>
      <c r="BF828" s="72" t="s">
        <v>4960</v>
      </c>
      <c r="BG828" s="73"/>
      <c r="BH828" s="73"/>
      <c r="BI828" s="73"/>
      <c r="BJ828" s="73"/>
      <c r="BK828" s="73"/>
      <c r="BL828" s="73"/>
      <c r="BM828" s="73"/>
      <c r="BN828" s="73"/>
      <c r="BO828" s="73"/>
      <c r="BP828" s="73"/>
      <c r="BQ828" s="73"/>
      <c r="BR828" s="73"/>
      <c r="BS828" s="73"/>
      <c r="BT828" s="73"/>
      <c r="BU828" s="73"/>
      <c r="BV828" s="73"/>
      <c r="BW828" s="74"/>
      <c r="BX828" s="74"/>
      <c r="BY828" s="63"/>
      <c r="BZ828" s="63"/>
    </row>
    <row r="829" ht="15.75" customHeight="1">
      <c r="A829" s="75" t="s">
        <v>4961</v>
      </c>
      <c r="B829" s="50" t="s">
        <v>4962</v>
      </c>
      <c r="C829" s="50" t="s">
        <v>323</v>
      </c>
      <c r="D829" s="50"/>
      <c r="E829" s="64"/>
      <c r="F829" s="78">
        <v>3.2E8</v>
      </c>
      <c r="G829" s="44" t="str">
        <f t="shared" si="16"/>
        <v>$300'000.000 a $400'000.000</v>
      </c>
      <c r="H829" s="44"/>
      <c r="I829" s="44"/>
      <c r="J829" s="50" t="s">
        <v>94</v>
      </c>
      <c r="K829" s="51"/>
      <c r="L829" s="50">
        <v>3.0</v>
      </c>
      <c r="M829" s="50"/>
      <c r="N829" s="50">
        <v>2.0</v>
      </c>
      <c r="O829" s="50">
        <v>1.0</v>
      </c>
      <c r="P829" s="50">
        <v>15.0</v>
      </c>
      <c r="Q829" s="88">
        <v>73.0</v>
      </c>
      <c r="R829" s="88">
        <v>73.0</v>
      </c>
      <c r="S829" s="56" t="str">
        <f t="shared" si="23"/>
        <v> </v>
      </c>
      <c r="T829" s="50" t="s">
        <v>78</v>
      </c>
      <c r="U829" s="51" t="s">
        <v>142</v>
      </c>
      <c r="V829" s="50" t="s">
        <v>4963</v>
      </c>
      <c r="W829" s="50"/>
      <c r="X829" s="50">
        <v>3.0</v>
      </c>
      <c r="Y829" s="50" t="s">
        <v>130</v>
      </c>
      <c r="Z829" s="58">
        <v>305000.0</v>
      </c>
      <c r="AA829" s="59" t="str">
        <f>IF(Rentabilidad=0,"No aplica",TEXT(ROUND(Precio/Rentabilidad/12,0),0) &amp; " años")</f>
        <v>No aplica</v>
      </c>
      <c r="AB829" s="82" t="s">
        <v>4964</v>
      </c>
      <c r="AC829" s="83" t="s">
        <v>4965</v>
      </c>
      <c r="AD829" s="83" t="s">
        <v>4966</v>
      </c>
      <c r="AE829" s="63"/>
      <c r="AF829" s="64" t="s">
        <v>105</v>
      </c>
      <c r="AG829" s="65" t="s">
        <v>106</v>
      </c>
      <c r="AH829" s="63"/>
      <c r="AI829" s="65" t="s">
        <v>107</v>
      </c>
      <c r="AJ829" s="64" t="s">
        <v>4772</v>
      </c>
      <c r="AK829" s="50" t="s">
        <v>81</v>
      </c>
      <c r="AL829" s="45" t="s">
        <v>109</v>
      </c>
      <c r="AM829" s="50">
        <v>3.133523454E9</v>
      </c>
      <c r="AN829" s="64">
        <v>0.0</v>
      </c>
      <c r="AO829" s="52"/>
      <c r="AP829" s="67"/>
      <c r="AQ829" s="67"/>
      <c r="AR829" s="67"/>
      <c r="AS829" s="94">
        <v>0.0</v>
      </c>
      <c r="AT829" s="65">
        <v>0.0</v>
      </c>
      <c r="AU829" s="50">
        <v>0.0</v>
      </c>
      <c r="AV829" s="50" t="s">
        <v>106</v>
      </c>
      <c r="AW829" s="50" t="s">
        <v>88</v>
      </c>
      <c r="AX829" s="50">
        <v>0.0</v>
      </c>
      <c r="AY829" s="50">
        <v>0.0</v>
      </c>
      <c r="AZ829" s="50">
        <v>0.0</v>
      </c>
      <c r="BA829" s="43" t="s">
        <v>89</v>
      </c>
      <c r="BB829" s="50">
        <v>0.0</v>
      </c>
      <c r="BC829" s="95"/>
      <c r="BD829" s="71"/>
      <c r="BE829" s="71"/>
      <c r="BF829" s="72" t="s">
        <v>4967</v>
      </c>
      <c r="BG829" s="73"/>
      <c r="BH829" s="73"/>
      <c r="BI829" s="73"/>
      <c r="BJ829" s="73"/>
      <c r="BK829" s="73"/>
      <c r="BL829" s="73"/>
      <c r="BM829" s="73"/>
      <c r="BN829" s="73"/>
      <c r="BO829" s="73"/>
      <c r="BP829" s="73"/>
      <c r="BQ829" s="73"/>
      <c r="BR829" s="73"/>
      <c r="BS829" s="73"/>
      <c r="BT829" s="73"/>
      <c r="BU829" s="73"/>
      <c r="BV829" s="73"/>
      <c r="BW829" s="74"/>
      <c r="BX829" s="74"/>
      <c r="BY829" s="63"/>
      <c r="BZ829" s="63"/>
    </row>
    <row r="830" ht="15.75" customHeight="1">
      <c r="A830" s="75" t="s">
        <v>4968</v>
      </c>
      <c r="B830" s="50" t="s">
        <v>4969</v>
      </c>
      <c r="C830" s="50" t="s">
        <v>323</v>
      </c>
      <c r="D830" s="50"/>
      <c r="E830" s="64" t="s">
        <v>4970</v>
      </c>
      <c r="F830" s="78">
        <v>3.2E8</v>
      </c>
      <c r="G830" s="44" t="str">
        <f t="shared" si="16"/>
        <v>$300'000.000 a $400'000.000</v>
      </c>
      <c r="H830" s="44"/>
      <c r="I830" s="44"/>
      <c r="J830" s="50" t="s">
        <v>116</v>
      </c>
      <c r="K830" s="51"/>
      <c r="L830" s="50">
        <v>3.0</v>
      </c>
      <c r="M830" s="50"/>
      <c r="N830" s="50">
        <v>2.0</v>
      </c>
      <c r="O830" s="50">
        <v>1.0</v>
      </c>
      <c r="P830" s="50">
        <v>7.0</v>
      </c>
      <c r="Q830" s="88">
        <v>67.0</v>
      </c>
      <c r="R830" s="88">
        <v>67.0</v>
      </c>
      <c r="S830" s="56" t="str">
        <f t="shared" si="23"/>
        <v> </v>
      </c>
      <c r="T830" s="50" t="s">
        <v>78</v>
      </c>
      <c r="U830" s="51" t="s">
        <v>77</v>
      </c>
      <c r="V830" s="50" t="s">
        <v>1913</v>
      </c>
      <c r="W830" s="50"/>
      <c r="X830" s="50">
        <v>3.0</v>
      </c>
      <c r="Y830" s="50" t="s">
        <v>130</v>
      </c>
      <c r="Z830" s="58">
        <v>180000.0</v>
      </c>
      <c r="AA830" s="59" t="str">
        <f>IF(Rentabilidad=0,"No aplica",TEXT(ROUND(Precio/Rentabilidad/12,0),0) &amp; " años")</f>
        <v>No aplica</v>
      </c>
      <c r="AB830" s="82" t="s">
        <v>4971</v>
      </c>
      <c r="AC830" s="346" t="s">
        <v>4972</v>
      </c>
      <c r="AD830" s="107" t="s">
        <v>4973</v>
      </c>
      <c r="AE830" s="63"/>
      <c r="AF830" s="64" t="s">
        <v>105</v>
      </c>
      <c r="AG830" s="65" t="s">
        <v>106</v>
      </c>
      <c r="AH830" s="63"/>
      <c r="AI830" s="65" t="s">
        <v>107</v>
      </c>
      <c r="AJ830" s="64" t="s">
        <v>4772</v>
      </c>
      <c r="AK830" s="50" t="s">
        <v>81</v>
      </c>
      <c r="AL830" s="45" t="s">
        <v>109</v>
      </c>
      <c r="AM830" s="50">
        <v>3.133523454E9</v>
      </c>
      <c r="AN830" s="64">
        <v>0.0</v>
      </c>
      <c r="AO830" s="52"/>
      <c r="AP830" s="67"/>
      <c r="AQ830" s="67"/>
      <c r="AR830" s="67"/>
      <c r="AS830" s="94">
        <v>0.0</v>
      </c>
      <c r="AT830" s="65" t="s">
        <v>106</v>
      </c>
      <c r="AU830" s="50">
        <v>0.0</v>
      </c>
      <c r="AV830" s="50">
        <v>0.0</v>
      </c>
      <c r="AW830" s="50" t="s">
        <v>88</v>
      </c>
      <c r="AX830" s="50">
        <v>0.0</v>
      </c>
      <c r="AY830" s="50">
        <v>0.0</v>
      </c>
      <c r="AZ830" s="50">
        <v>0.0</v>
      </c>
      <c r="BA830" s="43" t="s">
        <v>89</v>
      </c>
      <c r="BB830" s="50">
        <v>0.0</v>
      </c>
      <c r="BC830" s="95"/>
      <c r="BD830" s="71"/>
      <c r="BE830" s="70"/>
      <c r="BF830" s="72" t="s">
        <v>4974</v>
      </c>
      <c r="BG830" s="73"/>
      <c r="BH830" s="73"/>
      <c r="BI830" s="73"/>
      <c r="BJ830" s="73"/>
      <c r="BK830" s="73"/>
      <c r="BL830" s="73"/>
      <c r="BM830" s="73"/>
      <c r="BN830" s="73"/>
      <c r="BO830" s="73"/>
      <c r="BP830" s="73"/>
      <c r="BQ830" s="73"/>
      <c r="BR830" s="73"/>
      <c r="BS830" s="73"/>
      <c r="BT830" s="73"/>
      <c r="BU830" s="73"/>
      <c r="BV830" s="73"/>
      <c r="BW830" s="74"/>
      <c r="BX830" s="74"/>
      <c r="BY830" s="63"/>
      <c r="BZ830" s="63"/>
    </row>
    <row r="831" ht="15.75" customHeight="1">
      <c r="A831" s="75" t="s">
        <v>4975</v>
      </c>
      <c r="B831" s="50" t="s">
        <v>4976</v>
      </c>
      <c r="C831" s="50" t="s">
        <v>323</v>
      </c>
      <c r="D831" s="50"/>
      <c r="E831" s="77" t="s">
        <v>4977</v>
      </c>
      <c r="F831" s="78">
        <v>3.0E8</v>
      </c>
      <c r="G831" s="44" t="str">
        <f t="shared" si="16"/>
        <v>$300'000.000 a $400'000.000</v>
      </c>
      <c r="H831" s="44"/>
      <c r="I831" s="44"/>
      <c r="J831" s="50" t="s">
        <v>116</v>
      </c>
      <c r="K831" s="51" t="s">
        <v>294</v>
      </c>
      <c r="L831" s="50">
        <v>3.0</v>
      </c>
      <c r="M831" s="50"/>
      <c r="N831" s="50">
        <v>2.0</v>
      </c>
      <c r="O831" s="50">
        <v>1.0</v>
      </c>
      <c r="P831" s="50">
        <v>3.0</v>
      </c>
      <c r="Q831" s="88">
        <v>73.0</v>
      </c>
      <c r="R831" s="88">
        <v>73.0</v>
      </c>
      <c r="S831" s="56"/>
      <c r="T831" s="50" t="s">
        <v>78</v>
      </c>
      <c r="U831" s="51" t="s">
        <v>77</v>
      </c>
      <c r="V831" s="50" t="s">
        <v>4978</v>
      </c>
      <c r="W831" s="50"/>
      <c r="X831" s="50">
        <v>3.0</v>
      </c>
      <c r="Y831" s="50" t="s">
        <v>130</v>
      </c>
      <c r="Z831" s="58">
        <v>289000.0</v>
      </c>
      <c r="AA831" s="81" t="s">
        <v>81</v>
      </c>
      <c r="AB831" s="82" t="s">
        <v>4979</v>
      </c>
      <c r="AC831" s="83" t="s">
        <v>4980</v>
      </c>
      <c r="AD831" s="83" t="s">
        <v>4981</v>
      </c>
      <c r="AE831" s="63"/>
      <c r="AF831" s="64" t="s">
        <v>105</v>
      </c>
      <c r="AG831" s="65" t="s">
        <v>106</v>
      </c>
      <c r="AH831" s="63"/>
      <c r="AI831" s="65" t="s">
        <v>107</v>
      </c>
      <c r="AJ831" s="64" t="s">
        <v>4772</v>
      </c>
      <c r="AK831" s="50" t="s">
        <v>81</v>
      </c>
      <c r="AL831" s="45" t="s">
        <v>109</v>
      </c>
      <c r="AM831" s="50">
        <v>3.133523454E9</v>
      </c>
      <c r="AN831" s="64">
        <v>0.0</v>
      </c>
      <c r="AO831" s="52"/>
      <c r="AP831" s="67"/>
      <c r="AQ831" s="143">
        <v>2.9574919</v>
      </c>
      <c r="AR831" s="143">
        <v>-75.2862833</v>
      </c>
      <c r="AS831" s="94">
        <v>0.0</v>
      </c>
      <c r="AT831" s="65" t="s">
        <v>106</v>
      </c>
      <c r="AU831" s="50">
        <v>0.0</v>
      </c>
      <c r="AV831" s="50">
        <v>0.0</v>
      </c>
      <c r="AW831" s="50" t="s">
        <v>88</v>
      </c>
      <c r="AX831" s="50">
        <v>0.0</v>
      </c>
      <c r="AY831" s="50">
        <v>0.0</v>
      </c>
      <c r="AZ831" s="50">
        <v>0.0</v>
      </c>
      <c r="BA831" s="43" t="s">
        <v>89</v>
      </c>
      <c r="BB831" s="50">
        <v>0.0</v>
      </c>
      <c r="BC831" s="69"/>
      <c r="BD831" s="70"/>
      <c r="BE831" s="71"/>
      <c r="BF831" s="72" t="s">
        <v>4982</v>
      </c>
      <c r="BG831" s="73"/>
      <c r="BH831" s="73"/>
      <c r="BI831" s="73"/>
      <c r="BJ831" s="73"/>
      <c r="BK831" s="73"/>
      <c r="BL831" s="73"/>
      <c r="BM831" s="73"/>
      <c r="BN831" s="73"/>
      <c r="BO831" s="73"/>
      <c r="BP831" s="73"/>
      <c r="BQ831" s="73"/>
      <c r="BR831" s="73"/>
      <c r="BS831" s="73"/>
      <c r="BT831" s="73"/>
      <c r="BU831" s="73"/>
      <c r="BV831" s="73"/>
      <c r="BW831" s="74"/>
      <c r="BX831" s="74"/>
      <c r="BY831" s="63"/>
      <c r="BZ831" s="63"/>
    </row>
    <row r="832" ht="15.75" customHeight="1">
      <c r="A832" s="75" t="s">
        <v>4983</v>
      </c>
      <c r="B832" s="50" t="s">
        <v>4976</v>
      </c>
      <c r="C832" s="50" t="s">
        <v>323</v>
      </c>
      <c r="D832" s="50"/>
      <c r="E832" s="77" t="s">
        <v>4977</v>
      </c>
      <c r="F832" s="78">
        <v>2.9E8</v>
      </c>
      <c r="G832" s="44" t="str">
        <f t="shared" si="16"/>
        <v>$200'000.000 a $300'000.000</v>
      </c>
      <c r="H832" s="44"/>
      <c r="I832" s="44"/>
      <c r="J832" s="50" t="s">
        <v>116</v>
      </c>
      <c r="K832" s="51" t="s">
        <v>294</v>
      </c>
      <c r="L832" s="50">
        <v>3.0</v>
      </c>
      <c r="M832" s="50"/>
      <c r="N832" s="50">
        <v>2.0</v>
      </c>
      <c r="O832" s="50">
        <v>1.0</v>
      </c>
      <c r="P832" s="50">
        <v>5.0</v>
      </c>
      <c r="Q832" s="88">
        <v>73.0</v>
      </c>
      <c r="R832" s="88">
        <v>73.0</v>
      </c>
      <c r="S832" s="56"/>
      <c r="T832" s="50" t="s">
        <v>78</v>
      </c>
      <c r="U832" s="51" t="s">
        <v>77</v>
      </c>
      <c r="V832" s="50" t="s">
        <v>4978</v>
      </c>
      <c r="W832" s="50"/>
      <c r="X832" s="50">
        <v>3.0</v>
      </c>
      <c r="Y832" s="50" t="s">
        <v>130</v>
      </c>
      <c r="Z832" s="58">
        <v>289000.0</v>
      </c>
      <c r="AA832" s="81" t="s">
        <v>81</v>
      </c>
      <c r="AB832" s="82" t="s">
        <v>4984</v>
      </c>
      <c r="AC832" s="83" t="s">
        <v>4985</v>
      </c>
      <c r="AD832" s="83" t="s">
        <v>4986</v>
      </c>
      <c r="AE832" s="63"/>
      <c r="AF832" s="64" t="s">
        <v>105</v>
      </c>
      <c r="AG832" s="65" t="s">
        <v>106</v>
      </c>
      <c r="AH832" s="63"/>
      <c r="AI832" s="65" t="s">
        <v>107</v>
      </c>
      <c r="AJ832" s="64" t="s">
        <v>4772</v>
      </c>
      <c r="AK832" s="50" t="s">
        <v>81</v>
      </c>
      <c r="AL832" s="45" t="s">
        <v>109</v>
      </c>
      <c r="AM832" s="50">
        <v>3.133523454E9</v>
      </c>
      <c r="AN832" s="64">
        <v>0.0</v>
      </c>
      <c r="AO832" s="52"/>
      <c r="AP832" s="67"/>
      <c r="AQ832" s="67"/>
      <c r="AR832" s="67"/>
      <c r="AS832" s="94">
        <v>0.0</v>
      </c>
      <c r="AT832" s="65" t="s">
        <v>106</v>
      </c>
      <c r="AU832" s="50">
        <v>0.0</v>
      </c>
      <c r="AV832" s="50">
        <v>0.0</v>
      </c>
      <c r="AW832" s="50" t="s">
        <v>88</v>
      </c>
      <c r="AX832" s="50">
        <v>0.0</v>
      </c>
      <c r="AY832" s="50">
        <v>0.0</v>
      </c>
      <c r="AZ832" s="50">
        <v>0.0</v>
      </c>
      <c r="BA832" s="43" t="s">
        <v>89</v>
      </c>
      <c r="BB832" s="50">
        <v>0.0</v>
      </c>
      <c r="BC832" s="69"/>
      <c r="BD832" s="70"/>
      <c r="BE832" s="71"/>
      <c r="BF832" s="72" t="s">
        <v>4987</v>
      </c>
      <c r="BG832" s="73"/>
      <c r="BH832" s="73"/>
      <c r="BI832" s="73"/>
      <c r="BJ832" s="73"/>
      <c r="BK832" s="73"/>
      <c r="BL832" s="73"/>
      <c r="BM832" s="73"/>
      <c r="BN832" s="73"/>
      <c r="BO832" s="73"/>
      <c r="BP832" s="73"/>
      <c r="BQ832" s="73"/>
      <c r="BR832" s="73"/>
      <c r="BS832" s="73"/>
      <c r="BT832" s="73"/>
      <c r="BU832" s="73"/>
      <c r="BV832" s="73"/>
      <c r="BW832" s="74"/>
      <c r="BX832" s="74"/>
      <c r="BY832" s="63"/>
      <c r="BZ832" s="63"/>
    </row>
    <row r="833" ht="15.75" customHeight="1">
      <c r="A833" s="75" t="s">
        <v>4988</v>
      </c>
      <c r="B833" s="50" t="s">
        <v>4989</v>
      </c>
      <c r="C833" s="50" t="s">
        <v>323</v>
      </c>
      <c r="D833" s="50" t="s">
        <v>756</v>
      </c>
      <c r="E833" s="64" t="s">
        <v>756</v>
      </c>
      <c r="F833" s="78">
        <v>2.85E8</v>
      </c>
      <c r="G833" s="44" t="str">
        <f t="shared" si="16"/>
        <v>$200'000.000 a $300'000.000</v>
      </c>
      <c r="H833" s="44"/>
      <c r="I833" s="44"/>
      <c r="J833" s="50" t="s">
        <v>183</v>
      </c>
      <c r="K833" s="51" t="s">
        <v>184</v>
      </c>
      <c r="L833" s="50">
        <v>3.0</v>
      </c>
      <c r="M833" s="50"/>
      <c r="N833" s="50">
        <v>2.0</v>
      </c>
      <c r="O833" s="50">
        <v>1.0</v>
      </c>
      <c r="P833" s="50">
        <v>4.0</v>
      </c>
      <c r="Q833" s="88">
        <v>87.0</v>
      </c>
      <c r="R833" s="88">
        <v>87.0</v>
      </c>
      <c r="S833" s="56" t="str">
        <f t="shared" ref="S833:S836" si="24">IF(AS833=0," ","Rentabilidad $" &amp; TEXT(AS833,"#,##0"))</f>
        <v> </v>
      </c>
      <c r="T833" s="50" t="s">
        <v>78</v>
      </c>
      <c r="U833" s="51" t="s">
        <v>77</v>
      </c>
      <c r="V833" s="50" t="s">
        <v>680</v>
      </c>
      <c r="W833" s="50"/>
      <c r="X833" s="50">
        <v>3.0</v>
      </c>
      <c r="Y833" s="50" t="s">
        <v>130</v>
      </c>
      <c r="Z833" s="58">
        <v>345000.0</v>
      </c>
      <c r="AA833" s="59" t="str">
        <f>IF(Rentabilidad=0,"No aplica",TEXT(ROUND(Precio/Rentabilidad/12,0),0) &amp; " años")</f>
        <v>No aplica</v>
      </c>
      <c r="AB833" s="82" t="s">
        <v>4990</v>
      </c>
      <c r="AC833" s="83" t="s">
        <v>4991</v>
      </c>
      <c r="AD833" s="83" t="s">
        <v>4992</v>
      </c>
      <c r="AE833" s="63"/>
      <c r="AF833" s="64" t="s">
        <v>105</v>
      </c>
      <c r="AG833" s="65" t="s">
        <v>106</v>
      </c>
      <c r="AH833" s="63"/>
      <c r="AI833" s="65" t="s">
        <v>107</v>
      </c>
      <c r="AJ833" s="64" t="s">
        <v>4772</v>
      </c>
      <c r="AK833" s="50" t="s">
        <v>81</v>
      </c>
      <c r="AL833" s="45" t="s">
        <v>109</v>
      </c>
      <c r="AM833" s="50">
        <v>3.133523454E9</v>
      </c>
      <c r="AN833" s="64">
        <v>0.0</v>
      </c>
      <c r="AO833" s="52"/>
      <c r="AP833" s="67"/>
      <c r="AQ833" s="67"/>
      <c r="AR833" s="67"/>
      <c r="AS833" s="94">
        <v>0.0</v>
      </c>
      <c r="AT833" s="65">
        <v>0.0</v>
      </c>
      <c r="AU833" s="50">
        <v>0.0</v>
      </c>
      <c r="AV833" s="50">
        <v>0.0</v>
      </c>
      <c r="AW833" s="50" t="s">
        <v>88</v>
      </c>
      <c r="AX833" s="50">
        <v>0.0</v>
      </c>
      <c r="AY833" s="50">
        <v>0.0</v>
      </c>
      <c r="AZ833" s="50">
        <v>0.0</v>
      </c>
      <c r="BA833" s="43" t="s">
        <v>89</v>
      </c>
      <c r="BB833" s="50">
        <v>0.0</v>
      </c>
      <c r="BC833" s="95"/>
      <c r="BD833" s="71"/>
      <c r="BE833" s="70"/>
      <c r="BF833" s="72" t="s">
        <v>4993</v>
      </c>
      <c r="BG833" s="74"/>
      <c r="BH833" s="74"/>
      <c r="BI833" s="74"/>
      <c r="BJ833" s="74"/>
      <c r="BK833" s="74"/>
      <c r="BL833" s="74"/>
      <c r="BM833" s="74"/>
      <c r="BN833" s="74"/>
      <c r="BO833" s="74"/>
      <c r="BP833" s="74"/>
      <c r="BQ833" s="74"/>
      <c r="BR833" s="74"/>
      <c r="BS833" s="74"/>
      <c r="BT833" s="74"/>
      <c r="BU833" s="74"/>
      <c r="BV833" s="74"/>
      <c r="BW833" s="74"/>
      <c r="BX833" s="74"/>
      <c r="BY833" s="63"/>
      <c r="BZ833" s="63"/>
    </row>
    <row r="834" ht="15.75" customHeight="1">
      <c r="A834" s="75" t="s">
        <v>4994</v>
      </c>
      <c r="B834" s="50" t="s">
        <v>4995</v>
      </c>
      <c r="C834" s="50" t="s">
        <v>323</v>
      </c>
      <c r="D834" s="50" t="s">
        <v>720</v>
      </c>
      <c r="E834" s="64" t="s">
        <v>4996</v>
      </c>
      <c r="F834" s="78">
        <v>2.8E8</v>
      </c>
      <c r="G834" s="44" t="str">
        <f t="shared" si="16"/>
        <v>$200'000.000 a $300'000.000</v>
      </c>
      <c r="H834" s="44"/>
      <c r="I834" s="44"/>
      <c r="J834" s="50" t="s">
        <v>94</v>
      </c>
      <c r="K834" s="51" t="s">
        <v>117</v>
      </c>
      <c r="L834" s="50">
        <v>3.0</v>
      </c>
      <c r="M834" s="50"/>
      <c r="N834" s="50">
        <v>2.0</v>
      </c>
      <c r="O834" s="50">
        <v>1.0</v>
      </c>
      <c r="P834" s="50">
        <v>10.0</v>
      </c>
      <c r="Q834" s="88">
        <v>96.0</v>
      </c>
      <c r="R834" s="88">
        <v>96.0</v>
      </c>
      <c r="S834" s="56" t="str">
        <f t="shared" si="24"/>
        <v> </v>
      </c>
      <c r="T834" s="50" t="s">
        <v>78</v>
      </c>
      <c r="U834" s="51" t="s">
        <v>142</v>
      </c>
      <c r="V834" s="50" t="s">
        <v>4997</v>
      </c>
      <c r="W834" s="50"/>
      <c r="X834" s="50">
        <v>3.0</v>
      </c>
      <c r="Y834" s="50" t="s">
        <v>130</v>
      </c>
      <c r="Z834" s="58">
        <v>311000.0</v>
      </c>
      <c r="AA834" s="59" t="str">
        <f>IF(Rentabilidad=0,"No aplica",TEXT(ROUND(Precio/Rentabilidad/12,0),0) &amp; " años")</f>
        <v>No aplica</v>
      </c>
      <c r="AB834" s="82" t="s">
        <v>4998</v>
      </c>
      <c r="AC834" s="325" t="s">
        <v>4999</v>
      </c>
      <c r="AD834" s="325" t="s">
        <v>5000</v>
      </c>
      <c r="AE834" s="63"/>
      <c r="AF834" s="64" t="s">
        <v>105</v>
      </c>
      <c r="AG834" s="65" t="s">
        <v>106</v>
      </c>
      <c r="AH834" s="63"/>
      <c r="AI834" s="65" t="s">
        <v>107</v>
      </c>
      <c r="AJ834" s="64" t="s">
        <v>4772</v>
      </c>
      <c r="AK834" s="50" t="s">
        <v>81</v>
      </c>
      <c r="AL834" s="45" t="s">
        <v>109</v>
      </c>
      <c r="AM834" s="50">
        <v>3.133523454E9</v>
      </c>
      <c r="AN834" s="64">
        <v>0.0</v>
      </c>
      <c r="AO834" s="52"/>
      <c r="AP834" s="67"/>
      <c r="AQ834" s="67"/>
      <c r="AR834" s="67"/>
      <c r="AS834" s="94">
        <v>0.0</v>
      </c>
      <c r="AT834" s="65" t="s">
        <v>106</v>
      </c>
      <c r="AU834" s="50" t="s">
        <v>106</v>
      </c>
      <c r="AV834" s="50" t="s">
        <v>106</v>
      </c>
      <c r="AW834" s="50" t="s">
        <v>88</v>
      </c>
      <c r="AX834" s="50">
        <v>0.0</v>
      </c>
      <c r="AY834" s="50">
        <v>0.0</v>
      </c>
      <c r="AZ834" s="50">
        <v>0.0</v>
      </c>
      <c r="BA834" s="43" t="s">
        <v>89</v>
      </c>
      <c r="BB834" s="50">
        <v>0.0</v>
      </c>
      <c r="BC834" s="95"/>
      <c r="BD834" s="71"/>
      <c r="BE834" s="71"/>
      <c r="BF834" s="72" t="s">
        <v>5001</v>
      </c>
      <c r="BG834" s="73"/>
      <c r="BH834" s="73"/>
      <c r="BI834" s="73"/>
      <c r="BJ834" s="73"/>
      <c r="BK834" s="73"/>
      <c r="BL834" s="73"/>
      <c r="BM834" s="73"/>
      <c r="BN834" s="73"/>
      <c r="BO834" s="73"/>
      <c r="BP834" s="73"/>
      <c r="BQ834" s="73"/>
      <c r="BR834" s="73"/>
      <c r="BS834" s="73"/>
      <c r="BT834" s="73"/>
      <c r="BU834" s="73"/>
      <c r="BV834" s="73"/>
      <c r="BW834" s="74"/>
      <c r="BX834" s="74"/>
      <c r="BY834" s="63"/>
      <c r="BZ834" s="63"/>
    </row>
    <row r="835" ht="15.75" customHeight="1">
      <c r="A835" s="75" t="s">
        <v>5002</v>
      </c>
      <c r="B835" s="50" t="s">
        <v>5003</v>
      </c>
      <c r="C835" s="50" t="s">
        <v>323</v>
      </c>
      <c r="D835" s="50"/>
      <c r="E835" s="64" t="s">
        <v>5004</v>
      </c>
      <c r="F835" s="78">
        <v>2.8E8</v>
      </c>
      <c r="G835" s="44" t="str">
        <f t="shared" si="16"/>
        <v>$200'000.000 a $300'000.000</v>
      </c>
      <c r="H835" s="44"/>
      <c r="I835" s="44"/>
      <c r="J835" s="50" t="s">
        <v>183</v>
      </c>
      <c r="K835" s="51"/>
      <c r="L835" s="50">
        <v>3.0</v>
      </c>
      <c r="M835" s="50"/>
      <c r="N835" s="50">
        <v>2.0</v>
      </c>
      <c r="O835" s="50">
        <v>1.0</v>
      </c>
      <c r="P835" s="50">
        <v>7.0</v>
      </c>
      <c r="Q835" s="88">
        <v>68.0</v>
      </c>
      <c r="R835" s="88">
        <v>68.0</v>
      </c>
      <c r="S835" s="56" t="str">
        <f t="shared" si="24"/>
        <v> </v>
      </c>
      <c r="T835" s="50" t="s">
        <v>78</v>
      </c>
      <c r="U835" s="51" t="s">
        <v>77</v>
      </c>
      <c r="V835" s="50" t="s">
        <v>1913</v>
      </c>
      <c r="W835" s="50"/>
      <c r="X835" s="50">
        <v>3.0</v>
      </c>
      <c r="Y835" s="50" t="s">
        <v>130</v>
      </c>
      <c r="Z835" s="58">
        <v>305000.0</v>
      </c>
      <c r="AA835" s="59" t="str">
        <f>IF(Rentabilidad=0,"No aplica",TEXT(ROUND(Precio/Rentabilidad/12,0),0) &amp; " años")</f>
        <v>No aplica</v>
      </c>
      <c r="AB835" s="82" t="s">
        <v>5005</v>
      </c>
      <c r="AC835" s="83" t="s">
        <v>5006</v>
      </c>
      <c r="AD835" s="83" t="s">
        <v>5007</v>
      </c>
      <c r="AE835" s="63"/>
      <c r="AF835" s="64" t="s">
        <v>105</v>
      </c>
      <c r="AG835" s="65" t="s">
        <v>106</v>
      </c>
      <c r="AH835" s="63"/>
      <c r="AI835" s="65" t="s">
        <v>107</v>
      </c>
      <c r="AJ835" s="64" t="s">
        <v>4772</v>
      </c>
      <c r="AK835" s="50" t="s">
        <v>81</v>
      </c>
      <c r="AL835" s="45" t="s">
        <v>109</v>
      </c>
      <c r="AM835" s="50">
        <v>3.133523454E9</v>
      </c>
      <c r="AN835" s="64">
        <v>0.0</v>
      </c>
      <c r="AO835" s="52"/>
      <c r="AP835" s="67"/>
      <c r="AQ835" s="67"/>
      <c r="AR835" s="67"/>
      <c r="AS835" s="94">
        <v>0.0</v>
      </c>
      <c r="AT835" s="65" t="s">
        <v>106</v>
      </c>
      <c r="AU835" s="50">
        <v>0.0</v>
      </c>
      <c r="AV835" s="50" t="s">
        <v>106</v>
      </c>
      <c r="AW835" s="50" t="s">
        <v>88</v>
      </c>
      <c r="AX835" s="50">
        <v>0.0</v>
      </c>
      <c r="AY835" s="50">
        <v>0.0</v>
      </c>
      <c r="AZ835" s="50">
        <v>0.0</v>
      </c>
      <c r="BA835" s="43" t="s">
        <v>89</v>
      </c>
      <c r="BB835" s="50">
        <v>0.0</v>
      </c>
      <c r="BC835" s="95"/>
      <c r="BD835" s="71"/>
      <c r="BE835" s="71"/>
      <c r="BF835" s="72" t="s">
        <v>5008</v>
      </c>
      <c r="BG835" s="63"/>
      <c r="BH835" s="63"/>
      <c r="BI835" s="63"/>
      <c r="BJ835" s="63"/>
      <c r="BK835" s="63"/>
      <c r="BL835" s="63"/>
      <c r="BM835" s="63"/>
      <c r="BN835" s="63"/>
      <c r="BO835" s="63"/>
      <c r="BP835" s="63"/>
      <c r="BQ835" s="63"/>
      <c r="BR835" s="63"/>
      <c r="BS835" s="63"/>
      <c r="BT835" s="63"/>
      <c r="BU835" s="63"/>
      <c r="BV835" s="63"/>
      <c r="BW835" s="74"/>
      <c r="BX835" s="74"/>
      <c r="BY835" s="63"/>
      <c r="BZ835" s="63"/>
    </row>
    <row r="836" ht="15.75" customHeight="1">
      <c r="A836" s="75" t="s">
        <v>5009</v>
      </c>
      <c r="B836" s="50" t="s">
        <v>5010</v>
      </c>
      <c r="C836" s="50" t="s">
        <v>323</v>
      </c>
      <c r="D836" s="50"/>
      <c r="E836" s="64" t="s">
        <v>5011</v>
      </c>
      <c r="F836" s="78">
        <v>2.8E8</v>
      </c>
      <c r="G836" s="44" t="str">
        <f t="shared" si="16"/>
        <v>$200'000.000 a $300'000.000</v>
      </c>
      <c r="H836" s="44"/>
      <c r="I836" s="44"/>
      <c r="J836" s="50" t="s">
        <v>94</v>
      </c>
      <c r="K836" s="51"/>
      <c r="L836" s="50">
        <v>2.0</v>
      </c>
      <c r="M836" s="50"/>
      <c r="N836" s="50">
        <v>2.0</v>
      </c>
      <c r="O836" s="50">
        <v>1.0</v>
      </c>
      <c r="P836" s="50">
        <v>13.0</v>
      </c>
      <c r="Q836" s="88">
        <v>61.0</v>
      </c>
      <c r="R836" s="88">
        <v>61.0</v>
      </c>
      <c r="S836" s="56" t="str">
        <f t="shared" si="24"/>
        <v> </v>
      </c>
      <c r="T836" s="50" t="s">
        <v>78</v>
      </c>
      <c r="U836" s="51" t="s">
        <v>142</v>
      </c>
      <c r="V836" s="50" t="s">
        <v>619</v>
      </c>
      <c r="W836" s="50"/>
      <c r="X836" s="50">
        <v>2.0</v>
      </c>
      <c r="Y836" s="50" t="s">
        <v>130</v>
      </c>
      <c r="Z836" s="58">
        <v>305000.0</v>
      </c>
      <c r="AA836" s="59" t="str">
        <f>IF(Rentabilidad=0,"No aplica",TEXT(ROUND(Precio/Rentabilidad/12,0),0) &amp; " años")</f>
        <v>No aplica</v>
      </c>
      <c r="AB836" s="82" t="s">
        <v>5012</v>
      </c>
      <c r="AC836" s="83" t="s">
        <v>5013</v>
      </c>
      <c r="AD836" s="83" t="s">
        <v>5014</v>
      </c>
      <c r="AE836" s="63"/>
      <c r="AF836" s="64" t="s">
        <v>105</v>
      </c>
      <c r="AG836" s="65" t="s">
        <v>106</v>
      </c>
      <c r="AH836" s="63"/>
      <c r="AI836" s="65" t="s">
        <v>107</v>
      </c>
      <c r="AJ836" s="64" t="s">
        <v>4772</v>
      </c>
      <c r="AK836" s="50" t="s">
        <v>81</v>
      </c>
      <c r="AL836" s="45" t="s">
        <v>109</v>
      </c>
      <c r="AM836" s="50">
        <v>3.133523454E9</v>
      </c>
      <c r="AN836" s="64">
        <v>0.0</v>
      </c>
      <c r="AO836" s="52"/>
      <c r="AP836" s="67"/>
      <c r="AQ836" s="143">
        <v>2.8499844</v>
      </c>
      <c r="AR836" s="143">
        <v>-75.3367476</v>
      </c>
      <c r="AS836" s="94">
        <v>0.0</v>
      </c>
      <c r="AT836" s="65">
        <v>0.0</v>
      </c>
      <c r="AU836" s="50">
        <v>0.0</v>
      </c>
      <c r="AV836" s="50" t="s">
        <v>106</v>
      </c>
      <c r="AW836" s="50" t="s">
        <v>88</v>
      </c>
      <c r="AX836" s="50">
        <v>0.0</v>
      </c>
      <c r="AY836" s="50">
        <v>0.0</v>
      </c>
      <c r="AZ836" s="50">
        <v>0.0</v>
      </c>
      <c r="BA836" s="43" t="s">
        <v>89</v>
      </c>
      <c r="BB836" s="50">
        <v>0.0</v>
      </c>
      <c r="BC836" s="95"/>
      <c r="BD836" s="71"/>
      <c r="BE836" s="71"/>
      <c r="BF836" s="72" t="s">
        <v>5015</v>
      </c>
      <c r="BG836" s="73"/>
      <c r="BH836" s="73"/>
      <c r="BI836" s="73"/>
      <c r="BJ836" s="73"/>
      <c r="BK836" s="73"/>
      <c r="BL836" s="73"/>
      <c r="BM836" s="73"/>
      <c r="BN836" s="73"/>
      <c r="BO836" s="73"/>
      <c r="BP836" s="73"/>
      <c r="BQ836" s="73"/>
      <c r="BR836" s="73"/>
      <c r="BS836" s="73"/>
      <c r="BT836" s="73"/>
      <c r="BU836" s="73"/>
      <c r="BV836" s="73"/>
      <c r="BW836" s="74"/>
      <c r="BX836" s="74"/>
      <c r="BY836" s="63"/>
      <c r="BZ836" s="63"/>
    </row>
    <row r="837" ht="15.75" customHeight="1">
      <c r="A837" s="75" t="s">
        <v>5016</v>
      </c>
      <c r="B837" s="50" t="s">
        <v>5017</v>
      </c>
      <c r="C837" s="50" t="s">
        <v>323</v>
      </c>
      <c r="D837" s="50"/>
      <c r="E837" s="77" t="s">
        <v>5018</v>
      </c>
      <c r="F837" s="78">
        <v>2.8E8</v>
      </c>
      <c r="G837" s="44" t="str">
        <f t="shared" si="16"/>
        <v>$200'000.000 a $300'000.000</v>
      </c>
      <c r="H837" s="44"/>
      <c r="I837" s="44"/>
      <c r="J837" s="50" t="s">
        <v>94</v>
      </c>
      <c r="K837" s="51"/>
      <c r="L837" s="50">
        <v>3.0</v>
      </c>
      <c r="M837" s="50"/>
      <c r="N837" s="50">
        <v>2.0</v>
      </c>
      <c r="O837" s="50">
        <v>1.0</v>
      </c>
      <c r="P837" s="50">
        <v>5.0</v>
      </c>
      <c r="Q837" s="88">
        <v>64.0</v>
      </c>
      <c r="R837" s="88">
        <v>64.0</v>
      </c>
      <c r="S837" s="56"/>
      <c r="T837" s="50" t="s">
        <v>78</v>
      </c>
      <c r="U837" s="51" t="s">
        <v>77</v>
      </c>
      <c r="V837" s="50" t="s">
        <v>333</v>
      </c>
      <c r="W837" s="50"/>
      <c r="X837" s="50">
        <v>3.0</v>
      </c>
      <c r="Y837" s="50" t="s">
        <v>130</v>
      </c>
      <c r="Z837" s="58">
        <v>250000.0</v>
      </c>
      <c r="AA837" s="81" t="s">
        <v>81</v>
      </c>
      <c r="AB837" s="82" t="s">
        <v>5019</v>
      </c>
      <c r="AC837" s="110" t="s">
        <v>5020</v>
      </c>
      <c r="AD837" s="83" t="s">
        <v>5021</v>
      </c>
      <c r="AE837" s="63"/>
      <c r="AF837" s="64" t="s">
        <v>105</v>
      </c>
      <c r="AG837" s="65" t="s">
        <v>106</v>
      </c>
      <c r="AH837" s="63"/>
      <c r="AI837" s="65" t="s">
        <v>107</v>
      </c>
      <c r="AJ837" s="64" t="s">
        <v>4772</v>
      </c>
      <c r="AK837" s="50" t="s">
        <v>81</v>
      </c>
      <c r="AL837" s="45" t="s">
        <v>109</v>
      </c>
      <c r="AM837" s="50">
        <v>3.133523454E9</v>
      </c>
      <c r="AN837" s="64">
        <v>0.0</v>
      </c>
      <c r="AO837" s="52"/>
      <c r="AP837" s="67"/>
      <c r="AQ837" s="67"/>
      <c r="AR837" s="67"/>
      <c r="AS837" s="94">
        <v>0.0</v>
      </c>
      <c r="AT837" s="65" t="s">
        <v>106</v>
      </c>
      <c r="AU837" s="50">
        <v>0.0</v>
      </c>
      <c r="AV837" s="50">
        <v>0.0</v>
      </c>
      <c r="AW837" s="50" t="s">
        <v>88</v>
      </c>
      <c r="AX837" s="50">
        <v>0.0</v>
      </c>
      <c r="AY837" s="50">
        <v>0.0</v>
      </c>
      <c r="AZ837" s="50">
        <v>0.0</v>
      </c>
      <c r="BA837" s="43" t="s">
        <v>89</v>
      </c>
      <c r="BB837" s="50">
        <v>0.0</v>
      </c>
      <c r="BC837" s="69"/>
      <c r="BD837" s="70"/>
      <c r="BE837" s="71"/>
      <c r="BF837" s="72" t="s">
        <v>5022</v>
      </c>
      <c r="BG837" s="73"/>
      <c r="BH837" s="73"/>
      <c r="BI837" s="73"/>
      <c r="BJ837" s="73"/>
      <c r="BK837" s="73"/>
      <c r="BL837" s="73"/>
      <c r="BM837" s="73"/>
      <c r="BN837" s="73"/>
      <c r="BO837" s="73"/>
      <c r="BP837" s="73"/>
      <c r="BQ837" s="73"/>
      <c r="BR837" s="73"/>
      <c r="BS837" s="73"/>
      <c r="BT837" s="73"/>
      <c r="BU837" s="73"/>
      <c r="BV837" s="73"/>
      <c r="BW837" s="74"/>
      <c r="BX837" s="74"/>
      <c r="BY837" s="63"/>
      <c r="BZ837" s="63"/>
    </row>
    <row r="838" ht="15.75" customHeight="1">
      <c r="A838" s="75" t="s">
        <v>5023</v>
      </c>
      <c r="B838" s="50" t="s">
        <v>5024</v>
      </c>
      <c r="C838" s="50" t="s">
        <v>70</v>
      </c>
      <c r="D838" s="50" t="s">
        <v>5025</v>
      </c>
      <c r="E838" s="64"/>
      <c r="F838" s="78">
        <v>2.6E8</v>
      </c>
      <c r="G838" s="44" t="str">
        <f t="shared" si="16"/>
        <v>$200'000.000 a $300'000.000</v>
      </c>
      <c r="H838" s="44"/>
      <c r="I838" s="44"/>
      <c r="J838" s="50" t="s">
        <v>116</v>
      </c>
      <c r="K838" s="51" t="s">
        <v>294</v>
      </c>
      <c r="L838" s="50">
        <v>3.0</v>
      </c>
      <c r="M838" s="50"/>
      <c r="N838" s="50">
        <v>2.0</v>
      </c>
      <c r="O838" s="50">
        <v>1.0</v>
      </c>
      <c r="P838" s="50">
        <v>1.0</v>
      </c>
      <c r="Q838" s="88">
        <v>135.0</v>
      </c>
      <c r="R838" s="88">
        <v>135.0</v>
      </c>
      <c r="S838" s="56" t="str">
        <f t="shared" ref="S838:S862" si="25">IF(AS838=0," ","Rentabilidad $" &amp; TEXT(AS838,"#,##0"))</f>
        <v> </v>
      </c>
      <c r="T838" s="50" t="s">
        <v>78</v>
      </c>
      <c r="U838" s="51" t="s">
        <v>77</v>
      </c>
      <c r="V838" s="50" t="s">
        <v>79</v>
      </c>
      <c r="W838" s="50"/>
      <c r="X838" s="50">
        <v>3.0</v>
      </c>
      <c r="Y838" s="50" t="s">
        <v>80</v>
      </c>
      <c r="Z838" s="58" t="s">
        <v>81</v>
      </c>
      <c r="AA838" s="59" t="str">
        <f>IF(Rentabilidad=0,"No aplica",TEXT(ROUND(Precio/Rentabilidad/12,0),0) &amp; " años")</f>
        <v>No aplica</v>
      </c>
      <c r="AB838" s="82" t="s">
        <v>5026</v>
      </c>
      <c r="AC838" s="110" t="s">
        <v>5027</v>
      </c>
      <c r="AD838" s="83" t="s">
        <v>5028</v>
      </c>
      <c r="AE838" s="63"/>
      <c r="AF838" s="64" t="s">
        <v>236</v>
      </c>
      <c r="AG838" s="65" t="s">
        <v>106</v>
      </c>
      <c r="AH838" s="63"/>
      <c r="AI838" s="65" t="s">
        <v>107</v>
      </c>
      <c r="AJ838" s="64" t="s">
        <v>4772</v>
      </c>
      <c r="AK838" s="50" t="s">
        <v>81</v>
      </c>
      <c r="AL838" s="45" t="s">
        <v>109</v>
      </c>
      <c r="AM838" s="50">
        <v>3.133523454E9</v>
      </c>
      <c r="AN838" s="64">
        <v>0.0</v>
      </c>
      <c r="AO838" s="52"/>
      <c r="AP838" s="67"/>
      <c r="AQ838" s="67"/>
      <c r="AR838" s="67"/>
      <c r="AS838" s="94">
        <v>0.0</v>
      </c>
      <c r="AT838" s="65">
        <v>0.0</v>
      </c>
      <c r="AU838" s="50">
        <v>0.0</v>
      </c>
      <c r="AV838" s="50">
        <v>0.0</v>
      </c>
      <c r="AW838" s="50" t="s">
        <v>106</v>
      </c>
      <c r="AX838" s="50">
        <v>0.0</v>
      </c>
      <c r="AY838" s="50">
        <v>0.0</v>
      </c>
      <c r="AZ838" s="50">
        <v>0.0</v>
      </c>
      <c r="BA838" s="43" t="s">
        <v>89</v>
      </c>
      <c r="BB838" s="50">
        <v>0.0</v>
      </c>
      <c r="BC838" s="95"/>
      <c r="BD838" s="71"/>
      <c r="BE838" s="71"/>
      <c r="BF838" s="72" t="s">
        <v>5029</v>
      </c>
      <c r="BG838" s="73"/>
      <c r="BH838" s="73"/>
      <c r="BI838" s="73"/>
      <c r="BJ838" s="73"/>
      <c r="BK838" s="73"/>
      <c r="BL838" s="73"/>
      <c r="BM838" s="73"/>
      <c r="BN838" s="73"/>
      <c r="BO838" s="73"/>
      <c r="BP838" s="73"/>
      <c r="BQ838" s="73"/>
      <c r="BR838" s="73"/>
      <c r="BS838" s="73"/>
      <c r="BT838" s="73"/>
      <c r="BU838" s="73"/>
      <c r="BV838" s="73"/>
      <c r="BW838" s="74"/>
      <c r="BX838" s="74"/>
      <c r="BY838" s="63"/>
      <c r="BZ838" s="63"/>
    </row>
    <row r="839" ht="15.75" customHeight="1">
      <c r="A839" s="75" t="s">
        <v>5030</v>
      </c>
      <c r="B839" s="50" t="s">
        <v>5031</v>
      </c>
      <c r="C839" s="50" t="s">
        <v>323</v>
      </c>
      <c r="D839" s="50" t="s">
        <v>11</v>
      </c>
      <c r="E839" s="64" t="s">
        <v>5032</v>
      </c>
      <c r="F839" s="78">
        <v>2.5E8</v>
      </c>
      <c r="G839" s="44" t="str">
        <f t="shared" si="16"/>
        <v>$200'000.000 a $300'000.000</v>
      </c>
      <c r="H839" s="44"/>
      <c r="I839" s="44"/>
      <c r="J839" s="50" t="s">
        <v>183</v>
      </c>
      <c r="K839" s="51" t="s">
        <v>184</v>
      </c>
      <c r="L839" s="50">
        <v>3.0</v>
      </c>
      <c r="M839" s="50"/>
      <c r="N839" s="50">
        <v>2.0</v>
      </c>
      <c r="O839" s="50">
        <v>1.0</v>
      </c>
      <c r="P839" s="50">
        <v>4.0</v>
      </c>
      <c r="Q839" s="88">
        <v>97.0</v>
      </c>
      <c r="R839" s="88">
        <v>97.0</v>
      </c>
      <c r="S839" s="56" t="str">
        <f t="shared" si="25"/>
        <v> </v>
      </c>
      <c r="T839" s="50" t="s">
        <v>78</v>
      </c>
      <c r="U839" s="51" t="s">
        <v>77</v>
      </c>
      <c r="V839" s="50" t="s">
        <v>680</v>
      </c>
      <c r="W839" s="50"/>
      <c r="X839" s="50">
        <v>3.0</v>
      </c>
      <c r="Y839" s="50" t="s">
        <v>130</v>
      </c>
      <c r="Z839" s="58">
        <v>312000.0</v>
      </c>
      <c r="AA839" s="59" t="str">
        <f>IF(Rentabilidad=0,"No aplica",TEXT(ROUND(Precio/Rentabilidad/12,0),0) &amp; " años")</f>
        <v>No aplica</v>
      </c>
      <c r="AB839" s="82" t="s">
        <v>5033</v>
      </c>
      <c r="AC839" s="83" t="s">
        <v>5034</v>
      </c>
      <c r="AD839" s="83" t="s">
        <v>5035</v>
      </c>
      <c r="AE839" s="63"/>
      <c r="AF839" s="64" t="s">
        <v>105</v>
      </c>
      <c r="AG839" s="65" t="s">
        <v>106</v>
      </c>
      <c r="AH839" s="63"/>
      <c r="AI839" s="65" t="s">
        <v>107</v>
      </c>
      <c r="AJ839" s="64" t="s">
        <v>4772</v>
      </c>
      <c r="AK839" s="50" t="s">
        <v>81</v>
      </c>
      <c r="AL839" s="45" t="s">
        <v>109</v>
      </c>
      <c r="AM839" s="50">
        <v>3.133523454E9</v>
      </c>
      <c r="AN839" s="64">
        <v>0.0</v>
      </c>
      <c r="AO839" s="52"/>
      <c r="AP839" s="67"/>
      <c r="AQ839" s="84">
        <v>2.95296197399886</v>
      </c>
      <c r="AR839" s="84">
        <v>-75.2902296710607</v>
      </c>
      <c r="AS839" s="94">
        <v>0.0</v>
      </c>
      <c r="AT839" s="65">
        <v>0.0</v>
      </c>
      <c r="AU839" s="50">
        <v>0.0</v>
      </c>
      <c r="AV839" s="50">
        <v>0.0</v>
      </c>
      <c r="AW839" s="50" t="s">
        <v>88</v>
      </c>
      <c r="AX839" s="50">
        <v>0.0</v>
      </c>
      <c r="AY839" s="50">
        <v>0.0</v>
      </c>
      <c r="AZ839" s="50">
        <v>0.0</v>
      </c>
      <c r="BA839" s="43" t="s">
        <v>89</v>
      </c>
      <c r="BB839" s="50">
        <v>0.0</v>
      </c>
      <c r="BC839" s="95"/>
      <c r="BD839" s="71"/>
      <c r="BE839" s="71"/>
      <c r="BF839" s="72" t="s">
        <v>5036</v>
      </c>
      <c r="BG839" s="73"/>
      <c r="BH839" s="73"/>
      <c r="BI839" s="73"/>
      <c r="BJ839" s="73"/>
      <c r="BK839" s="73"/>
      <c r="BL839" s="73"/>
      <c r="BM839" s="73"/>
      <c r="BN839" s="73"/>
      <c r="BO839" s="73"/>
      <c r="BP839" s="73"/>
      <c r="BQ839" s="73"/>
      <c r="BR839" s="73"/>
      <c r="BS839" s="73"/>
      <c r="BT839" s="73"/>
      <c r="BU839" s="73"/>
      <c r="BV839" s="73"/>
      <c r="BW839" s="74"/>
      <c r="BX839" s="74"/>
      <c r="BY839" s="63"/>
      <c r="BZ839" s="63"/>
    </row>
    <row r="840" ht="15.75" customHeight="1">
      <c r="A840" s="75" t="s">
        <v>5037</v>
      </c>
      <c r="B840" s="50" t="s">
        <v>5038</v>
      </c>
      <c r="C840" s="50" t="s">
        <v>323</v>
      </c>
      <c r="D840" s="50" t="s">
        <v>720</v>
      </c>
      <c r="E840" s="64" t="s">
        <v>5039</v>
      </c>
      <c r="F840" s="78">
        <v>2.4E8</v>
      </c>
      <c r="G840" s="44" t="str">
        <f t="shared" si="16"/>
        <v>$200'000.000 a $300'000.000</v>
      </c>
      <c r="H840" s="44"/>
      <c r="I840" s="44"/>
      <c r="J840" s="50" t="s">
        <v>94</v>
      </c>
      <c r="K840" s="51" t="s">
        <v>117</v>
      </c>
      <c r="L840" s="50">
        <v>3.0</v>
      </c>
      <c r="M840" s="50"/>
      <c r="N840" s="50">
        <v>2.0</v>
      </c>
      <c r="O840" s="50">
        <v>1.0</v>
      </c>
      <c r="P840" s="50">
        <v>1.0</v>
      </c>
      <c r="Q840" s="88">
        <v>75.0</v>
      </c>
      <c r="R840" s="88">
        <v>75.0</v>
      </c>
      <c r="S840" s="56" t="str">
        <f t="shared" si="25"/>
        <v> </v>
      </c>
      <c r="T840" s="50" t="s">
        <v>78</v>
      </c>
      <c r="U840" s="51" t="s">
        <v>77</v>
      </c>
      <c r="V840" s="50" t="s">
        <v>1014</v>
      </c>
      <c r="W840" s="50"/>
      <c r="X840" s="50">
        <v>3.0</v>
      </c>
      <c r="Y840" s="50" t="s">
        <v>130</v>
      </c>
      <c r="Z840" s="58">
        <v>280000.0</v>
      </c>
      <c r="AA840" s="59" t="str">
        <f>IF(Rentabilidad=0,"No aplica",TEXT(ROUND(Precio/Rentabilidad/12,0),0) &amp; " años")</f>
        <v>No aplica</v>
      </c>
      <c r="AB840" s="82" t="s">
        <v>5040</v>
      </c>
      <c r="AC840" s="110" t="s">
        <v>5041</v>
      </c>
      <c r="AD840" s="83" t="s">
        <v>5042</v>
      </c>
      <c r="AE840" s="63"/>
      <c r="AF840" s="64" t="s">
        <v>105</v>
      </c>
      <c r="AG840" s="65" t="s">
        <v>106</v>
      </c>
      <c r="AH840" s="63"/>
      <c r="AI840" s="65" t="s">
        <v>107</v>
      </c>
      <c r="AJ840" s="64" t="s">
        <v>4772</v>
      </c>
      <c r="AK840" s="50" t="s">
        <v>81</v>
      </c>
      <c r="AL840" s="45" t="s">
        <v>109</v>
      </c>
      <c r="AM840" s="50">
        <v>3.133523454E9</v>
      </c>
      <c r="AN840" s="64">
        <v>0.0</v>
      </c>
      <c r="AO840" s="52"/>
      <c r="AP840" s="67"/>
      <c r="AQ840" s="67"/>
      <c r="AR840" s="67"/>
      <c r="AS840" s="94">
        <v>0.0</v>
      </c>
      <c r="AT840" s="65" t="s">
        <v>106</v>
      </c>
      <c r="AU840" s="50" t="s">
        <v>106</v>
      </c>
      <c r="AV840" s="50" t="s">
        <v>106</v>
      </c>
      <c r="AW840" s="50" t="s">
        <v>88</v>
      </c>
      <c r="AX840" s="50">
        <v>0.0</v>
      </c>
      <c r="AY840" s="50">
        <v>0.0</v>
      </c>
      <c r="AZ840" s="50">
        <v>0.0</v>
      </c>
      <c r="BA840" s="43" t="s">
        <v>89</v>
      </c>
      <c r="BB840" s="50">
        <v>0.0</v>
      </c>
      <c r="BC840" s="95"/>
      <c r="BD840" s="71"/>
      <c r="BE840" s="71"/>
      <c r="BF840" s="72" t="s">
        <v>5043</v>
      </c>
      <c r="BG840" s="73"/>
      <c r="BH840" s="73"/>
      <c r="BI840" s="73"/>
      <c r="BJ840" s="73"/>
      <c r="BK840" s="73"/>
      <c r="BL840" s="73"/>
      <c r="BM840" s="73"/>
      <c r="BN840" s="73"/>
      <c r="BO840" s="73"/>
      <c r="BP840" s="73"/>
      <c r="BQ840" s="73"/>
      <c r="BR840" s="73"/>
      <c r="BS840" s="73"/>
      <c r="BT840" s="73"/>
      <c r="BU840" s="73"/>
      <c r="BV840" s="73"/>
      <c r="BW840" s="74"/>
      <c r="BX840" s="74"/>
      <c r="BY840" s="63"/>
      <c r="BZ840" s="63"/>
    </row>
    <row r="841" ht="15.75" customHeight="1">
      <c r="A841" s="75" t="s">
        <v>5044</v>
      </c>
      <c r="B841" s="50" t="s">
        <v>4989</v>
      </c>
      <c r="C841" s="50" t="s">
        <v>323</v>
      </c>
      <c r="D841" s="50" t="s">
        <v>756</v>
      </c>
      <c r="E841" s="64" t="s">
        <v>5045</v>
      </c>
      <c r="F841" s="78">
        <v>2.4E8</v>
      </c>
      <c r="G841" s="44" t="str">
        <f t="shared" si="16"/>
        <v>$200'000.000 a $300'000.000</v>
      </c>
      <c r="H841" s="44"/>
      <c r="I841" s="44"/>
      <c r="J841" s="50" t="s">
        <v>183</v>
      </c>
      <c r="K841" s="51" t="s">
        <v>184</v>
      </c>
      <c r="L841" s="50">
        <v>3.0</v>
      </c>
      <c r="M841" s="50"/>
      <c r="N841" s="50">
        <v>2.0</v>
      </c>
      <c r="O841" s="50">
        <v>1.0</v>
      </c>
      <c r="P841" s="50">
        <v>4.0</v>
      </c>
      <c r="Q841" s="88">
        <v>85.0</v>
      </c>
      <c r="R841" s="88">
        <v>85.0</v>
      </c>
      <c r="S841" s="56" t="str">
        <f t="shared" si="25"/>
        <v> </v>
      </c>
      <c r="T841" s="50" t="s">
        <v>78</v>
      </c>
      <c r="U841" s="51" t="s">
        <v>77</v>
      </c>
      <c r="V841" s="50" t="s">
        <v>680</v>
      </c>
      <c r="W841" s="50"/>
      <c r="X841" s="50">
        <v>3.0</v>
      </c>
      <c r="Y841" s="50" t="s">
        <v>130</v>
      </c>
      <c r="Z841" s="58">
        <v>314000.0</v>
      </c>
      <c r="AA841" s="59" t="str">
        <f>IF(Rentabilidad=0,"No aplica",TEXT(ROUND(Precio/Rentabilidad/12,0),0) &amp; " años")</f>
        <v>No aplica</v>
      </c>
      <c r="AB841" s="82" t="s">
        <v>5046</v>
      </c>
      <c r="AC841" s="83" t="s">
        <v>5047</v>
      </c>
      <c r="AD841" s="83" t="s">
        <v>5048</v>
      </c>
      <c r="AE841" s="63"/>
      <c r="AF841" s="64" t="s">
        <v>105</v>
      </c>
      <c r="AG841" s="65" t="s">
        <v>106</v>
      </c>
      <c r="AH841" s="63"/>
      <c r="AI841" s="65" t="s">
        <v>107</v>
      </c>
      <c r="AJ841" s="64" t="s">
        <v>4772</v>
      </c>
      <c r="AK841" s="50" t="s">
        <v>81</v>
      </c>
      <c r="AL841" s="45" t="s">
        <v>109</v>
      </c>
      <c r="AM841" s="50">
        <v>3.133523454E9</v>
      </c>
      <c r="AN841" s="64">
        <v>0.0</v>
      </c>
      <c r="AO841" s="52"/>
      <c r="AP841" s="67"/>
      <c r="AQ841" s="67"/>
      <c r="AR841" s="67"/>
      <c r="AS841" s="94">
        <v>0.0</v>
      </c>
      <c r="AT841" s="65">
        <v>0.0</v>
      </c>
      <c r="AU841" s="50">
        <v>0.0</v>
      </c>
      <c r="AV841" s="50">
        <v>0.0</v>
      </c>
      <c r="AW841" s="50" t="s">
        <v>88</v>
      </c>
      <c r="AX841" s="50">
        <v>0.0</v>
      </c>
      <c r="AY841" s="50">
        <v>0.0</v>
      </c>
      <c r="AZ841" s="50">
        <v>0.0</v>
      </c>
      <c r="BA841" s="43" t="s">
        <v>89</v>
      </c>
      <c r="BB841" s="50">
        <v>0.0</v>
      </c>
      <c r="BC841" s="95"/>
      <c r="BD841" s="71"/>
      <c r="BE841" s="71"/>
      <c r="BF841" s="72" t="s">
        <v>5049</v>
      </c>
      <c r="BG841" s="73"/>
      <c r="BH841" s="73"/>
      <c r="BI841" s="73"/>
      <c r="BJ841" s="73"/>
      <c r="BK841" s="73"/>
      <c r="BL841" s="73"/>
      <c r="BM841" s="73"/>
      <c r="BN841" s="73"/>
      <c r="BO841" s="73"/>
      <c r="BP841" s="73"/>
      <c r="BQ841" s="73"/>
      <c r="BR841" s="73"/>
      <c r="BS841" s="73"/>
      <c r="BT841" s="73"/>
      <c r="BU841" s="73"/>
      <c r="BV841" s="73"/>
      <c r="BW841" s="74"/>
      <c r="BX841" s="74"/>
      <c r="BY841" s="63"/>
      <c r="BZ841" s="63"/>
    </row>
    <row r="842" ht="15.75" customHeight="1">
      <c r="A842" s="75" t="s">
        <v>5050</v>
      </c>
      <c r="B842" s="50" t="s">
        <v>5051</v>
      </c>
      <c r="C842" s="50" t="s">
        <v>573</v>
      </c>
      <c r="D842" s="50" t="s">
        <v>76</v>
      </c>
      <c r="E842" s="64"/>
      <c r="F842" s="78">
        <v>2.35E8</v>
      </c>
      <c r="G842" s="44" t="str">
        <f t="shared" si="16"/>
        <v>$200'000.000 a $300'000.000</v>
      </c>
      <c r="H842" s="44"/>
      <c r="I842" s="44"/>
      <c r="J842" s="50" t="s">
        <v>76</v>
      </c>
      <c r="K842" s="51" t="s">
        <v>142</v>
      </c>
      <c r="L842" s="50">
        <v>3.0</v>
      </c>
      <c r="M842" s="50"/>
      <c r="N842" s="50">
        <v>2.0</v>
      </c>
      <c r="O842" s="50">
        <v>0.0</v>
      </c>
      <c r="P842" s="50">
        <v>2.0</v>
      </c>
      <c r="Q842" s="88">
        <v>197.0</v>
      </c>
      <c r="R842" s="88">
        <v>197.0</v>
      </c>
      <c r="S842" s="56" t="str">
        <f t="shared" si="25"/>
        <v> </v>
      </c>
      <c r="T842" s="50" t="s">
        <v>78</v>
      </c>
      <c r="U842" s="51" t="s">
        <v>142</v>
      </c>
      <c r="V842" s="50" t="s">
        <v>542</v>
      </c>
      <c r="W842" s="50"/>
      <c r="X842" s="50">
        <v>3.0</v>
      </c>
      <c r="Y842" s="50" t="s">
        <v>80</v>
      </c>
      <c r="Z842" s="91"/>
      <c r="AA842" s="59" t="str">
        <f>IF(Rentabilidad=0,"No aplica",TEXT(ROUND(Precio/Rentabilidad/12,0),0) &amp; " años")</f>
        <v>No aplica</v>
      </c>
      <c r="AB842" s="82" t="s">
        <v>5052</v>
      </c>
      <c r="AC842" s="83" t="s">
        <v>5053</v>
      </c>
      <c r="AD842" s="83" t="s">
        <v>5054</v>
      </c>
      <c r="AE842" s="63"/>
      <c r="AF842" s="45" t="s">
        <v>236</v>
      </c>
      <c r="AG842" s="65" t="s">
        <v>106</v>
      </c>
      <c r="AH842" s="63"/>
      <c r="AI842" s="65" t="s">
        <v>107</v>
      </c>
      <c r="AJ842" s="64" t="s">
        <v>4772</v>
      </c>
      <c r="AK842" s="50" t="s">
        <v>81</v>
      </c>
      <c r="AL842" s="45" t="s">
        <v>109</v>
      </c>
      <c r="AM842" s="50">
        <v>3.133523454E9</v>
      </c>
      <c r="AN842" s="64">
        <v>0.0</v>
      </c>
      <c r="AO842" s="52"/>
      <c r="AP842" s="67"/>
      <c r="AQ842" s="67"/>
      <c r="AR842" s="67"/>
      <c r="AS842" s="94">
        <v>0.0</v>
      </c>
      <c r="AT842" s="65">
        <v>0.0</v>
      </c>
      <c r="AU842" s="50">
        <v>0.0</v>
      </c>
      <c r="AV842" s="50" t="s">
        <v>106</v>
      </c>
      <c r="AW842" s="50" t="s">
        <v>88</v>
      </c>
      <c r="AX842" s="50">
        <v>0.0</v>
      </c>
      <c r="AY842" s="50">
        <v>0.0</v>
      </c>
      <c r="AZ842" s="50">
        <v>0.0</v>
      </c>
      <c r="BA842" s="43" t="s">
        <v>89</v>
      </c>
      <c r="BB842" s="50">
        <v>0.0</v>
      </c>
      <c r="BC842" s="95"/>
      <c r="BD842" s="71"/>
      <c r="BE842" s="71"/>
      <c r="BF842" s="72" t="s">
        <v>5055</v>
      </c>
      <c r="BG842" s="73"/>
      <c r="BH842" s="73"/>
      <c r="BI842" s="73"/>
      <c r="BJ842" s="73"/>
      <c r="BK842" s="73"/>
      <c r="BL842" s="73"/>
      <c r="BM842" s="73"/>
      <c r="BN842" s="73"/>
      <c r="BO842" s="73"/>
      <c r="BP842" s="73"/>
      <c r="BQ842" s="73"/>
      <c r="BR842" s="73"/>
      <c r="BS842" s="73"/>
      <c r="BT842" s="73"/>
      <c r="BU842" s="73"/>
      <c r="BV842" s="73"/>
      <c r="BW842" s="74"/>
      <c r="BX842" s="74"/>
      <c r="BY842" s="63"/>
      <c r="BZ842" s="63"/>
    </row>
    <row r="843" ht="15.75" customHeight="1">
      <c r="A843" s="75" t="s">
        <v>5056</v>
      </c>
      <c r="B843" s="50" t="s">
        <v>5057</v>
      </c>
      <c r="C843" s="50" t="s">
        <v>323</v>
      </c>
      <c r="D843" s="50" t="s">
        <v>5058</v>
      </c>
      <c r="E843" s="64" t="s">
        <v>5059</v>
      </c>
      <c r="F843" s="78">
        <v>2.35E8</v>
      </c>
      <c r="G843" s="44" t="str">
        <f t="shared" si="16"/>
        <v>$200'000.000 a $300'000.000</v>
      </c>
      <c r="H843" s="44"/>
      <c r="I843" s="44"/>
      <c r="J843" s="50" t="s">
        <v>183</v>
      </c>
      <c r="K843" s="51"/>
      <c r="L843" s="50">
        <v>3.0</v>
      </c>
      <c r="M843" s="50"/>
      <c r="N843" s="50">
        <v>2.0</v>
      </c>
      <c r="O843" s="50">
        <v>1.0</v>
      </c>
      <c r="P843" s="50">
        <v>6.0</v>
      </c>
      <c r="Q843" s="88">
        <v>75.0</v>
      </c>
      <c r="R843" s="88">
        <v>75.0</v>
      </c>
      <c r="S843" s="56" t="str">
        <f t="shared" si="25"/>
        <v> </v>
      </c>
      <c r="T843" s="50" t="s">
        <v>78</v>
      </c>
      <c r="U843" s="51" t="s">
        <v>77</v>
      </c>
      <c r="V843" s="50" t="s">
        <v>696</v>
      </c>
      <c r="W843" s="50"/>
      <c r="X843" s="50">
        <v>3.0</v>
      </c>
      <c r="Y843" s="50" t="s">
        <v>130</v>
      </c>
      <c r="Z843" s="58">
        <v>295000.0</v>
      </c>
      <c r="AA843" s="59" t="str">
        <f>IF(Rentabilidad=0,"No aplica",TEXT(ROUND(Precio/Rentabilidad/12,0),0) &amp; " años")</f>
        <v>No aplica</v>
      </c>
      <c r="AB843" s="82" t="s">
        <v>5060</v>
      </c>
      <c r="AC843" s="83" t="s">
        <v>5061</v>
      </c>
      <c r="AD843" s="83" t="s">
        <v>5062</v>
      </c>
      <c r="AE843" s="63"/>
      <c r="AF843" s="64" t="s">
        <v>105</v>
      </c>
      <c r="AG843" s="65" t="s">
        <v>106</v>
      </c>
      <c r="AH843" s="63"/>
      <c r="AI843" s="65" t="s">
        <v>107</v>
      </c>
      <c r="AJ843" s="64" t="s">
        <v>4772</v>
      </c>
      <c r="AK843" s="50" t="s">
        <v>81</v>
      </c>
      <c r="AL843" s="45" t="s">
        <v>109</v>
      </c>
      <c r="AM843" s="50">
        <v>3.133523454E9</v>
      </c>
      <c r="AN843" s="64">
        <v>0.0</v>
      </c>
      <c r="AO843" s="52"/>
      <c r="AP843" s="67"/>
      <c r="AQ843" s="67"/>
      <c r="AR843" s="67"/>
      <c r="AS843" s="94">
        <v>0.0</v>
      </c>
      <c r="AT843" s="65" t="s">
        <v>106</v>
      </c>
      <c r="AU843" s="50" t="s">
        <v>106</v>
      </c>
      <c r="AV843" s="50" t="s">
        <v>106</v>
      </c>
      <c r="AW843" s="50" t="s">
        <v>88</v>
      </c>
      <c r="AX843" s="50">
        <v>0.0</v>
      </c>
      <c r="AY843" s="50">
        <v>0.0</v>
      </c>
      <c r="AZ843" s="50">
        <v>0.0</v>
      </c>
      <c r="BA843" s="43" t="s">
        <v>89</v>
      </c>
      <c r="BB843" s="50">
        <v>0.0</v>
      </c>
      <c r="BC843" s="95"/>
      <c r="BD843" s="71"/>
      <c r="BE843" s="71"/>
      <c r="BF843" s="72" t="s">
        <v>5063</v>
      </c>
      <c r="BG843" s="73"/>
      <c r="BH843" s="73"/>
      <c r="BI843" s="73"/>
      <c r="BJ843" s="73"/>
      <c r="BK843" s="73"/>
      <c r="BL843" s="73"/>
      <c r="BM843" s="73"/>
      <c r="BN843" s="73"/>
      <c r="BO843" s="73"/>
      <c r="BP843" s="73"/>
      <c r="BQ843" s="73"/>
      <c r="BR843" s="73"/>
      <c r="BS843" s="73"/>
      <c r="BT843" s="73"/>
      <c r="BU843" s="73"/>
      <c r="BV843" s="73"/>
      <c r="BW843" s="74"/>
      <c r="BX843" s="74"/>
      <c r="BY843" s="63"/>
      <c r="BZ843" s="63"/>
    </row>
    <row r="844" ht="15.75" customHeight="1">
      <c r="A844" s="75" t="s">
        <v>5064</v>
      </c>
      <c r="B844" s="50" t="s">
        <v>4969</v>
      </c>
      <c r="C844" s="50" t="s">
        <v>323</v>
      </c>
      <c r="D844" s="50"/>
      <c r="E844" s="64" t="s">
        <v>4970</v>
      </c>
      <c r="F844" s="78">
        <v>2.25E8</v>
      </c>
      <c r="G844" s="44" t="str">
        <f t="shared" si="16"/>
        <v>$200'000.000 a $300'000.000</v>
      </c>
      <c r="H844" s="44"/>
      <c r="I844" s="44"/>
      <c r="J844" s="50" t="s">
        <v>116</v>
      </c>
      <c r="K844" s="51"/>
      <c r="L844" s="50">
        <v>3.0</v>
      </c>
      <c r="M844" s="50"/>
      <c r="N844" s="50">
        <v>2.0</v>
      </c>
      <c r="O844" s="50">
        <v>1.0</v>
      </c>
      <c r="P844" s="50">
        <v>9.0</v>
      </c>
      <c r="Q844" s="88">
        <v>63.0</v>
      </c>
      <c r="R844" s="88">
        <v>63.0</v>
      </c>
      <c r="S844" s="56" t="str">
        <f t="shared" si="25"/>
        <v> </v>
      </c>
      <c r="T844" s="50" t="s">
        <v>78</v>
      </c>
      <c r="U844" s="51" t="s">
        <v>77</v>
      </c>
      <c r="V844" s="50" t="s">
        <v>656</v>
      </c>
      <c r="W844" s="50"/>
      <c r="X844" s="50">
        <v>3.0</v>
      </c>
      <c r="Y844" s="50" t="s">
        <v>130</v>
      </c>
      <c r="Z844" s="58">
        <v>180000.0</v>
      </c>
      <c r="AA844" s="59" t="str">
        <f>IF(Rentabilidad=0,"No aplica",TEXT(ROUND(Precio/Rentabilidad/12,0),0) &amp; " años")</f>
        <v>No aplica</v>
      </c>
      <c r="AB844" s="82" t="s">
        <v>5065</v>
      </c>
      <c r="AC844" s="83" t="s">
        <v>5066</v>
      </c>
      <c r="AD844" s="83" t="s">
        <v>5067</v>
      </c>
      <c r="AE844" s="63"/>
      <c r="AF844" s="64" t="s">
        <v>105</v>
      </c>
      <c r="AG844" s="65" t="s">
        <v>106</v>
      </c>
      <c r="AH844" s="63"/>
      <c r="AI844" s="65" t="s">
        <v>107</v>
      </c>
      <c r="AJ844" s="64" t="s">
        <v>4772</v>
      </c>
      <c r="AK844" s="50" t="s">
        <v>81</v>
      </c>
      <c r="AL844" s="45" t="s">
        <v>109</v>
      </c>
      <c r="AM844" s="50">
        <v>3.133523454E9</v>
      </c>
      <c r="AN844" s="64">
        <v>0.0</v>
      </c>
      <c r="AO844" s="52"/>
      <c r="AP844" s="67"/>
      <c r="AQ844" s="67"/>
      <c r="AR844" s="67"/>
      <c r="AS844" s="94">
        <v>0.0</v>
      </c>
      <c r="AT844" s="65">
        <v>0.0</v>
      </c>
      <c r="AU844" s="50">
        <v>0.0</v>
      </c>
      <c r="AV844" s="50" t="s">
        <v>106</v>
      </c>
      <c r="AW844" s="50" t="s">
        <v>88</v>
      </c>
      <c r="AX844" s="50">
        <v>0.0</v>
      </c>
      <c r="AY844" s="50">
        <v>0.0</v>
      </c>
      <c r="AZ844" s="50">
        <v>0.0</v>
      </c>
      <c r="BA844" s="43" t="s">
        <v>89</v>
      </c>
      <c r="BB844" s="50">
        <v>0.0</v>
      </c>
      <c r="BC844" s="95"/>
      <c r="BD844" s="71"/>
      <c r="BE844" s="71"/>
      <c r="BF844" s="72" t="s">
        <v>5068</v>
      </c>
      <c r="BG844" s="73"/>
      <c r="BH844" s="73"/>
      <c r="BI844" s="73"/>
      <c r="BJ844" s="73"/>
      <c r="BK844" s="73"/>
      <c r="BL844" s="73"/>
      <c r="BM844" s="73"/>
      <c r="BN844" s="73"/>
      <c r="BO844" s="73"/>
      <c r="BP844" s="73"/>
      <c r="BQ844" s="73"/>
      <c r="BR844" s="73"/>
      <c r="BS844" s="73"/>
      <c r="BT844" s="73"/>
      <c r="BU844" s="73"/>
      <c r="BV844" s="73"/>
      <c r="BW844" s="74"/>
      <c r="BX844" s="74"/>
      <c r="BY844" s="63"/>
      <c r="BZ844" s="63"/>
    </row>
    <row r="845" ht="15.75" customHeight="1">
      <c r="A845" s="75" t="s">
        <v>5069</v>
      </c>
      <c r="B845" s="50" t="s">
        <v>5070</v>
      </c>
      <c r="C845" s="50" t="s">
        <v>573</v>
      </c>
      <c r="D845" s="50" t="s">
        <v>5071</v>
      </c>
      <c r="E845" s="64"/>
      <c r="F845" s="78">
        <v>1.77E8</v>
      </c>
      <c r="G845" s="44" t="str">
        <f t="shared" si="16"/>
        <v>$100'000.000 a $200'000.000</v>
      </c>
      <c r="H845" s="44"/>
      <c r="I845" s="44"/>
      <c r="J845" s="50" t="s">
        <v>116</v>
      </c>
      <c r="K845" s="51" t="s">
        <v>154</v>
      </c>
      <c r="L845" s="50">
        <v>2.0</v>
      </c>
      <c r="M845" s="50"/>
      <c r="N845" s="50">
        <v>2.0</v>
      </c>
      <c r="O845" s="50">
        <v>1.0</v>
      </c>
      <c r="P845" s="50">
        <v>3.0</v>
      </c>
      <c r="Q845" s="88">
        <v>55.0</v>
      </c>
      <c r="R845" s="88">
        <v>55.0</v>
      </c>
      <c r="S845" s="56" t="str">
        <f t="shared" si="25"/>
        <v> </v>
      </c>
      <c r="T845" s="50" t="s">
        <v>78</v>
      </c>
      <c r="U845" s="51" t="s">
        <v>184</v>
      </c>
      <c r="V845" s="50" t="s">
        <v>774</v>
      </c>
      <c r="W845" s="50"/>
      <c r="X845" s="50">
        <v>2.0</v>
      </c>
      <c r="Y845" s="50" t="s">
        <v>80</v>
      </c>
      <c r="Z845" s="58">
        <v>250000.0</v>
      </c>
      <c r="AA845" s="59" t="str">
        <f>IF(Rentabilidad=0,"No aplica",TEXT(ROUND(Precio/Rentabilidad/12,0),0) &amp; " años")</f>
        <v>No aplica</v>
      </c>
      <c r="AB845" s="82" t="s">
        <v>5072</v>
      </c>
      <c r="AC845" s="83" t="s">
        <v>5073</v>
      </c>
      <c r="AD845" s="83" t="s">
        <v>5074</v>
      </c>
      <c r="AE845" s="63"/>
      <c r="AF845" s="64" t="s">
        <v>105</v>
      </c>
      <c r="AG845" s="65" t="s">
        <v>106</v>
      </c>
      <c r="AH845" s="63"/>
      <c r="AI845" s="65" t="s">
        <v>107</v>
      </c>
      <c r="AJ845" s="64" t="s">
        <v>4772</v>
      </c>
      <c r="AK845" s="50" t="s">
        <v>81</v>
      </c>
      <c r="AL845" s="45" t="s">
        <v>109</v>
      </c>
      <c r="AM845" s="50">
        <v>3.133523454E9</v>
      </c>
      <c r="AN845" s="64">
        <v>0.0</v>
      </c>
      <c r="AO845" s="52"/>
      <c r="AP845" s="67"/>
      <c r="AQ845" s="67"/>
      <c r="AR845" s="67"/>
      <c r="AS845" s="94">
        <v>0.0</v>
      </c>
      <c r="AT845" s="65">
        <v>0.0</v>
      </c>
      <c r="AU845" s="50">
        <v>0.0</v>
      </c>
      <c r="AV845" s="50">
        <v>0.0</v>
      </c>
      <c r="AW845" s="50" t="s">
        <v>88</v>
      </c>
      <c r="AX845" s="50">
        <v>0.0</v>
      </c>
      <c r="AY845" s="50">
        <v>0.0</v>
      </c>
      <c r="AZ845" s="50">
        <v>0.0</v>
      </c>
      <c r="BA845" s="43" t="s">
        <v>89</v>
      </c>
      <c r="BB845" s="50">
        <v>0.0</v>
      </c>
      <c r="BC845" s="95"/>
      <c r="BD845" s="71"/>
      <c r="BE845" s="71"/>
      <c r="BF845" s="72" t="s">
        <v>5075</v>
      </c>
      <c r="BG845" s="73"/>
      <c r="BH845" s="73"/>
      <c r="BI845" s="73"/>
      <c r="BJ845" s="73"/>
      <c r="BK845" s="73"/>
      <c r="BL845" s="73"/>
      <c r="BM845" s="73"/>
      <c r="BN845" s="73"/>
      <c r="BO845" s="73"/>
      <c r="BP845" s="73"/>
      <c r="BQ845" s="73"/>
      <c r="BR845" s="73"/>
      <c r="BS845" s="73"/>
      <c r="BT845" s="73"/>
      <c r="BU845" s="73"/>
      <c r="BV845" s="73"/>
      <c r="BW845" s="74"/>
      <c r="BX845" s="74"/>
      <c r="BY845" s="63"/>
      <c r="BZ845" s="63"/>
    </row>
    <row r="846" ht="15.75" customHeight="1">
      <c r="A846" s="75" t="s">
        <v>5076</v>
      </c>
      <c r="B846" s="50" t="s">
        <v>5077</v>
      </c>
      <c r="C846" s="50" t="s">
        <v>323</v>
      </c>
      <c r="D846" s="50" t="s">
        <v>349</v>
      </c>
      <c r="E846" s="64" t="s">
        <v>5078</v>
      </c>
      <c r="F846" s="78">
        <v>1.62E8</v>
      </c>
      <c r="G846" s="44" t="str">
        <f t="shared" si="16"/>
        <v>$100'000.000 a $200'000.000</v>
      </c>
      <c r="H846" s="44"/>
      <c r="I846" s="44"/>
      <c r="J846" s="50" t="s">
        <v>116</v>
      </c>
      <c r="K846" s="51" t="s">
        <v>294</v>
      </c>
      <c r="L846" s="50">
        <v>3.0</v>
      </c>
      <c r="M846" s="50"/>
      <c r="N846" s="50">
        <v>1.0</v>
      </c>
      <c r="O846" s="50">
        <v>1.0</v>
      </c>
      <c r="P846" s="50">
        <v>2.0</v>
      </c>
      <c r="Q846" s="88">
        <v>57.0</v>
      </c>
      <c r="R846" s="88">
        <v>57.0</v>
      </c>
      <c r="S846" s="56" t="str">
        <f t="shared" si="25"/>
        <v> </v>
      </c>
      <c r="T846" s="50" t="s">
        <v>78</v>
      </c>
      <c r="U846" s="51" t="s">
        <v>77</v>
      </c>
      <c r="V846" s="50" t="s">
        <v>542</v>
      </c>
      <c r="W846" s="50"/>
      <c r="X846" s="50">
        <v>3.0</v>
      </c>
      <c r="Y846" s="50" t="s">
        <v>130</v>
      </c>
      <c r="Z846" s="58">
        <v>197000.0</v>
      </c>
      <c r="AA846" s="59" t="str">
        <f>IF(Rentabilidad=0,"No aplica",TEXT(ROUND(Precio/Rentabilidad/12,0),0) &amp; " años")</f>
        <v>No aplica</v>
      </c>
      <c r="AB846" s="82" t="s">
        <v>5079</v>
      </c>
      <c r="AC846" s="83" t="s">
        <v>5080</v>
      </c>
      <c r="AD846" s="83" t="s">
        <v>5081</v>
      </c>
      <c r="AE846" s="63"/>
      <c r="AF846" s="64" t="s">
        <v>105</v>
      </c>
      <c r="AG846" s="65" t="s">
        <v>106</v>
      </c>
      <c r="AH846" s="63"/>
      <c r="AI846" s="65" t="s">
        <v>107</v>
      </c>
      <c r="AJ846" s="64" t="s">
        <v>4772</v>
      </c>
      <c r="AK846" s="50" t="s">
        <v>81</v>
      </c>
      <c r="AL846" s="45" t="s">
        <v>109</v>
      </c>
      <c r="AM846" s="50">
        <v>3.133523454E9</v>
      </c>
      <c r="AN846" s="64">
        <v>0.0</v>
      </c>
      <c r="AO846" s="52"/>
      <c r="AP846" s="67"/>
      <c r="AQ846" s="67"/>
      <c r="AR846" s="67"/>
      <c r="AS846" s="94">
        <v>0.0</v>
      </c>
      <c r="AT846" s="65">
        <v>0.0</v>
      </c>
      <c r="AU846" s="50">
        <v>0.0</v>
      </c>
      <c r="AV846" s="50">
        <v>0.0</v>
      </c>
      <c r="AW846" s="50" t="s">
        <v>88</v>
      </c>
      <c r="AX846" s="50">
        <v>0.0</v>
      </c>
      <c r="AY846" s="50">
        <v>0.0</v>
      </c>
      <c r="AZ846" s="50">
        <v>0.0</v>
      </c>
      <c r="BA846" s="43" t="s">
        <v>89</v>
      </c>
      <c r="BB846" s="50">
        <v>0.0</v>
      </c>
      <c r="BC846" s="95"/>
      <c r="BD846" s="71"/>
      <c r="BE846" s="71"/>
      <c r="BF846" s="72" t="s">
        <v>5082</v>
      </c>
      <c r="BG846" s="73"/>
      <c r="BH846" s="73"/>
      <c r="BI846" s="73"/>
      <c r="BJ846" s="73"/>
      <c r="BK846" s="73"/>
      <c r="BL846" s="73"/>
      <c r="BM846" s="73"/>
      <c r="BN846" s="73"/>
      <c r="BO846" s="73"/>
      <c r="BP846" s="73"/>
      <c r="BQ846" s="73"/>
      <c r="BR846" s="73"/>
      <c r="BS846" s="73"/>
      <c r="BT846" s="73"/>
      <c r="BU846" s="73"/>
      <c r="BV846" s="73"/>
      <c r="BW846" s="74"/>
      <c r="BX846" s="74"/>
      <c r="BY846" s="63"/>
      <c r="BZ846" s="63"/>
    </row>
    <row r="847" ht="15.75" customHeight="1">
      <c r="A847" s="75" t="s">
        <v>5083</v>
      </c>
      <c r="B847" s="50" t="s">
        <v>5084</v>
      </c>
      <c r="C847" s="111" t="s">
        <v>323</v>
      </c>
      <c r="D847" s="50" t="s">
        <v>349</v>
      </c>
      <c r="E847" s="64" t="s">
        <v>5085</v>
      </c>
      <c r="F847" s="78">
        <v>1.55E8</v>
      </c>
      <c r="G847" s="44" t="str">
        <f t="shared" si="16"/>
        <v>$100'000.000 a $200'000.000</v>
      </c>
      <c r="H847" s="44"/>
      <c r="I847" s="44"/>
      <c r="J847" s="50" t="s">
        <v>116</v>
      </c>
      <c r="K847" s="51" t="s">
        <v>294</v>
      </c>
      <c r="L847" s="50">
        <v>3.0</v>
      </c>
      <c r="M847" s="50"/>
      <c r="N847" s="50">
        <v>1.0</v>
      </c>
      <c r="O847" s="50">
        <v>1.0</v>
      </c>
      <c r="P847" s="50">
        <v>2.0</v>
      </c>
      <c r="Q847" s="88">
        <v>57.0</v>
      </c>
      <c r="R847" s="88">
        <v>57.0</v>
      </c>
      <c r="S847" s="56" t="str">
        <f t="shared" si="25"/>
        <v> </v>
      </c>
      <c r="T847" s="50" t="s">
        <v>78</v>
      </c>
      <c r="U847" s="51" t="s">
        <v>184</v>
      </c>
      <c r="V847" s="50" t="s">
        <v>542</v>
      </c>
      <c r="W847" s="50"/>
      <c r="X847" s="50">
        <v>3.0</v>
      </c>
      <c r="Y847" s="50" t="s">
        <v>130</v>
      </c>
      <c r="Z847" s="91"/>
      <c r="AA847" s="59" t="str">
        <f>IF(Rentabilidad=0,"No aplica",TEXT(ROUND(Precio/Rentabilidad/12,0),0) &amp; " años")</f>
        <v>No aplica</v>
      </c>
      <c r="AB847" s="82" t="s">
        <v>5086</v>
      </c>
      <c r="AC847" s="110" t="s">
        <v>5087</v>
      </c>
      <c r="AD847" s="83" t="s">
        <v>5088</v>
      </c>
      <c r="AE847" s="63"/>
      <c r="AF847" s="45" t="s">
        <v>236</v>
      </c>
      <c r="AG847" s="65" t="s">
        <v>106</v>
      </c>
      <c r="AH847" s="63"/>
      <c r="AI847" s="65" t="s">
        <v>107</v>
      </c>
      <c r="AJ847" s="64" t="s">
        <v>4772</v>
      </c>
      <c r="AK847" s="50" t="s">
        <v>81</v>
      </c>
      <c r="AL847" s="45" t="s">
        <v>109</v>
      </c>
      <c r="AM847" s="50">
        <v>3.133523454E9</v>
      </c>
      <c r="AN847" s="64">
        <v>0.0</v>
      </c>
      <c r="AO847" s="52"/>
      <c r="AP847" s="67"/>
      <c r="AQ847" s="67"/>
      <c r="AR847" s="67"/>
      <c r="AS847" s="94">
        <v>0.0</v>
      </c>
      <c r="AT847" s="65">
        <v>0.0</v>
      </c>
      <c r="AU847" s="50">
        <v>0.0</v>
      </c>
      <c r="AV847" s="50">
        <v>0.0</v>
      </c>
      <c r="AW847" s="50" t="s">
        <v>88</v>
      </c>
      <c r="AX847" s="50">
        <v>0.0</v>
      </c>
      <c r="AY847" s="50">
        <v>0.0</v>
      </c>
      <c r="AZ847" s="50">
        <v>0.0</v>
      </c>
      <c r="BA847" s="43" t="s">
        <v>89</v>
      </c>
      <c r="BB847" s="50">
        <v>0.0</v>
      </c>
      <c r="BC847" s="95"/>
      <c r="BD847" s="71"/>
      <c r="BE847" s="71"/>
      <c r="BF847" s="72" t="s">
        <v>5089</v>
      </c>
      <c r="BG847" s="73"/>
      <c r="BH847" s="73"/>
      <c r="BI847" s="73"/>
      <c r="BJ847" s="73"/>
      <c r="BK847" s="73"/>
      <c r="BL847" s="73"/>
      <c r="BM847" s="73"/>
      <c r="BN847" s="73"/>
      <c r="BO847" s="73"/>
      <c r="BP847" s="73"/>
      <c r="BQ847" s="73"/>
      <c r="BR847" s="73"/>
      <c r="BS847" s="73"/>
      <c r="BT847" s="73"/>
      <c r="BU847" s="73"/>
      <c r="BV847" s="73"/>
      <c r="BW847" s="74"/>
      <c r="BX847" s="74"/>
      <c r="BY847" s="63"/>
      <c r="BZ847" s="63"/>
    </row>
    <row r="848" ht="15.75" customHeight="1">
      <c r="A848" s="133" t="s">
        <v>5090</v>
      </c>
      <c r="B848" s="122" t="s">
        <v>4076</v>
      </c>
      <c r="C848" s="43" t="s">
        <v>70</v>
      </c>
      <c r="D848" s="44" t="s">
        <v>459</v>
      </c>
      <c r="E848" s="77" t="s">
        <v>376</v>
      </c>
      <c r="F848" s="47">
        <v>4.7E8</v>
      </c>
      <c r="G848" s="44" t="str">
        <f t="shared" si="16"/>
        <v>$400'000.000 a $500'000.000</v>
      </c>
      <c r="H848" s="44"/>
      <c r="I848" s="44"/>
      <c r="J848" s="50" t="s">
        <v>116</v>
      </c>
      <c r="K848" s="57"/>
      <c r="L848" s="52">
        <v>4.0</v>
      </c>
      <c r="M848" s="52"/>
      <c r="N848" s="52">
        <v>3.0</v>
      </c>
      <c r="O848" s="43">
        <v>1.0</v>
      </c>
      <c r="P848" s="52">
        <v>2.0</v>
      </c>
      <c r="Q848" s="54" t="s">
        <v>5091</v>
      </c>
      <c r="R848" s="55" t="s">
        <v>5092</v>
      </c>
      <c r="S848" s="56" t="str">
        <f t="shared" si="25"/>
        <v> </v>
      </c>
      <c r="T848" s="52" t="s">
        <v>78</v>
      </c>
      <c r="U848" s="142" t="s">
        <v>142</v>
      </c>
      <c r="V848" s="43" t="s">
        <v>79</v>
      </c>
      <c r="W848" s="43"/>
      <c r="X848" s="52">
        <v>2.0</v>
      </c>
      <c r="Y848" s="94" t="s">
        <v>80</v>
      </c>
      <c r="Z848" s="58" t="s">
        <v>81</v>
      </c>
      <c r="AA848" s="59" t="str">
        <f>IF(Rentabilidad=0,"No aplica",TEXT(ROUND(Precio/Rentabilidad/12,0),0) &amp; " años")</f>
        <v>No aplica</v>
      </c>
      <c r="AB848" s="82" t="s">
        <v>5093</v>
      </c>
      <c r="AC848" s="131" t="s">
        <v>5094</v>
      </c>
      <c r="AD848" s="125" t="s">
        <v>5095</v>
      </c>
      <c r="AE848" s="63"/>
      <c r="AF848" s="45" t="s">
        <v>105</v>
      </c>
      <c r="AG848" s="65" t="s">
        <v>106</v>
      </c>
      <c r="AH848" s="65"/>
      <c r="AI848" s="65" t="s">
        <v>107</v>
      </c>
      <c r="AJ848" s="64" t="s">
        <v>5096</v>
      </c>
      <c r="AK848" s="58" t="s">
        <v>81</v>
      </c>
      <c r="AL848" s="64" t="s">
        <v>109</v>
      </c>
      <c r="AM848" s="52">
        <v>3.133523454E9</v>
      </c>
      <c r="AN848" s="64">
        <v>0.0</v>
      </c>
      <c r="AO848" s="52"/>
      <c r="AP848" s="67">
        <v>0.0</v>
      </c>
      <c r="AQ848" s="84">
        <v>2.93108859347801</v>
      </c>
      <c r="AR848" s="84">
        <v>-75.2596464618596</v>
      </c>
      <c r="AS848" s="135">
        <v>0.0</v>
      </c>
      <c r="AT848" s="44">
        <v>0.0</v>
      </c>
      <c r="AU848" s="52">
        <v>0.0</v>
      </c>
      <c r="AV848" s="52">
        <v>0.0</v>
      </c>
      <c r="AW848" s="43" t="s">
        <v>88</v>
      </c>
      <c r="AX848" s="52">
        <v>0.0</v>
      </c>
      <c r="AY848" s="52">
        <v>0.0</v>
      </c>
      <c r="AZ848" s="52">
        <v>6.0</v>
      </c>
      <c r="BA848" s="43" t="s">
        <v>89</v>
      </c>
      <c r="BB848" s="52" t="s">
        <v>5097</v>
      </c>
      <c r="BC848" s="95"/>
      <c r="BD848" s="71"/>
      <c r="BE848" s="71"/>
      <c r="BF848" s="72" t="s">
        <v>5098</v>
      </c>
      <c r="BG848" s="73"/>
      <c r="BH848" s="73"/>
      <c r="BI848" s="73"/>
      <c r="BJ848" s="73"/>
      <c r="BK848" s="73"/>
      <c r="BL848" s="73"/>
      <c r="BM848" s="73"/>
      <c r="BN848" s="73"/>
      <c r="BO848" s="73"/>
      <c r="BP848" s="73"/>
      <c r="BQ848" s="73"/>
      <c r="BR848" s="73"/>
      <c r="BS848" s="73"/>
      <c r="BT848" s="73"/>
      <c r="BU848" s="73"/>
      <c r="BV848" s="73"/>
      <c r="BW848" s="74"/>
      <c r="BX848" s="74"/>
      <c r="BY848" s="63"/>
      <c r="BZ848" s="63"/>
    </row>
    <row r="849" ht="15.75" customHeight="1">
      <c r="A849" s="75" t="s">
        <v>5099</v>
      </c>
      <c r="B849" s="50" t="s">
        <v>5100</v>
      </c>
      <c r="C849" s="111" t="s">
        <v>323</v>
      </c>
      <c r="D849" s="50" t="s">
        <v>430</v>
      </c>
      <c r="E849" s="64" t="s">
        <v>5101</v>
      </c>
      <c r="F849" s="78">
        <v>4.0E8</v>
      </c>
      <c r="G849" s="44" t="str">
        <f t="shared" si="16"/>
        <v>$400'000.000 a $500'000.000</v>
      </c>
      <c r="H849" s="44"/>
      <c r="I849" s="44"/>
      <c r="J849" s="50" t="s">
        <v>183</v>
      </c>
      <c r="K849" s="51"/>
      <c r="L849" s="50">
        <v>3.0</v>
      </c>
      <c r="M849" s="50"/>
      <c r="N849" s="50">
        <v>3.0</v>
      </c>
      <c r="O849" s="50">
        <v>1.0</v>
      </c>
      <c r="P849" s="50">
        <v>10.0</v>
      </c>
      <c r="Q849" s="79">
        <v>93.0</v>
      </c>
      <c r="R849" s="79">
        <v>102.0</v>
      </c>
      <c r="S849" s="56" t="str">
        <f t="shared" si="25"/>
        <v> </v>
      </c>
      <c r="T849" s="43" t="s">
        <v>78</v>
      </c>
      <c r="U849" s="56" t="s">
        <v>142</v>
      </c>
      <c r="V849" s="50" t="s">
        <v>4997</v>
      </c>
      <c r="W849" s="50"/>
      <c r="X849" s="50">
        <v>3.0</v>
      </c>
      <c r="Y849" s="50" t="s">
        <v>130</v>
      </c>
      <c r="Z849" s="80">
        <v>380000.0</v>
      </c>
      <c r="AA849" s="81" t="s">
        <v>81</v>
      </c>
      <c r="AB849" s="140" t="s">
        <v>5102</v>
      </c>
      <c r="AC849" s="83" t="s">
        <v>5103</v>
      </c>
      <c r="AD849" s="83" t="s">
        <v>5104</v>
      </c>
      <c r="AE849" s="63"/>
      <c r="AF849" s="64" t="s">
        <v>105</v>
      </c>
      <c r="AG849" s="65" t="s">
        <v>106</v>
      </c>
      <c r="AH849" s="65"/>
      <c r="AI849" s="65" t="s">
        <v>107</v>
      </c>
      <c r="AJ849" s="64" t="s">
        <v>5105</v>
      </c>
      <c r="AK849" s="50" t="s">
        <v>81</v>
      </c>
      <c r="AL849" s="45" t="s">
        <v>109</v>
      </c>
      <c r="AM849" s="50">
        <v>3.133523454E9</v>
      </c>
      <c r="AN849" s="64">
        <v>0.0</v>
      </c>
      <c r="AO849" s="116"/>
      <c r="AP849" s="67"/>
      <c r="AQ849" s="84">
        <v>2.95897215208831</v>
      </c>
      <c r="AR849" s="84">
        <v>-75.2870046259241</v>
      </c>
      <c r="AS849" s="85">
        <v>0.0</v>
      </c>
      <c r="AT849" s="50" t="s">
        <v>106</v>
      </c>
      <c r="AU849" s="50" t="s">
        <v>88</v>
      </c>
      <c r="AV849" s="50" t="s">
        <v>88</v>
      </c>
      <c r="AW849" s="50" t="s">
        <v>88</v>
      </c>
      <c r="AX849" s="50">
        <v>0.0</v>
      </c>
      <c r="AY849" s="50">
        <v>0.0</v>
      </c>
      <c r="AZ849" s="50">
        <v>0.0</v>
      </c>
      <c r="BA849" s="43" t="s">
        <v>89</v>
      </c>
      <c r="BB849" s="50">
        <v>0.0</v>
      </c>
      <c r="BC849" s="109"/>
      <c r="BD849" s="70"/>
      <c r="BE849" s="71"/>
      <c r="BF849" s="72" t="s">
        <v>5106</v>
      </c>
      <c r="BG849" s="73"/>
      <c r="BH849" s="73"/>
      <c r="BI849" s="73"/>
      <c r="BJ849" s="73"/>
      <c r="BK849" s="73"/>
      <c r="BL849" s="73"/>
      <c r="BM849" s="73"/>
      <c r="BN849" s="73"/>
      <c r="BO849" s="73"/>
      <c r="BP849" s="73"/>
      <c r="BQ849" s="73"/>
      <c r="BR849" s="73"/>
      <c r="BS849" s="73"/>
      <c r="BT849" s="73"/>
      <c r="BU849" s="73"/>
      <c r="BV849" s="73"/>
      <c r="BW849" s="74"/>
      <c r="BX849" s="74"/>
      <c r="BY849" s="63"/>
      <c r="BZ849" s="63"/>
    </row>
    <row r="850" ht="15.75" customHeight="1">
      <c r="A850" s="347" t="s">
        <v>5107</v>
      </c>
      <c r="B850" s="111" t="s">
        <v>5108</v>
      </c>
      <c r="C850" s="111" t="s">
        <v>323</v>
      </c>
      <c r="D850" s="111" t="s">
        <v>459</v>
      </c>
      <c r="E850" s="217" t="s">
        <v>5109</v>
      </c>
      <c r="F850" s="78">
        <v>8.6E8</v>
      </c>
      <c r="G850" s="44" t="str">
        <f t="shared" si="16"/>
        <v>$500'000.000 a $1.000'000.000</v>
      </c>
      <c r="H850" s="44"/>
      <c r="I850" s="44"/>
      <c r="J850" s="111" t="s">
        <v>116</v>
      </c>
      <c r="K850" s="187" t="s">
        <v>192</v>
      </c>
      <c r="L850" s="111">
        <v>3.0</v>
      </c>
      <c r="M850" s="111"/>
      <c r="N850" s="111">
        <v>4.0</v>
      </c>
      <c r="O850" s="111">
        <v>2.0</v>
      </c>
      <c r="P850" s="111">
        <v>1.0</v>
      </c>
      <c r="Q850" s="79">
        <v>175.0</v>
      </c>
      <c r="R850" s="79"/>
      <c r="S850" s="56" t="str">
        <f t="shared" si="25"/>
        <v> </v>
      </c>
      <c r="T850" s="111" t="s">
        <v>78</v>
      </c>
      <c r="U850" s="206"/>
      <c r="V850" s="209"/>
      <c r="W850" s="209"/>
      <c r="X850" s="111">
        <v>3.0</v>
      </c>
      <c r="Y850" s="43" t="s">
        <v>130</v>
      </c>
      <c r="Z850" s="58"/>
      <c r="AA850" s="59" t="str">
        <f>IF(Rentabilidad=0,"No aplica",TEXT(ROUND(Precio/Rentabilidad/12,0),0) &amp; " años")</f>
        <v>No aplica</v>
      </c>
      <c r="AB850" s="207" t="s">
        <v>5110</v>
      </c>
      <c r="AC850" s="97" t="s">
        <v>5111</v>
      </c>
      <c r="AD850" s="97" t="s">
        <v>5112</v>
      </c>
      <c r="AE850" s="209"/>
      <c r="AF850" s="45" t="s">
        <v>105</v>
      </c>
      <c r="AG850" s="111" t="s">
        <v>106</v>
      </c>
      <c r="AH850" s="209"/>
      <c r="AI850" s="65" t="s">
        <v>107</v>
      </c>
      <c r="AJ850" s="64" t="s">
        <v>5113</v>
      </c>
      <c r="AK850" s="50" t="s">
        <v>81</v>
      </c>
      <c r="AL850" s="45" t="s">
        <v>109</v>
      </c>
      <c r="AM850" s="50">
        <v>3.133523454E9</v>
      </c>
      <c r="AN850" s="64">
        <v>0.0</v>
      </c>
      <c r="AO850" s="52"/>
      <c r="AP850" s="67"/>
      <c r="AQ850" s="84">
        <v>2.93853667319785</v>
      </c>
      <c r="AR850" s="84">
        <v>-75.2454783053431</v>
      </c>
      <c r="AS850" s="94">
        <v>0.0</v>
      </c>
      <c r="AT850" s="65" t="s">
        <v>106</v>
      </c>
      <c r="AU850" s="50" t="s">
        <v>106</v>
      </c>
      <c r="AV850" s="50" t="s">
        <v>106</v>
      </c>
      <c r="AW850" s="50" t="s">
        <v>88</v>
      </c>
      <c r="AX850" s="50">
        <v>0.0</v>
      </c>
      <c r="AY850" s="50">
        <v>0.0</v>
      </c>
      <c r="AZ850" s="50">
        <v>0.0</v>
      </c>
      <c r="BA850" s="43" t="s">
        <v>89</v>
      </c>
      <c r="BB850" s="50">
        <v>0.0</v>
      </c>
      <c r="BC850" s="69" t="s">
        <v>1909</v>
      </c>
      <c r="BD850" s="70"/>
      <c r="BE850" s="71"/>
      <c r="BF850" s="72" t="s">
        <v>5114</v>
      </c>
      <c r="BG850" s="73"/>
      <c r="BH850" s="73"/>
      <c r="BI850" s="73"/>
      <c r="BJ850" s="73"/>
      <c r="BK850" s="73"/>
      <c r="BL850" s="73"/>
      <c r="BM850" s="73"/>
      <c r="BN850" s="73"/>
      <c r="BO850" s="73"/>
      <c r="BP850" s="73"/>
      <c r="BQ850" s="73"/>
      <c r="BR850" s="73"/>
      <c r="BS850" s="73"/>
      <c r="BT850" s="73"/>
      <c r="BU850" s="73"/>
      <c r="BV850" s="73"/>
      <c r="BW850" s="74"/>
      <c r="BX850" s="74"/>
      <c r="BY850" s="63"/>
      <c r="BZ850" s="63"/>
    </row>
    <row r="851" ht="15.75" customHeight="1">
      <c r="A851" s="75" t="s">
        <v>5115</v>
      </c>
      <c r="B851" s="50" t="s">
        <v>3347</v>
      </c>
      <c r="C851" s="50" t="s">
        <v>70</v>
      </c>
      <c r="D851" s="50" t="s">
        <v>72</v>
      </c>
      <c r="E851" s="77"/>
      <c r="F851" s="78">
        <v>7.0E8</v>
      </c>
      <c r="G851" s="44" t="str">
        <f t="shared" si="16"/>
        <v>$500'000.000 a $1.000'000.000</v>
      </c>
      <c r="H851" s="44"/>
      <c r="I851" s="44"/>
      <c r="J851" s="50" t="s">
        <v>183</v>
      </c>
      <c r="K851" s="51" t="s">
        <v>77</v>
      </c>
      <c r="L851" s="50">
        <v>7.0</v>
      </c>
      <c r="M851" s="50"/>
      <c r="N851" s="50">
        <v>4.0</v>
      </c>
      <c r="O851" s="50">
        <v>1.0</v>
      </c>
      <c r="P851" s="50">
        <v>2.0</v>
      </c>
      <c r="Q851" s="88">
        <v>171.98</v>
      </c>
      <c r="R851" s="88">
        <v>100.0</v>
      </c>
      <c r="S851" s="56" t="str">
        <f t="shared" si="25"/>
        <v>Rentabilidad $1,200,000</v>
      </c>
      <c r="T851" s="50" t="s">
        <v>78</v>
      </c>
      <c r="U851" s="51" t="s">
        <v>77</v>
      </c>
      <c r="V851" s="50" t="s">
        <v>118</v>
      </c>
      <c r="W851" s="50"/>
      <c r="X851" s="50">
        <v>3.0</v>
      </c>
      <c r="Y851" s="43" t="s">
        <v>80</v>
      </c>
      <c r="Z851" s="58" t="s">
        <v>81</v>
      </c>
      <c r="AA851" s="81"/>
      <c r="AB851" s="123"/>
      <c r="AC851" s="124"/>
      <c r="AD851" s="125"/>
      <c r="AE851" s="63"/>
      <c r="AF851" s="64" t="s">
        <v>105</v>
      </c>
      <c r="AG851" s="65"/>
      <c r="AH851" s="65" t="s">
        <v>45</v>
      </c>
      <c r="AI851" s="65"/>
      <c r="AJ851" s="64" t="s">
        <v>5116</v>
      </c>
      <c r="AK851" s="50"/>
      <c r="AL851" s="45"/>
      <c r="AM851" s="43">
        <v>3.1763657E9</v>
      </c>
      <c r="AN851" s="64" t="s">
        <v>5117</v>
      </c>
      <c r="AO851" s="43"/>
      <c r="AP851" s="84" t="s">
        <v>5118</v>
      </c>
      <c r="AQ851" s="84"/>
      <c r="AR851" s="84"/>
      <c r="AS851" s="85">
        <v>1200000.0</v>
      </c>
      <c r="AT851" s="50">
        <v>0.0</v>
      </c>
      <c r="AU851" s="50">
        <v>0.0</v>
      </c>
      <c r="AV851" s="50">
        <v>0.0</v>
      </c>
      <c r="AW851" s="50" t="s">
        <v>106</v>
      </c>
      <c r="AX851" s="50"/>
      <c r="AY851" s="50" t="s">
        <v>137</v>
      </c>
      <c r="AZ851" s="44"/>
      <c r="BA851" s="43" t="s">
        <v>89</v>
      </c>
      <c r="BB851" s="44"/>
      <c r="BC851" s="69" t="s">
        <v>3576</v>
      </c>
      <c r="BD851" s="70"/>
      <c r="BE851" s="71"/>
      <c r="BF851" s="130"/>
      <c r="BG851" s="73"/>
      <c r="BH851" s="73"/>
      <c r="BI851" s="73"/>
      <c r="BJ851" s="73"/>
      <c r="BK851" s="73"/>
      <c r="BL851" s="73"/>
      <c r="BM851" s="73"/>
      <c r="BN851" s="73"/>
      <c r="BO851" s="73"/>
      <c r="BP851" s="73"/>
      <c r="BQ851" s="73"/>
      <c r="BR851" s="73"/>
      <c r="BS851" s="73"/>
      <c r="BT851" s="73"/>
      <c r="BU851" s="73"/>
      <c r="BV851" s="73"/>
      <c r="BW851" s="74"/>
      <c r="BX851" s="74"/>
      <c r="BY851" s="63"/>
      <c r="BZ851" s="63"/>
    </row>
    <row r="852" ht="15.75" customHeight="1">
      <c r="A852" s="75" t="s">
        <v>5119</v>
      </c>
      <c r="B852" s="50" t="s">
        <v>436</v>
      </c>
      <c r="C852" s="50" t="s">
        <v>70</v>
      </c>
      <c r="D852" s="50" t="s">
        <v>11</v>
      </c>
      <c r="E852" s="77"/>
      <c r="F852" s="78">
        <v>5.5E8</v>
      </c>
      <c r="G852" s="44" t="str">
        <f t="shared" si="16"/>
        <v>$500'000.000 a $1.000'000.000</v>
      </c>
      <c r="H852" s="44"/>
      <c r="I852" s="44"/>
      <c r="J852" s="50" t="s">
        <v>183</v>
      </c>
      <c r="K852" s="51" t="s">
        <v>184</v>
      </c>
      <c r="L852" s="50">
        <v>3.0</v>
      </c>
      <c r="M852" s="50"/>
      <c r="N852" s="50">
        <v>2.0</v>
      </c>
      <c r="O852" s="50">
        <v>1.0</v>
      </c>
      <c r="P852" s="50">
        <v>1.0</v>
      </c>
      <c r="Q852" s="88">
        <v>281.0</v>
      </c>
      <c r="R852" s="88">
        <v>315.0</v>
      </c>
      <c r="S852" s="56" t="str">
        <f t="shared" si="25"/>
        <v> </v>
      </c>
      <c r="T852" s="50" t="s">
        <v>78</v>
      </c>
      <c r="U852" s="51" t="s">
        <v>184</v>
      </c>
      <c r="V852" s="50" t="s">
        <v>79</v>
      </c>
      <c r="W852" s="50"/>
      <c r="X852" s="50">
        <v>0.0</v>
      </c>
      <c r="Y852" s="43" t="s">
        <v>80</v>
      </c>
      <c r="Z852" s="58" t="s">
        <v>81</v>
      </c>
      <c r="AA852" s="59" t="str">
        <f>IF(Rentabilidad=0,"No aplica",TEXT(ROUND(Precio/Rentabilidad/12,0),0) &amp; " años")</f>
        <v>No aplica</v>
      </c>
      <c r="AB852" s="123"/>
      <c r="AC852" s="124"/>
      <c r="AD852" s="125"/>
      <c r="AE852" s="63"/>
      <c r="AF852" s="64" t="s">
        <v>105</v>
      </c>
      <c r="AG852" s="65"/>
      <c r="AH852" s="65" t="s">
        <v>45</v>
      </c>
      <c r="AI852" s="65"/>
      <c r="AJ852" s="64" t="s">
        <v>5116</v>
      </c>
      <c r="AK852" s="50" t="s">
        <v>81</v>
      </c>
      <c r="AL852" s="45"/>
      <c r="AM852" s="43">
        <v>3.1853181E9</v>
      </c>
      <c r="AN852" s="64">
        <v>3.1763657E9</v>
      </c>
      <c r="AO852" s="43"/>
      <c r="AP852" s="84" t="s">
        <v>5120</v>
      </c>
      <c r="AQ852" s="84"/>
      <c r="AR852" s="84"/>
      <c r="AS852" s="85"/>
      <c r="AT852" s="50">
        <v>0.0</v>
      </c>
      <c r="AU852" s="50">
        <v>0.0</v>
      </c>
      <c r="AV852" s="50">
        <v>0.0</v>
      </c>
      <c r="AW852" s="50" t="s">
        <v>106</v>
      </c>
      <c r="AX852" s="50">
        <v>0.0</v>
      </c>
      <c r="AY852" s="50" t="s">
        <v>110</v>
      </c>
      <c r="AZ852" s="44"/>
      <c r="BA852" s="43" t="s">
        <v>89</v>
      </c>
      <c r="BB852" s="44"/>
      <c r="BC852" s="95" t="s">
        <v>5121</v>
      </c>
      <c r="BD852" s="71"/>
      <c r="BE852" s="71"/>
      <c r="BF852" s="72"/>
      <c r="BG852" s="73"/>
      <c r="BH852" s="73"/>
      <c r="BI852" s="73"/>
      <c r="BJ852" s="73"/>
      <c r="BK852" s="73"/>
      <c r="BL852" s="73"/>
      <c r="BM852" s="73"/>
      <c r="BN852" s="73"/>
      <c r="BO852" s="73"/>
      <c r="BP852" s="73"/>
      <c r="BQ852" s="73"/>
      <c r="BR852" s="73"/>
      <c r="BS852" s="73"/>
      <c r="BT852" s="73"/>
      <c r="BU852" s="73"/>
      <c r="BV852" s="73"/>
      <c r="BW852" s="74"/>
      <c r="BX852" s="74"/>
      <c r="BY852" s="63"/>
      <c r="BZ852" s="63"/>
    </row>
    <row r="853" ht="15.75" customHeight="1">
      <c r="A853" s="133" t="s">
        <v>5122</v>
      </c>
      <c r="B853" s="50" t="s">
        <v>395</v>
      </c>
      <c r="C853" s="50" t="s">
        <v>70</v>
      </c>
      <c r="D853" s="50" t="s">
        <v>72</v>
      </c>
      <c r="E853" s="77"/>
      <c r="F853" s="78">
        <v>3.8E8</v>
      </c>
      <c r="G853" s="44" t="str">
        <f t="shared" si="16"/>
        <v>$300'000.000 a $400'000.000</v>
      </c>
      <c r="H853" s="44"/>
      <c r="I853" s="44"/>
      <c r="J853" s="50" t="s">
        <v>183</v>
      </c>
      <c r="K853" s="51" t="s">
        <v>184</v>
      </c>
      <c r="L853" s="43">
        <v>4.0</v>
      </c>
      <c r="M853" s="43"/>
      <c r="N853" s="43">
        <v>2.0</v>
      </c>
      <c r="O853" s="43">
        <v>1.0</v>
      </c>
      <c r="P853" s="43">
        <v>2.0</v>
      </c>
      <c r="Q853" s="54"/>
      <c r="R853" s="55">
        <v>90.0</v>
      </c>
      <c r="S853" s="56" t="str">
        <f t="shared" si="25"/>
        <v> </v>
      </c>
      <c r="T853" s="43" t="s">
        <v>78</v>
      </c>
      <c r="U853" s="56" t="s">
        <v>77</v>
      </c>
      <c r="V853" s="43" t="s">
        <v>79</v>
      </c>
      <c r="W853" s="43"/>
      <c r="X853" s="43">
        <v>3.0</v>
      </c>
      <c r="Y853" s="43" t="s">
        <v>80</v>
      </c>
      <c r="Z853" s="58" t="s">
        <v>81</v>
      </c>
      <c r="AA853" s="59" t="str">
        <f>IF(Rentabilidad=0,"No aplica",TEXT(ROUND(Precio/Rentabilidad/12,0),0) &amp; " años")</f>
        <v>No aplica</v>
      </c>
      <c r="AB853" s="60"/>
      <c r="AC853" s="131"/>
      <c r="AD853" s="62"/>
      <c r="AE853" s="63"/>
      <c r="AF853" s="64" t="s">
        <v>105</v>
      </c>
      <c r="AG853" s="63"/>
      <c r="AH853" s="65" t="s">
        <v>45</v>
      </c>
      <c r="AI853" s="63"/>
      <c r="AJ853" s="64" t="s">
        <v>5116</v>
      </c>
      <c r="AK853" s="50" t="s">
        <v>81</v>
      </c>
      <c r="AL853" s="45"/>
      <c r="AM853" s="43">
        <v>3.1853181E9</v>
      </c>
      <c r="AN853" s="64">
        <v>3.1763657E9</v>
      </c>
      <c r="AO853" s="52"/>
      <c r="AP853" s="348" t="s">
        <v>5123</v>
      </c>
      <c r="AQ853" s="348"/>
      <c r="AR853" s="348"/>
      <c r="AS853" s="135"/>
      <c r="AT853" s="43">
        <v>0.0</v>
      </c>
      <c r="AU853" s="43">
        <v>0.0</v>
      </c>
      <c r="AV853" s="43">
        <v>0.0</v>
      </c>
      <c r="AW853" s="43" t="s">
        <v>106</v>
      </c>
      <c r="AX853" s="43">
        <v>0.0</v>
      </c>
      <c r="AY853" s="43" t="s">
        <v>137</v>
      </c>
      <c r="AZ853" s="44"/>
      <c r="BA853" s="43" t="s">
        <v>89</v>
      </c>
      <c r="BB853" s="44"/>
      <c r="BC853" s="95" t="s">
        <v>5124</v>
      </c>
      <c r="BD853" s="71"/>
      <c r="BE853" s="71"/>
      <c r="BF853" s="72"/>
      <c r="BG853" s="73"/>
      <c r="BH853" s="73"/>
      <c r="BI853" s="73"/>
      <c r="BJ853" s="73"/>
      <c r="BK853" s="73"/>
      <c r="BL853" s="73"/>
      <c r="BM853" s="73"/>
      <c r="BN853" s="73"/>
      <c r="BO853" s="73"/>
      <c r="BP853" s="73"/>
      <c r="BQ853" s="73"/>
      <c r="BR853" s="73"/>
      <c r="BS853" s="73"/>
      <c r="BT853" s="73"/>
      <c r="BU853" s="73"/>
      <c r="BV853" s="73"/>
      <c r="BW853" s="74"/>
      <c r="BX853" s="74"/>
      <c r="BY853" s="63"/>
      <c r="BZ853" s="63"/>
    </row>
    <row r="854" ht="15.75" customHeight="1">
      <c r="A854" s="120" t="s">
        <v>5125</v>
      </c>
      <c r="B854" s="50" t="s">
        <v>2914</v>
      </c>
      <c r="C854" s="50" t="s">
        <v>271</v>
      </c>
      <c r="D854" s="52" t="s">
        <v>131</v>
      </c>
      <c r="E854" s="77" t="s">
        <v>376</v>
      </c>
      <c r="F854" s="47">
        <v>2.8E8</v>
      </c>
      <c r="G854" s="44" t="str">
        <f t="shared" si="16"/>
        <v>$200'000.000 a $300'000.000</v>
      </c>
      <c r="H854" s="44"/>
      <c r="I854" s="44"/>
      <c r="J854" s="43" t="s">
        <v>183</v>
      </c>
      <c r="K854" s="142"/>
      <c r="L854" s="52">
        <v>5.0</v>
      </c>
      <c r="M854" s="52"/>
      <c r="N854" s="52">
        <v>3.0</v>
      </c>
      <c r="O854" s="43">
        <v>1.0</v>
      </c>
      <c r="P854" s="52">
        <v>2.0</v>
      </c>
      <c r="Q854" s="54"/>
      <c r="R854" s="55">
        <v>140.0</v>
      </c>
      <c r="S854" s="56" t="str">
        <f t="shared" si="25"/>
        <v>Rentabilidad $1,200,000</v>
      </c>
      <c r="T854" s="52" t="s">
        <v>78</v>
      </c>
      <c r="U854" s="142" t="s">
        <v>184</v>
      </c>
      <c r="V854" s="43" t="s">
        <v>79</v>
      </c>
      <c r="W854" s="43"/>
      <c r="X854" s="52">
        <v>4.0</v>
      </c>
      <c r="Y854" s="43" t="s">
        <v>80</v>
      </c>
      <c r="Z854" s="80" t="s">
        <v>81</v>
      </c>
      <c r="AA854" s="59" t="str">
        <f>IF(Rentabilidad=0,"No aplica",TEXT(ROUND(Precio/Rentabilidad/12,0),0) &amp; " años")</f>
        <v>19 años</v>
      </c>
      <c r="AB854" s="134" t="s">
        <v>5126</v>
      </c>
      <c r="AC854" s="61"/>
      <c r="AD854" s="62"/>
      <c r="AE854" s="63"/>
      <c r="AF854" s="64" t="s">
        <v>236</v>
      </c>
      <c r="AG854" s="63"/>
      <c r="AH854" s="65" t="s">
        <v>45</v>
      </c>
      <c r="AI854" s="63"/>
      <c r="AJ854" s="64" t="s">
        <v>5116</v>
      </c>
      <c r="AK854" s="44"/>
      <c r="AL854" s="45" t="s">
        <v>109</v>
      </c>
      <c r="AM854" s="52" t="s">
        <v>5127</v>
      </c>
      <c r="AN854" s="45">
        <v>3.174381754E9</v>
      </c>
      <c r="AO854" s="52" t="s">
        <v>5128</v>
      </c>
      <c r="AP854" s="67" t="s">
        <v>5129</v>
      </c>
      <c r="AQ854" s="67"/>
      <c r="AR854" s="67"/>
      <c r="AS854" s="135">
        <v>1200000.0</v>
      </c>
      <c r="AT854" s="44">
        <v>0.0</v>
      </c>
      <c r="AU854" s="52">
        <v>0.0</v>
      </c>
      <c r="AV854" s="52">
        <v>0.0</v>
      </c>
      <c r="AW854" s="52" t="s">
        <v>106</v>
      </c>
      <c r="AX854" s="52">
        <v>0.0</v>
      </c>
      <c r="AY854" s="52">
        <v>0.0</v>
      </c>
      <c r="AZ854" s="52">
        <v>0.0</v>
      </c>
      <c r="BA854" s="43" t="s">
        <v>89</v>
      </c>
      <c r="BB854" s="52">
        <v>0.0</v>
      </c>
      <c r="BC854" s="95" t="s">
        <v>455</v>
      </c>
      <c r="BD854" s="71"/>
      <c r="BE854" s="71"/>
      <c r="BF854" s="72" t="s">
        <v>5130</v>
      </c>
      <c r="BG854" s="73"/>
      <c r="BH854" s="73"/>
      <c r="BI854" s="73"/>
      <c r="BJ854" s="73"/>
      <c r="BK854" s="73"/>
      <c r="BL854" s="73"/>
      <c r="BM854" s="73"/>
      <c r="BN854" s="73"/>
      <c r="BO854" s="73"/>
      <c r="BP854" s="73"/>
      <c r="BQ854" s="73"/>
      <c r="BR854" s="73"/>
      <c r="BS854" s="73"/>
      <c r="BT854" s="73"/>
      <c r="BU854" s="73"/>
      <c r="BV854" s="73"/>
      <c r="BW854" s="74"/>
      <c r="BX854" s="74"/>
      <c r="BY854" s="63"/>
      <c r="BZ854" s="63"/>
    </row>
    <row r="855" ht="15.75" customHeight="1">
      <c r="A855" s="133" t="s">
        <v>5131</v>
      </c>
      <c r="B855" s="43" t="s">
        <v>69</v>
      </c>
      <c r="C855" s="43" t="s">
        <v>70</v>
      </c>
      <c r="D855" s="43" t="s">
        <v>71</v>
      </c>
      <c r="E855" s="45"/>
      <c r="F855" s="78">
        <v>0.0</v>
      </c>
      <c r="G855" s="44" t="str">
        <f t="shared" si="16"/>
        <v>$0 a $100'000.000</v>
      </c>
      <c r="H855" s="44"/>
      <c r="I855" s="44"/>
      <c r="J855" s="43" t="s">
        <v>76</v>
      </c>
      <c r="K855" s="56" t="s">
        <v>142</v>
      </c>
      <c r="L855" s="52"/>
      <c r="M855" s="52"/>
      <c r="N855" s="52"/>
      <c r="O855" s="52"/>
      <c r="P855" s="52"/>
      <c r="Q855" s="89">
        <v>0.0</v>
      </c>
      <c r="R855" s="88">
        <v>0.0</v>
      </c>
      <c r="S855" s="56" t="str">
        <f t="shared" si="25"/>
        <v> </v>
      </c>
      <c r="T855" s="43" t="s">
        <v>78</v>
      </c>
      <c r="U855" s="142"/>
      <c r="V855" s="52"/>
      <c r="W855" s="52"/>
      <c r="X855" s="52"/>
      <c r="Y855" s="43"/>
      <c r="Z855" s="58"/>
      <c r="AA855" s="59" t="str">
        <f>IF(Rentabilidad=0,"No aplica",TEXT(ROUND(Precio/Rentabilidad/12,0),0) &amp; " años")</f>
        <v>No aplica</v>
      </c>
      <c r="AB855" s="60"/>
      <c r="AC855" s="61"/>
      <c r="AD855" s="62"/>
      <c r="AE855" s="63"/>
      <c r="AF855" s="45"/>
      <c r="AG855" s="63"/>
      <c r="AH855" s="65" t="s">
        <v>45</v>
      </c>
      <c r="AI855" s="63"/>
      <c r="AJ855" s="64" t="s">
        <v>5132</v>
      </c>
      <c r="AK855" s="44"/>
      <c r="AL855" s="45"/>
      <c r="AM855" s="43">
        <v>3.114579876E9</v>
      </c>
      <c r="AN855" s="45"/>
      <c r="AO855" s="52"/>
      <c r="AP855" s="84" t="s">
        <v>5133</v>
      </c>
      <c r="AQ855" s="84"/>
      <c r="AR855" s="84"/>
      <c r="AS855" s="135"/>
      <c r="AT855" s="52"/>
      <c r="AU855" s="52"/>
      <c r="AV855" s="52"/>
      <c r="AW855" s="52"/>
      <c r="AX855" s="52"/>
      <c r="AY855" s="52"/>
      <c r="AZ855" s="52"/>
      <c r="BA855" s="43" t="s">
        <v>89</v>
      </c>
      <c r="BB855" s="52"/>
      <c r="BC855" s="69"/>
      <c r="BD855" s="70"/>
      <c r="BE855" s="71"/>
      <c r="BF855" s="72"/>
      <c r="BG855" s="73"/>
      <c r="BH855" s="73"/>
      <c r="BI855" s="73"/>
      <c r="BJ855" s="73"/>
      <c r="BK855" s="73"/>
      <c r="BL855" s="73"/>
      <c r="BM855" s="73"/>
      <c r="BN855" s="73"/>
      <c r="BO855" s="73"/>
      <c r="BP855" s="73"/>
      <c r="BQ855" s="73"/>
      <c r="BR855" s="73"/>
      <c r="BS855" s="73"/>
      <c r="BT855" s="73"/>
      <c r="BU855" s="73"/>
      <c r="BV855" s="73"/>
      <c r="BW855" s="74"/>
      <c r="BX855" s="74"/>
      <c r="BY855" s="63"/>
      <c r="BZ855" s="63"/>
    </row>
    <row r="856" ht="15.75" customHeight="1">
      <c r="A856" s="75" t="s">
        <v>5134</v>
      </c>
      <c r="B856" s="50" t="s">
        <v>5135</v>
      </c>
      <c r="C856" s="50" t="s">
        <v>773</v>
      </c>
      <c r="D856" s="43" t="s">
        <v>5136</v>
      </c>
      <c r="E856" s="45"/>
      <c r="F856" s="78">
        <v>2.2E9</v>
      </c>
      <c r="G856" s="44" t="str">
        <f t="shared" si="16"/>
        <v>Más de $1.000'000.000</v>
      </c>
      <c r="H856" s="44"/>
      <c r="I856" s="44"/>
      <c r="J856" s="50" t="s">
        <v>94</v>
      </c>
      <c r="K856" s="51" t="s">
        <v>117</v>
      </c>
      <c r="L856" s="50">
        <v>0.0</v>
      </c>
      <c r="M856" s="50"/>
      <c r="N856" s="50">
        <v>1.0</v>
      </c>
      <c r="O856" s="50">
        <v>8.0</v>
      </c>
      <c r="P856" s="50">
        <v>1.0</v>
      </c>
      <c r="Q856" s="79">
        <v>1200.0</v>
      </c>
      <c r="R856" s="79">
        <v>1200.0</v>
      </c>
      <c r="S856" s="56" t="str">
        <f t="shared" si="25"/>
        <v>Rentabilidad $15,000,000</v>
      </c>
      <c r="T856" s="43" t="s">
        <v>78</v>
      </c>
      <c r="U856" s="51" t="s">
        <v>192</v>
      </c>
      <c r="V856" s="50" t="s">
        <v>118</v>
      </c>
      <c r="W856" s="50"/>
      <c r="X856" s="50">
        <v>0.0</v>
      </c>
      <c r="Y856" s="43" t="s">
        <v>80</v>
      </c>
      <c r="Z856" s="80" t="s">
        <v>81</v>
      </c>
      <c r="AA856" s="59" t="str">
        <f>IF(Rentabilidad=0,"No aplica",TEXT(ROUND(Precio/Rentabilidad/12,0),0) &amp; " años")</f>
        <v>12 años</v>
      </c>
      <c r="AB856" s="180" t="s">
        <v>5137</v>
      </c>
      <c r="AC856" s="124" t="s">
        <v>5138</v>
      </c>
      <c r="AD856" s="62"/>
      <c r="AE856" s="63"/>
      <c r="AF856" s="64" t="s">
        <v>84</v>
      </c>
      <c r="AG856" s="65" t="s">
        <v>106</v>
      </c>
      <c r="AH856" s="65"/>
      <c r="AI856" s="65" t="s">
        <v>107</v>
      </c>
      <c r="AJ856" s="64" t="s">
        <v>5139</v>
      </c>
      <c r="AK856" s="58" t="s">
        <v>81</v>
      </c>
      <c r="AL856" s="45" t="s">
        <v>109</v>
      </c>
      <c r="AM856" s="43">
        <v>3.105641885E9</v>
      </c>
      <c r="AN856" s="64">
        <v>3.20361228E9</v>
      </c>
      <c r="AO856" s="52"/>
      <c r="AP856" s="67"/>
      <c r="AQ856" s="67"/>
      <c r="AR856" s="67"/>
      <c r="AS856" s="85">
        <v>1.5E7</v>
      </c>
      <c r="AT856" s="65">
        <v>0.0</v>
      </c>
      <c r="AU856" s="50">
        <v>0.0</v>
      </c>
      <c r="AV856" s="50">
        <v>0.0</v>
      </c>
      <c r="AW856" s="50" t="s">
        <v>106</v>
      </c>
      <c r="AX856" s="44"/>
      <c r="AY856" s="44"/>
      <c r="AZ856" s="44"/>
      <c r="BA856" s="43" t="s">
        <v>89</v>
      </c>
      <c r="BB856" s="44"/>
      <c r="BC856" s="109"/>
      <c r="BD856" s="70"/>
      <c r="BE856" s="71"/>
      <c r="BF856" s="72" t="s">
        <v>5140</v>
      </c>
      <c r="BG856" s="73"/>
      <c r="BH856" s="73"/>
      <c r="BI856" s="73"/>
      <c r="BJ856" s="73"/>
      <c r="BK856" s="73"/>
      <c r="BL856" s="73"/>
      <c r="BM856" s="73"/>
      <c r="BN856" s="73"/>
      <c r="BO856" s="73"/>
      <c r="BP856" s="73"/>
      <c r="BQ856" s="73"/>
      <c r="BR856" s="73"/>
      <c r="BS856" s="73"/>
      <c r="BT856" s="73"/>
      <c r="BU856" s="73"/>
      <c r="BV856" s="73"/>
      <c r="BW856" s="74"/>
      <c r="BX856" s="74"/>
      <c r="BY856" s="63"/>
      <c r="BZ856" s="63"/>
    </row>
    <row r="857" ht="15.75" customHeight="1">
      <c r="A857" s="75" t="s">
        <v>5141</v>
      </c>
      <c r="B857" s="50" t="s">
        <v>5142</v>
      </c>
      <c r="C857" s="50" t="s">
        <v>114</v>
      </c>
      <c r="D857" s="50" t="s">
        <v>5143</v>
      </c>
      <c r="E857" s="77" t="s">
        <v>5144</v>
      </c>
      <c r="F857" s="78">
        <v>1.9E9</v>
      </c>
      <c r="G857" s="44" t="str">
        <f t="shared" si="16"/>
        <v>Más de $1.000'000.000</v>
      </c>
      <c r="H857" s="44"/>
      <c r="I857" s="44"/>
      <c r="J857" s="50" t="s">
        <v>116</v>
      </c>
      <c r="K857" s="51" t="s">
        <v>461</v>
      </c>
      <c r="L857" s="50">
        <v>4.0</v>
      </c>
      <c r="M857" s="50"/>
      <c r="N857" s="50">
        <v>5.0</v>
      </c>
      <c r="O857" s="50">
        <v>3.0</v>
      </c>
      <c r="P857" s="50">
        <v>1.0</v>
      </c>
      <c r="Q857" s="88">
        <v>300.0</v>
      </c>
      <c r="R857" s="88">
        <v>600.0</v>
      </c>
      <c r="S857" s="56" t="str">
        <f t="shared" si="25"/>
        <v> </v>
      </c>
      <c r="T857" s="50" t="s">
        <v>78</v>
      </c>
      <c r="U857" s="51"/>
      <c r="V857" s="50"/>
      <c r="W857" s="50"/>
      <c r="X857" s="50">
        <v>4.0</v>
      </c>
      <c r="Y857" s="43" t="s">
        <v>97</v>
      </c>
      <c r="Z857" s="58"/>
      <c r="AA857" s="59" t="str">
        <f>IF(Rentabilidad=0,"No aplica",TEXT(ROUND(Precio/Rentabilidad/12,0),0) &amp; " años")</f>
        <v>No aplica</v>
      </c>
      <c r="AB857" s="115" t="s">
        <v>5145</v>
      </c>
      <c r="AC857" s="132" t="s">
        <v>5146</v>
      </c>
      <c r="AD857" s="107" t="s">
        <v>5147</v>
      </c>
      <c r="AE857" s="63"/>
      <c r="AF857" s="64" t="s">
        <v>105</v>
      </c>
      <c r="AG857" s="65" t="s">
        <v>106</v>
      </c>
      <c r="AH857" s="65"/>
      <c r="AI857" s="65" t="s">
        <v>107</v>
      </c>
      <c r="AJ857" s="64" t="s">
        <v>5139</v>
      </c>
      <c r="AK857" s="58" t="s">
        <v>81</v>
      </c>
      <c r="AL857" s="45" t="s">
        <v>109</v>
      </c>
      <c r="AM857" s="43">
        <v>3.105641885E9</v>
      </c>
      <c r="AN857" s="64">
        <v>3.20361228E9</v>
      </c>
      <c r="AO857" s="52"/>
      <c r="AP857" s="67"/>
      <c r="AQ857" s="84">
        <v>2.93445229215501</v>
      </c>
      <c r="AR857" s="84">
        <v>-75.2215705685794</v>
      </c>
      <c r="AS857" s="94">
        <v>0.0</v>
      </c>
      <c r="AT857" s="50" t="s">
        <v>88</v>
      </c>
      <c r="AU857" s="43">
        <v>0.0</v>
      </c>
      <c r="AV857" s="43">
        <v>0.0</v>
      </c>
      <c r="AW857" s="43" t="s">
        <v>88</v>
      </c>
      <c r="AX857" s="43">
        <v>15.0</v>
      </c>
      <c r="AY857" s="43" t="s">
        <v>106</v>
      </c>
      <c r="AZ857" s="43">
        <v>0.0</v>
      </c>
      <c r="BA857" s="43" t="s">
        <v>89</v>
      </c>
      <c r="BB857" s="43">
        <v>0.0</v>
      </c>
      <c r="BC857" s="69" t="s">
        <v>5148</v>
      </c>
      <c r="BD857" s="70"/>
      <c r="BE857" s="71"/>
      <c r="BF857" s="72" t="s">
        <v>5149</v>
      </c>
      <c r="BG857" s="73"/>
      <c r="BH857" s="73"/>
      <c r="BI857" s="73"/>
      <c r="BJ857" s="73"/>
      <c r="BK857" s="73"/>
      <c r="BL857" s="73"/>
      <c r="BM857" s="73"/>
      <c r="BN857" s="73"/>
      <c r="BO857" s="73"/>
      <c r="BP857" s="73"/>
      <c r="BQ857" s="73"/>
      <c r="BR857" s="73"/>
      <c r="BS857" s="73"/>
      <c r="BT857" s="73"/>
      <c r="BU857" s="73"/>
      <c r="BV857" s="73"/>
      <c r="BW857" s="74"/>
      <c r="BX857" s="74"/>
      <c r="BY857" s="63"/>
      <c r="BZ857" s="63"/>
    </row>
    <row r="858" ht="15.75" customHeight="1">
      <c r="A858" s="75" t="s">
        <v>5150</v>
      </c>
      <c r="B858" s="50" t="s">
        <v>5151</v>
      </c>
      <c r="C858" s="50" t="s">
        <v>315</v>
      </c>
      <c r="D858" s="153" t="s">
        <v>2078</v>
      </c>
      <c r="E858" s="45"/>
      <c r="F858" s="78">
        <v>1.5E9</v>
      </c>
      <c r="G858" s="44" t="str">
        <f t="shared" si="16"/>
        <v>Más de $1.000'000.000</v>
      </c>
      <c r="H858" s="44"/>
      <c r="I858" s="44"/>
      <c r="J858" s="50" t="s">
        <v>183</v>
      </c>
      <c r="K858" s="51" t="s">
        <v>241</v>
      </c>
      <c r="L858" s="50">
        <v>0.0</v>
      </c>
      <c r="M858" s="50"/>
      <c r="N858" s="50">
        <v>0.0</v>
      </c>
      <c r="O858" s="50"/>
      <c r="P858" s="44"/>
      <c r="Q858" s="113"/>
      <c r="R858" s="79">
        <v>5540.0</v>
      </c>
      <c r="S858" s="56" t="str">
        <f t="shared" si="25"/>
        <v> </v>
      </c>
      <c r="T858" s="43" t="s">
        <v>78</v>
      </c>
      <c r="U858" s="51" t="s">
        <v>184</v>
      </c>
      <c r="V858" s="50"/>
      <c r="W858" s="50"/>
      <c r="X858" s="50">
        <v>0.0</v>
      </c>
      <c r="Y858" s="43" t="s">
        <v>80</v>
      </c>
      <c r="Z858" s="80"/>
      <c r="AA858" s="59"/>
      <c r="AB858" s="140" t="s">
        <v>5152</v>
      </c>
      <c r="AC858" s="124" t="s">
        <v>5153</v>
      </c>
      <c r="AD858" s="62"/>
      <c r="AE858" s="63"/>
      <c r="AF858" s="64"/>
      <c r="AG858" s="65" t="s">
        <v>106</v>
      </c>
      <c r="AH858" s="65"/>
      <c r="AI858" s="65" t="s">
        <v>107</v>
      </c>
      <c r="AJ858" s="64" t="s">
        <v>5139</v>
      </c>
      <c r="AK858" s="58" t="s">
        <v>81</v>
      </c>
      <c r="AL858" s="45" t="s">
        <v>109</v>
      </c>
      <c r="AM858" s="43">
        <v>3.105641885E9</v>
      </c>
      <c r="AN858" s="64">
        <v>3.20361228E9</v>
      </c>
      <c r="AO858" s="52"/>
      <c r="AP858" s="67"/>
      <c r="AQ858" s="143">
        <v>2.851839</v>
      </c>
      <c r="AR858" s="143">
        <v>-75.3368174</v>
      </c>
      <c r="AS858" s="68"/>
      <c r="AT858" s="63"/>
      <c r="AU858" s="44"/>
      <c r="AV858" s="44"/>
      <c r="AW858" s="44"/>
      <c r="AX858" s="44"/>
      <c r="AY858" s="44"/>
      <c r="AZ858" s="44"/>
      <c r="BA858" s="43" t="s">
        <v>89</v>
      </c>
      <c r="BB858" s="44"/>
      <c r="BC858" s="69"/>
      <c r="BD858" s="70"/>
      <c r="BE858" s="70"/>
      <c r="BF858" s="72" t="s">
        <v>5154</v>
      </c>
      <c r="BG858" s="73"/>
      <c r="BH858" s="73"/>
      <c r="BI858" s="73"/>
      <c r="BJ858" s="73"/>
      <c r="BK858" s="73"/>
      <c r="BL858" s="73"/>
      <c r="BM858" s="73"/>
      <c r="BN858" s="73"/>
      <c r="BO858" s="73"/>
      <c r="BP858" s="73"/>
      <c r="BQ858" s="73"/>
      <c r="BR858" s="73"/>
      <c r="BS858" s="73"/>
      <c r="BT858" s="73"/>
      <c r="BU858" s="73"/>
      <c r="BV858" s="73"/>
      <c r="BW858" s="74"/>
      <c r="BX858" s="74"/>
      <c r="BY858" s="63"/>
      <c r="BZ858" s="63"/>
    </row>
    <row r="859" ht="15.75" customHeight="1">
      <c r="A859" s="75" t="s">
        <v>5155</v>
      </c>
      <c r="B859" s="50" t="s">
        <v>5156</v>
      </c>
      <c r="C859" s="50" t="s">
        <v>93</v>
      </c>
      <c r="D859" s="50" t="s">
        <v>1284</v>
      </c>
      <c r="E859" s="77"/>
      <c r="F859" s="78">
        <v>9.0E8</v>
      </c>
      <c r="G859" s="44" t="str">
        <f t="shared" si="16"/>
        <v>$500'000.000 a $1.000'000.000</v>
      </c>
      <c r="H859" s="44"/>
      <c r="I859" s="44"/>
      <c r="J859" s="50" t="s">
        <v>116</v>
      </c>
      <c r="K859" s="51" t="s">
        <v>192</v>
      </c>
      <c r="L859" s="50">
        <v>4.0</v>
      </c>
      <c r="M859" s="50"/>
      <c r="N859" s="50">
        <v>6.0</v>
      </c>
      <c r="O859" s="50"/>
      <c r="P859" s="50">
        <v>1.0</v>
      </c>
      <c r="Q859" s="88">
        <v>400.0</v>
      </c>
      <c r="R859" s="88">
        <v>4800.0</v>
      </c>
      <c r="S859" s="56" t="str">
        <f t="shared" si="25"/>
        <v> </v>
      </c>
      <c r="T859" s="50" t="s">
        <v>78</v>
      </c>
      <c r="U859" s="51"/>
      <c r="V859" s="50"/>
      <c r="W859" s="50"/>
      <c r="X859" s="50">
        <v>0.0</v>
      </c>
      <c r="Y859" s="43" t="s">
        <v>80</v>
      </c>
      <c r="Z859" s="80" t="s">
        <v>81</v>
      </c>
      <c r="AA859" s="59" t="str">
        <f>IF(Rentabilidad=0,"No aplica",TEXT(ROUND(Precio/Rentabilidad/12,0),0) &amp; " años")</f>
        <v>No aplica</v>
      </c>
      <c r="AB859" s="115" t="s">
        <v>5157</v>
      </c>
      <c r="AC859" s="221" t="s">
        <v>5158</v>
      </c>
      <c r="AD859" s="107" t="s">
        <v>5159</v>
      </c>
      <c r="AE859" s="63"/>
      <c r="AF859" s="64" t="s">
        <v>105</v>
      </c>
      <c r="AG859" s="65" t="s">
        <v>106</v>
      </c>
      <c r="AH859" s="65"/>
      <c r="AI859" s="65" t="s">
        <v>107</v>
      </c>
      <c r="AJ859" s="64" t="s">
        <v>5139</v>
      </c>
      <c r="AK859" s="58" t="s">
        <v>81</v>
      </c>
      <c r="AL859" s="45" t="s">
        <v>109</v>
      </c>
      <c r="AM859" s="43">
        <v>3.105641885E9</v>
      </c>
      <c r="AN859" s="64">
        <v>3.20361228E9</v>
      </c>
      <c r="AO859" s="52"/>
      <c r="AP859" s="67"/>
      <c r="AQ859" s="67"/>
      <c r="AR859" s="67"/>
      <c r="AS859" s="94">
        <v>0.0</v>
      </c>
      <c r="AT859" s="50" t="s">
        <v>88</v>
      </c>
      <c r="AU859" s="43">
        <v>0.0</v>
      </c>
      <c r="AV859" s="43">
        <v>0.0</v>
      </c>
      <c r="AW859" s="43" t="s">
        <v>88</v>
      </c>
      <c r="AX859" s="43"/>
      <c r="AY859" s="43" t="s">
        <v>106</v>
      </c>
      <c r="AZ859" s="43">
        <v>0.0</v>
      </c>
      <c r="BA859" s="43" t="s">
        <v>89</v>
      </c>
      <c r="BB859" s="43">
        <v>0.0</v>
      </c>
      <c r="BC859" s="69" t="s">
        <v>455</v>
      </c>
      <c r="BD859" s="70"/>
      <c r="BE859" s="71"/>
      <c r="BF859" s="72" t="s">
        <v>5160</v>
      </c>
      <c r="BG859" s="73"/>
      <c r="BH859" s="73"/>
      <c r="BI859" s="73"/>
      <c r="BJ859" s="73"/>
      <c r="BK859" s="73"/>
      <c r="BL859" s="73"/>
      <c r="BM859" s="73"/>
      <c r="BN859" s="73"/>
      <c r="BO859" s="73"/>
      <c r="BP859" s="73"/>
      <c r="BQ859" s="73"/>
      <c r="BR859" s="73"/>
      <c r="BS859" s="73"/>
      <c r="BT859" s="73"/>
      <c r="BU859" s="73"/>
      <c r="BV859" s="73"/>
      <c r="BW859" s="74"/>
      <c r="BX859" s="74"/>
      <c r="BY859" s="63"/>
      <c r="BZ859" s="63"/>
    </row>
    <row r="860" ht="15.75" customHeight="1">
      <c r="A860" s="75" t="s">
        <v>5161</v>
      </c>
      <c r="B860" s="50" t="s">
        <v>5162</v>
      </c>
      <c r="C860" s="50" t="s">
        <v>773</v>
      </c>
      <c r="D860" s="50" t="s">
        <v>1222</v>
      </c>
      <c r="E860" s="45"/>
      <c r="F860" s="78">
        <v>9.0E8</v>
      </c>
      <c r="G860" s="44" t="str">
        <f t="shared" si="16"/>
        <v>$500'000.000 a $1.000'000.000</v>
      </c>
      <c r="H860" s="44"/>
      <c r="I860" s="44"/>
      <c r="J860" s="50" t="s">
        <v>183</v>
      </c>
      <c r="K860" s="51" t="s">
        <v>241</v>
      </c>
      <c r="L860" s="43">
        <v>0.0</v>
      </c>
      <c r="M860" s="43"/>
      <c r="N860" s="43">
        <v>10.0</v>
      </c>
      <c r="O860" s="43">
        <v>5.0</v>
      </c>
      <c r="P860" s="43">
        <v>2.0</v>
      </c>
      <c r="Q860" s="88">
        <v>350.0</v>
      </c>
      <c r="R860" s="88">
        <v>350.0</v>
      </c>
      <c r="S860" s="56" t="str">
        <f t="shared" si="25"/>
        <v> </v>
      </c>
      <c r="T860" s="43" t="s">
        <v>78</v>
      </c>
      <c r="U860" s="56" t="s">
        <v>154</v>
      </c>
      <c r="V860" s="43" t="s">
        <v>79</v>
      </c>
      <c r="W860" s="43"/>
      <c r="X860" s="43">
        <v>0.0</v>
      </c>
      <c r="Y860" s="43" t="s">
        <v>80</v>
      </c>
      <c r="Z860" s="151"/>
      <c r="AA860" s="59" t="str">
        <f>IF(Rentabilidad=0,"No aplica",TEXT(ROUND(Precio/Rentabilidad/12,0),0) &amp; " años")</f>
        <v>No aplica</v>
      </c>
      <c r="AB860" s="134" t="s">
        <v>5163</v>
      </c>
      <c r="AC860" s="124" t="s">
        <v>5164</v>
      </c>
      <c r="AD860" s="62"/>
      <c r="AE860" s="63"/>
      <c r="AF860" s="64" t="s">
        <v>84</v>
      </c>
      <c r="AG860" s="65" t="s">
        <v>106</v>
      </c>
      <c r="AH860" s="65"/>
      <c r="AI860" s="65" t="s">
        <v>107</v>
      </c>
      <c r="AJ860" s="64" t="s">
        <v>5139</v>
      </c>
      <c r="AK860" s="58" t="s">
        <v>81</v>
      </c>
      <c r="AL860" s="45" t="s">
        <v>109</v>
      </c>
      <c r="AM860" s="43">
        <v>3.105641885E9</v>
      </c>
      <c r="AN860" s="64">
        <v>3.20361228E9</v>
      </c>
      <c r="AO860" s="52"/>
      <c r="AP860" s="67"/>
      <c r="AQ860" s="84">
        <v>2.95362109205301</v>
      </c>
      <c r="AR860" s="84">
        <v>-75.2976760551286</v>
      </c>
      <c r="AS860" s="94">
        <v>0.0</v>
      </c>
      <c r="AT860" s="50">
        <v>0.0</v>
      </c>
      <c r="AU860" s="43">
        <v>0.0</v>
      </c>
      <c r="AV860" s="52"/>
      <c r="AW860" s="52"/>
      <c r="AX860" s="52"/>
      <c r="AY860" s="52"/>
      <c r="AZ860" s="52"/>
      <c r="BA860" s="43" t="s">
        <v>89</v>
      </c>
      <c r="BB860" s="52"/>
      <c r="BC860" s="109"/>
      <c r="BD860" s="70"/>
      <c r="BE860" s="70"/>
      <c r="BF860" s="72" t="s">
        <v>5165</v>
      </c>
      <c r="BG860" s="73"/>
      <c r="BH860" s="73"/>
      <c r="BI860" s="73"/>
      <c r="BJ860" s="73"/>
      <c r="BK860" s="73"/>
      <c r="BL860" s="73"/>
      <c r="BM860" s="73"/>
      <c r="BN860" s="73"/>
      <c r="BO860" s="73"/>
      <c r="BP860" s="73"/>
      <c r="BQ860" s="73"/>
      <c r="BR860" s="73"/>
      <c r="BS860" s="73"/>
      <c r="BT860" s="73"/>
      <c r="BU860" s="73"/>
      <c r="BV860" s="73"/>
      <c r="BW860" s="74"/>
      <c r="BX860" s="74"/>
      <c r="BY860" s="63"/>
      <c r="BZ860" s="63"/>
    </row>
    <row r="861" ht="15.75" customHeight="1">
      <c r="A861" s="75" t="s">
        <v>5166</v>
      </c>
      <c r="B861" s="50" t="s">
        <v>5167</v>
      </c>
      <c r="C861" s="50" t="s">
        <v>128</v>
      </c>
      <c r="D861" s="50" t="s">
        <v>459</v>
      </c>
      <c r="E861" s="77" t="s">
        <v>5168</v>
      </c>
      <c r="F861" s="78">
        <v>7.5E8</v>
      </c>
      <c r="G861" s="44" t="str">
        <f t="shared" si="16"/>
        <v>$500'000.000 a $1.000'000.000</v>
      </c>
      <c r="H861" s="44"/>
      <c r="I861" s="44"/>
      <c r="J861" s="50" t="s">
        <v>116</v>
      </c>
      <c r="K861" s="51" t="s">
        <v>192</v>
      </c>
      <c r="L861" s="50">
        <v>3.0</v>
      </c>
      <c r="M861" s="50"/>
      <c r="N861" s="50">
        <v>3.0</v>
      </c>
      <c r="O861" s="50">
        <v>1.0</v>
      </c>
      <c r="P861" s="50">
        <v>2.0</v>
      </c>
      <c r="Q861" s="88">
        <v>164.0</v>
      </c>
      <c r="R861" s="88">
        <v>130.0</v>
      </c>
      <c r="S861" s="56" t="str">
        <f t="shared" si="25"/>
        <v> </v>
      </c>
      <c r="T861" s="50" t="s">
        <v>78</v>
      </c>
      <c r="U861" s="51" t="s">
        <v>142</v>
      </c>
      <c r="V861" s="50" t="s">
        <v>79</v>
      </c>
      <c r="W861" s="50"/>
      <c r="X861" s="50">
        <v>3.0</v>
      </c>
      <c r="Y861" s="43" t="s">
        <v>130</v>
      </c>
      <c r="Z861" s="58">
        <v>520000.0</v>
      </c>
      <c r="AA861" s="59" t="str">
        <f>IF(Rentabilidad=0,"No aplica",TEXT(ROUND(Precio/Rentabilidad/12,0),0) &amp; " años")</f>
        <v>No aplica</v>
      </c>
      <c r="AB861" s="115" t="s">
        <v>5169</v>
      </c>
      <c r="AC861" s="132" t="s">
        <v>5170</v>
      </c>
      <c r="AD861" s="125" t="s">
        <v>5171</v>
      </c>
      <c r="AE861" s="63"/>
      <c r="AF861" s="64" t="s">
        <v>105</v>
      </c>
      <c r="AG861" s="65" t="s">
        <v>106</v>
      </c>
      <c r="AH861" s="65"/>
      <c r="AI861" s="65" t="s">
        <v>107</v>
      </c>
      <c r="AJ861" s="64" t="s">
        <v>5139</v>
      </c>
      <c r="AK861" s="58" t="s">
        <v>81</v>
      </c>
      <c r="AL861" s="45" t="s">
        <v>109</v>
      </c>
      <c r="AM861" s="43">
        <v>3.105641885E9</v>
      </c>
      <c r="AN861" s="64">
        <v>3.20361228E9</v>
      </c>
      <c r="AO861" s="52"/>
      <c r="AP861" s="67"/>
      <c r="AQ861" s="67"/>
      <c r="AR861" s="67"/>
      <c r="AS861" s="94">
        <v>0.0</v>
      </c>
      <c r="AT861" s="50" t="s">
        <v>88</v>
      </c>
      <c r="AU861" s="43">
        <v>0.0</v>
      </c>
      <c r="AV861" s="43">
        <v>0.0</v>
      </c>
      <c r="AW861" s="43" t="s">
        <v>88</v>
      </c>
      <c r="AX861" s="43">
        <v>10.0</v>
      </c>
      <c r="AY861" s="43" t="s">
        <v>106</v>
      </c>
      <c r="AZ861" s="43">
        <v>0.0</v>
      </c>
      <c r="BA861" s="43" t="s">
        <v>89</v>
      </c>
      <c r="BB861" s="43">
        <v>0.0</v>
      </c>
      <c r="BC861" s="95"/>
      <c r="BD861" s="71"/>
      <c r="BE861" s="71"/>
      <c r="BF861" s="72" t="s">
        <v>5172</v>
      </c>
      <c r="BG861" s="73"/>
      <c r="BH861" s="73"/>
      <c r="BI861" s="73"/>
      <c r="BJ861" s="73"/>
      <c r="BK861" s="73"/>
      <c r="BL861" s="73"/>
      <c r="BM861" s="73"/>
      <c r="BN861" s="73"/>
      <c r="BO861" s="73"/>
      <c r="BP861" s="73"/>
      <c r="BQ861" s="73"/>
      <c r="BR861" s="73"/>
      <c r="BS861" s="73"/>
      <c r="BT861" s="73"/>
      <c r="BU861" s="73"/>
      <c r="BV861" s="73"/>
      <c r="BW861" s="74"/>
      <c r="BX861" s="74"/>
      <c r="BY861" s="63"/>
      <c r="BZ861" s="63"/>
    </row>
    <row r="862" ht="15.75" customHeight="1">
      <c r="A862" s="75" t="s">
        <v>5173</v>
      </c>
      <c r="B862" s="50" t="s">
        <v>5174</v>
      </c>
      <c r="C862" s="50" t="s">
        <v>773</v>
      </c>
      <c r="D862" s="50" t="s">
        <v>5175</v>
      </c>
      <c r="E862" s="77"/>
      <c r="F862" s="78">
        <v>6.5E8</v>
      </c>
      <c r="G862" s="44" t="str">
        <f t="shared" si="16"/>
        <v>$500'000.000 a $1.000'000.000</v>
      </c>
      <c r="H862" s="44"/>
      <c r="I862" s="44"/>
      <c r="J862" s="50" t="s">
        <v>76</v>
      </c>
      <c r="K862" s="51" t="s">
        <v>142</v>
      </c>
      <c r="L862" s="50">
        <v>2.0</v>
      </c>
      <c r="M862" s="50"/>
      <c r="N862" s="50">
        <v>3.0</v>
      </c>
      <c r="O862" s="50">
        <v>1.0</v>
      </c>
      <c r="P862" s="50">
        <v>2.0</v>
      </c>
      <c r="Q862" s="88"/>
      <c r="R862" s="88">
        <v>165.42</v>
      </c>
      <c r="S862" s="56" t="str">
        <f t="shared" si="25"/>
        <v> </v>
      </c>
      <c r="T862" s="50" t="s">
        <v>78</v>
      </c>
      <c r="U862" s="51" t="s">
        <v>192</v>
      </c>
      <c r="V862" s="50" t="s">
        <v>79</v>
      </c>
      <c r="W862" s="50"/>
      <c r="X862" s="50">
        <v>0.0</v>
      </c>
      <c r="Y862" s="43" t="s">
        <v>80</v>
      </c>
      <c r="Z862" s="58" t="s">
        <v>81</v>
      </c>
      <c r="AA862" s="59" t="str">
        <f>IF(Rentabilidad=0,"No aplica",TEXT(ROUND(Precio/Rentabilidad/12,0),0) &amp; " años")</f>
        <v>No aplica</v>
      </c>
      <c r="AB862" s="115" t="s">
        <v>5176</v>
      </c>
      <c r="AC862" s="132" t="s">
        <v>5177</v>
      </c>
      <c r="AD862" s="132" t="s">
        <v>5178</v>
      </c>
      <c r="AE862" s="63"/>
      <c r="AF862" s="64" t="s">
        <v>236</v>
      </c>
      <c r="AG862" s="65" t="s">
        <v>106</v>
      </c>
      <c r="AH862" s="65"/>
      <c r="AI862" s="65" t="s">
        <v>107</v>
      </c>
      <c r="AJ862" s="64" t="s">
        <v>5139</v>
      </c>
      <c r="AK862" s="58" t="s">
        <v>81</v>
      </c>
      <c r="AL862" s="45" t="s">
        <v>109</v>
      </c>
      <c r="AM862" s="43">
        <v>3.105641885E9</v>
      </c>
      <c r="AN862" s="64">
        <v>3.20361228E9</v>
      </c>
      <c r="AO862" s="52"/>
      <c r="AP862" s="67"/>
      <c r="AQ862" s="67"/>
      <c r="AR862" s="67"/>
      <c r="AS862" s="94">
        <v>0.0</v>
      </c>
      <c r="AT862" s="50" t="s">
        <v>88</v>
      </c>
      <c r="AU862" s="43">
        <v>0.0</v>
      </c>
      <c r="AV862" s="43">
        <v>0.0</v>
      </c>
      <c r="AW862" s="43" t="s">
        <v>88</v>
      </c>
      <c r="AX862" s="43">
        <v>9.0</v>
      </c>
      <c r="AY862" s="43" t="s">
        <v>106</v>
      </c>
      <c r="AZ862" s="43">
        <v>0.0</v>
      </c>
      <c r="BA862" s="43" t="s">
        <v>89</v>
      </c>
      <c r="BB862" s="43">
        <v>0.0</v>
      </c>
      <c r="BC862" s="69" t="s">
        <v>5179</v>
      </c>
      <c r="BD862" s="70"/>
      <c r="BE862" s="71"/>
      <c r="BF862" s="72" t="s">
        <v>5180</v>
      </c>
      <c r="BG862" s="73"/>
      <c r="BH862" s="73"/>
      <c r="BI862" s="73"/>
      <c r="BJ862" s="73"/>
      <c r="BK862" s="73"/>
      <c r="BL862" s="73"/>
      <c r="BM862" s="73"/>
      <c r="BN862" s="73"/>
      <c r="BO862" s="73"/>
      <c r="BP862" s="73"/>
      <c r="BQ862" s="73"/>
      <c r="BR862" s="73"/>
      <c r="BS862" s="73"/>
      <c r="BT862" s="73"/>
      <c r="BU862" s="73"/>
      <c r="BV862" s="73"/>
      <c r="BW862" s="74"/>
      <c r="BX862" s="74"/>
      <c r="BY862" s="63"/>
      <c r="BZ862" s="63"/>
    </row>
    <row r="863" ht="15.75" customHeight="1">
      <c r="A863" s="75" t="s">
        <v>5181</v>
      </c>
      <c r="B863" s="50" t="s">
        <v>5182</v>
      </c>
      <c r="C863" s="50" t="s">
        <v>315</v>
      </c>
      <c r="D863" s="50" t="s">
        <v>1284</v>
      </c>
      <c r="E863" s="77"/>
      <c r="F863" s="78">
        <v>6.0E8</v>
      </c>
      <c r="G863" s="44" t="str">
        <f t="shared" si="16"/>
        <v>$500'000.000 a $1.000'000.000</v>
      </c>
      <c r="H863" s="44"/>
      <c r="I863" s="44"/>
      <c r="J863" s="50" t="s">
        <v>116</v>
      </c>
      <c r="K863" s="51" t="s">
        <v>192</v>
      </c>
      <c r="L863" s="50">
        <v>0.0</v>
      </c>
      <c r="M863" s="50"/>
      <c r="N863" s="50">
        <v>0.0</v>
      </c>
      <c r="O863" s="50">
        <v>0.0</v>
      </c>
      <c r="P863" s="50">
        <v>0.0</v>
      </c>
      <c r="Q863" s="88">
        <v>0.0</v>
      </c>
      <c r="R863" s="88">
        <v>450.0</v>
      </c>
      <c r="S863" s="56"/>
      <c r="T863" s="50" t="s">
        <v>78</v>
      </c>
      <c r="U863" s="51"/>
      <c r="V863" s="50" t="s">
        <v>118</v>
      </c>
      <c r="W863" s="50"/>
      <c r="X863" s="50">
        <v>0.0</v>
      </c>
      <c r="Y863" s="43" t="s">
        <v>80</v>
      </c>
      <c r="Z863" s="58" t="s">
        <v>81</v>
      </c>
      <c r="AA863" s="81" t="s">
        <v>81</v>
      </c>
      <c r="AB863" s="115" t="s">
        <v>5183</v>
      </c>
      <c r="AC863" s="221" t="s">
        <v>5184</v>
      </c>
      <c r="AD863" s="221" t="s">
        <v>5185</v>
      </c>
      <c r="AE863" s="63"/>
      <c r="AF863" s="64">
        <v>0.0</v>
      </c>
      <c r="AG863" s="65" t="s">
        <v>106</v>
      </c>
      <c r="AH863" s="65"/>
      <c r="AI863" s="65" t="s">
        <v>107</v>
      </c>
      <c r="AJ863" s="64" t="s">
        <v>5139</v>
      </c>
      <c r="AK863" s="58" t="s">
        <v>81</v>
      </c>
      <c r="AL863" s="45" t="s">
        <v>109</v>
      </c>
      <c r="AM863" s="43">
        <v>3.105641885E9</v>
      </c>
      <c r="AN863" s="64">
        <v>3.20361228E9</v>
      </c>
      <c r="AO863" s="52"/>
      <c r="AP863" s="67"/>
      <c r="AQ863" s="67"/>
      <c r="AR863" s="67"/>
      <c r="AS863" s="94">
        <v>0.0</v>
      </c>
      <c r="AT863" s="50" t="s">
        <v>88</v>
      </c>
      <c r="AU863" s="43">
        <v>0.0</v>
      </c>
      <c r="AV863" s="43">
        <v>0.0</v>
      </c>
      <c r="AW863" s="43" t="s">
        <v>88</v>
      </c>
      <c r="AX863" s="43"/>
      <c r="AY863" s="43">
        <v>0.0</v>
      </c>
      <c r="AZ863" s="43">
        <v>0.0</v>
      </c>
      <c r="BA863" s="43" t="s">
        <v>89</v>
      </c>
      <c r="BB863" s="43">
        <v>0.0</v>
      </c>
      <c r="BC863" s="69" t="s">
        <v>5186</v>
      </c>
      <c r="BD863" s="70"/>
      <c r="BE863" s="71"/>
      <c r="BF863" s="72" t="s">
        <v>5187</v>
      </c>
      <c r="BG863" s="73"/>
      <c r="BH863" s="73"/>
      <c r="BI863" s="73"/>
      <c r="BJ863" s="73"/>
      <c r="BK863" s="73"/>
      <c r="BL863" s="73"/>
      <c r="BM863" s="73"/>
      <c r="BN863" s="73"/>
      <c r="BO863" s="73"/>
      <c r="BP863" s="73"/>
      <c r="BQ863" s="73"/>
      <c r="BR863" s="73"/>
      <c r="BS863" s="73"/>
      <c r="BT863" s="73"/>
      <c r="BU863" s="73"/>
      <c r="BV863" s="73"/>
      <c r="BW863" s="74"/>
      <c r="BX863" s="74"/>
      <c r="BY863" s="63"/>
      <c r="BZ863" s="63"/>
    </row>
    <row r="864" ht="15.75" customHeight="1">
      <c r="A864" s="75" t="s">
        <v>5188</v>
      </c>
      <c r="B864" s="50" t="s">
        <v>429</v>
      </c>
      <c r="C864" s="50" t="s">
        <v>70</v>
      </c>
      <c r="D864" s="58" t="s">
        <v>430</v>
      </c>
      <c r="E864" s="45"/>
      <c r="F864" s="78">
        <v>4.8E8</v>
      </c>
      <c r="G864" s="44" t="str">
        <f t="shared" si="16"/>
        <v>$400'000.000 a $500'000.000</v>
      </c>
      <c r="H864" s="44"/>
      <c r="I864" s="44"/>
      <c r="J864" s="50" t="s">
        <v>183</v>
      </c>
      <c r="K864" s="51" t="s">
        <v>184</v>
      </c>
      <c r="L864" s="43">
        <v>3.0</v>
      </c>
      <c r="M864" s="43"/>
      <c r="N864" s="43">
        <v>4.0</v>
      </c>
      <c r="O864" s="43">
        <v>2.0</v>
      </c>
      <c r="P864" s="43">
        <v>2.0</v>
      </c>
      <c r="Q864" s="88">
        <v>210.0</v>
      </c>
      <c r="R864" s="88">
        <v>110.0</v>
      </c>
      <c r="S864" s="56" t="str">
        <f t="shared" ref="S864:S865" si="26">IF(AS864=0," ","Rentabilidad $" &amp; TEXT(AS864,"#,##0"))</f>
        <v> </v>
      </c>
      <c r="T864" s="43" t="s">
        <v>78</v>
      </c>
      <c r="U864" s="56" t="s">
        <v>77</v>
      </c>
      <c r="V864" s="43" t="s">
        <v>79</v>
      </c>
      <c r="W864" s="43"/>
      <c r="X864" s="43">
        <v>3.0</v>
      </c>
      <c r="Y864" s="43" t="s">
        <v>80</v>
      </c>
      <c r="Z864" s="58" t="s">
        <v>81</v>
      </c>
      <c r="AA864" s="59"/>
      <c r="AB864" s="134" t="s">
        <v>5189</v>
      </c>
      <c r="AC864" s="124" t="s">
        <v>5190</v>
      </c>
      <c r="AD864" s="62"/>
      <c r="AE864" s="63"/>
      <c r="AF864" s="64" t="s">
        <v>105</v>
      </c>
      <c r="AG864" s="65" t="s">
        <v>106</v>
      </c>
      <c r="AH864" s="63"/>
      <c r="AI864" s="65" t="s">
        <v>107</v>
      </c>
      <c r="AJ864" s="64" t="s">
        <v>5139</v>
      </c>
      <c r="AK864" s="58" t="s">
        <v>81</v>
      </c>
      <c r="AL864" s="45" t="s">
        <v>109</v>
      </c>
      <c r="AM864" s="43">
        <v>3.105641885E9</v>
      </c>
      <c r="AN864" s="64">
        <v>3.20361228E9</v>
      </c>
      <c r="AO864" s="52"/>
      <c r="AP864" s="67"/>
      <c r="AQ864" s="67"/>
      <c r="AR864" s="67"/>
      <c r="AS864" s="135"/>
      <c r="AT864" s="50">
        <v>0.0</v>
      </c>
      <c r="AU864" s="52"/>
      <c r="AV864" s="43">
        <v>1.0</v>
      </c>
      <c r="AW864" s="43" t="s">
        <v>106</v>
      </c>
      <c r="AX864" s="52"/>
      <c r="AY864" s="43" t="s">
        <v>137</v>
      </c>
      <c r="AZ864" s="52"/>
      <c r="BA864" s="43" t="s">
        <v>89</v>
      </c>
      <c r="BB864" s="52"/>
      <c r="BC864" s="95"/>
      <c r="BD864" s="71"/>
      <c r="BE864" s="71"/>
      <c r="BF864" s="72" t="s">
        <v>5191</v>
      </c>
      <c r="BG864" s="73"/>
      <c r="BH864" s="73"/>
      <c r="BI864" s="73"/>
      <c r="BJ864" s="73"/>
      <c r="BK864" s="73"/>
      <c r="BL864" s="73"/>
      <c r="BM864" s="73"/>
      <c r="BN864" s="73"/>
      <c r="BO864" s="73"/>
      <c r="BP864" s="73"/>
      <c r="BQ864" s="73"/>
      <c r="BR864" s="73"/>
      <c r="BS864" s="73"/>
      <c r="BT864" s="73"/>
      <c r="BU864" s="73"/>
      <c r="BV864" s="73"/>
      <c r="BW864" s="74"/>
      <c r="BX864" s="74"/>
      <c r="BY864" s="63"/>
      <c r="BZ864" s="63"/>
    </row>
    <row r="865" ht="15.75" customHeight="1">
      <c r="A865" s="75" t="s">
        <v>5192</v>
      </c>
      <c r="B865" s="50" t="s">
        <v>4838</v>
      </c>
      <c r="C865" s="50" t="s">
        <v>323</v>
      </c>
      <c r="D865" s="50"/>
      <c r="E865" s="64" t="s">
        <v>4839</v>
      </c>
      <c r="F865" s="78">
        <v>4.5E8</v>
      </c>
      <c r="G865" s="44" t="str">
        <f t="shared" si="16"/>
        <v>$400'000.000 a $500'000.000</v>
      </c>
      <c r="H865" s="44"/>
      <c r="I865" s="44"/>
      <c r="J865" s="50" t="s">
        <v>116</v>
      </c>
      <c r="K865" s="51" t="s">
        <v>154</v>
      </c>
      <c r="L865" s="50">
        <v>3.0</v>
      </c>
      <c r="M865" s="50"/>
      <c r="N865" s="50">
        <v>2.0</v>
      </c>
      <c r="O865" s="50">
        <v>1.0</v>
      </c>
      <c r="P865" s="50">
        <v>5.0</v>
      </c>
      <c r="Q865" s="88">
        <v>85.0</v>
      </c>
      <c r="R865" s="88">
        <v>88.0</v>
      </c>
      <c r="S865" s="56" t="str">
        <f t="shared" si="26"/>
        <v> </v>
      </c>
      <c r="T865" s="50" t="s">
        <v>78</v>
      </c>
      <c r="U865" s="51" t="s">
        <v>154</v>
      </c>
      <c r="V865" s="50" t="s">
        <v>333</v>
      </c>
      <c r="W865" s="50"/>
      <c r="X865" s="50">
        <v>3.0</v>
      </c>
      <c r="Y865" s="50" t="s">
        <v>130</v>
      </c>
      <c r="Z865" s="58">
        <v>513500.0</v>
      </c>
      <c r="AA865" s="59" t="str">
        <f>IF(Rentabilidad=0,"No aplica",TEXT(ROUND(Precio/Rentabilidad/12,0),0) &amp; " años")</f>
        <v>No aplica</v>
      </c>
      <c r="AB865" s="82" t="s">
        <v>5193</v>
      </c>
      <c r="AC865" s="83" t="s">
        <v>5194</v>
      </c>
      <c r="AD865" s="169" t="s">
        <v>5195</v>
      </c>
      <c r="AE865" s="63"/>
      <c r="AF865" s="64" t="s">
        <v>105</v>
      </c>
      <c r="AG865" s="65" t="s">
        <v>106</v>
      </c>
      <c r="AH865" s="63"/>
      <c r="AI865" s="65" t="s">
        <v>107</v>
      </c>
      <c r="AJ865" s="64" t="s">
        <v>5139</v>
      </c>
      <c r="AK865" s="58" t="s">
        <v>81</v>
      </c>
      <c r="AL865" s="45" t="s">
        <v>109</v>
      </c>
      <c r="AM865" s="43">
        <v>3.105641885E9</v>
      </c>
      <c r="AN865" s="64">
        <v>3.20361228E9</v>
      </c>
      <c r="AO865" s="52"/>
      <c r="AP865" s="67"/>
      <c r="AQ865" s="67"/>
      <c r="AR865" s="67"/>
      <c r="AS865" s="85">
        <v>0.0</v>
      </c>
      <c r="AT865" s="65" t="s">
        <v>106</v>
      </c>
      <c r="AU865" s="50" t="s">
        <v>106</v>
      </c>
      <c r="AV865" s="50" t="s">
        <v>106</v>
      </c>
      <c r="AW865" s="50" t="s">
        <v>88</v>
      </c>
      <c r="AX865" s="50">
        <v>0.0</v>
      </c>
      <c r="AY865" s="50">
        <v>0.0</v>
      </c>
      <c r="AZ865" s="50">
        <v>0.0</v>
      </c>
      <c r="BA865" s="43" t="s">
        <v>89</v>
      </c>
      <c r="BB865" s="50">
        <v>0.0</v>
      </c>
      <c r="BC865" s="95"/>
      <c r="BD865" s="71"/>
      <c r="BE865" s="70"/>
      <c r="BF865" s="72" t="s">
        <v>5196</v>
      </c>
      <c r="BG865" s="73"/>
      <c r="BH865" s="73"/>
      <c r="BI865" s="73"/>
      <c r="BJ865" s="73"/>
      <c r="BK865" s="73"/>
      <c r="BL865" s="73"/>
      <c r="BM865" s="73"/>
      <c r="BN865" s="73"/>
      <c r="BO865" s="73"/>
      <c r="BP865" s="73"/>
      <c r="BQ865" s="73"/>
      <c r="BR865" s="73"/>
      <c r="BS865" s="73"/>
      <c r="BT865" s="73"/>
      <c r="BU865" s="73"/>
      <c r="BV865" s="73"/>
      <c r="BW865" s="74"/>
      <c r="BX865" s="74"/>
      <c r="BY865" s="63"/>
      <c r="BZ865" s="63"/>
    </row>
    <row r="866" ht="15.75" customHeight="1">
      <c r="A866" s="111">
        <v>832.0</v>
      </c>
      <c r="B866" s="111" t="s">
        <v>5197</v>
      </c>
      <c r="C866" s="111" t="s">
        <v>271</v>
      </c>
      <c r="D866" s="111" t="s">
        <v>1005</v>
      </c>
      <c r="E866" s="209"/>
      <c r="F866" s="78">
        <v>4.5E8</v>
      </c>
      <c r="G866" s="44" t="str">
        <f t="shared" si="16"/>
        <v>$400'000.000 a $500'000.000</v>
      </c>
      <c r="H866" s="44"/>
      <c r="I866" s="44"/>
      <c r="J866" s="111" t="s">
        <v>116</v>
      </c>
      <c r="K866" s="111">
        <v>7.0</v>
      </c>
      <c r="L866" s="111">
        <v>6.0</v>
      </c>
      <c r="M866" s="111"/>
      <c r="N866" s="111">
        <v>8.0</v>
      </c>
      <c r="O866" s="111">
        <v>2.0</v>
      </c>
      <c r="P866" s="111">
        <v>3.0</v>
      </c>
      <c r="Q866" s="88">
        <v>349.0</v>
      </c>
      <c r="R866" s="88">
        <v>146.23</v>
      </c>
      <c r="T866" s="111" t="s">
        <v>78</v>
      </c>
      <c r="U866" s="111">
        <v>4.0</v>
      </c>
      <c r="V866" s="111" t="s">
        <v>118</v>
      </c>
      <c r="W866" s="111"/>
      <c r="X866" s="111">
        <v>1.0</v>
      </c>
      <c r="Y866" s="111" t="s">
        <v>80</v>
      </c>
      <c r="AA866" s="59" t="str">
        <f>IF(Rentabilidad=0,"No aplica",TEXT(ROUND(Precio/Rentabilidad/12,0),0) &amp; " años")</f>
        <v>No aplica</v>
      </c>
      <c r="AB866" s="165" t="s">
        <v>5198</v>
      </c>
      <c r="AC866" s="221" t="s">
        <v>5199</v>
      </c>
      <c r="AD866" s="102" t="s">
        <v>5200</v>
      </c>
      <c r="AF866" s="111" t="s">
        <v>236</v>
      </c>
      <c r="AG866" s="111" t="s">
        <v>106</v>
      </c>
      <c r="AI866" s="65" t="s">
        <v>107</v>
      </c>
      <c r="AJ866" s="64" t="s">
        <v>5139</v>
      </c>
      <c r="AK866" s="58" t="s">
        <v>81</v>
      </c>
      <c r="AL866" s="45" t="s">
        <v>109</v>
      </c>
      <c r="AM866" s="43">
        <v>3.105641885E9</v>
      </c>
      <c r="AN866" s="64">
        <v>3.20361228E9</v>
      </c>
      <c r="AO866" s="209"/>
      <c r="AP866" s="126" t="s">
        <v>5201</v>
      </c>
      <c r="AQ866" s="126"/>
      <c r="AR866" s="126"/>
      <c r="AS866" s="209"/>
      <c r="AT866" s="111">
        <v>0.0</v>
      </c>
      <c r="AU866" s="111">
        <v>3.0</v>
      </c>
      <c r="AV866" s="111">
        <v>0.0</v>
      </c>
      <c r="AW866" s="111" t="s">
        <v>106</v>
      </c>
      <c r="AX866" s="209"/>
      <c r="AY866" s="111" t="s">
        <v>137</v>
      </c>
      <c r="AZ866" s="209"/>
      <c r="BA866" s="43" t="s">
        <v>89</v>
      </c>
      <c r="BB866" s="209"/>
      <c r="BF866" s="8" t="s">
        <v>5202</v>
      </c>
      <c r="BG866" s="73"/>
      <c r="BH866" s="73"/>
      <c r="BI866" s="73"/>
      <c r="BJ866" s="73"/>
      <c r="BK866" s="73"/>
      <c r="BL866" s="73"/>
      <c r="BM866" s="73"/>
      <c r="BN866" s="73"/>
      <c r="BO866" s="73"/>
      <c r="BP866" s="73"/>
      <c r="BQ866" s="73"/>
      <c r="BR866" s="73"/>
      <c r="BS866" s="73"/>
      <c r="BT866" s="73"/>
      <c r="BU866" s="73"/>
      <c r="BV866" s="73"/>
      <c r="BW866" s="74"/>
      <c r="BX866" s="74"/>
      <c r="BY866" s="63"/>
      <c r="BZ866" s="63"/>
    </row>
    <row r="867" ht="15.75" customHeight="1">
      <c r="A867" s="75" t="s">
        <v>3066</v>
      </c>
      <c r="B867" s="50" t="s">
        <v>5203</v>
      </c>
      <c r="C867" s="50" t="s">
        <v>323</v>
      </c>
      <c r="D867" s="50"/>
      <c r="E867" s="64" t="s">
        <v>5204</v>
      </c>
      <c r="F867" s="78">
        <v>4.2E8</v>
      </c>
      <c r="G867" s="44" t="str">
        <f t="shared" si="16"/>
        <v>$400'000.000 a $500'000.000</v>
      </c>
      <c r="H867" s="44"/>
      <c r="I867" s="44"/>
      <c r="J867" s="50" t="s">
        <v>183</v>
      </c>
      <c r="K867" s="51"/>
      <c r="L867" s="50">
        <v>3.0</v>
      </c>
      <c r="M867" s="50"/>
      <c r="N867" s="50">
        <v>2.0</v>
      </c>
      <c r="O867" s="50">
        <v>1.0</v>
      </c>
      <c r="P867" s="50">
        <v>7.0</v>
      </c>
      <c r="Q867" s="88">
        <v>100.0</v>
      </c>
      <c r="R867" s="88">
        <v>113.0</v>
      </c>
      <c r="S867" s="56" t="str">
        <f t="shared" ref="S867:S871" si="27">IF(AS867=0," ","Rentabilidad $" &amp; TEXT(AS867,"#,##0"))</f>
        <v> </v>
      </c>
      <c r="T867" s="50" t="s">
        <v>78</v>
      </c>
      <c r="U867" s="51" t="s">
        <v>142</v>
      </c>
      <c r="V867" s="50" t="s">
        <v>1913</v>
      </c>
      <c r="W867" s="50"/>
      <c r="X867" s="50">
        <v>3.0</v>
      </c>
      <c r="Y867" s="50" t="s">
        <v>130</v>
      </c>
      <c r="Z867" s="58">
        <v>375000.0</v>
      </c>
      <c r="AA867" s="59" t="str">
        <f>IF(Rentabilidad=0,"No aplica",TEXT(ROUND(Precio/Rentabilidad/12,0),0) &amp; " años")</f>
        <v>No aplica</v>
      </c>
      <c r="AB867" s="82" t="s">
        <v>5205</v>
      </c>
      <c r="AC867" s="83" t="s">
        <v>5206</v>
      </c>
      <c r="AD867" s="83" t="s">
        <v>5207</v>
      </c>
      <c r="AE867" s="63"/>
      <c r="AF867" s="64" t="s">
        <v>105</v>
      </c>
      <c r="AG867" s="65" t="s">
        <v>106</v>
      </c>
      <c r="AH867" s="63"/>
      <c r="AI867" s="65" t="s">
        <v>107</v>
      </c>
      <c r="AJ867" s="64" t="s">
        <v>5139</v>
      </c>
      <c r="AK867" s="58" t="s">
        <v>81</v>
      </c>
      <c r="AL867" s="45" t="s">
        <v>109</v>
      </c>
      <c r="AM867" s="43">
        <v>3.105641885E9</v>
      </c>
      <c r="AN867" s="64">
        <v>3.20361228E9</v>
      </c>
      <c r="AO867" s="52"/>
      <c r="AP867" s="67"/>
      <c r="AQ867" s="67"/>
      <c r="AR867" s="67"/>
      <c r="AS867" s="85">
        <v>0.0</v>
      </c>
      <c r="AT867" s="65" t="s">
        <v>106</v>
      </c>
      <c r="AU867" s="50">
        <v>0.0</v>
      </c>
      <c r="AV867" s="50" t="s">
        <v>106</v>
      </c>
      <c r="AW867" s="50" t="s">
        <v>88</v>
      </c>
      <c r="AX867" s="50">
        <v>0.0</v>
      </c>
      <c r="AY867" s="50">
        <v>0.0</v>
      </c>
      <c r="AZ867" s="50">
        <v>0.0</v>
      </c>
      <c r="BA867" s="43" t="s">
        <v>89</v>
      </c>
      <c r="BB867" s="50">
        <v>0.0</v>
      </c>
      <c r="BC867" s="95"/>
      <c r="BD867" s="71"/>
      <c r="BE867" s="70"/>
      <c r="BF867" s="72" t="s">
        <v>5208</v>
      </c>
      <c r="BG867" s="73"/>
      <c r="BH867" s="73"/>
      <c r="BI867" s="73"/>
      <c r="BJ867" s="73"/>
      <c r="BK867" s="73"/>
      <c r="BL867" s="73"/>
      <c r="BM867" s="73"/>
      <c r="BN867" s="73"/>
      <c r="BO867" s="73"/>
      <c r="BP867" s="73"/>
      <c r="BQ867" s="73"/>
      <c r="BR867" s="73"/>
      <c r="BS867" s="73"/>
      <c r="BT867" s="73"/>
      <c r="BU867" s="73"/>
      <c r="BV867" s="73"/>
      <c r="BW867" s="74"/>
      <c r="BX867" s="74"/>
      <c r="BY867" s="63"/>
      <c r="BZ867" s="63"/>
    </row>
    <row r="868" ht="15.75" customHeight="1">
      <c r="A868" s="75" t="s">
        <v>5209</v>
      </c>
      <c r="B868" s="50" t="s">
        <v>5210</v>
      </c>
      <c r="C868" s="50" t="s">
        <v>70</v>
      </c>
      <c r="D868" s="58" t="s">
        <v>279</v>
      </c>
      <c r="E868" s="45"/>
      <c r="F868" s="78">
        <v>3.85E8</v>
      </c>
      <c r="G868" s="44" t="str">
        <f t="shared" si="16"/>
        <v>$300'000.000 a $400'000.000</v>
      </c>
      <c r="H868" s="44"/>
      <c r="I868" s="44"/>
      <c r="J868" s="50" t="s">
        <v>116</v>
      </c>
      <c r="K868" s="51" t="s">
        <v>154</v>
      </c>
      <c r="L868" s="43">
        <v>5.0</v>
      </c>
      <c r="M868" s="43"/>
      <c r="N868" s="43">
        <v>5.0</v>
      </c>
      <c r="O868" s="43">
        <v>2.0</v>
      </c>
      <c r="P868" s="43">
        <v>3.0</v>
      </c>
      <c r="Q868" s="88">
        <v>450.0</v>
      </c>
      <c r="R868" s="88">
        <v>200.0</v>
      </c>
      <c r="S868" s="56" t="str">
        <f t="shared" si="27"/>
        <v> </v>
      </c>
      <c r="T868" s="43" t="s">
        <v>78</v>
      </c>
      <c r="U868" s="56" t="s">
        <v>154</v>
      </c>
      <c r="V868" s="43" t="s">
        <v>79</v>
      </c>
      <c r="W868" s="43"/>
      <c r="X868" s="43">
        <v>5.0</v>
      </c>
      <c r="Y868" s="43" t="s">
        <v>80</v>
      </c>
      <c r="Z868" s="58" t="s">
        <v>81</v>
      </c>
      <c r="AA868" s="59" t="str">
        <f>IF(Rentabilidad=0,"No aplica",TEXT(ROUND(Precio/Rentabilidad/12,0),0) &amp; " años")</f>
        <v>No aplica</v>
      </c>
      <c r="AB868" s="134" t="s">
        <v>5211</v>
      </c>
      <c r="AC868" s="124" t="s">
        <v>5212</v>
      </c>
      <c r="AD868" s="62"/>
      <c r="AE868" s="63"/>
      <c r="AF868" s="64" t="s">
        <v>105</v>
      </c>
      <c r="AG868" s="65" t="s">
        <v>106</v>
      </c>
      <c r="AH868" s="63"/>
      <c r="AI868" s="65" t="s">
        <v>107</v>
      </c>
      <c r="AJ868" s="64" t="s">
        <v>5139</v>
      </c>
      <c r="AK868" s="58" t="s">
        <v>81</v>
      </c>
      <c r="AL868" s="45" t="s">
        <v>109</v>
      </c>
      <c r="AM868" s="43">
        <v>3.105641885E9</v>
      </c>
      <c r="AN868" s="64">
        <v>3.20361228E9</v>
      </c>
      <c r="AO868" s="52"/>
      <c r="AP868" s="67"/>
      <c r="AQ868" s="67"/>
      <c r="AR868" s="67"/>
      <c r="AS868" s="94">
        <v>0.0</v>
      </c>
      <c r="AT868" s="50">
        <v>0.0</v>
      </c>
      <c r="AU868" s="52"/>
      <c r="AV868" s="43">
        <v>1.0</v>
      </c>
      <c r="AW868" s="43" t="s">
        <v>106</v>
      </c>
      <c r="AX868" s="52"/>
      <c r="AY868" s="43" t="s">
        <v>110</v>
      </c>
      <c r="AZ868" s="52"/>
      <c r="BA868" s="43" t="s">
        <v>89</v>
      </c>
      <c r="BB868" s="52"/>
      <c r="BC868" s="109"/>
      <c r="BD868" s="70"/>
      <c r="BE868" s="71"/>
      <c r="BF868" s="72" t="s">
        <v>5213</v>
      </c>
      <c r="BG868" s="73"/>
      <c r="BH868" s="73"/>
      <c r="BI868" s="73"/>
      <c r="BJ868" s="73"/>
      <c r="BK868" s="73"/>
      <c r="BL868" s="73"/>
      <c r="BM868" s="73"/>
      <c r="BN868" s="73"/>
      <c r="BO868" s="73"/>
      <c r="BP868" s="73"/>
      <c r="BQ868" s="73"/>
      <c r="BR868" s="73"/>
      <c r="BS868" s="73"/>
      <c r="BT868" s="73"/>
      <c r="BU868" s="73"/>
      <c r="BV868" s="73"/>
      <c r="BW868" s="74"/>
      <c r="BX868" s="74"/>
      <c r="BY868" s="63"/>
      <c r="BZ868" s="63"/>
    </row>
    <row r="869" ht="15.75" customHeight="1">
      <c r="A869" s="133" t="s">
        <v>5214</v>
      </c>
      <c r="B869" s="43" t="s">
        <v>211</v>
      </c>
      <c r="C869" s="43" t="s">
        <v>70</v>
      </c>
      <c r="D869" s="43" t="s">
        <v>5215</v>
      </c>
      <c r="E869" s="45"/>
      <c r="F869" s="78">
        <v>3.8E8</v>
      </c>
      <c r="G869" s="44" t="str">
        <f t="shared" si="16"/>
        <v>$300'000.000 a $400'000.000</v>
      </c>
      <c r="H869" s="44"/>
      <c r="I869" s="44"/>
      <c r="J869" s="43" t="s">
        <v>116</v>
      </c>
      <c r="K869" s="56" t="s">
        <v>192</v>
      </c>
      <c r="L869" s="43">
        <v>4.0</v>
      </c>
      <c r="M869" s="43"/>
      <c r="N869" s="43">
        <v>3.0</v>
      </c>
      <c r="O869" s="43">
        <v>1.0</v>
      </c>
      <c r="P869" s="43">
        <v>2.0</v>
      </c>
      <c r="Q869" s="88">
        <v>144.0</v>
      </c>
      <c r="R869" s="88">
        <v>105.0</v>
      </c>
      <c r="S869" s="56" t="str">
        <f t="shared" si="27"/>
        <v> </v>
      </c>
      <c r="T869" s="43" t="s">
        <v>78</v>
      </c>
      <c r="U869" s="56" t="s">
        <v>142</v>
      </c>
      <c r="V869" s="43" t="s">
        <v>79</v>
      </c>
      <c r="W869" s="43"/>
      <c r="X869" s="43">
        <v>4.0</v>
      </c>
      <c r="Y869" s="43" t="s">
        <v>80</v>
      </c>
      <c r="Z869" s="58" t="s">
        <v>81</v>
      </c>
      <c r="AA869" s="59" t="str">
        <f>IF(Rentabilidad=0,"No aplica",TEXT(ROUND(Precio/Rentabilidad/12,0),0) &amp; " años")</f>
        <v>No aplica</v>
      </c>
      <c r="AB869" s="140" t="s">
        <v>5216</v>
      </c>
      <c r="AC869" s="167" t="s">
        <v>5217</v>
      </c>
      <c r="AD869" s="167" t="s">
        <v>5218</v>
      </c>
      <c r="AE869" s="63"/>
      <c r="AF869" s="64" t="s">
        <v>236</v>
      </c>
      <c r="AG869" s="65" t="s">
        <v>106</v>
      </c>
      <c r="AH869" s="63"/>
      <c r="AI869" s="65" t="s">
        <v>107</v>
      </c>
      <c r="AJ869" s="64" t="s">
        <v>5139</v>
      </c>
      <c r="AK869" s="58" t="s">
        <v>81</v>
      </c>
      <c r="AL869" s="45" t="s">
        <v>109</v>
      </c>
      <c r="AM869" s="43">
        <v>3.105641885E9</v>
      </c>
      <c r="AN869" s="64">
        <v>3.20361228E9</v>
      </c>
      <c r="AO869" s="43">
        <v>0.0</v>
      </c>
      <c r="AP869" s="84">
        <v>0.0</v>
      </c>
      <c r="AQ869" s="84"/>
      <c r="AR869" s="84"/>
      <c r="AS869" s="85">
        <v>0.0</v>
      </c>
      <c r="AT869" s="65">
        <v>0.0</v>
      </c>
      <c r="AU869" s="50">
        <v>0.0</v>
      </c>
      <c r="AV869" s="50">
        <v>0.0</v>
      </c>
      <c r="AW869" s="50" t="s">
        <v>106</v>
      </c>
      <c r="AX869" s="50">
        <v>44.0</v>
      </c>
      <c r="AY869" s="50" t="s">
        <v>137</v>
      </c>
      <c r="AZ869" s="50">
        <v>0.0</v>
      </c>
      <c r="BA869" s="43" t="s">
        <v>89</v>
      </c>
      <c r="BB869" s="50">
        <v>0.0</v>
      </c>
      <c r="BC869" s="95"/>
      <c r="BD869" s="71"/>
      <c r="BE869" s="71"/>
      <c r="BF869" s="72" t="s">
        <v>5219</v>
      </c>
      <c r="BG869" s="73"/>
      <c r="BH869" s="73"/>
      <c r="BI869" s="73"/>
      <c r="BJ869" s="73"/>
      <c r="BK869" s="73"/>
      <c r="BL869" s="73"/>
      <c r="BM869" s="73"/>
      <c r="BN869" s="73"/>
      <c r="BO869" s="73"/>
      <c r="BP869" s="73"/>
      <c r="BQ869" s="73"/>
      <c r="BR869" s="73"/>
      <c r="BS869" s="73"/>
      <c r="BT869" s="73"/>
      <c r="BU869" s="73"/>
      <c r="BV869" s="73"/>
      <c r="BW869" s="74"/>
      <c r="BX869" s="74"/>
      <c r="BY869" s="63"/>
      <c r="BZ869" s="63"/>
    </row>
    <row r="870" ht="15.75" customHeight="1">
      <c r="A870" s="75" t="s">
        <v>5220</v>
      </c>
      <c r="B870" s="50" t="s">
        <v>5221</v>
      </c>
      <c r="C870" s="50" t="s">
        <v>128</v>
      </c>
      <c r="D870" s="50" t="s">
        <v>1688</v>
      </c>
      <c r="E870" s="64" t="s">
        <v>5222</v>
      </c>
      <c r="F870" s="78">
        <v>3.6E8</v>
      </c>
      <c r="G870" s="44" t="str">
        <f t="shared" si="16"/>
        <v>$300'000.000 a $400'000.000</v>
      </c>
      <c r="H870" s="44"/>
      <c r="I870" s="44"/>
      <c r="J870" s="50" t="s">
        <v>183</v>
      </c>
      <c r="K870" s="51" t="s">
        <v>117</v>
      </c>
      <c r="L870" s="50">
        <v>3.0</v>
      </c>
      <c r="M870" s="50"/>
      <c r="N870" s="50">
        <v>3.0</v>
      </c>
      <c r="O870" s="50">
        <v>1.0</v>
      </c>
      <c r="P870" s="50">
        <v>2.0</v>
      </c>
      <c r="Q870" s="88">
        <v>170.0</v>
      </c>
      <c r="R870" s="88">
        <v>105.0</v>
      </c>
      <c r="S870" s="56" t="str">
        <f t="shared" si="27"/>
        <v> </v>
      </c>
      <c r="T870" s="50" t="s">
        <v>78</v>
      </c>
      <c r="U870" s="51" t="s">
        <v>142</v>
      </c>
      <c r="V870" s="50" t="s">
        <v>79</v>
      </c>
      <c r="W870" s="50"/>
      <c r="X870" s="50">
        <v>3.0</v>
      </c>
      <c r="Y870" s="50" t="s">
        <v>130</v>
      </c>
      <c r="Z870" s="58">
        <v>360000.0</v>
      </c>
      <c r="AA870" s="59" t="str">
        <f>IF(Rentabilidad=0,"No aplica",TEXT(ROUND(Precio/Rentabilidad/12,0),0) &amp; " años")</f>
        <v>No aplica</v>
      </c>
      <c r="AB870" s="82" t="s">
        <v>5223</v>
      </c>
      <c r="AC870" s="169" t="s">
        <v>5224</v>
      </c>
      <c r="AD870" s="169" t="s">
        <v>5225</v>
      </c>
      <c r="AE870" s="63"/>
      <c r="AF870" s="64" t="s">
        <v>105</v>
      </c>
      <c r="AG870" s="65" t="s">
        <v>106</v>
      </c>
      <c r="AH870" s="63"/>
      <c r="AI870" s="65" t="s">
        <v>107</v>
      </c>
      <c r="AJ870" s="64" t="s">
        <v>5139</v>
      </c>
      <c r="AK870" s="58" t="s">
        <v>81</v>
      </c>
      <c r="AL870" s="45" t="s">
        <v>109</v>
      </c>
      <c r="AM870" s="43">
        <v>3.105641885E9</v>
      </c>
      <c r="AN870" s="64">
        <v>3.20361228E9</v>
      </c>
      <c r="AO870" s="52"/>
      <c r="AP870" s="67"/>
      <c r="AQ870" s="67"/>
      <c r="AR870" s="67"/>
      <c r="AS870" s="85">
        <v>0.0</v>
      </c>
      <c r="AT870" s="65">
        <v>0.0</v>
      </c>
      <c r="AU870" s="50">
        <v>0.0</v>
      </c>
      <c r="AV870" s="50">
        <v>0.0</v>
      </c>
      <c r="AW870" s="50" t="s">
        <v>88</v>
      </c>
      <c r="AX870" s="50">
        <v>0.0</v>
      </c>
      <c r="AY870" s="50">
        <v>0.0</v>
      </c>
      <c r="AZ870" s="50">
        <v>0.0</v>
      </c>
      <c r="BA870" s="43" t="s">
        <v>89</v>
      </c>
      <c r="BB870" s="50">
        <v>0.0</v>
      </c>
      <c r="BC870" s="95"/>
      <c r="BD870" s="71"/>
      <c r="BE870" s="70"/>
      <c r="BF870" s="72" t="s">
        <v>5226</v>
      </c>
      <c r="BG870" s="73"/>
      <c r="BH870" s="73"/>
      <c r="BI870" s="73"/>
      <c r="BJ870" s="73"/>
      <c r="BK870" s="73"/>
      <c r="BL870" s="73"/>
      <c r="BM870" s="73"/>
      <c r="BN870" s="73"/>
      <c r="BO870" s="73"/>
      <c r="BP870" s="73"/>
      <c r="BQ870" s="73"/>
      <c r="BR870" s="73"/>
      <c r="BS870" s="73"/>
      <c r="BT870" s="73"/>
      <c r="BU870" s="73"/>
      <c r="BV870" s="73"/>
      <c r="BW870" s="74"/>
      <c r="BX870" s="74"/>
      <c r="BY870" s="63"/>
      <c r="BZ870" s="63"/>
    </row>
    <row r="871" ht="15.75" customHeight="1">
      <c r="A871" s="75" t="s">
        <v>5227</v>
      </c>
      <c r="B871" s="50" t="s">
        <v>5228</v>
      </c>
      <c r="C871" s="50" t="s">
        <v>1228</v>
      </c>
      <c r="D871" s="50" t="s">
        <v>155</v>
      </c>
      <c r="E871" s="64"/>
      <c r="F871" s="78">
        <v>3.6E8</v>
      </c>
      <c r="G871" s="44" t="str">
        <f t="shared" si="16"/>
        <v>$300'000.000 a $400'000.000</v>
      </c>
      <c r="H871" s="44"/>
      <c r="I871" s="44"/>
      <c r="J871" s="50" t="s">
        <v>76</v>
      </c>
      <c r="K871" s="51"/>
      <c r="L871" s="50">
        <v>2.0</v>
      </c>
      <c r="M871" s="50"/>
      <c r="N871" s="50">
        <v>2.0</v>
      </c>
      <c r="O871" s="50">
        <v>0.0</v>
      </c>
      <c r="P871" s="50">
        <v>1.0</v>
      </c>
      <c r="Q871" s="88">
        <v>96.0</v>
      </c>
      <c r="R871" s="88">
        <v>105.0</v>
      </c>
      <c r="S871" s="56" t="str">
        <f t="shared" si="27"/>
        <v> </v>
      </c>
      <c r="T871" s="50" t="s">
        <v>78</v>
      </c>
      <c r="U871" s="51" t="s">
        <v>184</v>
      </c>
      <c r="V871" s="50" t="s">
        <v>79</v>
      </c>
      <c r="W871" s="50"/>
      <c r="X871" s="50">
        <v>0.0</v>
      </c>
      <c r="Y871" s="50" t="s">
        <v>80</v>
      </c>
      <c r="Z871" s="58" t="s">
        <v>81</v>
      </c>
      <c r="AA871" s="59" t="str">
        <f>IF(Rentabilidad=0,"No aplica",TEXT(ROUND(Precio/Rentabilidad/12,0),0) &amp; " años")</f>
        <v>No aplica</v>
      </c>
      <c r="AB871" s="82" t="s">
        <v>5229</v>
      </c>
      <c r="AC871" s="83" t="s">
        <v>5230</v>
      </c>
      <c r="AD871" s="83" t="s">
        <v>5231</v>
      </c>
      <c r="AE871" s="63"/>
      <c r="AF871" s="64">
        <v>0.0</v>
      </c>
      <c r="AG871" s="65" t="s">
        <v>106</v>
      </c>
      <c r="AH871" s="63"/>
      <c r="AI871" s="65" t="s">
        <v>107</v>
      </c>
      <c r="AJ871" s="64" t="s">
        <v>5139</v>
      </c>
      <c r="AK871" s="58" t="s">
        <v>81</v>
      </c>
      <c r="AL871" s="45" t="s">
        <v>109</v>
      </c>
      <c r="AM871" s="43">
        <v>3.105641885E9</v>
      </c>
      <c r="AN871" s="64">
        <v>3.20361228E9</v>
      </c>
      <c r="AO871" s="52"/>
      <c r="AP871" s="67"/>
      <c r="AQ871" s="67"/>
      <c r="AR871" s="67"/>
      <c r="AS871" s="85">
        <v>0.0</v>
      </c>
      <c r="AT871" s="65">
        <v>0.0</v>
      </c>
      <c r="AU871" s="50">
        <v>0.0</v>
      </c>
      <c r="AV871" s="50">
        <v>0.0</v>
      </c>
      <c r="AW871" s="50" t="s">
        <v>88</v>
      </c>
      <c r="AX871" s="50">
        <v>0.0</v>
      </c>
      <c r="AY871" s="50">
        <v>0.0</v>
      </c>
      <c r="AZ871" s="50">
        <v>0.0</v>
      </c>
      <c r="BA871" s="43" t="s">
        <v>89</v>
      </c>
      <c r="BB871" s="50">
        <v>0.0</v>
      </c>
      <c r="BC871" s="95"/>
      <c r="BD871" s="71"/>
      <c r="BE871" s="70"/>
      <c r="BF871" s="72" t="s">
        <v>5232</v>
      </c>
      <c r="BG871" s="73"/>
      <c r="BH871" s="73"/>
      <c r="BI871" s="73"/>
      <c r="BJ871" s="73"/>
      <c r="BK871" s="73"/>
      <c r="BL871" s="73"/>
      <c r="BM871" s="73"/>
      <c r="BN871" s="73"/>
      <c r="BO871" s="73"/>
      <c r="BP871" s="73"/>
      <c r="BQ871" s="73"/>
      <c r="BR871" s="73"/>
      <c r="BS871" s="73"/>
      <c r="BT871" s="73"/>
      <c r="BU871" s="73"/>
      <c r="BV871" s="73"/>
      <c r="BW871" s="74"/>
      <c r="BX871" s="74"/>
      <c r="BY871" s="63"/>
      <c r="BZ871" s="63"/>
    </row>
    <row r="872" ht="15.75" customHeight="1">
      <c r="A872" s="111">
        <v>843.0</v>
      </c>
      <c r="B872" s="111" t="s">
        <v>5233</v>
      </c>
      <c r="C872" s="111" t="s">
        <v>70</v>
      </c>
      <c r="D872" s="111" t="s">
        <v>5234</v>
      </c>
      <c r="E872" s="209"/>
      <c r="F872" s="78">
        <v>3.45E8</v>
      </c>
      <c r="G872" s="44" t="str">
        <f t="shared" si="16"/>
        <v>$300'000.000 a $400'000.000</v>
      </c>
      <c r="H872" s="44"/>
      <c r="I872" s="44"/>
      <c r="J872" s="111" t="s">
        <v>183</v>
      </c>
      <c r="K872" s="111">
        <v>1.0</v>
      </c>
      <c r="L872" s="111">
        <v>3.0</v>
      </c>
      <c r="M872" s="111"/>
      <c r="N872" s="111">
        <v>2.0</v>
      </c>
      <c r="O872" s="111">
        <v>1.0</v>
      </c>
      <c r="P872" s="111">
        <v>1.0</v>
      </c>
      <c r="Q872" s="88">
        <v>170.0</v>
      </c>
      <c r="R872" s="88">
        <v>170.0</v>
      </c>
      <c r="T872" s="111" t="s">
        <v>78</v>
      </c>
      <c r="U872" s="111">
        <v>2.0</v>
      </c>
      <c r="V872" s="111" t="s">
        <v>79</v>
      </c>
      <c r="W872" s="111"/>
      <c r="X872" s="111">
        <v>1.0</v>
      </c>
      <c r="Y872" s="209"/>
      <c r="AA872" s="59" t="str">
        <f>IF(Rentabilidad=0,"No aplica",TEXT(ROUND(Precio/Rentabilidad/12,0),0) &amp; " años")</f>
        <v>No aplica</v>
      </c>
      <c r="AB872" s="165" t="s">
        <v>5235</v>
      </c>
      <c r="AC872" s="131" t="s">
        <v>5236</v>
      </c>
      <c r="AD872" s="349"/>
      <c r="AF872" s="111" t="s">
        <v>105</v>
      </c>
      <c r="AG872" s="111" t="s">
        <v>106</v>
      </c>
      <c r="AI872" s="65" t="s">
        <v>107</v>
      </c>
      <c r="AJ872" s="64" t="s">
        <v>5139</v>
      </c>
      <c r="AK872" s="58" t="s">
        <v>81</v>
      </c>
      <c r="AL872" s="45" t="s">
        <v>109</v>
      </c>
      <c r="AM872" s="43">
        <v>3.105641885E9</v>
      </c>
      <c r="AN872" s="64">
        <v>3.20361228E9</v>
      </c>
      <c r="AO872" s="209"/>
      <c r="AP872" s="126" t="s">
        <v>5237</v>
      </c>
      <c r="AQ872" s="126"/>
      <c r="AR872" s="126"/>
      <c r="AS872" s="209"/>
      <c r="AT872" s="209"/>
      <c r="AU872" s="209"/>
      <c r="AV872" s="50">
        <v>0.0</v>
      </c>
      <c r="AW872" s="50" t="s">
        <v>106</v>
      </c>
      <c r="AX872" s="44"/>
      <c r="AY872" s="50" t="s">
        <v>137</v>
      </c>
      <c r="AZ872" s="209"/>
      <c r="BA872" s="43" t="s">
        <v>89</v>
      </c>
      <c r="BB872" s="209"/>
      <c r="BF872" s="8" t="s">
        <v>5238</v>
      </c>
      <c r="BG872" s="73"/>
      <c r="BH872" s="73"/>
      <c r="BI872" s="73"/>
      <c r="BJ872" s="73"/>
      <c r="BK872" s="73"/>
      <c r="BL872" s="73"/>
      <c r="BM872" s="73"/>
      <c r="BN872" s="73"/>
      <c r="BO872" s="73"/>
      <c r="BP872" s="73"/>
      <c r="BQ872" s="73"/>
      <c r="BR872" s="73"/>
      <c r="BS872" s="73"/>
      <c r="BT872" s="73"/>
      <c r="BU872" s="73"/>
      <c r="BV872" s="73"/>
      <c r="BW872" s="74"/>
      <c r="BX872" s="74"/>
      <c r="BY872" s="63"/>
      <c r="BZ872" s="63"/>
    </row>
    <row r="873" ht="15.75" customHeight="1">
      <c r="A873" s="75" t="s">
        <v>5239</v>
      </c>
      <c r="B873" s="50" t="s">
        <v>5240</v>
      </c>
      <c r="C873" s="50" t="s">
        <v>128</v>
      </c>
      <c r="D873" s="58" t="s">
        <v>720</v>
      </c>
      <c r="E873" s="64" t="s">
        <v>3424</v>
      </c>
      <c r="F873" s="78">
        <v>3.4E8</v>
      </c>
      <c r="G873" s="44" t="str">
        <f t="shared" si="16"/>
        <v>$300'000.000 a $400'000.000</v>
      </c>
      <c r="H873" s="44"/>
      <c r="I873" s="44"/>
      <c r="J873" s="50" t="s">
        <v>94</v>
      </c>
      <c r="K873" s="51" t="s">
        <v>117</v>
      </c>
      <c r="L873" s="43">
        <v>3.0</v>
      </c>
      <c r="M873" s="43"/>
      <c r="N873" s="43">
        <v>4.0</v>
      </c>
      <c r="O873" s="43">
        <v>1.0</v>
      </c>
      <c r="P873" s="43">
        <v>2.0</v>
      </c>
      <c r="Q873" s="88">
        <v>120.0</v>
      </c>
      <c r="R873" s="88">
        <v>120.0</v>
      </c>
      <c r="S873" s="56" t="str">
        <f t="shared" ref="S873:S878" si="28">IF(AS873=0," ","Rentabilidad $" &amp; TEXT(AS873,"#,##0"))</f>
        <v> </v>
      </c>
      <c r="T873" s="43" t="s">
        <v>78</v>
      </c>
      <c r="U873" s="56" t="s">
        <v>77</v>
      </c>
      <c r="V873" s="43" t="s">
        <v>79</v>
      </c>
      <c r="W873" s="43"/>
      <c r="X873" s="43">
        <v>3.0</v>
      </c>
      <c r="Y873" s="43" t="s">
        <v>130</v>
      </c>
      <c r="Z873" s="151"/>
      <c r="AA873" s="59" t="str">
        <f>IF(Rentabilidad=0,"No aplica",TEXT(ROUND(Precio/Rentabilidad/12,0),0) &amp; " años")</f>
        <v>No aplica</v>
      </c>
      <c r="AB873" s="134" t="s">
        <v>5241</v>
      </c>
      <c r="AC873" s="124" t="s">
        <v>5242</v>
      </c>
      <c r="AD873" s="62"/>
      <c r="AE873" s="63"/>
      <c r="AF873" s="64" t="s">
        <v>236</v>
      </c>
      <c r="AG873" s="65" t="s">
        <v>106</v>
      </c>
      <c r="AH873" s="63"/>
      <c r="AI873" s="65" t="s">
        <v>107</v>
      </c>
      <c r="AJ873" s="64" t="s">
        <v>5139</v>
      </c>
      <c r="AK873" s="58" t="s">
        <v>81</v>
      </c>
      <c r="AL873" s="45" t="s">
        <v>109</v>
      </c>
      <c r="AM873" s="43">
        <v>3.105641885E9</v>
      </c>
      <c r="AN873" s="64">
        <v>3.20361228E9</v>
      </c>
      <c r="AO873" s="52"/>
      <c r="AP873" s="67"/>
      <c r="AQ873" s="84">
        <v>2.90319427374925</v>
      </c>
      <c r="AR873" s="84">
        <v>-75.2733822856823</v>
      </c>
      <c r="AS873" s="94">
        <v>0.0</v>
      </c>
      <c r="AT873" s="44"/>
      <c r="AU873" s="52"/>
      <c r="AV873" s="52"/>
      <c r="AW873" s="52"/>
      <c r="AX873" s="52"/>
      <c r="AY873" s="43" t="s">
        <v>137</v>
      </c>
      <c r="AZ873" s="52"/>
      <c r="BA873" s="43" t="s">
        <v>89</v>
      </c>
      <c r="BB873" s="52"/>
      <c r="BC873" s="95"/>
      <c r="BD873" s="71"/>
      <c r="BE873" s="71"/>
      <c r="BF873" s="72" t="s">
        <v>5243</v>
      </c>
      <c r="BG873" s="73"/>
      <c r="BH873" s="73"/>
      <c r="BI873" s="73"/>
      <c r="BJ873" s="73"/>
      <c r="BK873" s="73"/>
      <c r="BL873" s="73"/>
      <c r="BM873" s="73"/>
      <c r="BN873" s="73"/>
      <c r="BO873" s="73"/>
      <c r="BP873" s="73"/>
      <c r="BQ873" s="73"/>
      <c r="BR873" s="73"/>
      <c r="BS873" s="73"/>
      <c r="BT873" s="73"/>
      <c r="BU873" s="73"/>
      <c r="BV873" s="73"/>
      <c r="BW873" s="74"/>
      <c r="BX873" s="74"/>
      <c r="BY873" s="63"/>
      <c r="BZ873" s="63"/>
    </row>
    <row r="874" ht="15.75" customHeight="1">
      <c r="A874" s="75" t="s">
        <v>5244</v>
      </c>
      <c r="B874" s="50" t="s">
        <v>5245</v>
      </c>
      <c r="C874" s="111" t="s">
        <v>323</v>
      </c>
      <c r="D874" s="58" t="s">
        <v>720</v>
      </c>
      <c r="E874" s="64" t="s">
        <v>5246</v>
      </c>
      <c r="F874" s="78">
        <v>3.25E8</v>
      </c>
      <c r="G874" s="44" t="str">
        <f t="shared" si="16"/>
        <v>$300'000.000 a $400'000.000</v>
      </c>
      <c r="H874" s="44"/>
      <c r="I874" s="44"/>
      <c r="J874" s="50" t="s">
        <v>94</v>
      </c>
      <c r="K874" s="51" t="s">
        <v>117</v>
      </c>
      <c r="L874" s="43">
        <v>3.0</v>
      </c>
      <c r="M874" s="43"/>
      <c r="N874" s="43">
        <v>2.0</v>
      </c>
      <c r="O874" s="43">
        <v>1.0</v>
      </c>
      <c r="P874" s="111">
        <v>1.0</v>
      </c>
      <c r="Q874" s="55">
        <v>95.0</v>
      </c>
      <c r="R874" s="55">
        <v>95.0</v>
      </c>
      <c r="S874" s="56" t="str">
        <f t="shared" si="28"/>
        <v> </v>
      </c>
      <c r="T874" s="43" t="s">
        <v>78</v>
      </c>
      <c r="U874" s="56" t="s">
        <v>77</v>
      </c>
      <c r="V874" s="43" t="s">
        <v>1014</v>
      </c>
      <c r="W874" s="43"/>
      <c r="X874" s="43">
        <v>3.0</v>
      </c>
      <c r="Y874" s="43" t="s">
        <v>130</v>
      </c>
      <c r="Z874" s="280">
        <v>359000.0</v>
      </c>
      <c r="AA874" s="59" t="str">
        <f>IF(Rentabilidad=0,"No aplica",TEXT(ROUND(Precio/Rentabilidad/12,0),0) &amp; " años")</f>
        <v>No aplica</v>
      </c>
      <c r="AB874" s="172" t="s">
        <v>5247</v>
      </c>
      <c r="AC874" s="124" t="s">
        <v>5248</v>
      </c>
      <c r="AD874" s="62"/>
      <c r="AE874" s="63"/>
      <c r="AF874" s="64" t="s">
        <v>105</v>
      </c>
      <c r="AG874" s="65" t="s">
        <v>106</v>
      </c>
      <c r="AH874" s="63"/>
      <c r="AI874" s="65" t="s">
        <v>107</v>
      </c>
      <c r="AJ874" s="64" t="s">
        <v>5139</v>
      </c>
      <c r="AK874" s="58" t="s">
        <v>81</v>
      </c>
      <c r="AL874" s="45" t="s">
        <v>109</v>
      </c>
      <c r="AM874" s="43">
        <v>3.105641885E9</v>
      </c>
      <c r="AN874" s="64">
        <v>3.20361228E9</v>
      </c>
      <c r="AO874" s="52"/>
      <c r="AP874" s="67"/>
      <c r="AQ874" s="143">
        <v>2.9640682</v>
      </c>
      <c r="AR874" s="143">
        <v>-75.2898341</v>
      </c>
      <c r="AS874" s="135"/>
      <c r="AT874" s="50" t="s">
        <v>106</v>
      </c>
      <c r="AU874" s="52"/>
      <c r="AV874" s="52"/>
      <c r="AW874" s="52"/>
      <c r="AX874" s="52"/>
      <c r="AY874" s="43" t="s">
        <v>137</v>
      </c>
      <c r="AZ874" s="52"/>
      <c r="BA874" s="43" t="s">
        <v>89</v>
      </c>
      <c r="BB874" s="52"/>
      <c r="BC874" s="86"/>
      <c r="BD874" s="71"/>
      <c r="BE874" s="71"/>
      <c r="BF874" s="72" t="s">
        <v>5249</v>
      </c>
      <c r="BG874" s="73"/>
      <c r="BH874" s="73"/>
      <c r="BI874" s="73"/>
      <c r="BJ874" s="73"/>
      <c r="BK874" s="73"/>
      <c r="BL874" s="73"/>
      <c r="BM874" s="73"/>
      <c r="BN874" s="73"/>
      <c r="BO874" s="73"/>
      <c r="BP874" s="73"/>
      <c r="BQ874" s="73"/>
      <c r="BR874" s="73"/>
      <c r="BS874" s="73"/>
      <c r="BT874" s="73"/>
      <c r="BU874" s="73"/>
      <c r="BV874" s="73"/>
      <c r="BW874" s="74"/>
      <c r="BX874" s="74"/>
      <c r="BY874" s="63"/>
      <c r="BZ874" s="63"/>
    </row>
    <row r="875" ht="15.75" customHeight="1">
      <c r="A875" s="75" t="s">
        <v>5250</v>
      </c>
      <c r="B875" s="50" t="s">
        <v>5251</v>
      </c>
      <c r="C875" s="50" t="s">
        <v>70</v>
      </c>
      <c r="D875" s="50" t="s">
        <v>5252</v>
      </c>
      <c r="E875" s="77"/>
      <c r="F875" s="78">
        <v>3.2E8</v>
      </c>
      <c r="G875" s="44" t="str">
        <f t="shared" si="16"/>
        <v>$300'000.000 a $400'000.000</v>
      </c>
      <c r="H875" s="44"/>
      <c r="I875" s="44"/>
      <c r="J875" s="50" t="s">
        <v>183</v>
      </c>
      <c r="K875" s="51" t="s">
        <v>241</v>
      </c>
      <c r="L875" s="50">
        <v>3.0</v>
      </c>
      <c r="M875" s="50"/>
      <c r="N875" s="50">
        <v>2.0</v>
      </c>
      <c r="O875" s="50">
        <v>2.0</v>
      </c>
      <c r="P875" s="50">
        <v>2.0</v>
      </c>
      <c r="Q875" s="88">
        <v>112.0</v>
      </c>
      <c r="R875" s="88">
        <v>107.0</v>
      </c>
      <c r="S875" s="56" t="str">
        <f t="shared" si="28"/>
        <v> </v>
      </c>
      <c r="T875" s="50" t="s">
        <v>78</v>
      </c>
      <c r="U875" s="51" t="s">
        <v>184</v>
      </c>
      <c r="V875" s="50" t="s">
        <v>79</v>
      </c>
      <c r="W875" s="50"/>
      <c r="X875" s="50">
        <v>3.0</v>
      </c>
      <c r="Y875" s="43" t="s">
        <v>80</v>
      </c>
      <c r="Z875" s="58" t="s">
        <v>81</v>
      </c>
      <c r="AA875" s="59" t="str">
        <f>IF(Rentabilidad=0,"No aplica",TEXT(ROUND(Precio/Rentabilidad/12,0),0) &amp; " años")</f>
        <v>No aplica</v>
      </c>
      <c r="AB875" s="115" t="s">
        <v>5253</v>
      </c>
      <c r="AC875" s="132" t="s">
        <v>5254</v>
      </c>
      <c r="AD875" s="125" t="s">
        <v>5255</v>
      </c>
      <c r="AE875" s="63"/>
      <c r="AF875" s="64" t="s">
        <v>105</v>
      </c>
      <c r="AG875" s="65" t="s">
        <v>106</v>
      </c>
      <c r="AH875" s="65"/>
      <c r="AI875" s="65" t="s">
        <v>107</v>
      </c>
      <c r="AJ875" s="64" t="s">
        <v>5139</v>
      </c>
      <c r="AK875" s="58" t="s">
        <v>81</v>
      </c>
      <c r="AL875" s="45" t="s">
        <v>109</v>
      </c>
      <c r="AM875" s="43">
        <v>3.105641885E9</v>
      </c>
      <c r="AN875" s="64">
        <v>3.20361228E9</v>
      </c>
      <c r="AO875" s="52"/>
      <c r="AP875" s="67"/>
      <c r="AQ875" s="67"/>
      <c r="AR875" s="67"/>
      <c r="AS875" s="94">
        <v>0.0</v>
      </c>
      <c r="AT875" s="50" t="s">
        <v>88</v>
      </c>
      <c r="AU875" s="43">
        <v>0.0</v>
      </c>
      <c r="AV875" s="43">
        <v>0.0</v>
      </c>
      <c r="AW875" s="43" t="s">
        <v>106</v>
      </c>
      <c r="AX875" s="43">
        <v>30.0</v>
      </c>
      <c r="AY875" s="43" t="s">
        <v>106</v>
      </c>
      <c r="AZ875" s="43">
        <v>0.0</v>
      </c>
      <c r="BA875" s="43" t="s">
        <v>89</v>
      </c>
      <c r="BB875" s="43">
        <v>0.0</v>
      </c>
      <c r="BC875" s="109"/>
      <c r="BD875" s="70"/>
      <c r="BE875" s="71"/>
      <c r="BF875" s="72" t="s">
        <v>5256</v>
      </c>
      <c r="BG875" s="73"/>
      <c r="BH875" s="73"/>
      <c r="BI875" s="73"/>
      <c r="BJ875" s="73"/>
      <c r="BK875" s="73"/>
      <c r="BL875" s="73"/>
      <c r="BM875" s="73"/>
      <c r="BN875" s="73"/>
      <c r="BO875" s="73"/>
      <c r="BP875" s="73"/>
      <c r="BQ875" s="73"/>
      <c r="BR875" s="73"/>
      <c r="BS875" s="73"/>
      <c r="BT875" s="73"/>
      <c r="BU875" s="73"/>
      <c r="BV875" s="73"/>
      <c r="BW875" s="74"/>
      <c r="BX875" s="74"/>
      <c r="BY875" s="63"/>
      <c r="BZ875" s="63"/>
    </row>
    <row r="876" ht="15.75" customHeight="1">
      <c r="A876" s="75" t="s">
        <v>5257</v>
      </c>
      <c r="B876" s="50" t="s">
        <v>5258</v>
      </c>
      <c r="C876" s="50" t="s">
        <v>128</v>
      </c>
      <c r="D876" s="58" t="s">
        <v>5259</v>
      </c>
      <c r="E876" s="64" t="s">
        <v>5260</v>
      </c>
      <c r="F876" s="78">
        <v>3.2E8</v>
      </c>
      <c r="G876" s="44" t="str">
        <f t="shared" si="16"/>
        <v>$300'000.000 a $400'000.000</v>
      </c>
      <c r="H876" s="44"/>
      <c r="I876" s="44"/>
      <c r="J876" s="43" t="s">
        <v>183</v>
      </c>
      <c r="K876" s="51" t="s">
        <v>888</v>
      </c>
      <c r="L876" s="43">
        <v>4.0</v>
      </c>
      <c r="M876" s="43"/>
      <c r="N876" s="43">
        <v>3.0</v>
      </c>
      <c r="O876" s="43">
        <v>1.0</v>
      </c>
      <c r="P876" s="43">
        <v>2.0</v>
      </c>
      <c r="Q876" s="55">
        <v>101.5</v>
      </c>
      <c r="R876" s="55">
        <v>50.0</v>
      </c>
      <c r="S876" s="56" t="str">
        <f t="shared" si="28"/>
        <v> </v>
      </c>
      <c r="T876" s="43" t="s">
        <v>78</v>
      </c>
      <c r="U876" s="56" t="s">
        <v>77</v>
      </c>
      <c r="V876" s="43" t="s">
        <v>79</v>
      </c>
      <c r="W876" s="43"/>
      <c r="X876" s="43">
        <v>4.0</v>
      </c>
      <c r="Y876" s="43" t="s">
        <v>130</v>
      </c>
      <c r="Z876" s="151"/>
      <c r="AA876" s="59" t="str">
        <f>IF(Rentabilidad=0,"No aplica",TEXT(ROUND(Precio/Rentabilidad/12,0),0) &amp; " años")</f>
        <v>No aplica</v>
      </c>
      <c r="AB876" s="134" t="s">
        <v>5261</v>
      </c>
      <c r="AC876" s="124" t="s">
        <v>5262</v>
      </c>
      <c r="AD876" s="62"/>
      <c r="AE876" s="63"/>
      <c r="AF876" s="64" t="s">
        <v>236</v>
      </c>
      <c r="AG876" s="65" t="s">
        <v>106</v>
      </c>
      <c r="AH876" s="63"/>
      <c r="AI876" s="65" t="s">
        <v>107</v>
      </c>
      <c r="AJ876" s="64" t="s">
        <v>5139</v>
      </c>
      <c r="AK876" s="58" t="s">
        <v>81</v>
      </c>
      <c r="AL876" s="45" t="s">
        <v>109</v>
      </c>
      <c r="AM876" s="43">
        <v>3.105641885E9</v>
      </c>
      <c r="AN876" s="64">
        <v>3.20361228E9</v>
      </c>
      <c r="AO876" s="52"/>
      <c r="AP876" s="67"/>
      <c r="AQ876" s="143">
        <v>2.959967</v>
      </c>
      <c r="AR876" s="143">
        <v>-75.2837626</v>
      </c>
      <c r="AS876" s="135"/>
      <c r="AT876" s="50">
        <v>0.0</v>
      </c>
      <c r="AU876" s="52"/>
      <c r="AV876" s="52"/>
      <c r="AW876" s="52"/>
      <c r="AX876" s="52"/>
      <c r="AY876" s="43" t="s">
        <v>137</v>
      </c>
      <c r="AZ876" s="52"/>
      <c r="BA876" s="43" t="s">
        <v>89</v>
      </c>
      <c r="BB876" s="52"/>
      <c r="BC876" s="69" t="s">
        <v>5263</v>
      </c>
      <c r="BD876" s="70"/>
      <c r="BE876" s="71"/>
      <c r="BF876" s="72" t="s">
        <v>5264</v>
      </c>
      <c r="BG876" s="73"/>
      <c r="BH876" s="73"/>
      <c r="BI876" s="73"/>
      <c r="BJ876" s="73"/>
      <c r="BK876" s="73"/>
      <c r="BL876" s="73"/>
      <c r="BM876" s="73"/>
      <c r="BN876" s="73"/>
      <c r="BO876" s="73"/>
      <c r="BP876" s="73"/>
      <c r="BQ876" s="73"/>
      <c r="BR876" s="73"/>
      <c r="BS876" s="73"/>
      <c r="BT876" s="73"/>
      <c r="BU876" s="73"/>
      <c r="BV876" s="73"/>
      <c r="BW876" s="74"/>
      <c r="BX876" s="74"/>
      <c r="BY876" s="63"/>
      <c r="BZ876" s="63"/>
    </row>
    <row r="877" ht="15.75" customHeight="1">
      <c r="A877" s="75" t="s">
        <v>5265</v>
      </c>
      <c r="B877" s="50" t="s">
        <v>5266</v>
      </c>
      <c r="C877" s="50" t="s">
        <v>573</v>
      </c>
      <c r="D877" s="50" t="s">
        <v>1005</v>
      </c>
      <c r="E877" s="77"/>
      <c r="F877" s="78">
        <v>2.8E8</v>
      </c>
      <c r="G877" s="44" t="str">
        <f t="shared" si="16"/>
        <v>$200'000.000 a $300'000.000</v>
      </c>
      <c r="H877" s="44"/>
      <c r="I877" s="44"/>
      <c r="J877" s="50" t="s">
        <v>116</v>
      </c>
      <c r="K877" s="51" t="s">
        <v>192</v>
      </c>
      <c r="L877" s="50">
        <v>3.0</v>
      </c>
      <c r="M877" s="50"/>
      <c r="N877" s="50">
        <v>2.0</v>
      </c>
      <c r="O877" s="50">
        <v>1.0</v>
      </c>
      <c r="P877" s="50">
        <v>2.0</v>
      </c>
      <c r="Q877" s="88">
        <v>87.21</v>
      </c>
      <c r="R877" s="88">
        <v>79.83</v>
      </c>
      <c r="S877" s="56" t="str">
        <f t="shared" si="28"/>
        <v> </v>
      </c>
      <c r="T877" s="50" t="s">
        <v>78</v>
      </c>
      <c r="U877" s="51" t="s">
        <v>142</v>
      </c>
      <c r="V877" s="50" t="s">
        <v>542</v>
      </c>
      <c r="W877" s="50"/>
      <c r="X877" s="50">
        <v>3.0</v>
      </c>
      <c r="Y877" s="43" t="s">
        <v>80</v>
      </c>
      <c r="Z877" s="58">
        <v>130000.0</v>
      </c>
      <c r="AA877" s="59" t="str">
        <f>IF(Rentabilidad=0,"No aplica",TEXT(ROUND(Precio/Rentabilidad/12,0),0) &amp; " años")</f>
        <v>No aplica</v>
      </c>
      <c r="AB877" s="115" t="s">
        <v>5267</v>
      </c>
      <c r="AC877" s="132" t="s">
        <v>5268</v>
      </c>
      <c r="AD877" s="132" t="s">
        <v>5269</v>
      </c>
      <c r="AE877" s="63"/>
      <c r="AF877" s="64" t="s">
        <v>105</v>
      </c>
      <c r="AG877" s="65" t="s">
        <v>106</v>
      </c>
      <c r="AH877" s="65"/>
      <c r="AI877" s="65" t="s">
        <v>107</v>
      </c>
      <c r="AJ877" s="64" t="s">
        <v>5139</v>
      </c>
      <c r="AK877" s="58" t="s">
        <v>81</v>
      </c>
      <c r="AL877" s="45" t="s">
        <v>109</v>
      </c>
      <c r="AM877" s="43">
        <v>3.105641885E9</v>
      </c>
      <c r="AN877" s="64">
        <v>3.20361228E9</v>
      </c>
      <c r="AO877" s="52"/>
      <c r="AP877" s="67"/>
      <c r="AQ877" s="67"/>
      <c r="AR877" s="67"/>
      <c r="AS877" s="94">
        <v>0.0</v>
      </c>
      <c r="AT877" s="50" t="s">
        <v>88</v>
      </c>
      <c r="AU877" s="43">
        <v>0.0</v>
      </c>
      <c r="AV877" s="43">
        <v>0.0</v>
      </c>
      <c r="AW877" s="43" t="s">
        <v>88</v>
      </c>
      <c r="AX877" s="43">
        <v>9.0</v>
      </c>
      <c r="AY877" s="43" t="s">
        <v>106</v>
      </c>
      <c r="AZ877" s="43">
        <v>0.0</v>
      </c>
      <c r="BA877" s="43" t="s">
        <v>89</v>
      </c>
      <c r="BB877" s="43">
        <v>0.0</v>
      </c>
      <c r="BC877" s="69" t="s">
        <v>716</v>
      </c>
      <c r="BD877" s="70"/>
      <c r="BE877" s="71"/>
      <c r="BF877" s="72" t="s">
        <v>5270</v>
      </c>
      <c r="BG877" s="73"/>
      <c r="BH877" s="73"/>
      <c r="BI877" s="73"/>
      <c r="BJ877" s="73"/>
      <c r="BK877" s="73"/>
      <c r="BL877" s="73"/>
      <c r="BM877" s="73"/>
      <c r="BN877" s="73"/>
      <c r="BO877" s="73"/>
      <c r="BP877" s="73"/>
      <c r="BQ877" s="73"/>
      <c r="BR877" s="73"/>
      <c r="BS877" s="73"/>
      <c r="BT877" s="73"/>
      <c r="BU877" s="73"/>
      <c r="BV877" s="73"/>
      <c r="BW877" s="74"/>
      <c r="BX877" s="74"/>
      <c r="BY877" s="63"/>
      <c r="BZ877" s="63"/>
    </row>
    <row r="878" ht="15.75" customHeight="1">
      <c r="A878" s="75" t="s">
        <v>5271</v>
      </c>
      <c r="B878" s="50" t="s">
        <v>5272</v>
      </c>
      <c r="C878" s="50" t="s">
        <v>70</v>
      </c>
      <c r="D878" s="43" t="s">
        <v>3688</v>
      </c>
      <c r="E878" s="45"/>
      <c r="F878" s="78">
        <v>2.7E8</v>
      </c>
      <c r="G878" s="44" t="str">
        <f t="shared" si="16"/>
        <v>$200'000.000 a $300'000.000</v>
      </c>
      <c r="H878" s="44"/>
      <c r="I878" s="44"/>
      <c r="J878" s="50" t="s">
        <v>116</v>
      </c>
      <c r="K878" s="51" t="s">
        <v>192</v>
      </c>
      <c r="L878" s="50">
        <v>3.0</v>
      </c>
      <c r="M878" s="50"/>
      <c r="N878" s="50">
        <v>3.0</v>
      </c>
      <c r="O878" s="50">
        <v>1.0</v>
      </c>
      <c r="P878" s="50">
        <v>2.0</v>
      </c>
      <c r="Q878" s="79">
        <v>120.0</v>
      </c>
      <c r="R878" s="79">
        <v>80.0</v>
      </c>
      <c r="S878" s="56" t="str">
        <f t="shared" si="28"/>
        <v> </v>
      </c>
      <c r="T878" s="43" t="s">
        <v>78</v>
      </c>
      <c r="U878" s="51" t="s">
        <v>77</v>
      </c>
      <c r="V878" s="50" t="s">
        <v>79</v>
      </c>
      <c r="W878" s="50"/>
      <c r="X878" s="50">
        <v>3.0</v>
      </c>
      <c r="Y878" s="43" t="s">
        <v>80</v>
      </c>
      <c r="Z878" s="58" t="s">
        <v>81</v>
      </c>
      <c r="AA878" s="59"/>
      <c r="AB878" s="140" t="s">
        <v>5273</v>
      </c>
      <c r="AC878" s="124" t="s">
        <v>5274</v>
      </c>
      <c r="AD878" s="62"/>
      <c r="AE878" s="63"/>
      <c r="AF878" s="64" t="s">
        <v>236</v>
      </c>
      <c r="AG878" s="65" t="s">
        <v>106</v>
      </c>
      <c r="AH878" s="65"/>
      <c r="AI878" s="65" t="s">
        <v>107</v>
      </c>
      <c r="AJ878" s="64" t="s">
        <v>5139</v>
      </c>
      <c r="AK878" s="58" t="s">
        <v>81</v>
      </c>
      <c r="AL878" s="45" t="s">
        <v>109</v>
      </c>
      <c r="AM878" s="43">
        <v>3.105641885E9</v>
      </c>
      <c r="AN878" s="64">
        <v>3.20361228E9</v>
      </c>
      <c r="AO878" s="52"/>
      <c r="AP878" s="67"/>
      <c r="AQ878" s="67"/>
      <c r="AR878" s="67"/>
      <c r="AS878" s="68"/>
      <c r="AT878" s="65">
        <v>0.0</v>
      </c>
      <c r="AU878" s="44"/>
      <c r="AV878" s="50">
        <v>1.0</v>
      </c>
      <c r="AW878" s="50" t="s">
        <v>88</v>
      </c>
      <c r="AX878" s="44"/>
      <c r="AY878" s="50" t="s">
        <v>137</v>
      </c>
      <c r="AZ878" s="44"/>
      <c r="BA878" s="43" t="s">
        <v>89</v>
      </c>
      <c r="BB878" s="44"/>
      <c r="BC878" s="109"/>
      <c r="BD878" s="70"/>
      <c r="BE878" s="71"/>
      <c r="BF878" s="72" t="s">
        <v>5275</v>
      </c>
      <c r="BG878" s="73"/>
      <c r="BH878" s="73"/>
      <c r="BI878" s="73"/>
      <c r="BJ878" s="73"/>
      <c r="BK878" s="73"/>
      <c r="BL878" s="73"/>
      <c r="BM878" s="73"/>
      <c r="BN878" s="73"/>
      <c r="BO878" s="73"/>
      <c r="BP878" s="73"/>
      <c r="BQ878" s="73"/>
      <c r="BR878" s="73"/>
      <c r="BS878" s="73"/>
      <c r="BT878" s="73"/>
      <c r="BU878" s="73"/>
      <c r="BV878" s="73"/>
      <c r="BW878" s="74"/>
      <c r="BX878" s="74"/>
      <c r="BY878" s="63"/>
      <c r="BZ878" s="63"/>
    </row>
    <row r="879" ht="15.75" customHeight="1">
      <c r="A879" s="75" t="s">
        <v>5276</v>
      </c>
      <c r="B879" s="50" t="s">
        <v>5277</v>
      </c>
      <c r="C879" s="50" t="s">
        <v>128</v>
      </c>
      <c r="D879" s="50" t="s">
        <v>5278</v>
      </c>
      <c r="E879" s="77" t="s">
        <v>5279</v>
      </c>
      <c r="F879" s="78">
        <v>2.5E8</v>
      </c>
      <c r="G879" s="44" t="str">
        <f t="shared" si="16"/>
        <v>$200'000.000 a $300'000.000</v>
      </c>
      <c r="H879" s="44"/>
      <c r="I879" s="44"/>
      <c r="J879" s="50" t="s">
        <v>968</v>
      </c>
      <c r="K879" s="51"/>
      <c r="L879" s="50">
        <v>3.0</v>
      </c>
      <c r="M879" s="50"/>
      <c r="N879" s="50">
        <v>3.0</v>
      </c>
      <c r="O879" s="50">
        <v>1.0</v>
      </c>
      <c r="P879" s="50">
        <v>2.0</v>
      </c>
      <c r="Q879" s="88">
        <v>120.0</v>
      </c>
      <c r="R879" s="88"/>
      <c r="S879" s="56"/>
      <c r="T879" s="50" t="s">
        <v>342</v>
      </c>
      <c r="U879" s="51"/>
      <c r="V879" s="50" t="s">
        <v>118</v>
      </c>
      <c r="W879" s="50"/>
      <c r="X879" s="50">
        <v>3.0</v>
      </c>
      <c r="Y879" s="43" t="s">
        <v>130</v>
      </c>
      <c r="Z879" s="58"/>
      <c r="AA879" s="59" t="str">
        <f>IF(Rentabilidad=0,"No aplica",TEXT(ROUND(Precio/Rentabilidad/12,0),0) &amp; " años")</f>
        <v>No aplica</v>
      </c>
      <c r="AB879" s="115" t="s">
        <v>5280</v>
      </c>
      <c r="AC879" s="221" t="s">
        <v>5281</v>
      </c>
      <c r="AD879" s="221" t="s">
        <v>5282</v>
      </c>
      <c r="AE879" s="63"/>
      <c r="AF879" s="64" t="s">
        <v>105</v>
      </c>
      <c r="AG879" s="65" t="s">
        <v>106</v>
      </c>
      <c r="AH879" s="65"/>
      <c r="AI879" s="65" t="s">
        <v>107</v>
      </c>
      <c r="AJ879" s="64" t="s">
        <v>5139</v>
      </c>
      <c r="AK879" s="58" t="s">
        <v>81</v>
      </c>
      <c r="AL879" s="45" t="s">
        <v>109</v>
      </c>
      <c r="AM879" s="43">
        <v>3.105641885E9</v>
      </c>
      <c r="AN879" s="64">
        <v>3.20361228E9</v>
      </c>
      <c r="AO879" s="52"/>
      <c r="AP879" s="67"/>
      <c r="AQ879" s="67"/>
      <c r="AR879" s="67"/>
      <c r="AS879" s="94">
        <v>0.0</v>
      </c>
      <c r="AT879" s="50" t="s">
        <v>88</v>
      </c>
      <c r="AU879" s="43">
        <v>0.0</v>
      </c>
      <c r="AV879" s="43">
        <v>0.0</v>
      </c>
      <c r="AW879" s="43" t="s">
        <v>88</v>
      </c>
      <c r="AX879" s="43"/>
      <c r="AY879" s="43" t="s">
        <v>106</v>
      </c>
      <c r="AZ879" s="43">
        <v>0.0</v>
      </c>
      <c r="BA879" s="43" t="s">
        <v>89</v>
      </c>
      <c r="BB879" s="43">
        <v>0.0</v>
      </c>
      <c r="BC879" s="69" t="s">
        <v>5283</v>
      </c>
      <c r="BD879" s="70"/>
      <c r="BE879" s="70"/>
      <c r="BF879" s="72" t="s">
        <v>5284</v>
      </c>
      <c r="BG879" s="73"/>
      <c r="BH879" s="73"/>
      <c r="BI879" s="73"/>
      <c r="BJ879" s="73"/>
      <c r="BK879" s="73"/>
      <c r="BL879" s="73"/>
      <c r="BM879" s="73"/>
      <c r="BN879" s="73"/>
      <c r="BO879" s="73"/>
      <c r="BP879" s="73"/>
      <c r="BQ879" s="73"/>
      <c r="BR879" s="73"/>
      <c r="BS879" s="73"/>
      <c r="BT879" s="73"/>
      <c r="BU879" s="73"/>
      <c r="BV879" s="73"/>
      <c r="BW879" s="74"/>
      <c r="BX879" s="74"/>
      <c r="BY879" s="63"/>
      <c r="BZ879" s="63"/>
    </row>
    <row r="880" ht="15.75" customHeight="1">
      <c r="A880" s="75" t="s">
        <v>5285</v>
      </c>
      <c r="B880" s="50" t="s">
        <v>5286</v>
      </c>
      <c r="C880" s="50" t="s">
        <v>70</v>
      </c>
      <c r="D880" s="43" t="s">
        <v>76</v>
      </c>
      <c r="E880" s="45"/>
      <c r="F880" s="78">
        <v>2.2E8</v>
      </c>
      <c r="G880" s="44" t="str">
        <f t="shared" si="16"/>
        <v>$200'000.000 a $300'000.000</v>
      </c>
      <c r="H880" s="44"/>
      <c r="I880" s="44"/>
      <c r="J880" s="50" t="s">
        <v>76</v>
      </c>
      <c r="K880" s="51"/>
      <c r="L880" s="50">
        <v>4.0</v>
      </c>
      <c r="M880" s="50"/>
      <c r="N880" s="50">
        <v>2.0</v>
      </c>
      <c r="O880" s="50">
        <v>4.0</v>
      </c>
      <c r="P880" s="50">
        <v>1.0</v>
      </c>
      <c r="Q880" s="79">
        <v>120.0</v>
      </c>
      <c r="R880" s="79">
        <v>120.0</v>
      </c>
      <c r="S880" s="56" t="str">
        <f t="shared" ref="S880:S929" si="29">IF(AS880=0," ","Rentabilidad $" &amp; TEXT(AS880,"#,##0"))</f>
        <v> </v>
      </c>
      <c r="T880" s="43" t="s">
        <v>95</v>
      </c>
      <c r="U880" s="51" t="s">
        <v>241</v>
      </c>
      <c r="V880" s="50" t="s">
        <v>79</v>
      </c>
      <c r="W880" s="50"/>
      <c r="X880" s="50">
        <v>0.0</v>
      </c>
      <c r="Y880" s="43" t="s">
        <v>80</v>
      </c>
      <c r="Z880" s="58" t="s">
        <v>81</v>
      </c>
      <c r="AA880" s="59"/>
      <c r="AB880" s="140" t="s">
        <v>5287</v>
      </c>
      <c r="AC880" s="124" t="s">
        <v>5288</v>
      </c>
      <c r="AD880" s="62"/>
      <c r="AE880" s="63"/>
      <c r="AF880" s="64" t="s">
        <v>84</v>
      </c>
      <c r="AG880" s="65" t="s">
        <v>106</v>
      </c>
      <c r="AH880" s="65"/>
      <c r="AI880" s="65" t="s">
        <v>107</v>
      </c>
      <c r="AJ880" s="64" t="s">
        <v>5139</v>
      </c>
      <c r="AK880" s="58" t="s">
        <v>81</v>
      </c>
      <c r="AL880" s="45" t="s">
        <v>109</v>
      </c>
      <c r="AM880" s="43">
        <v>3.105641885E9</v>
      </c>
      <c r="AN880" s="64">
        <v>3.20361228E9</v>
      </c>
      <c r="AO880" s="52"/>
      <c r="AP880" s="67"/>
      <c r="AQ880" s="67"/>
      <c r="AR880" s="67"/>
      <c r="AS880" s="68"/>
      <c r="AT880" s="65">
        <v>0.0</v>
      </c>
      <c r="AU880" s="50">
        <v>0.0</v>
      </c>
      <c r="AV880" s="50">
        <v>0.0</v>
      </c>
      <c r="AW880" s="50" t="s">
        <v>106</v>
      </c>
      <c r="AX880" s="44"/>
      <c r="AY880" s="50" t="s">
        <v>137</v>
      </c>
      <c r="AZ880" s="44"/>
      <c r="BA880" s="43" t="s">
        <v>89</v>
      </c>
      <c r="BB880" s="44"/>
      <c r="BC880" s="95" t="s">
        <v>5289</v>
      </c>
      <c r="BD880" s="71"/>
      <c r="BE880" s="71"/>
      <c r="BF880" s="72" t="s">
        <v>5290</v>
      </c>
      <c r="BG880" s="73"/>
      <c r="BH880" s="73"/>
      <c r="BI880" s="73"/>
      <c r="BJ880" s="73"/>
      <c r="BK880" s="73"/>
      <c r="BL880" s="73"/>
      <c r="BM880" s="73"/>
      <c r="BN880" s="73"/>
      <c r="BO880" s="73"/>
      <c r="BP880" s="73"/>
      <c r="BQ880" s="73"/>
      <c r="BR880" s="73"/>
      <c r="BS880" s="73"/>
      <c r="BT880" s="73"/>
      <c r="BU880" s="73"/>
      <c r="BV880" s="73"/>
      <c r="BW880" s="74"/>
      <c r="BX880" s="74"/>
      <c r="BY880" s="63"/>
      <c r="BZ880" s="63"/>
    </row>
    <row r="881" ht="15.75" customHeight="1">
      <c r="A881" s="75" t="s">
        <v>5291</v>
      </c>
      <c r="B881" s="50" t="s">
        <v>4340</v>
      </c>
      <c r="C881" s="50" t="s">
        <v>70</v>
      </c>
      <c r="D881" s="58" t="s">
        <v>4341</v>
      </c>
      <c r="E881" s="45"/>
      <c r="F881" s="78">
        <v>2.0E8</v>
      </c>
      <c r="G881" s="44" t="str">
        <f t="shared" si="16"/>
        <v>$200'000.000 a $300'000.000</v>
      </c>
      <c r="H881" s="44"/>
      <c r="I881" s="44"/>
      <c r="J881" s="50" t="s">
        <v>76</v>
      </c>
      <c r="K881" s="51" t="s">
        <v>142</v>
      </c>
      <c r="L881" s="43">
        <v>4.0</v>
      </c>
      <c r="M881" s="43"/>
      <c r="N881" s="43">
        <v>3.0</v>
      </c>
      <c r="O881" s="43">
        <v>2.0</v>
      </c>
      <c r="P881" s="43">
        <v>1.0</v>
      </c>
      <c r="Q881" s="88">
        <v>120.0</v>
      </c>
      <c r="R881" s="88">
        <v>90.0</v>
      </c>
      <c r="S881" s="56" t="str">
        <f t="shared" si="29"/>
        <v> </v>
      </c>
      <c r="T881" s="43" t="s">
        <v>78</v>
      </c>
      <c r="U881" s="56" t="s">
        <v>184</v>
      </c>
      <c r="V881" s="43" t="s">
        <v>118</v>
      </c>
      <c r="W881" s="43"/>
      <c r="X881" s="43">
        <v>4.0</v>
      </c>
      <c r="Y881" s="43" t="s">
        <v>80</v>
      </c>
      <c r="Z881" s="58" t="s">
        <v>81</v>
      </c>
      <c r="AA881" s="59" t="str">
        <f>IF(Rentabilidad=0,"No aplica",TEXT(ROUND(Precio/Rentabilidad/12,0),0) &amp; " años")</f>
        <v>No aplica</v>
      </c>
      <c r="AB881" s="134" t="s">
        <v>5292</v>
      </c>
      <c r="AC881" s="124" t="s">
        <v>5293</v>
      </c>
      <c r="AD881" s="62"/>
      <c r="AE881" s="63"/>
      <c r="AF881" s="64" t="s">
        <v>84</v>
      </c>
      <c r="AG881" s="65" t="s">
        <v>106</v>
      </c>
      <c r="AH881" s="63"/>
      <c r="AI881" s="65" t="s">
        <v>107</v>
      </c>
      <c r="AJ881" s="64" t="s">
        <v>5139</v>
      </c>
      <c r="AK881" s="58" t="s">
        <v>81</v>
      </c>
      <c r="AL881" s="45" t="s">
        <v>109</v>
      </c>
      <c r="AM881" s="43">
        <v>3.105641885E9</v>
      </c>
      <c r="AN881" s="64">
        <v>3.20361228E9</v>
      </c>
      <c r="AO881" s="52"/>
      <c r="AP881" s="67"/>
      <c r="AQ881" s="67"/>
      <c r="AR881" s="67"/>
      <c r="AS881" s="94">
        <v>0.0</v>
      </c>
      <c r="AT881" s="50">
        <v>0.0</v>
      </c>
      <c r="AU881" s="43">
        <v>0.0</v>
      </c>
      <c r="AV881" s="43">
        <v>0.0</v>
      </c>
      <c r="AW881" s="43" t="s">
        <v>106</v>
      </c>
      <c r="AX881" s="52"/>
      <c r="AY881" s="43" t="s">
        <v>137</v>
      </c>
      <c r="AZ881" s="52"/>
      <c r="BA881" s="43" t="s">
        <v>89</v>
      </c>
      <c r="BB881" s="52"/>
      <c r="BC881" s="69" t="s">
        <v>5294</v>
      </c>
      <c r="BD881" s="70"/>
      <c r="BE881" s="70"/>
      <c r="BF881" s="72" t="s">
        <v>5295</v>
      </c>
      <c r="BG881" s="73"/>
      <c r="BH881" s="73"/>
      <c r="BI881" s="73"/>
      <c r="BJ881" s="73"/>
      <c r="BK881" s="73"/>
      <c r="BL881" s="73"/>
      <c r="BM881" s="73"/>
      <c r="BN881" s="73"/>
      <c r="BO881" s="73"/>
      <c r="BP881" s="73"/>
      <c r="BQ881" s="73"/>
      <c r="BR881" s="73"/>
      <c r="BS881" s="73"/>
      <c r="BT881" s="73"/>
      <c r="BU881" s="73"/>
      <c r="BV881" s="73"/>
      <c r="BW881" s="74"/>
      <c r="BX881" s="74"/>
      <c r="BY881" s="63"/>
      <c r="BZ881" s="63"/>
    </row>
    <row r="882" ht="15.75" customHeight="1">
      <c r="A882" s="75" t="s">
        <v>5296</v>
      </c>
      <c r="B882" s="50" t="s">
        <v>5297</v>
      </c>
      <c r="C882" s="111" t="s">
        <v>323</v>
      </c>
      <c r="D882" s="58" t="s">
        <v>720</v>
      </c>
      <c r="E882" s="64" t="s">
        <v>5298</v>
      </c>
      <c r="F882" s="78">
        <v>1.9E8</v>
      </c>
      <c r="G882" s="44" t="str">
        <f t="shared" si="16"/>
        <v>$100'000.000 a $200'000.000</v>
      </c>
      <c r="H882" s="44"/>
      <c r="I882" s="44"/>
      <c r="J882" s="50" t="s">
        <v>94</v>
      </c>
      <c r="K882" s="51" t="s">
        <v>77</v>
      </c>
      <c r="L882" s="43">
        <v>3.0</v>
      </c>
      <c r="M882" s="43"/>
      <c r="N882" s="43">
        <v>2.0</v>
      </c>
      <c r="O882" s="43">
        <v>1.0</v>
      </c>
      <c r="P882" s="111">
        <v>1.0</v>
      </c>
      <c r="Q882" s="88">
        <v>70.15</v>
      </c>
      <c r="R882" s="88">
        <v>62.3</v>
      </c>
      <c r="S882" s="56" t="str">
        <f t="shared" si="29"/>
        <v> </v>
      </c>
      <c r="T882" s="43" t="s">
        <v>78</v>
      </c>
      <c r="U882" s="56" t="s">
        <v>77</v>
      </c>
      <c r="V882" s="43" t="s">
        <v>1014</v>
      </c>
      <c r="W882" s="43"/>
      <c r="X882" s="43">
        <v>3.0</v>
      </c>
      <c r="Y882" s="43" t="s">
        <v>130</v>
      </c>
      <c r="Z882" s="151"/>
      <c r="AA882" s="59"/>
      <c r="AB882" s="134" t="s">
        <v>5299</v>
      </c>
      <c r="AC882" s="124" t="s">
        <v>5300</v>
      </c>
      <c r="AD882" s="62"/>
      <c r="AE882" s="63"/>
      <c r="AF882" s="64" t="s">
        <v>236</v>
      </c>
      <c r="AG882" s="65" t="s">
        <v>106</v>
      </c>
      <c r="AH882" s="63"/>
      <c r="AI882" s="65" t="s">
        <v>107</v>
      </c>
      <c r="AJ882" s="64" t="s">
        <v>5139</v>
      </c>
      <c r="AK882" s="58" t="s">
        <v>81</v>
      </c>
      <c r="AL882" s="45" t="s">
        <v>109</v>
      </c>
      <c r="AM882" s="43">
        <v>3.105641885E9</v>
      </c>
      <c r="AN882" s="64">
        <v>3.20361228E9</v>
      </c>
      <c r="AO882" s="52"/>
      <c r="AP882" s="67"/>
      <c r="AQ882" s="67"/>
      <c r="AR882" s="67"/>
      <c r="AS882" s="135"/>
      <c r="AT882" s="50">
        <v>1.0</v>
      </c>
      <c r="AU882" s="52"/>
      <c r="AV882" s="43">
        <v>2.0</v>
      </c>
      <c r="AW882" s="52"/>
      <c r="AX882" s="52"/>
      <c r="AY882" s="43" t="s">
        <v>137</v>
      </c>
      <c r="AZ882" s="52"/>
      <c r="BA882" s="43" t="s">
        <v>89</v>
      </c>
      <c r="BB882" s="52"/>
      <c r="BC882" s="69"/>
      <c r="BD882" s="70"/>
      <c r="BE882" s="71"/>
      <c r="BF882" s="72" t="s">
        <v>5301</v>
      </c>
      <c r="BG882" s="73"/>
      <c r="BH882" s="73"/>
      <c r="BI882" s="73"/>
      <c r="BJ882" s="73"/>
      <c r="BK882" s="73"/>
      <c r="BL882" s="73"/>
      <c r="BM882" s="73"/>
      <c r="BN882" s="73"/>
      <c r="BO882" s="73"/>
      <c r="BP882" s="73"/>
      <c r="BQ882" s="73"/>
      <c r="BR882" s="73"/>
      <c r="BS882" s="73"/>
      <c r="BT882" s="73"/>
      <c r="BU882" s="73"/>
      <c r="BV882" s="73"/>
      <c r="BW882" s="74"/>
      <c r="BX882" s="74"/>
      <c r="BY882" s="63"/>
      <c r="BZ882" s="63"/>
    </row>
    <row r="883" ht="15.75" customHeight="1">
      <c r="A883" s="75" t="s">
        <v>5302</v>
      </c>
      <c r="B883" s="50" t="s">
        <v>5303</v>
      </c>
      <c r="C883" s="50" t="s">
        <v>70</v>
      </c>
      <c r="D883" s="50" t="s">
        <v>4420</v>
      </c>
      <c r="E883" s="64"/>
      <c r="F883" s="78">
        <v>1.8E8</v>
      </c>
      <c r="G883" s="44" t="str">
        <f t="shared" si="16"/>
        <v>$100'000.000 a $200'000.000</v>
      </c>
      <c r="H883" s="44"/>
      <c r="I883" s="44"/>
      <c r="J883" s="50" t="s">
        <v>94</v>
      </c>
      <c r="K883" s="51" t="s">
        <v>294</v>
      </c>
      <c r="L883" s="50">
        <v>4.0</v>
      </c>
      <c r="M883" s="50"/>
      <c r="N883" s="50">
        <v>1.0</v>
      </c>
      <c r="O883" s="50">
        <v>1.0</v>
      </c>
      <c r="P883" s="50">
        <v>1.0</v>
      </c>
      <c r="Q883" s="88">
        <v>108.0</v>
      </c>
      <c r="R883" s="88">
        <v>108.0</v>
      </c>
      <c r="S883" s="56" t="str">
        <f t="shared" si="29"/>
        <v> </v>
      </c>
      <c r="T883" s="50" t="s">
        <v>78</v>
      </c>
      <c r="U883" s="51" t="s">
        <v>184</v>
      </c>
      <c r="V883" s="50" t="s">
        <v>79</v>
      </c>
      <c r="W883" s="50"/>
      <c r="X883" s="50">
        <v>1.0</v>
      </c>
      <c r="Y883" s="50" t="s">
        <v>80</v>
      </c>
      <c r="Z883" s="80" t="s">
        <v>81</v>
      </c>
      <c r="AA883" s="59" t="str">
        <f>IF(Rentabilidad=0,"No aplica",TEXT(ROUND(Precio/Rentabilidad/12,0),0) &amp; " años")</f>
        <v>No aplica</v>
      </c>
      <c r="AB883" s="82" t="s">
        <v>5304</v>
      </c>
      <c r="AC883" s="83" t="s">
        <v>5305</v>
      </c>
      <c r="AD883" s="337" t="s">
        <v>5306</v>
      </c>
      <c r="AE883" s="63"/>
      <c r="AF883" s="64" t="s">
        <v>84</v>
      </c>
      <c r="AG883" s="65" t="s">
        <v>106</v>
      </c>
      <c r="AH883" s="63"/>
      <c r="AI883" s="65" t="s">
        <v>107</v>
      </c>
      <c r="AJ883" s="64" t="s">
        <v>5139</v>
      </c>
      <c r="AK883" s="58" t="s">
        <v>81</v>
      </c>
      <c r="AL883" s="45" t="s">
        <v>109</v>
      </c>
      <c r="AM883" s="43">
        <v>3.105641885E9</v>
      </c>
      <c r="AN883" s="64">
        <v>3.20361228E9</v>
      </c>
      <c r="AO883" s="52"/>
      <c r="AP883" s="67"/>
      <c r="AQ883" s="143">
        <v>2.9734214</v>
      </c>
      <c r="AR883" s="143">
        <v>-75.2951966</v>
      </c>
      <c r="AS883" s="85">
        <v>0.0</v>
      </c>
      <c r="AT883" s="65">
        <v>0.0</v>
      </c>
      <c r="AU883" s="50">
        <v>0.0</v>
      </c>
      <c r="AV883" s="50">
        <v>0.0</v>
      </c>
      <c r="AW883" s="50" t="s">
        <v>106</v>
      </c>
      <c r="AX883" s="50">
        <v>0.0</v>
      </c>
      <c r="AY883" s="50" t="s">
        <v>106</v>
      </c>
      <c r="AZ883" s="50">
        <v>0.0</v>
      </c>
      <c r="BA883" s="43" t="s">
        <v>89</v>
      </c>
      <c r="BB883" s="50">
        <v>0.0</v>
      </c>
      <c r="BC883" s="95"/>
      <c r="BD883" s="71"/>
      <c r="BE883" s="70"/>
      <c r="BF883" s="72" t="s">
        <v>5307</v>
      </c>
      <c r="BG883" s="73"/>
      <c r="BH883" s="73"/>
      <c r="BI883" s="73"/>
      <c r="BJ883" s="73"/>
      <c r="BK883" s="73"/>
      <c r="BL883" s="73"/>
      <c r="BM883" s="73"/>
      <c r="BN883" s="73"/>
      <c r="BO883" s="73"/>
      <c r="BP883" s="73"/>
      <c r="BQ883" s="73"/>
      <c r="BR883" s="73"/>
      <c r="BS883" s="73"/>
      <c r="BT883" s="73"/>
      <c r="BU883" s="73"/>
      <c r="BV883" s="73"/>
      <c r="BW883" s="74"/>
      <c r="BX883" s="74"/>
      <c r="BY883" s="63"/>
      <c r="BZ883" s="63"/>
    </row>
    <row r="884" ht="15.75" customHeight="1">
      <c r="A884" s="75" t="s">
        <v>5308</v>
      </c>
      <c r="B884" s="50" t="s">
        <v>3757</v>
      </c>
      <c r="C884" s="50" t="s">
        <v>70</v>
      </c>
      <c r="D884" s="43" t="s">
        <v>534</v>
      </c>
      <c r="E884" s="77"/>
      <c r="F884" s="78">
        <v>1.7E8</v>
      </c>
      <c r="G884" s="44" t="str">
        <f t="shared" si="16"/>
        <v>$100'000.000 a $200'000.000</v>
      </c>
      <c r="H884" s="44"/>
      <c r="I884" s="44"/>
      <c r="J884" s="50" t="s">
        <v>183</v>
      </c>
      <c r="K884" s="51"/>
      <c r="L884" s="50">
        <v>3.0</v>
      </c>
      <c r="M884" s="50"/>
      <c r="N884" s="50">
        <v>1.0</v>
      </c>
      <c r="O884" s="50">
        <v>0.0</v>
      </c>
      <c r="P884" s="50">
        <v>1.0</v>
      </c>
      <c r="Q884" s="88">
        <v>90.0</v>
      </c>
      <c r="R884" s="88">
        <v>100.0</v>
      </c>
      <c r="S884" s="56" t="str">
        <f t="shared" si="29"/>
        <v> </v>
      </c>
      <c r="T884" s="50" t="s">
        <v>78</v>
      </c>
      <c r="U884" s="51" t="s">
        <v>184</v>
      </c>
      <c r="V884" s="50" t="s">
        <v>79</v>
      </c>
      <c r="W884" s="50"/>
      <c r="X884" s="50">
        <v>1.0</v>
      </c>
      <c r="Y884" s="43" t="s">
        <v>80</v>
      </c>
      <c r="Z884" s="58" t="s">
        <v>81</v>
      </c>
      <c r="AA884" s="59" t="str">
        <f>IF(Rentabilidad=0,"No aplica",TEXT(ROUND(Precio/Rentabilidad/12,0),0) &amp; " años")</f>
        <v>No aplica</v>
      </c>
      <c r="AB884" s="115" t="s">
        <v>5309</v>
      </c>
      <c r="AC884" s="124" t="s">
        <v>5310</v>
      </c>
      <c r="AD884" s="221" t="s">
        <v>5311</v>
      </c>
      <c r="AE884" s="63"/>
      <c r="AF884" s="64" t="s">
        <v>84</v>
      </c>
      <c r="AG884" s="65" t="s">
        <v>106</v>
      </c>
      <c r="AH884" s="65"/>
      <c r="AI884" s="65" t="s">
        <v>107</v>
      </c>
      <c r="AJ884" s="64" t="s">
        <v>5139</v>
      </c>
      <c r="AK884" s="58" t="s">
        <v>81</v>
      </c>
      <c r="AL884" s="45" t="s">
        <v>109</v>
      </c>
      <c r="AM884" s="43">
        <v>3.105641885E9</v>
      </c>
      <c r="AN884" s="64">
        <v>3.20361228E9</v>
      </c>
      <c r="AO884" s="52"/>
      <c r="AP884" s="67"/>
      <c r="AQ884" s="67"/>
      <c r="AR884" s="67"/>
      <c r="AS884" s="94">
        <v>0.0</v>
      </c>
      <c r="AT884" s="50" t="s">
        <v>88</v>
      </c>
      <c r="AU884" s="43">
        <v>0.0</v>
      </c>
      <c r="AV884" s="43">
        <v>0.0</v>
      </c>
      <c r="AW884" s="43" t="s">
        <v>88</v>
      </c>
      <c r="AX884" s="43"/>
      <c r="AY884" s="43" t="s">
        <v>106</v>
      </c>
      <c r="AZ884" s="43">
        <v>0.0</v>
      </c>
      <c r="BA884" s="43" t="s">
        <v>89</v>
      </c>
      <c r="BB884" s="43">
        <v>0.0</v>
      </c>
      <c r="BC884" s="95" t="s">
        <v>5312</v>
      </c>
      <c r="BD884" s="71"/>
      <c r="BE884" s="71"/>
      <c r="BF884" s="72" t="s">
        <v>5313</v>
      </c>
      <c r="BG884" s="73"/>
      <c r="BH884" s="73"/>
      <c r="BI884" s="73"/>
      <c r="BJ884" s="73"/>
      <c r="BK884" s="73"/>
      <c r="BL884" s="73"/>
      <c r="BM884" s="73"/>
      <c r="BN884" s="73"/>
      <c r="BO884" s="73"/>
      <c r="BP884" s="73"/>
      <c r="BQ884" s="73"/>
      <c r="BR884" s="73"/>
      <c r="BS884" s="73"/>
      <c r="BT884" s="73"/>
      <c r="BU884" s="73"/>
      <c r="BV884" s="73"/>
      <c r="BW884" s="74"/>
      <c r="BX884" s="74"/>
      <c r="BY884" s="63"/>
      <c r="BZ884" s="63"/>
    </row>
    <row r="885" ht="15.75" customHeight="1">
      <c r="A885" s="152" t="s">
        <v>5314</v>
      </c>
      <c r="B885" s="50" t="s">
        <v>5315</v>
      </c>
      <c r="C885" s="111" t="s">
        <v>323</v>
      </c>
      <c r="D885" s="43" t="s">
        <v>5316</v>
      </c>
      <c r="E885" s="64" t="s">
        <v>1088</v>
      </c>
      <c r="F885" s="78">
        <v>1.6E8</v>
      </c>
      <c r="G885" s="44" t="str">
        <f t="shared" si="16"/>
        <v>$100'000.000 a $200'000.000</v>
      </c>
      <c r="H885" s="44"/>
      <c r="I885" s="44"/>
      <c r="J885" s="50" t="s">
        <v>183</v>
      </c>
      <c r="K885" s="51" t="s">
        <v>888</v>
      </c>
      <c r="L885" s="50">
        <v>2.0</v>
      </c>
      <c r="M885" s="50"/>
      <c r="N885" s="50">
        <v>2.0</v>
      </c>
      <c r="O885" s="50">
        <v>1.0</v>
      </c>
      <c r="P885" s="50">
        <v>1.0</v>
      </c>
      <c r="Q885" s="79">
        <v>52.0</v>
      </c>
      <c r="R885" s="79">
        <v>52.0</v>
      </c>
      <c r="S885" s="56" t="str">
        <f t="shared" si="29"/>
        <v> </v>
      </c>
      <c r="T885" s="43" t="s">
        <v>78</v>
      </c>
      <c r="U885" s="51" t="s">
        <v>184</v>
      </c>
      <c r="V885" s="50"/>
      <c r="W885" s="50"/>
      <c r="X885" s="50">
        <v>2.0</v>
      </c>
      <c r="Y885" s="43" t="s">
        <v>130</v>
      </c>
      <c r="Z885" s="80">
        <v>152000.0</v>
      </c>
      <c r="AA885" s="59"/>
      <c r="AB885" s="140" t="s">
        <v>5317</v>
      </c>
      <c r="AC885" s="124" t="s">
        <v>5318</v>
      </c>
      <c r="AD885" s="62"/>
      <c r="AE885" s="63"/>
      <c r="AF885" s="64" t="s">
        <v>236</v>
      </c>
      <c r="AG885" s="65" t="s">
        <v>106</v>
      </c>
      <c r="AH885" s="65"/>
      <c r="AI885" s="65" t="s">
        <v>107</v>
      </c>
      <c r="AJ885" s="64" t="s">
        <v>5139</v>
      </c>
      <c r="AK885" s="58" t="s">
        <v>81</v>
      </c>
      <c r="AL885" s="45" t="s">
        <v>109</v>
      </c>
      <c r="AM885" s="43">
        <v>3.105641885E9</v>
      </c>
      <c r="AN885" s="64">
        <v>3.20361228E9</v>
      </c>
      <c r="AO885" s="52"/>
      <c r="AP885" s="67"/>
      <c r="AQ885" s="67"/>
      <c r="AR885" s="67"/>
      <c r="AS885" s="68"/>
      <c r="AT885" s="65">
        <v>1.0</v>
      </c>
      <c r="AU885" s="44"/>
      <c r="AV885" s="44"/>
      <c r="AW885" s="44"/>
      <c r="AX885" s="44"/>
      <c r="AY885" s="50">
        <v>0.0</v>
      </c>
      <c r="AZ885" s="44"/>
      <c r="BA885" s="43" t="s">
        <v>89</v>
      </c>
      <c r="BB885" s="44"/>
      <c r="BC885" s="95"/>
      <c r="BD885" s="71"/>
      <c r="BE885" s="71"/>
      <c r="BF885" s="72" t="s">
        <v>5319</v>
      </c>
      <c r="BG885" s="73"/>
      <c r="BH885" s="73"/>
      <c r="BI885" s="73"/>
      <c r="BJ885" s="73"/>
      <c r="BK885" s="73"/>
      <c r="BL885" s="73"/>
      <c r="BM885" s="73"/>
      <c r="BN885" s="73"/>
      <c r="BO885" s="73"/>
      <c r="BP885" s="73"/>
      <c r="BQ885" s="73"/>
      <c r="BR885" s="73"/>
      <c r="BS885" s="73"/>
      <c r="BT885" s="73"/>
      <c r="BU885" s="73"/>
      <c r="BV885" s="73"/>
      <c r="BW885" s="74"/>
      <c r="BX885" s="74"/>
      <c r="BY885" s="63"/>
      <c r="BZ885" s="63"/>
    </row>
    <row r="886" ht="15.75" customHeight="1">
      <c r="A886" s="75" t="s">
        <v>5320</v>
      </c>
      <c r="B886" s="50" t="s">
        <v>5321</v>
      </c>
      <c r="C886" s="50" t="s">
        <v>323</v>
      </c>
      <c r="D886" s="50" t="s">
        <v>5322</v>
      </c>
      <c r="E886" s="64"/>
      <c r="F886" s="78">
        <v>1.4E8</v>
      </c>
      <c r="G886" s="44" t="str">
        <f t="shared" si="16"/>
        <v>$100'000.000 a $200'000.000</v>
      </c>
      <c r="H886" s="44"/>
      <c r="I886" s="44"/>
      <c r="J886" s="50" t="s">
        <v>116</v>
      </c>
      <c r="K886" s="51" t="s">
        <v>154</v>
      </c>
      <c r="L886" s="50">
        <v>3.0</v>
      </c>
      <c r="M886" s="50"/>
      <c r="N886" s="50">
        <v>2.0</v>
      </c>
      <c r="O886" s="50">
        <v>1.0</v>
      </c>
      <c r="P886" s="50">
        <v>4.0</v>
      </c>
      <c r="Q886" s="88">
        <v>56.0</v>
      </c>
      <c r="R886" s="88">
        <v>56.0</v>
      </c>
      <c r="S886" s="56" t="str">
        <f t="shared" si="29"/>
        <v> </v>
      </c>
      <c r="T886" s="50" t="s">
        <v>78</v>
      </c>
      <c r="U886" s="51" t="s">
        <v>77</v>
      </c>
      <c r="V886" s="50" t="s">
        <v>680</v>
      </c>
      <c r="W886" s="50"/>
      <c r="X886" s="50">
        <v>1.0</v>
      </c>
      <c r="Y886" s="50" t="s">
        <v>130</v>
      </c>
      <c r="Z886" s="58">
        <v>197000.0</v>
      </c>
      <c r="AA886" s="59" t="str">
        <f>IF(Rentabilidad=0,"No aplica",TEXT(ROUND(Precio/Rentabilidad/12,0),0) &amp; " años")</f>
        <v>No aplica</v>
      </c>
      <c r="AB886" s="82" t="s">
        <v>5323</v>
      </c>
      <c r="AC886" s="83" t="s">
        <v>5324</v>
      </c>
      <c r="AD886" s="83" t="s">
        <v>5325</v>
      </c>
      <c r="AE886" s="63"/>
      <c r="AF886" s="45" t="s">
        <v>236</v>
      </c>
      <c r="AG886" s="65" t="s">
        <v>106</v>
      </c>
      <c r="AH886" s="63"/>
      <c r="AI886" s="65" t="s">
        <v>107</v>
      </c>
      <c r="AJ886" s="64" t="s">
        <v>5139</v>
      </c>
      <c r="AK886" s="58" t="s">
        <v>81</v>
      </c>
      <c r="AL886" s="45" t="s">
        <v>109</v>
      </c>
      <c r="AM886" s="43">
        <v>3.105641885E9</v>
      </c>
      <c r="AN886" s="64">
        <v>3.20361228E9</v>
      </c>
      <c r="AO886" s="52"/>
      <c r="AP886" s="67"/>
      <c r="AQ886" s="67"/>
      <c r="AR886" s="67"/>
      <c r="AS886" s="85">
        <v>0.0</v>
      </c>
      <c r="AT886" s="65">
        <v>0.0</v>
      </c>
      <c r="AU886" s="50">
        <v>0.0</v>
      </c>
      <c r="AV886" s="50">
        <v>0.0</v>
      </c>
      <c r="AW886" s="50" t="s">
        <v>88</v>
      </c>
      <c r="AX886" s="50">
        <v>0.0</v>
      </c>
      <c r="AY886" s="50">
        <v>0.0</v>
      </c>
      <c r="AZ886" s="50">
        <v>0.0</v>
      </c>
      <c r="BA886" s="43" t="s">
        <v>89</v>
      </c>
      <c r="BB886" s="50">
        <v>0.0</v>
      </c>
      <c r="BC886" s="95"/>
      <c r="BD886" s="71"/>
      <c r="BE886" s="70"/>
      <c r="BF886" s="72" t="s">
        <v>5326</v>
      </c>
      <c r="BG886" s="73"/>
      <c r="BH886" s="73"/>
      <c r="BI886" s="73"/>
      <c r="BJ886" s="73"/>
      <c r="BK886" s="73"/>
      <c r="BL886" s="73"/>
      <c r="BM886" s="73"/>
      <c r="BN886" s="73"/>
      <c r="BO886" s="73"/>
      <c r="BP886" s="73"/>
      <c r="BQ886" s="73"/>
      <c r="BR886" s="73"/>
      <c r="BS886" s="73"/>
      <c r="BT886" s="73"/>
      <c r="BU886" s="73"/>
      <c r="BV886" s="73"/>
      <c r="BW886" s="74"/>
      <c r="BX886" s="74"/>
      <c r="BY886" s="63"/>
      <c r="BZ886" s="63"/>
    </row>
    <row r="887" ht="15.75" customHeight="1">
      <c r="A887" s="152" t="s">
        <v>5327</v>
      </c>
      <c r="B887" s="50" t="s">
        <v>5328</v>
      </c>
      <c r="C887" s="50" t="s">
        <v>128</v>
      </c>
      <c r="D887" s="213"/>
      <c r="E887" s="64" t="s">
        <v>5329</v>
      </c>
      <c r="F887" s="78">
        <v>1.35E9</v>
      </c>
      <c r="G887" s="44" t="str">
        <f t="shared" si="16"/>
        <v>Más de $1.000'000.000</v>
      </c>
      <c r="H887" s="44"/>
      <c r="I887" s="44"/>
      <c r="J887" s="50"/>
      <c r="K887" s="56"/>
      <c r="L887" s="50">
        <v>4.0</v>
      </c>
      <c r="M887" s="50"/>
      <c r="N887" s="50">
        <v>4.0</v>
      </c>
      <c r="O887" s="50">
        <v>2.0</v>
      </c>
      <c r="P887" s="50">
        <v>1.0</v>
      </c>
      <c r="Q887" s="79">
        <v>0.0</v>
      </c>
      <c r="R887" s="79">
        <v>2033.0</v>
      </c>
      <c r="S887" s="56" t="str">
        <f t="shared" si="29"/>
        <v> </v>
      </c>
      <c r="T887" s="50" t="s">
        <v>342</v>
      </c>
      <c r="U887" s="162" t="s">
        <v>498</v>
      </c>
      <c r="V887" s="50" t="s">
        <v>79</v>
      </c>
      <c r="W887" s="50"/>
      <c r="X887" s="50">
        <v>4.0</v>
      </c>
      <c r="Y887" s="50" t="s">
        <v>97</v>
      </c>
      <c r="Z887" s="80"/>
      <c r="AA887" s="59"/>
      <c r="AB887" s="115" t="s">
        <v>5330</v>
      </c>
      <c r="AC887" s="124" t="s">
        <v>5331</v>
      </c>
      <c r="AD887" s="62"/>
      <c r="AE887" s="63"/>
      <c r="AF887" s="64" t="s">
        <v>105</v>
      </c>
      <c r="AG887" s="65" t="s">
        <v>106</v>
      </c>
      <c r="AH887" s="65"/>
      <c r="AI887" s="65" t="s">
        <v>107</v>
      </c>
      <c r="AJ887" s="64" t="s">
        <v>5332</v>
      </c>
      <c r="AK887" s="50" t="s">
        <v>81</v>
      </c>
      <c r="AL887" s="64" t="s">
        <v>109</v>
      </c>
      <c r="AM887" s="43">
        <v>3.203396742E9</v>
      </c>
      <c r="AN887" s="64">
        <v>3.10862657E9</v>
      </c>
      <c r="AO887" s="116"/>
      <c r="AP887" s="84" t="s">
        <v>5333</v>
      </c>
      <c r="AQ887" s="84">
        <v>2.93895685237522</v>
      </c>
      <c r="AR887" s="84">
        <v>-75.3329117370761</v>
      </c>
      <c r="AS887" s="335">
        <v>0.0</v>
      </c>
      <c r="AT887" s="65">
        <v>0.0</v>
      </c>
      <c r="AU887" s="43">
        <v>2.0</v>
      </c>
      <c r="AV887" s="52"/>
      <c r="AW887" s="43" t="s">
        <v>88</v>
      </c>
      <c r="AX887" s="52"/>
      <c r="AY887" s="43" t="s">
        <v>110</v>
      </c>
      <c r="AZ887" s="63"/>
      <c r="BA887" s="43" t="s">
        <v>89</v>
      </c>
      <c r="BB887" s="63"/>
      <c r="BC887" s="95"/>
      <c r="BD887" s="71"/>
      <c r="BE887" s="71"/>
      <c r="BF887" s="72" t="s">
        <v>5334</v>
      </c>
      <c r="BG887" s="73"/>
      <c r="BH887" s="73"/>
      <c r="BI887" s="73"/>
      <c r="BJ887" s="73"/>
      <c r="BK887" s="73"/>
      <c r="BL887" s="73"/>
      <c r="BM887" s="73"/>
      <c r="BN887" s="73"/>
      <c r="BO887" s="73"/>
      <c r="BP887" s="73"/>
      <c r="BQ887" s="73"/>
      <c r="BR887" s="73"/>
      <c r="BS887" s="73"/>
      <c r="BT887" s="73"/>
      <c r="BU887" s="73"/>
      <c r="BV887" s="73"/>
      <c r="BW887" s="74"/>
      <c r="BX887" s="74"/>
      <c r="BY887" s="63"/>
      <c r="BZ887" s="63"/>
    </row>
    <row r="888" ht="15.75" customHeight="1">
      <c r="A888" s="152" t="s">
        <v>5335</v>
      </c>
      <c r="B888" s="50" t="s">
        <v>5336</v>
      </c>
      <c r="C888" s="50" t="s">
        <v>128</v>
      </c>
      <c r="D888" s="80" t="s">
        <v>459</v>
      </c>
      <c r="E888" s="64" t="s">
        <v>3973</v>
      </c>
      <c r="F888" s="78">
        <v>1.1E9</v>
      </c>
      <c r="G888" s="44" t="str">
        <f t="shared" si="16"/>
        <v>Más de $1.000'000.000</v>
      </c>
      <c r="H888" s="44"/>
      <c r="I888" s="44"/>
      <c r="J888" s="50" t="s">
        <v>116</v>
      </c>
      <c r="K888" s="51"/>
      <c r="L888" s="43">
        <v>3.0</v>
      </c>
      <c r="M888" s="43"/>
      <c r="N888" s="43">
        <v>4.0</v>
      </c>
      <c r="O888" s="43">
        <v>2.0</v>
      </c>
      <c r="P888" s="43">
        <v>1.0</v>
      </c>
      <c r="Q888" s="88">
        <v>400.0</v>
      </c>
      <c r="R888" s="88">
        <v>1077.0</v>
      </c>
      <c r="S888" s="56" t="str">
        <f t="shared" si="29"/>
        <v> </v>
      </c>
      <c r="T888" s="43" t="s">
        <v>78</v>
      </c>
      <c r="U888" s="56" t="s">
        <v>77</v>
      </c>
      <c r="V888" s="43"/>
      <c r="W888" s="43"/>
      <c r="X888" s="43">
        <v>3.0</v>
      </c>
      <c r="Y888" s="43" t="s">
        <v>130</v>
      </c>
      <c r="Z888" s="280">
        <v>325000.0</v>
      </c>
      <c r="AA888" s="59" t="str">
        <f>IF(Rentabilidad=0,"No aplica",TEXT(ROUND(Precio/Rentabilidad/12,0),0) &amp; " años")</f>
        <v>No aplica</v>
      </c>
      <c r="AB888" s="350" t="s">
        <v>5337</v>
      </c>
      <c r="AC888" s="124" t="s">
        <v>5338</v>
      </c>
      <c r="AD888" s="62"/>
      <c r="AE888" s="63"/>
      <c r="AF888" s="64" t="s">
        <v>105</v>
      </c>
      <c r="AG888" s="65" t="s">
        <v>106</v>
      </c>
      <c r="AH888" s="63"/>
      <c r="AI888" s="65" t="s">
        <v>107</v>
      </c>
      <c r="AJ888" s="64" t="s">
        <v>5332</v>
      </c>
      <c r="AK888" s="58" t="s">
        <v>81</v>
      </c>
      <c r="AL888" s="45" t="s">
        <v>109</v>
      </c>
      <c r="AM888" s="43">
        <v>3.203396742E9</v>
      </c>
      <c r="AN888" s="64">
        <v>3.10862657E9</v>
      </c>
      <c r="AO888" s="52"/>
      <c r="AP888" s="84" t="s">
        <v>5339</v>
      </c>
      <c r="AQ888" s="84"/>
      <c r="AR888" s="84"/>
      <c r="AS888" s="135"/>
      <c r="AT888" s="50">
        <v>0.0</v>
      </c>
      <c r="AU888" s="43">
        <v>6.0</v>
      </c>
      <c r="AV888" s="43">
        <v>3.0</v>
      </c>
      <c r="AW888" s="52"/>
      <c r="AX888" s="52"/>
      <c r="AY888" s="43" t="s">
        <v>110</v>
      </c>
      <c r="AZ888" s="52"/>
      <c r="BA888" s="43" t="s">
        <v>89</v>
      </c>
      <c r="BB888" s="52"/>
      <c r="BC888" s="95"/>
      <c r="BD888" s="71"/>
      <c r="BE888" s="71"/>
      <c r="BF888" s="72" t="s">
        <v>5340</v>
      </c>
      <c r="BG888" s="73"/>
      <c r="BH888" s="73"/>
      <c r="BI888" s="73"/>
      <c r="BJ888" s="73"/>
      <c r="BK888" s="73"/>
      <c r="BL888" s="73"/>
      <c r="BM888" s="73"/>
      <c r="BN888" s="73"/>
      <c r="BO888" s="73"/>
      <c r="BP888" s="73"/>
      <c r="BQ888" s="73"/>
      <c r="BR888" s="73"/>
      <c r="BS888" s="73"/>
      <c r="BT888" s="73"/>
      <c r="BU888" s="73"/>
      <c r="BV888" s="73"/>
      <c r="BW888" s="74"/>
      <c r="BX888" s="74"/>
      <c r="BY888" s="63"/>
      <c r="BZ888" s="63"/>
    </row>
    <row r="889" ht="15.75" customHeight="1">
      <c r="A889" s="159" t="s">
        <v>5341</v>
      </c>
      <c r="B889" s="50" t="s">
        <v>520</v>
      </c>
      <c r="C889" s="50" t="s">
        <v>128</v>
      </c>
      <c r="D889" s="50" t="s">
        <v>459</v>
      </c>
      <c r="E889" s="64" t="s">
        <v>1619</v>
      </c>
      <c r="F889" s="78">
        <v>7.8E8</v>
      </c>
      <c r="G889" s="44" t="str">
        <f t="shared" si="16"/>
        <v>$500'000.000 a $1.000'000.000</v>
      </c>
      <c r="H889" s="44"/>
      <c r="I889" s="44"/>
      <c r="J889" s="50" t="s">
        <v>116</v>
      </c>
      <c r="K889" s="51" t="s">
        <v>192</v>
      </c>
      <c r="L889" s="50">
        <v>3.0</v>
      </c>
      <c r="M889" s="50"/>
      <c r="N889" s="50">
        <v>3.0</v>
      </c>
      <c r="O889" s="50">
        <v>2.0</v>
      </c>
      <c r="P889" s="50">
        <v>2.0</v>
      </c>
      <c r="Q889" s="88">
        <v>154.29</v>
      </c>
      <c r="R889" s="88">
        <v>152.1</v>
      </c>
      <c r="S889" s="56" t="str">
        <f t="shared" si="29"/>
        <v> </v>
      </c>
      <c r="T889" s="43" t="s">
        <v>78</v>
      </c>
      <c r="U889" s="51" t="s">
        <v>154</v>
      </c>
      <c r="V889" s="50" t="s">
        <v>118</v>
      </c>
      <c r="W889" s="50"/>
      <c r="X889" s="50">
        <v>3.0</v>
      </c>
      <c r="Y889" s="50" t="s">
        <v>130</v>
      </c>
      <c r="Z889" s="58">
        <v>530000.0</v>
      </c>
      <c r="AA889" s="59" t="str">
        <f>IF(Rentabilidad=0,"No aplica",TEXT(ROUND(Precio/Rentabilidad/12,0),0) &amp; " años")</f>
        <v>No aplica</v>
      </c>
      <c r="AB889" s="140" t="s">
        <v>5342</v>
      </c>
      <c r="AC889" s="124" t="s">
        <v>5343</v>
      </c>
      <c r="AD889" s="107" t="s">
        <v>118</v>
      </c>
      <c r="AE889" s="63"/>
      <c r="AF889" s="64" t="s">
        <v>105</v>
      </c>
      <c r="AG889" s="65" t="s">
        <v>106</v>
      </c>
      <c r="AH889" s="63"/>
      <c r="AI889" s="65" t="s">
        <v>107</v>
      </c>
      <c r="AJ889" s="64" t="s">
        <v>5332</v>
      </c>
      <c r="AK889" s="58" t="s">
        <v>81</v>
      </c>
      <c r="AL889" s="45" t="s">
        <v>109</v>
      </c>
      <c r="AM889" s="43">
        <v>3.203396742E9</v>
      </c>
      <c r="AN889" s="64">
        <v>3.10862657E9</v>
      </c>
      <c r="AO889" s="52"/>
      <c r="AP889" s="84" t="s">
        <v>5344</v>
      </c>
      <c r="AQ889" s="84"/>
      <c r="AR889" s="84"/>
      <c r="AS889" s="68"/>
      <c r="AT889" s="50">
        <v>0.0</v>
      </c>
      <c r="AU889" s="50">
        <v>2.0</v>
      </c>
      <c r="AV889" s="50">
        <v>3.0</v>
      </c>
      <c r="AW889" s="50" t="s">
        <v>88</v>
      </c>
      <c r="AX889" s="44"/>
      <c r="AY889" s="50" t="s">
        <v>110</v>
      </c>
      <c r="AZ889" s="44"/>
      <c r="BA889" s="43" t="s">
        <v>89</v>
      </c>
      <c r="BB889" s="44"/>
      <c r="BC889" s="69" t="s">
        <v>439</v>
      </c>
      <c r="BD889" s="70"/>
      <c r="BE889" s="71"/>
      <c r="BF889" s="72" t="s">
        <v>5345</v>
      </c>
      <c r="BG889" s="73"/>
      <c r="BH889" s="73"/>
      <c r="BI889" s="73"/>
      <c r="BJ889" s="73"/>
      <c r="BK889" s="73"/>
      <c r="BL889" s="73"/>
      <c r="BM889" s="73"/>
      <c r="BN889" s="73"/>
      <c r="BO889" s="73"/>
      <c r="BP889" s="73"/>
      <c r="BQ889" s="73"/>
      <c r="BR889" s="73"/>
      <c r="BS889" s="73"/>
      <c r="BT889" s="73"/>
      <c r="BU889" s="73"/>
      <c r="BV889" s="73"/>
      <c r="BW889" s="74"/>
      <c r="BX889" s="74"/>
      <c r="BY889" s="63"/>
      <c r="BZ889" s="63"/>
    </row>
    <row r="890" ht="15.75" customHeight="1">
      <c r="A890" s="159" t="s">
        <v>5346</v>
      </c>
      <c r="B890" s="50" t="s">
        <v>5347</v>
      </c>
      <c r="C890" s="50" t="s">
        <v>128</v>
      </c>
      <c r="D890" s="50" t="s">
        <v>459</v>
      </c>
      <c r="E890" s="64" t="s">
        <v>5348</v>
      </c>
      <c r="F890" s="78">
        <v>7.0E8</v>
      </c>
      <c r="G890" s="44" t="str">
        <f t="shared" si="16"/>
        <v>$500'000.000 a $1.000'000.000</v>
      </c>
      <c r="H890" s="44"/>
      <c r="I890" s="44"/>
      <c r="J890" s="50" t="s">
        <v>116</v>
      </c>
      <c r="K890" s="51" t="s">
        <v>192</v>
      </c>
      <c r="L890" s="50">
        <v>3.0</v>
      </c>
      <c r="M890" s="50"/>
      <c r="N890" s="50">
        <v>2.0</v>
      </c>
      <c r="O890" s="50">
        <v>2.0</v>
      </c>
      <c r="P890" s="50">
        <v>2.0</v>
      </c>
      <c r="Q890" s="88">
        <v>157.82</v>
      </c>
      <c r="R890" s="88">
        <v>164.0</v>
      </c>
      <c r="S890" s="56" t="str">
        <f t="shared" si="29"/>
        <v> </v>
      </c>
      <c r="T890" s="43" t="s">
        <v>78</v>
      </c>
      <c r="U890" s="51" t="s">
        <v>142</v>
      </c>
      <c r="V890" s="50" t="s">
        <v>118</v>
      </c>
      <c r="W890" s="50"/>
      <c r="X890" s="50">
        <v>3.0</v>
      </c>
      <c r="Y890" s="50" t="s">
        <v>130</v>
      </c>
      <c r="Z890" s="58">
        <v>520000.0</v>
      </c>
      <c r="AA890" s="59" t="str">
        <f>IF(Rentabilidad=0,"No aplica",TEXT(ROUND(Precio/Rentabilidad/12,0),0) &amp; " años")</f>
        <v>No aplica</v>
      </c>
      <c r="AB890" s="140" t="s">
        <v>5349</v>
      </c>
      <c r="AC890" s="124" t="s">
        <v>5350</v>
      </c>
      <c r="AD890" s="107" t="s">
        <v>118</v>
      </c>
      <c r="AE890" s="63"/>
      <c r="AF890" s="64" t="s">
        <v>105</v>
      </c>
      <c r="AG890" s="65" t="s">
        <v>106</v>
      </c>
      <c r="AH890" s="63"/>
      <c r="AI890" s="65" t="s">
        <v>107</v>
      </c>
      <c r="AJ890" s="64" t="s">
        <v>5332</v>
      </c>
      <c r="AK890" s="58" t="s">
        <v>81</v>
      </c>
      <c r="AL890" s="45" t="s">
        <v>109</v>
      </c>
      <c r="AM890" s="43">
        <v>3.203396742E9</v>
      </c>
      <c r="AN890" s="64">
        <v>3.10862657E9</v>
      </c>
      <c r="AO890" s="52"/>
      <c r="AP890" s="84" t="s">
        <v>5351</v>
      </c>
      <c r="AQ890" s="84"/>
      <c r="AR890" s="84"/>
      <c r="AS890" s="68"/>
      <c r="AT890" s="50">
        <v>0.0</v>
      </c>
      <c r="AU890" s="50">
        <v>2.0</v>
      </c>
      <c r="AV890" s="50">
        <v>2.0</v>
      </c>
      <c r="AW890" s="50" t="s">
        <v>88</v>
      </c>
      <c r="AX890" s="44"/>
      <c r="AY890" s="50" t="s">
        <v>110</v>
      </c>
      <c r="AZ890" s="44"/>
      <c r="BA890" s="43" t="s">
        <v>89</v>
      </c>
      <c r="BB890" s="44"/>
      <c r="BC890" s="69"/>
      <c r="BD890" s="71"/>
      <c r="BE890" s="70"/>
      <c r="BF890" s="72" t="s">
        <v>5352</v>
      </c>
      <c r="BG890" s="74"/>
      <c r="BH890" s="74"/>
      <c r="BI890" s="74"/>
      <c r="BJ890" s="74"/>
      <c r="BK890" s="74"/>
      <c r="BL890" s="74"/>
      <c r="BM890" s="74"/>
      <c r="BN890" s="74"/>
      <c r="BO890" s="74"/>
      <c r="BP890" s="74"/>
      <c r="BQ890" s="74"/>
      <c r="BR890" s="74"/>
      <c r="BS890" s="74"/>
      <c r="BT890" s="74"/>
      <c r="BU890" s="74"/>
      <c r="BV890" s="74"/>
      <c r="BW890" s="74"/>
      <c r="BX890" s="74"/>
      <c r="BY890" s="63"/>
      <c r="BZ890" s="63"/>
    </row>
    <row r="891" ht="15.75" customHeight="1">
      <c r="A891" s="159" t="s">
        <v>5353</v>
      </c>
      <c r="B891" s="50" t="s">
        <v>520</v>
      </c>
      <c r="C891" s="50" t="s">
        <v>128</v>
      </c>
      <c r="D891" s="50" t="s">
        <v>459</v>
      </c>
      <c r="E891" s="64" t="s">
        <v>1619</v>
      </c>
      <c r="F891" s="78">
        <v>6.5E8</v>
      </c>
      <c r="G891" s="44" t="str">
        <f t="shared" si="16"/>
        <v>$500'000.000 a $1.000'000.000</v>
      </c>
      <c r="H891" s="44"/>
      <c r="I891" s="44"/>
      <c r="J891" s="50" t="s">
        <v>116</v>
      </c>
      <c r="K891" s="51" t="s">
        <v>192</v>
      </c>
      <c r="L891" s="50">
        <v>3.0</v>
      </c>
      <c r="M891" s="50"/>
      <c r="N891" s="50">
        <v>3.0</v>
      </c>
      <c r="O891" s="50">
        <v>2.0</v>
      </c>
      <c r="P891" s="50">
        <v>2.0</v>
      </c>
      <c r="Q891" s="89">
        <v>0.0</v>
      </c>
      <c r="R891" s="88">
        <v>172.0</v>
      </c>
      <c r="S891" s="56" t="str">
        <f t="shared" si="29"/>
        <v> </v>
      </c>
      <c r="T891" s="43" t="s">
        <v>78</v>
      </c>
      <c r="U891" s="51" t="s">
        <v>154</v>
      </c>
      <c r="V891" s="50" t="s">
        <v>118</v>
      </c>
      <c r="W891" s="50"/>
      <c r="X891" s="50">
        <v>3.0</v>
      </c>
      <c r="Y891" s="50" t="s">
        <v>130</v>
      </c>
      <c r="Z891" s="58">
        <v>520000.0</v>
      </c>
      <c r="AA891" s="59" t="str">
        <f>IF(Rentabilidad=0,"No aplica",TEXT(ROUND(Precio/Rentabilidad/12,0),0) &amp; " años")</f>
        <v>No aplica</v>
      </c>
      <c r="AB891" s="140" t="s">
        <v>5354</v>
      </c>
      <c r="AC891" s="124" t="s">
        <v>5355</v>
      </c>
      <c r="AD891" s="107" t="s">
        <v>118</v>
      </c>
      <c r="AE891" s="63"/>
      <c r="AF891" s="64" t="s">
        <v>105</v>
      </c>
      <c r="AG891" s="65" t="s">
        <v>106</v>
      </c>
      <c r="AH891" s="63"/>
      <c r="AI891" s="65" t="s">
        <v>107</v>
      </c>
      <c r="AJ891" s="64" t="s">
        <v>5332</v>
      </c>
      <c r="AK891" s="58" t="s">
        <v>81</v>
      </c>
      <c r="AL891" s="45" t="s">
        <v>109</v>
      </c>
      <c r="AM891" s="43">
        <v>3.203396742E9</v>
      </c>
      <c r="AN891" s="64">
        <v>3.10862657E9</v>
      </c>
      <c r="AO891" s="52"/>
      <c r="AP891" s="84" t="s">
        <v>5356</v>
      </c>
      <c r="AQ891" s="84">
        <v>2.93038947176041</v>
      </c>
      <c r="AR891" s="84">
        <v>-75.2498377220682</v>
      </c>
      <c r="AS891" s="94">
        <v>0.0</v>
      </c>
      <c r="AT891" s="50">
        <v>0.0</v>
      </c>
      <c r="AU891" s="50">
        <v>2.0</v>
      </c>
      <c r="AV891" s="50">
        <v>2.0</v>
      </c>
      <c r="AW891" s="50" t="s">
        <v>88</v>
      </c>
      <c r="AX891" s="44"/>
      <c r="AY891" s="50" t="s">
        <v>137</v>
      </c>
      <c r="AZ891" s="44"/>
      <c r="BA891" s="43" t="s">
        <v>89</v>
      </c>
      <c r="BB891" s="44"/>
      <c r="BC891" s="95" t="s">
        <v>769</v>
      </c>
      <c r="BD891" s="71"/>
      <c r="BE891" s="71"/>
      <c r="BF891" s="72" t="s">
        <v>5357</v>
      </c>
      <c r="BG891" s="73"/>
      <c r="BH891" s="73"/>
      <c r="BI891" s="73"/>
      <c r="BJ891" s="73"/>
      <c r="BK891" s="73"/>
      <c r="BL891" s="73"/>
      <c r="BM891" s="73"/>
      <c r="BN891" s="73"/>
      <c r="BO891" s="73"/>
      <c r="BP891" s="73"/>
      <c r="BQ891" s="73"/>
      <c r="BR891" s="73"/>
      <c r="BS891" s="73"/>
      <c r="BT891" s="73"/>
      <c r="BU891" s="73"/>
      <c r="BV891" s="73"/>
      <c r="BW891" s="74"/>
      <c r="BX891" s="74"/>
      <c r="BY891" s="63"/>
      <c r="BZ891" s="63"/>
    </row>
    <row r="892" ht="15.75" customHeight="1">
      <c r="A892" s="159" t="s">
        <v>5358</v>
      </c>
      <c r="B892" s="50" t="s">
        <v>5359</v>
      </c>
      <c r="C892" s="50" t="s">
        <v>70</v>
      </c>
      <c r="D892" s="50" t="s">
        <v>193</v>
      </c>
      <c r="E892" s="45"/>
      <c r="F892" s="78">
        <v>6.5E8</v>
      </c>
      <c r="G892" s="44" t="str">
        <f t="shared" si="16"/>
        <v>$500'000.000 a $1.000'000.000</v>
      </c>
      <c r="H892" s="44"/>
      <c r="I892" s="44"/>
      <c r="J892" s="50" t="s">
        <v>76</v>
      </c>
      <c r="K892" s="51" t="s">
        <v>77</v>
      </c>
      <c r="L892" s="50">
        <v>4.0</v>
      </c>
      <c r="M892" s="50"/>
      <c r="N892" s="50">
        <v>4.0</v>
      </c>
      <c r="O892" s="50">
        <v>0.0</v>
      </c>
      <c r="P892" s="50">
        <v>2.0</v>
      </c>
      <c r="Q892" s="88">
        <v>221.0</v>
      </c>
      <c r="R892" s="88">
        <v>143.0</v>
      </c>
      <c r="S892" s="56" t="str">
        <f t="shared" si="29"/>
        <v> </v>
      </c>
      <c r="T892" s="43" t="s">
        <v>78</v>
      </c>
      <c r="U892" s="51" t="s">
        <v>142</v>
      </c>
      <c r="V892" s="50" t="s">
        <v>79</v>
      </c>
      <c r="W892" s="50"/>
      <c r="X892" s="50">
        <v>4.0</v>
      </c>
      <c r="Y892" s="50" t="s">
        <v>80</v>
      </c>
      <c r="Z892" s="58" t="s">
        <v>81</v>
      </c>
      <c r="AA892" s="59" t="str">
        <f>IF(Rentabilidad=0,"No aplica",TEXT(ROUND(Precio/Rentabilidad/12,0),0) &amp; " años")</f>
        <v>No aplica</v>
      </c>
      <c r="AB892" s="140" t="s">
        <v>5360</v>
      </c>
      <c r="AC892" s="124" t="s">
        <v>5361</v>
      </c>
      <c r="AD892" s="62"/>
      <c r="AE892" s="63"/>
      <c r="AF892" s="64" t="s">
        <v>105</v>
      </c>
      <c r="AG892" s="65" t="s">
        <v>106</v>
      </c>
      <c r="AH892" s="65" t="s">
        <v>45</v>
      </c>
      <c r="AI892" s="65" t="s">
        <v>107</v>
      </c>
      <c r="AJ892" s="64" t="s">
        <v>5332</v>
      </c>
      <c r="AK892" s="58" t="s">
        <v>81</v>
      </c>
      <c r="AL892" s="45" t="s">
        <v>109</v>
      </c>
      <c r="AM892" s="43">
        <v>3.203396742E9</v>
      </c>
      <c r="AN892" s="64">
        <v>3.10862657E9</v>
      </c>
      <c r="AO892" s="52"/>
      <c r="AP892" s="84" t="s">
        <v>5362</v>
      </c>
      <c r="AQ892" s="84">
        <v>2.9365796</v>
      </c>
      <c r="AR892" s="84">
        <v>-75.2887681</v>
      </c>
      <c r="AS892" s="68"/>
      <c r="AT892" s="50">
        <v>0.0</v>
      </c>
      <c r="AU892" s="50">
        <v>0.0</v>
      </c>
      <c r="AV892" s="50">
        <v>2.0</v>
      </c>
      <c r="AW892" s="50" t="s">
        <v>88</v>
      </c>
      <c r="AX892" s="44"/>
      <c r="AY892" s="50" t="s">
        <v>137</v>
      </c>
      <c r="AZ892" s="44"/>
      <c r="BA892" s="43" t="s">
        <v>89</v>
      </c>
      <c r="BB892" s="44"/>
      <c r="BC892" s="69" t="s">
        <v>537</v>
      </c>
      <c r="BD892" s="70"/>
      <c r="BE892" s="71"/>
      <c r="BF892" s="72" t="s">
        <v>5363</v>
      </c>
      <c r="BG892" s="73"/>
      <c r="BH892" s="73"/>
      <c r="BI892" s="73"/>
      <c r="BJ892" s="73"/>
      <c r="BK892" s="73"/>
      <c r="BL892" s="73"/>
      <c r="BM892" s="73"/>
      <c r="BN892" s="73"/>
      <c r="BO892" s="73"/>
      <c r="BP892" s="73"/>
      <c r="BQ892" s="73"/>
      <c r="BR892" s="73"/>
      <c r="BS892" s="73"/>
      <c r="BT892" s="73"/>
      <c r="BU892" s="73"/>
      <c r="BV892" s="73"/>
      <c r="BW892" s="74"/>
      <c r="BX892" s="74"/>
      <c r="BY892" s="63"/>
      <c r="BZ892" s="63"/>
    </row>
    <row r="893" ht="15.75" customHeight="1">
      <c r="A893" s="152" t="s">
        <v>5364</v>
      </c>
      <c r="B893" s="50" t="s">
        <v>593</v>
      </c>
      <c r="C893" s="111" t="s">
        <v>323</v>
      </c>
      <c r="D893" s="50" t="s">
        <v>11</v>
      </c>
      <c r="E893" s="64" t="s">
        <v>1613</v>
      </c>
      <c r="F893" s="78">
        <v>5.0E8</v>
      </c>
      <c r="G893" s="44" t="str">
        <f t="shared" si="16"/>
        <v>$500'000.000 a $1.000'000.000</v>
      </c>
      <c r="H893" s="44"/>
      <c r="I893" s="44"/>
      <c r="J893" s="50" t="s">
        <v>183</v>
      </c>
      <c r="K893" s="51" t="s">
        <v>184</v>
      </c>
      <c r="L893" s="50">
        <v>3.0</v>
      </c>
      <c r="M893" s="50"/>
      <c r="N893" s="50">
        <v>2.0</v>
      </c>
      <c r="O893" s="50">
        <v>1.0</v>
      </c>
      <c r="P893" s="50">
        <v>17.0</v>
      </c>
      <c r="Q893" s="88">
        <v>103.18</v>
      </c>
      <c r="R893" s="88">
        <v>113.82</v>
      </c>
      <c r="S893" s="56" t="str">
        <f t="shared" si="29"/>
        <v> </v>
      </c>
      <c r="T893" s="43" t="s">
        <v>78</v>
      </c>
      <c r="U893" s="56" t="s">
        <v>142</v>
      </c>
      <c r="V893" s="50" t="s">
        <v>2564</v>
      </c>
      <c r="W893" s="50"/>
      <c r="X893" s="44"/>
      <c r="Y893" s="50" t="s">
        <v>130</v>
      </c>
      <c r="Z893" s="80">
        <v>359000.0</v>
      </c>
      <c r="AA893" s="59" t="str">
        <f>IF(Rentabilidad=0,"No aplica",TEXT(ROUND(Precio/Rentabilidad/12,0),0) &amp; " años")</f>
        <v>No aplica</v>
      </c>
      <c r="AB893" s="134" t="s">
        <v>5365</v>
      </c>
      <c r="AC893" s="124" t="s">
        <v>5366</v>
      </c>
      <c r="AD893" s="62"/>
      <c r="AE893" s="63"/>
      <c r="AF893" s="64" t="s">
        <v>105</v>
      </c>
      <c r="AG893" s="65" t="s">
        <v>106</v>
      </c>
      <c r="AH893" s="65"/>
      <c r="AI893" s="65" t="s">
        <v>107</v>
      </c>
      <c r="AJ893" s="64" t="s">
        <v>5332</v>
      </c>
      <c r="AK893" s="58" t="s">
        <v>81</v>
      </c>
      <c r="AL893" s="45" t="s">
        <v>109</v>
      </c>
      <c r="AM893" s="43">
        <v>3.203396742E9</v>
      </c>
      <c r="AN893" s="64">
        <v>3.10862657E9</v>
      </c>
      <c r="AO893" s="52"/>
      <c r="AP893" s="84" t="s">
        <v>5367</v>
      </c>
      <c r="AQ893" s="84">
        <v>2.95191821995921</v>
      </c>
      <c r="AR893" s="84">
        <v>-75.28958381693</v>
      </c>
      <c r="AS893" s="68"/>
      <c r="AT893" s="50" t="s">
        <v>106</v>
      </c>
      <c r="AU893" s="50">
        <v>2.0</v>
      </c>
      <c r="AV893" s="44"/>
      <c r="AW893" s="50" t="s">
        <v>88</v>
      </c>
      <c r="AX893" s="44"/>
      <c r="AY893" s="50">
        <v>0.0</v>
      </c>
      <c r="AZ893" s="44"/>
      <c r="BA893" s="43" t="s">
        <v>89</v>
      </c>
      <c r="BB893" s="44"/>
      <c r="BC893" s="69" t="s">
        <v>445</v>
      </c>
      <c r="BD893" s="70"/>
      <c r="BE893" s="71"/>
      <c r="BF893" s="72" t="s">
        <v>5368</v>
      </c>
      <c r="BG893" s="73"/>
      <c r="BH893" s="73"/>
      <c r="BI893" s="73"/>
      <c r="BJ893" s="73"/>
      <c r="BK893" s="73"/>
      <c r="BL893" s="73"/>
      <c r="BM893" s="73"/>
      <c r="BN893" s="73"/>
      <c r="BO893" s="73"/>
      <c r="BP893" s="73"/>
      <c r="BQ893" s="73"/>
      <c r="BR893" s="73"/>
      <c r="BS893" s="73"/>
      <c r="BT893" s="73"/>
      <c r="BU893" s="73"/>
      <c r="BV893" s="73"/>
      <c r="BW893" s="74"/>
      <c r="BX893" s="74"/>
      <c r="BY893" s="63"/>
      <c r="BZ893" s="63"/>
    </row>
    <row r="894" ht="15.75" customHeight="1">
      <c r="A894" s="152" t="s">
        <v>5369</v>
      </c>
      <c r="B894" s="50" t="s">
        <v>5370</v>
      </c>
      <c r="C894" s="50" t="s">
        <v>128</v>
      </c>
      <c r="D894" s="50" t="s">
        <v>5371</v>
      </c>
      <c r="E894" s="64" t="s">
        <v>5372</v>
      </c>
      <c r="F894" s="78">
        <v>7.5E8</v>
      </c>
      <c r="G894" s="44" t="str">
        <f t="shared" si="16"/>
        <v>$500'000.000 a $1.000'000.000</v>
      </c>
      <c r="H894" s="44"/>
      <c r="I894" s="44"/>
      <c r="J894" s="50" t="s">
        <v>116</v>
      </c>
      <c r="K894" s="51" t="s">
        <v>154</v>
      </c>
      <c r="L894" s="50">
        <v>3.0</v>
      </c>
      <c r="M894" s="50"/>
      <c r="N894" s="50">
        <v>2.0</v>
      </c>
      <c r="O894" s="50">
        <v>1.0</v>
      </c>
      <c r="P894" s="50">
        <v>2.0</v>
      </c>
      <c r="Q894" s="88" t="s">
        <v>5373</v>
      </c>
      <c r="R894" s="88" t="s">
        <v>5374</v>
      </c>
      <c r="S894" s="56" t="str">
        <f t="shared" si="29"/>
        <v> </v>
      </c>
      <c r="T894" s="50" t="s">
        <v>78</v>
      </c>
      <c r="U894" s="57"/>
      <c r="V894" s="50" t="s">
        <v>118</v>
      </c>
      <c r="W894" s="50"/>
      <c r="X894" s="50">
        <v>3.0</v>
      </c>
      <c r="Y894" s="50" t="s">
        <v>130</v>
      </c>
      <c r="Z894" s="91"/>
      <c r="AA894" s="59" t="str">
        <f>IF(Rentabilidad=0,"No aplica",TEXT(ROUND(Precio/Rentabilidad/12,0),0) &amp; " años")</f>
        <v>No aplica</v>
      </c>
      <c r="AB894" s="82" t="s">
        <v>5375</v>
      </c>
      <c r="AC894" s="124" t="s">
        <v>5376</v>
      </c>
      <c r="AD894" s="107" t="s">
        <v>118</v>
      </c>
      <c r="AE894" s="63"/>
      <c r="AF894" s="64" t="s">
        <v>105</v>
      </c>
      <c r="AG894" s="65" t="s">
        <v>106</v>
      </c>
      <c r="AH894" s="63"/>
      <c r="AI894" s="65" t="s">
        <v>107</v>
      </c>
      <c r="AJ894" s="64" t="s">
        <v>5332</v>
      </c>
      <c r="AK894" s="58" t="s">
        <v>81</v>
      </c>
      <c r="AL894" s="45" t="s">
        <v>109</v>
      </c>
      <c r="AM894" s="43">
        <v>3.203396742E9</v>
      </c>
      <c r="AN894" s="64">
        <v>3.10862657E9</v>
      </c>
      <c r="AO894" s="52"/>
      <c r="AP894" s="84" t="s">
        <v>5377</v>
      </c>
      <c r="AQ894" s="84"/>
      <c r="AR894" s="84"/>
      <c r="AS894" s="94"/>
      <c r="AT894" s="65">
        <v>0.0</v>
      </c>
      <c r="AU894" s="50">
        <v>0.0</v>
      </c>
      <c r="AV894" s="50">
        <v>0.0</v>
      </c>
      <c r="AW894" s="50" t="s">
        <v>88</v>
      </c>
      <c r="AX894" s="44"/>
      <c r="AY894" s="50" t="s">
        <v>137</v>
      </c>
      <c r="AZ894" s="44"/>
      <c r="BA894" s="43" t="s">
        <v>89</v>
      </c>
      <c r="BB894" s="44"/>
      <c r="BC894" s="69" t="s">
        <v>805</v>
      </c>
      <c r="BD894" s="70"/>
      <c r="BE894" s="70"/>
      <c r="BF894" s="72" t="s">
        <v>5378</v>
      </c>
      <c r="BG894" s="73"/>
      <c r="BH894" s="73"/>
      <c r="BI894" s="73"/>
      <c r="BJ894" s="73"/>
      <c r="BK894" s="73"/>
      <c r="BL894" s="73"/>
      <c r="BM894" s="73"/>
      <c r="BN894" s="73"/>
      <c r="BO894" s="73"/>
      <c r="BP894" s="73"/>
      <c r="BQ894" s="73"/>
      <c r="BR894" s="73"/>
      <c r="BS894" s="73"/>
      <c r="BT894" s="73"/>
      <c r="BU894" s="73"/>
      <c r="BV894" s="73"/>
      <c r="BW894" s="74"/>
      <c r="BX894" s="74"/>
      <c r="BY894" s="63"/>
      <c r="BZ894" s="63"/>
    </row>
    <row r="895" ht="15.75" customHeight="1">
      <c r="A895" s="152" t="s">
        <v>5379</v>
      </c>
      <c r="B895" s="50" t="s">
        <v>2628</v>
      </c>
      <c r="C895" s="50" t="s">
        <v>70</v>
      </c>
      <c r="D895" s="58" t="s">
        <v>272</v>
      </c>
      <c r="E895" s="45"/>
      <c r="F895" s="78">
        <v>4.5E8</v>
      </c>
      <c r="G895" s="44" t="str">
        <f t="shared" si="16"/>
        <v>$400'000.000 a $500'000.000</v>
      </c>
      <c r="H895" s="44"/>
      <c r="I895" s="44"/>
      <c r="J895" s="50" t="s">
        <v>76</v>
      </c>
      <c r="K895" s="51" t="s">
        <v>192</v>
      </c>
      <c r="L895" s="43">
        <v>4.0</v>
      </c>
      <c r="M895" s="43"/>
      <c r="N895" s="43">
        <v>2.0</v>
      </c>
      <c r="O895" s="43">
        <v>1.0</v>
      </c>
      <c r="P895" s="43">
        <v>1.0</v>
      </c>
      <c r="Q895" s="88">
        <v>159.0</v>
      </c>
      <c r="R895" s="88">
        <v>199.0</v>
      </c>
      <c r="S895" s="56" t="str">
        <f t="shared" si="29"/>
        <v> </v>
      </c>
      <c r="T895" s="43" t="s">
        <v>78</v>
      </c>
      <c r="U895" s="56" t="s">
        <v>77</v>
      </c>
      <c r="V895" s="43" t="s">
        <v>79</v>
      </c>
      <c r="W895" s="43"/>
      <c r="X895" s="43">
        <v>1.0</v>
      </c>
      <c r="Y895" s="65" t="s">
        <v>80</v>
      </c>
      <c r="Z895" s="58" t="s">
        <v>81</v>
      </c>
      <c r="AA895" s="59" t="str">
        <f>IF(Rentabilidad=0,"No aplica",TEXT(ROUND(Precio/Rentabilidad/12,0),0) &amp; " años")</f>
        <v>No aplica</v>
      </c>
      <c r="AB895" s="134" t="s">
        <v>5380</v>
      </c>
      <c r="AC895" s="124" t="s">
        <v>5381</v>
      </c>
      <c r="AD895" s="62"/>
      <c r="AE895" s="63"/>
      <c r="AF895" s="64" t="s">
        <v>105</v>
      </c>
      <c r="AG895" s="65" t="s">
        <v>106</v>
      </c>
      <c r="AH895" s="63"/>
      <c r="AI895" s="65" t="s">
        <v>107</v>
      </c>
      <c r="AJ895" s="64" t="s">
        <v>5332</v>
      </c>
      <c r="AK895" s="58" t="s">
        <v>81</v>
      </c>
      <c r="AL895" s="45" t="s">
        <v>109</v>
      </c>
      <c r="AM895" s="43">
        <v>3.203396742E9</v>
      </c>
      <c r="AN895" s="64">
        <v>3.10862657E9</v>
      </c>
      <c r="AO895" s="52"/>
      <c r="AP895" s="84" t="s">
        <v>5382</v>
      </c>
      <c r="AQ895" s="84">
        <v>2.9316291</v>
      </c>
      <c r="AR895" s="84">
        <v>-75.2864111</v>
      </c>
      <c r="AS895" s="135"/>
      <c r="AT895" s="44"/>
      <c r="AU895" s="52"/>
      <c r="AV895" s="43">
        <v>0.0</v>
      </c>
      <c r="AW895" s="43" t="s">
        <v>106</v>
      </c>
      <c r="AX895" s="52"/>
      <c r="AY895" s="43" t="s">
        <v>247</v>
      </c>
      <c r="AZ895" s="52"/>
      <c r="BA895" s="43" t="s">
        <v>89</v>
      </c>
      <c r="BB895" s="52"/>
      <c r="BC895" s="95" t="s">
        <v>439</v>
      </c>
      <c r="BD895" s="71"/>
      <c r="BE895" s="71"/>
      <c r="BF895" s="72" t="s">
        <v>5383</v>
      </c>
      <c r="BG895" s="73"/>
      <c r="BH895" s="73"/>
      <c r="BI895" s="73"/>
      <c r="BJ895" s="73"/>
      <c r="BK895" s="73"/>
      <c r="BL895" s="73"/>
      <c r="BM895" s="73"/>
      <c r="BN895" s="73"/>
      <c r="BO895" s="73"/>
      <c r="BP895" s="73"/>
      <c r="BQ895" s="73"/>
      <c r="BR895" s="73"/>
      <c r="BS895" s="73"/>
      <c r="BT895" s="73"/>
      <c r="BU895" s="73"/>
      <c r="BV895" s="73"/>
      <c r="BW895" s="74"/>
      <c r="BX895" s="74"/>
      <c r="BY895" s="63"/>
      <c r="BZ895" s="63"/>
    </row>
    <row r="896" ht="15.75" customHeight="1">
      <c r="A896" s="152" t="s">
        <v>5384</v>
      </c>
      <c r="B896" s="50" t="s">
        <v>5385</v>
      </c>
      <c r="C896" s="50" t="s">
        <v>271</v>
      </c>
      <c r="D896" s="50" t="s">
        <v>506</v>
      </c>
      <c r="E896" s="45"/>
      <c r="F896" s="78">
        <v>4.3E8</v>
      </c>
      <c r="G896" s="44" t="str">
        <f t="shared" si="16"/>
        <v>$400'000.000 a $500'000.000</v>
      </c>
      <c r="H896" s="44"/>
      <c r="I896" s="44"/>
      <c r="J896" s="50" t="s">
        <v>116</v>
      </c>
      <c r="K896" s="51" t="s">
        <v>192</v>
      </c>
      <c r="L896" s="50">
        <v>5.0</v>
      </c>
      <c r="M896" s="50"/>
      <c r="N896" s="50">
        <v>4.0</v>
      </c>
      <c r="O896" s="50">
        <v>2.0</v>
      </c>
      <c r="P896" s="50">
        <v>2.0</v>
      </c>
      <c r="Q896" s="89">
        <v>0.0</v>
      </c>
      <c r="R896" s="79">
        <v>198.0</v>
      </c>
      <c r="S896" s="56" t="str">
        <f t="shared" si="29"/>
        <v>Rentabilidad $2,500,000</v>
      </c>
      <c r="T896" s="43" t="s">
        <v>78</v>
      </c>
      <c r="U896" s="56" t="s">
        <v>77</v>
      </c>
      <c r="V896" s="50" t="s">
        <v>118</v>
      </c>
      <c r="W896" s="50"/>
      <c r="X896" s="44"/>
      <c r="Y896" s="50" t="s">
        <v>80</v>
      </c>
      <c r="Z896" s="80" t="s">
        <v>81</v>
      </c>
      <c r="AA896" s="59" t="str">
        <f>IF(Rentabilidad=0,"No aplica",TEXT(ROUND(Precio/Rentabilidad/12,0),0) &amp; " años")</f>
        <v>14 años</v>
      </c>
      <c r="AB896" s="172" t="s">
        <v>5386</v>
      </c>
      <c r="AC896" s="124" t="s">
        <v>5387</v>
      </c>
      <c r="AD896" s="107" t="s">
        <v>5388</v>
      </c>
      <c r="AE896" s="63"/>
      <c r="AF896" s="64" t="s">
        <v>105</v>
      </c>
      <c r="AG896" s="65" t="s">
        <v>106</v>
      </c>
      <c r="AH896" s="65"/>
      <c r="AI896" s="65" t="s">
        <v>107</v>
      </c>
      <c r="AJ896" s="64" t="s">
        <v>5332</v>
      </c>
      <c r="AK896" s="58" t="s">
        <v>81</v>
      </c>
      <c r="AL896" s="45" t="s">
        <v>109</v>
      </c>
      <c r="AM896" s="43">
        <v>3.203396742E9</v>
      </c>
      <c r="AN896" s="64">
        <v>3.10862657E9</v>
      </c>
      <c r="AO896" s="52"/>
      <c r="AP896" s="84" t="s">
        <v>5389</v>
      </c>
      <c r="AQ896" s="84"/>
      <c r="AR896" s="84"/>
      <c r="AS896" s="85">
        <v>2500000.0</v>
      </c>
      <c r="AT896" s="50">
        <v>0.0</v>
      </c>
      <c r="AU896" s="50">
        <v>0.0</v>
      </c>
      <c r="AV896" s="50">
        <v>0.0</v>
      </c>
      <c r="AW896" s="50" t="s">
        <v>106</v>
      </c>
      <c r="AX896" s="44"/>
      <c r="AY896" s="50" t="s">
        <v>137</v>
      </c>
      <c r="AZ896" s="44"/>
      <c r="BA896" s="43" t="s">
        <v>89</v>
      </c>
      <c r="BB896" s="44"/>
      <c r="BC896" s="154"/>
      <c r="BD896" s="155"/>
      <c r="BE896" s="156"/>
      <c r="BF896" s="157" t="s">
        <v>5390</v>
      </c>
      <c r="BG896" s="73"/>
      <c r="BH896" s="73"/>
      <c r="BI896" s="73"/>
      <c r="BJ896" s="73"/>
      <c r="BK896" s="73"/>
      <c r="BL896" s="73"/>
      <c r="BM896" s="73"/>
      <c r="BN896" s="73"/>
      <c r="BO896" s="73"/>
      <c r="BP896" s="73"/>
      <c r="BQ896" s="73"/>
      <c r="BR896" s="73"/>
      <c r="BS896" s="73"/>
      <c r="BT896" s="73"/>
      <c r="BU896" s="73"/>
      <c r="BV896" s="73"/>
      <c r="BW896" s="74"/>
      <c r="BX896" s="74"/>
      <c r="BY896" s="63"/>
      <c r="BZ896" s="63"/>
    </row>
    <row r="897" ht="15.75" customHeight="1">
      <c r="A897" s="152" t="s">
        <v>5391</v>
      </c>
      <c r="B897" s="50" t="s">
        <v>5392</v>
      </c>
      <c r="C897" s="50" t="s">
        <v>271</v>
      </c>
      <c r="D897" s="80" t="s">
        <v>155</v>
      </c>
      <c r="E897" s="45"/>
      <c r="F897" s="78">
        <v>3.9E8</v>
      </c>
      <c r="G897" s="44" t="str">
        <f t="shared" si="16"/>
        <v>$300'000.000 a $400'000.000</v>
      </c>
      <c r="H897" s="44"/>
      <c r="I897" s="44"/>
      <c r="J897" s="50" t="s">
        <v>76</v>
      </c>
      <c r="K897" s="51" t="s">
        <v>77</v>
      </c>
      <c r="L897" s="43">
        <v>6.0</v>
      </c>
      <c r="M897" s="43"/>
      <c r="N897" s="43">
        <v>4.0</v>
      </c>
      <c r="O897" s="43">
        <v>1.0</v>
      </c>
      <c r="P897" s="43">
        <v>2.0</v>
      </c>
      <c r="Q897" s="88">
        <v>221.0</v>
      </c>
      <c r="R897" s="88">
        <v>113.0</v>
      </c>
      <c r="S897" s="56" t="str">
        <f t="shared" si="29"/>
        <v>Rentabilidad $1,400,000</v>
      </c>
      <c r="T897" s="43" t="s">
        <v>78</v>
      </c>
      <c r="U897" s="56" t="s">
        <v>184</v>
      </c>
      <c r="V897" s="43" t="s">
        <v>79</v>
      </c>
      <c r="W897" s="43"/>
      <c r="X897" s="43">
        <v>4.0</v>
      </c>
      <c r="Y897" s="43" t="s">
        <v>80</v>
      </c>
      <c r="Z897" s="280" t="s">
        <v>81</v>
      </c>
      <c r="AA897" s="59" t="str">
        <f>IF(Rentabilidad=0,"No aplica",TEXT(ROUND(Precio/Rentabilidad/12,0),0) &amp; " años")</f>
        <v>23 años</v>
      </c>
      <c r="AB897" s="134" t="s">
        <v>5393</v>
      </c>
      <c r="AC897" s="124" t="s">
        <v>5394</v>
      </c>
      <c r="AD897" s="107" t="s">
        <v>5395</v>
      </c>
      <c r="AE897" s="63"/>
      <c r="AF897" s="64" t="s">
        <v>105</v>
      </c>
      <c r="AG897" s="65" t="s">
        <v>106</v>
      </c>
      <c r="AH897" s="65" t="s">
        <v>45</v>
      </c>
      <c r="AI897" s="65" t="s">
        <v>107</v>
      </c>
      <c r="AJ897" s="64" t="s">
        <v>5332</v>
      </c>
      <c r="AK897" s="58" t="s">
        <v>81</v>
      </c>
      <c r="AL897" s="45" t="s">
        <v>109</v>
      </c>
      <c r="AM897" s="43">
        <v>3.203396742E9</v>
      </c>
      <c r="AN897" s="64">
        <v>3.10862657E9</v>
      </c>
      <c r="AO897" s="52"/>
      <c r="AP897" s="84" t="s">
        <v>5396</v>
      </c>
      <c r="AQ897" s="84"/>
      <c r="AR897" s="84"/>
      <c r="AS897" s="94">
        <v>1400000.0</v>
      </c>
      <c r="AT897" s="50">
        <v>0.0</v>
      </c>
      <c r="AU897" s="43">
        <v>0.0</v>
      </c>
      <c r="AV897" s="43">
        <v>0.0</v>
      </c>
      <c r="AW897" s="43" t="s">
        <v>106</v>
      </c>
      <c r="AX897" s="52"/>
      <c r="AY897" s="43" t="s">
        <v>137</v>
      </c>
      <c r="AZ897" s="52"/>
      <c r="BA897" s="43" t="s">
        <v>89</v>
      </c>
      <c r="BB897" s="52"/>
      <c r="BC897" s="69" t="s">
        <v>455</v>
      </c>
      <c r="BD897" s="70"/>
      <c r="BE897" s="71"/>
      <c r="BF897" s="72" t="s">
        <v>5397</v>
      </c>
      <c r="BG897" s="73"/>
      <c r="BH897" s="73"/>
      <c r="BI897" s="73"/>
      <c r="BJ897" s="73"/>
      <c r="BK897" s="73"/>
      <c r="BL897" s="73"/>
      <c r="BM897" s="73"/>
      <c r="BN897" s="73"/>
      <c r="BO897" s="73"/>
      <c r="BP897" s="73"/>
      <c r="BQ897" s="73"/>
      <c r="BR897" s="73"/>
      <c r="BS897" s="73"/>
      <c r="BT897" s="73"/>
      <c r="BU897" s="73"/>
      <c r="BV897" s="73"/>
      <c r="BW897" s="74"/>
      <c r="BX897" s="74"/>
      <c r="BY897" s="63"/>
      <c r="BZ897" s="63"/>
    </row>
    <row r="898" ht="15.75" customHeight="1">
      <c r="A898" s="178" t="s">
        <v>5398</v>
      </c>
      <c r="B898" s="50" t="s">
        <v>5399</v>
      </c>
      <c r="C898" s="50" t="s">
        <v>573</v>
      </c>
      <c r="D898" s="58" t="s">
        <v>76</v>
      </c>
      <c r="E898" s="45"/>
      <c r="F898" s="78">
        <v>3.0E8</v>
      </c>
      <c r="G898" s="44" t="str">
        <f t="shared" si="16"/>
        <v>$300'000.000 a $400'000.000</v>
      </c>
      <c r="H898" s="44"/>
      <c r="I898" s="44"/>
      <c r="J898" s="50" t="s">
        <v>76</v>
      </c>
      <c r="K898" s="51" t="s">
        <v>142</v>
      </c>
      <c r="L898" s="43">
        <v>3.0</v>
      </c>
      <c r="M898" s="43"/>
      <c r="N898" s="43">
        <v>2.0</v>
      </c>
      <c r="O898" s="43">
        <v>2.0</v>
      </c>
      <c r="P898" s="43">
        <v>1.0</v>
      </c>
      <c r="Q898" s="88">
        <v>88.39</v>
      </c>
      <c r="R898" s="88">
        <v>88.39</v>
      </c>
      <c r="S898" s="56" t="str">
        <f t="shared" si="29"/>
        <v> </v>
      </c>
      <c r="T898" s="43" t="s">
        <v>78</v>
      </c>
      <c r="U898" s="56" t="s">
        <v>77</v>
      </c>
      <c r="V898" s="43" t="s">
        <v>642</v>
      </c>
      <c r="W898" s="43"/>
      <c r="X898" s="43">
        <v>3.0</v>
      </c>
      <c r="Y898" s="43" t="s">
        <v>80</v>
      </c>
      <c r="Z898" s="58"/>
      <c r="AA898" s="81" t="s">
        <v>81</v>
      </c>
      <c r="AB898" s="134" t="s">
        <v>5400</v>
      </c>
      <c r="AC898" s="131" t="s">
        <v>5401</v>
      </c>
      <c r="AD898" s="107"/>
      <c r="AE898" s="63"/>
      <c r="AF898" s="64" t="s">
        <v>105</v>
      </c>
      <c r="AG898" s="65" t="s">
        <v>106</v>
      </c>
      <c r="AH898" s="63"/>
      <c r="AI898" s="65" t="s">
        <v>107</v>
      </c>
      <c r="AJ898" s="64" t="s">
        <v>5332</v>
      </c>
      <c r="AK898" s="50" t="s">
        <v>81</v>
      </c>
      <c r="AL898" s="64" t="s">
        <v>109</v>
      </c>
      <c r="AM898" s="43">
        <v>3.203396742E9</v>
      </c>
      <c r="AN898" s="64">
        <v>3.10862657E9</v>
      </c>
      <c r="AO898" s="52"/>
      <c r="AP898" s="84" t="s">
        <v>5402</v>
      </c>
      <c r="AQ898" s="84"/>
      <c r="AR898" s="84"/>
      <c r="AS898" s="135"/>
      <c r="AT898" s="50">
        <v>0.0</v>
      </c>
      <c r="AU898" s="43">
        <v>2.0</v>
      </c>
      <c r="AV898" s="43">
        <v>2.0</v>
      </c>
      <c r="AW898" s="43" t="s">
        <v>88</v>
      </c>
      <c r="AX898" s="52"/>
      <c r="AY898" s="43" t="s">
        <v>137</v>
      </c>
      <c r="AZ898" s="52"/>
      <c r="BA898" s="43" t="s">
        <v>89</v>
      </c>
      <c r="BB898" s="52"/>
      <c r="BC898" s="95" t="s">
        <v>1092</v>
      </c>
      <c r="BD898" s="71"/>
      <c r="BE898" s="71"/>
      <c r="BF898" s="72" t="s">
        <v>5403</v>
      </c>
      <c r="BG898" s="73"/>
      <c r="BH898" s="73"/>
      <c r="BI898" s="73"/>
      <c r="BJ898" s="73"/>
      <c r="BK898" s="73"/>
      <c r="BL898" s="73"/>
      <c r="BM898" s="73"/>
      <c r="BN898" s="73"/>
      <c r="BO898" s="73"/>
      <c r="BP898" s="73"/>
      <c r="BQ898" s="73"/>
      <c r="BR898" s="73"/>
      <c r="BS898" s="73"/>
      <c r="BT898" s="73"/>
      <c r="BU898" s="73"/>
      <c r="BV898" s="73"/>
      <c r="BW898" s="74"/>
      <c r="BX898" s="74"/>
      <c r="BY898" s="63"/>
      <c r="BZ898" s="63"/>
    </row>
    <row r="899" ht="15.75" customHeight="1">
      <c r="A899" s="152" t="s">
        <v>5404</v>
      </c>
      <c r="B899" s="50" t="s">
        <v>2414</v>
      </c>
      <c r="C899" s="50" t="s">
        <v>271</v>
      </c>
      <c r="D899" s="50" t="s">
        <v>11</v>
      </c>
      <c r="E899" s="45"/>
      <c r="F899" s="78">
        <v>2.95E8</v>
      </c>
      <c r="G899" s="44" t="str">
        <f t="shared" si="16"/>
        <v>$200'000.000 a $300'000.000</v>
      </c>
      <c r="H899" s="44"/>
      <c r="I899" s="44"/>
      <c r="J899" s="50" t="s">
        <v>183</v>
      </c>
      <c r="K899" s="51" t="s">
        <v>184</v>
      </c>
      <c r="L899" s="50">
        <v>5.0</v>
      </c>
      <c r="M899" s="50"/>
      <c r="N899" s="50">
        <v>4.0</v>
      </c>
      <c r="O899" s="50">
        <v>1.0</v>
      </c>
      <c r="P899" s="50">
        <v>1.0</v>
      </c>
      <c r="Q899" s="89">
        <v>0.0</v>
      </c>
      <c r="R899" s="79">
        <v>180.0</v>
      </c>
      <c r="S899" s="56" t="str">
        <f t="shared" si="29"/>
        <v>Rentabilidad $1,200,000</v>
      </c>
      <c r="T899" s="43" t="s">
        <v>78</v>
      </c>
      <c r="U899" s="56" t="s">
        <v>184</v>
      </c>
      <c r="V899" s="50" t="s">
        <v>79</v>
      </c>
      <c r="W899" s="50"/>
      <c r="X899" s="50">
        <v>2.0</v>
      </c>
      <c r="Y899" s="50" t="s">
        <v>80</v>
      </c>
      <c r="Z899" s="80" t="s">
        <v>81</v>
      </c>
      <c r="AA899" s="59" t="str">
        <f>IF(Rentabilidad=0,"No aplica",TEXT(ROUND(Precio/Rentabilidad/12,0),0) &amp; " años")</f>
        <v>20 años</v>
      </c>
      <c r="AB899" s="134" t="s">
        <v>5405</v>
      </c>
      <c r="AC899" s="124" t="s">
        <v>5406</v>
      </c>
      <c r="AD899" s="107" t="s">
        <v>5407</v>
      </c>
      <c r="AE899" s="63"/>
      <c r="AF899" s="64" t="s">
        <v>236</v>
      </c>
      <c r="AG899" s="65" t="s">
        <v>106</v>
      </c>
      <c r="AH899" s="65" t="s">
        <v>45</v>
      </c>
      <c r="AI899" s="65" t="s">
        <v>107</v>
      </c>
      <c r="AJ899" s="64" t="s">
        <v>5332</v>
      </c>
      <c r="AK899" s="58" t="s">
        <v>81</v>
      </c>
      <c r="AL899" s="45" t="s">
        <v>109</v>
      </c>
      <c r="AM899" s="43">
        <v>3.203396742E9</v>
      </c>
      <c r="AN899" s="64">
        <v>3.10862657E9</v>
      </c>
      <c r="AO899" s="52"/>
      <c r="AP899" s="84" t="s">
        <v>5408</v>
      </c>
      <c r="AQ899" s="84">
        <v>2.94616991818936</v>
      </c>
      <c r="AR899" s="84">
        <v>-75.2900028961368</v>
      </c>
      <c r="AS899" s="85">
        <v>1200000.0</v>
      </c>
      <c r="AT899" s="50">
        <v>0.0</v>
      </c>
      <c r="AU899" s="50">
        <v>0.0</v>
      </c>
      <c r="AV899" s="50">
        <v>0.0</v>
      </c>
      <c r="AW899" s="50" t="s">
        <v>106</v>
      </c>
      <c r="AX899" s="44"/>
      <c r="AY899" s="50" t="s">
        <v>137</v>
      </c>
      <c r="AZ899" s="44"/>
      <c r="BA899" s="43" t="s">
        <v>89</v>
      </c>
      <c r="BB899" s="44"/>
      <c r="BC899" s="109"/>
      <c r="BD899" s="70"/>
      <c r="BE899" s="70"/>
      <c r="BF899" s="72" t="s">
        <v>5409</v>
      </c>
      <c r="BG899" s="73"/>
      <c r="BH899" s="73"/>
      <c r="BI899" s="73"/>
      <c r="BJ899" s="73"/>
      <c r="BK899" s="73"/>
      <c r="BL899" s="73"/>
      <c r="BM899" s="73"/>
      <c r="BN899" s="73"/>
      <c r="BO899" s="73"/>
      <c r="BP899" s="73"/>
      <c r="BQ899" s="73"/>
      <c r="BR899" s="73"/>
      <c r="BS899" s="73"/>
      <c r="BT899" s="73"/>
      <c r="BU899" s="73"/>
      <c r="BV899" s="73"/>
      <c r="BW899" s="74"/>
      <c r="BX899" s="74"/>
      <c r="BY899" s="63"/>
      <c r="BZ899" s="63"/>
    </row>
    <row r="900" ht="15.75" customHeight="1">
      <c r="A900" s="152" t="s">
        <v>5410</v>
      </c>
      <c r="B900" s="50" t="s">
        <v>5411</v>
      </c>
      <c r="C900" s="50" t="s">
        <v>271</v>
      </c>
      <c r="D900" s="50" t="s">
        <v>1222</v>
      </c>
      <c r="E900" s="45"/>
      <c r="F900" s="78">
        <v>2.8E8</v>
      </c>
      <c r="G900" s="44" t="str">
        <f t="shared" si="16"/>
        <v>$200'000.000 a $300'000.000</v>
      </c>
      <c r="H900" s="44"/>
      <c r="I900" s="44"/>
      <c r="J900" s="50" t="s">
        <v>183</v>
      </c>
      <c r="K900" s="51" t="s">
        <v>241</v>
      </c>
      <c r="L900" s="43">
        <v>4.0</v>
      </c>
      <c r="M900" s="43"/>
      <c r="N900" s="43">
        <v>4.0</v>
      </c>
      <c r="O900" s="43">
        <v>1.0</v>
      </c>
      <c r="P900" s="43">
        <v>1.0</v>
      </c>
      <c r="Q900" s="89">
        <v>0.0</v>
      </c>
      <c r="R900" s="88">
        <v>176.0</v>
      </c>
      <c r="S900" s="56" t="str">
        <f t="shared" si="29"/>
        <v>Rentabilidad $1,000,000</v>
      </c>
      <c r="T900" s="43" t="s">
        <v>78</v>
      </c>
      <c r="U900" s="56" t="s">
        <v>184</v>
      </c>
      <c r="V900" s="43" t="s">
        <v>79</v>
      </c>
      <c r="W900" s="43"/>
      <c r="X900" s="43">
        <v>4.0</v>
      </c>
      <c r="Y900" s="43" t="s">
        <v>80</v>
      </c>
      <c r="Z900" s="280" t="s">
        <v>81</v>
      </c>
      <c r="AA900" s="59" t="str">
        <f>IF(Rentabilidad=0,"No aplica",TEXT(ROUND(Precio/Rentabilidad/12,0),0) &amp; " años")</f>
        <v>23 años</v>
      </c>
      <c r="AB900" s="134" t="s">
        <v>5412</v>
      </c>
      <c r="AC900" s="124" t="s">
        <v>5413</v>
      </c>
      <c r="AD900" s="107" t="s">
        <v>5414</v>
      </c>
      <c r="AE900" s="63"/>
      <c r="AF900" s="64" t="s">
        <v>105</v>
      </c>
      <c r="AG900" s="65"/>
      <c r="AH900" s="63"/>
      <c r="AI900" s="65" t="s">
        <v>107</v>
      </c>
      <c r="AJ900" s="64" t="s">
        <v>5332</v>
      </c>
      <c r="AK900" s="58" t="s">
        <v>81</v>
      </c>
      <c r="AL900" s="45" t="s">
        <v>109</v>
      </c>
      <c r="AM900" s="43">
        <v>3.203396742E9</v>
      </c>
      <c r="AN900" s="64">
        <v>3.10862657E9</v>
      </c>
      <c r="AO900" s="52"/>
      <c r="AP900" s="84" t="s">
        <v>5415</v>
      </c>
      <c r="AQ900" s="84"/>
      <c r="AR900" s="84"/>
      <c r="AS900" s="50">
        <v>1000000.0</v>
      </c>
      <c r="AT900" s="50">
        <v>0.0</v>
      </c>
      <c r="AU900" s="43">
        <v>0.0</v>
      </c>
      <c r="AV900" s="43">
        <v>0.0</v>
      </c>
      <c r="AW900" s="43" t="s">
        <v>106</v>
      </c>
      <c r="AX900" s="52"/>
      <c r="AY900" s="43" t="s">
        <v>137</v>
      </c>
      <c r="AZ900" s="52"/>
      <c r="BA900" s="43" t="s">
        <v>89</v>
      </c>
      <c r="BB900" s="52"/>
      <c r="BC900" s="109"/>
      <c r="BD900" s="70"/>
      <c r="BE900" s="70"/>
      <c r="BF900" s="72" t="s">
        <v>5416</v>
      </c>
      <c r="BG900" s="73"/>
      <c r="BH900" s="73"/>
      <c r="BI900" s="73"/>
      <c r="BJ900" s="73"/>
      <c r="BK900" s="73"/>
      <c r="BL900" s="73"/>
      <c r="BM900" s="73"/>
      <c r="BN900" s="73"/>
      <c r="BO900" s="73"/>
      <c r="BP900" s="73"/>
      <c r="BQ900" s="73"/>
      <c r="BR900" s="73"/>
      <c r="BS900" s="73"/>
      <c r="BT900" s="73"/>
      <c r="BU900" s="73"/>
      <c r="BV900" s="73"/>
      <c r="BW900" s="74"/>
      <c r="BX900" s="74"/>
      <c r="BY900" s="63"/>
      <c r="BZ900" s="63"/>
    </row>
    <row r="901" ht="15.75" customHeight="1">
      <c r="A901" s="152" t="s">
        <v>5417</v>
      </c>
      <c r="B901" s="50" t="s">
        <v>5418</v>
      </c>
      <c r="C901" s="50" t="s">
        <v>70</v>
      </c>
      <c r="D901" s="50" t="s">
        <v>212</v>
      </c>
      <c r="E901" s="64"/>
      <c r="F901" s="78">
        <v>2.8E8</v>
      </c>
      <c r="G901" s="44" t="str">
        <f t="shared" si="16"/>
        <v>$200'000.000 a $300'000.000</v>
      </c>
      <c r="H901" s="44"/>
      <c r="I901" s="44"/>
      <c r="J901" s="50" t="s">
        <v>116</v>
      </c>
      <c r="K901" s="51" t="s">
        <v>192</v>
      </c>
      <c r="L901" s="50">
        <v>4.0</v>
      </c>
      <c r="M901" s="50"/>
      <c r="N901" s="50">
        <v>4.0</v>
      </c>
      <c r="O901" s="50">
        <v>1.0</v>
      </c>
      <c r="P901" s="50">
        <v>2.0</v>
      </c>
      <c r="Q901" s="88">
        <v>0.0</v>
      </c>
      <c r="R901" s="88">
        <v>105.0</v>
      </c>
      <c r="S901" s="56" t="str">
        <f t="shared" si="29"/>
        <v> </v>
      </c>
      <c r="T901" s="50" t="s">
        <v>78</v>
      </c>
      <c r="U901" s="51" t="s">
        <v>142</v>
      </c>
      <c r="V901" s="50" t="s">
        <v>79</v>
      </c>
      <c r="W901" s="50"/>
      <c r="X901" s="50">
        <v>3.0</v>
      </c>
      <c r="Y901" s="50" t="s">
        <v>80</v>
      </c>
      <c r="Z901" s="58" t="s">
        <v>81</v>
      </c>
      <c r="AA901" s="59" t="str">
        <f>IF(Rentabilidad=0,"No aplica",TEXT(ROUND(Precio/Rentabilidad/12,0),0) &amp; " años")</f>
        <v>No aplica</v>
      </c>
      <c r="AB901" s="82" t="s">
        <v>5419</v>
      </c>
      <c r="AC901" s="132" t="s">
        <v>5420</v>
      </c>
      <c r="AD901" s="107"/>
      <c r="AE901" s="63"/>
      <c r="AF901" s="64" t="s">
        <v>105</v>
      </c>
      <c r="AG901" s="65" t="s">
        <v>106</v>
      </c>
      <c r="AH901" s="63"/>
      <c r="AI901" s="65" t="s">
        <v>107</v>
      </c>
      <c r="AJ901" s="64" t="s">
        <v>5332</v>
      </c>
      <c r="AK901" s="50" t="s">
        <v>81</v>
      </c>
      <c r="AL901" s="64" t="s">
        <v>109</v>
      </c>
      <c r="AM901" s="43">
        <v>3.203396742E9</v>
      </c>
      <c r="AN901" s="64">
        <v>3.10862657E9</v>
      </c>
      <c r="AO901" s="43" t="s">
        <v>5421</v>
      </c>
      <c r="AP901" s="108" t="s">
        <v>5422</v>
      </c>
      <c r="AQ901" s="108"/>
      <c r="AR901" s="108"/>
      <c r="AS901" s="94"/>
      <c r="AT901" s="65">
        <v>0.0</v>
      </c>
      <c r="AU901" s="50">
        <v>4.0</v>
      </c>
      <c r="AV901" s="50">
        <v>0.0</v>
      </c>
      <c r="AW901" s="50" t="s">
        <v>106</v>
      </c>
      <c r="AX901" s="44"/>
      <c r="AY901" s="50" t="s">
        <v>247</v>
      </c>
      <c r="AZ901" s="50">
        <v>0.0</v>
      </c>
      <c r="BA901" s="43" t="s">
        <v>89</v>
      </c>
      <c r="BB901" s="50">
        <v>0.0</v>
      </c>
      <c r="BC901" s="170"/>
      <c r="BD901" s="128"/>
      <c r="BE901" s="129"/>
      <c r="BF901" s="72" t="s">
        <v>5423</v>
      </c>
      <c r="BG901" s="73"/>
      <c r="BH901" s="73"/>
      <c r="BI901" s="73"/>
      <c r="BJ901" s="73"/>
      <c r="BK901" s="73"/>
      <c r="BL901" s="73"/>
      <c r="BM901" s="73"/>
      <c r="BN901" s="73"/>
      <c r="BO901" s="73"/>
      <c r="BP901" s="73"/>
      <c r="BQ901" s="73"/>
      <c r="BR901" s="73"/>
      <c r="BS901" s="73"/>
      <c r="BT901" s="73"/>
      <c r="BU901" s="73"/>
      <c r="BV901" s="73"/>
      <c r="BW901" s="74"/>
      <c r="BX901" s="74"/>
      <c r="BY901" s="63"/>
      <c r="BZ901" s="63"/>
    </row>
    <row r="902" ht="15.75" customHeight="1">
      <c r="A902" s="159" t="s">
        <v>5424</v>
      </c>
      <c r="B902" s="50" t="s">
        <v>4392</v>
      </c>
      <c r="C902" s="50" t="s">
        <v>70</v>
      </c>
      <c r="D902" s="58" t="s">
        <v>904</v>
      </c>
      <c r="E902" s="45"/>
      <c r="F902" s="78">
        <v>2.7E8</v>
      </c>
      <c r="G902" s="44" t="str">
        <f t="shared" si="16"/>
        <v>$200'000.000 a $300'000.000</v>
      </c>
      <c r="H902" s="44"/>
      <c r="I902" s="44"/>
      <c r="J902" s="50" t="s">
        <v>183</v>
      </c>
      <c r="K902" s="51" t="s">
        <v>241</v>
      </c>
      <c r="L902" s="50">
        <v>5.0</v>
      </c>
      <c r="M902" s="50"/>
      <c r="N902" s="50">
        <v>4.0</v>
      </c>
      <c r="O902" s="50">
        <v>1.0</v>
      </c>
      <c r="P902" s="50">
        <v>2.0</v>
      </c>
      <c r="Q902" s="88">
        <v>200.0</v>
      </c>
      <c r="R902" s="88">
        <v>112.0</v>
      </c>
      <c r="S902" s="56" t="str">
        <f t="shared" si="29"/>
        <v> </v>
      </c>
      <c r="T902" s="43" t="s">
        <v>78</v>
      </c>
      <c r="U902" s="51" t="s">
        <v>184</v>
      </c>
      <c r="V902" s="50" t="s">
        <v>118</v>
      </c>
      <c r="W902" s="50"/>
      <c r="X902" s="50">
        <v>4.0</v>
      </c>
      <c r="Y902" s="50" t="s">
        <v>80</v>
      </c>
      <c r="Z902" s="58" t="s">
        <v>81</v>
      </c>
      <c r="AA902" s="59" t="str">
        <f>IF(Rentabilidad=0,"No aplica",TEXT(ROUND(Precio/Rentabilidad/12,0),0) &amp; " años")</f>
        <v>No aplica</v>
      </c>
      <c r="AB902" s="140" t="s">
        <v>5425</v>
      </c>
      <c r="AC902" s="124" t="s">
        <v>5426</v>
      </c>
      <c r="AD902" s="107" t="s">
        <v>118</v>
      </c>
      <c r="AE902" s="63"/>
      <c r="AF902" s="64" t="s">
        <v>105</v>
      </c>
      <c r="AG902" s="65" t="s">
        <v>106</v>
      </c>
      <c r="AH902" s="63"/>
      <c r="AI902" s="65" t="s">
        <v>107</v>
      </c>
      <c r="AJ902" s="64" t="s">
        <v>5332</v>
      </c>
      <c r="AK902" s="58" t="s">
        <v>81</v>
      </c>
      <c r="AL902" s="45" t="s">
        <v>109</v>
      </c>
      <c r="AM902" s="43">
        <v>3.203396742E9</v>
      </c>
      <c r="AN902" s="64">
        <v>3.10862657E9</v>
      </c>
      <c r="AO902" s="52"/>
      <c r="AP902" s="84" t="s">
        <v>5427</v>
      </c>
      <c r="AQ902" s="84"/>
      <c r="AR902" s="84"/>
      <c r="AS902" s="68"/>
      <c r="AT902" s="50">
        <v>0.0</v>
      </c>
      <c r="AU902" s="44"/>
      <c r="AV902" s="50">
        <v>2.0</v>
      </c>
      <c r="AW902" s="50" t="s">
        <v>88</v>
      </c>
      <c r="AX902" s="44"/>
      <c r="AY902" s="50" t="s">
        <v>137</v>
      </c>
      <c r="AZ902" s="44"/>
      <c r="BA902" s="43" t="s">
        <v>89</v>
      </c>
      <c r="BB902" s="44"/>
      <c r="BC902" s="95"/>
      <c r="BD902" s="71"/>
      <c r="BE902" s="70"/>
      <c r="BF902" s="72" t="s">
        <v>5428</v>
      </c>
      <c r="BG902" s="73"/>
      <c r="BH902" s="73"/>
      <c r="BI902" s="73"/>
      <c r="BJ902" s="73"/>
      <c r="BK902" s="73"/>
      <c r="BL902" s="73"/>
      <c r="BM902" s="73"/>
      <c r="BN902" s="73"/>
      <c r="BO902" s="73"/>
      <c r="BP902" s="73"/>
      <c r="BQ902" s="73"/>
      <c r="BR902" s="73"/>
      <c r="BS902" s="73"/>
      <c r="BT902" s="73"/>
      <c r="BU902" s="73"/>
      <c r="BV902" s="73"/>
      <c r="BW902" s="74"/>
      <c r="BX902" s="74"/>
      <c r="BY902" s="63"/>
      <c r="BZ902" s="63"/>
    </row>
    <row r="903" ht="15.75" customHeight="1">
      <c r="A903" s="152" t="s">
        <v>5429</v>
      </c>
      <c r="B903" s="50" t="s">
        <v>5430</v>
      </c>
      <c r="C903" s="50" t="s">
        <v>70</v>
      </c>
      <c r="D903" s="58" t="s">
        <v>1051</v>
      </c>
      <c r="E903" s="45"/>
      <c r="F903" s="78">
        <v>2.5E8</v>
      </c>
      <c r="G903" s="44" t="str">
        <f t="shared" si="16"/>
        <v>$200'000.000 a $300'000.000</v>
      </c>
      <c r="H903" s="44"/>
      <c r="I903" s="44"/>
      <c r="J903" s="50" t="s">
        <v>968</v>
      </c>
      <c r="K903" s="51"/>
      <c r="L903" s="43">
        <v>3.0</v>
      </c>
      <c r="M903" s="43"/>
      <c r="N903" s="43">
        <v>2.0</v>
      </c>
      <c r="O903" s="43">
        <v>1.0</v>
      </c>
      <c r="P903" s="43">
        <v>2.0</v>
      </c>
      <c r="Q903" s="89">
        <v>0.0</v>
      </c>
      <c r="R903" s="88">
        <v>170.0</v>
      </c>
      <c r="S903" s="56" t="str">
        <f t="shared" si="29"/>
        <v> </v>
      </c>
      <c r="T903" s="43" t="s">
        <v>78</v>
      </c>
      <c r="U903" s="56" t="s">
        <v>77</v>
      </c>
      <c r="V903" s="43" t="s">
        <v>118</v>
      </c>
      <c r="W903" s="43"/>
      <c r="X903" s="43">
        <v>0.0</v>
      </c>
      <c r="Y903" s="43" t="s">
        <v>80</v>
      </c>
      <c r="Z903" s="58" t="s">
        <v>81</v>
      </c>
      <c r="AA903" s="59" t="str">
        <f>IF(Rentabilidad=0,"No aplica",TEXT(ROUND(Precio/Rentabilidad/12,0),0) &amp; " años")</f>
        <v>No aplica</v>
      </c>
      <c r="AB903" s="134" t="s">
        <v>5431</v>
      </c>
      <c r="AC903" s="124" t="s">
        <v>5432</v>
      </c>
      <c r="AD903" s="107" t="s">
        <v>5433</v>
      </c>
      <c r="AE903" s="63"/>
      <c r="AF903" s="64" t="s">
        <v>236</v>
      </c>
      <c r="AG903" s="65" t="s">
        <v>106</v>
      </c>
      <c r="AH903" s="63"/>
      <c r="AI903" s="65" t="s">
        <v>107</v>
      </c>
      <c r="AJ903" s="64" t="s">
        <v>5332</v>
      </c>
      <c r="AK903" s="58" t="s">
        <v>81</v>
      </c>
      <c r="AL903" s="45" t="s">
        <v>109</v>
      </c>
      <c r="AM903" s="43">
        <v>3.203396742E9</v>
      </c>
      <c r="AN903" s="64">
        <v>3.10862657E9</v>
      </c>
      <c r="AO903" s="52"/>
      <c r="AP903" s="84" t="s">
        <v>5434</v>
      </c>
      <c r="AQ903" s="84"/>
      <c r="AR903" s="84"/>
      <c r="AS903" s="135"/>
      <c r="AT903" s="50">
        <v>0.0</v>
      </c>
      <c r="AU903" s="43">
        <v>0.0</v>
      </c>
      <c r="AV903" s="43">
        <v>0.0</v>
      </c>
      <c r="AW903" s="43" t="s">
        <v>106</v>
      </c>
      <c r="AX903" s="52"/>
      <c r="AY903" s="43" t="s">
        <v>247</v>
      </c>
      <c r="AZ903" s="43">
        <v>10.0</v>
      </c>
      <c r="BA903" s="43" t="s">
        <v>89</v>
      </c>
      <c r="BB903" s="43">
        <v>17.0</v>
      </c>
      <c r="BC903" s="109"/>
      <c r="BD903" s="70"/>
      <c r="BE903" s="71"/>
      <c r="BF903" s="72" t="s">
        <v>5435</v>
      </c>
      <c r="BG903" s="73"/>
      <c r="BH903" s="73"/>
      <c r="BI903" s="73"/>
      <c r="BJ903" s="73"/>
      <c r="BK903" s="73"/>
      <c r="BL903" s="73"/>
      <c r="BM903" s="73"/>
      <c r="BN903" s="73"/>
      <c r="BO903" s="73"/>
      <c r="BP903" s="73"/>
      <c r="BQ903" s="73"/>
      <c r="BR903" s="73"/>
      <c r="BS903" s="73"/>
      <c r="BT903" s="73"/>
      <c r="BU903" s="73"/>
      <c r="BV903" s="73"/>
      <c r="BW903" s="74"/>
      <c r="BX903" s="74"/>
      <c r="BY903" s="63"/>
      <c r="BZ903" s="63"/>
    </row>
    <row r="904" ht="15.75" customHeight="1">
      <c r="A904" s="152" t="s">
        <v>5436</v>
      </c>
      <c r="B904" s="50" t="s">
        <v>2623</v>
      </c>
      <c r="C904" s="50" t="s">
        <v>70</v>
      </c>
      <c r="D904" s="50" t="s">
        <v>756</v>
      </c>
      <c r="E904" s="45"/>
      <c r="F904" s="78">
        <v>2.3E8</v>
      </c>
      <c r="G904" s="44" t="str">
        <f t="shared" si="16"/>
        <v>$200'000.000 a $300'000.000</v>
      </c>
      <c r="H904" s="44"/>
      <c r="I904" s="44"/>
      <c r="J904" s="50" t="s">
        <v>183</v>
      </c>
      <c r="K904" s="51" t="s">
        <v>184</v>
      </c>
      <c r="L904" s="50">
        <v>2.0</v>
      </c>
      <c r="M904" s="50"/>
      <c r="N904" s="50">
        <v>2.0</v>
      </c>
      <c r="O904" s="50">
        <v>0.0</v>
      </c>
      <c r="P904" s="50">
        <v>2.0</v>
      </c>
      <c r="Q904" s="89">
        <v>0.0</v>
      </c>
      <c r="R904" s="79">
        <v>105.0</v>
      </c>
      <c r="S904" s="56" t="str">
        <f t="shared" si="29"/>
        <v> </v>
      </c>
      <c r="T904" s="43" t="s">
        <v>78</v>
      </c>
      <c r="U904" s="56" t="s">
        <v>184</v>
      </c>
      <c r="V904" s="50" t="s">
        <v>79</v>
      </c>
      <c r="W904" s="50"/>
      <c r="X904" s="50">
        <v>2.0</v>
      </c>
      <c r="Y904" s="50" t="s">
        <v>80</v>
      </c>
      <c r="Z904" s="58" t="s">
        <v>81</v>
      </c>
      <c r="AA904" s="59" t="str">
        <f>IF(Rentabilidad=0,"No aplica",TEXT(ROUND(Precio/Rentabilidad/12,0),0) &amp; " años")</f>
        <v>No aplica</v>
      </c>
      <c r="AB904" s="134" t="s">
        <v>5437</v>
      </c>
      <c r="AC904" s="124" t="s">
        <v>5438</v>
      </c>
      <c r="AD904" s="62"/>
      <c r="AE904" s="63"/>
      <c r="AF904" s="64" t="s">
        <v>105</v>
      </c>
      <c r="AG904" s="65" t="s">
        <v>106</v>
      </c>
      <c r="AH904" s="65"/>
      <c r="AI904" s="65" t="s">
        <v>107</v>
      </c>
      <c r="AJ904" s="64" t="s">
        <v>5332</v>
      </c>
      <c r="AK904" s="58" t="s">
        <v>81</v>
      </c>
      <c r="AL904" s="45" t="s">
        <v>109</v>
      </c>
      <c r="AM904" s="43">
        <v>3.203396742E9</v>
      </c>
      <c r="AN904" s="64">
        <v>3.10862657E9</v>
      </c>
      <c r="AO904" s="52"/>
      <c r="AP904" s="84" t="s">
        <v>5439</v>
      </c>
      <c r="AQ904" s="84"/>
      <c r="AR904" s="84"/>
      <c r="AS904" s="68"/>
      <c r="AT904" s="50">
        <v>0.0</v>
      </c>
      <c r="AU904" s="50">
        <v>0.0</v>
      </c>
      <c r="AV904" s="50">
        <v>0.0</v>
      </c>
      <c r="AW904" s="50" t="s">
        <v>88</v>
      </c>
      <c r="AX904" s="44"/>
      <c r="AY904" s="50">
        <v>0.0</v>
      </c>
      <c r="AZ904" s="44"/>
      <c r="BA904" s="43" t="s">
        <v>89</v>
      </c>
      <c r="BB904" s="44"/>
      <c r="BC904" s="95" t="s">
        <v>5440</v>
      </c>
      <c r="BD904" s="71"/>
      <c r="BE904" s="71"/>
      <c r="BF904" s="72" t="s">
        <v>5441</v>
      </c>
      <c r="BG904" s="73"/>
      <c r="BH904" s="73"/>
      <c r="BI904" s="73"/>
      <c r="BJ904" s="73"/>
      <c r="BK904" s="73"/>
      <c r="BL904" s="73"/>
      <c r="BM904" s="73"/>
      <c r="BN904" s="73"/>
      <c r="BO904" s="73"/>
      <c r="BP904" s="73"/>
      <c r="BQ904" s="73"/>
      <c r="BR904" s="73"/>
      <c r="BS904" s="73"/>
      <c r="BT904" s="73"/>
      <c r="BU904" s="73"/>
      <c r="BV904" s="73"/>
      <c r="BW904" s="74"/>
      <c r="BX904" s="74"/>
      <c r="BY904" s="63"/>
      <c r="BZ904" s="63"/>
    </row>
    <row r="905" ht="15.75" customHeight="1">
      <c r="A905" s="152" t="s">
        <v>5442</v>
      </c>
      <c r="B905" s="50" t="s">
        <v>5443</v>
      </c>
      <c r="C905" s="50" t="s">
        <v>114</v>
      </c>
      <c r="D905" s="80"/>
      <c r="E905" s="64" t="s">
        <v>5444</v>
      </c>
      <c r="F905" s="78">
        <v>2.15E8</v>
      </c>
      <c r="G905" s="44" t="str">
        <f t="shared" si="16"/>
        <v>$200'000.000 a $300'000.000</v>
      </c>
      <c r="H905" s="44"/>
      <c r="I905" s="44"/>
      <c r="J905" s="50"/>
      <c r="K905" s="51"/>
      <c r="L905" s="43">
        <v>3.0</v>
      </c>
      <c r="M905" s="43"/>
      <c r="N905" s="43">
        <v>2.0</v>
      </c>
      <c r="O905" s="43">
        <v>3.0</v>
      </c>
      <c r="P905" s="43">
        <v>1.0</v>
      </c>
      <c r="Q905" s="88">
        <v>162.0</v>
      </c>
      <c r="R905" s="88">
        <v>1000.0</v>
      </c>
      <c r="S905" s="56" t="str">
        <f t="shared" si="29"/>
        <v> </v>
      </c>
      <c r="T905" s="43" t="s">
        <v>920</v>
      </c>
      <c r="U905" s="56" t="s">
        <v>498</v>
      </c>
      <c r="V905" s="43"/>
      <c r="W905" s="43"/>
      <c r="X905" s="43">
        <v>0.0</v>
      </c>
      <c r="Y905" s="43" t="s">
        <v>130</v>
      </c>
      <c r="Z905" s="151"/>
      <c r="AA905" s="59" t="str">
        <f>IF(Rentabilidad=0,"No aplica",TEXT(ROUND(Precio/Rentabilidad/12,0),0) &amp; " años")</f>
        <v>No aplica</v>
      </c>
      <c r="AB905" s="134" t="s">
        <v>5445</v>
      </c>
      <c r="AC905" s="124" t="s">
        <v>5446</v>
      </c>
      <c r="AD905" s="107" t="s">
        <v>5447</v>
      </c>
      <c r="AE905" s="63"/>
      <c r="AF905" s="64" t="s">
        <v>84</v>
      </c>
      <c r="AG905" s="65" t="s">
        <v>106</v>
      </c>
      <c r="AH905" s="63"/>
      <c r="AI905" s="65" t="s">
        <v>107</v>
      </c>
      <c r="AJ905" s="64" t="s">
        <v>5332</v>
      </c>
      <c r="AK905" s="58" t="s">
        <v>81</v>
      </c>
      <c r="AL905" s="45" t="s">
        <v>109</v>
      </c>
      <c r="AM905" s="43">
        <v>3.203396742E9</v>
      </c>
      <c r="AN905" s="64">
        <v>3.10862657E9</v>
      </c>
      <c r="AO905" s="52"/>
      <c r="AP905" s="84" t="s">
        <v>3480</v>
      </c>
      <c r="AQ905" s="84"/>
      <c r="AR905" s="84"/>
      <c r="AS905" s="135"/>
      <c r="AT905" s="50">
        <v>0.0</v>
      </c>
      <c r="AU905" s="43">
        <v>0.0</v>
      </c>
      <c r="AV905" s="43">
        <v>1.0</v>
      </c>
      <c r="AW905" s="43" t="s">
        <v>88</v>
      </c>
      <c r="AX905" s="52"/>
      <c r="AY905" s="43" t="s">
        <v>110</v>
      </c>
      <c r="AZ905" s="52"/>
      <c r="BA905" s="43" t="s">
        <v>89</v>
      </c>
      <c r="BB905" s="52"/>
      <c r="BC905" s="170"/>
      <c r="BD905" s="128"/>
      <c r="BE905" s="129"/>
      <c r="BF905" s="72" t="s">
        <v>5448</v>
      </c>
      <c r="BG905" s="73"/>
      <c r="BH905" s="73"/>
      <c r="BI905" s="73"/>
      <c r="BJ905" s="73"/>
      <c r="BK905" s="73"/>
      <c r="BL905" s="73"/>
      <c r="BM905" s="73"/>
      <c r="BN905" s="73"/>
      <c r="BO905" s="73"/>
      <c r="BP905" s="73"/>
      <c r="BQ905" s="73"/>
      <c r="BR905" s="73"/>
      <c r="BS905" s="73"/>
      <c r="BT905" s="73"/>
      <c r="BU905" s="73"/>
      <c r="BV905" s="73"/>
      <c r="BW905" s="74"/>
      <c r="BX905" s="74"/>
      <c r="BY905" s="63"/>
      <c r="BZ905" s="63"/>
    </row>
    <row r="906" ht="15.75" customHeight="1">
      <c r="A906" s="152" t="s">
        <v>5449</v>
      </c>
      <c r="B906" s="50" t="s">
        <v>5450</v>
      </c>
      <c r="C906" s="50" t="s">
        <v>448</v>
      </c>
      <c r="D906" s="50" t="s">
        <v>76</v>
      </c>
      <c r="E906" s="45"/>
      <c r="F906" s="78">
        <v>1.4E8</v>
      </c>
      <c r="G906" s="44" t="str">
        <f t="shared" si="16"/>
        <v>$100'000.000 a $200'000.000</v>
      </c>
      <c r="H906" s="44"/>
      <c r="I906" s="44"/>
      <c r="J906" s="50" t="s">
        <v>76</v>
      </c>
      <c r="K906" s="51" t="s">
        <v>142</v>
      </c>
      <c r="L906" s="50">
        <v>1.0</v>
      </c>
      <c r="M906" s="50"/>
      <c r="N906" s="50">
        <v>1.0</v>
      </c>
      <c r="O906" s="50">
        <v>0.0</v>
      </c>
      <c r="P906" s="50">
        <v>7.0</v>
      </c>
      <c r="Q906" s="88">
        <v>37.0</v>
      </c>
      <c r="R906" s="88">
        <v>37.0</v>
      </c>
      <c r="S906" s="56" t="str">
        <f t="shared" si="29"/>
        <v> </v>
      </c>
      <c r="T906" s="43" t="s">
        <v>78</v>
      </c>
      <c r="U906" s="56" t="s">
        <v>679</v>
      </c>
      <c r="V906" s="50" t="s">
        <v>595</v>
      </c>
      <c r="W906" s="50"/>
      <c r="X906" s="50">
        <v>0.0</v>
      </c>
      <c r="Y906" s="50" t="s">
        <v>80</v>
      </c>
      <c r="Z906" s="80">
        <v>250000.0</v>
      </c>
      <c r="AA906" s="59" t="str">
        <f>IF(Rentabilidad=0,"No aplica",TEXT(ROUND(Precio/Rentabilidad/12,0),0) &amp; " años")</f>
        <v>No aplica</v>
      </c>
      <c r="AB906" s="134" t="s">
        <v>5451</v>
      </c>
      <c r="AC906" s="124" t="s">
        <v>5452</v>
      </c>
      <c r="AD906" s="62"/>
      <c r="AE906" s="63"/>
      <c r="AF906" s="45"/>
      <c r="AG906" s="65" t="s">
        <v>106</v>
      </c>
      <c r="AH906" s="65"/>
      <c r="AI906" s="65" t="s">
        <v>107</v>
      </c>
      <c r="AJ906" s="64" t="s">
        <v>5332</v>
      </c>
      <c r="AK906" s="58" t="s">
        <v>81</v>
      </c>
      <c r="AL906" s="45" t="s">
        <v>109</v>
      </c>
      <c r="AM906" s="43">
        <v>3.203396742E9</v>
      </c>
      <c r="AN906" s="64">
        <v>3.10862657E9</v>
      </c>
      <c r="AO906" s="52"/>
      <c r="AP906" s="84" t="s">
        <v>5453</v>
      </c>
      <c r="AQ906" s="84">
        <v>2.92577210253037</v>
      </c>
      <c r="AR906" s="84">
        <v>-75.2882938511132</v>
      </c>
      <c r="AS906" s="68"/>
      <c r="AT906" s="50" t="s">
        <v>106</v>
      </c>
      <c r="AU906" s="50">
        <v>0.0</v>
      </c>
      <c r="AV906" s="50">
        <v>0.0</v>
      </c>
      <c r="AW906" s="50" t="s">
        <v>88</v>
      </c>
      <c r="AX906" s="44"/>
      <c r="AY906" s="50">
        <v>0.0</v>
      </c>
      <c r="AZ906" s="44"/>
      <c r="BA906" s="43" t="s">
        <v>89</v>
      </c>
      <c r="BB906" s="44"/>
      <c r="BC906" s="69" t="s">
        <v>3101</v>
      </c>
      <c r="BD906" s="70"/>
      <c r="BE906" s="71"/>
      <c r="BF906" s="72" t="s">
        <v>5454</v>
      </c>
      <c r="BG906" s="73"/>
      <c r="BH906" s="73"/>
      <c r="BI906" s="73"/>
      <c r="BJ906" s="73"/>
      <c r="BK906" s="73"/>
      <c r="BL906" s="73"/>
      <c r="BM906" s="73"/>
      <c r="BN906" s="73"/>
      <c r="BO906" s="73"/>
      <c r="BP906" s="73"/>
      <c r="BQ906" s="73"/>
      <c r="BR906" s="73"/>
      <c r="BS906" s="73"/>
      <c r="BT906" s="73"/>
      <c r="BU906" s="73"/>
      <c r="BV906" s="73"/>
      <c r="BW906" s="74"/>
      <c r="BX906" s="74"/>
      <c r="BY906" s="63"/>
      <c r="BZ906" s="63"/>
    </row>
    <row r="907" ht="15.75" customHeight="1">
      <c r="A907" s="152" t="s">
        <v>5455</v>
      </c>
      <c r="B907" s="50" t="s">
        <v>5456</v>
      </c>
      <c r="C907" s="50" t="s">
        <v>664</v>
      </c>
      <c r="D907" s="50"/>
      <c r="E907" s="64" t="s">
        <v>5457</v>
      </c>
      <c r="F907" s="78">
        <v>9.5E7</v>
      </c>
      <c r="G907" s="44" t="str">
        <f t="shared" si="16"/>
        <v>$0 a $100'000.000</v>
      </c>
      <c r="H907" s="44"/>
      <c r="I907" s="44"/>
      <c r="J907" s="50"/>
      <c r="K907" s="51"/>
      <c r="L907" s="50">
        <v>0.0</v>
      </c>
      <c r="M907" s="50"/>
      <c r="N907" s="50">
        <v>0.0</v>
      </c>
      <c r="O907" s="50">
        <v>0.0</v>
      </c>
      <c r="P907" s="50">
        <v>0.0</v>
      </c>
      <c r="Q907" s="88">
        <v>0.0</v>
      </c>
      <c r="R907" s="88">
        <v>1000.0</v>
      </c>
      <c r="S907" s="56" t="str">
        <f t="shared" si="29"/>
        <v> </v>
      </c>
      <c r="T907" s="50" t="s">
        <v>95</v>
      </c>
      <c r="U907" s="51" t="s">
        <v>96</v>
      </c>
      <c r="V907" s="50" t="s">
        <v>79</v>
      </c>
      <c r="W907" s="50"/>
      <c r="X907" s="50">
        <v>0.0</v>
      </c>
      <c r="Y907" s="50" t="s">
        <v>80</v>
      </c>
      <c r="Z907" s="58" t="s">
        <v>81</v>
      </c>
      <c r="AA907" s="59" t="str">
        <f>IF(Rentabilidad=0,"No aplica",TEXT(ROUND(Precio/Rentabilidad/12,0),0) &amp; " años")</f>
        <v>No aplica</v>
      </c>
      <c r="AB907" s="82" t="s">
        <v>5458</v>
      </c>
      <c r="AC907" s="132" t="s">
        <v>5459</v>
      </c>
      <c r="AD907" s="107"/>
      <c r="AE907" s="63"/>
      <c r="AF907" s="64">
        <v>0.0</v>
      </c>
      <c r="AG907" s="65" t="s">
        <v>106</v>
      </c>
      <c r="AH907" s="63"/>
      <c r="AI907" s="65" t="s">
        <v>107</v>
      </c>
      <c r="AJ907" s="64" t="s">
        <v>5332</v>
      </c>
      <c r="AK907" s="50" t="s">
        <v>81</v>
      </c>
      <c r="AL907" s="64" t="s">
        <v>109</v>
      </c>
      <c r="AM907" s="50">
        <v>3.203396742E9</v>
      </c>
      <c r="AN907" s="64" t="s">
        <v>5460</v>
      </c>
      <c r="AO907" s="43" t="s">
        <v>5461</v>
      </c>
      <c r="AP907" s="67"/>
      <c r="AQ907" s="67"/>
      <c r="AR907" s="67"/>
      <c r="AS907" s="94">
        <v>0.0</v>
      </c>
      <c r="AT907" s="65">
        <v>0.0</v>
      </c>
      <c r="AU907" s="50">
        <v>0.0</v>
      </c>
      <c r="AV907" s="50">
        <v>0.0</v>
      </c>
      <c r="AW907" s="50" t="s">
        <v>88</v>
      </c>
      <c r="AX907" s="50">
        <v>0.0</v>
      </c>
      <c r="AY907" s="50">
        <v>0.0</v>
      </c>
      <c r="AZ907" s="50">
        <v>0.0</v>
      </c>
      <c r="BA907" s="43" t="s">
        <v>89</v>
      </c>
      <c r="BB907" s="50">
        <v>0.0</v>
      </c>
      <c r="BC907" s="95"/>
      <c r="BD907" s="71"/>
      <c r="BE907" s="71"/>
      <c r="BF907" s="72" t="s">
        <v>5462</v>
      </c>
      <c r="BG907" s="73"/>
      <c r="BH907" s="73"/>
      <c r="BI907" s="73"/>
      <c r="BJ907" s="73"/>
      <c r="BK907" s="73"/>
      <c r="BL907" s="73"/>
      <c r="BM907" s="73"/>
      <c r="BN907" s="73"/>
      <c r="BO907" s="73"/>
      <c r="BP907" s="73"/>
      <c r="BQ907" s="73"/>
      <c r="BR907" s="73"/>
      <c r="BS907" s="73"/>
      <c r="BT907" s="73"/>
      <c r="BU907" s="73"/>
      <c r="BV907" s="73"/>
      <c r="BW907" s="74"/>
      <c r="BX907" s="74"/>
      <c r="BY907" s="63"/>
      <c r="BZ907" s="63"/>
    </row>
    <row r="908" ht="15.75" customHeight="1">
      <c r="A908" s="75" t="s">
        <v>5463</v>
      </c>
      <c r="B908" s="50" t="s">
        <v>5464</v>
      </c>
      <c r="C908" s="50" t="s">
        <v>271</v>
      </c>
      <c r="D908" s="43" t="s">
        <v>1688</v>
      </c>
      <c r="E908" s="45"/>
      <c r="F908" s="78">
        <v>2.5E8</v>
      </c>
      <c r="G908" s="44" t="str">
        <f t="shared" si="16"/>
        <v>$200'000.000 a $300'000.000</v>
      </c>
      <c r="H908" s="44"/>
      <c r="I908" s="44"/>
      <c r="J908" s="50" t="s">
        <v>183</v>
      </c>
      <c r="K908" s="51" t="s">
        <v>888</v>
      </c>
      <c r="L908" s="50">
        <v>3.0</v>
      </c>
      <c r="M908" s="50"/>
      <c r="N908" s="50">
        <v>3.0</v>
      </c>
      <c r="O908" s="50">
        <v>0.0</v>
      </c>
      <c r="P908" s="50">
        <v>1.0</v>
      </c>
      <c r="Q908" s="113"/>
      <c r="R908" s="79">
        <v>140.0</v>
      </c>
      <c r="S908" s="56" t="str">
        <f t="shared" si="29"/>
        <v> </v>
      </c>
      <c r="T908" s="43" t="s">
        <v>78</v>
      </c>
      <c r="U908" s="51" t="s">
        <v>77</v>
      </c>
      <c r="V908" s="50" t="s">
        <v>79</v>
      </c>
      <c r="W908" s="50"/>
      <c r="X908" s="50">
        <v>2.0</v>
      </c>
      <c r="Y908" s="43" t="s">
        <v>80</v>
      </c>
      <c r="Z908" s="80" t="s">
        <v>81</v>
      </c>
      <c r="AA908" s="59"/>
      <c r="AB908" s="140" t="s">
        <v>5465</v>
      </c>
      <c r="AC908" s="61"/>
      <c r="AD908" s="62"/>
      <c r="AE908" s="63"/>
      <c r="AF908" s="64" t="s">
        <v>84</v>
      </c>
      <c r="AG908" s="65" t="s">
        <v>106</v>
      </c>
      <c r="AH908" s="65"/>
      <c r="AI908" s="65" t="s">
        <v>107</v>
      </c>
      <c r="AJ908" s="64" t="s">
        <v>5466</v>
      </c>
      <c r="AK908" s="50" t="s">
        <v>81</v>
      </c>
      <c r="AL908" s="45" t="s">
        <v>109</v>
      </c>
      <c r="AM908" s="43">
        <v>3.14378476E9</v>
      </c>
      <c r="AN908" s="64">
        <v>3.138083141E9</v>
      </c>
      <c r="AO908" s="52"/>
      <c r="AP908" s="67"/>
      <c r="AQ908" s="67"/>
      <c r="AR908" s="67"/>
      <c r="AS908" s="68"/>
      <c r="AT908" s="65">
        <v>0.0</v>
      </c>
      <c r="AU908" s="50">
        <v>0.0</v>
      </c>
      <c r="AV908" s="50">
        <v>0.0</v>
      </c>
      <c r="AW908" s="50" t="s">
        <v>88</v>
      </c>
      <c r="AX908" s="44"/>
      <c r="AY908" s="50" t="s">
        <v>137</v>
      </c>
      <c r="AZ908" s="44"/>
      <c r="BA908" s="43" t="s">
        <v>89</v>
      </c>
      <c r="BB908" s="44"/>
      <c r="BC908" s="86"/>
      <c r="BD908" s="71"/>
      <c r="BE908" s="71"/>
      <c r="BF908" s="72" t="s">
        <v>5467</v>
      </c>
      <c r="BG908" s="73"/>
      <c r="BH908" s="73"/>
      <c r="BI908" s="73"/>
      <c r="BJ908" s="73"/>
      <c r="BK908" s="73"/>
      <c r="BL908" s="73"/>
      <c r="BM908" s="73"/>
      <c r="BN908" s="73"/>
      <c r="BO908" s="73"/>
      <c r="BP908" s="73"/>
      <c r="BQ908" s="73"/>
      <c r="BR908" s="73"/>
      <c r="BS908" s="73"/>
      <c r="BT908" s="73"/>
      <c r="BU908" s="73"/>
      <c r="BV908" s="73"/>
      <c r="BW908" s="74"/>
      <c r="BX908" s="74"/>
      <c r="BY908" s="63"/>
      <c r="BZ908" s="63"/>
    </row>
    <row r="909" ht="15.75" customHeight="1">
      <c r="A909" s="75" t="s">
        <v>5468</v>
      </c>
      <c r="B909" s="50" t="s">
        <v>5469</v>
      </c>
      <c r="C909" s="111" t="s">
        <v>323</v>
      </c>
      <c r="D909" s="43" t="s">
        <v>2515</v>
      </c>
      <c r="E909" s="64" t="s">
        <v>5470</v>
      </c>
      <c r="F909" s="78">
        <v>1.8E8</v>
      </c>
      <c r="G909" s="44" t="str">
        <f t="shared" si="16"/>
        <v>$100'000.000 a $200'000.000</v>
      </c>
      <c r="H909" s="44"/>
      <c r="I909" s="44"/>
      <c r="J909" s="50" t="s">
        <v>183</v>
      </c>
      <c r="K909" s="51" t="s">
        <v>184</v>
      </c>
      <c r="L909" s="50">
        <v>3.0</v>
      </c>
      <c r="M909" s="50"/>
      <c r="N909" s="50">
        <v>2.0</v>
      </c>
      <c r="O909" s="50">
        <v>1.0</v>
      </c>
      <c r="P909" s="50">
        <v>1.0</v>
      </c>
      <c r="Q909" s="79">
        <v>69.0</v>
      </c>
      <c r="R909" s="79">
        <v>69.0</v>
      </c>
      <c r="S909" s="56" t="str">
        <f t="shared" si="29"/>
        <v> </v>
      </c>
      <c r="T909" s="43" t="s">
        <v>78</v>
      </c>
      <c r="U909" s="51" t="s">
        <v>77</v>
      </c>
      <c r="V909" s="50"/>
      <c r="W909" s="50"/>
      <c r="X909" s="50">
        <v>3.0</v>
      </c>
      <c r="Y909" s="181" t="s">
        <v>130</v>
      </c>
      <c r="Z909" s="80">
        <v>176000.0</v>
      </c>
      <c r="AA909" s="59"/>
      <c r="AB909" s="140" t="s">
        <v>5471</v>
      </c>
      <c r="AC909" s="131" t="s">
        <v>5472</v>
      </c>
      <c r="AD909" s="107"/>
      <c r="AE909" s="63"/>
      <c r="AF909" s="64" t="s">
        <v>105</v>
      </c>
      <c r="AG909" s="65" t="s">
        <v>106</v>
      </c>
      <c r="AH909" s="65"/>
      <c r="AI909" s="65" t="s">
        <v>107</v>
      </c>
      <c r="AJ909" s="64" t="s">
        <v>5466</v>
      </c>
      <c r="AK909" s="50" t="s">
        <v>81</v>
      </c>
      <c r="AL909" s="45" t="s">
        <v>109</v>
      </c>
      <c r="AM909" s="43">
        <v>3.14378476E9</v>
      </c>
      <c r="AN909" s="64">
        <v>3.138083141E9</v>
      </c>
      <c r="AO909" s="52"/>
      <c r="AP909" s="67"/>
      <c r="AQ909" s="67"/>
      <c r="AR909" s="67"/>
      <c r="AS909" s="68"/>
      <c r="AT909" s="65" t="s">
        <v>106</v>
      </c>
      <c r="AU909" s="44"/>
      <c r="AV909" s="50">
        <v>1.0</v>
      </c>
      <c r="AW909" s="50" t="s">
        <v>88</v>
      </c>
      <c r="AX909" s="44"/>
      <c r="AY909" s="50">
        <v>0.0</v>
      </c>
      <c r="AZ909" s="44"/>
      <c r="BA909" s="43" t="s">
        <v>89</v>
      </c>
      <c r="BB909" s="44"/>
      <c r="BC909" s="109"/>
      <c r="BD909" s="70"/>
      <c r="BE909" s="70"/>
      <c r="BF909" s="72" t="s">
        <v>5473</v>
      </c>
      <c r="BG909" s="73"/>
      <c r="BH909" s="73"/>
      <c r="BI909" s="73"/>
      <c r="BJ909" s="73"/>
      <c r="BK909" s="73"/>
      <c r="BL909" s="73"/>
      <c r="BM909" s="73"/>
      <c r="BN909" s="73"/>
      <c r="BO909" s="73"/>
      <c r="BP909" s="73"/>
      <c r="BQ909" s="73"/>
      <c r="BR909" s="73"/>
      <c r="BS909" s="73"/>
      <c r="BT909" s="73"/>
      <c r="BU909" s="73"/>
      <c r="BV909" s="73"/>
      <c r="BW909" s="74"/>
      <c r="BX909" s="74"/>
      <c r="BY909" s="63"/>
      <c r="BZ909" s="63"/>
    </row>
    <row r="910" ht="15.75" customHeight="1">
      <c r="A910" s="133" t="s">
        <v>5474</v>
      </c>
      <c r="B910" s="43" t="s">
        <v>1721</v>
      </c>
      <c r="C910" s="111" t="s">
        <v>323</v>
      </c>
      <c r="D910" s="43" t="s">
        <v>720</v>
      </c>
      <c r="E910" s="64" t="s">
        <v>4741</v>
      </c>
      <c r="F910" s="78">
        <v>1.7E8</v>
      </c>
      <c r="G910" s="44" t="str">
        <f t="shared" si="16"/>
        <v>$100'000.000 a $200'000.000</v>
      </c>
      <c r="H910" s="44"/>
      <c r="I910" s="44"/>
      <c r="J910" s="43" t="s">
        <v>94</v>
      </c>
      <c r="K910" s="142"/>
      <c r="L910" s="43">
        <v>3.0</v>
      </c>
      <c r="M910" s="43"/>
      <c r="N910" s="43">
        <v>2.0</v>
      </c>
      <c r="O910" s="43">
        <v>1.0</v>
      </c>
      <c r="P910" s="50">
        <v>4.0</v>
      </c>
      <c r="Q910" s="79">
        <v>0.0</v>
      </c>
      <c r="R910" s="79">
        <v>0.0</v>
      </c>
      <c r="S910" s="56" t="str">
        <f t="shared" si="29"/>
        <v> </v>
      </c>
      <c r="T910" s="43" t="s">
        <v>78</v>
      </c>
      <c r="U910" s="56" t="s">
        <v>77</v>
      </c>
      <c r="V910" s="43" t="s">
        <v>680</v>
      </c>
      <c r="W910" s="43"/>
      <c r="X910" s="43">
        <v>3.0</v>
      </c>
      <c r="Y910" s="43" t="s">
        <v>130</v>
      </c>
      <c r="Z910" s="58">
        <v>370000.0</v>
      </c>
      <c r="AA910" s="81" t="s">
        <v>81</v>
      </c>
      <c r="AB910" s="140" t="s">
        <v>5475</v>
      </c>
      <c r="AC910" s="131" t="s">
        <v>3224</v>
      </c>
      <c r="AD910" s="107" t="s">
        <v>5476</v>
      </c>
      <c r="AE910" s="63"/>
      <c r="AF910" s="64" t="s">
        <v>105</v>
      </c>
      <c r="AG910" s="65" t="s">
        <v>106</v>
      </c>
      <c r="AH910" s="63"/>
      <c r="AI910" s="65" t="s">
        <v>107</v>
      </c>
      <c r="AJ910" s="64" t="s">
        <v>5466</v>
      </c>
      <c r="AK910" s="50" t="s">
        <v>81</v>
      </c>
      <c r="AL910" s="45" t="s">
        <v>109</v>
      </c>
      <c r="AM910" s="50">
        <v>3.14378476E9</v>
      </c>
      <c r="AN910" s="64">
        <v>3.227018585E9</v>
      </c>
      <c r="AO910" s="43" t="s">
        <v>5477</v>
      </c>
      <c r="AP910" s="84">
        <v>0.0</v>
      </c>
      <c r="AQ910" s="84"/>
      <c r="AR910" s="84"/>
      <c r="AS910" s="50">
        <v>0.0</v>
      </c>
      <c r="AT910" s="50" t="s">
        <v>88</v>
      </c>
      <c r="AU910" s="50">
        <v>0.0</v>
      </c>
      <c r="AV910" s="50">
        <v>0.0</v>
      </c>
      <c r="AW910" s="50" t="s">
        <v>88</v>
      </c>
      <c r="AX910" s="50">
        <v>0.0</v>
      </c>
      <c r="AY910" s="50">
        <v>0.0</v>
      </c>
      <c r="AZ910" s="50">
        <v>0.0</v>
      </c>
      <c r="BA910" s="43" t="s">
        <v>89</v>
      </c>
      <c r="BB910" s="50">
        <v>0.0</v>
      </c>
      <c r="BC910" s="69" t="s">
        <v>5478</v>
      </c>
      <c r="BD910" s="121"/>
      <c r="BE910" s="129"/>
      <c r="BF910" s="72" t="s">
        <v>5479</v>
      </c>
      <c r="BG910" s="73"/>
      <c r="BH910" s="73"/>
      <c r="BI910" s="73"/>
      <c r="BJ910" s="73"/>
      <c r="BK910" s="73"/>
      <c r="BL910" s="73"/>
      <c r="BM910" s="73"/>
      <c r="BN910" s="73"/>
      <c r="BO910" s="73"/>
      <c r="BP910" s="73"/>
      <c r="BQ910" s="73"/>
      <c r="BR910" s="73"/>
      <c r="BS910" s="73"/>
      <c r="BT910" s="73"/>
      <c r="BU910" s="73"/>
      <c r="BV910" s="73"/>
      <c r="BW910" s="74"/>
      <c r="BX910" s="74"/>
      <c r="BY910" s="63"/>
      <c r="BZ910" s="63"/>
    </row>
    <row r="911" ht="15.75" customHeight="1">
      <c r="A911" s="133" t="s">
        <v>5480</v>
      </c>
      <c r="B911" s="43" t="s">
        <v>5481</v>
      </c>
      <c r="C911" s="111" t="s">
        <v>323</v>
      </c>
      <c r="D911" s="43" t="s">
        <v>2078</v>
      </c>
      <c r="E911" s="77" t="s">
        <v>5482</v>
      </c>
      <c r="F911" s="78">
        <v>1.65E8</v>
      </c>
      <c r="G911" s="44" t="str">
        <f t="shared" si="16"/>
        <v>$100'000.000 a $200'000.000</v>
      </c>
      <c r="H911" s="44"/>
      <c r="I911" s="44"/>
      <c r="J911" s="50" t="s">
        <v>183</v>
      </c>
      <c r="K911" s="57"/>
      <c r="L911" s="43">
        <v>3.0</v>
      </c>
      <c r="M911" s="43"/>
      <c r="N911" s="43">
        <v>2.0</v>
      </c>
      <c r="O911" s="43">
        <v>1.0</v>
      </c>
      <c r="P911" s="43">
        <v>6.0</v>
      </c>
      <c r="Q911" s="55">
        <v>53.17</v>
      </c>
      <c r="R911" s="55">
        <v>53.17</v>
      </c>
      <c r="S911" s="56" t="str">
        <f t="shared" si="29"/>
        <v> </v>
      </c>
      <c r="T911" s="43" t="s">
        <v>78</v>
      </c>
      <c r="U911" s="56" t="s">
        <v>77</v>
      </c>
      <c r="V911" s="43" t="s">
        <v>696</v>
      </c>
      <c r="W911" s="43"/>
      <c r="X911" s="43">
        <v>3.0</v>
      </c>
      <c r="Y911" s="43" t="s">
        <v>130</v>
      </c>
      <c r="Z911" s="58" t="s">
        <v>81</v>
      </c>
      <c r="AA911" s="81" t="s">
        <v>81</v>
      </c>
      <c r="AB911" s="140" t="s">
        <v>5483</v>
      </c>
      <c r="AC911" s="131" t="s">
        <v>3224</v>
      </c>
      <c r="AD911" s="107" t="s">
        <v>5484</v>
      </c>
      <c r="AE911" s="63"/>
      <c r="AF911" s="64" t="s">
        <v>236</v>
      </c>
      <c r="AG911" s="65" t="s">
        <v>106</v>
      </c>
      <c r="AH911" s="63"/>
      <c r="AI911" s="65" t="s">
        <v>107</v>
      </c>
      <c r="AJ911" s="64" t="s">
        <v>5466</v>
      </c>
      <c r="AK911" s="50" t="s">
        <v>81</v>
      </c>
      <c r="AL911" s="45" t="s">
        <v>109</v>
      </c>
      <c r="AM911" s="43">
        <v>3.227018585E9</v>
      </c>
      <c r="AN911" s="64">
        <v>0.0</v>
      </c>
      <c r="AO911" s="52"/>
      <c r="AP911" s="67"/>
      <c r="AQ911" s="143">
        <v>2.9339284</v>
      </c>
      <c r="AR911" s="143">
        <v>-75.3006786</v>
      </c>
      <c r="AS911" s="94">
        <v>0.0</v>
      </c>
      <c r="AT911" s="50" t="s">
        <v>106</v>
      </c>
      <c r="AU911" s="43">
        <v>0.0</v>
      </c>
      <c r="AV911" s="43">
        <v>0.0</v>
      </c>
      <c r="AW911" s="43" t="s">
        <v>88</v>
      </c>
      <c r="AX911" s="43">
        <v>0.0</v>
      </c>
      <c r="AY911" s="43">
        <v>0.0</v>
      </c>
      <c r="AZ911" s="43">
        <v>0.0</v>
      </c>
      <c r="BA911" s="43" t="s">
        <v>89</v>
      </c>
      <c r="BB911" s="43">
        <v>0.0</v>
      </c>
      <c r="BC911" s="69" t="s">
        <v>5186</v>
      </c>
      <c r="BD911" s="70"/>
      <c r="BE911" s="70"/>
      <c r="BF911" s="72" t="s">
        <v>5485</v>
      </c>
      <c r="BG911" s="73"/>
      <c r="BH911" s="73"/>
      <c r="BI911" s="73"/>
      <c r="BJ911" s="73"/>
      <c r="BK911" s="73"/>
      <c r="BL911" s="73"/>
      <c r="BM911" s="73"/>
      <c r="BN911" s="73"/>
      <c r="BO911" s="73"/>
      <c r="BP911" s="73"/>
      <c r="BQ911" s="73"/>
      <c r="BR911" s="73"/>
      <c r="BS911" s="73"/>
      <c r="BT911" s="73"/>
      <c r="BU911" s="73"/>
      <c r="BV911" s="73"/>
      <c r="BW911" s="74"/>
      <c r="BX911" s="74"/>
      <c r="BY911" s="63"/>
      <c r="BZ911" s="63"/>
    </row>
    <row r="912" ht="15.75" customHeight="1">
      <c r="A912" s="75" t="s">
        <v>5486</v>
      </c>
      <c r="B912" s="50" t="s">
        <v>5487</v>
      </c>
      <c r="C912" s="111" t="s">
        <v>323</v>
      </c>
      <c r="D912" s="43" t="s">
        <v>2078</v>
      </c>
      <c r="E912" s="64" t="s">
        <v>5482</v>
      </c>
      <c r="F912" s="78">
        <v>1.65E8</v>
      </c>
      <c r="G912" s="44" t="str">
        <f t="shared" si="16"/>
        <v>$100'000.000 a $200'000.000</v>
      </c>
      <c r="H912" s="44"/>
      <c r="I912" s="44"/>
      <c r="J912" s="50" t="s">
        <v>183</v>
      </c>
      <c r="K912" s="51" t="s">
        <v>241</v>
      </c>
      <c r="L912" s="50">
        <v>3.0</v>
      </c>
      <c r="M912" s="50"/>
      <c r="N912" s="50">
        <v>1.0</v>
      </c>
      <c r="O912" s="50">
        <v>1.0</v>
      </c>
      <c r="P912" s="50">
        <v>6.0</v>
      </c>
      <c r="Q912" s="79">
        <v>52.7</v>
      </c>
      <c r="R912" s="79">
        <v>62.5</v>
      </c>
      <c r="S912" s="56" t="str">
        <f t="shared" si="29"/>
        <v> </v>
      </c>
      <c r="T912" s="43" t="s">
        <v>78</v>
      </c>
      <c r="U912" s="51" t="s">
        <v>77</v>
      </c>
      <c r="V912" s="50" t="s">
        <v>696</v>
      </c>
      <c r="W912" s="50"/>
      <c r="X912" s="50">
        <v>3.0</v>
      </c>
      <c r="Y912" s="181" t="s">
        <v>130</v>
      </c>
      <c r="Z912" s="80"/>
      <c r="AA912" s="59"/>
      <c r="AB912" s="140" t="s">
        <v>5488</v>
      </c>
      <c r="AC912" s="61"/>
      <c r="AD912" s="107" t="s">
        <v>5489</v>
      </c>
      <c r="AE912" s="63"/>
      <c r="AF912" s="217" t="s">
        <v>105</v>
      </c>
      <c r="AG912" s="65" t="s">
        <v>106</v>
      </c>
      <c r="AH912" s="65"/>
      <c r="AI912" s="65" t="s">
        <v>107</v>
      </c>
      <c r="AJ912" s="64" t="s">
        <v>5466</v>
      </c>
      <c r="AK912" s="50" t="s">
        <v>81</v>
      </c>
      <c r="AL912" s="45" t="s">
        <v>109</v>
      </c>
      <c r="AM912" s="43">
        <v>3.14378476E9</v>
      </c>
      <c r="AN912" s="64">
        <v>3.138083141E9</v>
      </c>
      <c r="AO912" s="52"/>
      <c r="AP912" s="67"/>
      <c r="AQ912" s="67"/>
      <c r="AR912" s="67"/>
      <c r="AS912" s="68"/>
      <c r="AT912" s="65" t="s">
        <v>106</v>
      </c>
      <c r="AU912" s="50">
        <v>0.0</v>
      </c>
      <c r="AV912" s="50">
        <v>0.0</v>
      </c>
      <c r="AW912" s="50" t="s">
        <v>88</v>
      </c>
      <c r="AX912" s="44"/>
      <c r="AY912" s="50">
        <v>0.0</v>
      </c>
      <c r="AZ912" s="44"/>
      <c r="BA912" s="43" t="s">
        <v>89</v>
      </c>
      <c r="BB912" s="44"/>
      <c r="BC912" s="69" t="s">
        <v>2039</v>
      </c>
      <c r="BD912" s="70"/>
      <c r="BE912" s="71"/>
      <c r="BF912" s="72" t="s">
        <v>5490</v>
      </c>
      <c r="BG912" s="73"/>
      <c r="BH912" s="73"/>
      <c r="BI912" s="73"/>
      <c r="BJ912" s="73"/>
      <c r="BK912" s="73"/>
      <c r="BL912" s="73"/>
      <c r="BM912" s="73"/>
      <c r="BN912" s="73"/>
      <c r="BO912" s="73"/>
      <c r="BP912" s="73"/>
      <c r="BQ912" s="73"/>
      <c r="BR912" s="73"/>
      <c r="BS912" s="73"/>
      <c r="BT912" s="73"/>
      <c r="BU912" s="73"/>
      <c r="BV912" s="73"/>
      <c r="BW912" s="74"/>
      <c r="BX912" s="74"/>
      <c r="BY912" s="63"/>
      <c r="BZ912" s="63"/>
    </row>
    <row r="913" ht="15.75" customHeight="1">
      <c r="A913" s="152" t="s">
        <v>5491</v>
      </c>
      <c r="B913" s="50" t="s">
        <v>1721</v>
      </c>
      <c r="C913" s="111" t="s">
        <v>323</v>
      </c>
      <c r="D913" s="58" t="s">
        <v>720</v>
      </c>
      <c r="E913" s="77" t="s">
        <v>4741</v>
      </c>
      <c r="F913" s="78">
        <v>1.49E8</v>
      </c>
      <c r="G913" s="44" t="str">
        <f t="shared" si="16"/>
        <v>$100'000.000 a $200'000.000</v>
      </c>
      <c r="H913" s="44"/>
      <c r="I913" s="44"/>
      <c r="J913" s="50" t="s">
        <v>94</v>
      </c>
      <c r="K913" s="51"/>
      <c r="L913" s="50">
        <v>3.0</v>
      </c>
      <c r="M913" s="50"/>
      <c r="N913" s="50">
        <v>2.0</v>
      </c>
      <c r="O913" s="50">
        <v>1.0</v>
      </c>
      <c r="P913" s="50">
        <v>2.0</v>
      </c>
      <c r="Q913" s="79">
        <v>0.0</v>
      </c>
      <c r="R913" s="79">
        <v>0.0</v>
      </c>
      <c r="S913" s="56" t="str">
        <f t="shared" si="29"/>
        <v> </v>
      </c>
      <c r="T913" s="50" t="s">
        <v>78</v>
      </c>
      <c r="U913" s="51" t="s">
        <v>77</v>
      </c>
      <c r="V913" s="50" t="s">
        <v>542</v>
      </c>
      <c r="W913" s="50"/>
      <c r="X913" s="50">
        <v>3.0</v>
      </c>
      <c r="Y913" s="50" t="s">
        <v>130</v>
      </c>
      <c r="Z913" s="80">
        <v>0.0</v>
      </c>
      <c r="AA913" s="81" t="s">
        <v>81</v>
      </c>
      <c r="AB913" s="134" t="s">
        <v>5492</v>
      </c>
      <c r="AC913" s="131" t="s">
        <v>3224</v>
      </c>
      <c r="AD913" s="125" t="s">
        <v>5493</v>
      </c>
      <c r="AE913" s="63"/>
      <c r="AF913" s="64" t="s">
        <v>236</v>
      </c>
      <c r="AG913" s="65" t="s">
        <v>106</v>
      </c>
      <c r="AH913" s="65"/>
      <c r="AI913" s="65" t="s">
        <v>107</v>
      </c>
      <c r="AJ913" s="64" t="s">
        <v>5466</v>
      </c>
      <c r="AK913" s="58" t="s">
        <v>81</v>
      </c>
      <c r="AL913" s="45" t="s">
        <v>109</v>
      </c>
      <c r="AM913" s="43">
        <v>3.227018585E9</v>
      </c>
      <c r="AN913" s="45"/>
      <c r="AO913" s="93"/>
      <c r="AP913" s="67"/>
      <c r="AQ913" s="67"/>
      <c r="AR913" s="67"/>
      <c r="AS913" s="85">
        <v>0.0</v>
      </c>
      <c r="AT913" s="50" t="s">
        <v>88</v>
      </c>
      <c r="AU913" s="43">
        <v>0.0</v>
      </c>
      <c r="AV913" s="43">
        <v>0.0</v>
      </c>
      <c r="AW913" s="43" t="s">
        <v>88</v>
      </c>
      <c r="AX913" s="43">
        <v>0.0</v>
      </c>
      <c r="AY913" s="43">
        <v>0.0</v>
      </c>
      <c r="AZ913" s="50">
        <v>0.0</v>
      </c>
      <c r="BA913" s="43" t="s">
        <v>89</v>
      </c>
      <c r="BB913" s="50">
        <v>0.0</v>
      </c>
      <c r="BC913" s="95" t="s">
        <v>716</v>
      </c>
      <c r="BD913" s="71"/>
      <c r="BE913" s="71"/>
      <c r="BF913" s="72" t="s">
        <v>5494</v>
      </c>
      <c r="BG913" s="73"/>
      <c r="BH913" s="73"/>
      <c r="BI913" s="73"/>
      <c r="BJ913" s="73"/>
      <c r="BK913" s="73"/>
      <c r="BL913" s="73"/>
      <c r="BM913" s="73"/>
      <c r="BN913" s="73"/>
      <c r="BO913" s="73"/>
      <c r="BP913" s="73"/>
      <c r="BQ913" s="73"/>
      <c r="BR913" s="73"/>
      <c r="BS913" s="73"/>
      <c r="BT913" s="73"/>
      <c r="BU913" s="73"/>
      <c r="BV913" s="73"/>
      <c r="BW913" s="74"/>
      <c r="BX913" s="74"/>
      <c r="BY913" s="63"/>
      <c r="BZ913" s="63"/>
    </row>
    <row r="914" ht="15.75" customHeight="1">
      <c r="A914" s="133" t="s">
        <v>5495</v>
      </c>
      <c r="B914" s="43" t="s">
        <v>5496</v>
      </c>
      <c r="C914" s="111" t="s">
        <v>323</v>
      </c>
      <c r="D914" s="58" t="s">
        <v>720</v>
      </c>
      <c r="E914" s="77" t="s">
        <v>5497</v>
      </c>
      <c r="F914" s="78">
        <v>1.4E8</v>
      </c>
      <c r="G914" s="44" t="str">
        <f t="shared" si="16"/>
        <v>$100'000.000 a $200'000.000</v>
      </c>
      <c r="H914" s="44"/>
      <c r="I914" s="44"/>
      <c r="J914" s="43" t="s">
        <v>94</v>
      </c>
      <c r="K914" s="56"/>
      <c r="L914" s="43">
        <v>3.0</v>
      </c>
      <c r="M914" s="43"/>
      <c r="N914" s="43">
        <v>1.0</v>
      </c>
      <c r="O914" s="43">
        <v>0.0</v>
      </c>
      <c r="P914" s="50">
        <v>3.0</v>
      </c>
      <c r="Q914" s="55">
        <v>60.0</v>
      </c>
      <c r="R914" s="55">
        <v>60.0</v>
      </c>
      <c r="S914" s="56" t="str">
        <f t="shared" si="29"/>
        <v> </v>
      </c>
      <c r="T914" s="43" t="s">
        <v>78</v>
      </c>
      <c r="U914" s="187" t="s">
        <v>77</v>
      </c>
      <c r="V914" s="43" t="s">
        <v>642</v>
      </c>
      <c r="W914" s="43"/>
      <c r="X914" s="43">
        <v>3.0</v>
      </c>
      <c r="Y914" s="43" t="s">
        <v>130</v>
      </c>
      <c r="Z914" s="58">
        <v>121000.0</v>
      </c>
      <c r="AA914" s="81" t="s">
        <v>81</v>
      </c>
      <c r="AB914" s="134" t="s">
        <v>5498</v>
      </c>
      <c r="AC914" s="131" t="s">
        <v>3224</v>
      </c>
      <c r="AD914" s="107" t="s">
        <v>5476</v>
      </c>
      <c r="AE914" s="63"/>
      <c r="AF914" s="64" t="s">
        <v>105</v>
      </c>
      <c r="AG914" s="65" t="s">
        <v>106</v>
      </c>
      <c r="AH914" s="65"/>
      <c r="AI914" s="65" t="s">
        <v>107</v>
      </c>
      <c r="AJ914" s="64" t="s">
        <v>5466</v>
      </c>
      <c r="AK914" s="50" t="s">
        <v>81</v>
      </c>
      <c r="AL914" s="45" t="s">
        <v>109</v>
      </c>
      <c r="AM914" s="43">
        <v>3.14378476E9</v>
      </c>
      <c r="AN914" s="64">
        <v>3.138083141E9</v>
      </c>
      <c r="AO914" s="52"/>
      <c r="AP914" s="67"/>
      <c r="AQ914" s="67"/>
      <c r="AR914" s="67"/>
      <c r="AS914" s="68"/>
      <c r="AT914" s="65" t="s">
        <v>88</v>
      </c>
      <c r="AU914" s="50">
        <v>0.0</v>
      </c>
      <c r="AV914" s="50">
        <v>0.0</v>
      </c>
      <c r="AW914" s="50" t="s">
        <v>88</v>
      </c>
      <c r="AX914" s="50">
        <v>0.0</v>
      </c>
      <c r="AY914" s="50">
        <v>0.0</v>
      </c>
      <c r="AZ914" s="50">
        <v>0.0</v>
      </c>
      <c r="BA914" s="43" t="s">
        <v>89</v>
      </c>
      <c r="BB914" s="44"/>
      <c r="BC914" s="69" t="s">
        <v>439</v>
      </c>
      <c r="BD914" s="70"/>
      <c r="BE914" s="71"/>
      <c r="BF914" s="72" t="s">
        <v>5499</v>
      </c>
      <c r="BG914" s="73"/>
      <c r="BH914" s="73"/>
      <c r="BI914" s="73"/>
      <c r="BJ914" s="73"/>
      <c r="BK914" s="73"/>
      <c r="BL914" s="73"/>
      <c r="BM914" s="73"/>
      <c r="BN914" s="73"/>
      <c r="BO914" s="73"/>
      <c r="BP914" s="73"/>
      <c r="BQ914" s="73"/>
      <c r="BR914" s="73"/>
      <c r="BS914" s="73"/>
      <c r="BT914" s="73"/>
      <c r="BU914" s="73"/>
      <c r="BV914" s="73"/>
      <c r="BW914" s="74"/>
      <c r="BX914" s="74"/>
      <c r="BY914" s="63"/>
      <c r="BZ914" s="63"/>
    </row>
    <row r="915" ht="15.75" customHeight="1">
      <c r="A915" s="133" t="s">
        <v>5500</v>
      </c>
      <c r="B915" s="50" t="s">
        <v>5501</v>
      </c>
      <c r="C915" s="50" t="s">
        <v>573</v>
      </c>
      <c r="D915" s="50" t="s">
        <v>4435</v>
      </c>
      <c r="E915" s="45"/>
      <c r="F915" s="78">
        <v>9.0E7</v>
      </c>
      <c r="G915" s="44" t="str">
        <f t="shared" si="16"/>
        <v>$0 a $100'000.000</v>
      </c>
      <c r="H915" s="44"/>
      <c r="I915" s="44"/>
      <c r="J915" s="50" t="s">
        <v>94</v>
      </c>
      <c r="K915" s="57"/>
      <c r="L915" s="50">
        <v>2.0</v>
      </c>
      <c r="M915" s="50"/>
      <c r="N915" s="50">
        <v>1.0</v>
      </c>
      <c r="O915" s="50">
        <v>0.0</v>
      </c>
      <c r="P915" s="43">
        <v>5.0</v>
      </c>
      <c r="Q915" s="55">
        <v>50.0</v>
      </c>
      <c r="R915" s="55">
        <v>50.0</v>
      </c>
      <c r="S915" s="56" t="str">
        <f t="shared" si="29"/>
        <v> </v>
      </c>
      <c r="T915" s="43" t="s">
        <v>78</v>
      </c>
      <c r="U915" s="51" t="s">
        <v>184</v>
      </c>
      <c r="V915" s="50" t="s">
        <v>333</v>
      </c>
      <c r="W915" s="50"/>
      <c r="X915" s="50">
        <v>2.0</v>
      </c>
      <c r="Y915" s="50" t="s">
        <v>80</v>
      </c>
      <c r="Z915" s="58" t="s">
        <v>81</v>
      </c>
      <c r="AA915" s="59" t="str">
        <f>IF(Rentabilidad=0,"No aplica",TEXT(ROUND(Precio/Rentabilidad/12,0),0) &amp; " años")</f>
        <v>No aplica</v>
      </c>
      <c r="AB915" s="140" t="s">
        <v>5502</v>
      </c>
      <c r="AC915" s="131" t="s">
        <v>3224</v>
      </c>
      <c r="AD915" s="107" t="s">
        <v>5476</v>
      </c>
      <c r="AE915" s="63"/>
      <c r="AF915" s="64" t="s">
        <v>105</v>
      </c>
      <c r="AG915" s="65" t="s">
        <v>106</v>
      </c>
      <c r="AH915" s="63"/>
      <c r="AI915" s="65" t="s">
        <v>107</v>
      </c>
      <c r="AJ915" s="64" t="s">
        <v>5466</v>
      </c>
      <c r="AK915" s="50" t="s">
        <v>81</v>
      </c>
      <c r="AL915" s="45" t="s">
        <v>109</v>
      </c>
      <c r="AM915" s="50">
        <v>3.14378476E9</v>
      </c>
      <c r="AN915" s="64">
        <v>3.227018585E9</v>
      </c>
      <c r="AO915" s="43" t="s">
        <v>5477</v>
      </c>
      <c r="AP915" s="84">
        <v>0.0</v>
      </c>
      <c r="AQ915" s="84"/>
      <c r="AR915" s="84"/>
      <c r="AS915" s="50">
        <v>0.0</v>
      </c>
      <c r="AT915" s="50" t="s">
        <v>88</v>
      </c>
      <c r="AU915" s="50">
        <v>0.0</v>
      </c>
      <c r="AV915" s="50">
        <v>0.0</v>
      </c>
      <c r="AW915" s="50" t="s">
        <v>88</v>
      </c>
      <c r="AX915" s="50">
        <v>0.0</v>
      </c>
      <c r="AY915" s="50">
        <v>0.0</v>
      </c>
      <c r="AZ915" s="50">
        <v>0.0</v>
      </c>
      <c r="BA915" s="43" t="s">
        <v>89</v>
      </c>
      <c r="BB915" s="50">
        <v>0.0</v>
      </c>
      <c r="BC915" s="109"/>
      <c r="BD915" s="70"/>
      <c r="BE915" s="71"/>
      <c r="BF915" s="72" t="s">
        <v>5503</v>
      </c>
      <c r="BG915" s="73"/>
      <c r="BH915" s="73"/>
      <c r="BI915" s="73"/>
      <c r="BJ915" s="73"/>
      <c r="BK915" s="73"/>
      <c r="BL915" s="73"/>
      <c r="BM915" s="73"/>
      <c r="BN915" s="73"/>
      <c r="BO915" s="73"/>
      <c r="BP915" s="73"/>
      <c r="BQ915" s="73"/>
      <c r="BR915" s="73"/>
      <c r="BS915" s="73"/>
      <c r="BT915" s="73"/>
      <c r="BU915" s="73"/>
      <c r="BV915" s="73"/>
      <c r="BW915" s="74"/>
      <c r="BX915" s="74"/>
      <c r="BY915" s="63"/>
      <c r="BZ915" s="63"/>
    </row>
    <row r="916" ht="15.75" customHeight="1">
      <c r="A916" s="152" t="s">
        <v>5504</v>
      </c>
      <c r="B916" s="50" t="s">
        <v>1744</v>
      </c>
      <c r="C916" s="50" t="s">
        <v>271</v>
      </c>
      <c r="D916" s="44" t="s">
        <v>71</v>
      </c>
      <c r="E916" s="45"/>
      <c r="F916" s="47">
        <v>9.3E8</v>
      </c>
      <c r="G916" s="44" t="str">
        <f t="shared" si="16"/>
        <v>$500'000.000 a $1.000'000.000</v>
      </c>
      <c r="H916" s="44"/>
      <c r="I916" s="44"/>
      <c r="J916" s="50" t="s">
        <v>76</v>
      </c>
      <c r="K916" s="51" t="s">
        <v>77</v>
      </c>
      <c r="L916" s="44">
        <v>0.0</v>
      </c>
      <c r="M916" s="44"/>
      <c r="N916" s="44">
        <v>0.0</v>
      </c>
      <c r="O916" s="44">
        <v>0.0</v>
      </c>
      <c r="P916" s="44">
        <v>2.0</v>
      </c>
      <c r="Q916" s="113"/>
      <c r="R916" s="79">
        <v>238.0</v>
      </c>
      <c r="S916" s="56" t="str">
        <f t="shared" si="29"/>
        <v> </v>
      </c>
      <c r="T916" s="44" t="s">
        <v>78</v>
      </c>
      <c r="U916" s="57" t="s">
        <v>77</v>
      </c>
      <c r="V916" s="44"/>
      <c r="W916" s="44"/>
      <c r="X916" s="44">
        <v>0.0</v>
      </c>
      <c r="Y916" s="50" t="s">
        <v>80</v>
      </c>
      <c r="Z916" s="80" t="s">
        <v>81</v>
      </c>
      <c r="AA916" s="59" t="str">
        <f>IF(Rentabilidad=0,"No aplica",TEXT(ROUND(Precio/Rentabilidad/12,0),0) &amp; " años")</f>
        <v>No aplica</v>
      </c>
      <c r="AB916" s="220"/>
      <c r="AC916" s="61"/>
      <c r="AD916" s="62"/>
      <c r="AE916" s="63"/>
      <c r="AF916" s="45" t="s">
        <v>96</v>
      </c>
      <c r="AG916" s="63"/>
      <c r="AH916" s="65" t="s">
        <v>45</v>
      </c>
      <c r="AI916" s="63"/>
      <c r="AJ916" s="45" t="s">
        <v>5505</v>
      </c>
      <c r="AK916" s="58" t="s">
        <v>81</v>
      </c>
      <c r="AL916" s="45" t="s">
        <v>86</v>
      </c>
      <c r="AM916" s="44">
        <v>3.125062334E9</v>
      </c>
      <c r="AN916" s="45">
        <v>0.0</v>
      </c>
      <c r="AO916" s="74" t="s">
        <v>5506</v>
      </c>
      <c r="AP916" s="67">
        <v>0.0</v>
      </c>
      <c r="AQ916" s="67"/>
      <c r="AR916" s="67"/>
      <c r="AS916" s="68">
        <v>0.0</v>
      </c>
      <c r="AT916" s="44">
        <v>0.0</v>
      </c>
      <c r="AU916" s="52">
        <v>0.0</v>
      </c>
      <c r="AV916" s="52">
        <v>0.0</v>
      </c>
      <c r="AW916" s="43" t="s">
        <v>88</v>
      </c>
      <c r="AX916" s="52">
        <v>0.0</v>
      </c>
      <c r="AY916" s="52" t="s">
        <v>137</v>
      </c>
      <c r="AZ916" s="44">
        <v>0.0</v>
      </c>
      <c r="BA916" s="43" t="s">
        <v>89</v>
      </c>
      <c r="BB916" s="44">
        <v>0.0</v>
      </c>
      <c r="BC916" s="95" t="s">
        <v>3073</v>
      </c>
      <c r="BD916" s="71"/>
      <c r="BE916" s="71"/>
      <c r="BF916" s="72"/>
      <c r="BG916" s="73"/>
      <c r="BH916" s="73"/>
      <c r="BI916" s="73"/>
      <c r="BJ916" s="73"/>
      <c r="BK916" s="73"/>
      <c r="BL916" s="73"/>
      <c r="BM916" s="73"/>
      <c r="BN916" s="73"/>
      <c r="BO916" s="73"/>
      <c r="BP916" s="73"/>
      <c r="BQ916" s="73"/>
      <c r="BR916" s="73"/>
      <c r="BS916" s="73"/>
      <c r="BT916" s="73"/>
      <c r="BU916" s="73"/>
      <c r="BV916" s="73"/>
      <c r="BW916" s="74"/>
      <c r="BX916" s="74"/>
      <c r="BY916" s="63"/>
      <c r="BZ916" s="63"/>
    </row>
    <row r="917" ht="15.75" customHeight="1">
      <c r="A917" s="159" t="s">
        <v>5507</v>
      </c>
      <c r="B917" s="43" t="s">
        <v>5508</v>
      </c>
      <c r="C917" s="43" t="s">
        <v>323</v>
      </c>
      <c r="D917" s="52"/>
      <c r="E917" s="64" t="s">
        <v>5509</v>
      </c>
      <c r="F917" s="78">
        <v>4.8E8</v>
      </c>
      <c r="G917" s="44" t="str">
        <f t="shared" si="16"/>
        <v>$400'000.000 a $500'000.000</v>
      </c>
      <c r="H917" s="44"/>
      <c r="I917" s="44"/>
      <c r="J917" s="43" t="s">
        <v>116</v>
      </c>
      <c r="K917" s="56" t="s">
        <v>192</v>
      </c>
      <c r="L917" s="43">
        <v>3.0</v>
      </c>
      <c r="M917" s="43"/>
      <c r="N917" s="43">
        <v>4.0</v>
      </c>
      <c r="O917" s="43">
        <v>1.0</v>
      </c>
      <c r="P917" s="43">
        <v>5.0</v>
      </c>
      <c r="Q917" s="88" t="s">
        <v>5510</v>
      </c>
      <c r="R917" s="88">
        <v>135.0</v>
      </c>
      <c r="S917" s="56" t="str">
        <f t="shared" si="29"/>
        <v> </v>
      </c>
      <c r="T917" s="43" t="s">
        <v>78</v>
      </c>
      <c r="U917" s="56" t="s">
        <v>142</v>
      </c>
      <c r="V917" s="43" t="s">
        <v>333</v>
      </c>
      <c r="W917" s="43"/>
      <c r="X917" s="43">
        <v>3.0</v>
      </c>
      <c r="Y917" s="43" t="s">
        <v>130</v>
      </c>
      <c r="Z917" s="58">
        <v>390000.0</v>
      </c>
      <c r="AA917" s="59" t="str">
        <f>IF(Rentabilidad=0,"No aplica",TEXT(ROUND(Precio/Rentabilidad/12,0),0) &amp; " años")</f>
        <v>No aplica</v>
      </c>
      <c r="AB917" s="140" t="s">
        <v>5511</v>
      </c>
      <c r="AC917" s="106" t="s">
        <v>5512</v>
      </c>
      <c r="AD917" s="106" t="s">
        <v>5513</v>
      </c>
      <c r="AE917" s="63"/>
      <c r="AF917" s="64" t="s">
        <v>105</v>
      </c>
      <c r="AG917" s="65" t="s">
        <v>106</v>
      </c>
      <c r="AH917" s="63"/>
      <c r="AI917" s="65" t="s">
        <v>107</v>
      </c>
      <c r="AJ917" s="64" t="s">
        <v>5514</v>
      </c>
      <c r="AK917" s="50" t="s">
        <v>1584</v>
      </c>
      <c r="AL917" s="45" t="s">
        <v>109</v>
      </c>
      <c r="AM917" s="43">
        <v>3.041092675E9</v>
      </c>
      <c r="AN917" s="64">
        <v>0.0</v>
      </c>
      <c r="AO917" s="43" t="s">
        <v>5515</v>
      </c>
      <c r="AP917" s="84" t="s">
        <v>5516</v>
      </c>
      <c r="AQ917" s="84">
        <v>2.93796884534029</v>
      </c>
      <c r="AR917" s="84">
        <v>-75.2574832684072</v>
      </c>
      <c r="AS917" s="94">
        <v>0.0</v>
      </c>
      <c r="AT917" s="43" t="s">
        <v>106</v>
      </c>
      <c r="AU917" s="43">
        <v>0.0</v>
      </c>
      <c r="AV917" s="43" t="s">
        <v>106</v>
      </c>
      <c r="AW917" s="43" t="s">
        <v>88</v>
      </c>
      <c r="AX917" s="43">
        <v>0.0</v>
      </c>
      <c r="AY917" s="43">
        <v>0.0</v>
      </c>
      <c r="AZ917" s="43">
        <v>0.0</v>
      </c>
      <c r="BA917" s="43" t="s">
        <v>89</v>
      </c>
      <c r="BB917" s="43">
        <v>0.0</v>
      </c>
      <c r="BC917" s="304" t="s">
        <v>5517</v>
      </c>
      <c r="BD917" s="155"/>
      <c r="BE917" s="156"/>
      <c r="BF917" s="157" t="s">
        <v>5518</v>
      </c>
      <c r="BG917" s="73"/>
      <c r="BH917" s="73"/>
      <c r="BI917" s="73"/>
      <c r="BJ917" s="73"/>
      <c r="BK917" s="73"/>
      <c r="BL917" s="73"/>
      <c r="BM917" s="73"/>
      <c r="BN917" s="73"/>
      <c r="BO917" s="73"/>
      <c r="BP917" s="73"/>
      <c r="BQ917" s="73"/>
      <c r="BR917" s="73"/>
      <c r="BS917" s="73"/>
      <c r="BT917" s="73"/>
      <c r="BU917" s="73"/>
      <c r="BV917" s="73"/>
      <c r="BW917" s="74"/>
      <c r="BX917" s="74"/>
      <c r="BY917" s="63"/>
      <c r="BZ917" s="63"/>
    </row>
    <row r="918" ht="15.75" customHeight="1">
      <c r="A918" s="272" t="s">
        <v>5519</v>
      </c>
      <c r="B918" s="50" t="s">
        <v>5520</v>
      </c>
      <c r="C918" s="50" t="s">
        <v>93</v>
      </c>
      <c r="D918" s="58" t="s">
        <v>5521</v>
      </c>
      <c r="E918" s="45"/>
      <c r="F918" s="78">
        <v>4.2E8</v>
      </c>
      <c r="G918" s="44" t="str">
        <f t="shared" si="16"/>
        <v>$400'000.000 a $500'000.000</v>
      </c>
      <c r="H918" s="44"/>
      <c r="I918" s="44"/>
      <c r="J918" s="50" t="s">
        <v>94</v>
      </c>
      <c r="K918" s="51"/>
      <c r="L918" s="43">
        <v>3.0</v>
      </c>
      <c r="M918" s="43"/>
      <c r="N918" s="43">
        <v>4.0</v>
      </c>
      <c r="O918" s="43">
        <v>1.0</v>
      </c>
      <c r="P918" s="43">
        <v>2.0</v>
      </c>
      <c r="Q918" s="55">
        <v>150.0</v>
      </c>
      <c r="R918" s="55">
        <v>275.0</v>
      </c>
      <c r="S918" s="56" t="str">
        <f t="shared" si="29"/>
        <v> </v>
      </c>
      <c r="T918" s="43" t="s">
        <v>95</v>
      </c>
      <c r="U918" s="56" t="s">
        <v>96</v>
      </c>
      <c r="V918" s="43">
        <v>0.0</v>
      </c>
      <c r="W918" s="43"/>
      <c r="X918" s="43">
        <v>3.0</v>
      </c>
      <c r="Y918" s="43" t="s">
        <v>80</v>
      </c>
      <c r="Z918" s="280" t="s">
        <v>81</v>
      </c>
      <c r="AA918" s="81" t="s">
        <v>81</v>
      </c>
      <c r="AB918" s="172" t="s">
        <v>5522</v>
      </c>
      <c r="AC918" s="131" t="s">
        <v>5523</v>
      </c>
      <c r="AD918" s="107" t="s">
        <v>5524</v>
      </c>
      <c r="AE918" s="63"/>
      <c r="AF918" s="64" t="s">
        <v>105</v>
      </c>
      <c r="AG918" s="65" t="s">
        <v>106</v>
      </c>
      <c r="AH918" s="63"/>
      <c r="AI918" s="65" t="s">
        <v>107</v>
      </c>
      <c r="AJ918" s="64" t="s">
        <v>5525</v>
      </c>
      <c r="AK918" s="50" t="s">
        <v>81</v>
      </c>
      <c r="AL918" s="45" t="s">
        <v>109</v>
      </c>
      <c r="AM918" s="43">
        <v>3.103319459E9</v>
      </c>
      <c r="AN918" s="64">
        <v>3.17086446E9</v>
      </c>
      <c r="AO918" s="43" t="s">
        <v>5526</v>
      </c>
      <c r="AP918" s="84">
        <v>0.0</v>
      </c>
      <c r="AQ918" s="84"/>
      <c r="AR918" s="84"/>
      <c r="AS918" s="94">
        <v>0.0</v>
      </c>
      <c r="AT918" s="50">
        <v>0.0</v>
      </c>
      <c r="AU918" s="43">
        <v>0.0</v>
      </c>
      <c r="AV918" s="43">
        <v>0.0</v>
      </c>
      <c r="AW918" s="43" t="s">
        <v>88</v>
      </c>
      <c r="AX918" s="43">
        <v>0.0</v>
      </c>
      <c r="AY918" s="43" t="s">
        <v>137</v>
      </c>
      <c r="AZ918" s="43">
        <v>0.0</v>
      </c>
      <c r="BA918" s="43" t="s">
        <v>89</v>
      </c>
      <c r="BB918" s="43">
        <v>0.0</v>
      </c>
      <c r="BC918" s="154"/>
      <c r="BD918" s="155"/>
      <c r="BE918" s="156"/>
      <c r="BF918" s="157" t="s">
        <v>5527</v>
      </c>
      <c r="BG918" s="73"/>
      <c r="BH918" s="73"/>
      <c r="BI918" s="73"/>
      <c r="BJ918" s="73"/>
      <c r="BK918" s="73"/>
      <c r="BL918" s="73"/>
      <c r="BM918" s="73"/>
      <c r="BN918" s="73"/>
      <c r="BO918" s="73"/>
      <c r="BP918" s="73"/>
      <c r="BQ918" s="73"/>
      <c r="BR918" s="73"/>
      <c r="BS918" s="73"/>
      <c r="BT918" s="73"/>
      <c r="BU918" s="73"/>
      <c r="BV918" s="73"/>
      <c r="BW918" s="74"/>
      <c r="BX918" s="74"/>
      <c r="BY918" s="63"/>
      <c r="BZ918" s="63"/>
    </row>
    <row r="919" ht="15.75" customHeight="1">
      <c r="A919" s="272" t="s">
        <v>5528</v>
      </c>
      <c r="B919" s="50" t="s">
        <v>5529</v>
      </c>
      <c r="C919" s="50" t="s">
        <v>70</v>
      </c>
      <c r="D919" s="58" t="s">
        <v>5530</v>
      </c>
      <c r="E919" s="45"/>
      <c r="F919" s="78">
        <v>3.5E8</v>
      </c>
      <c r="G919" s="44" t="str">
        <f t="shared" si="16"/>
        <v>$300'000.000 a $400'000.000</v>
      </c>
      <c r="H919" s="44"/>
      <c r="I919" s="44"/>
      <c r="J919" s="43" t="s">
        <v>76</v>
      </c>
      <c r="K919" s="51"/>
      <c r="L919" s="43">
        <v>4.0</v>
      </c>
      <c r="M919" s="43"/>
      <c r="N919" s="43">
        <v>1.0</v>
      </c>
      <c r="O919" s="43">
        <v>0.0</v>
      </c>
      <c r="P919" s="43">
        <v>1.0</v>
      </c>
      <c r="Q919" s="55">
        <v>87.0</v>
      </c>
      <c r="R919" s="55">
        <v>87.0</v>
      </c>
      <c r="S919" s="56" t="str">
        <f t="shared" si="29"/>
        <v> </v>
      </c>
      <c r="T919" s="43" t="s">
        <v>78</v>
      </c>
      <c r="U919" s="56" t="s">
        <v>77</v>
      </c>
      <c r="V919" s="43" t="s">
        <v>118</v>
      </c>
      <c r="W919" s="43"/>
      <c r="X919" s="43">
        <v>1.0</v>
      </c>
      <c r="Y919" s="43" t="s">
        <v>80</v>
      </c>
      <c r="Z919" s="58" t="s">
        <v>81</v>
      </c>
      <c r="AA919" s="81" t="s">
        <v>81</v>
      </c>
      <c r="AB919" s="134" t="s">
        <v>5531</v>
      </c>
      <c r="AC919" s="131" t="s">
        <v>5532</v>
      </c>
      <c r="AD919" s="107" t="s">
        <v>5533</v>
      </c>
      <c r="AE919" s="63"/>
      <c r="AF919" s="64" t="s">
        <v>84</v>
      </c>
      <c r="AG919" s="65" t="s">
        <v>106</v>
      </c>
      <c r="AH919" s="63"/>
      <c r="AI919" s="65" t="s">
        <v>107</v>
      </c>
      <c r="AJ919" s="64" t="s">
        <v>5525</v>
      </c>
      <c r="AK919" s="50" t="s">
        <v>81</v>
      </c>
      <c r="AL919" s="45" t="s">
        <v>109</v>
      </c>
      <c r="AM919" s="43">
        <v>3.103319459E9</v>
      </c>
      <c r="AN919" s="64">
        <v>3.17086446E9</v>
      </c>
      <c r="AO919" s="43" t="s">
        <v>5526</v>
      </c>
      <c r="AP919" s="84" t="s">
        <v>5534</v>
      </c>
      <c r="AQ919" s="84">
        <v>2.9531785</v>
      </c>
      <c r="AR919" s="84">
        <v>-75.2826869</v>
      </c>
      <c r="AS919" s="94">
        <v>0.0</v>
      </c>
      <c r="AT919" s="50">
        <v>0.0</v>
      </c>
      <c r="AU919" s="43">
        <v>0.0</v>
      </c>
      <c r="AV919" s="43">
        <v>0.0</v>
      </c>
      <c r="AW919" s="43" t="s">
        <v>88</v>
      </c>
      <c r="AX919" s="43">
        <v>0.0</v>
      </c>
      <c r="AY919" s="43" t="s">
        <v>137</v>
      </c>
      <c r="AZ919" s="43">
        <v>0.0</v>
      </c>
      <c r="BA919" s="43" t="s">
        <v>89</v>
      </c>
      <c r="BB919" s="43">
        <v>0.0</v>
      </c>
      <c r="BC919" s="109"/>
      <c r="BD919" s="70"/>
      <c r="BE919" s="71"/>
      <c r="BF919" s="72" t="s">
        <v>5535</v>
      </c>
      <c r="BG919" s="73"/>
      <c r="BH919" s="73"/>
      <c r="BI919" s="73"/>
      <c r="BJ919" s="73"/>
      <c r="BK919" s="73"/>
      <c r="BL919" s="73"/>
      <c r="BM919" s="73"/>
      <c r="BN919" s="73"/>
      <c r="BO919" s="73"/>
      <c r="BP919" s="73"/>
      <c r="BQ919" s="73"/>
      <c r="BR919" s="73"/>
      <c r="BS919" s="73"/>
      <c r="BT919" s="73"/>
      <c r="BU919" s="73"/>
      <c r="BV919" s="73"/>
      <c r="BW919" s="74"/>
      <c r="BX919" s="74"/>
      <c r="BY919" s="63"/>
      <c r="BZ919" s="63"/>
    </row>
    <row r="920" ht="15.75" customHeight="1">
      <c r="A920" s="272" t="s">
        <v>5536</v>
      </c>
      <c r="B920" s="50" t="s">
        <v>5520</v>
      </c>
      <c r="C920" s="50" t="s">
        <v>93</v>
      </c>
      <c r="D920" s="58" t="s">
        <v>5521</v>
      </c>
      <c r="E920" s="45"/>
      <c r="F920" s="78">
        <v>3.25E8</v>
      </c>
      <c r="G920" s="44" t="str">
        <f t="shared" si="16"/>
        <v>$300'000.000 a $400'000.000</v>
      </c>
      <c r="H920" s="44"/>
      <c r="I920" s="44"/>
      <c r="J920" s="50" t="s">
        <v>94</v>
      </c>
      <c r="K920" s="51"/>
      <c r="L920" s="43">
        <v>4.0</v>
      </c>
      <c r="M920" s="43"/>
      <c r="N920" s="43">
        <v>4.0</v>
      </c>
      <c r="O920" s="43">
        <v>2.0</v>
      </c>
      <c r="P920" s="43">
        <v>2.0</v>
      </c>
      <c r="Q920" s="55">
        <v>143.46</v>
      </c>
      <c r="R920" s="55">
        <v>275.0</v>
      </c>
      <c r="S920" s="56" t="str">
        <f t="shared" si="29"/>
        <v> </v>
      </c>
      <c r="T920" s="43" t="s">
        <v>95</v>
      </c>
      <c r="U920" s="56" t="s">
        <v>96</v>
      </c>
      <c r="V920" s="43">
        <v>0.0</v>
      </c>
      <c r="W920" s="43"/>
      <c r="X920" s="43">
        <v>3.0</v>
      </c>
      <c r="Y920" s="43" t="s">
        <v>80</v>
      </c>
      <c r="Z920" s="280" t="s">
        <v>81</v>
      </c>
      <c r="AA920" s="81" t="s">
        <v>81</v>
      </c>
      <c r="AB920" s="134" t="s">
        <v>5537</v>
      </c>
      <c r="AC920" s="131" t="s">
        <v>5538</v>
      </c>
      <c r="AD920" s="107" t="s">
        <v>5524</v>
      </c>
      <c r="AE920" s="63"/>
      <c r="AF920" s="64" t="s">
        <v>236</v>
      </c>
      <c r="AG920" s="65" t="s">
        <v>106</v>
      </c>
      <c r="AH920" s="63"/>
      <c r="AI920" s="65" t="s">
        <v>107</v>
      </c>
      <c r="AJ920" s="64" t="s">
        <v>5525</v>
      </c>
      <c r="AK920" s="50" t="s">
        <v>81</v>
      </c>
      <c r="AL920" s="45" t="s">
        <v>109</v>
      </c>
      <c r="AM920" s="43">
        <v>3.103319459E9</v>
      </c>
      <c r="AN920" s="64">
        <v>3.17086446E9</v>
      </c>
      <c r="AO920" s="43" t="s">
        <v>5526</v>
      </c>
      <c r="AP920" s="84">
        <v>0.0</v>
      </c>
      <c r="AQ920" s="84"/>
      <c r="AR920" s="84"/>
      <c r="AS920" s="94">
        <v>0.0</v>
      </c>
      <c r="AT920" s="50">
        <v>0.0</v>
      </c>
      <c r="AU920" s="43">
        <v>0.0</v>
      </c>
      <c r="AV920" s="43">
        <v>0.0</v>
      </c>
      <c r="AW920" s="43" t="s">
        <v>88</v>
      </c>
      <c r="AX920" s="43">
        <v>0.0</v>
      </c>
      <c r="AY920" s="43" t="s">
        <v>137</v>
      </c>
      <c r="AZ920" s="43">
        <v>0.0</v>
      </c>
      <c r="BA920" s="43" t="s">
        <v>89</v>
      </c>
      <c r="BB920" s="43">
        <v>0.0</v>
      </c>
      <c r="BC920" s="86"/>
      <c r="BD920" s="71"/>
      <c r="BE920" s="71"/>
      <c r="BF920" s="72" t="s">
        <v>5539</v>
      </c>
      <c r="BG920" s="73"/>
      <c r="BH920" s="73"/>
      <c r="BI920" s="73"/>
      <c r="BJ920" s="73"/>
      <c r="BK920" s="73"/>
      <c r="BL920" s="73"/>
      <c r="BM920" s="73"/>
      <c r="BN920" s="73"/>
      <c r="BO920" s="73"/>
      <c r="BP920" s="73"/>
      <c r="BQ920" s="73"/>
      <c r="BR920" s="73"/>
      <c r="BS920" s="73"/>
      <c r="BT920" s="73"/>
      <c r="BU920" s="73"/>
      <c r="BV920" s="73"/>
      <c r="BW920" s="74"/>
      <c r="BX920" s="74"/>
      <c r="BY920" s="63"/>
      <c r="BZ920" s="63"/>
    </row>
    <row r="921" ht="15.75" customHeight="1">
      <c r="A921" s="272" t="s">
        <v>5540</v>
      </c>
      <c r="B921" s="50" t="s">
        <v>4294</v>
      </c>
      <c r="C921" s="50" t="s">
        <v>70</v>
      </c>
      <c r="D921" s="58" t="s">
        <v>5541</v>
      </c>
      <c r="E921" s="45"/>
      <c r="F921" s="78">
        <v>2.7E8</v>
      </c>
      <c r="G921" s="44" t="str">
        <f t="shared" si="16"/>
        <v>$200'000.000 a $300'000.000</v>
      </c>
      <c r="H921" s="44"/>
      <c r="I921" s="44"/>
      <c r="J921" s="43" t="s">
        <v>116</v>
      </c>
      <c r="K921" s="51"/>
      <c r="L921" s="43">
        <v>4.0</v>
      </c>
      <c r="M921" s="43"/>
      <c r="N921" s="43">
        <v>3.0</v>
      </c>
      <c r="O921" s="43">
        <v>1.0</v>
      </c>
      <c r="P921" s="43">
        <v>2.0</v>
      </c>
      <c r="Q921" s="55">
        <v>150.0</v>
      </c>
      <c r="R921" s="55">
        <v>84.0</v>
      </c>
      <c r="S921" s="56" t="str">
        <f t="shared" si="29"/>
        <v> </v>
      </c>
      <c r="T921" s="43" t="s">
        <v>78</v>
      </c>
      <c r="U921" s="56" t="s">
        <v>77</v>
      </c>
      <c r="V921" s="43" t="s">
        <v>79</v>
      </c>
      <c r="W921" s="43"/>
      <c r="X921" s="43">
        <v>3.0</v>
      </c>
      <c r="Y921" s="43" t="s">
        <v>80</v>
      </c>
      <c r="Z921" s="280" t="s">
        <v>81</v>
      </c>
      <c r="AA921" s="81" t="s">
        <v>81</v>
      </c>
      <c r="AB921" s="82" t="s">
        <v>5542</v>
      </c>
      <c r="AC921" s="131" t="s">
        <v>5543</v>
      </c>
      <c r="AD921" s="107" t="s">
        <v>5544</v>
      </c>
      <c r="AE921" s="63"/>
      <c r="AF921" s="64" t="s">
        <v>236</v>
      </c>
      <c r="AG921" s="65"/>
      <c r="AH921" s="63"/>
      <c r="AI921" s="65" t="s">
        <v>107</v>
      </c>
      <c r="AJ921" s="64" t="s">
        <v>5525</v>
      </c>
      <c r="AK921" s="50" t="s">
        <v>81</v>
      </c>
      <c r="AL921" s="45" t="s">
        <v>109</v>
      </c>
      <c r="AM921" s="43">
        <v>3.103319459E9</v>
      </c>
      <c r="AN921" s="64">
        <v>3.17086446E9</v>
      </c>
      <c r="AO921" s="43" t="s">
        <v>5526</v>
      </c>
      <c r="AP921" s="84" t="s">
        <v>5545</v>
      </c>
      <c r="AQ921" s="84"/>
      <c r="AR921" s="84"/>
      <c r="AS921" s="94">
        <v>0.0</v>
      </c>
      <c r="AT921" s="50">
        <v>0.0</v>
      </c>
      <c r="AU921" s="43">
        <v>0.0</v>
      </c>
      <c r="AV921" s="43">
        <v>0.0</v>
      </c>
      <c r="AW921" s="43" t="s">
        <v>106</v>
      </c>
      <c r="AX921" s="43">
        <v>0.0</v>
      </c>
      <c r="AY921" s="43" t="s">
        <v>137</v>
      </c>
      <c r="AZ921" s="43">
        <v>0.0</v>
      </c>
      <c r="BA921" s="43" t="s">
        <v>89</v>
      </c>
      <c r="BB921" s="43">
        <v>0.0</v>
      </c>
      <c r="BC921" s="109"/>
      <c r="BD921" s="70"/>
      <c r="BE921" s="71"/>
      <c r="BF921" s="72" t="s">
        <v>5546</v>
      </c>
      <c r="BG921" s="73"/>
      <c r="BH921" s="73"/>
      <c r="BI921" s="73"/>
      <c r="BJ921" s="73"/>
      <c r="BK921" s="73"/>
      <c r="BL921" s="73"/>
      <c r="BM921" s="73"/>
      <c r="BN921" s="73"/>
      <c r="BO921" s="73"/>
      <c r="BP921" s="73"/>
      <c r="BQ921" s="73"/>
      <c r="BR921" s="73"/>
      <c r="BS921" s="73"/>
      <c r="BT921" s="73"/>
      <c r="BU921" s="73"/>
      <c r="BV921" s="73"/>
      <c r="BW921" s="74"/>
      <c r="BX921" s="74"/>
      <c r="BY921" s="63"/>
      <c r="BZ921" s="63"/>
    </row>
    <row r="922" ht="15.75" customHeight="1">
      <c r="A922" s="272" t="s">
        <v>5547</v>
      </c>
      <c r="B922" s="50" t="s">
        <v>5548</v>
      </c>
      <c r="C922" s="50" t="s">
        <v>128</v>
      </c>
      <c r="D922" s="203"/>
      <c r="E922" s="64" t="s">
        <v>4321</v>
      </c>
      <c r="F922" s="78">
        <v>2.5E8</v>
      </c>
      <c r="G922" s="44" t="str">
        <f t="shared" si="16"/>
        <v>$200'000.000 a $300'000.000</v>
      </c>
      <c r="H922" s="44"/>
      <c r="I922" s="44"/>
      <c r="J922" s="43" t="s">
        <v>94</v>
      </c>
      <c r="K922" s="51"/>
      <c r="L922" s="43">
        <v>2.0</v>
      </c>
      <c r="M922" s="43"/>
      <c r="N922" s="43">
        <v>2.0</v>
      </c>
      <c r="O922" s="43">
        <v>1.0</v>
      </c>
      <c r="P922" s="43">
        <v>1.0</v>
      </c>
      <c r="Q922" s="55">
        <v>90.0</v>
      </c>
      <c r="R922" s="55">
        <v>300.0</v>
      </c>
      <c r="S922" s="56" t="str">
        <f t="shared" si="29"/>
        <v> </v>
      </c>
      <c r="T922" s="43" t="s">
        <v>1985</v>
      </c>
      <c r="U922" s="56" t="s">
        <v>184</v>
      </c>
      <c r="V922" s="43" t="s">
        <v>79</v>
      </c>
      <c r="W922" s="43"/>
      <c r="X922" s="43">
        <v>0.0</v>
      </c>
      <c r="Y922" s="43" t="s">
        <v>130</v>
      </c>
      <c r="Z922" s="280">
        <v>120000.0</v>
      </c>
      <c r="AA922" s="81" t="s">
        <v>81</v>
      </c>
      <c r="AB922" s="134" t="s">
        <v>5549</v>
      </c>
      <c r="AC922" s="131" t="s">
        <v>5550</v>
      </c>
      <c r="AD922" s="107" t="s">
        <v>5551</v>
      </c>
      <c r="AE922" s="63"/>
      <c r="AF922" s="64" t="s">
        <v>105</v>
      </c>
      <c r="AG922" s="65" t="s">
        <v>106</v>
      </c>
      <c r="AH922" s="63"/>
      <c r="AI922" s="65" t="s">
        <v>107</v>
      </c>
      <c r="AJ922" s="64" t="s">
        <v>5525</v>
      </c>
      <c r="AK922" s="50" t="s">
        <v>81</v>
      </c>
      <c r="AL922" s="45" t="s">
        <v>109</v>
      </c>
      <c r="AM922" s="43">
        <v>3.103319459E9</v>
      </c>
      <c r="AN922" s="64">
        <v>3.17086446E9</v>
      </c>
      <c r="AO922" s="43" t="s">
        <v>5526</v>
      </c>
      <c r="AP922" s="84">
        <v>0.0</v>
      </c>
      <c r="AQ922" s="84"/>
      <c r="AR922" s="84"/>
      <c r="AS922" s="94">
        <v>0.0</v>
      </c>
      <c r="AT922" s="50">
        <v>0.0</v>
      </c>
      <c r="AU922" s="43">
        <v>0.0</v>
      </c>
      <c r="AV922" s="43">
        <v>0.0</v>
      </c>
      <c r="AW922" s="43" t="s">
        <v>88</v>
      </c>
      <c r="AX922" s="43">
        <v>0.0</v>
      </c>
      <c r="AY922" s="43" t="s">
        <v>137</v>
      </c>
      <c r="AZ922" s="43">
        <v>0.0</v>
      </c>
      <c r="BA922" s="43" t="s">
        <v>89</v>
      </c>
      <c r="BB922" s="43">
        <v>0.0</v>
      </c>
      <c r="BC922" s="95" t="s">
        <v>439</v>
      </c>
      <c r="BD922" s="71"/>
      <c r="BE922" s="71"/>
      <c r="BF922" s="72" t="s">
        <v>5552</v>
      </c>
      <c r="BG922" s="73"/>
      <c r="BH922" s="73"/>
      <c r="BI922" s="73"/>
      <c r="BJ922" s="73"/>
      <c r="BK922" s="73"/>
      <c r="BL922" s="73"/>
      <c r="BM922" s="73"/>
      <c r="BN922" s="73"/>
      <c r="BO922" s="73"/>
      <c r="BP922" s="73"/>
      <c r="BQ922" s="73"/>
      <c r="BR922" s="73"/>
      <c r="BS922" s="73"/>
      <c r="BT922" s="73"/>
      <c r="BU922" s="73"/>
      <c r="BV922" s="73"/>
      <c r="BW922" s="74"/>
      <c r="BX922" s="74"/>
      <c r="BY922" s="63"/>
      <c r="BZ922" s="63"/>
    </row>
    <row r="923" ht="15.75" customHeight="1">
      <c r="A923" s="272" t="s">
        <v>5553</v>
      </c>
      <c r="B923" s="50" t="s">
        <v>5554</v>
      </c>
      <c r="C923" s="50" t="s">
        <v>271</v>
      </c>
      <c r="D923" s="58" t="s">
        <v>1654</v>
      </c>
      <c r="E923" s="45"/>
      <c r="F923" s="78">
        <v>2.5E8</v>
      </c>
      <c r="G923" s="44" t="str">
        <f t="shared" si="16"/>
        <v>$200'000.000 a $300'000.000</v>
      </c>
      <c r="H923" s="44"/>
      <c r="I923" s="44"/>
      <c r="J923" s="43" t="s">
        <v>94</v>
      </c>
      <c r="K923" s="51"/>
      <c r="L923" s="43">
        <v>4.0</v>
      </c>
      <c r="M923" s="43"/>
      <c r="N923" s="43">
        <v>2.0</v>
      </c>
      <c r="O923" s="43">
        <v>0.0</v>
      </c>
      <c r="P923" s="43">
        <v>2.0</v>
      </c>
      <c r="Q923" s="55">
        <v>150.0</v>
      </c>
      <c r="R923" s="55">
        <v>84.0</v>
      </c>
      <c r="S923" s="56" t="str">
        <f t="shared" si="29"/>
        <v> </v>
      </c>
      <c r="T923" s="43" t="s">
        <v>78</v>
      </c>
      <c r="U923" s="56" t="s">
        <v>184</v>
      </c>
      <c r="V923" s="43" t="s">
        <v>79</v>
      </c>
      <c r="W923" s="43"/>
      <c r="X923" s="43">
        <v>2.0</v>
      </c>
      <c r="Y923" s="43" t="s">
        <v>80</v>
      </c>
      <c r="Z923" s="80" t="s">
        <v>81</v>
      </c>
      <c r="AA923" s="81" t="s">
        <v>81</v>
      </c>
      <c r="AB923" s="134" t="s">
        <v>5555</v>
      </c>
      <c r="AC923" s="131" t="s">
        <v>5556</v>
      </c>
      <c r="AD923" s="107" t="s">
        <v>5557</v>
      </c>
      <c r="AE923" s="63"/>
      <c r="AF923" s="64" t="s">
        <v>236</v>
      </c>
      <c r="AG923" s="65" t="s">
        <v>106</v>
      </c>
      <c r="AH923" s="63"/>
      <c r="AI923" s="65" t="s">
        <v>107</v>
      </c>
      <c r="AJ923" s="64" t="s">
        <v>5525</v>
      </c>
      <c r="AK923" s="50" t="s">
        <v>81</v>
      </c>
      <c r="AL923" s="45" t="s">
        <v>109</v>
      </c>
      <c r="AM923" s="43">
        <v>3.103319459E9</v>
      </c>
      <c r="AN923" s="64">
        <v>3.17086446E9</v>
      </c>
      <c r="AO923" s="43" t="s">
        <v>5526</v>
      </c>
      <c r="AP923" s="84" t="s">
        <v>5558</v>
      </c>
      <c r="AQ923" s="84"/>
      <c r="AR923" s="84"/>
      <c r="AS923" s="94">
        <v>0.0</v>
      </c>
      <c r="AT923" s="50">
        <v>0.0</v>
      </c>
      <c r="AU923" s="43">
        <v>0.0</v>
      </c>
      <c r="AV923" s="43">
        <v>0.0</v>
      </c>
      <c r="AW923" s="43" t="s">
        <v>88</v>
      </c>
      <c r="AX923" s="43">
        <v>0.0</v>
      </c>
      <c r="AY923" s="43" t="s">
        <v>137</v>
      </c>
      <c r="AZ923" s="43">
        <v>0.0</v>
      </c>
      <c r="BA923" s="43" t="s">
        <v>89</v>
      </c>
      <c r="BB923" s="43">
        <v>0.0</v>
      </c>
      <c r="BC923" s="69" t="s">
        <v>5559</v>
      </c>
      <c r="BD923" s="70"/>
      <c r="BE923" s="71"/>
      <c r="BF923" s="72" t="s">
        <v>5560</v>
      </c>
      <c r="BG923" s="73"/>
      <c r="BH923" s="73"/>
      <c r="BI923" s="73"/>
      <c r="BJ923" s="73"/>
      <c r="BK923" s="73"/>
      <c r="BL923" s="73"/>
      <c r="BM923" s="73"/>
      <c r="BN923" s="73"/>
      <c r="BO923" s="73"/>
      <c r="BP923" s="73"/>
      <c r="BQ923" s="73"/>
      <c r="BR923" s="73"/>
      <c r="BS923" s="73"/>
      <c r="BT923" s="73"/>
      <c r="BU923" s="73"/>
      <c r="BV923" s="73"/>
      <c r="BW923" s="74"/>
      <c r="BX923" s="74"/>
      <c r="BY923" s="63"/>
      <c r="BZ923" s="63"/>
    </row>
    <row r="924" ht="15.75" customHeight="1">
      <c r="A924" s="133" t="s">
        <v>5561</v>
      </c>
      <c r="B924" s="43" t="s">
        <v>5562</v>
      </c>
      <c r="C924" s="43" t="s">
        <v>448</v>
      </c>
      <c r="D924" s="43" t="s">
        <v>703</v>
      </c>
      <c r="E924" s="45"/>
      <c r="F924" s="78">
        <v>1.8E9</v>
      </c>
      <c r="G924" s="44" t="str">
        <f t="shared" si="16"/>
        <v>Más de $1.000'000.000</v>
      </c>
      <c r="H924" s="44"/>
      <c r="I924" s="44"/>
      <c r="J924" s="43" t="s">
        <v>76</v>
      </c>
      <c r="K924" s="142"/>
      <c r="L924" s="43">
        <v>8.0</v>
      </c>
      <c r="M924" s="43"/>
      <c r="N924" s="43">
        <v>4.0</v>
      </c>
      <c r="O924" s="43">
        <v>0.0</v>
      </c>
      <c r="P924" s="43">
        <v>1.0</v>
      </c>
      <c r="Q924" s="88">
        <v>270.0</v>
      </c>
      <c r="R924" s="88">
        <v>270.0</v>
      </c>
      <c r="S924" s="56" t="str">
        <f t="shared" si="29"/>
        <v> </v>
      </c>
      <c r="T924" s="43" t="s">
        <v>78</v>
      </c>
      <c r="U924" s="142"/>
      <c r="V924" s="43" t="s">
        <v>79</v>
      </c>
      <c r="W924" s="43"/>
      <c r="X924" s="43">
        <v>0.0</v>
      </c>
      <c r="Y924" s="43" t="s">
        <v>80</v>
      </c>
      <c r="Z924" s="58"/>
      <c r="AA924" s="59" t="str">
        <f>IF(Rentabilidad=0,"No aplica",TEXT(ROUND(Precio/Rentabilidad/12,0),0) &amp; " años")</f>
        <v>No aplica</v>
      </c>
      <c r="AB924" s="140" t="s">
        <v>5563</v>
      </c>
      <c r="AC924" s="106" t="s">
        <v>5564</v>
      </c>
      <c r="AD924" s="107" t="s">
        <v>5565</v>
      </c>
      <c r="AE924" s="63"/>
      <c r="AF924" s="64" t="s">
        <v>84</v>
      </c>
      <c r="AG924" s="65" t="s">
        <v>106</v>
      </c>
      <c r="AH924" s="63"/>
      <c r="AI924" s="65" t="s">
        <v>107</v>
      </c>
      <c r="AJ924" s="111" t="s">
        <v>5566</v>
      </c>
      <c r="AK924" s="50" t="s">
        <v>81</v>
      </c>
      <c r="AL924" s="45" t="s">
        <v>109</v>
      </c>
      <c r="AM924" s="217">
        <v>3.20852652E9</v>
      </c>
      <c r="AN924" s="217">
        <v>3.103319459E9</v>
      </c>
      <c r="AO924" s="43">
        <v>0.0</v>
      </c>
      <c r="AP924" s="84" t="s">
        <v>5567</v>
      </c>
      <c r="AQ924" s="84"/>
      <c r="AR924" s="84"/>
      <c r="AS924" s="94">
        <v>0.0</v>
      </c>
      <c r="AT924" s="50">
        <v>0.0</v>
      </c>
      <c r="AU924" s="43">
        <v>0.0</v>
      </c>
      <c r="AV924" s="43">
        <v>0.0</v>
      </c>
      <c r="AW924" s="43" t="s">
        <v>88</v>
      </c>
      <c r="AX924" s="43">
        <v>0.0</v>
      </c>
      <c r="AY924" s="43">
        <v>0.0</v>
      </c>
      <c r="AZ924" s="43">
        <v>0.0</v>
      </c>
      <c r="BA924" s="43" t="s">
        <v>89</v>
      </c>
      <c r="BB924" s="43">
        <v>0.0</v>
      </c>
      <c r="BC924" s="69"/>
      <c r="BD924" s="70"/>
      <c r="BE924" s="70"/>
      <c r="BF924" s="72" t="s">
        <v>5568</v>
      </c>
      <c r="BG924" s="73"/>
      <c r="BH924" s="73"/>
      <c r="BI924" s="73"/>
      <c r="BJ924" s="73"/>
      <c r="BK924" s="73"/>
      <c r="BL924" s="73"/>
      <c r="BM924" s="73"/>
      <c r="BN924" s="73"/>
      <c r="BO924" s="73"/>
      <c r="BP924" s="73"/>
      <c r="BQ924" s="73"/>
      <c r="BR924" s="73"/>
      <c r="BS924" s="73"/>
      <c r="BT924" s="73"/>
      <c r="BU924" s="73"/>
      <c r="BV924" s="73"/>
      <c r="BW924" s="74"/>
      <c r="BX924" s="74"/>
      <c r="BY924" s="63"/>
      <c r="BZ924" s="63"/>
    </row>
    <row r="925" ht="15.75" customHeight="1">
      <c r="A925" s="204" t="s">
        <v>5569</v>
      </c>
      <c r="B925" s="111" t="s">
        <v>870</v>
      </c>
      <c r="C925" s="111" t="s">
        <v>70</v>
      </c>
      <c r="D925" s="50" t="s">
        <v>477</v>
      </c>
      <c r="E925" s="205"/>
      <c r="F925" s="78">
        <v>1.2E9</v>
      </c>
      <c r="G925" s="44" t="str">
        <f t="shared" si="16"/>
        <v>Más de $1.000'000.000</v>
      </c>
      <c r="H925" s="44"/>
      <c r="I925" s="44"/>
      <c r="J925" s="111" t="s">
        <v>76</v>
      </c>
      <c r="K925" s="187" t="s">
        <v>142</v>
      </c>
      <c r="L925" s="111">
        <v>6.0</v>
      </c>
      <c r="M925" s="111"/>
      <c r="N925" s="111">
        <v>4.0</v>
      </c>
      <c r="O925" s="111">
        <v>2.0</v>
      </c>
      <c r="P925" s="111">
        <v>2.0</v>
      </c>
      <c r="Q925" s="79">
        <v>420.0</v>
      </c>
      <c r="R925" s="79"/>
      <c r="S925" s="56" t="str">
        <f t="shared" si="29"/>
        <v> </v>
      </c>
      <c r="T925" s="111" t="s">
        <v>78</v>
      </c>
      <c r="U925" s="187" t="s">
        <v>117</v>
      </c>
      <c r="V925" s="111" t="s">
        <v>79</v>
      </c>
      <c r="W925" s="111"/>
      <c r="X925" s="111">
        <v>6.0</v>
      </c>
      <c r="Y925" s="111" t="s">
        <v>97</v>
      </c>
      <c r="Z925" s="58" t="s">
        <v>81</v>
      </c>
      <c r="AA925" s="59" t="str">
        <f>IF(Rentabilidad=0,"No aplica",TEXT(ROUND(Precio/Rentabilidad/12,0),0) &amp; " años")</f>
        <v>No aplica</v>
      </c>
      <c r="AB925" s="207" t="s">
        <v>5570</v>
      </c>
      <c r="AC925" s="61"/>
      <c r="AD925" s="218" t="s">
        <v>5571</v>
      </c>
      <c r="AE925" s="209"/>
      <c r="AF925" s="217" t="s">
        <v>105</v>
      </c>
      <c r="AG925" s="111" t="s">
        <v>106</v>
      </c>
      <c r="AH925" s="209"/>
      <c r="AI925" s="65" t="s">
        <v>107</v>
      </c>
      <c r="AJ925" s="111" t="s">
        <v>5566</v>
      </c>
      <c r="AK925" s="50" t="s">
        <v>81</v>
      </c>
      <c r="AL925" s="45" t="s">
        <v>109</v>
      </c>
      <c r="AM925" s="217">
        <v>3.20852652E9</v>
      </c>
      <c r="AN925" s="217">
        <v>3.103319459E9</v>
      </c>
      <c r="AO925" s="209"/>
      <c r="AP925" s="210"/>
      <c r="AQ925" s="210"/>
      <c r="AR925" s="210"/>
      <c r="AS925" s="209"/>
      <c r="AT925" s="209"/>
      <c r="AU925" s="209"/>
      <c r="AV925" s="209"/>
      <c r="AW925" s="111" t="s">
        <v>88</v>
      </c>
      <c r="AX925" s="209"/>
      <c r="AY925" s="209"/>
      <c r="AZ925" s="209"/>
      <c r="BA925" s="43" t="s">
        <v>89</v>
      </c>
      <c r="BB925" s="209"/>
      <c r="BC925" s="109"/>
      <c r="BD925" s="70"/>
      <c r="BE925" s="71"/>
      <c r="BF925" s="72" t="s">
        <v>5572</v>
      </c>
      <c r="BG925" s="73"/>
      <c r="BH925" s="73"/>
      <c r="BI925" s="73"/>
      <c r="BJ925" s="73"/>
      <c r="BK925" s="73"/>
      <c r="BL925" s="73"/>
      <c r="BM925" s="73"/>
      <c r="BN925" s="73"/>
      <c r="BO925" s="73"/>
      <c r="BP925" s="73"/>
      <c r="BQ925" s="73"/>
      <c r="BR925" s="73"/>
      <c r="BS925" s="73"/>
      <c r="BT925" s="73"/>
      <c r="BU925" s="73"/>
      <c r="BV925" s="73"/>
      <c r="BW925" s="74"/>
      <c r="BX925" s="74"/>
      <c r="BY925" s="63"/>
      <c r="BZ925" s="63"/>
    </row>
    <row r="926" ht="15.75" customHeight="1">
      <c r="A926" s="75" t="s">
        <v>5573</v>
      </c>
      <c r="B926" s="50" t="s">
        <v>5574</v>
      </c>
      <c r="C926" s="50" t="s">
        <v>497</v>
      </c>
      <c r="D926" s="50"/>
      <c r="E926" s="64"/>
      <c r="F926" s="78">
        <v>1.0E9</v>
      </c>
      <c r="G926" s="44" t="str">
        <f t="shared" si="16"/>
        <v>Más de $1.000'000.000</v>
      </c>
      <c r="H926" s="44"/>
      <c r="I926" s="44"/>
      <c r="J926" s="50"/>
      <c r="K926" s="51"/>
      <c r="L926" s="50">
        <v>3.0</v>
      </c>
      <c r="M926" s="50"/>
      <c r="N926" s="50">
        <v>1.0</v>
      </c>
      <c r="O926" s="50">
        <v>2.0</v>
      </c>
      <c r="P926" s="50">
        <v>1.0</v>
      </c>
      <c r="Q926" s="88">
        <v>120.0</v>
      </c>
      <c r="R926" s="88">
        <v>13000.0</v>
      </c>
      <c r="S926" s="56" t="str">
        <f t="shared" si="29"/>
        <v> </v>
      </c>
      <c r="T926" s="50" t="s">
        <v>5575</v>
      </c>
      <c r="U926" s="57"/>
      <c r="V926" s="44"/>
      <c r="W926" s="44"/>
      <c r="X926" s="50">
        <v>0.0</v>
      </c>
      <c r="Y926" s="50" t="s">
        <v>80</v>
      </c>
      <c r="Z926" s="91"/>
      <c r="AA926" s="59" t="str">
        <f>IF(Rentabilidad=0,"No aplica",TEXT(ROUND(Precio/Rentabilidad/12,0),0) &amp; " años")</f>
        <v>No aplica</v>
      </c>
      <c r="AB926" s="82" t="s">
        <v>5576</v>
      </c>
      <c r="AC926" s="102" t="s">
        <v>5577</v>
      </c>
      <c r="AD926" s="103" t="s">
        <v>5578</v>
      </c>
      <c r="AE926" s="63"/>
      <c r="AF926" s="64" t="s">
        <v>84</v>
      </c>
      <c r="AG926" s="65" t="s">
        <v>106</v>
      </c>
      <c r="AH926" s="63"/>
      <c r="AI926" s="65" t="s">
        <v>107</v>
      </c>
      <c r="AJ926" s="111" t="s">
        <v>5566</v>
      </c>
      <c r="AK926" s="50" t="s">
        <v>81</v>
      </c>
      <c r="AL926" s="45" t="s">
        <v>109</v>
      </c>
      <c r="AM926" s="217">
        <v>3.20852652E9</v>
      </c>
      <c r="AN926" s="217">
        <v>3.103319459E9</v>
      </c>
      <c r="AO926" s="43">
        <v>0.0</v>
      </c>
      <c r="AP926" s="84"/>
      <c r="AQ926" s="84"/>
      <c r="AR926" s="84"/>
      <c r="AS926" s="85"/>
      <c r="AT926" s="50" t="s">
        <v>88</v>
      </c>
      <c r="AU926" s="50">
        <v>0.0</v>
      </c>
      <c r="AV926" s="50">
        <v>0.0</v>
      </c>
      <c r="AW926" s="50" t="s">
        <v>88</v>
      </c>
      <c r="AX926" s="50">
        <v>0.0</v>
      </c>
      <c r="AY926" s="50">
        <v>0.0</v>
      </c>
      <c r="AZ926" s="50">
        <v>0.0</v>
      </c>
      <c r="BA926" s="43" t="s">
        <v>89</v>
      </c>
      <c r="BB926" s="50">
        <v>0.0</v>
      </c>
      <c r="BC926" s="95"/>
      <c r="BD926" s="71"/>
      <c r="BE926" s="71"/>
      <c r="BF926" s="72" t="s">
        <v>5579</v>
      </c>
      <c r="BG926" s="73"/>
      <c r="BH926" s="73"/>
      <c r="BI926" s="73"/>
      <c r="BJ926" s="73"/>
      <c r="BK926" s="73"/>
      <c r="BL926" s="73"/>
      <c r="BM926" s="73"/>
      <c r="BN926" s="73"/>
      <c r="BO926" s="73"/>
      <c r="BP926" s="73"/>
      <c r="BQ926" s="73"/>
      <c r="BR926" s="73"/>
      <c r="BS926" s="73"/>
      <c r="BT926" s="73"/>
      <c r="BU926" s="73"/>
      <c r="BV926" s="73"/>
      <c r="BW926" s="74"/>
      <c r="BX926" s="74"/>
      <c r="BY926" s="63"/>
      <c r="BZ926" s="63"/>
    </row>
    <row r="927" ht="15.75" customHeight="1">
      <c r="A927" s="133" t="s">
        <v>5580</v>
      </c>
      <c r="B927" s="50" t="s">
        <v>5581</v>
      </c>
      <c r="C927" s="50" t="s">
        <v>114</v>
      </c>
      <c r="D927" s="76"/>
      <c r="E927" s="77" t="s">
        <v>3998</v>
      </c>
      <c r="F927" s="78">
        <v>1.0E9</v>
      </c>
      <c r="G927" s="44" t="str">
        <f t="shared" si="16"/>
        <v>Más de $1.000'000.000</v>
      </c>
      <c r="H927" s="44"/>
      <c r="I927" s="44"/>
      <c r="J927" s="50" t="s">
        <v>94</v>
      </c>
      <c r="K927" s="51"/>
      <c r="L927" s="50">
        <v>4.0</v>
      </c>
      <c r="M927" s="50"/>
      <c r="N927" s="50">
        <v>5.0</v>
      </c>
      <c r="O927" s="50">
        <v>1.0</v>
      </c>
      <c r="P927" s="50">
        <v>1.0</v>
      </c>
      <c r="Q927" s="79"/>
      <c r="R927" s="79">
        <v>2200.0</v>
      </c>
      <c r="S927" s="56" t="str">
        <f t="shared" si="29"/>
        <v> </v>
      </c>
      <c r="T927" s="50" t="s">
        <v>95</v>
      </c>
      <c r="U927" s="51"/>
      <c r="V927" s="50"/>
      <c r="W927" s="50"/>
      <c r="X927" s="50"/>
      <c r="Y927" s="50" t="s">
        <v>5582</v>
      </c>
      <c r="Z927" s="80" t="s">
        <v>81</v>
      </c>
      <c r="AA927" s="59" t="str">
        <f>IF(Rentabilidad=0,"No aplica",TEXT(ROUND(Precio/Rentabilidad/12,0),0) &amp; " años")</f>
        <v>No aplica</v>
      </c>
      <c r="AB927" s="82" t="s">
        <v>5583</v>
      </c>
      <c r="AC927" s="61"/>
      <c r="AD927" s="125" t="s">
        <v>5584</v>
      </c>
      <c r="AE927" s="63"/>
      <c r="AF927" s="64" t="s">
        <v>105</v>
      </c>
      <c r="AG927" s="65" t="s">
        <v>106</v>
      </c>
      <c r="AH927" s="65"/>
      <c r="AI927" s="65" t="s">
        <v>107</v>
      </c>
      <c r="AJ927" s="111" t="s">
        <v>5566</v>
      </c>
      <c r="AK927" s="111" t="s">
        <v>81</v>
      </c>
      <c r="AL927" s="45" t="s">
        <v>109</v>
      </c>
      <c r="AM927" s="217">
        <v>3.20852652E9</v>
      </c>
      <c r="AN927" s="217">
        <v>3.103319459E9</v>
      </c>
      <c r="AO927" s="52"/>
      <c r="AP927" s="67"/>
      <c r="AQ927" s="84">
        <v>2.78291750253538</v>
      </c>
      <c r="AR927" s="84">
        <v>-75.2626313284512</v>
      </c>
      <c r="AS927" s="85"/>
      <c r="AT927" s="50"/>
      <c r="AU927" s="50"/>
      <c r="AV927" s="50"/>
      <c r="AW927" s="50"/>
      <c r="AX927" s="50"/>
      <c r="AY927" s="50"/>
      <c r="AZ927" s="50"/>
      <c r="BA927" s="43" t="s">
        <v>89</v>
      </c>
      <c r="BB927" s="50"/>
      <c r="BC927" s="95" t="s">
        <v>3772</v>
      </c>
      <c r="BD927" s="71"/>
      <c r="BE927" s="71"/>
      <c r="BF927" s="72" t="s">
        <v>5585</v>
      </c>
      <c r="BG927" s="73"/>
      <c r="BH927" s="73"/>
      <c r="BI927" s="73"/>
      <c r="BJ927" s="73"/>
      <c r="BK927" s="73"/>
      <c r="BL927" s="73"/>
      <c r="BM927" s="73"/>
      <c r="BN927" s="73"/>
      <c r="BO927" s="73"/>
      <c r="BP927" s="73"/>
      <c r="BQ927" s="73"/>
      <c r="BR927" s="73"/>
      <c r="BS927" s="73"/>
      <c r="BT927" s="73"/>
      <c r="BU927" s="73"/>
      <c r="BV927" s="73"/>
      <c r="BW927" s="74"/>
      <c r="BX927" s="74"/>
      <c r="BY927" s="63"/>
      <c r="BZ927" s="63"/>
    </row>
    <row r="928" ht="15.75" customHeight="1">
      <c r="A928" s="133" t="s">
        <v>5586</v>
      </c>
      <c r="B928" s="50" t="s">
        <v>92</v>
      </c>
      <c r="C928" s="50" t="s">
        <v>93</v>
      </c>
      <c r="D928" s="76"/>
      <c r="E928" s="77"/>
      <c r="F928" s="78">
        <v>1.0E9</v>
      </c>
      <c r="G928" s="44" t="str">
        <f t="shared" si="16"/>
        <v>Más de $1.000'000.000</v>
      </c>
      <c r="H928" s="44"/>
      <c r="I928" s="44"/>
      <c r="J928" s="50" t="s">
        <v>94</v>
      </c>
      <c r="K928" s="51"/>
      <c r="L928" s="50">
        <v>7.0</v>
      </c>
      <c r="M928" s="50"/>
      <c r="N928" s="50">
        <v>4.0</v>
      </c>
      <c r="O928" s="50">
        <v>1.0</v>
      </c>
      <c r="P928" s="50">
        <v>2.0</v>
      </c>
      <c r="Q928" s="79"/>
      <c r="R928" s="79">
        <v>20000.0</v>
      </c>
      <c r="S928" s="56" t="str">
        <f t="shared" si="29"/>
        <v> </v>
      </c>
      <c r="T928" s="50" t="s">
        <v>95</v>
      </c>
      <c r="U928" s="51"/>
      <c r="V928" s="50"/>
      <c r="W928" s="50"/>
      <c r="X928" s="50"/>
      <c r="Y928" s="50" t="s">
        <v>97</v>
      </c>
      <c r="Z928" s="80" t="s">
        <v>81</v>
      </c>
      <c r="AA928" s="59" t="str">
        <f>IF(Rentabilidad=0,"No aplica",TEXT(ROUND(Precio/Rentabilidad/12,0),0) &amp; " años")</f>
        <v>No aplica</v>
      </c>
      <c r="AB928" s="82" t="s">
        <v>5587</v>
      </c>
      <c r="AC928" s="61"/>
      <c r="AD928" s="107" t="s">
        <v>5588</v>
      </c>
      <c r="AE928" s="63"/>
      <c r="AF928" s="64" t="s">
        <v>105</v>
      </c>
      <c r="AG928" s="65" t="s">
        <v>106</v>
      </c>
      <c r="AH928" s="65"/>
      <c r="AI928" s="65" t="s">
        <v>107</v>
      </c>
      <c r="AJ928" s="111" t="s">
        <v>5566</v>
      </c>
      <c r="AK928" s="111" t="s">
        <v>81</v>
      </c>
      <c r="AL928" s="45" t="s">
        <v>109</v>
      </c>
      <c r="AM928" s="217">
        <v>3.20852652E9</v>
      </c>
      <c r="AN928" s="217">
        <v>3.103319459E9</v>
      </c>
      <c r="AO928" s="52"/>
      <c r="AP928" s="67"/>
      <c r="AQ928" s="67"/>
      <c r="AR928" s="67"/>
      <c r="AS928" s="85"/>
      <c r="AT928" s="50"/>
      <c r="AU928" s="50"/>
      <c r="AV928" s="50"/>
      <c r="AW928" s="50"/>
      <c r="AX928" s="50"/>
      <c r="AY928" s="50"/>
      <c r="AZ928" s="50"/>
      <c r="BA928" s="43" t="s">
        <v>89</v>
      </c>
      <c r="BB928" s="50"/>
      <c r="BC928" s="69" t="s">
        <v>5186</v>
      </c>
      <c r="BD928" s="70"/>
      <c r="BE928" s="71"/>
      <c r="BF928" s="72" t="s">
        <v>5589</v>
      </c>
      <c r="BG928" s="73"/>
      <c r="BH928" s="73"/>
      <c r="BI928" s="73"/>
      <c r="BJ928" s="73"/>
      <c r="BK928" s="73"/>
      <c r="BL928" s="73"/>
      <c r="BM928" s="73"/>
      <c r="BN928" s="73"/>
      <c r="BO928" s="73"/>
      <c r="BP928" s="73"/>
      <c r="BQ928" s="73"/>
      <c r="BR928" s="73"/>
      <c r="BS928" s="73"/>
      <c r="BT928" s="73"/>
      <c r="BU928" s="73"/>
      <c r="BV928" s="73"/>
      <c r="BW928" s="74"/>
      <c r="BX928" s="74"/>
      <c r="BY928" s="63"/>
      <c r="BZ928" s="63"/>
    </row>
    <row r="929" ht="15.75" customHeight="1">
      <c r="A929" s="75" t="s">
        <v>5590</v>
      </c>
      <c r="B929" s="50" t="s">
        <v>5591</v>
      </c>
      <c r="C929" s="50" t="s">
        <v>315</v>
      </c>
      <c r="D929" s="50"/>
      <c r="E929" s="64"/>
      <c r="F929" s="78">
        <v>8.5E8</v>
      </c>
      <c r="G929" s="44" t="str">
        <f t="shared" si="16"/>
        <v>$500'000.000 a $1.000'000.000</v>
      </c>
      <c r="H929" s="44"/>
      <c r="I929" s="44"/>
      <c r="J929" s="50" t="s">
        <v>498</v>
      </c>
      <c r="K929" s="51"/>
      <c r="L929" s="50">
        <v>4.0</v>
      </c>
      <c r="M929" s="50"/>
      <c r="N929" s="50">
        <v>3.0</v>
      </c>
      <c r="O929" s="50">
        <v>3.0</v>
      </c>
      <c r="P929" s="50">
        <v>1.0</v>
      </c>
      <c r="Q929" s="88">
        <v>0.0</v>
      </c>
      <c r="R929" s="88">
        <v>5000.0</v>
      </c>
      <c r="S929" s="56" t="str">
        <f t="shared" si="29"/>
        <v> </v>
      </c>
      <c r="T929" s="50" t="s">
        <v>95</v>
      </c>
      <c r="U929" s="57"/>
      <c r="V929" s="44"/>
      <c r="W929" s="44"/>
      <c r="X929" s="44"/>
      <c r="Y929" s="50" t="s">
        <v>80</v>
      </c>
      <c r="Z929" s="91"/>
      <c r="AA929" s="59" t="str">
        <f>IF(Rentabilidad=0,"No aplica",TEXT(ROUND(Precio/Rentabilidad/12,0),0) &amp; " años")</f>
        <v>No aplica</v>
      </c>
      <c r="AB929" s="82" t="s">
        <v>5592</v>
      </c>
      <c r="AC929" s="61"/>
      <c r="AD929" s="107"/>
      <c r="AE929" s="63"/>
      <c r="AF929" s="45" t="s">
        <v>236</v>
      </c>
      <c r="AG929" s="65" t="s">
        <v>106</v>
      </c>
      <c r="AH929" s="63"/>
      <c r="AI929" s="65" t="s">
        <v>107</v>
      </c>
      <c r="AJ929" s="111" t="s">
        <v>5566</v>
      </c>
      <c r="AK929" s="50" t="s">
        <v>81</v>
      </c>
      <c r="AL929" s="45" t="s">
        <v>109</v>
      </c>
      <c r="AM929" s="217">
        <v>3.20852652E9</v>
      </c>
      <c r="AN929" s="217">
        <v>3.103319459E9</v>
      </c>
      <c r="AO929" s="52"/>
      <c r="AP929" s="67"/>
      <c r="AQ929" s="67"/>
      <c r="AR929" s="67"/>
      <c r="AS929" s="94"/>
      <c r="AT929" s="65">
        <v>0.0</v>
      </c>
      <c r="AU929" s="50">
        <v>0.0</v>
      </c>
      <c r="AV929" s="50">
        <v>0.0</v>
      </c>
      <c r="AW929" s="50" t="s">
        <v>88</v>
      </c>
      <c r="AX929" s="50">
        <v>0.0</v>
      </c>
      <c r="AY929" s="50" t="s">
        <v>110</v>
      </c>
      <c r="AZ929" s="50">
        <v>0.0</v>
      </c>
      <c r="BA929" s="43" t="s">
        <v>89</v>
      </c>
      <c r="BB929" s="50">
        <v>0.0</v>
      </c>
      <c r="BC929" s="95"/>
      <c r="BD929" s="71"/>
      <c r="BE929" s="71"/>
      <c r="BF929" s="72" t="s">
        <v>5593</v>
      </c>
      <c r="BG929" s="73"/>
      <c r="BH929" s="73"/>
      <c r="BI929" s="73"/>
      <c r="BJ929" s="73"/>
      <c r="BK929" s="73"/>
      <c r="BL929" s="73"/>
      <c r="BM929" s="73"/>
      <c r="BN929" s="73"/>
      <c r="BO929" s="73"/>
      <c r="BP929" s="73"/>
      <c r="BQ929" s="73"/>
      <c r="BR929" s="73"/>
      <c r="BS929" s="73"/>
      <c r="BT929" s="73"/>
      <c r="BU929" s="73"/>
      <c r="BV929" s="73"/>
      <c r="BW929" s="74"/>
      <c r="BX929" s="74"/>
      <c r="BY929" s="63"/>
      <c r="BZ929" s="63"/>
    </row>
    <row r="930" ht="15.75" customHeight="1">
      <c r="A930" s="75" t="s">
        <v>5594</v>
      </c>
      <c r="B930" s="50" t="s">
        <v>5595</v>
      </c>
      <c r="C930" s="50" t="s">
        <v>497</v>
      </c>
      <c r="D930" s="50"/>
      <c r="E930" s="64"/>
      <c r="F930" s="78">
        <v>7.2E8</v>
      </c>
      <c r="G930" s="44" t="str">
        <f t="shared" si="16"/>
        <v>$500'000.000 a $1.000'000.000</v>
      </c>
      <c r="H930" s="44"/>
      <c r="I930" s="44"/>
      <c r="J930" s="50" t="s">
        <v>498</v>
      </c>
      <c r="K930" s="51"/>
      <c r="L930" s="50">
        <v>3.0</v>
      </c>
      <c r="M930" s="50"/>
      <c r="N930" s="50">
        <v>1.0</v>
      </c>
      <c r="O930" s="50">
        <v>1.0</v>
      </c>
      <c r="P930" s="50">
        <v>1.0</v>
      </c>
      <c r="Q930" s="88">
        <v>350.0</v>
      </c>
      <c r="R930" s="88">
        <v>60000.0</v>
      </c>
      <c r="S930" s="56"/>
      <c r="T930" s="50" t="s">
        <v>5596</v>
      </c>
      <c r="U930" s="57"/>
      <c r="V930" s="44"/>
      <c r="W930" s="44"/>
      <c r="X930" s="50">
        <v>1.0</v>
      </c>
      <c r="Y930" s="50" t="s">
        <v>80</v>
      </c>
      <c r="Z930" s="58" t="s">
        <v>81</v>
      </c>
      <c r="AA930" s="59" t="str">
        <f>IF(Rentabilidad=0,"No aplica",TEXT(ROUND(Precio/Rentabilidad/12,0),0) &amp; " años")</f>
        <v>No aplica</v>
      </c>
      <c r="AB930" s="82" t="s">
        <v>5597</v>
      </c>
      <c r="AC930" s="102" t="s">
        <v>5598</v>
      </c>
      <c r="AD930" s="103" t="s">
        <v>5599</v>
      </c>
      <c r="AE930" s="63"/>
      <c r="AF930" s="64" t="s">
        <v>84</v>
      </c>
      <c r="AG930" s="65" t="s">
        <v>106</v>
      </c>
      <c r="AH930" s="63"/>
      <c r="AI930" s="65" t="s">
        <v>107</v>
      </c>
      <c r="AJ930" s="111" t="s">
        <v>5566</v>
      </c>
      <c r="AK930" s="50" t="s">
        <v>81</v>
      </c>
      <c r="AL930" s="45" t="s">
        <v>109</v>
      </c>
      <c r="AM930" s="217">
        <v>3.20852652E9</v>
      </c>
      <c r="AN930" s="217">
        <v>3.103319459E9</v>
      </c>
      <c r="AO930" s="43">
        <v>0.0</v>
      </c>
      <c r="AP930" s="84"/>
      <c r="AQ930" s="84"/>
      <c r="AR930" s="84"/>
      <c r="AS930" s="94">
        <v>0.0</v>
      </c>
      <c r="AT930" s="50" t="s">
        <v>88</v>
      </c>
      <c r="AU930" s="43">
        <v>0.0</v>
      </c>
      <c r="AV930" s="43">
        <v>0.0</v>
      </c>
      <c r="AW930" s="43" t="s">
        <v>88</v>
      </c>
      <c r="AX930" s="43">
        <v>0.0</v>
      </c>
      <c r="AY930" s="43">
        <v>0.0</v>
      </c>
      <c r="AZ930" s="43">
        <v>0.0</v>
      </c>
      <c r="BA930" s="43" t="s">
        <v>89</v>
      </c>
      <c r="BB930" s="43">
        <v>0.0</v>
      </c>
      <c r="BC930" s="95" t="s">
        <v>716</v>
      </c>
      <c r="BD930" s="71"/>
      <c r="BE930" s="71"/>
      <c r="BF930" s="72" t="s">
        <v>5600</v>
      </c>
      <c r="BG930" s="73"/>
      <c r="BH930" s="73"/>
      <c r="BI930" s="73"/>
      <c r="BJ930" s="73"/>
      <c r="BK930" s="73"/>
      <c r="BL930" s="73"/>
      <c r="BM930" s="73"/>
      <c r="BN930" s="73"/>
      <c r="BO930" s="73"/>
      <c r="BP930" s="73"/>
      <c r="BQ930" s="73"/>
      <c r="BR930" s="73"/>
      <c r="BS930" s="73"/>
      <c r="BT930" s="73"/>
      <c r="BU930" s="73"/>
      <c r="BV930" s="73"/>
      <c r="BW930" s="74"/>
      <c r="BX930" s="74"/>
      <c r="BY930" s="63"/>
      <c r="BZ930" s="63"/>
    </row>
    <row r="931" ht="15.75" customHeight="1">
      <c r="A931" s="133" t="s">
        <v>5601</v>
      </c>
      <c r="B931" s="50" t="s">
        <v>1884</v>
      </c>
      <c r="C931" s="50" t="s">
        <v>70</v>
      </c>
      <c r="D931" s="50" t="s">
        <v>477</v>
      </c>
      <c r="E931" s="77"/>
      <c r="F931" s="78">
        <v>7.0E8</v>
      </c>
      <c r="G931" s="351" t="str">
        <f t="shared" si="16"/>
        <v>$500'000.000 a $1.000'000.000</v>
      </c>
      <c r="H931" s="351"/>
      <c r="I931" s="351"/>
      <c r="J931" s="50" t="s">
        <v>76</v>
      </c>
      <c r="K931" s="51"/>
      <c r="L931" s="50">
        <v>3.0</v>
      </c>
      <c r="M931" s="50"/>
      <c r="N931" s="50">
        <v>4.0</v>
      </c>
      <c r="O931" s="50">
        <v>6.0</v>
      </c>
      <c r="P931" s="50">
        <v>2.0</v>
      </c>
      <c r="Q931" s="79">
        <v>341.0</v>
      </c>
      <c r="R931" s="79">
        <v>140.0</v>
      </c>
      <c r="S931" s="56" t="str">
        <f t="shared" ref="S931:S937" si="30">IF(AS931=0," ","Rentabilidad $" &amp; TEXT(AS931,"#,##0"))</f>
        <v> </v>
      </c>
      <c r="T931" s="50" t="s">
        <v>78</v>
      </c>
      <c r="U931" s="51" t="s">
        <v>77</v>
      </c>
      <c r="V931" s="50" t="s">
        <v>79</v>
      </c>
      <c r="W931" s="50"/>
      <c r="X931" s="50">
        <v>3.0</v>
      </c>
      <c r="Y931" s="50" t="s">
        <v>80</v>
      </c>
      <c r="Z931" s="58" t="s">
        <v>81</v>
      </c>
      <c r="AA931" s="81" t="s">
        <v>81</v>
      </c>
      <c r="AB931" s="82" t="s">
        <v>5602</v>
      </c>
      <c r="AC931" s="61"/>
      <c r="AD931" s="125" t="s">
        <v>5603</v>
      </c>
      <c r="AE931" s="63"/>
      <c r="AF931" s="64" t="s">
        <v>105</v>
      </c>
      <c r="AG931" s="65" t="s">
        <v>106</v>
      </c>
      <c r="AH931" s="65"/>
      <c r="AI931" s="65" t="s">
        <v>107</v>
      </c>
      <c r="AJ931" s="111" t="s">
        <v>5566</v>
      </c>
      <c r="AK931" s="111" t="s">
        <v>81</v>
      </c>
      <c r="AL931" s="45" t="s">
        <v>109</v>
      </c>
      <c r="AM931" s="217">
        <v>3.20852652E9</v>
      </c>
      <c r="AN931" s="217">
        <v>3.103319459E9</v>
      </c>
      <c r="AO931" s="209"/>
      <c r="AP931" s="84">
        <v>0.0</v>
      </c>
      <c r="AQ931" s="84"/>
      <c r="AR931" s="84"/>
      <c r="AS931" s="85">
        <v>0.0</v>
      </c>
      <c r="AT931" s="65">
        <v>0.0</v>
      </c>
      <c r="AU931" s="50">
        <v>0.0</v>
      </c>
      <c r="AV931" s="50">
        <v>0.0</v>
      </c>
      <c r="AW931" s="50" t="s">
        <v>106</v>
      </c>
      <c r="AX931" s="50">
        <v>0.0</v>
      </c>
      <c r="AY931" s="50" t="s">
        <v>110</v>
      </c>
      <c r="AZ931" s="50">
        <v>0.0</v>
      </c>
      <c r="BA931" s="43" t="s">
        <v>89</v>
      </c>
      <c r="BB931" s="50">
        <v>0.0</v>
      </c>
      <c r="BC931" s="95" t="s">
        <v>5604</v>
      </c>
      <c r="BD931" s="71"/>
      <c r="BE931" s="71"/>
      <c r="BF931" s="72" t="s">
        <v>5605</v>
      </c>
      <c r="BG931" s="73"/>
      <c r="BH931" s="73"/>
      <c r="BI931" s="73"/>
      <c r="BJ931" s="73"/>
      <c r="BK931" s="73"/>
      <c r="BL931" s="73"/>
      <c r="BM931" s="73"/>
      <c r="BN931" s="73"/>
      <c r="BO931" s="73"/>
      <c r="BP931" s="73"/>
      <c r="BQ931" s="73"/>
      <c r="BR931" s="73"/>
      <c r="BS931" s="73"/>
      <c r="BT931" s="73"/>
      <c r="BU931" s="73"/>
      <c r="BV931" s="73"/>
      <c r="BW931" s="74"/>
      <c r="BX931" s="74"/>
      <c r="BY931" s="63"/>
      <c r="BZ931" s="63"/>
    </row>
    <row r="932" ht="15.75" customHeight="1">
      <c r="A932" s="133" t="s">
        <v>5606</v>
      </c>
      <c r="B932" s="43" t="s">
        <v>5607</v>
      </c>
      <c r="C932" s="43" t="s">
        <v>93</v>
      </c>
      <c r="D932" s="52"/>
      <c r="E932" s="45"/>
      <c r="F932" s="78">
        <v>6.6E8</v>
      </c>
      <c r="G932" s="44" t="str">
        <f t="shared" si="16"/>
        <v>$500'000.000 a $1.000'000.000</v>
      </c>
      <c r="H932" s="44"/>
      <c r="I932" s="44"/>
      <c r="J932" s="43" t="s">
        <v>183</v>
      </c>
      <c r="K932" s="142"/>
      <c r="L932" s="43">
        <v>3.0</v>
      </c>
      <c r="M932" s="43"/>
      <c r="N932" s="43">
        <v>3.0</v>
      </c>
      <c r="O932" s="43">
        <v>5.0</v>
      </c>
      <c r="P932" s="43">
        <v>1.0</v>
      </c>
      <c r="Q932" s="88">
        <v>190.0</v>
      </c>
      <c r="R932" s="88">
        <v>1300.0</v>
      </c>
      <c r="S932" s="56" t="str">
        <f t="shared" si="30"/>
        <v> </v>
      </c>
      <c r="T932" s="43" t="s">
        <v>78</v>
      </c>
      <c r="U932" s="142"/>
      <c r="V932" s="52"/>
      <c r="W932" s="52"/>
      <c r="X932" s="43">
        <v>3.0</v>
      </c>
      <c r="Y932" s="43" t="s">
        <v>80</v>
      </c>
      <c r="Z932" s="58" t="s">
        <v>81</v>
      </c>
      <c r="AA932" s="59" t="str">
        <f>IF(Rentabilidad=0,"No aplica",TEXT(ROUND(Precio/Rentabilidad/12,0),0) &amp; " años")</f>
        <v>No aplica</v>
      </c>
      <c r="AB932" s="140" t="s">
        <v>5608</v>
      </c>
      <c r="AC932" s="336" t="s">
        <v>5609</v>
      </c>
      <c r="AD932" s="107" t="s">
        <v>5610</v>
      </c>
      <c r="AE932" s="63"/>
      <c r="AF932" s="64" t="s">
        <v>105</v>
      </c>
      <c r="AG932" s="65" t="s">
        <v>106</v>
      </c>
      <c r="AH932" s="63"/>
      <c r="AI932" s="65" t="s">
        <v>107</v>
      </c>
      <c r="AJ932" s="111" t="s">
        <v>5566</v>
      </c>
      <c r="AK932" s="111" t="s">
        <v>81</v>
      </c>
      <c r="AL932" s="45" t="s">
        <v>109</v>
      </c>
      <c r="AM932" s="217">
        <v>3.20852652E9</v>
      </c>
      <c r="AN932" s="217">
        <v>3.103319459E9</v>
      </c>
      <c r="AO932" s="43">
        <v>0.0</v>
      </c>
      <c r="AP932" s="84">
        <v>0.0</v>
      </c>
      <c r="AQ932" s="84"/>
      <c r="AR932" s="84"/>
      <c r="AS932" s="85">
        <v>0.0</v>
      </c>
      <c r="AT932" s="65">
        <v>0.0</v>
      </c>
      <c r="AU932" s="50">
        <v>0.0</v>
      </c>
      <c r="AV932" s="50">
        <v>0.0</v>
      </c>
      <c r="AW932" s="50" t="s">
        <v>88</v>
      </c>
      <c r="AX932" s="50">
        <v>0.0</v>
      </c>
      <c r="AY932" s="50" t="s">
        <v>137</v>
      </c>
      <c r="AZ932" s="50">
        <v>0.0</v>
      </c>
      <c r="BA932" s="43" t="s">
        <v>89</v>
      </c>
      <c r="BB932" s="50">
        <v>0.0</v>
      </c>
      <c r="BC932" s="69" t="s">
        <v>3407</v>
      </c>
      <c r="BD932" s="70"/>
      <c r="BE932" s="71"/>
      <c r="BF932" s="72" t="s">
        <v>5611</v>
      </c>
      <c r="BG932" s="73"/>
      <c r="BH932" s="73"/>
      <c r="BI932" s="73"/>
      <c r="BJ932" s="73"/>
      <c r="BK932" s="73"/>
      <c r="BL932" s="73"/>
      <c r="BM932" s="73"/>
      <c r="BN932" s="73"/>
      <c r="BO932" s="73"/>
      <c r="BP932" s="73"/>
      <c r="BQ932" s="73"/>
      <c r="BR932" s="73"/>
      <c r="BS932" s="73"/>
      <c r="BT932" s="73"/>
      <c r="BU932" s="73"/>
      <c r="BV932" s="73"/>
      <c r="BW932" s="74"/>
      <c r="BX932" s="74"/>
      <c r="BY932" s="63"/>
      <c r="BZ932" s="63"/>
    </row>
    <row r="933" ht="15.75" customHeight="1">
      <c r="A933" s="75" t="s">
        <v>5612</v>
      </c>
      <c r="B933" s="50" t="s">
        <v>5613</v>
      </c>
      <c r="C933" s="50" t="s">
        <v>70</v>
      </c>
      <c r="D933" s="43" t="s">
        <v>308</v>
      </c>
      <c r="E933" s="45"/>
      <c r="F933" s="78">
        <v>6.0E8</v>
      </c>
      <c r="G933" s="44" t="str">
        <f t="shared" si="16"/>
        <v>$500'000.000 a $1.000'000.000</v>
      </c>
      <c r="H933" s="44"/>
      <c r="I933" s="44"/>
      <c r="J933" s="50" t="s">
        <v>94</v>
      </c>
      <c r="K933" s="51" t="s">
        <v>888</v>
      </c>
      <c r="L933" s="50">
        <v>8.0</v>
      </c>
      <c r="M933" s="50"/>
      <c r="N933" s="50">
        <v>3.0</v>
      </c>
      <c r="O933" s="50">
        <v>2.0</v>
      </c>
      <c r="P933" s="50">
        <v>3.0</v>
      </c>
      <c r="Q933" s="113"/>
      <c r="R933" s="79"/>
      <c r="S933" s="56" t="str">
        <f t="shared" si="30"/>
        <v> </v>
      </c>
      <c r="T933" s="43" t="s">
        <v>78</v>
      </c>
      <c r="U933" s="51" t="s">
        <v>184</v>
      </c>
      <c r="V933" s="50" t="s">
        <v>118</v>
      </c>
      <c r="W933" s="50"/>
      <c r="X933" s="50">
        <v>3.0</v>
      </c>
      <c r="Y933" s="43" t="s">
        <v>80</v>
      </c>
      <c r="Z933" s="58" t="s">
        <v>81</v>
      </c>
      <c r="AA933" s="59" t="str">
        <f>IF(Rentabilidad=0,"No aplica",TEXT(ROUND(Precio/Rentabilidad/12,0),0) &amp; " años")</f>
        <v>No aplica</v>
      </c>
      <c r="AB933" s="140" t="s">
        <v>5614</v>
      </c>
      <c r="AC933" s="61"/>
      <c r="AD933" s="107" t="s">
        <v>5615</v>
      </c>
      <c r="AE933" s="63"/>
      <c r="AF933" s="64" t="s">
        <v>105</v>
      </c>
      <c r="AG933" s="65" t="s">
        <v>106</v>
      </c>
      <c r="AH933" s="65"/>
      <c r="AI933" s="65" t="s">
        <v>107</v>
      </c>
      <c r="AJ933" s="111" t="s">
        <v>5566</v>
      </c>
      <c r="AK933" s="111" t="s">
        <v>81</v>
      </c>
      <c r="AL933" s="45" t="s">
        <v>109</v>
      </c>
      <c r="AM933" s="217">
        <v>3.20852652E9</v>
      </c>
      <c r="AN933" s="217">
        <v>3.103319459E9</v>
      </c>
      <c r="AO933" s="52"/>
      <c r="AP933" s="84"/>
      <c r="AQ933" s="84"/>
      <c r="AR933" s="84"/>
      <c r="AS933" s="85"/>
      <c r="AT933" s="50"/>
      <c r="AU933" s="50"/>
      <c r="AV933" s="50"/>
      <c r="AW933" s="50" t="s">
        <v>106</v>
      </c>
      <c r="AX933" s="44"/>
      <c r="AY933" s="44"/>
      <c r="AZ933" s="44"/>
      <c r="BA933" s="43" t="s">
        <v>89</v>
      </c>
      <c r="BB933" s="44"/>
      <c r="BC933" s="109"/>
      <c r="BD933" s="70"/>
      <c r="BE933" s="71"/>
      <c r="BF933" s="72" t="s">
        <v>5616</v>
      </c>
      <c r="BG933" s="73"/>
      <c r="BH933" s="73"/>
      <c r="BI933" s="73"/>
      <c r="BJ933" s="73"/>
      <c r="BK933" s="73"/>
      <c r="BL933" s="73"/>
      <c r="BM933" s="73"/>
      <c r="BN933" s="73"/>
      <c r="BO933" s="73"/>
      <c r="BP933" s="73"/>
      <c r="BQ933" s="73"/>
      <c r="BR933" s="73"/>
      <c r="BS933" s="73"/>
      <c r="BT933" s="73"/>
      <c r="BU933" s="73"/>
      <c r="BV933" s="73"/>
      <c r="BW933" s="74"/>
      <c r="BX933" s="74"/>
      <c r="BY933" s="63"/>
      <c r="BZ933" s="63"/>
    </row>
    <row r="934" ht="15.75" customHeight="1">
      <c r="A934" s="204" t="s">
        <v>5617</v>
      </c>
      <c r="B934" s="111" t="s">
        <v>5618</v>
      </c>
      <c r="C934" s="111" t="s">
        <v>93</v>
      </c>
      <c r="D934" s="202"/>
      <c r="E934" s="205"/>
      <c r="F934" s="78">
        <v>5.5E8</v>
      </c>
      <c r="G934" s="44" t="str">
        <f t="shared" si="16"/>
        <v>$500'000.000 a $1.000'000.000</v>
      </c>
      <c r="H934" s="44"/>
      <c r="I934" s="44"/>
      <c r="J934" s="111" t="s">
        <v>94</v>
      </c>
      <c r="K934" s="206"/>
      <c r="L934" s="111">
        <v>3.0</v>
      </c>
      <c r="M934" s="111"/>
      <c r="N934" s="111">
        <v>4.0</v>
      </c>
      <c r="O934" s="111">
        <v>3.0</v>
      </c>
      <c r="P934" s="111">
        <v>1.0</v>
      </c>
      <c r="Q934" s="79">
        <v>250.0</v>
      </c>
      <c r="R934" s="79">
        <v>350.0</v>
      </c>
      <c r="S934" s="56" t="str">
        <f t="shared" si="30"/>
        <v> </v>
      </c>
      <c r="T934" s="111" t="s">
        <v>920</v>
      </c>
      <c r="U934" s="206"/>
      <c r="V934" s="111">
        <v>0.0</v>
      </c>
      <c r="W934" s="111"/>
      <c r="X934" s="111">
        <v>1.0</v>
      </c>
      <c r="Y934" s="111" t="s">
        <v>80</v>
      </c>
      <c r="Z934" s="58" t="s">
        <v>81</v>
      </c>
      <c r="AA934" s="59" t="str">
        <f>IF(Rentabilidad=0,"No aplica",TEXT(ROUND(Precio/Rentabilidad/12,0),0) &amp; " años")</f>
        <v>No aplica</v>
      </c>
      <c r="AB934" s="207" t="s">
        <v>5619</v>
      </c>
      <c r="AC934" s="131" t="s">
        <v>5620</v>
      </c>
      <c r="AD934" s="218" t="s">
        <v>5621</v>
      </c>
      <c r="AE934" s="209"/>
      <c r="AF934" s="217" t="s">
        <v>105</v>
      </c>
      <c r="AG934" s="111" t="s">
        <v>106</v>
      </c>
      <c r="AH934" s="209"/>
      <c r="AI934" s="65" t="s">
        <v>107</v>
      </c>
      <c r="AJ934" s="111" t="s">
        <v>5566</v>
      </c>
      <c r="AK934" s="111" t="s">
        <v>81</v>
      </c>
      <c r="AL934" s="45" t="s">
        <v>109</v>
      </c>
      <c r="AM934" s="217">
        <v>3.20852652E9</v>
      </c>
      <c r="AN934" s="217">
        <v>3.103319459E9</v>
      </c>
      <c r="AO934" s="209"/>
      <c r="AP934" s="219">
        <v>0.0</v>
      </c>
      <c r="AQ934" s="219"/>
      <c r="AR934" s="219"/>
      <c r="AS934" s="111">
        <v>0.0</v>
      </c>
      <c r="AT934" s="111">
        <v>0.0</v>
      </c>
      <c r="AU934" s="111">
        <v>0.0</v>
      </c>
      <c r="AV934" s="111">
        <v>0.0</v>
      </c>
      <c r="AW934" s="111" t="s">
        <v>88</v>
      </c>
      <c r="AX934" s="111">
        <v>0.0</v>
      </c>
      <c r="AY934" s="111" t="s">
        <v>106</v>
      </c>
      <c r="AZ934" s="111">
        <v>0.0</v>
      </c>
      <c r="BA934" s="43" t="s">
        <v>89</v>
      </c>
      <c r="BB934" s="111">
        <v>0.0</v>
      </c>
      <c r="BC934" s="95"/>
      <c r="BD934" s="71"/>
      <c r="BE934" s="71"/>
      <c r="BF934" s="72" t="s">
        <v>5622</v>
      </c>
      <c r="BG934" s="73"/>
      <c r="BH934" s="73"/>
      <c r="BI934" s="73"/>
      <c r="BJ934" s="73"/>
      <c r="BK934" s="73"/>
      <c r="BL934" s="73"/>
      <c r="BM934" s="73"/>
      <c r="BN934" s="73"/>
      <c r="BO934" s="73"/>
      <c r="BP934" s="73"/>
      <c r="BQ934" s="73"/>
      <c r="BR934" s="73"/>
      <c r="BS934" s="73"/>
      <c r="BT934" s="73"/>
      <c r="BU934" s="73"/>
      <c r="BV934" s="73"/>
      <c r="BW934" s="74"/>
      <c r="BX934" s="74"/>
      <c r="BY934" s="63"/>
      <c r="BZ934" s="63"/>
    </row>
    <row r="935" ht="15.75" customHeight="1">
      <c r="A935" s="75" t="s">
        <v>5573</v>
      </c>
      <c r="B935" s="50" t="s">
        <v>5623</v>
      </c>
      <c r="C935" s="50" t="s">
        <v>497</v>
      </c>
      <c r="D935" s="50"/>
      <c r="E935" s="64"/>
      <c r="F935" s="78">
        <v>4.9E8</v>
      </c>
      <c r="G935" s="44" t="str">
        <f t="shared" si="16"/>
        <v>$400'000.000 a $500'000.000</v>
      </c>
      <c r="H935" s="44"/>
      <c r="I935" s="44"/>
      <c r="J935" s="50" t="s">
        <v>94</v>
      </c>
      <c r="K935" s="51"/>
      <c r="L935" s="50">
        <v>2.0</v>
      </c>
      <c r="M935" s="50"/>
      <c r="N935" s="50">
        <v>1.0</v>
      </c>
      <c r="O935" s="50">
        <v>1.0</v>
      </c>
      <c r="P935" s="50">
        <v>1.0</v>
      </c>
      <c r="Q935" s="88">
        <v>90.0</v>
      </c>
      <c r="R935" s="88">
        <v>20000.0</v>
      </c>
      <c r="S935" s="56" t="str">
        <f t="shared" si="30"/>
        <v> </v>
      </c>
      <c r="T935" s="50" t="s">
        <v>5624</v>
      </c>
      <c r="U935" s="57"/>
      <c r="V935" s="44"/>
      <c r="W935" s="44"/>
      <c r="X935" s="50">
        <v>2.0</v>
      </c>
      <c r="Y935" s="50" t="s">
        <v>80</v>
      </c>
      <c r="Z935" s="58" t="s">
        <v>81</v>
      </c>
      <c r="AA935" s="59" t="str">
        <f>IF(Rentabilidad=0,"No aplica",TEXT(ROUND(Precio/Rentabilidad/12,0),0) &amp; " años")</f>
        <v>No aplica</v>
      </c>
      <c r="AB935" s="82" t="s">
        <v>5625</v>
      </c>
      <c r="AC935" s="102" t="s">
        <v>5626</v>
      </c>
      <c r="AD935" s="107" t="s">
        <v>5627</v>
      </c>
      <c r="AE935" s="63"/>
      <c r="AF935" s="64" t="s">
        <v>84</v>
      </c>
      <c r="AG935" s="65" t="s">
        <v>106</v>
      </c>
      <c r="AH935" s="63"/>
      <c r="AI935" s="65" t="s">
        <v>107</v>
      </c>
      <c r="AJ935" s="111" t="s">
        <v>5566</v>
      </c>
      <c r="AK935" s="50" t="s">
        <v>81</v>
      </c>
      <c r="AL935" s="45" t="s">
        <v>109</v>
      </c>
      <c r="AM935" s="217">
        <v>3.20852652E9</v>
      </c>
      <c r="AN935" s="217">
        <v>3.103319459E9</v>
      </c>
      <c r="AO935" s="43">
        <v>0.0</v>
      </c>
      <c r="AP935" s="84"/>
      <c r="AQ935" s="84"/>
      <c r="AR935" s="84"/>
      <c r="AS935" s="85"/>
      <c r="AT935" s="50" t="s">
        <v>88</v>
      </c>
      <c r="AU935" s="50">
        <v>0.0</v>
      </c>
      <c r="AV935" s="50">
        <v>0.0</v>
      </c>
      <c r="AW935" s="50" t="s">
        <v>88</v>
      </c>
      <c r="AX935" s="50">
        <v>0.0</v>
      </c>
      <c r="AY935" s="50">
        <v>0.0</v>
      </c>
      <c r="AZ935" s="50">
        <v>0.0</v>
      </c>
      <c r="BA935" s="43" t="s">
        <v>89</v>
      </c>
      <c r="BB935" s="50">
        <v>0.0</v>
      </c>
      <c r="BC935" s="95"/>
      <c r="BD935" s="71"/>
      <c r="BE935" s="71"/>
      <c r="BF935" s="72" t="s">
        <v>5628</v>
      </c>
      <c r="BG935" s="73"/>
      <c r="BH935" s="73"/>
      <c r="BI935" s="73"/>
      <c r="BJ935" s="73"/>
      <c r="BK935" s="73"/>
      <c r="BL935" s="73"/>
      <c r="BM935" s="73"/>
      <c r="BN935" s="73"/>
      <c r="BO935" s="73"/>
      <c r="BP935" s="73"/>
      <c r="BQ935" s="73"/>
      <c r="BR935" s="73"/>
      <c r="BS935" s="73"/>
      <c r="BT935" s="73"/>
      <c r="BU935" s="73"/>
      <c r="BV935" s="73"/>
      <c r="BW935" s="74"/>
      <c r="BX935" s="74"/>
      <c r="BY935" s="63"/>
      <c r="BZ935" s="63"/>
    </row>
    <row r="936" ht="15.75" customHeight="1">
      <c r="A936" s="75" t="s">
        <v>5629</v>
      </c>
      <c r="B936" s="50" t="s">
        <v>2628</v>
      </c>
      <c r="C936" s="50" t="s">
        <v>70</v>
      </c>
      <c r="D936" s="58" t="s">
        <v>272</v>
      </c>
      <c r="E936" s="45"/>
      <c r="F936" s="78">
        <v>4.5E8</v>
      </c>
      <c r="G936" s="44" t="str">
        <f t="shared" si="16"/>
        <v>$400'000.000 a $500'000.000</v>
      </c>
      <c r="H936" s="44"/>
      <c r="I936" s="44"/>
      <c r="J936" s="50" t="s">
        <v>76</v>
      </c>
      <c r="K936" s="56" t="s">
        <v>192</v>
      </c>
      <c r="L936" s="43">
        <v>6.0</v>
      </c>
      <c r="M936" s="43"/>
      <c r="N936" s="43">
        <v>5.0</v>
      </c>
      <c r="O936" s="43">
        <v>1.0</v>
      </c>
      <c r="P936" s="43">
        <v>2.0</v>
      </c>
      <c r="Q936" s="54"/>
      <c r="R936" s="55">
        <v>161.0</v>
      </c>
      <c r="S936" s="56" t="str">
        <f t="shared" si="30"/>
        <v> </v>
      </c>
      <c r="T936" s="44" t="s">
        <v>78</v>
      </c>
      <c r="U936" s="56" t="s">
        <v>77</v>
      </c>
      <c r="V936" s="43" t="s">
        <v>79</v>
      </c>
      <c r="W936" s="43"/>
      <c r="X936" s="43">
        <v>6.0</v>
      </c>
      <c r="Y936" s="65" t="s">
        <v>80</v>
      </c>
      <c r="Z936" s="58" t="s">
        <v>81</v>
      </c>
      <c r="AA936" s="59" t="str">
        <f>IF(Rentabilidad=0,"No aplica",TEXT(ROUND(Precio/Rentabilidad/12,0),0) &amp; " años")</f>
        <v>No aplica</v>
      </c>
      <c r="AB936" s="134" t="s">
        <v>5630</v>
      </c>
      <c r="AC936" s="61"/>
      <c r="AD936" s="62"/>
      <c r="AE936" s="63"/>
      <c r="AF936" s="45" t="s">
        <v>105</v>
      </c>
      <c r="AG936" s="65" t="s">
        <v>106</v>
      </c>
      <c r="AH936" s="63"/>
      <c r="AI936" s="65" t="s">
        <v>107</v>
      </c>
      <c r="AJ936" s="111" t="s">
        <v>5566</v>
      </c>
      <c r="AK936" s="50" t="s">
        <v>81</v>
      </c>
      <c r="AL936" s="45" t="s">
        <v>109</v>
      </c>
      <c r="AM936" s="217">
        <v>3.20852652E9</v>
      </c>
      <c r="AN936" s="217">
        <v>3.103319459E9</v>
      </c>
      <c r="AO936" s="52"/>
      <c r="AP936" s="84" t="s">
        <v>5631</v>
      </c>
      <c r="AQ936" s="84"/>
      <c r="AR936" s="84"/>
      <c r="AS936" s="135"/>
      <c r="AT936" s="50">
        <v>0.0</v>
      </c>
      <c r="AU936" s="52"/>
      <c r="AV936" s="52"/>
      <c r="AW936" s="43" t="s">
        <v>106</v>
      </c>
      <c r="AX936" s="52"/>
      <c r="AY936" s="43" t="s">
        <v>137</v>
      </c>
      <c r="AZ936" s="52"/>
      <c r="BA936" s="43" t="s">
        <v>89</v>
      </c>
      <c r="BB936" s="52"/>
      <c r="BC936" s="69" t="s">
        <v>5632</v>
      </c>
      <c r="BD936" s="70"/>
      <c r="BE936" s="71"/>
      <c r="BF936" s="72" t="s">
        <v>5633</v>
      </c>
      <c r="BG936" s="73"/>
      <c r="BH936" s="73"/>
      <c r="BI936" s="73"/>
      <c r="BJ936" s="73"/>
      <c r="BK936" s="73"/>
      <c r="BL936" s="73"/>
      <c r="BM936" s="73"/>
      <c r="BN936" s="73"/>
      <c r="BO936" s="73"/>
      <c r="BP936" s="73"/>
      <c r="BQ936" s="73"/>
      <c r="BR936" s="73"/>
      <c r="BS936" s="73"/>
      <c r="BT936" s="73"/>
      <c r="BU936" s="73"/>
      <c r="BV936" s="73"/>
      <c r="BW936" s="74"/>
      <c r="BX936" s="74"/>
      <c r="BY936" s="63"/>
      <c r="BZ936" s="63"/>
    </row>
    <row r="937" ht="15.75" customHeight="1">
      <c r="A937" s="352" t="s">
        <v>5634</v>
      </c>
      <c r="B937" s="50" t="s">
        <v>5635</v>
      </c>
      <c r="C937" s="50" t="s">
        <v>128</v>
      </c>
      <c r="D937" s="50"/>
      <c r="E937" s="64" t="s">
        <v>5636</v>
      </c>
      <c r="F937" s="78">
        <v>4.3E8</v>
      </c>
      <c r="G937" s="44" t="str">
        <f t="shared" si="16"/>
        <v>$400'000.000 a $500'000.000</v>
      </c>
      <c r="H937" s="44"/>
      <c r="I937" s="44"/>
      <c r="J937" s="50"/>
      <c r="K937" s="51"/>
      <c r="L937" s="50">
        <v>3.0</v>
      </c>
      <c r="M937" s="50"/>
      <c r="N937" s="50">
        <v>2.0</v>
      </c>
      <c r="O937" s="50">
        <v>1.0</v>
      </c>
      <c r="P937" s="50">
        <v>1.0</v>
      </c>
      <c r="Q937" s="88">
        <v>0.0</v>
      </c>
      <c r="R937" s="88">
        <v>107.52</v>
      </c>
      <c r="S937" s="56" t="str">
        <f t="shared" si="30"/>
        <v> </v>
      </c>
      <c r="T937" s="50" t="s">
        <v>2580</v>
      </c>
      <c r="U937" s="51" t="s">
        <v>142</v>
      </c>
      <c r="V937" s="50" t="s">
        <v>79</v>
      </c>
      <c r="W937" s="50"/>
      <c r="X937" s="50">
        <v>3.0</v>
      </c>
      <c r="Y937" s="50" t="s">
        <v>130</v>
      </c>
      <c r="Z937" s="91"/>
      <c r="AA937" s="59" t="str">
        <f>IF(Rentabilidad=0,"No aplica",TEXT(ROUND(Precio/Rentabilidad/12,0),0) &amp; " años")</f>
        <v>No aplica</v>
      </c>
      <c r="AB937" s="82" t="s">
        <v>5637</v>
      </c>
      <c r="AC937" s="102" t="s">
        <v>5638</v>
      </c>
      <c r="AD937" s="103" t="s">
        <v>5639</v>
      </c>
      <c r="AE937" s="63"/>
      <c r="AF937" s="64" t="s">
        <v>105</v>
      </c>
      <c r="AG937" s="65" t="s">
        <v>106</v>
      </c>
      <c r="AH937" s="63"/>
      <c r="AI937" s="65" t="s">
        <v>107</v>
      </c>
      <c r="AJ937" s="111" t="s">
        <v>5566</v>
      </c>
      <c r="AK937" s="50" t="s">
        <v>81</v>
      </c>
      <c r="AL937" s="45" t="s">
        <v>109</v>
      </c>
      <c r="AM937" s="217">
        <v>3.20852652E9</v>
      </c>
      <c r="AN937" s="217">
        <v>3.103319459E9</v>
      </c>
      <c r="AO937" s="43">
        <v>0.0</v>
      </c>
      <c r="AP937" s="84"/>
      <c r="AQ937" s="84"/>
      <c r="AR937" s="84"/>
      <c r="AS937" s="85"/>
      <c r="AT937" s="50" t="s">
        <v>88</v>
      </c>
      <c r="AU937" s="50">
        <v>0.0</v>
      </c>
      <c r="AV937" s="50">
        <v>0.0</v>
      </c>
      <c r="AW937" s="50" t="s">
        <v>88</v>
      </c>
      <c r="AX937" s="50">
        <v>0.0</v>
      </c>
      <c r="AY937" s="50">
        <v>0.0</v>
      </c>
      <c r="AZ937" s="50">
        <v>0.0</v>
      </c>
      <c r="BA937" s="43" t="s">
        <v>89</v>
      </c>
      <c r="BB937" s="50">
        <v>0.0</v>
      </c>
      <c r="BC937" s="95"/>
      <c r="BD937" s="71"/>
      <c r="BE937" s="71"/>
      <c r="BF937" s="72" t="s">
        <v>5640</v>
      </c>
      <c r="BG937" s="73"/>
      <c r="BH937" s="73"/>
      <c r="BI937" s="73"/>
      <c r="BJ937" s="73"/>
      <c r="BK937" s="73"/>
      <c r="BL937" s="73"/>
      <c r="BM937" s="73"/>
      <c r="BN937" s="73"/>
      <c r="BO937" s="73"/>
      <c r="BP937" s="73"/>
      <c r="BQ937" s="73"/>
      <c r="BR937" s="73"/>
      <c r="BS937" s="73"/>
      <c r="BT937" s="73"/>
      <c r="BU937" s="73"/>
      <c r="BV937" s="73"/>
      <c r="BW937" s="74"/>
      <c r="BX937" s="74"/>
      <c r="BY937" s="63"/>
      <c r="BZ937" s="63"/>
    </row>
    <row r="938" ht="15.75" customHeight="1">
      <c r="A938" s="75" t="s">
        <v>5641</v>
      </c>
      <c r="B938" s="50" t="s">
        <v>5642</v>
      </c>
      <c r="C938" s="50" t="s">
        <v>497</v>
      </c>
      <c r="D938" s="50"/>
      <c r="E938" s="64"/>
      <c r="F938" s="78">
        <v>4.0E8</v>
      </c>
      <c r="G938" s="44" t="str">
        <f t="shared" si="16"/>
        <v>$400'000.000 a $500'000.000</v>
      </c>
      <c r="H938" s="44"/>
      <c r="I938" s="44"/>
      <c r="J938" s="50" t="s">
        <v>498</v>
      </c>
      <c r="K938" s="51"/>
      <c r="L938" s="50">
        <v>4.0</v>
      </c>
      <c r="M938" s="50"/>
      <c r="N938" s="50">
        <v>2.0</v>
      </c>
      <c r="O938" s="50">
        <v>1.0</v>
      </c>
      <c r="P938" s="50">
        <v>2.0</v>
      </c>
      <c r="Q938" s="88">
        <v>0.0</v>
      </c>
      <c r="R938" s="88">
        <v>140000.0</v>
      </c>
      <c r="S938" s="56"/>
      <c r="T938" s="50" t="s">
        <v>992</v>
      </c>
      <c r="U938" s="57"/>
      <c r="V938" s="44"/>
      <c r="W938" s="44"/>
      <c r="X938" s="50">
        <v>2.0</v>
      </c>
      <c r="Y938" s="50" t="s">
        <v>80</v>
      </c>
      <c r="Z938" s="58" t="s">
        <v>81</v>
      </c>
      <c r="AA938" s="59" t="str">
        <f>IF(Rentabilidad=0,"No aplica",TEXT(ROUND(Precio/Rentabilidad/12,0),0) &amp; " años")</f>
        <v>No aplica</v>
      </c>
      <c r="AB938" s="82" t="s">
        <v>5643</v>
      </c>
      <c r="AC938" s="102" t="s">
        <v>5644</v>
      </c>
      <c r="AD938" s="103" t="s">
        <v>5645</v>
      </c>
      <c r="AE938" s="63"/>
      <c r="AF938" s="64" t="s">
        <v>84</v>
      </c>
      <c r="AG938" s="65" t="s">
        <v>106</v>
      </c>
      <c r="AH938" s="63"/>
      <c r="AI938" s="65" t="s">
        <v>107</v>
      </c>
      <c r="AJ938" s="111" t="s">
        <v>5566</v>
      </c>
      <c r="AK938" s="50" t="s">
        <v>81</v>
      </c>
      <c r="AL938" s="45" t="s">
        <v>109</v>
      </c>
      <c r="AM938" s="217">
        <v>3.20852652E9</v>
      </c>
      <c r="AN938" s="217">
        <v>3.103319459E9</v>
      </c>
      <c r="AO938" s="43">
        <v>0.0</v>
      </c>
      <c r="AP938" s="84"/>
      <c r="AQ938" s="84"/>
      <c r="AR938" s="84"/>
      <c r="AS938" s="94">
        <v>0.0</v>
      </c>
      <c r="AT938" s="50" t="s">
        <v>88</v>
      </c>
      <c r="AU938" s="43">
        <v>0.0</v>
      </c>
      <c r="AV938" s="43">
        <v>0.0</v>
      </c>
      <c r="AW938" s="43" t="s">
        <v>88</v>
      </c>
      <c r="AX938" s="43">
        <v>0.0</v>
      </c>
      <c r="AY938" s="43">
        <v>0.0</v>
      </c>
      <c r="AZ938" s="43">
        <v>0.0</v>
      </c>
      <c r="BA938" s="43" t="s">
        <v>89</v>
      </c>
      <c r="BB938" s="43">
        <v>0.0</v>
      </c>
      <c r="BC938" s="69" t="s">
        <v>3601</v>
      </c>
      <c r="BD938" s="70"/>
      <c r="BE938" s="70"/>
      <c r="BF938" s="72" t="s">
        <v>5646</v>
      </c>
      <c r="BG938" s="73"/>
      <c r="BH938" s="73"/>
      <c r="BI938" s="73"/>
      <c r="BJ938" s="73"/>
      <c r="BK938" s="73"/>
      <c r="BL938" s="73"/>
      <c r="BM938" s="73"/>
      <c r="BN938" s="73"/>
      <c r="BO938" s="73"/>
      <c r="BP938" s="73"/>
      <c r="BQ938" s="73"/>
      <c r="BR938" s="73"/>
      <c r="BS938" s="73"/>
      <c r="BT938" s="73"/>
      <c r="BU938" s="73"/>
      <c r="BV938" s="73"/>
      <c r="BW938" s="74"/>
      <c r="BX938" s="74"/>
      <c r="BY938" s="63"/>
      <c r="BZ938" s="63"/>
    </row>
    <row r="939" ht="15.75" customHeight="1">
      <c r="A939" s="75" t="s">
        <v>5647</v>
      </c>
      <c r="B939" s="50" t="s">
        <v>5648</v>
      </c>
      <c r="C939" s="50" t="s">
        <v>497</v>
      </c>
      <c r="D939" s="50"/>
      <c r="E939" s="64"/>
      <c r="F939" s="78">
        <v>3.6E8</v>
      </c>
      <c r="G939" s="44" t="str">
        <f t="shared" si="16"/>
        <v>$300'000.000 a $400'000.000</v>
      </c>
      <c r="H939" s="44"/>
      <c r="I939" s="44"/>
      <c r="J939" s="50" t="s">
        <v>498</v>
      </c>
      <c r="K939" s="51"/>
      <c r="L939" s="50">
        <v>4.0</v>
      </c>
      <c r="M939" s="50"/>
      <c r="N939" s="50">
        <v>2.0</v>
      </c>
      <c r="O939" s="50">
        <v>2.0</v>
      </c>
      <c r="P939" s="50">
        <v>1.0</v>
      </c>
      <c r="Q939" s="88">
        <v>450.0</v>
      </c>
      <c r="R939" s="88">
        <v>105000.0</v>
      </c>
      <c r="S939" s="56"/>
      <c r="T939" s="50" t="s">
        <v>5649</v>
      </c>
      <c r="U939" s="57"/>
      <c r="V939" s="44"/>
      <c r="W939" s="44"/>
      <c r="X939" s="50">
        <v>2.0</v>
      </c>
      <c r="Y939" s="50" t="s">
        <v>80</v>
      </c>
      <c r="Z939" s="58" t="s">
        <v>81</v>
      </c>
      <c r="AA939" s="59" t="str">
        <f>IF(Rentabilidad=0,"No aplica",TEXT(ROUND(Precio/Rentabilidad/12,0),0) &amp; " años")</f>
        <v>No aplica</v>
      </c>
      <c r="AB939" s="82" t="s">
        <v>5650</v>
      </c>
      <c r="AC939" s="102" t="s">
        <v>5651</v>
      </c>
      <c r="AD939" s="103" t="s">
        <v>5652</v>
      </c>
      <c r="AE939" s="63"/>
      <c r="AF939" s="64" t="s">
        <v>236</v>
      </c>
      <c r="AG939" s="65" t="s">
        <v>106</v>
      </c>
      <c r="AH939" s="63"/>
      <c r="AI939" s="65" t="s">
        <v>107</v>
      </c>
      <c r="AJ939" s="111" t="s">
        <v>5566</v>
      </c>
      <c r="AK939" s="50" t="s">
        <v>81</v>
      </c>
      <c r="AL939" s="45" t="s">
        <v>109</v>
      </c>
      <c r="AM939" s="217">
        <v>3.20852652E9</v>
      </c>
      <c r="AN939" s="217">
        <v>3.103319459E9</v>
      </c>
      <c r="AO939" s="43">
        <v>0.0</v>
      </c>
      <c r="AP939" s="84"/>
      <c r="AQ939" s="84"/>
      <c r="AR939" s="84"/>
      <c r="AS939" s="94">
        <v>0.0</v>
      </c>
      <c r="AT939" s="50" t="s">
        <v>88</v>
      </c>
      <c r="AU939" s="43">
        <v>0.0</v>
      </c>
      <c r="AV939" s="43">
        <v>0.0</v>
      </c>
      <c r="AW939" s="43" t="s">
        <v>88</v>
      </c>
      <c r="AX939" s="43">
        <v>0.0</v>
      </c>
      <c r="AY939" s="43">
        <v>0.0</v>
      </c>
      <c r="AZ939" s="43">
        <v>0.0</v>
      </c>
      <c r="BA939" s="43" t="s">
        <v>89</v>
      </c>
      <c r="BB939" s="43">
        <v>0.0</v>
      </c>
      <c r="BC939" s="69" t="s">
        <v>1092</v>
      </c>
      <c r="BD939" s="70"/>
      <c r="BE939" s="71"/>
      <c r="BF939" s="72" t="s">
        <v>5653</v>
      </c>
      <c r="BG939" s="73"/>
      <c r="BH939" s="73"/>
      <c r="BI939" s="73"/>
      <c r="BJ939" s="73"/>
      <c r="BK939" s="73"/>
      <c r="BL939" s="73"/>
      <c r="BM939" s="73"/>
      <c r="BN939" s="73"/>
      <c r="BO939" s="73"/>
      <c r="BP939" s="73"/>
      <c r="BQ939" s="73"/>
      <c r="BR939" s="73"/>
      <c r="BS939" s="73"/>
      <c r="BT939" s="73"/>
      <c r="BU939" s="73"/>
      <c r="BV939" s="73"/>
      <c r="BW939" s="74"/>
      <c r="BX939" s="74"/>
      <c r="BY939" s="63"/>
      <c r="BZ939" s="63"/>
    </row>
    <row r="940" ht="15.75" customHeight="1">
      <c r="A940" s="75" t="s">
        <v>5654</v>
      </c>
      <c r="B940" s="50" t="s">
        <v>5655</v>
      </c>
      <c r="C940" s="50" t="s">
        <v>340</v>
      </c>
      <c r="D940" s="50"/>
      <c r="E940" s="77" t="s">
        <v>5656</v>
      </c>
      <c r="F940" s="78">
        <v>3.0E8</v>
      </c>
      <c r="G940" s="44" t="str">
        <f t="shared" si="16"/>
        <v>$300'000.000 a $400'000.000</v>
      </c>
      <c r="H940" s="44"/>
      <c r="I940" s="44"/>
      <c r="J940" s="50" t="s">
        <v>94</v>
      </c>
      <c r="K940" s="51"/>
      <c r="L940" s="50">
        <v>0.0</v>
      </c>
      <c r="M940" s="50"/>
      <c r="N940" s="50">
        <v>0.0</v>
      </c>
      <c r="O940" s="50">
        <v>0.0</v>
      </c>
      <c r="P940" s="50">
        <v>0.0</v>
      </c>
      <c r="Q940" s="88">
        <v>0.0</v>
      </c>
      <c r="R940" s="88">
        <v>1500.0</v>
      </c>
      <c r="S940" s="56" t="str">
        <f t="shared" ref="S940:S942" si="31">IF(AS940=0," ","Rentabilidad $" &amp; TEXT(AS940,"#,##0"))</f>
        <v> </v>
      </c>
      <c r="T940" s="50" t="s">
        <v>342</v>
      </c>
      <c r="U940" s="51"/>
      <c r="V940" s="50" t="s">
        <v>118</v>
      </c>
      <c r="W940" s="50"/>
      <c r="X940" s="50">
        <v>0.0</v>
      </c>
      <c r="Y940" s="43" t="s">
        <v>130</v>
      </c>
      <c r="Z940" s="58"/>
      <c r="AA940" s="81" t="s">
        <v>81</v>
      </c>
      <c r="AB940" s="115" t="s">
        <v>5657</v>
      </c>
      <c r="AC940" s="342" t="s">
        <v>5658</v>
      </c>
      <c r="AD940" s="353" t="s">
        <v>5659</v>
      </c>
      <c r="AE940" s="63"/>
      <c r="AF940" s="64">
        <v>0.0</v>
      </c>
      <c r="AG940" s="65" t="s">
        <v>106</v>
      </c>
      <c r="AH940" s="65"/>
      <c r="AI940" s="65" t="s">
        <v>107</v>
      </c>
      <c r="AJ940" s="111" t="s">
        <v>5566</v>
      </c>
      <c r="AK940" s="111" t="s">
        <v>81</v>
      </c>
      <c r="AL940" s="45" t="s">
        <v>109</v>
      </c>
      <c r="AM940" s="217">
        <v>3.20852652E9</v>
      </c>
      <c r="AN940" s="217">
        <v>3.103319459E9</v>
      </c>
      <c r="AO940" s="209"/>
      <c r="AP940" s="84">
        <v>0.0</v>
      </c>
      <c r="AQ940" s="84">
        <v>2.93939821281546</v>
      </c>
      <c r="AR940" s="84">
        <v>-75.3323149150253</v>
      </c>
      <c r="AS940" s="85">
        <v>0.0</v>
      </c>
      <c r="AT940" s="65">
        <v>0.0</v>
      </c>
      <c r="AU940" s="50">
        <v>0.0</v>
      </c>
      <c r="AV940" s="50">
        <v>0.0</v>
      </c>
      <c r="AW940" s="50" t="s">
        <v>88</v>
      </c>
      <c r="AX940" s="50">
        <v>0.0</v>
      </c>
      <c r="AY940" s="50">
        <v>0.0</v>
      </c>
      <c r="AZ940" s="50">
        <v>0.0</v>
      </c>
      <c r="BA940" s="43" t="s">
        <v>89</v>
      </c>
      <c r="BB940" s="50">
        <v>0.0</v>
      </c>
      <c r="BC940" s="95"/>
      <c r="BD940" s="71"/>
      <c r="BE940" s="71"/>
      <c r="BF940" s="72" t="s">
        <v>5660</v>
      </c>
      <c r="BG940" s="73"/>
      <c r="BH940" s="73"/>
      <c r="BI940" s="73"/>
      <c r="BJ940" s="73"/>
      <c r="BK940" s="73"/>
      <c r="BL940" s="73"/>
      <c r="BM940" s="73"/>
      <c r="BN940" s="73"/>
      <c r="BO940" s="73"/>
      <c r="BP940" s="73"/>
      <c r="BQ940" s="73"/>
      <c r="BR940" s="73"/>
      <c r="BS940" s="73"/>
      <c r="BT940" s="73"/>
      <c r="BU940" s="73"/>
      <c r="BV940" s="73"/>
      <c r="BW940" s="74"/>
      <c r="BX940" s="74"/>
      <c r="BY940" s="63"/>
      <c r="BZ940" s="63"/>
    </row>
    <row r="941" ht="15.75" customHeight="1">
      <c r="A941" s="75" t="s">
        <v>5661</v>
      </c>
      <c r="B941" s="50" t="s">
        <v>1363</v>
      </c>
      <c r="C941" s="50" t="s">
        <v>70</v>
      </c>
      <c r="D941" s="43" t="s">
        <v>349</v>
      </c>
      <c r="E941" s="45"/>
      <c r="F941" s="78">
        <v>3.0E8</v>
      </c>
      <c r="G941" s="44" t="str">
        <f t="shared" si="16"/>
        <v>$300'000.000 a $400'000.000</v>
      </c>
      <c r="H941" s="44"/>
      <c r="I941" s="44"/>
      <c r="J941" s="50" t="s">
        <v>116</v>
      </c>
      <c r="K941" s="51" t="s">
        <v>294</v>
      </c>
      <c r="L941" s="50">
        <v>4.0</v>
      </c>
      <c r="M941" s="50"/>
      <c r="N941" s="50">
        <v>1.0</v>
      </c>
      <c r="O941" s="50"/>
      <c r="P941" s="50">
        <v>2.0</v>
      </c>
      <c r="Q941" s="79">
        <v>126.0</v>
      </c>
      <c r="R941" s="79"/>
      <c r="S941" s="56" t="str">
        <f t="shared" si="31"/>
        <v> </v>
      </c>
      <c r="T941" s="43" t="s">
        <v>78</v>
      </c>
      <c r="U941" s="51" t="s">
        <v>184</v>
      </c>
      <c r="V941" s="50" t="s">
        <v>79</v>
      </c>
      <c r="W941" s="50"/>
      <c r="X941" s="50">
        <v>0.0</v>
      </c>
      <c r="Y941" s="43" t="s">
        <v>80</v>
      </c>
      <c r="Z941" s="80" t="s">
        <v>81</v>
      </c>
      <c r="AA941" s="59" t="str">
        <f>IF(Rentabilidad=0,"No aplica",TEXT(ROUND(Precio/Rentabilidad/12,0),0) &amp; " años")</f>
        <v>No aplica</v>
      </c>
      <c r="AB941" s="140" t="s">
        <v>5662</v>
      </c>
      <c r="AC941" s="61"/>
      <c r="AD941" s="107" t="s">
        <v>5663</v>
      </c>
      <c r="AE941" s="63"/>
      <c r="AF941" s="64" t="s">
        <v>105</v>
      </c>
      <c r="AG941" s="65" t="s">
        <v>106</v>
      </c>
      <c r="AH941" s="65"/>
      <c r="AI941" s="65" t="s">
        <v>107</v>
      </c>
      <c r="AJ941" s="111" t="s">
        <v>5566</v>
      </c>
      <c r="AK941" s="111" t="s">
        <v>81</v>
      </c>
      <c r="AL941" s="45" t="s">
        <v>109</v>
      </c>
      <c r="AM941" s="217">
        <v>3.20852652E9</v>
      </c>
      <c r="AN941" s="217">
        <v>3.103319459E9</v>
      </c>
      <c r="AO941" s="52"/>
      <c r="AP941" s="67"/>
      <c r="AQ941" s="67"/>
      <c r="AR941" s="67"/>
      <c r="AS941" s="68"/>
      <c r="AT941" s="63"/>
      <c r="AU941" s="44"/>
      <c r="AV941" s="44"/>
      <c r="AW941" s="50" t="s">
        <v>88</v>
      </c>
      <c r="AX941" s="44"/>
      <c r="AY941" s="44"/>
      <c r="AZ941" s="44"/>
      <c r="BA941" s="43" t="s">
        <v>89</v>
      </c>
      <c r="BB941" s="44"/>
      <c r="BC941" s="109"/>
      <c r="BD941" s="70"/>
      <c r="BE941" s="121"/>
      <c r="BF941" s="72" t="s">
        <v>5664</v>
      </c>
      <c r="BG941" s="73"/>
      <c r="BH941" s="73"/>
      <c r="BI941" s="73"/>
      <c r="BJ941" s="73"/>
      <c r="BK941" s="73"/>
      <c r="BL941" s="73"/>
      <c r="BM941" s="73"/>
      <c r="BN941" s="73"/>
      <c r="BO941" s="73"/>
      <c r="BP941" s="73"/>
      <c r="BQ941" s="73"/>
      <c r="BR941" s="73"/>
      <c r="BS941" s="73"/>
      <c r="BT941" s="73"/>
      <c r="BU941" s="73"/>
      <c r="BV941" s="73"/>
      <c r="BW941" s="74"/>
      <c r="BX941" s="74"/>
      <c r="BY941" s="63"/>
      <c r="BZ941" s="63"/>
    </row>
    <row r="942" ht="15.75" customHeight="1">
      <c r="A942" s="75" t="s">
        <v>5665</v>
      </c>
      <c r="B942" s="50" t="s">
        <v>5666</v>
      </c>
      <c r="C942" s="50" t="s">
        <v>323</v>
      </c>
      <c r="D942" s="50"/>
      <c r="E942" s="77" t="s">
        <v>4627</v>
      </c>
      <c r="F942" s="78">
        <v>2.8E8</v>
      </c>
      <c r="G942" s="44" t="str">
        <f t="shared" si="16"/>
        <v>$200'000.000 a $300'000.000</v>
      </c>
      <c r="H942" s="44"/>
      <c r="I942" s="44"/>
      <c r="J942" s="50" t="s">
        <v>94</v>
      </c>
      <c r="K942" s="51" t="s">
        <v>117</v>
      </c>
      <c r="L942" s="50">
        <v>3.0</v>
      </c>
      <c r="M942" s="50"/>
      <c r="N942" s="50">
        <v>2.0</v>
      </c>
      <c r="O942" s="50">
        <v>2.0</v>
      </c>
      <c r="P942" s="50">
        <v>3.0</v>
      </c>
      <c r="Q942" s="88">
        <v>95.0</v>
      </c>
      <c r="R942" s="88">
        <v>95.0</v>
      </c>
      <c r="S942" s="56" t="str">
        <f t="shared" si="31"/>
        <v> </v>
      </c>
      <c r="T942" s="50" t="s">
        <v>78</v>
      </c>
      <c r="U942" s="51" t="s">
        <v>77</v>
      </c>
      <c r="V942" s="50" t="s">
        <v>642</v>
      </c>
      <c r="W942" s="50"/>
      <c r="X942" s="50">
        <v>3.0</v>
      </c>
      <c r="Y942" s="43" t="s">
        <v>130</v>
      </c>
      <c r="Z942" s="58"/>
      <c r="AA942" s="81" t="s">
        <v>81</v>
      </c>
      <c r="AB942" s="136" t="s">
        <v>5667</v>
      </c>
      <c r="AC942" s="124" t="s">
        <v>5668</v>
      </c>
      <c r="AD942" s="125" t="s">
        <v>5669</v>
      </c>
      <c r="AE942" s="63"/>
      <c r="AF942" s="64" t="s">
        <v>105</v>
      </c>
      <c r="AG942" s="65" t="s">
        <v>106</v>
      </c>
      <c r="AH942" s="65"/>
      <c r="AI942" s="65" t="s">
        <v>107</v>
      </c>
      <c r="AJ942" s="111" t="s">
        <v>5566</v>
      </c>
      <c r="AK942" s="50" t="s">
        <v>81</v>
      </c>
      <c r="AL942" s="45" t="s">
        <v>109</v>
      </c>
      <c r="AM942" s="217">
        <v>3.20852652E9</v>
      </c>
      <c r="AN942" s="217">
        <v>3.103319459E9</v>
      </c>
      <c r="AO942" s="43">
        <v>0.0</v>
      </c>
      <c r="AP942" s="84" t="s">
        <v>5670</v>
      </c>
      <c r="AQ942" s="84"/>
      <c r="AR942" s="84"/>
      <c r="AS942" s="94">
        <v>0.0</v>
      </c>
      <c r="AT942" s="50">
        <v>0.0</v>
      </c>
      <c r="AU942" s="43">
        <v>0.0</v>
      </c>
      <c r="AV942" s="43">
        <v>0.0</v>
      </c>
      <c r="AW942" s="43" t="s">
        <v>88</v>
      </c>
      <c r="AX942" s="43">
        <v>0.0</v>
      </c>
      <c r="AY942" s="43">
        <v>0.0</v>
      </c>
      <c r="AZ942" s="43">
        <v>0.0</v>
      </c>
      <c r="BA942" s="43" t="s">
        <v>89</v>
      </c>
      <c r="BB942" s="43">
        <v>0.0</v>
      </c>
      <c r="BC942" s="64" t="s">
        <v>399</v>
      </c>
      <c r="BD942" s="70"/>
      <c r="BE942" s="70"/>
      <c r="BF942" s="72" t="s">
        <v>5671</v>
      </c>
      <c r="BG942" s="73"/>
      <c r="BH942" s="73"/>
      <c r="BI942" s="73"/>
      <c r="BJ942" s="73"/>
      <c r="BK942" s="73"/>
      <c r="BL942" s="73"/>
      <c r="BM942" s="73"/>
      <c r="BN942" s="73"/>
      <c r="BO942" s="73"/>
      <c r="BP942" s="73"/>
      <c r="BQ942" s="73"/>
      <c r="BR942" s="73"/>
      <c r="BS942" s="73"/>
      <c r="BT942" s="73"/>
      <c r="BU942" s="73"/>
      <c r="BV942" s="73"/>
      <c r="BW942" s="74"/>
      <c r="BX942" s="74"/>
      <c r="BY942" s="63"/>
      <c r="BZ942" s="63"/>
    </row>
    <row r="943" ht="15.75" customHeight="1">
      <c r="A943" s="75" t="s">
        <v>5672</v>
      </c>
      <c r="B943" s="50" t="s">
        <v>5673</v>
      </c>
      <c r="C943" s="50" t="s">
        <v>497</v>
      </c>
      <c r="D943" s="50"/>
      <c r="E943" s="64"/>
      <c r="F943" s="78">
        <v>2.7E8</v>
      </c>
      <c r="G943" s="44" t="str">
        <f t="shared" si="16"/>
        <v>$200'000.000 a $300'000.000</v>
      </c>
      <c r="H943" s="44"/>
      <c r="I943" s="44"/>
      <c r="J943" s="50" t="s">
        <v>498</v>
      </c>
      <c r="K943" s="51"/>
      <c r="L943" s="50">
        <v>4.0</v>
      </c>
      <c r="M943" s="50"/>
      <c r="N943" s="50">
        <v>2.0</v>
      </c>
      <c r="O943" s="50">
        <v>2.0</v>
      </c>
      <c r="P943" s="50">
        <v>1.0</v>
      </c>
      <c r="Q943" s="88">
        <v>0.0</v>
      </c>
      <c r="R943" s="88">
        <v>25000.0</v>
      </c>
      <c r="S943" s="56"/>
      <c r="T943" s="50" t="s">
        <v>5674</v>
      </c>
      <c r="U943" s="57"/>
      <c r="V943" s="44"/>
      <c r="W943" s="44"/>
      <c r="X943" s="50">
        <v>2.0</v>
      </c>
      <c r="Y943" s="50" t="s">
        <v>80</v>
      </c>
      <c r="Z943" s="58" t="s">
        <v>81</v>
      </c>
      <c r="AA943" s="59" t="str">
        <f>IF(Rentabilidad=0,"No aplica",TEXT(ROUND(Precio/Rentabilidad/12,0),0) &amp; " años")</f>
        <v>No aplica</v>
      </c>
      <c r="AB943" s="82" t="s">
        <v>5675</v>
      </c>
      <c r="AC943" s="102" t="s">
        <v>5676</v>
      </c>
      <c r="AD943" s="103" t="s">
        <v>5677</v>
      </c>
      <c r="AE943" s="63"/>
      <c r="AF943" s="64" t="s">
        <v>236</v>
      </c>
      <c r="AG943" s="65" t="s">
        <v>106</v>
      </c>
      <c r="AH943" s="63"/>
      <c r="AI943" s="65" t="s">
        <v>107</v>
      </c>
      <c r="AJ943" s="111" t="s">
        <v>5566</v>
      </c>
      <c r="AK943" s="50" t="s">
        <v>81</v>
      </c>
      <c r="AL943" s="45" t="s">
        <v>109</v>
      </c>
      <c r="AM943" s="217">
        <v>3.20852652E9</v>
      </c>
      <c r="AN943" s="217">
        <v>3.103319459E9</v>
      </c>
      <c r="AO943" s="43">
        <v>0.0</v>
      </c>
      <c r="AP943" s="84"/>
      <c r="AQ943" s="84"/>
      <c r="AR943" s="84"/>
      <c r="AS943" s="94">
        <v>0.0</v>
      </c>
      <c r="AT943" s="50" t="s">
        <v>88</v>
      </c>
      <c r="AU943" s="43">
        <v>0.0</v>
      </c>
      <c r="AV943" s="43">
        <v>0.0</v>
      </c>
      <c r="AW943" s="43" t="s">
        <v>88</v>
      </c>
      <c r="AX943" s="43">
        <v>0.0</v>
      </c>
      <c r="AY943" s="43">
        <v>0.0</v>
      </c>
      <c r="AZ943" s="43">
        <v>0.0</v>
      </c>
      <c r="BA943" s="43" t="s">
        <v>89</v>
      </c>
      <c r="BB943" s="43">
        <v>0.0</v>
      </c>
      <c r="BC943" s="95"/>
      <c r="BD943" s="71"/>
      <c r="BE943" s="71"/>
      <c r="BF943" s="72" t="s">
        <v>5678</v>
      </c>
      <c r="BG943" s="73"/>
      <c r="BH943" s="73"/>
      <c r="BI943" s="73"/>
      <c r="BJ943" s="73"/>
      <c r="BK943" s="73"/>
      <c r="BL943" s="73"/>
      <c r="BM943" s="73"/>
      <c r="BN943" s="73"/>
      <c r="BO943" s="73"/>
      <c r="BP943" s="73"/>
      <c r="BQ943" s="73"/>
      <c r="BR943" s="73"/>
      <c r="BS943" s="73"/>
      <c r="BT943" s="73"/>
      <c r="BU943" s="73"/>
      <c r="BV943" s="73"/>
      <c r="BW943" s="74"/>
      <c r="BX943" s="74"/>
      <c r="BY943" s="63"/>
      <c r="BZ943" s="63"/>
    </row>
    <row r="944" ht="15.75" customHeight="1">
      <c r="A944" s="75" t="s">
        <v>5679</v>
      </c>
      <c r="B944" s="50" t="s">
        <v>5680</v>
      </c>
      <c r="C944" s="50" t="s">
        <v>271</v>
      </c>
      <c r="D944" s="50" t="s">
        <v>550</v>
      </c>
      <c r="E944" s="77"/>
      <c r="F944" s="78">
        <v>2.5E8</v>
      </c>
      <c r="G944" s="44" t="str">
        <f t="shared" si="16"/>
        <v>$200'000.000 a $300'000.000</v>
      </c>
      <c r="H944" s="44"/>
      <c r="I944" s="44"/>
      <c r="J944" s="50" t="s">
        <v>116</v>
      </c>
      <c r="K944" s="51" t="s">
        <v>154</v>
      </c>
      <c r="L944" s="50">
        <v>8.0</v>
      </c>
      <c r="M944" s="50"/>
      <c r="N944" s="50">
        <v>5.0</v>
      </c>
      <c r="O944" s="50">
        <v>1.0</v>
      </c>
      <c r="P944" s="50">
        <v>3.0</v>
      </c>
      <c r="Q944" s="88">
        <v>216.0</v>
      </c>
      <c r="R944" s="88">
        <v>72.0</v>
      </c>
      <c r="S944" s="56" t="str">
        <f t="shared" ref="S944:S954" si="32">IF(AS944=0," ","Rentabilidad $" &amp; TEXT(AS944,"#,##0"))</f>
        <v>Rentabilidad $1,800,000</v>
      </c>
      <c r="T944" s="50" t="s">
        <v>78</v>
      </c>
      <c r="U944" s="51" t="s">
        <v>184</v>
      </c>
      <c r="V944" s="50" t="s">
        <v>79</v>
      </c>
      <c r="W944" s="50"/>
      <c r="X944" s="50">
        <v>2.0</v>
      </c>
      <c r="Y944" s="43" t="s">
        <v>80</v>
      </c>
      <c r="Z944" s="58" t="s">
        <v>81</v>
      </c>
      <c r="AA944" s="59" t="str">
        <f>IF(Rentabilidad=0,"No aplica",TEXT(ROUND(Precio/Rentabilidad/12,0),0) &amp; " años")</f>
        <v>12 años</v>
      </c>
      <c r="AB944" s="115" t="s">
        <v>5681</v>
      </c>
      <c r="AC944" s="124" t="s">
        <v>5682</v>
      </c>
      <c r="AD944" s="125" t="s">
        <v>1202</v>
      </c>
      <c r="AE944" s="63"/>
      <c r="AF944" s="64" t="s">
        <v>84</v>
      </c>
      <c r="AG944" s="65" t="s">
        <v>106</v>
      </c>
      <c r="AH944" s="65"/>
      <c r="AI944" s="65" t="s">
        <v>107</v>
      </c>
      <c r="AJ944" s="111" t="s">
        <v>5566</v>
      </c>
      <c r="AK944" s="50" t="s">
        <v>81</v>
      </c>
      <c r="AL944" s="45" t="s">
        <v>109</v>
      </c>
      <c r="AM944" s="217">
        <v>3.20852652E9</v>
      </c>
      <c r="AN944" s="217">
        <v>3.103319459E9</v>
      </c>
      <c r="AO944" s="43">
        <v>0.0</v>
      </c>
      <c r="AP944" s="84" t="s">
        <v>5683</v>
      </c>
      <c r="AQ944" s="84"/>
      <c r="AR944" s="84"/>
      <c r="AS944" s="94">
        <v>1800000.0</v>
      </c>
      <c r="AT944" s="50" t="s">
        <v>88</v>
      </c>
      <c r="AU944" s="43">
        <v>0.0</v>
      </c>
      <c r="AV944" s="43">
        <v>0.0</v>
      </c>
      <c r="AW944" s="43" t="s">
        <v>88</v>
      </c>
      <c r="AX944" s="43">
        <v>0.0</v>
      </c>
      <c r="AY944" s="43" t="s">
        <v>106</v>
      </c>
      <c r="AZ944" s="43">
        <v>0.0</v>
      </c>
      <c r="BA944" s="43" t="s">
        <v>89</v>
      </c>
      <c r="BB944" s="43">
        <v>0.0</v>
      </c>
      <c r="BC944" s="95"/>
      <c r="BD944" s="71"/>
      <c r="BE944" s="71"/>
      <c r="BF944" s="72" t="s">
        <v>5684</v>
      </c>
      <c r="BG944" s="73"/>
      <c r="BH944" s="73"/>
      <c r="BI944" s="73"/>
      <c r="BJ944" s="73"/>
      <c r="BK944" s="73"/>
      <c r="BL944" s="73"/>
      <c r="BM944" s="73"/>
      <c r="BN944" s="73"/>
      <c r="BO944" s="73"/>
      <c r="BP944" s="73"/>
      <c r="BQ944" s="73"/>
      <c r="BR944" s="73"/>
      <c r="BS944" s="73"/>
      <c r="BT944" s="73"/>
      <c r="BU944" s="73"/>
      <c r="BV944" s="73"/>
      <c r="BW944" s="74"/>
      <c r="BX944" s="74"/>
      <c r="BY944" s="63"/>
      <c r="BZ944" s="63"/>
    </row>
    <row r="945" ht="15.75" customHeight="1">
      <c r="A945" s="75" t="s">
        <v>5685</v>
      </c>
      <c r="B945" s="50" t="s">
        <v>5686</v>
      </c>
      <c r="C945" s="50" t="s">
        <v>271</v>
      </c>
      <c r="D945" s="50" t="s">
        <v>1654</v>
      </c>
      <c r="E945" s="77"/>
      <c r="F945" s="78">
        <v>2.5E8</v>
      </c>
      <c r="G945" s="44" t="str">
        <f t="shared" si="16"/>
        <v>$200'000.000 a $300'000.000</v>
      </c>
      <c r="H945" s="44"/>
      <c r="I945" s="44"/>
      <c r="J945" s="50" t="s">
        <v>94</v>
      </c>
      <c r="K945" s="51"/>
      <c r="L945" s="50">
        <v>6.0</v>
      </c>
      <c r="M945" s="50"/>
      <c r="N945" s="50">
        <v>3.0</v>
      </c>
      <c r="O945" s="50">
        <v>0.0</v>
      </c>
      <c r="P945" s="50">
        <v>2.0</v>
      </c>
      <c r="Q945" s="88">
        <v>118.0</v>
      </c>
      <c r="R945" s="88">
        <v>72.0</v>
      </c>
      <c r="S945" s="56" t="str">
        <f t="shared" si="32"/>
        <v>Rentabilidad $1,200,000</v>
      </c>
      <c r="T945" s="50" t="s">
        <v>78</v>
      </c>
      <c r="U945" s="51" t="s">
        <v>184</v>
      </c>
      <c r="V945" s="50" t="s">
        <v>79</v>
      </c>
      <c r="W945" s="50"/>
      <c r="X945" s="50">
        <v>3.0</v>
      </c>
      <c r="Y945" s="43" t="s">
        <v>80</v>
      </c>
      <c r="Z945" s="58" t="s">
        <v>81</v>
      </c>
      <c r="AA945" s="81" t="s">
        <v>81</v>
      </c>
      <c r="AB945" s="115" t="s">
        <v>5687</v>
      </c>
      <c r="AC945" s="124" t="s">
        <v>5688</v>
      </c>
      <c r="AD945" s="125" t="s">
        <v>5689</v>
      </c>
      <c r="AE945" s="63"/>
      <c r="AF945" s="64" t="s">
        <v>84</v>
      </c>
      <c r="AG945" s="65" t="s">
        <v>106</v>
      </c>
      <c r="AH945" s="65"/>
      <c r="AI945" s="65" t="s">
        <v>107</v>
      </c>
      <c r="AJ945" s="111" t="s">
        <v>5566</v>
      </c>
      <c r="AK945" s="50" t="s">
        <v>81</v>
      </c>
      <c r="AL945" s="45" t="s">
        <v>109</v>
      </c>
      <c r="AM945" s="217">
        <v>3.20852652E9</v>
      </c>
      <c r="AN945" s="217">
        <v>3.103319459E9</v>
      </c>
      <c r="AO945" s="43">
        <v>0.0</v>
      </c>
      <c r="AP945" s="84" t="s">
        <v>5690</v>
      </c>
      <c r="AQ945" s="84"/>
      <c r="AR945" s="84"/>
      <c r="AS945" s="94">
        <v>1200000.0</v>
      </c>
      <c r="AT945" s="50" t="s">
        <v>88</v>
      </c>
      <c r="AU945" s="43">
        <v>0.0</v>
      </c>
      <c r="AV945" s="43">
        <v>0.0</v>
      </c>
      <c r="AW945" s="43" t="s">
        <v>106</v>
      </c>
      <c r="AX945" s="43">
        <v>0.0</v>
      </c>
      <c r="AY945" s="43" t="s">
        <v>106</v>
      </c>
      <c r="AZ945" s="43">
        <v>0.0</v>
      </c>
      <c r="BA945" s="43" t="s">
        <v>89</v>
      </c>
      <c r="BB945" s="43">
        <v>0.0</v>
      </c>
      <c r="BC945" s="95"/>
      <c r="BD945" s="71"/>
      <c r="BE945" s="71"/>
      <c r="BF945" s="72" t="s">
        <v>5691</v>
      </c>
      <c r="BG945" s="73"/>
      <c r="BH945" s="73"/>
      <c r="BI945" s="73"/>
      <c r="BJ945" s="73"/>
      <c r="BK945" s="73"/>
      <c r="BL945" s="73"/>
      <c r="BM945" s="73"/>
      <c r="BN945" s="73"/>
      <c r="BO945" s="73"/>
      <c r="BP945" s="73"/>
      <c r="BQ945" s="73"/>
      <c r="BR945" s="73"/>
      <c r="BS945" s="73"/>
      <c r="BT945" s="73"/>
      <c r="BU945" s="73"/>
      <c r="BV945" s="73"/>
      <c r="BW945" s="74"/>
      <c r="BX945" s="74"/>
      <c r="BY945" s="63"/>
      <c r="BZ945" s="63"/>
    </row>
    <row r="946" ht="15.75" customHeight="1">
      <c r="A946" s="75" t="s">
        <v>5692</v>
      </c>
      <c r="B946" s="50" t="s">
        <v>3469</v>
      </c>
      <c r="C946" s="50" t="s">
        <v>70</v>
      </c>
      <c r="D946" s="43" t="s">
        <v>574</v>
      </c>
      <c r="E946" s="45"/>
      <c r="F946" s="78">
        <v>2.5E8</v>
      </c>
      <c r="G946" s="44" t="str">
        <f t="shared" si="16"/>
        <v>$200'000.000 a $300'000.000</v>
      </c>
      <c r="H946" s="44"/>
      <c r="I946" s="44"/>
      <c r="J946" s="50" t="s">
        <v>116</v>
      </c>
      <c r="K946" s="51"/>
      <c r="L946" s="50">
        <v>3.0</v>
      </c>
      <c r="M946" s="50"/>
      <c r="N946" s="50">
        <v>2.0</v>
      </c>
      <c r="O946" s="50">
        <v>1.0</v>
      </c>
      <c r="P946" s="50">
        <v>2.0</v>
      </c>
      <c r="Q946" s="79">
        <v>140.0</v>
      </c>
      <c r="R946" s="79">
        <v>75.0</v>
      </c>
      <c r="S946" s="56" t="str">
        <f t="shared" si="32"/>
        <v> </v>
      </c>
      <c r="T946" s="43" t="s">
        <v>78</v>
      </c>
      <c r="U946" s="51" t="s">
        <v>77</v>
      </c>
      <c r="V946" s="50" t="s">
        <v>79</v>
      </c>
      <c r="W946" s="50"/>
      <c r="X946" s="50">
        <v>3.0</v>
      </c>
      <c r="Y946" s="43" t="s">
        <v>80</v>
      </c>
      <c r="Z946" s="80" t="s">
        <v>81</v>
      </c>
      <c r="AA946" s="81" t="s">
        <v>81</v>
      </c>
      <c r="AB946" s="140" t="s">
        <v>5693</v>
      </c>
      <c r="AC946" s="131" t="s">
        <v>5694</v>
      </c>
      <c r="AD946" s="107" t="s">
        <v>5695</v>
      </c>
      <c r="AE946" s="63"/>
      <c r="AF946" s="64" t="s">
        <v>105</v>
      </c>
      <c r="AG946" s="65" t="s">
        <v>106</v>
      </c>
      <c r="AH946" s="65"/>
      <c r="AI946" s="65" t="s">
        <v>107</v>
      </c>
      <c r="AJ946" s="111" t="s">
        <v>5566</v>
      </c>
      <c r="AK946" s="111" t="s">
        <v>81</v>
      </c>
      <c r="AL946" s="45" t="s">
        <v>109</v>
      </c>
      <c r="AM946" s="217">
        <v>3.20852652E9</v>
      </c>
      <c r="AN946" s="217">
        <v>3.103319459E9</v>
      </c>
      <c r="AO946" s="209"/>
      <c r="AP946" s="84" t="s">
        <v>5696</v>
      </c>
      <c r="AQ946" s="84"/>
      <c r="AR946" s="84"/>
      <c r="AS946" s="85">
        <v>0.0</v>
      </c>
      <c r="AT946" s="65">
        <v>0.0</v>
      </c>
      <c r="AU946" s="50">
        <v>0.0</v>
      </c>
      <c r="AV946" s="50" t="s">
        <v>106</v>
      </c>
      <c r="AW946" s="50" t="s">
        <v>106</v>
      </c>
      <c r="AX946" s="50">
        <v>0.0</v>
      </c>
      <c r="AY946" s="50" t="s">
        <v>137</v>
      </c>
      <c r="AZ946" s="50">
        <v>0.0</v>
      </c>
      <c r="BA946" s="43" t="s">
        <v>89</v>
      </c>
      <c r="BB946" s="50">
        <v>0.0</v>
      </c>
      <c r="BC946" s="69" t="s">
        <v>439</v>
      </c>
      <c r="BD946" s="70"/>
      <c r="BE946" s="70"/>
      <c r="BF946" s="72" t="s">
        <v>5697</v>
      </c>
      <c r="BG946" s="73"/>
      <c r="BH946" s="73"/>
      <c r="BI946" s="73"/>
      <c r="BJ946" s="73"/>
      <c r="BK946" s="73"/>
      <c r="BL946" s="73"/>
      <c r="BM946" s="73"/>
      <c r="BN946" s="73"/>
      <c r="BO946" s="73"/>
      <c r="BP946" s="73"/>
      <c r="BQ946" s="73"/>
      <c r="BR946" s="73"/>
      <c r="BS946" s="73"/>
      <c r="BT946" s="73"/>
      <c r="BU946" s="73"/>
      <c r="BV946" s="73"/>
      <c r="BW946" s="74"/>
      <c r="BX946" s="74"/>
      <c r="BY946" s="63"/>
      <c r="BZ946" s="63"/>
    </row>
    <row r="947" ht="15.75" customHeight="1">
      <c r="A947" s="75" t="s">
        <v>1695</v>
      </c>
      <c r="B947" s="50" t="s">
        <v>5698</v>
      </c>
      <c r="C947" s="50" t="s">
        <v>271</v>
      </c>
      <c r="D947" s="58" t="s">
        <v>308</v>
      </c>
      <c r="E947" s="64"/>
      <c r="F947" s="78">
        <v>2.5E8</v>
      </c>
      <c r="G947" s="44" t="str">
        <f t="shared" si="16"/>
        <v>$200'000.000 a $300'000.000</v>
      </c>
      <c r="H947" s="44"/>
      <c r="I947" s="44"/>
      <c r="J947" s="43" t="s">
        <v>94</v>
      </c>
      <c r="K947" s="51"/>
      <c r="L947" s="43">
        <v>6.0</v>
      </c>
      <c r="M947" s="43"/>
      <c r="N947" s="43">
        <v>4.0</v>
      </c>
      <c r="O947" s="43">
        <v>1.0</v>
      </c>
      <c r="P947" s="43">
        <v>2.0</v>
      </c>
      <c r="Q947" s="55">
        <v>250.0</v>
      </c>
      <c r="R947" s="55">
        <v>133.0</v>
      </c>
      <c r="S947" s="56" t="str">
        <f t="shared" si="32"/>
        <v>Rentabilidad $1,400,000</v>
      </c>
      <c r="T947" s="43" t="s">
        <v>78</v>
      </c>
      <c r="U947" s="56" t="s">
        <v>77</v>
      </c>
      <c r="V947" s="43" t="s">
        <v>79</v>
      </c>
      <c r="W947" s="43"/>
      <c r="X947" s="43">
        <v>4.0</v>
      </c>
      <c r="Y947" s="43" t="s">
        <v>80</v>
      </c>
      <c r="Z947" s="80" t="s">
        <v>81</v>
      </c>
      <c r="AA947" s="59" t="str">
        <f>IF(Rentabilidad=0,"No aplica",TEXT(ROUND(Precio/Rentabilidad/12,0),0) &amp; " años")</f>
        <v>15 años</v>
      </c>
      <c r="AB947" s="134" t="s">
        <v>5699</v>
      </c>
      <c r="AC947" s="131" t="s">
        <v>5700</v>
      </c>
      <c r="AD947" s="107" t="s">
        <v>5701</v>
      </c>
      <c r="AE947" s="63"/>
      <c r="AF947" s="64" t="s">
        <v>236</v>
      </c>
      <c r="AG947" s="65" t="s">
        <v>106</v>
      </c>
      <c r="AH947" s="63"/>
      <c r="AI947" s="65" t="s">
        <v>107</v>
      </c>
      <c r="AJ947" s="111" t="s">
        <v>5566</v>
      </c>
      <c r="AK947" s="111" t="s">
        <v>81</v>
      </c>
      <c r="AL947" s="45" t="s">
        <v>109</v>
      </c>
      <c r="AM947" s="217">
        <v>3.20852652E9</v>
      </c>
      <c r="AN947" s="217">
        <v>3.103319459E9</v>
      </c>
      <c r="AO947" s="209"/>
      <c r="AP947" s="84" t="s">
        <v>5702</v>
      </c>
      <c r="AQ947" s="84"/>
      <c r="AR947" s="84"/>
      <c r="AS947" s="85">
        <v>1400000.0</v>
      </c>
      <c r="AT947" s="65" t="s">
        <v>88</v>
      </c>
      <c r="AU947" s="50">
        <v>0.0</v>
      </c>
      <c r="AV947" s="50" t="s">
        <v>106</v>
      </c>
      <c r="AW947" s="50" t="s">
        <v>106</v>
      </c>
      <c r="AX947" s="50">
        <v>0.0</v>
      </c>
      <c r="AY947" s="50">
        <v>0.0</v>
      </c>
      <c r="AZ947" s="50">
        <v>0.0</v>
      </c>
      <c r="BA947" s="43" t="s">
        <v>89</v>
      </c>
      <c r="BB947" s="50">
        <v>0.0</v>
      </c>
      <c r="BC947" s="109"/>
      <c r="BD947" s="70"/>
      <c r="BE947" s="71"/>
      <c r="BF947" s="72" t="s">
        <v>5703</v>
      </c>
      <c r="BG947" s="73"/>
      <c r="BH947" s="73"/>
      <c r="BI947" s="73"/>
      <c r="BJ947" s="73"/>
      <c r="BK947" s="73"/>
      <c r="BL947" s="73"/>
      <c r="BM947" s="73"/>
      <c r="BN947" s="73"/>
      <c r="BO947" s="73"/>
      <c r="BP947" s="73"/>
      <c r="BQ947" s="73"/>
      <c r="BR947" s="73"/>
      <c r="BS947" s="73"/>
      <c r="BT947" s="73"/>
      <c r="BU947" s="73"/>
      <c r="BV947" s="73"/>
      <c r="BW947" s="74"/>
      <c r="BX947" s="74"/>
      <c r="BY947" s="63"/>
      <c r="BZ947" s="63"/>
    </row>
    <row r="948" ht="15.75" customHeight="1">
      <c r="A948" s="133" t="s">
        <v>5704</v>
      </c>
      <c r="B948" s="50" t="s">
        <v>5705</v>
      </c>
      <c r="C948" s="50" t="s">
        <v>271</v>
      </c>
      <c r="D948" s="50" t="s">
        <v>1688</v>
      </c>
      <c r="E948" s="77"/>
      <c r="F948" s="78">
        <v>2.4E8</v>
      </c>
      <c r="G948" s="351" t="str">
        <f t="shared" si="16"/>
        <v>$200'000.000 a $300'000.000</v>
      </c>
      <c r="H948" s="351"/>
      <c r="I948" s="351"/>
      <c r="J948" s="50" t="s">
        <v>183</v>
      </c>
      <c r="K948" s="51"/>
      <c r="L948" s="50">
        <v>2.0</v>
      </c>
      <c r="M948" s="50"/>
      <c r="N948" s="50">
        <v>2.0</v>
      </c>
      <c r="O948" s="50">
        <v>1.0</v>
      </c>
      <c r="P948" s="50">
        <v>1.0</v>
      </c>
      <c r="Q948" s="79">
        <v>145.45</v>
      </c>
      <c r="R948" s="79">
        <v>145.45</v>
      </c>
      <c r="S948" s="56" t="str">
        <f t="shared" si="32"/>
        <v> </v>
      </c>
      <c r="T948" s="50" t="s">
        <v>78</v>
      </c>
      <c r="U948" s="51" t="s">
        <v>77</v>
      </c>
      <c r="V948" s="50" t="s">
        <v>118</v>
      </c>
      <c r="W948" s="50"/>
      <c r="X948" s="50">
        <v>1.0</v>
      </c>
      <c r="Y948" s="50" t="s">
        <v>80</v>
      </c>
      <c r="Z948" s="80" t="s">
        <v>81</v>
      </c>
      <c r="AA948" s="81" t="s">
        <v>81</v>
      </c>
      <c r="AB948" s="82" t="s">
        <v>5706</v>
      </c>
      <c r="AC948" s="61"/>
      <c r="AD948" s="125" t="s">
        <v>5707</v>
      </c>
      <c r="AE948" s="63"/>
      <c r="AF948" s="64" t="s">
        <v>84</v>
      </c>
      <c r="AG948" s="65" t="s">
        <v>106</v>
      </c>
      <c r="AH948" s="65"/>
      <c r="AI948" s="65" t="s">
        <v>107</v>
      </c>
      <c r="AJ948" s="111" t="s">
        <v>5566</v>
      </c>
      <c r="AK948" s="111" t="s">
        <v>81</v>
      </c>
      <c r="AL948" s="45" t="s">
        <v>109</v>
      </c>
      <c r="AM948" s="217">
        <v>3.20852652E9</v>
      </c>
      <c r="AN948" s="217">
        <v>3.103319459E9</v>
      </c>
      <c r="AO948" s="209"/>
      <c r="AP948" s="84" t="s">
        <v>5708</v>
      </c>
      <c r="AQ948" s="84"/>
      <c r="AR948" s="84"/>
      <c r="AS948" s="85">
        <v>0.0</v>
      </c>
      <c r="AT948" s="50">
        <v>0.0</v>
      </c>
      <c r="AU948" s="50">
        <v>0.0</v>
      </c>
      <c r="AV948" s="50">
        <v>0.0</v>
      </c>
      <c r="AW948" s="50" t="s">
        <v>88</v>
      </c>
      <c r="AX948" s="50">
        <v>0.0</v>
      </c>
      <c r="AY948" s="50" t="s">
        <v>137</v>
      </c>
      <c r="AZ948" s="50">
        <v>0.0</v>
      </c>
      <c r="BA948" s="43" t="s">
        <v>89</v>
      </c>
      <c r="BB948" s="50">
        <v>0.0</v>
      </c>
      <c r="BC948" s="69" t="s">
        <v>2796</v>
      </c>
      <c r="BD948" s="70"/>
      <c r="BE948" s="71"/>
      <c r="BF948" s="72" t="s">
        <v>5709</v>
      </c>
      <c r="BG948" s="73"/>
      <c r="BH948" s="73"/>
      <c r="BI948" s="73"/>
      <c r="BJ948" s="73"/>
      <c r="BK948" s="73"/>
      <c r="BL948" s="73"/>
      <c r="BM948" s="73"/>
      <c r="BN948" s="73"/>
      <c r="BO948" s="73"/>
      <c r="BP948" s="73"/>
      <c r="BQ948" s="73"/>
      <c r="BR948" s="73"/>
      <c r="BS948" s="73"/>
      <c r="BT948" s="73"/>
      <c r="BU948" s="73"/>
      <c r="BV948" s="73"/>
      <c r="BW948" s="74"/>
      <c r="BX948" s="74"/>
      <c r="BY948" s="63"/>
      <c r="BZ948" s="63"/>
    </row>
    <row r="949" ht="15.75" customHeight="1">
      <c r="A949" s="75" t="s">
        <v>5710</v>
      </c>
      <c r="B949" s="50" t="s">
        <v>5711</v>
      </c>
      <c r="C949" s="50" t="s">
        <v>271</v>
      </c>
      <c r="D949" s="50" t="s">
        <v>5712</v>
      </c>
      <c r="E949" s="45"/>
      <c r="F949" s="78">
        <v>2.4E8</v>
      </c>
      <c r="G949" s="44" t="str">
        <f t="shared" si="16"/>
        <v>$200'000.000 a $300'000.000</v>
      </c>
      <c r="H949" s="44"/>
      <c r="I949" s="44"/>
      <c r="J949" s="50" t="s">
        <v>116</v>
      </c>
      <c r="K949" s="56" t="s">
        <v>154</v>
      </c>
      <c r="L949" s="50">
        <v>5.0</v>
      </c>
      <c r="M949" s="50"/>
      <c r="N949" s="50">
        <v>2.0</v>
      </c>
      <c r="O949" s="50">
        <v>0.0</v>
      </c>
      <c r="P949" s="50">
        <v>2.0</v>
      </c>
      <c r="Q949" s="55">
        <v>130.0</v>
      </c>
      <c r="R949" s="55">
        <v>71.0</v>
      </c>
      <c r="S949" s="56" t="str">
        <f t="shared" si="32"/>
        <v>Rentabilidad $1,300,000</v>
      </c>
      <c r="T949" s="43" t="s">
        <v>78</v>
      </c>
      <c r="U949" s="51" t="s">
        <v>77</v>
      </c>
      <c r="V949" s="50" t="s">
        <v>79</v>
      </c>
      <c r="W949" s="50"/>
      <c r="X949" s="50">
        <v>2.0</v>
      </c>
      <c r="Y949" s="50" t="s">
        <v>80</v>
      </c>
      <c r="Z949" s="80" t="s">
        <v>81</v>
      </c>
      <c r="AA949" s="59" t="str">
        <f>IF(Rentabilidad=0,"No aplica",TEXT(ROUND(Precio/Rentabilidad/12,0),0) &amp; " años")</f>
        <v>15 años</v>
      </c>
      <c r="AB949" s="180" t="s">
        <v>5713</v>
      </c>
      <c r="AC949" s="131" t="s">
        <v>3224</v>
      </c>
      <c r="AD949" s="107" t="s">
        <v>1202</v>
      </c>
      <c r="AE949" s="63"/>
      <c r="AF949" s="64" t="s">
        <v>236</v>
      </c>
      <c r="AG949" s="65" t="s">
        <v>106</v>
      </c>
      <c r="AH949" s="65"/>
      <c r="AI949" s="65" t="s">
        <v>107</v>
      </c>
      <c r="AJ949" s="111" t="s">
        <v>5566</v>
      </c>
      <c r="AK949" s="111" t="s">
        <v>81</v>
      </c>
      <c r="AL949" s="45" t="s">
        <v>109</v>
      </c>
      <c r="AM949" s="217">
        <v>3.20852652E9</v>
      </c>
      <c r="AN949" s="217">
        <v>3.103319459E9</v>
      </c>
      <c r="AO949" s="209"/>
      <c r="AP949" s="219" t="s">
        <v>5714</v>
      </c>
      <c r="AQ949" s="219">
        <v>2.9623221</v>
      </c>
      <c r="AR949" s="219">
        <v>-75.2894335</v>
      </c>
      <c r="AS949" s="111">
        <v>1300000.0</v>
      </c>
      <c r="AT949" s="111">
        <v>0.0</v>
      </c>
      <c r="AU949" s="111">
        <v>0.0</v>
      </c>
      <c r="AV949" s="111">
        <v>0.0</v>
      </c>
      <c r="AW949" s="111" t="s">
        <v>88</v>
      </c>
      <c r="AX949" s="111">
        <v>0.0</v>
      </c>
      <c r="AY949" s="111" t="s">
        <v>106</v>
      </c>
      <c r="AZ949" s="111">
        <v>0.0</v>
      </c>
      <c r="BA949" s="43" t="s">
        <v>89</v>
      </c>
      <c r="BB949" s="111">
        <v>0.0</v>
      </c>
      <c r="BC949" s="69" t="s">
        <v>3772</v>
      </c>
      <c r="BD949" s="70"/>
      <c r="BE949" s="71"/>
      <c r="BF949" s="72" t="s">
        <v>5715</v>
      </c>
      <c r="BG949" s="73"/>
      <c r="BH949" s="73"/>
      <c r="BI949" s="73"/>
      <c r="BJ949" s="73"/>
      <c r="BK949" s="73"/>
      <c r="BL949" s="73"/>
      <c r="BM949" s="73"/>
      <c r="BN949" s="73"/>
      <c r="BO949" s="73"/>
      <c r="BP949" s="73"/>
      <c r="BQ949" s="73"/>
      <c r="BR949" s="73"/>
      <c r="BS949" s="73"/>
      <c r="BT949" s="73"/>
      <c r="BU949" s="73"/>
      <c r="BV949" s="73"/>
      <c r="BW949" s="74"/>
      <c r="BX949" s="74"/>
      <c r="BY949" s="63"/>
      <c r="BZ949" s="63"/>
    </row>
    <row r="950" ht="15.75" customHeight="1">
      <c r="A950" s="75" t="s">
        <v>5716</v>
      </c>
      <c r="B950" s="50" t="s">
        <v>5717</v>
      </c>
      <c r="C950" s="50" t="s">
        <v>70</v>
      </c>
      <c r="D950" s="50"/>
      <c r="E950" s="64"/>
      <c r="F950" s="78">
        <v>2.2E8</v>
      </c>
      <c r="G950" s="44" t="str">
        <f t="shared" si="16"/>
        <v>$200'000.000 a $300'000.000</v>
      </c>
      <c r="H950" s="44"/>
      <c r="I950" s="44"/>
      <c r="J950" s="50" t="s">
        <v>183</v>
      </c>
      <c r="K950" s="51"/>
      <c r="L950" s="50">
        <v>4.0</v>
      </c>
      <c r="M950" s="50"/>
      <c r="N950" s="50">
        <v>2.0</v>
      </c>
      <c r="O950" s="50">
        <v>1.0</v>
      </c>
      <c r="P950" s="50">
        <v>1.0</v>
      </c>
      <c r="Q950" s="88">
        <v>170.0</v>
      </c>
      <c r="R950" s="88">
        <v>180.0</v>
      </c>
      <c r="S950" s="56" t="str">
        <f t="shared" si="32"/>
        <v> </v>
      </c>
      <c r="T950" s="50" t="s">
        <v>5718</v>
      </c>
      <c r="U950" s="51" t="s">
        <v>77</v>
      </c>
      <c r="V950" s="50" t="s">
        <v>79</v>
      </c>
      <c r="W950" s="50"/>
      <c r="X950" s="50">
        <v>4.0</v>
      </c>
      <c r="Y950" s="50" t="s">
        <v>80</v>
      </c>
      <c r="Z950" s="58" t="s">
        <v>81</v>
      </c>
      <c r="AA950" s="59" t="str">
        <f>IF(Rentabilidad=0,"No aplica",TEXT(ROUND(Precio/Rentabilidad/12,0),0) &amp; " años")</f>
        <v>No aplica</v>
      </c>
      <c r="AB950" s="82" t="s">
        <v>5719</v>
      </c>
      <c r="AC950" s="102" t="s">
        <v>5720</v>
      </c>
      <c r="AD950" s="107" t="s">
        <v>5721</v>
      </c>
      <c r="AE950" s="63"/>
      <c r="AF950" s="45" t="s">
        <v>236</v>
      </c>
      <c r="AG950" s="65" t="s">
        <v>106</v>
      </c>
      <c r="AH950" s="63"/>
      <c r="AI950" s="65" t="s">
        <v>107</v>
      </c>
      <c r="AJ950" s="111" t="s">
        <v>5566</v>
      </c>
      <c r="AK950" s="50" t="s">
        <v>81</v>
      </c>
      <c r="AL950" s="45" t="s">
        <v>109</v>
      </c>
      <c r="AM950" s="217">
        <v>3.20852652E9</v>
      </c>
      <c r="AN950" s="217">
        <v>3.103319459E9</v>
      </c>
      <c r="AO950" s="43">
        <v>0.0</v>
      </c>
      <c r="AP950" s="84"/>
      <c r="AQ950" s="84"/>
      <c r="AR950" s="84"/>
      <c r="AS950" s="85"/>
      <c r="AT950" s="50" t="s">
        <v>88</v>
      </c>
      <c r="AU950" s="50">
        <v>0.0</v>
      </c>
      <c r="AV950" s="50">
        <v>3.0</v>
      </c>
      <c r="AW950" s="50" t="s">
        <v>88</v>
      </c>
      <c r="AX950" s="50">
        <v>0.0</v>
      </c>
      <c r="AY950" s="50">
        <v>0.0</v>
      </c>
      <c r="AZ950" s="50">
        <v>0.0</v>
      </c>
      <c r="BA950" s="43" t="s">
        <v>89</v>
      </c>
      <c r="BB950" s="50">
        <v>0.0</v>
      </c>
      <c r="BC950" s="95"/>
      <c r="BD950" s="71"/>
      <c r="BE950" s="71"/>
      <c r="BF950" s="72" t="s">
        <v>5722</v>
      </c>
      <c r="BG950" s="73"/>
      <c r="BH950" s="73"/>
      <c r="BI950" s="73"/>
      <c r="BJ950" s="73"/>
      <c r="BK950" s="73"/>
      <c r="BL950" s="73"/>
      <c r="BM950" s="73"/>
      <c r="BN950" s="73"/>
      <c r="BO950" s="73"/>
      <c r="BP950" s="73"/>
      <c r="BQ950" s="73"/>
      <c r="BR950" s="73"/>
      <c r="BS950" s="73"/>
      <c r="BT950" s="73"/>
      <c r="BU950" s="73"/>
      <c r="BV950" s="73"/>
      <c r="BW950" s="74"/>
      <c r="BX950" s="74"/>
      <c r="BY950" s="63"/>
      <c r="BZ950" s="63"/>
    </row>
    <row r="951" ht="15.75" customHeight="1">
      <c r="A951" s="75" t="s">
        <v>5723</v>
      </c>
      <c r="B951" s="50" t="s">
        <v>5724</v>
      </c>
      <c r="C951" s="50" t="s">
        <v>340</v>
      </c>
      <c r="D951" s="50"/>
      <c r="E951" s="64" t="s">
        <v>5725</v>
      </c>
      <c r="F951" s="78">
        <v>2.2E8</v>
      </c>
      <c r="G951" s="44" t="str">
        <f t="shared" si="16"/>
        <v>$200'000.000 a $300'000.000</v>
      </c>
      <c r="H951" s="44"/>
      <c r="I951" s="44"/>
      <c r="J951" s="50" t="s">
        <v>94</v>
      </c>
      <c r="K951" s="51"/>
      <c r="L951" s="50">
        <v>0.0</v>
      </c>
      <c r="M951" s="50"/>
      <c r="N951" s="50">
        <v>0.0</v>
      </c>
      <c r="O951" s="50">
        <v>0.0</v>
      </c>
      <c r="P951" s="50">
        <v>0.0</v>
      </c>
      <c r="Q951" s="88">
        <v>0.0</v>
      </c>
      <c r="R951" s="88">
        <v>1600.0</v>
      </c>
      <c r="S951" s="56" t="str">
        <f t="shared" si="32"/>
        <v> </v>
      </c>
      <c r="T951" s="50" t="s">
        <v>342</v>
      </c>
      <c r="U951" s="51" t="s">
        <v>77</v>
      </c>
      <c r="V951" s="50" t="s">
        <v>79</v>
      </c>
      <c r="W951" s="50"/>
      <c r="X951" s="50">
        <v>0.0</v>
      </c>
      <c r="Y951" s="50" t="s">
        <v>130</v>
      </c>
      <c r="Z951" s="91"/>
      <c r="AA951" s="59" t="str">
        <f>IF(Rentabilidad=0,"No aplica",TEXT(ROUND(Precio/Rentabilidad/12,0),0) &amp; " años")</f>
        <v>No aplica</v>
      </c>
      <c r="AB951" s="82" t="s">
        <v>5726</v>
      </c>
      <c r="AC951" s="102" t="s">
        <v>5727</v>
      </c>
      <c r="AD951" s="103" t="s">
        <v>5728</v>
      </c>
      <c r="AE951" s="63"/>
      <c r="AF951" s="64">
        <v>0.0</v>
      </c>
      <c r="AG951" s="65" t="s">
        <v>106</v>
      </c>
      <c r="AH951" s="63"/>
      <c r="AI951" s="65" t="s">
        <v>107</v>
      </c>
      <c r="AJ951" s="111" t="s">
        <v>5566</v>
      </c>
      <c r="AK951" s="50" t="s">
        <v>81</v>
      </c>
      <c r="AL951" s="45" t="s">
        <v>109</v>
      </c>
      <c r="AM951" s="217">
        <v>3.20852652E9</v>
      </c>
      <c r="AN951" s="217">
        <v>3.103319459E9</v>
      </c>
      <c r="AO951" s="43">
        <v>0.0</v>
      </c>
      <c r="AP951" s="84"/>
      <c r="AQ951" s="84">
        <v>2.93914041783252</v>
      </c>
      <c r="AR951" s="84">
        <v>-75.3318397933136</v>
      </c>
      <c r="AS951" s="85"/>
      <c r="AT951" s="50" t="s">
        <v>88</v>
      </c>
      <c r="AU951" s="50">
        <v>0.0</v>
      </c>
      <c r="AV951" s="50">
        <v>0.0</v>
      </c>
      <c r="AW951" s="50" t="s">
        <v>88</v>
      </c>
      <c r="AX951" s="50">
        <v>0.0</v>
      </c>
      <c r="AY951" s="50">
        <v>0.0</v>
      </c>
      <c r="AZ951" s="50">
        <v>0.0</v>
      </c>
      <c r="BA951" s="43" t="s">
        <v>89</v>
      </c>
      <c r="BB951" s="50">
        <v>0.0</v>
      </c>
      <c r="BC951" s="95"/>
      <c r="BD951" s="71"/>
      <c r="BE951" s="71"/>
      <c r="BF951" s="72" t="s">
        <v>5729</v>
      </c>
      <c r="BG951" s="73"/>
      <c r="BH951" s="73"/>
      <c r="BI951" s="73"/>
      <c r="BJ951" s="73"/>
      <c r="BK951" s="73"/>
      <c r="BL951" s="73"/>
      <c r="BM951" s="73"/>
      <c r="BN951" s="73"/>
      <c r="BO951" s="73"/>
      <c r="BP951" s="73"/>
      <c r="BQ951" s="73"/>
      <c r="BR951" s="73"/>
      <c r="BS951" s="73"/>
      <c r="BT951" s="73"/>
      <c r="BU951" s="73"/>
      <c r="BV951" s="73"/>
      <c r="BW951" s="74"/>
      <c r="BX951" s="74"/>
      <c r="BY951" s="63"/>
      <c r="BZ951" s="63"/>
    </row>
    <row r="952" ht="15.75" customHeight="1">
      <c r="A952" s="133" t="s">
        <v>5730</v>
      </c>
      <c r="B952" s="50" t="s">
        <v>5731</v>
      </c>
      <c r="C952" s="111" t="s">
        <v>323</v>
      </c>
      <c r="D952" s="50" t="s">
        <v>349</v>
      </c>
      <c r="E952" s="77" t="s">
        <v>5732</v>
      </c>
      <c r="F952" s="78">
        <v>1.7E8</v>
      </c>
      <c r="G952" s="44" t="str">
        <f t="shared" si="16"/>
        <v>$100'000.000 a $200'000.000</v>
      </c>
      <c r="H952" s="44"/>
      <c r="I952" s="44"/>
      <c r="J952" s="50" t="s">
        <v>116</v>
      </c>
      <c r="K952" s="51" t="s">
        <v>294</v>
      </c>
      <c r="L952" s="50">
        <v>3.0</v>
      </c>
      <c r="M952" s="50"/>
      <c r="N952" s="50">
        <v>2.0</v>
      </c>
      <c r="O952" s="50">
        <v>0.0</v>
      </c>
      <c r="P952" s="50">
        <v>1.0</v>
      </c>
      <c r="Q952" s="79">
        <v>62.0</v>
      </c>
      <c r="R952" s="79"/>
      <c r="S952" s="56" t="str">
        <f t="shared" si="32"/>
        <v> </v>
      </c>
      <c r="T952" s="50" t="s">
        <v>78</v>
      </c>
      <c r="U952" s="51" t="s">
        <v>77</v>
      </c>
      <c r="V952" s="50"/>
      <c r="W952" s="50"/>
      <c r="X952" s="50">
        <v>1.0</v>
      </c>
      <c r="Y952" s="50" t="s">
        <v>130</v>
      </c>
      <c r="Z952" s="80" t="s">
        <v>81</v>
      </c>
      <c r="AA952" s="59" t="str">
        <f>IF(Rentabilidad=0,"No aplica",TEXT(ROUND(Precio/Rentabilidad/12,0),0) &amp; " años")</f>
        <v>No aplica</v>
      </c>
      <c r="AB952" s="82" t="s">
        <v>5733</v>
      </c>
      <c r="AC952" s="61"/>
      <c r="AD952" s="125" t="s">
        <v>5734</v>
      </c>
      <c r="AE952" s="63"/>
      <c r="AF952" s="64" t="s">
        <v>105</v>
      </c>
      <c r="AG952" s="65" t="s">
        <v>106</v>
      </c>
      <c r="AH952" s="65"/>
      <c r="AI952" s="65" t="s">
        <v>107</v>
      </c>
      <c r="AJ952" s="111" t="s">
        <v>5566</v>
      </c>
      <c r="AK952" s="111" t="s">
        <v>81</v>
      </c>
      <c r="AL952" s="45" t="s">
        <v>109</v>
      </c>
      <c r="AM952" s="217">
        <v>3.20852652E9</v>
      </c>
      <c r="AN952" s="217">
        <v>3.103319459E9</v>
      </c>
      <c r="AO952" s="52"/>
      <c r="AP952" s="67"/>
      <c r="AQ952" s="143">
        <v>2.9335174</v>
      </c>
      <c r="AR952" s="143">
        <v>-75.3000548</v>
      </c>
      <c r="AS952" s="85"/>
      <c r="AT952" s="50"/>
      <c r="AU952" s="50"/>
      <c r="AV952" s="50"/>
      <c r="AW952" s="50"/>
      <c r="AX952" s="50"/>
      <c r="AY952" s="50"/>
      <c r="AZ952" s="50"/>
      <c r="BA952" s="43" t="s">
        <v>89</v>
      </c>
      <c r="BB952" s="50"/>
      <c r="BC952" s="69" t="s">
        <v>3601</v>
      </c>
      <c r="BD952" s="70"/>
      <c r="BE952" s="71"/>
      <c r="BF952" s="72" t="s">
        <v>5735</v>
      </c>
      <c r="BG952" s="73"/>
      <c r="BH952" s="73"/>
      <c r="BI952" s="73"/>
      <c r="BJ952" s="73"/>
      <c r="BK952" s="73"/>
      <c r="BL952" s="73"/>
      <c r="BM952" s="73"/>
      <c r="BN952" s="73"/>
      <c r="BO952" s="73"/>
      <c r="BP952" s="73"/>
      <c r="BQ952" s="73"/>
      <c r="BR952" s="73"/>
      <c r="BS952" s="73"/>
      <c r="BT952" s="73"/>
      <c r="BU952" s="73"/>
      <c r="BV952" s="73"/>
      <c r="BW952" s="74"/>
      <c r="BX952" s="74"/>
      <c r="BY952" s="63"/>
      <c r="BZ952" s="63"/>
    </row>
    <row r="953" ht="15.75" customHeight="1">
      <c r="A953" s="75" t="s">
        <v>5736</v>
      </c>
      <c r="B953" s="50" t="s">
        <v>5737</v>
      </c>
      <c r="C953" s="50" t="s">
        <v>70</v>
      </c>
      <c r="D953" s="43" t="s">
        <v>5738</v>
      </c>
      <c r="E953" s="45"/>
      <c r="F953" s="78">
        <v>1.7E8</v>
      </c>
      <c r="G953" s="44" t="str">
        <f t="shared" si="16"/>
        <v>$100'000.000 a $200'000.000</v>
      </c>
      <c r="H953" s="44"/>
      <c r="I953" s="44"/>
      <c r="J953" s="50" t="s">
        <v>968</v>
      </c>
      <c r="K953" s="51"/>
      <c r="L953" s="50">
        <v>3.0</v>
      </c>
      <c r="M953" s="50"/>
      <c r="N953" s="50">
        <v>1.0</v>
      </c>
      <c r="O953" s="50">
        <v>1.0</v>
      </c>
      <c r="P953" s="50">
        <v>1.0</v>
      </c>
      <c r="Q953" s="354"/>
      <c r="R953" s="355"/>
      <c r="S953" s="56" t="str">
        <f t="shared" si="32"/>
        <v> </v>
      </c>
      <c r="T953" s="43" t="s">
        <v>78</v>
      </c>
      <c r="U953" s="51" t="s">
        <v>184</v>
      </c>
      <c r="V953" s="50" t="s">
        <v>79</v>
      </c>
      <c r="W953" s="50"/>
      <c r="X953" s="50">
        <v>0.0</v>
      </c>
      <c r="Y953" s="43" t="s">
        <v>80</v>
      </c>
      <c r="Z953" s="58" t="s">
        <v>81</v>
      </c>
      <c r="AA953" s="81" t="s">
        <v>81</v>
      </c>
      <c r="AB953" s="140" t="s">
        <v>5739</v>
      </c>
      <c r="AC953" s="61"/>
      <c r="AD953" s="62"/>
      <c r="AE953" s="63"/>
      <c r="AF953" s="64" t="s">
        <v>84</v>
      </c>
      <c r="AG953" s="65" t="s">
        <v>106</v>
      </c>
      <c r="AH953" s="65"/>
      <c r="AI953" s="65" t="s">
        <v>107</v>
      </c>
      <c r="AJ953" s="111" t="s">
        <v>5566</v>
      </c>
      <c r="AK953" s="111" t="s">
        <v>81</v>
      </c>
      <c r="AL953" s="45" t="s">
        <v>109</v>
      </c>
      <c r="AM953" s="217">
        <v>3.20852652E9</v>
      </c>
      <c r="AN953" s="217">
        <v>3.103319459E9</v>
      </c>
      <c r="AO953" s="209"/>
      <c r="AP953" s="84" t="s">
        <v>5740</v>
      </c>
      <c r="AQ953" s="84"/>
      <c r="AR953" s="84"/>
      <c r="AS953" s="85">
        <v>0.0</v>
      </c>
      <c r="AT953" s="65">
        <v>0.0</v>
      </c>
      <c r="AU953" s="50">
        <v>0.0</v>
      </c>
      <c r="AV953" s="50">
        <v>0.0</v>
      </c>
      <c r="AW953" s="50" t="s">
        <v>88</v>
      </c>
      <c r="AX953" s="50">
        <v>0.0</v>
      </c>
      <c r="AY953" s="50" t="s">
        <v>137</v>
      </c>
      <c r="AZ953" s="50">
        <v>0.0</v>
      </c>
      <c r="BA953" s="43" t="s">
        <v>89</v>
      </c>
      <c r="BB953" s="50">
        <v>0.0</v>
      </c>
      <c r="BC953" s="69" t="s">
        <v>1909</v>
      </c>
      <c r="BD953" s="70"/>
      <c r="BE953" s="71"/>
      <c r="BF953" s="72" t="s">
        <v>5741</v>
      </c>
      <c r="BG953" s="73"/>
      <c r="BH953" s="73"/>
      <c r="BI953" s="73"/>
      <c r="BJ953" s="73"/>
      <c r="BK953" s="73"/>
      <c r="BL953" s="73"/>
      <c r="BM953" s="73"/>
      <c r="BN953" s="73"/>
      <c r="BO953" s="73"/>
      <c r="BP953" s="73"/>
      <c r="BQ953" s="73"/>
      <c r="BR953" s="73"/>
      <c r="BS953" s="73"/>
      <c r="BT953" s="73"/>
      <c r="BU953" s="73"/>
      <c r="BV953" s="73"/>
      <c r="BW953" s="74"/>
      <c r="BX953" s="74"/>
      <c r="BY953" s="63"/>
      <c r="BZ953" s="63"/>
    </row>
    <row r="954" ht="15.75" customHeight="1">
      <c r="A954" s="75" t="s">
        <v>5742</v>
      </c>
      <c r="B954" s="50" t="s">
        <v>5743</v>
      </c>
      <c r="C954" s="50" t="s">
        <v>664</v>
      </c>
      <c r="D954" s="50"/>
      <c r="E954" s="77"/>
      <c r="F954" s="78">
        <v>1.68E8</v>
      </c>
      <c r="G954" s="44" t="str">
        <f t="shared" si="16"/>
        <v>$100'000.000 a $200'000.000</v>
      </c>
      <c r="H954" s="44"/>
      <c r="I954" s="44"/>
      <c r="J954" s="50" t="s">
        <v>94</v>
      </c>
      <c r="K954" s="51"/>
      <c r="L954" s="50">
        <v>0.0</v>
      </c>
      <c r="M954" s="50"/>
      <c r="N954" s="50">
        <v>0.0</v>
      </c>
      <c r="O954" s="50">
        <v>0.0</v>
      </c>
      <c r="P954" s="50">
        <v>0.0</v>
      </c>
      <c r="Q954" s="88">
        <v>0.0</v>
      </c>
      <c r="R954" s="88">
        <v>1686.0</v>
      </c>
      <c r="S954" s="56" t="str">
        <f t="shared" si="32"/>
        <v> </v>
      </c>
      <c r="T954" s="50" t="s">
        <v>920</v>
      </c>
      <c r="U954" s="51"/>
      <c r="V954" s="50" t="s">
        <v>118</v>
      </c>
      <c r="W954" s="50"/>
      <c r="X954" s="50">
        <v>0.0</v>
      </c>
      <c r="Y954" s="43" t="s">
        <v>80</v>
      </c>
      <c r="Z954" s="58"/>
      <c r="AA954" s="59" t="str">
        <f>IF(Rentabilidad=0,"No aplica",TEXT(ROUND(Precio/Rentabilidad/12,0),0) &amp; " años")</f>
        <v>No aplica</v>
      </c>
      <c r="AB954" s="115" t="s">
        <v>5744</v>
      </c>
      <c r="AC954" s="124" t="s">
        <v>5745</v>
      </c>
      <c r="AD954" s="125" t="s">
        <v>5746</v>
      </c>
      <c r="AE954" s="63"/>
      <c r="AF954" s="64">
        <v>0.0</v>
      </c>
      <c r="AG954" s="65" t="s">
        <v>106</v>
      </c>
      <c r="AH954" s="65"/>
      <c r="AI954" s="65" t="s">
        <v>107</v>
      </c>
      <c r="AJ954" s="111" t="s">
        <v>5566</v>
      </c>
      <c r="AK954" s="111" t="s">
        <v>81</v>
      </c>
      <c r="AL954" s="45" t="s">
        <v>109</v>
      </c>
      <c r="AM954" s="217">
        <v>3.20852652E9</v>
      </c>
      <c r="AN954" s="217">
        <v>3.103319459E9</v>
      </c>
      <c r="AO954" s="209"/>
      <c r="AP954" s="84">
        <v>0.0</v>
      </c>
      <c r="AQ954" s="84"/>
      <c r="AR954" s="84"/>
      <c r="AS954" s="85">
        <v>0.0</v>
      </c>
      <c r="AT954" s="65">
        <v>0.0</v>
      </c>
      <c r="AU954" s="50">
        <v>0.0</v>
      </c>
      <c r="AV954" s="50">
        <v>0.0</v>
      </c>
      <c r="AW954" s="50" t="s">
        <v>88</v>
      </c>
      <c r="AX954" s="50">
        <v>0.0</v>
      </c>
      <c r="AY954" s="50">
        <v>0.0</v>
      </c>
      <c r="AZ954" s="50">
        <v>0.0</v>
      </c>
      <c r="BA954" s="43" t="s">
        <v>89</v>
      </c>
      <c r="BB954" s="50">
        <v>0.0</v>
      </c>
      <c r="BC954" s="95" t="s">
        <v>716</v>
      </c>
      <c r="BD954" s="71"/>
      <c r="BE954" s="71"/>
      <c r="BF954" s="72" t="s">
        <v>5747</v>
      </c>
      <c r="BG954" s="73"/>
      <c r="BH954" s="73"/>
      <c r="BI954" s="73"/>
      <c r="BJ954" s="73"/>
      <c r="BK954" s="73"/>
      <c r="BL954" s="73"/>
      <c r="BM954" s="73"/>
      <c r="BN954" s="73"/>
      <c r="BO954" s="73"/>
      <c r="BP954" s="73"/>
      <c r="BQ954" s="73"/>
      <c r="BR954" s="73"/>
      <c r="BS954" s="73"/>
      <c r="BT954" s="73"/>
      <c r="BU954" s="73"/>
      <c r="BV954" s="73"/>
      <c r="BW954" s="74"/>
      <c r="BX954" s="74"/>
      <c r="BY954" s="63"/>
      <c r="BZ954" s="63"/>
    </row>
    <row r="955" ht="15.75" customHeight="1">
      <c r="A955" s="75" t="s">
        <v>3950</v>
      </c>
      <c r="B955" s="50" t="s">
        <v>5642</v>
      </c>
      <c r="C955" s="50" t="s">
        <v>497</v>
      </c>
      <c r="D955" s="50"/>
      <c r="E955" s="64"/>
      <c r="F955" s="78">
        <v>1.5E8</v>
      </c>
      <c r="G955" s="44" t="str">
        <f t="shared" si="16"/>
        <v>$100'000.000 a $200'000.000</v>
      </c>
      <c r="H955" s="44"/>
      <c r="I955" s="44"/>
      <c r="J955" s="50" t="s">
        <v>498</v>
      </c>
      <c r="K955" s="51"/>
      <c r="L955" s="50">
        <v>3.0</v>
      </c>
      <c r="M955" s="50"/>
      <c r="N955" s="50">
        <v>1.0</v>
      </c>
      <c r="O955" s="50">
        <v>1.0</v>
      </c>
      <c r="P955" s="50">
        <v>1.0</v>
      </c>
      <c r="Q955" s="88">
        <v>0.0</v>
      </c>
      <c r="R955" s="88">
        <v>25000.0</v>
      </c>
      <c r="S955" s="56"/>
      <c r="T955" s="50" t="s">
        <v>992</v>
      </c>
      <c r="U955" s="57"/>
      <c r="V955" s="44"/>
      <c r="W955" s="44"/>
      <c r="X955" s="50">
        <v>1.0</v>
      </c>
      <c r="Y955" s="50" t="s">
        <v>80</v>
      </c>
      <c r="Z955" s="58" t="s">
        <v>81</v>
      </c>
      <c r="AA955" s="59" t="str">
        <f>IF(Rentabilidad=0,"No aplica",TEXT(ROUND(Precio/Rentabilidad/12,0),0) &amp; " años")</f>
        <v>No aplica</v>
      </c>
      <c r="AB955" s="82" t="s">
        <v>5748</v>
      </c>
      <c r="AC955" s="102" t="s">
        <v>5749</v>
      </c>
      <c r="AD955" s="103" t="s">
        <v>5750</v>
      </c>
      <c r="AE955" s="63"/>
      <c r="AF955" s="64" t="s">
        <v>84</v>
      </c>
      <c r="AG955" s="65" t="s">
        <v>106</v>
      </c>
      <c r="AH955" s="63"/>
      <c r="AI955" s="65" t="s">
        <v>107</v>
      </c>
      <c r="AJ955" s="111" t="s">
        <v>5566</v>
      </c>
      <c r="AK955" s="50" t="s">
        <v>81</v>
      </c>
      <c r="AL955" s="45" t="s">
        <v>109</v>
      </c>
      <c r="AM955" s="217">
        <v>3.20852652E9</v>
      </c>
      <c r="AN955" s="217">
        <v>3.103319459E9</v>
      </c>
      <c r="AO955" s="43">
        <v>0.0</v>
      </c>
      <c r="AP955" s="84" t="s">
        <v>5683</v>
      </c>
      <c r="AQ955" s="84"/>
      <c r="AR955" s="84"/>
      <c r="AS955" s="94">
        <v>0.0</v>
      </c>
      <c r="AT955" s="50" t="s">
        <v>88</v>
      </c>
      <c r="AU955" s="43">
        <v>0.0</v>
      </c>
      <c r="AV955" s="43">
        <v>0.0</v>
      </c>
      <c r="AW955" s="43" t="s">
        <v>88</v>
      </c>
      <c r="AX955" s="43">
        <v>0.0</v>
      </c>
      <c r="AY955" s="43">
        <v>0.0</v>
      </c>
      <c r="AZ955" s="43">
        <v>0.0</v>
      </c>
      <c r="BA955" s="43" t="s">
        <v>89</v>
      </c>
      <c r="BB955" s="43">
        <v>0.0</v>
      </c>
      <c r="BC955" s="69" t="s">
        <v>2686</v>
      </c>
      <c r="BD955" s="70"/>
      <c r="BE955" s="71"/>
      <c r="BF955" s="72" t="s">
        <v>5751</v>
      </c>
      <c r="BG955" s="73"/>
      <c r="BH955" s="73"/>
      <c r="BI955" s="73"/>
      <c r="BJ955" s="73"/>
      <c r="BK955" s="73"/>
      <c r="BL955" s="73"/>
      <c r="BM955" s="73"/>
      <c r="BN955" s="73"/>
      <c r="BO955" s="73"/>
      <c r="BP955" s="73"/>
      <c r="BQ955" s="73"/>
      <c r="BR955" s="73"/>
      <c r="BS955" s="73"/>
      <c r="BT955" s="73"/>
      <c r="BU955" s="73"/>
      <c r="BV955" s="73"/>
      <c r="BW955" s="74"/>
      <c r="BX955" s="74"/>
      <c r="BY955" s="63"/>
      <c r="BZ955" s="63"/>
    </row>
    <row r="956" ht="15.75" customHeight="1">
      <c r="A956" s="133" t="s">
        <v>5752</v>
      </c>
      <c r="B956" s="43" t="s">
        <v>5753</v>
      </c>
      <c r="C956" s="43" t="s">
        <v>664</v>
      </c>
      <c r="D956" s="52"/>
      <c r="E956" s="64" t="s">
        <v>5754</v>
      </c>
      <c r="F956" s="78">
        <v>1.5E8</v>
      </c>
      <c r="G956" s="44" t="str">
        <f t="shared" si="16"/>
        <v>$100'000.000 a $200'000.000</v>
      </c>
      <c r="H956" s="44"/>
      <c r="I956" s="44"/>
      <c r="J956" s="43" t="s">
        <v>94</v>
      </c>
      <c r="K956" s="142"/>
      <c r="L956" s="43">
        <v>0.0</v>
      </c>
      <c r="M956" s="43"/>
      <c r="N956" s="43">
        <v>0.0</v>
      </c>
      <c r="O956" s="43">
        <v>0.0</v>
      </c>
      <c r="P956" s="43">
        <v>0.0</v>
      </c>
      <c r="Q956" s="89">
        <v>0.0</v>
      </c>
      <c r="R956" s="88">
        <v>727.0</v>
      </c>
      <c r="S956" s="56" t="str">
        <f t="shared" ref="S956:S964" si="33">IF(AS956=0," ","Rentabilidad $" &amp; TEXT(AS956,"#,##0"))</f>
        <v> </v>
      </c>
      <c r="T956" s="43" t="s">
        <v>342</v>
      </c>
      <c r="U956" s="142"/>
      <c r="V956" s="43" t="s">
        <v>118</v>
      </c>
      <c r="W956" s="43"/>
      <c r="X956" s="43">
        <v>0.0</v>
      </c>
      <c r="Y956" s="43" t="s">
        <v>80</v>
      </c>
      <c r="Z956" s="58"/>
      <c r="AA956" s="59" t="str">
        <f>IF(Rentabilidad=0,"No aplica",TEXT(ROUND(Precio/Rentabilidad/12,0),0) &amp; " años")</f>
        <v>No aplica</v>
      </c>
      <c r="AB956" s="140" t="s">
        <v>5755</v>
      </c>
      <c r="AC956" s="336" t="s">
        <v>5756</v>
      </c>
      <c r="AD956" s="107" t="s">
        <v>5757</v>
      </c>
      <c r="AE956" s="63"/>
      <c r="AF956" s="64">
        <v>0.0</v>
      </c>
      <c r="AG956" s="65" t="s">
        <v>106</v>
      </c>
      <c r="AH956" s="63"/>
      <c r="AI956" s="65" t="s">
        <v>107</v>
      </c>
      <c r="AJ956" s="111" t="s">
        <v>5566</v>
      </c>
      <c r="AK956" s="50" t="s">
        <v>81</v>
      </c>
      <c r="AL956" s="45" t="s">
        <v>109</v>
      </c>
      <c r="AM956" s="217">
        <v>3.20852652E9</v>
      </c>
      <c r="AN956" s="217">
        <v>3.103319459E9</v>
      </c>
      <c r="AO956" s="43">
        <v>0.0</v>
      </c>
      <c r="AP956" s="84">
        <v>0.0</v>
      </c>
      <c r="AQ956" s="84"/>
      <c r="AR956" s="84"/>
      <c r="AS956" s="94">
        <v>0.0</v>
      </c>
      <c r="AT956" s="50">
        <v>0.0</v>
      </c>
      <c r="AU956" s="43">
        <v>0.0</v>
      </c>
      <c r="AV956" s="43">
        <v>0.0</v>
      </c>
      <c r="AW956" s="43" t="s">
        <v>88</v>
      </c>
      <c r="AX956" s="43">
        <v>0.0</v>
      </c>
      <c r="AY956" s="43">
        <v>0.0</v>
      </c>
      <c r="AZ956" s="43">
        <v>22.0</v>
      </c>
      <c r="BA956" s="43" t="s">
        <v>89</v>
      </c>
      <c r="BB956" s="43">
        <v>34.0</v>
      </c>
      <c r="BC956" s="95"/>
      <c r="BD956" s="71"/>
      <c r="BE956" s="71"/>
      <c r="BF956" s="72" t="s">
        <v>5758</v>
      </c>
      <c r="BG956" s="73"/>
      <c r="BH956" s="73"/>
      <c r="BI956" s="73"/>
      <c r="BJ956" s="73"/>
      <c r="BK956" s="73"/>
      <c r="BL956" s="73"/>
      <c r="BM956" s="73"/>
      <c r="BN956" s="73"/>
      <c r="BO956" s="73"/>
      <c r="BP956" s="73"/>
      <c r="BQ956" s="73"/>
      <c r="BR956" s="73"/>
      <c r="BS956" s="73"/>
      <c r="BT956" s="73"/>
      <c r="BU956" s="73"/>
      <c r="BV956" s="73"/>
      <c r="BW956" s="74"/>
      <c r="BX956" s="74"/>
      <c r="BY956" s="63"/>
      <c r="BZ956" s="63"/>
    </row>
    <row r="957" ht="15.75" customHeight="1">
      <c r="A957" s="133" t="s">
        <v>5759</v>
      </c>
      <c r="B957" s="50" t="s">
        <v>5760</v>
      </c>
      <c r="C957" s="50" t="s">
        <v>271</v>
      </c>
      <c r="D957" s="50" t="s">
        <v>2532</v>
      </c>
      <c r="E957" s="77"/>
      <c r="F957" s="78">
        <v>1.5E8</v>
      </c>
      <c r="G957" s="44" t="str">
        <f t="shared" si="16"/>
        <v>$100'000.000 a $200'000.000</v>
      </c>
      <c r="H957" s="44"/>
      <c r="I957" s="44"/>
      <c r="J957" s="50" t="s">
        <v>94</v>
      </c>
      <c r="K957" s="51" t="s">
        <v>461</v>
      </c>
      <c r="L957" s="50">
        <v>3.0</v>
      </c>
      <c r="M957" s="50"/>
      <c r="N957" s="50">
        <v>3.0</v>
      </c>
      <c r="O957" s="50">
        <v>0.0</v>
      </c>
      <c r="P957" s="50">
        <v>1.0</v>
      </c>
      <c r="Q957" s="79">
        <v>108.0</v>
      </c>
      <c r="R957" s="79"/>
      <c r="S957" s="56" t="str">
        <f t="shared" si="33"/>
        <v> </v>
      </c>
      <c r="T957" s="50" t="s">
        <v>78</v>
      </c>
      <c r="U957" s="51" t="s">
        <v>184</v>
      </c>
      <c r="V957" s="50" t="s">
        <v>118</v>
      </c>
      <c r="W957" s="50"/>
      <c r="X957" s="50">
        <v>0.0</v>
      </c>
      <c r="Y957" s="50" t="s">
        <v>80</v>
      </c>
      <c r="Z957" s="80" t="s">
        <v>81</v>
      </c>
      <c r="AA957" s="59" t="str">
        <f>IF(Rentabilidad=0,"No aplica",TEXT(ROUND(Precio/Rentabilidad/12,0),0) &amp; " años")</f>
        <v>No aplica</v>
      </c>
      <c r="AB957" s="100" t="s">
        <v>5761</v>
      </c>
      <c r="AC957" s="131" t="s">
        <v>5762</v>
      </c>
      <c r="AD957" s="125" t="s">
        <v>5763</v>
      </c>
      <c r="AE957" s="63"/>
      <c r="AF957" s="64" t="s">
        <v>84</v>
      </c>
      <c r="AG957" s="65" t="s">
        <v>106</v>
      </c>
      <c r="AH957" s="65"/>
      <c r="AI957" s="65" t="s">
        <v>107</v>
      </c>
      <c r="AJ957" s="111" t="s">
        <v>5566</v>
      </c>
      <c r="AK957" s="111" t="s">
        <v>81</v>
      </c>
      <c r="AL957" s="45" t="s">
        <v>109</v>
      </c>
      <c r="AM957" s="217">
        <v>3.20852652E9</v>
      </c>
      <c r="AN957" s="217">
        <v>3.103319459E9</v>
      </c>
      <c r="AO957" s="52"/>
      <c r="AP957" s="84" t="s">
        <v>5764</v>
      </c>
      <c r="AQ957" s="84"/>
      <c r="AR957" s="84"/>
      <c r="AS957" s="85"/>
      <c r="AT957" s="50"/>
      <c r="AU957" s="50"/>
      <c r="AV957" s="50"/>
      <c r="AW957" s="50" t="s">
        <v>106</v>
      </c>
      <c r="AX957" s="50"/>
      <c r="AY957" s="50"/>
      <c r="AZ957" s="50"/>
      <c r="BA957" s="43" t="s">
        <v>89</v>
      </c>
      <c r="BB957" s="50"/>
      <c r="BC957" s="95" t="s">
        <v>1957</v>
      </c>
      <c r="BD957" s="71"/>
      <c r="BE957" s="71"/>
      <c r="BF957" s="72" t="s">
        <v>5765</v>
      </c>
      <c r="BG957" s="73"/>
      <c r="BH957" s="73"/>
      <c r="BI957" s="73"/>
      <c r="BJ957" s="73"/>
      <c r="BK957" s="73"/>
      <c r="BL957" s="73"/>
      <c r="BM957" s="73"/>
      <c r="BN957" s="73"/>
      <c r="BO957" s="73"/>
      <c r="BP957" s="73"/>
      <c r="BQ957" s="73"/>
      <c r="BR957" s="73"/>
      <c r="BS957" s="73"/>
      <c r="BT957" s="73"/>
      <c r="BU957" s="73"/>
      <c r="BV957" s="73"/>
      <c r="BW957" s="74"/>
      <c r="BX957" s="74"/>
      <c r="BY957" s="63"/>
      <c r="BZ957" s="63"/>
    </row>
    <row r="958" ht="15.75" customHeight="1">
      <c r="A958" s="75" t="s">
        <v>5766</v>
      </c>
      <c r="B958" s="50" t="s">
        <v>5767</v>
      </c>
      <c r="C958" s="50" t="s">
        <v>664</v>
      </c>
      <c r="D958" s="50"/>
      <c r="E958" s="77" t="s">
        <v>5768</v>
      </c>
      <c r="F958" s="78">
        <v>1.3E8</v>
      </c>
      <c r="G958" s="44" t="str">
        <f t="shared" si="16"/>
        <v>$100'000.000 a $200'000.000</v>
      </c>
      <c r="H958" s="44"/>
      <c r="I958" s="44"/>
      <c r="J958" s="50" t="s">
        <v>94</v>
      </c>
      <c r="K958" s="51"/>
      <c r="L958" s="50">
        <v>0.0</v>
      </c>
      <c r="M958" s="50"/>
      <c r="N958" s="50">
        <v>0.0</v>
      </c>
      <c r="O958" s="50">
        <v>0.0</v>
      </c>
      <c r="P958" s="50">
        <v>0.0</v>
      </c>
      <c r="Q958" s="88">
        <v>0.0</v>
      </c>
      <c r="R958" s="88">
        <v>2200.0</v>
      </c>
      <c r="S958" s="56" t="str">
        <f t="shared" si="33"/>
        <v> </v>
      </c>
      <c r="T958" s="50" t="s">
        <v>95</v>
      </c>
      <c r="U958" s="51"/>
      <c r="V958" s="50" t="s">
        <v>79</v>
      </c>
      <c r="W958" s="50"/>
      <c r="X958" s="50">
        <v>0.0</v>
      </c>
      <c r="Y958" s="43" t="s">
        <v>80</v>
      </c>
      <c r="Z958" s="58"/>
      <c r="AA958" s="81" t="s">
        <v>81</v>
      </c>
      <c r="AB958" s="115" t="s">
        <v>5769</v>
      </c>
      <c r="AC958" s="124" t="s">
        <v>5770</v>
      </c>
      <c r="AD958" s="125" t="s">
        <v>5771</v>
      </c>
      <c r="AE958" s="63"/>
      <c r="AF958" s="64">
        <v>0.0</v>
      </c>
      <c r="AG958" s="65" t="s">
        <v>106</v>
      </c>
      <c r="AH958" s="65"/>
      <c r="AI958" s="65" t="s">
        <v>107</v>
      </c>
      <c r="AJ958" s="111" t="s">
        <v>5566</v>
      </c>
      <c r="AK958" s="111" t="s">
        <v>81</v>
      </c>
      <c r="AL958" s="45" t="s">
        <v>109</v>
      </c>
      <c r="AM958" s="217">
        <v>3.20852652E9</v>
      </c>
      <c r="AN958" s="217">
        <v>3.103319459E9</v>
      </c>
      <c r="AO958" s="209"/>
      <c r="AP958" s="84">
        <v>0.0</v>
      </c>
      <c r="AQ958" s="84"/>
      <c r="AR958" s="84"/>
      <c r="AS958" s="85">
        <v>0.0</v>
      </c>
      <c r="AT958" s="65">
        <v>0.0</v>
      </c>
      <c r="AU958" s="50">
        <v>0.0</v>
      </c>
      <c r="AV958" s="50">
        <v>0.0</v>
      </c>
      <c r="AW958" s="50" t="s">
        <v>88</v>
      </c>
      <c r="AX958" s="50">
        <v>0.0</v>
      </c>
      <c r="AY958" s="50">
        <v>0.0</v>
      </c>
      <c r="AZ958" s="50">
        <v>0.0</v>
      </c>
      <c r="BA958" s="43" t="s">
        <v>89</v>
      </c>
      <c r="BB958" s="50">
        <v>0.0</v>
      </c>
      <c r="BC958" s="69" t="s">
        <v>3073</v>
      </c>
      <c r="BD958" s="70"/>
      <c r="BE958" s="70"/>
      <c r="BF958" s="72" t="s">
        <v>5772</v>
      </c>
      <c r="BG958" s="73"/>
      <c r="BH958" s="73"/>
      <c r="BI958" s="73"/>
      <c r="BJ958" s="73"/>
      <c r="BK958" s="73"/>
      <c r="BL958" s="73"/>
      <c r="BM958" s="73"/>
      <c r="BN958" s="73"/>
      <c r="BO958" s="73"/>
      <c r="BP958" s="73"/>
      <c r="BQ958" s="73"/>
      <c r="BR958" s="73"/>
      <c r="BS958" s="73"/>
      <c r="BT958" s="73"/>
      <c r="BU958" s="73"/>
      <c r="BV958" s="73"/>
      <c r="BW958" s="74"/>
      <c r="BX958" s="74"/>
      <c r="BY958" s="63"/>
      <c r="BZ958" s="63"/>
    </row>
    <row r="959" ht="15.75" customHeight="1">
      <c r="A959" s="75" t="s">
        <v>5773</v>
      </c>
      <c r="B959" s="50" t="s">
        <v>5774</v>
      </c>
      <c r="C959" s="50" t="s">
        <v>315</v>
      </c>
      <c r="D959" s="50"/>
      <c r="E959" s="64"/>
      <c r="F959" s="78">
        <v>1.3E8</v>
      </c>
      <c r="G959" s="44" t="str">
        <f t="shared" si="16"/>
        <v>$100'000.000 a $200'000.000</v>
      </c>
      <c r="H959" s="44"/>
      <c r="I959" s="44"/>
      <c r="J959" s="50" t="s">
        <v>94</v>
      </c>
      <c r="K959" s="51"/>
      <c r="L959" s="50">
        <v>0.0</v>
      </c>
      <c r="M959" s="50"/>
      <c r="N959" s="50">
        <v>0.0</v>
      </c>
      <c r="O959" s="50">
        <v>0.0</v>
      </c>
      <c r="P959" s="50">
        <v>0.0</v>
      </c>
      <c r="Q959" s="88">
        <v>0.0</v>
      </c>
      <c r="R959" s="88">
        <v>3000.0</v>
      </c>
      <c r="S959" s="56" t="str">
        <f t="shared" si="33"/>
        <v> </v>
      </c>
      <c r="T959" s="50" t="s">
        <v>95</v>
      </c>
      <c r="U959" s="57"/>
      <c r="V959" s="44"/>
      <c r="W959" s="44"/>
      <c r="X959" s="50">
        <v>0.0</v>
      </c>
      <c r="Y959" s="50" t="s">
        <v>80</v>
      </c>
      <c r="Z959" s="91"/>
      <c r="AA959" s="59" t="str">
        <f>IF(Rentabilidad=0,"No aplica",TEXT(ROUND(Precio/Rentabilidad/12,0),0) &amp; " años")</f>
        <v>No aplica</v>
      </c>
      <c r="AB959" s="82" t="s">
        <v>5775</v>
      </c>
      <c r="AC959" s="102" t="s">
        <v>5776</v>
      </c>
      <c r="AD959" s="97" t="s">
        <v>5777</v>
      </c>
      <c r="AE959" s="63"/>
      <c r="AF959" s="64">
        <v>0.0</v>
      </c>
      <c r="AG959" s="65" t="s">
        <v>106</v>
      </c>
      <c r="AH959" s="63"/>
      <c r="AI959" s="65" t="s">
        <v>107</v>
      </c>
      <c r="AJ959" s="111" t="s">
        <v>5566</v>
      </c>
      <c r="AK959" s="50" t="s">
        <v>81</v>
      </c>
      <c r="AL959" s="45" t="s">
        <v>109</v>
      </c>
      <c r="AM959" s="217">
        <v>3.20852652E9</v>
      </c>
      <c r="AN959" s="217">
        <v>3.103319459E9</v>
      </c>
      <c r="AO959" s="43">
        <v>0.0</v>
      </c>
      <c r="AP959" s="84"/>
      <c r="AQ959" s="84"/>
      <c r="AR959" s="84"/>
      <c r="AS959" s="85"/>
      <c r="AT959" s="50" t="s">
        <v>88</v>
      </c>
      <c r="AU959" s="50">
        <v>0.0</v>
      </c>
      <c r="AV959" s="50">
        <v>0.0</v>
      </c>
      <c r="AW959" s="50" t="s">
        <v>88</v>
      </c>
      <c r="AX959" s="50">
        <v>0.0</v>
      </c>
      <c r="AY959" s="50">
        <v>0.0</v>
      </c>
      <c r="AZ959" s="50">
        <v>0.0</v>
      </c>
      <c r="BA959" s="43" t="s">
        <v>89</v>
      </c>
      <c r="BB959" s="50">
        <v>0.0</v>
      </c>
      <c r="BC959" s="95"/>
      <c r="BD959" s="71"/>
      <c r="BE959" s="71"/>
      <c r="BF959" s="72" t="s">
        <v>5778</v>
      </c>
      <c r="BG959" s="73"/>
      <c r="BH959" s="73"/>
      <c r="BI959" s="73"/>
      <c r="BJ959" s="73"/>
      <c r="BK959" s="73"/>
      <c r="BL959" s="73"/>
      <c r="BM959" s="73"/>
      <c r="BN959" s="73"/>
      <c r="BO959" s="73"/>
      <c r="BP959" s="73"/>
      <c r="BQ959" s="73"/>
      <c r="BR959" s="73"/>
      <c r="BS959" s="73"/>
      <c r="BT959" s="73"/>
      <c r="BU959" s="73"/>
      <c r="BV959" s="73"/>
      <c r="BW959" s="74"/>
      <c r="BX959" s="74"/>
      <c r="BY959" s="63"/>
      <c r="BZ959" s="63"/>
    </row>
    <row r="960" ht="15.75" customHeight="1">
      <c r="A960" s="75" t="s">
        <v>5779</v>
      </c>
      <c r="B960" s="50" t="s">
        <v>5737</v>
      </c>
      <c r="C960" s="50" t="s">
        <v>70</v>
      </c>
      <c r="D960" s="58" t="s">
        <v>5738</v>
      </c>
      <c r="E960" s="45"/>
      <c r="F960" s="78">
        <v>1.2E8</v>
      </c>
      <c r="G960" s="44" t="str">
        <f t="shared" si="16"/>
        <v>$100'000.000 a $200'000.000</v>
      </c>
      <c r="H960" s="44"/>
      <c r="I960" s="44"/>
      <c r="J960" s="50" t="s">
        <v>76</v>
      </c>
      <c r="K960" s="56" t="s">
        <v>77</v>
      </c>
      <c r="L960" s="43">
        <v>4.0</v>
      </c>
      <c r="M960" s="43"/>
      <c r="N960" s="43">
        <v>1.0</v>
      </c>
      <c r="O960" s="43">
        <v>0.0</v>
      </c>
      <c r="P960" s="43">
        <v>1.0</v>
      </c>
      <c r="Q960" s="54"/>
      <c r="R960" s="55">
        <v>72.0</v>
      </c>
      <c r="S960" s="56" t="str">
        <f t="shared" si="33"/>
        <v> </v>
      </c>
      <c r="T960" s="44" t="s">
        <v>78</v>
      </c>
      <c r="U960" s="56" t="s">
        <v>184</v>
      </c>
      <c r="V960" s="43" t="s">
        <v>79</v>
      </c>
      <c r="W960" s="43"/>
      <c r="X960" s="43">
        <v>0.0</v>
      </c>
      <c r="Y960" s="65" t="s">
        <v>80</v>
      </c>
      <c r="Z960" s="58" t="s">
        <v>81</v>
      </c>
      <c r="AA960" s="59" t="str">
        <f>IF(Rentabilidad=0,"No aplica",TEXT(ROUND(Precio/Rentabilidad/12,0),0) &amp; " años")</f>
        <v>No aplica</v>
      </c>
      <c r="AB960" s="134" t="s">
        <v>5780</v>
      </c>
      <c r="AC960" s="61"/>
      <c r="AD960" s="62"/>
      <c r="AE960" s="63"/>
      <c r="AF960" s="64" t="s">
        <v>84</v>
      </c>
      <c r="AG960" s="65" t="s">
        <v>106</v>
      </c>
      <c r="AH960" s="63"/>
      <c r="AI960" s="65" t="s">
        <v>107</v>
      </c>
      <c r="AJ960" s="111" t="s">
        <v>5566</v>
      </c>
      <c r="AK960" s="50" t="s">
        <v>81</v>
      </c>
      <c r="AL960" s="45" t="s">
        <v>109</v>
      </c>
      <c r="AM960" s="217">
        <v>3.20852652E9</v>
      </c>
      <c r="AN960" s="217">
        <v>3.103319459E9</v>
      </c>
      <c r="AO960" s="52"/>
      <c r="AP960" s="84" t="s">
        <v>5781</v>
      </c>
      <c r="AQ960" s="84"/>
      <c r="AR960" s="84"/>
      <c r="AS960" s="135"/>
      <c r="AT960" s="44"/>
      <c r="AU960" s="52"/>
      <c r="AV960" s="52"/>
      <c r="AW960" s="43" t="s">
        <v>88</v>
      </c>
      <c r="AX960" s="52"/>
      <c r="AY960" s="43">
        <v>0.0</v>
      </c>
      <c r="AZ960" s="43">
        <v>0.0</v>
      </c>
      <c r="BA960" s="43" t="s">
        <v>89</v>
      </c>
      <c r="BB960" s="43">
        <v>0.0</v>
      </c>
      <c r="BC960" s="69" t="s">
        <v>5782</v>
      </c>
      <c r="BD960" s="70"/>
      <c r="BE960" s="71"/>
      <c r="BF960" s="72" t="s">
        <v>5783</v>
      </c>
      <c r="BG960" s="73"/>
      <c r="BH960" s="73"/>
      <c r="BI960" s="73"/>
      <c r="BJ960" s="73"/>
      <c r="BK960" s="73"/>
      <c r="BL960" s="73"/>
      <c r="BM960" s="73"/>
      <c r="BN960" s="73"/>
      <c r="BO960" s="73"/>
      <c r="BP960" s="73"/>
      <c r="BQ960" s="73"/>
      <c r="BR960" s="73"/>
      <c r="BS960" s="73"/>
      <c r="BT960" s="73"/>
      <c r="BU960" s="73"/>
      <c r="BV960" s="73"/>
      <c r="BW960" s="74"/>
      <c r="BX960" s="74"/>
      <c r="BY960" s="63"/>
      <c r="BZ960" s="63"/>
    </row>
    <row r="961" ht="15.75" customHeight="1">
      <c r="A961" s="204" t="s">
        <v>5784</v>
      </c>
      <c r="B961" s="111" t="s">
        <v>5785</v>
      </c>
      <c r="C961" s="111" t="s">
        <v>70</v>
      </c>
      <c r="D961" s="111" t="s">
        <v>1141</v>
      </c>
      <c r="E961" s="205"/>
      <c r="F961" s="78">
        <v>1.15E8</v>
      </c>
      <c r="G961" s="44" t="str">
        <f t="shared" si="16"/>
        <v>$100'000.000 a $200'000.000</v>
      </c>
      <c r="H961" s="44"/>
      <c r="I961" s="44"/>
      <c r="J961" s="111" t="s">
        <v>94</v>
      </c>
      <c r="K961" s="187" t="s">
        <v>117</v>
      </c>
      <c r="L961" s="111">
        <v>2.0</v>
      </c>
      <c r="M961" s="111"/>
      <c r="N961" s="111">
        <v>1.0</v>
      </c>
      <c r="O961" s="111">
        <v>1.0</v>
      </c>
      <c r="P961" s="111">
        <v>1.0</v>
      </c>
      <c r="Q961" s="79">
        <v>91.0</v>
      </c>
      <c r="R961" s="79">
        <v>91.0</v>
      </c>
      <c r="S961" s="56" t="str">
        <f t="shared" si="33"/>
        <v> </v>
      </c>
      <c r="T961" s="111" t="s">
        <v>78</v>
      </c>
      <c r="U961" s="187" t="s">
        <v>184</v>
      </c>
      <c r="V961" s="111" t="s">
        <v>79</v>
      </c>
      <c r="W961" s="111"/>
      <c r="X961" s="111">
        <v>0.0</v>
      </c>
      <c r="Y961" s="209"/>
      <c r="Z961" s="58" t="s">
        <v>81</v>
      </c>
      <c r="AA961" s="59" t="str">
        <f>IF(Rentabilidad=0,"No aplica",TEXT(ROUND(Precio/Rentabilidad/12,0),0) &amp; " años")</f>
        <v>No aplica</v>
      </c>
      <c r="AB961" s="207" t="s">
        <v>5786</v>
      </c>
      <c r="AC961" s="61"/>
      <c r="AD961" s="218" t="s">
        <v>5787</v>
      </c>
      <c r="AE961" s="209"/>
      <c r="AF961" s="217" t="s">
        <v>105</v>
      </c>
      <c r="AG961" s="111" t="s">
        <v>106</v>
      </c>
      <c r="AH961" s="209"/>
      <c r="AI961" s="65" t="s">
        <v>107</v>
      </c>
      <c r="AJ961" s="111" t="s">
        <v>5566</v>
      </c>
      <c r="AK961" s="111" t="s">
        <v>81</v>
      </c>
      <c r="AL961" s="45" t="s">
        <v>109</v>
      </c>
      <c r="AM961" s="217">
        <v>3.20852652E9</v>
      </c>
      <c r="AN961" s="217">
        <v>3.103319459E9</v>
      </c>
      <c r="AO961" s="209"/>
      <c r="AP961" s="219" t="s">
        <v>5788</v>
      </c>
      <c r="AQ961" s="219"/>
      <c r="AR961" s="219"/>
      <c r="AS961" s="209"/>
      <c r="AT961" s="209"/>
      <c r="AU961" s="209"/>
      <c r="AV961" s="209"/>
      <c r="AW961" s="111" t="s">
        <v>106</v>
      </c>
      <c r="AX961" s="209"/>
      <c r="AY961" s="111" t="s">
        <v>106</v>
      </c>
      <c r="AZ961" s="111">
        <v>0.0</v>
      </c>
      <c r="BA961" s="43" t="s">
        <v>89</v>
      </c>
      <c r="BB961" s="111">
        <v>0.0</v>
      </c>
      <c r="BC961" s="95"/>
      <c r="BD961" s="71"/>
      <c r="BE961" s="71"/>
      <c r="BF961" s="72" t="s">
        <v>5789</v>
      </c>
      <c r="BG961" s="73"/>
      <c r="BH961" s="73"/>
      <c r="BI961" s="73"/>
      <c r="BJ961" s="73"/>
      <c r="BK961" s="73"/>
      <c r="BL961" s="73"/>
      <c r="BM961" s="73"/>
      <c r="BN961" s="73"/>
      <c r="BO961" s="73"/>
      <c r="BP961" s="73"/>
      <c r="BQ961" s="73"/>
      <c r="BR961" s="73"/>
      <c r="BS961" s="73"/>
      <c r="BT961" s="73"/>
      <c r="BU961" s="73"/>
      <c r="BV961" s="73"/>
      <c r="BW961" s="74"/>
      <c r="BX961" s="74"/>
      <c r="BY961" s="63"/>
      <c r="BZ961" s="63"/>
    </row>
    <row r="962" ht="15.75" customHeight="1">
      <c r="A962" s="75" t="s">
        <v>5790</v>
      </c>
      <c r="B962" s="50" t="s">
        <v>5791</v>
      </c>
      <c r="C962" s="50" t="s">
        <v>1228</v>
      </c>
      <c r="D962" s="50"/>
      <c r="E962" s="77"/>
      <c r="F962" s="78">
        <v>1.04E8</v>
      </c>
      <c r="G962" s="44" t="str">
        <f t="shared" si="16"/>
        <v>$100'000.000 a $200'000.000</v>
      </c>
      <c r="H962" s="44"/>
      <c r="I962" s="44"/>
      <c r="J962" s="50" t="s">
        <v>183</v>
      </c>
      <c r="K962" s="51"/>
      <c r="L962" s="50">
        <v>3.0</v>
      </c>
      <c r="M962" s="50"/>
      <c r="N962" s="50">
        <v>1.0</v>
      </c>
      <c r="O962" s="50">
        <v>1.0</v>
      </c>
      <c r="P962" s="50">
        <v>1.0</v>
      </c>
      <c r="Q962" s="88">
        <v>150.0</v>
      </c>
      <c r="R962" s="88">
        <v>450.0</v>
      </c>
      <c r="S962" s="56" t="str">
        <f t="shared" si="33"/>
        <v> </v>
      </c>
      <c r="T962" s="50" t="s">
        <v>78</v>
      </c>
      <c r="U962" s="51"/>
      <c r="V962" s="50"/>
      <c r="W962" s="50"/>
      <c r="X962" s="50">
        <v>0.0</v>
      </c>
      <c r="Y962" s="43" t="s">
        <v>80</v>
      </c>
      <c r="Z962" s="58"/>
      <c r="AA962" s="59" t="str">
        <f>IF(Rentabilidad=0,"No aplica",TEXT(ROUND(Precio/Rentabilidad/12,0),0) &amp; " años")</f>
        <v>No aplica</v>
      </c>
      <c r="AB962" s="115" t="s">
        <v>5792</v>
      </c>
      <c r="AC962" s="124" t="s">
        <v>5793</v>
      </c>
      <c r="AD962" s="356"/>
      <c r="AE962" s="63"/>
      <c r="AF962" s="64" t="s">
        <v>84</v>
      </c>
      <c r="AG962" s="65" t="s">
        <v>106</v>
      </c>
      <c r="AH962" s="65"/>
      <c r="AI962" s="65" t="s">
        <v>107</v>
      </c>
      <c r="AJ962" s="111" t="s">
        <v>5566</v>
      </c>
      <c r="AK962" s="111" t="s">
        <v>81</v>
      </c>
      <c r="AL962" s="45" t="s">
        <v>109</v>
      </c>
      <c r="AM962" s="217">
        <v>3.20852652E9</v>
      </c>
      <c r="AN962" s="217">
        <v>3.103319459E9</v>
      </c>
      <c r="AO962" s="209"/>
      <c r="AP962" s="84">
        <v>0.0</v>
      </c>
      <c r="AQ962" s="84"/>
      <c r="AR962" s="84"/>
      <c r="AS962" s="85">
        <v>0.0</v>
      </c>
      <c r="AT962" s="65">
        <v>0.0</v>
      </c>
      <c r="AU962" s="50">
        <v>0.0</v>
      </c>
      <c r="AV962" s="50">
        <v>0.0</v>
      </c>
      <c r="AW962" s="50" t="s">
        <v>88</v>
      </c>
      <c r="AX962" s="50">
        <v>0.0</v>
      </c>
      <c r="AY962" s="50">
        <v>0.0</v>
      </c>
      <c r="AZ962" s="50">
        <v>0.0</v>
      </c>
      <c r="BA962" s="43" t="s">
        <v>89</v>
      </c>
      <c r="BB962" s="50">
        <v>0.0</v>
      </c>
      <c r="BC962" s="109"/>
      <c r="BD962" s="70"/>
      <c r="BE962" s="71"/>
      <c r="BF962" s="72" t="s">
        <v>5794</v>
      </c>
      <c r="BG962" s="73"/>
      <c r="BH962" s="73"/>
      <c r="BI962" s="73"/>
      <c r="BJ962" s="73"/>
      <c r="BK962" s="73"/>
      <c r="BL962" s="73"/>
      <c r="BM962" s="73"/>
      <c r="BN962" s="73"/>
      <c r="BO962" s="73"/>
      <c r="BP962" s="73"/>
      <c r="BQ962" s="73"/>
      <c r="BR962" s="73"/>
      <c r="BS962" s="73"/>
      <c r="BT962" s="73"/>
      <c r="BU962" s="73"/>
      <c r="BV962" s="73"/>
      <c r="BW962" s="74"/>
      <c r="BX962" s="74"/>
      <c r="BY962" s="63"/>
      <c r="BZ962" s="63"/>
    </row>
    <row r="963" ht="15.75" customHeight="1">
      <c r="A963" s="75" t="s">
        <v>5795</v>
      </c>
      <c r="B963" s="50" t="s">
        <v>5796</v>
      </c>
      <c r="C963" s="50" t="s">
        <v>70</v>
      </c>
      <c r="D963" s="43" t="s">
        <v>5797</v>
      </c>
      <c r="E963" s="45"/>
      <c r="F963" s="78">
        <v>9.5E7</v>
      </c>
      <c r="G963" s="44" t="str">
        <f t="shared" si="16"/>
        <v>$0 a $100'000.000</v>
      </c>
      <c r="H963" s="44"/>
      <c r="I963" s="44"/>
      <c r="J963" s="50" t="s">
        <v>183</v>
      </c>
      <c r="K963" s="51" t="s">
        <v>888</v>
      </c>
      <c r="L963" s="50">
        <v>3.0</v>
      </c>
      <c r="M963" s="50"/>
      <c r="N963" s="50">
        <v>1.0</v>
      </c>
      <c r="O963" s="50">
        <v>0.0</v>
      </c>
      <c r="P963" s="50">
        <v>1.0</v>
      </c>
      <c r="Q963" s="79">
        <v>72.0</v>
      </c>
      <c r="R963" s="79">
        <v>84.0</v>
      </c>
      <c r="S963" s="56" t="str">
        <f t="shared" si="33"/>
        <v> </v>
      </c>
      <c r="T963" s="43" t="s">
        <v>78</v>
      </c>
      <c r="U963" s="51" t="s">
        <v>184</v>
      </c>
      <c r="V963" s="50" t="s">
        <v>79</v>
      </c>
      <c r="W963" s="50"/>
      <c r="X963" s="50">
        <v>0.0</v>
      </c>
      <c r="Y963" s="43" t="s">
        <v>80</v>
      </c>
      <c r="Z963" s="58" t="s">
        <v>81</v>
      </c>
      <c r="AA963" s="59" t="str">
        <f>IF(Rentabilidad=0,"No aplica",TEXT(ROUND(Precio/Rentabilidad/12,0),0) &amp; " años")</f>
        <v>No aplica</v>
      </c>
      <c r="AB963" s="140" t="s">
        <v>5798</v>
      </c>
      <c r="AC963" s="131" t="s">
        <v>5799</v>
      </c>
      <c r="AD963" s="107" t="s">
        <v>5800</v>
      </c>
      <c r="AE963" s="63"/>
      <c r="AF963" s="64" t="s">
        <v>84</v>
      </c>
      <c r="AG963" s="65" t="s">
        <v>106</v>
      </c>
      <c r="AH963" s="65"/>
      <c r="AI963" s="65" t="s">
        <v>107</v>
      </c>
      <c r="AJ963" s="111" t="s">
        <v>5566</v>
      </c>
      <c r="AK963" s="111" t="s">
        <v>81</v>
      </c>
      <c r="AL963" s="45" t="s">
        <v>109</v>
      </c>
      <c r="AM963" s="217">
        <v>3.20852652E9</v>
      </c>
      <c r="AN963" s="217">
        <v>3.103319459E9</v>
      </c>
      <c r="AO963" s="52"/>
      <c r="AP963" s="84" t="s">
        <v>5801</v>
      </c>
      <c r="AQ963" s="84"/>
      <c r="AR963" s="84"/>
      <c r="AS963" s="68"/>
      <c r="AT963" s="63"/>
      <c r="AU963" s="44"/>
      <c r="AV963" s="44"/>
      <c r="AW963" s="44"/>
      <c r="AX963" s="44"/>
      <c r="AY963" s="44"/>
      <c r="AZ963" s="44"/>
      <c r="BA963" s="43" t="s">
        <v>89</v>
      </c>
      <c r="BB963" s="44"/>
      <c r="BC963" s="69" t="s">
        <v>1991</v>
      </c>
      <c r="BD963" s="121"/>
      <c r="BE963" s="71"/>
      <c r="BF963" s="72" t="s">
        <v>5802</v>
      </c>
      <c r="BG963" s="73"/>
      <c r="BH963" s="73"/>
      <c r="BI963" s="73"/>
      <c r="BJ963" s="73"/>
      <c r="BK963" s="73"/>
      <c r="BL963" s="73"/>
      <c r="BM963" s="73"/>
      <c r="BN963" s="73"/>
      <c r="BO963" s="73"/>
      <c r="BP963" s="73"/>
      <c r="BQ963" s="73"/>
      <c r="BR963" s="73"/>
      <c r="BS963" s="73"/>
      <c r="BT963" s="73"/>
      <c r="BU963" s="73"/>
      <c r="BV963" s="73"/>
      <c r="BW963" s="74"/>
      <c r="BX963" s="74"/>
      <c r="BY963" s="63"/>
      <c r="BZ963" s="63"/>
    </row>
    <row r="964" ht="15.75" customHeight="1">
      <c r="A964" s="75" t="s">
        <v>5803</v>
      </c>
      <c r="B964" s="50" t="s">
        <v>5804</v>
      </c>
      <c r="C964" s="50" t="s">
        <v>664</v>
      </c>
      <c r="D964" s="50"/>
      <c r="E964" s="77" t="s">
        <v>5805</v>
      </c>
      <c r="F964" s="78">
        <v>9.0E7</v>
      </c>
      <c r="G964" s="44" t="str">
        <f t="shared" si="16"/>
        <v>$0 a $100'000.000</v>
      </c>
      <c r="H964" s="44"/>
      <c r="I964" s="44"/>
      <c r="J964" s="50" t="s">
        <v>94</v>
      </c>
      <c r="K964" s="51"/>
      <c r="L964" s="50">
        <v>0.0</v>
      </c>
      <c r="M964" s="50"/>
      <c r="N964" s="50">
        <v>0.0</v>
      </c>
      <c r="O964" s="50">
        <v>0.0</v>
      </c>
      <c r="P964" s="50">
        <v>0.0</v>
      </c>
      <c r="Q964" s="88">
        <v>0.0</v>
      </c>
      <c r="R964" s="88">
        <v>2300.0</v>
      </c>
      <c r="S964" s="56" t="str">
        <f t="shared" si="33"/>
        <v> </v>
      </c>
      <c r="T964" s="50" t="s">
        <v>95</v>
      </c>
      <c r="U964" s="51"/>
      <c r="V964" s="50" t="s">
        <v>79</v>
      </c>
      <c r="W964" s="50"/>
      <c r="X964" s="50">
        <v>0.0</v>
      </c>
      <c r="Y964" s="43" t="s">
        <v>80</v>
      </c>
      <c r="Z964" s="58"/>
      <c r="AA964" s="81" t="s">
        <v>81</v>
      </c>
      <c r="AB964" s="115" t="s">
        <v>5806</v>
      </c>
      <c r="AC964" s="342" t="s">
        <v>5807</v>
      </c>
      <c r="AD964" s="353" t="s">
        <v>5808</v>
      </c>
      <c r="AE964" s="63"/>
      <c r="AF964" s="64">
        <v>0.0</v>
      </c>
      <c r="AG964" s="65" t="s">
        <v>106</v>
      </c>
      <c r="AH964" s="65"/>
      <c r="AI964" s="65" t="s">
        <v>107</v>
      </c>
      <c r="AJ964" s="111" t="s">
        <v>5566</v>
      </c>
      <c r="AK964" s="111" t="s">
        <v>81</v>
      </c>
      <c r="AL964" s="45" t="s">
        <v>109</v>
      </c>
      <c r="AM964" s="217">
        <v>3.20852652E9</v>
      </c>
      <c r="AN964" s="217">
        <v>3.103319459E9</v>
      </c>
      <c r="AO964" s="209"/>
      <c r="AP964" s="84">
        <v>0.0</v>
      </c>
      <c r="AQ964" s="84"/>
      <c r="AR964" s="84"/>
      <c r="AS964" s="85">
        <v>0.0</v>
      </c>
      <c r="AT964" s="65">
        <v>0.0</v>
      </c>
      <c r="AU964" s="50">
        <v>0.0</v>
      </c>
      <c r="AV964" s="50">
        <v>0.0</v>
      </c>
      <c r="AW964" s="50" t="s">
        <v>88</v>
      </c>
      <c r="AX964" s="50">
        <v>0.0</v>
      </c>
      <c r="AY964" s="50">
        <v>0.0</v>
      </c>
      <c r="AZ964" s="50">
        <v>36.0</v>
      </c>
      <c r="BA964" s="43" t="s">
        <v>89</v>
      </c>
      <c r="BB964" s="50">
        <v>64.0</v>
      </c>
      <c r="BC964" s="69" t="s">
        <v>5809</v>
      </c>
      <c r="BD964" s="70"/>
      <c r="BE964" s="71"/>
      <c r="BF964" s="72" t="s">
        <v>5810</v>
      </c>
      <c r="BG964" s="73"/>
      <c r="BH964" s="73"/>
      <c r="BI964" s="73"/>
      <c r="BJ964" s="73"/>
      <c r="BK964" s="73"/>
      <c r="BL964" s="73"/>
      <c r="BM964" s="73"/>
      <c r="BN964" s="73"/>
      <c r="BO964" s="73"/>
      <c r="BP964" s="73"/>
      <c r="BQ964" s="73"/>
      <c r="BR964" s="73"/>
      <c r="BS964" s="73"/>
      <c r="BT964" s="73"/>
      <c r="BU964" s="73"/>
      <c r="BV964" s="73"/>
      <c r="BW964" s="74"/>
      <c r="BX964" s="74"/>
      <c r="BY964" s="63"/>
      <c r="BZ964" s="63"/>
    </row>
    <row r="965" ht="15.75" customHeight="1">
      <c r="A965" s="111">
        <v>844.0</v>
      </c>
      <c r="B965" s="111" t="s">
        <v>1580</v>
      </c>
      <c r="C965" s="111" t="s">
        <v>323</v>
      </c>
      <c r="D965" s="209"/>
      <c r="E965" s="111" t="s">
        <v>5811</v>
      </c>
      <c r="F965" s="78">
        <v>8.7E7</v>
      </c>
      <c r="G965" s="44" t="str">
        <f t="shared" si="16"/>
        <v>$0 a $100'000.000</v>
      </c>
      <c r="H965" s="44"/>
      <c r="I965" s="44"/>
      <c r="J965" s="111" t="s">
        <v>94</v>
      </c>
      <c r="K965" s="111">
        <v>6.0</v>
      </c>
      <c r="L965" s="111">
        <v>3.0</v>
      </c>
      <c r="M965" s="111"/>
      <c r="N965" s="111">
        <v>2.0</v>
      </c>
      <c r="O965" s="111">
        <v>1.0</v>
      </c>
      <c r="P965" s="111">
        <v>5.0</v>
      </c>
      <c r="Q965" s="111">
        <v>50.81</v>
      </c>
      <c r="R965" s="111">
        <v>50.81</v>
      </c>
      <c r="T965" s="111" t="s">
        <v>78</v>
      </c>
      <c r="U965" s="111">
        <v>2.0</v>
      </c>
      <c r="V965" s="111" t="s">
        <v>333</v>
      </c>
      <c r="W965" s="111"/>
      <c r="X965" s="111">
        <v>0.0</v>
      </c>
      <c r="Y965" s="111" t="s">
        <v>80</v>
      </c>
      <c r="Z965" s="58">
        <v>30000.0</v>
      </c>
      <c r="AA965" s="59" t="str">
        <f>IF(Rentabilidad=0,"No aplica",TEXT(ROUND(Precio/Rentabilidad/12,0),0) &amp; " años")</f>
        <v>No aplica</v>
      </c>
      <c r="AB965" s="165" t="s">
        <v>5812</v>
      </c>
      <c r="AC965" s="102" t="s">
        <v>5813</v>
      </c>
      <c r="AD965" s="349"/>
      <c r="AF965" s="111" t="s">
        <v>84</v>
      </c>
      <c r="AG965" s="111" t="s">
        <v>106</v>
      </c>
      <c r="AI965" s="65" t="s">
        <v>107</v>
      </c>
      <c r="AJ965" s="111" t="s">
        <v>5566</v>
      </c>
      <c r="AK965" s="111" t="s">
        <v>81</v>
      </c>
      <c r="AL965" s="45" t="s">
        <v>109</v>
      </c>
      <c r="AM965" s="217">
        <v>3.20852652E9</v>
      </c>
      <c r="AN965" s="217">
        <v>3.103319459E9</v>
      </c>
      <c r="AO965" s="209"/>
      <c r="AP965" s="210"/>
      <c r="AQ965" s="210"/>
      <c r="AR965" s="210"/>
      <c r="AS965" s="209"/>
      <c r="AT965" s="111" t="s">
        <v>88</v>
      </c>
      <c r="AU965" s="111">
        <v>0.0</v>
      </c>
      <c r="AV965" s="111">
        <v>0.0</v>
      </c>
      <c r="AW965" s="111" t="s">
        <v>88</v>
      </c>
      <c r="AX965" s="209"/>
      <c r="AY965" s="111">
        <v>0.0</v>
      </c>
      <c r="AZ965" s="209"/>
      <c r="BA965" s="43" t="s">
        <v>89</v>
      </c>
      <c r="BB965" s="209"/>
      <c r="BF965" s="8" t="s">
        <v>5814</v>
      </c>
      <c r="BG965" s="73"/>
      <c r="BH965" s="73"/>
      <c r="BI965" s="73"/>
      <c r="BJ965" s="73"/>
      <c r="BK965" s="73"/>
      <c r="BL965" s="73"/>
      <c r="BM965" s="73"/>
      <c r="BN965" s="73"/>
      <c r="BO965" s="73"/>
      <c r="BP965" s="73"/>
      <c r="BQ965" s="73"/>
      <c r="BR965" s="73"/>
      <c r="BS965" s="73"/>
      <c r="BT965" s="73"/>
      <c r="BU965" s="73"/>
      <c r="BV965" s="73"/>
      <c r="BW965" s="74"/>
      <c r="BX965" s="74"/>
      <c r="BY965" s="63"/>
      <c r="BZ965" s="63"/>
    </row>
    <row r="966" ht="15.75" customHeight="1">
      <c r="A966" s="75" t="s">
        <v>5815</v>
      </c>
      <c r="B966" s="50" t="s">
        <v>368</v>
      </c>
      <c r="C966" s="50" t="s">
        <v>5816</v>
      </c>
      <c r="D966" s="50"/>
      <c r="E966" s="77" t="s">
        <v>5817</v>
      </c>
      <c r="F966" s="78">
        <v>6.5E7</v>
      </c>
      <c r="G966" s="44" t="str">
        <f t="shared" si="16"/>
        <v>$0 a $100'000.000</v>
      </c>
      <c r="H966" s="44"/>
      <c r="I966" s="44"/>
      <c r="J966" s="50" t="s">
        <v>94</v>
      </c>
      <c r="K966" s="51"/>
      <c r="L966" s="50">
        <v>0.0</v>
      </c>
      <c r="M966" s="50"/>
      <c r="N966" s="50">
        <v>0.0</v>
      </c>
      <c r="O966" s="50">
        <v>0.0</v>
      </c>
      <c r="P966" s="50">
        <v>0.0</v>
      </c>
      <c r="Q966" s="88">
        <v>0.0</v>
      </c>
      <c r="R966" s="88">
        <v>400.0</v>
      </c>
      <c r="S966" s="56" t="str">
        <f t="shared" ref="S966:S1144" si="34">IF(AS966=0," ","Rentabilidad $" &amp; TEXT(AS966,"#,##0"))</f>
        <v> </v>
      </c>
      <c r="T966" s="50" t="s">
        <v>1985</v>
      </c>
      <c r="U966" s="51"/>
      <c r="V966" s="50" t="s">
        <v>79</v>
      </c>
      <c r="W966" s="50"/>
      <c r="X966" s="50">
        <v>0.0</v>
      </c>
      <c r="Y966" s="43" t="s">
        <v>130</v>
      </c>
      <c r="Z966" s="58"/>
      <c r="AA966" s="81" t="s">
        <v>81</v>
      </c>
      <c r="AB966" s="115" t="s">
        <v>5818</v>
      </c>
      <c r="AC966" s="106" t="s">
        <v>5819</v>
      </c>
      <c r="AD966" s="125" t="s">
        <v>5757</v>
      </c>
      <c r="AE966" s="63"/>
      <c r="AF966" s="64">
        <v>0.0</v>
      </c>
      <c r="AG966" s="65" t="s">
        <v>106</v>
      </c>
      <c r="AH966" s="65"/>
      <c r="AI966" s="65" t="s">
        <v>107</v>
      </c>
      <c r="AJ966" s="111" t="s">
        <v>5566</v>
      </c>
      <c r="AK966" s="111" t="s">
        <v>81</v>
      </c>
      <c r="AL966" s="45" t="s">
        <v>109</v>
      </c>
      <c r="AM966" s="217">
        <v>3.20852652E9</v>
      </c>
      <c r="AN966" s="217">
        <v>3.103319459E9</v>
      </c>
      <c r="AO966" s="209"/>
      <c r="AP966" s="84">
        <v>0.0</v>
      </c>
      <c r="AQ966" s="84"/>
      <c r="AR966" s="84"/>
      <c r="AS966" s="85">
        <v>0.0</v>
      </c>
      <c r="AT966" s="65">
        <v>0.0</v>
      </c>
      <c r="AU966" s="50">
        <v>0.0</v>
      </c>
      <c r="AV966" s="50">
        <v>0.0</v>
      </c>
      <c r="AW966" s="50" t="s">
        <v>88</v>
      </c>
      <c r="AX966" s="50">
        <v>0.0</v>
      </c>
      <c r="AY966" s="50">
        <v>0.0</v>
      </c>
      <c r="AZ966" s="50">
        <v>0.0</v>
      </c>
      <c r="BA966" s="43" t="s">
        <v>89</v>
      </c>
      <c r="BB966" s="50">
        <v>0.0</v>
      </c>
      <c r="BC966" s="69" t="s">
        <v>5820</v>
      </c>
      <c r="BD966" s="70"/>
      <c r="BE966" s="71"/>
      <c r="BF966" s="72" t="s">
        <v>5821</v>
      </c>
      <c r="BG966" s="73"/>
      <c r="BH966" s="73"/>
      <c r="BI966" s="73"/>
      <c r="BJ966" s="73"/>
      <c r="BK966" s="73"/>
      <c r="BL966" s="73"/>
      <c r="BM966" s="73"/>
      <c r="BN966" s="73"/>
      <c r="BO966" s="73"/>
      <c r="BP966" s="73"/>
      <c r="BQ966" s="73"/>
      <c r="BR966" s="73"/>
      <c r="BS966" s="73"/>
      <c r="BT966" s="73"/>
      <c r="BU966" s="73"/>
      <c r="BV966" s="73"/>
      <c r="BW966" s="74"/>
      <c r="BX966" s="74"/>
      <c r="BY966" s="63"/>
      <c r="BZ966" s="63"/>
    </row>
    <row r="967" ht="15.75" customHeight="1">
      <c r="A967" s="75" t="s">
        <v>5822</v>
      </c>
      <c r="B967" s="50" t="s">
        <v>5823</v>
      </c>
      <c r="C967" s="50" t="s">
        <v>340</v>
      </c>
      <c r="D967" s="50"/>
      <c r="E967" s="77" t="s">
        <v>5824</v>
      </c>
      <c r="F967" s="78">
        <v>6.2E7</v>
      </c>
      <c r="G967" s="44" t="str">
        <f t="shared" si="16"/>
        <v>$0 a $100'000.000</v>
      </c>
      <c r="H967" s="44"/>
      <c r="I967" s="44"/>
      <c r="J967" s="50" t="s">
        <v>94</v>
      </c>
      <c r="K967" s="51"/>
      <c r="L967" s="50">
        <v>0.0</v>
      </c>
      <c r="M967" s="50"/>
      <c r="N967" s="50">
        <v>0.0</v>
      </c>
      <c r="O967" s="50">
        <v>0.0</v>
      </c>
      <c r="P967" s="50">
        <v>0.0</v>
      </c>
      <c r="Q967" s="88">
        <v>0.0</v>
      </c>
      <c r="R967" s="88">
        <v>421.31</v>
      </c>
      <c r="S967" s="56" t="str">
        <f t="shared" si="34"/>
        <v> </v>
      </c>
      <c r="T967" s="50" t="s">
        <v>1985</v>
      </c>
      <c r="U967" s="51"/>
      <c r="V967" s="50" t="s">
        <v>79</v>
      </c>
      <c r="W967" s="50"/>
      <c r="X967" s="50">
        <v>0.0</v>
      </c>
      <c r="Y967" s="43" t="s">
        <v>80</v>
      </c>
      <c r="Z967" s="58"/>
      <c r="AA967" s="81" t="s">
        <v>81</v>
      </c>
      <c r="AB967" s="115" t="s">
        <v>5825</v>
      </c>
      <c r="AC967" s="342" t="s">
        <v>5826</v>
      </c>
      <c r="AD967" s="353" t="s">
        <v>5827</v>
      </c>
      <c r="AE967" s="63"/>
      <c r="AF967" s="64">
        <v>0.0</v>
      </c>
      <c r="AG967" s="65" t="s">
        <v>106</v>
      </c>
      <c r="AH967" s="65"/>
      <c r="AI967" s="65" t="s">
        <v>107</v>
      </c>
      <c r="AJ967" s="111" t="s">
        <v>5566</v>
      </c>
      <c r="AK967" s="111" t="s">
        <v>81</v>
      </c>
      <c r="AL967" s="45" t="s">
        <v>109</v>
      </c>
      <c r="AM967" s="217">
        <v>3.20852652E9</v>
      </c>
      <c r="AN967" s="217">
        <v>3.103319459E9</v>
      </c>
      <c r="AO967" s="209"/>
      <c r="AP967" s="84">
        <v>0.0</v>
      </c>
      <c r="AQ967" s="84"/>
      <c r="AR967" s="84"/>
      <c r="AS967" s="85">
        <v>0.0</v>
      </c>
      <c r="AT967" s="65">
        <v>0.0</v>
      </c>
      <c r="AU967" s="50">
        <v>0.0</v>
      </c>
      <c r="AV967" s="50">
        <v>0.0</v>
      </c>
      <c r="AW967" s="50" t="s">
        <v>88</v>
      </c>
      <c r="AX967" s="50">
        <v>0.0</v>
      </c>
      <c r="AY967" s="50">
        <v>0.0</v>
      </c>
      <c r="AZ967" s="50">
        <v>0.0</v>
      </c>
      <c r="BA967" s="43" t="s">
        <v>89</v>
      </c>
      <c r="BB967" s="50">
        <v>0.0</v>
      </c>
      <c r="BC967" s="69" t="s">
        <v>5828</v>
      </c>
      <c r="BD967" s="70"/>
      <c r="BE967" s="71"/>
      <c r="BF967" s="72" t="s">
        <v>5829</v>
      </c>
      <c r="BG967" s="73"/>
      <c r="BH967" s="73"/>
      <c r="BI967" s="73"/>
      <c r="BJ967" s="73"/>
      <c r="BK967" s="73"/>
      <c r="BL967" s="73"/>
      <c r="BM967" s="73"/>
      <c r="BN967" s="73"/>
      <c r="BO967" s="73"/>
      <c r="BP967" s="73"/>
      <c r="BQ967" s="73"/>
      <c r="BR967" s="73"/>
      <c r="BS967" s="73"/>
      <c r="BT967" s="73"/>
      <c r="BU967" s="73"/>
      <c r="BV967" s="73"/>
      <c r="BW967" s="74"/>
      <c r="BX967" s="74"/>
      <c r="BY967" s="63"/>
      <c r="BZ967" s="63"/>
    </row>
    <row r="968" ht="15.75" customHeight="1">
      <c r="A968" s="133" t="s">
        <v>5830</v>
      </c>
      <c r="B968" s="43" t="s">
        <v>5831</v>
      </c>
      <c r="C968" s="43" t="s">
        <v>448</v>
      </c>
      <c r="D968" s="43" t="s">
        <v>76</v>
      </c>
      <c r="E968" s="45"/>
      <c r="F968" s="78">
        <v>6.0E7</v>
      </c>
      <c r="G968" s="44" t="str">
        <f t="shared" si="16"/>
        <v>$0 a $100'000.000</v>
      </c>
      <c r="H968" s="44"/>
      <c r="I968" s="44"/>
      <c r="J968" s="43" t="s">
        <v>76</v>
      </c>
      <c r="K968" s="56" t="s">
        <v>142</v>
      </c>
      <c r="L968" s="43">
        <v>0.0</v>
      </c>
      <c r="M968" s="43"/>
      <c r="N968" s="43" t="s">
        <v>130</v>
      </c>
      <c r="O968" s="43">
        <v>0.0</v>
      </c>
      <c r="P968" s="43">
        <v>2.0</v>
      </c>
      <c r="Q968" s="88">
        <v>15.5</v>
      </c>
      <c r="R968" s="88">
        <v>15.5</v>
      </c>
      <c r="S968" s="56" t="str">
        <f t="shared" si="34"/>
        <v> </v>
      </c>
      <c r="T968" s="43" t="s">
        <v>78</v>
      </c>
      <c r="U968" s="56" t="s">
        <v>679</v>
      </c>
      <c r="V968" s="43" t="s">
        <v>542</v>
      </c>
      <c r="W968" s="43"/>
      <c r="X968" s="43">
        <v>0.0</v>
      </c>
      <c r="Y968" s="43" t="s">
        <v>80</v>
      </c>
      <c r="Z968" s="58">
        <v>650000.0</v>
      </c>
      <c r="AA968" s="59" t="str">
        <f>IF(Rentabilidad=0,"No aplica",TEXT(ROUND(Precio/Rentabilidad/12,0),0) &amp; " años")</f>
        <v>No aplica</v>
      </c>
      <c r="AB968" s="140" t="s">
        <v>5832</v>
      </c>
      <c r="AC968" s="106" t="s">
        <v>5833</v>
      </c>
      <c r="AD968" s="107" t="s">
        <v>5834</v>
      </c>
      <c r="AE968" s="63"/>
      <c r="AF968" s="64">
        <v>0.0</v>
      </c>
      <c r="AG968" s="65" t="s">
        <v>106</v>
      </c>
      <c r="AH968" s="63"/>
      <c r="AI968" s="65" t="s">
        <v>107</v>
      </c>
      <c r="AJ968" s="111" t="s">
        <v>5566</v>
      </c>
      <c r="AK968" s="50" t="s">
        <v>81</v>
      </c>
      <c r="AL968" s="45" t="s">
        <v>109</v>
      </c>
      <c r="AM968" s="217">
        <v>3.20852652E9</v>
      </c>
      <c r="AN968" s="217">
        <v>3.103319459E9</v>
      </c>
      <c r="AO968" s="43">
        <v>0.0</v>
      </c>
      <c r="AP968" s="84"/>
      <c r="AQ968" s="84">
        <v>2.92742014685635</v>
      </c>
      <c r="AR968" s="84">
        <v>-75.2906093630577</v>
      </c>
      <c r="AS968" s="94">
        <v>0.0</v>
      </c>
      <c r="AT968" s="50">
        <v>0.0</v>
      </c>
      <c r="AU968" s="43">
        <v>0.0</v>
      </c>
      <c r="AV968" s="43">
        <v>0.0</v>
      </c>
      <c r="AW968" s="43" t="s">
        <v>88</v>
      </c>
      <c r="AX968" s="43">
        <v>0.0</v>
      </c>
      <c r="AY968" s="43">
        <v>0.0</v>
      </c>
      <c r="AZ968" s="43">
        <v>0.0</v>
      </c>
      <c r="BA968" s="43" t="s">
        <v>89</v>
      </c>
      <c r="BB968" s="43">
        <v>0.0</v>
      </c>
      <c r="BC968" s="69" t="s">
        <v>716</v>
      </c>
      <c r="BD968" s="70"/>
      <c r="BE968" s="70"/>
      <c r="BF968" s="72" t="s">
        <v>5835</v>
      </c>
      <c r="BG968" s="73"/>
      <c r="BH968" s="73"/>
      <c r="BI968" s="73"/>
      <c r="BJ968" s="73"/>
      <c r="BK968" s="73"/>
      <c r="BL968" s="73"/>
      <c r="BM968" s="73"/>
      <c r="BN968" s="73"/>
      <c r="BO968" s="73"/>
      <c r="BP968" s="73"/>
      <c r="BQ968" s="73"/>
      <c r="BR968" s="73"/>
      <c r="BS968" s="73"/>
      <c r="BT968" s="73"/>
      <c r="BU968" s="73"/>
      <c r="BV968" s="73"/>
      <c r="BW968" s="74"/>
      <c r="BX968" s="74"/>
      <c r="BY968" s="63"/>
      <c r="BZ968" s="63"/>
    </row>
    <row r="969" ht="15.75" customHeight="1">
      <c r="A969" s="344" t="s">
        <v>5836</v>
      </c>
      <c r="B969" s="50" t="s">
        <v>5837</v>
      </c>
      <c r="C969" s="50" t="s">
        <v>271</v>
      </c>
      <c r="D969" s="50" t="s">
        <v>1233</v>
      </c>
      <c r="E969" s="77"/>
      <c r="F969" s="78">
        <v>3.5E8</v>
      </c>
      <c r="G969" s="44" t="str">
        <f t="shared" si="16"/>
        <v>$300'000.000 a $400'000.000</v>
      </c>
      <c r="H969" s="44"/>
      <c r="I969" s="44"/>
      <c r="J969" s="50" t="s">
        <v>183</v>
      </c>
      <c r="K969" s="51" t="s">
        <v>184</v>
      </c>
      <c r="L969" s="50">
        <v>6.0</v>
      </c>
      <c r="M969" s="50"/>
      <c r="N969" s="50">
        <v>6.0</v>
      </c>
      <c r="O969" s="50">
        <v>1.0</v>
      </c>
      <c r="P969" s="50">
        <v>3.0</v>
      </c>
      <c r="Q969" s="79">
        <v>412.0</v>
      </c>
      <c r="R969" s="79"/>
      <c r="S969" s="56" t="str">
        <f t="shared" si="34"/>
        <v> </v>
      </c>
      <c r="T969" s="50" t="s">
        <v>78</v>
      </c>
      <c r="U969" s="51" t="s">
        <v>184</v>
      </c>
      <c r="V969" s="50" t="s">
        <v>79</v>
      </c>
      <c r="W969" s="50"/>
      <c r="X969" s="50">
        <v>5.0</v>
      </c>
      <c r="Y969" s="50" t="s">
        <v>80</v>
      </c>
      <c r="Z969" s="80" t="s">
        <v>81</v>
      </c>
      <c r="AA969" s="59" t="str">
        <f>IF(Rentabilidad=0,"No aplica",TEXT(ROUND(Precio/Rentabilidad/12,0),0) &amp; " años")</f>
        <v>No aplica</v>
      </c>
      <c r="AB969" s="82" t="s">
        <v>5838</v>
      </c>
      <c r="AC969" s="61"/>
      <c r="AD969" s="125" t="s">
        <v>5839</v>
      </c>
      <c r="AE969" s="63"/>
      <c r="AF969" s="64" t="s">
        <v>105</v>
      </c>
      <c r="AG969" s="65" t="s">
        <v>106</v>
      </c>
      <c r="AH969" s="65"/>
      <c r="AI969" s="65" t="s">
        <v>107</v>
      </c>
      <c r="AJ969" s="111" t="s">
        <v>5840</v>
      </c>
      <c r="AK969" s="111" t="s">
        <v>81</v>
      </c>
      <c r="AL969" s="45" t="s">
        <v>109</v>
      </c>
      <c r="AM969" s="217">
        <v>3.20852652E9</v>
      </c>
      <c r="AN969" s="64" t="s">
        <v>5841</v>
      </c>
      <c r="AO969" s="52"/>
      <c r="AP969" s="84" t="s">
        <v>5842</v>
      </c>
      <c r="AQ969" s="84"/>
      <c r="AR969" s="84"/>
      <c r="AS969" s="85"/>
      <c r="AT969" s="50"/>
      <c r="AU969" s="50"/>
      <c r="AV969" s="50"/>
      <c r="AW969" s="50" t="s">
        <v>106</v>
      </c>
      <c r="AX969" s="50"/>
      <c r="AY969" s="50"/>
      <c r="AZ969" s="50"/>
      <c r="BA969" s="43" t="s">
        <v>89</v>
      </c>
      <c r="BB969" s="50"/>
      <c r="BC969" s="69" t="s">
        <v>5843</v>
      </c>
      <c r="BD969" s="70"/>
      <c r="BE969" s="71"/>
      <c r="BF969" s="72" t="s">
        <v>5844</v>
      </c>
      <c r="BG969" s="73"/>
      <c r="BH969" s="73"/>
      <c r="BI969" s="73"/>
      <c r="BJ969" s="73"/>
      <c r="BK969" s="73"/>
      <c r="BL969" s="73"/>
      <c r="BM969" s="73"/>
      <c r="BN969" s="73"/>
      <c r="BO969" s="73"/>
      <c r="BP969" s="73"/>
      <c r="BQ969" s="73"/>
      <c r="BR969" s="73"/>
      <c r="BS969" s="73"/>
      <c r="BT969" s="73"/>
      <c r="BU969" s="73"/>
      <c r="BV969" s="73"/>
      <c r="BW969" s="74"/>
      <c r="BX969" s="74"/>
      <c r="BY969" s="63"/>
      <c r="BZ969" s="63"/>
    </row>
    <row r="970" ht="15.75" customHeight="1">
      <c r="A970" s="120" t="s">
        <v>5845</v>
      </c>
      <c r="B970" s="44"/>
      <c r="C970" s="44"/>
      <c r="D970" s="44"/>
      <c r="E970" s="45"/>
      <c r="F970" s="78">
        <v>0.0</v>
      </c>
      <c r="G970" s="44" t="str">
        <f t="shared" si="16"/>
        <v>$0 a $100'000.000</v>
      </c>
      <c r="H970" s="44"/>
      <c r="I970" s="44"/>
      <c r="J970" s="44"/>
      <c r="K970" s="57"/>
      <c r="L970" s="44"/>
      <c r="M970" s="44"/>
      <c r="N970" s="44"/>
      <c r="O970" s="44"/>
      <c r="P970" s="44"/>
      <c r="Q970" s="89">
        <v>0.0</v>
      </c>
      <c r="R970" s="89">
        <v>0.0</v>
      </c>
      <c r="S970" s="56" t="str">
        <f t="shared" si="34"/>
        <v> </v>
      </c>
      <c r="T970" s="44"/>
      <c r="U970" s="206"/>
      <c r="V970" s="44"/>
      <c r="W970" s="44"/>
      <c r="X970" s="44"/>
      <c r="Y970" s="44"/>
      <c r="Z970" s="91"/>
      <c r="AA970" s="59" t="str">
        <f>IF(Rentabilidad=0,"No aplica",TEXT(ROUND(Precio/Rentabilidad/12,0),0) &amp; " años")</f>
        <v>No aplica</v>
      </c>
      <c r="AB970" s="220"/>
      <c r="AC970" s="61"/>
      <c r="AD970" s="62"/>
      <c r="AE970" s="63"/>
      <c r="AF970" s="45" t="s">
        <v>1383</v>
      </c>
      <c r="AG970" s="63"/>
      <c r="AH970" s="63"/>
      <c r="AI970" s="63"/>
      <c r="AJ970" s="45" t="s">
        <v>5846</v>
      </c>
      <c r="AK970" s="44"/>
      <c r="AL970" s="45" t="s">
        <v>86</v>
      </c>
      <c r="AM970" s="44"/>
      <c r="AN970" s="45"/>
      <c r="AO970" s="74"/>
      <c r="AP970" s="67"/>
      <c r="AQ970" s="67"/>
      <c r="AR970" s="67"/>
      <c r="AS970" s="94">
        <v>0.0</v>
      </c>
      <c r="AT970" s="44"/>
      <c r="AU970" s="44"/>
      <c r="AV970" s="44"/>
      <c r="AW970" s="44"/>
      <c r="AX970" s="44"/>
      <c r="AY970" s="44"/>
      <c r="AZ970" s="44"/>
      <c r="BA970" s="43" t="s">
        <v>89</v>
      </c>
      <c r="BB970" s="44"/>
      <c r="BC970" s="86"/>
      <c r="BD970" s="70"/>
      <c r="BE970" s="70"/>
      <c r="BF970" s="72"/>
      <c r="BG970" s="73"/>
      <c r="BH970" s="73"/>
      <c r="BI970" s="73"/>
      <c r="BJ970" s="73"/>
      <c r="BK970" s="73"/>
      <c r="BL970" s="73"/>
      <c r="BM970" s="73"/>
      <c r="BN970" s="73"/>
      <c r="BO970" s="73"/>
      <c r="BP970" s="73"/>
      <c r="BQ970" s="73"/>
      <c r="BR970" s="73"/>
      <c r="BS970" s="73"/>
      <c r="BT970" s="73"/>
      <c r="BU970" s="73"/>
      <c r="BV970" s="73"/>
      <c r="BW970" s="74"/>
      <c r="BX970" s="74"/>
      <c r="BY970" s="63"/>
      <c r="BZ970" s="63"/>
    </row>
    <row r="971" ht="15.75" customHeight="1">
      <c r="A971" s="41" t="s">
        <v>5847</v>
      </c>
      <c r="B971" s="50" t="s">
        <v>402</v>
      </c>
      <c r="C971" s="50" t="s">
        <v>70</v>
      </c>
      <c r="D971" s="44" t="s">
        <v>193</v>
      </c>
      <c r="E971" s="45"/>
      <c r="F971" s="47">
        <v>1.5E9</v>
      </c>
      <c r="G971" s="44" t="str">
        <f t="shared" si="16"/>
        <v>Más de $1.000'000.000</v>
      </c>
      <c r="H971" s="44"/>
      <c r="I971" s="44"/>
      <c r="J971" s="50" t="s">
        <v>76</v>
      </c>
      <c r="K971" s="56" t="s">
        <v>77</v>
      </c>
      <c r="L971" s="44">
        <v>15.0</v>
      </c>
      <c r="M971" s="44"/>
      <c r="N971" s="44">
        <v>4.0</v>
      </c>
      <c r="O971" s="50">
        <v>1.0</v>
      </c>
      <c r="P971" s="44">
        <v>2.0</v>
      </c>
      <c r="Q971" s="54"/>
      <c r="R971" s="55">
        <v>344.9</v>
      </c>
      <c r="S971" s="56" t="str">
        <f t="shared" si="34"/>
        <v> </v>
      </c>
      <c r="T971" s="44" t="s">
        <v>78</v>
      </c>
      <c r="U971" s="206"/>
      <c r="V971" s="50" t="s">
        <v>79</v>
      </c>
      <c r="W971" s="50"/>
      <c r="X971" s="44">
        <v>0.0</v>
      </c>
      <c r="Y971" s="50" t="s">
        <v>80</v>
      </c>
      <c r="Z971" s="58" t="s">
        <v>81</v>
      </c>
      <c r="AA971" s="59" t="str">
        <f>IF(Rentabilidad=0,"No aplica",TEXT(ROUND(Precio/Rentabilidad/12,0),0) &amp; " años")</f>
        <v>No aplica</v>
      </c>
      <c r="AB971" s="195"/>
      <c r="AC971" s="61"/>
      <c r="AD971" s="62"/>
      <c r="AE971" s="63"/>
      <c r="AF971" s="45" t="s">
        <v>236</v>
      </c>
      <c r="AG971" s="63"/>
      <c r="AH971" s="65" t="s">
        <v>45</v>
      </c>
      <c r="AI971" s="63"/>
      <c r="AJ971" s="45" t="s">
        <v>5848</v>
      </c>
      <c r="AK971" s="50" t="s">
        <v>81</v>
      </c>
      <c r="AL971" s="45" t="s">
        <v>86</v>
      </c>
      <c r="AM971" s="44">
        <v>0.0</v>
      </c>
      <c r="AN971" s="45">
        <v>0.0</v>
      </c>
      <c r="AO971" s="52"/>
      <c r="AP971" s="67">
        <v>0.0</v>
      </c>
      <c r="AQ971" s="67"/>
      <c r="AR971" s="67"/>
      <c r="AS971" s="44">
        <v>0.0</v>
      </c>
      <c r="AT971" s="44">
        <v>0.0</v>
      </c>
      <c r="AU971" s="44">
        <v>0.0</v>
      </c>
      <c r="AV971" s="44">
        <v>0.0</v>
      </c>
      <c r="AW971" s="50" t="s">
        <v>88</v>
      </c>
      <c r="AX971" s="44">
        <v>0.0</v>
      </c>
      <c r="AY971" s="44">
        <v>0.0</v>
      </c>
      <c r="AZ971" s="44">
        <v>0.0</v>
      </c>
      <c r="BA971" s="43" t="s">
        <v>89</v>
      </c>
      <c r="BB971" s="44">
        <v>0.0</v>
      </c>
      <c r="BC971" s="86"/>
      <c r="BD971" s="71"/>
      <c r="BE971" s="71"/>
      <c r="BF971" s="72"/>
      <c r="BG971" s="73"/>
      <c r="BH971" s="73"/>
      <c r="BI971" s="73"/>
      <c r="BJ971" s="73"/>
      <c r="BK971" s="73"/>
      <c r="BL971" s="73"/>
      <c r="BM971" s="73"/>
      <c r="BN971" s="73"/>
      <c r="BO971" s="73"/>
      <c r="BP971" s="73"/>
      <c r="BQ971" s="73"/>
      <c r="BR971" s="73"/>
      <c r="BS971" s="73"/>
      <c r="BT971" s="73"/>
      <c r="BU971" s="73"/>
      <c r="BV971" s="73"/>
      <c r="BW971" s="74"/>
      <c r="BX971" s="74"/>
      <c r="BY971" s="63"/>
      <c r="BZ971" s="63"/>
    </row>
    <row r="972" ht="15.75" customHeight="1">
      <c r="A972" s="75" t="s">
        <v>5849</v>
      </c>
      <c r="B972" s="50" t="s">
        <v>5850</v>
      </c>
      <c r="C972" s="50" t="s">
        <v>664</v>
      </c>
      <c r="D972" s="50" t="s">
        <v>1044</v>
      </c>
      <c r="E972" s="64"/>
      <c r="F972" s="78">
        <v>8.5E7</v>
      </c>
      <c r="J972" s="50" t="s">
        <v>94</v>
      </c>
      <c r="K972" s="51"/>
      <c r="L972" s="50">
        <v>0.0</v>
      </c>
      <c r="M972" s="50"/>
      <c r="N972" s="50">
        <v>0.0</v>
      </c>
      <c r="O972" s="50">
        <v>0.0</v>
      </c>
      <c r="P972" s="50">
        <v>0.0</v>
      </c>
      <c r="Q972" s="88">
        <v>90.01</v>
      </c>
      <c r="R972" s="88">
        <v>90.01</v>
      </c>
      <c r="S972" s="56" t="str">
        <f t="shared" si="34"/>
        <v> </v>
      </c>
      <c r="T972" s="50" t="s">
        <v>95</v>
      </c>
      <c r="U972" s="51" t="s">
        <v>77</v>
      </c>
      <c r="V972" s="50" t="s">
        <v>79</v>
      </c>
      <c r="W972" s="50"/>
      <c r="X972" s="50">
        <v>0.0</v>
      </c>
      <c r="Y972" s="50" t="s">
        <v>130</v>
      </c>
      <c r="Z972" s="91"/>
      <c r="AA972" s="59" t="str">
        <f>IF(Rentabilidad=0,"No aplica",TEXT(ROUND(Precio/Rentabilidad/12,0),0) &amp; " años")</f>
        <v>No aplica</v>
      </c>
      <c r="AB972" s="82" t="s">
        <v>5851</v>
      </c>
      <c r="AC972" s="102" t="s">
        <v>5852</v>
      </c>
      <c r="AD972" s="107" t="s">
        <v>5853</v>
      </c>
      <c r="AE972" s="63"/>
      <c r="AF972" s="64">
        <v>0.0</v>
      </c>
      <c r="AG972" s="65" t="s">
        <v>106</v>
      </c>
      <c r="AH972" s="63"/>
      <c r="AI972" s="65" t="s">
        <v>107</v>
      </c>
      <c r="AJ972" s="209"/>
      <c r="AK972" s="209"/>
      <c r="AL972" s="209"/>
      <c r="AM972" s="209"/>
      <c r="AN972" s="209"/>
      <c r="AO972" s="209"/>
      <c r="AP972" s="210"/>
      <c r="AQ972" s="210"/>
      <c r="AR972" s="210"/>
      <c r="AS972" s="209"/>
      <c r="AT972" s="209"/>
      <c r="AU972" s="209"/>
      <c r="AV972" s="209"/>
      <c r="AW972" s="209"/>
      <c r="AX972" s="209"/>
      <c r="AY972" s="209"/>
      <c r="AZ972" s="209"/>
      <c r="BA972" s="209"/>
      <c r="BB972" s="209"/>
      <c r="BC972" s="95"/>
      <c r="BD972" s="71"/>
      <c r="BE972" s="71"/>
      <c r="BF972" s="72" t="s">
        <v>5854</v>
      </c>
      <c r="BG972" s="73"/>
      <c r="BH972" s="73"/>
      <c r="BI972" s="73"/>
      <c r="BJ972" s="73"/>
      <c r="BK972" s="73"/>
      <c r="BL972" s="73"/>
      <c r="BM972" s="73"/>
      <c r="BN972" s="73"/>
      <c r="BO972" s="73"/>
      <c r="BP972" s="73"/>
      <c r="BQ972" s="73"/>
      <c r="BR972" s="73"/>
      <c r="BS972" s="73"/>
      <c r="BT972" s="73"/>
      <c r="BU972" s="73"/>
      <c r="BV972" s="73"/>
      <c r="BW972" s="74"/>
      <c r="BX972" s="74"/>
      <c r="BY972" s="63"/>
      <c r="BZ972" s="63"/>
    </row>
    <row r="973" ht="15.75" customHeight="1">
      <c r="A973" s="133" t="s">
        <v>5855</v>
      </c>
      <c r="B973" s="43" t="s">
        <v>5856</v>
      </c>
      <c r="C973" s="43" t="s">
        <v>70</v>
      </c>
      <c r="D973" s="43" t="s">
        <v>389</v>
      </c>
      <c r="E973" s="45"/>
      <c r="F973" s="78">
        <v>0.0</v>
      </c>
      <c r="G973" s="44" t="str">
        <f t="shared" ref="G973:G1478" si="35">IF(F973&lt;100000000,"$0 a $100'000.000",
  IF(F973&lt;200000000,"$100'000.000 a $200'000.000",
   IF(F973&lt;300000000,"$200'000.000 a $300'000.000",
    IF(F973&lt;400000000,"$300'000.000 a $400'000.000",
     IF(F973&lt;500000000,"$400'000.000 a $500'000.000",
      IF(F973&lt;1000000000,"$500'000.000 a $1.000'000.000",
       "Más de $1.000'000.000"
     ))))))</f>
        <v>$0 a $100'000.000</v>
      </c>
      <c r="H973" s="44"/>
      <c r="I973" s="44"/>
      <c r="J973" s="43" t="s">
        <v>76</v>
      </c>
      <c r="K973" s="56" t="s">
        <v>142</v>
      </c>
      <c r="L973" s="52"/>
      <c r="M973" s="52"/>
      <c r="N973" s="52"/>
      <c r="O973" s="43">
        <v>1.0</v>
      </c>
      <c r="P973" s="43">
        <v>1.0</v>
      </c>
      <c r="Q973" s="89">
        <v>0.0</v>
      </c>
      <c r="R973" s="88">
        <v>0.0</v>
      </c>
      <c r="S973" s="56" t="str">
        <f t="shared" si="34"/>
        <v> </v>
      </c>
      <c r="T973" s="43" t="s">
        <v>78</v>
      </c>
      <c r="U973" s="142"/>
      <c r="V973" s="43" t="s">
        <v>79</v>
      </c>
      <c r="W973" s="43"/>
      <c r="X973" s="52"/>
      <c r="Y973" s="43"/>
      <c r="Z973" s="58"/>
      <c r="AA973" s="59" t="str">
        <f>IF(Rentabilidad=0,"No aplica",TEXT(ROUND(Precio/Rentabilidad/12,0),0) &amp; " años")</f>
        <v>No aplica</v>
      </c>
      <c r="AB973" s="60"/>
      <c r="AC973" s="61"/>
      <c r="AD973" s="62"/>
      <c r="AE973" s="63"/>
      <c r="AF973" s="45"/>
      <c r="AG973" s="63"/>
      <c r="AH973" s="65" t="s">
        <v>45</v>
      </c>
      <c r="AI973" s="63"/>
      <c r="AJ973" s="64"/>
      <c r="AK973" s="44"/>
      <c r="AL973" s="45"/>
      <c r="AM973" s="43">
        <v>3.002105053E9</v>
      </c>
      <c r="AN973" s="45"/>
      <c r="AO973" s="52"/>
      <c r="AP973" s="67"/>
      <c r="AQ973" s="67"/>
      <c r="AR973" s="67"/>
      <c r="AS973" s="135"/>
      <c r="AT973" s="52"/>
      <c r="AU973" s="52"/>
      <c r="AV973" s="52"/>
      <c r="AW973" s="52"/>
      <c r="AX973" s="52"/>
      <c r="AY973" s="52"/>
      <c r="AZ973" s="52"/>
      <c r="BA973" s="43" t="s">
        <v>89</v>
      </c>
      <c r="BB973" s="52"/>
      <c r="BC973" s="69" t="s">
        <v>5857</v>
      </c>
      <c r="BD973" s="70"/>
      <c r="BE973" s="71"/>
      <c r="BF973" s="72"/>
      <c r="BG973" s="73"/>
      <c r="BH973" s="73"/>
      <c r="BI973" s="73"/>
      <c r="BJ973" s="73"/>
      <c r="BK973" s="73"/>
      <c r="BL973" s="73"/>
      <c r="BM973" s="73"/>
      <c r="BN973" s="73"/>
      <c r="BO973" s="73"/>
      <c r="BP973" s="73"/>
      <c r="BQ973" s="73"/>
      <c r="BR973" s="73"/>
      <c r="BS973" s="73"/>
      <c r="BT973" s="73"/>
      <c r="BU973" s="73"/>
      <c r="BV973" s="73"/>
      <c r="BW973" s="74"/>
      <c r="BX973" s="74"/>
      <c r="BY973" s="63"/>
      <c r="BZ973" s="63"/>
    </row>
    <row r="974" ht="15.75" customHeight="1">
      <c r="A974" s="133" t="s">
        <v>5858</v>
      </c>
      <c r="B974" s="43" t="s">
        <v>5856</v>
      </c>
      <c r="C974" s="43" t="s">
        <v>70</v>
      </c>
      <c r="D974" s="43" t="s">
        <v>389</v>
      </c>
      <c r="E974" s="45"/>
      <c r="F974" s="78">
        <v>0.0</v>
      </c>
      <c r="G974" s="44" t="str">
        <f t="shared" si="35"/>
        <v>$0 a $100'000.000</v>
      </c>
      <c r="H974" s="44"/>
      <c r="I974" s="44"/>
      <c r="J974" s="43" t="s">
        <v>76</v>
      </c>
      <c r="K974" s="56" t="s">
        <v>142</v>
      </c>
      <c r="L974" s="52"/>
      <c r="M974" s="52"/>
      <c r="N974" s="52"/>
      <c r="O974" s="52"/>
      <c r="P974" s="43">
        <v>1.0</v>
      </c>
      <c r="Q974" s="89">
        <v>0.0</v>
      </c>
      <c r="R974" s="88">
        <v>210.0</v>
      </c>
      <c r="S974" s="56" t="str">
        <f t="shared" si="34"/>
        <v> </v>
      </c>
      <c r="T974" s="43" t="s">
        <v>78</v>
      </c>
      <c r="U974" s="142"/>
      <c r="V974" s="43" t="s">
        <v>118</v>
      </c>
      <c r="W974" s="43"/>
      <c r="X974" s="52"/>
      <c r="Y974" s="43"/>
      <c r="Z974" s="58"/>
      <c r="AA974" s="59" t="str">
        <f>IF(Rentabilidad=0,"No aplica",TEXT(ROUND(Precio/Rentabilidad/12,0),0) &amp; " años")</f>
        <v>No aplica</v>
      </c>
      <c r="AB974" s="60"/>
      <c r="AC974" s="61"/>
      <c r="AD974" s="62"/>
      <c r="AE974" s="63"/>
      <c r="AF974" s="45"/>
      <c r="AG974" s="63"/>
      <c r="AH974" s="65" t="s">
        <v>45</v>
      </c>
      <c r="AI974" s="63"/>
      <c r="AJ974" s="64"/>
      <c r="AK974" s="44"/>
      <c r="AL974" s="45"/>
      <c r="AM974" s="43">
        <v>3.103873943E9</v>
      </c>
      <c r="AN974" s="45"/>
      <c r="AO974" s="52"/>
      <c r="AP974" s="67"/>
      <c r="AQ974" s="67"/>
      <c r="AR974" s="67"/>
      <c r="AS974" s="135"/>
      <c r="AT974" s="52"/>
      <c r="AU974" s="52"/>
      <c r="AV974" s="52"/>
      <c r="AW974" s="52"/>
      <c r="AX974" s="52"/>
      <c r="AY974" s="52"/>
      <c r="AZ974" s="52"/>
      <c r="BA974" s="43" t="s">
        <v>89</v>
      </c>
      <c r="BB974" s="52"/>
      <c r="BC974" s="109"/>
      <c r="BD974" s="70"/>
      <c r="BE974" s="71"/>
      <c r="BF974" s="72"/>
      <c r="BG974" s="73"/>
      <c r="BH974" s="73"/>
      <c r="BI974" s="73"/>
      <c r="BJ974" s="73"/>
      <c r="BK974" s="73"/>
      <c r="BL974" s="73"/>
      <c r="BM974" s="73"/>
      <c r="BN974" s="73"/>
      <c r="BO974" s="73"/>
      <c r="BP974" s="73"/>
      <c r="BQ974" s="73"/>
      <c r="BR974" s="73"/>
      <c r="BS974" s="73"/>
      <c r="BT974" s="73"/>
      <c r="BU974" s="73"/>
      <c r="BV974" s="73"/>
      <c r="BW974" s="74"/>
      <c r="BX974" s="74"/>
      <c r="BY974" s="63"/>
      <c r="BZ974" s="63"/>
    </row>
    <row r="975" ht="15.75" customHeight="1">
      <c r="A975" s="133" t="s">
        <v>5859</v>
      </c>
      <c r="B975" s="43" t="s">
        <v>5860</v>
      </c>
      <c r="C975" s="43" t="s">
        <v>573</v>
      </c>
      <c r="D975" s="43" t="s">
        <v>71</v>
      </c>
      <c r="E975" s="45"/>
      <c r="F975" s="78">
        <v>0.0</v>
      </c>
      <c r="G975" s="44" t="str">
        <f t="shared" si="35"/>
        <v>$0 a $100'000.000</v>
      </c>
      <c r="H975" s="44"/>
      <c r="I975" s="44"/>
      <c r="J975" s="43" t="s">
        <v>76</v>
      </c>
      <c r="K975" s="56" t="s">
        <v>142</v>
      </c>
      <c r="L975" s="43">
        <v>4.0</v>
      </c>
      <c r="M975" s="43"/>
      <c r="N975" s="43">
        <v>2.0</v>
      </c>
      <c r="O975" s="43">
        <v>1.0</v>
      </c>
      <c r="P975" s="43">
        <v>2.0</v>
      </c>
      <c r="Q975" s="88">
        <v>160.0</v>
      </c>
      <c r="R975" s="88">
        <v>160.0</v>
      </c>
      <c r="S975" s="56" t="str">
        <f t="shared" si="34"/>
        <v> </v>
      </c>
      <c r="T975" s="43" t="s">
        <v>78</v>
      </c>
      <c r="U975" s="56" t="s">
        <v>77</v>
      </c>
      <c r="V975" s="43" t="s">
        <v>542</v>
      </c>
      <c r="W975" s="43"/>
      <c r="X975" s="52"/>
      <c r="Y975" s="43"/>
      <c r="Z975" s="58"/>
      <c r="AA975" s="59" t="str">
        <f>IF(Rentabilidad=0,"No aplica",TEXT(ROUND(Precio/Rentabilidad/12,0),0) &amp; " años")</f>
        <v>No aplica</v>
      </c>
      <c r="AB975" s="60"/>
      <c r="AC975" s="61"/>
      <c r="AD975" s="62"/>
      <c r="AE975" s="63"/>
      <c r="AF975" s="45"/>
      <c r="AG975" s="63"/>
      <c r="AH975" s="65" t="s">
        <v>45</v>
      </c>
      <c r="AI975" s="63"/>
      <c r="AJ975" s="64"/>
      <c r="AK975" s="44"/>
      <c r="AL975" s="45"/>
      <c r="AM975" s="43">
        <v>3.153242863E9</v>
      </c>
      <c r="AN975" s="64" t="s">
        <v>5861</v>
      </c>
      <c r="AO975" s="52"/>
      <c r="AP975" s="84" t="s">
        <v>5862</v>
      </c>
      <c r="AQ975" s="84"/>
      <c r="AR975" s="84"/>
      <c r="AS975" s="135"/>
      <c r="AT975" s="52"/>
      <c r="AU975" s="52"/>
      <c r="AV975" s="52"/>
      <c r="AW975" s="52"/>
      <c r="AX975" s="52"/>
      <c r="AY975" s="52"/>
      <c r="AZ975" s="52"/>
      <c r="BA975" s="43" t="s">
        <v>89</v>
      </c>
      <c r="BB975" s="52"/>
      <c r="BC975" s="69" t="s">
        <v>445</v>
      </c>
      <c r="BD975" s="70"/>
      <c r="BE975" s="70"/>
      <c r="BF975" s="72"/>
      <c r="BG975" s="73"/>
      <c r="BH975" s="73"/>
      <c r="BI975" s="73"/>
      <c r="BJ975" s="73"/>
      <c r="BK975" s="73"/>
      <c r="BL975" s="73"/>
      <c r="BM975" s="73"/>
      <c r="BN975" s="73"/>
      <c r="BO975" s="73"/>
      <c r="BP975" s="73"/>
      <c r="BQ975" s="73"/>
      <c r="BR975" s="73"/>
      <c r="BS975" s="73"/>
      <c r="BT975" s="73"/>
      <c r="BU975" s="73"/>
      <c r="BV975" s="73"/>
      <c r="BW975" s="74"/>
      <c r="BX975" s="74"/>
      <c r="BY975" s="63"/>
      <c r="BZ975" s="63"/>
    </row>
    <row r="976" ht="15.75" customHeight="1">
      <c r="A976" s="133" t="s">
        <v>5863</v>
      </c>
      <c r="B976" s="43" t="s">
        <v>409</v>
      </c>
      <c r="C976" s="43" t="s">
        <v>70</v>
      </c>
      <c r="D976" s="43" t="s">
        <v>205</v>
      </c>
      <c r="E976" s="45"/>
      <c r="F976" s="78">
        <v>0.0</v>
      </c>
      <c r="G976" s="44" t="str">
        <f t="shared" si="35"/>
        <v>$0 a $100'000.000</v>
      </c>
      <c r="H976" s="44"/>
      <c r="I976" s="44"/>
      <c r="J976" s="43" t="s">
        <v>76</v>
      </c>
      <c r="K976" s="56" t="s">
        <v>142</v>
      </c>
      <c r="L976" s="52"/>
      <c r="M976" s="52"/>
      <c r="N976" s="52"/>
      <c r="O976" s="52"/>
      <c r="P976" s="52"/>
      <c r="Q976" s="89">
        <v>0.0</v>
      </c>
      <c r="R976" s="88">
        <v>0.0</v>
      </c>
      <c r="S976" s="56" t="str">
        <f t="shared" si="34"/>
        <v> </v>
      </c>
      <c r="T976" s="43" t="s">
        <v>78</v>
      </c>
      <c r="U976" s="142"/>
      <c r="V976" s="43" t="s">
        <v>79</v>
      </c>
      <c r="W976" s="43"/>
      <c r="X976" s="52"/>
      <c r="Y976" s="43"/>
      <c r="Z976" s="58"/>
      <c r="AA976" s="59" t="str">
        <f>IF(Rentabilidad=0,"No aplica",TEXT(ROUND(Precio/Rentabilidad/12,0),0) &amp; " años")</f>
        <v>No aplica</v>
      </c>
      <c r="AB976" s="60"/>
      <c r="AC976" s="61"/>
      <c r="AD976" s="62"/>
      <c r="AE976" s="63"/>
      <c r="AF976" s="45"/>
      <c r="AG976" s="63"/>
      <c r="AH976" s="65" t="s">
        <v>45</v>
      </c>
      <c r="AI976" s="63"/>
      <c r="AJ976" s="64"/>
      <c r="AK976" s="44"/>
      <c r="AL976" s="45"/>
      <c r="AM976" s="43">
        <v>3.044182457E9</v>
      </c>
      <c r="AN976" s="45"/>
      <c r="AO976" s="52"/>
      <c r="AP976" s="84" t="s">
        <v>5864</v>
      </c>
      <c r="AQ976" s="84"/>
      <c r="AR976" s="84"/>
      <c r="AS976" s="135"/>
      <c r="AT976" s="52"/>
      <c r="AU976" s="52"/>
      <c r="AV976" s="52"/>
      <c r="AW976" s="52"/>
      <c r="AX976" s="52"/>
      <c r="AY976" s="52"/>
      <c r="AZ976" s="52"/>
      <c r="BA976" s="43" t="s">
        <v>89</v>
      </c>
      <c r="BB976" s="52"/>
      <c r="BC976" s="95"/>
      <c r="BD976" s="71"/>
      <c r="BE976" s="71"/>
      <c r="BF976" s="72"/>
      <c r="BG976" s="73"/>
      <c r="BH976" s="73"/>
      <c r="BI976" s="73"/>
      <c r="BJ976" s="73"/>
      <c r="BK976" s="73"/>
      <c r="BL976" s="73"/>
      <c r="BM976" s="73"/>
      <c r="BN976" s="73"/>
      <c r="BO976" s="73"/>
      <c r="BP976" s="73"/>
      <c r="BQ976" s="73"/>
      <c r="BR976" s="73"/>
      <c r="BS976" s="73"/>
      <c r="BT976" s="73"/>
      <c r="BU976" s="73"/>
      <c r="BV976" s="73"/>
      <c r="BW976" s="74"/>
      <c r="BX976" s="74"/>
      <c r="BY976" s="63"/>
      <c r="BZ976" s="63"/>
    </row>
    <row r="977" ht="15.75" customHeight="1">
      <c r="A977" s="75" t="s">
        <v>5865</v>
      </c>
      <c r="B977" s="50" t="s">
        <v>5866</v>
      </c>
      <c r="C977" s="50" t="s">
        <v>128</v>
      </c>
      <c r="D977" s="50"/>
      <c r="E977" s="64"/>
      <c r="F977" s="78">
        <v>0.0</v>
      </c>
      <c r="G977" s="44" t="str">
        <f t="shared" si="35"/>
        <v>$0 a $100'000.000</v>
      </c>
      <c r="H977" s="44"/>
      <c r="I977" s="44"/>
      <c r="J977" s="50"/>
      <c r="K977" s="51"/>
      <c r="L977" s="44"/>
      <c r="M977" s="44"/>
      <c r="N977" s="44"/>
      <c r="O977" s="44"/>
      <c r="P977" s="44"/>
      <c r="Q977" s="88">
        <v>0.0</v>
      </c>
      <c r="R977" s="89">
        <v>0.0</v>
      </c>
      <c r="S977" s="56" t="str">
        <f t="shared" si="34"/>
        <v> </v>
      </c>
      <c r="T977" s="50"/>
      <c r="U977" s="57"/>
      <c r="V977" s="44"/>
      <c r="W977" s="44"/>
      <c r="X977" s="44"/>
      <c r="Y977" s="44"/>
      <c r="Z977" s="91"/>
      <c r="AA977" s="59" t="str">
        <f>IF(Rentabilidad=0,"No aplica",TEXT(ROUND(Precio/Rentabilidad/12,0),0) &amp; " años")</f>
        <v>No aplica</v>
      </c>
      <c r="AB977" s="212"/>
      <c r="AC977" s="61"/>
      <c r="AD977" s="107"/>
      <c r="AE977" s="63"/>
      <c r="AF977" s="64"/>
      <c r="AG977" s="63"/>
      <c r="AH977" s="63"/>
      <c r="AI977" s="63"/>
      <c r="AJ977" s="45"/>
      <c r="AK977" s="50"/>
      <c r="AL977" s="45"/>
      <c r="AM977" s="44"/>
      <c r="AN977" s="45"/>
      <c r="AO977" s="52"/>
      <c r="AP977" s="67"/>
      <c r="AQ977" s="67"/>
      <c r="AR977" s="67"/>
      <c r="AS977" s="94"/>
      <c r="AT977" s="63"/>
      <c r="AU977" s="44"/>
      <c r="AV977" s="44"/>
      <c r="AW977" s="44"/>
      <c r="AX977" s="44"/>
      <c r="AY977" s="44"/>
      <c r="AZ977" s="44"/>
      <c r="BA977" s="43" t="s">
        <v>89</v>
      </c>
      <c r="BB977" s="44"/>
      <c r="BC977" s="95"/>
      <c r="BD977" s="71"/>
      <c r="BE977" s="71"/>
      <c r="BF977" s="130"/>
      <c r="BG977" s="73"/>
      <c r="BH977" s="73"/>
      <c r="BI977" s="73"/>
      <c r="BJ977" s="73"/>
      <c r="BK977" s="73"/>
      <c r="BL977" s="73"/>
      <c r="BM977" s="73"/>
      <c r="BN977" s="73"/>
      <c r="BO977" s="73"/>
      <c r="BP977" s="73"/>
      <c r="BQ977" s="73"/>
      <c r="BR977" s="73"/>
      <c r="BS977" s="73"/>
      <c r="BT977" s="73"/>
      <c r="BU977" s="73"/>
      <c r="BV977" s="73"/>
      <c r="BW977" s="74"/>
      <c r="BX977" s="74"/>
      <c r="BY977" s="63"/>
      <c r="BZ977" s="63"/>
    </row>
    <row r="978" ht="15.75" customHeight="1">
      <c r="A978" s="41"/>
      <c r="B978" s="50"/>
      <c r="C978" s="50"/>
      <c r="D978" s="50"/>
      <c r="E978" s="64"/>
      <c r="F978" s="78">
        <v>0.0</v>
      </c>
      <c r="G978" s="44" t="str">
        <f t="shared" si="35"/>
        <v>$0 a $100'000.000</v>
      </c>
      <c r="H978" s="44"/>
      <c r="I978" s="44"/>
      <c r="J978" s="50"/>
      <c r="K978" s="51"/>
      <c r="L978" s="44"/>
      <c r="M978" s="44"/>
      <c r="N978" s="44"/>
      <c r="O978" s="44"/>
      <c r="P978" s="44"/>
      <c r="Q978" s="88">
        <v>0.0</v>
      </c>
      <c r="R978" s="89">
        <v>0.0</v>
      </c>
      <c r="S978" s="56" t="str">
        <f t="shared" si="34"/>
        <v> </v>
      </c>
      <c r="T978" s="50"/>
      <c r="U978" s="57"/>
      <c r="V978" s="44"/>
      <c r="W978" s="44"/>
      <c r="X978" s="44"/>
      <c r="Y978" s="44"/>
      <c r="Z978" s="91"/>
      <c r="AA978" s="59" t="str">
        <f>IF(Rentabilidad=0,"No aplica",TEXT(ROUND(Precio/Rentabilidad/12,0),0) &amp; " años")</f>
        <v>No aplica</v>
      </c>
      <c r="AB978" s="212"/>
      <c r="AC978" s="61"/>
      <c r="AD978" s="107"/>
      <c r="AE978" s="63"/>
      <c r="AF978" s="64"/>
      <c r="AG978" s="63"/>
      <c r="AH978" s="63"/>
      <c r="AI978" s="63"/>
      <c r="AJ978" s="45"/>
      <c r="AK978" s="50"/>
      <c r="AL978" s="45"/>
      <c r="AM978" s="44"/>
      <c r="AN978" s="45"/>
      <c r="AO978" s="52"/>
      <c r="AP978" s="67"/>
      <c r="AQ978" s="67"/>
      <c r="AR978" s="67"/>
      <c r="AS978" s="94"/>
      <c r="AT978" s="63"/>
      <c r="AU978" s="44"/>
      <c r="AV978" s="44"/>
      <c r="AW978" s="44"/>
      <c r="AX978" s="44"/>
      <c r="AY978" s="44"/>
      <c r="AZ978" s="44"/>
      <c r="BA978" s="43" t="s">
        <v>89</v>
      </c>
      <c r="BB978" s="44"/>
      <c r="BC978" s="95"/>
      <c r="BD978" s="71"/>
      <c r="BE978" s="71"/>
      <c r="BF978" s="130"/>
      <c r="BG978" s="73"/>
      <c r="BH978" s="73"/>
      <c r="BI978" s="73"/>
      <c r="BJ978" s="73"/>
      <c r="BK978" s="73"/>
      <c r="BL978" s="73"/>
      <c r="BM978" s="73"/>
      <c r="BN978" s="73"/>
      <c r="BO978" s="73"/>
      <c r="BP978" s="73"/>
      <c r="BQ978" s="73"/>
      <c r="BR978" s="73"/>
      <c r="BS978" s="73"/>
      <c r="BT978" s="73"/>
      <c r="BU978" s="73"/>
      <c r="BV978" s="73"/>
      <c r="BW978" s="74"/>
      <c r="BX978" s="74"/>
      <c r="BY978" s="63"/>
      <c r="BZ978" s="63"/>
    </row>
    <row r="979" ht="15.75" customHeight="1">
      <c r="A979" s="41"/>
      <c r="B979" s="50"/>
      <c r="C979" s="50"/>
      <c r="D979" s="50"/>
      <c r="E979" s="64"/>
      <c r="F979" s="78">
        <v>0.0</v>
      </c>
      <c r="G979" s="44" t="str">
        <f t="shared" si="35"/>
        <v>$0 a $100'000.000</v>
      </c>
      <c r="H979" s="44"/>
      <c r="I979" s="44"/>
      <c r="J979" s="50"/>
      <c r="K979" s="51"/>
      <c r="L979" s="44"/>
      <c r="M979" s="44"/>
      <c r="N979" s="44"/>
      <c r="O979" s="44"/>
      <c r="P979" s="44"/>
      <c r="Q979" s="88">
        <v>0.0</v>
      </c>
      <c r="R979" s="89">
        <v>0.0</v>
      </c>
      <c r="S979" s="56" t="str">
        <f t="shared" si="34"/>
        <v> </v>
      </c>
      <c r="T979" s="50"/>
      <c r="U979" s="57"/>
      <c r="V979" s="44"/>
      <c r="W979" s="44"/>
      <c r="X979" s="44"/>
      <c r="Y979" s="44"/>
      <c r="Z979" s="91"/>
      <c r="AA979" s="59" t="str">
        <f>IF(Rentabilidad=0,"No aplica",TEXT(ROUND(Precio/Rentabilidad/12,0),0) &amp; " años")</f>
        <v>No aplica</v>
      </c>
      <c r="AB979" s="212"/>
      <c r="AC979" s="61"/>
      <c r="AD979" s="107"/>
      <c r="AE979" s="63"/>
      <c r="AF979" s="64"/>
      <c r="AG979" s="63"/>
      <c r="AH979" s="63"/>
      <c r="AI979" s="63"/>
      <c r="AJ979" s="45"/>
      <c r="AK979" s="50"/>
      <c r="AL979" s="45"/>
      <c r="AM979" s="44"/>
      <c r="AN979" s="45"/>
      <c r="AO979" s="52"/>
      <c r="AP979" s="67"/>
      <c r="AQ979" s="67"/>
      <c r="AR979" s="67"/>
      <c r="AS979" s="94"/>
      <c r="AT979" s="63"/>
      <c r="AU979" s="44"/>
      <c r="AV979" s="44"/>
      <c r="AW979" s="44"/>
      <c r="AX979" s="44"/>
      <c r="AY979" s="44"/>
      <c r="AZ979" s="44"/>
      <c r="BA979" s="43" t="s">
        <v>89</v>
      </c>
      <c r="BB979" s="44"/>
      <c r="BC979" s="95"/>
      <c r="BD979" s="71"/>
      <c r="BE979" s="71"/>
      <c r="BF979" s="130"/>
      <c r="BG979" s="73"/>
      <c r="BH979" s="73"/>
      <c r="BI979" s="73"/>
      <c r="BJ979" s="73"/>
      <c r="BK979" s="73"/>
      <c r="BL979" s="73"/>
      <c r="BM979" s="73"/>
      <c r="BN979" s="73"/>
      <c r="BO979" s="73"/>
      <c r="BP979" s="73"/>
      <c r="BQ979" s="73"/>
      <c r="BR979" s="73"/>
      <c r="BS979" s="73"/>
      <c r="BT979" s="73"/>
      <c r="BU979" s="73"/>
      <c r="BV979" s="73"/>
      <c r="BW979" s="74"/>
      <c r="BX979" s="74"/>
      <c r="BY979" s="63"/>
      <c r="BZ979" s="63"/>
    </row>
    <row r="980" ht="15.75" customHeight="1">
      <c r="A980" s="41"/>
      <c r="B980" s="50"/>
      <c r="C980" s="50"/>
      <c r="D980" s="50"/>
      <c r="E980" s="64"/>
      <c r="F980" s="78">
        <v>0.0</v>
      </c>
      <c r="G980" s="44" t="str">
        <f t="shared" si="35"/>
        <v>$0 a $100'000.000</v>
      </c>
      <c r="H980" s="44"/>
      <c r="I980" s="44"/>
      <c r="J980" s="50"/>
      <c r="K980" s="51"/>
      <c r="L980" s="44"/>
      <c r="M980" s="44"/>
      <c r="N980" s="44"/>
      <c r="O980" s="44"/>
      <c r="P980" s="44"/>
      <c r="Q980" s="88">
        <v>0.0</v>
      </c>
      <c r="R980" s="89">
        <v>0.0</v>
      </c>
      <c r="S980" s="56" t="str">
        <f t="shared" si="34"/>
        <v> </v>
      </c>
      <c r="T980" s="50"/>
      <c r="U980" s="57"/>
      <c r="V980" s="44"/>
      <c r="W980" s="44"/>
      <c r="X980" s="44"/>
      <c r="Y980" s="44"/>
      <c r="Z980" s="91"/>
      <c r="AA980" s="59" t="str">
        <f>IF(Rentabilidad=0,"No aplica",TEXT(ROUND(Precio/Rentabilidad/12,0),0) &amp; " años")</f>
        <v>No aplica</v>
      </c>
      <c r="AB980" s="212"/>
      <c r="AC980" s="61"/>
      <c r="AD980" s="107"/>
      <c r="AE980" s="63"/>
      <c r="AF980" s="64"/>
      <c r="AG980" s="63"/>
      <c r="AH980" s="63"/>
      <c r="AI980" s="63"/>
      <c r="AJ980" s="45"/>
      <c r="AK980" s="50"/>
      <c r="AL980" s="45"/>
      <c r="AM980" s="44"/>
      <c r="AN980" s="45"/>
      <c r="AO980" s="52"/>
      <c r="AP980" s="67"/>
      <c r="AQ980" s="67"/>
      <c r="AR980" s="67"/>
      <c r="AS980" s="94"/>
      <c r="AT980" s="63"/>
      <c r="AU980" s="44"/>
      <c r="AV980" s="44"/>
      <c r="AW980" s="44"/>
      <c r="AX980" s="44"/>
      <c r="AY980" s="44"/>
      <c r="AZ980" s="44"/>
      <c r="BA980" s="43" t="s">
        <v>89</v>
      </c>
      <c r="BB980" s="44"/>
      <c r="BC980" s="95"/>
      <c r="BD980" s="71"/>
      <c r="BE980" s="71"/>
      <c r="BF980" s="130"/>
      <c r="BG980" s="73"/>
      <c r="BH980" s="73"/>
      <c r="BI980" s="73"/>
      <c r="BJ980" s="73"/>
      <c r="BK980" s="73"/>
      <c r="BL980" s="73"/>
      <c r="BM980" s="73"/>
      <c r="BN980" s="73"/>
      <c r="BO980" s="73"/>
      <c r="BP980" s="73"/>
      <c r="BQ980" s="73"/>
      <c r="BR980" s="73"/>
      <c r="BS980" s="73"/>
      <c r="BT980" s="73"/>
      <c r="BU980" s="73"/>
      <c r="BV980" s="73"/>
      <c r="BW980" s="74"/>
      <c r="BX980" s="74"/>
      <c r="BY980" s="63"/>
      <c r="BZ980" s="63"/>
    </row>
    <row r="981" ht="15.75" customHeight="1">
      <c r="A981" s="41"/>
      <c r="B981" s="50"/>
      <c r="C981" s="50"/>
      <c r="D981" s="50"/>
      <c r="E981" s="64"/>
      <c r="F981" s="78">
        <v>0.0</v>
      </c>
      <c r="G981" s="44" t="str">
        <f t="shared" si="35"/>
        <v>$0 a $100'000.000</v>
      </c>
      <c r="H981" s="44"/>
      <c r="I981" s="44"/>
      <c r="J981" s="50"/>
      <c r="K981" s="51"/>
      <c r="L981" s="44"/>
      <c r="M981" s="44"/>
      <c r="N981" s="44"/>
      <c r="O981" s="44"/>
      <c r="P981" s="44"/>
      <c r="Q981" s="88">
        <v>0.0</v>
      </c>
      <c r="R981" s="89">
        <v>0.0</v>
      </c>
      <c r="S981" s="56" t="str">
        <f t="shared" si="34"/>
        <v> </v>
      </c>
      <c r="T981" s="50"/>
      <c r="U981" s="57"/>
      <c r="V981" s="44"/>
      <c r="W981" s="44"/>
      <c r="X981" s="44"/>
      <c r="Y981" s="44"/>
      <c r="Z981" s="91"/>
      <c r="AA981" s="59" t="str">
        <f>IF(Rentabilidad=0,"No aplica",TEXT(ROUND(Precio/Rentabilidad/12,0),0) &amp; " años")</f>
        <v>No aplica</v>
      </c>
      <c r="AB981" s="212"/>
      <c r="AC981" s="61"/>
      <c r="AD981" s="107"/>
      <c r="AE981" s="63"/>
      <c r="AF981" s="64"/>
      <c r="AG981" s="63"/>
      <c r="AH981" s="63"/>
      <c r="AI981" s="63"/>
      <c r="AJ981" s="45"/>
      <c r="AK981" s="50"/>
      <c r="AL981" s="45"/>
      <c r="AM981" s="44"/>
      <c r="AN981" s="45"/>
      <c r="AO981" s="52"/>
      <c r="AP981" s="67"/>
      <c r="AQ981" s="67"/>
      <c r="AR981" s="67"/>
      <c r="AS981" s="94"/>
      <c r="AT981" s="63"/>
      <c r="AU981" s="44"/>
      <c r="AV981" s="44"/>
      <c r="AW981" s="44"/>
      <c r="AX981" s="44"/>
      <c r="AY981" s="44"/>
      <c r="AZ981" s="44"/>
      <c r="BA981" s="43" t="s">
        <v>89</v>
      </c>
      <c r="BB981" s="44"/>
      <c r="BC981" s="95"/>
      <c r="BD981" s="71"/>
      <c r="BE981" s="71"/>
      <c r="BF981" s="130"/>
      <c r="BG981" s="73"/>
      <c r="BH981" s="73"/>
      <c r="BI981" s="73"/>
      <c r="BJ981" s="73"/>
      <c r="BK981" s="73"/>
      <c r="BL981" s="73"/>
      <c r="BM981" s="73"/>
      <c r="BN981" s="73"/>
      <c r="BO981" s="73"/>
      <c r="BP981" s="73"/>
      <c r="BQ981" s="73"/>
      <c r="BR981" s="73"/>
      <c r="BS981" s="73"/>
      <c r="BT981" s="73"/>
      <c r="BU981" s="73"/>
      <c r="BV981" s="73"/>
      <c r="BW981" s="74"/>
      <c r="BX981" s="74"/>
      <c r="BY981" s="63"/>
      <c r="BZ981" s="63"/>
    </row>
    <row r="982" ht="15.75" customHeight="1">
      <c r="A982" s="41"/>
      <c r="B982" s="50"/>
      <c r="C982" s="50"/>
      <c r="D982" s="50"/>
      <c r="E982" s="64"/>
      <c r="F982" s="78">
        <v>0.0</v>
      </c>
      <c r="G982" s="44" t="str">
        <f t="shared" si="35"/>
        <v>$0 a $100'000.000</v>
      </c>
      <c r="H982" s="44"/>
      <c r="I982" s="44"/>
      <c r="J982" s="50"/>
      <c r="K982" s="51"/>
      <c r="L982" s="44"/>
      <c r="M982" s="44"/>
      <c r="N982" s="44"/>
      <c r="O982" s="44"/>
      <c r="P982" s="44"/>
      <c r="Q982" s="88">
        <v>0.0</v>
      </c>
      <c r="R982" s="89">
        <v>0.0</v>
      </c>
      <c r="S982" s="56" t="str">
        <f t="shared" si="34"/>
        <v> </v>
      </c>
      <c r="T982" s="50"/>
      <c r="U982" s="57"/>
      <c r="V982" s="44"/>
      <c r="W982" s="44"/>
      <c r="X982" s="44"/>
      <c r="Y982" s="44"/>
      <c r="Z982" s="91"/>
      <c r="AA982" s="59" t="str">
        <f>IF(Rentabilidad=0,"No aplica",TEXT(ROUND(Precio/Rentabilidad/12,0),0) &amp; " años")</f>
        <v>No aplica</v>
      </c>
      <c r="AB982" s="212"/>
      <c r="AC982" s="61"/>
      <c r="AD982" s="107"/>
      <c r="AE982" s="63"/>
      <c r="AF982" s="64"/>
      <c r="AG982" s="63"/>
      <c r="AH982" s="63"/>
      <c r="AI982" s="63"/>
      <c r="AJ982" s="45"/>
      <c r="AK982" s="50"/>
      <c r="AL982" s="45"/>
      <c r="AM982" s="44"/>
      <c r="AN982" s="45"/>
      <c r="AO982" s="52"/>
      <c r="AP982" s="67"/>
      <c r="AQ982" s="67"/>
      <c r="AR982" s="67"/>
      <c r="AS982" s="94"/>
      <c r="AT982" s="63"/>
      <c r="AU982" s="44"/>
      <c r="AV982" s="44"/>
      <c r="AW982" s="44"/>
      <c r="AX982" s="44"/>
      <c r="AY982" s="44"/>
      <c r="AZ982" s="44"/>
      <c r="BA982" s="43" t="s">
        <v>89</v>
      </c>
      <c r="BB982" s="44"/>
      <c r="BC982" s="95"/>
      <c r="BD982" s="71"/>
      <c r="BE982" s="71"/>
      <c r="BF982" s="130"/>
      <c r="BG982" s="73"/>
      <c r="BH982" s="73"/>
      <c r="BI982" s="73"/>
      <c r="BJ982" s="73"/>
      <c r="BK982" s="73"/>
      <c r="BL982" s="73"/>
      <c r="BM982" s="73"/>
      <c r="BN982" s="73"/>
      <c r="BO982" s="73"/>
      <c r="BP982" s="73"/>
      <c r="BQ982" s="73"/>
      <c r="BR982" s="73"/>
      <c r="BS982" s="73"/>
      <c r="BT982" s="73"/>
      <c r="BU982" s="73"/>
      <c r="BV982" s="73"/>
      <c r="BW982" s="74"/>
      <c r="BX982" s="74"/>
      <c r="BY982" s="63"/>
      <c r="BZ982" s="63"/>
    </row>
    <row r="983" ht="15.75" customHeight="1">
      <c r="A983" s="41"/>
      <c r="B983" s="50"/>
      <c r="C983" s="50"/>
      <c r="D983" s="50"/>
      <c r="E983" s="64"/>
      <c r="F983" s="78">
        <v>0.0</v>
      </c>
      <c r="G983" s="44" t="str">
        <f t="shared" si="35"/>
        <v>$0 a $100'000.000</v>
      </c>
      <c r="H983" s="44"/>
      <c r="I983" s="44"/>
      <c r="J983" s="50"/>
      <c r="K983" s="51"/>
      <c r="L983" s="44"/>
      <c r="M983" s="44"/>
      <c r="N983" s="44"/>
      <c r="O983" s="44"/>
      <c r="P983" s="44"/>
      <c r="Q983" s="88">
        <v>0.0</v>
      </c>
      <c r="R983" s="89">
        <v>0.0</v>
      </c>
      <c r="S983" s="56" t="str">
        <f t="shared" si="34"/>
        <v> </v>
      </c>
      <c r="T983" s="50"/>
      <c r="U983" s="57"/>
      <c r="V983" s="44"/>
      <c r="W983" s="44"/>
      <c r="X983" s="44"/>
      <c r="Y983" s="44"/>
      <c r="Z983" s="91"/>
      <c r="AA983" s="59" t="str">
        <f>IF(Rentabilidad=0,"No aplica",TEXT(ROUND(Precio/Rentabilidad/12,0),0) &amp; " años")</f>
        <v>No aplica</v>
      </c>
      <c r="AB983" s="212"/>
      <c r="AC983" s="61"/>
      <c r="AD983" s="107"/>
      <c r="AE983" s="63"/>
      <c r="AF983" s="64"/>
      <c r="AG983" s="63"/>
      <c r="AH983" s="63"/>
      <c r="AI983" s="63"/>
      <c r="AJ983" s="45"/>
      <c r="AK983" s="50"/>
      <c r="AL983" s="45"/>
      <c r="AM983" s="44"/>
      <c r="AN983" s="45"/>
      <c r="AO983" s="52"/>
      <c r="AP983" s="67"/>
      <c r="AQ983" s="67"/>
      <c r="AR983" s="67"/>
      <c r="AS983" s="94"/>
      <c r="AT983" s="63"/>
      <c r="AU983" s="44"/>
      <c r="AV983" s="44"/>
      <c r="AW983" s="44"/>
      <c r="AX983" s="44"/>
      <c r="AY983" s="44"/>
      <c r="AZ983" s="44"/>
      <c r="BA983" s="43" t="s">
        <v>89</v>
      </c>
      <c r="BB983" s="44"/>
      <c r="BC983" s="95"/>
      <c r="BD983" s="71"/>
      <c r="BE983" s="71"/>
      <c r="BF983" s="130"/>
      <c r="BG983" s="73"/>
      <c r="BH983" s="73"/>
      <c r="BI983" s="73"/>
      <c r="BJ983" s="73"/>
      <c r="BK983" s="73"/>
      <c r="BL983" s="73"/>
      <c r="BM983" s="73"/>
      <c r="BN983" s="73"/>
      <c r="BO983" s="73"/>
      <c r="BP983" s="73"/>
      <c r="BQ983" s="73"/>
      <c r="BR983" s="73"/>
      <c r="BS983" s="73"/>
      <c r="BT983" s="73"/>
      <c r="BU983" s="73"/>
      <c r="BV983" s="73"/>
      <c r="BW983" s="74"/>
      <c r="BX983" s="74"/>
      <c r="BY983" s="63"/>
      <c r="BZ983" s="63"/>
    </row>
    <row r="984" ht="15.75" customHeight="1">
      <c r="A984" s="41"/>
      <c r="B984" s="50"/>
      <c r="C984" s="50"/>
      <c r="D984" s="50"/>
      <c r="E984" s="64"/>
      <c r="F984" s="78">
        <v>0.0</v>
      </c>
      <c r="G984" s="44" t="str">
        <f t="shared" si="35"/>
        <v>$0 a $100'000.000</v>
      </c>
      <c r="H984" s="44"/>
      <c r="I984" s="44"/>
      <c r="J984" s="50"/>
      <c r="K984" s="51"/>
      <c r="L984" s="44"/>
      <c r="M984" s="44"/>
      <c r="N984" s="44"/>
      <c r="O984" s="44"/>
      <c r="P984" s="44"/>
      <c r="Q984" s="88">
        <v>0.0</v>
      </c>
      <c r="R984" s="89">
        <v>0.0</v>
      </c>
      <c r="S984" s="56" t="str">
        <f t="shared" si="34"/>
        <v> </v>
      </c>
      <c r="T984" s="50"/>
      <c r="U984" s="57"/>
      <c r="V984" s="44"/>
      <c r="W984" s="44"/>
      <c r="X984" s="44"/>
      <c r="Y984" s="44"/>
      <c r="Z984" s="91"/>
      <c r="AA984" s="59" t="str">
        <f>IF(Rentabilidad=0,"No aplica",TEXT(ROUND(Precio/Rentabilidad/12,0),0) &amp; " años")</f>
        <v>No aplica</v>
      </c>
      <c r="AB984" s="212"/>
      <c r="AC984" s="61"/>
      <c r="AD984" s="107"/>
      <c r="AE984" s="63"/>
      <c r="AF984" s="64"/>
      <c r="AG984" s="63"/>
      <c r="AH984" s="63"/>
      <c r="AI984" s="63"/>
      <c r="AJ984" s="45"/>
      <c r="AK984" s="50"/>
      <c r="AL984" s="45"/>
      <c r="AM984" s="44"/>
      <c r="AN984" s="45"/>
      <c r="AO984" s="52"/>
      <c r="AP984" s="67"/>
      <c r="AQ984" s="67"/>
      <c r="AR984" s="67"/>
      <c r="AS984" s="94"/>
      <c r="AT984" s="63"/>
      <c r="AU984" s="44"/>
      <c r="AV984" s="44"/>
      <c r="AW984" s="44"/>
      <c r="AX984" s="44"/>
      <c r="AY984" s="44"/>
      <c r="AZ984" s="44"/>
      <c r="BA984" s="43" t="s">
        <v>89</v>
      </c>
      <c r="BB984" s="44"/>
      <c r="BC984" s="95"/>
      <c r="BD984" s="71"/>
      <c r="BE984" s="71"/>
      <c r="BF984" s="130"/>
      <c r="BG984" s="73"/>
      <c r="BH984" s="73"/>
      <c r="BI984" s="73"/>
      <c r="BJ984" s="73"/>
      <c r="BK984" s="73"/>
      <c r="BL984" s="73"/>
      <c r="BM984" s="73"/>
      <c r="BN984" s="73"/>
      <c r="BO984" s="73"/>
      <c r="BP984" s="73"/>
      <c r="BQ984" s="73"/>
      <c r="BR984" s="73"/>
      <c r="BS984" s="73"/>
      <c r="BT984" s="73"/>
      <c r="BU984" s="73"/>
      <c r="BV984" s="73"/>
      <c r="BW984" s="74"/>
      <c r="BX984" s="74"/>
      <c r="BY984" s="63"/>
      <c r="BZ984" s="63"/>
    </row>
    <row r="985" ht="15.75" customHeight="1">
      <c r="A985" s="41"/>
      <c r="B985" s="50"/>
      <c r="C985" s="50"/>
      <c r="D985" s="50"/>
      <c r="E985" s="64"/>
      <c r="F985" s="78">
        <v>0.0</v>
      </c>
      <c r="G985" s="44" t="str">
        <f t="shared" si="35"/>
        <v>$0 a $100'000.000</v>
      </c>
      <c r="H985" s="44"/>
      <c r="I985" s="44"/>
      <c r="J985" s="50"/>
      <c r="K985" s="51"/>
      <c r="L985" s="44"/>
      <c r="M985" s="44"/>
      <c r="N985" s="44"/>
      <c r="O985" s="44"/>
      <c r="P985" s="44"/>
      <c r="Q985" s="88">
        <v>0.0</v>
      </c>
      <c r="R985" s="89">
        <v>0.0</v>
      </c>
      <c r="S985" s="56" t="str">
        <f t="shared" si="34"/>
        <v> </v>
      </c>
      <c r="T985" s="50"/>
      <c r="U985" s="57"/>
      <c r="V985" s="44"/>
      <c r="W985" s="44"/>
      <c r="X985" s="44"/>
      <c r="Y985" s="44"/>
      <c r="Z985" s="91"/>
      <c r="AA985" s="59" t="str">
        <f>IF(Rentabilidad=0,"No aplica",TEXT(ROUND(Precio/Rentabilidad/12,0),0) &amp; " años")</f>
        <v>No aplica</v>
      </c>
      <c r="AB985" s="212"/>
      <c r="AC985" s="61"/>
      <c r="AD985" s="107"/>
      <c r="AE985" s="63"/>
      <c r="AF985" s="64"/>
      <c r="AG985" s="63"/>
      <c r="AH985" s="63"/>
      <c r="AI985" s="63"/>
      <c r="AJ985" s="45"/>
      <c r="AK985" s="50"/>
      <c r="AL985" s="45"/>
      <c r="AM985" s="44"/>
      <c r="AN985" s="45"/>
      <c r="AO985" s="52"/>
      <c r="AP985" s="67"/>
      <c r="AQ985" s="67"/>
      <c r="AR985" s="67"/>
      <c r="AS985" s="94"/>
      <c r="AT985" s="63"/>
      <c r="AU985" s="44"/>
      <c r="AV985" s="44"/>
      <c r="AW985" s="44"/>
      <c r="AX985" s="44"/>
      <c r="AY985" s="44"/>
      <c r="AZ985" s="44"/>
      <c r="BA985" s="43" t="s">
        <v>89</v>
      </c>
      <c r="BB985" s="44"/>
      <c r="BC985" s="95"/>
      <c r="BD985" s="71"/>
      <c r="BE985" s="71"/>
      <c r="BF985" s="130"/>
      <c r="BG985" s="73"/>
      <c r="BH985" s="73"/>
      <c r="BI985" s="73"/>
      <c r="BJ985" s="73"/>
      <c r="BK985" s="73"/>
      <c r="BL985" s="73"/>
      <c r="BM985" s="73"/>
      <c r="BN985" s="73"/>
      <c r="BO985" s="73"/>
      <c r="BP985" s="73"/>
      <c r="BQ985" s="73"/>
      <c r="BR985" s="73"/>
      <c r="BS985" s="73"/>
      <c r="BT985" s="73"/>
      <c r="BU985" s="73"/>
      <c r="BV985" s="73"/>
      <c r="BW985" s="74"/>
      <c r="BX985" s="74"/>
      <c r="BY985" s="63"/>
      <c r="BZ985" s="63"/>
    </row>
    <row r="986" ht="15.75" customHeight="1">
      <c r="A986" s="41"/>
      <c r="B986" s="50"/>
      <c r="C986" s="50"/>
      <c r="D986" s="50"/>
      <c r="E986" s="64"/>
      <c r="F986" s="78">
        <v>0.0</v>
      </c>
      <c r="G986" s="44" t="str">
        <f t="shared" si="35"/>
        <v>$0 a $100'000.000</v>
      </c>
      <c r="H986" s="44"/>
      <c r="I986" s="44"/>
      <c r="J986" s="50"/>
      <c r="K986" s="51"/>
      <c r="L986" s="44"/>
      <c r="M986" s="44"/>
      <c r="N986" s="44"/>
      <c r="O986" s="44"/>
      <c r="P986" s="44"/>
      <c r="Q986" s="88">
        <v>0.0</v>
      </c>
      <c r="R986" s="89">
        <v>0.0</v>
      </c>
      <c r="S986" s="56" t="str">
        <f t="shared" si="34"/>
        <v> </v>
      </c>
      <c r="T986" s="50"/>
      <c r="U986" s="57"/>
      <c r="V986" s="44"/>
      <c r="W986" s="44"/>
      <c r="X986" s="44"/>
      <c r="Y986" s="44"/>
      <c r="Z986" s="91"/>
      <c r="AA986" s="59" t="str">
        <f>IF(Rentabilidad=0,"No aplica",TEXT(ROUND(Precio/Rentabilidad/12,0),0) &amp; " años")</f>
        <v>No aplica</v>
      </c>
      <c r="AB986" s="212"/>
      <c r="AC986" s="61"/>
      <c r="AD986" s="107"/>
      <c r="AE986" s="63"/>
      <c r="AF986" s="64"/>
      <c r="AG986" s="63"/>
      <c r="AH986" s="63"/>
      <c r="AI986" s="63"/>
      <c r="AJ986" s="45"/>
      <c r="AK986" s="50"/>
      <c r="AL986" s="45"/>
      <c r="AM986" s="44"/>
      <c r="AN986" s="45"/>
      <c r="AO986" s="52"/>
      <c r="AP986" s="67"/>
      <c r="AQ986" s="67"/>
      <c r="AR986" s="67"/>
      <c r="AS986" s="94"/>
      <c r="AT986" s="63"/>
      <c r="AU986" s="44"/>
      <c r="AV986" s="44"/>
      <c r="AW986" s="44"/>
      <c r="AX986" s="44"/>
      <c r="AY986" s="44"/>
      <c r="AZ986" s="44"/>
      <c r="BA986" s="43" t="s">
        <v>89</v>
      </c>
      <c r="BB986" s="44"/>
      <c r="BC986" s="95"/>
      <c r="BD986" s="71"/>
      <c r="BE986" s="71"/>
      <c r="BF986" s="130"/>
      <c r="BG986" s="73"/>
      <c r="BH986" s="73"/>
      <c r="BI986" s="73"/>
      <c r="BJ986" s="73"/>
      <c r="BK986" s="73"/>
      <c r="BL986" s="73"/>
      <c r="BM986" s="73"/>
      <c r="BN986" s="73"/>
      <c r="BO986" s="73"/>
      <c r="BP986" s="73"/>
      <c r="BQ986" s="73"/>
      <c r="BR986" s="73"/>
      <c r="BS986" s="73"/>
      <c r="BT986" s="73"/>
      <c r="BU986" s="73"/>
      <c r="BV986" s="73"/>
      <c r="BW986" s="74"/>
      <c r="BX986" s="74"/>
      <c r="BY986" s="63"/>
      <c r="BZ986" s="63"/>
    </row>
    <row r="987" ht="15.75" customHeight="1">
      <c r="A987" s="41"/>
      <c r="B987" s="50"/>
      <c r="C987" s="50"/>
      <c r="D987" s="50"/>
      <c r="E987" s="64"/>
      <c r="F987" s="78">
        <v>0.0</v>
      </c>
      <c r="G987" s="44" t="str">
        <f t="shared" si="35"/>
        <v>$0 a $100'000.000</v>
      </c>
      <c r="H987" s="44"/>
      <c r="I987" s="44"/>
      <c r="J987" s="50"/>
      <c r="K987" s="51"/>
      <c r="L987" s="44"/>
      <c r="M987" s="44"/>
      <c r="N987" s="44"/>
      <c r="O987" s="44"/>
      <c r="P987" s="44"/>
      <c r="Q987" s="88">
        <v>0.0</v>
      </c>
      <c r="R987" s="89">
        <v>0.0</v>
      </c>
      <c r="S987" s="56" t="str">
        <f t="shared" si="34"/>
        <v> </v>
      </c>
      <c r="T987" s="50"/>
      <c r="U987" s="57"/>
      <c r="V987" s="44"/>
      <c r="W987" s="44"/>
      <c r="X987" s="44"/>
      <c r="Y987" s="44"/>
      <c r="Z987" s="91"/>
      <c r="AA987" s="59" t="str">
        <f>IF(Rentabilidad=0,"No aplica",TEXT(ROUND(Precio/Rentabilidad/12,0),0) &amp; " años")</f>
        <v>No aplica</v>
      </c>
      <c r="AB987" s="212"/>
      <c r="AC987" s="61"/>
      <c r="AD987" s="107"/>
      <c r="AE987" s="63"/>
      <c r="AF987" s="64"/>
      <c r="AG987" s="63"/>
      <c r="AH987" s="63"/>
      <c r="AI987" s="63"/>
      <c r="AJ987" s="45"/>
      <c r="AK987" s="50"/>
      <c r="AL987" s="45"/>
      <c r="AM987" s="44"/>
      <c r="AN987" s="45"/>
      <c r="AO987" s="52"/>
      <c r="AP987" s="67"/>
      <c r="AQ987" s="67"/>
      <c r="AR987" s="67"/>
      <c r="AS987" s="94"/>
      <c r="AT987" s="63"/>
      <c r="AU987" s="44"/>
      <c r="AV987" s="44"/>
      <c r="AW987" s="44"/>
      <c r="AX987" s="44"/>
      <c r="AY987" s="44"/>
      <c r="AZ987" s="44"/>
      <c r="BA987" s="43" t="s">
        <v>89</v>
      </c>
      <c r="BB987" s="44"/>
      <c r="BC987" s="95"/>
      <c r="BD987" s="71"/>
      <c r="BE987" s="71"/>
      <c r="BF987" s="130"/>
      <c r="BG987" s="73"/>
      <c r="BH987" s="73"/>
      <c r="BI987" s="73"/>
      <c r="BJ987" s="73"/>
      <c r="BK987" s="73"/>
      <c r="BL987" s="73"/>
      <c r="BM987" s="73"/>
      <c r="BN987" s="73"/>
      <c r="BO987" s="73"/>
      <c r="BP987" s="73"/>
      <c r="BQ987" s="73"/>
      <c r="BR987" s="73"/>
      <c r="BS987" s="73"/>
      <c r="BT987" s="73"/>
      <c r="BU987" s="73"/>
      <c r="BV987" s="73"/>
      <c r="BW987" s="74"/>
      <c r="BX987" s="74"/>
      <c r="BY987" s="63"/>
      <c r="BZ987" s="63"/>
    </row>
    <row r="988" ht="15.75" customHeight="1">
      <c r="A988" s="41"/>
      <c r="B988" s="50"/>
      <c r="C988" s="50"/>
      <c r="D988" s="50"/>
      <c r="E988" s="64"/>
      <c r="F988" s="78">
        <v>0.0</v>
      </c>
      <c r="G988" s="44" t="str">
        <f t="shared" si="35"/>
        <v>$0 a $100'000.000</v>
      </c>
      <c r="H988" s="44"/>
      <c r="I988" s="44"/>
      <c r="J988" s="50"/>
      <c r="K988" s="51"/>
      <c r="L988" s="44"/>
      <c r="M988" s="44"/>
      <c r="N988" s="44"/>
      <c r="O988" s="44"/>
      <c r="P988" s="44"/>
      <c r="Q988" s="88">
        <v>0.0</v>
      </c>
      <c r="R988" s="89">
        <v>0.0</v>
      </c>
      <c r="S988" s="56" t="str">
        <f t="shared" si="34"/>
        <v> </v>
      </c>
      <c r="T988" s="50"/>
      <c r="U988" s="57"/>
      <c r="V988" s="44"/>
      <c r="W988" s="44"/>
      <c r="X988" s="44"/>
      <c r="Y988" s="44"/>
      <c r="Z988" s="91"/>
      <c r="AA988" s="59" t="str">
        <f>IF(Rentabilidad=0,"No aplica",TEXT(ROUND(Precio/Rentabilidad/12,0),0) &amp; " años")</f>
        <v>No aplica</v>
      </c>
      <c r="AB988" s="212"/>
      <c r="AC988" s="61"/>
      <c r="AD988" s="107"/>
      <c r="AE988" s="63"/>
      <c r="AF988" s="64"/>
      <c r="AG988" s="63"/>
      <c r="AH988" s="63"/>
      <c r="AI988" s="63"/>
      <c r="AJ988" s="45"/>
      <c r="AK988" s="50"/>
      <c r="AL988" s="45"/>
      <c r="AM988" s="44"/>
      <c r="AN988" s="45"/>
      <c r="AO988" s="52"/>
      <c r="AP988" s="67"/>
      <c r="AQ988" s="67"/>
      <c r="AR988" s="67"/>
      <c r="AS988" s="94"/>
      <c r="AT988" s="63"/>
      <c r="AU988" s="44"/>
      <c r="AV988" s="44"/>
      <c r="AW988" s="44"/>
      <c r="AX988" s="44"/>
      <c r="AY988" s="44"/>
      <c r="AZ988" s="44"/>
      <c r="BA988" s="43" t="s">
        <v>89</v>
      </c>
      <c r="BB988" s="44"/>
      <c r="BC988" s="95"/>
      <c r="BD988" s="71"/>
      <c r="BE988" s="71"/>
      <c r="BF988" s="130"/>
      <c r="BG988" s="73"/>
      <c r="BH988" s="73"/>
      <c r="BI988" s="73"/>
      <c r="BJ988" s="73"/>
      <c r="BK988" s="73"/>
      <c r="BL988" s="73"/>
      <c r="BM988" s="73"/>
      <c r="BN988" s="73"/>
      <c r="BO988" s="73"/>
      <c r="BP988" s="73"/>
      <c r="BQ988" s="73"/>
      <c r="BR988" s="73"/>
      <c r="BS988" s="73"/>
      <c r="BT988" s="73"/>
      <c r="BU988" s="73"/>
      <c r="BV988" s="73"/>
      <c r="BW988" s="74"/>
      <c r="BX988" s="74"/>
      <c r="BY988" s="63"/>
      <c r="BZ988" s="63"/>
    </row>
    <row r="989" ht="15.75" customHeight="1">
      <c r="A989" s="41"/>
      <c r="B989" s="50"/>
      <c r="C989" s="50"/>
      <c r="D989" s="50"/>
      <c r="E989" s="64"/>
      <c r="F989" s="78">
        <v>0.0</v>
      </c>
      <c r="G989" s="44" t="str">
        <f t="shared" si="35"/>
        <v>$0 a $100'000.000</v>
      </c>
      <c r="H989" s="44"/>
      <c r="I989" s="44"/>
      <c r="J989" s="50"/>
      <c r="K989" s="51"/>
      <c r="L989" s="44"/>
      <c r="M989" s="44"/>
      <c r="N989" s="44"/>
      <c r="O989" s="44"/>
      <c r="P989" s="44"/>
      <c r="Q989" s="88">
        <v>0.0</v>
      </c>
      <c r="R989" s="89">
        <v>0.0</v>
      </c>
      <c r="S989" s="56" t="str">
        <f t="shared" si="34"/>
        <v> </v>
      </c>
      <c r="T989" s="50"/>
      <c r="U989" s="57"/>
      <c r="V989" s="44"/>
      <c r="W989" s="44"/>
      <c r="X989" s="44"/>
      <c r="Y989" s="44"/>
      <c r="Z989" s="91"/>
      <c r="AA989" s="59" t="str">
        <f>IF(Rentabilidad=0,"No aplica",TEXT(ROUND(Precio/Rentabilidad/12,0),0) &amp; " años")</f>
        <v>No aplica</v>
      </c>
      <c r="AB989" s="212"/>
      <c r="AC989" s="61"/>
      <c r="AD989" s="107"/>
      <c r="AE989" s="63"/>
      <c r="AF989" s="64"/>
      <c r="AG989" s="63"/>
      <c r="AH989" s="63"/>
      <c r="AI989" s="63"/>
      <c r="AJ989" s="45"/>
      <c r="AK989" s="50"/>
      <c r="AL989" s="45"/>
      <c r="AM989" s="44"/>
      <c r="AN989" s="45"/>
      <c r="AO989" s="52"/>
      <c r="AP989" s="67"/>
      <c r="AQ989" s="67"/>
      <c r="AR989" s="67"/>
      <c r="AS989" s="94"/>
      <c r="AT989" s="63"/>
      <c r="AU989" s="44"/>
      <c r="AV989" s="44"/>
      <c r="AW989" s="44"/>
      <c r="AX989" s="44"/>
      <c r="AY989" s="44"/>
      <c r="AZ989" s="44"/>
      <c r="BA989" s="43" t="s">
        <v>89</v>
      </c>
      <c r="BB989" s="44"/>
      <c r="BC989" s="95"/>
      <c r="BD989" s="71"/>
      <c r="BE989" s="71"/>
      <c r="BF989" s="130"/>
      <c r="BG989" s="73"/>
      <c r="BH989" s="73"/>
      <c r="BI989" s="73"/>
      <c r="BJ989" s="73"/>
      <c r="BK989" s="73"/>
      <c r="BL989" s="73"/>
      <c r="BM989" s="73"/>
      <c r="BN989" s="73"/>
      <c r="BO989" s="73"/>
      <c r="BP989" s="73"/>
      <c r="BQ989" s="73"/>
      <c r="BR989" s="73"/>
      <c r="BS989" s="73"/>
      <c r="BT989" s="73"/>
      <c r="BU989" s="73"/>
      <c r="BV989" s="73"/>
      <c r="BW989" s="74"/>
      <c r="BX989" s="74"/>
      <c r="BY989" s="63"/>
      <c r="BZ989" s="63"/>
    </row>
    <row r="990" ht="15.75" customHeight="1">
      <c r="A990" s="41"/>
      <c r="B990" s="50"/>
      <c r="C990" s="50"/>
      <c r="D990" s="50"/>
      <c r="E990" s="64"/>
      <c r="F990" s="78">
        <v>0.0</v>
      </c>
      <c r="G990" s="44" t="str">
        <f t="shared" si="35"/>
        <v>$0 a $100'000.000</v>
      </c>
      <c r="H990" s="44"/>
      <c r="I990" s="44"/>
      <c r="J990" s="50"/>
      <c r="K990" s="51"/>
      <c r="L990" s="44"/>
      <c r="M990" s="44"/>
      <c r="N990" s="44"/>
      <c r="O990" s="44"/>
      <c r="P990" s="44"/>
      <c r="Q990" s="88">
        <v>0.0</v>
      </c>
      <c r="R990" s="89">
        <v>0.0</v>
      </c>
      <c r="S990" s="56" t="str">
        <f t="shared" si="34"/>
        <v> </v>
      </c>
      <c r="T990" s="50"/>
      <c r="U990" s="57"/>
      <c r="V990" s="44"/>
      <c r="W990" s="44"/>
      <c r="X990" s="44"/>
      <c r="Y990" s="44"/>
      <c r="Z990" s="91"/>
      <c r="AA990" s="59" t="str">
        <f>IF(Rentabilidad=0,"No aplica",TEXT(ROUND(Precio/Rentabilidad/12,0),0) &amp; " años")</f>
        <v>No aplica</v>
      </c>
      <c r="AB990" s="212"/>
      <c r="AC990" s="61"/>
      <c r="AD990" s="107"/>
      <c r="AE990" s="63"/>
      <c r="AF990" s="64"/>
      <c r="AG990" s="63"/>
      <c r="AH990" s="63"/>
      <c r="AI990" s="63"/>
      <c r="AJ990" s="45"/>
      <c r="AK990" s="50"/>
      <c r="AL990" s="45"/>
      <c r="AM990" s="44"/>
      <c r="AN990" s="45"/>
      <c r="AO990" s="52"/>
      <c r="AP990" s="67"/>
      <c r="AQ990" s="67"/>
      <c r="AR990" s="67"/>
      <c r="AS990" s="94"/>
      <c r="AT990" s="63"/>
      <c r="AU990" s="44"/>
      <c r="AV990" s="44"/>
      <c r="AW990" s="44"/>
      <c r="AX990" s="44"/>
      <c r="AY990" s="44"/>
      <c r="AZ990" s="44"/>
      <c r="BA990" s="43" t="s">
        <v>89</v>
      </c>
      <c r="BB990" s="44"/>
      <c r="BC990" s="95"/>
      <c r="BD990" s="71"/>
      <c r="BE990" s="71"/>
      <c r="BF990" s="130"/>
      <c r="BG990" s="73"/>
      <c r="BH990" s="73"/>
      <c r="BI990" s="73"/>
      <c r="BJ990" s="73"/>
      <c r="BK990" s="73"/>
      <c r="BL990" s="73"/>
      <c r="BM990" s="73"/>
      <c r="BN990" s="73"/>
      <c r="BO990" s="73"/>
      <c r="BP990" s="73"/>
      <c r="BQ990" s="73"/>
      <c r="BR990" s="73"/>
      <c r="BS990" s="73"/>
      <c r="BT990" s="73"/>
      <c r="BU990" s="73"/>
      <c r="BV990" s="73"/>
      <c r="BW990" s="74"/>
      <c r="BX990" s="74"/>
      <c r="BY990" s="63"/>
      <c r="BZ990" s="63"/>
    </row>
    <row r="991" ht="15.75" customHeight="1">
      <c r="A991" s="41"/>
      <c r="B991" s="50"/>
      <c r="C991" s="50"/>
      <c r="D991" s="50"/>
      <c r="E991" s="64"/>
      <c r="F991" s="78">
        <v>0.0</v>
      </c>
      <c r="G991" s="44" t="str">
        <f t="shared" si="35"/>
        <v>$0 a $100'000.000</v>
      </c>
      <c r="H991" s="44"/>
      <c r="I991" s="44"/>
      <c r="J991" s="50"/>
      <c r="K991" s="51"/>
      <c r="L991" s="44"/>
      <c r="M991" s="44"/>
      <c r="N991" s="44"/>
      <c r="O991" s="44"/>
      <c r="P991" s="44"/>
      <c r="Q991" s="88">
        <v>0.0</v>
      </c>
      <c r="R991" s="89">
        <v>0.0</v>
      </c>
      <c r="S991" s="56" t="str">
        <f t="shared" si="34"/>
        <v> </v>
      </c>
      <c r="T991" s="50"/>
      <c r="U991" s="57"/>
      <c r="V991" s="44"/>
      <c r="W991" s="44"/>
      <c r="X991" s="44"/>
      <c r="Y991" s="44"/>
      <c r="Z991" s="91"/>
      <c r="AA991" s="59" t="str">
        <f>IF(Rentabilidad=0,"No aplica",TEXT(ROUND(Precio/Rentabilidad/12,0),0) &amp; " años")</f>
        <v>No aplica</v>
      </c>
      <c r="AB991" s="212"/>
      <c r="AC991" s="61"/>
      <c r="AD991" s="107"/>
      <c r="AE991" s="63"/>
      <c r="AF991" s="64"/>
      <c r="AG991" s="63"/>
      <c r="AH991" s="63"/>
      <c r="AI991" s="63"/>
      <c r="AJ991" s="45"/>
      <c r="AK991" s="50"/>
      <c r="AL991" s="45"/>
      <c r="AM991" s="44"/>
      <c r="AN991" s="45"/>
      <c r="AO991" s="52"/>
      <c r="AP991" s="67"/>
      <c r="AQ991" s="67"/>
      <c r="AR991" s="67"/>
      <c r="AS991" s="94"/>
      <c r="AT991" s="63"/>
      <c r="AU991" s="44"/>
      <c r="AV991" s="44"/>
      <c r="AW991" s="44"/>
      <c r="AX991" s="44"/>
      <c r="AY991" s="44"/>
      <c r="AZ991" s="44"/>
      <c r="BA991" s="43" t="s">
        <v>89</v>
      </c>
      <c r="BB991" s="44"/>
      <c r="BC991" s="95"/>
      <c r="BD991" s="71"/>
      <c r="BE991" s="71"/>
      <c r="BF991" s="130"/>
      <c r="BG991" s="73"/>
      <c r="BH991" s="73"/>
      <c r="BI991" s="73"/>
      <c r="BJ991" s="73"/>
      <c r="BK991" s="73"/>
      <c r="BL991" s="73"/>
      <c r="BM991" s="73"/>
      <c r="BN991" s="73"/>
      <c r="BO991" s="73"/>
      <c r="BP991" s="73"/>
      <c r="BQ991" s="73"/>
      <c r="BR991" s="73"/>
      <c r="BS991" s="73"/>
      <c r="BT991" s="73"/>
      <c r="BU991" s="73"/>
      <c r="BV991" s="73"/>
      <c r="BW991" s="74"/>
      <c r="BX991" s="74"/>
      <c r="BY991" s="63"/>
      <c r="BZ991" s="63"/>
    </row>
    <row r="992" ht="15.75" customHeight="1">
      <c r="A992" s="41"/>
      <c r="B992" s="50"/>
      <c r="C992" s="50"/>
      <c r="D992" s="50"/>
      <c r="E992" s="64"/>
      <c r="F992" s="78">
        <v>0.0</v>
      </c>
      <c r="G992" s="44" t="str">
        <f t="shared" si="35"/>
        <v>$0 a $100'000.000</v>
      </c>
      <c r="H992" s="44"/>
      <c r="I992" s="44"/>
      <c r="J992" s="50"/>
      <c r="K992" s="51"/>
      <c r="L992" s="44"/>
      <c r="M992" s="44"/>
      <c r="N992" s="44"/>
      <c r="O992" s="44"/>
      <c r="P992" s="44"/>
      <c r="Q992" s="88">
        <v>0.0</v>
      </c>
      <c r="R992" s="89">
        <v>0.0</v>
      </c>
      <c r="S992" s="56" t="str">
        <f t="shared" si="34"/>
        <v> </v>
      </c>
      <c r="T992" s="50"/>
      <c r="U992" s="57"/>
      <c r="V992" s="44"/>
      <c r="W992" s="44"/>
      <c r="X992" s="44"/>
      <c r="Y992" s="44"/>
      <c r="Z992" s="91"/>
      <c r="AA992" s="59" t="str">
        <f>IF(Rentabilidad=0,"No aplica",TEXT(ROUND(Precio/Rentabilidad/12,0),0) &amp; " años")</f>
        <v>No aplica</v>
      </c>
      <c r="AB992" s="212"/>
      <c r="AC992" s="61"/>
      <c r="AD992" s="107"/>
      <c r="AE992" s="63"/>
      <c r="AF992" s="64"/>
      <c r="AG992" s="63"/>
      <c r="AH992" s="63"/>
      <c r="AI992" s="63"/>
      <c r="AJ992" s="45"/>
      <c r="AK992" s="50"/>
      <c r="AL992" s="45"/>
      <c r="AM992" s="44"/>
      <c r="AN992" s="45"/>
      <c r="AO992" s="52"/>
      <c r="AP992" s="67"/>
      <c r="AQ992" s="67"/>
      <c r="AR992" s="67"/>
      <c r="AS992" s="94"/>
      <c r="AT992" s="63"/>
      <c r="AU992" s="44"/>
      <c r="AV992" s="44"/>
      <c r="AW992" s="44"/>
      <c r="AX992" s="44"/>
      <c r="AY992" s="44"/>
      <c r="AZ992" s="44"/>
      <c r="BA992" s="43" t="s">
        <v>89</v>
      </c>
      <c r="BB992" s="44"/>
      <c r="BC992" s="95"/>
      <c r="BD992" s="71"/>
      <c r="BE992" s="71"/>
      <c r="BF992" s="130"/>
      <c r="BG992" s="73"/>
      <c r="BH992" s="73"/>
      <c r="BI992" s="73"/>
      <c r="BJ992" s="73"/>
      <c r="BK992" s="73"/>
      <c r="BL992" s="73"/>
      <c r="BM992" s="73"/>
      <c r="BN992" s="73"/>
      <c r="BO992" s="73"/>
      <c r="BP992" s="73"/>
      <c r="BQ992" s="73"/>
      <c r="BR992" s="73"/>
      <c r="BS992" s="73"/>
      <c r="BT992" s="73"/>
      <c r="BU992" s="73"/>
      <c r="BV992" s="73"/>
      <c r="BW992" s="74"/>
      <c r="BX992" s="74"/>
      <c r="BY992" s="63"/>
      <c r="BZ992" s="63"/>
    </row>
    <row r="993" ht="15.75" customHeight="1">
      <c r="A993" s="41"/>
      <c r="B993" s="50"/>
      <c r="C993" s="50"/>
      <c r="D993" s="50"/>
      <c r="E993" s="64"/>
      <c r="F993" s="78">
        <v>0.0</v>
      </c>
      <c r="G993" s="44" t="str">
        <f t="shared" si="35"/>
        <v>$0 a $100'000.000</v>
      </c>
      <c r="H993" s="44"/>
      <c r="I993" s="44"/>
      <c r="J993" s="50"/>
      <c r="K993" s="51"/>
      <c r="L993" s="44"/>
      <c r="M993" s="44"/>
      <c r="N993" s="44"/>
      <c r="O993" s="44"/>
      <c r="P993" s="44"/>
      <c r="Q993" s="88">
        <v>0.0</v>
      </c>
      <c r="R993" s="89">
        <v>0.0</v>
      </c>
      <c r="S993" s="56" t="str">
        <f t="shared" si="34"/>
        <v> </v>
      </c>
      <c r="T993" s="50"/>
      <c r="U993" s="57"/>
      <c r="V993" s="44"/>
      <c r="W993" s="44"/>
      <c r="X993" s="44"/>
      <c r="Y993" s="44"/>
      <c r="Z993" s="91"/>
      <c r="AA993" s="59" t="str">
        <f>IF(Rentabilidad=0,"No aplica",TEXT(ROUND(Precio/Rentabilidad/12,0),0) &amp; " años")</f>
        <v>No aplica</v>
      </c>
      <c r="AB993" s="212"/>
      <c r="AC993" s="61"/>
      <c r="AD993" s="107"/>
      <c r="AE993" s="63"/>
      <c r="AF993" s="64"/>
      <c r="AG993" s="63"/>
      <c r="AH993" s="63"/>
      <c r="AI993" s="63"/>
      <c r="AJ993" s="45"/>
      <c r="AK993" s="50"/>
      <c r="AL993" s="45"/>
      <c r="AM993" s="44"/>
      <c r="AN993" s="45"/>
      <c r="AO993" s="52"/>
      <c r="AP993" s="67"/>
      <c r="AQ993" s="67"/>
      <c r="AR993" s="67"/>
      <c r="AS993" s="94"/>
      <c r="AT993" s="63"/>
      <c r="AU993" s="44"/>
      <c r="AV993" s="44"/>
      <c r="AW993" s="44"/>
      <c r="AX993" s="44"/>
      <c r="AY993" s="44"/>
      <c r="AZ993" s="44"/>
      <c r="BA993" s="43" t="s">
        <v>89</v>
      </c>
      <c r="BB993" s="44"/>
      <c r="BC993" s="95"/>
      <c r="BD993" s="71"/>
      <c r="BE993" s="71"/>
      <c r="BF993" s="130"/>
      <c r="BG993" s="73"/>
      <c r="BH993" s="73"/>
      <c r="BI993" s="73"/>
      <c r="BJ993" s="73"/>
      <c r="BK993" s="73"/>
      <c r="BL993" s="73"/>
      <c r="BM993" s="73"/>
      <c r="BN993" s="73"/>
      <c r="BO993" s="73"/>
      <c r="BP993" s="73"/>
      <c r="BQ993" s="73"/>
      <c r="BR993" s="73"/>
      <c r="BS993" s="73"/>
      <c r="BT993" s="73"/>
      <c r="BU993" s="73"/>
      <c r="BV993" s="73"/>
      <c r="BW993" s="74"/>
      <c r="BX993" s="74"/>
      <c r="BY993" s="63"/>
      <c r="BZ993" s="63"/>
    </row>
    <row r="994" ht="15.75" customHeight="1">
      <c r="A994" s="41"/>
      <c r="B994" s="50"/>
      <c r="C994" s="50"/>
      <c r="D994" s="50"/>
      <c r="E994" s="64"/>
      <c r="F994" s="78">
        <v>0.0</v>
      </c>
      <c r="G994" s="44" t="str">
        <f t="shared" si="35"/>
        <v>$0 a $100'000.000</v>
      </c>
      <c r="H994" s="44"/>
      <c r="I994" s="44"/>
      <c r="J994" s="50"/>
      <c r="K994" s="51"/>
      <c r="L994" s="44"/>
      <c r="M994" s="44"/>
      <c r="N994" s="44"/>
      <c r="O994" s="44"/>
      <c r="P994" s="44"/>
      <c r="Q994" s="88">
        <v>0.0</v>
      </c>
      <c r="R994" s="89">
        <v>0.0</v>
      </c>
      <c r="S994" s="56" t="str">
        <f t="shared" si="34"/>
        <v> </v>
      </c>
      <c r="T994" s="50"/>
      <c r="U994" s="57"/>
      <c r="V994" s="44"/>
      <c r="W994" s="44"/>
      <c r="X994" s="44"/>
      <c r="Y994" s="44"/>
      <c r="Z994" s="91"/>
      <c r="AA994" s="59" t="str">
        <f>IF(Rentabilidad=0,"No aplica",TEXT(ROUND(Precio/Rentabilidad/12,0),0) &amp; " años")</f>
        <v>No aplica</v>
      </c>
      <c r="AB994" s="212"/>
      <c r="AC994" s="61"/>
      <c r="AD994" s="107"/>
      <c r="AE994" s="63"/>
      <c r="AF994" s="64"/>
      <c r="AG994" s="63"/>
      <c r="AH994" s="63"/>
      <c r="AI994" s="63"/>
      <c r="AJ994" s="45"/>
      <c r="AK994" s="50"/>
      <c r="AL994" s="45"/>
      <c r="AM994" s="44"/>
      <c r="AN994" s="45"/>
      <c r="AO994" s="52"/>
      <c r="AP994" s="67"/>
      <c r="AQ994" s="67"/>
      <c r="AR994" s="67"/>
      <c r="AS994" s="94"/>
      <c r="AT994" s="63"/>
      <c r="AU994" s="44"/>
      <c r="AV994" s="44"/>
      <c r="AW994" s="44"/>
      <c r="AX994" s="44"/>
      <c r="AY994" s="44"/>
      <c r="AZ994" s="44"/>
      <c r="BA994" s="43" t="s">
        <v>89</v>
      </c>
      <c r="BB994" s="44"/>
      <c r="BC994" s="95"/>
      <c r="BD994" s="71"/>
      <c r="BE994" s="71"/>
      <c r="BF994" s="130"/>
      <c r="BG994" s="73"/>
      <c r="BH994" s="73"/>
      <c r="BI994" s="73"/>
      <c r="BJ994" s="73"/>
      <c r="BK994" s="73"/>
      <c r="BL994" s="73"/>
      <c r="BM994" s="73"/>
      <c r="BN994" s="73"/>
      <c r="BO994" s="73"/>
      <c r="BP994" s="73"/>
      <c r="BQ994" s="73"/>
      <c r="BR994" s="73"/>
      <c r="BS994" s="73"/>
      <c r="BT994" s="73"/>
      <c r="BU994" s="73"/>
      <c r="BV994" s="73"/>
      <c r="BW994" s="74"/>
      <c r="BX994" s="74"/>
      <c r="BY994" s="63"/>
      <c r="BZ994" s="63"/>
    </row>
    <row r="995" ht="15.75" customHeight="1">
      <c r="A995" s="41"/>
      <c r="B995" s="50"/>
      <c r="C995" s="50"/>
      <c r="D995" s="50"/>
      <c r="E995" s="64"/>
      <c r="F995" s="78">
        <v>0.0</v>
      </c>
      <c r="G995" s="44" t="str">
        <f t="shared" si="35"/>
        <v>$0 a $100'000.000</v>
      </c>
      <c r="H995" s="44"/>
      <c r="I995" s="44"/>
      <c r="J995" s="50"/>
      <c r="K995" s="51"/>
      <c r="L995" s="44"/>
      <c r="M995" s="44"/>
      <c r="N995" s="44"/>
      <c r="O995" s="44"/>
      <c r="P995" s="44"/>
      <c r="Q995" s="88">
        <v>0.0</v>
      </c>
      <c r="R995" s="89">
        <v>0.0</v>
      </c>
      <c r="S995" s="56" t="str">
        <f t="shared" si="34"/>
        <v> </v>
      </c>
      <c r="T995" s="50"/>
      <c r="U995" s="57"/>
      <c r="V995" s="44"/>
      <c r="W995" s="44"/>
      <c r="X995" s="44"/>
      <c r="Y995" s="44"/>
      <c r="Z995" s="91"/>
      <c r="AA995" s="59" t="str">
        <f>IF(Rentabilidad=0,"No aplica",TEXT(ROUND(Precio/Rentabilidad/12,0),0) &amp; " años")</f>
        <v>No aplica</v>
      </c>
      <c r="AB995" s="212"/>
      <c r="AC995" s="61"/>
      <c r="AD995" s="107"/>
      <c r="AE995" s="63"/>
      <c r="AF995" s="64"/>
      <c r="AG995" s="63"/>
      <c r="AH995" s="63"/>
      <c r="AI995" s="63"/>
      <c r="AJ995" s="45"/>
      <c r="AK995" s="50"/>
      <c r="AL995" s="45"/>
      <c r="AM995" s="44"/>
      <c r="AN995" s="45"/>
      <c r="AO995" s="52"/>
      <c r="AP995" s="67"/>
      <c r="AQ995" s="67"/>
      <c r="AR995" s="67"/>
      <c r="AS995" s="94"/>
      <c r="AT995" s="63"/>
      <c r="AU995" s="44"/>
      <c r="AV995" s="44"/>
      <c r="AW995" s="44"/>
      <c r="AX995" s="44"/>
      <c r="AY995" s="44"/>
      <c r="AZ995" s="44"/>
      <c r="BA995" s="43" t="s">
        <v>89</v>
      </c>
      <c r="BB995" s="44"/>
      <c r="BC995" s="95"/>
      <c r="BD995" s="71"/>
      <c r="BE995" s="71"/>
      <c r="BF995" s="130"/>
      <c r="BG995" s="73"/>
      <c r="BH995" s="73"/>
      <c r="BI995" s="73"/>
      <c r="BJ995" s="73"/>
      <c r="BK995" s="73"/>
      <c r="BL995" s="73"/>
      <c r="BM995" s="73"/>
      <c r="BN995" s="73"/>
      <c r="BO995" s="73"/>
      <c r="BP995" s="73"/>
      <c r="BQ995" s="73"/>
      <c r="BR995" s="73"/>
      <c r="BS995" s="73"/>
      <c r="BT995" s="73"/>
      <c r="BU995" s="73"/>
      <c r="BV995" s="73"/>
      <c r="BW995" s="74"/>
      <c r="BX995" s="74"/>
      <c r="BY995" s="63"/>
      <c r="BZ995" s="63"/>
    </row>
    <row r="996" ht="15.75" customHeight="1">
      <c r="A996" s="41"/>
      <c r="B996" s="50"/>
      <c r="C996" s="50"/>
      <c r="D996" s="50"/>
      <c r="E996" s="64"/>
      <c r="F996" s="78">
        <v>0.0</v>
      </c>
      <c r="G996" s="44" t="str">
        <f t="shared" si="35"/>
        <v>$0 a $100'000.000</v>
      </c>
      <c r="H996" s="44"/>
      <c r="I996" s="44"/>
      <c r="J996" s="50"/>
      <c r="K996" s="51"/>
      <c r="L996" s="44"/>
      <c r="M996" s="44"/>
      <c r="N996" s="44"/>
      <c r="O996" s="44"/>
      <c r="P996" s="44"/>
      <c r="Q996" s="88">
        <v>0.0</v>
      </c>
      <c r="R996" s="89">
        <v>0.0</v>
      </c>
      <c r="S996" s="56" t="str">
        <f t="shared" si="34"/>
        <v> </v>
      </c>
      <c r="T996" s="50"/>
      <c r="U996" s="57"/>
      <c r="V996" s="44"/>
      <c r="W996" s="44"/>
      <c r="X996" s="44"/>
      <c r="Y996" s="44"/>
      <c r="Z996" s="91"/>
      <c r="AA996" s="59" t="str">
        <f>IF(Rentabilidad=0,"No aplica",TEXT(ROUND(Precio/Rentabilidad/12,0),0) &amp; " años")</f>
        <v>No aplica</v>
      </c>
      <c r="AB996" s="212"/>
      <c r="AC996" s="61"/>
      <c r="AD996" s="107"/>
      <c r="AE996" s="63"/>
      <c r="AF996" s="64"/>
      <c r="AG996" s="63"/>
      <c r="AH996" s="63"/>
      <c r="AI996" s="63"/>
      <c r="AJ996" s="45"/>
      <c r="AK996" s="50"/>
      <c r="AL996" s="45"/>
      <c r="AM996" s="44"/>
      <c r="AN996" s="45"/>
      <c r="AO996" s="52"/>
      <c r="AP996" s="67"/>
      <c r="AQ996" s="67"/>
      <c r="AR996" s="67"/>
      <c r="AS996" s="94"/>
      <c r="AT996" s="63"/>
      <c r="AU996" s="44"/>
      <c r="AV996" s="44"/>
      <c r="AW996" s="44"/>
      <c r="AX996" s="44"/>
      <c r="AY996" s="44"/>
      <c r="AZ996" s="44"/>
      <c r="BA996" s="43" t="s">
        <v>89</v>
      </c>
      <c r="BB996" s="44"/>
      <c r="BC996" s="95"/>
      <c r="BD996" s="71"/>
      <c r="BE996" s="71"/>
      <c r="BF996" s="130"/>
      <c r="BG996" s="73"/>
      <c r="BH996" s="73"/>
      <c r="BI996" s="73"/>
      <c r="BJ996" s="73"/>
      <c r="BK996" s="73"/>
      <c r="BL996" s="73"/>
      <c r="BM996" s="73"/>
      <c r="BN996" s="73"/>
      <c r="BO996" s="73"/>
      <c r="BP996" s="73"/>
      <c r="BQ996" s="73"/>
      <c r="BR996" s="73"/>
      <c r="BS996" s="73"/>
      <c r="BT996" s="73"/>
      <c r="BU996" s="73"/>
      <c r="BV996" s="73"/>
      <c r="BW996" s="74"/>
      <c r="BX996" s="74"/>
      <c r="BY996" s="63"/>
      <c r="BZ996" s="63"/>
    </row>
    <row r="997" ht="15.75" customHeight="1">
      <c r="A997" s="41"/>
      <c r="B997" s="50"/>
      <c r="C997" s="50"/>
      <c r="D997" s="50"/>
      <c r="E997" s="64"/>
      <c r="F997" s="78">
        <v>0.0</v>
      </c>
      <c r="G997" s="44" t="str">
        <f t="shared" si="35"/>
        <v>$0 a $100'000.000</v>
      </c>
      <c r="H997" s="44"/>
      <c r="I997" s="44"/>
      <c r="J997" s="50"/>
      <c r="K997" s="51"/>
      <c r="L997" s="44"/>
      <c r="M997" s="44"/>
      <c r="N997" s="44"/>
      <c r="O997" s="44"/>
      <c r="P997" s="44"/>
      <c r="Q997" s="88">
        <v>0.0</v>
      </c>
      <c r="R997" s="89">
        <v>0.0</v>
      </c>
      <c r="S997" s="56" t="str">
        <f t="shared" si="34"/>
        <v> </v>
      </c>
      <c r="T997" s="50"/>
      <c r="U997" s="57"/>
      <c r="V997" s="44"/>
      <c r="W997" s="44"/>
      <c r="X997" s="44"/>
      <c r="Y997" s="44"/>
      <c r="Z997" s="91"/>
      <c r="AA997" s="59" t="str">
        <f>IF(Rentabilidad=0,"No aplica",TEXT(ROUND(Precio/Rentabilidad/12,0),0) &amp; " años")</f>
        <v>No aplica</v>
      </c>
      <c r="AB997" s="212"/>
      <c r="AC997" s="61"/>
      <c r="AD997" s="107"/>
      <c r="AE997" s="63"/>
      <c r="AF997" s="64"/>
      <c r="AG997" s="63"/>
      <c r="AH997" s="63"/>
      <c r="AI997" s="63"/>
      <c r="AJ997" s="45"/>
      <c r="AK997" s="50"/>
      <c r="AL997" s="45"/>
      <c r="AM997" s="44"/>
      <c r="AN997" s="45"/>
      <c r="AO997" s="52"/>
      <c r="AP997" s="67"/>
      <c r="AQ997" s="67"/>
      <c r="AR997" s="67"/>
      <c r="AS997" s="94"/>
      <c r="AT997" s="63"/>
      <c r="AU997" s="44"/>
      <c r="AV997" s="44"/>
      <c r="AW997" s="44"/>
      <c r="AX997" s="44"/>
      <c r="AY997" s="44"/>
      <c r="AZ997" s="44"/>
      <c r="BA997" s="43" t="s">
        <v>89</v>
      </c>
      <c r="BB997" s="44"/>
      <c r="BC997" s="95"/>
      <c r="BD997" s="71"/>
      <c r="BE997" s="71"/>
      <c r="BF997" s="130"/>
      <c r="BG997" s="73"/>
      <c r="BH997" s="73"/>
      <c r="BI997" s="73"/>
      <c r="BJ997" s="73"/>
      <c r="BK997" s="73"/>
      <c r="BL997" s="73"/>
      <c r="BM997" s="73"/>
      <c r="BN997" s="73"/>
      <c r="BO997" s="73"/>
      <c r="BP997" s="73"/>
      <c r="BQ997" s="73"/>
      <c r="BR997" s="73"/>
      <c r="BS997" s="73"/>
      <c r="BT997" s="73"/>
      <c r="BU997" s="73"/>
      <c r="BV997" s="73"/>
      <c r="BW997" s="74"/>
      <c r="BX997" s="74"/>
      <c r="BY997" s="63"/>
      <c r="BZ997" s="63"/>
    </row>
    <row r="998" ht="15.75" customHeight="1">
      <c r="A998" s="41"/>
      <c r="B998" s="50"/>
      <c r="C998" s="50"/>
      <c r="D998" s="50"/>
      <c r="E998" s="64"/>
      <c r="F998" s="78">
        <v>0.0</v>
      </c>
      <c r="G998" s="44" t="str">
        <f t="shared" si="35"/>
        <v>$0 a $100'000.000</v>
      </c>
      <c r="H998" s="44"/>
      <c r="I998" s="44"/>
      <c r="J998" s="50"/>
      <c r="K998" s="51"/>
      <c r="L998" s="44"/>
      <c r="M998" s="44"/>
      <c r="N998" s="44"/>
      <c r="O998" s="44"/>
      <c r="P998" s="44"/>
      <c r="Q998" s="88">
        <v>0.0</v>
      </c>
      <c r="R998" s="89">
        <v>0.0</v>
      </c>
      <c r="S998" s="56" t="str">
        <f t="shared" si="34"/>
        <v> </v>
      </c>
      <c r="T998" s="50"/>
      <c r="U998" s="57"/>
      <c r="V998" s="44"/>
      <c r="W998" s="44"/>
      <c r="X998" s="44"/>
      <c r="Y998" s="44"/>
      <c r="Z998" s="91"/>
      <c r="AA998" s="59" t="str">
        <f>IF(Rentabilidad=0,"No aplica",TEXT(ROUND(Precio/Rentabilidad/12,0),0) &amp; " años")</f>
        <v>No aplica</v>
      </c>
      <c r="AB998" s="212"/>
      <c r="AC998" s="61"/>
      <c r="AD998" s="107"/>
      <c r="AE998" s="63"/>
      <c r="AF998" s="64"/>
      <c r="AG998" s="63"/>
      <c r="AH998" s="63"/>
      <c r="AI998" s="63"/>
      <c r="AJ998" s="45"/>
      <c r="AK998" s="50"/>
      <c r="AL998" s="45"/>
      <c r="AM998" s="44"/>
      <c r="AN998" s="45"/>
      <c r="AO998" s="52"/>
      <c r="AP998" s="67"/>
      <c r="AQ998" s="67"/>
      <c r="AR998" s="67"/>
      <c r="AS998" s="94"/>
      <c r="AT998" s="63"/>
      <c r="AU998" s="44"/>
      <c r="AV998" s="44"/>
      <c r="AW998" s="44"/>
      <c r="AX998" s="44"/>
      <c r="AY998" s="44"/>
      <c r="AZ998" s="44"/>
      <c r="BA998" s="43" t="s">
        <v>89</v>
      </c>
      <c r="BB998" s="44"/>
      <c r="BC998" s="95"/>
      <c r="BD998" s="71"/>
      <c r="BE998" s="71"/>
      <c r="BF998" s="130"/>
      <c r="BG998" s="73"/>
      <c r="BH998" s="73"/>
      <c r="BI998" s="73"/>
      <c r="BJ998" s="73"/>
      <c r="BK998" s="73"/>
      <c r="BL998" s="73"/>
      <c r="BM998" s="73"/>
      <c r="BN998" s="73"/>
      <c r="BO998" s="73"/>
      <c r="BP998" s="73"/>
      <c r="BQ998" s="73"/>
      <c r="BR998" s="73"/>
      <c r="BS998" s="73"/>
      <c r="BT998" s="73"/>
      <c r="BU998" s="73"/>
      <c r="BV998" s="73"/>
      <c r="BW998" s="74"/>
      <c r="BX998" s="74"/>
      <c r="BY998" s="63"/>
      <c r="BZ998" s="63"/>
    </row>
    <row r="999" ht="15.75" customHeight="1">
      <c r="A999" s="41"/>
      <c r="B999" s="50"/>
      <c r="C999" s="50"/>
      <c r="D999" s="50"/>
      <c r="E999" s="64"/>
      <c r="F999" s="78">
        <v>0.0</v>
      </c>
      <c r="G999" s="44" t="str">
        <f t="shared" si="35"/>
        <v>$0 a $100'000.000</v>
      </c>
      <c r="H999" s="44"/>
      <c r="I999" s="44"/>
      <c r="J999" s="50"/>
      <c r="K999" s="51"/>
      <c r="L999" s="44"/>
      <c r="M999" s="44"/>
      <c r="N999" s="44"/>
      <c r="O999" s="44"/>
      <c r="P999" s="44"/>
      <c r="Q999" s="88">
        <v>0.0</v>
      </c>
      <c r="R999" s="89">
        <v>0.0</v>
      </c>
      <c r="S999" s="56" t="str">
        <f t="shared" si="34"/>
        <v> </v>
      </c>
      <c r="T999" s="50"/>
      <c r="U999" s="57"/>
      <c r="V999" s="44"/>
      <c r="W999" s="44"/>
      <c r="X999" s="44"/>
      <c r="Y999" s="44"/>
      <c r="Z999" s="91"/>
      <c r="AA999" s="59" t="str">
        <f>IF(Rentabilidad=0,"No aplica",TEXT(ROUND(Precio/Rentabilidad/12,0),0) &amp; " años")</f>
        <v>No aplica</v>
      </c>
      <c r="AB999" s="212"/>
      <c r="AC999" s="61"/>
      <c r="AD999" s="107"/>
      <c r="AE999" s="63"/>
      <c r="AF999" s="64"/>
      <c r="AG999" s="63"/>
      <c r="AH999" s="63"/>
      <c r="AI999" s="63"/>
      <c r="AJ999" s="45"/>
      <c r="AK999" s="50"/>
      <c r="AL999" s="45"/>
      <c r="AM999" s="44"/>
      <c r="AN999" s="45"/>
      <c r="AO999" s="52"/>
      <c r="AP999" s="67"/>
      <c r="AQ999" s="67"/>
      <c r="AR999" s="67"/>
      <c r="AS999" s="94"/>
      <c r="AT999" s="63"/>
      <c r="AU999" s="44"/>
      <c r="AV999" s="44"/>
      <c r="AW999" s="44"/>
      <c r="AX999" s="44"/>
      <c r="AY999" s="44"/>
      <c r="AZ999" s="44"/>
      <c r="BA999" s="43" t="s">
        <v>89</v>
      </c>
      <c r="BB999" s="44"/>
      <c r="BC999" s="95"/>
      <c r="BD999" s="71"/>
      <c r="BE999" s="71"/>
      <c r="BF999" s="130"/>
      <c r="BG999" s="73"/>
      <c r="BH999" s="73"/>
      <c r="BI999" s="73"/>
      <c r="BJ999" s="73"/>
      <c r="BK999" s="73"/>
      <c r="BL999" s="73"/>
      <c r="BM999" s="73"/>
      <c r="BN999" s="73"/>
      <c r="BO999" s="73"/>
      <c r="BP999" s="73"/>
      <c r="BQ999" s="73"/>
      <c r="BR999" s="73"/>
      <c r="BS999" s="73"/>
      <c r="BT999" s="73"/>
      <c r="BU999" s="73"/>
      <c r="BV999" s="73"/>
      <c r="BW999" s="74"/>
      <c r="BX999" s="74"/>
      <c r="BY999" s="63"/>
      <c r="BZ999" s="63"/>
    </row>
    <row r="1000" ht="15.75" customHeight="1">
      <c r="A1000" s="41"/>
      <c r="B1000" s="50"/>
      <c r="C1000" s="50"/>
      <c r="D1000" s="50"/>
      <c r="E1000" s="64"/>
      <c r="F1000" s="78">
        <v>0.0</v>
      </c>
      <c r="G1000" s="44" t="str">
        <f t="shared" si="35"/>
        <v>$0 a $100'000.000</v>
      </c>
      <c r="H1000" s="44"/>
      <c r="I1000" s="44"/>
      <c r="J1000" s="50"/>
      <c r="K1000" s="51"/>
      <c r="L1000" s="44"/>
      <c r="M1000" s="44"/>
      <c r="N1000" s="44"/>
      <c r="O1000" s="44"/>
      <c r="P1000" s="44"/>
      <c r="Q1000" s="88">
        <v>0.0</v>
      </c>
      <c r="R1000" s="89">
        <v>0.0</v>
      </c>
      <c r="S1000" s="56" t="str">
        <f t="shared" si="34"/>
        <v> </v>
      </c>
      <c r="T1000" s="50"/>
      <c r="U1000" s="57"/>
      <c r="V1000" s="44"/>
      <c r="W1000" s="44"/>
      <c r="X1000" s="44"/>
      <c r="Y1000" s="44"/>
      <c r="Z1000" s="91"/>
      <c r="AA1000" s="59" t="str">
        <f>IF(Rentabilidad=0,"No aplica",TEXT(ROUND(Precio/Rentabilidad/12,0),0) &amp; " años")</f>
        <v>No aplica</v>
      </c>
      <c r="AB1000" s="212"/>
      <c r="AC1000" s="61"/>
      <c r="AD1000" s="107"/>
      <c r="AE1000" s="63"/>
      <c r="AF1000" s="64"/>
      <c r="AG1000" s="63"/>
      <c r="AH1000" s="63"/>
      <c r="AI1000" s="63"/>
      <c r="AJ1000" s="45"/>
      <c r="AK1000" s="50"/>
      <c r="AL1000" s="45"/>
      <c r="AM1000" s="44"/>
      <c r="AN1000" s="45"/>
      <c r="AO1000" s="52"/>
      <c r="AP1000" s="67"/>
      <c r="AQ1000" s="67"/>
      <c r="AR1000" s="67"/>
      <c r="AS1000" s="94"/>
      <c r="AT1000" s="63"/>
      <c r="AU1000" s="44"/>
      <c r="AV1000" s="44"/>
      <c r="AW1000" s="44"/>
      <c r="AX1000" s="44"/>
      <c r="AY1000" s="44"/>
      <c r="AZ1000" s="44"/>
      <c r="BA1000" s="43" t="s">
        <v>89</v>
      </c>
      <c r="BB1000" s="44"/>
      <c r="BC1000" s="95"/>
      <c r="BD1000" s="71"/>
      <c r="BE1000" s="71"/>
      <c r="BF1000" s="130"/>
      <c r="BG1000" s="73"/>
      <c r="BH1000" s="73"/>
      <c r="BI1000" s="73"/>
      <c r="BJ1000" s="73"/>
      <c r="BK1000" s="73"/>
      <c r="BL1000" s="73"/>
      <c r="BM1000" s="73"/>
      <c r="BN1000" s="73"/>
      <c r="BO1000" s="73"/>
      <c r="BP1000" s="73"/>
      <c r="BQ1000" s="73"/>
      <c r="BR1000" s="73"/>
      <c r="BS1000" s="73"/>
      <c r="BT1000" s="73"/>
      <c r="BU1000" s="73"/>
      <c r="BV1000" s="73"/>
      <c r="BW1000" s="74"/>
      <c r="BX1000" s="74"/>
      <c r="BY1000" s="63"/>
      <c r="BZ1000" s="63"/>
    </row>
    <row r="1001" ht="15.75" customHeight="1">
      <c r="A1001" s="41"/>
      <c r="B1001" s="50"/>
      <c r="C1001" s="50"/>
      <c r="D1001" s="50"/>
      <c r="E1001" s="64"/>
      <c r="F1001" s="78">
        <v>0.0</v>
      </c>
      <c r="G1001" s="44" t="str">
        <f t="shared" si="35"/>
        <v>$0 a $100'000.000</v>
      </c>
      <c r="H1001" s="44"/>
      <c r="I1001" s="44"/>
      <c r="J1001" s="50"/>
      <c r="K1001" s="51"/>
      <c r="L1001" s="44"/>
      <c r="M1001" s="44"/>
      <c r="N1001" s="44"/>
      <c r="O1001" s="44"/>
      <c r="P1001" s="44"/>
      <c r="Q1001" s="88">
        <v>0.0</v>
      </c>
      <c r="R1001" s="89">
        <v>0.0</v>
      </c>
      <c r="S1001" s="56" t="str">
        <f t="shared" si="34"/>
        <v> </v>
      </c>
      <c r="T1001" s="50"/>
      <c r="U1001" s="57"/>
      <c r="V1001" s="44"/>
      <c r="W1001" s="44"/>
      <c r="X1001" s="44"/>
      <c r="Y1001" s="44"/>
      <c r="Z1001" s="91"/>
      <c r="AA1001" s="59" t="str">
        <f>IF(Rentabilidad=0,"No aplica",TEXT(ROUND(Precio/Rentabilidad/12,0),0) &amp; " años")</f>
        <v>No aplica</v>
      </c>
      <c r="AB1001" s="212"/>
      <c r="AC1001" s="61"/>
      <c r="AD1001" s="107"/>
      <c r="AE1001" s="63"/>
      <c r="AF1001" s="64"/>
      <c r="AG1001" s="63"/>
      <c r="AH1001" s="63"/>
      <c r="AI1001" s="63"/>
      <c r="AJ1001" s="45"/>
      <c r="AK1001" s="50"/>
      <c r="AL1001" s="45"/>
      <c r="AM1001" s="44"/>
      <c r="AN1001" s="45"/>
      <c r="AO1001" s="52"/>
      <c r="AP1001" s="67"/>
      <c r="AQ1001" s="67"/>
      <c r="AR1001" s="67"/>
      <c r="AS1001" s="94"/>
      <c r="AT1001" s="63"/>
      <c r="AU1001" s="44"/>
      <c r="AV1001" s="44"/>
      <c r="AW1001" s="44"/>
      <c r="AX1001" s="44"/>
      <c r="AY1001" s="44"/>
      <c r="AZ1001" s="44"/>
      <c r="BA1001" s="43" t="s">
        <v>89</v>
      </c>
      <c r="BB1001" s="44"/>
      <c r="BC1001" s="95"/>
      <c r="BD1001" s="71"/>
      <c r="BE1001" s="71"/>
      <c r="BF1001" s="130"/>
      <c r="BG1001" s="73"/>
      <c r="BH1001" s="73"/>
      <c r="BI1001" s="73"/>
      <c r="BJ1001" s="73"/>
      <c r="BK1001" s="73"/>
      <c r="BL1001" s="73"/>
      <c r="BM1001" s="73"/>
      <c r="BN1001" s="73"/>
      <c r="BO1001" s="73"/>
      <c r="BP1001" s="73"/>
      <c r="BQ1001" s="73"/>
      <c r="BR1001" s="73"/>
      <c r="BS1001" s="73"/>
      <c r="BT1001" s="73"/>
      <c r="BU1001" s="73"/>
      <c r="BV1001" s="73"/>
      <c r="BW1001" s="74"/>
      <c r="BX1001" s="74"/>
      <c r="BY1001" s="63"/>
      <c r="BZ1001" s="63"/>
    </row>
    <row r="1002" ht="15.75" customHeight="1">
      <c r="A1002" s="41"/>
      <c r="B1002" s="50"/>
      <c r="C1002" s="50"/>
      <c r="D1002" s="50"/>
      <c r="E1002" s="64"/>
      <c r="F1002" s="78">
        <v>0.0</v>
      </c>
      <c r="G1002" s="44" t="str">
        <f t="shared" si="35"/>
        <v>$0 a $100'000.000</v>
      </c>
      <c r="H1002" s="44"/>
      <c r="I1002" s="44"/>
      <c r="J1002" s="50"/>
      <c r="K1002" s="51"/>
      <c r="L1002" s="44"/>
      <c r="M1002" s="44"/>
      <c r="N1002" s="44"/>
      <c r="O1002" s="44"/>
      <c r="P1002" s="44"/>
      <c r="Q1002" s="88">
        <v>0.0</v>
      </c>
      <c r="R1002" s="89">
        <v>0.0</v>
      </c>
      <c r="S1002" s="56" t="str">
        <f t="shared" si="34"/>
        <v> </v>
      </c>
      <c r="T1002" s="50"/>
      <c r="U1002" s="57"/>
      <c r="V1002" s="44"/>
      <c r="W1002" s="44"/>
      <c r="X1002" s="44"/>
      <c r="Y1002" s="44"/>
      <c r="Z1002" s="91"/>
      <c r="AA1002" s="59" t="str">
        <f>IF(Rentabilidad=0,"No aplica",TEXT(ROUND(Precio/Rentabilidad/12,0),0) &amp; " años")</f>
        <v>No aplica</v>
      </c>
      <c r="AB1002" s="212"/>
      <c r="AC1002" s="61"/>
      <c r="AD1002" s="107"/>
      <c r="AE1002" s="63"/>
      <c r="AF1002" s="64"/>
      <c r="AG1002" s="63"/>
      <c r="AH1002" s="63"/>
      <c r="AI1002" s="63"/>
      <c r="AJ1002" s="45"/>
      <c r="AK1002" s="50"/>
      <c r="AL1002" s="45"/>
      <c r="AM1002" s="44"/>
      <c r="AN1002" s="45"/>
      <c r="AO1002" s="52"/>
      <c r="AP1002" s="67"/>
      <c r="AQ1002" s="67"/>
      <c r="AR1002" s="67"/>
      <c r="AS1002" s="94"/>
      <c r="AT1002" s="63"/>
      <c r="AU1002" s="44"/>
      <c r="AV1002" s="44"/>
      <c r="AW1002" s="44"/>
      <c r="AX1002" s="44"/>
      <c r="AY1002" s="44"/>
      <c r="AZ1002" s="44"/>
      <c r="BA1002" s="43" t="s">
        <v>89</v>
      </c>
      <c r="BB1002" s="44"/>
      <c r="BC1002" s="95"/>
      <c r="BD1002" s="71"/>
      <c r="BE1002" s="71"/>
      <c r="BF1002" s="130"/>
      <c r="BG1002" s="73"/>
      <c r="BH1002" s="73"/>
      <c r="BI1002" s="73"/>
      <c r="BJ1002" s="73"/>
      <c r="BK1002" s="73"/>
      <c r="BL1002" s="73"/>
      <c r="BM1002" s="73"/>
      <c r="BN1002" s="73"/>
      <c r="BO1002" s="73"/>
      <c r="BP1002" s="73"/>
      <c r="BQ1002" s="73"/>
      <c r="BR1002" s="73"/>
      <c r="BS1002" s="73"/>
      <c r="BT1002" s="73"/>
      <c r="BU1002" s="73"/>
      <c r="BV1002" s="73"/>
      <c r="BW1002" s="74"/>
      <c r="BX1002" s="74"/>
      <c r="BY1002" s="63"/>
      <c r="BZ1002" s="63"/>
    </row>
    <row r="1003" ht="15.75" customHeight="1">
      <c r="A1003" s="41"/>
      <c r="B1003" s="50"/>
      <c r="C1003" s="50"/>
      <c r="D1003" s="50"/>
      <c r="E1003" s="64"/>
      <c r="F1003" s="78">
        <v>0.0</v>
      </c>
      <c r="G1003" s="44" t="str">
        <f t="shared" si="35"/>
        <v>$0 a $100'000.000</v>
      </c>
      <c r="H1003" s="44"/>
      <c r="I1003" s="44"/>
      <c r="J1003" s="50"/>
      <c r="K1003" s="51"/>
      <c r="L1003" s="44"/>
      <c r="M1003" s="44"/>
      <c r="N1003" s="44"/>
      <c r="O1003" s="44"/>
      <c r="P1003" s="44"/>
      <c r="Q1003" s="88">
        <v>0.0</v>
      </c>
      <c r="R1003" s="89">
        <v>0.0</v>
      </c>
      <c r="S1003" s="56" t="str">
        <f t="shared" si="34"/>
        <v> </v>
      </c>
      <c r="T1003" s="50"/>
      <c r="U1003" s="57"/>
      <c r="V1003" s="44"/>
      <c r="W1003" s="44"/>
      <c r="X1003" s="44"/>
      <c r="Y1003" s="44"/>
      <c r="Z1003" s="91"/>
      <c r="AA1003" s="59" t="str">
        <f>IF(Rentabilidad=0,"No aplica",TEXT(ROUND(Precio/Rentabilidad/12,0),0) &amp; " años")</f>
        <v>No aplica</v>
      </c>
      <c r="AB1003" s="212"/>
      <c r="AC1003" s="61"/>
      <c r="AD1003" s="107"/>
      <c r="AE1003" s="63"/>
      <c r="AF1003" s="64"/>
      <c r="AG1003" s="63"/>
      <c r="AH1003" s="63"/>
      <c r="AI1003" s="63"/>
      <c r="AJ1003" s="45"/>
      <c r="AK1003" s="50"/>
      <c r="AL1003" s="45"/>
      <c r="AM1003" s="44"/>
      <c r="AN1003" s="45"/>
      <c r="AO1003" s="52"/>
      <c r="AP1003" s="67"/>
      <c r="AQ1003" s="67"/>
      <c r="AR1003" s="67"/>
      <c r="AS1003" s="94"/>
      <c r="AT1003" s="63"/>
      <c r="AU1003" s="44"/>
      <c r="AV1003" s="44"/>
      <c r="AW1003" s="44"/>
      <c r="AX1003" s="44"/>
      <c r="AY1003" s="44"/>
      <c r="AZ1003" s="44"/>
      <c r="BA1003" s="43" t="s">
        <v>89</v>
      </c>
      <c r="BB1003" s="44"/>
      <c r="BC1003" s="95"/>
      <c r="BD1003" s="71"/>
      <c r="BE1003" s="71"/>
      <c r="BF1003" s="130"/>
      <c r="BG1003" s="73"/>
      <c r="BH1003" s="73"/>
      <c r="BI1003" s="73"/>
      <c r="BJ1003" s="73"/>
      <c r="BK1003" s="73"/>
      <c r="BL1003" s="73"/>
      <c r="BM1003" s="73"/>
      <c r="BN1003" s="73"/>
      <c r="BO1003" s="73"/>
      <c r="BP1003" s="73"/>
      <c r="BQ1003" s="73"/>
      <c r="BR1003" s="73"/>
      <c r="BS1003" s="73"/>
      <c r="BT1003" s="73"/>
      <c r="BU1003" s="73"/>
      <c r="BV1003" s="73"/>
      <c r="BW1003" s="74"/>
      <c r="BX1003" s="74"/>
      <c r="BY1003" s="63"/>
      <c r="BZ1003" s="63"/>
    </row>
    <row r="1004" ht="15.75" customHeight="1">
      <c r="A1004" s="41"/>
      <c r="B1004" s="50"/>
      <c r="C1004" s="50"/>
      <c r="D1004" s="50"/>
      <c r="E1004" s="64"/>
      <c r="F1004" s="78">
        <v>0.0</v>
      </c>
      <c r="G1004" s="44" t="str">
        <f t="shared" si="35"/>
        <v>$0 a $100'000.000</v>
      </c>
      <c r="H1004" s="44"/>
      <c r="I1004" s="44"/>
      <c r="J1004" s="50"/>
      <c r="K1004" s="51"/>
      <c r="L1004" s="44"/>
      <c r="M1004" s="44"/>
      <c r="N1004" s="44"/>
      <c r="O1004" s="44"/>
      <c r="P1004" s="44"/>
      <c r="Q1004" s="88">
        <v>0.0</v>
      </c>
      <c r="R1004" s="89">
        <v>0.0</v>
      </c>
      <c r="S1004" s="56" t="str">
        <f t="shared" si="34"/>
        <v> </v>
      </c>
      <c r="T1004" s="50"/>
      <c r="U1004" s="57"/>
      <c r="V1004" s="44"/>
      <c r="W1004" s="44"/>
      <c r="X1004" s="44"/>
      <c r="Y1004" s="44"/>
      <c r="Z1004" s="91"/>
      <c r="AA1004" s="59" t="str">
        <f>IF(Rentabilidad=0,"No aplica",TEXT(ROUND(Precio/Rentabilidad/12,0),0) &amp; " años")</f>
        <v>No aplica</v>
      </c>
      <c r="AB1004" s="212"/>
      <c r="AC1004" s="61"/>
      <c r="AD1004" s="107"/>
      <c r="AE1004" s="63"/>
      <c r="AF1004" s="64"/>
      <c r="AG1004" s="63"/>
      <c r="AH1004" s="63"/>
      <c r="AI1004" s="63"/>
      <c r="AJ1004" s="45"/>
      <c r="AK1004" s="50"/>
      <c r="AL1004" s="45"/>
      <c r="AM1004" s="44"/>
      <c r="AN1004" s="45"/>
      <c r="AO1004" s="52"/>
      <c r="AP1004" s="67"/>
      <c r="AQ1004" s="67"/>
      <c r="AR1004" s="67"/>
      <c r="AS1004" s="94"/>
      <c r="AT1004" s="63"/>
      <c r="AU1004" s="44"/>
      <c r="AV1004" s="44"/>
      <c r="AW1004" s="44"/>
      <c r="AX1004" s="44"/>
      <c r="AY1004" s="44"/>
      <c r="AZ1004" s="44"/>
      <c r="BA1004" s="43" t="s">
        <v>89</v>
      </c>
      <c r="BB1004" s="44"/>
      <c r="BC1004" s="95"/>
      <c r="BD1004" s="71"/>
      <c r="BE1004" s="71"/>
      <c r="BF1004" s="130"/>
      <c r="BG1004" s="73"/>
      <c r="BH1004" s="73"/>
      <c r="BI1004" s="73"/>
      <c r="BJ1004" s="73"/>
      <c r="BK1004" s="73"/>
      <c r="BL1004" s="73"/>
      <c r="BM1004" s="73"/>
      <c r="BN1004" s="73"/>
      <c r="BO1004" s="73"/>
      <c r="BP1004" s="73"/>
      <c r="BQ1004" s="73"/>
      <c r="BR1004" s="73"/>
      <c r="BS1004" s="73"/>
      <c r="BT1004" s="73"/>
      <c r="BU1004" s="73"/>
      <c r="BV1004" s="73"/>
      <c r="BW1004" s="74"/>
      <c r="BX1004" s="74"/>
      <c r="BY1004" s="63"/>
      <c r="BZ1004" s="63"/>
    </row>
    <row r="1005" ht="15.75" customHeight="1">
      <c r="A1005" s="41"/>
      <c r="B1005" s="50"/>
      <c r="C1005" s="50"/>
      <c r="D1005" s="50"/>
      <c r="E1005" s="64"/>
      <c r="F1005" s="78">
        <v>0.0</v>
      </c>
      <c r="G1005" s="44" t="str">
        <f t="shared" si="35"/>
        <v>$0 a $100'000.000</v>
      </c>
      <c r="H1005" s="44"/>
      <c r="I1005" s="44"/>
      <c r="J1005" s="50"/>
      <c r="K1005" s="51"/>
      <c r="L1005" s="44"/>
      <c r="M1005" s="44"/>
      <c r="N1005" s="44"/>
      <c r="O1005" s="44"/>
      <c r="P1005" s="44"/>
      <c r="Q1005" s="88">
        <v>0.0</v>
      </c>
      <c r="R1005" s="89">
        <v>0.0</v>
      </c>
      <c r="S1005" s="56" t="str">
        <f t="shared" si="34"/>
        <v> </v>
      </c>
      <c r="T1005" s="50"/>
      <c r="U1005" s="57"/>
      <c r="V1005" s="44"/>
      <c r="W1005" s="44"/>
      <c r="X1005" s="44"/>
      <c r="Y1005" s="44"/>
      <c r="Z1005" s="91"/>
      <c r="AA1005" s="59" t="str">
        <f>IF(Rentabilidad=0,"No aplica",TEXT(ROUND(Precio/Rentabilidad/12,0),0) &amp; " años")</f>
        <v>No aplica</v>
      </c>
      <c r="AB1005" s="212"/>
      <c r="AC1005" s="61"/>
      <c r="AD1005" s="107"/>
      <c r="AE1005" s="63"/>
      <c r="AF1005" s="64"/>
      <c r="AG1005" s="63"/>
      <c r="AH1005" s="63"/>
      <c r="AI1005" s="63"/>
      <c r="AJ1005" s="45"/>
      <c r="AK1005" s="50"/>
      <c r="AL1005" s="45"/>
      <c r="AM1005" s="44"/>
      <c r="AN1005" s="45"/>
      <c r="AO1005" s="52"/>
      <c r="AP1005" s="67"/>
      <c r="AQ1005" s="67"/>
      <c r="AR1005" s="67"/>
      <c r="AS1005" s="94"/>
      <c r="AT1005" s="63"/>
      <c r="AU1005" s="44"/>
      <c r="AV1005" s="44"/>
      <c r="AW1005" s="44"/>
      <c r="AX1005" s="44"/>
      <c r="AY1005" s="44"/>
      <c r="AZ1005" s="44"/>
      <c r="BA1005" s="43" t="s">
        <v>89</v>
      </c>
      <c r="BB1005" s="44"/>
      <c r="BC1005" s="95"/>
      <c r="BD1005" s="71"/>
      <c r="BE1005" s="71"/>
      <c r="BF1005" s="130"/>
      <c r="BG1005" s="73"/>
      <c r="BH1005" s="73"/>
      <c r="BI1005" s="73"/>
      <c r="BJ1005" s="73"/>
      <c r="BK1005" s="73"/>
      <c r="BL1005" s="73"/>
      <c r="BM1005" s="73"/>
      <c r="BN1005" s="73"/>
      <c r="BO1005" s="73"/>
      <c r="BP1005" s="73"/>
      <c r="BQ1005" s="73"/>
      <c r="BR1005" s="73"/>
      <c r="BS1005" s="73"/>
      <c r="BT1005" s="73"/>
      <c r="BU1005" s="73"/>
      <c r="BV1005" s="73"/>
      <c r="BW1005" s="74"/>
      <c r="BX1005" s="74"/>
      <c r="BY1005" s="63"/>
      <c r="BZ1005" s="63"/>
    </row>
    <row r="1006" ht="15.75" customHeight="1">
      <c r="A1006" s="41"/>
      <c r="B1006" s="50"/>
      <c r="C1006" s="50"/>
      <c r="D1006" s="50"/>
      <c r="E1006" s="64"/>
      <c r="F1006" s="78">
        <v>0.0</v>
      </c>
      <c r="G1006" s="44" t="str">
        <f t="shared" si="35"/>
        <v>$0 a $100'000.000</v>
      </c>
      <c r="H1006" s="44"/>
      <c r="I1006" s="44"/>
      <c r="J1006" s="50"/>
      <c r="K1006" s="51"/>
      <c r="L1006" s="44"/>
      <c r="M1006" s="44"/>
      <c r="N1006" s="44"/>
      <c r="O1006" s="44"/>
      <c r="P1006" s="44"/>
      <c r="Q1006" s="88">
        <v>0.0</v>
      </c>
      <c r="R1006" s="89">
        <v>0.0</v>
      </c>
      <c r="S1006" s="56" t="str">
        <f t="shared" si="34"/>
        <v> </v>
      </c>
      <c r="T1006" s="50"/>
      <c r="U1006" s="57"/>
      <c r="V1006" s="44"/>
      <c r="W1006" s="44"/>
      <c r="X1006" s="44"/>
      <c r="Y1006" s="44"/>
      <c r="Z1006" s="91"/>
      <c r="AA1006" s="59" t="str">
        <f>IF(Rentabilidad=0,"No aplica",TEXT(ROUND(Precio/Rentabilidad/12,0),0) &amp; " años")</f>
        <v>No aplica</v>
      </c>
      <c r="AB1006" s="212"/>
      <c r="AC1006" s="61"/>
      <c r="AD1006" s="107"/>
      <c r="AE1006" s="63"/>
      <c r="AF1006" s="64"/>
      <c r="AG1006" s="63"/>
      <c r="AH1006" s="63"/>
      <c r="AI1006" s="63"/>
      <c r="AJ1006" s="45"/>
      <c r="AK1006" s="50"/>
      <c r="AL1006" s="45"/>
      <c r="AM1006" s="44"/>
      <c r="AN1006" s="45"/>
      <c r="AO1006" s="52"/>
      <c r="AP1006" s="67"/>
      <c r="AQ1006" s="67"/>
      <c r="AR1006" s="67"/>
      <c r="AS1006" s="94"/>
      <c r="AT1006" s="63"/>
      <c r="AU1006" s="44"/>
      <c r="AV1006" s="44"/>
      <c r="AW1006" s="44"/>
      <c r="AX1006" s="44"/>
      <c r="AY1006" s="44"/>
      <c r="AZ1006" s="44"/>
      <c r="BA1006" s="43" t="s">
        <v>89</v>
      </c>
      <c r="BB1006" s="44"/>
      <c r="BC1006" s="95"/>
      <c r="BD1006" s="71"/>
      <c r="BE1006" s="71"/>
      <c r="BF1006" s="130"/>
      <c r="BG1006" s="73"/>
      <c r="BH1006" s="73"/>
      <c r="BI1006" s="73"/>
      <c r="BJ1006" s="73"/>
      <c r="BK1006" s="73"/>
      <c r="BL1006" s="73"/>
      <c r="BM1006" s="73"/>
      <c r="BN1006" s="73"/>
      <c r="BO1006" s="73"/>
      <c r="BP1006" s="73"/>
      <c r="BQ1006" s="73"/>
      <c r="BR1006" s="73"/>
      <c r="BS1006" s="73"/>
      <c r="BT1006" s="73"/>
      <c r="BU1006" s="73"/>
      <c r="BV1006" s="73"/>
      <c r="BW1006" s="74"/>
      <c r="BX1006" s="74"/>
      <c r="BY1006" s="63"/>
      <c r="BZ1006" s="63"/>
    </row>
    <row r="1007" ht="15.75" customHeight="1">
      <c r="A1007" s="41"/>
      <c r="B1007" s="50"/>
      <c r="C1007" s="50"/>
      <c r="D1007" s="50"/>
      <c r="E1007" s="64"/>
      <c r="F1007" s="78">
        <v>0.0</v>
      </c>
      <c r="G1007" s="44" t="str">
        <f t="shared" si="35"/>
        <v>$0 a $100'000.000</v>
      </c>
      <c r="H1007" s="44"/>
      <c r="I1007" s="44"/>
      <c r="J1007" s="50"/>
      <c r="K1007" s="51"/>
      <c r="L1007" s="44"/>
      <c r="M1007" s="44"/>
      <c r="N1007" s="44"/>
      <c r="O1007" s="44"/>
      <c r="P1007" s="44"/>
      <c r="Q1007" s="88">
        <v>0.0</v>
      </c>
      <c r="R1007" s="89">
        <v>0.0</v>
      </c>
      <c r="S1007" s="56" t="str">
        <f t="shared" si="34"/>
        <v> </v>
      </c>
      <c r="T1007" s="50"/>
      <c r="U1007" s="57"/>
      <c r="V1007" s="44"/>
      <c r="W1007" s="44"/>
      <c r="X1007" s="44"/>
      <c r="Y1007" s="44"/>
      <c r="Z1007" s="91"/>
      <c r="AA1007" s="59" t="str">
        <f>IF(Rentabilidad=0,"No aplica",TEXT(ROUND(Precio/Rentabilidad/12,0),0) &amp; " años")</f>
        <v>No aplica</v>
      </c>
      <c r="AB1007" s="212"/>
      <c r="AC1007" s="61"/>
      <c r="AD1007" s="107"/>
      <c r="AE1007" s="63"/>
      <c r="AF1007" s="64"/>
      <c r="AG1007" s="63"/>
      <c r="AH1007" s="63"/>
      <c r="AI1007" s="63"/>
      <c r="AJ1007" s="45"/>
      <c r="AK1007" s="50"/>
      <c r="AL1007" s="45"/>
      <c r="AM1007" s="44"/>
      <c r="AN1007" s="45"/>
      <c r="AO1007" s="52"/>
      <c r="AP1007" s="67"/>
      <c r="AQ1007" s="67"/>
      <c r="AR1007" s="67"/>
      <c r="AS1007" s="94"/>
      <c r="AT1007" s="63"/>
      <c r="AU1007" s="44"/>
      <c r="AV1007" s="44"/>
      <c r="AW1007" s="44"/>
      <c r="AX1007" s="44"/>
      <c r="AY1007" s="44"/>
      <c r="AZ1007" s="44"/>
      <c r="BA1007" s="43" t="s">
        <v>89</v>
      </c>
      <c r="BB1007" s="44"/>
      <c r="BC1007" s="95"/>
      <c r="BD1007" s="71"/>
      <c r="BE1007" s="71"/>
      <c r="BF1007" s="130"/>
      <c r="BG1007" s="73"/>
      <c r="BH1007" s="73"/>
      <c r="BI1007" s="73"/>
      <c r="BJ1007" s="73"/>
      <c r="BK1007" s="73"/>
      <c r="BL1007" s="73"/>
      <c r="BM1007" s="73"/>
      <c r="BN1007" s="73"/>
      <c r="BO1007" s="73"/>
      <c r="BP1007" s="73"/>
      <c r="BQ1007" s="73"/>
      <c r="BR1007" s="73"/>
      <c r="BS1007" s="73"/>
      <c r="BT1007" s="73"/>
      <c r="BU1007" s="73"/>
      <c r="BV1007" s="73"/>
      <c r="BW1007" s="74"/>
      <c r="BX1007" s="74"/>
      <c r="BY1007" s="63"/>
      <c r="BZ1007" s="63"/>
    </row>
    <row r="1008" ht="15.75" customHeight="1">
      <c r="A1008" s="41"/>
      <c r="B1008" s="50"/>
      <c r="C1008" s="50"/>
      <c r="D1008" s="50"/>
      <c r="E1008" s="64"/>
      <c r="F1008" s="78">
        <v>0.0</v>
      </c>
      <c r="G1008" s="44" t="str">
        <f t="shared" si="35"/>
        <v>$0 a $100'000.000</v>
      </c>
      <c r="H1008" s="44"/>
      <c r="I1008" s="44"/>
      <c r="J1008" s="50"/>
      <c r="K1008" s="51"/>
      <c r="L1008" s="44"/>
      <c r="M1008" s="44"/>
      <c r="N1008" s="44"/>
      <c r="O1008" s="44"/>
      <c r="P1008" s="44"/>
      <c r="Q1008" s="88">
        <v>0.0</v>
      </c>
      <c r="R1008" s="89">
        <v>0.0</v>
      </c>
      <c r="S1008" s="56" t="str">
        <f t="shared" si="34"/>
        <v> </v>
      </c>
      <c r="T1008" s="50"/>
      <c r="U1008" s="57"/>
      <c r="V1008" s="44"/>
      <c r="W1008" s="44"/>
      <c r="X1008" s="44"/>
      <c r="Y1008" s="44"/>
      <c r="Z1008" s="91"/>
      <c r="AA1008" s="59" t="str">
        <f>IF(Rentabilidad=0,"No aplica",TEXT(ROUND(Precio/Rentabilidad/12,0),0) &amp; " años")</f>
        <v>No aplica</v>
      </c>
      <c r="AB1008" s="212"/>
      <c r="AC1008" s="61"/>
      <c r="AD1008" s="107"/>
      <c r="AE1008" s="63"/>
      <c r="AF1008" s="64"/>
      <c r="AG1008" s="63"/>
      <c r="AH1008" s="63"/>
      <c r="AI1008" s="63"/>
      <c r="AJ1008" s="45"/>
      <c r="AK1008" s="50"/>
      <c r="AL1008" s="45"/>
      <c r="AM1008" s="44"/>
      <c r="AN1008" s="45"/>
      <c r="AO1008" s="52"/>
      <c r="AP1008" s="67"/>
      <c r="AQ1008" s="67"/>
      <c r="AR1008" s="67"/>
      <c r="AS1008" s="94"/>
      <c r="AT1008" s="63"/>
      <c r="AU1008" s="44"/>
      <c r="AV1008" s="44"/>
      <c r="AW1008" s="44"/>
      <c r="AX1008" s="44"/>
      <c r="AY1008" s="44"/>
      <c r="AZ1008" s="44"/>
      <c r="BA1008" s="43" t="s">
        <v>89</v>
      </c>
      <c r="BB1008" s="44"/>
      <c r="BC1008" s="95"/>
      <c r="BD1008" s="71"/>
      <c r="BE1008" s="71"/>
      <c r="BF1008" s="130"/>
      <c r="BG1008" s="73"/>
      <c r="BH1008" s="73"/>
      <c r="BI1008" s="73"/>
      <c r="BJ1008" s="73"/>
      <c r="BK1008" s="73"/>
      <c r="BL1008" s="73"/>
      <c r="BM1008" s="73"/>
      <c r="BN1008" s="73"/>
      <c r="BO1008" s="73"/>
      <c r="BP1008" s="73"/>
      <c r="BQ1008" s="73"/>
      <c r="BR1008" s="73"/>
      <c r="BS1008" s="73"/>
      <c r="BT1008" s="73"/>
      <c r="BU1008" s="73"/>
      <c r="BV1008" s="73"/>
      <c r="BW1008" s="74"/>
      <c r="BX1008" s="74"/>
      <c r="BY1008" s="63"/>
      <c r="BZ1008" s="63"/>
    </row>
    <row r="1009" ht="15.75" customHeight="1">
      <c r="A1009" s="41"/>
      <c r="B1009" s="50"/>
      <c r="C1009" s="50"/>
      <c r="D1009" s="50"/>
      <c r="E1009" s="64"/>
      <c r="F1009" s="78">
        <v>0.0</v>
      </c>
      <c r="G1009" s="44" t="str">
        <f t="shared" si="35"/>
        <v>$0 a $100'000.000</v>
      </c>
      <c r="H1009" s="44"/>
      <c r="I1009" s="44"/>
      <c r="J1009" s="50"/>
      <c r="K1009" s="51"/>
      <c r="L1009" s="44"/>
      <c r="M1009" s="44"/>
      <c r="N1009" s="44"/>
      <c r="O1009" s="44"/>
      <c r="P1009" s="44"/>
      <c r="Q1009" s="88">
        <v>0.0</v>
      </c>
      <c r="R1009" s="89">
        <v>0.0</v>
      </c>
      <c r="S1009" s="56" t="str">
        <f t="shared" si="34"/>
        <v> </v>
      </c>
      <c r="T1009" s="50"/>
      <c r="U1009" s="57"/>
      <c r="V1009" s="44"/>
      <c r="W1009" s="44"/>
      <c r="X1009" s="44"/>
      <c r="Y1009" s="44"/>
      <c r="Z1009" s="91"/>
      <c r="AA1009" s="59" t="str">
        <f>IF(Rentabilidad=0,"No aplica",TEXT(ROUND(Precio/Rentabilidad/12,0),0) &amp; " años")</f>
        <v>No aplica</v>
      </c>
      <c r="AB1009" s="212"/>
      <c r="AC1009" s="61"/>
      <c r="AD1009" s="107"/>
      <c r="AE1009" s="63"/>
      <c r="AF1009" s="64"/>
      <c r="AG1009" s="63"/>
      <c r="AH1009" s="63"/>
      <c r="AI1009" s="63"/>
      <c r="AJ1009" s="45"/>
      <c r="AK1009" s="50"/>
      <c r="AL1009" s="45"/>
      <c r="AM1009" s="44"/>
      <c r="AN1009" s="45"/>
      <c r="AO1009" s="52"/>
      <c r="AP1009" s="67"/>
      <c r="AQ1009" s="67"/>
      <c r="AR1009" s="67"/>
      <c r="AS1009" s="94"/>
      <c r="AT1009" s="63"/>
      <c r="AU1009" s="44"/>
      <c r="AV1009" s="44"/>
      <c r="AW1009" s="44"/>
      <c r="AX1009" s="44"/>
      <c r="AY1009" s="44"/>
      <c r="AZ1009" s="44"/>
      <c r="BA1009" s="43" t="s">
        <v>89</v>
      </c>
      <c r="BB1009" s="44"/>
      <c r="BC1009" s="95"/>
      <c r="BD1009" s="71"/>
      <c r="BE1009" s="71"/>
      <c r="BF1009" s="130"/>
      <c r="BG1009" s="73"/>
      <c r="BH1009" s="73"/>
      <c r="BI1009" s="73"/>
      <c r="BJ1009" s="73"/>
      <c r="BK1009" s="73"/>
      <c r="BL1009" s="73"/>
      <c r="BM1009" s="73"/>
      <c r="BN1009" s="73"/>
      <c r="BO1009" s="73"/>
      <c r="BP1009" s="73"/>
      <c r="BQ1009" s="73"/>
      <c r="BR1009" s="73"/>
      <c r="BS1009" s="73"/>
      <c r="BT1009" s="73"/>
      <c r="BU1009" s="73"/>
      <c r="BV1009" s="73"/>
      <c r="BW1009" s="74"/>
      <c r="BX1009" s="74"/>
      <c r="BY1009" s="63"/>
      <c r="BZ1009" s="63"/>
    </row>
    <row r="1010" ht="15.75" customHeight="1">
      <c r="A1010" s="41"/>
      <c r="B1010" s="50"/>
      <c r="C1010" s="50"/>
      <c r="D1010" s="50"/>
      <c r="E1010" s="64"/>
      <c r="F1010" s="78">
        <v>0.0</v>
      </c>
      <c r="G1010" s="44" t="str">
        <f t="shared" si="35"/>
        <v>$0 a $100'000.000</v>
      </c>
      <c r="H1010" s="44"/>
      <c r="I1010" s="44"/>
      <c r="J1010" s="50"/>
      <c r="K1010" s="51"/>
      <c r="L1010" s="44"/>
      <c r="M1010" s="44"/>
      <c r="N1010" s="44"/>
      <c r="O1010" s="44"/>
      <c r="P1010" s="44"/>
      <c r="Q1010" s="88">
        <v>0.0</v>
      </c>
      <c r="R1010" s="89">
        <v>0.0</v>
      </c>
      <c r="S1010" s="56" t="str">
        <f t="shared" si="34"/>
        <v> </v>
      </c>
      <c r="T1010" s="50"/>
      <c r="U1010" s="57"/>
      <c r="V1010" s="44"/>
      <c r="W1010" s="44"/>
      <c r="X1010" s="44"/>
      <c r="Y1010" s="44"/>
      <c r="Z1010" s="91"/>
      <c r="AA1010" s="59" t="str">
        <f>IF(Rentabilidad=0,"No aplica",TEXT(ROUND(Precio/Rentabilidad/12,0),0) &amp; " años")</f>
        <v>No aplica</v>
      </c>
      <c r="AB1010" s="212"/>
      <c r="AC1010" s="61"/>
      <c r="AD1010" s="107"/>
      <c r="AE1010" s="63"/>
      <c r="AF1010" s="64"/>
      <c r="AG1010" s="63"/>
      <c r="AH1010" s="63"/>
      <c r="AI1010" s="63"/>
      <c r="AJ1010" s="45"/>
      <c r="AK1010" s="50"/>
      <c r="AL1010" s="45"/>
      <c r="AM1010" s="44"/>
      <c r="AN1010" s="45"/>
      <c r="AO1010" s="52"/>
      <c r="AP1010" s="67"/>
      <c r="AQ1010" s="67"/>
      <c r="AR1010" s="67"/>
      <c r="AS1010" s="94"/>
      <c r="AT1010" s="63"/>
      <c r="AU1010" s="44"/>
      <c r="AV1010" s="44"/>
      <c r="AW1010" s="44"/>
      <c r="AX1010" s="44"/>
      <c r="AY1010" s="44"/>
      <c r="AZ1010" s="44"/>
      <c r="BA1010" s="43" t="s">
        <v>89</v>
      </c>
      <c r="BB1010" s="44"/>
      <c r="BC1010" s="95"/>
      <c r="BD1010" s="71"/>
      <c r="BE1010" s="71"/>
      <c r="BF1010" s="130"/>
      <c r="BG1010" s="73"/>
      <c r="BH1010" s="73"/>
      <c r="BI1010" s="73"/>
      <c r="BJ1010" s="73"/>
      <c r="BK1010" s="73"/>
      <c r="BL1010" s="73"/>
      <c r="BM1010" s="73"/>
      <c r="BN1010" s="73"/>
      <c r="BO1010" s="73"/>
      <c r="BP1010" s="73"/>
      <c r="BQ1010" s="73"/>
      <c r="BR1010" s="73"/>
      <c r="BS1010" s="73"/>
      <c r="BT1010" s="73"/>
      <c r="BU1010" s="73"/>
      <c r="BV1010" s="73"/>
      <c r="BW1010" s="74"/>
      <c r="BX1010" s="74"/>
      <c r="BY1010" s="63"/>
      <c r="BZ1010" s="63"/>
    </row>
    <row r="1011" ht="15.75" customHeight="1">
      <c r="A1011" s="41"/>
      <c r="B1011" s="50"/>
      <c r="C1011" s="50"/>
      <c r="D1011" s="50"/>
      <c r="E1011" s="64"/>
      <c r="F1011" s="78">
        <v>0.0</v>
      </c>
      <c r="G1011" s="44" t="str">
        <f t="shared" si="35"/>
        <v>$0 a $100'000.000</v>
      </c>
      <c r="H1011" s="44"/>
      <c r="I1011" s="44"/>
      <c r="J1011" s="50"/>
      <c r="K1011" s="51"/>
      <c r="L1011" s="44"/>
      <c r="M1011" s="44"/>
      <c r="N1011" s="44"/>
      <c r="O1011" s="44"/>
      <c r="P1011" s="44"/>
      <c r="Q1011" s="88">
        <v>0.0</v>
      </c>
      <c r="R1011" s="89">
        <v>0.0</v>
      </c>
      <c r="S1011" s="56" t="str">
        <f t="shared" si="34"/>
        <v> </v>
      </c>
      <c r="T1011" s="50"/>
      <c r="U1011" s="57"/>
      <c r="V1011" s="44"/>
      <c r="W1011" s="44"/>
      <c r="X1011" s="44"/>
      <c r="Y1011" s="44"/>
      <c r="Z1011" s="91"/>
      <c r="AA1011" s="59" t="str">
        <f>IF(Rentabilidad=0,"No aplica",TEXT(ROUND(Precio/Rentabilidad/12,0),0) &amp; " años")</f>
        <v>No aplica</v>
      </c>
      <c r="AB1011" s="212"/>
      <c r="AC1011" s="61"/>
      <c r="AD1011" s="107"/>
      <c r="AE1011" s="63"/>
      <c r="AF1011" s="64"/>
      <c r="AG1011" s="63"/>
      <c r="AH1011" s="63"/>
      <c r="AI1011" s="63"/>
      <c r="AJ1011" s="45"/>
      <c r="AK1011" s="50"/>
      <c r="AL1011" s="45"/>
      <c r="AM1011" s="44"/>
      <c r="AN1011" s="45"/>
      <c r="AO1011" s="52"/>
      <c r="AP1011" s="67"/>
      <c r="AQ1011" s="67"/>
      <c r="AR1011" s="67"/>
      <c r="AS1011" s="94"/>
      <c r="AT1011" s="63"/>
      <c r="AU1011" s="44"/>
      <c r="AV1011" s="44"/>
      <c r="AW1011" s="44"/>
      <c r="AX1011" s="44"/>
      <c r="AY1011" s="44"/>
      <c r="AZ1011" s="44"/>
      <c r="BA1011" s="43" t="s">
        <v>89</v>
      </c>
      <c r="BB1011" s="44"/>
      <c r="BC1011" s="95"/>
      <c r="BD1011" s="71"/>
      <c r="BE1011" s="71"/>
      <c r="BF1011" s="130"/>
      <c r="BG1011" s="73"/>
      <c r="BH1011" s="73"/>
      <c r="BI1011" s="73"/>
      <c r="BJ1011" s="73"/>
      <c r="BK1011" s="73"/>
      <c r="BL1011" s="73"/>
      <c r="BM1011" s="73"/>
      <c r="BN1011" s="73"/>
      <c r="BO1011" s="73"/>
      <c r="BP1011" s="73"/>
      <c r="BQ1011" s="73"/>
      <c r="BR1011" s="73"/>
      <c r="BS1011" s="73"/>
      <c r="BT1011" s="73"/>
      <c r="BU1011" s="73"/>
      <c r="BV1011" s="73"/>
      <c r="BW1011" s="74"/>
      <c r="BX1011" s="74"/>
      <c r="BY1011" s="63"/>
      <c r="BZ1011" s="63"/>
    </row>
    <row r="1012" ht="15.75" customHeight="1">
      <c r="A1012" s="41"/>
      <c r="B1012" s="50"/>
      <c r="C1012" s="50"/>
      <c r="D1012" s="50"/>
      <c r="E1012" s="64"/>
      <c r="F1012" s="78">
        <v>0.0</v>
      </c>
      <c r="G1012" s="44" t="str">
        <f t="shared" si="35"/>
        <v>$0 a $100'000.000</v>
      </c>
      <c r="H1012" s="44"/>
      <c r="I1012" s="44"/>
      <c r="J1012" s="50"/>
      <c r="K1012" s="51"/>
      <c r="L1012" s="44"/>
      <c r="M1012" s="44"/>
      <c r="N1012" s="44"/>
      <c r="O1012" s="44"/>
      <c r="P1012" s="44"/>
      <c r="Q1012" s="88">
        <v>0.0</v>
      </c>
      <c r="R1012" s="89">
        <v>0.0</v>
      </c>
      <c r="S1012" s="56" t="str">
        <f t="shared" si="34"/>
        <v> </v>
      </c>
      <c r="T1012" s="50"/>
      <c r="U1012" s="57"/>
      <c r="V1012" s="44"/>
      <c r="W1012" s="44"/>
      <c r="X1012" s="44"/>
      <c r="Y1012" s="44"/>
      <c r="Z1012" s="91"/>
      <c r="AA1012" s="59" t="str">
        <f>IF(Rentabilidad=0,"No aplica",TEXT(ROUND(Precio/Rentabilidad/12,0),0) &amp; " años")</f>
        <v>No aplica</v>
      </c>
      <c r="AB1012" s="212"/>
      <c r="AC1012" s="61"/>
      <c r="AD1012" s="107"/>
      <c r="AE1012" s="63"/>
      <c r="AF1012" s="64"/>
      <c r="AG1012" s="63"/>
      <c r="AH1012" s="63"/>
      <c r="AI1012" s="63"/>
      <c r="AJ1012" s="45"/>
      <c r="AK1012" s="50"/>
      <c r="AL1012" s="45"/>
      <c r="AM1012" s="44"/>
      <c r="AN1012" s="45"/>
      <c r="AO1012" s="52"/>
      <c r="AP1012" s="67"/>
      <c r="AQ1012" s="67"/>
      <c r="AR1012" s="67"/>
      <c r="AS1012" s="94"/>
      <c r="AT1012" s="63"/>
      <c r="AU1012" s="44"/>
      <c r="AV1012" s="44"/>
      <c r="AW1012" s="44"/>
      <c r="AX1012" s="44"/>
      <c r="AY1012" s="44"/>
      <c r="AZ1012" s="44"/>
      <c r="BA1012" s="43" t="s">
        <v>89</v>
      </c>
      <c r="BB1012" s="44"/>
      <c r="BC1012" s="95"/>
      <c r="BD1012" s="71"/>
      <c r="BE1012" s="71"/>
      <c r="BF1012" s="130"/>
      <c r="BG1012" s="73"/>
      <c r="BH1012" s="73"/>
      <c r="BI1012" s="73"/>
      <c r="BJ1012" s="73"/>
      <c r="BK1012" s="73"/>
      <c r="BL1012" s="73"/>
      <c r="BM1012" s="73"/>
      <c r="BN1012" s="73"/>
      <c r="BO1012" s="73"/>
      <c r="BP1012" s="73"/>
      <c r="BQ1012" s="73"/>
      <c r="BR1012" s="73"/>
      <c r="BS1012" s="73"/>
      <c r="BT1012" s="73"/>
      <c r="BU1012" s="73"/>
      <c r="BV1012" s="73"/>
      <c r="BW1012" s="74"/>
      <c r="BX1012" s="74"/>
      <c r="BY1012" s="63"/>
      <c r="BZ1012" s="63"/>
    </row>
    <row r="1013" ht="15.75" customHeight="1">
      <c r="A1013" s="41"/>
      <c r="B1013" s="50"/>
      <c r="C1013" s="50"/>
      <c r="D1013" s="50"/>
      <c r="E1013" s="64"/>
      <c r="F1013" s="78">
        <v>0.0</v>
      </c>
      <c r="G1013" s="44" t="str">
        <f t="shared" si="35"/>
        <v>$0 a $100'000.000</v>
      </c>
      <c r="H1013" s="44"/>
      <c r="I1013" s="44"/>
      <c r="J1013" s="50"/>
      <c r="K1013" s="51"/>
      <c r="L1013" s="44"/>
      <c r="M1013" s="44"/>
      <c r="N1013" s="44"/>
      <c r="O1013" s="44"/>
      <c r="P1013" s="44"/>
      <c r="Q1013" s="88">
        <v>0.0</v>
      </c>
      <c r="R1013" s="89">
        <v>0.0</v>
      </c>
      <c r="S1013" s="56" t="str">
        <f t="shared" si="34"/>
        <v> </v>
      </c>
      <c r="T1013" s="50"/>
      <c r="U1013" s="57"/>
      <c r="V1013" s="44"/>
      <c r="W1013" s="44"/>
      <c r="X1013" s="44"/>
      <c r="Y1013" s="44"/>
      <c r="Z1013" s="91"/>
      <c r="AA1013" s="59" t="str">
        <f>IF(Rentabilidad=0,"No aplica",TEXT(ROUND(Precio/Rentabilidad/12,0),0) &amp; " años")</f>
        <v>No aplica</v>
      </c>
      <c r="AB1013" s="212"/>
      <c r="AC1013" s="61"/>
      <c r="AD1013" s="107"/>
      <c r="AE1013" s="63"/>
      <c r="AF1013" s="64"/>
      <c r="AG1013" s="63"/>
      <c r="AH1013" s="63"/>
      <c r="AI1013" s="63"/>
      <c r="AJ1013" s="45"/>
      <c r="AK1013" s="50"/>
      <c r="AL1013" s="45"/>
      <c r="AM1013" s="44"/>
      <c r="AN1013" s="45"/>
      <c r="AO1013" s="52"/>
      <c r="AP1013" s="67"/>
      <c r="AQ1013" s="67"/>
      <c r="AR1013" s="67"/>
      <c r="AS1013" s="94"/>
      <c r="AT1013" s="63"/>
      <c r="AU1013" s="44"/>
      <c r="AV1013" s="44"/>
      <c r="AW1013" s="44"/>
      <c r="AX1013" s="44"/>
      <c r="AY1013" s="44"/>
      <c r="AZ1013" s="44"/>
      <c r="BA1013" s="43" t="s">
        <v>89</v>
      </c>
      <c r="BB1013" s="44"/>
      <c r="BC1013" s="95"/>
      <c r="BD1013" s="71"/>
      <c r="BE1013" s="71"/>
      <c r="BF1013" s="130"/>
      <c r="BG1013" s="73"/>
      <c r="BH1013" s="73"/>
      <c r="BI1013" s="73"/>
      <c r="BJ1013" s="73"/>
      <c r="BK1013" s="73"/>
      <c r="BL1013" s="73"/>
      <c r="BM1013" s="73"/>
      <c r="BN1013" s="73"/>
      <c r="BO1013" s="73"/>
      <c r="BP1013" s="73"/>
      <c r="BQ1013" s="73"/>
      <c r="BR1013" s="73"/>
      <c r="BS1013" s="73"/>
      <c r="BT1013" s="73"/>
      <c r="BU1013" s="73"/>
      <c r="BV1013" s="73"/>
      <c r="BW1013" s="74"/>
      <c r="BX1013" s="74"/>
      <c r="BY1013" s="63"/>
      <c r="BZ1013" s="63"/>
    </row>
    <row r="1014" ht="15.75" customHeight="1">
      <c r="A1014" s="41"/>
      <c r="B1014" s="50"/>
      <c r="C1014" s="50"/>
      <c r="D1014" s="50"/>
      <c r="E1014" s="64"/>
      <c r="F1014" s="78">
        <v>0.0</v>
      </c>
      <c r="G1014" s="44" t="str">
        <f t="shared" si="35"/>
        <v>$0 a $100'000.000</v>
      </c>
      <c r="H1014" s="44"/>
      <c r="I1014" s="44"/>
      <c r="J1014" s="50"/>
      <c r="K1014" s="51"/>
      <c r="L1014" s="44"/>
      <c r="M1014" s="44"/>
      <c r="N1014" s="44"/>
      <c r="O1014" s="44"/>
      <c r="P1014" s="44"/>
      <c r="Q1014" s="88">
        <v>0.0</v>
      </c>
      <c r="R1014" s="89">
        <v>0.0</v>
      </c>
      <c r="S1014" s="56" t="str">
        <f t="shared" si="34"/>
        <v> </v>
      </c>
      <c r="T1014" s="50"/>
      <c r="U1014" s="57"/>
      <c r="V1014" s="44"/>
      <c r="W1014" s="44"/>
      <c r="X1014" s="44"/>
      <c r="Y1014" s="44"/>
      <c r="Z1014" s="91"/>
      <c r="AA1014" s="59" t="str">
        <f>IF(Rentabilidad=0,"No aplica",TEXT(ROUND(Precio/Rentabilidad/12,0),0) &amp; " años")</f>
        <v>No aplica</v>
      </c>
      <c r="AB1014" s="212"/>
      <c r="AC1014" s="61"/>
      <c r="AD1014" s="107"/>
      <c r="AE1014" s="63"/>
      <c r="AF1014" s="64"/>
      <c r="AG1014" s="63"/>
      <c r="AH1014" s="63"/>
      <c r="AI1014" s="63"/>
      <c r="AJ1014" s="45"/>
      <c r="AK1014" s="50"/>
      <c r="AL1014" s="45"/>
      <c r="AM1014" s="44"/>
      <c r="AN1014" s="45"/>
      <c r="AO1014" s="52"/>
      <c r="AP1014" s="67"/>
      <c r="AQ1014" s="67"/>
      <c r="AR1014" s="67"/>
      <c r="AS1014" s="94"/>
      <c r="AT1014" s="63"/>
      <c r="AU1014" s="44"/>
      <c r="AV1014" s="44"/>
      <c r="AW1014" s="44"/>
      <c r="AX1014" s="44"/>
      <c r="AY1014" s="44"/>
      <c r="AZ1014" s="44"/>
      <c r="BA1014" s="43" t="s">
        <v>89</v>
      </c>
      <c r="BB1014" s="44"/>
      <c r="BC1014" s="95"/>
      <c r="BD1014" s="71"/>
      <c r="BE1014" s="71"/>
      <c r="BF1014" s="130"/>
      <c r="BG1014" s="73"/>
      <c r="BH1014" s="73"/>
      <c r="BI1014" s="73"/>
      <c r="BJ1014" s="73"/>
      <c r="BK1014" s="73"/>
      <c r="BL1014" s="73"/>
      <c r="BM1014" s="73"/>
      <c r="BN1014" s="73"/>
      <c r="BO1014" s="73"/>
      <c r="BP1014" s="73"/>
      <c r="BQ1014" s="73"/>
      <c r="BR1014" s="73"/>
      <c r="BS1014" s="73"/>
      <c r="BT1014" s="73"/>
      <c r="BU1014" s="73"/>
      <c r="BV1014" s="73"/>
      <c r="BW1014" s="74"/>
      <c r="BX1014" s="74"/>
      <c r="BY1014" s="63"/>
      <c r="BZ1014" s="63"/>
    </row>
    <row r="1015" ht="15.75" customHeight="1">
      <c r="A1015" s="41"/>
      <c r="B1015" s="50"/>
      <c r="C1015" s="50"/>
      <c r="D1015" s="50"/>
      <c r="E1015" s="64"/>
      <c r="F1015" s="78">
        <v>0.0</v>
      </c>
      <c r="G1015" s="44" t="str">
        <f t="shared" si="35"/>
        <v>$0 a $100'000.000</v>
      </c>
      <c r="H1015" s="44"/>
      <c r="I1015" s="44"/>
      <c r="J1015" s="50"/>
      <c r="K1015" s="51"/>
      <c r="L1015" s="44"/>
      <c r="M1015" s="44"/>
      <c r="N1015" s="44"/>
      <c r="O1015" s="44"/>
      <c r="P1015" s="44"/>
      <c r="Q1015" s="88">
        <v>0.0</v>
      </c>
      <c r="R1015" s="89">
        <v>0.0</v>
      </c>
      <c r="S1015" s="56" t="str">
        <f t="shared" si="34"/>
        <v> </v>
      </c>
      <c r="T1015" s="50"/>
      <c r="U1015" s="57"/>
      <c r="V1015" s="44"/>
      <c r="W1015" s="44"/>
      <c r="X1015" s="44"/>
      <c r="Y1015" s="44"/>
      <c r="Z1015" s="91"/>
      <c r="AA1015" s="59" t="str">
        <f>IF(Rentabilidad=0,"No aplica",TEXT(ROUND(Precio/Rentabilidad/12,0),0) &amp; " años")</f>
        <v>No aplica</v>
      </c>
      <c r="AB1015" s="212"/>
      <c r="AC1015" s="61"/>
      <c r="AD1015" s="107"/>
      <c r="AE1015" s="63"/>
      <c r="AF1015" s="64"/>
      <c r="AG1015" s="63"/>
      <c r="AH1015" s="63"/>
      <c r="AI1015" s="63"/>
      <c r="AJ1015" s="45"/>
      <c r="AK1015" s="50"/>
      <c r="AL1015" s="45"/>
      <c r="AM1015" s="44"/>
      <c r="AN1015" s="45"/>
      <c r="AO1015" s="52"/>
      <c r="AP1015" s="67"/>
      <c r="AQ1015" s="67"/>
      <c r="AR1015" s="67"/>
      <c r="AS1015" s="94"/>
      <c r="AT1015" s="63"/>
      <c r="AU1015" s="44"/>
      <c r="AV1015" s="44"/>
      <c r="AW1015" s="44"/>
      <c r="AX1015" s="44"/>
      <c r="AY1015" s="44"/>
      <c r="AZ1015" s="44"/>
      <c r="BA1015" s="43" t="s">
        <v>89</v>
      </c>
      <c r="BB1015" s="44"/>
      <c r="BC1015" s="95"/>
      <c r="BD1015" s="71"/>
      <c r="BE1015" s="71"/>
      <c r="BF1015" s="130"/>
      <c r="BG1015" s="73"/>
      <c r="BH1015" s="73"/>
      <c r="BI1015" s="73"/>
      <c r="BJ1015" s="73"/>
      <c r="BK1015" s="73"/>
      <c r="BL1015" s="73"/>
      <c r="BM1015" s="73"/>
      <c r="BN1015" s="73"/>
      <c r="BO1015" s="73"/>
      <c r="BP1015" s="73"/>
      <c r="BQ1015" s="73"/>
      <c r="BR1015" s="73"/>
      <c r="BS1015" s="73"/>
      <c r="BT1015" s="73"/>
      <c r="BU1015" s="73"/>
      <c r="BV1015" s="73"/>
      <c r="BW1015" s="74"/>
      <c r="BX1015" s="74"/>
      <c r="BY1015" s="63"/>
      <c r="BZ1015" s="63"/>
    </row>
    <row r="1016" ht="15.75" customHeight="1">
      <c r="A1016" s="41"/>
      <c r="B1016" s="50"/>
      <c r="C1016" s="50"/>
      <c r="D1016" s="50"/>
      <c r="E1016" s="64"/>
      <c r="F1016" s="78">
        <v>0.0</v>
      </c>
      <c r="G1016" s="44" t="str">
        <f t="shared" si="35"/>
        <v>$0 a $100'000.000</v>
      </c>
      <c r="H1016" s="44"/>
      <c r="I1016" s="44"/>
      <c r="J1016" s="50"/>
      <c r="K1016" s="51"/>
      <c r="L1016" s="44"/>
      <c r="M1016" s="44"/>
      <c r="N1016" s="44"/>
      <c r="O1016" s="44"/>
      <c r="P1016" s="44"/>
      <c r="Q1016" s="88">
        <v>0.0</v>
      </c>
      <c r="R1016" s="89">
        <v>0.0</v>
      </c>
      <c r="S1016" s="56" t="str">
        <f t="shared" si="34"/>
        <v> </v>
      </c>
      <c r="T1016" s="50"/>
      <c r="U1016" s="57"/>
      <c r="V1016" s="44"/>
      <c r="W1016" s="44"/>
      <c r="X1016" s="44"/>
      <c r="Y1016" s="44"/>
      <c r="Z1016" s="91"/>
      <c r="AA1016" s="59" t="str">
        <f>IF(Rentabilidad=0,"No aplica",TEXT(ROUND(Precio/Rentabilidad/12,0),0) &amp; " años")</f>
        <v>No aplica</v>
      </c>
      <c r="AB1016" s="212"/>
      <c r="AC1016" s="61"/>
      <c r="AD1016" s="107"/>
      <c r="AE1016" s="63"/>
      <c r="AF1016" s="64"/>
      <c r="AG1016" s="63"/>
      <c r="AH1016" s="63"/>
      <c r="AI1016" s="63"/>
      <c r="AJ1016" s="45"/>
      <c r="AK1016" s="50"/>
      <c r="AL1016" s="45"/>
      <c r="AM1016" s="44"/>
      <c r="AN1016" s="45"/>
      <c r="AO1016" s="52"/>
      <c r="AP1016" s="67"/>
      <c r="AQ1016" s="67"/>
      <c r="AR1016" s="67"/>
      <c r="AS1016" s="94"/>
      <c r="AT1016" s="63"/>
      <c r="AU1016" s="44"/>
      <c r="AV1016" s="44"/>
      <c r="AW1016" s="44"/>
      <c r="AX1016" s="44"/>
      <c r="AY1016" s="44"/>
      <c r="AZ1016" s="44"/>
      <c r="BA1016" s="43" t="s">
        <v>89</v>
      </c>
      <c r="BB1016" s="44"/>
      <c r="BC1016" s="95"/>
      <c r="BD1016" s="71"/>
      <c r="BE1016" s="71"/>
      <c r="BF1016" s="130"/>
      <c r="BG1016" s="73"/>
      <c r="BH1016" s="73"/>
      <c r="BI1016" s="73"/>
      <c r="BJ1016" s="73"/>
      <c r="BK1016" s="73"/>
      <c r="BL1016" s="73"/>
      <c r="BM1016" s="73"/>
      <c r="BN1016" s="73"/>
      <c r="BO1016" s="73"/>
      <c r="BP1016" s="73"/>
      <c r="BQ1016" s="73"/>
      <c r="BR1016" s="73"/>
      <c r="BS1016" s="73"/>
      <c r="BT1016" s="73"/>
      <c r="BU1016" s="73"/>
      <c r="BV1016" s="73"/>
      <c r="BW1016" s="74"/>
      <c r="BX1016" s="74"/>
      <c r="BY1016" s="63"/>
      <c r="BZ1016" s="63"/>
    </row>
    <row r="1017" ht="15.75" customHeight="1">
      <c r="A1017" s="41"/>
      <c r="B1017" s="50"/>
      <c r="C1017" s="50"/>
      <c r="D1017" s="50"/>
      <c r="E1017" s="64"/>
      <c r="F1017" s="78">
        <v>0.0</v>
      </c>
      <c r="G1017" s="44" t="str">
        <f t="shared" si="35"/>
        <v>$0 a $100'000.000</v>
      </c>
      <c r="H1017" s="44"/>
      <c r="I1017" s="44"/>
      <c r="J1017" s="50"/>
      <c r="K1017" s="51"/>
      <c r="L1017" s="44"/>
      <c r="M1017" s="44"/>
      <c r="N1017" s="44"/>
      <c r="O1017" s="44"/>
      <c r="P1017" s="44"/>
      <c r="Q1017" s="88">
        <v>0.0</v>
      </c>
      <c r="R1017" s="89">
        <v>0.0</v>
      </c>
      <c r="S1017" s="56" t="str">
        <f t="shared" si="34"/>
        <v> </v>
      </c>
      <c r="T1017" s="50"/>
      <c r="U1017" s="57"/>
      <c r="V1017" s="44"/>
      <c r="W1017" s="44"/>
      <c r="X1017" s="44"/>
      <c r="Y1017" s="44"/>
      <c r="Z1017" s="91"/>
      <c r="AA1017" s="59" t="str">
        <f>IF(Rentabilidad=0,"No aplica",TEXT(ROUND(Precio/Rentabilidad/12,0),0) &amp; " años")</f>
        <v>No aplica</v>
      </c>
      <c r="AB1017" s="212"/>
      <c r="AC1017" s="61"/>
      <c r="AD1017" s="107"/>
      <c r="AE1017" s="63"/>
      <c r="AF1017" s="64"/>
      <c r="AG1017" s="63"/>
      <c r="AH1017" s="63"/>
      <c r="AI1017" s="63"/>
      <c r="AJ1017" s="45"/>
      <c r="AK1017" s="50"/>
      <c r="AL1017" s="45"/>
      <c r="AM1017" s="44"/>
      <c r="AN1017" s="45"/>
      <c r="AO1017" s="52"/>
      <c r="AP1017" s="67"/>
      <c r="AQ1017" s="67"/>
      <c r="AR1017" s="67"/>
      <c r="AS1017" s="94"/>
      <c r="AT1017" s="63"/>
      <c r="AU1017" s="44"/>
      <c r="AV1017" s="44"/>
      <c r="AW1017" s="44"/>
      <c r="AX1017" s="44"/>
      <c r="AY1017" s="44"/>
      <c r="AZ1017" s="44"/>
      <c r="BA1017" s="43" t="s">
        <v>89</v>
      </c>
      <c r="BB1017" s="44"/>
      <c r="BC1017" s="95"/>
      <c r="BD1017" s="71"/>
      <c r="BE1017" s="71"/>
      <c r="BF1017" s="130"/>
      <c r="BG1017" s="73"/>
      <c r="BH1017" s="73"/>
      <c r="BI1017" s="73"/>
      <c r="BJ1017" s="73"/>
      <c r="BK1017" s="73"/>
      <c r="BL1017" s="73"/>
      <c r="BM1017" s="73"/>
      <c r="BN1017" s="73"/>
      <c r="BO1017" s="73"/>
      <c r="BP1017" s="73"/>
      <c r="BQ1017" s="73"/>
      <c r="BR1017" s="73"/>
      <c r="BS1017" s="73"/>
      <c r="BT1017" s="73"/>
      <c r="BU1017" s="73"/>
      <c r="BV1017" s="73"/>
      <c r="BW1017" s="74"/>
      <c r="BX1017" s="74"/>
      <c r="BY1017" s="63"/>
      <c r="BZ1017" s="63"/>
    </row>
    <row r="1018" ht="15.75" customHeight="1">
      <c r="A1018" s="41"/>
      <c r="B1018" s="50"/>
      <c r="C1018" s="50"/>
      <c r="D1018" s="50"/>
      <c r="E1018" s="64"/>
      <c r="F1018" s="78">
        <v>0.0</v>
      </c>
      <c r="G1018" s="44" t="str">
        <f t="shared" si="35"/>
        <v>$0 a $100'000.000</v>
      </c>
      <c r="H1018" s="44"/>
      <c r="I1018" s="44"/>
      <c r="J1018" s="50"/>
      <c r="K1018" s="51"/>
      <c r="L1018" s="44"/>
      <c r="M1018" s="44"/>
      <c r="N1018" s="44"/>
      <c r="O1018" s="44"/>
      <c r="P1018" s="44"/>
      <c r="Q1018" s="88">
        <v>0.0</v>
      </c>
      <c r="R1018" s="89">
        <v>0.0</v>
      </c>
      <c r="S1018" s="56" t="str">
        <f t="shared" si="34"/>
        <v> </v>
      </c>
      <c r="T1018" s="50"/>
      <c r="U1018" s="57"/>
      <c r="V1018" s="44"/>
      <c r="W1018" s="44"/>
      <c r="X1018" s="44"/>
      <c r="Y1018" s="44"/>
      <c r="Z1018" s="91"/>
      <c r="AA1018" s="59" t="str">
        <f>IF(Rentabilidad=0,"No aplica",TEXT(ROUND(Precio/Rentabilidad/12,0),0) &amp; " años")</f>
        <v>No aplica</v>
      </c>
      <c r="AB1018" s="212"/>
      <c r="AC1018" s="61"/>
      <c r="AD1018" s="107"/>
      <c r="AE1018" s="63"/>
      <c r="AF1018" s="64"/>
      <c r="AG1018" s="63"/>
      <c r="AH1018" s="63"/>
      <c r="AI1018" s="63"/>
      <c r="AJ1018" s="45"/>
      <c r="AK1018" s="50"/>
      <c r="AL1018" s="45"/>
      <c r="AM1018" s="44"/>
      <c r="AN1018" s="45"/>
      <c r="AO1018" s="52"/>
      <c r="AP1018" s="67"/>
      <c r="AQ1018" s="67"/>
      <c r="AR1018" s="67"/>
      <c r="AS1018" s="94"/>
      <c r="AT1018" s="63"/>
      <c r="AU1018" s="44"/>
      <c r="AV1018" s="44"/>
      <c r="AW1018" s="44"/>
      <c r="AX1018" s="44"/>
      <c r="AY1018" s="44"/>
      <c r="AZ1018" s="44"/>
      <c r="BA1018" s="43" t="s">
        <v>89</v>
      </c>
      <c r="BB1018" s="44"/>
      <c r="BC1018" s="95"/>
      <c r="BD1018" s="71"/>
      <c r="BE1018" s="71"/>
      <c r="BF1018" s="130"/>
      <c r="BG1018" s="73"/>
      <c r="BH1018" s="73"/>
      <c r="BI1018" s="73"/>
      <c r="BJ1018" s="73"/>
      <c r="BK1018" s="73"/>
      <c r="BL1018" s="73"/>
      <c r="BM1018" s="73"/>
      <c r="BN1018" s="73"/>
      <c r="BO1018" s="73"/>
      <c r="BP1018" s="73"/>
      <c r="BQ1018" s="73"/>
      <c r="BR1018" s="73"/>
      <c r="BS1018" s="73"/>
      <c r="BT1018" s="73"/>
      <c r="BU1018" s="73"/>
      <c r="BV1018" s="73"/>
      <c r="BW1018" s="74"/>
      <c r="BX1018" s="74"/>
      <c r="BY1018" s="63"/>
      <c r="BZ1018" s="63"/>
    </row>
    <row r="1019" ht="15.75" customHeight="1">
      <c r="A1019" s="41"/>
      <c r="B1019" s="50"/>
      <c r="C1019" s="50"/>
      <c r="D1019" s="50"/>
      <c r="E1019" s="64"/>
      <c r="F1019" s="78">
        <v>0.0</v>
      </c>
      <c r="G1019" s="44" t="str">
        <f t="shared" si="35"/>
        <v>$0 a $100'000.000</v>
      </c>
      <c r="H1019" s="44"/>
      <c r="I1019" s="44"/>
      <c r="J1019" s="50"/>
      <c r="K1019" s="51"/>
      <c r="L1019" s="44"/>
      <c r="M1019" s="44"/>
      <c r="N1019" s="44"/>
      <c r="O1019" s="44"/>
      <c r="P1019" s="44"/>
      <c r="Q1019" s="88">
        <v>0.0</v>
      </c>
      <c r="R1019" s="89">
        <v>0.0</v>
      </c>
      <c r="S1019" s="56" t="str">
        <f t="shared" si="34"/>
        <v> </v>
      </c>
      <c r="T1019" s="50"/>
      <c r="U1019" s="57"/>
      <c r="V1019" s="44"/>
      <c r="W1019" s="44"/>
      <c r="X1019" s="44"/>
      <c r="Y1019" s="44"/>
      <c r="Z1019" s="91"/>
      <c r="AA1019" s="59" t="str">
        <f>IF(Rentabilidad=0,"No aplica",TEXT(ROUND(Precio/Rentabilidad/12,0),0) &amp; " años")</f>
        <v>No aplica</v>
      </c>
      <c r="AB1019" s="212"/>
      <c r="AC1019" s="61"/>
      <c r="AD1019" s="107"/>
      <c r="AE1019" s="63"/>
      <c r="AF1019" s="64"/>
      <c r="AG1019" s="63"/>
      <c r="AH1019" s="63"/>
      <c r="AI1019" s="63"/>
      <c r="AJ1019" s="45"/>
      <c r="AK1019" s="50"/>
      <c r="AL1019" s="45"/>
      <c r="AM1019" s="44"/>
      <c r="AN1019" s="45"/>
      <c r="AO1019" s="52"/>
      <c r="AP1019" s="67"/>
      <c r="AQ1019" s="67"/>
      <c r="AR1019" s="67"/>
      <c r="AS1019" s="94"/>
      <c r="AT1019" s="63"/>
      <c r="AU1019" s="44"/>
      <c r="AV1019" s="44"/>
      <c r="AW1019" s="44"/>
      <c r="AX1019" s="44"/>
      <c r="AY1019" s="44"/>
      <c r="AZ1019" s="44"/>
      <c r="BA1019" s="43" t="s">
        <v>89</v>
      </c>
      <c r="BB1019" s="44"/>
      <c r="BC1019" s="95"/>
      <c r="BD1019" s="71"/>
      <c r="BE1019" s="71"/>
      <c r="BF1019" s="130"/>
      <c r="BG1019" s="73"/>
      <c r="BH1019" s="73"/>
      <c r="BI1019" s="73"/>
      <c r="BJ1019" s="73"/>
      <c r="BK1019" s="73"/>
      <c r="BL1019" s="73"/>
      <c r="BM1019" s="73"/>
      <c r="BN1019" s="73"/>
      <c r="BO1019" s="73"/>
      <c r="BP1019" s="73"/>
      <c r="BQ1019" s="73"/>
      <c r="BR1019" s="73"/>
      <c r="BS1019" s="73"/>
      <c r="BT1019" s="73"/>
      <c r="BU1019" s="73"/>
      <c r="BV1019" s="73"/>
      <c r="BW1019" s="74"/>
      <c r="BX1019" s="74"/>
      <c r="BY1019" s="63"/>
      <c r="BZ1019" s="63"/>
    </row>
    <row r="1020" ht="15.75" customHeight="1">
      <c r="A1020" s="41"/>
      <c r="B1020" s="50"/>
      <c r="C1020" s="50"/>
      <c r="D1020" s="50"/>
      <c r="E1020" s="64"/>
      <c r="F1020" s="78">
        <v>0.0</v>
      </c>
      <c r="G1020" s="44" t="str">
        <f t="shared" si="35"/>
        <v>$0 a $100'000.000</v>
      </c>
      <c r="H1020" s="44"/>
      <c r="I1020" s="44"/>
      <c r="J1020" s="50"/>
      <c r="K1020" s="51"/>
      <c r="L1020" s="44"/>
      <c r="M1020" s="44"/>
      <c r="N1020" s="44"/>
      <c r="O1020" s="44"/>
      <c r="P1020" s="44"/>
      <c r="Q1020" s="88">
        <v>0.0</v>
      </c>
      <c r="R1020" s="89">
        <v>0.0</v>
      </c>
      <c r="S1020" s="56" t="str">
        <f t="shared" si="34"/>
        <v> </v>
      </c>
      <c r="T1020" s="50"/>
      <c r="U1020" s="57"/>
      <c r="V1020" s="44"/>
      <c r="W1020" s="44"/>
      <c r="X1020" s="44"/>
      <c r="Y1020" s="44"/>
      <c r="Z1020" s="91"/>
      <c r="AA1020" s="59" t="str">
        <f>IF(Rentabilidad=0,"No aplica",TEXT(ROUND(Precio/Rentabilidad/12,0),0) &amp; " años")</f>
        <v>No aplica</v>
      </c>
      <c r="AB1020" s="212"/>
      <c r="AC1020" s="61"/>
      <c r="AD1020" s="107"/>
      <c r="AE1020" s="63"/>
      <c r="AF1020" s="64"/>
      <c r="AG1020" s="63"/>
      <c r="AH1020" s="63"/>
      <c r="AI1020" s="63"/>
      <c r="AJ1020" s="45"/>
      <c r="AK1020" s="50"/>
      <c r="AL1020" s="45"/>
      <c r="AM1020" s="44"/>
      <c r="AN1020" s="45"/>
      <c r="AO1020" s="52"/>
      <c r="AP1020" s="67"/>
      <c r="AQ1020" s="67"/>
      <c r="AR1020" s="67"/>
      <c r="AS1020" s="94"/>
      <c r="AT1020" s="63"/>
      <c r="AU1020" s="44"/>
      <c r="AV1020" s="44"/>
      <c r="AW1020" s="44"/>
      <c r="AX1020" s="44"/>
      <c r="AY1020" s="44"/>
      <c r="AZ1020" s="44"/>
      <c r="BA1020" s="43" t="s">
        <v>89</v>
      </c>
      <c r="BB1020" s="44"/>
      <c r="BC1020" s="95"/>
      <c r="BD1020" s="71"/>
      <c r="BE1020" s="71"/>
      <c r="BF1020" s="130"/>
      <c r="BG1020" s="73"/>
      <c r="BH1020" s="73"/>
      <c r="BI1020" s="73"/>
      <c r="BJ1020" s="73"/>
      <c r="BK1020" s="73"/>
      <c r="BL1020" s="73"/>
      <c r="BM1020" s="73"/>
      <c r="BN1020" s="73"/>
      <c r="BO1020" s="73"/>
      <c r="BP1020" s="73"/>
      <c r="BQ1020" s="73"/>
      <c r="BR1020" s="73"/>
      <c r="BS1020" s="73"/>
      <c r="BT1020" s="73"/>
      <c r="BU1020" s="73"/>
      <c r="BV1020" s="73"/>
      <c r="BW1020" s="74"/>
      <c r="BX1020" s="74"/>
      <c r="BY1020" s="63"/>
      <c r="BZ1020" s="63"/>
    </row>
    <row r="1021" ht="15.75" customHeight="1">
      <c r="A1021" s="41"/>
      <c r="B1021" s="50"/>
      <c r="C1021" s="50"/>
      <c r="D1021" s="50"/>
      <c r="E1021" s="64"/>
      <c r="F1021" s="78">
        <v>0.0</v>
      </c>
      <c r="G1021" s="44" t="str">
        <f t="shared" si="35"/>
        <v>$0 a $100'000.000</v>
      </c>
      <c r="H1021" s="44"/>
      <c r="I1021" s="44"/>
      <c r="J1021" s="50"/>
      <c r="K1021" s="51"/>
      <c r="L1021" s="44"/>
      <c r="M1021" s="44"/>
      <c r="N1021" s="44"/>
      <c r="O1021" s="44"/>
      <c r="P1021" s="44"/>
      <c r="Q1021" s="88">
        <v>0.0</v>
      </c>
      <c r="R1021" s="89">
        <v>0.0</v>
      </c>
      <c r="S1021" s="56" t="str">
        <f t="shared" si="34"/>
        <v> </v>
      </c>
      <c r="T1021" s="50"/>
      <c r="U1021" s="57"/>
      <c r="V1021" s="44"/>
      <c r="W1021" s="44"/>
      <c r="X1021" s="44"/>
      <c r="Y1021" s="44"/>
      <c r="Z1021" s="91"/>
      <c r="AA1021" s="59" t="str">
        <f>IF(Rentabilidad=0,"No aplica",TEXT(ROUND(Precio/Rentabilidad/12,0),0) &amp; " años")</f>
        <v>No aplica</v>
      </c>
      <c r="AB1021" s="212"/>
      <c r="AC1021" s="61"/>
      <c r="AD1021" s="107"/>
      <c r="AE1021" s="63"/>
      <c r="AF1021" s="64"/>
      <c r="AG1021" s="63"/>
      <c r="AH1021" s="63"/>
      <c r="AI1021" s="63"/>
      <c r="AJ1021" s="45"/>
      <c r="AK1021" s="50"/>
      <c r="AL1021" s="45"/>
      <c r="AM1021" s="44"/>
      <c r="AN1021" s="45"/>
      <c r="AO1021" s="52"/>
      <c r="AP1021" s="67"/>
      <c r="AQ1021" s="67"/>
      <c r="AR1021" s="67"/>
      <c r="AS1021" s="94"/>
      <c r="AT1021" s="63"/>
      <c r="AU1021" s="44"/>
      <c r="AV1021" s="44"/>
      <c r="AW1021" s="44"/>
      <c r="AX1021" s="44"/>
      <c r="AY1021" s="44"/>
      <c r="AZ1021" s="44"/>
      <c r="BA1021" s="43" t="s">
        <v>89</v>
      </c>
      <c r="BB1021" s="44"/>
      <c r="BC1021" s="95"/>
      <c r="BD1021" s="71"/>
      <c r="BE1021" s="71"/>
      <c r="BF1021" s="130"/>
      <c r="BG1021" s="73"/>
      <c r="BH1021" s="73"/>
      <c r="BI1021" s="73"/>
      <c r="BJ1021" s="73"/>
      <c r="BK1021" s="73"/>
      <c r="BL1021" s="73"/>
      <c r="BM1021" s="73"/>
      <c r="BN1021" s="73"/>
      <c r="BO1021" s="73"/>
      <c r="BP1021" s="73"/>
      <c r="BQ1021" s="73"/>
      <c r="BR1021" s="73"/>
      <c r="BS1021" s="73"/>
      <c r="BT1021" s="73"/>
      <c r="BU1021" s="73"/>
      <c r="BV1021" s="73"/>
      <c r="BW1021" s="74"/>
      <c r="BX1021" s="74"/>
      <c r="BY1021" s="63"/>
      <c r="BZ1021" s="63"/>
    </row>
    <row r="1022" ht="15.75" customHeight="1">
      <c r="A1022" s="41"/>
      <c r="B1022" s="50"/>
      <c r="C1022" s="50"/>
      <c r="D1022" s="50"/>
      <c r="E1022" s="64"/>
      <c r="F1022" s="78">
        <v>0.0</v>
      </c>
      <c r="G1022" s="44" t="str">
        <f t="shared" si="35"/>
        <v>$0 a $100'000.000</v>
      </c>
      <c r="H1022" s="44"/>
      <c r="I1022" s="44"/>
      <c r="J1022" s="50"/>
      <c r="K1022" s="51"/>
      <c r="L1022" s="44"/>
      <c r="M1022" s="44"/>
      <c r="N1022" s="44"/>
      <c r="O1022" s="44"/>
      <c r="P1022" s="44"/>
      <c r="Q1022" s="88">
        <v>0.0</v>
      </c>
      <c r="R1022" s="89">
        <v>0.0</v>
      </c>
      <c r="S1022" s="56" t="str">
        <f t="shared" si="34"/>
        <v> </v>
      </c>
      <c r="T1022" s="50"/>
      <c r="U1022" s="57"/>
      <c r="V1022" s="44"/>
      <c r="W1022" s="44"/>
      <c r="X1022" s="44"/>
      <c r="Y1022" s="44"/>
      <c r="Z1022" s="91"/>
      <c r="AA1022" s="59" t="str">
        <f>IF(Rentabilidad=0,"No aplica",TEXT(ROUND(Precio/Rentabilidad/12,0),0) &amp; " años")</f>
        <v>No aplica</v>
      </c>
      <c r="AB1022" s="212"/>
      <c r="AC1022" s="61"/>
      <c r="AD1022" s="107"/>
      <c r="AE1022" s="63"/>
      <c r="AF1022" s="64"/>
      <c r="AG1022" s="63"/>
      <c r="AH1022" s="63"/>
      <c r="AI1022" s="63"/>
      <c r="AJ1022" s="45"/>
      <c r="AK1022" s="50"/>
      <c r="AL1022" s="45"/>
      <c r="AM1022" s="44"/>
      <c r="AN1022" s="45"/>
      <c r="AO1022" s="52"/>
      <c r="AP1022" s="67"/>
      <c r="AQ1022" s="67"/>
      <c r="AR1022" s="67"/>
      <c r="AS1022" s="94"/>
      <c r="AT1022" s="63"/>
      <c r="AU1022" s="44"/>
      <c r="AV1022" s="44"/>
      <c r="AW1022" s="44"/>
      <c r="AX1022" s="44"/>
      <c r="AY1022" s="44"/>
      <c r="AZ1022" s="44"/>
      <c r="BA1022" s="43" t="s">
        <v>89</v>
      </c>
      <c r="BB1022" s="44"/>
      <c r="BC1022" s="95"/>
      <c r="BD1022" s="71"/>
      <c r="BE1022" s="71"/>
      <c r="BF1022" s="130"/>
      <c r="BG1022" s="73"/>
      <c r="BH1022" s="73"/>
      <c r="BI1022" s="73"/>
      <c r="BJ1022" s="73"/>
      <c r="BK1022" s="73"/>
      <c r="BL1022" s="73"/>
      <c r="BM1022" s="73"/>
      <c r="BN1022" s="73"/>
      <c r="BO1022" s="73"/>
      <c r="BP1022" s="73"/>
      <c r="BQ1022" s="73"/>
      <c r="BR1022" s="73"/>
      <c r="BS1022" s="73"/>
      <c r="BT1022" s="73"/>
      <c r="BU1022" s="73"/>
      <c r="BV1022" s="73"/>
      <c r="BW1022" s="74"/>
      <c r="BX1022" s="74"/>
      <c r="BY1022" s="63"/>
      <c r="BZ1022" s="63"/>
    </row>
    <row r="1023" ht="15.75" customHeight="1">
      <c r="A1023" s="41"/>
      <c r="B1023" s="50"/>
      <c r="C1023" s="50"/>
      <c r="D1023" s="50"/>
      <c r="E1023" s="64"/>
      <c r="F1023" s="78">
        <v>0.0</v>
      </c>
      <c r="G1023" s="44" t="str">
        <f t="shared" si="35"/>
        <v>$0 a $100'000.000</v>
      </c>
      <c r="H1023" s="44"/>
      <c r="I1023" s="44"/>
      <c r="J1023" s="50"/>
      <c r="K1023" s="51"/>
      <c r="L1023" s="44"/>
      <c r="M1023" s="44"/>
      <c r="N1023" s="44"/>
      <c r="O1023" s="44"/>
      <c r="P1023" s="44"/>
      <c r="Q1023" s="88">
        <v>0.0</v>
      </c>
      <c r="R1023" s="89">
        <v>0.0</v>
      </c>
      <c r="S1023" s="56" t="str">
        <f t="shared" si="34"/>
        <v> </v>
      </c>
      <c r="T1023" s="50"/>
      <c r="U1023" s="57"/>
      <c r="V1023" s="44"/>
      <c r="W1023" s="44"/>
      <c r="X1023" s="44"/>
      <c r="Y1023" s="44"/>
      <c r="Z1023" s="91"/>
      <c r="AA1023" s="59" t="str">
        <f>IF(Rentabilidad=0,"No aplica",TEXT(ROUND(Precio/Rentabilidad/12,0),0) &amp; " años")</f>
        <v>No aplica</v>
      </c>
      <c r="AB1023" s="212"/>
      <c r="AC1023" s="61"/>
      <c r="AD1023" s="107"/>
      <c r="AE1023" s="63"/>
      <c r="AF1023" s="64"/>
      <c r="AG1023" s="63"/>
      <c r="AH1023" s="63"/>
      <c r="AI1023" s="63"/>
      <c r="AJ1023" s="45"/>
      <c r="AK1023" s="50"/>
      <c r="AL1023" s="45"/>
      <c r="AM1023" s="44"/>
      <c r="AN1023" s="45"/>
      <c r="AO1023" s="52"/>
      <c r="AP1023" s="67"/>
      <c r="AQ1023" s="67"/>
      <c r="AR1023" s="67"/>
      <c r="AS1023" s="94"/>
      <c r="AT1023" s="63"/>
      <c r="AU1023" s="44"/>
      <c r="AV1023" s="44"/>
      <c r="AW1023" s="44"/>
      <c r="AX1023" s="44"/>
      <c r="AY1023" s="44"/>
      <c r="AZ1023" s="44"/>
      <c r="BA1023" s="43" t="s">
        <v>89</v>
      </c>
      <c r="BB1023" s="44"/>
      <c r="BC1023" s="95"/>
      <c r="BD1023" s="71"/>
      <c r="BE1023" s="71"/>
      <c r="BF1023" s="130"/>
      <c r="BG1023" s="73"/>
      <c r="BH1023" s="73"/>
      <c r="BI1023" s="73"/>
      <c r="BJ1023" s="73"/>
      <c r="BK1023" s="73"/>
      <c r="BL1023" s="73"/>
      <c r="BM1023" s="73"/>
      <c r="BN1023" s="73"/>
      <c r="BO1023" s="73"/>
      <c r="BP1023" s="73"/>
      <c r="BQ1023" s="73"/>
      <c r="BR1023" s="73"/>
      <c r="BS1023" s="73"/>
      <c r="BT1023" s="73"/>
      <c r="BU1023" s="73"/>
      <c r="BV1023" s="73"/>
      <c r="BW1023" s="74"/>
      <c r="BX1023" s="74"/>
      <c r="BY1023" s="63"/>
      <c r="BZ1023" s="63"/>
    </row>
    <row r="1024" ht="15.75" customHeight="1">
      <c r="A1024" s="41"/>
      <c r="B1024" s="50"/>
      <c r="C1024" s="50"/>
      <c r="D1024" s="50"/>
      <c r="E1024" s="64"/>
      <c r="F1024" s="78">
        <v>0.0</v>
      </c>
      <c r="G1024" s="44" t="str">
        <f t="shared" si="35"/>
        <v>$0 a $100'000.000</v>
      </c>
      <c r="H1024" s="44"/>
      <c r="I1024" s="44"/>
      <c r="J1024" s="50"/>
      <c r="K1024" s="51"/>
      <c r="L1024" s="44"/>
      <c r="M1024" s="44"/>
      <c r="N1024" s="44"/>
      <c r="O1024" s="44"/>
      <c r="P1024" s="44"/>
      <c r="Q1024" s="88">
        <v>0.0</v>
      </c>
      <c r="R1024" s="89">
        <v>0.0</v>
      </c>
      <c r="S1024" s="56" t="str">
        <f t="shared" si="34"/>
        <v> </v>
      </c>
      <c r="T1024" s="50"/>
      <c r="U1024" s="57"/>
      <c r="V1024" s="44"/>
      <c r="W1024" s="44"/>
      <c r="X1024" s="44"/>
      <c r="Y1024" s="44"/>
      <c r="Z1024" s="91"/>
      <c r="AA1024" s="59" t="str">
        <f>IF(Rentabilidad=0,"No aplica",TEXT(ROUND(Precio/Rentabilidad/12,0),0) &amp; " años")</f>
        <v>No aplica</v>
      </c>
      <c r="AB1024" s="212"/>
      <c r="AC1024" s="61"/>
      <c r="AD1024" s="107"/>
      <c r="AE1024" s="63"/>
      <c r="AF1024" s="64"/>
      <c r="AG1024" s="63"/>
      <c r="AH1024" s="63"/>
      <c r="AI1024" s="63"/>
      <c r="AJ1024" s="45"/>
      <c r="AK1024" s="50"/>
      <c r="AL1024" s="45"/>
      <c r="AM1024" s="44"/>
      <c r="AN1024" s="45"/>
      <c r="AO1024" s="52"/>
      <c r="AP1024" s="67"/>
      <c r="AQ1024" s="67"/>
      <c r="AR1024" s="67"/>
      <c r="AS1024" s="94"/>
      <c r="AT1024" s="63"/>
      <c r="AU1024" s="44"/>
      <c r="AV1024" s="44"/>
      <c r="AW1024" s="44"/>
      <c r="AX1024" s="44"/>
      <c r="AY1024" s="44"/>
      <c r="AZ1024" s="44"/>
      <c r="BA1024" s="43" t="s">
        <v>89</v>
      </c>
      <c r="BB1024" s="44"/>
      <c r="BC1024" s="95"/>
      <c r="BD1024" s="71"/>
      <c r="BE1024" s="71"/>
      <c r="BF1024" s="130"/>
      <c r="BG1024" s="73"/>
      <c r="BH1024" s="73"/>
      <c r="BI1024" s="73"/>
      <c r="BJ1024" s="73"/>
      <c r="BK1024" s="73"/>
      <c r="BL1024" s="73"/>
      <c r="BM1024" s="73"/>
      <c r="BN1024" s="73"/>
      <c r="BO1024" s="73"/>
      <c r="BP1024" s="73"/>
      <c r="BQ1024" s="73"/>
      <c r="BR1024" s="73"/>
      <c r="BS1024" s="73"/>
      <c r="BT1024" s="73"/>
      <c r="BU1024" s="73"/>
      <c r="BV1024" s="73"/>
      <c r="BW1024" s="74"/>
      <c r="BX1024" s="74"/>
      <c r="BY1024" s="63"/>
      <c r="BZ1024" s="63"/>
    </row>
    <row r="1025" ht="15.75" customHeight="1">
      <c r="A1025" s="41"/>
      <c r="B1025" s="50"/>
      <c r="C1025" s="50"/>
      <c r="D1025" s="50"/>
      <c r="E1025" s="64"/>
      <c r="F1025" s="78">
        <v>0.0</v>
      </c>
      <c r="G1025" s="44" t="str">
        <f t="shared" si="35"/>
        <v>$0 a $100'000.000</v>
      </c>
      <c r="H1025" s="44"/>
      <c r="I1025" s="44"/>
      <c r="J1025" s="50"/>
      <c r="K1025" s="51"/>
      <c r="L1025" s="44"/>
      <c r="M1025" s="44"/>
      <c r="N1025" s="44"/>
      <c r="O1025" s="44"/>
      <c r="P1025" s="44"/>
      <c r="Q1025" s="88">
        <v>0.0</v>
      </c>
      <c r="R1025" s="89">
        <v>0.0</v>
      </c>
      <c r="S1025" s="56" t="str">
        <f t="shared" si="34"/>
        <v> </v>
      </c>
      <c r="T1025" s="50"/>
      <c r="U1025" s="57"/>
      <c r="V1025" s="44"/>
      <c r="W1025" s="44"/>
      <c r="X1025" s="44"/>
      <c r="Y1025" s="44"/>
      <c r="Z1025" s="91"/>
      <c r="AA1025" s="59" t="str">
        <f>IF(Rentabilidad=0,"No aplica",TEXT(ROUND(Precio/Rentabilidad/12,0),0) &amp; " años")</f>
        <v>No aplica</v>
      </c>
      <c r="AB1025" s="212"/>
      <c r="AC1025" s="61"/>
      <c r="AD1025" s="107"/>
      <c r="AE1025" s="63"/>
      <c r="AF1025" s="64"/>
      <c r="AG1025" s="63"/>
      <c r="AH1025" s="63"/>
      <c r="AI1025" s="63"/>
      <c r="AJ1025" s="45"/>
      <c r="AK1025" s="50"/>
      <c r="AL1025" s="45"/>
      <c r="AM1025" s="44"/>
      <c r="AN1025" s="45"/>
      <c r="AO1025" s="52"/>
      <c r="AP1025" s="67"/>
      <c r="AQ1025" s="67"/>
      <c r="AR1025" s="67"/>
      <c r="AS1025" s="94"/>
      <c r="AT1025" s="63"/>
      <c r="AU1025" s="44"/>
      <c r="AV1025" s="44"/>
      <c r="AW1025" s="44"/>
      <c r="AX1025" s="44"/>
      <c r="AY1025" s="44"/>
      <c r="AZ1025" s="44"/>
      <c r="BA1025" s="43" t="s">
        <v>89</v>
      </c>
      <c r="BB1025" s="44"/>
      <c r="BC1025" s="95"/>
      <c r="BD1025" s="71"/>
      <c r="BE1025" s="71"/>
      <c r="BF1025" s="130"/>
      <c r="BG1025" s="73"/>
      <c r="BH1025" s="73"/>
      <c r="BI1025" s="73"/>
      <c r="BJ1025" s="73"/>
      <c r="BK1025" s="73"/>
      <c r="BL1025" s="73"/>
      <c r="BM1025" s="73"/>
      <c r="BN1025" s="73"/>
      <c r="BO1025" s="73"/>
      <c r="BP1025" s="73"/>
      <c r="BQ1025" s="73"/>
      <c r="BR1025" s="73"/>
      <c r="BS1025" s="73"/>
      <c r="BT1025" s="73"/>
      <c r="BU1025" s="73"/>
      <c r="BV1025" s="73"/>
      <c r="BW1025" s="74"/>
      <c r="BX1025" s="74"/>
      <c r="BY1025" s="63"/>
      <c r="BZ1025" s="63"/>
    </row>
    <row r="1026" ht="15.75" customHeight="1">
      <c r="A1026" s="41"/>
      <c r="B1026" s="50"/>
      <c r="C1026" s="50"/>
      <c r="D1026" s="50"/>
      <c r="E1026" s="64"/>
      <c r="F1026" s="78">
        <v>0.0</v>
      </c>
      <c r="G1026" s="44" t="str">
        <f t="shared" si="35"/>
        <v>$0 a $100'000.000</v>
      </c>
      <c r="H1026" s="44"/>
      <c r="I1026" s="44"/>
      <c r="J1026" s="50"/>
      <c r="K1026" s="51"/>
      <c r="L1026" s="44"/>
      <c r="M1026" s="44"/>
      <c r="N1026" s="44"/>
      <c r="O1026" s="44"/>
      <c r="P1026" s="44"/>
      <c r="Q1026" s="88">
        <v>0.0</v>
      </c>
      <c r="R1026" s="89">
        <v>0.0</v>
      </c>
      <c r="S1026" s="56" t="str">
        <f t="shared" si="34"/>
        <v> </v>
      </c>
      <c r="T1026" s="50"/>
      <c r="U1026" s="57"/>
      <c r="V1026" s="44"/>
      <c r="W1026" s="44"/>
      <c r="X1026" s="44"/>
      <c r="Y1026" s="44"/>
      <c r="Z1026" s="91"/>
      <c r="AA1026" s="59" t="str">
        <f>IF(Rentabilidad=0,"No aplica",TEXT(ROUND(Precio/Rentabilidad/12,0),0) &amp; " años")</f>
        <v>No aplica</v>
      </c>
      <c r="AB1026" s="212"/>
      <c r="AC1026" s="61"/>
      <c r="AD1026" s="107"/>
      <c r="AE1026" s="63"/>
      <c r="AF1026" s="64"/>
      <c r="AG1026" s="63"/>
      <c r="AH1026" s="63"/>
      <c r="AI1026" s="63"/>
      <c r="AJ1026" s="45"/>
      <c r="AK1026" s="50"/>
      <c r="AL1026" s="45"/>
      <c r="AM1026" s="44"/>
      <c r="AN1026" s="45"/>
      <c r="AO1026" s="52"/>
      <c r="AP1026" s="67"/>
      <c r="AQ1026" s="67"/>
      <c r="AR1026" s="67"/>
      <c r="AS1026" s="94"/>
      <c r="AT1026" s="63"/>
      <c r="AU1026" s="44"/>
      <c r="AV1026" s="44"/>
      <c r="AW1026" s="44"/>
      <c r="AX1026" s="44"/>
      <c r="AY1026" s="44"/>
      <c r="AZ1026" s="44"/>
      <c r="BA1026" s="43" t="s">
        <v>89</v>
      </c>
      <c r="BB1026" s="44"/>
      <c r="BC1026" s="95"/>
      <c r="BD1026" s="71"/>
      <c r="BE1026" s="71"/>
      <c r="BF1026" s="130"/>
      <c r="BG1026" s="73"/>
      <c r="BH1026" s="73"/>
      <c r="BI1026" s="73"/>
      <c r="BJ1026" s="73"/>
      <c r="BK1026" s="73"/>
      <c r="BL1026" s="73"/>
      <c r="BM1026" s="73"/>
      <c r="BN1026" s="73"/>
      <c r="BO1026" s="73"/>
      <c r="BP1026" s="73"/>
      <c r="BQ1026" s="73"/>
      <c r="BR1026" s="73"/>
      <c r="BS1026" s="73"/>
      <c r="BT1026" s="73"/>
      <c r="BU1026" s="73"/>
      <c r="BV1026" s="73"/>
      <c r="BW1026" s="74"/>
      <c r="BX1026" s="74"/>
      <c r="BY1026" s="63"/>
      <c r="BZ1026" s="63"/>
    </row>
    <row r="1027" ht="15.75" customHeight="1">
      <c r="A1027" s="41"/>
      <c r="B1027" s="50"/>
      <c r="C1027" s="50"/>
      <c r="D1027" s="50"/>
      <c r="E1027" s="64"/>
      <c r="F1027" s="78">
        <v>0.0</v>
      </c>
      <c r="G1027" s="44" t="str">
        <f t="shared" si="35"/>
        <v>$0 a $100'000.000</v>
      </c>
      <c r="H1027" s="44"/>
      <c r="I1027" s="44"/>
      <c r="J1027" s="50"/>
      <c r="K1027" s="51"/>
      <c r="L1027" s="44"/>
      <c r="M1027" s="44"/>
      <c r="N1027" s="44"/>
      <c r="O1027" s="44"/>
      <c r="P1027" s="44"/>
      <c r="Q1027" s="88">
        <v>0.0</v>
      </c>
      <c r="R1027" s="89">
        <v>0.0</v>
      </c>
      <c r="S1027" s="56" t="str">
        <f t="shared" si="34"/>
        <v> </v>
      </c>
      <c r="T1027" s="50"/>
      <c r="U1027" s="57"/>
      <c r="V1027" s="44"/>
      <c r="W1027" s="44"/>
      <c r="X1027" s="44"/>
      <c r="Y1027" s="44"/>
      <c r="Z1027" s="91"/>
      <c r="AA1027" s="59" t="str">
        <f>IF(Rentabilidad=0,"No aplica",TEXT(ROUND(Precio/Rentabilidad/12,0),0) &amp; " años")</f>
        <v>No aplica</v>
      </c>
      <c r="AB1027" s="212"/>
      <c r="AC1027" s="61"/>
      <c r="AD1027" s="107"/>
      <c r="AE1027" s="63"/>
      <c r="AF1027" s="64"/>
      <c r="AG1027" s="63"/>
      <c r="AH1027" s="63"/>
      <c r="AI1027" s="63"/>
      <c r="AJ1027" s="45"/>
      <c r="AK1027" s="50"/>
      <c r="AL1027" s="45"/>
      <c r="AM1027" s="44"/>
      <c r="AN1027" s="45"/>
      <c r="AO1027" s="52"/>
      <c r="AP1027" s="67"/>
      <c r="AQ1027" s="67"/>
      <c r="AR1027" s="67"/>
      <c r="AS1027" s="94"/>
      <c r="AT1027" s="63"/>
      <c r="AU1027" s="44"/>
      <c r="AV1027" s="44"/>
      <c r="AW1027" s="44"/>
      <c r="AX1027" s="44"/>
      <c r="AY1027" s="44"/>
      <c r="AZ1027" s="44"/>
      <c r="BA1027" s="43" t="s">
        <v>89</v>
      </c>
      <c r="BB1027" s="44"/>
      <c r="BC1027" s="95"/>
      <c r="BD1027" s="71"/>
      <c r="BE1027" s="71"/>
      <c r="BF1027" s="130"/>
      <c r="BG1027" s="73"/>
      <c r="BH1027" s="73"/>
      <c r="BI1027" s="73"/>
      <c r="BJ1027" s="73"/>
      <c r="BK1027" s="73"/>
      <c r="BL1027" s="73"/>
      <c r="BM1027" s="73"/>
      <c r="BN1027" s="73"/>
      <c r="BO1027" s="73"/>
      <c r="BP1027" s="73"/>
      <c r="BQ1027" s="73"/>
      <c r="BR1027" s="73"/>
      <c r="BS1027" s="73"/>
      <c r="BT1027" s="73"/>
      <c r="BU1027" s="73"/>
      <c r="BV1027" s="73"/>
      <c r="BW1027" s="74"/>
      <c r="BX1027" s="74"/>
      <c r="BY1027" s="63"/>
      <c r="BZ1027" s="63"/>
    </row>
    <row r="1028" ht="15.75" customHeight="1">
      <c r="A1028" s="41"/>
      <c r="B1028" s="50"/>
      <c r="C1028" s="50"/>
      <c r="D1028" s="50"/>
      <c r="E1028" s="64"/>
      <c r="F1028" s="78">
        <v>0.0</v>
      </c>
      <c r="G1028" s="44" t="str">
        <f t="shared" si="35"/>
        <v>$0 a $100'000.000</v>
      </c>
      <c r="H1028" s="44"/>
      <c r="I1028" s="44"/>
      <c r="J1028" s="50"/>
      <c r="K1028" s="51"/>
      <c r="L1028" s="44"/>
      <c r="M1028" s="44"/>
      <c r="N1028" s="44"/>
      <c r="O1028" s="44"/>
      <c r="P1028" s="44"/>
      <c r="Q1028" s="88">
        <v>0.0</v>
      </c>
      <c r="R1028" s="89">
        <v>0.0</v>
      </c>
      <c r="S1028" s="56" t="str">
        <f t="shared" si="34"/>
        <v> </v>
      </c>
      <c r="T1028" s="50"/>
      <c r="U1028" s="57"/>
      <c r="V1028" s="44"/>
      <c r="W1028" s="44"/>
      <c r="X1028" s="44"/>
      <c r="Y1028" s="44"/>
      <c r="Z1028" s="91"/>
      <c r="AA1028" s="59" t="str">
        <f>IF(Rentabilidad=0,"No aplica",TEXT(ROUND(Precio/Rentabilidad/12,0),0) &amp; " años")</f>
        <v>No aplica</v>
      </c>
      <c r="AB1028" s="212"/>
      <c r="AC1028" s="61"/>
      <c r="AD1028" s="107"/>
      <c r="AE1028" s="63"/>
      <c r="AF1028" s="64"/>
      <c r="AG1028" s="63"/>
      <c r="AH1028" s="63"/>
      <c r="AI1028" s="63"/>
      <c r="AJ1028" s="45"/>
      <c r="AK1028" s="50"/>
      <c r="AL1028" s="45"/>
      <c r="AM1028" s="44"/>
      <c r="AN1028" s="45"/>
      <c r="AO1028" s="52"/>
      <c r="AP1028" s="67"/>
      <c r="AQ1028" s="67"/>
      <c r="AR1028" s="67"/>
      <c r="AS1028" s="94"/>
      <c r="AT1028" s="63"/>
      <c r="AU1028" s="44"/>
      <c r="AV1028" s="44"/>
      <c r="AW1028" s="44"/>
      <c r="AX1028" s="44"/>
      <c r="AY1028" s="44"/>
      <c r="AZ1028" s="44"/>
      <c r="BA1028" s="43" t="s">
        <v>89</v>
      </c>
      <c r="BB1028" s="44"/>
      <c r="BC1028" s="95"/>
      <c r="BD1028" s="71"/>
      <c r="BE1028" s="71"/>
      <c r="BF1028" s="130"/>
      <c r="BG1028" s="73"/>
      <c r="BH1028" s="73"/>
      <c r="BI1028" s="73"/>
      <c r="BJ1028" s="73"/>
      <c r="BK1028" s="73"/>
      <c r="BL1028" s="73"/>
      <c r="BM1028" s="73"/>
      <c r="BN1028" s="73"/>
      <c r="BO1028" s="73"/>
      <c r="BP1028" s="73"/>
      <c r="BQ1028" s="73"/>
      <c r="BR1028" s="73"/>
      <c r="BS1028" s="73"/>
      <c r="BT1028" s="73"/>
      <c r="BU1028" s="73"/>
      <c r="BV1028" s="73"/>
      <c r="BW1028" s="74"/>
      <c r="BX1028" s="74"/>
      <c r="BY1028" s="63"/>
      <c r="BZ1028" s="63"/>
    </row>
    <row r="1029" ht="15.75" customHeight="1">
      <c r="A1029" s="41"/>
      <c r="B1029" s="50"/>
      <c r="C1029" s="50"/>
      <c r="D1029" s="50"/>
      <c r="E1029" s="64"/>
      <c r="F1029" s="78">
        <v>0.0</v>
      </c>
      <c r="G1029" s="44" t="str">
        <f t="shared" si="35"/>
        <v>$0 a $100'000.000</v>
      </c>
      <c r="H1029" s="44"/>
      <c r="I1029" s="44"/>
      <c r="J1029" s="50"/>
      <c r="K1029" s="51"/>
      <c r="L1029" s="44"/>
      <c r="M1029" s="44"/>
      <c r="N1029" s="44"/>
      <c r="O1029" s="44"/>
      <c r="P1029" s="44"/>
      <c r="Q1029" s="88">
        <v>0.0</v>
      </c>
      <c r="R1029" s="89">
        <v>0.0</v>
      </c>
      <c r="S1029" s="56" t="str">
        <f t="shared" si="34"/>
        <v> </v>
      </c>
      <c r="T1029" s="50"/>
      <c r="U1029" s="57"/>
      <c r="V1029" s="44"/>
      <c r="W1029" s="44"/>
      <c r="X1029" s="44"/>
      <c r="Y1029" s="44"/>
      <c r="Z1029" s="91"/>
      <c r="AA1029" s="59" t="str">
        <f>IF(Rentabilidad=0,"No aplica",TEXT(ROUND(Precio/Rentabilidad/12,0),0) &amp; " años")</f>
        <v>No aplica</v>
      </c>
      <c r="AB1029" s="212"/>
      <c r="AC1029" s="61"/>
      <c r="AD1029" s="107"/>
      <c r="AE1029" s="63"/>
      <c r="AF1029" s="64"/>
      <c r="AG1029" s="63"/>
      <c r="AH1029" s="63"/>
      <c r="AI1029" s="63"/>
      <c r="AJ1029" s="45"/>
      <c r="AK1029" s="50"/>
      <c r="AL1029" s="45"/>
      <c r="AM1029" s="44"/>
      <c r="AN1029" s="45"/>
      <c r="AO1029" s="52"/>
      <c r="AP1029" s="67"/>
      <c r="AQ1029" s="67"/>
      <c r="AR1029" s="67"/>
      <c r="AS1029" s="94"/>
      <c r="AT1029" s="63"/>
      <c r="AU1029" s="44"/>
      <c r="AV1029" s="44"/>
      <c r="AW1029" s="44"/>
      <c r="AX1029" s="44"/>
      <c r="AY1029" s="44"/>
      <c r="AZ1029" s="44"/>
      <c r="BA1029" s="43" t="s">
        <v>89</v>
      </c>
      <c r="BB1029" s="44"/>
      <c r="BC1029" s="95"/>
      <c r="BD1029" s="71"/>
      <c r="BE1029" s="71"/>
      <c r="BF1029" s="130"/>
      <c r="BG1029" s="73"/>
      <c r="BH1029" s="73"/>
      <c r="BI1029" s="73"/>
      <c r="BJ1029" s="73"/>
      <c r="BK1029" s="73"/>
      <c r="BL1029" s="73"/>
      <c r="BM1029" s="73"/>
      <c r="BN1029" s="73"/>
      <c r="BO1029" s="73"/>
      <c r="BP1029" s="73"/>
      <c r="BQ1029" s="73"/>
      <c r="BR1029" s="73"/>
      <c r="BS1029" s="73"/>
      <c r="BT1029" s="73"/>
      <c r="BU1029" s="73"/>
      <c r="BV1029" s="73"/>
      <c r="BW1029" s="74"/>
      <c r="BX1029" s="74"/>
      <c r="BY1029" s="63"/>
      <c r="BZ1029" s="63"/>
    </row>
    <row r="1030" ht="15.75" customHeight="1">
      <c r="A1030" s="41"/>
      <c r="B1030" s="50"/>
      <c r="C1030" s="50"/>
      <c r="D1030" s="50"/>
      <c r="E1030" s="64"/>
      <c r="F1030" s="78">
        <v>0.0</v>
      </c>
      <c r="G1030" s="44" t="str">
        <f t="shared" si="35"/>
        <v>$0 a $100'000.000</v>
      </c>
      <c r="H1030" s="44"/>
      <c r="I1030" s="44"/>
      <c r="J1030" s="50"/>
      <c r="K1030" s="51"/>
      <c r="L1030" s="44"/>
      <c r="M1030" s="44"/>
      <c r="N1030" s="44"/>
      <c r="O1030" s="44"/>
      <c r="P1030" s="44"/>
      <c r="Q1030" s="88">
        <v>0.0</v>
      </c>
      <c r="R1030" s="89">
        <v>0.0</v>
      </c>
      <c r="S1030" s="56" t="str">
        <f t="shared" si="34"/>
        <v> </v>
      </c>
      <c r="T1030" s="50"/>
      <c r="U1030" s="57"/>
      <c r="V1030" s="44"/>
      <c r="W1030" s="44"/>
      <c r="X1030" s="44"/>
      <c r="Y1030" s="44"/>
      <c r="Z1030" s="91"/>
      <c r="AA1030" s="59" t="str">
        <f>IF(Rentabilidad=0,"No aplica",TEXT(ROUND(Precio/Rentabilidad/12,0),0) &amp; " años")</f>
        <v>No aplica</v>
      </c>
      <c r="AB1030" s="212"/>
      <c r="AC1030" s="61"/>
      <c r="AD1030" s="107"/>
      <c r="AE1030" s="63"/>
      <c r="AF1030" s="64"/>
      <c r="AG1030" s="63"/>
      <c r="AH1030" s="63"/>
      <c r="AI1030" s="63"/>
      <c r="AJ1030" s="45"/>
      <c r="AK1030" s="50"/>
      <c r="AL1030" s="45"/>
      <c r="AM1030" s="44"/>
      <c r="AN1030" s="45"/>
      <c r="AO1030" s="52"/>
      <c r="AP1030" s="67"/>
      <c r="AQ1030" s="67"/>
      <c r="AR1030" s="67"/>
      <c r="AS1030" s="94"/>
      <c r="AT1030" s="63"/>
      <c r="AU1030" s="44"/>
      <c r="AV1030" s="44"/>
      <c r="AW1030" s="44"/>
      <c r="AX1030" s="44"/>
      <c r="AY1030" s="44"/>
      <c r="AZ1030" s="44"/>
      <c r="BA1030" s="43" t="s">
        <v>89</v>
      </c>
      <c r="BB1030" s="44"/>
      <c r="BC1030" s="95"/>
      <c r="BD1030" s="71"/>
      <c r="BE1030" s="71"/>
      <c r="BF1030" s="130"/>
      <c r="BG1030" s="73"/>
      <c r="BH1030" s="73"/>
      <c r="BI1030" s="73"/>
      <c r="BJ1030" s="73"/>
      <c r="BK1030" s="73"/>
      <c r="BL1030" s="73"/>
      <c r="BM1030" s="73"/>
      <c r="BN1030" s="73"/>
      <c r="BO1030" s="73"/>
      <c r="BP1030" s="73"/>
      <c r="BQ1030" s="73"/>
      <c r="BR1030" s="73"/>
      <c r="BS1030" s="73"/>
      <c r="BT1030" s="73"/>
      <c r="BU1030" s="73"/>
      <c r="BV1030" s="73"/>
      <c r="BW1030" s="74"/>
      <c r="BX1030" s="74"/>
      <c r="BY1030" s="63"/>
      <c r="BZ1030" s="63"/>
    </row>
    <row r="1031" ht="15.75" customHeight="1">
      <c r="A1031" s="41"/>
      <c r="B1031" s="50"/>
      <c r="C1031" s="50"/>
      <c r="D1031" s="50"/>
      <c r="E1031" s="64"/>
      <c r="F1031" s="78">
        <v>0.0</v>
      </c>
      <c r="G1031" s="44" t="str">
        <f t="shared" si="35"/>
        <v>$0 a $100'000.000</v>
      </c>
      <c r="H1031" s="44"/>
      <c r="I1031" s="44"/>
      <c r="J1031" s="50"/>
      <c r="K1031" s="51"/>
      <c r="L1031" s="44"/>
      <c r="M1031" s="44"/>
      <c r="N1031" s="44"/>
      <c r="O1031" s="44"/>
      <c r="P1031" s="44"/>
      <c r="Q1031" s="88">
        <v>0.0</v>
      </c>
      <c r="R1031" s="89">
        <v>0.0</v>
      </c>
      <c r="S1031" s="56" t="str">
        <f t="shared" si="34"/>
        <v> </v>
      </c>
      <c r="T1031" s="50"/>
      <c r="U1031" s="57"/>
      <c r="V1031" s="44"/>
      <c r="W1031" s="44"/>
      <c r="X1031" s="44"/>
      <c r="Y1031" s="44"/>
      <c r="Z1031" s="91"/>
      <c r="AA1031" s="59" t="str">
        <f>IF(Rentabilidad=0,"No aplica",TEXT(ROUND(Precio/Rentabilidad/12,0),0) &amp; " años")</f>
        <v>No aplica</v>
      </c>
      <c r="AB1031" s="212"/>
      <c r="AC1031" s="61"/>
      <c r="AD1031" s="107"/>
      <c r="AE1031" s="63"/>
      <c r="AF1031" s="64"/>
      <c r="AG1031" s="63"/>
      <c r="AH1031" s="63"/>
      <c r="AI1031" s="63"/>
      <c r="AJ1031" s="45"/>
      <c r="AK1031" s="50"/>
      <c r="AL1031" s="45"/>
      <c r="AM1031" s="44"/>
      <c r="AN1031" s="45"/>
      <c r="AO1031" s="52"/>
      <c r="AP1031" s="67"/>
      <c r="AQ1031" s="67"/>
      <c r="AR1031" s="67"/>
      <c r="AS1031" s="94"/>
      <c r="AT1031" s="63"/>
      <c r="AU1031" s="44"/>
      <c r="AV1031" s="44"/>
      <c r="AW1031" s="44"/>
      <c r="AX1031" s="44"/>
      <c r="AY1031" s="44"/>
      <c r="AZ1031" s="44"/>
      <c r="BA1031" s="43" t="s">
        <v>89</v>
      </c>
      <c r="BB1031" s="44"/>
      <c r="BC1031" s="95"/>
      <c r="BD1031" s="71"/>
      <c r="BE1031" s="71"/>
      <c r="BF1031" s="130"/>
      <c r="BG1031" s="73"/>
      <c r="BH1031" s="73"/>
      <c r="BI1031" s="73"/>
      <c r="BJ1031" s="73"/>
      <c r="BK1031" s="73"/>
      <c r="BL1031" s="73"/>
      <c r="BM1031" s="73"/>
      <c r="BN1031" s="73"/>
      <c r="BO1031" s="73"/>
      <c r="BP1031" s="73"/>
      <c r="BQ1031" s="73"/>
      <c r="BR1031" s="73"/>
      <c r="BS1031" s="73"/>
      <c r="BT1031" s="73"/>
      <c r="BU1031" s="73"/>
      <c r="BV1031" s="73"/>
      <c r="BW1031" s="74"/>
      <c r="BX1031" s="74"/>
      <c r="BY1031" s="63"/>
      <c r="BZ1031" s="63"/>
    </row>
    <row r="1032" ht="15.75" customHeight="1">
      <c r="A1032" s="41"/>
      <c r="B1032" s="50"/>
      <c r="C1032" s="50"/>
      <c r="D1032" s="50"/>
      <c r="E1032" s="64"/>
      <c r="F1032" s="78">
        <v>0.0</v>
      </c>
      <c r="G1032" s="44" t="str">
        <f t="shared" si="35"/>
        <v>$0 a $100'000.000</v>
      </c>
      <c r="H1032" s="44"/>
      <c r="I1032" s="44"/>
      <c r="J1032" s="50"/>
      <c r="K1032" s="51"/>
      <c r="L1032" s="44"/>
      <c r="M1032" s="44"/>
      <c r="N1032" s="44"/>
      <c r="O1032" s="44"/>
      <c r="P1032" s="44"/>
      <c r="Q1032" s="88">
        <v>0.0</v>
      </c>
      <c r="R1032" s="89">
        <v>0.0</v>
      </c>
      <c r="S1032" s="56" t="str">
        <f t="shared" si="34"/>
        <v> </v>
      </c>
      <c r="T1032" s="50"/>
      <c r="U1032" s="57"/>
      <c r="V1032" s="44"/>
      <c r="W1032" s="44"/>
      <c r="X1032" s="44"/>
      <c r="Y1032" s="44"/>
      <c r="Z1032" s="91"/>
      <c r="AA1032" s="59" t="str">
        <f>IF(Rentabilidad=0,"No aplica",TEXT(ROUND(Precio/Rentabilidad/12,0),0) &amp; " años")</f>
        <v>No aplica</v>
      </c>
      <c r="AB1032" s="212"/>
      <c r="AC1032" s="61"/>
      <c r="AD1032" s="107"/>
      <c r="AE1032" s="63"/>
      <c r="AF1032" s="64"/>
      <c r="AG1032" s="63"/>
      <c r="AH1032" s="63"/>
      <c r="AI1032" s="63"/>
      <c r="AJ1032" s="45"/>
      <c r="AK1032" s="50"/>
      <c r="AL1032" s="45"/>
      <c r="AM1032" s="44"/>
      <c r="AN1032" s="45"/>
      <c r="AO1032" s="52"/>
      <c r="AP1032" s="67"/>
      <c r="AQ1032" s="67"/>
      <c r="AR1032" s="67"/>
      <c r="AS1032" s="94"/>
      <c r="AT1032" s="63"/>
      <c r="AU1032" s="44"/>
      <c r="AV1032" s="44"/>
      <c r="AW1032" s="44"/>
      <c r="AX1032" s="44"/>
      <c r="AY1032" s="44"/>
      <c r="AZ1032" s="44"/>
      <c r="BA1032" s="43" t="s">
        <v>89</v>
      </c>
      <c r="BB1032" s="44"/>
      <c r="BC1032" s="95"/>
      <c r="BD1032" s="71"/>
      <c r="BE1032" s="71"/>
      <c r="BF1032" s="130"/>
      <c r="BG1032" s="73"/>
      <c r="BH1032" s="73"/>
      <c r="BI1032" s="73"/>
      <c r="BJ1032" s="73"/>
      <c r="BK1032" s="73"/>
      <c r="BL1032" s="73"/>
      <c r="BM1032" s="73"/>
      <c r="BN1032" s="73"/>
      <c r="BO1032" s="73"/>
      <c r="BP1032" s="73"/>
      <c r="BQ1032" s="73"/>
      <c r="BR1032" s="73"/>
      <c r="BS1032" s="73"/>
      <c r="BT1032" s="73"/>
      <c r="BU1032" s="73"/>
      <c r="BV1032" s="73"/>
      <c r="BW1032" s="74"/>
      <c r="BX1032" s="74"/>
      <c r="BY1032" s="63"/>
      <c r="BZ1032" s="63"/>
    </row>
    <row r="1033" ht="15.75" customHeight="1">
      <c r="A1033" s="41"/>
      <c r="B1033" s="50"/>
      <c r="C1033" s="50"/>
      <c r="D1033" s="50"/>
      <c r="E1033" s="64"/>
      <c r="F1033" s="78">
        <v>0.0</v>
      </c>
      <c r="G1033" s="44" t="str">
        <f t="shared" si="35"/>
        <v>$0 a $100'000.000</v>
      </c>
      <c r="H1033" s="44"/>
      <c r="I1033" s="44"/>
      <c r="J1033" s="50"/>
      <c r="K1033" s="51"/>
      <c r="L1033" s="44"/>
      <c r="M1033" s="44"/>
      <c r="N1033" s="44"/>
      <c r="O1033" s="44"/>
      <c r="P1033" s="44"/>
      <c r="Q1033" s="88">
        <v>0.0</v>
      </c>
      <c r="R1033" s="89">
        <v>0.0</v>
      </c>
      <c r="S1033" s="56" t="str">
        <f t="shared" si="34"/>
        <v> </v>
      </c>
      <c r="T1033" s="50"/>
      <c r="U1033" s="57"/>
      <c r="V1033" s="44"/>
      <c r="W1033" s="44"/>
      <c r="X1033" s="44"/>
      <c r="Y1033" s="44"/>
      <c r="Z1033" s="91"/>
      <c r="AA1033" s="59" t="str">
        <f>IF(Rentabilidad=0,"No aplica",TEXT(ROUND(Precio/Rentabilidad/12,0),0) &amp; " años")</f>
        <v>No aplica</v>
      </c>
      <c r="AB1033" s="212"/>
      <c r="AC1033" s="61"/>
      <c r="AD1033" s="107"/>
      <c r="AE1033" s="63"/>
      <c r="AF1033" s="64"/>
      <c r="AG1033" s="63"/>
      <c r="AH1033" s="63"/>
      <c r="AI1033" s="63"/>
      <c r="AJ1033" s="45"/>
      <c r="AK1033" s="50"/>
      <c r="AL1033" s="45"/>
      <c r="AM1033" s="44"/>
      <c r="AN1033" s="45"/>
      <c r="AO1033" s="52"/>
      <c r="AP1033" s="67"/>
      <c r="AQ1033" s="67"/>
      <c r="AR1033" s="67"/>
      <c r="AS1033" s="94"/>
      <c r="AT1033" s="63"/>
      <c r="AU1033" s="44"/>
      <c r="AV1033" s="44"/>
      <c r="AW1033" s="44"/>
      <c r="AX1033" s="44"/>
      <c r="AY1033" s="44"/>
      <c r="AZ1033" s="44"/>
      <c r="BA1033" s="43" t="s">
        <v>89</v>
      </c>
      <c r="BB1033" s="44"/>
      <c r="BC1033" s="95"/>
      <c r="BD1033" s="71"/>
      <c r="BE1033" s="71"/>
      <c r="BF1033" s="130"/>
      <c r="BG1033" s="73"/>
      <c r="BH1033" s="73"/>
      <c r="BI1033" s="73"/>
      <c r="BJ1033" s="73"/>
      <c r="BK1033" s="73"/>
      <c r="BL1033" s="73"/>
      <c r="BM1033" s="73"/>
      <c r="BN1033" s="73"/>
      <c r="BO1033" s="73"/>
      <c r="BP1033" s="73"/>
      <c r="BQ1033" s="73"/>
      <c r="BR1033" s="73"/>
      <c r="BS1033" s="73"/>
      <c r="BT1033" s="73"/>
      <c r="BU1033" s="73"/>
      <c r="BV1033" s="73"/>
      <c r="BW1033" s="74"/>
      <c r="BX1033" s="74"/>
      <c r="BY1033" s="63"/>
      <c r="BZ1033" s="63"/>
    </row>
    <row r="1034" ht="15.75" customHeight="1">
      <c r="A1034" s="41"/>
      <c r="B1034" s="50"/>
      <c r="C1034" s="50"/>
      <c r="D1034" s="50"/>
      <c r="E1034" s="64"/>
      <c r="F1034" s="78">
        <v>0.0</v>
      </c>
      <c r="G1034" s="44" t="str">
        <f t="shared" si="35"/>
        <v>$0 a $100'000.000</v>
      </c>
      <c r="H1034" s="44"/>
      <c r="I1034" s="44"/>
      <c r="J1034" s="50"/>
      <c r="K1034" s="51"/>
      <c r="L1034" s="44"/>
      <c r="M1034" s="44"/>
      <c r="N1034" s="44"/>
      <c r="O1034" s="44"/>
      <c r="P1034" s="44"/>
      <c r="Q1034" s="88">
        <v>0.0</v>
      </c>
      <c r="R1034" s="89">
        <v>0.0</v>
      </c>
      <c r="S1034" s="56" t="str">
        <f t="shared" si="34"/>
        <v> </v>
      </c>
      <c r="T1034" s="50"/>
      <c r="U1034" s="57"/>
      <c r="V1034" s="44"/>
      <c r="W1034" s="44"/>
      <c r="X1034" s="44"/>
      <c r="Y1034" s="44"/>
      <c r="Z1034" s="91"/>
      <c r="AA1034" s="59" t="str">
        <f>IF(Rentabilidad=0,"No aplica",TEXT(ROUND(Precio/Rentabilidad/12,0),0) &amp; " años")</f>
        <v>No aplica</v>
      </c>
      <c r="AB1034" s="212"/>
      <c r="AC1034" s="61"/>
      <c r="AD1034" s="107"/>
      <c r="AE1034" s="63"/>
      <c r="AF1034" s="64"/>
      <c r="AG1034" s="63"/>
      <c r="AH1034" s="63"/>
      <c r="AI1034" s="63"/>
      <c r="AJ1034" s="45"/>
      <c r="AK1034" s="50"/>
      <c r="AL1034" s="45"/>
      <c r="AM1034" s="44"/>
      <c r="AN1034" s="45"/>
      <c r="AO1034" s="52"/>
      <c r="AP1034" s="67"/>
      <c r="AQ1034" s="67"/>
      <c r="AR1034" s="67"/>
      <c r="AS1034" s="94"/>
      <c r="AT1034" s="63"/>
      <c r="AU1034" s="44"/>
      <c r="AV1034" s="44"/>
      <c r="AW1034" s="44"/>
      <c r="AX1034" s="44"/>
      <c r="AY1034" s="44"/>
      <c r="AZ1034" s="44"/>
      <c r="BA1034" s="43" t="s">
        <v>89</v>
      </c>
      <c r="BB1034" s="44"/>
      <c r="BC1034" s="95"/>
      <c r="BD1034" s="71"/>
      <c r="BE1034" s="71"/>
      <c r="BF1034" s="130"/>
      <c r="BG1034" s="73"/>
      <c r="BH1034" s="73"/>
      <c r="BI1034" s="73"/>
      <c r="BJ1034" s="73"/>
      <c r="BK1034" s="73"/>
      <c r="BL1034" s="73"/>
      <c r="BM1034" s="73"/>
      <c r="BN1034" s="73"/>
      <c r="BO1034" s="73"/>
      <c r="BP1034" s="73"/>
      <c r="BQ1034" s="73"/>
      <c r="BR1034" s="73"/>
      <c r="BS1034" s="73"/>
      <c r="BT1034" s="73"/>
      <c r="BU1034" s="73"/>
      <c r="BV1034" s="73"/>
      <c r="BW1034" s="74"/>
      <c r="BX1034" s="74"/>
      <c r="BY1034" s="63"/>
      <c r="BZ1034" s="63"/>
    </row>
    <row r="1035" ht="15.75" customHeight="1">
      <c r="A1035" s="41"/>
      <c r="B1035" s="50"/>
      <c r="C1035" s="50"/>
      <c r="D1035" s="50"/>
      <c r="E1035" s="64"/>
      <c r="F1035" s="78">
        <v>0.0</v>
      </c>
      <c r="G1035" s="44" t="str">
        <f t="shared" si="35"/>
        <v>$0 a $100'000.000</v>
      </c>
      <c r="H1035" s="44"/>
      <c r="I1035" s="44"/>
      <c r="J1035" s="50"/>
      <c r="K1035" s="51"/>
      <c r="L1035" s="44"/>
      <c r="M1035" s="44"/>
      <c r="N1035" s="44"/>
      <c r="O1035" s="44"/>
      <c r="P1035" s="44"/>
      <c r="Q1035" s="88">
        <v>0.0</v>
      </c>
      <c r="R1035" s="89">
        <v>0.0</v>
      </c>
      <c r="S1035" s="56" t="str">
        <f t="shared" si="34"/>
        <v> </v>
      </c>
      <c r="T1035" s="50"/>
      <c r="U1035" s="57"/>
      <c r="V1035" s="44"/>
      <c r="W1035" s="44"/>
      <c r="X1035" s="44"/>
      <c r="Y1035" s="44"/>
      <c r="Z1035" s="91"/>
      <c r="AA1035" s="59" t="str">
        <f>IF(Rentabilidad=0,"No aplica",TEXT(ROUND(Precio/Rentabilidad/12,0),0) &amp; " años")</f>
        <v>No aplica</v>
      </c>
      <c r="AB1035" s="212"/>
      <c r="AC1035" s="61"/>
      <c r="AD1035" s="107"/>
      <c r="AE1035" s="63"/>
      <c r="AF1035" s="64"/>
      <c r="AG1035" s="63"/>
      <c r="AH1035" s="63"/>
      <c r="AI1035" s="63"/>
      <c r="AJ1035" s="45"/>
      <c r="AK1035" s="50"/>
      <c r="AL1035" s="45"/>
      <c r="AM1035" s="44"/>
      <c r="AN1035" s="45"/>
      <c r="AO1035" s="52"/>
      <c r="AP1035" s="67"/>
      <c r="AQ1035" s="67"/>
      <c r="AR1035" s="67"/>
      <c r="AS1035" s="94"/>
      <c r="AT1035" s="63"/>
      <c r="AU1035" s="44"/>
      <c r="AV1035" s="44"/>
      <c r="AW1035" s="44"/>
      <c r="AX1035" s="44"/>
      <c r="AY1035" s="44"/>
      <c r="AZ1035" s="44"/>
      <c r="BA1035" s="43" t="s">
        <v>89</v>
      </c>
      <c r="BB1035" s="44"/>
      <c r="BC1035" s="95"/>
      <c r="BD1035" s="71"/>
      <c r="BE1035" s="71"/>
      <c r="BF1035" s="130"/>
      <c r="BG1035" s="73"/>
      <c r="BH1035" s="73"/>
      <c r="BI1035" s="73"/>
      <c r="BJ1035" s="73"/>
      <c r="BK1035" s="73"/>
      <c r="BL1035" s="73"/>
      <c r="BM1035" s="73"/>
      <c r="BN1035" s="73"/>
      <c r="BO1035" s="73"/>
      <c r="BP1035" s="73"/>
      <c r="BQ1035" s="73"/>
      <c r="BR1035" s="73"/>
      <c r="BS1035" s="73"/>
      <c r="BT1035" s="73"/>
      <c r="BU1035" s="73"/>
      <c r="BV1035" s="73"/>
      <c r="BW1035" s="74"/>
      <c r="BX1035" s="74"/>
      <c r="BY1035" s="63"/>
      <c r="BZ1035" s="63"/>
    </row>
    <row r="1036" ht="15.75" customHeight="1">
      <c r="A1036" s="41"/>
      <c r="B1036" s="50"/>
      <c r="C1036" s="50"/>
      <c r="D1036" s="50"/>
      <c r="E1036" s="64"/>
      <c r="F1036" s="78">
        <v>0.0</v>
      </c>
      <c r="G1036" s="44" t="str">
        <f t="shared" si="35"/>
        <v>$0 a $100'000.000</v>
      </c>
      <c r="H1036" s="44"/>
      <c r="I1036" s="44"/>
      <c r="J1036" s="50"/>
      <c r="K1036" s="51"/>
      <c r="L1036" s="44"/>
      <c r="M1036" s="44"/>
      <c r="N1036" s="44"/>
      <c r="O1036" s="44"/>
      <c r="P1036" s="44"/>
      <c r="Q1036" s="88">
        <v>0.0</v>
      </c>
      <c r="R1036" s="89">
        <v>0.0</v>
      </c>
      <c r="S1036" s="56" t="str">
        <f t="shared" si="34"/>
        <v> </v>
      </c>
      <c r="T1036" s="50"/>
      <c r="U1036" s="57"/>
      <c r="V1036" s="44"/>
      <c r="W1036" s="44"/>
      <c r="X1036" s="44"/>
      <c r="Y1036" s="44"/>
      <c r="Z1036" s="91"/>
      <c r="AA1036" s="59" t="str">
        <f>IF(Rentabilidad=0,"No aplica",TEXT(ROUND(Precio/Rentabilidad/12,0),0) &amp; " años")</f>
        <v>No aplica</v>
      </c>
      <c r="AB1036" s="212"/>
      <c r="AC1036" s="61"/>
      <c r="AD1036" s="107"/>
      <c r="AE1036" s="63"/>
      <c r="AF1036" s="64"/>
      <c r="AG1036" s="63"/>
      <c r="AH1036" s="63"/>
      <c r="AI1036" s="63"/>
      <c r="AJ1036" s="45"/>
      <c r="AK1036" s="50"/>
      <c r="AL1036" s="45"/>
      <c r="AM1036" s="44"/>
      <c r="AN1036" s="45"/>
      <c r="AO1036" s="52"/>
      <c r="AP1036" s="67"/>
      <c r="AQ1036" s="67"/>
      <c r="AR1036" s="67"/>
      <c r="AS1036" s="94"/>
      <c r="AT1036" s="63"/>
      <c r="AU1036" s="44"/>
      <c r="AV1036" s="44"/>
      <c r="AW1036" s="44"/>
      <c r="AX1036" s="44"/>
      <c r="AY1036" s="44"/>
      <c r="AZ1036" s="44"/>
      <c r="BA1036" s="43" t="s">
        <v>89</v>
      </c>
      <c r="BB1036" s="44"/>
      <c r="BC1036" s="95"/>
      <c r="BD1036" s="71"/>
      <c r="BE1036" s="71"/>
      <c r="BF1036" s="130"/>
      <c r="BG1036" s="73"/>
      <c r="BH1036" s="73"/>
      <c r="BI1036" s="73"/>
      <c r="BJ1036" s="73"/>
      <c r="BK1036" s="73"/>
      <c r="BL1036" s="73"/>
      <c r="BM1036" s="73"/>
      <c r="BN1036" s="73"/>
      <c r="BO1036" s="73"/>
      <c r="BP1036" s="73"/>
      <c r="BQ1036" s="73"/>
      <c r="BR1036" s="73"/>
      <c r="BS1036" s="73"/>
      <c r="BT1036" s="73"/>
      <c r="BU1036" s="73"/>
      <c r="BV1036" s="73"/>
      <c r="BW1036" s="74"/>
      <c r="BX1036" s="74"/>
      <c r="BY1036" s="63"/>
      <c r="BZ1036" s="63"/>
    </row>
    <row r="1037" ht="15.75" customHeight="1">
      <c r="A1037" s="41"/>
      <c r="B1037" s="50"/>
      <c r="C1037" s="50"/>
      <c r="D1037" s="50"/>
      <c r="E1037" s="64"/>
      <c r="F1037" s="78">
        <v>0.0</v>
      </c>
      <c r="G1037" s="44" t="str">
        <f t="shared" si="35"/>
        <v>$0 a $100'000.000</v>
      </c>
      <c r="H1037" s="44"/>
      <c r="I1037" s="44"/>
      <c r="J1037" s="50"/>
      <c r="K1037" s="51"/>
      <c r="L1037" s="44"/>
      <c r="M1037" s="44"/>
      <c r="N1037" s="44"/>
      <c r="O1037" s="44"/>
      <c r="P1037" s="44"/>
      <c r="Q1037" s="88">
        <v>0.0</v>
      </c>
      <c r="R1037" s="89">
        <v>0.0</v>
      </c>
      <c r="S1037" s="56" t="str">
        <f t="shared" si="34"/>
        <v> </v>
      </c>
      <c r="T1037" s="50"/>
      <c r="U1037" s="57"/>
      <c r="V1037" s="44"/>
      <c r="W1037" s="44"/>
      <c r="X1037" s="44"/>
      <c r="Y1037" s="44"/>
      <c r="Z1037" s="91"/>
      <c r="AA1037" s="59" t="str">
        <f>IF(Rentabilidad=0,"No aplica",TEXT(ROUND(Precio/Rentabilidad/12,0),0) &amp; " años")</f>
        <v>No aplica</v>
      </c>
      <c r="AB1037" s="212"/>
      <c r="AC1037" s="61"/>
      <c r="AD1037" s="107"/>
      <c r="AE1037" s="63"/>
      <c r="AF1037" s="64"/>
      <c r="AG1037" s="63"/>
      <c r="AH1037" s="63"/>
      <c r="AI1037" s="63"/>
      <c r="AJ1037" s="45"/>
      <c r="AK1037" s="50"/>
      <c r="AL1037" s="45"/>
      <c r="AM1037" s="44"/>
      <c r="AN1037" s="45"/>
      <c r="AO1037" s="52"/>
      <c r="AP1037" s="67"/>
      <c r="AQ1037" s="67"/>
      <c r="AR1037" s="67"/>
      <c r="AS1037" s="94"/>
      <c r="AT1037" s="63"/>
      <c r="AU1037" s="44"/>
      <c r="AV1037" s="44"/>
      <c r="AW1037" s="44"/>
      <c r="AX1037" s="44"/>
      <c r="AY1037" s="44"/>
      <c r="AZ1037" s="44"/>
      <c r="BA1037" s="43" t="s">
        <v>89</v>
      </c>
      <c r="BB1037" s="44"/>
      <c r="BC1037" s="95"/>
      <c r="BD1037" s="71"/>
      <c r="BE1037" s="71"/>
      <c r="BF1037" s="130"/>
      <c r="BG1037" s="73"/>
      <c r="BH1037" s="73"/>
      <c r="BI1037" s="73"/>
      <c r="BJ1037" s="73"/>
      <c r="BK1037" s="73"/>
      <c r="BL1037" s="73"/>
      <c r="BM1037" s="73"/>
      <c r="BN1037" s="73"/>
      <c r="BO1037" s="73"/>
      <c r="BP1037" s="73"/>
      <c r="BQ1037" s="73"/>
      <c r="BR1037" s="73"/>
      <c r="BS1037" s="73"/>
      <c r="BT1037" s="73"/>
      <c r="BU1037" s="73"/>
      <c r="BV1037" s="73"/>
      <c r="BW1037" s="74"/>
      <c r="BX1037" s="74"/>
      <c r="BY1037" s="63"/>
      <c r="BZ1037" s="63"/>
    </row>
    <row r="1038" ht="15.75" customHeight="1">
      <c r="A1038" s="41"/>
      <c r="B1038" s="50"/>
      <c r="C1038" s="50"/>
      <c r="D1038" s="50"/>
      <c r="E1038" s="64"/>
      <c r="F1038" s="78">
        <v>0.0</v>
      </c>
      <c r="G1038" s="44" t="str">
        <f t="shared" si="35"/>
        <v>$0 a $100'000.000</v>
      </c>
      <c r="H1038" s="44"/>
      <c r="I1038" s="44"/>
      <c r="J1038" s="50"/>
      <c r="K1038" s="51"/>
      <c r="L1038" s="44"/>
      <c r="M1038" s="44"/>
      <c r="N1038" s="44"/>
      <c r="O1038" s="44"/>
      <c r="P1038" s="44"/>
      <c r="Q1038" s="88">
        <v>0.0</v>
      </c>
      <c r="R1038" s="89">
        <v>0.0</v>
      </c>
      <c r="S1038" s="56" t="str">
        <f t="shared" si="34"/>
        <v> </v>
      </c>
      <c r="T1038" s="50"/>
      <c r="U1038" s="57"/>
      <c r="V1038" s="44"/>
      <c r="W1038" s="44"/>
      <c r="X1038" s="44"/>
      <c r="Y1038" s="44"/>
      <c r="Z1038" s="91"/>
      <c r="AA1038" s="59" t="str">
        <f>IF(Rentabilidad=0,"No aplica",TEXT(ROUND(Precio/Rentabilidad/12,0),0) &amp; " años")</f>
        <v>No aplica</v>
      </c>
      <c r="AB1038" s="212"/>
      <c r="AC1038" s="61"/>
      <c r="AD1038" s="107"/>
      <c r="AE1038" s="63"/>
      <c r="AF1038" s="64"/>
      <c r="AG1038" s="63"/>
      <c r="AH1038" s="63"/>
      <c r="AI1038" s="63"/>
      <c r="AJ1038" s="45"/>
      <c r="AK1038" s="50"/>
      <c r="AL1038" s="45"/>
      <c r="AM1038" s="44"/>
      <c r="AN1038" s="45"/>
      <c r="AO1038" s="52"/>
      <c r="AP1038" s="67"/>
      <c r="AQ1038" s="67"/>
      <c r="AR1038" s="67"/>
      <c r="AS1038" s="94"/>
      <c r="AT1038" s="63"/>
      <c r="AU1038" s="44"/>
      <c r="AV1038" s="44"/>
      <c r="AW1038" s="44"/>
      <c r="AX1038" s="44"/>
      <c r="AY1038" s="44"/>
      <c r="AZ1038" s="44"/>
      <c r="BA1038" s="43" t="s">
        <v>89</v>
      </c>
      <c r="BB1038" s="44"/>
      <c r="BC1038" s="95"/>
      <c r="BD1038" s="71"/>
      <c r="BE1038" s="71"/>
      <c r="BF1038" s="130"/>
      <c r="BG1038" s="73"/>
      <c r="BH1038" s="73"/>
      <c r="BI1038" s="73"/>
      <c r="BJ1038" s="73"/>
      <c r="BK1038" s="73"/>
      <c r="BL1038" s="73"/>
      <c r="BM1038" s="73"/>
      <c r="BN1038" s="73"/>
      <c r="BO1038" s="73"/>
      <c r="BP1038" s="73"/>
      <c r="BQ1038" s="73"/>
      <c r="BR1038" s="73"/>
      <c r="BS1038" s="73"/>
      <c r="BT1038" s="73"/>
      <c r="BU1038" s="73"/>
      <c r="BV1038" s="73"/>
      <c r="BW1038" s="74"/>
      <c r="BX1038" s="74"/>
      <c r="BY1038" s="63"/>
      <c r="BZ1038" s="63"/>
    </row>
    <row r="1039" ht="15.75" customHeight="1">
      <c r="A1039" s="41"/>
      <c r="B1039" s="50"/>
      <c r="C1039" s="50"/>
      <c r="D1039" s="50"/>
      <c r="E1039" s="64"/>
      <c r="F1039" s="78">
        <v>0.0</v>
      </c>
      <c r="G1039" s="44" t="str">
        <f t="shared" si="35"/>
        <v>$0 a $100'000.000</v>
      </c>
      <c r="H1039" s="44"/>
      <c r="I1039" s="44"/>
      <c r="J1039" s="50"/>
      <c r="K1039" s="51"/>
      <c r="L1039" s="44"/>
      <c r="M1039" s="44"/>
      <c r="N1039" s="44"/>
      <c r="O1039" s="44"/>
      <c r="P1039" s="44"/>
      <c r="Q1039" s="88">
        <v>0.0</v>
      </c>
      <c r="R1039" s="89">
        <v>0.0</v>
      </c>
      <c r="S1039" s="56" t="str">
        <f t="shared" si="34"/>
        <v> </v>
      </c>
      <c r="T1039" s="50"/>
      <c r="U1039" s="57"/>
      <c r="V1039" s="44"/>
      <c r="W1039" s="44"/>
      <c r="X1039" s="44"/>
      <c r="Y1039" s="44"/>
      <c r="Z1039" s="91"/>
      <c r="AA1039" s="59" t="str">
        <f>IF(Rentabilidad=0,"No aplica",TEXT(ROUND(Precio/Rentabilidad/12,0),0) &amp; " años")</f>
        <v>No aplica</v>
      </c>
      <c r="AB1039" s="212"/>
      <c r="AC1039" s="61"/>
      <c r="AD1039" s="107"/>
      <c r="AE1039" s="63"/>
      <c r="AF1039" s="64"/>
      <c r="AG1039" s="63"/>
      <c r="AH1039" s="63"/>
      <c r="AI1039" s="63"/>
      <c r="AJ1039" s="45"/>
      <c r="AK1039" s="50"/>
      <c r="AL1039" s="45"/>
      <c r="AM1039" s="44"/>
      <c r="AN1039" s="45"/>
      <c r="AO1039" s="52"/>
      <c r="AP1039" s="67"/>
      <c r="AQ1039" s="67"/>
      <c r="AR1039" s="67"/>
      <c r="AS1039" s="94"/>
      <c r="AT1039" s="63"/>
      <c r="AU1039" s="44"/>
      <c r="AV1039" s="44"/>
      <c r="AW1039" s="44"/>
      <c r="AX1039" s="44"/>
      <c r="AY1039" s="44"/>
      <c r="AZ1039" s="44"/>
      <c r="BA1039" s="43" t="s">
        <v>89</v>
      </c>
      <c r="BB1039" s="44"/>
      <c r="BC1039" s="95"/>
      <c r="BD1039" s="71"/>
      <c r="BE1039" s="71"/>
      <c r="BF1039" s="130"/>
      <c r="BG1039" s="73"/>
      <c r="BH1039" s="73"/>
      <c r="BI1039" s="73"/>
      <c r="BJ1039" s="73"/>
      <c r="BK1039" s="73"/>
      <c r="BL1039" s="73"/>
      <c r="BM1039" s="73"/>
      <c r="BN1039" s="73"/>
      <c r="BO1039" s="73"/>
      <c r="BP1039" s="73"/>
      <c r="BQ1039" s="73"/>
      <c r="BR1039" s="73"/>
      <c r="BS1039" s="73"/>
      <c r="BT1039" s="73"/>
      <c r="BU1039" s="73"/>
      <c r="BV1039" s="73"/>
      <c r="BW1039" s="74"/>
      <c r="BX1039" s="74"/>
      <c r="BY1039" s="63"/>
      <c r="BZ1039" s="63"/>
    </row>
    <row r="1040" ht="15.75" customHeight="1">
      <c r="A1040" s="41"/>
      <c r="B1040" s="50"/>
      <c r="C1040" s="50"/>
      <c r="D1040" s="50"/>
      <c r="E1040" s="64"/>
      <c r="F1040" s="78">
        <v>0.0</v>
      </c>
      <c r="G1040" s="44" t="str">
        <f t="shared" si="35"/>
        <v>$0 a $100'000.000</v>
      </c>
      <c r="H1040" s="44"/>
      <c r="I1040" s="44"/>
      <c r="J1040" s="50"/>
      <c r="K1040" s="51"/>
      <c r="L1040" s="44"/>
      <c r="M1040" s="44"/>
      <c r="N1040" s="44"/>
      <c r="O1040" s="44"/>
      <c r="P1040" s="44"/>
      <c r="Q1040" s="88">
        <v>0.0</v>
      </c>
      <c r="R1040" s="89">
        <v>0.0</v>
      </c>
      <c r="S1040" s="56" t="str">
        <f t="shared" si="34"/>
        <v> </v>
      </c>
      <c r="T1040" s="50"/>
      <c r="U1040" s="57"/>
      <c r="V1040" s="44"/>
      <c r="W1040" s="44"/>
      <c r="X1040" s="44"/>
      <c r="Y1040" s="44"/>
      <c r="Z1040" s="91"/>
      <c r="AA1040" s="59" t="str">
        <f>IF(Rentabilidad=0,"No aplica",TEXT(ROUND(Precio/Rentabilidad/12,0),0) &amp; " años")</f>
        <v>No aplica</v>
      </c>
      <c r="AB1040" s="212"/>
      <c r="AC1040" s="61"/>
      <c r="AD1040" s="107"/>
      <c r="AE1040" s="63"/>
      <c r="AF1040" s="64"/>
      <c r="AG1040" s="63"/>
      <c r="AH1040" s="63"/>
      <c r="AI1040" s="63"/>
      <c r="AJ1040" s="45"/>
      <c r="AK1040" s="50"/>
      <c r="AL1040" s="45"/>
      <c r="AM1040" s="44"/>
      <c r="AN1040" s="45"/>
      <c r="AO1040" s="52"/>
      <c r="AP1040" s="67"/>
      <c r="AQ1040" s="67"/>
      <c r="AR1040" s="67"/>
      <c r="AS1040" s="94"/>
      <c r="AT1040" s="63"/>
      <c r="AU1040" s="44"/>
      <c r="AV1040" s="44"/>
      <c r="AW1040" s="44"/>
      <c r="AX1040" s="44"/>
      <c r="AY1040" s="44"/>
      <c r="AZ1040" s="44"/>
      <c r="BA1040" s="43" t="s">
        <v>89</v>
      </c>
      <c r="BB1040" s="44"/>
      <c r="BC1040" s="95"/>
      <c r="BD1040" s="71"/>
      <c r="BE1040" s="71"/>
      <c r="BF1040" s="130"/>
      <c r="BG1040" s="73"/>
      <c r="BH1040" s="73"/>
      <c r="BI1040" s="73"/>
      <c r="BJ1040" s="73"/>
      <c r="BK1040" s="73"/>
      <c r="BL1040" s="73"/>
      <c r="BM1040" s="73"/>
      <c r="BN1040" s="73"/>
      <c r="BO1040" s="73"/>
      <c r="BP1040" s="73"/>
      <c r="BQ1040" s="73"/>
      <c r="BR1040" s="73"/>
      <c r="BS1040" s="73"/>
      <c r="BT1040" s="73"/>
      <c r="BU1040" s="73"/>
      <c r="BV1040" s="73"/>
      <c r="BW1040" s="74"/>
      <c r="BX1040" s="74"/>
      <c r="BY1040" s="63"/>
      <c r="BZ1040" s="63"/>
    </row>
    <row r="1041" ht="15.75" customHeight="1">
      <c r="A1041" s="41"/>
      <c r="B1041" s="50"/>
      <c r="C1041" s="50"/>
      <c r="D1041" s="50"/>
      <c r="E1041" s="64"/>
      <c r="F1041" s="78">
        <v>0.0</v>
      </c>
      <c r="G1041" s="44" t="str">
        <f t="shared" si="35"/>
        <v>$0 a $100'000.000</v>
      </c>
      <c r="H1041" s="44"/>
      <c r="I1041" s="44"/>
      <c r="J1041" s="50"/>
      <c r="K1041" s="51"/>
      <c r="L1041" s="44"/>
      <c r="M1041" s="44"/>
      <c r="N1041" s="44"/>
      <c r="O1041" s="44"/>
      <c r="P1041" s="44"/>
      <c r="Q1041" s="88">
        <v>0.0</v>
      </c>
      <c r="R1041" s="89">
        <v>0.0</v>
      </c>
      <c r="S1041" s="56" t="str">
        <f t="shared" si="34"/>
        <v> </v>
      </c>
      <c r="T1041" s="50"/>
      <c r="U1041" s="57"/>
      <c r="V1041" s="44"/>
      <c r="W1041" s="44"/>
      <c r="X1041" s="44"/>
      <c r="Y1041" s="44"/>
      <c r="Z1041" s="91"/>
      <c r="AA1041" s="59" t="str">
        <f>IF(Rentabilidad=0,"No aplica",TEXT(ROUND(Precio/Rentabilidad/12,0),0) &amp; " años")</f>
        <v>No aplica</v>
      </c>
      <c r="AB1041" s="212"/>
      <c r="AC1041" s="61"/>
      <c r="AD1041" s="107"/>
      <c r="AE1041" s="63"/>
      <c r="AF1041" s="64"/>
      <c r="AG1041" s="63"/>
      <c r="AH1041" s="63"/>
      <c r="AI1041" s="63"/>
      <c r="AJ1041" s="45"/>
      <c r="AK1041" s="50"/>
      <c r="AL1041" s="45"/>
      <c r="AM1041" s="44"/>
      <c r="AN1041" s="45"/>
      <c r="AO1041" s="52"/>
      <c r="AP1041" s="67"/>
      <c r="AQ1041" s="67"/>
      <c r="AR1041" s="67"/>
      <c r="AS1041" s="94"/>
      <c r="AT1041" s="63"/>
      <c r="AU1041" s="44"/>
      <c r="AV1041" s="44"/>
      <c r="AW1041" s="44"/>
      <c r="AX1041" s="44"/>
      <c r="AY1041" s="44"/>
      <c r="AZ1041" s="44"/>
      <c r="BA1041" s="43" t="s">
        <v>89</v>
      </c>
      <c r="BB1041" s="44"/>
      <c r="BC1041" s="95"/>
      <c r="BD1041" s="71"/>
      <c r="BE1041" s="71"/>
      <c r="BF1041" s="130"/>
      <c r="BG1041" s="73"/>
      <c r="BH1041" s="73"/>
      <c r="BI1041" s="73"/>
      <c r="BJ1041" s="73"/>
      <c r="BK1041" s="73"/>
      <c r="BL1041" s="73"/>
      <c r="BM1041" s="73"/>
      <c r="BN1041" s="73"/>
      <c r="BO1041" s="73"/>
      <c r="BP1041" s="73"/>
      <c r="BQ1041" s="73"/>
      <c r="BR1041" s="73"/>
      <c r="BS1041" s="73"/>
      <c r="BT1041" s="73"/>
      <c r="BU1041" s="73"/>
      <c r="BV1041" s="73"/>
      <c r="BW1041" s="74"/>
      <c r="BX1041" s="74"/>
      <c r="BY1041" s="63"/>
      <c r="BZ1041" s="63"/>
    </row>
    <row r="1042" ht="15.75" customHeight="1">
      <c r="A1042" s="41"/>
      <c r="B1042" s="50"/>
      <c r="C1042" s="50"/>
      <c r="D1042" s="50"/>
      <c r="E1042" s="64"/>
      <c r="F1042" s="78">
        <v>0.0</v>
      </c>
      <c r="G1042" s="44" t="str">
        <f t="shared" si="35"/>
        <v>$0 a $100'000.000</v>
      </c>
      <c r="H1042" s="44"/>
      <c r="I1042" s="44"/>
      <c r="J1042" s="50"/>
      <c r="K1042" s="51"/>
      <c r="L1042" s="44"/>
      <c r="M1042" s="44"/>
      <c r="N1042" s="44"/>
      <c r="O1042" s="44"/>
      <c r="P1042" s="44"/>
      <c r="Q1042" s="88">
        <v>0.0</v>
      </c>
      <c r="R1042" s="89">
        <v>0.0</v>
      </c>
      <c r="S1042" s="56" t="str">
        <f t="shared" si="34"/>
        <v> </v>
      </c>
      <c r="T1042" s="50"/>
      <c r="U1042" s="57"/>
      <c r="V1042" s="44"/>
      <c r="W1042" s="44"/>
      <c r="X1042" s="44"/>
      <c r="Y1042" s="44"/>
      <c r="Z1042" s="91"/>
      <c r="AA1042" s="59" t="str">
        <f>IF(Rentabilidad=0,"No aplica",TEXT(ROUND(Precio/Rentabilidad/12,0),0) &amp; " años")</f>
        <v>No aplica</v>
      </c>
      <c r="AB1042" s="212"/>
      <c r="AC1042" s="61"/>
      <c r="AD1042" s="107"/>
      <c r="AE1042" s="63"/>
      <c r="AF1042" s="64"/>
      <c r="AG1042" s="63"/>
      <c r="AH1042" s="63"/>
      <c r="AI1042" s="63"/>
      <c r="AJ1042" s="45"/>
      <c r="AK1042" s="50"/>
      <c r="AL1042" s="45"/>
      <c r="AM1042" s="44"/>
      <c r="AN1042" s="45"/>
      <c r="AO1042" s="52"/>
      <c r="AP1042" s="67"/>
      <c r="AQ1042" s="67"/>
      <c r="AR1042" s="67"/>
      <c r="AS1042" s="94"/>
      <c r="AT1042" s="63"/>
      <c r="AU1042" s="44"/>
      <c r="AV1042" s="44"/>
      <c r="AW1042" s="44"/>
      <c r="AX1042" s="44"/>
      <c r="AY1042" s="44"/>
      <c r="AZ1042" s="44"/>
      <c r="BA1042" s="43" t="s">
        <v>89</v>
      </c>
      <c r="BB1042" s="44"/>
      <c r="BC1042" s="95"/>
      <c r="BD1042" s="71"/>
      <c r="BE1042" s="71"/>
      <c r="BF1042" s="130"/>
      <c r="BG1042" s="73"/>
      <c r="BH1042" s="73"/>
      <c r="BI1042" s="73"/>
      <c r="BJ1042" s="73"/>
      <c r="BK1042" s="73"/>
      <c r="BL1042" s="73"/>
      <c r="BM1042" s="73"/>
      <c r="BN1042" s="73"/>
      <c r="BO1042" s="73"/>
      <c r="BP1042" s="73"/>
      <c r="BQ1042" s="73"/>
      <c r="BR1042" s="73"/>
      <c r="BS1042" s="73"/>
      <c r="BT1042" s="73"/>
      <c r="BU1042" s="73"/>
      <c r="BV1042" s="73"/>
      <c r="BW1042" s="74"/>
      <c r="BX1042" s="74"/>
      <c r="BY1042" s="63"/>
      <c r="BZ1042" s="63"/>
    </row>
    <row r="1043" ht="15.75" customHeight="1">
      <c r="A1043" s="41"/>
      <c r="B1043" s="50"/>
      <c r="C1043" s="50"/>
      <c r="D1043" s="50"/>
      <c r="E1043" s="64"/>
      <c r="F1043" s="78">
        <v>0.0</v>
      </c>
      <c r="G1043" s="44" t="str">
        <f t="shared" si="35"/>
        <v>$0 a $100'000.000</v>
      </c>
      <c r="H1043" s="44"/>
      <c r="I1043" s="44"/>
      <c r="J1043" s="50"/>
      <c r="K1043" s="51"/>
      <c r="L1043" s="44"/>
      <c r="M1043" s="44"/>
      <c r="N1043" s="44"/>
      <c r="O1043" s="44"/>
      <c r="P1043" s="44"/>
      <c r="Q1043" s="88">
        <v>0.0</v>
      </c>
      <c r="R1043" s="89">
        <v>0.0</v>
      </c>
      <c r="S1043" s="56" t="str">
        <f t="shared" si="34"/>
        <v> </v>
      </c>
      <c r="T1043" s="50"/>
      <c r="U1043" s="57"/>
      <c r="V1043" s="44"/>
      <c r="W1043" s="44"/>
      <c r="X1043" s="44"/>
      <c r="Y1043" s="44"/>
      <c r="Z1043" s="91"/>
      <c r="AA1043" s="59" t="str">
        <f>IF(Rentabilidad=0,"No aplica",TEXT(ROUND(Precio/Rentabilidad/12,0),0) &amp; " años")</f>
        <v>No aplica</v>
      </c>
      <c r="AB1043" s="212"/>
      <c r="AC1043" s="61"/>
      <c r="AD1043" s="107"/>
      <c r="AE1043" s="63"/>
      <c r="AF1043" s="64"/>
      <c r="AG1043" s="63"/>
      <c r="AH1043" s="63"/>
      <c r="AI1043" s="63"/>
      <c r="AJ1043" s="45"/>
      <c r="AK1043" s="50"/>
      <c r="AL1043" s="45"/>
      <c r="AM1043" s="44"/>
      <c r="AN1043" s="45"/>
      <c r="AO1043" s="52"/>
      <c r="AP1043" s="67"/>
      <c r="AQ1043" s="67"/>
      <c r="AR1043" s="67"/>
      <c r="AS1043" s="94"/>
      <c r="AT1043" s="63"/>
      <c r="AU1043" s="44"/>
      <c r="AV1043" s="44"/>
      <c r="AW1043" s="44"/>
      <c r="AX1043" s="44"/>
      <c r="AY1043" s="44"/>
      <c r="AZ1043" s="44"/>
      <c r="BA1043" s="43" t="s">
        <v>89</v>
      </c>
      <c r="BB1043" s="44"/>
      <c r="BC1043" s="95"/>
      <c r="BD1043" s="71"/>
      <c r="BE1043" s="71"/>
      <c r="BF1043" s="130"/>
      <c r="BG1043" s="73"/>
      <c r="BH1043" s="73"/>
      <c r="BI1043" s="73"/>
      <c r="BJ1043" s="73"/>
      <c r="BK1043" s="73"/>
      <c r="BL1043" s="73"/>
      <c r="BM1043" s="73"/>
      <c r="BN1043" s="73"/>
      <c r="BO1043" s="73"/>
      <c r="BP1043" s="73"/>
      <c r="BQ1043" s="73"/>
      <c r="BR1043" s="73"/>
      <c r="BS1043" s="73"/>
      <c r="BT1043" s="73"/>
      <c r="BU1043" s="73"/>
      <c r="BV1043" s="73"/>
      <c r="BW1043" s="74"/>
      <c r="BX1043" s="74"/>
      <c r="BY1043" s="63"/>
      <c r="BZ1043" s="63"/>
    </row>
    <row r="1044" ht="15.75" customHeight="1">
      <c r="A1044" s="41"/>
      <c r="B1044" s="50"/>
      <c r="C1044" s="50"/>
      <c r="D1044" s="50"/>
      <c r="E1044" s="64"/>
      <c r="F1044" s="78">
        <v>0.0</v>
      </c>
      <c r="G1044" s="44" t="str">
        <f t="shared" si="35"/>
        <v>$0 a $100'000.000</v>
      </c>
      <c r="H1044" s="44"/>
      <c r="I1044" s="44"/>
      <c r="J1044" s="50"/>
      <c r="K1044" s="51"/>
      <c r="L1044" s="44"/>
      <c r="M1044" s="44"/>
      <c r="N1044" s="44"/>
      <c r="O1044" s="44"/>
      <c r="P1044" s="44"/>
      <c r="Q1044" s="88">
        <v>0.0</v>
      </c>
      <c r="R1044" s="89">
        <v>0.0</v>
      </c>
      <c r="S1044" s="56" t="str">
        <f t="shared" si="34"/>
        <v> </v>
      </c>
      <c r="T1044" s="50"/>
      <c r="U1044" s="57"/>
      <c r="V1044" s="44"/>
      <c r="W1044" s="44"/>
      <c r="X1044" s="44"/>
      <c r="Y1044" s="44"/>
      <c r="Z1044" s="91"/>
      <c r="AA1044" s="59" t="str">
        <f>IF(Rentabilidad=0,"No aplica",TEXT(ROUND(Precio/Rentabilidad/12,0),0) &amp; " años")</f>
        <v>No aplica</v>
      </c>
      <c r="AB1044" s="212"/>
      <c r="AC1044" s="61"/>
      <c r="AD1044" s="107"/>
      <c r="AE1044" s="63"/>
      <c r="AF1044" s="64"/>
      <c r="AG1044" s="63"/>
      <c r="AH1044" s="63"/>
      <c r="AI1044" s="63"/>
      <c r="AJ1044" s="45"/>
      <c r="AK1044" s="50"/>
      <c r="AL1044" s="45"/>
      <c r="AM1044" s="44"/>
      <c r="AN1044" s="45"/>
      <c r="AO1044" s="52"/>
      <c r="AP1044" s="67"/>
      <c r="AQ1044" s="67"/>
      <c r="AR1044" s="67"/>
      <c r="AS1044" s="94"/>
      <c r="AT1044" s="63"/>
      <c r="AU1044" s="44"/>
      <c r="AV1044" s="44"/>
      <c r="AW1044" s="44"/>
      <c r="AX1044" s="44"/>
      <c r="AY1044" s="44"/>
      <c r="AZ1044" s="44"/>
      <c r="BA1044" s="43" t="s">
        <v>89</v>
      </c>
      <c r="BB1044" s="44"/>
      <c r="BC1044" s="95"/>
      <c r="BD1044" s="71"/>
      <c r="BE1044" s="71"/>
      <c r="BF1044" s="130"/>
      <c r="BG1044" s="73"/>
      <c r="BH1044" s="73"/>
      <c r="BI1044" s="73"/>
      <c r="BJ1044" s="73"/>
      <c r="BK1044" s="73"/>
      <c r="BL1044" s="73"/>
      <c r="BM1044" s="73"/>
      <c r="BN1044" s="73"/>
      <c r="BO1044" s="73"/>
      <c r="BP1044" s="73"/>
      <c r="BQ1044" s="73"/>
      <c r="BR1044" s="73"/>
      <c r="BS1044" s="73"/>
      <c r="BT1044" s="73"/>
      <c r="BU1044" s="73"/>
      <c r="BV1044" s="73"/>
      <c r="BW1044" s="74"/>
      <c r="BX1044" s="74"/>
      <c r="BY1044" s="63"/>
      <c r="BZ1044" s="63"/>
    </row>
    <row r="1045" ht="15.75" customHeight="1">
      <c r="A1045" s="41"/>
      <c r="B1045" s="50"/>
      <c r="C1045" s="50"/>
      <c r="D1045" s="50"/>
      <c r="E1045" s="64"/>
      <c r="F1045" s="78">
        <v>0.0</v>
      </c>
      <c r="G1045" s="44" t="str">
        <f t="shared" si="35"/>
        <v>$0 a $100'000.000</v>
      </c>
      <c r="H1045" s="44"/>
      <c r="I1045" s="44"/>
      <c r="J1045" s="50"/>
      <c r="K1045" s="51"/>
      <c r="L1045" s="44"/>
      <c r="M1045" s="44"/>
      <c r="N1045" s="44"/>
      <c r="O1045" s="44"/>
      <c r="P1045" s="44"/>
      <c r="Q1045" s="88">
        <v>0.0</v>
      </c>
      <c r="R1045" s="89">
        <v>0.0</v>
      </c>
      <c r="S1045" s="56" t="str">
        <f t="shared" si="34"/>
        <v> </v>
      </c>
      <c r="T1045" s="50"/>
      <c r="U1045" s="57"/>
      <c r="V1045" s="44"/>
      <c r="W1045" s="44"/>
      <c r="X1045" s="44"/>
      <c r="Y1045" s="44"/>
      <c r="Z1045" s="91"/>
      <c r="AA1045" s="59" t="str">
        <f>IF(Rentabilidad=0,"No aplica",TEXT(ROUND(Precio/Rentabilidad/12,0),0) &amp; " años")</f>
        <v>No aplica</v>
      </c>
      <c r="AB1045" s="212"/>
      <c r="AC1045" s="61"/>
      <c r="AD1045" s="107"/>
      <c r="AE1045" s="63"/>
      <c r="AF1045" s="64"/>
      <c r="AG1045" s="63"/>
      <c r="AH1045" s="63"/>
      <c r="AI1045" s="63"/>
      <c r="AJ1045" s="45"/>
      <c r="AK1045" s="50"/>
      <c r="AL1045" s="45"/>
      <c r="AM1045" s="44"/>
      <c r="AN1045" s="45"/>
      <c r="AO1045" s="52"/>
      <c r="AP1045" s="67"/>
      <c r="AQ1045" s="67"/>
      <c r="AR1045" s="67"/>
      <c r="AS1045" s="94"/>
      <c r="AT1045" s="63"/>
      <c r="AU1045" s="44"/>
      <c r="AV1045" s="44"/>
      <c r="AW1045" s="44"/>
      <c r="AX1045" s="44"/>
      <c r="AY1045" s="44"/>
      <c r="AZ1045" s="44"/>
      <c r="BA1045" s="43" t="s">
        <v>89</v>
      </c>
      <c r="BB1045" s="44"/>
      <c r="BC1045" s="95"/>
      <c r="BD1045" s="71"/>
      <c r="BE1045" s="71"/>
      <c r="BF1045" s="130"/>
      <c r="BG1045" s="73"/>
      <c r="BH1045" s="73"/>
      <c r="BI1045" s="73"/>
      <c r="BJ1045" s="73"/>
      <c r="BK1045" s="73"/>
      <c r="BL1045" s="73"/>
      <c r="BM1045" s="73"/>
      <c r="BN1045" s="73"/>
      <c r="BO1045" s="73"/>
      <c r="BP1045" s="73"/>
      <c r="BQ1045" s="73"/>
      <c r="BR1045" s="73"/>
      <c r="BS1045" s="73"/>
      <c r="BT1045" s="73"/>
      <c r="BU1045" s="73"/>
      <c r="BV1045" s="73"/>
      <c r="BW1045" s="74"/>
      <c r="BX1045" s="74"/>
      <c r="BY1045" s="63"/>
      <c r="BZ1045" s="63"/>
    </row>
    <row r="1046" ht="15.75" customHeight="1">
      <c r="A1046" s="41"/>
      <c r="B1046" s="50"/>
      <c r="C1046" s="50"/>
      <c r="D1046" s="50"/>
      <c r="E1046" s="64"/>
      <c r="F1046" s="78">
        <v>0.0</v>
      </c>
      <c r="G1046" s="44" t="str">
        <f t="shared" si="35"/>
        <v>$0 a $100'000.000</v>
      </c>
      <c r="H1046" s="44"/>
      <c r="I1046" s="44"/>
      <c r="J1046" s="50"/>
      <c r="K1046" s="51"/>
      <c r="L1046" s="44"/>
      <c r="M1046" s="44"/>
      <c r="N1046" s="44"/>
      <c r="O1046" s="44"/>
      <c r="P1046" s="44"/>
      <c r="Q1046" s="88">
        <v>0.0</v>
      </c>
      <c r="R1046" s="89">
        <v>0.0</v>
      </c>
      <c r="S1046" s="56" t="str">
        <f t="shared" si="34"/>
        <v> </v>
      </c>
      <c r="T1046" s="50"/>
      <c r="U1046" s="57"/>
      <c r="V1046" s="44"/>
      <c r="W1046" s="44"/>
      <c r="X1046" s="44"/>
      <c r="Y1046" s="44"/>
      <c r="Z1046" s="91"/>
      <c r="AA1046" s="59" t="str">
        <f>IF(Rentabilidad=0,"No aplica",TEXT(ROUND(Precio/Rentabilidad/12,0),0) &amp; " años")</f>
        <v>No aplica</v>
      </c>
      <c r="AB1046" s="212"/>
      <c r="AC1046" s="61"/>
      <c r="AD1046" s="107"/>
      <c r="AE1046" s="63"/>
      <c r="AF1046" s="64"/>
      <c r="AG1046" s="63"/>
      <c r="AH1046" s="63"/>
      <c r="AI1046" s="63"/>
      <c r="AJ1046" s="45"/>
      <c r="AK1046" s="50"/>
      <c r="AL1046" s="45"/>
      <c r="AM1046" s="44"/>
      <c r="AN1046" s="45"/>
      <c r="AO1046" s="52"/>
      <c r="AP1046" s="67"/>
      <c r="AQ1046" s="67"/>
      <c r="AR1046" s="67"/>
      <c r="AS1046" s="94"/>
      <c r="AT1046" s="63"/>
      <c r="AU1046" s="44"/>
      <c r="AV1046" s="44"/>
      <c r="AW1046" s="44"/>
      <c r="AX1046" s="44"/>
      <c r="AY1046" s="44"/>
      <c r="AZ1046" s="44"/>
      <c r="BA1046" s="43" t="s">
        <v>89</v>
      </c>
      <c r="BB1046" s="44"/>
      <c r="BC1046" s="95"/>
      <c r="BD1046" s="71"/>
      <c r="BE1046" s="71"/>
      <c r="BF1046" s="130"/>
      <c r="BG1046" s="73"/>
      <c r="BH1046" s="73"/>
      <c r="BI1046" s="73"/>
      <c r="BJ1046" s="73"/>
      <c r="BK1046" s="73"/>
      <c r="BL1046" s="73"/>
      <c r="BM1046" s="73"/>
      <c r="BN1046" s="73"/>
      <c r="BO1046" s="73"/>
      <c r="BP1046" s="73"/>
      <c r="BQ1046" s="73"/>
      <c r="BR1046" s="73"/>
      <c r="BS1046" s="73"/>
      <c r="BT1046" s="73"/>
      <c r="BU1046" s="73"/>
      <c r="BV1046" s="73"/>
      <c r="BW1046" s="74"/>
      <c r="BX1046" s="74"/>
      <c r="BY1046" s="63"/>
      <c r="BZ1046" s="63"/>
    </row>
    <row r="1047" ht="15.75" customHeight="1">
      <c r="A1047" s="41"/>
      <c r="B1047" s="50"/>
      <c r="C1047" s="50"/>
      <c r="D1047" s="50"/>
      <c r="E1047" s="64"/>
      <c r="F1047" s="78">
        <v>0.0</v>
      </c>
      <c r="G1047" s="44" t="str">
        <f t="shared" si="35"/>
        <v>$0 a $100'000.000</v>
      </c>
      <c r="H1047" s="44"/>
      <c r="I1047" s="44"/>
      <c r="J1047" s="50"/>
      <c r="K1047" s="51"/>
      <c r="L1047" s="44"/>
      <c r="M1047" s="44"/>
      <c r="N1047" s="44"/>
      <c r="O1047" s="44"/>
      <c r="P1047" s="44"/>
      <c r="Q1047" s="88">
        <v>0.0</v>
      </c>
      <c r="R1047" s="89">
        <v>0.0</v>
      </c>
      <c r="S1047" s="56" t="str">
        <f t="shared" si="34"/>
        <v> </v>
      </c>
      <c r="T1047" s="50"/>
      <c r="U1047" s="57"/>
      <c r="V1047" s="44"/>
      <c r="W1047" s="44"/>
      <c r="X1047" s="44"/>
      <c r="Y1047" s="44"/>
      <c r="Z1047" s="91"/>
      <c r="AA1047" s="59" t="str">
        <f>IF(Rentabilidad=0,"No aplica",TEXT(ROUND(Precio/Rentabilidad/12,0),0) &amp; " años")</f>
        <v>No aplica</v>
      </c>
      <c r="AB1047" s="212"/>
      <c r="AC1047" s="61"/>
      <c r="AD1047" s="107"/>
      <c r="AE1047" s="63"/>
      <c r="AF1047" s="64"/>
      <c r="AG1047" s="63"/>
      <c r="AH1047" s="63"/>
      <c r="AI1047" s="63"/>
      <c r="AJ1047" s="45"/>
      <c r="AK1047" s="50"/>
      <c r="AL1047" s="45"/>
      <c r="AM1047" s="44"/>
      <c r="AN1047" s="45"/>
      <c r="AO1047" s="52"/>
      <c r="AP1047" s="67"/>
      <c r="AQ1047" s="67"/>
      <c r="AR1047" s="67"/>
      <c r="AS1047" s="94"/>
      <c r="AT1047" s="63"/>
      <c r="AU1047" s="44"/>
      <c r="AV1047" s="44"/>
      <c r="AW1047" s="44"/>
      <c r="AX1047" s="44"/>
      <c r="AY1047" s="44"/>
      <c r="AZ1047" s="44"/>
      <c r="BA1047" s="43" t="s">
        <v>89</v>
      </c>
      <c r="BB1047" s="44"/>
      <c r="BC1047" s="95"/>
      <c r="BD1047" s="71"/>
      <c r="BE1047" s="71"/>
      <c r="BF1047" s="130"/>
      <c r="BG1047" s="73"/>
      <c r="BH1047" s="73"/>
      <c r="BI1047" s="73"/>
      <c r="BJ1047" s="73"/>
      <c r="BK1047" s="73"/>
      <c r="BL1047" s="73"/>
      <c r="BM1047" s="73"/>
      <c r="BN1047" s="73"/>
      <c r="BO1047" s="73"/>
      <c r="BP1047" s="73"/>
      <c r="BQ1047" s="73"/>
      <c r="BR1047" s="73"/>
      <c r="BS1047" s="73"/>
      <c r="BT1047" s="73"/>
      <c r="BU1047" s="73"/>
      <c r="BV1047" s="73"/>
      <c r="BW1047" s="74"/>
      <c r="BX1047" s="74"/>
      <c r="BY1047" s="63"/>
      <c r="BZ1047" s="63"/>
    </row>
    <row r="1048" ht="15.75" customHeight="1">
      <c r="A1048" s="41"/>
      <c r="B1048" s="50"/>
      <c r="C1048" s="50"/>
      <c r="D1048" s="50"/>
      <c r="E1048" s="64"/>
      <c r="F1048" s="78">
        <v>0.0</v>
      </c>
      <c r="G1048" s="44" t="str">
        <f t="shared" si="35"/>
        <v>$0 a $100'000.000</v>
      </c>
      <c r="H1048" s="44"/>
      <c r="I1048" s="44"/>
      <c r="J1048" s="50"/>
      <c r="K1048" s="51"/>
      <c r="L1048" s="44"/>
      <c r="M1048" s="44"/>
      <c r="N1048" s="44"/>
      <c r="O1048" s="44"/>
      <c r="P1048" s="44"/>
      <c r="Q1048" s="88">
        <v>0.0</v>
      </c>
      <c r="R1048" s="89">
        <v>0.0</v>
      </c>
      <c r="S1048" s="56" t="str">
        <f t="shared" si="34"/>
        <v> </v>
      </c>
      <c r="T1048" s="50"/>
      <c r="U1048" s="57"/>
      <c r="V1048" s="44"/>
      <c r="W1048" s="44"/>
      <c r="X1048" s="44"/>
      <c r="Y1048" s="44"/>
      <c r="Z1048" s="91"/>
      <c r="AA1048" s="59" t="str">
        <f>IF(Rentabilidad=0,"No aplica",TEXT(ROUND(Precio/Rentabilidad/12,0),0) &amp; " años")</f>
        <v>No aplica</v>
      </c>
      <c r="AB1048" s="212"/>
      <c r="AC1048" s="61"/>
      <c r="AD1048" s="107"/>
      <c r="AE1048" s="63"/>
      <c r="AF1048" s="64"/>
      <c r="AG1048" s="63"/>
      <c r="AH1048" s="63"/>
      <c r="AI1048" s="63"/>
      <c r="AJ1048" s="45"/>
      <c r="AK1048" s="50"/>
      <c r="AL1048" s="45"/>
      <c r="AM1048" s="44"/>
      <c r="AN1048" s="45"/>
      <c r="AO1048" s="52"/>
      <c r="AP1048" s="67"/>
      <c r="AQ1048" s="67"/>
      <c r="AR1048" s="67"/>
      <c r="AS1048" s="94"/>
      <c r="AT1048" s="63"/>
      <c r="AU1048" s="44"/>
      <c r="AV1048" s="44"/>
      <c r="AW1048" s="44"/>
      <c r="AX1048" s="44"/>
      <c r="AY1048" s="44"/>
      <c r="AZ1048" s="44"/>
      <c r="BA1048" s="43" t="s">
        <v>89</v>
      </c>
      <c r="BB1048" s="44"/>
      <c r="BC1048" s="95"/>
      <c r="BD1048" s="71"/>
      <c r="BE1048" s="71"/>
      <c r="BF1048" s="130"/>
      <c r="BG1048" s="73"/>
      <c r="BH1048" s="73"/>
      <c r="BI1048" s="73"/>
      <c r="BJ1048" s="73"/>
      <c r="BK1048" s="73"/>
      <c r="BL1048" s="73"/>
      <c r="BM1048" s="73"/>
      <c r="BN1048" s="73"/>
      <c r="BO1048" s="73"/>
      <c r="BP1048" s="73"/>
      <c r="BQ1048" s="73"/>
      <c r="BR1048" s="73"/>
      <c r="BS1048" s="73"/>
      <c r="BT1048" s="73"/>
      <c r="BU1048" s="73"/>
      <c r="BV1048" s="73"/>
      <c r="BW1048" s="74"/>
      <c r="BX1048" s="74"/>
      <c r="BY1048" s="63"/>
      <c r="BZ1048" s="63"/>
    </row>
    <row r="1049" ht="15.75" customHeight="1">
      <c r="A1049" s="41"/>
      <c r="B1049" s="50"/>
      <c r="C1049" s="50"/>
      <c r="D1049" s="50"/>
      <c r="E1049" s="64"/>
      <c r="F1049" s="78">
        <v>0.0</v>
      </c>
      <c r="G1049" s="44" t="str">
        <f t="shared" si="35"/>
        <v>$0 a $100'000.000</v>
      </c>
      <c r="H1049" s="44"/>
      <c r="I1049" s="44"/>
      <c r="J1049" s="50"/>
      <c r="K1049" s="51"/>
      <c r="L1049" s="44"/>
      <c r="M1049" s="44"/>
      <c r="N1049" s="44"/>
      <c r="O1049" s="44"/>
      <c r="P1049" s="44"/>
      <c r="Q1049" s="88">
        <v>0.0</v>
      </c>
      <c r="R1049" s="89">
        <v>0.0</v>
      </c>
      <c r="S1049" s="56" t="str">
        <f t="shared" si="34"/>
        <v> </v>
      </c>
      <c r="T1049" s="50"/>
      <c r="U1049" s="57"/>
      <c r="V1049" s="44"/>
      <c r="W1049" s="44"/>
      <c r="X1049" s="44"/>
      <c r="Y1049" s="44"/>
      <c r="Z1049" s="91"/>
      <c r="AA1049" s="59" t="str">
        <f>IF(Rentabilidad=0,"No aplica",TEXT(ROUND(Precio/Rentabilidad/12,0),0) &amp; " años")</f>
        <v>No aplica</v>
      </c>
      <c r="AB1049" s="212"/>
      <c r="AC1049" s="61"/>
      <c r="AD1049" s="107"/>
      <c r="AE1049" s="63"/>
      <c r="AF1049" s="64"/>
      <c r="AG1049" s="63"/>
      <c r="AH1049" s="63"/>
      <c r="AI1049" s="63"/>
      <c r="AJ1049" s="45"/>
      <c r="AK1049" s="50"/>
      <c r="AL1049" s="45"/>
      <c r="AM1049" s="44"/>
      <c r="AN1049" s="45"/>
      <c r="AO1049" s="52"/>
      <c r="AP1049" s="67"/>
      <c r="AQ1049" s="67"/>
      <c r="AR1049" s="67"/>
      <c r="AS1049" s="94"/>
      <c r="AT1049" s="63"/>
      <c r="AU1049" s="44"/>
      <c r="AV1049" s="44"/>
      <c r="AW1049" s="44"/>
      <c r="AX1049" s="44"/>
      <c r="AY1049" s="44"/>
      <c r="AZ1049" s="44"/>
      <c r="BA1049" s="43" t="s">
        <v>89</v>
      </c>
      <c r="BB1049" s="44"/>
      <c r="BC1049" s="95"/>
      <c r="BD1049" s="71"/>
      <c r="BE1049" s="71"/>
      <c r="BF1049" s="130"/>
      <c r="BG1049" s="73"/>
      <c r="BH1049" s="73"/>
      <c r="BI1049" s="73"/>
      <c r="BJ1049" s="73"/>
      <c r="BK1049" s="73"/>
      <c r="BL1049" s="73"/>
      <c r="BM1049" s="73"/>
      <c r="BN1049" s="73"/>
      <c r="BO1049" s="73"/>
      <c r="BP1049" s="73"/>
      <c r="BQ1049" s="73"/>
      <c r="BR1049" s="73"/>
      <c r="BS1049" s="73"/>
      <c r="BT1049" s="73"/>
      <c r="BU1049" s="73"/>
      <c r="BV1049" s="73"/>
      <c r="BW1049" s="74"/>
      <c r="BX1049" s="74"/>
      <c r="BY1049" s="63"/>
      <c r="BZ1049" s="63"/>
    </row>
    <row r="1050" ht="15.75" customHeight="1">
      <c r="A1050" s="41"/>
      <c r="B1050" s="50"/>
      <c r="C1050" s="50"/>
      <c r="D1050" s="50"/>
      <c r="E1050" s="64"/>
      <c r="F1050" s="78">
        <v>0.0</v>
      </c>
      <c r="G1050" s="44" t="str">
        <f t="shared" si="35"/>
        <v>$0 a $100'000.000</v>
      </c>
      <c r="H1050" s="44"/>
      <c r="I1050" s="44"/>
      <c r="J1050" s="50"/>
      <c r="K1050" s="51"/>
      <c r="L1050" s="44"/>
      <c r="M1050" s="44"/>
      <c r="N1050" s="44"/>
      <c r="O1050" s="44"/>
      <c r="P1050" s="44"/>
      <c r="Q1050" s="88">
        <v>0.0</v>
      </c>
      <c r="R1050" s="89">
        <v>0.0</v>
      </c>
      <c r="S1050" s="56" t="str">
        <f t="shared" si="34"/>
        <v> </v>
      </c>
      <c r="T1050" s="50"/>
      <c r="U1050" s="57"/>
      <c r="V1050" s="44"/>
      <c r="W1050" s="44"/>
      <c r="X1050" s="44"/>
      <c r="Y1050" s="44"/>
      <c r="Z1050" s="91"/>
      <c r="AA1050" s="59" t="str">
        <f>IF(Rentabilidad=0,"No aplica",TEXT(ROUND(Precio/Rentabilidad/12,0),0) &amp; " años")</f>
        <v>No aplica</v>
      </c>
      <c r="AB1050" s="212"/>
      <c r="AC1050" s="61"/>
      <c r="AD1050" s="107"/>
      <c r="AE1050" s="63"/>
      <c r="AF1050" s="64"/>
      <c r="AG1050" s="63"/>
      <c r="AH1050" s="63"/>
      <c r="AI1050" s="63"/>
      <c r="AJ1050" s="45"/>
      <c r="AK1050" s="50"/>
      <c r="AL1050" s="45"/>
      <c r="AM1050" s="44"/>
      <c r="AN1050" s="45"/>
      <c r="AO1050" s="52"/>
      <c r="AP1050" s="67"/>
      <c r="AQ1050" s="67"/>
      <c r="AR1050" s="67"/>
      <c r="AS1050" s="94"/>
      <c r="AT1050" s="63"/>
      <c r="AU1050" s="44"/>
      <c r="AV1050" s="44"/>
      <c r="AW1050" s="44"/>
      <c r="AX1050" s="44"/>
      <c r="AY1050" s="44"/>
      <c r="AZ1050" s="44"/>
      <c r="BA1050" s="43" t="s">
        <v>89</v>
      </c>
      <c r="BB1050" s="44"/>
      <c r="BC1050" s="95"/>
      <c r="BD1050" s="71"/>
      <c r="BE1050" s="71"/>
      <c r="BF1050" s="130"/>
      <c r="BG1050" s="73"/>
      <c r="BH1050" s="73"/>
      <c r="BI1050" s="73"/>
      <c r="BJ1050" s="73"/>
      <c r="BK1050" s="73"/>
      <c r="BL1050" s="73"/>
      <c r="BM1050" s="73"/>
      <c r="BN1050" s="73"/>
      <c r="BO1050" s="73"/>
      <c r="BP1050" s="73"/>
      <c r="BQ1050" s="73"/>
      <c r="BR1050" s="73"/>
      <c r="BS1050" s="73"/>
      <c r="BT1050" s="73"/>
      <c r="BU1050" s="73"/>
      <c r="BV1050" s="73"/>
      <c r="BW1050" s="74"/>
      <c r="BX1050" s="74"/>
      <c r="BY1050" s="63"/>
      <c r="BZ1050" s="63"/>
    </row>
    <row r="1051" ht="15.75" customHeight="1">
      <c r="A1051" s="41"/>
      <c r="B1051" s="50"/>
      <c r="C1051" s="50"/>
      <c r="D1051" s="50"/>
      <c r="E1051" s="64"/>
      <c r="F1051" s="78">
        <v>0.0</v>
      </c>
      <c r="G1051" s="44" t="str">
        <f t="shared" si="35"/>
        <v>$0 a $100'000.000</v>
      </c>
      <c r="H1051" s="44"/>
      <c r="I1051" s="44"/>
      <c r="J1051" s="50"/>
      <c r="K1051" s="51"/>
      <c r="L1051" s="44"/>
      <c r="M1051" s="44"/>
      <c r="N1051" s="44"/>
      <c r="O1051" s="44"/>
      <c r="P1051" s="44"/>
      <c r="Q1051" s="88">
        <v>0.0</v>
      </c>
      <c r="R1051" s="89">
        <v>0.0</v>
      </c>
      <c r="S1051" s="56" t="str">
        <f t="shared" si="34"/>
        <v> </v>
      </c>
      <c r="T1051" s="50"/>
      <c r="U1051" s="57"/>
      <c r="V1051" s="44"/>
      <c r="W1051" s="44"/>
      <c r="X1051" s="44"/>
      <c r="Y1051" s="44"/>
      <c r="Z1051" s="91"/>
      <c r="AA1051" s="59" t="str">
        <f>IF(Rentabilidad=0,"No aplica",TEXT(ROUND(Precio/Rentabilidad/12,0),0) &amp; " años")</f>
        <v>No aplica</v>
      </c>
      <c r="AB1051" s="212"/>
      <c r="AC1051" s="61"/>
      <c r="AD1051" s="107"/>
      <c r="AE1051" s="63"/>
      <c r="AF1051" s="64"/>
      <c r="AG1051" s="63"/>
      <c r="AH1051" s="63"/>
      <c r="AI1051" s="63"/>
      <c r="AJ1051" s="45"/>
      <c r="AK1051" s="50"/>
      <c r="AL1051" s="45"/>
      <c r="AM1051" s="44"/>
      <c r="AN1051" s="45"/>
      <c r="AO1051" s="52"/>
      <c r="AP1051" s="67"/>
      <c r="AQ1051" s="67"/>
      <c r="AR1051" s="67"/>
      <c r="AS1051" s="94"/>
      <c r="AT1051" s="63"/>
      <c r="AU1051" s="44"/>
      <c r="AV1051" s="44"/>
      <c r="AW1051" s="44"/>
      <c r="AX1051" s="44"/>
      <c r="AY1051" s="44"/>
      <c r="AZ1051" s="44"/>
      <c r="BA1051" s="43" t="s">
        <v>89</v>
      </c>
      <c r="BB1051" s="44"/>
      <c r="BC1051" s="95"/>
      <c r="BD1051" s="71"/>
      <c r="BE1051" s="71"/>
      <c r="BF1051" s="130"/>
      <c r="BG1051" s="73"/>
      <c r="BH1051" s="73"/>
      <c r="BI1051" s="73"/>
      <c r="BJ1051" s="73"/>
      <c r="BK1051" s="73"/>
      <c r="BL1051" s="73"/>
      <c r="BM1051" s="73"/>
      <c r="BN1051" s="73"/>
      <c r="BO1051" s="73"/>
      <c r="BP1051" s="73"/>
      <c r="BQ1051" s="73"/>
      <c r="BR1051" s="73"/>
      <c r="BS1051" s="73"/>
      <c r="BT1051" s="73"/>
      <c r="BU1051" s="73"/>
      <c r="BV1051" s="73"/>
      <c r="BW1051" s="74"/>
      <c r="BX1051" s="74"/>
      <c r="BY1051" s="63"/>
      <c r="BZ1051" s="63"/>
    </row>
    <row r="1052" ht="15.75" customHeight="1">
      <c r="A1052" s="41"/>
      <c r="B1052" s="50"/>
      <c r="C1052" s="50"/>
      <c r="D1052" s="50"/>
      <c r="E1052" s="64"/>
      <c r="F1052" s="78">
        <v>0.0</v>
      </c>
      <c r="G1052" s="44" t="str">
        <f t="shared" si="35"/>
        <v>$0 a $100'000.000</v>
      </c>
      <c r="H1052" s="44"/>
      <c r="I1052" s="44"/>
      <c r="J1052" s="50"/>
      <c r="K1052" s="51"/>
      <c r="L1052" s="44"/>
      <c r="M1052" s="44"/>
      <c r="N1052" s="44"/>
      <c r="O1052" s="44"/>
      <c r="P1052" s="44"/>
      <c r="Q1052" s="88">
        <v>0.0</v>
      </c>
      <c r="R1052" s="89">
        <v>0.0</v>
      </c>
      <c r="S1052" s="56" t="str">
        <f t="shared" si="34"/>
        <v> </v>
      </c>
      <c r="T1052" s="50"/>
      <c r="U1052" s="57"/>
      <c r="V1052" s="44"/>
      <c r="W1052" s="44"/>
      <c r="X1052" s="44"/>
      <c r="Y1052" s="44"/>
      <c r="Z1052" s="91"/>
      <c r="AA1052" s="59" t="str">
        <f>IF(Rentabilidad=0,"No aplica",TEXT(ROUND(Precio/Rentabilidad/12,0),0) &amp; " años")</f>
        <v>No aplica</v>
      </c>
      <c r="AB1052" s="212"/>
      <c r="AC1052" s="61"/>
      <c r="AD1052" s="107"/>
      <c r="AE1052" s="63"/>
      <c r="AF1052" s="64"/>
      <c r="AG1052" s="63"/>
      <c r="AH1052" s="63"/>
      <c r="AI1052" s="63"/>
      <c r="AJ1052" s="45"/>
      <c r="AK1052" s="50"/>
      <c r="AL1052" s="45"/>
      <c r="AM1052" s="44"/>
      <c r="AN1052" s="45"/>
      <c r="AO1052" s="52"/>
      <c r="AP1052" s="67"/>
      <c r="AQ1052" s="67"/>
      <c r="AR1052" s="67"/>
      <c r="AS1052" s="94"/>
      <c r="AT1052" s="63"/>
      <c r="AU1052" s="44"/>
      <c r="AV1052" s="44"/>
      <c r="AW1052" s="44"/>
      <c r="AX1052" s="44"/>
      <c r="AY1052" s="44"/>
      <c r="AZ1052" s="44"/>
      <c r="BA1052" s="43" t="s">
        <v>89</v>
      </c>
      <c r="BB1052" s="44"/>
      <c r="BC1052" s="95"/>
      <c r="BD1052" s="71"/>
      <c r="BE1052" s="71"/>
      <c r="BF1052" s="130"/>
      <c r="BG1052" s="73"/>
      <c r="BH1052" s="73"/>
      <c r="BI1052" s="73"/>
      <c r="BJ1052" s="73"/>
      <c r="BK1052" s="73"/>
      <c r="BL1052" s="73"/>
      <c r="BM1052" s="73"/>
      <c r="BN1052" s="73"/>
      <c r="BO1052" s="73"/>
      <c r="BP1052" s="73"/>
      <c r="BQ1052" s="73"/>
      <c r="BR1052" s="73"/>
      <c r="BS1052" s="73"/>
      <c r="BT1052" s="73"/>
      <c r="BU1052" s="73"/>
      <c r="BV1052" s="73"/>
      <c r="BW1052" s="74"/>
      <c r="BX1052" s="74"/>
      <c r="BY1052" s="63"/>
      <c r="BZ1052" s="63"/>
    </row>
    <row r="1053" ht="15.75" customHeight="1">
      <c r="A1053" s="41"/>
      <c r="B1053" s="50"/>
      <c r="C1053" s="50"/>
      <c r="D1053" s="50"/>
      <c r="E1053" s="64"/>
      <c r="F1053" s="78">
        <v>0.0</v>
      </c>
      <c r="G1053" s="44" t="str">
        <f t="shared" si="35"/>
        <v>$0 a $100'000.000</v>
      </c>
      <c r="H1053" s="44"/>
      <c r="I1053" s="44"/>
      <c r="J1053" s="50"/>
      <c r="K1053" s="51"/>
      <c r="L1053" s="44"/>
      <c r="M1053" s="44"/>
      <c r="N1053" s="44"/>
      <c r="O1053" s="44"/>
      <c r="P1053" s="44"/>
      <c r="Q1053" s="88">
        <v>0.0</v>
      </c>
      <c r="R1053" s="89">
        <v>0.0</v>
      </c>
      <c r="S1053" s="56" t="str">
        <f t="shared" si="34"/>
        <v> </v>
      </c>
      <c r="T1053" s="50"/>
      <c r="U1053" s="57"/>
      <c r="V1053" s="44"/>
      <c r="W1053" s="44"/>
      <c r="X1053" s="44"/>
      <c r="Y1053" s="44"/>
      <c r="Z1053" s="91"/>
      <c r="AA1053" s="59" t="str">
        <f>IF(Rentabilidad=0,"No aplica",TEXT(ROUND(Precio/Rentabilidad/12,0),0) &amp; " años")</f>
        <v>No aplica</v>
      </c>
      <c r="AB1053" s="212"/>
      <c r="AC1053" s="61"/>
      <c r="AD1053" s="107"/>
      <c r="AE1053" s="63"/>
      <c r="AF1053" s="64"/>
      <c r="AG1053" s="63"/>
      <c r="AH1053" s="63"/>
      <c r="AI1053" s="63"/>
      <c r="AJ1053" s="45"/>
      <c r="AK1053" s="50"/>
      <c r="AL1053" s="45"/>
      <c r="AM1053" s="44"/>
      <c r="AN1053" s="45"/>
      <c r="AO1053" s="52"/>
      <c r="AP1053" s="67"/>
      <c r="AQ1053" s="67"/>
      <c r="AR1053" s="67"/>
      <c r="AS1053" s="94"/>
      <c r="AT1053" s="63"/>
      <c r="AU1053" s="44"/>
      <c r="AV1053" s="44"/>
      <c r="AW1053" s="44"/>
      <c r="AX1053" s="44"/>
      <c r="AY1053" s="44"/>
      <c r="AZ1053" s="44"/>
      <c r="BA1053" s="43" t="s">
        <v>89</v>
      </c>
      <c r="BB1053" s="44"/>
      <c r="BC1053" s="95"/>
      <c r="BD1053" s="71"/>
      <c r="BE1053" s="71"/>
      <c r="BF1053" s="130"/>
      <c r="BG1053" s="73"/>
      <c r="BH1053" s="73"/>
      <c r="BI1053" s="73"/>
      <c r="BJ1053" s="73"/>
      <c r="BK1053" s="73"/>
      <c r="BL1053" s="73"/>
      <c r="BM1053" s="73"/>
      <c r="BN1053" s="73"/>
      <c r="BO1053" s="73"/>
      <c r="BP1053" s="73"/>
      <c r="BQ1053" s="73"/>
      <c r="BR1053" s="73"/>
      <c r="BS1053" s="73"/>
      <c r="BT1053" s="73"/>
      <c r="BU1053" s="73"/>
      <c r="BV1053" s="73"/>
      <c r="BW1053" s="74"/>
      <c r="BX1053" s="74"/>
      <c r="BY1053" s="63"/>
      <c r="BZ1053" s="63"/>
    </row>
    <row r="1054" ht="15.75" customHeight="1">
      <c r="A1054" s="41"/>
      <c r="B1054" s="50"/>
      <c r="C1054" s="50"/>
      <c r="D1054" s="50"/>
      <c r="E1054" s="64"/>
      <c r="F1054" s="78">
        <v>0.0</v>
      </c>
      <c r="G1054" s="44" t="str">
        <f t="shared" si="35"/>
        <v>$0 a $100'000.000</v>
      </c>
      <c r="H1054" s="44"/>
      <c r="I1054" s="44"/>
      <c r="J1054" s="50"/>
      <c r="K1054" s="51"/>
      <c r="L1054" s="44"/>
      <c r="M1054" s="44"/>
      <c r="N1054" s="44"/>
      <c r="O1054" s="44"/>
      <c r="P1054" s="44"/>
      <c r="Q1054" s="88">
        <v>0.0</v>
      </c>
      <c r="R1054" s="89">
        <v>0.0</v>
      </c>
      <c r="S1054" s="56" t="str">
        <f t="shared" si="34"/>
        <v> </v>
      </c>
      <c r="T1054" s="50"/>
      <c r="U1054" s="57"/>
      <c r="V1054" s="44"/>
      <c r="W1054" s="44"/>
      <c r="X1054" s="44"/>
      <c r="Y1054" s="44"/>
      <c r="Z1054" s="91"/>
      <c r="AA1054" s="59" t="str">
        <f>IF(Rentabilidad=0,"No aplica",TEXT(ROUND(Precio/Rentabilidad/12,0),0) &amp; " años")</f>
        <v>No aplica</v>
      </c>
      <c r="AB1054" s="212"/>
      <c r="AC1054" s="61"/>
      <c r="AD1054" s="107"/>
      <c r="AE1054" s="63"/>
      <c r="AF1054" s="64"/>
      <c r="AG1054" s="63"/>
      <c r="AH1054" s="63"/>
      <c r="AI1054" s="63"/>
      <c r="AJ1054" s="45"/>
      <c r="AK1054" s="50"/>
      <c r="AL1054" s="45"/>
      <c r="AM1054" s="44"/>
      <c r="AN1054" s="45"/>
      <c r="AO1054" s="52"/>
      <c r="AP1054" s="67"/>
      <c r="AQ1054" s="67"/>
      <c r="AR1054" s="67"/>
      <c r="AS1054" s="94"/>
      <c r="AT1054" s="63"/>
      <c r="AU1054" s="44"/>
      <c r="AV1054" s="44"/>
      <c r="AW1054" s="44"/>
      <c r="AX1054" s="44"/>
      <c r="AY1054" s="44"/>
      <c r="AZ1054" s="44"/>
      <c r="BA1054" s="43" t="s">
        <v>89</v>
      </c>
      <c r="BB1054" s="44"/>
      <c r="BC1054" s="95"/>
      <c r="BD1054" s="71"/>
      <c r="BE1054" s="71"/>
      <c r="BF1054" s="130"/>
      <c r="BG1054" s="73"/>
      <c r="BH1054" s="73"/>
      <c r="BI1054" s="73"/>
      <c r="BJ1054" s="73"/>
      <c r="BK1054" s="73"/>
      <c r="BL1054" s="73"/>
      <c r="BM1054" s="73"/>
      <c r="BN1054" s="73"/>
      <c r="BO1054" s="73"/>
      <c r="BP1054" s="73"/>
      <c r="BQ1054" s="73"/>
      <c r="BR1054" s="73"/>
      <c r="BS1054" s="73"/>
      <c r="BT1054" s="73"/>
      <c r="BU1054" s="73"/>
      <c r="BV1054" s="73"/>
      <c r="BW1054" s="74"/>
      <c r="BX1054" s="74"/>
      <c r="BY1054" s="63"/>
      <c r="BZ1054" s="63"/>
    </row>
    <row r="1055" ht="15.75" customHeight="1">
      <c r="A1055" s="41"/>
      <c r="B1055" s="50"/>
      <c r="C1055" s="50"/>
      <c r="D1055" s="50"/>
      <c r="E1055" s="64"/>
      <c r="F1055" s="78">
        <v>0.0</v>
      </c>
      <c r="G1055" s="44" t="str">
        <f t="shared" si="35"/>
        <v>$0 a $100'000.000</v>
      </c>
      <c r="H1055" s="44"/>
      <c r="I1055" s="44"/>
      <c r="J1055" s="50"/>
      <c r="K1055" s="51"/>
      <c r="L1055" s="44"/>
      <c r="M1055" s="44"/>
      <c r="N1055" s="44"/>
      <c r="O1055" s="44"/>
      <c r="P1055" s="44"/>
      <c r="Q1055" s="88">
        <v>0.0</v>
      </c>
      <c r="R1055" s="89">
        <v>0.0</v>
      </c>
      <c r="S1055" s="56" t="str">
        <f t="shared" si="34"/>
        <v> </v>
      </c>
      <c r="T1055" s="50"/>
      <c r="U1055" s="57"/>
      <c r="V1055" s="44"/>
      <c r="W1055" s="44"/>
      <c r="X1055" s="44"/>
      <c r="Y1055" s="44"/>
      <c r="Z1055" s="91"/>
      <c r="AA1055" s="59" t="str">
        <f>IF(Rentabilidad=0,"No aplica",TEXT(ROUND(Precio/Rentabilidad/12,0),0) &amp; " años")</f>
        <v>No aplica</v>
      </c>
      <c r="AB1055" s="212"/>
      <c r="AC1055" s="61"/>
      <c r="AD1055" s="107"/>
      <c r="AE1055" s="63"/>
      <c r="AF1055" s="64"/>
      <c r="AG1055" s="63"/>
      <c r="AH1055" s="63"/>
      <c r="AI1055" s="63"/>
      <c r="AJ1055" s="45"/>
      <c r="AK1055" s="50"/>
      <c r="AL1055" s="45"/>
      <c r="AM1055" s="44"/>
      <c r="AN1055" s="45"/>
      <c r="AO1055" s="52"/>
      <c r="AP1055" s="67"/>
      <c r="AQ1055" s="67"/>
      <c r="AR1055" s="67"/>
      <c r="AS1055" s="94"/>
      <c r="AT1055" s="63"/>
      <c r="AU1055" s="44"/>
      <c r="AV1055" s="44"/>
      <c r="AW1055" s="44"/>
      <c r="AX1055" s="44"/>
      <c r="AY1055" s="44"/>
      <c r="AZ1055" s="44"/>
      <c r="BA1055" s="43" t="s">
        <v>89</v>
      </c>
      <c r="BB1055" s="44"/>
      <c r="BC1055" s="95"/>
      <c r="BD1055" s="71"/>
      <c r="BE1055" s="71"/>
      <c r="BF1055" s="130"/>
      <c r="BG1055" s="73"/>
      <c r="BH1055" s="73"/>
      <c r="BI1055" s="73"/>
      <c r="BJ1055" s="73"/>
      <c r="BK1055" s="73"/>
      <c r="BL1055" s="73"/>
      <c r="BM1055" s="73"/>
      <c r="BN1055" s="73"/>
      <c r="BO1055" s="73"/>
      <c r="BP1055" s="73"/>
      <c r="BQ1055" s="73"/>
      <c r="BR1055" s="73"/>
      <c r="BS1055" s="73"/>
      <c r="BT1055" s="73"/>
      <c r="BU1055" s="73"/>
      <c r="BV1055" s="73"/>
      <c r="BW1055" s="74"/>
      <c r="BX1055" s="74"/>
      <c r="BY1055" s="63"/>
      <c r="BZ1055" s="63"/>
    </row>
    <row r="1056" ht="15.75" customHeight="1">
      <c r="A1056" s="41"/>
      <c r="B1056" s="50"/>
      <c r="C1056" s="50"/>
      <c r="D1056" s="50"/>
      <c r="E1056" s="64"/>
      <c r="F1056" s="78">
        <v>0.0</v>
      </c>
      <c r="G1056" s="44" t="str">
        <f t="shared" si="35"/>
        <v>$0 a $100'000.000</v>
      </c>
      <c r="H1056" s="44"/>
      <c r="I1056" s="44"/>
      <c r="J1056" s="50"/>
      <c r="K1056" s="51"/>
      <c r="L1056" s="44"/>
      <c r="M1056" s="44"/>
      <c r="N1056" s="44"/>
      <c r="O1056" s="44"/>
      <c r="P1056" s="44"/>
      <c r="Q1056" s="88">
        <v>0.0</v>
      </c>
      <c r="R1056" s="89">
        <v>0.0</v>
      </c>
      <c r="S1056" s="56" t="str">
        <f t="shared" si="34"/>
        <v> </v>
      </c>
      <c r="T1056" s="50"/>
      <c r="U1056" s="57"/>
      <c r="V1056" s="44"/>
      <c r="W1056" s="44"/>
      <c r="X1056" s="44"/>
      <c r="Y1056" s="44"/>
      <c r="Z1056" s="91"/>
      <c r="AA1056" s="59" t="str">
        <f>IF(Rentabilidad=0,"No aplica",TEXT(ROUND(Precio/Rentabilidad/12,0),0) &amp; " años")</f>
        <v>No aplica</v>
      </c>
      <c r="AB1056" s="212"/>
      <c r="AC1056" s="61"/>
      <c r="AD1056" s="107"/>
      <c r="AE1056" s="63"/>
      <c r="AF1056" s="64"/>
      <c r="AG1056" s="63"/>
      <c r="AH1056" s="63"/>
      <c r="AI1056" s="63"/>
      <c r="AJ1056" s="45"/>
      <c r="AK1056" s="50"/>
      <c r="AL1056" s="45"/>
      <c r="AM1056" s="44"/>
      <c r="AN1056" s="45"/>
      <c r="AO1056" s="52"/>
      <c r="AP1056" s="67"/>
      <c r="AQ1056" s="67"/>
      <c r="AR1056" s="67"/>
      <c r="AS1056" s="94"/>
      <c r="AT1056" s="63"/>
      <c r="AU1056" s="44"/>
      <c r="AV1056" s="44"/>
      <c r="AW1056" s="44"/>
      <c r="AX1056" s="44"/>
      <c r="AY1056" s="44"/>
      <c r="AZ1056" s="44"/>
      <c r="BA1056" s="43" t="s">
        <v>89</v>
      </c>
      <c r="BB1056" s="44"/>
      <c r="BC1056" s="95"/>
      <c r="BD1056" s="71"/>
      <c r="BE1056" s="71"/>
      <c r="BF1056" s="130"/>
      <c r="BG1056" s="73"/>
      <c r="BH1056" s="73"/>
      <c r="BI1056" s="73"/>
      <c r="BJ1056" s="73"/>
      <c r="BK1056" s="73"/>
      <c r="BL1056" s="73"/>
      <c r="BM1056" s="73"/>
      <c r="BN1056" s="73"/>
      <c r="BO1056" s="73"/>
      <c r="BP1056" s="73"/>
      <c r="BQ1056" s="73"/>
      <c r="BR1056" s="73"/>
      <c r="BS1056" s="73"/>
      <c r="BT1056" s="73"/>
      <c r="BU1056" s="73"/>
      <c r="BV1056" s="73"/>
      <c r="BW1056" s="74"/>
      <c r="BX1056" s="74"/>
      <c r="BY1056" s="63"/>
      <c r="BZ1056" s="63"/>
    </row>
    <row r="1057" ht="15.75" customHeight="1">
      <c r="A1057" s="41"/>
      <c r="B1057" s="50"/>
      <c r="C1057" s="50"/>
      <c r="D1057" s="50"/>
      <c r="E1057" s="64"/>
      <c r="F1057" s="78">
        <v>0.0</v>
      </c>
      <c r="G1057" s="44" t="str">
        <f t="shared" si="35"/>
        <v>$0 a $100'000.000</v>
      </c>
      <c r="H1057" s="44"/>
      <c r="I1057" s="44"/>
      <c r="J1057" s="50"/>
      <c r="K1057" s="51"/>
      <c r="L1057" s="44"/>
      <c r="M1057" s="44"/>
      <c r="N1057" s="44"/>
      <c r="O1057" s="44"/>
      <c r="P1057" s="44"/>
      <c r="Q1057" s="88">
        <v>0.0</v>
      </c>
      <c r="R1057" s="89">
        <v>0.0</v>
      </c>
      <c r="S1057" s="56" t="str">
        <f t="shared" si="34"/>
        <v> </v>
      </c>
      <c r="T1057" s="50"/>
      <c r="U1057" s="57"/>
      <c r="V1057" s="44"/>
      <c r="W1057" s="44"/>
      <c r="X1057" s="44"/>
      <c r="Y1057" s="44"/>
      <c r="Z1057" s="91"/>
      <c r="AA1057" s="59" t="str">
        <f>IF(Rentabilidad=0,"No aplica",TEXT(ROUND(Precio/Rentabilidad/12,0),0) &amp; " años")</f>
        <v>No aplica</v>
      </c>
      <c r="AB1057" s="212"/>
      <c r="AC1057" s="61"/>
      <c r="AD1057" s="107"/>
      <c r="AE1057" s="63"/>
      <c r="AF1057" s="64"/>
      <c r="AG1057" s="63"/>
      <c r="AH1057" s="63"/>
      <c r="AI1057" s="63"/>
      <c r="AJ1057" s="45"/>
      <c r="AK1057" s="50"/>
      <c r="AL1057" s="45"/>
      <c r="AM1057" s="44"/>
      <c r="AN1057" s="45"/>
      <c r="AO1057" s="52"/>
      <c r="AP1057" s="67"/>
      <c r="AQ1057" s="67"/>
      <c r="AR1057" s="67"/>
      <c r="AS1057" s="94"/>
      <c r="AT1057" s="63"/>
      <c r="AU1057" s="44"/>
      <c r="AV1057" s="44"/>
      <c r="AW1057" s="44"/>
      <c r="AX1057" s="44"/>
      <c r="AY1057" s="44"/>
      <c r="AZ1057" s="44"/>
      <c r="BA1057" s="43" t="s">
        <v>89</v>
      </c>
      <c r="BB1057" s="44"/>
      <c r="BC1057" s="95"/>
      <c r="BD1057" s="71"/>
      <c r="BE1057" s="71"/>
      <c r="BF1057" s="130"/>
      <c r="BG1057" s="73"/>
      <c r="BH1057" s="73"/>
      <c r="BI1057" s="73"/>
      <c r="BJ1057" s="73"/>
      <c r="BK1057" s="73"/>
      <c r="BL1057" s="73"/>
      <c r="BM1057" s="73"/>
      <c r="BN1057" s="73"/>
      <c r="BO1057" s="73"/>
      <c r="BP1057" s="73"/>
      <c r="BQ1057" s="73"/>
      <c r="BR1057" s="73"/>
      <c r="BS1057" s="73"/>
      <c r="BT1057" s="73"/>
      <c r="BU1057" s="73"/>
      <c r="BV1057" s="73"/>
      <c r="BW1057" s="74"/>
      <c r="BX1057" s="74"/>
      <c r="BY1057" s="63"/>
      <c r="BZ1057" s="63"/>
    </row>
    <row r="1058" ht="15.75" customHeight="1">
      <c r="A1058" s="41"/>
      <c r="B1058" s="50"/>
      <c r="C1058" s="50"/>
      <c r="D1058" s="50"/>
      <c r="E1058" s="64"/>
      <c r="F1058" s="78">
        <v>0.0</v>
      </c>
      <c r="G1058" s="44" t="str">
        <f t="shared" si="35"/>
        <v>$0 a $100'000.000</v>
      </c>
      <c r="H1058" s="44"/>
      <c r="I1058" s="44"/>
      <c r="J1058" s="50"/>
      <c r="K1058" s="51"/>
      <c r="L1058" s="44"/>
      <c r="M1058" s="44"/>
      <c r="N1058" s="44"/>
      <c r="O1058" s="44"/>
      <c r="P1058" s="44"/>
      <c r="Q1058" s="88">
        <v>0.0</v>
      </c>
      <c r="R1058" s="89">
        <v>0.0</v>
      </c>
      <c r="S1058" s="56" t="str">
        <f t="shared" si="34"/>
        <v> </v>
      </c>
      <c r="T1058" s="50"/>
      <c r="U1058" s="57"/>
      <c r="V1058" s="44"/>
      <c r="W1058" s="44"/>
      <c r="X1058" s="44"/>
      <c r="Y1058" s="44"/>
      <c r="Z1058" s="91"/>
      <c r="AA1058" s="59" t="str">
        <f>IF(Rentabilidad=0,"No aplica",TEXT(ROUND(Precio/Rentabilidad/12,0),0) &amp; " años")</f>
        <v>No aplica</v>
      </c>
      <c r="AB1058" s="212"/>
      <c r="AC1058" s="61"/>
      <c r="AD1058" s="107"/>
      <c r="AE1058" s="63"/>
      <c r="AF1058" s="64"/>
      <c r="AG1058" s="63"/>
      <c r="AH1058" s="63"/>
      <c r="AI1058" s="63"/>
      <c r="AJ1058" s="45"/>
      <c r="AK1058" s="50"/>
      <c r="AL1058" s="45"/>
      <c r="AM1058" s="44"/>
      <c r="AN1058" s="45"/>
      <c r="AO1058" s="52"/>
      <c r="AP1058" s="67"/>
      <c r="AQ1058" s="67"/>
      <c r="AR1058" s="67"/>
      <c r="AS1058" s="94"/>
      <c r="AT1058" s="63"/>
      <c r="AU1058" s="44"/>
      <c r="AV1058" s="44"/>
      <c r="AW1058" s="44"/>
      <c r="AX1058" s="44"/>
      <c r="AY1058" s="44"/>
      <c r="AZ1058" s="44"/>
      <c r="BA1058" s="43" t="s">
        <v>89</v>
      </c>
      <c r="BB1058" s="44"/>
      <c r="BC1058" s="95"/>
      <c r="BD1058" s="71"/>
      <c r="BE1058" s="71"/>
      <c r="BF1058" s="130"/>
      <c r="BG1058" s="73"/>
      <c r="BH1058" s="73"/>
      <c r="BI1058" s="73"/>
      <c r="BJ1058" s="73"/>
      <c r="BK1058" s="73"/>
      <c r="BL1058" s="73"/>
      <c r="BM1058" s="73"/>
      <c r="BN1058" s="73"/>
      <c r="BO1058" s="73"/>
      <c r="BP1058" s="73"/>
      <c r="BQ1058" s="73"/>
      <c r="BR1058" s="73"/>
      <c r="BS1058" s="73"/>
      <c r="BT1058" s="73"/>
      <c r="BU1058" s="73"/>
      <c r="BV1058" s="73"/>
      <c r="BW1058" s="74"/>
      <c r="BX1058" s="74"/>
      <c r="BY1058" s="63"/>
      <c r="BZ1058" s="63"/>
    </row>
    <row r="1059" ht="15.75" customHeight="1">
      <c r="A1059" s="41"/>
      <c r="B1059" s="50"/>
      <c r="C1059" s="50"/>
      <c r="D1059" s="50"/>
      <c r="E1059" s="64"/>
      <c r="F1059" s="78">
        <v>0.0</v>
      </c>
      <c r="G1059" s="44" t="str">
        <f t="shared" si="35"/>
        <v>$0 a $100'000.000</v>
      </c>
      <c r="H1059" s="44"/>
      <c r="I1059" s="44"/>
      <c r="J1059" s="50"/>
      <c r="K1059" s="51"/>
      <c r="L1059" s="44"/>
      <c r="M1059" s="44"/>
      <c r="N1059" s="44"/>
      <c r="O1059" s="44"/>
      <c r="P1059" s="44"/>
      <c r="Q1059" s="88">
        <v>0.0</v>
      </c>
      <c r="R1059" s="89">
        <v>0.0</v>
      </c>
      <c r="S1059" s="56" t="str">
        <f t="shared" si="34"/>
        <v> </v>
      </c>
      <c r="T1059" s="50"/>
      <c r="U1059" s="57"/>
      <c r="V1059" s="44"/>
      <c r="W1059" s="44"/>
      <c r="X1059" s="44"/>
      <c r="Y1059" s="44"/>
      <c r="Z1059" s="91"/>
      <c r="AA1059" s="59" t="str">
        <f>IF(Rentabilidad=0,"No aplica",TEXT(ROUND(Precio/Rentabilidad/12,0),0) &amp; " años")</f>
        <v>No aplica</v>
      </c>
      <c r="AB1059" s="212"/>
      <c r="AC1059" s="61"/>
      <c r="AD1059" s="107"/>
      <c r="AE1059" s="63"/>
      <c r="AF1059" s="64"/>
      <c r="AG1059" s="63"/>
      <c r="AH1059" s="63"/>
      <c r="AI1059" s="63"/>
      <c r="AJ1059" s="45"/>
      <c r="AK1059" s="50"/>
      <c r="AL1059" s="45"/>
      <c r="AM1059" s="44"/>
      <c r="AN1059" s="45"/>
      <c r="AO1059" s="52"/>
      <c r="AP1059" s="67"/>
      <c r="AQ1059" s="67"/>
      <c r="AR1059" s="67"/>
      <c r="AS1059" s="94"/>
      <c r="AT1059" s="63"/>
      <c r="AU1059" s="44"/>
      <c r="AV1059" s="44"/>
      <c r="AW1059" s="44"/>
      <c r="AX1059" s="44"/>
      <c r="AY1059" s="44"/>
      <c r="AZ1059" s="44"/>
      <c r="BA1059" s="43" t="s">
        <v>89</v>
      </c>
      <c r="BB1059" s="44"/>
      <c r="BC1059" s="95"/>
      <c r="BD1059" s="71"/>
      <c r="BE1059" s="71"/>
      <c r="BF1059" s="130"/>
      <c r="BG1059" s="73"/>
      <c r="BH1059" s="73"/>
      <c r="BI1059" s="73"/>
      <c r="BJ1059" s="73"/>
      <c r="BK1059" s="73"/>
      <c r="BL1059" s="73"/>
      <c r="BM1059" s="73"/>
      <c r="BN1059" s="73"/>
      <c r="BO1059" s="73"/>
      <c r="BP1059" s="73"/>
      <c r="BQ1059" s="73"/>
      <c r="BR1059" s="73"/>
      <c r="BS1059" s="73"/>
      <c r="BT1059" s="73"/>
      <c r="BU1059" s="73"/>
      <c r="BV1059" s="73"/>
      <c r="BW1059" s="74"/>
      <c r="BX1059" s="74"/>
      <c r="BY1059" s="63"/>
      <c r="BZ1059" s="63"/>
    </row>
    <row r="1060" ht="15.75" customHeight="1">
      <c r="A1060" s="41"/>
      <c r="B1060" s="50"/>
      <c r="C1060" s="50"/>
      <c r="D1060" s="50"/>
      <c r="E1060" s="64"/>
      <c r="F1060" s="78">
        <v>0.0</v>
      </c>
      <c r="G1060" s="44" t="str">
        <f t="shared" si="35"/>
        <v>$0 a $100'000.000</v>
      </c>
      <c r="H1060" s="44"/>
      <c r="I1060" s="44"/>
      <c r="J1060" s="50"/>
      <c r="K1060" s="51"/>
      <c r="L1060" s="44"/>
      <c r="M1060" s="44"/>
      <c r="N1060" s="44"/>
      <c r="O1060" s="44"/>
      <c r="P1060" s="44"/>
      <c r="Q1060" s="88">
        <v>0.0</v>
      </c>
      <c r="R1060" s="89">
        <v>0.0</v>
      </c>
      <c r="S1060" s="56" t="str">
        <f t="shared" si="34"/>
        <v> </v>
      </c>
      <c r="T1060" s="50"/>
      <c r="U1060" s="57"/>
      <c r="V1060" s="44"/>
      <c r="W1060" s="44"/>
      <c r="X1060" s="44"/>
      <c r="Y1060" s="44"/>
      <c r="Z1060" s="91"/>
      <c r="AA1060" s="59" t="str">
        <f>IF(Rentabilidad=0,"No aplica",TEXT(ROUND(Precio/Rentabilidad/12,0),0) &amp; " años")</f>
        <v>No aplica</v>
      </c>
      <c r="AB1060" s="212"/>
      <c r="AC1060" s="61"/>
      <c r="AD1060" s="107"/>
      <c r="AE1060" s="63"/>
      <c r="AF1060" s="64"/>
      <c r="AG1060" s="63"/>
      <c r="AH1060" s="63"/>
      <c r="AI1060" s="63"/>
      <c r="AJ1060" s="45"/>
      <c r="AK1060" s="50"/>
      <c r="AL1060" s="45"/>
      <c r="AM1060" s="44"/>
      <c r="AN1060" s="45"/>
      <c r="AO1060" s="52"/>
      <c r="AP1060" s="67"/>
      <c r="AQ1060" s="67"/>
      <c r="AR1060" s="67"/>
      <c r="AS1060" s="94"/>
      <c r="AT1060" s="63"/>
      <c r="AU1060" s="44"/>
      <c r="AV1060" s="44"/>
      <c r="AW1060" s="44"/>
      <c r="AX1060" s="44"/>
      <c r="AY1060" s="44"/>
      <c r="AZ1060" s="44"/>
      <c r="BA1060" s="43" t="s">
        <v>89</v>
      </c>
      <c r="BB1060" s="44"/>
      <c r="BC1060" s="95"/>
      <c r="BD1060" s="71"/>
      <c r="BE1060" s="71"/>
      <c r="BF1060" s="130"/>
      <c r="BG1060" s="73"/>
      <c r="BH1060" s="73"/>
      <c r="BI1060" s="73"/>
      <c r="BJ1060" s="73"/>
      <c r="BK1060" s="73"/>
      <c r="BL1060" s="73"/>
      <c r="BM1060" s="73"/>
      <c r="BN1060" s="73"/>
      <c r="BO1060" s="73"/>
      <c r="BP1060" s="73"/>
      <c r="BQ1060" s="73"/>
      <c r="BR1060" s="73"/>
      <c r="BS1060" s="73"/>
      <c r="BT1060" s="73"/>
      <c r="BU1060" s="73"/>
      <c r="BV1060" s="73"/>
      <c r="BW1060" s="74"/>
      <c r="BX1060" s="74"/>
      <c r="BY1060" s="63"/>
      <c r="BZ1060" s="63"/>
    </row>
    <row r="1061" ht="15.75" customHeight="1">
      <c r="A1061" s="41"/>
      <c r="B1061" s="50"/>
      <c r="C1061" s="50"/>
      <c r="D1061" s="50"/>
      <c r="E1061" s="64"/>
      <c r="F1061" s="78">
        <v>0.0</v>
      </c>
      <c r="G1061" s="44" t="str">
        <f t="shared" si="35"/>
        <v>$0 a $100'000.000</v>
      </c>
      <c r="H1061" s="44"/>
      <c r="I1061" s="44"/>
      <c r="J1061" s="50"/>
      <c r="K1061" s="51"/>
      <c r="L1061" s="44"/>
      <c r="M1061" s="44"/>
      <c r="N1061" s="44"/>
      <c r="O1061" s="44"/>
      <c r="P1061" s="44"/>
      <c r="Q1061" s="88">
        <v>0.0</v>
      </c>
      <c r="R1061" s="89">
        <v>0.0</v>
      </c>
      <c r="S1061" s="56" t="str">
        <f t="shared" si="34"/>
        <v> </v>
      </c>
      <c r="T1061" s="50"/>
      <c r="U1061" s="57"/>
      <c r="V1061" s="44"/>
      <c r="W1061" s="44"/>
      <c r="X1061" s="44"/>
      <c r="Y1061" s="44"/>
      <c r="Z1061" s="91"/>
      <c r="AA1061" s="59" t="str">
        <f>IF(Rentabilidad=0,"No aplica",TEXT(ROUND(Precio/Rentabilidad/12,0),0) &amp; " años")</f>
        <v>No aplica</v>
      </c>
      <c r="AB1061" s="212"/>
      <c r="AC1061" s="61"/>
      <c r="AD1061" s="107"/>
      <c r="AE1061" s="63"/>
      <c r="AF1061" s="64"/>
      <c r="AG1061" s="63"/>
      <c r="AH1061" s="63"/>
      <c r="AI1061" s="63"/>
      <c r="AJ1061" s="45"/>
      <c r="AK1061" s="50"/>
      <c r="AL1061" s="45"/>
      <c r="AM1061" s="44"/>
      <c r="AN1061" s="45"/>
      <c r="AO1061" s="52"/>
      <c r="AP1061" s="67"/>
      <c r="AQ1061" s="67"/>
      <c r="AR1061" s="67"/>
      <c r="AS1061" s="94"/>
      <c r="AT1061" s="63"/>
      <c r="AU1061" s="44"/>
      <c r="AV1061" s="44"/>
      <c r="AW1061" s="44"/>
      <c r="AX1061" s="44"/>
      <c r="AY1061" s="44"/>
      <c r="AZ1061" s="44"/>
      <c r="BA1061" s="43" t="s">
        <v>89</v>
      </c>
      <c r="BB1061" s="44"/>
      <c r="BC1061" s="95"/>
      <c r="BD1061" s="71"/>
      <c r="BE1061" s="71"/>
      <c r="BF1061" s="130"/>
      <c r="BG1061" s="73"/>
      <c r="BH1061" s="73"/>
      <c r="BI1061" s="73"/>
      <c r="BJ1061" s="73"/>
      <c r="BK1061" s="73"/>
      <c r="BL1061" s="73"/>
      <c r="BM1061" s="73"/>
      <c r="BN1061" s="73"/>
      <c r="BO1061" s="73"/>
      <c r="BP1061" s="73"/>
      <c r="BQ1061" s="73"/>
      <c r="BR1061" s="73"/>
      <c r="BS1061" s="73"/>
      <c r="BT1061" s="73"/>
      <c r="BU1061" s="73"/>
      <c r="BV1061" s="73"/>
      <c r="BW1061" s="74"/>
      <c r="BX1061" s="74"/>
      <c r="BY1061" s="63"/>
      <c r="BZ1061" s="63"/>
    </row>
    <row r="1062" ht="15.75" customHeight="1">
      <c r="A1062" s="41"/>
      <c r="B1062" s="50"/>
      <c r="C1062" s="50"/>
      <c r="D1062" s="50"/>
      <c r="E1062" s="64"/>
      <c r="F1062" s="78">
        <v>0.0</v>
      </c>
      <c r="G1062" s="44" t="str">
        <f t="shared" si="35"/>
        <v>$0 a $100'000.000</v>
      </c>
      <c r="H1062" s="44"/>
      <c r="I1062" s="44"/>
      <c r="J1062" s="50"/>
      <c r="K1062" s="51"/>
      <c r="L1062" s="44"/>
      <c r="M1062" s="44"/>
      <c r="N1062" s="44"/>
      <c r="O1062" s="44"/>
      <c r="P1062" s="44"/>
      <c r="Q1062" s="88">
        <v>0.0</v>
      </c>
      <c r="R1062" s="89">
        <v>0.0</v>
      </c>
      <c r="S1062" s="56" t="str">
        <f t="shared" si="34"/>
        <v> </v>
      </c>
      <c r="T1062" s="50"/>
      <c r="U1062" s="57"/>
      <c r="V1062" s="44"/>
      <c r="W1062" s="44"/>
      <c r="X1062" s="44"/>
      <c r="Y1062" s="44"/>
      <c r="Z1062" s="91"/>
      <c r="AA1062" s="59" t="str">
        <f>IF(Rentabilidad=0,"No aplica",TEXT(ROUND(Precio/Rentabilidad/12,0),0) &amp; " años")</f>
        <v>No aplica</v>
      </c>
      <c r="AB1062" s="212"/>
      <c r="AC1062" s="61"/>
      <c r="AD1062" s="107"/>
      <c r="AE1062" s="63"/>
      <c r="AF1062" s="64"/>
      <c r="AG1062" s="63"/>
      <c r="AH1062" s="63"/>
      <c r="AI1062" s="63"/>
      <c r="AJ1062" s="45"/>
      <c r="AK1062" s="50"/>
      <c r="AL1062" s="45"/>
      <c r="AM1062" s="44"/>
      <c r="AN1062" s="45"/>
      <c r="AO1062" s="52"/>
      <c r="AP1062" s="67"/>
      <c r="AQ1062" s="67"/>
      <c r="AR1062" s="67"/>
      <c r="AS1062" s="94"/>
      <c r="AT1062" s="63"/>
      <c r="AU1062" s="44"/>
      <c r="AV1062" s="44"/>
      <c r="AW1062" s="44"/>
      <c r="AX1062" s="44"/>
      <c r="AY1062" s="44"/>
      <c r="AZ1062" s="44"/>
      <c r="BA1062" s="43" t="s">
        <v>89</v>
      </c>
      <c r="BB1062" s="44"/>
      <c r="BC1062" s="95"/>
      <c r="BD1062" s="71"/>
      <c r="BE1062" s="71"/>
      <c r="BF1062" s="130"/>
      <c r="BG1062" s="73"/>
      <c r="BH1062" s="73"/>
      <c r="BI1062" s="73"/>
      <c r="BJ1062" s="73"/>
      <c r="BK1062" s="73"/>
      <c r="BL1062" s="73"/>
      <c r="BM1062" s="73"/>
      <c r="BN1062" s="73"/>
      <c r="BO1062" s="73"/>
      <c r="BP1062" s="73"/>
      <c r="BQ1062" s="73"/>
      <c r="BR1062" s="73"/>
      <c r="BS1062" s="73"/>
      <c r="BT1062" s="73"/>
      <c r="BU1062" s="73"/>
      <c r="BV1062" s="73"/>
      <c r="BW1062" s="74"/>
      <c r="BX1062" s="74"/>
      <c r="BY1062" s="63"/>
      <c r="BZ1062" s="63"/>
    </row>
    <row r="1063" ht="15.75" customHeight="1">
      <c r="A1063" s="41"/>
      <c r="B1063" s="50"/>
      <c r="C1063" s="50"/>
      <c r="D1063" s="50"/>
      <c r="E1063" s="64"/>
      <c r="F1063" s="78">
        <v>0.0</v>
      </c>
      <c r="G1063" s="44" t="str">
        <f t="shared" si="35"/>
        <v>$0 a $100'000.000</v>
      </c>
      <c r="H1063" s="44"/>
      <c r="I1063" s="44"/>
      <c r="J1063" s="50"/>
      <c r="K1063" s="51"/>
      <c r="L1063" s="44"/>
      <c r="M1063" s="44"/>
      <c r="N1063" s="44"/>
      <c r="O1063" s="44"/>
      <c r="P1063" s="44"/>
      <c r="Q1063" s="88">
        <v>0.0</v>
      </c>
      <c r="R1063" s="89">
        <v>0.0</v>
      </c>
      <c r="S1063" s="56" t="str">
        <f t="shared" si="34"/>
        <v> </v>
      </c>
      <c r="T1063" s="50"/>
      <c r="U1063" s="57"/>
      <c r="V1063" s="44"/>
      <c r="W1063" s="44"/>
      <c r="X1063" s="44"/>
      <c r="Y1063" s="44"/>
      <c r="Z1063" s="91"/>
      <c r="AA1063" s="59" t="str">
        <f>IF(Rentabilidad=0,"No aplica",TEXT(ROUND(Precio/Rentabilidad/12,0),0) &amp; " años")</f>
        <v>No aplica</v>
      </c>
      <c r="AB1063" s="212"/>
      <c r="AC1063" s="61"/>
      <c r="AD1063" s="107"/>
      <c r="AE1063" s="63"/>
      <c r="AF1063" s="64"/>
      <c r="AG1063" s="63"/>
      <c r="AH1063" s="63"/>
      <c r="AI1063" s="63"/>
      <c r="AJ1063" s="45"/>
      <c r="AK1063" s="50"/>
      <c r="AL1063" s="45"/>
      <c r="AM1063" s="44"/>
      <c r="AN1063" s="45"/>
      <c r="AO1063" s="52"/>
      <c r="AP1063" s="67"/>
      <c r="AQ1063" s="67"/>
      <c r="AR1063" s="67"/>
      <c r="AS1063" s="94"/>
      <c r="AT1063" s="63"/>
      <c r="AU1063" s="44"/>
      <c r="AV1063" s="44"/>
      <c r="AW1063" s="44"/>
      <c r="AX1063" s="44"/>
      <c r="AY1063" s="44"/>
      <c r="AZ1063" s="44"/>
      <c r="BA1063" s="43" t="s">
        <v>89</v>
      </c>
      <c r="BB1063" s="44"/>
      <c r="BC1063" s="95"/>
      <c r="BD1063" s="71"/>
      <c r="BE1063" s="71"/>
      <c r="BF1063" s="130"/>
      <c r="BG1063" s="73"/>
      <c r="BH1063" s="73"/>
      <c r="BI1063" s="73"/>
      <c r="BJ1063" s="73"/>
      <c r="BK1063" s="73"/>
      <c r="BL1063" s="73"/>
      <c r="BM1063" s="73"/>
      <c r="BN1063" s="73"/>
      <c r="BO1063" s="73"/>
      <c r="BP1063" s="73"/>
      <c r="BQ1063" s="73"/>
      <c r="BR1063" s="73"/>
      <c r="BS1063" s="73"/>
      <c r="BT1063" s="73"/>
      <c r="BU1063" s="73"/>
      <c r="BV1063" s="73"/>
      <c r="BW1063" s="74"/>
      <c r="BX1063" s="74"/>
      <c r="BY1063" s="63"/>
      <c r="BZ1063" s="63"/>
    </row>
    <row r="1064" ht="15.75" customHeight="1">
      <c r="A1064" s="41"/>
      <c r="B1064" s="50"/>
      <c r="C1064" s="50"/>
      <c r="D1064" s="50"/>
      <c r="E1064" s="64"/>
      <c r="F1064" s="78">
        <v>0.0</v>
      </c>
      <c r="G1064" s="44" t="str">
        <f t="shared" si="35"/>
        <v>$0 a $100'000.000</v>
      </c>
      <c r="H1064" s="44"/>
      <c r="I1064" s="44"/>
      <c r="J1064" s="50"/>
      <c r="K1064" s="51"/>
      <c r="L1064" s="44"/>
      <c r="M1064" s="44"/>
      <c r="N1064" s="44"/>
      <c r="O1064" s="44"/>
      <c r="P1064" s="44"/>
      <c r="Q1064" s="88">
        <v>0.0</v>
      </c>
      <c r="R1064" s="89">
        <v>0.0</v>
      </c>
      <c r="S1064" s="56" t="str">
        <f t="shared" si="34"/>
        <v> </v>
      </c>
      <c r="T1064" s="50"/>
      <c r="U1064" s="57"/>
      <c r="V1064" s="44"/>
      <c r="W1064" s="44"/>
      <c r="X1064" s="44"/>
      <c r="Y1064" s="44"/>
      <c r="Z1064" s="91"/>
      <c r="AA1064" s="59" t="str">
        <f>IF(Rentabilidad=0,"No aplica",TEXT(ROUND(Precio/Rentabilidad/12,0),0) &amp; " años")</f>
        <v>No aplica</v>
      </c>
      <c r="AB1064" s="212"/>
      <c r="AC1064" s="61"/>
      <c r="AD1064" s="107"/>
      <c r="AE1064" s="63"/>
      <c r="AF1064" s="64"/>
      <c r="AG1064" s="63"/>
      <c r="AH1064" s="63"/>
      <c r="AI1064" s="63"/>
      <c r="AJ1064" s="45"/>
      <c r="AK1064" s="50"/>
      <c r="AL1064" s="45"/>
      <c r="AM1064" s="44"/>
      <c r="AN1064" s="45"/>
      <c r="AO1064" s="52"/>
      <c r="AP1064" s="67"/>
      <c r="AQ1064" s="67"/>
      <c r="AR1064" s="67"/>
      <c r="AS1064" s="94"/>
      <c r="AT1064" s="63"/>
      <c r="AU1064" s="44"/>
      <c r="AV1064" s="44"/>
      <c r="AW1064" s="44"/>
      <c r="AX1064" s="44"/>
      <c r="AY1064" s="44"/>
      <c r="AZ1064" s="44"/>
      <c r="BA1064" s="43" t="s">
        <v>89</v>
      </c>
      <c r="BB1064" s="44"/>
      <c r="BC1064" s="95"/>
      <c r="BD1064" s="71"/>
      <c r="BE1064" s="71"/>
      <c r="BF1064" s="130"/>
      <c r="BG1064" s="73"/>
      <c r="BH1064" s="73"/>
      <c r="BI1064" s="73"/>
      <c r="BJ1064" s="73"/>
      <c r="BK1064" s="73"/>
      <c r="BL1064" s="73"/>
      <c r="BM1064" s="73"/>
      <c r="BN1064" s="73"/>
      <c r="BO1064" s="73"/>
      <c r="BP1064" s="73"/>
      <c r="BQ1064" s="73"/>
      <c r="BR1064" s="73"/>
      <c r="BS1064" s="73"/>
      <c r="BT1064" s="73"/>
      <c r="BU1064" s="73"/>
      <c r="BV1064" s="73"/>
      <c r="BW1064" s="74"/>
      <c r="BX1064" s="74"/>
      <c r="BY1064" s="63"/>
      <c r="BZ1064" s="63"/>
    </row>
    <row r="1065" ht="15.75" customHeight="1">
      <c r="A1065" s="41"/>
      <c r="B1065" s="50"/>
      <c r="C1065" s="50"/>
      <c r="D1065" s="50"/>
      <c r="E1065" s="64"/>
      <c r="F1065" s="78">
        <v>0.0</v>
      </c>
      <c r="G1065" s="44" t="str">
        <f t="shared" si="35"/>
        <v>$0 a $100'000.000</v>
      </c>
      <c r="H1065" s="44"/>
      <c r="I1065" s="44"/>
      <c r="J1065" s="50"/>
      <c r="K1065" s="51"/>
      <c r="L1065" s="44"/>
      <c r="M1065" s="44"/>
      <c r="N1065" s="44"/>
      <c r="O1065" s="44"/>
      <c r="P1065" s="44"/>
      <c r="Q1065" s="88">
        <v>0.0</v>
      </c>
      <c r="R1065" s="89">
        <v>0.0</v>
      </c>
      <c r="S1065" s="56" t="str">
        <f t="shared" si="34"/>
        <v> </v>
      </c>
      <c r="T1065" s="50"/>
      <c r="U1065" s="57"/>
      <c r="V1065" s="44"/>
      <c r="W1065" s="44"/>
      <c r="X1065" s="44"/>
      <c r="Y1065" s="44"/>
      <c r="Z1065" s="91"/>
      <c r="AA1065" s="59" t="str">
        <f>IF(Rentabilidad=0,"No aplica",TEXT(ROUND(Precio/Rentabilidad/12,0),0) &amp; " años")</f>
        <v>No aplica</v>
      </c>
      <c r="AB1065" s="212"/>
      <c r="AC1065" s="61"/>
      <c r="AD1065" s="107"/>
      <c r="AE1065" s="63"/>
      <c r="AF1065" s="64"/>
      <c r="AG1065" s="63"/>
      <c r="AH1065" s="63"/>
      <c r="AI1065" s="63"/>
      <c r="AJ1065" s="45"/>
      <c r="AK1065" s="50"/>
      <c r="AL1065" s="45"/>
      <c r="AM1065" s="44"/>
      <c r="AN1065" s="45"/>
      <c r="AO1065" s="52"/>
      <c r="AP1065" s="67"/>
      <c r="AQ1065" s="67"/>
      <c r="AR1065" s="67"/>
      <c r="AS1065" s="94"/>
      <c r="AT1065" s="63"/>
      <c r="AU1065" s="44"/>
      <c r="AV1065" s="44"/>
      <c r="AW1065" s="44"/>
      <c r="AX1065" s="44"/>
      <c r="AY1065" s="44"/>
      <c r="AZ1065" s="44"/>
      <c r="BA1065" s="43" t="s">
        <v>89</v>
      </c>
      <c r="BB1065" s="44"/>
      <c r="BC1065" s="95"/>
      <c r="BD1065" s="71"/>
      <c r="BE1065" s="71"/>
      <c r="BF1065" s="130"/>
      <c r="BG1065" s="73"/>
      <c r="BH1065" s="73"/>
      <c r="BI1065" s="73"/>
      <c r="BJ1065" s="73"/>
      <c r="BK1065" s="73"/>
      <c r="BL1065" s="73"/>
      <c r="BM1065" s="73"/>
      <c r="BN1065" s="73"/>
      <c r="BO1065" s="73"/>
      <c r="BP1065" s="73"/>
      <c r="BQ1065" s="73"/>
      <c r="BR1065" s="73"/>
      <c r="BS1065" s="73"/>
      <c r="BT1065" s="73"/>
      <c r="BU1065" s="73"/>
      <c r="BV1065" s="73"/>
      <c r="BW1065" s="74"/>
      <c r="BX1065" s="74"/>
      <c r="BY1065" s="63"/>
      <c r="BZ1065" s="63"/>
    </row>
    <row r="1066" ht="15.75" customHeight="1">
      <c r="A1066" s="41"/>
      <c r="B1066" s="50"/>
      <c r="C1066" s="50"/>
      <c r="D1066" s="50"/>
      <c r="E1066" s="64"/>
      <c r="F1066" s="78">
        <v>0.0</v>
      </c>
      <c r="G1066" s="44" t="str">
        <f t="shared" si="35"/>
        <v>$0 a $100'000.000</v>
      </c>
      <c r="H1066" s="44"/>
      <c r="I1066" s="44"/>
      <c r="J1066" s="50"/>
      <c r="K1066" s="51"/>
      <c r="L1066" s="44"/>
      <c r="M1066" s="44"/>
      <c r="N1066" s="44"/>
      <c r="O1066" s="44"/>
      <c r="P1066" s="44"/>
      <c r="Q1066" s="88">
        <v>0.0</v>
      </c>
      <c r="R1066" s="89">
        <v>0.0</v>
      </c>
      <c r="S1066" s="56" t="str">
        <f t="shared" si="34"/>
        <v> </v>
      </c>
      <c r="T1066" s="50"/>
      <c r="U1066" s="57"/>
      <c r="V1066" s="44"/>
      <c r="W1066" s="44"/>
      <c r="X1066" s="44"/>
      <c r="Y1066" s="44"/>
      <c r="Z1066" s="91"/>
      <c r="AA1066" s="59" t="str">
        <f>IF(Rentabilidad=0,"No aplica",TEXT(ROUND(Precio/Rentabilidad/12,0),0) &amp; " años")</f>
        <v>No aplica</v>
      </c>
      <c r="AB1066" s="212"/>
      <c r="AC1066" s="61"/>
      <c r="AD1066" s="107"/>
      <c r="AE1066" s="63"/>
      <c r="AF1066" s="64"/>
      <c r="AG1066" s="63"/>
      <c r="AH1066" s="63"/>
      <c r="AI1066" s="63"/>
      <c r="AJ1066" s="45"/>
      <c r="AK1066" s="50"/>
      <c r="AL1066" s="45"/>
      <c r="AM1066" s="44"/>
      <c r="AN1066" s="45"/>
      <c r="AO1066" s="52"/>
      <c r="AP1066" s="67"/>
      <c r="AQ1066" s="67"/>
      <c r="AR1066" s="67"/>
      <c r="AS1066" s="94"/>
      <c r="AT1066" s="63"/>
      <c r="AU1066" s="44"/>
      <c r="AV1066" s="44"/>
      <c r="AW1066" s="44"/>
      <c r="AX1066" s="44"/>
      <c r="AY1066" s="44"/>
      <c r="AZ1066" s="44"/>
      <c r="BA1066" s="43" t="s">
        <v>89</v>
      </c>
      <c r="BB1066" s="44"/>
      <c r="BC1066" s="95"/>
      <c r="BD1066" s="71"/>
      <c r="BE1066" s="71"/>
      <c r="BF1066" s="130"/>
      <c r="BG1066" s="73"/>
      <c r="BH1066" s="73"/>
      <c r="BI1066" s="73"/>
      <c r="BJ1066" s="73"/>
      <c r="BK1066" s="73"/>
      <c r="BL1066" s="73"/>
      <c r="BM1066" s="73"/>
      <c r="BN1066" s="73"/>
      <c r="BO1066" s="73"/>
      <c r="BP1066" s="73"/>
      <c r="BQ1066" s="73"/>
      <c r="BR1066" s="73"/>
      <c r="BS1066" s="73"/>
      <c r="BT1066" s="73"/>
      <c r="BU1066" s="73"/>
      <c r="BV1066" s="73"/>
      <c r="BW1066" s="74"/>
      <c r="BX1066" s="74"/>
      <c r="BY1066" s="63"/>
      <c r="BZ1066" s="63"/>
    </row>
    <row r="1067" ht="15.75" customHeight="1">
      <c r="A1067" s="41"/>
      <c r="B1067" s="50"/>
      <c r="C1067" s="50"/>
      <c r="D1067" s="50"/>
      <c r="E1067" s="64"/>
      <c r="F1067" s="78">
        <v>0.0</v>
      </c>
      <c r="G1067" s="44" t="str">
        <f t="shared" si="35"/>
        <v>$0 a $100'000.000</v>
      </c>
      <c r="H1067" s="44"/>
      <c r="I1067" s="44"/>
      <c r="J1067" s="50"/>
      <c r="K1067" s="51"/>
      <c r="L1067" s="44"/>
      <c r="M1067" s="44"/>
      <c r="N1067" s="44"/>
      <c r="O1067" s="44"/>
      <c r="P1067" s="44"/>
      <c r="Q1067" s="88">
        <v>0.0</v>
      </c>
      <c r="R1067" s="89">
        <v>0.0</v>
      </c>
      <c r="S1067" s="56" t="str">
        <f t="shared" si="34"/>
        <v> </v>
      </c>
      <c r="T1067" s="50"/>
      <c r="U1067" s="57"/>
      <c r="V1067" s="44"/>
      <c r="W1067" s="44"/>
      <c r="X1067" s="44"/>
      <c r="Y1067" s="44"/>
      <c r="Z1067" s="91"/>
      <c r="AA1067" s="59" t="str">
        <f>IF(Rentabilidad=0,"No aplica",TEXT(ROUND(Precio/Rentabilidad/12,0),0) &amp; " años")</f>
        <v>No aplica</v>
      </c>
      <c r="AB1067" s="212"/>
      <c r="AC1067" s="61"/>
      <c r="AD1067" s="107"/>
      <c r="AE1067" s="63"/>
      <c r="AF1067" s="64"/>
      <c r="AG1067" s="63"/>
      <c r="AH1067" s="63"/>
      <c r="AI1067" s="63"/>
      <c r="AJ1067" s="45"/>
      <c r="AK1067" s="50"/>
      <c r="AL1067" s="45"/>
      <c r="AM1067" s="44"/>
      <c r="AN1067" s="45"/>
      <c r="AO1067" s="52"/>
      <c r="AP1067" s="67"/>
      <c r="AQ1067" s="67"/>
      <c r="AR1067" s="67"/>
      <c r="AS1067" s="94"/>
      <c r="AT1067" s="63"/>
      <c r="AU1067" s="44"/>
      <c r="AV1067" s="44"/>
      <c r="AW1067" s="44"/>
      <c r="AX1067" s="44"/>
      <c r="AY1067" s="44"/>
      <c r="AZ1067" s="44"/>
      <c r="BA1067" s="43" t="s">
        <v>89</v>
      </c>
      <c r="BB1067" s="44"/>
      <c r="BC1067" s="95"/>
      <c r="BD1067" s="71"/>
      <c r="BE1067" s="71"/>
      <c r="BF1067" s="130"/>
      <c r="BG1067" s="73"/>
      <c r="BH1067" s="73"/>
      <c r="BI1067" s="73"/>
      <c r="BJ1067" s="73"/>
      <c r="BK1067" s="73"/>
      <c r="BL1067" s="73"/>
      <c r="BM1067" s="73"/>
      <c r="BN1067" s="73"/>
      <c r="BO1067" s="73"/>
      <c r="BP1067" s="73"/>
      <c r="BQ1067" s="73"/>
      <c r="BR1067" s="73"/>
      <c r="BS1067" s="73"/>
      <c r="BT1067" s="73"/>
      <c r="BU1067" s="73"/>
      <c r="BV1067" s="73"/>
      <c r="BW1067" s="74"/>
      <c r="BX1067" s="74"/>
      <c r="BY1067" s="63"/>
      <c r="BZ1067" s="63"/>
    </row>
    <row r="1068" ht="15.75" customHeight="1">
      <c r="A1068" s="41"/>
      <c r="B1068" s="50"/>
      <c r="C1068" s="50"/>
      <c r="D1068" s="50"/>
      <c r="E1068" s="64"/>
      <c r="F1068" s="78">
        <v>0.0</v>
      </c>
      <c r="G1068" s="44" t="str">
        <f t="shared" si="35"/>
        <v>$0 a $100'000.000</v>
      </c>
      <c r="H1068" s="44"/>
      <c r="I1068" s="44"/>
      <c r="J1068" s="50"/>
      <c r="K1068" s="51"/>
      <c r="L1068" s="44"/>
      <c r="M1068" s="44"/>
      <c r="N1068" s="44"/>
      <c r="O1068" s="44"/>
      <c r="P1068" s="44"/>
      <c r="Q1068" s="88">
        <v>0.0</v>
      </c>
      <c r="R1068" s="89">
        <v>0.0</v>
      </c>
      <c r="S1068" s="56" t="str">
        <f t="shared" si="34"/>
        <v> </v>
      </c>
      <c r="T1068" s="50"/>
      <c r="U1068" s="57"/>
      <c r="V1068" s="44"/>
      <c r="W1068" s="44"/>
      <c r="X1068" s="44"/>
      <c r="Y1068" s="44"/>
      <c r="Z1068" s="91"/>
      <c r="AA1068" s="59" t="str">
        <f>IF(Rentabilidad=0,"No aplica",TEXT(ROUND(Precio/Rentabilidad/12,0),0) &amp; " años")</f>
        <v>No aplica</v>
      </c>
      <c r="AB1068" s="212"/>
      <c r="AC1068" s="61"/>
      <c r="AD1068" s="107"/>
      <c r="AE1068" s="63"/>
      <c r="AF1068" s="64"/>
      <c r="AG1068" s="63"/>
      <c r="AH1068" s="63"/>
      <c r="AI1068" s="63"/>
      <c r="AJ1068" s="45"/>
      <c r="AK1068" s="50"/>
      <c r="AL1068" s="45"/>
      <c r="AM1068" s="44"/>
      <c r="AN1068" s="45"/>
      <c r="AO1068" s="52"/>
      <c r="AP1068" s="67"/>
      <c r="AQ1068" s="67"/>
      <c r="AR1068" s="67"/>
      <c r="AS1068" s="94"/>
      <c r="AT1068" s="63"/>
      <c r="AU1068" s="44"/>
      <c r="AV1068" s="44"/>
      <c r="AW1068" s="44"/>
      <c r="AX1068" s="44"/>
      <c r="AY1068" s="44"/>
      <c r="AZ1068" s="44"/>
      <c r="BA1068" s="43" t="s">
        <v>89</v>
      </c>
      <c r="BB1068" s="44"/>
      <c r="BC1068" s="95"/>
      <c r="BD1068" s="71"/>
      <c r="BE1068" s="71"/>
      <c r="BF1068" s="130"/>
      <c r="BG1068" s="73"/>
      <c r="BH1068" s="73"/>
      <c r="BI1068" s="73"/>
      <c r="BJ1068" s="73"/>
      <c r="BK1068" s="73"/>
      <c r="BL1068" s="73"/>
      <c r="BM1068" s="73"/>
      <c r="BN1068" s="73"/>
      <c r="BO1068" s="73"/>
      <c r="BP1068" s="73"/>
      <c r="BQ1068" s="73"/>
      <c r="BR1068" s="73"/>
      <c r="BS1068" s="73"/>
      <c r="BT1068" s="73"/>
      <c r="BU1068" s="73"/>
      <c r="BV1068" s="73"/>
      <c r="BW1068" s="74"/>
      <c r="BX1068" s="74"/>
      <c r="BY1068" s="63"/>
      <c r="BZ1068" s="63"/>
    </row>
    <row r="1069" ht="15.75" customHeight="1">
      <c r="A1069" s="41"/>
      <c r="B1069" s="50"/>
      <c r="C1069" s="50"/>
      <c r="D1069" s="50"/>
      <c r="E1069" s="64"/>
      <c r="F1069" s="78">
        <v>0.0</v>
      </c>
      <c r="G1069" s="44" t="str">
        <f t="shared" si="35"/>
        <v>$0 a $100'000.000</v>
      </c>
      <c r="H1069" s="44"/>
      <c r="I1069" s="44"/>
      <c r="J1069" s="50"/>
      <c r="K1069" s="51"/>
      <c r="L1069" s="44"/>
      <c r="M1069" s="44"/>
      <c r="N1069" s="44"/>
      <c r="O1069" s="44"/>
      <c r="P1069" s="44"/>
      <c r="Q1069" s="88">
        <v>0.0</v>
      </c>
      <c r="R1069" s="89">
        <v>0.0</v>
      </c>
      <c r="S1069" s="56" t="str">
        <f t="shared" si="34"/>
        <v> </v>
      </c>
      <c r="T1069" s="50"/>
      <c r="U1069" s="57"/>
      <c r="V1069" s="44"/>
      <c r="W1069" s="44"/>
      <c r="X1069" s="44"/>
      <c r="Y1069" s="44"/>
      <c r="Z1069" s="91"/>
      <c r="AA1069" s="59" t="str">
        <f>IF(Rentabilidad=0,"No aplica",TEXT(ROUND(Precio/Rentabilidad/12,0),0) &amp; " años")</f>
        <v>No aplica</v>
      </c>
      <c r="AB1069" s="212"/>
      <c r="AC1069" s="61"/>
      <c r="AD1069" s="107"/>
      <c r="AE1069" s="63"/>
      <c r="AF1069" s="64"/>
      <c r="AG1069" s="63"/>
      <c r="AH1069" s="63"/>
      <c r="AI1069" s="63"/>
      <c r="AJ1069" s="45"/>
      <c r="AK1069" s="50"/>
      <c r="AL1069" s="45"/>
      <c r="AM1069" s="44"/>
      <c r="AN1069" s="45"/>
      <c r="AO1069" s="52"/>
      <c r="AP1069" s="67"/>
      <c r="AQ1069" s="67"/>
      <c r="AR1069" s="67"/>
      <c r="AS1069" s="94"/>
      <c r="AT1069" s="63"/>
      <c r="AU1069" s="44"/>
      <c r="AV1069" s="44"/>
      <c r="AW1069" s="44"/>
      <c r="AX1069" s="44"/>
      <c r="AY1069" s="44"/>
      <c r="AZ1069" s="44"/>
      <c r="BA1069" s="43" t="s">
        <v>89</v>
      </c>
      <c r="BB1069" s="44"/>
      <c r="BC1069" s="95"/>
      <c r="BD1069" s="71"/>
      <c r="BE1069" s="71"/>
      <c r="BF1069" s="130"/>
      <c r="BG1069" s="73"/>
      <c r="BH1069" s="73"/>
      <c r="BI1069" s="73"/>
      <c r="BJ1069" s="73"/>
      <c r="BK1069" s="73"/>
      <c r="BL1069" s="73"/>
      <c r="BM1069" s="73"/>
      <c r="BN1069" s="73"/>
      <c r="BO1069" s="73"/>
      <c r="BP1069" s="73"/>
      <c r="BQ1069" s="73"/>
      <c r="BR1069" s="73"/>
      <c r="BS1069" s="73"/>
      <c r="BT1069" s="73"/>
      <c r="BU1069" s="73"/>
      <c r="BV1069" s="73"/>
      <c r="BW1069" s="74"/>
      <c r="BX1069" s="74"/>
      <c r="BY1069" s="63"/>
      <c r="BZ1069" s="63"/>
    </row>
    <row r="1070" ht="15.75" customHeight="1">
      <c r="A1070" s="41"/>
      <c r="B1070" s="50"/>
      <c r="C1070" s="50"/>
      <c r="D1070" s="50"/>
      <c r="E1070" s="64"/>
      <c r="F1070" s="78">
        <v>0.0</v>
      </c>
      <c r="G1070" s="44" t="str">
        <f t="shared" si="35"/>
        <v>$0 a $100'000.000</v>
      </c>
      <c r="H1070" s="44"/>
      <c r="I1070" s="44"/>
      <c r="J1070" s="50"/>
      <c r="K1070" s="51"/>
      <c r="L1070" s="44"/>
      <c r="M1070" s="44"/>
      <c r="N1070" s="44"/>
      <c r="O1070" s="44"/>
      <c r="P1070" s="44"/>
      <c r="Q1070" s="88">
        <v>0.0</v>
      </c>
      <c r="R1070" s="89">
        <v>0.0</v>
      </c>
      <c r="S1070" s="56" t="str">
        <f t="shared" si="34"/>
        <v> </v>
      </c>
      <c r="T1070" s="50"/>
      <c r="U1070" s="57"/>
      <c r="V1070" s="44"/>
      <c r="W1070" s="44"/>
      <c r="X1070" s="44"/>
      <c r="Y1070" s="44"/>
      <c r="Z1070" s="91"/>
      <c r="AA1070" s="59" t="str">
        <f>IF(Rentabilidad=0,"No aplica",TEXT(ROUND(Precio/Rentabilidad/12,0),0) &amp; " años")</f>
        <v>No aplica</v>
      </c>
      <c r="AB1070" s="212"/>
      <c r="AC1070" s="61"/>
      <c r="AD1070" s="107"/>
      <c r="AE1070" s="63"/>
      <c r="AF1070" s="64"/>
      <c r="AG1070" s="63"/>
      <c r="AH1070" s="63"/>
      <c r="AI1070" s="63"/>
      <c r="AJ1070" s="45"/>
      <c r="AK1070" s="50"/>
      <c r="AL1070" s="45"/>
      <c r="AM1070" s="44"/>
      <c r="AN1070" s="45"/>
      <c r="AO1070" s="52"/>
      <c r="AP1070" s="67"/>
      <c r="AQ1070" s="67"/>
      <c r="AR1070" s="67"/>
      <c r="AS1070" s="94"/>
      <c r="AT1070" s="63"/>
      <c r="AU1070" s="44"/>
      <c r="AV1070" s="44"/>
      <c r="AW1070" s="44"/>
      <c r="AX1070" s="44"/>
      <c r="AY1070" s="44"/>
      <c r="AZ1070" s="44"/>
      <c r="BA1070" s="43" t="s">
        <v>89</v>
      </c>
      <c r="BB1070" s="44"/>
      <c r="BC1070" s="95"/>
      <c r="BD1070" s="71"/>
      <c r="BE1070" s="71"/>
      <c r="BF1070" s="130"/>
      <c r="BG1070" s="73"/>
      <c r="BH1070" s="73"/>
      <c r="BI1070" s="73"/>
      <c r="BJ1070" s="73"/>
      <c r="BK1070" s="73"/>
      <c r="BL1070" s="73"/>
      <c r="BM1070" s="73"/>
      <c r="BN1070" s="73"/>
      <c r="BO1070" s="73"/>
      <c r="BP1070" s="73"/>
      <c r="BQ1070" s="73"/>
      <c r="BR1070" s="73"/>
      <c r="BS1070" s="73"/>
      <c r="BT1070" s="73"/>
      <c r="BU1070" s="73"/>
      <c r="BV1070" s="73"/>
      <c r="BW1070" s="74"/>
      <c r="BX1070" s="74"/>
      <c r="BY1070" s="63"/>
      <c r="BZ1070" s="63"/>
    </row>
    <row r="1071" ht="15.75" customHeight="1">
      <c r="A1071" s="41"/>
      <c r="B1071" s="50"/>
      <c r="C1071" s="50"/>
      <c r="D1071" s="50"/>
      <c r="E1071" s="64"/>
      <c r="F1071" s="78">
        <v>0.0</v>
      </c>
      <c r="G1071" s="44" t="str">
        <f t="shared" si="35"/>
        <v>$0 a $100'000.000</v>
      </c>
      <c r="H1071" s="44"/>
      <c r="I1071" s="44"/>
      <c r="J1071" s="50"/>
      <c r="K1071" s="51"/>
      <c r="L1071" s="44"/>
      <c r="M1071" s="44"/>
      <c r="N1071" s="44"/>
      <c r="O1071" s="44"/>
      <c r="P1071" s="44"/>
      <c r="Q1071" s="88">
        <v>0.0</v>
      </c>
      <c r="R1071" s="89">
        <v>0.0</v>
      </c>
      <c r="S1071" s="56" t="str">
        <f t="shared" si="34"/>
        <v> </v>
      </c>
      <c r="T1071" s="50"/>
      <c r="U1071" s="57"/>
      <c r="V1071" s="44"/>
      <c r="W1071" s="44"/>
      <c r="X1071" s="44"/>
      <c r="Y1071" s="44"/>
      <c r="Z1071" s="91"/>
      <c r="AA1071" s="59" t="str">
        <f>IF(Rentabilidad=0,"No aplica",TEXT(ROUND(Precio/Rentabilidad/12,0),0) &amp; " años")</f>
        <v>No aplica</v>
      </c>
      <c r="AB1071" s="212"/>
      <c r="AC1071" s="61"/>
      <c r="AD1071" s="107"/>
      <c r="AE1071" s="63"/>
      <c r="AF1071" s="64"/>
      <c r="AG1071" s="63"/>
      <c r="AH1071" s="63"/>
      <c r="AI1071" s="63"/>
      <c r="AJ1071" s="45"/>
      <c r="AK1071" s="50"/>
      <c r="AL1071" s="45"/>
      <c r="AM1071" s="44"/>
      <c r="AN1071" s="45"/>
      <c r="AO1071" s="52"/>
      <c r="AP1071" s="67"/>
      <c r="AQ1071" s="67"/>
      <c r="AR1071" s="67"/>
      <c r="AS1071" s="94"/>
      <c r="AT1071" s="63"/>
      <c r="AU1071" s="44"/>
      <c r="AV1071" s="44"/>
      <c r="AW1071" s="44"/>
      <c r="AX1071" s="44"/>
      <c r="AY1071" s="44"/>
      <c r="AZ1071" s="44"/>
      <c r="BA1071" s="43" t="s">
        <v>89</v>
      </c>
      <c r="BB1071" s="44"/>
      <c r="BC1071" s="95"/>
      <c r="BD1071" s="71"/>
      <c r="BE1071" s="71"/>
      <c r="BF1071" s="130"/>
      <c r="BG1071" s="73"/>
      <c r="BH1071" s="73"/>
      <c r="BI1071" s="73"/>
      <c r="BJ1071" s="73"/>
      <c r="BK1071" s="73"/>
      <c r="BL1071" s="73"/>
      <c r="BM1071" s="73"/>
      <c r="BN1071" s="73"/>
      <c r="BO1071" s="73"/>
      <c r="BP1071" s="73"/>
      <c r="BQ1071" s="73"/>
      <c r="BR1071" s="73"/>
      <c r="BS1071" s="73"/>
      <c r="BT1071" s="73"/>
      <c r="BU1071" s="73"/>
      <c r="BV1071" s="73"/>
      <c r="BW1071" s="74"/>
      <c r="BX1071" s="74"/>
      <c r="BY1071" s="63"/>
      <c r="BZ1071" s="63"/>
    </row>
    <row r="1072" ht="15.75" customHeight="1">
      <c r="A1072" s="41"/>
      <c r="B1072" s="50"/>
      <c r="C1072" s="50"/>
      <c r="D1072" s="50"/>
      <c r="E1072" s="64"/>
      <c r="F1072" s="78">
        <v>0.0</v>
      </c>
      <c r="G1072" s="44" t="str">
        <f t="shared" si="35"/>
        <v>$0 a $100'000.000</v>
      </c>
      <c r="H1072" s="44"/>
      <c r="I1072" s="44"/>
      <c r="J1072" s="50"/>
      <c r="K1072" s="51"/>
      <c r="L1072" s="44"/>
      <c r="M1072" s="44"/>
      <c r="N1072" s="44"/>
      <c r="O1072" s="44"/>
      <c r="P1072" s="44"/>
      <c r="Q1072" s="88">
        <v>0.0</v>
      </c>
      <c r="R1072" s="89">
        <v>0.0</v>
      </c>
      <c r="S1072" s="56" t="str">
        <f t="shared" si="34"/>
        <v> </v>
      </c>
      <c r="T1072" s="50"/>
      <c r="U1072" s="57"/>
      <c r="V1072" s="44"/>
      <c r="W1072" s="44"/>
      <c r="X1072" s="44"/>
      <c r="Y1072" s="44"/>
      <c r="Z1072" s="91"/>
      <c r="AA1072" s="59" t="str">
        <f>IF(Rentabilidad=0,"No aplica",TEXT(ROUND(Precio/Rentabilidad/12,0),0) &amp; " años")</f>
        <v>No aplica</v>
      </c>
      <c r="AB1072" s="212"/>
      <c r="AC1072" s="61"/>
      <c r="AD1072" s="107"/>
      <c r="AE1072" s="63"/>
      <c r="AF1072" s="64"/>
      <c r="AG1072" s="63"/>
      <c r="AH1072" s="63"/>
      <c r="AI1072" s="63"/>
      <c r="AJ1072" s="45"/>
      <c r="AK1072" s="50"/>
      <c r="AL1072" s="45"/>
      <c r="AM1072" s="44"/>
      <c r="AN1072" s="45"/>
      <c r="AO1072" s="52"/>
      <c r="AP1072" s="67"/>
      <c r="AQ1072" s="67"/>
      <c r="AR1072" s="67"/>
      <c r="AS1072" s="94"/>
      <c r="AT1072" s="63"/>
      <c r="AU1072" s="44"/>
      <c r="AV1072" s="44"/>
      <c r="AW1072" s="44"/>
      <c r="AX1072" s="44"/>
      <c r="AY1072" s="44"/>
      <c r="AZ1072" s="44"/>
      <c r="BA1072" s="43" t="s">
        <v>89</v>
      </c>
      <c r="BB1072" s="44"/>
      <c r="BC1072" s="95"/>
      <c r="BD1072" s="71"/>
      <c r="BE1072" s="71"/>
      <c r="BF1072" s="130"/>
      <c r="BG1072" s="73"/>
      <c r="BH1072" s="73"/>
      <c r="BI1072" s="73"/>
      <c r="BJ1072" s="73"/>
      <c r="BK1072" s="73"/>
      <c r="BL1072" s="73"/>
      <c r="BM1072" s="73"/>
      <c r="BN1072" s="73"/>
      <c r="BO1072" s="73"/>
      <c r="BP1072" s="73"/>
      <c r="BQ1072" s="73"/>
      <c r="BR1072" s="73"/>
      <c r="BS1072" s="73"/>
      <c r="BT1072" s="73"/>
      <c r="BU1072" s="73"/>
      <c r="BV1072" s="73"/>
      <c r="BW1072" s="74"/>
      <c r="BX1072" s="74"/>
      <c r="BY1072" s="63"/>
      <c r="BZ1072" s="63"/>
    </row>
    <row r="1073" ht="15.75" customHeight="1">
      <c r="A1073" s="41"/>
      <c r="B1073" s="50"/>
      <c r="C1073" s="50"/>
      <c r="D1073" s="50"/>
      <c r="E1073" s="64"/>
      <c r="F1073" s="78">
        <v>0.0</v>
      </c>
      <c r="G1073" s="44" t="str">
        <f t="shared" si="35"/>
        <v>$0 a $100'000.000</v>
      </c>
      <c r="H1073" s="44"/>
      <c r="I1073" s="44"/>
      <c r="J1073" s="50"/>
      <c r="K1073" s="51"/>
      <c r="L1073" s="44"/>
      <c r="M1073" s="44"/>
      <c r="N1073" s="44"/>
      <c r="O1073" s="44"/>
      <c r="P1073" s="44"/>
      <c r="Q1073" s="88">
        <v>0.0</v>
      </c>
      <c r="R1073" s="89">
        <v>0.0</v>
      </c>
      <c r="S1073" s="56" t="str">
        <f t="shared" si="34"/>
        <v> </v>
      </c>
      <c r="T1073" s="50"/>
      <c r="U1073" s="57"/>
      <c r="V1073" s="44"/>
      <c r="W1073" s="44"/>
      <c r="X1073" s="44"/>
      <c r="Y1073" s="44"/>
      <c r="Z1073" s="91"/>
      <c r="AA1073" s="59" t="str">
        <f>IF(Rentabilidad=0,"No aplica",TEXT(ROUND(Precio/Rentabilidad/12,0),0) &amp; " años")</f>
        <v>No aplica</v>
      </c>
      <c r="AB1073" s="212"/>
      <c r="AC1073" s="61"/>
      <c r="AD1073" s="107"/>
      <c r="AE1073" s="63"/>
      <c r="AF1073" s="64"/>
      <c r="AG1073" s="63"/>
      <c r="AH1073" s="63"/>
      <c r="AI1073" s="63"/>
      <c r="AJ1073" s="45"/>
      <c r="AK1073" s="50"/>
      <c r="AL1073" s="45"/>
      <c r="AM1073" s="44"/>
      <c r="AN1073" s="45"/>
      <c r="AO1073" s="52"/>
      <c r="AP1073" s="67"/>
      <c r="AQ1073" s="67"/>
      <c r="AR1073" s="67"/>
      <c r="AS1073" s="94"/>
      <c r="AT1073" s="63"/>
      <c r="AU1073" s="44"/>
      <c r="AV1073" s="44"/>
      <c r="AW1073" s="44"/>
      <c r="AX1073" s="44"/>
      <c r="AY1073" s="44"/>
      <c r="AZ1073" s="44"/>
      <c r="BA1073" s="43" t="s">
        <v>89</v>
      </c>
      <c r="BB1073" s="44"/>
      <c r="BC1073" s="95"/>
      <c r="BD1073" s="71"/>
      <c r="BE1073" s="71"/>
      <c r="BF1073" s="130"/>
      <c r="BG1073" s="73"/>
      <c r="BH1073" s="73"/>
      <c r="BI1073" s="73"/>
      <c r="BJ1073" s="73"/>
      <c r="BK1073" s="73"/>
      <c r="BL1073" s="73"/>
      <c r="BM1073" s="73"/>
      <c r="BN1073" s="73"/>
      <c r="BO1073" s="73"/>
      <c r="BP1073" s="73"/>
      <c r="BQ1073" s="73"/>
      <c r="BR1073" s="73"/>
      <c r="BS1073" s="73"/>
      <c r="BT1073" s="73"/>
      <c r="BU1073" s="73"/>
      <c r="BV1073" s="73"/>
      <c r="BW1073" s="74"/>
      <c r="BX1073" s="74"/>
      <c r="BY1073" s="63"/>
      <c r="BZ1073" s="63"/>
    </row>
    <row r="1074" ht="15.75" customHeight="1">
      <c r="A1074" s="41"/>
      <c r="B1074" s="50"/>
      <c r="C1074" s="50"/>
      <c r="D1074" s="50"/>
      <c r="E1074" s="64"/>
      <c r="F1074" s="78">
        <v>0.0</v>
      </c>
      <c r="G1074" s="44" t="str">
        <f t="shared" si="35"/>
        <v>$0 a $100'000.000</v>
      </c>
      <c r="H1074" s="44"/>
      <c r="I1074" s="44"/>
      <c r="J1074" s="50"/>
      <c r="K1074" s="51"/>
      <c r="L1074" s="44"/>
      <c r="M1074" s="44"/>
      <c r="N1074" s="44"/>
      <c r="O1074" s="44"/>
      <c r="P1074" s="44"/>
      <c r="Q1074" s="88">
        <v>0.0</v>
      </c>
      <c r="R1074" s="89">
        <v>0.0</v>
      </c>
      <c r="S1074" s="56" t="str">
        <f t="shared" si="34"/>
        <v> </v>
      </c>
      <c r="T1074" s="50"/>
      <c r="U1074" s="57"/>
      <c r="V1074" s="44"/>
      <c r="W1074" s="44"/>
      <c r="X1074" s="44"/>
      <c r="Y1074" s="44"/>
      <c r="Z1074" s="91"/>
      <c r="AA1074" s="59" t="str">
        <f>IF(Rentabilidad=0,"No aplica",TEXT(ROUND(Precio/Rentabilidad/12,0),0) &amp; " años")</f>
        <v>No aplica</v>
      </c>
      <c r="AB1074" s="212"/>
      <c r="AC1074" s="61"/>
      <c r="AD1074" s="107"/>
      <c r="AE1074" s="63"/>
      <c r="AF1074" s="64"/>
      <c r="AG1074" s="63"/>
      <c r="AH1074" s="63"/>
      <c r="AI1074" s="63"/>
      <c r="AJ1074" s="45"/>
      <c r="AK1074" s="50"/>
      <c r="AL1074" s="45"/>
      <c r="AM1074" s="44"/>
      <c r="AN1074" s="45"/>
      <c r="AO1074" s="52"/>
      <c r="AP1074" s="67"/>
      <c r="AQ1074" s="67"/>
      <c r="AR1074" s="67"/>
      <c r="AS1074" s="94"/>
      <c r="AT1074" s="63"/>
      <c r="AU1074" s="44"/>
      <c r="AV1074" s="44"/>
      <c r="AW1074" s="44"/>
      <c r="AX1074" s="44"/>
      <c r="AY1074" s="44"/>
      <c r="AZ1074" s="44"/>
      <c r="BA1074" s="43" t="s">
        <v>89</v>
      </c>
      <c r="BB1074" s="44"/>
      <c r="BC1074" s="95"/>
      <c r="BD1074" s="71"/>
      <c r="BE1074" s="71"/>
      <c r="BF1074" s="130"/>
      <c r="BG1074" s="73"/>
      <c r="BH1074" s="73"/>
      <c r="BI1074" s="73"/>
      <c r="BJ1074" s="73"/>
      <c r="BK1074" s="73"/>
      <c r="BL1074" s="73"/>
      <c r="BM1074" s="73"/>
      <c r="BN1074" s="73"/>
      <c r="BO1074" s="73"/>
      <c r="BP1074" s="73"/>
      <c r="BQ1074" s="73"/>
      <c r="BR1074" s="73"/>
      <c r="BS1074" s="73"/>
      <c r="BT1074" s="73"/>
      <c r="BU1074" s="73"/>
      <c r="BV1074" s="73"/>
      <c r="BW1074" s="74"/>
      <c r="BX1074" s="74"/>
      <c r="BY1074" s="63"/>
      <c r="BZ1074" s="63"/>
    </row>
    <row r="1075" ht="15.75" customHeight="1">
      <c r="A1075" s="41"/>
      <c r="B1075" s="50"/>
      <c r="C1075" s="50"/>
      <c r="D1075" s="50"/>
      <c r="E1075" s="64"/>
      <c r="F1075" s="78">
        <v>0.0</v>
      </c>
      <c r="G1075" s="44" t="str">
        <f t="shared" si="35"/>
        <v>$0 a $100'000.000</v>
      </c>
      <c r="H1075" s="44"/>
      <c r="I1075" s="44"/>
      <c r="J1075" s="50"/>
      <c r="K1075" s="51"/>
      <c r="L1075" s="44"/>
      <c r="M1075" s="44"/>
      <c r="N1075" s="44"/>
      <c r="O1075" s="44"/>
      <c r="P1075" s="44"/>
      <c r="Q1075" s="88">
        <v>0.0</v>
      </c>
      <c r="R1075" s="89">
        <v>0.0</v>
      </c>
      <c r="S1075" s="56" t="str">
        <f t="shared" si="34"/>
        <v> </v>
      </c>
      <c r="T1075" s="50"/>
      <c r="U1075" s="57"/>
      <c r="V1075" s="44"/>
      <c r="W1075" s="44"/>
      <c r="X1075" s="44"/>
      <c r="Y1075" s="44"/>
      <c r="Z1075" s="91"/>
      <c r="AA1075" s="59" t="str">
        <f>IF(Rentabilidad=0,"No aplica",TEXT(ROUND(Precio/Rentabilidad/12,0),0) &amp; " años")</f>
        <v>No aplica</v>
      </c>
      <c r="AB1075" s="212"/>
      <c r="AC1075" s="61"/>
      <c r="AD1075" s="107"/>
      <c r="AE1075" s="63"/>
      <c r="AF1075" s="64"/>
      <c r="AG1075" s="63"/>
      <c r="AH1075" s="63"/>
      <c r="AI1075" s="63"/>
      <c r="AJ1075" s="45"/>
      <c r="AK1075" s="50"/>
      <c r="AL1075" s="45"/>
      <c r="AM1075" s="44"/>
      <c r="AN1075" s="45"/>
      <c r="AO1075" s="52"/>
      <c r="AP1075" s="67"/>
      <c r="AQ1075" s="67"/>
      <c r="AR1075" s="67"/>
      <c r="AS1075" s="94"/>
      <c r="AT1075" s="63"/>
      <c r="AU1075" s="44"/>
      <c r="AV1075" s="44"/>
      <c r="AW1075" s="44"/>
      <c r="AX1075" s="44"/>
      <c r="AY1075" s="44"/>
      <c r="AZ1075" s="44"/>
      <c r="BA1075" s="43" t="s">
        <v>89</v>
      </c>
      <c r="BB1075" s="44"/>
      <c r="BC1075" s="95"/>
      <c r="BD1075" s="71"/>
      <c r="BE1075" s="71"/>
      <c r="BF1075" s="130"/>
      <c r="BG1075" s="73"/>
      <c r="BH1075" s="73"/>
      <c r="BI1075" s="73"/>
      <c r="BJ1075" s="73"/>
      <c r="BK1075" s="73"/>
      <c r="BL1075" s="73"/>
      <c r="BM1075" s="73"/>
      <c r="BN1075" s="73"/>
      <c r="BO1075" s="73"/>
      <c r="BP1075" s="73"/>
      <c r="BQ1075" s="73"/>
      <c r="BR1075" s="73"/>
      <c r="BS1075" s="73"/>
      <c r="BT1075" s="73"/>
      <c r="BU1075" s="73"/>
      <c r="BV1075" s="73"/>
      <c r="BW1075" s="74"/>
      <c r="BX1075" s="74"/>
      <c r="BY1075" s="63"/>
      <c r="BZ1075" s="63"/>
    </row>
    <row r="1076" ht="15.75" customHeight="1">
      <c r="A1076" s="41"/>
      <c r="B1076" s="50"/>
      <c r="C1076" s="50"/>
      <c r="D1076" s="50"/>
      <c r="E1076" s="64"/>
      <c r="F1076" s="78">
        <v>0.0</v>
      </c>
      <c r="G1076" s="44" t="str">
        <f t="shared" si="35"/>
        <v>$0 a $100'000.000</v>
      </c>
      <c r="H1076" s="44"/>
      <c r="I1076" s="44"/>
      <c r="J1076" s="50"/>
      <c r="K1076" s="51"/>
      <c r="L1076" s="44"/>
      <c r="M1076" s="44"/>
      <c r="N1076" s="44"/>
      <c r="O1076" s="44"/>
      <c r="P1076" s="44"/>
      <c r="Q1076" s="88">
        <v>0.0</v>
      </c>
      <c r="R1076" s="89">
        <v>0.0</v>
      </c>
      <c r="S1076" s="56" t="str">
        <f t="shared" si="34"/>
        <v> </v>
      </c>
      <c r="T1076" s="50"/>
      <c r="U1076" s="57"/>
      <c r="V1076" s="44"/>
      <c r="W1076" s="44"/>
      <c r="X1076" s="44"/>
      <c r="Y1076" s="44"/>
      <c r="Z1076" s="91"/>
      <c r="AA1076" s="59" t="str">
        <f>IF(Rentabilidad=0,"No aplica",TEXT(ROUND(Precio/Rentabilidad/12,0),0) &amp; " años")</f>
        <v>No aplica</v>
      </c>
      <c r="AB1076" s="212"/>
      <c r="AC1076" s="61"/>
      <c r="AD1076" s="107"/>
      <c r="AE1076" s="63"/>
      <c r="AF1076" s="64"/>
      <c r="AG1076" s="63"/>
      <c r="AH1076" s="63"/>
      <c r="AI1076" s="63"/>
      <c r="AJ1076" s="45"/>
      <c r="AK1076" s="50"/>
      <c r="AL1076" s="45"/>
      <c r="AM1076" s="44"/>
      <c r="AN1076" s="45"/>
      <c r="AO1076" s="52"/>
      <c r="AP1076" s="67"/>
      <c r="AQ1076" s="67"/>
      <c r="AR1076" s="67"/>
      <c r="AS1076" s="94"/>
      <c r="AT1076" s="63"/>
      <c r="AU1076" s="44"/>
      <c r="AV1076" s="44"/>
      <c r="AW1076" s="44"/>
      <c r="AX1076" s="44"/>
      <c r="AY1076" s="44"/>
      <c r="AZ1076" s="44"/>
      <c r="BA1076" s="43" t="s">
        <v>89</v>
      </c>
      <c r="BB1076" s="44"/>
      <c r="BC1076" s="95"/>
      <c r="BD1076" s="71"/>
      <c r="BE1076" s="71"/>
      <c r="BF1076" s="130"/>
      <c r="BG1076" s="73"/>
      <c r="BH1076" s="73"/>
      <c r="BI1076" s="73"/>
      <c r="BJ1076" s="73"/>
      <c r="BK1076" s="73"/>
      <c r="BL1076" s="73"/>
      <c r="BM1076" s="73"/>
      <c r="BN1076" s="73"/>
      <c r="BO1076" s="73"/>
      <c r="BP1076" s="73"/>
      <c r="BQ1076" s="73"/>
      <c r="BR1076" s="73"/>
      <c r="BS1076" s="73"/>
      <c r="BT1076" s="73"/>
      <c r="BU1076" s="73"/>
      <c r="BV1076" s="73"/>
      <c r="BW1076" s="74"/>
      <c r="BX1076" s="74"/>
      <c r="BY1076" s="63"/>
      <c r="BZ1076" s="63"/>
    </row>
    <row r="1077" ht="15.75" customHeight="1">
      <c r="A1077" s="41"/>
      <c r="B1077" s="50"/>
      <c r="C1077" s="50"/>
      <c r="D1077" s="50"/>
      <c r="E1077" s="64"/>
      <c r="F1077" s="78">
        <v>0.0</v>
      </c>
      <c r="G1077" s="44" t="str">
        <f t="shared" si="35"/>
        <v>$0 a $100'000.000</v>
      </c>
      <c r="H1077" s="44"/>
      <c r="I1077" s="44"/>
      <c r="J1077" s="50"/>
      <c r="K1077" s="51"/>
      <c r="L1077" s="44"/>
      <c r="M1077" s="44"/>
      <c r="N1077" s="44"/>
      <c r="O1077" s="44"/>
      <c r="P1077" s="44"/>
      <c r="Q1077" s="88">
        <v>0.0</v>
      </c>
      <c r="R1077" s="89">
        <v>0.0</v>
      </c>
      <c r="S1077" s="56" t="str">
        <f t="shared" si="34"/>
        <v> </v>
      </c>
      <c r="T1077" s="50"/>
      <c r="U1077" s="57"/>
      <c r="V1077" s="44"/>
      <c r="W1077" s="44"/>
      <c r="X1077" s="44"/>
      <c r="Y1077" s="44"/>
      <c r="Z1077" s="91"/>
      <c r="AA1077" s="59" t="str">
        <f>IF(Rentabilidad=0,"No aplica",TEXT(ROUND(Precio/Rentabilidad/12,0),0) &amp; " años")</f>
        <v>No aplica</v>
      </c>
      <c r="AB1077" s="212"/>
      <c r="AC1077" s="61"/>
      <c r="AD1077" s="107"/>
      <c r="AE1077" s="63"/>
      <c r="AF1077" s="64"/>
      <c r="AG1077" s="63"/>
      <c r="AH1077" s="63"/>
      <c r="AI1077" s="63"/>
      <c r="AJ1077" s="45"/>
      <c r="AK1077" s="50"/>
      <c r="AL1077" s="45"/>
      <c r="AM1077" s="44"/>
      <c r="AN1077" s="45"/>
      <c r="AO1077" s="52"/>
      <c r="AP1077" s="67"/>
      <c r="AQ1077" s="67"/>
      <c r="AR1077" s="67"/>
      <c r="AS1077" s="94"/>
      <c r="AT1077" s="63"/>
      <c r="AU1077" s="44"/>
      <c r="AV1077" s="44"/>
      <c r="AW1077" s="44"/>
      <c r="AX1077" s="44"/>
      <c r="AY1077" s="44"/>
      <c r="AZ1077" s="44"/>
      <c r="BA1077" s="43" t="s">
        <v>89</v>
      </c>
      <c r="BB1077" s="44"/>
      <c r="BC1077" s="95"/>
      <c r="BD1077" s="71"/>
      <c r="BE1077" s="71"/>
      <c r="BF1077" s="130"/>
      <c r="BG1077" s="73"/>
      <c r="BH1077" s="73"/>
      <c r="BI1077" s="73"/>
      <c r="BJ1077" s="73"/>
      <c r="BK1077" s="73"/>
      <c r="BL1077" s="73"/>
      <c r="BM1077" s="73"/>
      <c r="BN1077" s="73"/>
      <c r="BO1077" s="73"/>
      <c r="BP1077" s="73"/>
      <c r="BQ1077" s="73"/>
      <c r="BR1077" s="73"/>
      <c r="BS1077" s="73"/>
      <c r="BT1077" s="73"/>
      <c r="BU1077" s="73"/>
      <c r="BV1077" s="73"/>
      <c r="BW1077" s="74"/>
      <c r="BX1077" s="74"/>
      <c r="BY1077" s="63"/>
      <c r="BZ1077" s="63"/>
    </row>
    <row r="1078" ht="15.75" customHeight="1">
      <c r="A1078" s="41"/>
      <c r="B1078" s="50"/>
      <c r="C1078" s="50"/>
      <c r="D1078" s="50"/>
      <c r="E1078" s="64"/>
      <c r="F1078" s="78">
        <v>0.0</v>
      </c>
      <c r="G1078" s="44" t="str">
        <f t="shared" si="35"/>
        <v>$0 a $100'000.000</v>
      </c>
      <c r="H1078" s="44"/>
      <c r="I1078" s="44"/>
      <c r="J1078" s="50"/>
      <c r="K1078" s="51"/>
      <c r="L1078" s="44"/>
      <c r="M1078" s="44"/>
      <c r="N1078" s="44"/>
      <c r="O1078" s="44"/>
      <c r="P1078" s="44"/>
      <c r="Q1078" s="88">
        <v>0.0</v>
      </c>
      <c r="R1078" s="89">
        <v>0.0</v>
      </c>
      <c r="S1078" s="56" t="str">
        <f t="shared" si="34"/>
        <v> </v>
      </c>
      <c r="T1078" s="50"/>
      <c r="U1078" s="57"/>
      <c r="V1078" s="44"/>
      <c r="W1078" s="44"/>
      <c r="X1078" s="44"/>
      <c r="Y1078" s="44"/>
      <c r="Z1078" s="91"/>
      <c r="AA1078" s="59" t="str">
        <f>IF(Rentabilidad=0,"No aplica",TEXT(ROUND(Precio/Rentabilidad/12,0),0) &amp; " años")</f>
        <v>No aplica</v>
      </c>
      <c r="AB1078" s="212"/>
      <c r="AC1078" s="61"/>
      <c r="AD1078" s="107"/>
      <c r="AE1078" s="63"/>
      <c r="AF1078" s="64"/>
      <c r="AG1078" s="63"/>
      <c r="AH1078" s="63"/>
      <c r="AI1078" s="63"/>
      <c r="AJ1078" s="45"/>
      <c r="AK1078" s="50"/>
      <c r="AL1078" s="45"/>
      <c r="AM1078" s="44"/>
      <c r="AN1078" s="45"/>
      <c r="AO1078" s="52"/>
      <c r="AP1078" s="67"/>
      <c r="AQ1078" s="67"/>
      <c r="AR1078" s="67"/>
      <c r="AS1078" s="94"/>
      <c r="AT1078" s="63"/>
      <c r="AU1078" s="44"/>
      <c r="AV1078" s="44"/>
      <c r="AW1078" s="44"/>
      <c r="AX1078" s="44"/>
      <c r="AY1078" s="44"/>
      <c r="AZ1078" s="44"/>
      <c r="BA1078" s="43" t="s">
        <v>89</v>
      </c>
      <c r="BB1078" s="44"/>
      <c r="BC1078" s="95"/>
      <c r="BD1078" s="71"/>
      <c r="BE1078" s="71"/>
      <c r="BF1078" s="130"/>
      <c r="BG1078" s="73"/>
      <c r="BH1078" s="73"/>
      <c r="BI1078" s="73"/>
      <c r="BJ1078" s="73"/>
      <c r="BK1078" s="73"/>
      <c r="BL1078" s="73"/>
      <c r="BM1078" s="73"/>
      <c r="BN1078" s="73"/>
      <c r="BO1078" s="73"/>
      <c r="BP1078" s="73"/>
      <c r="BQ1078" s="73"/>
      <c r="BR1078" s="73"/>
      <c r="BS1078" s="73"/>
      <c r="BT1078" s="73"/>
      <c r="BU1078" s="73"/>
      <c r="BV1078" s="73"/>
      <c r="BW1078" s="74"/>
      <c r="BX1078" s="74"/>
      <c r="BY1078" s="63"/>
      <c r="BZ1078" s="63"/>
    </row>
    <row r="1079" ht="15.75" customHeight="1">
      <c r="A1079" s="41"/>
      <c r="B1079" s="50"/>
      <c r="C1079" s="50"/>
      <c r="D1079" s="50"/>
      <c r="E1079" s="64"/>
      <c r="F1079" s="78">
        <v>0.0</v>
      </c>
      <c r="G1079" s="44" t="str">
        <f t="shared" si="35"/>
        <v>$0 a $100'000.000</v>
      </c>
      <c r="H1079" s="44"/>
      <c r="I1079" s="44"/>
      <c r="J1079" s="50"/>
      <c r="K1079" s="51"/>
      <c r="L1079" s="44"/>
      <c r="M1079" s="44"/>
      <c r="N1079" s="44"/>
      <c r="O1079" s="44"/>
      <c r="P1079" s="44"/>
      <c r="Q1079" s="88">
        <v>0.0</v>
      </c>
      <c r="R1079" s="89">
        <v>0.0</v>
      </c>
      <c r="S1079" s="56" t="str">
        <f t="shared" si="34"/>
        <v> </v>
      </c>
      <c r="T1079" s="50"/>
      <c r="U1079" s="57"/>
      <c r="V1079" s="44"/>
      <c r="W1079" s="44"/>
      <c r="X1079" s="44"/>
      <c r="Y1079" s="44"/>
      <c r="Z1079" s="91"/>
      <c r="AA1079" s="59" t="str">
        <f>IF(Rentabilidad=0,"No aplica",TEXT(ROUND(Precio/Rentabilidad/12,0),0) &amp; " años")</f>
        <v>No aplica</v>
      </c>
      <c r="AB1079" s="212"/>
      <c r="AC1079" s="61"/>
      <c r="AD1079" s="107"/>
      <c r="AE1079" s="63"/>
      <c r="AF1079" s="64"/>
      <c r="AG1079" s="63"/>
      <c r="AH1079" s="63"/>
      <c r="AI1079" s="63"/>
      <c r="AJ1079" s="45"/>
      <c r="AK1079" s="50"/>
      <c r="AL1079" s="45"/>
      <c r="AM1079" s="44"/>
      <c r="AN1079" s="45"/>
      <c r="AO1079" s="52"/>
      <c r="AP1079" s="67"/>
      <c r="AQ1079" s="67"/>
      <c r="AR1079" s="67"/>
      <c r="AS1079" s="94"/>
      <c r="AT1079" s="63"/>
      <c r="AU1079" s="44"/>
      <c r="AV1079" s="44"/>
      <c r="AW1079" s="44"/>
      <c r="AX1079" s="44"/>
      <c r="AY1079" s="44"/>
      <c r="AZ1079" s="44"/>
      <c r="BA1079" s="43" t="s">
        <v>89</v>
      </c>
      <c r="BB1079" s="44"/>
      <c r="BC1079" s="95"/>
      <c r="BD1079" s="71"/>
      <c r="BE1079" s="71"/>
      <c r="BF1079" s="130"/>
      <c r="BG1079" s="73"/>
      <c r="BH1079" s="73"/>
      <c r="BI1079" s="73"/>
      <c r="BJ1079" s="73"/>
      <c r="BK1079" s="73"/>
      <c r="BL1079" s="73"/>
      <c r="BM1079" s="73"/>
      <c r="BN1079" s="73"/>
      <c r="BO1079" s="73"/>
      <c r="BP1079" s="73"/>
      <c r="BQ1079" s="73"/>
      <c r="BR1079" s="73"/>
      <c r="BS1079" s="73"/>
      <c r="BT1079" s="73"/>
      <c r="BU1079" s="73"/>
      <c r="BV1079" s="73"/>
      <c r="BW1079" s="74"/>
      <c r="BX1079" s="74"/>
      <c r="BY1079" s="63"/>
      <c r="BZ1079" s="63"/>
    </row>
    <row r="1080" ht="15.75" customHeight="1">
      <c r="A1080" s="41"/>
      <c r="B1080" s="50"/>
      <c r="C1080" s="50"/>
      <c r="D1080" s="50"/>
      <c r="E1080" s="64"/>
      <c r="F1080" s="78">
        <v>0.0</v>
      </c>
      <c r="G1080" s="44" t="str">
        <f t="shared" si="35"/>
        <v>$0 a $100'000.000</v>
      </c>
      <c r="H1080" s="44"/>
      <c r="I1080" s="44"/>
      <c r="J1080" s="50"/>
      <c r="K1080" s="51"/>
      <c r="L1080" s="44"/>
      <c r="M1080" s="44"/>
      <c r="N1080" s="44"/>
      <c r="O1080" s="44"/>
      <c r="P1080" s="44"/>
      <c r="Q1080" s="88">
        <v>0.0</v>
      </c>
      <c r="R1080" s="89">
        <v>0.0</v>
      </c>
      <c r="S1080" s="56" t="str">
        <f t="shared" si="34"/>
        <v> </v>
      </c>
      <c r="T1080" s="50"/>
      <c r="U1080" s="57"/>
      <c r="V1080" s="44"/>
      <c r="W1080" s="44"/>
      <c r="X1080" s="44"/>
      <c r="Y1080" s="44"/>
      <c r="Z1080" s="91"/>
      <c r="AA1080" s="59" t="str">
        <f>IF(Rentabilidad=0,"No aplica",TEXT(ROUND(Precio/Rentabilidad/12,0),0) &amp; " años")</f>
        <v>No aplica</v>
      </c>
      <c r="AB1080" s="212"/>
      <c r="AC1080" s="61"/>
      <c r="AD1080" s="107"/>
      <c r="AE1080" s="63"/>
      <c r="AF1080" s="64"/>
      <c r="AG1080" s="63"/>
      <c r="AH1080" s="63"/>
      <c r="AI1080" s="63"/>
      <c r="AJ1080" s="45"/>
      <c r="AK1080" s="50"/>
      <c r="AL1080" s="45"/>
      <c r="AM1080" s="44"/>
      <c r="AN1080" s="45"/>
      <c r="AO1080" s="52"/>
      <c r="AP1080" s="67"/>
      <c r="AQ1080" s="67"/>
      <c r="AR1080" s="67"/>
      <c r="AS1080" s="94"/>
      <c r="AT1080" s="63"/>
      <c r="AU1080" s="44"/>
      <c r="AV1080" s="44"/>
      <c r="AW1080" s="44"/>
      <c r="AX1080" s="44"/>
      <c r="AY1080" s="44"/>
      <c r="AZ1080" s="44"/>
      <c r="BA1080" s="43" t="s">
        <v>89</v>
      </c>
      <c r="BB1080" s="44"/>
      <c r="BC1080" s="95"/>
      <c r="BD1080" s="71"/>
      <c r="BE1080" s="71"/>
      <c r="BF1080" s="130"/>
      <c r="BG1080" s="73"/>
      <c r="BH1080" s="73"/>
      <c r="BI1080" s="73"/>
      <c r="BJ1080" s="73"/>
      <c r="BK1080" s="73"/>
      <c r="BL1080" s="73"/>
      <c r="BM1080" s="73"/>
      <c r="BN1080" s="73"/>
      <c r="BO1080" s="73"/>
      <c r="BP1080" s="73"/>
      <c r="BQ1080" s="73"/>
      <c r="BR1080" s="73"/>
      <c r="BS1080" s="73"/>
      <c r="BT1080" s="73"/>
      <c r="BU1080" s="73"/>
      <c r="BV1080" s="73"/>
      <c r="BW1080" s="74"/>
      <c r="BX1080" s="74"/>
      <c r="BY1080" s="63"/>
      <c r="BZ1080" s="63"/>
    </row>
    <row r="1081" ht="15.75" customHeight="1">
      <c r="A1081" s="41"/>
      <c r="B1081" s="50"/>
      <c r="C1081" s="50"/>
      <c r="D1081" s="50"/>
      <c r="E1081" s="64"/>
      <c r="F1081" s="78">
        <v>0.0</v>
      </c>
      <c r="G1081" s="44" t="str">
        <f t="shared" si="35"/>
        <v>$0 a $100'000.000</v>
      </c>
      <c r="H1081" s="44"/>
      <c r="I1081" s="44"/>
      <c r="J1081" s="50"/>
      <c r="K1081" s="51"/>
      <c r="L1081" s="44"/>
      <c r="M1081" s="44"/>
      <c r="N1081" s="44"/>
      <c r="O1081" s="44"/>
      <c r="P1081" s="44"/>
      <c r="Q1081" s="88">
        <v>0.0</v>
      </c>
      <c r="R1081" s="89">
        <v>0.0</v>
      </c>
      <c r="S1081" s="56" t="str">
        <f t="shared" si="34"/>
        <v> </v>
      </c>
      <c r="T1081" s="50"/>
      <c r="U1081" s="57"/>
      <c r="V1081" s="44"/>
      <c r="W1081" s="44"/>
      <c r="X1081" s="44"/>
      <c r="Y1081" s="44"/>
      <c r="Z1081" s="91"/>
      <c r="AA1081" s="59" t="str">
        <f>IF(Rentabilidad=0,"No aplica",TEXT(ROUND(Precio/Rentabilidad/12,0),0) &amp; " años")</f>
        <v>No aplica</v>
      </c>
      <c r="AB1081" s="212"/>
      <c r="AC1081" s="61"/>
      <c r="AD1081" s="107"/>
      <c r="AE1081" s="63"/>
      <c r="AF1081" s="64"/>
      <c r="AG1081" s="63"/>
      <c r="AH1081" s="63"/>
      <c r="AI1081" s="63"/>
      <c r="AJ1081" s="45"/>
      <c r="AK1081" s="50"/>
      <c r="AL1081" s="45"/>
      <c r="AM1081" s="44"/>
      <c r="AN1081" s="45"/>
      <c r="AO1081" s="52"/>
      <c r="AP1081" s="67"/>
      <c r="AQ1081" s="67"/>
      <c r="AR1081" s="67"/>
      <c r="AS1081" s="94"/>
      <c r="AT1081" s="63"/>
      <c r="AU1081" s="44"/>
      <c r="AV1081" s="44"/>
      <c r="AW1081" s="44"/>
      <c r="AX1081" s="44"/>
      <c r="AY1081" s="44"/>
      <c r="AZ1081" s="44"/>
      <c r="BA1081" s="43" t="s">
        <v>89</v>
      </c>
      <c r="BB1081" s="44"/>
      <c r="BC1081" s="95"/>
      <c r="BD1081" s="71"/>
      <c r="BE1081" s="71"/>
      <c r="BF1081" s="130"/>
      <c r="BG1081" s="73"/>
      <c r="BH1081" s="73"/>
      <c r="BI1081" s="73"/>
      <c r="BJ1081" s="73"/>
      <c r="BK1081" s="73"/>
      <c r="BL1081" s="73"/>
      <c r="BM1081" s="73"/>
      <c r="BN1081" s="73"/>
      <c r="BO1081" s="73"/>
      <c r="BP1081" s="73"/>
      <c r="BQ1081" s="73"/>
      <c r="BR1081" s="73"/>
      <c r="BS1081" s="73"/>
      <c r="BT1081" s="73"/>
      <c r="BU1081" s="73"/>
      <c r="BV1081" s="73"/>
      <c r="BW1081" s="74"/>
      <c r="BX1081" s="74"/>
      <c r="BY1081" s="63"/>
      <c r="BZ1081" s="63"/>
    </row>
    <row r="1082" ht="15.75" customHeight="1">
      <c r="A1082" s="41"/>
      <c r="B1082" s="50"/>
      <c r="C1082" s="50"/>
      <c r="D1082" s="50"/>
      <c r="E1082" s="64"/>
      <c r="F1082" s="78">
        <v>0.0</v>
      </c>
      <c r="G1082" s="44" t="str">
        <f t="shared" si="35"/>
        <v>$0 a $100'000.000</v>
      </c>
      <c r="H1082" s="44"/>
      <c r="I1082" s="44"/>
      <c r="J1082" s="50"/>
      <c r="K1082" s="51"/>
      <c r="L1082" s="44"/>
      <c r="M1082" s="44"/>
      <c r="N1082" s="44"/>
      <c r="O1082" s="44"/>
      <c r="P1082" s="44"/>
      <c r="Q1082" s="88">
        <v>0.0</v>
      </c>
      <c r="R1082" s="89">
        <v>0.0</v>
      </c>
      <c r="S1082" s="56" t="str">
        <f t="shared" si="34"/>
        <v> </v>
      </c>
      <c r="T1082" s="50"/>
      <c r="U1082" s="57"/>
      <c r="V1082" s="44"/>
      <c r="W1082" s="44"/>
      <c r="X1082" s="44"/>
      <c r="Y1082" s="44"/>
      <c r="Z1082" s="91"/>
      <c r="AA1082" s="59" t="str">
        <f>IF(Rentabilidad=0,"No aplica",TEXT(ROUND(Precio/Rentabilidad/12,0),0) &amp; " años")</f>
        <v>No aplica</v>
      </c>
      <c r="AB1082" s="212"/>
      <c r="AC1082" s="61"/>
      <c r="AD1082" s="107"/>
      <c r="AE1082" s="63"/>
      <c r="AF1082" s="64"/>
      <c r="AG1082" s="63"/>
      <c r="AH1082" s="63"/>
      <c r="AI1082" s="63"/>
      <c r="AJ1082" s="45"/>
      <c r="AK1082" s="50"/>
      <c r="AL1082" s="45"/>
      <c r="AM1082" s="44"/>
      <c r="AN1082" s="45"/>
      <c r="AO1082" s="52"/>
      <c r="AP1082" s="67"/>
      <c r="AQ1082" s="67"/>
      <c r="AR1082" s="67"/>
      <c r="AS1082" s="94"/>
      <c r="AT1082" s="63"/>
      <c r="AU1082" s="44"/>
      <c r="AV1082" s="44"/>
      <c r="AW1082" s="44"/>
      <c r="AX1082" s="44"/>
      <c r="AY1082" s="44"/>
      <c r="AZ1082" s="44"/>
      <c r="BA1082" s="43" t="s">
        <v>89</v>
      </c>
      <c r="BB1082" s="44"/>
      <c r="BC1082" s="95"/>
      <c r="BD1082" s="71"/>
      <c r="BE1082" s="71"/>
      <c r="BF1082" s="130"/>
      <c r="BG1082" s="73"/>
      <c r="BH1082" s="73"/>
      <c r="BI1082" s="73"/>
      <c r="BJ1082" s="73"/>
      <c r="BK1082" s="73"/>
      <c r="BL1082" s="73"/>
      <c r="BM1082" s="73"/>
      <c r="BN1082" s="73"/>
      <c r="BO1082" s="73"/>
      <c r="BP1082" s="73"/>
      <c r="BQ1082" s="73"/>
      <c r="BR1082" s="73"/>
      <c r="BS1082" s="73"/>
      <c r="BT1082" s="73"/>
      <c r="BU1082" s="73"/>
      <c r="BV1082" s="73"/>
      <c r="BW1082" s="74"/>
      <c r="BX1082" s="74"/>
      <c r="BY1082" s="63"/>
      <c r="BZ1082" s="63"/>
    </row>
    <row r="1083" ht="15.75" customHeight="1">
      <c r="A1083" s="41"/>
      <c r="B1083" s="50"/>
      <c r="C1083" s="50"/>
      <c r="D1083" s="50"/>
      <c r="E1083" s="64"/>
      <c r="F1083" s="78">
        <v>0.0</v>
      </c>
      <c r="G1083" s="44" t="str">
        <f t="shared" si="35"/>
        <v>$0 a $100'000.000</v>
      </c>
      <c r="H1083" s="44"/>
      <c r="I1083" s="44"/>
      <c r="J1083" s="50"/>
      <c r="K1083" s="51"/>
      <c r="L1083" s="44"/>
      <c r="M1083" s="44"/>
      <c r="N1083" s="44"/>
      <c r="O1083" s="44"/>
      <c r="P1083" s="44"/>
      <c r="Q1083" s="88">
        <v>0.0</v>
      </c>
      <c r="R1083" s="89">
        <v>0.0</v>
      </c>
      <c r="S1083" s="56" t="str">
        <f t="shared" si="34"/>
        <v> </v>
      </c>
      <c r="T1083" s="50"/>
      <c r="U1083" s="57"/>
      <c r="V1083" s="44"/>
      <c r="W1083" s="44"/>
      <c r="X1083" s="44"/>
      <c r="Y1083" s="44"/>
      <c r="Z1083" s="91"/>
      <c r="AA1083" s="59" t="str">
        <f>IF(Rentabilidad=0,"No aplica",TEXT(ROUND(Precio/Rentabilidad/12,0),0) &amp; " años")</f>
        <v>No aplica</v>
      </c>
      <c r="AB1083" s="212"/>
      <c r="AC1083" s="61"/>
      <c r="AD1083" s="107"/>
      <c r="AE1083" s="63"/>
      <c r="AF1083" s="64"/>
      <c r="AG1083" s="63"/>
      <c r="AH1083" s="63"/>
      <c r="AI1083" s="63"/>
      <c r="AJ1083" s="45"/>
      <c r="AK1083" s="50"/>
      <c r="AL1083" s="45"/>
      <c r="AM1083" s="44"/>
      <c r="AN1083" s="45"/>
      <c r="AO1083" s="52"/>
      <c r="AP1083" s="67"/>
      <c r="AQ1083" s="67"/>
      <c r="AR1083" s="67"/>
      <c r="AS1083" s="94"/>
      <c r="AT1083" s="63"/>
      <c r="AU1083" s="44"/>
      <c r="AV1083" s="44"/>
      <c r="AW1083" s="44"/>
      <c r="AX1083" s="44"/>
      <c r="AY1083" s="44"/>
      <c r="AZ1083" s="44"/>
      <c r="BA1083" s="43" t="s">
        <v>89</v>
      </c>
      <c r="BB1083" s="44"/>
      <c r="BC1083" s="95"/>
      <c r="BD1083" s="71"/>
      <c r="BE1083" s="71"/>
      <c r="BF1083" s="130"/>
      <c r="BG1083" s="73"/>
      <c r="BH1083" s="73"/>
      <c r="BI1083" s="73"/>
      <c r="BJ1083" s="73"/>
      <c r="BK1083" s="73"/>
      <c r="BL1083" s="73"/>
      <c r="BM1083" s="73"/>
      <c r="BN1083" s="73"/>
      <c r="BO1083" s="73"/>
      <c r="BP1083" s="73"/>
      <c r="BQ1083" s="73"/>
      <c r="BR1083" s="73"/>
      <c r="BS1083" s="73"/>
      <c r="BT1083" s="73"/>
      <c r="BU1083" s="73"/>
      <c r="BV1083" s="73"/>
      <c r="BW1083" s="74"/>
      <c r="BX1083" s="74"/>
      <c r="BY1083" s="63"/>
      <c r="BZ1083" s="63"/>
    </row>
    <row r="1084" ht="15.75" customHeight="1">
      <c r="A1084" s="41"/>
      <c r="B1084" s="50"/>
      <c r="C1084" s="50"/>
      <c r="D1084" s="50"/>
      <c r="E1084" s="64"/>
      <c r="F1084" s="78">
        <v>0.0</v>
      </c>
      <c r="G1084" s="44" t="str">
        <f t="shared" si="35"/>
        <v>$0 a $100'000.000</v>
      </c>
      <c r="H1084" s="44"/>
      <c r="I1084" s="44"/>
      <c r="J1084" s="50"/>
      <c r="K1084" s="51"/>
      <c r="L1084" s="44"/>
      <c r="M1084" s="44"/>
      <c r="N1084" s="44"/>
      <c r="O1084" s="44"/>
      <c r="P1084" s="44"/>
      <c r="Q1084" s="88">
        <v>0.0</v>
      </c>
      <c r="R1084" s="89">
        <v>0.0</v>
      </c>
      <c r="S1084" s="56" t="str">
        <f t="shared" si="34"/>
        <v> </v>
      </c>
      <c r="T1084" s="50"/>
      <c r="U1084" s="57"/>
      <c r="V1084" s="44"/>
      <c r="W1084" s="44"/>
      <c r="X1084" s="44"/>
      <c r="Y1084" s="44"/>
      <c r="Z1084" s="91"/>
      <c r="AA1084" s="59" t="str">
        <f>IF(Rentabilidad=0,"No aplica",TEXT(ROUND(Precio/Rentabilidad/12,0),0) &amp; " años")</f>
        <v>No aplica</v>
      </c>
      <c r="AB1084" s="212"/>
      <c r="AC1084" s="61"/>
      <c r="AD1084" s="107"/>
      <c r="AE1084" s="63"/>
      <c r="AF1084" s="64"/>
      <c r="AG1084" s="63"/>
      <c r="AH1084" s="63"/>
      <c r="AI1084" s="63"/>
      <c r="AJ1084" s="45"/>
      <c r="AK1084" s="50"/>
      <c r="AL1084" s="45"/>
      <c r="AM1084" s="44"/>
      <c r="AN1084" s="45"/>
      <c r="AO1084" s="52"/>
      <c r="AP1084" s="67"/>
      <c r="AQ1084" s="67"/>
      <c r="AR1084" s="67"/>
      <c r="AS1084" s="94"/>
      <c r="AT1084" s="63"/>
      <c r="AU1084" s="44"/>
      <c r="AV1084" s="44"/>
      <c r="AW1084" s="44"/>
      <c r="AX1084" s="44"/>
      <c r="AY1084" s="44"/>
      <c r="AZ1084" s="44"/>
      <c r="BA1084" s="43" t="s">
        <v>89</v>
      </c>
      <c r="BB1084" s="44"/>
      <c r="BC1084" s="95"/>
      <c r="BD1084" s="71"/>
      <c r="BE1084" s="71"/>
      <c r="BF1084" s="130"/>
      <c r="BG1084" s="73"/>
      <c r="BH1084" s="73"/>
      <c r="BI1084" s="73"/>
      <c r="BJ1084" s="73"/>
      <c r="BK1084" s="73"/>
      <c r="BL1084" s="73"/>
      <c r="BM1084" s="73"/>
      <c r="BN1084" s="73"/>
      <c r="BO1084" s="73"/>
      <c r="BP1084" s="73"/>
      <c r="BQ1084" s="73"/>
      <c r="BR1084" s="73"/>
      <c r="BS1084" s="73"/>
      <c r="BT1084" s="73"/>
      <c r="BU1084" s="73"/>
      <c r="BV1084" s="73"/>
      <c r="BW1084" s="74"/>
      <c r="BX1084" s="74"/>
      <c r="BY1084" s="63"/>
      <c r="BZ1084" s="63"/>
    </row>
    <row r="1085" ht="15.75" customHeight="1">
      <c r="A1085" s="41"/>
      <c r="B1085" s="50"/>
      <c r="C1085" s="50"/>
      <c r="D1085" s="50"/>
      <c r="E1085" s="64"/>
      <c r="F1085" s="78">
        <v>0.0</v>
      </c>
      <c r="G1085" s="44" t="str">
        <f t="shared" si="35"/>
        <v>$0 a $100'000.000</v>
      </c>
      <c r="H1085" s="44"/>
      <c r="I1085" s="44"/>
      <c r="J1085" s="50"/>
      <c r="K1085" s="51"/>
      <c r="L1085" s="44"/>
      <c r="M1085" s="44"/>
      <c r="N1085" s="44"/>
      <c r="O1085" s="44"/>
      <c r="P1085" s="44"/>
      <c r="Q1085" s="88">
        <v>0.0</v>
      </c>
      <c r="R1085" s="89">
        <v>0.0</v>
      </c>
      <c r="S1085" s="56" t="str">
        <f t="shared" si="34"/>
        <v> </v>
      </c>
      <c r="T1085" s="50"/>
      <c r="U1085" s="57"/>
      <c r="V1085" s="44"/>
      <c r="W1085" s="44"/>
      <c r="X1085" s="44"/>
      <c r="Y1085" s="44"/>
      <c r="Z1085" s="91"/>
      <c r="AA1085" s="59" t="str">
        <f>IF(Rentabilidad=0,"No aplica",TEXT(ROUND(Precio/Rentabilidad/12,0),0) &amp; " años")</f>
        <v>No aplica</v>
      </c>
      <c r="AB1085" s="212"/>
      <c r="AC1085" s="61"/>
      <c r="AD1085" s="107"/>
      <c r="AE1085" s="63"/>
      <c r="AF1085" s="64"/>
      <c r="AG1085" s="63"/>
      <c r="AH1085" s="63"/>
      <c r="AI1085" s="63"/>
      <c r="AJ1085" s="45"/>
      <c r="AK1085" s="50"/>
      <c r="AL1085" s="45"/>
      <c r="AM1085" s="44"/>
      <c r="AN1085" s="45"/>
      <c r="AO1085" s="52"/>
      <c r="AP1085" s="67"/>
      <c r="AQ1085" s="67"/>
      <c r="AR1085" s="67"/>
      <c r="AS1085" s="94"/>
      <c r="AT1085" s="63"/>
      <c r="AU1085" s="44"/>
      <c r="AV1085" s="44"/>
      <c r="AW1085" s="44"/>
      <c r="AX1085" s="44"/>
      <c r="AY1085" s="44"/>
      <c r="AZ1085" s="44"/>
      <c r="BA1085" s="43" t="s">
        <v>89</v>
      </c>
      <c r="BB1085" s="44"/>
      <c r="BC1085" s="95"/>
      <c r="BD1085" s="71"/>
      <c r="BE1085" s="71"/>
      <c r="BF1085" s="130"/>
      <c r="BG1085" s="73"/>
      <c r="BH1085" s="73"/>
      <c r="BI1085" s="73"/>
      <c r="BJ1085" s="73"/>
      <c r="BK1085" s="73"/>
      <c r="BL1085" s="73"/>
      <c r="BM1085" s="73"/>
      <c r="BN1085" s="73"/>
      <c r="BO1085" s="73"/>
      <c r="BP1085" s="73"/>
      <c r="BQ1085" s="73"/>
      <c r="BR1085" s="73"/>
      <c r="BS1085" s="73"/>
      <c r="BT1085" s="73"/>
      <c r="BU1085" s="73"/>
      <c r="BV1085" s="73"/>
      <c r="BW1085" s="74"/>
      <c r="BX1085" s="74"/>
      <c r="BY1085" s="63"/>
      <c r="BZ1085" s="63"/>
    </row>
    <row r="1086" ht="15.75" customHeight="1">
      <c r="A1086" s="41"/>
      <c r="B1086" s="50"/>
      <c r="C1086" s="50"/>
      <c r="D1086" s="50"/>
      <c r="E1086" s="64"/>
      <c r="F1086" s="78">
        <v>0.0</v>
      </c>
      <c r="G1086" s="44" t="str">
        <f t="shared" si="35"/>
        <v>$0 a $100'000.000</v>
      </c>
      <c r="H1086" s="44"/>
      <c r="I1086" s="44"/>
      <c r="J1086" s="50"/>
      <c r="K1086" s="51"/>
      <c r="L1086" s="44"/>
      <c r="M1086" s="44"/>
      <c r="N1086" s="44"/>
      <c r="O1086" s="44"/>
      <c r="P1086" s="44"/>
      <c r="Q1086" s="88">
        <v>0.0</v>
      </c>
      <c r="R1086" s="89">
        <v>0.0</v>
      </c>
      <c r="S1086" s="56" t="str">
        <f t="shared" si="34"/>
        <v> </v>
      </c>
      <c r="T1086" s="50"/>
      <c r="U1086" s="57"/>
      <c r="V1086" s="44"/>
      <c r="W1086" s="44"/>
      <c r="X1086" s="44"/>
      <c r="Y1086" s="44"/>
      <c r="Z1086" s="91"/>
      <c r="AA1086" s="59" t="str">
        <f>IF(Rentabilidad=0,"No aplica",TEXT(ROUND(Precio/Rentabilidad/12,0),0) &amp; " años")</f>
        <v>No aplica</v>
      </c>
      <c r="AB1086" s="212"/>
      <c r="AC1086" s="61"/>
      <c r="AD1086" s="107"/>
      <c r="AE1086" s="63"/>
      <c r="AF1086" s="64"/>
      <c r="AG1086" s="63"/>
      <c r="AH1086" s="63"/>
      <c r="AI1086" s="63"/>
      <c r="AJ1086" s="45"/>
      <c r="AK1086" s="50"/>
      <c r="AL1086" s="45"/>
      <c r="AM1086" s="44"/>
      <c r="AN1086" s="45"/>
      <c r="AO1086" s="52"/>
      <c r="AP1086" s="67"/>
      <c r="AQ1086" s="67"/>
      <c r="AR1086" s="67"/>
      <c r="AS1086" s="94"/>
      <c r="AT1086" s="63"/>
      <c r="AU1086" s="44"/>
      <c r="AV1086" s="44"/>
      <c r="AW1086" s="44"/>
      <c r="AX1086" s="44"/>
      <c r="AY1086" s="44"/>
      <c r="AZ1086" s="44"/>
      <c r="BA1086" s="43" t="s">
        <v>89</v>
      </c>
      <c r="BB1086" s="44"/>
      <c r="BC1086" s="95"/>
      <c r="BD1086" s="71"/>
      <c r="BE1086" s="71"/>
      <c r="BF1086" s="130"/>
      <c r="BG1086" s="73"/>
      <c r="BH1086" s="73"/>
      <c r="BI1086" s="73"/>
      <c r="BJ1086" s="73"/>
      <c r="BK1086" s="73"/>
      <c r="BL1086" s="73"/>
      <c r="BM1086" s="73"/>
      <c r="BN1086" s="73"/>
      <c r="BO1086" s="73"/>
      <c r="BP1086" s="73"/>
      <c r="BQ1086" s="73"/>
      <c r="BR1086" s="73"/>
      <c r="BS1086" s="73"/>
      <c r="BT1086" s="73"/>
      <c r="BU1086" s="73"/>
      <c r="BV1086" s="73"/>
      <c r="BW1086" s="74"/>
      <c r="BX1086" s="74"/>
      <c r="BY1086" s="63"/>
      <c r="BZ1086" s="63"/>
    </row>
    <row r="1087" ht="15.75" customHeight="1">
      <c r="A1087" s="41"/>
      <c r="B1087" s="50"/>
      <c r="C1087" s="50"/>
      <c r="D1087" s="50"/>
      <c r="E1087" s="64"/>
      <c r="F1087" s="78">
        <v>0.0</v>
      </c>
      <c r="G1087" s="44" t="str">
        <f t="shared" si="35"/>
        <v>$0 a $100'000.000</v>
      </c>
      <c r="H1087" s="44"/>
      <c r="I1087" s="44"/>
      <c r="J1087" s="50"/>
      <c r="K1087" s="51"/>
      <c r="L1087" s="44"/>
      <c r="M1087" s="44"/>
      <c r="N1087" s="44"/>
      <c r="O1087" s="44"/>
      <c r="P1087" s="44"/>
      <c r="Q1087" s="88">
        <v>0.0</v>
      </c>
      <c r="R1087" s="89">
        <v>0.0</v>
      </c>
      <c r="S1087" s="56" t="str">
        <f t="shared" si="34"/>
        <v> </v>
      </c>
      <c r="T1087" s="50"/>
      <c r="U1087" s="57"/>
      <c r="V1087" s="44"/>
      <c r="W1087" s="44"/>
      <c r="X1087" s="44"/>
      <c r="Y1087" s="44"/>
      <c r="Z1087" s="91"/>
      <c r="AA1087" s="59" t="str">
        <f>IF(Rentabilidad=0,"No aplica",TEXT(ROUND(Precio/Rentabilidad/12,0),0) &amp; " años")</f>
        <v>No aplica</v>
      </c>
      <c r="AB1087" s="212"/>
      <c r="AC1087" s="61"/>
      <c r="AD1087" s="107"/>
      <c r="AE1087" s="63"/>
      <c r="AF1087" s="64"/>
      <c r="AG1087" s="63"/>
      <c r="AH1087" s="63"/>
      <c r="AI1087" s="63"/>
      <c r="AJ1087" s="45"/>
      <c r="AK1087" s="50"/>
      <c r="AL1087" s="45"/>
      <c r="AM1087" s="44"/>
      <c r="AN1087" s="45"/>
      <c r="AO1087" s="52"/>
      <c r="AP1087" s="67"/>
      <c r="AQ1087" s="67"/>
      <c r="AR1087" s="67"/>
      <c r="AS1087" s="94"/>
      <c r="AT1087" s="63"/>
      <c r="AU1087" s="44"/>
      <c r="AV1087" s="44"/>
      <c r="AW1087" s="44"/>
      <c r="AX1087" s="44"/>
      <c r="AY1087" s="44"/>
      <c r="AZ1087" s="44"/>
      <c r="BA1087" s="43" t="s">
        <v>89</v>
      </c>
      <c r="BB1087" s="44"/>
      <c r="BC1087" s="95"/>
      <c r="BD1087" s="71"/>
      <c r="BE1087" s="71"/>
      <c r="BF1087" s="130"/>
      <c r="BG1087" s="73"/>
      <c r="BH1087" s="73"/>
      <c r="BI1087" s="73"/>
      <c r="BJ1087" s="73"/>
      <c r="BK1087" s="73"/>
      <c r="BL1087" s="73"/>
      <c r="BM1087" s="73"/>
      <c r="BN1087" s="73"/>
      <c r="BO1087" s="73"/>
      <c r="BP1087" s="73"/>
      <c r="BQ1087" s="73"/>
      <c r="BR1087" s="73"/>
      <c r="BS1087" s="73"/>
      <c r="BT1087" s="73"/>
      <c r="BU1087" s="73"/>
      <c r="BV1087" s="73"/>
      <c r="BW1087" s="74"/>
      <c r="BX1087" s="74"/>
      <c r="BY1087" s="63"/>
      <c r="BZ1087" s="63"/>
    </row>
    <row r="1088" ht="15.75" customHeight="1">
      <c r="A1088" s="41"/>
      <c r="B1088" s="50"/>
      <c r="C1088" s="50"/>
      <c r="D1088" s="50"/>
      <c r="E1088" s="64"/>
      <c r="F1088" s="78">
        <v>0.0</v>
      </c>
      <c r="G1088" s="44" t="str">
        <f t="shared" si="35"/>
        <v>$0 a $100'000.000</v>
      </c>
      <c r="H1088" s="44"/>
      <c r="I1088" s="44"/>
      <c r="J1088" s="50"/>
      <c r="K1088" s="51"/>
      <c r="L1088" s="44"/>
      <c r="M1088" s="44"/>
      <c r="N1088" s="44"/>
      <c r="O1088" s="44"/>
      <c r="P1088" s="44"/>
      <c r="Q1088" s="88">
        <v>0.0</v>
      </c>
      <c r="R1088" s="89">
        <v>0.0</v>
      </c>
      <c r="S1088" s="56" t="str">
        <f t="shared" si="34"/>
        <v> </v>
      </c>
      <c r="T1088" s="50"/>
      <c r="U1088" s="57"/>
      <c r="V1088" s="44"/>
      <c r="W1088" s="44"/>
      <c r="X1088" s="44"/>
      <c r="Y1088" s="44"/>
      <c r="Z1088" s="91"/>
      <c r="AA1088" s="59" t="str">
        <f>IF(Rentabilidad=0,"No aplica",TEXT(ROUND(Precio/Rentabilidad/12,0),0) &amp; " años")</f>
        <v>No aplica</v>
      </c>
      <c r="AB1088" s="212"/>
      <c r="AC1088" s="61"/>
      <c r="AD1088" s="107"/>
      <c r="AE1088" s="63"/>
      <c r="AF1088" s="64"/>
      <c r="AG1088" s="63"/>
      <c r="AH1088" s="63"/>
      <c r="AI1088" s="63"/>
      <c r="AJ1088" s="45"/>
      <c r="AK1088" s="50"/>
      <c r="AL1088" s="45"/>
      <c r="AM1088" s="44"/>
      <c r="AN1088" s="45"/>
      <c r="AO1088" s="52"/>
      <c r="AP1088" s="67"/>
      <c r="AQ1088" s="67"/>
      <c r="AR1088" s="67"/>
      <c r="AS1088" s="94"/>
      <c r="AT1088" s="63"/>
      <c r="AU1088" s="44"/>
      <c r="AV1088" s="44"/>
      <c r="AW1088" s="44"/>
      <c r="AX1088" s="44"/>
      <c r="AY1088" s="44"/>
      <c r="AZ1088" s="44"/>
      <c r="BA1088" s="43" t="s">
        <v>89</v>
      </c>
      <c r="BB1088" s="44"/>
      <c r="BC1088" s="95"/>
      <c r="BD1088" s="71"/>
      <c r="BE1088" s="71"/>
      <c r="BF1088" s="130"/>
      <c r="BG1088" s="73"/>
      <c r="BH1088" s="73"/>
      <c r="BI1088" s="73"/>
      <c r="BJ1088" s="73"/>
      <c r="BK1088" s="73"/>
      <c r="BL1088" s="73"/>
      <c r="BM1088" s="73"/>
      <c r="BN1088" s="73"/>
      <c r="BO1088" s="73"/>
      <c r="BP1088" s="73"/>
      <c r="BQ1088" s="73"/>
      <c r="BR1088" s="73"/>
      <c r="BS1088" s="73"/>
      <c r="BT1088" s="73"/>
      <c r="BU1088" s="73"/>
      <c r="BV1088" s="73"/>
      <c r="BW1088" s="74"/>
      <c r="BX1088" s="74"/>
      <c r="BY1088" s="63"/>
      <c r="BZ1088" s="63"/>
    </row>
    <row r="1089" ht="15.75" customHeight="1">
      <c r="A1089" s="41"/>
      <c r="B1089" s="50"/>
      <c r="C1089" s="50"/>
      <c r="D1089" s="50"/>
      <c r="E1089" s="64"/>
      <c r="F1089" s="78">
        <v>0.0</v>
      </c>
      <c r="G1089" s="44" t="str">
        <f t="shared" si="35"/>
        <v>$0 a $100'000.000</v>
      </c>
      <c r="H1089" s="44"/>
      <c r="I1089" s="44"/>
      <c r="J1089" s="50"/>
      <c r="K1089" s="51"/>
      <c r="L1089" s="44"/>
      <c r="M1089" s="44"/>
      <c r="N1089" s="44"/>
      <c r="O1089" s="44"/>
      <c r="P1089" s="44"/>
      <c r="Q1089" s="88">
        <v>0.0</v>
      </c>
      <c r="R1089" s="89">
        <v>0.0</v>
      </c>
      <c r="S1089" s="56" t="str">
        <f t="shared" si="34"/>
        <v> </v>
      </c>
      <c r="T1089" s="50"/>
      <c r="U1089" s="57"/>
      <c r="V1089" s="44"/>
      <c r="W1089" s="44"/>
      <c r="X1089" s="44"/>
      <c r="Y1089" s="44"/>
      <c r="Z1089" s="91"/>
      <c r="AA1089" s="59" t="str">
        <f>IF(Rentabilidad=0,"No aplica",TEXT(ROUND(Precio/Rentabilidad/12,0),0) &amp; " años")</f>
        <v>No aplica</v>
      </c>
      <c r="AB1089" s="212"/>
      <c r="AC1089" s="61"/>
      <c r="AD1089" s="107"/>
      <c r="AE1089" s="63"/>
      <c r="AF1089" s="64"/>
      <c r="AG1089" s="63"/>
      <c r="AH1089" s="63"/>
      <c r="AI1089" s="63"/>
      <c r="AJ1089" s="45"/>
      <c r="AK1089" s="50"/>
      <c r="AL1089" s="45"/>
      <c r="AM1089" s="44"/>
      <c r="AN1089" s="45"/>
      <c r="AO1089" s="52"/>
      <c r="AP1089" s="67"/>
      <c r="AQ1089" s="67"/>
      <c r="AR1089" s="67"/>
      <c r="AS1089" s="94"/>
      <c r="AT1089" s="63"/>
      <c r="AU1089" s="44"/>
      <c r="AV1089" s="44"/>
      <c r="AW1089" s="44"/>
      <c r="AX1089" s="44"/>
      <c r="AY1089" s="44"/>
      <c r="AZ1089" s="44"/>
      <c r="BA1089" s="43" t="s">
        <v>89</v>
      </c>
      <c r="BB1089" s="44"/>
      <c r="BC1089" s="95"/>
      <c r="BD1089" s="71"/>
      <c r="BE1089" s="71"/>
      <c r="BF1089" s="130"/>
      <c r="BG1089" s="73"/>
      <c r="BH1089" s="73"/>
      <c r="BI1089" s="73"/>
      <c r="BJ1089" s="73"/>
      <c r="BK1089" s="73"/>
      <c r="BL1089" s="73"/>
      <c r="BM1089" s="73"/>
      <c r="BN1089" s="73"/>
      <c r="BO1089" s="73"/>
      <c r="BP1089" s="73"/>
      <c r="BQ1089" s="73"/>
      <c r="BR1089" s="73"/>
      <c r="BS1089" s="73"/>
      <c r="BT1089" s="73"/>
      <c r="BU1089" s="73"/>
      <c r="BV1089" s="73"/>
      <c r="BW1089" s="74"/>
      <c r="BX1089" s="74"/>
      <c r="BY1089" s="63"/>
      <c r="BZ1089" s="63"/>
    </row>
    <row r="1090" ht="15.75" customHeight="1">
      <c r="A1090" s="41"/>
      <c r="B1090" s="50"/>
      <c r="C1090" s="50"/>
      <c r="D1090" s="50"/>
      <c r="E1090" s="64"/>
      <c r="F1090" s="78">
        <v>0.0</v>
      </c>
      <c r="G1090" s="44" t="str">
        <f t="shared" si="35"/>
        <v>$0 a $100'000.000</v>
      </c>
      <c r="H1090" s="44"/>
      <c r="I1090" s="44"/>
      <c r="J1090" s="50"/>
      <c r="K1090" s="51"/>
      <c r="L1090" s="44"/>
      <c r="M1090" s="44"/>
      <c r="N1090" s="44"/>
      <c r="O1090" s="44"/>
      <c r="P1090" s="44"/>
      <c r="Q1090" s="88">
        <v>0.0</v>
      </c>
      <c r="R1090" s="89">
        <v>0.0</v>
      </c>
      <c r="S1090" s="56" t="str">
        <f t="shared" si="34"/>
        <v> </v>
      </c>
      <c r="T1090" s="50"/>
      <c r="U1090" s="57"/>
      <c r="V1090" s="44"/>
      <c r="W1090" s="44"/>
      <c r="X1090" s="44"/>
      <c r="Y1090" s="44"/>
      <c r="Z1090" s="91"/>
      <c r="AA1090" s="59" t="str">
        <f>IF(Rentabilidad=0,"No aplica",TEXT(ROUND(Precio/Rentabilidad/12,0),0) &amp; " años")</f>
        <v>No aplica</v>
      </c>
      <c r="AB1090" s="212"/>
      <c r="AC1090" s="61"/>
      <c r="AD1090" s="107"/>
      <c r="AE1090" s="63"/>
      <c r="AF1090" s="64"/>
      <c r="AG1090" s="63"/>
      <c r="AH1090" s="63"/>
      <c r="AI1090" s="63"/>
      <c r="AJ1090" s="45"/>
      <c r="AK1090" s="50"/>
      <c r="AL1090" s="45"/>
      <c r="AM1090" s="44"/>
      <c r="AN1090" s="45"/>
      <c r="AO1090" s="52"/>
      <c r="AP1090" s="67"/>
      <c r="AQ1090" s="67"/>
      <c r="AR1090" s="67"/>
      <c r="AS1090" s="94"/>
      <c r="AT1090" s="63"/>
      <c r="AU1090" s="44"/>
      <c r="AV1090" s="44"/>
      <c r="AW1090" s="44"/>
      <c r="AX1090" s="44"/>
      <c r="AY1090" s="44"/>
      <c r="AZ1090" s="44"/>
      <c r="BA1090" s="43" t="s">
        <v>89</v>
      </c>
      <c r="BB1090" s="44"/>
      <c r="BC1090" s="95"/>
      <c r="BD1090" s="71"/>
      <c r="BE1090" s="71"/>
      <c r="BF1090" s="130"/>
      <c r="BG1090" s="73"/>
      <c r="BH1090" s="73"/>
      <c r="BI1090" s="73"/>
      <c r="BJ1090" s="73"/>
      <c r="BK1090" s="73"/>
      <c r="BL1090" s="73"/>
      <c r="BM1090" s="73"/>
      <c r="BN1090" s="73"/>
      <c r="BO1090" s="73"/>
      <c r="BP1090" s="73"/>
      <c r="BQ1090" s="73"/>
      <c r="BR1090" s="73"/>
      <c r="BS1090" s="73"/>
      <c r="BT1090" s="73"/>
      <c r="BU1090" s="73"/>
      <c r="BV1090" s="73"/>
      <c r="BW1090" s="74"/>
      <c r="BX1090" s="74"/>
      <c r="BY1090" s="63"/>
      <c r="BZ1090" s="63"/>
    </row>
    <row r="1091" ht="15.75" customHeight="1">
      <c r="A1091" s="41"/>
      <c r="B1091" s="50"/>
      <c r="C1091" s="50"/>
      <c r="D1091" s="50"/>
      <c r="E1091" s="64"/>
      <c r="F1091" s="78">
        <v>0.0</v>
      </c>
      <c r="G1091" s="44" t="str">
        <f t="shared" si="35"/>
        <v>$0 a $100'000.000</v>
      </c>
      <c r="H1091" s="44"/>
      <c r="I1091" s="44"/>
      <c r="J1091" s="50"/>
      <c r="K1091" s="51"/>
      <c r="L1091" s="44"/>
      <c r="M1091" s="44"/>
      <c r="N1091" s="44"/>
      <c r="O1091" s="44"/>
      <c r="P1091" s="44"/>
      <c r="Q1091" s="88">
        <v>0.0</v>
      </c>
      <c r="R1091" s="89">
        <v>0.0</v>
      </c>
      <c r="S1091" s="56" t="str">
        <f t="shared" si="34"/>
        <v> </v>
      </c>
      <c r="T1091" s="50"/>
      <c r="U1091" s="57"/>
      <c r="V1091" s="44"/>
      <c r="W1091" s="44"/>
      <c r="X1091" s="44"/>
      <c r="Y1091" s="44"/>
      <c r="Z1091" s="91"/>
      <c r="AA1091" s="59" t="str">
        <f>IF(Rentabilidad=0,"No aplica",TEXT(ROUND(Precio/Rentabilidad/12,0),0) &amp; " años")</f>
        <v>No aplica</v>
      </c>
      <c r="AB1091" s="212"/>
      <c r="AC1091" s="61"/>
      <c r="AD1091" s="107"/>
      <c r="AE1091" s="63"/>
      <c r="AF1091" s="64"/>
      <c r="AG1091" s="63"/>
      <c r="AH1091" s="63"/>
      <c r="AI1091" s="63"/>
      <c r="AJ1091" s="45"/>
      <c r="AK1091" s="50"/>
      <c r="AL1091" s="45"/>
      <c r="AM1091" s="44"/>
      <c r="AN1091" s="45"/>
      <c r="AO1091" s="52"/>
      <c r="AP1091" s="67"/>
      <c r="AQ1091" s="67"/>
      <c r="AR1091" s="67"/>
      <c r="AS1091" s="94"/>
      <c r="AT1091" s="63"/>
      <c r="AU1091" s="44"/>
      <c r="AV1091" s="44"/>
      <c r="AW1091" s="44"/>
      <c r="AX1091" s="44"/>
      <c r="AY1091" s="44"/>
      <c r="AZ1091" s="44"/>
      <c r="BA1091" s="43" t="s">
        <v>89</v>
      </c>
      <c r="BB1091" s="44"/>
      <c r="BC1091" s="95"/>
      <c r="BD1091" s="71"/>
      <c r="BE1091" s="71"/>
      <c r="BF1091" s="130"/>
      <c r="BG1091" s="73"/>
      <c r="BH1091" s="73"/>
      <c r="BI1091" s="73"/>
      <c r="BJ1091" s="73"/>
      <c r="BK1091" s="73"/>
      <c r="BL1091" s="73"/>
      <c r="BM1091" s="73"/>
      <c r="BN1091" s="73"/>
      <c r="BO1091" s="73"/>
      <c r="BP1091" s="73"/>
      <c r="BQ1091" s="73"/>
      <c r="BR1091" s="73"/>
      <c r="BS1091" s="73"/>
      <c r="BT1091" s="73"/>
      <c r="BU1091" s="73"/>
      <c r="BV1091" s="73"/>
      <c r="BW1091" s="74"/>
      <c r="BX1091" s="74"/>
      <c r="BY1091" s="63"/>
      <c r="BZ1091" s="63"/>
    </row>
    <row r="1092" ht="15.75" customHeight="1">
      <c r="A1092" s="41"/>
      <c r="B1092" s="50"/>
      <c r="C1092" s="50"/>
      <c r="D1092" s="50"/>
      <c r="E1092" s="64"/>
      <c r="F1092" s="78">
        <v>0.0</v>
      </c>
      <c r="G1092" s="44" t="str">
        <f t="shared" si="35"/>
        <v>$0 a $100'000.000</v>
      </c>
      <c r="H1092" s="44"/>
      <c r="I1092" s="44"/>
      <c r="J1092" s="50"/>
      <c r="K1092" s="51"/>
      <c r="L1092" s="44"/>
      <c r="M1092" s="44"/>
      <c r="N1092" s="44"/>
      <c r="O1092" s="44"/>
      <c r="P1092" s="44"/>
      <c r="Q1092" s="88">
        <v>0.0</v>
      </c>
      <c r="R1092" s="89">
        <v>0.0</v>
      </c>
      <c r="S1092" s="56" t="str">
        <f t="shared" si="34"/>
        <v> </v>
      </c>
      <c r="T1092" s="50"/>
      <c r="U1092" s="57"/>
      <c r="V1092" s="44"/>
      <c r="W1092" s="44"/>
      <c r="X1092" s="44"/>
      <c r="Y1092" s="44"/>
      <c r="Z1092" s="91"/>
      <c r="AA1092" s="59" t="str">
        <f>IF(Rentabilidad=0,"No aplica",TEXT(ROUND(Precio/Rentabilidad/12,0),0) &amp; " años")</f>
        <v>No aplica</v>
      </c>
      <c r="AB1092" s="212"/>
      <c r="AC1092" s="61"/>
      <c r="AD1092" s="107"/>
      <c r="AE1092" s="63"/>
      <c r="AF1092" s="64"/>
      <c r="AG1092" s="63"/>
      <c r="AH1092" s="63"/>
      <c r="AI1092" s="63"/>
      <c r="AJ1092" s="45"/>
      <c r="AK1092" s="50"/>
      <c r="AL1092" s="45"/>
      <c r="AM1092" s="44"/>
      <c r="AN1092" s="45"/>
      <c r="AO1092" s="52"/>
      <c r="AP1092" s="67"/>
      <c r="AQ1092" s="67"/>
      <c r="AR1092" s="67"/>
      <c r="AS1092" s="94"/>
      <c r="AT1092" s="63"/>
      <c r="AU1092" s="44"/>
      <c r="AV1092" s="44"/>
      <c r="AW1092" s="44"/>
      <c r="AX1092" s="44"/>
      <c r="AY1092" s="44"/>
      <c r="AZ1092" s="44"/>
      <c r="BA1092" s="43" t="s">
        <v>89</v>
      </c>
      <c r="BB1092" s="44"/>
      <c r="BC1092" s="95"/>
      <c r="BD1092" s="71"/>
      <c r="BE1092" s="71"/>
      <c r="BF1092" s="130"/>
      <c r="BG1092" s="73"/>
      <c r="BH1092" s="73"/>
      <c r="BI1092" s="73"/>
      <c r="BJ1092" s="73"/>
      <c r="BK1092" s="73"/>
      <c r="BL1092" s="73"/>
      <c r="BM1092" s="73"/>
      <c r="BN1092" s="73"/>
      <c r="BO1092" s="73"/>
      <c r="BP1092" s="73"/>
      <c r="BQ1092" s="73"/>
      <c r="BR1092" s="73"/>
      <c r="BS1092" s="73"/>
      <c r="BT1092" s="73"/>
      <c r="BU1092" s="73"/>
      <c r="BV1092" s="73"/>
      <c r="BW1092" s="74"/>
      <c r="BX1092" s="74"/>
      <c r="BY1092" s="63"/>
      <c r="BZ1092" s="63"/>
    </row>
    <row r="1093" ht="15.75" customHeight="1">
      <c r="A1093" s="41"/>
      <c r="B1093" s="50"/>
      <c r="C1093" s="50"/>
      <c r="D1093" s="50"/>
      <c r="E1093" s="64"/>
      <c r="F1093" s="78">
        <v>0.0</v>
      </c>
      <c r="G1093" s="44" t="str">
        <f t="shared" si="35"/>
        <v>$0 a $100'000.000</v>
      </c>
      <c r="H1093" s="44"/>
      <c r="I1093" s="44"/>
      <c r="J1093" s="50"/>
      <c r="K1093" s="51"/>
      <c r="L1093" s="44"/>
      <c r="M1093" s="44"/>
      <c r="N1093" s="44"/>
      <c r="O1093" s="44"/>
      <c r="P1093" s="44"/>
      <c r="Q1093" s="88">
        <v>0.0</v>
      </c>
      <c r="R1093" s="89">
        <v>0.0</v>
      </c>
      <c r="S1093" s="56" t="str">
        <f t="shared" si="34"/>
        <v> </v>
      </c>
      <c r="T1093" s="50"/>
      <c r="U1093" s="57"/>
      <c r="V1093" s="44"/>
      <c r="W1093" s="44"/>
      <c r="X1093" s="44"/>
      <c r="Y1093" s="44"/>
      <c r="Z1093" s="91"/>
      <c r="AA1093" s="59" t="str">
        <f>IF(Rentabilidad=0,"No aplica",TEXT(ROUND(Precio/Rentabilidad/12,0),0) &amp; " años")</f>
        <v>No aplica</v>
      </c>
      <c r="AB1093" s="212"/>
      <c r="AC1093" s="61"/>
      <c r="AD1093" s="107"/>
      <c r="AE1093" s="63"/>
      <c r="AF1093" s="64"/>
      <c r="AG1093" s="63"/>
      <c r="AH1093" s="63"/>
      <c r="AI1093" s="63"/>
      <c r="AJ1093" s="45"/>
      <c r="AK1093" s="50"/>
      <c r="AL1093" s="45"/>
      <c r="AM1093" s="44"/>
      <c r="AN1093" s="45"/>
      <c r="AO1093" s="52"/>
      <c r="AP1093" s="67"/>
      <c r="AQ1093" s="67"/>
      <c r="AR1093" s="67"/>
      <c r="AS1093" s="94"/>
      <c r="AT1093" s="63"/>
      <c r="AU1093" s="44"/>
      <c r="AV1093" s="44"/>
      <c r="AW1093" s="44"/>
      <c r="AX1093" s="44"/>
      <c r="AY1093" s="44"/>
      <c r="AZ1093" s="44"/>
      <c r="BA1093" s="43" t="s">
        <v>89</v>
      </c>
      <c r="BB1093" s="44"/>
      <c r="BC1093" s="95"/>
      <c r="BD1093" s="71"/>
      <c r="BE1093" s="71"/>
      <c r="BF1093" s="130"/>
      <c r="BG1093" s="73"/>
      <c r="BH1093" s="73"/>
      <c r="BI1093" s="73"/>
      <c r="BJ1093" s="73"/>
      <c r="BK1093" s="73"/>
      <c r="BL1093" s="73"/>
      <c r="BM1093" s="73"/>
      <c r="BN1093" s="73"/>
      <c r="BO1093" s="73"/>
      <c r="BP1093" s="73"/>
      <c r="BQ1093" s="73"/>
      <c r="BR1093" s="73"/>
      <c r="BS1093" s="73"/>
      <c r="BT1093" s="73"/>
      <c r="BU1093" s="73"/>
      <c r="BV1093" s="73"/>
      <c r="BW1093" s="74"/>
      <c r="BX1093" s="74"/>
      <c r="BY1093" s="63"/>
      <c r="BZ1093" s="63"/>
    </row>
    <row r="1094" ht="15.75" customHeight="1">
      <c r="A1094" s="41"/>
      <c r="B1094" s="50"/>
      <c r="C1094" s="50"/>
      <c r="D1094" s="50"/>
      <c r="E1094" s="64"/>
      <c r="F1094" s="78">
        <v>0.0</v>
      </c>
      <c r="G1094" s="44" t="str">
        <f t="shared" si="35"/>
        <v>$0 a $100'000.000</v>
      </c>
      <c r="H1094" s="44"/>
      <c r="I1094" s="44"/>
      <c r="J1094" s="50"/>
      <c r="K1094" s="51"/>
      <c r="L1094" s="44"/>
      <c r="M1094" s="44"/>
      <c r="N1094" s="44"/>
      <c r="O1094" s="44"/>
      <c r="P1094" s="44"/>
      <c r="Q1094" s="88">
        <v>0.0</v>
      </c>
      <c r="R1094" s="89">
        <v>0.0</v>
      </c>
      <c r="S1094" s="56" t="str">
        <f t="shared" si="34"/>
        <v> </v>
      </c>
      <c r="T1094" s="50"/>
      <c r="U1094" s="57"/>
      <c r="V1094" s="44"/>
      <c r="W1094" s="44"/>
      <c r="X1094" s="44"/>
      <c r="Y1094" s="44"/>
      <c r="Z1094" s="91"/>
      <c r="AA1094" s="59" t="str">
        <f>IF(Rentabilidad=0,"No aplica",TEXT(ROUND(Precio/Rentabilidad/12,0),0) &amp; " años")</f>
        <v>No aplica</v>
      </c>
      <c r="AB1094" s="212"/>
      <c r="AC1094" s="61"/>
      <c r="AD1094" s="107"/>
      <c r="AE1094" s="63"/>
      <c r="AF1094" s="64"/>
      <c r="AG1094" s="63"/>
      <c r="AH1094" s="63"/>
      <c r="AI1094" s="63"/>
      <c r="AJ1094" s="45"/>
      <c r="AK1094" s="50"/>
      <c r="AL1094" s="45"/>
      <c r="AM1094" s="44"/>
      <c r="AN1094" s="45"/>
      <c r="AO1094" s="52"/>
      <c r="AP1094" s="67"/>
      <c r="AQ1094" s="67"/>
      <c r="AR1094" s="67"/>
      <c r="AS1094" s="94"/>
      <c r="AT1094" s="63"/>
      <c r="AU1094" s="44"/>
      <c r="AV1094" s="44"/>
      <c r="AW1094" s="44"/>
      <c r="AX1094" s="44"/>
      <c r="AY1094" s="44"/>
      <c r="AZ1094" s="44"/>
      <c r="BA1094" s="43" t="s">
        <v>89</v>
      </c>
      <c r="BB1094" s="44"/>
      <c r="BC1094" s="95"/>
      <c r="BD1094" s="71"/>
      <c r="BE1094" s="71"/>
      <c r="BF1094" s="130"/>
      <c r="BG1094" s="73"/>
      <c r="BH1094" s="73"/>
      <c r="BI1094" s="73"/>
      <c r="BJ1094" s="73"/>
      <c r="BK1094" s="73"/>
      <c r="BL1094" s="73"/>
      <c r="BM1094" s="73"/>
      <c r="BN1094" s="73"/>
      <c r="BO1094" s="73"/>
      <c r="BP1094" s="73"/>
      <c r="BQ1094" s="73"/>
      <c r="BR1094" s="73"/>
      <c r="BS1094" s="73"/>
      <c r="BT1094" s="73"/>
      <c r="BU1094" s="73"/>
      <c r="BV1094" s="73"/>
      <c r="BW1094" s="74"/>
      <c r="BX1094" s="74"/>
      <c r="BY1094" s="63"/>
      <c r="BZ1094" s="63"/>
    </row>
    <row r="1095" ht="15.75" customHeight="1">
      <c r="A1095" s="41"/>
      <c r="B1095" s="50"/>
      <c r="C1095" s="50"/>
      <c r="D1095" s="50"/>
      <c r="E1095" s="64"/>
      <c r="F1095" s="78">
        <v>0.0</v>
      </c>
      <c r="G1095" s="44" t="str">
        <f t="shared" si="35"/>
        <v>$0 a $100'000.000</v>
      </c>
      <c r="H1095" s="44"/>
      <c r="I1095" s="44"/>
      <c r="J1095" s="50"/>
      <c r="K1095" s="51"/>
      <c r="L1095" s="44"/>
      <c r="M1095" s="44"/>
      <c r="N1095" s="44"/>
      <c r="O1095" s="44"/>
      <c r="P1095" s="44"/>
      <c r="Q1095" s="88">
        <v>0.0</v>
      </c>
      <c r="R1095" s="89">
        <v>0.0</v>
      </c>
      <c r="S1095" s="56" t="str">
        <f t="shared" si="34"/>
        <v> </v>
      </c>
      <c r="T1095" s="50"/>
      <c r="U1095" s="57"/>
      <c r="V1095" s="44"/>
      <c r="W1095" s="44"/>
      <c r="X1095" s="44"/>
      <c r="Y1095" s="44"/>
      <c r="Z1095" s="91"/>
      <c r="AA1095" s="59" t="str">
        <f>IF(Rentabilidad=0,"No aplica",TEXT(ROUND(Precio/Rentabilidad/12,0),0) &amp; " años")</f>
        <v>No aplica</v>
      </c>
      <c r="AB1095" s="212"/>
      <c r="AC1095" s="61"/>
      <c r="AD1095" s="107"/>
      <c r="AE1095" s="63"/>
      <c r="AF1095" s="64"/>
      <c r="AG1095" s="63"/>
      <c r="AH1095" s="63"/>
      <c r="AI1095" s="63"/>
      <c r="AJ1095" s="45"/>
      <c r="AK1095" s="50"/>
      <c r="AL1095" s="45"/>
      <c r="AM1095" s="44"/>
      <c r="AN1095" s="45"/>
      <c r="AO1095" s="52"/>
      <c r="AP1095" s="67"/>
      <c r="AQ1095" s="67"/>
      <c r="AR1095" s="67"/>
      <c r="AS1095" s="94"/>
      <c r="AT1095" s="63"/>
      <c r="AU1095" s="44"/>
      <c r="AV1095" s="44"/>
      <c r="AW1095" s="44"/>
      <c r="AX1095" s="44"/>
      <c r="AY1095" s="44"/>
      <c r="AZ1095" s="44"/>
      <c r="BA1095" s="43" t="s">
        <v>89</v>
      </c>
      <c r="BB1095" s="44"/>
      <c r="BC1095" s="95"/>
      <c r="BD1095" s="71"/>
      <c r="BE1095" s="71"/>
      <c r="BF1095" s="130"/>
      <c r="BG1095" s="73"/>
      <c r="BH1095" s="73"/>
      <c r="BI1095" s="73"/>
      <c r="BJ1095" s="73"/>
      <c r="BK1095" s="73"/>
      <c r="BL1095" s="73"/>
      <c r="BM1095" s="73"/>
      <c r="BN1095" s="73"/>
      <c r="BO1095" s="73"/>
      <c r="BP1095" s="73"/>
      <c r="BQ1095" s="73"/>
      <c r="BR1095" s="73"/>
      <c r="BS1095" s="73"/>
      <c r="BT1095" s="73"/>
      <c r="BU1095" s="73"/>
      <c r="BV1095" s="73"/>
      <c r="BW1095" s="74"/>
      <c r="BX1095" s="74"/>
      <c r="BY1095" s="63"/>
      <c r="BZ1095" s="63"/>
    </row>
    <row r="1096" ht="15.75" customHeight="1">
      <c r="A1096" s="41"/>
      <c r="B1096" s="50"/>
      <c r="C1096" s="50"/>
      <c r="D1096" s="50"/>
      <c r="E1096" s="64"/>
      <c r="F1096" s="78">
        <v>0.0</v>
      </c>
      <c r="G1096" s="44" t="str">
        <f t="shared" si="35"/>
        <v>$0 a $100'000.000</v>
      </c>
      <c r="H1096" s="44"/>
      <c r="I1096" s="44"/>
      <c r="J1096" s="50"/>
      <c r="K1096" s="51"/>
      <c r="L1096" s="44"/>
      <c r="M1096" s="44"/>
      <c r="N1096" s="44"/>
      <c r="O1096" s="44"/>
      <c r="P1096" s="44"/>
      <c r="Q1096" s="88">
        <v>0.0</v>
      </c>
      <c r="R1096" s="89">
        <v>0.0</v>
      </c>
      <c r="S1096" s="56" t="str">
        <f t="shared" si="34"/>
        <v> </v>
      </c>
      <c r="T1096" s="50"/>
      <c r="U1096" s="57"/>
      <c r="V1096" s="44"/>
      <c r="W1096" s="44"/>
      <c r="X1096" s="44"/>
      <c r="Y1096" s="44"/>
      <c r="Z1096" s="91"/>
      <c r="AA1096" s="59" t="str">
        <f>IF(Rentabilidad=0,"No aplica",TEXT(ROUND(Precio/Rentabilidad/12,0),0) &amp; " años")</f>
        <v>No aplica</v>
      </c>
      <c r="AB1096" s="212"/>
      <c r="AC1096" s="61"/>
      <c r="AD1096" s="107"/>
      <c r="AE1096" s="63"/>
      <c r="AF1096" s="64"/>
      <c r="AG1096" s="63"/>
      <c r="AH1096" s="63"/>
      <c r="AI1096" s="63"/>
      <c r="AJ1096" s="45"/>
      <c r="AK1096" s="50"/>
      <c r="AL1096" s="45"/>
      <c r="AM1096" s="44"/>
      <c r="AN1096" s="45"/>
      <c r="AO1096" s="52"/>
      <c r="AP1096" s="67"/>
      <c r="AQ1096" s="67"/>
      <c r="AR1096" s="67"/>
      <c r="AS1096" s="94"/>
      <c r="AT1096" s="63"/>
      <c r="AU1096" s="44"/>
      <c r="AV1096" s="44"/>
      <c r="AW1096" s="44"/>
      <c r="AX1096" s="44"/>
      <c r="AY1096" s="44"/>
      <c r="AZ1096" s="44"/>
      <c r="BA1096" s="43" t="s">
        <v>89</v>
      </c>
      <c r="BB1096" s="44"/>
      <c r="BC1096" s="95"/>
      <c r="BD1096" s="71"/>
      <c r="BE1096" s="71"/>
      <c r="BF1096" s="130"/>
      <c r="BG1096" s="73"/>
      <c r="BH1096" s="73"/>
      <c r="BI1096" s="73"/>
      <c r="BJ1096" s="73"/>
      <c r="BK1096" s="73"/>
      <c r="BL1096" s="73"/>
      <c r="BM1096" s="73"/>
      <c r="BN1096" s="73"/>
      <c r="BO1096" s="73"/>
      <c r="BP1096" s="73"/>
      <c r="BQ1096" s="73"/>
      <c r="BR1096" s="73"/>
      <c r="BS1096" s="73"/>
      <c r="BT1096" s="73"/>
      <c r="BU1096" s="73"/>
      <c r="BV1096" s="73"/>
      <c r="BW1096" s="74"/>
      <c r="BX1096" s="74"/>
      <c r="BY1096" s="63"/>
      <c r="BZ1096" s="63"/>
    </row>
    <row r="1097" ht="15.75" customHeight="1">
      <c r="A1097" s="41"/>
      <c r="B1097" s="50"/>
      <c r="C1097" s="50"/>
      <c r="D1097" s="50"/>
      <c r="E1097" s="64"/>
      <c r="F1097" s="78">
        <v>0.0</v>
      </c>
      <c r="G1097" s="44" t="str">
        <f t="shared" si="35"/>
        <v>$0 a $100'000.000</v>
      </c>
      <c r="H1097" s="44"/>
      <c r="I1097" s="44"/>
      <c r="J1097" s="50"/>
      <c r="K1097" s="51"/>
      <c r="L1097" s="44"/>
      <c r="M1097" s="44"/>
      <c r="N1097" s="44"/>
      <c r="O1097" s="44"/>
      <c r="P1097" s="44"/>
      <c r="Q1097" s="88">
        <v>0.0</v>
      </c>
      <c r="R1097" s="89">
        <v>0.0</v>
      </c>
      <c r="S1097" s="56" t="str">
        <f t="shared" si="34"/>
        <v> </v>
      </c>
      <c r="T1097" s="50"/>
      <c r="U1097" s="57"/>
      <c r="V1097" s="44"/>
      <c r="W1097" s="44"/>
      <c r="X1097" s="44"/>
      <c r="Y1097" s="44"/>
      <c r="Z1097" s="91"/>
      <c r="AA1097" s="59" t="str">
        <f>IF(Rentabilidad=0,"No aplica",TEXT(ROUND(Precio/Rentabilidad/12,0),0) &amp; " años")</f>
        <v>No aplica</v>
      </c>
      <c r="AB1097" s="212"/>
      <c r="AC1097" s="61"/>
      <c r="AD1097" s="107"/>
      <c r="AE1097" s="63"/>
      <c r="AF1097" s="64"/>
      <c r="AG1097" s="63"/>
      <c r="AH1097" s="63"/>
      <c r="AI1097" s="63"/>
      <c r="AJ1097" s="45"/>
      <c r="AK1097" s="50"/>
      <c r="AL1097" s="45"/>
      <c r="AM1097" s="44"/>
      <c r="AN1097" s="45"/>
      <c r="AO1097" s="52"/>
      <c r="AP1097" s="67"/>
      <c r="AQ1097" s="67"/>
      <c r="AR1097" s="67"/>
      <c r="AS1097" s="94"/>
      <c r="AT1097" s="63"/>
      <c r="AU1097" s="44"/>
      <c r="AV1097" s="44"/>
      <c r="AW1097" s="44"/>
      <c r="AX1097" s="44"/>
      <c r="AY1097" s="44"/>
      <c r="AZ1097" s="44"/>
      <c r="BA1097" s="43" t="s">
        <v>89</v>
      </c>
      <c r="BB1097" s="44"/>
      <c r="BC1097" s="95"/>
      <c r="BD1097" s="71"/>
      <c r="BE1097" s="71"/>
      <c r="BF1097" s="130"/>
      <c r="BG1097" s="73"/>
      <c r="BH1097" s="73"/>
      <c r="BI1097" s="73"/>
      <c r="BJ1097" s="73"/>
      <c r="BK1097" s="73"/>
      <c r="BL1097" s="73"/>
      <c r="BM1097" s="73"/>
      <c r="BN1097" s="73"/>
      <c r="BO1097" s="73"/>
      <c r="BP1097" s="73"/>
      <c r="BQ1097" s="73"/>
      <c r="BR1097" s="73"/>
      <c r="BS1097" s="73"/>
      <c r="BT1097" s="73"/>
      <c r="BU1097" s="73"/>
      <c r="BV1097" s="73"/>
      <c r="BW1097" s="74"/>
      <c r="BX1097" s="74"/>
      <c r="BY1097" s="63"/>
      <c r="BZ1097" s="63"/>
    </row>
    <row r="1098" ht="15.75" customHeight="1">
      <c r="A1098" s="41"/>
      <c r="B1098" s="50"/>
      <c r="C1098" s="50"/>
      <c r="D1098" s="50"/>
      <c r="E1098" s="64"/>
      <c r="F1098" s="78">
        <v>0.0</v>
      </c>
      <c r="G1098" s="44" t="str">
        <f t="shared" si="35"/>
        <v>$0 a $100'000.000</v>
      </c>
      <c r="H1098" s="44"/>
      <c r="I1098" s="44"/>
      <c r="J1098" s="50"/>
      <c r="K1098" s="51"/>
      <c r="L1098" s="44"/>
      <c r="M1098" s="44"/>
      <c r="N1098" s="44"/>
      <c r="O1098" s="44"/>
      <c r="P1098" s="44"/>
      <c r="Q1098" s="88">
        <v>0.0</v>
      </c>
      <c r="R1098" s="89">
        <v>0.0</v>
      </c>
      <c r="S1098" s="56" t="str">
        <f t="shared" si="34"/>
        <v> </v>
      </c>
      <c r="T1098" s="50"/>
      <c r="U1098" s="57"/>
      <c r="V1098" s="44"/>
      <c r="W1098" s="44"/>
      <c r="X1098" s="44"/>
      <c r="Y1098" s="44"/>
      <c r="Z1098" s="91"/>
      <c r="AA1098" s="59" t="str">
        <f>IF(Rentabilidad=0,"No aplica",TEXT(ROUND(Precio/Rentabilidad/12,0),0) &amp; " años")</f>
        <v>No aplica</v>
      </c>
      <c r="AB1098" s="212"/>
      <c r="AC1098" s="61"/>
      <c r="AD1098" s="107"/>
      <c r="AE1098" s="63"/>
      <c r="AF1098" s="64"/>
      <c r="AG1098" s="63"/>
      <c r="AH1098" s="63"/>
      <c r="AI1098" s="63"/>
      <c r="AJ1098" s="45"/>
      <c r="AK1098" s="50"/>
      <c r="AL1098" s="45"/>
      <c r="AM1098" s="44"/>
      <c r="AN1098" s="45"/>
      <c r="AO1098" s="52"/>
      <c r="AP1098" s="67"/>
      <c r="AQ1098" s="67"/>
      <c r="AR1098" s="67"/>
      <c r="AS1098" s="94"/>
      <c r="AT1098" s="63"/>
      <c r="AU1098" s="44"/>
      <c r="AV1098" s="44"/>
      <c r="AW1098" s="44"/>
      <c r="AX1098" s="44"/>
      <c r="AY1098" s="44"/>
      <c r="AZ1098" s="44"/>
      <c r="BA1098" s="43" t="s">
        <v>89</v>
      </c>
      <c r="BB1098" s="44"/>
      <c r="BC1098" s="95"/>
      <c r="BD1098" s="71"/>
      <c r="BE1098" s="71"/>
      <c r="BF1098" s="130"/>
      <c r="BG1098" s="73"/>
      <c r="BH1098" s="73"/>
      <c r="BI1098" s="73"/>
      <c r="BJ1098" s="73"/>
      <c r="BK1098" s="73"/>
      <c r="BL1098" s="73"/>
      <c r="BM1098" s="73"/>
      <c r="BN1098" s="73"/>
      <c r="BO1098" s="73"/>
      <c r="BP1098" s="73"/>
      <c r="BQ1098" s="73"/>
      <c r="BR1098" s="73"/>
      <c r="BS1098" s="73"/>
      <c r="BT1098" s="73"/>
      <c r="BU1098" s="73"/>
      <c r="BV1098" s="73"/>
      <c r="BW1098" s="74"/>
      <c r="BX1098" s="74"/>
      <c r="BY1098" s="63"/>
      <c r="BZ1098" s="63"/>
    </row>
    <row r="1099" ht="15.75" customHeight="1">
      <c r="A1099" s="41"/>
      <c r="B1099" s="50"/>
      <c r="C1099" s="50"/>
      <c r="D1099" s="50"/>
      <c r="E1099" s="64"/>
      <c r="F1099" s="78">
        <v>0.0</v>
      </c>
      <c r="G1099" s="44" t="str">
        <f t="shared" si="35"/>
        <v>$0 a $100'000.000</v>
      </c>
      <c r="H1099" s="44"/>
      <c r="I1099" s="44"/>
      <c r="J1099" s="50"/>
      <c r="K1099" s="51"/>
      <c r="L1099" s="44"/>
      <c r="M1099" s="44"/>
      <c r="N1099" s="44"/>
      <c r="O1099" s="44"/>
      <c r="P1099" s="44"/>
      <c r="Q1099" s="88">
        <v>0.0</v>
      </c>
      <c r="R1099" s="89">
        <v>0.0</v>
      </c>
      <c r="S1099" s="56" t="str">
        <f t="shared" si="34"/>
        <v> </v>
      </c>
      <c r="T1099" s="50"/>
      <c r="U1099" s="57"/>
      <c r="V1099" s="44"/>
      <c r="W1099" s="44"/>
      <c r="X1099" s="44"/>
      <c r="Y1099" s="44"/>
      <c r="Z1099" s="91"/>
      <c r="AA1099" s="59" t="str">
        <f>IF(Rentabilidad=0,"No aplica",TEXT(ROUND(Precio/Rentabilidad/12,0),0) &amp; " años")</f>
        <v>No aplica</v>
      </c>
      <c r="AB1099" s="212"/>
      <c r="AC1099" s="61"/>
      <c r="AD1099" s="107"/>
      <c r="AE1099" s="63"/>
      <c r="AF1099" s="64"/>
      <c r="AG1099" s="63"/>
      <c r="AH1099" s="63"/>
      <c r="AI1099" s="63"/>
      <c r="AJ1099" s="45"/>
      <c r="AK1099" s="50"/>
      <c r="AL1099" s="45"/>
      <c r="AM1099" s="44"/>
      <c r="AN1099" s="45"/>
      <c r="AO1099" s="52"/>
      <c r="AP1099" s="67"/>
      <c r="AQ1099" s="67"/>
      <c r="AR1099" s="67"/>
      <c r="AS1099" s="94"/>
      <c r="AT1099" s="63"/>
      <c r="AU1099" s="44"/>
      <c r="AV1099" s="44"/>
      <c r="AW1099" s="44"/>
      <c r="AX1099" s="44"/>
      <c r="AY1099" s="44"/>
      <c r="AZ1099" s="44"/>
      <c r="BA1099" s="43" t="s">
        <v>89</v>
      </c>
      <c r="BB1099" s="44"/>
      <c r="BC1099" s="95"/>
      <c r="BD1099" s="71"/>
      <c r="BE1099" s="71"/>
      <c r="BF1099" s="130"/>
      <c r="BG1099" s="73"/>
      <c r="BH1099" s="73"/>
      <c r="BI1099" s="73"/>
      <c r="BJ1099" s="73"/>
      <c r="BK1099" s="73"/>
      <c r="BL1099" s="73"/>
      <c r="BM1099" s="73"/>
      <c r="BN1099" s="73"/>
      <c r="BO1099" s="73"/>
      <c r="BP1099" s="73"/>
      <c r="BQ1099" s="73"/>
      <c r="BR1099" s="73"/>
      <c r="BS1099" s="73"/>
      <c r="BT1099" s="73"/>
      <c r="BU1099" s="73"/>
      <c r="BV1099" s="73"/>
      <c r="BW1099" s="74"/>
      <c r="BX1099" s="74"/>
      <c r="BY1099" s="63"/>
      <c r="BZ1099" s="63"/>
    </row>
    <row r="1100" ht="15.75" customHeight="1">
      <c r="A1100" s="41"/>
      <c r="B1100" s="50"/>
      <c r="C1100" s="50"/>
      <c r="D1100" s="50"/>
      <c r="E1100" s="64"/>
      <c r="F1100" s="78">
        <v>0.0</v>
      </c>
      <c r="G1100" s="44" t="str">
        <f t="shared" si="35"/>
        <v>$0 a $100'000.000</v>
      </c>
      <c r="H1100" s="44"/>
      <c r="I1100" s="44"/>
      <c r="J1100" s="50"/>
      <c r="K1100" s="51"/>
      <c r="L1100" s="44"/>
      <c r="M1100" s="44"/>
      <c r="N1100" s="44"/>
      <c r="O1100" s="44"/>
      <c r="P1100" s="44"/>
      <c r="Q1100" s="88">
        <v>0.0</v>
      </c>
      <c r="R1100" s="89">
        <v>0.0</v>
      </c>
      <c r="S1100" s="56" t="str">
        <f t="shared" si="34"/>
        <v> </v>
      </c>
      <c r="T1100" s="50"/>
      <c r="U1100" s="57"/>
      <c r="V1100" s="44"/>
      <c r="W1100" s="44"/>
      <c r="X1100" s="44"/>
      <c r="Y1100" s="44"/>
      <c r="Z1100" s="91"/>
      <c r="AA1100" s="59" t="str">
        <f>IF(Rentabilidad=0,"No aplica",TEXT(ROUND(Precio/Rentabilidad/12,0),0) &amp; " años")</f>
        <v>No aplica</v>
      </c>
      <c r="AB1100" s="212"/>
      <c r="AC1100" s="61"/>
      <c r="AD1100" s="107"/>
      <c r="AE1100" s="63"/>
      <c r="AF1100" s="64"/>
      <c r="AG1100" s="63"/>
      <c r="AH1100" s="63"/>
      <c r="AI1100" s="63"/>
      <c r="AJ1100" s="45"/>
      <c r="AK1100" s="50"/>
      <c r="AL1100" s="45"/>
      <c r="AM1100" s="44"/>
      <c r="AN1100" s="45"/>
      <c r="AO1100" s="52"/>
      <c r="AP1100" s="67"/>
      <c r="AQ1100" s="67"/>
      <c r="AR1100" s="67"/>
      <c r="AS1100" s="94"/>
      <c r="AT1100" s="63"/>
      <c r="AU1100" s="44"/>
      <c r="AV1100" s="44"/>
      <c r="AW1100" s="44"/>
      <c r="AX1100" s="44"/>
      <c r="AY1100" s="44"/>
      <c r="AZ1100" s="44"/>
      <c r="BA1100" s="43" t="s">
        <v>89</v>
      </c>
      <c r="BB1100" s="44"/>
      <c r="BC1100" s="95"/>
      <c r="BD1100" s="71"/>
      <c r="BE1100" s="71"/>
      <c r="BF1100" s="130"/>
      <c r="BG1100" s="73"/>
      <c r="BH1100" s="73"/>
      <c r="BI1100" s="73"/>
      <c r="BJ1100" s="73"/>
      <c r="BK1100" s="73"/>
      <c r="BL1100" s="73"/>
      <c r="BM1100" s="73"/>
      <c r="BN1100" s="73"/>
      <c r="BO1100" s="73"/>
      <c r="BP1100" s="73"/>
      <c r="BQ1100" s="73"/>
      <c r="BR1100" s="73"/>
      <c r="BS1100" s="73"/>
      <c r="BT1100" s="73"/>
      <c r="BU1100" s="73"/>
      <c r="BV1100" s="73"/>
      <c r="BW1100" s="74"/>
      <c r="BX1100" s="74"/>
      <c r="BY1100" s="63"/>
      <c r="BZ1100" s="63"/>
    </row>
    <row r="1101" ht="15.75" customHeight="1">
      <c r="A1101" s="41"/>
      <c r="B1101" s="50"/>
      <c r="C1101" s="50"/>
      <c r="D1101" s="50"/>
      <c r="E1101" s="64"/>
      <c r="F1101" s="78">
        <v>0.0</v>
      </c>
      <c r="G1101" s="44" t="str">
        <f t="shared" si="35"/>
        <v>$0 a $100'000.000</v>
      </c>
      <c r="H1101" s="44"/>
      <c r="I1101" s="44"/>
      <c r="J1101" s="50"/>
      <c r="K1101" s="51"/>
      <c r="L1101" s="44"/>
      <c r="M1101" s="44"/>
      <c r="N1101" s="44"/>
      <c r="O1101" s="44"/>
      <c r="P1101" s="44"/>
      <c r="Q1101" s="88">
        <v>0.0</v>
      </c>
      <c r="R1101" s="89">
        <v>0.0</v>
      </c>
      <c r="S1101" s="56" t="str">
        <f t="shared" si="34"/>
        <v> </v>
      </c>
      <c r="T1101" s="50"/>
      <c r="U1101" s="57"/>
      <c r="V1101" s="44"/>
      <c r="W1101" s="44"/>
      <c r="X1101" s="44"/>
      <c r="Y1101" s="44"/>
      <c r="Z1101" s="91"/>
      <c r="AA1101" s="59" t="str">
        <f>IF(Rentabilidad=0,"No aplica",TEXT(ROUND(Precio/Rentabilidad/12,0),0) &amp; " años")</f>
        <v>No aplica</v>
      </c>
      <c r="AB1101" s="212"/>
      <c r="AC1101" s="61"/>
      <c r="AD1101" s="107"/>
      <c r="AE1101" s="63"/>
      <c r="AF1101" s="64"/>
      <c r="AG1101" s="63"/>
      <c r="AH1101" s="63"/>
      <c r="AI1101" s="63"/>
      <c r="AJ1101" s="45"/>
      <c r="AK1101" s="50"/>
      <c r="AL1101" s="45"/>
      <c r="AM1101" s="44"/>
      <c r="AN1101" s="45"/>
      <c r="AO1101" s="52"/>
      <c r="AP1101" s="67"/>
      <c r="AQ1101" s="67"/>
      <c r="AR1101" s="67"/>
      <c r="AS1101" s="94"/>
      <c r="AT1101" s="63"/>
      <c r="AU1101" s="44"/>
      <c r="AV1101" s="44"/>
      <c r="AW1101" s="44"/>
      <c r="AX1101" s="44"/>
      <c r="AY1101" s="44"/>
      <c r="AZ1101" s="44"/>
      <c r="BA1101" s="43" t="s">
        <v>89</v>
      </c>
      <c r="BB1101" s="44"/>
      <c r="BC1101" s="95"/>
      <c r="BD1101" s="71"/>
      <c r="BE1101" s="71"/>
      <c r="BF1101" s="130"/>
      <c r="BG1101" s="73"/>
      <c r="BH1101" s="73"/>
      <c r="BI1101" s="73"/>
      <c r="BJ1101" s="73"/>
      <c r="BK1101" s="73"/>
      <c r="BL1101" s="73"/>
      <c r="BM1101" s="73"/>
      <c r="BN1101" s="73"/>
      <c r="BO1101" s="73"/>
      <c r="BP1101" s="73"/>
      <c r="BQ1101" s="73"/>
      <c r="BR1101" s="73"/>
      <c r="BS1101" s="73"/>
      <c r="BT1101" s="73"/>
      <c r="BU1101" s="73"/>
      <c r="BV1101" s="73"/>
      <c r="BW1101" s="74"/>
      <c r="BX1101" s="74"/>
      <c r="BY1101" s="63"/>
      <c r="BZ1101" s="63"/>
    </row>
    <row r="1102" ht="15.75" customHeight="1">
      <c r="A1102" s="41"/>
      <c r="B1102" s="50"/>
      <c r="C1102" s="50"/>
      <c r="D1102" s="50"/>
      <c r="E1102" s="64"/>
      <c r="F1102" s="78">
        <v>0.0</v>
      </c>
      <c r="G1102" s="44" t="str">
        <f t="shared" si="35"/>
        <v>$0 a $100'000.000</v>
      </c>
      <c r="H1102" s="44"/>
      <c r="I1102" s="44"/>
      <c r="J1102" s="50"/>
      <c r="K1102" s="51"/>
      <c r="L1102" s="44"/>
      <c r="M1102" s="44"/>
      <c r="N1102" s="44"/>
      <c r="O1102" s="44"/>
      <c r="P1102" s="44"/>
      <c r="Q1102" s="88">
        <v>0.0</v>
      </c>
      <c r="R1102" s="89">
        <v>0.0</v>
      </c>
      <c r="S1102" s="56" t="str">
        <f t="shared" si="34"/>
        <v> </v>
      </c>
      <c r="T1102" s="50"/>
      <c r="U1102" s="57"/>
      <c r="V1102" s="44"/>
      <c r="W1102" s="44"/>
      <c r="X1102" s="44"/>
      <c r="Y1102" s="44"/>
      <c r="Z1102" s="91"/>
      <c r="AA1102" s="59" t="str">
        <f>IF(Rentabilidad=0,"No aplica",TEXT(ROUND(Precio/Rentabilidad/12,0),0) &amp; " años")</f>
        <v>No aplica</v>
      </c>
      <c r="AB1102" s="212"/>
      <c r="AC1102" s="61"/>
      <c r="AD1102" s="107"/>
      <c r="AE1102" s="63"/>
      <c r="AF1102" s="64"/>
      <c r="AG1102" s="63"/>
      <c r="AH1102" s="63"/>
      <c r="AI1102" s="63"/>
      <c r="AJ1102" s="45"/>
      <c r="AK1102" s="50"/>
      <c r="AL1102" s="45"/>
      <c r="AM1102" s="44"/>
      <c r="AN1102" s="45"/>
      <c r="AO1102" s="52"/>
      <c r="AP1102" s="67"/>
      <c r="AQ1102" s="67"/>
      <c r="AR1102" s="67"/>
      <c r="AS1102" s="94"/>
      <c r="AT1102" s="63"/>
      <c r="AU1102" s="44"/>
      <c r="AV1102" s="44"/>
      <c r="AW1102" s="44"/>
      <c r="AX1102" s="44"/>
      <c r="AY1102" s="44"/>
      <c r="AZ1102" s="44"/>
      <c r="BA1102" s="43" t="s">
        <v>89</v>
      </c>
      <c r="BB1102" s="44"/>
      <c r="BC1102" s="95"/>
      <c r="BD1102" s="71"/>
      <c r="BE1102" s="71"/>
      <c r="BF1102" s="130"/>
      <c r="BG1102" s="73"/>
      <c r="BH1102" s="73"/>
      <c r="BI1102" s="73"/>
      <c r="BJ1102" s="73"/>
      <c r="BK1102" s="73"/>
      <c r="BL1102" s="73"/>
      <c r="BM1102" s="73"/>
      <c r="BN1102" s="73"/>
      <c r="BO1102" s="73"/>
      <c r="BP1102" s="73"/>
      <c r="BQ1102" s="73"/>
      <c r="BR1102" s="73"/>
      <c r="BS1102" s="73"/>
      <c r="BT1102" s="73"/>
      <c r="BU1102" s="73"/>
      <c r="BV1102" s="73"/>
      <c r="BW1102" s="74"/>
      <c r="BX1102" s="74"/>
      <c r="BY1102" s="63"/>
      <c r="BZ1102" s="63"/>
    </row>
    <row r="1103" ht="15.75" customHeight="1">
      <c r="A1103" s="41"/>
      <c r="B1103" s="50"/>
      <c r="C1103" s="50"/>
      <c r="D1103" s="50"/>
      <c r="E1103" s="64"/>
      <c r="F1103" s="78">
        <v>0.0</v>
      </c>
      <c r="G1103" s="44" t="str">
        <f t="shared" si="35"/>
        <v>$0 a $100'000.000</v>
      </c>
      <c r="H1103" s="44"/>
      <c r="I1103" s="44"/>
      <c r="J1103" s="50"/>
      <c r="K1103" s="51"/>
      <c r="L1103" s="44"/>
      <c r="M1103" s="44"/>
      <c r="N1103" s="44"/>
      <c r="O1103" s="44"/>
      <c r="P1103" s="44"/>
      <c r="Q1103" s="88">
        <v>0.0</v>
      </c>
      <c r="R1103" s="89">
        <v>0.0</v>
      </c>
      <c r="S1103" s="56" t="str">
        <f t="shared" si="34"/>
        <v> </v>
      </c>
      <c r="T1103" s="50"/>
      <c r="U1103" s="57"/>
      <c r="V1103" s="44"/>
      <c r="W1103" s="44"/>
      <c r="X1103" s="44"/>
      <c r="Y1103" s="44"/>
      <c r="Z1103" s="91"/>
      <c r="AA1103" s="59" t="str">
        <f>IF(Rentabilidad=0,"No aplica",TEXT(ROUND(Precio/Rentabilidad/12,0),0) &amp; " años")</f>
        <v>No aplica</v>
      </c>
      <c r="AB1103" s="212"/>
      <c r="AC1103" s="61"/>
      <c r="AD1103" s="107"/>
      <c r="AE1103" s="63"/>
      <c r="AF1103" s="64"/>
      <c r="AG1103" s="63"/>
      <c r="AH1103" s="63"/>
      <c r="AI1103" s="63"/>
      <c r="AJ1103" s="45"/>
      <c r="AK1103" s="50"/>
      <c r="AL1103" s="45"/>
      <c r="AM1103" s="44"/>
      <c r="AN1103" s="45"/>
      <c r="AO1103" s="52"/>
      <c r="AP1103" s="67"/>
      <c r="AQ1103" s="67"/>
      <c r="AR1103" s="67"/>
      <c r="AS1103" s="94"/>
      <c r="AT1103" s="63"/>
      <c r="AU1103" s="44"/>
      <c r="AV1103" s="44"/>
      <c r="AW1103" s="44"/>
      <c r="AX1103" s="44"/>
      <c r="AY1103" s="44"/>
      <c r="AZ1103" s="44"/>
      <c r="BA1103" s="43" t="s">
        <v>89</v>
      </c>
      <c r="BB1103" s="44"/>
      <c r="BC1103" s="95"/>
      <c r="BD1103" s="71"/>
      <c r="BE1103" s="71"/>
      <c r="BF1103" s="130"/>
      <c r="BG1103" s="73"/>
      <c r="BH1103" s="73"/>
      <c r="BI1103" s="73"/>
      <c r="BJ1103" s="73"/>
      <c r="BK1103" s="73"/>
      <c r="BL1103" s="73"/>
      <c r="BM1103" s="73"/>
      <c r="BN1103" s="73"/>
      <c r="BO1103" s="73"/>
      <c r="BP1103" s="73"/>
      <c r="BQ1103" s="73"/>
      <c r="BR1103" s="73"/>
      <c r="BS1103" s="73"/>
      <c r="BT1103" s="73"/>
      <c r="BU1103" s="73"/>
      <c r="BV1103" s="73"/>
      <c r="BW1103" s="74"/>
      <c r="BX1103" s="74"/>
      <c r="BY1103" s="63"/>
      <c r="BZ1103" s="63"/>
    </row>
    <row r="1104" ht="15.75" customHeight="1">
      <c r="A1104" s="41"/>
      <c r="B1104" s="50"/>
      <c r="C1104" s="50"/>
      <c r="D1104" s="50"/>
      <c r="E1104" s="64"/>
      <c r="F1104" s="78">
        <v>0.0</v>
      </c>
      <c r="G1104" s="44" t="str">
        <f t="shared" si="35"/>
        <v>$0 a $100'000.000</v>
      </c>
      <c r="H1104" s="44"/>
      <c r="I1104" s="44"/>
      <c r="J1104" s="50"/>
      <c r="K1104" s="51"/>
      <c r="L1104" s="44"/>
      <c r="M1104" s="44"/>
      <c r="N1104" s="44"/>
      <c r="O1104" s="44"/>
      <c r="P1104" s="44"/>
      <c r="Q1104" s="88">
        <v>0.0</v>
      </c>
      <c r="R1104" s="89">
        <v>0.0</v>
      </c>
      <c r="S1104" s="56" t="str">
        <f t="shared" si="34"/>
        <v> </v>
      </c>
      <c r="T1104" s="50"/>
      <c r="U1104" s="57"/>
      <c r="V1104" s="44"/>
      <c r="W1104" s="44"/>
      <c r="X1104" s="44"/>
      <c r="Y1104" s="44"/>
      <c r="Z1104" s="91"/>
      <c r="AA1104" s="59" t="str">
        <f>IF(Rentabilidad=0,"No aplica",TEXT(ROUND(Precio/Rentabilidad/12,0),0) &amp; " años")</f>
        <v>No aplica</v>
      </c>
      <c r="AB1104" s="212"/>
      <c r="AC1104" s="61"/>
      <c r="AD1104" s="107"/>
      <c r="AE1104" s="63"/>
      <c r="AF1104" s="64"/>
      <c r="AG1104" s="63"/>
      <c r="AH1104" s="63"/>
      <c r="AI1104" s="63"/>
      <c r="AJ1104" s="45"/>
      <c r="AK1104" s="50"/>
      <c r="AL1104" s="45"/>
      <c r="AM1104" s="44"/>
      <c r="AN1104" s="45"/>
      <c r="AO1104" s="52"/>
      <c r="AP1104" s="67"/>
      <c r="AQ1104" s="67"/>
      <c r="AR1104" s="67"/>
      <c r="AS1104" s="94"/>
      <c r="AT1104" s="63"/>
      <c r="AU1104" s="44"/>
      <c r="AV1104" s="44"/>
      <c r="AW1104" s="44"/>
      <c r="AX1104" s="44"/>
      <c r="AY1104" s="44"/>
      <c r="AZ1104" s="44"/>
      <c r="BA1104" s="43" t="s">
        <v>89</v>
      </c>
      <c r="BB1104" s="44"/>
      <c r="BC1104" s="95"/>
      <c r="BD1104" s="71"/>
      <c r="BE1104" s="71"/>
      <c r="BF1104" s="130"/>
      <c r="BG1104" s="73"/>
      <c r="BH1104" s="73"/>
      <c r="BI1104" s="73"/>
      <c r="BJ1104" s="73"/>
      <c r="BK1104" s="73"/>
      <c r="BL1104" s="73"/>
      <c r="BM1104" s="73"/>
      <c r="BN1104" s="73"/>
      <c r="BO1104" s="73"/>
      <c r="BP1104" s="73"/>
      <c r="BQ1104" s="73"/>
      <c r="BR1104" s="73"/>
      <c r="BS1104" s="73"/>
      <c r="BT1104" s="73"/>
      <c r="BU1104" s="73"/>
      <c r="BV1104" s="73"/>
      <c r="BW1104" s="74"/>
      <c r="BX1104" s="74"/>
      <c r="BY1104" s="63"/>
      <c r="BZ1104" s="63"/>
    </row>
    <row r="1105" ht="15.75" customHeight="1">
      <c r="A1105" s="41"/>
      <c r="B1105" s="50"/>
      <c r="C1105" s="50"/>
      <c r="D1105" s="50"/>
      <c r="E1105" s="64"/>
      <c r="F1105" s="78">
        <v>0.0</v>
      </c>
      <c r="G1105" s="44" t="str">
        <f t="shared" si="35"/>
        <v>$0 a $100'000.000</v>
      </c>
      <c r="H1105" s="44"/>
      <c r="I1105" s="44"/>
      <c r="J1105" s="50"/>
      <c r="K1105" s="51"/>
      <c r="L1105" s="44"/>
      <c r="M1105" s="44"/>
      <c r="N1105" s="44"/>
      <c r="O1105" s="44"/>
      <c r="P1105" s="44"/>
      <c r="Q1105" s="88">
        <v>0.0</v>
      </c>
      <c r="R1105" s="89">
        <v>0.0</v>
      </c>
      <c r="S1105" s="56" t="str">
        <f t="shared" si="34"/>
        <v> </v>
      </c>
      <c r="T1105" s="50"/>
      <c r="U1105" s="57"/>
      <c r="V1105" s="44"/>
      <c r="W1105" s="44"/>
      <c r="X1105" s="44"/>
      <c r="Y1105" s="44"/>
      <c r="Z1105" s="91"/>
      <c r="AA1105" s="59" t="str">
        <f>IF(Rentabilidad=0,"No aplica",TEXT(ROUND(Precio/Rentabilidad/12,0),0) &amp; " años")</f>
        <v>No aplica</v>
      </c>
      <c r="AB1105" s="212"/>
      <c r="AC1105" s="61"/>
      <c r="AD1105" s="107"/>
      <c r="AE1105" s="63"/>
      <c r="AF1105" s="64"/>
      <c r="AG1105" s="63"/>
      <c r="AH1105" s="63"/>
      <c r="AI1105" s="63"/>
      <c r="AJ1105" s="45"/>
      <c r="AK1105" s="50"/>
      <c r="AL1105" s="45"/>
      <c r="AM1105" s="44"/>
      <c r="AN1105" s="45"/>
      <c r="AO1105" s="52"/>
      <c r="AP1105" s="67"/>
      <c r="AQ1105" s="67"/>
      <c r="AR1105" s="67"/>
      <c r="AS1105" s="94"/>
      <c r="AT1105" s="63"/>
      <c r="AU1105" s="44"/>
      <c r="AV1105" s="44"/>
      <c r="AW1105" s="44"/>
      <c r="AX1105" s="44"/>
      <c r="AY1105" s="44"/>
      <c r="AZ1105" s="44"/>
      <c r="BA1105" s="43" t="s">
        <v>89</v>
      </c>
      <c r="BB1105" s="44"/>
      <c r="BC1105" s="95"/>
      <c r="BD1105" s="71"/>
      <c r="BE1105" s="71"/>
      <c r="BF1105" s="130"/>
      <c r="BG1105" s="73"/>
      <c r="BH1105" s="73"/>
      <c r="BI1105" s="73"/>
      <c r="BJ1105" s="73"/>
      <c r="BK1105" s="73"/>
      <c r="BL1105" s="73"/>
      <c r="BM1105" s="73"/>
      <c r="BN1105" s="73"/>
      <c r="BO1105" s="73"/>
      <c r="BP1105" s="73"/>
      <c r="BQ1105" s="73"/>
      <c r="BR1105" s="73"/>
      <c r="BS1105" s="73"/>
      <c r="BT1105" s="73"/>
      <c r="BU1105" s="73"/>
      <c r="BV1105" s="73"/>
      <c r="BW1105" s="74"/>
      <c r="BX1105" s="74"/>
      <c r="BY1105" s="63"/>
      <c r="BZ1105" s="63"/>
    </row>
    <row r="1106" ht="15.75" customHeight="1">
      <c r="A1106" s="41"/>
      <c r="B1106" s="50"/>
      <c r="C1106" s="50"/>
      <c r="D1106" s="50"/>
      <c r="E1106" s="64"/>
      <c r="F1106" s="78">
        <v>0.0</v>
      </c>
      <c r="G1106" s="44" t="str">
        <f t="shared" si="35"/>
        <v>$0 a $100'000.000</v>
      </c>
      <c r="H1106" s="44"/>
      <c r="I1106" s="44"/>
      <c r="J1106" s="50"/>
      <c r="K1106" s="51"/>
      <c r="L1106" s="44"/>
      <c r="M1106" s="44"/>
      <c r="N1106" s="44"/>
      <c r="O1106" s="44"/>
      <c r="P1106" s="44"/>
      <c r="Q1106" s="88">
        <v>0.0</v>
      </c>
      <c r="R1106" s="89">
        <v>0.0</v>
      </c>
      <c r="S1106" s="56" t="str">
        <f t="shared" si="34"/>
        <v> </v>
      </c>
      <c r="T1106" s="50"/>
      <c r="U1106" s="57"/>
      <c r="V1106" s="44"/>
      <c r="W1106" s="44"/>
      <c r="X1106" s="44"/>
      <c r="Y1106" s="44"/>
      <c r="Z1106" s="91"/>
      <c r="AA1106" s="59" t="str">
        <f>IF(Rentabilidad=0,"No aplica",TEXT(ROUND(Precio/Rentabilidad/12,0),0) &amp; " años")</f>
        <v>No aplica</v>
      </c>
      <c r="AB1106" s="212"/>
      <c r="AC1106" s="61"/>
      <c r="AD1106" s="107"/>
      <c r="AE1106" s="63"/>
      <c r="AF1106" s="64"/>
      <c r="AG1106" s="63"/>
      <c r="AH1106" s="63"/>
      <c r="AI1106" s="63"/>
      <c r="AJ1106" s="45"/>
      <c r="AK1106" s="50"/>
      <c r="AL1106" s="45"/>
      <c r="AM1106" s="44"/>
      <c r="AN1106" s="45"/>
      <c r="AO1106" s="52"/>
      <c r="AP1106" s="67"/>
      <c r="AQ1106" s="67"/>
      <c r="AR1106" s="67"/>
      <c r="AS1106" s="94"/>
      <c r="AT1106" s="63"/>
      <c r="AU1106" s="44"/>
      <c r="AV1106" s="44"/>
      <c r="AW1106" s="44"/>
      <c r="AX1106" s="44"/>
      <c r="AY1106" s="44"/>
      <c r="AZ1106" s="44"/>
      <c r="BA1106" s="43" t="s">
        <v>89</v>
      </c>
      <c r="BB1106" s="44"/>
      <c r="BC1106" s="95"/>
      <c r="BD1106" s="71"/>
      <c r="BE1106" s="71"/>
      <c r="BF1106" s="130"/>
      <c r="BG1106" s="73"/>
      <c r="BH1106" s="73"/>
      <c r="BI1106" s="73"/>
      <c r="BJ1106" s="73"/>
      <c r="BK1106" s="73"/>
      <c r="BL1106" s="73"/>
      <c r="BM1106" s="73"/>
      <c r="BN1106" s="73"/>
      <c r="BO1106" s="73"/>
      <c r="BP1106" s="73"/>
      <c r="BQ1106" s="73"/>
      <c r="BR1106" s="73"/>
      <c r="BS1106" s="73"/>
      <c r="BT1106" s="73"/>
      <c r="BU1106" s="73"/>
      <c r="BV1106" s="73"/>
      <c r="BW1106" s="74"/>
      <c r="BX1106" s="74"/>
      <c r="BY1106" s="63"/>
      <c r="BZ1106" s="63"/>
    </row>
    <row r="1107" ht="15.75" customHeight="1">
      <c r="A1107" s="41"/>
      <c r="B1107" s="50"/>
      <c r="C1107" s="50"/>
      <c r="D1107" s="50"/>
      <c r="E1107" s="64"/>
      <c r="F1107" s="78">
        <v>0.0</v>
      </c>
      <c r="G1107" s="44" t="str">
        <f t="shared" si="35"/>
        <v>$0 a $100'000.000</v>
      </c>
      <c r="H1107" s="44"/>
      <c r="I1107" s="44"/>
      <c r="J1107" s="50"/>
      <c r="K1107" s="51"/>
      <c r="L1107" s="44"/>
      <c r="M1107" s="44"/>
      <c r="N1107" s="44"/>
      <c r="O1107" s="44"/>
      <c r="P1107" s="44"/>
      <c r="Q1107" s="88">
        <v>0.0</v>
      </c>
      <c r="R1107" s="89">
        <v>0.0</v>
      </c>
      <c r="S1107" s="56" t="str">
        <f t="shared" si="34"/>
        <v> </v>
      </c>
      <c r="T1107" s="50"/>
      <c r="U1107" s="57"/>
      <c r="V1107" s="44"/>
      <c r="W1107" s="44"/>
      <c r="X1107" s="44"/>
      <c r="Y1107" s="44"/>
      <c r="Z1107" s="91"/>
      <c r="AA1107" s="59" t="str">
        <f>IF(Rentabilidad=0,"No aplica",TEXT(ROUND(Precio/Rentabilidad/12,0),0) &amp; " años")</f>
        <v>No aplica</v>
      </c>
      <c r="AB1107" s="212"/>
      <c r="AC1107" s="61"/>
      <c r="AD1107" s="107"/>
      <c r="AE1107" s="63"/>
      <c r="AF1107" s="64"/>
      <c r="AG1107" s="63"/>
      <c r="AH1107" s="63"/>
      <c r="AI1107" s="63"/>
      <c r="AJ1107" s="45"/>
      <c r="AK1107" s="50"/>
      <c r="AL1107" s="45"/>
      <c r="AM1107" s="44"/>
      <c r="AN1107" s="45"/>
      <c r="AO1107" s="52"/>
      <c r="AP1107" s="67"/>
      <c r="AQ1107" s="67"/>
      <c r="AR1107" s="67"/>
      <c r="AS1107" s="94"/>
      <c r="AT1107" s="63"/>
      <c r="AU1107" s="44"/>
      <c r="AV1107" s="44"/>
      <c r="AW1107" s="44"/>
      <c r="AX1107" s="44"/>
      <c r="AY1107" s="44"/>
      <c r="AZ1107" s="44"/>
      <c r="BA1107" s="43" t="s">
        <v>89</v>
      </c>
      <c r="BB1107" s="44"/>
      <c r="BC1107" s="95"/>
      <c r="BD1107" s="71"/>
      <c r="BE1107" s="71"/>
      <c r="BF1107" s="130"/>
      <c r="BG1107" s="73"/>
      <c r="BH1107" s="73"/>
      <c r="BI1107" s="73"/>
      <c r="BJ1107" s="73"/>
      <c r="BK1107" s="73"/>
      <c r="BL1107" s="73"/>
      <c r="BM1107" s="73"/>
      <c r="BN1107" s="73"/>
      <c r="BO1107" s="73"/>
      <c r="BP1107" s="73"/>
      <c r="BQ1107" s="73"/>
      <c r="BR1107" s="73"/>
      <c r="BS1107" s="73"/>
      <c r="BT1107" s="73"/>
      <c r="BU1107" s="73"/>
      <c r="BV1107" s="73"/>
      <c r="BW1107" s="74"/>
      <c r="BX1107" s="74"/>
      <c r="BY1107" s="63"/>
      <c r="BZ1107" s="63"/>
    </row>
    <row r="1108" ht="15.75" customHeight="1">
      <c r="A1108" s="41"/>
      <c r="B1108" s="50"/>
      <c r="C1108" s="50"/>
      <c r="D1108" s="50"/>
      <c r="E1108" s="64"/>
      <c r="F1108" s="78">
        <v>0.0</v>
      </c>
      <c r="G1108" s="44" t="str">
        <f t="shared" si="35"/>
        <v>$0 a $100'000.000</v>
      </c>
      <c r="H1108" s="44"/>
      <c r="I1108" s="44"/>
      <c r="J1108" s="50"/>
      <c r="K1108" s="51"/>
      <c r="L1108" s="44"/>
      <c r="M1108" s="44"/>
      <c r="N1108" s="44"/>
      <c r="O1108" s="44"/>
      <c r="P1108" s="44"/>
      <c r="Q1108" s="88">
        <v>0.0</v>
      </c>
      <c r="R1108" s="89">
        <v>0.0</v>
      </c>
      <c r="S1108" s="56" t="str">
        <f t="shared" si="34"/>
        <v> </v>
      </c>
      <c r="T1108" s="50"/>
      <c r="U1108" s="57"/>
      <c r="V1108" s="44"/>
      <c r="W1108" s="44"/>
      <c r="X1108" s="44"/>
      <c r="Y1108" s="44"/>
      <c r="Z1108" s="91"/>
      <c r="AA1108" s="59" t="str">
        <f>IF(Rentabilidad=0,"No aplica",TEXT(ROUND(Precio/Rentabilidad/12,0),0) &amp; " años")</f>
        <v>No aplica</v>
      </c>
      <c r="AB1108" s="212"/>
      <c r="AC1108" s="61"/>
      <c r="AD1108" s="107"/>
      <c r="AE1108" s="63"/>
      <c r="AF1108" s="64"/>
      <c r="AG1108" s="63"/>
      <c r="AH1108" s="63"/>
      <c r="AI1108" s="63"/>
      <c r="AJ1108" s="45"/>
      <c r="AK1108" s="50"/>
      <c r="AL1108" s="45"/>
      <c r="AM1108" s="44"/>
      <c r="AN1108" s="45"/>
      <c r="AO1108" s="52"/>
      <c r="AP1108" s="67"/>
      <c r="AQ1108" s="67"/>
      <c r="AR1108" s="67"/>
      <c r="AS1108" s="94"/>
      <c r="AT1108" s="63"/>
      <c r="AU1108" s="44"/>
      <c r="AV1108" s="44"/>
      <c r="AW1108" s="44"/>
      <c r="AX1108" s="44"/>
      <c r="AY1108" s="44"/>
      <c r="AZ1108" s="44"/>
      <c r="BA1108" s="43" t="s">
        <v>89</v>
      </c>
      <c r="BB1108" s="44"/>
      <c r="BC1108" s="95"/>
      <c r="BD1108" s="71"/>
      <c r="BE1108" s="71"/>
      <c r="BF1108" s="130"/>
      <c r="BG1108" s="73"/>
      <c r="BH1108" s="73"/>
      <c r="BI1108" s="73"/>
      <c r="BJ1108" s="73"/>
      <c r="BK1108" s="73"/>
      <c r="BL1108" s="73"/>
      <c r="BM1108" s="73"/>
      <c r="BN1108" s="73"/>
      <c r="BO1108" s="73"/>
      <c r="BP1108" s="73"/>
      <c r="BQ1108" s="73"/>
      <c r="BR1108" s="73"/>
      <c r="BS1108" s="73"/>
      <c r="BT1108" s="73"/>
      <c r="BU1108" s="73"/>
      <c r="BV1108" s="73"/>
      <c r="BW1108" s="74"/>
      <c r="BX1108" s="74"/>
      <c r="BY1108" s="63"/>
      <c r="BZ1108" s="63"/>
    </row>
    <row r="1109" ht="15.75" customHeight="1">
      <c r="A1109" s="41"/>
      <c r="B1109" s="50"/>
      <c r="C1109" s="50"/>
      <c r="D1109" s="50"/>
      <c r="E1109" s="64"/>
      <c r="F1109" s="78">
        <v>0.0</v>
      </c>
      <c r="G1109" s="44" t="str">
        <f t="shared" si="35"/>
        <v>$0 a $100'000.000</v>
      </c>
      <c r="H1109" s="44"/>
      <c r="I1109" s="44"/>
      <c r="J1109" s="50"/>
      <c r="K1109" s="51"/>
      <c r="L1109" s="44"/>
      <c r="M1109" s="44"/>
      <c r="N1109" s="44"/>
      <c r="O1109" s="44"/>
      <c r="P1109" s="44"/>
      <c r="Q1109" s="88">
        <v>0.0</v>
      </c>
      <c r="R1109" s="89">
        <v>0.0</v>
      </c>
      <c r="S1109" s="56" t="str">
        <f t="shared" si="34"/>
        <v> </v>
      </c>
      <c r="T1109" s="50"/>
      <c r="U1109" s="57"/>
      <c r="V1109" s="44"/>
      <c r="W1109" s="44"/>
      <c r="X1109" s="44"/>
      <c r="Y1109" s="44"/>
      <c r="Z1109" s="91"/>
      <c r="AA1109" s="59" t="str">
        <f>IF(Rentabilidad=0,"No aplica",TEXT(ROUND(Precio/Rentabilidad/12,0),0) &amp; " años")</f>
        <v>No aplica</v>
      </c>
      <c r="AB1109" s="212"/>
      <c r="AC1109" s="61"/>
      <c r="AD1109" s="107"/>
      <c r="AE1109" s="63"/>
      <c r="AF1109" s="64"/>
      <c r="AG1109" s="63"/>
      <c r="AH1109" s="63"/>
      <c r="AI1109" s="63"/>
      <c r="AJ1109" s="45"/>
      <c r="AK1109" s="50"/>
      <c r="AL1109" s="45"/>
      <c r="AM1109" s="44"/>
      <c r="AN1109" s="45"/>
      <c r="AO1109" s="52"/>
      <c r="AP1109" s="67"/>
      <c r="AQ1109" s="67"/>
      <c r="AR1109" s="67"/>
      <c r="AS1109" s="94"/>
      <c r="AT1109" s="63"/>
      <c r="AU1109" s="44"/>
      <c r="AV1109" s="44"/>
      <c r="AW1109" s="44"/>
      <c r="AX1109" s="44"/>
      <c r="AY1109" s="44"/>
      <c r="AZ1109" s="44"/>
      <c r="BA1109" s="43" t="s">
        <v>89</v>
      </c>
      <c r="BB1109" s="44"/>
      <c r="BC1109" s="95"/>
      <c r="BD1109" s="71"/>
      <c r="BE1109" s="71"/>
      <c r="BF1109" s="130"/>
      <c r="BG1109" s="73"/>
      <c r="BH1109" s="73"/>
      <c r="BI1109" s="73"/>
      <c r="BJ1109" s="73"/>
      <c r="BK1109" s="73"/>
      <c r="BL1109" s="73"/>
      <c r="BM1109" s="73"/>
      <c r="BN1109" s="73"/>
      <c r="BO1109" s="73"/>
      <c r="BP1109" s="73"/>
      <c r="BQ1109" s="73"/>
      <c r="BR1109" s="73"/>
      <c r="BS1109" s="73"/>
      <c r="BT1109" s="73"/>
      <c r="BU1109" s="73"/>
      <c r="BV1109" s="73"/>
      <c r="BW1109" s="74"/>
      <c r="BX1109" s="74"/>
      <c r="BY1109" s="63"/>
      <c r="BZ1109" s="63"/>
    </row>
    <row r="1110" ht="15.75" customHeight="1">
      <c r="A1110" s="41"/>
      <c r="B1110" s="50"/>
      <c r="C1110" s="50"/>
      <c r="D1110" s="50"/>
      <c r="E1110" s="64"/>
      <c r="F1110" s="78">
        <v>0.0</v>
      </c>
      <c r="G1110" s="44" t="str">
        <f t="shared" si="35"/>
        <v>$0 a $100'000.000</v>
      </c>
      <c r="H1110" s="44"/>
      <c r="I1110" s="44"/>
      <c r="J1110" s="50"/>
      <c r="K1110" s="51"/>
      <c r="L1110" s="44"/>
      <c r="M1110" s="44"/>
      <c r="N1110" s="44"/>
      <c r="O1110" s="44"/>
      <c r="P1110" s="44"/>
      <c r="Q1110" s="88">
        <v>0.0</v>
      </c>
      <c r="R1110" s="89">
        <v>0.0</v>
      </c>
      <c r="S1110" s="56" t="str">
        <f t="shared" si="34"/>
        <v> </v>
      </c>
      <c r="T1110" s="50"/>
      <c r="U1110" s="57"/>
      <c r="V1110" s="44"/>
      <c r="W1110" s="44"/>
      <c r="X1110" s="44"/>
      <c r="Y1110" s="44"/>
      <c r="Z1110" s="91"/>
      <c r="AA1110" s="59" t="str">
        <f>IF(Rentabilidad=0,"No aplica",TEXT(ROUND(Precio/Rentabilidad/12,0),0) &amp; " años")</f>
        <v>No aplica</v>
      </c>
      <c r="AB1110" s="212"/>
      <c r="AC1110" s="61"/>
      <c r="AD1110" s="107"/>
      <c r="AE1110" s="63"/>
      <c r="AF1110" s="64"/>
      <c r="AG1110" s="63"/>
      <c r="AH1110" s="63"/>
      <c r="AI1110" s="63"/>
      <c r="AJ1110" s="45"/>
      <c r="AK1110" s="50"/>
      <c r="AL1110" s="45"/>
      <c r="AM1110" s="44"/>
      <c r="AN1110" s="45"/>
      <c r="AO1110" s="52"/>
      <c r="AP1110" s="67"/>
      <c r="AQ1110" s="67"/>
      <c r="AR1110" s="67"/>
      <c r="AS1110" s="94"/>
      <c r="AT1110" s="63"/>
      <c r="AU1110" s="44"/>
      <c r="AV1110" s="44"/>
      <c r="AW1110" s="44"/>
      <c r="AX1110" s="44"/>
      <c r="AY1110" s="44"/>
      <c r="AZ1110" s="44"/>
      <c r="BA1110" s="43" t="s">
        <v>89</v>
      </c>
      <c r="BB1110" s="44"/>
      <c r="BC1110" s="95"/>
      <c r="BD1110" s="71"/>
      <c r="BE1110" s="71"/>
      <c r="BF1110" s="130"/>
      <c r="BG1110" s="73"/>
      <c r="BH1110" s="73"/>
      <c r="BI1110" s="73"/>
      <c r="BJ1110" s="73"/>
      <c r="BK1110" s="73"/>
      <c r="BL1110" s="73"/>
      <c r="BM1110" s="73"/>
      <c r="BN1110" s="73"/>
      <c r="BO1110" s="73"/>
      <c r="BP1110" s="73"/>
      <c r="BQ1110" s="73"/>
      <c r="BR1110" s="73"/>
      <c r="BS1110" s="73"/>
      <c r="BT1110" s="73"/>
      <c r="BU1110" s="73"/>
      <c r="BV1110" s="73"/>
      <c r="BW1110" s="74"/>
      <c r="BX1110" s="74"/>
      <c r="BY1110" s="63"/>
      <c r="BZ1110" s="63"/>
    </row>
    <row r="1111" ht="15.75" customHeight="1">
      <c r="A1111" s="41"/>
      <c r="B1111" s="50"/>
      <c r="C1111" s="50"/>
      <c r="D1111" s="50"/>
      <c r="E1111" s="64"/>
      <c r="F1111" s="78">
        <v>0.0</v>
      </c>
      <c r="G1111" s="44" t="str">
        <f t="shared" si="35"/>
        <v>$0 a $100'000.000</v>
      </c>
      <c r="H1111" s="44"/>
      <c r="I1111" s="44"/>
      <c r="J1111" s="50"/>
      <c r="K1111" s="51"/>
      <c r="L1111" s="44"/>
      <c r="M1111" s="44"/>
      <c r="N1111" s="44"/>
      <c r="O1111" s="44"/>
      <c r="P1111" s="44"/>
      <c r="Q1111" s="88">
        <v>0.0</v>
      </c>
      <c r="R1111" s="89">
        <v>0.0</v>
      </c>
      <c r="S1111" s="56" t="str">
        <f t="shared" si="34"/>
        <v> </v>
      </c>
      <c r="T1111" s="50"/>
      <c r="U1111" s="57"/>
      <c r="V1111" s="44"/>
      <c r="W1111" s="44"/>
      <c r="X1111" s="44"/>
      <c r="Y1111" s="44"/>
      <c r="Z1111" s="91"/>
      <c r="AA1111" s="59" t="str">
        <f>IF(Rentabilidad=0,"No aplica",TEXT(ROUND(Precio/Rentabilidad/12,0),0) &amp; " años")</f>
        <v>No aplica</v>
      </c>
      <c r="AB1111" s="212"/>
      <c r="AC1111" s="61"/>
      <c r="AD1111" s="107"/>
      <c r="AE1111" s="63"/>
      <c r="AF1111" s="64"/>
      <c r="AG1111" s="63"/>
      <c r="AH1111" s="63"/>
      <c r="AI1111" s="63"/>
      <c r="AJ1111" s="45"/>
      <c r="AK1111" s="50"/>
      <c r="AL1111" s="45"/>
      <c r="AM1111" s="44"/>
      <c r="AN1111" s="45"/>
      <c r="AO1111" s="52"/>
      <c r="AP1111" s="67"/>
      <c r="AQ1111" s="67"/>
      <c r="AR1111" s="67"/>
      <c r="AS1111" s="94"/>
      <c r="AT1111" s="63"/>
      <c r="AU1111" s="44"/>
      <c r="AV1111" s="44"/>
      <c r="AW1111" s="44"/>
      <c r="AX1111" s="44"/>
      <c r="AY1111" s="44"/>
      <c r="AZ1111" s="44"/>
      <c r="BA1111" s="43" t="s">
        <v>89</v>
      </c>
      <c r="BB1111" s="44"/>
      <c r="BC1111" s="95"/>
      <c r="BD1111" s="71"/>
      <c r="BE1111" s="71"/>
      <c r="BF1111" s="130"/>
      <c r="BG1111" s="73"/>
      <c r="BH1111" s="73"/>
      <c r="BI1111" s="73"/>
      <c r="BJ1111" s="73"/>
      <c r="BK1111" s="73"/>
      <c r="BL1111" s="73"/>
      <c r="BM1111" s="73"/>
      <c r="BN1111" s="73"/>
      <c r="BO1111" s="73"/>
      <c r="BP1111" s="73"/>
      <c r="BQ1111" s="73"/>
      <c r="BR1111" s="73"/>
      <c r="BS1111" s="73"/>
      <c r="BT1111" s="73"/>
      <c r="BU1111" s="73"/>
      <c r="BV1111" s="73"/>
      <c r="BW1111" s="74"/>
      <c r="BX1111" s="74"/>
      <c r="BY1111" s="63"/>
      <c r="BZ1111" s="63"/>
    </row>
    <row r="1112" ht="15.75" customHeight="1">
      <c r="A1112" s="41"/>
      <c r="B1112" s="50"/>
      <c r="C1112" s="50"/>
      <c r="D1112" s="50"/>
      <c r="E1112" s="64"/>
      <c r="F1112" s="78">
        <v>0.0</v>
      </c>
      <c r="G1112" s="44" t="str">
        <f t="shared" si="35"/>
        <v>$0 a $100'000.000</v>
      </c>
      <c r="H1112" s="44"/>
      <c r="I1112" s="44"/>
      <c r="J1112" s="50"/>
      <c r="K1112" s="51"/>
      <c r="L1112" s="44"/>
      <c r="M1112" s="44"/>
      <c r="N1112" s="44"/>
      <c r="O1112" s="44"/>
      <c r="P1112" s="44"/>
      <c r="Q1112" s="88">
        <v>0.0</v>
      </c>
      <c r="R1112" s="89">
        <v>0.0</v>
      </c>
      <c r="S1112" s="56" t="str">
        <f t="shared" si="34"/>
        <v> </v>
      </c>
      <c r="T1112" s="50"/>
      <c r="U1112" s="57"/>
      <c r="V1112" s="44"/>
      <c r="W1112" s="44"/>
      <c r="X1112" s="44"/>
      <c r="Y1112" s="44"/>
      <c r="Z1112" s="91"/>
      <c r="AA1112" s="59" t="str">
        <f>IF(Rentabilidad=0,"No aplica",TEXT(ROUND(Precio/Rentabilidad/12,0),0) &amp; " años")</f>
        <v>No aplica</v>
      </c>
      <c r="AB1112" s="212"/>
      <c r="AC1112" s="61"/>
      <c r="AD1112" s="107"/>
      <c r="AE1112" s="63"/>
      <c r="AF1112" s="64"/>
      <c r="AG1112" s="63"/>
      <c r="AH1112" s="63"/>
      <c r="AI1112" s="63"/>
      <c r="AJ1112" s="45"/>
      <c r="AK1112" s="50"/>
      <c r="AL1112" s="45"/>
      <c r="AM1112" s="44"/>
      <c r="AN1112" s="45"/>
      <c r="AO1112" s="52"/>
      <c r="AP1112" s="67"/>
      <c r="AQ1112" s="67"/>
      <c r="AR1112" s="67"/>
      <c r="AS1112" s="94"/>
      <c r="AT1112" s="63"/>
      <c r="AU1112" s="44"/>
      <c r="AV1112" s="44"/>
      <c r="AW1112" s="44"/>
      <c r="AX1112" s="44"/>
      <c r="AY1112" s="44"/>
      <c r="AZ1112" s="44"/>
      <c r="BA1112" s="43" t="s">
        <v>89</v>
      </c>
      <c r="BB1112" s="44"/>
      <c r="BC1112" s="95"/>
      <c r="BD1112" s="71"/>
      <c r="BE1112" s="71"/>
      <c r="BF1112" s="130"/>
      <c r="BG1112" s="73"/>
      <c r="BH1112" s="73"/>
      <c r="BI1112" s="73"/>
      <c r="BJ1112" s="73"/>
      <c r="BK1112" s="73"/>
      <c r="BL1112" s="73"/>
      <c r="BM1112" s="73"/>
      <c r="BN1112" s="73"/>
      <c r="BO1112" s="73"/>
      <c r="BP1112" s="73"/>
      <c r="BQ1112" s="73"/>
      <c r="BR1112" s="73"/>
      <c r="BS1112" s="73"/>
      <c r="BT1112" s="73"/>
      <c r="BU1112" s="73"/>
      <c r="BV1112" s="73"/>
      <c r="BW1112" s="74"/>
      <c r="BX1112" s="74"/>
      <c r="BY1112" s="63"/>
      <c r="BZ1112" s="63"/>
    </row>
    <row r="1113" ht="15.75" customHeight="1">
      <c r="A1113" s="41"/>
      <c r="B1113" s="50"/>
      <c r="C1113" s="50"/>
      <c r="D1113" s="50"/>
      <c r="E1113" s="64"/>
      <c r="F1113" s="78">
        <v>0.0</v>
      </c>
      <c r="G1113" s="44" t="str">
        <f t="shared" si="35"/>
        <v>$0 a $100'000.000</v>
      </c>
      <c r="H1113" s="44"/>
      <c r="I1113" s="44"/>
      <c r="J1113" s="50"/>
      <c r="K1113" s="51"/>
      <c r="L1113" s="44"/>
      <c r="M1113" s="44"/>
      <c r="N1113" s="44"/>
      <c r="O1113" s="44"/>
      <c r="P1113" s="44"/>
      <c r="Q1113" s="88">
        <v>0.0</v>
      </c>
      <c r="R1113" s="89">
        <v>0.0</v>
      </c>
      <c r="S1113" s="56" t="str">
        <f t="shared" si="34"/>
        <v> </v>
      </c>
      <c r="T1113" s="50"/>
      <c r="U1113" s="57"/>
      <c r="V1113" s="44"/>
      <c r="W1113" s="44"/>
      <c r="X1113" s="44"/>
      <c r="Y1113" s="44"/>
      <c r="Z1113" s="91"/>
      <c r="AA1113" s="59" t="str">
        <f>IF(Rentabilidad=0,"No aplica",TEXT(ROUND(Precio/Rentabilidad/12,0),0) &amp; " años")</f>
        <v>No aplica</v>
      </c>
      <c r="AB1113" s="212"/>
      <c r="AC1113" s="61"/>
      <c r="AD1113" s="107"/>
      <c r="AE1113" s="63"/>
      <c r="AF1113" s="64"/>
      <c r="AG1113" s="63"/>
      <c r="AH1113" s="63"/>
      <c r="AI1113" s="63"/>
      <c r="AJ1113" s="45"/>
      <c r="AK1113" s="50"/>
      <c r="AL1113" s="45"/>
      <c r="AM1113" s="44"/>
      <c r="AN1113" s="45"/>
      <c r="AO1113" s="52"/>
      <c r="AP1113" s="67"/>
      <c r="AQ1113" s="67"/>
      <c r="AR1113" s="67"/>
      <c r="AS1113" s="94"/>
      <c r="AT1113" s="63"/>
      <c r="AU1113" s="44"/>
      <c r="AV1113" s="44"/>
      <c r="AW1113" s="44"/>
      <c r="AX1113" s="44"/>
      <c r="AY1113" s="44"/>
      <c r="AZ1113" s="44"/>
      <c r="BA1113" s="43" t="s">
        <v>89</v>
      </c>
      <c r="BB1113" s="44"/>
      <c r="BC1113" s="95"/>
      <c r="BD1113" s="71"/>
      <c r="BE1113" s="71"/>
      <c r="BF1113" s="130"/>
      <c r="BG1113" s="73"/>
      <c r="BH1113" s="73"/>
      <c r="BI1113" s="73"/>
      <c r="BJ1113" s="73"/>
      <c r="BK1113" s="73"/>
      <c r="BL1113" s="73"/>
      <c r="BM1113" s="73"/>
      <c r="BN1113" s="73"/>
      <c r="BO1113" s="73"/>
      <c r="BP1113" s="73"/>
      <c r="BQ1113" s="73"/>
      <c r="BR1113" s="73"/>
      <c r="BS1113" s="73"/>
      <c r="BT1113" s="73"/>
      <c r="BU1113" s="73"/>
      <c r="BV1113" s="73"/>
      <c r="BW1113" s="74"/>
      <c r="BX1113" s="74"/>
      <c r="BY1113" s="63"/>
      <c r="BZ1113" s="63"/>
    </row>
    <row r="1114" ht="15.75" customHeight="1">
      <c r="A1114" s="41"/>
      <c r="B1114" s="50"/>
      <c r="C1114" s="50"/>
      <c r="D1114" s="50"/>
      <c r="E1114" s="64"/>
      <c r="F1114" s="78">
        <v>0.0</v>
      </c>
      <c r="G1114" s="44" t="str">
        <f t="shared" si="35"/>
        <v>$0 a $100'000.000</v>
      </c>
      <c r="H1114" s="44"/>
      <c r="I1114" s="44"/>
      <c r="J1114" s="50"/>
      <c r="K1114" s="51"/>
      <c r="L1114" s="44"/>
      <c r="M1114" s="44"/>
      <c r="N1114" s="44"/>
      <c r="O1114" s="44"/>
      <c r="P1114" s="44"/>
      <c r="Q1114" s="88">
        <v>0.0</v>
      </c>
      <c r="R1114" s="89">
        <v>0.0</v>
      </c>
      <c r="S1114" s="56" t="str">
        <f t="shared" si="34"/>
        <v> </v>
      </c>
      <c r="T1114" s="50"/>
      <c r="U1114" s="57"/>
      <c r="V1114" s="44"/>
      <c r="W1114" s="44"/>
      <c r="X1114" s="44"/>
      <c r="Y1114" s="44"/>
      <c r="Z1114" s="91"/>
      <c r="AA1114" s="59" t="str">
        <f>IF(Rentabilidad=0,"No aplica",TEXT(ROUND(Precio/Rentabilidad/12,0),0) &amp; " años")</f>
        <v>No aplica</v>
      </c>
      <c r="AB1114" s="212"/>
      <c r="AC1114" s="61"/>
      <c r="AD1114" s="107"/>
      <c r="AE1114" s="63"/>
      <c r="AF1114" s="64"/>
      <c r="AG1114" s="63"/>
      <c r="AH1114" s="63"/>
      <c r="AI1114" s="63"/>
      <c r="AJ1114" s="45"/>
      <c r="AK1114" s="50"/>
      <c r="AL1114" s="45"/>
      <c r="AM1114" s="44"/>
      <c r="AN1114" s="45"/>
      <c r="AO1114" s="52"/>
      <c r="AP1114" s="67"/>
      <c r="AQ1114" s="67"/>
      <c r="AR1114" s="67"/>
      <c r="AS1114" s="94"/>
      <c r="AT1114" s="63"/>
      <c r="AU1114" s="44"/>
      <c r="AV1114" s="44"/>
      <c r="AW1114" s="44"/>
      <c r="AX1114" s="44"/>
      <c r="AY1114" s="44"/>
      <c r="AZ1114" s="44"/>
      <c r="BA1114" s="43" t="s">
        <v>89</v>
      </c>
      <c r="BB1114" s="44"/>
      <c r="BC1114" s="95"/>
      <c r="BD1114" s="71"/>
      <c r="BE1114" s="71"/>
      <c r="BF1114" s="130"/>
      <c r="BG1114" s="73"/>
      <c r="BH1114" s="73"/>
      <c r="BI1114" s="73"/>
      <c r="BJ1114" s="73"/>
      <c r="BK1114" s="73"/>
      <c r="BL1114" s="73"/>
      <c r="BM1114" s="73"/>
      <c r="BN1114" s="73"/>
      <c r="BO1114" s="73"/>
      <c r="BP1114" s="73"/>
      <c r="BQ1114" s="73"/>
      <c r="BR1114" s="73"/>
      <c r="BS1114" s="73"/>
      <c r="BT1114" s="73"/>
      <c r="BU1114" s="73"/>
      <c r="BV1114" s="73"/>
      <c r="BW1114" s="74"/>
      <c r="BX1114" s="74"/>
      <c r="BY1114" s="63"/>
      <c r="BZ1114" s="63"/>
    </row>
    <row r="1115" ht="15.75" customHeight="1">
      <c r="A1115" s="41"/>
      <c r="B1115" s="50"/>
      <c r="C1115" s="50"/>
      <c r="D1115" s="50"/>
      <c r="E1115" s="64"/>
      <c r="F1115" s="78">
        <v>0.0</v>
      </c>
      <c r="G1115" s="44" t="str">
        <f t="shared" si="35"/>
        <v>$0 a $100'000.000</v>
      </c>
      <c r="H1115" s="44"/>
      <c r="I1115" s="44"/>
      <c r="J1115" s="50"/>
      <c r="K1115" s="51"/>
      <c r="L1115" s="44"/>
      <c r="M1115" s="44"/>
      <c r="N1115" s="44"/>
      <c r="O1115" s="44"/>
      <c r="P1115" s="44"/>
      <c r="Q1115" s="88">
        <v>0.0</v>
      </c>
      <c r="R1115" s="89">
        <v>0.0</v>
      </c>
      <c r="S1115" s="56" t="str">
        <f t="shared" si="34"/>
        <v> </v>
      </c>
      <c r="T1115" s="50"/>
      <c r="U1115" s="57"/>
      <c r="V1115" s="44"/>
      <c r="W1115" s="44"/>
      <c r="X1115" s="44"/>
      <c r="Y1115" s="44"/>
      <c r="Z1115" s="91"/>
      <c r="AA1115" s="59" t="str">
        <f>IF(Rentabilidad=0,"No aplica",TEXT(ROUND(Precio/Rentabilidad/12,0),0) &amp; " años")</f>
        <v>No aplica</v>
      </c>
      <c r="AB1115" s="212"/>
      <c r="AC1115" s="61"/>
      <c r="AD1115" s="107"/>
      <c r="AE1115" s="63"/>
      <c r="AF1115" s="64"/>
      <c r="AG1115" s="63"/>
      <c r="AH1115" s="63"/>
      <c r="AI1115" s="63"/>
      <c r="AJ1115" s="45"/>
      <c r="AK1115" s="50"/>
      <c r="AL1115" s="45"/>
      <c r="AM1115" s="44"/>
      <c r="AN1115" s="45"/>
      <c r="AO1115" s="52"/>
      <c r="AP1115" s="67"/>
      <c r="AQ1115" s="67"/>
      <c r="AR1115" s="67"/>
      <c r="AS1115" s="94"/>
      <c r="AT1115" s="63"/>
      <c r="AU1115" s="44"/>
      <c r="AV1115" s="44"/>
      <c r="AW1115" s="44"/>
      <c r="AX1115" s="44"/>
      <c r="AY1115" s="44"/>
      <c r="AZ1115" s="44"/>
      <c r="BA1115" s="43" t="s">
        <v>89</v>
      </c>
      <c r="BB1115" s="44"/>
      <c r="BC1115" s="95"/>
      <c r="BD1115" s="71"/>
      <c r="BE1115" s="71"/>
      <c r="BF1115" s="130"/>
      <c r="BG1115" s="73"/>
      <c r="BH1115" s="73"/>
      <c r="BI1115" s="73"/>
      <c r="BJ1115" s="73"/>
      <c r="BK1115" s="73"/>
      <c r="BL1115" s="73"/>
      <c r="BM1115" s="73"/>
      <c r="BN1115" s="73"/>
      <c r="BO1115" s="73"/>
      <c r="BP1115" s="73"/>
      <c r="BQ1115" s="73"/>
      <c r="BR1115" s="73"/>
      <c r="BS1115" s="73"/>
      <c r="BT1115" s="73"/>
      <c r="BU1115" s="73"/>
      <c r="BV1115" s="73"/>
      <c r="BW1115" s="74"/>
      <c r="BX1115" s="74"/>
      <c r="BY1115" s="63"/>
      <c r="BZ1115" s="63"/>
    </row>
    <row r="1116" ht="15.75" customHeight="1">
      <c r="A1116" s="41"/>
      <c r="B1116" s="50"/>
      <c r="C1116" s="50"/>
      <c r="D1116" s="50"/>
      <c r="E1116" s="64"/>
      <c r="F1116" s="78">
        <v>0.0</v>
      </c>
      <c r="G1116" s="44" t="str">
        <f t="shared" si="35"/>
        <v>$0 a $100'000.000</v>
      </c>
      <c r="H1116" s="44"/>
      <c r="I1116" s="44"/>
      <c r="J1116" s="50"/>
      <c r="K1116" s="51"/>
      <c r="L1116" s="44"/>
      <c r="M1116" s="44"/>
      <c r="N1116" s="44"/>
      <c r="O1116" s="44"/>
      <c r="P1116" s="44"/>
      <c r="Q1116" s="88">
        <v>0.0</v>
      </c>
      <c r="R1116" s="89">
        <v>0.0</v>
      </c>
      <c r="S1116" s="56" t="str">
        <f t="shared" si="34"/>
        <v> </v>
      </c>
      <c r="T1116" s="50"/>
      <c r="U1116" s="57"/>
      <c r="V1116" s="44"/>
      <c r="W1116" s="44"/>
      <c r="X1116" s="44"/>
      <c r="Y1116" s="44"/>
      <c r="Z1116" s="91"/>
      <c r="AA1116" s="59" t="str">
        <f>IF(Rentabilidad=0,"No aplica",TEXT(ROUND(Precio/Rentabilidad/12,0),0) &amp; " años")</f>
        <v>No aplica</v>
      </c>
      <c r="AB1116" s="212"/>
      <c r="AC1116" s="61"/>
      <c r="AD1116" s="107"/>
      <c r="AE1116" s="63"/>
      <c r="AF1116" s="64"/>
      <c r="AG1116" s="63"/>
      <c r="AH1116" s="63"/>
      <c r="AI1116" s="63"/>
      <c r="AJ1116" s="45"/>
      <c r="AK1116" s="50"/>
      <c r="AL1116" s="45"/>
      <c r="AM1116" s="44"/>
      <c r="AN1116" s="45"/>
      <c r="AO1116" s="52"/>
      <c r="AP1116" s="67"/>
      <c r="AQ1116" s="67"/>
      <c r="AR1116" s="67"/>
      <c r="AS1116" s="94"/>
      <c r="AT1116" s="63"/>
      <c r="AU1116" s="44"/>
      <c r="AV1116" s="44"/>
      <c r="AW1116" s="44"/>
      <c r="AX1116" s="44"/>
      <c r="AY1116" s="44"/>
      <c r="AZ1116" s="44"/>
      <c r="BA1116" s="43" t="s">
        <v>89</v>
      </c>
      <c r="BB1116" s="44"/>
      <c r="BC1116" s="95"/>
      <c r="BD1116" s="71"/>
      <c r="BE1116" s="71"/>
      <c r="BF1116" s="130"/>
      <c r="BG1116" s="73"/>
      <c r="BH1116" s="73"/>
      <c r="BI1116" s="73"/>
      <c r="BJ1116" s="73"/>
      <c r="BK1116" s="73"/>
      <c r="BL1116" s="73"/>
      <c r="BM1116" s="73"/>
      <c r="BN1116" s="73"/>
      <c r="BO1116" s="73"/>
      <c r="BP1116" s="73"/>
      <c r="BQ1116" s="73"/>
      <c r="BR1116" s="73"/>
      <c r="BS1116" s="73"/>
      <c r="BT1116" s="73"/>
      <c r="BU1116" s="73"/>
      <c r="BV1116" s="73"/>
      <c r="BW1116" s="74"/>
      <c r="BX1116" s="74"/>
      <c r="BY1116" s="63"/>
      <c r="BZ1116" s="63"/>
    </row>
    <row r="1117" ht="15.75" customHeight="1">
      <c r="A1117" s="41"/>
      <c r="B1117" s="50"/>
      <c r="C1117" s="50"/>
      <c r="D1117" s="50"/>
      <c r="E1117" s="64"/>
      <c r="F1117" s="78">
        <v>0.0</v>
      </c>
      <c r="G1117" s="44" t="str">
        <f t="shared" si="35"/>
        <v>$0 a $100'000.000</v>
      </c>
      <c r="H1117" s="44"/>
      <c r="I1117" s="44"/>
      <c r="J1117" s="50"/>
      <c r="K1117" s="51"/>
      <c r="L1117" s="44"/>
      <c r="M1117" s="44"/>
      <c r="N1117" s="44"/>
      <c r="O1117" s="44"/>
      <c r="P1117" s="44"/>
      <c r="Q1117" s="88">
        <v>0.0</v>
      </c>
      <c r="R1117" s="89">
        <v>0.0</v>
      </c>
      <c r="S1117" s="56" t="str">
        <f t="shared" si="34"/>
        <v> </v>
      </c>
      <c r="T1117" s="50"/>
      <c r="U1117" s="57"/>
      <c r="V1117" s="44"/>
      <c r="W1117" s="44"/>
      <c r="X1117" s="44"/>
      <c r="Y1117" s="44"/>
      <c r="Z1117" s="91"/>
      <c r="AA1117" s="59" t="str">
        <f>IF(Rentabilidad=0,"No aplica",TEXT(ROUND(Precio/Rentabilidad/12,0),0) &amp; " años")</f>
        <v>No aplica</v>
      </c>
      <c r="AB1117" s="212"/>
      <c r="AC1117" s="61"/>
      <c r="AD1117" s="107"/>
      <c r="AE1117" s="63"/>
      <c r="AF1117" s="64"/>
      <c r="AG1117" s="63"/>
      <c r="AH1117" s="63"/>
      <c r="AI1117" s="63"/>
      <c r="AJ1117" s="45"/>
      <c r="AK1117" s="50"/>
      <c r="AL1117" s="45"/>
      <c r="AM1117" s="44"/>
      <c r="AN1117" s="45"/>
      <c r="AO1117" s="52"/>
      <c r="AP1117" s="67"/>
      <c r="AQ1117" s="67"/>
      <c r="AR1117" s="67"/>
      <c r="AS1117" s="94"/>
      <c r="AT1117" s="63"/>
      <c r="AU1117" s="44"/>
      <c r="AV1117" s="44"/>
      <c r="AW1117" s="44"/>
      <c r="AX1117" s="44"/>
      <c r="AY1117" s="44"/>
      <c r="AZ1117" s="44"/>
      <c r="BA1117" s="43" t="s">
        <v>89</v>
      </c>
      <c r="BB1117" s="44"/>
      <c r="BC1117" s="95"/>
      <c r="BD1117" s="71"/>
      <c r="BE1117" s="71"/>
      <c r="BF1117" s="130"/>
      <c r="BG1117" s="73"/>
      <c r="BH1117" s="73"/>
      <c r="BI1117" s="73"/>
      <c r="BJ1117" s="73"/>
      <c r="BK1117" s="73"/>
      <c r="BL1117" s="73"/>
      <c r="BM1117" s="73"/>
      <c r="BN1117" s="73"/>
      <c r="BO1117" s="73"/>
      <c r="BP1117" s="73"/>
      <c r="BQ1117" s="73"/>
      <c r="BR1117" s="73"/>
      <c r="BS1117" s="73"/>
      <c r="BT1117" s="73"/>
      <c r="BU1117" s="73"/>
      <c r="BV1117" s="73"/>
      <c r="BW1117" s="74"/>
      <c r="BX1117" s="74"/>
      <c r="BY1117" s="63"/>
      <c r="BZ1117" s="63"/>
    </row>
    <row r="1118" ht="15.75" customHeight="1">
      <c r="A1118" s="41"/>
      <c r="B1118" s="50"/>
      <c r="C1118" s="50"/>
      <c r="D1118" s="50"/>
      <c r="E1118" s="64"/>
      <c r="F1118" s="78">
        <v>0.0</v>
      </c>
      <c r="G1118" s="44" t="str">
        <f t="shared" si="35"/>
        <v>$0 a $100'000.000</v>
      </c>
      <c r="H1118" s="44"/>
      <c r="I1118" s="44"/>
      <c r="J1118" s="50"/>
      <c r="K1118" s="51"/>
      <c r="L1118" s="44"/>
      <c r="M1118" s="44"/>
      <c r="N1118" s="44"/>
      <c r="O1118" s="44"/>
      <c r="P1118" s="44"/>
      <c r="Q1118" s="88">
        <v>0.0</v>
      </c>
      <c r="R1118" s="89">
        <v>0.0</v>
      </c>
      <c r="S1118" s="56" t="str">
        <f t="shared" si="34"/>
        <v> </v>
      </c>
      <c r="T1118" s="50"/>
      <c r="U1118" s="57"/>
      <c r="V1118" s="44"/>
      <c r="W1118" s="44"/>
      <c r="X1118" s="44"/>
      <c r="Y1118" s="44"/>
      <c r="Z1118" s="91"/>
      <c r="AA1118" s="59" t="str">
        <f>IF(Rentabilidad=0,"No aplica",TEXT(ROUND(Precio/Rentabilidad/12,0),0) &amp; " años")</f>
        <v>No aplica</v>
      </c>
      <c r="AB1118" s="212"/>
      <c r="AC1118" s="61"/>
      <c r="AD1118" s="107"/>
      <c r="AE1118" s="63"/>
      <c r="AF1118" s="64"/>
      <c r="AG1118" s="63"/>
      <c r="AH1118" s="63"/>
      <c r="AI1118" s="63"/>
      <c r="AJ1118" s="45"/>
      <c r="AK1118" s="50"/>
      <c r="AL1118" s="45"/>
      <c r="AM1118" s="44"/>
      <c r="AN1118" s="45"/>
      <c r="AO1118" s="52"/>
      <c r="AP1118" s="67"/>
      <c r="AQ1118" s="67"/>
      <c r="AR1118" s="67"/>
      <c r="AS1118" s="94"/>
      <c r="AT1118" s="63"/>
      <c r="AU1118" s="44"/>
      <c r="AV1118" s="44"/>
      <c r="AW1118" s="44"/>
      <c r="AX1118" s="44"/>
      <c r="AY1118" s="44"/>
      <c r="AZ1118" s="44"/>
      <c r="BA1118" s="43" t="s">
        <v>89</v>
      </c>
      <c r="BB1118" s="44"/>
      <c r="BC1118" s="95"/>
      <c r="BD1118" s="71"/>
      <c r="BE1118" s="71"/>
      <c r="BF1118" s="130"/>
      <c r="BG1118" s="73"/>
      <c r="BH1118" s="73"/>
      <c r="BI1118" s="73"/>
      <c r="BJ1118" s="73"/>
      <c r="BK1118" s="73"/>
      <c r="BL1118" s="73"/>
      <c r="BM1118" s="73"/>
      <c r="BN1118" s="73"/>
      <c r="BO1118" s="73"/>
      <c r="BP1118" s="73"/>
      <c r="BQ1118" s="73"/>
      <c r="BR1118" s="73"/>
      <c r="BS1118" s="73"/>
      <c r="BT1118" s="73"/>
      <c r="BU1118" s="73"/>
      <c r="BV1118" s="73"/>
      <c r="BW1118" s="74"/>
      <c r="BX1118" s="74"/>
      <c r="BY1118" s="63"/>
      <c r="BZ1118" s="63"/>
    </row>
    <row r="1119" ht="15.75" customHeight="1">
      <c r="A1119" s="41"/>
      <c r="B1119" s="50"/>
      <c r="C1119" s="50"/>
      <c r="D1119" s="50"/>
      <c r="E1119" s="64"/>
      <c r="F1119" s="78">
        <v>0.0</v>
      </c>
      <c r="G1119" s="44" t="str">
        <f t="shared" si="35"/>
        <v>$0 a $100'000.000</v>
      </c>
      <c r="H1119" s="44"/>
      <c r="I1119" s="44"/>
      <c r="J1119" s="50"/>
      <c r="K1119" s="51"/>
      <c r="L1119" s="44"/>
      <c r="M1119" s="44"/>
      <c r="N1119" s="44"/>
      <c r="O1119" s="44"/>
      <c r="P1119" s="44"/>
      <c r="Q1119" s="88">
        <v>0.0</v>
      </c>
      <c r="R1119" s="89">
        <v>0.0</v>
      </c>
      <c r="S1119" s="56" t="str">
        <f t="shared" si="34"/>
        <v> </v>
      </c>
      <c r="T1119" s="50"/>
      <c r="U1119" s="57"/>
      <c r="V1119" s="44"/>
      <c r="W1119" s="44"/>
      <c r="X1119" s="44"/>
      <c r="Y1119" s="44"/>
      <c r="Z1119" s="91"/>
      <c r="AA1119" s="59" t="str">
        <f>IF(Rentabilidad=0,"No aplica",TEXT(ROUND(Precio/Rentabilidad/12,0),0) &amp; " años")</f>
        <v>No aplica</v>
      </c>
      <c r="AB1119" s="212"/>
      <c r="AC1119" s="61"/>
      <c r="AD1119" s="107"/>
      <c r="AE1119" s="63"/>
      <c r="AF1119" s="64"/>
      <c r="AG1119" s="63"/>
      <c r="AH1119" s="63"/>
      <c r="AI1119" s="63"/>
      <c r="AJ1119" s="45"/>
      <c r="AK1119" s="50"/>
      <c r="AL1119" s="45"/>
      <c r="AM1119" s="44"/>
      <c r="AN1119" s="45"/>
      <c r="AO1119" s="52"/>
      <c r="AP1119" s="67"/>
      <c r="AQ1119" s="67"/>
      <c r="AR1119" s="67"/>
      <c r="AS1119" s="94"/>
      <c r="AT1119" s="63"/>
      <c r="AU1119" s="44"/>
      <c r="AV1119" s="44"/>
      <c r="AW1119" s="44"/>
      <c r="AX1119" s="44"/>
      <c r="AY1119" s="44"/>
      <c r="AZ1119" s="44"/>
      <c r="BA1119" s="43" t="s">
        <v>89</v>
      </c>
      <c r="BB1119" s="44"/>
      <c r="BC1119" s="95"/>
      <c r="BD1119" s="71"/>
      <c r="BE1119" s="71"/>
      <c r="BF1119" s="130"/>
      <c r="BG1119" s="73"/>
      <c r="BH1119" s="73"/>
      <c r="BI1119" s="73"/>
      <c r="BJ1119" s="73"/>
      <c r="BK1119" s="73"/>
      <c r="BL1119" s="73"/>
      <c r="BM1119" s="73"/>
      <c r="BN1119" s="73"/>
      <c r="BO1119" s="73"/>
      <c r="BP1119" s="73"/>
      <c r="BQ1119" s="73"/>
      <c r="BR1119" s="73"/>
      <c r="BS1119" s="73"/>
      <c r="BT1119" s="73"/>
      <c r="BU1119" s="73"/>
      <c r="BV1119" s="73"/>
      <c r="BW1119" s="74"/>
      <c r="BX1119" s="74"/>
      <c r="BY1119" s="63"/>
      <c r="BZ1119" s="63"/>
    </row>
    <row r="1120" ht="15.75" customHeight="1">
      <c r="A1120" s="41"/>
      <c r="B1120" s="50"/>
      <c r="C1120" s="50"/>
      <c r="D1120" s="50"/>
      <c r="E1120" s="64"/>
      <c r="F1120" s="78">
        <v>0.0</v>
      </c>
      <c r="G1120" s="44" t="str">
        <f t="shared" si="35"/>
        <v>$0 a $100'000.000</v>
      </c>
      <c r="H1120" s="44"/>
      <c r="I1120" s="44"/>
      <c r="J1120" s="50"/>
      <c r="K1120" s="51"/>
      <c r="L1120" s="44"/>
      <c r="M1120" s="44"/>
      <c r="N1120" s="44"/>
      <c r="O1120" s="44"/>
      <c r="P1120" s="44"/>
      <c r="Q1120" s="88">
        <v>0.0</v>
      </c>
      <c r="R1120" s="89">
        <v>0.0</v>
      </c>
      <c r="S1120" s="56" t="str">
        <f t="shared" si="34"/>
        <v> </v>
      </c>
      <c r="T1120" s="50"/>
      <c r="U1120" s="57"/>
      <c r="V1120" s="44"/>
      <c r="W1120" s="44"/>
      <c r="X1120" s="44"/>
      <c r="Y1120" s="44"/>
      <c r="Z1120" s="91"/>
      <c r="AA1120" s="59" t="str">
        <f>IF(Rentabilidad=0,"No aplica",TEXT(ROUND(Precio/Rentabilidad/12,0),0) &amp; " años")</f>
        <v>No aplica</v>
      </c>
      <c r="AB1120" s="212"/>
      <c r="AC1120" s="61"/>
      <c r="AD1120" s="107"/>
      <c r="AE1120" s="63"/>
      <c r="AF1120" s="64"/>
      <c r="AG1120" s="63"/>
      <c r="AH1120" s="63"/>
      <c r="AI1120" s="63"/>
      <c r="AJ1120" s="45"/>
      <c r="AK1120" s="50"/>
      <c r="AL1120" s="45"/>
      <c r="AM1120" s="44"/>
      <c r="AN1120" s="45"/>
      <c r="AO1120" s="52"/>
      <c r="AP1120" s="67"/>
      <c r="AQ1120" s="67"/>
      <c r="AR1120" s="67"/>
      <c r="AS1120" s="94"/>
      <c r="AT1120" s="63"/>
      <c r="AU1120" s="44"/>
      <c r="AV1120" s="44"/>
      <c r="AW1120" s="44"/>
      <c r="AX1120" s="44"/>
      <c r="AY1120" s="44"/>
      <c r="AZ1120" s="44"/>
      <c r="BA1120" s="43" t="s">
        <v>89</v>
      </c>
      <c r="BB1120" s="44"/>
      <c r="BC1120" s="95"/>
      <c r="BD1120" s="71"/>
      <c r="BE1120" s="71"/>
      <c r="BF1120" s="130"/>
      <c r="BG1120" s="73"/>
      <c r="BH1120" s="73"/>
      <c r="BI1120" s="73"/>
      <c r="BJ1120" s="73"/>
      <c r="BK1120" s="73"/>
      <c r="BL1120" s="73"/>
      <c r="BM1120" s="73"/>
      <c r="BN1120" s="73"/>
      <c r="BO1120" s="73"/>
      <c r="BP1120" s="73"/>
      <c r="BQ1120" s="73"/>
      <c r="BR1120" s="73"/>
      <c r="BS1120" s="73"/>
      <c r="BT1120" s="73"/>
      <c r="BU1120" s="73"/>
      <c r="BV1120" s="73"/>
      <c r="BW1120" s="74"/>
      <c r="BX1120" s="74"/>
      <c r="BY1120" s="63"/>
      <c r="BZ1120" s="63"/>
    </row>
    <row r="1121" ht="15.75" customHeight="1">
      <c r="A1121" s="41"/>
      <c r="B1121" s="50"/>
      <c r="C1121" s="50"/>
      <c r="D1121" s="50"/>
      <c r="E1121" s="64"/>
      <c r="F1121" s="78">
        <v>0.0</v>
      </c>
      <c r="G1121" s="44" t="str">
        <f t="shared" si="35"/>
        <v>$0 a $100'000.000</v>
      </c>
      <c r="H1121" s="44"/>
      <c r="I1121" s="44"/>
      <c r="J1121" s="50"/>
      <c r="K1121" s="51"/>
      <c r="L1121" s="44"/>
      <c r="M1121" s="44"/>
      <c r="N1121" s="44"/>
      <c r="O1121" s="44"/>
      <c r="P1121" s="44"/>
      <c r="Q1121" s="88">
        <v>0.0</v>
      </c>
      <c r="R1121" s="89">
        <v>0.0</v>
      </c>
      <c r="S1121" s="56" t="str">
        <f t="shared" si="34"/>
        <v> </v>
      </c>
      <c r="T1121" s="50"/>
      <c r="U1121" s="57"/>
      <c r="V1121" s="44"/>
      <c r="W1121" s="44"/>
      <c r="X1121" s="44"/>
      <c r="Y1121" s="44"/>
      <c r="Z1121" s="91"/>
      <c r="AA1121" s="59" t="str">
        <f>IF(Rentabilidad=0,"No aplica",TEXT(ROUND(Precio/Rentabilidad/12,0),0) &amp; " años")</f>
        <v>No aplica</v>
      </c>
      <c r="AB1121" s="212"/>
      <c r="AC1121" s="61"/>
      <c r="AD1121" s="107"/>
      <c r="AE1121" s="63"/>
      <c r="AF1121" s="64"/>
      <c r="AG1121" s="63"/>
      <c r="AH1121" s="63"/>
      <c r="AI1121" s="63"/>
      <c r="AJ1121" s="45"/>
      <c r="AK1121" s="50"/>
      <c r="AL1121" s="45"/>
      <c r="AM1121" s="44"/>
      <c r="AN1121" s="45"/>
      <c r="AO1121" s="52"/>
      <c r="AP1121" s="67"/>
      <c r="AQ1121" s="67"/>
      <c r="AR1121" s="67"/>
      <c r="AS1121" s="94"/>
      <c r="AT1121" s="63"/>
      <c r="AU1121" s="44"/>
      <c r="AV1121" s="44"/>
      <c r="AW1121" s="44"/>
      <c r="AX1121" s="44"/>
      <c r="AY1121" s="44"/>
      <c r="AZ1121" s="44"/>
      <c r="BA1121" s="43" t="s">
        <v>89</v>
      </c>
      <c r="BB1121" s="44"/>
      <c r="BC1121" s="95"/>
      <c r="BD1121" s="71"/>
      <c r="BE1121" s="71"/>
      <c r="BF1121" s="130"/>
      <c r="BG1121" s="73"/>
      <c r="BH1121" s="73"/>
      <c r="BI1121" s="73"/>
      <c r="BJ1121" s="73"/>
      <c r="BK1121" s="73"/>
      <c r="BL1121" s="73"/>
      <c r="BM1121" s="73"/>
      <c r="BN1121" s="73"/>
      <c r="BO1121" s="73"/>
      <c r="BP1121" s="73"/>
      <c r="BQ1121" s="73"/>
      <c r="BR1121" s="73"/>
      <c r="BS1121" s="73"/>
      <c r="BT1121" s="73"/>
      <c r="BU1121" s="73"/>
      <c r="BV1121" s="73"/>
      <c r="BW1121" s="74"/>
      <c r="BX1121" s="74"/>
      <c r="BY1121" s="63"/>
      <c r="BZ1121" s="63"/>
    </row>
    <row r="1122" ht="15.75" customHeight="1">
      <c r="A1122" s="41"/>
      <c r="B1122" s="50"/>
      <c r="C1122" s="50"/>
      <c r="D1122" s="50"/>
      <c r="E1122" s="64"/>
      <c r="F1122" s="78">
        <v>0.0</v>
      </c>
      <c r="G1122" s="44" t="str">
        <f t="shared" si="35"/>
        <v>$0 a $100'000.000</v>
      </c>
      <c r="H1122" s="44"/>
      <c r="I1122" s="44"/>
      <c r="J1122" s="50"/>
      <c r="K1122" s="51"/>
      <c r="L1122" s="44"/>
      <c r="M1122" s="44"/>
      <c r="N1122" s="44"/>
      <c r="O1122" s="44"/>
      <c r="P1122" s="44"/>
      <c r="Q1122" s="88">
        <v>0.0</v>
      </c>
      <c r="R1122" s="89">
        <v>0.0</v>
      </c>
      <c r="S1122" s="56" t="str">
        <f t="shared" si="34"/>
        <v> </v>
      </c>
      <c r="T1122" s="50"/>
      <c r="U1122" s="57"/>
      <c r="V1122" s="44"/>
      <c r="W1122" s="44"/>
      <c r="X1122" s="44"/>
      <c r="Y1122" s="44"/>
      <c r="Z1122" s="91"/>
      <c r="AA1122" s="59" t="str">
        <f>IF(Rentabilidad=0,"No aplica",TEXT(ROUND(Precio/Rentabilidad/12,0),0) &amp; " años")</f>
        <v>No aplica</v>
      </c>
      <c r="AB1122" s="212"/>
      <c r="AC1122" s="61"/>
      <c r="AD1122" s="107"/>
      <c r="AE1122" s="63"/>
      <c r="AF1122" s="64"/>
      <c r="AG1122" s="63"/>
      <c r="AH1122" s="63"/>
      <c r="AI1122" s="63"/>
      <c r="AJ1122" s="45"/>
      <c r="AK1122" s="50"/>
      <c r="AL1122" s="45"/>
      <c r="AM1122" s="44"/>
      <c r="AN1122" s="45"/>
      <c r="AO1122" s="52"/>
      <c r="AP1122" s="67"/>
      <c r="AQ1122" s="67"/>
      <c r="AR1122" s="67"/>
      <c r="AS1122" s="94"/>
      <c r="AT1122" s="63"/>
      <c r="AU1122" s="44"/>
      <c r="AV1122" s="44"/>
      <c r="AW1122" s="44"/>
      <c r="AX1122" s="44"/>
      <c r="AY1122" s="44"/>
      <c r="AZ1122" s="44"/>
      <c r="BA1122" s="43" t="s">
        <v>89</v>
      </c>
      <c r="BB1122" s="44"/>
      <c r="BC1122" s="95"/>
      <c r="BD1122" s="71"/>
      <c r="BE1122" s="71"/>
      <c r="BF1122" s="130"/>
      <c r="BG1122" s="73"/>
      <c r="BH1122" s="73"/>
      <c r="BI1122" s="73"/>
      <c r="BJ1122" s="73"/>
      <c r="BK1122" s="73"/>
      <c r="BL1122" s="73"/>
      <c r="BM1122" s="73"/>
      <c r="BN1122" s="73"/>
      <c r="BO1122" s="73"/>
      <c r="BP1122" s="73"/>
      <c r="BQ1122" s="73"/>
      <c r="BR1122" s="73"/>
      <c r="BS1122" s="73"/>
      <c r="BT1122" s="73"/>
      <c r="BU1122" s="73"/>
      <c r="BV1122" s="73"/>
      <c r="BW1122" s="74"/>
      <c r="BX1122" s="74"/>
      <c r="BY1122" s="63"/>
      <c r="BZ1122" s="63"/>
    </row>
    <row r="1123" ht="15.75" customHeight="1">
      <c r="A1123" s="41"/>
      <c r="B1123" s="50"/>
      <c r="C1123" s="50"/>
      <c r="D1123" s="50"/>
      <c r="E1123" s="64"/>
      <c r="F1123" s="78">
        <v>0.0</v>
      </c>
      <c r="G1123" s="44" t="str">
        <f t="shared" si="35"/>
        <v>$0 a $100'000.000</v>
      </c>
      <c r="H1123" s="44"/>
      <c r="I1123" s="44"/>
      <c r="J1123" s="50"/>
      <c r="K1123" s="51"/>
      <c r="L1123" s="44"/>
      <c r="M1123" s="44"/>
      <c r="N1123" s="44"/>
      <c r="O1123" s="44"/>
      <c r="P1123" s="44"/>
      <c r="Q1123" s="88">
        <v>0.0</v>
      </c>
      <c r="R1123" s="89">
        <v>0.0</v>
      </c>
      <c r="S1123" s="56" t="str">
        <f t="shared" si="34"/>
        <v> </v>
      </c>
      <c r="T1123" s="50"/>
      <c r="U1123" s="57"/>
      <c r="V1123" s="44"/>
      <c r="W1123" s="44"/>
      <c r="X1123" s="44"/>
      <c r="Y1123" s="44"/>
      <c r="Z1123" s="91"/>
      <c r="AA1123" s="59" t="str">
        <f>IF(Rentabilidad=0,"No aplica",TEXT(ROUND(Precio/Rentabilidad/12,0),0) &amp; " años")</f>
        <v>No aplica</v>
      </c>
      <c r="AB1123" s="212"/>
      <c r="AC1123" s="61"/>
      <c r="AD1123" s="107"/>
      <c r="AE1123" s="63"/>
      <c r="AF1123" s="64"/>
      <c r="AG1123" s="63"/>
      <c r="AH1123" s="63"/>
      <c r="AI1123" s="63"/>
      <c r="AJ1123" s="45"/>
      <c r="AK1123" s="50"/>
      <c r="AL1123" s="45"/>
      <c r="AM1123" s="44"/>
      <c r="AN1123" s="45"/>
      <c r="AO1123" s="52"/>
      <c r="AP1123" s="67"/>
      <c r="AQ1123" s="67"/>
      <c r="AR1123" s="67"/>
      <c r="AS1123" s="94"/>
      <c r="AT1123" s="63"/>
      <c r="AU1123" s="44"/>
      <c r="AV1123" s="44"/>
      <c r="AW1123" s="44"/>
      <c r="AX1123" s="44"/>
      <c r="AY1123" s="44"/>
      <c r="AZ1123" s="44"/>
      <c r="BA1123" s="43" t="s">
        <v>89</v>
      </c>
      <c r="BB1123" s="44"/>
      <c r="BC1123" s="95"/>
      <c r="BD1123" s="71"/>
      <c r="BE1123" s="71"/>
      <c r="BF1123" s="130"/>
      <c r="BG1123" s="73"/>
      <c r="BH1123" s="73"/>
      <c r="BI1123" s="73"/>
      <c r="BJ1123" s="73"/>
      <c r="BK1123" s="73"/>
      <c r="BL1123" s="73"/>
      <c r="BM1123" s="73"/>
      <c r="BN1123" s="73"/>
      <c r="BO1123" s="73"/>
      <c r="BP1123" s="73"/>
      <c r="BQ1123" s="73"/>
      <c r="BR1123" s="73"/>
      <c r="BS1123" s="73"/>
      <c r="BT1123" s="73"/>
      <c r="BU1123" s="73"/>
      <c r="BV1123" s="73"/>
      <c r="BW1123" s="74"/>
      <c r="BX1123" s="74"/>
      <c r="BY1123" s="63"/>
      <c r="BZ1123" s="63"/>
    </row>
    <row r="1124" ht="15.75" customHeight="1">
      <c r="A1124" s="41"/>
      <c r="B1124" s="50"/>
      <c r="C1124" s="50"/>
      <c r="D1124" s="50"/>
      <c r="E1124" s="64"/>
      <c r="F1124" s="78">
        <v>0.0</v>
      </c>
      <c r="G1124" s="44" t="str">
        <f t="shared" si="35"/>
        <v>$0 a $100'000.000</v>
      </c>
      <c r="H1124" s="44"/>
      <c r="I1124" s="44"/>
      <c r="J1124" s="50"/>
      <c r="K1124" s="51"/>
      <c r="L1124" s="44"/>
      <c r="M1124" s="44"/>
      <c r="N1124" s="44"/>
      <c r="O1124" s="44"/>
      <c r="P1124" s="44"/>
      <c r="Q1124" s="88">
        <v>0.0</v>
      </c>
      <c r="R1124" s="89">
        <v>0.0</v>
      </c>
      <c r="S1124" s="56" t="str">
        <f t="shared" si="34"/>
        <v> </v>
      </c>
      <c r="T1124" s="50"/>
      <c r="U1124" s="57"/>
      <c r="V1124" s="44"/>
      <c r="W1124" s="44"/>
      <c r="X1124" s="44"/>
      <c r="Y1124" s="44"/>
      <c r="Z1124" s="91"/>
      <c r="AA1124" s="59" t="str">
        <f>IF(Rentabilidad=0,"No aplica",TEXT(ROUND(Precio/Rentabilidad/12,0),0) &amp; " años")</f>
        <v>No aplica</v>
      </c>
      <c r="AB1124" s="212"/>
      <c r="AC1124" s="61"/>
      <c r="AD1124" s="107"/>
      <c r="AE1124" s="63"/>
      <c r="AF1124" s="64"/>
      <c r="AG1124" s="63"/>
      <c r="AH1124" s="63"/>
      <c r="AI1124" s="63"/>
      <c r="AJ1124" s="45"/>
      <c r="AK1124" s="50"/>
      <c r="AL1124" s="45"/>
      <c r="AM1124" s="44"/>
      <c r="AN1124" s="45"/>
      <c r="AO1124" s="52"/>
      <c r="AP1124" s="67"/>
      <c r="AQ1124" s="67"/>
      <c r="AR1124" s="67"/>
      <c r="AS1124" s="94"/>
      <c r="AT1124" s="63"/>
      <c r="AU1124" s="44"/>
      <c r="AV1124" s="44"/>
      <c r="AW1124" s="44"/>
      <c r="AX1124" s="44"/>
      <c r="AY1124" s="44"/>
      <c r="AZ1124" s="44"/>
      <c r="BA1124" s="43" t="s">
        <v>89</v>
      </c>
      <c r="BB1124" s="44"/>
      <c r="BC1124" s="95"/>
      <c r="BD1124" s="71"/>
      <c r="BE1124" s="71"/>
      <c r="BF1124" s="130"/>
      <c r="BG1124" s="73"/>
      <c r="BH1124" s="73"/>
      <c r="BI1124" s="73"/>
      <c r="BJ1124" s="73"/>
      <c r="BK1124" s="73"/>
      <c r="BL1124" s="73"/>
      <c r="BM1124" s="73"/>
      <c r="BN1124" s="73"/>
      <c r="BO1124" s="73"/>
      <c r="BP1124" s="73"/>
      <c r="BQ1124" s="73"/>
      <c r="BR1124" s="73"/>
      <c r="BS1124" s="73"/>
      <c r="BT1124" s="73"/>
      <c r="BU1124" s="73"/>
      <c r="BV1124" s="73"/>
      <c r="BW1124" s="74"/>
      <c r="BX1124" s="74"/>
      <c r="BY1124" s="63"/>
      <c r="BZ1124" s="63"/>
    </row>
    <row r="1125" ht="15.75" customHeight="1">
      <c r="A1125" s="41"/>
      <c r="B1125" s="50"/>
      <c r="C1125" s="50"/>
      <c r="D1125" s="50"/>
      <c r="E1125" s="64"/>
      <c r="F1125" s="78">
        <v>0.0</v>
      </c>
      <c r="G1125" s="44" t="str">
        <f t="shared" si="35"/>
        <v>$0 a $100'000.000</v>
      </c>
      <c r="H1125" s="44"/>
      <c r="I1125" s="44"/>
      <c r="J1125" s="50"/>
      <c r="K1125" s="51"/>
      <c r="L1125" s="44"/>
      <c r="M1125" s="44"/>
      <c r="N1125" s="44"/>
      <c r="O1125" s="44"/>
      <c r="P1125" s="44"/>
      <c r="Q1125" s="88">
        <v>0.0</v>
      </c>
      <c r="R1125" s="89">
        <v>0.0</v>
      </c>
      <c r="S1125" s="56" t="str">
        <f t="shared" si="34"/>
        <v> </v>
      </c>
      <c r="T1125" s="50"/>
      <c r="U1125" s="57"/>
      <c r="V1125" s="44"/>
      <c r="W1125" s="44"/>
      <c r="X1125" s="44"/>
      <c r="Y1125" s="44"/>
      <c r="Z1125" s="91"/>
      <c r="AA1125" s="59" t="str">
        <f>IF(Rentabilidad=0,"No aplica",TEXT(ROUND(Precio/Rentabilidad/12,0),0) &amp; " años")</f>
        <v>No aplica</v>
      </c>
      <c r="AB1125" s="212"/>
      <c r="AC1125" s="61"/>
      <c r="AD1125" s="107"/>
      <c r="AE1125" s="63"/>
      <c r="AF1125" s="64"/>
      <c r="AG1125" s="63"/>
      <c r="AH1125" s="63"/>
      <c r="AI1125" s="63"/>
      <c r="AJ1125" s="45"/>
      <c r="AK1125" s="50"/>
      <c r="AL1125" s="45"/>
      <c r="AM1125" s="44"/>
      <c r="AN1125" s="45"/>
      <c r="AO1125" s="52"/>
      <c r="AP1125" s="67"/>
      <c r="AQ1125" s="67"/>
      <c r="AR1125" s="67"/>
      <c r="AS1125" s="94"/>
      <c r="AT1125" s="63"/>
      <c r="AU1125" s="44"/>
      <c r="AV1125" s="44"/>
      <c r="AW1125" s="44"/>
      <c r="AX1125" s="44"/>
      <c r="AY1125" s="44"/>
      <c r="AZ1125" s="44"/>
      <c r="BA1125" s="43" t="s">
        <v>89</v>
      </c>
      <c r="BB1125" s="44"/>
      <c r="BC1125" s="95"/>
      <c r="BD1125" s="71"/>
      <c r="BE1125" s="71"/>
      <c r="BF1125" s="130"/>
      <c r="BG1125" s="73"/>
      <c r="BH1125" s="73"/>
      <c r="BI1125" s="73"/>
      <c r="BJ1125" s="73"/>
      <c r="BK1125" s="73"/>
      <c r="BL1125" s="73"/>
      <c r="BM1125" s="73"/>
      <c r="BN1125" s="73"/>
      <c r="BO1125" s="73"/>
      <c r="BP1125" s="73"/>
      <c r="BQ1125" s="73"/>
      <c r="BR1125" s="73"/>
      <c r="BS1125" s="73"/>
      <c r="BT1125" s="73"/>
      <c r="BU1125" s="73"/>
      <c r="BV1125" s="73"/>
      <c r="BW1125" s="74"/>
      <c r="BX1125" s="74"/>
      <c r="BY1125" s="63"/>
      <c r="BZ1125" s="63"/>
    </row>
    <row r="1126" ht="15.75" customHeight="1">
      <c r="A1126" s="41"/>
      <c r="B1126" s="50"/>
      <c r="C1126" s="50"/>
      <c r="D1126" s="50"/>
      <c r="E1126" s="64"/>
      <c r="F1126" s="78">
        <v>0.0</v>
      </c>
      <c r="G1126" s="44" t="str">
        <f t="shared" si="35"/>
        <v>$0 a $100'000.000</v>
      </c>
      <c r="H1126" s="44"/>
      <c r="I1126" s="44"/>
      <c r="J1126" s="50"/>
      <c r="K1126" s="51"/>
      <c r="L1126" s="44"/>
      <c r="M1126" s="44"/>
      <c r="N1126" s="44"/>
      <c r="O1126" s="44"/>
      <c r="P1126" s="44"/>
      <c r="Q1126" s="88">
        <v>0.0</v>
      </c>
      <c r="R1126" s="89">
        <v>0.0</v>
      </c>
      <c r="S1126" s="56" t="str">
        <f t="shared" si="34"/>
        <v> </v>
      </c>
      <c r="T1126" s="50"/>
      <c r="U1126" s="57"/>
      <c r="V1126" s="44"/>
      <c r="W1126" s="44"/>
      <c r="X1126" s="44"/>
      <c r="Y1126" s="44"/>
      <c r="Z1126" s="91"/>
      <c r="AA1126" s="59" t="str">
        <f>IF(Rentabilidad=0,"No aplica",TEXT(ROUND(Precio/Rentabilidad/12,0),0) &amp; " años")</f>
        <v>No aplica</v>
      </c>
      <c r="AB1126" s="212"/>
      <c r="AC1126" s="61"/>
      <c r="AD1126" s="107"/>
      <c r="AE1126" s="63"/>
      <c r="AF1126" s="64"/>
      <c r="AG1126" s="63"/>
      <c r="AH1126" s="63"/>
      <c r="AI1126" s="63"/>
      <c r="AJ1126" s="45"/>
      <c r="AK1126" s="50"/>
      <c r="AL1126" s="45"/>
      <c r="AM1126" s="44"/>
      <c r="AN1126" s="45"/>
      <c r="AO1126" s="52"/>
      <c r="AP1126" s="67"/>
      <c r="AQ1126" s="67"/>
      <c r="AR1126" s="67"/>
      <c r="AS1126" s="94"/>
      <c r="AT1126" s="63"/>
      <c r="AU1126" s="44"/>
      <c r="AV1126" s="44"/>
      <c r="AW1126" s="44"/>
      <c r="AX1126" s="44"/>
      <c r="AY1126" s="44"/>
      <c r="AZ1126" s="44"/>
      <c r="BA1126" s="43" t="s">
        <v>89</v>
      </c>
      <c r="BB1126" s="44"/>
      <c r="BC1126" s="95"/>
      <c r="BD1126" s="71"/>
      <c r="BE1126" s="71"/>
      <c r="BF1126" s="130"/>
      <c r="BG1126" s="73"/>
      <c r="BH1126" s="73"/>
      <c r="BI1126" s="73"/>
      <c r="BJ1126" s="73"/>
      <c r="BK1126" s="73"/>
      <c r="BL1126" s="73"/>
      <c r="BM1126" s="73"/>
      <c r="BN1126" s="73"/>
      <c r="BO1126" s="73"/>
      <c r="BP1126" s="73"/>
      <c r="BQ1126" s="73"/>
      <c r="BR1126" s="73"/>
      <c r="BS1126" s="73"/>
      <c r="BT1126" s="73"/>
      <c r="BU1126" s="73"/>
      <c r="BV1126" s="73"/>
      <c r="BW1126" s="74"/>
      <c r="BX1126" s="74"/>
      <c r="BY1126" s="63"/>
      <c r="BZ1126" s="63"/>
    </row>
    <row r="1127" ht="15.75" customHeight="1">
      <c r="A1127" s="41"/>
      <c r="B1127" s="50"/>
      <c r="C1127" s="50"/>
      <c r="D1127" s="50"/>
      <c r="E1127" s="64"/>
      <c r="F1127" s="78">
        <v>0.0</v>
      </c>
      <c r="G1127" s="44" t="str">
        <f t="shared" si="35"/>
        <v>$0 a $100'000.000</v>
      </c>
      <c r="H1127" s="44"/>
      <c r="I1127" s="44"/>
      <c r="J1127" s="50"/>
      <c r="K1127" s="51"/>
      <c r="L1127" s="44"/>
      <c r="M1127" s="44"/>
      <c r="N1127" s="44"/>
      <c r="O1127" s="44"/>
      <c r="P1127" s="44"/>
      <c r="Q1127" s="88">
        <v>0.0</v>
      </c>
      <c r="R1127" s="89">
        <v>0.0</v>
      </c>
      <c r="S1127" s="56" t="str">
        <f t="shared" si="34"/>
        <v> </v>
      </c>
      <c r="T1127" s="50"/>
      <c r="U1127" s="57"/>
      <c r="V1127" s="44"/>
      <c r="W1127" s="44"/>
      <c r="X1127" s="44"/>
      <c r="Y1127" s="44"/>
      <c r="Z1127" s="91"/>
      <c r="AA1127" s="59" t="str">
        <f>IF(Rentabilidad=0,"No aplica",TEXT(ROUND(Precio/Rentabilidad/12,0),0) &amp; " años")</f>
        <v>No aplica</v>
      </c>
      <c r="AB1127" s="212"/>
      <c r="AC1127" s="61"/>
      <c r="AD1127" s="107"/>
      <c r="AE1127" s="63"/>
      <c r="AF1127" s="64"/>
      <c r="AG1127" s="63"/>
      <c r="AH1127" s="63"/>
      <c r="AI1127" s="63"/>
      <c r="AJ1127" s="45"/>
      <c r="AK1127" s="50"/>
      <c r="AL1127" s="45"/>
      <c r="AM1127" s="44"/>
      <c r="AN1127" s="45"/>
      <c r="AO1127" s="52"/>
      <c r="AP1127" s="67"/>
      <c r="AQ1127" s="67"/>
      <c r="AR1127" s="67"/>
      <c r="AS1127" s="94"/>
      <c r="AT1127" s="63"/>
      <c r="AU1127" s="44"/>
      <c r="AV1127" s="44"/>
      <c r="AW1127" s="44"/>
      <c r="AX1127" s="44"/>
      <c r="AY1127" s="44"/>
      <c r="AZ1127" s="44"/>
      <c r="BA1127" s="43" t="s">
        <v>89</v>
      </c>
      <c r="BB1127" s="44"/>
      <c r="BC1127" s="95"/>
      <c r="BD1127" s="71"/>
      <c r="BE1127" s="71"/>
      <c r="BF1127" s="130"/>
      <c r="BG1127" s="73"/>
      <c r="BH1127" s="73"/>
      <c r="BI1127" s="73"/>
      <c r="BJ1127" s="73"/>
      <c r="BK1127" s="73"/>
      <c r="BL1127" s="73"/>
      <c r="BM1127" s="73"/>
      <c r="BN1127" s="73"/>
      <c r="BO1127" s="73"/>
      <c r="BP1127" s="73"/>
      <c r="BQ1127" s="73"/>
      <c r="BR1127" s="73"/>
      <c r="BS1127" s="73"/>
      <c r="BT1127" s="73"/>
      <c r="BU1127" s="73"/>
      <c r="BV1127" s="73"/>
      <c r="BW1127" s="74"/>
      <c r="BX1127" s="74"/>
      <c r="BY1127" s="63"/>
      <c r="BZ1127" s="63"/>
    </row>
    <row r="1128" ht="15.75" customHeight="1">
      <c r="A1128" s="41"/>
      <c r="B1128" s="50"/>
      <c r="C1128" s="50"/>
      <c r="D1128" s="50"/>
      <c r="E1128" s="64"/>
      <c r="F1128" s="78">
        <v>0.0</v>
      </c>
      <c r="G1128" s="44" t="str">
        <f t="shared" si="35"/>
        <v>$0 a $100'000.000</v>
      </c>
      <c r="H1128" s="44"/>
      <c r="I1128" s="44"/>
      <c r="J1128" s="50"/>
      <c r="K1128" s="51"/>
      <c r="L1128" s="44"/>
      <c r="M1128" s="44"/>
      <c r="N1128" s="44"/>
      <c r="O1128" s="44"/>
      <c r="P1128" s="44"/>
      <c r="Q1128" s="88">
        <v>0.0</v>
      </c>
      <c r="R1128" s="89">
        <v>0.0</v>
      </c>
      <c r="S1128" s="56" t="str">
        <f t="shared" si="34"/>
        <v> </v>
      </c>
      <c r="T1128" s="50"/>
      <c r="U1128" s="57"/>
      <c r="V1128" s="44"/>
      <c r="W1128" s="44"/>
      <c r="X1128" s="44"/>
      <c r="Y1128" s="44"/>
      <c r="Z1128" s="91"/>
      <c r="AA1128" s="59" t="str">
        <f>IF(Rentabilidad=0,"No aplica",TEXT(ROUND(Precio/Rentabilidad/12,0),0) &amp; " años")</f>
        <v>No aplica</v>
      </c>
      <c r="AB1128" s="212"/>
      <c r="AC1128" s="61"/>
      <c r="AD1128" s="107"/>
      <c r="AE1128" s="63"/>
      <c r="AF1128" s="64"/>
      <c r="AG1128" s="63"/>
      <c r="AH1128" s="63"/>
      <c r="AI1128" s="63"/>
      <c r="AJ1128" s="45"/>
      <c r="AK1128" s="50"/>
      <c r="AL1128" s="45"/>
      <c r="AM1128" s="44"/>
      <c r="AN1128" s="45"/>
      <c r="AO1128" s="52"/>
      <c r="AP1128" s="67"/>
      <c r="AQ1128" s="67"/>
      <c r="AR1128" s="67"/>
      <c r="AS1128" s="94"/>
      <c r="AT1128" s="63"/>
      <c r="AU1128" s="44"/>
      <c r="AV1128" s="44"/>
      <c r="AW1128" s="44"/>
      <c r="AX1128" s="44"/>
      <c r="AY1128" s="44"/>
      <c r="AZ1128" s="44"/>
      <c r="BA1128" s="43" t="s">
        <v>89</v>
      </c>
      <c r="BB1128" s="44"/>
      <c r="BC1128" s="95"/>
      <c r="BD1128" s="71"/>
      <c r="BE1128" s="71"/>
      <c r="BF1128" s="130"/>
      <c r="BG1128" s="73"/>
      <c r="BH1128" s="73"/>
      <c r="BI1128" s="73"/>
      <c r="BJ1128" s="73"/>
      <c r="BK1128" s="73"/>
      <c r="BL1128" s="73"/>
      <c r="BM1128" s="73"/>
      <c r="BN1128" s="73"/>
      <c r="BO1128" s="73"/>
      <c r="BP1128" s="73"/>
      <c r="BQ1128" s="73"/>
      <c r="BR1128" s="73"/>
      <c r="BS1128" s="73"/>
      <c r="BT1128" s="73"/>
      <c r="BU1128" s="73"/>
      <c r="BV1128" s="73"/>
      <c r="BW1128" s="74"/>
      <c r="BX1128" s="74"/>
      <c r="BY1128" s="63"/>
      <c r="BZ1128" s="63"/>
    </row>
    <row r="1129" ht="15.75" customHeight="1">
      <c r="A1129" s="41"/>
      <c r="B1129" s="50"/>
      <c r="C1129" s="50"/>
      <c r="D1129" s="50"/>
      <c r="E1129" s="64"/>
      <c r="F1129" s="78">
        <v>0.0</v>
      </c>
      <c r="G1129" s="44" t="str">
        <f t="shared" si="35"/>
        <v>$0 a $100'000.000</v>
      </c>
      <c r="H1129" s="44"/>
      <c r="I1129" s="44"/>
      <c r="J1129" s="50"/>
      <c r="K1129" s="51"/>
      <c r="L1129" s="44"/>
      <c r="M1129" s="44"/>
      <c r="N1129" s="44"/>
      <c r="O1129" s="44"/>
      <c r="P1129" s="44"/>
      <c r="Q1129" s="88">
        <v>0.0</v>
      </c>
      <c r="R1129" s="89">
        <v>0.0</v>
      </c>
      <c r="S1129" s="56" t="str">
        <f t="shared" si="34"/>
        <v> </v>
      </c>
      <c r="T1129" s="50"/>
      <c r="U1129" s="57"/>
      <c r="V1129" s="44"/>
      <c r="W1129" s="44"/>
      <c r="X1129" s="44"/>
      <c r="Y1129" s="44"/>
      <c r="Z1129" s="91"/>
      <c r="AA1129" s="59" t="str">
        <f>IF(Rentabilidad=0,"No aplica",TEXT(ROUND(Precio/Rentabilidad/12,0),0) &amp; " años")</f>
        <v>No aplica</v>
      </c>
      <c r="AB1129" s="212"/>
      <c r="AC1129" s="61"/>
      <c r="AD1129" s="107"/>
      <c r="AE1129" s="63"/>
      <c r="AF1129" s="64"/>
      <c r="AG1129" s="63"/>
      <c r="AH1129" s="63"/>
      <c r="AI1129" s="63"/>
      <c r="AJ1129" s="45"/>
      <c r="AK1129" s="50"/>
      <c r="AL1129" s="45"/>
      <c r="AM1129" s="44"/>
      <c r="AN1129" s="45"/>
      <c r="AO1129" s="52"/>
      <c r="AP1129" s="67"/>
      <c r="AQ1129" s="67"/>
      <c r="AR1129" s="67"/>
      <c r="AS1129" s="94"/>
      <c r="AT1129" s="63"/>
      <c r="AU1129" s="44"/>
      <c r="AV1129" s="44"/>
      <c r="AW1129" s="44"/>
      <c r="AX1129" s="44"/>
      <c r="AY1129" s="44"/>
      <c r="AZ1129" s="44"/>
      <c r="BA1129" s="43" t="s">
        <v>89</v>
      </c>
      <c r="BB1129" s="44"/>
      <c r="BC1129" s="95"/>
      <c r="BD1129" s="71"/>
      <c r="BE1129" s="71"/>
      <c r="BF1129" s="130"/>
      <c r="BG1129" s="73"/>
      <c r="BH1129" s="73"/>
      <c r="BI1129" s="73"/>
      <c r="BJ1129" s="73"/>
      <c r="BK1129" s="73"/>
      <c r="BL1129" s="73"/>
      <c r="BM1129" s="73"/>
      <c r="BN1129" s="73"/>
      <c r="BO1129" s="73"/>
      <c r="BP1129" s="73"/>
      <c r="BQ1129" s="73"/>
      <c r="BR1129" s="73"/>
      <c r="BS1129" s="73"/>
      <c r="BT1129" s="73"/>
      <c r="BU1129" s="73"/>
      <c r="BV1129" s="73"/>
      <c r="BW1129" s="74"/>
      <c r="BX1129" s="74"/>
      <c r="BY1129" s="63"/>
      <c r="BZ1129" s="63"/>
    </row>
    <row r="1130" ht="15.75" customHeight="1">
      <c r="A1130" s="41"/>
      <c r="B1130" s="50"/>
      <c r="C1130" s="50"/>
      <c r="D1130" s="50"/>
      <c r="E1130" s="64"/>
      <c r="F1130" s="78">
        <v>0.0</v>
      </c>
      <c r="G1130" s="44" t="str">
        <f t="shared" si="35"/>
        <v>$0 a $100'000.000</v>
      </c>
      <c r="H1130" s="44"/>
      <c r="I1130" s="44"/>
      <c r="J1130" s="50"/>
      <c r="K1130" s="51"/>
      <c r="L1130" s="44"/>
      <c r="M1130" s="44"/>
      <c r="N1130" s="44"/>
      <c r="O1130" s="44"/>
      <c r="P1130" s="44"/>
      <c r="Q1130" s="88">
        <v>0.0</v>
      </c>
      <c r="R1130" s="89">
        <v>0.0</v>
      </c>
      <c r="S1130" s="56" t="str">
        <f t="shared" si="34"/>
        <v> </v>
      </c>
      <c r="T1130" s="50"/>
      <c r="U1130" s="57"/>
      <c r="V1130" s="44"/>
      <c r="W1130" s="44"/>
      <c r="X1130" s="44"/>
      <c r="Y1130" s="44"/>
      <c r="Z1130" s="91"/>
      <c r="AA1130" s="59" t="str">
        <f>IF(Rentabilidad=0,"No aplica",TEXT(ROUND(Precio/Rentabilidad/12,0),0) &amp; " años")</f>
        <v>No aplica</v>
      </c>
      <c r="AB1130" s="212"/>
      <c r="AC1130" s="61"/>
      <c r="AD1130" s="107"/>
      <c r="AE1130" s="63"/>
      <c r="AF1130" s="64"/>
      <c r="AG1130" s="63"/>
      <c r="AH1130" s="63"/>
      <c r="AI1130" s="63"/>
      <c r="AJ1130" s="45"/>
      <c r="AK1130" s="50"/>
      <c r="AL1130" s="45"/>
      <c r="AM1130" s="44"/>
      <c r="AN1130" s="45"/>
      <c r="AO1130" s="52"/>
      <c r="AP1130" s="67"/>
      <c r="AQ1130" s="67"/>
      <c r="AR1130" s="67"/>
      <c r="AS1130" s="94"/>
      <c r="AT1130" s="63"/>
      <c r="AU1130" s="44"/>
      <c r="AV1130" s="44"/>
      <c r="AW1130" s="44"/>
      <c r="AX1130" s="44"/>
      <c r="AY1130" s="44"/>
      <c r="AZ1130" s="44"/>
      <c r="BA1130" s="43" t="s">
        <v>89</v>
      </c>
      <c r="BB1130" s="44"/>
      <c r="BC1130" s="95"/>
      <c r="BD1130" s="71"/>
      <c r="BE1130" s="71"/>
      <c r="BF1130" s="130"/>
      <c r="BG1130" s="73"/>
      <c r="BH1130" s="73"/>
      <c r="BI1130" s="73"/>
      <c r="BJ1130" s="73"/>
      <c r="BK1130" s="73"/>
      <c r="BL1130" s="73"/>
      <c r="BM1130" s="73"/>
      <c r="BN1130" s="73"/>
      <c r="BO1130" s="73"/>
      <c r="BP1130" s="73"/>
      <c r="BQ1130" s="73"/>
      <c r="BR1130" s="73"/>
      <c r="BS1130" s="73"/>
      <c r="BT1130" s="73"/>
      <c r="BU1130" s="73"/>
      <c r="BV1130" s="73"/>
      <c r="BW1130" s="74"/>
      <c r="BX1130" s="74"/>
      <c r="BY1130" s="63"/>
      <c r="BZ1130" s="63"/>
    </row>
    <row r="1131" ht="15.75" customHeight="1">
      <c r="A1131" s="41"/>
      <c r="B1131" s="50"/>
      <c r="C1131" s="50"/>
      <c r="D1131" s="50"/>
      <c r="E1131" s="64"/>
      <c r="F1131" s="78">
        <v>0.0</v>
      </c>
      <c r="G1131" s="44" t="str">
        <f t="shared" si="35"/>
        <v>$0 a $100'000.000</v>
      </c>
      <c r="H1131" s="44"/>
      <c r="I1131" s="44"/>
      <c r="J1131" s="50"/>
      <c r="K1131" s="51"/>
      <c r="L1131" s="44"/>
      <c r="M1131" s="44"/>
      <c r="N1131" s="44"/>
      <c r="O1131" s="44"/>
      <c r="P1131" s="44"/>
      <c r="Q1131" s="88">
        <v>0.0</v>
      </c>
      <c r="R1131" s="89">
        <v>0.0</v>
      </c>
      <c r="S1131" s="56" t="str">
        <f t="shared" si="34"/>
        <v> </v>
      </c>
      <c r="T1131" s="50"/>
      <c r="U1131" s="57"/>
      <c r="V1131" s="44"/>
      <c r="W1131" s="44"/>
      <c r="X1131" s="44"/>
      <c r="Y1131" s="44"/>
      <c r="Z1131" s="91"/>
      <c r="AA1131" s="59" t="str">
        <f>IF(Rentabilidad=0,"No aplica",TEXT(ROUND(Precio/Rentabilidad/12,0),0) &amp; " años")</f>
        <v>No aplica</v>
      </c>
      <c r="AB1131" s="212"/>
      <c r="AC1131" s="61"/>
      <c r="AD1131" s="107"/>
      <c r="AE1131" s="63"/>
      <c r="AF1131" s="64"/>
      <c r="AG1131" s="63"/>
      <c r="AH1131" s="63"/>
      <c r="AI1131" s="63"/>
      <c r="AJ1131" s="45"/>
      <c r="AK1131" s="50"/>
      <c r="AL1131" s="45"/>
      <c r="AM1131" s="44"/>
      <c r="AN1131" s="45"/>
      <c r="AO1131" s="52"/>
      <c r="AP1131" s="67"/>
      <c r="AQ1131" s="67"/>
      <c r="AR1131" s="67"/>
      <c r="AS1131" s="94"/>
      <c r="AT1131" s="63"/>
      <c r="AU1131" s="44"/>
      <c r="AV1131" s="44"/>
      <c r="AW1131" s="44"/>
      <c r="AX1131" s="44"/>
      <c r="AY1131" s="44"/>
      <c r="AZ1131" s="44"/>
      <c r="BA1131" s="43" t="s">
        <v>89</v>
      </c>
      <c r="BB1131" s="44"/>
      <c r="BC1131" s="95"/>
      <c r="BD1131" s="71"/>
      <c r="BE1131" s="71"/>
      <c r="BF1131" s="130"/>
      <c r="BG1131" s="73"/>
      <c r="BH1131" s="73"/>
      <c r="BI1131" s="73"/>
      <c r="BJ1131" s="73"/>
      <c r="BK1131" s="73"/>
      <c r="BL1131" s="73"/>
      <c r="BM1131" s="73"/>
      <c r="BN1131" s="73"/>
      <c r="BO1131" s="73"/>
      <c r="BP1131" s="73"/>
      <c r="BQ1131" s="73"/>
      <c r="BR1131" s="73"/>
      <c r="BS1131" s="73"/>
      <c r="BT1131" s="73"/>
      <c r="BU1131" s="73"/>
      <c r="BV1131" s="73"/>
      <c r="BW1131" s="74"/>
      <c r="BX1131" s="74"/>
      <c r="BY1131" s="63"/>
      <c r="BZ1131" s="63"/>
    </row>
    <row r="1132" ht="15.75" customHeight="1">
      <c r="A1132" s="41"/>
      <c r="B1132" s="50"/>
      <c r="C1132" s="50"/>
      <c r="D1132" s="50"/>
      <c r="E1132" s="64"/>
      <c r="F1132" s="78">
        <v>0.0</v>
      </c>
      <c r="G1132" s="44" t="str">
        <f t="shared" si="35"/>
        <v>$0 a $100'000.000</v>
      </c>
      <c r="H1132" s="44"/>
      <c r="I1132" s="44"/>
      <c r="J1132" s="50"/>
      <c r="K1132" s="51"/>
      <c r="L1132" s="44"/>
      <c r="M1132" s="44"/>
      <c r="N1132" s="44"/>
      <c r="O1132" s="44"/>
      <c r="P1132" s="44"/>
      <c r="Q1132" s="88">
        <v>0.0</v>
      </c>
      <c r="R1132" s="89">
        <v>0.0</v>
      </c>
      <c r="S1132" s="56" t="str">
        <f t="shared" si="34"/>
        <v> </v>
      </c>
      <c r="T1132" s="50"/>
      <c r="U1132" s="57"/>
      <c r="V1132" s="44"/>
      <c r="W1132" s="44"/>
      <c r="X1132" s="44"/>
      <c r="Y1132" s="44"/>
      <c r="Z1132" s="91"/>
      <c r="AA1132" s="59" t="str">
        <f>IF(Rentabilidad=0,"No aplica",TEXT(ROUND(Precio/Rentabilidad/12,0),0) &amp; " años")</f>
        <v>No aplica</v>
      </c>
      <c r="AB1132" s="212"/>
      <c r="AC1132" s="61"/>
      <c r="AD1132" s="107"/>
      <c r="AE1132" s="63"/>
      <c r="AF1132" s="64"/>
      <c r="AG1132" s="63"/>
      <c r="AH1132" s="63"/>
      <c r="AI1132" s="63"/>
      <c r="AJ1132" s="45"/>
      <c r="AK1132" s="50"/>
      <c r="AL1132" s="45"/>
      <c r="AM1132" s="44"/>
      <c r="AN1132" s="45"/>
      <c r="AO1132" s="52"/>
      <c r="AP1132" s="67"/>
      <c r="AQ1132" s="67"/>
      <c r="AR1132" s="67"/>
      <c r="AS1132" s="94"/>
      <c r="AT1132" s="63"/>
      <c r="AU1132" s="44"/>
      <c r="AV1132" s="44"/>
      <c r="AW1132" s="44"/>
      <c r="AX1132" s="44"/>
      <c r="AY1132" s="44"/>
      <c r="AZ1132" s="44"/>
      <c r="BA1132" s="43" t="s">
        <v>89</v>
      </c>
      <c r="BB1132" s="44"/>
      <c r="BC1132" s="95"/>
      <c r="BD1132" s="71"/>
      <c r="BE1132" s="71"/>
      <c r="BF1132" s="130"/>
      <c r="BG1132" s="73"/>
      <c r="BH1132" s="73"/>
      <c r="BI1132" s="73"/>
      <c r="BJ1132" s="73"/>
      <c r="BK1132" s="73"/>
      <c r="BL1132" s="73"/>
      <c r="BM1132" s="73"/>
      <c r="BN1132" s="73"/>
      <c r="BO1132" s="73"/>
      <c r="BP1132" s="73"/>
      <c r="BQ1132" s="73"/>
      <c r="BR1132" s="73"/>
      <c r="BS1132" s="73"/>
      <c r="BT1132" s="73"/>
      <c r="BU1132" s="73"/>
      <c r="BV1132" s="73"/>
      <c r="BW1132" s="74"/>
      <c r="BX1132" s="74"/>
      <c r="BY1132" s="63"/>
      <c r="BZ1132" s="63"/>
    </row>
    <row r="1133" ht="15.75" customHeight="1">
      <c r="A1133" s="41"/>
      <c r="B1133" s="50"/>
      <c r="C1133" s="50"/>
      <c r="D1133" s="50"/>
      <c r="E1133" s="64"/>
      <c r="F1133" s="78">
        <v>0.0</v>
      </c>
      <c r="G1133" s="44" t="str">
        <f t="shared" si="35"/>
        <v>$0 a $100'000.000</v>
      </c>
      <c r="H1133" s="44"/>
      <c r="I1133" s="44"/>
      <c r="J1133" s="50"/>
      <c r="K1133" s="51"/>
      <c r="L1133" s="44"/>
      <c r="M1133" s="44"/>
      <c r="N1133" s="44"/>
      <c r="O1133" s="44"/>
      <c r="P1133" s="44"/>
      <c r="Q1133" s="88">
        <v>0.0</v>
      </c>
      <c r="R1133" s="89">
        <v>0.0</v>
      </c>
      <c r="S1133" s="56" t="str">
        <f t="shared" si="34"/>
        <v> </v>
      </c>
      <c r="T1133" s="50"/>
      <c r="U1133" s="57"/>
      <c r="V1133" s="44"/>
      <c r="W1133" s="44"/>
      <c r="X1133" s="44"/>
      <c r="Y1133" s="44"/>
      <c r="Z1133" s="91"/>
      <c r="AA1133" s="59" t="str">
        <f>IF(Rentabilidad=0,"No aplica",TEXT(ROUND(Precio/Rentabilidad/12,0),0) &amp; " años")</f>
        <v>No aplica</v>
      </c>
      <c r="AB1133" s="212"/>
      <c r="AC1133" s="61"/>
      <c r="AD1133" s="107"/>
      <c r="AE1133" s="63"/>
      <c r="AF1133" s="64"/>
      <c r="AG1133" s="63"/>
      <c r="AH1133" s="63"/>
      <c r="AI1133" s="63"/>
      <c r="AJ1133" s="45"/>
      <c r="AK1133" s="50"/>
      <c r="AL1133" s="45"/>
      <c r="AM1133" s="44"/>
      <c r="AN1133" s="45"/>
      <c r="AO1133" s="52"/>
      <c r="AP1133" s="67"/>
      <c r="AQ1133" s="67"/>
      <c r="AR1133" s="67"/>
      <c r="AS1133" s="94"/>
      <c r="AT1133" s="63"/>
      <c r="AU1133" s="44"/>
      <c r="AV1133" s="44"/>
      <c r="AW1133" s="44"/>
      <c r="AX1133" s="44"/>
      <c r="AY1133" s="44"/>
      <c r="AZ1133" s="44"/>
      <c r="BA1133" s="43" t="s">
        <v>89</v>
      </c>
      <c r="BB1133" s="44"/>
      <c r="BC1133" s="95"/>
      <c r="BD1133" s="71"/>
      <c r="BE1133" s="71"/>
      <c r="BF1133" s="130"/>
      <c r="BG1133" s="73"/>
      <c r="BH1133" s="73"/>
      <c r="BI1133" s="73"/>
      <c r="BJ1133" s="73"/>
      <c r="BK1133" s="73"/>
      <c r="BL1133" s="73"/>
      <c r="BM1133" s="73"/>
      <c r="BN1133" s="73"/>
      <c r="BO1133" s="73"/>
      <c r="BP1133" s="73"/>
      <c r="BQ1133" s="73"/>
      <c r="BR1133" s="73"/>
      <c r="BS1133" s="73"/>
      <c r="BT1133" s="73"/>
      <c r="BU1133" s="73"/>
      <c r="BV1133" s="73"/>
      <c r="BW1133" s="74"/>
      <c r="BX1133" s="74"/>
      <c r="BY1133" s="63"/>
      <c r="BZ1133" s="63"/>
    </row>
    <row r="1134" ht="15.75" customHeight="1">
      <c r="A1134" s="41"/>
      <c r="B1134" s="50"/>
      <c r="C1134" s="50"/>
      <c r="D1134" s="50"/>
      <c r="E1134" s="64"/>
      <c r="F1134" s="78">
        <v>0.0</v>
      </c>
      <c r="G1134" s="44" t="str">
        <f t="shared" si="35"/>
        <v>$0 a $100'000.000</v>
      </c>
      <c r="H1134" s="44"/>
      <c r="I1134" s="44"/>
      <c r="J1134" s="50"/>
      <c r="K1134" s="51"/>
      <c r="L1134" s="44"/>
      <c r="M1134" s="44"/>
      <c r="N1134" s="44"/>
      <c r="O1134" s="44"/>
      <c r="P1134" s="44"/>
      <c r="Q1134" s="88">
        <v>0.0</v>
      </c>
      <c r="R1134" s="89">
        <v>0.0</v>
      </c>
      <c r="S1134" s="56" t="str">
        <f t="shared" si="34"/>
        <v> </v>
      </c>
      <c r="T1134" s="50"/>
      <c r="U1134" s="57"/>
      <c r="V1134" s="44"/>
      <c r="W1134" s="44"/>
      <c r="X1134" s="44"/>
      <c r="Y1134" s="44"/>
      <c r="Z1134" s="91"/>
      <c r="AA1134" s="59" t="str">
        <f>IF(Rentabilidad=0,"No aplica",TEXT(ROUND(Precio/Rentabilidad/12,0),0) &amp; " años")</f>
        <v>No aplica</v>
      </c>
      <c r="AB1134" s="212"/>
      <c r="AC1134" s="61"/>
      <c r="AD1134" s="107"/>
      <c r="AE1134" s="63"/>
      <c r="AF1134" s="64"/>
      <c r="AG1134" s="63"/>
      <c r="AH1134" s="63"/>
      <c r="AI1134" s="63"/>
      <c r="AJ1134" s="45"/>
      <c r="AK1134" s="50"/>
      <c r="AL1134" s="45"/>
      <c r="AM1134" s="44"/>
      <c r="AN1134" s="45"/>
      <c r="AO1134" s="52"/>
      <c r="AP1134" s="67"/>
      <c r="AQ1134" s="67"/>
      <c r="AR1134" s="67"/>
      <c r="AS1134" s="94"/>
      <c r="AT1134" s="63"/>
      <c r="AU1134" s="44"/>
      <c r="AV1134" s="44"/>
      <c r="AW1134" s="44"/>
      <c r="AX1134" s="44"/>
      <c r="AY1134" s="44"/>
      <c r="AZ1134" s="44"/>
      <c r="BA1134" s="43" t="s">
        <v>89</v>
      </c>
      <c r="BB1134" s="44"/>
      <c r="BC1134" s="95"/>
      <c r="BD1134" s="71"/>
      <c r="BE1134" s="71"/>
      <c r="BF1134" s="130"/>
      <c r="BG1134" s="73"/>
      <c r="BH1134" s="73"/>
      <c r="BI1134" s="73"/>
      <c r="BJ1134" s="73"/>
      <c r="BK1134" s="73"/>
      <c r="BL1134" s="73"/>
      <c r="BM1134" s="73"/>
      <c r="BN1134" s="73"/>
      <c r="BO1134" s="73"/>
      <c r="BP1134" s="73"/>
      <c r="BQ1134" s="73"/>
      <c r="BR1134" s="73"/>
      <c r="BS1134" s="73"/>
      <c r="BT1134" s="73"/>
      <c r="BU1134" s="73"/>
      <c r="BV1134" s="73"/>
      <c r="BW1134" s="74"/>
      <c r="BX1134" s="74"/>
      <c r="BY1134" s="63"/>
      <c r="BZ1134" s="63"/>
    </row>
    <row r="1135" ht="15.75" customHeight="1">
      <c r="A1135" s="41"/>
      <c r="B1135" s="50"/>
      <c r="C1135" s="50"/>
      <c r="D1135" s="50"/>
      <c r="E1135" s="64"/>
      <c r="F1135" s="78">
        <v>0.0</v>
      </c>
      <c r="G1135" s="44" t="str">
        <f t="shared" si="35"/>
        <v>$0 a $100'000.000</v>
      </c>
      <c r="H1135" s="44"/>
      <c r="I1135" s="44"/>
      <c r="J1135" s="50"/>
      <c r="K1135" s="51"/>
      <c r="L1135" s="44"/>
      <c r="M1135" s="44"/>
      <c r="N1135" s="44"/>
      <c r="O1135" s="44"/>
      <c r="P1135" s="44"/>
      <c r="Q1135" s="88">
        <v>0.0</v>
      </c>
      <c r="R1135" s="89">
        <v>0.0</v>
      </c>
      <c r="S1135" s="56" t="str">
        <f t="shared" si="34"/>
        <v> </v>
      </c>
      <c r="T1135" s="50"/>
      <c r="U1135" s="57"/>
      <c r="V1135" s="44"/>
      <c r="W1135" s="44"/>
      <c r="X1135" s="44"/>
      <c r="Y1135" s="44"/>
      <c r="Z1135" s="91"/>
      <c r="AA1135" s="59" t="str">
        <f>IF(Rentabilidad=0,"No aplica",TEXT(ROUND(Precio/Rentabilidad/12,0),0) &amp; " años")</f>
        <v>No aplica</v>
      </c>
      <c r="AB1135" s="212"/>
      <c r="AC1135" s="61"/>
      <c r="AD1135" s="107"/>
      <c r="AE1135" s="63"/>
      <c r="AF1135" s="64"/>
      <c r="AG1135" s="63"/>
      <c r="AH1135" s="63"/>
      <c r="AI1135" s="63"/>
      <c r="AJ1135" s="45"/>
      <c r="AK1135" s="50"/>
      <c r="AL1135" s="45"/>
      <c r="AM1135" s="44"/>
      <c r="AN1135" s="45"/>
      <c r="AO1135" s="52"/>
      <c r="AP1135" s="67"/>
      <c r="AQ1135" s="67"/>
      <c r="AR1135" s="67"/>
      <c r="AS1135" s="94"/>
      <c r="AT1135" s="63"/>
      <c r="AU1135" s="44"/>
      <c r="AV1135" s="44"/>
      <c r="AW1135" s="44"/>
      <c r="AX1135" s="44"/>
      <c r="AY1135" s="44"/>
      <c r="AZ1135" s="44"/>
      <c r="BA1135" s="43" t="s">
        <v>89</v>
      </c>
      <c r="BB1135" s="44"/>
      <c r="BC1135" s="95"/>
      <c r="BD1135" s="71"/>
      <c r="BE1135" s="71"/>
      <c r="BF1135" s="130"/>
      <c r="BG1135" s="73"/>
      <c r="BH1135" s="73"/>
      <c r="BI1135" s="73"/>
      <c r="BJ1135" s="73"/>
      <c r="BK1135" s="73"/>
      <c r="BL1135" s="73"/>
      <c r="BM1135" s="73"/>
      <c r="BN1135" s="73"/>
      <c r="BO1135" s="73"/>
      <c r="BP1135" s="73"/>
      <c r="BQ1135" s="73"/>
      <c r="BR1135" s="73"/>
      <c r="BS1135" s="73"/>
      <c r="BT1135" s="73"/>
      <c r="BU1135" s="73"/>
      <c r="BV1135" s="73"/>
      <c r="BW1135" s="74"/>
      <c r="BX1135" s="74"/>
      <c r="BY1135" s="63"/>
      <c r="BZ1135" s="63"/>
    </row>
    <row r="1136" ht="15.75" customHeight="1">
      <c r="A1136" s="41"/>
      <c r="B1136" s="50"/>
      <c r="C1136" s="50"/>
      <c r="D1136" s="50"/>
      <c r="E1136" s="64"/>
      <c r="F1136" s="78">
        <v>0.0</v>
      </c>
      <c r="G1136" s="44" t="str">
        <f t="shared" si="35"/>
        <v>$0 a $100'000.000</v>
      </c>
      <c r="H1136" s="44"/>
      <c r="I1136" s="44"/>
      <c r="J1136" s="50"/>
      <c r="K1136" s="51"/>
      <c r="L1136" s="44"/>
      <c r="M1136" s="44"/>
      <c r="N1136" s="44"/>
      <c r="O1136" s="44"/>
      <c r="P1136" s="44"/>
      <c r="Q1136" s="88">
        <v>0.0</v>
      </c>
      <c r="R1136" s="89">
        <v>0.0</v>
      </c>
      <c r="S1136" s="56" t="str">
        <f t="shared" si="34"/>
        <v> </v>
      </c>
      <c r="T1136" s="50"/>
      <c r="U1136" s="57"/>
      <c r="V1136" s="44"/>
      <c r="W1136" s="44"/>
      <c r="X1136" s="44"/>
      <c r="Y1136" s="44"/>
      <c r="Z1136" s="91"/>
      <c r="AA1136" s="59" t="str">
        <f>IF(Rentabilidad=0,"No aplica",TEXT(ROUND(Precio/Rentabilidad/12,0),0) &amp; " años")</f>
        <v>No aplica</v>
      </c>
      <c r="AB1136" s="212"/>
      <c r="AC1136" s="61"/>
      <c r="AD1136" s="107"/>
      <c r="AE1136" s="63"/>
      <c r="AF1136" s="64"/>
      <c r="AG1136" s="63"/>
      <c r="AH1136" s="63"/>
      <c r="AI1136" s="63"/>
      <c r="AJ1136" s="45"/>
      <c r="AK1136" s="50"/>
      <c r="AL1136" s="45"/>
      <c r="AM1136" s="44"/>
      <c r="AN1136" s="45"/>
      <c r="AO1136" s="52"/>
      <c r="AP1136" s="67"/>
      <c r="AQ1136" s="67"/>
      <c r="AR1136" s="67"/>
      <c r="AS1136" s="94"/>
      <c r="AT1136" s="63"/>
      <c r="AU1136" s="44"/>
      <c r="AV1136" s="44"/>
      <c r="AW1136" s="44"/>
      <c r="AX1136" s="44"/>
      <c r="AY1136" s="44"/>
      <c r="AZ1136" s="44"/>
      <c r="BA1136" s="43" t="s">
        <v>89</v>
      </c>
      <c r="BB1136" s="44"/>
      <c r="BC1136" s="95"/>
      <c r="BD1136" s="71"/>
      <c r="BE1136" s="71"/>
      <c r="BF1136" s="130"/>
      <c r="BG1136" s="73"/>
      <c r="BH1136" s="73"/>
      <c r="BI1136" s="73"/>
      <c r="BJ1136" s="73"/>
      <c r="BK1136" s="73"/>
      <c r="BL1136" s="73"/>
      <c r="BM1136" s="73"/>
      <c r="BN1136" s="73"/>
      <c r="BO1136" s="73"/>
      <c r="BP1136" s="73"/>
      <c r="BQ1136" s="73"/>
      <c r="BR1136" s="73"/>
      <c r="BS1136" s="73"/>
      <c r="BT1136" s="73"/>
      <c r="BU1136" s="73"/>
      <c r="BV1136" s="73"/>
      <c r="BW1136" s="74"/>
      <c r="BX1136" s="74"/>
      <c r="BY1136" s="63"/>
      <c r="BZ1136" s="63"/>
    </row>
    <row r="1137" ht="15.75" customHeight="1">
      <c r="A1137" s="41"/>
      <c r="B1137" s="50"/>
      <c r="C1137" s="50"/>
      <c r="D1137" s="50"/>
      <c r="E1137" s="64"/>
      <c r="F1137" s="78">
        <v>0.0</v>
      </c>
      <c r="G1137" s="44" t="str">
        <f t="shared" si="35"/>
        <v>$0 a $100'000.000</v>
      </c>
      <c r="H1137" s="44"/>
      <c r="I1137" s="44"/>
      <c r="J1137" s="50"/>
      <c r="K1137" s="51"/>
      <c r="L1137" s="44"/>
      <c r="M1137" s="44"/>
      <c r="N1137" s="44"/>
      <c r="O1137" s="44"/>
      <c r="P1137" s="44"/>
      <c r="Q1137" s="88">
        <v>0.0</v>
      </c>
      <c r="R1137" s="89">
        <v>0.0</v>
      </c>
      <c r="S1137" s="56" t="str">
        <f t="shared" si="34"/>
        <v> </v>
      </c>
      <c r="T1137" s="50"/>
      <c r="U1137" s="57"/>
      <c r="V1137" s="44"/>
      <c r="W1137" s="44"/>
      <c r="X1137" s="44"/>
      <c r="Y1137" s="44"/>
      <c r="Z1137" s="91"/>
      <c r="AA1137" s="59" t="str">
        <f>IF(Rentabilidad=0,"No aplica",TEXT(ROUND(Precio/Rentabilidad/12,0),0) &amp; " años")</f>
        <v>No aplica</v>
      </c>
      <c r="AB1137" s="212"/>
      <c r="AC1137" s="61"/>
      <c r="AD1137" s="107"/>
      <c r="AE1137" s="63"/>
      <c r="AF1137" s="64"/>
      <c r="AG1137" s="63"/>
      <c r="AH1137" s="63"/>
      <c r="AI1137" s="63"/>
      <c r="AJ1137" s="45"/>
      <c r="AK1137" s="50"/>
      <c r="AL1137" s="45"/>
      <c r="AM1137" s="44"/>
      <c r="AN1137" s="45"/>
      <c r="AO1137" s="52"/>
      <c r="AP1137" s="67"/>
      <c r="AQ1137" s="67"/>
      <c r="AR1137" s="67"/>
      <c r="AS1137" s="94"/>
      <c r="AT1137" s="63"/>
      <c r="AU1137" s="44"/>
      <c r="AV1137" s="44"/>
      <c r="AW1137" s="44"/>
      <c r="AX1137" s="44"/>
      <c r="AY1137" s="44"/>
      <c r="AZ1137" s="44"/>
      <c r="BA1137" s="43" t="s">
        <v>89</v>
      </c>
      <c r="BB1137" s="44"/>
      <c r="BC1137" s="95"/>
      <c r="BD1137" s="71"/>
      <c r="BE1137" s="71"/>
      <c r="BF1137" s="130"/>
      <c r="BG1137" s="73"/>
      <c r="BH1137" s="73"/>
      <c r="BI1137" s="73"/>
      <c r="BJ1137" s="73"/>
      <c r="BK1137" s="73"/>
      <c r="BL1137" s="73"/>
      <c r="BM1137" s="73"/>
      <c r="BN1137" s="73"/>
      <c r="BO1137" s="73"/>
      <c r="BP1137" s="73"/>
      <c r="BQ1137" s="73"/>
      <c r="BR1137" s="73"/>
      <c r="BS1137" s="73"/>
      <c r="BT1137" s="73"/>
      <c r="BU1137" s="73"/>
      <c r="BV1137" s="73"/>
      <c r="BW1137" s="74"/>
      <c r="BX1137" s="74"/>
      <c r="BY1137" s="63"/>
      <c r="BZ1137" s="63"/>
    </row>
    <row r="1138" ht="15.75" customHeight="1">
      <c r="A1138" s="41"/>
      <c r="B1138" s="50"/>
      <c r="C1138" s="50"/>
      <c r="D1138" s="50"/>
      <c r="E1138" s="64"/>
      <c r="F1138" s="78">
        <v>0.0</v>
      </c>
      <c r="G1138" s="44" t="str">
        <f t="shared" si="35"/>
        <v>$0 a $100'000.000</v>
      </c>
      <c r="H1138" s="44"/>
      <c r="I1138" s="44"/>
      <c r="J1138" s="50"/>
      <c r="K1138" s="51"/>
      <c r="L1138" s="44"/>
      <c r="M1138" s="44"/>
      <c r="N1138" s="44"/>
      <c r="O1138" s="44"/>
      <c r="P1138" s="44"/>
      <c r="Q1138" s="88">
        <v>0.0</v>
      </c>
      <c r="R1138" s="89">
        <v>0.0</v>
      </c>
      <c r="S1138" s="56" t="str">
        <f t="shared" si="34"/>
        <v> </v>
      </c>
      <c r="T1138" s="50"/>
      <c r="U1138" s="57"/>
      <c r="V1138" s="44"/>
      <c r="W1138" s="44"/>
      <c r="X1138" s="44"/>
      <c r="Y1138" s="44"/>
      <c r="Z1138" s="91"/>
      <c r="AA1138" s="59" t="str">
        <f>IF(Rentabilidad=0,"No aplica",TEXT(ROUND(Precio/Rentabilidad/12,0),0) &amp; " años")</f>
        <v>No aplica</v>
      </c>
      <c r="AB1138" s="212"/>
      <c r="AC1138" s="61"/>
      <c r="AD1138" s="107"/>
      <c r="AE1138" s="63"/>
      <c r="AF1138" s="64"/>
      <c r="AG1138" s="63"/>
      <c r="AH1138" s="63"/>
      <c r="AI1138" s="63"/>
      <c r="AJ1138" s="45"/>
      <c r="AK1138" s="50"/>
      <c r="AL1138" s="45"/>
      <c r="AM1138" s="44"/>
      <c r="AN1138" s="45"/>
      <c r="AO1138" s="52"/>
      <c r="AP1138" s="67"/>
      <c r="AQ1138" s="67"/>
      <c r="AR1138" s="67"/>
      <c r="AS1138" s="94"/>
      <c r="AT1138" s="63"/>
      <c r="AU1138" s="44"/>
      <c r="AV1138" s="44"/>
      <c r="AW1138" s="44"/>
      <c r="AX1138" s="44"/>
      <c r="AY1138" s="44"/>
      <c r="AZ1138" s="44"/>
      <c r="BA1138" s="43" t="s">
        <v>89</v>
      </c>
      <c r="BB1138" s="44"/>
      <c r="BC1138" s="95"/>
      <c r="BD1138" s="71"/>
      <c r="BE1138" s="71"/>
      <c r="BF1138" s="130"/>
      <c r="BG1138" s="73"/>
      <c r="BH1138" s="73"/>
      <c r="BI1138" s="73"/>
      <c r="BJ1138" s="73"/>
      <c r="BK1138" s="73"/>
      <c r="BL1138" s="73"/>
      <c r="BM1138" s="73"/>
      <c r="BN1138" s="73"/>
      <c r="BO1138" s="73"/>
      <c r="BP1138" s="73"/>
      <c r="BQ1138" s="73"/>
      <c r="BR1138" s="73"/>
      <c r="BS1138" s="73"/>
      <c r="BT1138" s="73"/>
      <c r="BU1138" s="73"/>
      <c r="BV1138" s="73"/>
      <c r="BW1138" s="74"/>
      <c r="BX1138" s="74"/>
      <c r="BY1138" s="63"/>
      <c r="BZ1138" s="63"/>
    </row>
    <row r="1139" ht="15.75" customHeight="1">
      <c r="A1139" s="41"/>
      <c r="B1139" s="50"/>
      <c r="C1139" s="50"/>
      <c r="D1139" s="50"/>
      <c r="E1139" s="64"/>
      <c r="F1139" s="78">
        <v>0.0</v>
      </c>
      <c r="G1139" s="44" t="str">
        <f t="shared" si="35"/>
        <v>$0 a $100'000.000</v>
      </c>
      <c r="H1139" s="44"/>
      <c r="I1139" s="44"/>
      <c r="J1139" s="50"/>
      <c r="K1139" s="51"/>
      <c r="L1139" s="44"/>
      <c r="M1139" s="44"/>
      <c r="N1139" s="44"/>
      <c r="O1139" s="44"/>
      <c r="P1139" s="44"/>
      <c r="Q1139" s="88">
        <v>0.0</v>
      </c>
      <c r="R1139" s="89">
        <v>0.0</v>
      </c>
      <c r="S1139" s="56" t="str">
        <f t="shared" si="34"/>
        <v> </v>
      </c>
      <c r="T1139" s="50"/>
      <c r="U1139" s="57"/>
      <c r="V1139" s="44"/>
      <c r="W1139" s="44"/>
      <c r="X1139" s="44"/>
      <c r="Y1139" s="44"/>
      <c r="Z1139" s="91"/>
      <c r="AA1139" s="59" t="str">
        <f>IF(Rentabilidad=0,"No aplica",TEXT(ROUND(Precio/Rentabilidad/12,0),0) &amp; " años")</f>
        <v>No aplica</v>
      </c>
      <c r="AB1139" s="212"/>
      <c r="AC1139" s="61"/>
      <c r="AD1139" s="107"/>
      <c r="AE1139" s="63"/>
      <c r="AF1139" s="64"/>
      <c r="AG1139" s="63"/>
      <c r="AH1139" s="63"/>
      <c r="AI1139" s="63"/>
      <c r="AJ1139" s="45"/>
      <c r="AK1139" s="50"/>
      <c r="AL1139" s="45"/>
      <c r="AM1139" s="44"/>
      <c r="AN1139" s="45"/>
      <c r="AO1139" s="52"/>
      <c r="AP1139" s="67"/>
      <c r="AQ1139" s="67"/>
      <c r="AR1139" s="67"/>
      <c r="AS1139" s="94"/>
      <c r="AT1139" s="63"/>
      <c r="AU1139" s="44"/>
      <c r="AV1139" s="44"/>
      <c r="AW1139" s="44"/>
      <c r="AX1139" s="44"/>
      <c r="AY1139" s="44"/>
      <c r="AZ1139" s="44"/>
      <c r="BA1139" s="43" t="s">
        <v>89</v>
      </c>
      <c r="BB1139" s="44"/>
      <c r="BC1139" s="95"/>
      <c r="BD1139" s="71"/>
      <c r="BE1139" s="71"/>
      <c r="BF1139" s="130"/>
      <c r="BG1139" s="73"/>
      <c r="BH1139" s="73"/>
      <c r="BI1139" s="73"/>
      <c r="BJ1139" s="73"/>
      <c r="BK1139" s="73"/>
      <c r="BL1139" s="73"/>
      <c r="BM1139" s="73"/>
      <c r="BN1139" s="73"/>
      <c r="BO1139" s="73"/>
      <c r="BP1139" s="73"/>
      <c r="BQ1139" s="73"/>
      <c r="BR1139" s="73"/>
      <c r="BS1139" s="73"/>
      <c r="BT1139" s="73"/>
      <c r="BU1139" s="73"/>
      <c r="BV1139" s="73"/>
      <c r="BW1139" s="74"/>
      <c r="BX1139" s="74"/>
      <c r="BY1139" s="63"/>
      <c r="BZ1139" s="63"/>
    </row>
    <row r="1140" ht="15.75" customHeight="1">
      <c r="A1140" s="41"/>
      <c r="B1140" s="50"/>
      <c r="C1140" s="50"/>
      <c r="D1140" s="50"/>
      <c r="E1140" s="64"/>
      <c r="F1140" s="78">
        <v>0.0</v>
      </c>
      <c r="G1140" s="44" t="str">
        <f t="shared" si="35"/>
        <v>$0 a $100'000.000</v>
      </c>
      <c r="H1140" s="44"/>
      <c r="I1140" s="44"/>
      <c r="J1140" s="50"/>
      <c r="K1140" s="51"/>
      <c r="L1140" s="44"/>
      <c r="M1140" s="44"/>
      <c r="N1140" s="44"/>
      <c r="O1140" s="44"/>
      <c r="P1140" s="44"/>
      <c r="Q1140" s="88">
        <v>0.0</v>
      </c>
      <c r="R1140" s="89">
        <v>0.0</v>
      </c>
      <c r="S1140" s="56" t="str">
        <f t="shared" si="34"/>
        <v> </v>
      </c>
      <c r="T1140" s="50"/>
      <c r="U1140" s="57"/>
      <c r="V1140" s="44"/>
      <c r="W1140" s="44"/>
      <c r="X1140" s="44"/>
      <c r="Y1140" s="44"/>
      <c r="Z1140" s="91"/>
      <c r="AA1140" s="59" t="str">
        <f>IF(Rentabilidad=0,"No aplica",TEXT(ROUND(Precio/Rentabilidad/12,0),0) &amp; " años")</f>
        <v>No aplica</v>
      </c>
      <c r="AB1140" s="212"/>
      <c r="AC1140" s="61"/>
      <c r="AD1140" s="107"/>
      <c r="AE1140" s="63"/>
      <c r="AF1140" s="64"/>
      <c r="AG1140" s="63"/>
      <c r="AH1140" s="63"/>
      <c r="AI1140" s="63"/>
      <c r="AJ1140" s="45"/>
      <c r="AK1140" s="50"/>
      <c r="AL1140" s="45"/>
      <c r="AM1140" s="44"/>
      <c r="AN1140" s="45"/>
      <c r="AO1140" s="52"/>
      <c r="AP1140" s="67"/>
      <c r="AQ1140" s="67"/>
      <c r="AR1140" s="67"/>
      <c r="AS1140" s="94"/>
      <c r="AT1140" s="63"/>
      <c r="AU1140" s="44"/>
      <c r="AV1140" s="44"/>
      <c r="AW1140" s="44"/>
      <c r="AX1140" s="44"/>
      <c r="AY1140" s="44"/>
      <c r="AZ1140" s="44"/>
      <c r="BA1140" s="43" t="s">
        <v>89</v>
      </c>
      <c r="BB1140" s="44"/>
      <c r="BC1140" s="95"/>
      <c r="BD1140" s="71"/>
      <c r="BE1140" s="71"/>
      <c r="BF1140" s="130"/>
      <c r="BG1140" s="73"/>
      <c r="BH1140" s="73"/>
      <c r="BI1140" s="73"/>
      <c r="BJ1140" s="73"/>
      <c r="BK1140" s="73"/>
      <c r="BL1140" s="73"/>
      <c r="BM1140" s="73"/>
      <c r="BN1140" s="73"/>
      <c r="BO1140" s="73"/>
      <c r="BP1140" s="73"/>
      <c r="BQ1140" s="73"/>
      <c r="BR1140" s="73"/>
      <c r="BS1140" s="73"/>
      <c r="BT1140" s="73"/>
      <c r="BU1140" s="73"/>
      <c r="BV1140" s="73"/>
      <c r="BW1140" s="74"/>
      <c r="BX1140" s="74"/>
      <c r="BY1140" s="63"/>
      <c r="BZ1140" s="63"/>
    </row>
    <row r="1141" ht="15.75" customHeight="1">
      <c r="A1141" s="41"/>
      <c r="B1141" s="50"/>
      <c r="C1141" s="50"/>
      <c r="D1141" s="50"/>
      <c r="E1141" s="64"/>
      <c r="F1141" s="78">
        <v>0.0</v>
      </c>
      <c r="G1141" s="44" t="str">
        <f t="shared" si="35"/>
        <v>$0 a $100'000.000</v>
      </c>
      <c r="H1141" s="44"/>
      <c r="I1141" s="44"/>
      <c r="J1141" s="50"/>
      <c r="K1141" s="51"/>
      <c r="L1141" s="44"/>
      <c r="M1141" s="44"/>
      <c r="N1141" s="44"/>
      <c r="O1141" s="44"/>
      <c r="P1141" s="44"/>
      <c r="Q1141" s="88">
        <v>0.0</v>
      </c>
      <c r="R1141" s="89">
        <v>0.0</v>
      </c>
      <c r="S1141" s="56" t="str">
        <f t="shared" si="34"/>
        <v> </v>
      </c>
      <c r="T1141" s="50"/>
      <c r="U1141" s="57"/>
      <c r="V1141" s="44"/>
      <c r="W1141" s="44"/>
      <c r="X1141" s="44"/>
      <c r="Y1141" s="44"/>
      <c r="Z1141" s="91"/>
      <c r="AA1141" s="59" t="str">
        <f>IF(Rentabilidad=0,"No aplica",TEXT(ROUND(Precio/Rentabilidad/12,0),0) &amp; " años")</f>
        <v>No aplica</v>
      </c>
      <c r="AB1141" s="212"/>
      <c r="AC1141" s="61"/>
      <c r="AD1141" s="107"/>
      <c r="AE1141" s="63"/>
      <c r="AF1141" s="64"/>
      <c r="AG1141" s="63"/>
      <c r="AH1141" s="63"/>
      <c r="AI1141" s="63"/>
      <c r="AJ1141" s="45"/>
      <c r="AK1141" s="50"/>
      <c r="AL1141" s="45"/>
      <c r="AM1141" s="44"/>
      <c r="AN1141" s="45"/>
      <c r="AO1141" s="52"/>
      <c r="AP1141" s="67"/>
      <c r="AQ1141" s="67"/>
      <c r="AR1141" s="67"/>
      <c r="AS1141" s="94"/>
      <c r="AT1141" s="63"/>
      <c r="AU1141" s="44"/>
      <c r="AV1141" s="44"/>
      <c r="AW1141" s="44"/>
      <c r="AX1141" s="44"/>
      <c r="AY1141" s="44"/>
      <c r="AZ1141" s="44"/>
      <c r="BA1141" s="43" t="s">
        <v>89</v>
      </c>
      <c r="BB1141" s="44"/>
      <c r="BC1141" s="95"/>
      <c r="BD1141" s="71"/>
      <c r="BE1141" s="71"/>
      <c r="BF1141" s="130"/>
      <c r="BG1141" s="73"/>
      <c r="BH1141" s="73"/>
      <c r="BI1141" s="73"/>
      <c r="BJ1141" s="73"/>
      <c r="BK1141" s="73"/>
      <c r="BL1141" s="73"/>
      <c r="BM1141" s="73"/>
      <c r="BN1141" s="73"/>
      <c r="BO1141" s="73"/>
      <c r="BP1141" s="73"/>
      <c r="BQ1141" s="73"/>
      <c r="BR1141" s="73"/>
      <c r="BS1141" s="73"/>
      <c r="BT1141" s="73"/>
      <c r="BU1141" s="73"/>
      <c r="BV1141" s="73"/>
      <c r="BW1141" s="74"/>
      <c r="BX1141" s="74"/>
      <c r="BY1141" s="63"/>
      <c r="BZ1141" s="63"/>
    </row>
    <row r="1142" ht="15.75" customHeight="1">
      <c r="A1142" s="41"/>
      <c r="B1142" s="50"/>
      <c r="C1142" s="50"/>
      <c r="D1142" s="50"/>
      <c r="E1142" s="64"/>
      <c r="F1142" s="78">
        <v>0.0</v>
      </c>
      <c r="G1142" s="44" t="str">
        <f t="shared" si="35"/>
        <v>$0 a $100'000.000</v>
      </c>
      <c r="H1142" s="44"/>
      <c r="I1142" s="44"/>
      <c r="J1142" s="50"/>
      <c r="K1142" s="51"/>
      <c r="L1142" s="44"/>
      <c r="M1142" s="44"/>
      <c r="N1142" s="44"/>
      <c r="O1142" s="44"/>
      <c r="P1142" s="44"/>
      <c r="Q1142" s="88">
        <v>0.0</v>
      </c>
      <c r="R1142" s="89">
        <v>0.0</v>
      </c>
      <c r="S1142" s="56" t="str">
        <f t="shared" si="34"/>
        <v> </v>
      </c>
      <c r="T1142" s="50"/>
      <c r="U1142" s="51"/>
      <c r="V1142" s="44"/>
      <c r="W1142" s="44"/>
      <c r="X1142" s="44"/>
      <c r="Y1142" s="44"/>
      <c r="Z1142" s="91"/>
      <c r="AA1142" s="59" t="str">
        <f>IF(Rentabilidad=0,"No aplica",TEXT(ROUND(Precio/Rentabilidad/12,0),0) &amp; " años")</f>
        <v>No aplica</v>
      </c>
      <c r="AB1142" s="212"/>
      <c r="AC1142" s="61"/>
      <c r="AD1142" s="107"/>
      <c r="AE1142" s="63"/>
      <c r="AF1142" s="64"/>
      <c r="AG1142" s="63"/>
      <c r="AH1142" s="63"/>
      <c r="AI1142" s="63"/>
      <c r="AJ1142" s="45"/>
      <c r="AK1142" s="50"/>
      <c r="AL1142" s="45"/>
      <c r="AM1142" s="44"/>
      <c r="AN1142" s="45"/>
      <c r="AO1142" s="52"/>
      <c r="AP1142" s="67"/>
      <c r="AQ1142" s="67"/>
      <c r="AR1142" s="67"/>
      <c r="AS1142" s="94"/>
      <c r="AT1142" s="63"/>
      <c r="AU1142" s="44"/>
      <c r="AV1142" s="44"/>
      <c r="AW1142" s="44"/>
      <c r="AX1142" s="44"/>
      <c r="AY1142" s="44"/>
      <c r="AZ1142" s="44"/>
      <c r="BA1142" s="43" t="s">
        <v>89</v>
      </c>
      <c r="BB1142" s="44"/>
      <c r="BC1142" s="95"/>
      <c r="BD1142" s="71"/>
      <c r="BE1142" s="71"/>
      <c r="BF1142" s="130"/>
      <c r="BG1142" s="73"/>
      <c r="BH1142" s="73"/>
      <c r="BI1142" s="73"/>
      <c r="BJ1142" s="73"/>
      <c r="BK1142" s="73"/>
      <c r="BL1142" s="73"/>
      <c r="BM1142" s="73"/>
      <c r="BN1142" s="73"/>
      <c r="BO1142" s="73"/>
      <c r="BP1142" s="73"/>
      <c r="BQ1142" s="73"/>
      <c r="BR1142" s="73"/>
      <c r="BS1142" s="73"/>
      <c r="BT1142" s="73"/>
      <c r="BU1142" s="73"/>
      <c r="BV1142" s="73"/>
      <c r="BW1142" s="74"/>
      <c r="BX1142" s="74"/>
      <c r="BY1142" s="63"/>
      <c r="BZ1142" s="63"/>
    </row>
    <row r="1143" ht="15.75" customHeight="1">
      <c r="A1143" s="152"/>
      <c r="B1143" s="50"/>
      <c r="C1143" s="43"/>
      <c r="D1143" s="290"/>
      <c r="E1143" s="64"/>
      <c r="F1143" s="78">
        <v>0.0</v>
      </c>
      <c r="G1143" s="44" t="str">
        <f t="shared" si="35"/>
        <v>$0 a $100'000.000</v>
      </c>
      <c r="H1143" s="44"/>
      <c r="I1143" s="44"/>
      <c r="J1143" s="50"/>
      <c r="K1143" s="51"/>
      <c r="L1143" s="50"/>
      <c r="M1143" s="50"/>
      <c r="N1143" s="50"/>
      <c r="O1143" s="50"/>
      <c r="P1143" s="50"/>
      <c r="Q1143" s="88">
        <v>0.0</v>
      </c>
      <c r="R1143" s="89">
        <v>0.0</v>
      </c>
      <c r="S1143" s="56" t="str">
        <f t="shared" si="34"/>
        <v> </v>
      </c>
      <c r="T1143" s="43"/>
      <c r="U1143" s="51"/>
      <c r="V1143" s="50"/>
      <c r="W1143" s="50"/>
      <c r="X1143" s="50"/>
      <c r="Y1143" s="43"/>
      <c r="Z1143" s="58"/>
      <c r="AA1143" s="59" t="str">
        <f>IF(Rentabilidad=0,"No aplica",TEXT(ROUND(Precio/Rentabilidad/12,0),0) &amp; " años")</f>
        <v>No aplica</v>
      </c>
      <c r="AB1143" s="321"/>
      <c r="AC1143" s="61"/>
      <c r="AD1143" s="107"/>
      <c r="AE1143" s="63"/>
      <c r="AF1143" s="64"/>
      <c r="AG1143" s="65"/>
      <c r="AH1143" s="65"/>
      <c r="AI1143" s="65"/>
      <c r="AJ1143" s="64"/>
      <c r="AK1143" s="50"/>
      <c r="AL1143" s="45"/>
      <c r="AM1143" s="43"/>
      <c r="AN1143" s="64"/>
      <c r="AO1143" s="52"/>
      <c r="AP1143" s="67"/>
      <c r="AQ1143" s="67"/>
      <c r="AR1143" s="67"/>
      <c r="AS1143" s="68"/>
      <c r="AT1143" s="65"/>
      <c r="AU1143" s="50"/>
      <c r="AV1143" s="50"/>
      <c r="AW1143" s="50"/>
      <c r="AX1143" s="44"/>
      <c r="AY1143" s="50"/>
      <c r="AZ1143" s="44"/>
      <c r="BA1143" s="43" t="s">
        <v>89</v>
      </c>
      <c r="BB1143" s="44"/>
      <c r="BC1143" s="95"/>
      <c r="BD1143" s="71"/>
      <c r="BE1143" s="71"/>
      <c r="BF1143" s="130"/>
      <c r="BG1143" s="73"/>
      <c r="BH1143" s="73"/>
      <c r="BI1143" s="73"/>
      <c r="BJ1143" s="73"/>
      <c r="BK1143" s="73"/>
      <c r="BL1143" s="73"/>
      <c r="BM1143" s="73"/>
      <c r="BN1143" s="73"/>
      <c r="BO1143" s="73"/>
      <c r="BP1143" s="73"/>
      <c r="BQ1143" s="73"/>
      <c r="BR1143" s="73"/>
      <c r="BS1143" s="73"/>
      <c r="BT1143" s="73"/>
      <c r="BU1143" s="73"/>
      <c r="BV1143" s="73"/>
      <c r="BW1143" s="74"/>
      <c r="BX1143" s="74"/>
      <c r="BY1143" s="63"/>
      <c r="BZ1143" s="63"/>
    </row>
    <row r="1144" ht="15.75" customHeight="1">
      <c r="A1144" s="209"/>
      <c r="B1144" s="209"/>
      <c r="C1144" s="209"/>
      <c r="D1144" s="209"/>
      <c r="E1144" s="209"/>
      <c r="F1144" s="78">
        <v>0.0</v>
      </c>
      <c r="G1144" s="44" t="str">
        <f t="shared" si="35"/>
        <v>$0 a $100'000.000</v>
      </c>
      <c r="H1144" s="44"/>
      <c r="I1144" s="44"/>
      <c r="J1144" s="209"/>
      <c r="K1144" s="209"/>
      <c r="L1144" s="209"/>
      <c r="M1144" s="209"/>
      <c r="N1144" s="209"/>
      <c r="O1144" s="209"/>
      <c r="P1144" s="209"/>
      <c r="Q1144" s="88">
        <v>0.0</v>
      </c>
      <c r="R1144" s="89">
        <v>0.0</v>
      </c>
      <c r="S1144" s="56" t="str">
        <f t="shared" si="34"/>
        <v> </v>
      </c>
      <c r="T1144" s="209"/>
      <c r="U1144" s="209"/>
      <c r="V1144" s="209"/>
      <c r="W1144" s="209"/>
      <c r="X1144" s="209"/>
      <c r="Y1144" s="209"/>
      <c r="AA1144" s="59" t="str">
        <f>IF(Rentabilidad=0,"No aplica",TEXT(ROUND(Precio/Rentabilidad/12,0),0) &amp; " años")</f>
        <v>No aplica</v>
      </c>
      <c r="AB1144" s="46"/>
      <c r="AC1144" s="357"/>
      <c r="AD1144" s="356"/>
      <c r="AF1144" s="205"/>
      <c r="AG1144" s="209"/>
      <c r="AJ1144" s="209"/>
      <c r="AK1144" s="209"/>
      <c r="AL1144" s="209"/>
      <c r="AM1144" s="209"/>
      <c r="AN1144" s="209"/>
      <c r="AO1144" s="209"/>
      <c r="AP1144" s="210"/>
      <c r="AQ1144" s="210"/>
      <c r="AR1144" s="210"/>
      <c r="AS1144" s="209"/>
      <c r="AT1144" s="209"/>
      <c r="AU1144" s="209"/>
      <c r="AV1144" s="209"/>
      <c r="AW1144" s="209"/>
      <c r="AX1144" s="209"/>
      <c r="AY1144" s="209"/>
      <c r="AZ1144" s="209"/>
      <c r="BA1144" s="43" t="s">
        <v>89</v>
      </c>
      <c r="BB1144" s="209"/>
      <c r="BF1144" s="358"/>
      <c r="BG1144" s="73"/>
      <c r="BH1144" s="73"/>
      <c r="BI1144" s="73"/>
      <c r="BJ1144" s="73"/>
      <c r="BK1144" s="73"/>
      <c r="BL1144" s="73"/>
      <c r="BM1144" s="73"/>
      <c r="BN1144" s="73"/>
      <c r="BO1144" s="73"/>
      <c r="BP1144" s="73"/>
      <c r="BQ1144" s="73"/>
      <c r="BR1144" s="73"/>
      <c r="BS1144" s="73"/>
      <c r="BT1144" s="73"/>
      <c r="BU1144" s="73"/>
      <c r="BV1144" s="73"/>
      <c r="BW1144" s="74"/>
      <c r="BX1144" s="74"/>
      <c r="BY1144" s="63"/>
      <c r="BZ1144" s="63"/>
    </row>
    <row r="1145" ht="15.75" customHeight="1">
      <c r="A1145" s="209"/>
      <c r="B1145" s="209"/>
      <c r="C1145" s="209"/>
      <c r="D1145" s="209"/>
      <c r="E1145" s="209"/>
      <c r="F1145" s="78">
        <v>0.0</v>
      </c>
      <c r="G1145" s="44" t="str">
        <f t="shared" si="35"/>
        <v>$0 a $100'000.000</v>
      </c>
      <c r="H1145" s="44"/>
      <c r="I1145" s="44"/>
      <c r="J1145" s="209"/>
      <c r="K1145" s="209"/>
      <c r="L1145" s="209"/>
      <c r="M1145" s="209"/>
      <c r="N1145" s="209"/>
      <c r="O1145" s="209"/>
      <c r="P1145" s="209"/>
      <c r="Q1145" s="209"/>
      <c r="R1145" s="209"/>
      <c r="T1145" s="209"/>
      <c r="U1145" s="209"/>
      <c r="V1145" s="209"/>
      <c r="W1145" s="209"/>
      <c r="X1145" s="209"/>
      <c r="Y1145" s="209"/>
      <c r="AA1145" s="59" t="str">
        <f>IF(Rentabilidad=0,"No aplica",TEXT(ROUND(Precio/Rentabilidad/12,0),0) &amp; " años")</f>
        <v>No aplica</v>
      </c>
      <c r="AB1145" s="46"/>
      <c r="AC1145" s="357"/>
      <c r="AD1145" s="356"/>
      <c r="AF1145" s="205"/>
      <c r="AG1145" s="209"/>
      <c r="AJ1145" s="209"/>
      <c r="AK1145" s="209"/>
      <c r="AL1145" s="209"/>
      <c r="AM1145" s="209"/>
      <c r="AN1145" s="209"/>
      <c r="AO1145" s="209"/>
      <c r="AP1145" s="210"/>
      <c r="AQ1145" s="210"/>
      <c r="AR1145" s="210"/>
      <c r="AS1145" s="209"/>
      <c r="AT1145" s="209"/>
      <c r="AU1145" s="209"/>
      <c r="AV1145" s="209"/>
      <c r="AW1145" s="209"/>
      <c r="AX1145" s="209"/>
      <c r="AY1145" s="209"/>
      <c r="AZ1145" s="209"/>
      <c r="BA1145" s="209"/>
      <c r="BB1145" s="209"/>
      <c r="BF1145" s="358"/>
    </row>
    <row r="1146" ht="15.75" customHeight="1">
      <c r="A1146" s="209"/>
      <c r="B1146" s="209"/>
      <c r="C1146" s="209"/>
      <c r="D1146" s="209"/>
      <c r="E1146" s="209"/>
      <c r="F1146" s="78">
        <v>0.0</v>
      </c>
      <c r="G1146" s="44" t="str">
        <f t="shared" si="35"/>
        <v>$0 a $100'000.000</v>
      </c>
      <c r="H1146" s="44"/>
      <c r="I1146" s="44"/>
      <c r="J1146" s="209"/>
      <c r="K1146" s="209"/>
      <c r="L1146" s="209"/>
      <c r="M1146" s="209"/>
      <c r="N1146" s="209"/>
      <c r="O1146" s="209"/>
      <c r="P1146" s="209"/>
      <c r="Q1146" s="209"/>
      <c r="R1146" s="209"/>
      <c r="T1146" s="209"/>
      <c r="U1146" s="209"/>
      <c r="V1146" s="209"/>
      <c r="W1146" s="209"/>
      <c r="X1146" s="209"/>
      <c r="Y1146" s="209"/>
      <c r="AA1146" s="59" t="str">
        <f>IF(Rentabilidad=0,"No aplica",TEXT(ROUND(Precio/Rentabilidad/12,0),0) &amp; " años")</f>
        <v>No aplica</v>
      </c>
      <c r="AB1146" s="46"/>
      <c r="AC1146" s="357"/>
      <c r="AD1146" s="356"/>
      <c r="AF1146" s="205"/>
      <c r="AG1146" s="209"/>
      <c r="AJ1146" s="209"/>
      <c r="AK1146" s="209"/>
      <c r="AL1146" s="209"/>
      <c r="AM1146" s="209"/>
      <c r="AN1146" s="209"/>
      <c r="AO1146" s="209"/>
      <c r="AP1146" s="210"/>
      <c r="AQ1146" s="210"/>
      <c r="AR1146" s="210"/>
      <c r="AS1146" s="209"/>
      <c r="AT1146" s="209"/>
      <c r="AU1146" s="209"/>
      <c r="AV1146" s="209"/>
      <c r="AW1146" s="209"/>
      <c r="AX1146" s="209"/>
      <c r="AY1146" s="209"/>
      <c r="AZ1146" s="209"/>
      <c r="BA1146" s="209"/>
      <c r="BB1146" s="209"/>
      <c r="BF1146" s="358"/>
    </row>
    <row r="1147" ht="15.75" customHeight="1">
      <c r="A1147" s="209"/>
      <c r="B1147" s="209"/>
      <c r="C1147" s="209"/>
      <c r="D1147" s="209"/>
      <c r="E1147" s="209"/>
      <c r="F1147" s="78">
        <v>0.0</v>
      </c>
      <c r="G1147" s="44" t="str">
        <f t="shared" si="35"/>
        <v>$0 a $100'000.000</v>
      </c>
      <c r="H1147" s="44"/>
      <c r="I1147" s="44"/>
      <c r="J1147" s="209"/>
      <c r="K1147" s="209"/>
      <c r="L1147" s="209"/>
      <c r="M1147" s="209"/>
      <c r="N1147" s="209"/>
      <c r="O1147" s="209"/>
      <c r="P1147" s="209"/>
      <c r="Q1147" s="209"/>
      <c r="R1147" s="209"/>
      <c r="T1147" s="209"/>
      <c r="U1147" s="209"/>
      <c r="V1147" s="209"/>
      <c r="W1147" s="209"/>
      <c r="X1147" s="209"/>
      <c r="Y1147" s="209"/>
      <c r="AA1147" s="59" t="str">
        <f>IF(Rentabilidad=0,"No aplica",TEXT(ROUND(Precio/Rentabilidad/12,0),0) &amp; " años")</f>
        <v>No aplica</v>
      </c>
      <c r="AB1147" s="46"/>
      <c r="AC1147" s="357"/>
      <c r="AD1147" s="356"/>
      <c r="AF1147" s="205"/>
      <c r="AG1147" s="209"/>
      <c r="AJ1147" s="209"/>
      <c r="AK1147" s="209"/>
      <c r="AL1147" s="209"/>
      <c r="AM1147" s="209"/>
      <c r="AN1147" s="209"/>
      <c r="AO1147" s="209"/>
      <c r="AP1147" s="210"/>
      <c r="AQ1147" s="210"/>
      <c r="AR1147" s="210"/>
      <c r="AS1147" s="209"/>
      <c r="AT1147" s="209"/>
      <c r="AU1147" s="209"/>
      <c r="AV1147" s="209"/>
      <c r="AW1147" s="209"/>
      <c r="AX1147" s="209"/>
      <c r="AY1147" s="209"/>
      <c r="AZ1147" s="209"/>
      <c r="BA1147" s="209"/>
      <c r="BB1147" s="209"/>
      <c r="BF1147" s="358"/>
    </row>
    <row r="1148" ht="15.75" customHeight="1">
      <c r="A1148" s="201"/>
      <c r="B1148" s="74"/>
      <c r="C1148" s="74"/>
      <c r="D1148" s="74"/>
      <c r="E1148" s="156"/>
      <c r="F1148" s="78">
        <v>0.0</v>
      </c>
      <c r="G1148" s="44" t="str">
        <f t="shared" si="35"/>
        <v>$0 a $100'000.000</v>
      </c>
      <c r="H1148" s="44"/>
      <c r="I1148" s="44"/>
      <c r="J1148" s="74"/>
      <c r="K1148" s="359"/>
      <c r="L1148" s="74"/>
      <c r="M1148" s="74"/>
      <c r="N1148" s="74"/>
      <c r="O1148" s="74"/>
      <c r="P1148" s="74"/>
      <c r="Q1148" s="79"/>
      <c r="R1148" s="79"/>
      <c r="S1148" s="56" t="str">
        <f t="shared" ref="S1148:S1466" si="36">IF(AS1148=0," ","Rentabilidad $" &amp; TEXT(AS1148,"#,##0"))</f>
        <v> </v>
      </c>
      <c r="T1148" s="74"/>
      <c r="U1148" s="359"/>
      <c r="V1148" s="93"/>
      <c r="W1148" s="93"/>
      <c r="X1148" s="74"/>
      <c r="Y1148" s="74"/>
      <c r="Z1148" s="58"/>
      <c r="AA1148" s="59" t="str">
        <f>IF(Rentabilidad=0,"No aplica",TEXT(ROUND(Precio/Rentabilidad/12,0),0) &amp; " años")</f>
        <v>No aplica</v>
      </c>
      <c r="AB1148" s="360"/>
      <c r="AC1148" s="336"/>
      <c r="AD1148" s="62"/>
      <c r="AE1148" s="63"/>
      <c r="AF1148" s="45" t="s">
        <v>1383</v>
      </c>
      <c r="AG1148" s="63"/>
      <c r="AH1148" s="63"/>
      <c r="AI1148" s="74"/>
      <c r="AJ1148" s="156"/>
      <c r="AK1148" s="74"/>
      <c r="AL1148" s="156"/>
      <c r="AM1148" s="74"/>
      <c r="AN1148" s="156"/>
      <c r="AO1148" s="74"/>
      <c r="AP1148" s="361"/>
      <c r="AQ1148" s="361"/>
      <c r="AR1148" s="361"/>
      <c r="AS1148" s="93"/>
      <c r="AT1148" s="93"/>
      <c r="AU1148" s="93"/>
      <c r="AV1148" s="93"/>
      <c r="AW1148" s="93"/>
      <c r="AX1148" s="93"/>
      <c r="AY1148" s="93"/>
      <c r="AZ1148" s="93"/>
      <c r="BA1148" s="93"/>
      <c r="BB1148" s="93"/>
      <c r="BC1148" s="154"/>
      <c r="BD1148" s="155"/>
      <c r="BE1148" s="156"/>
      <c r="BF1148" s="299"/>
      <c r="BG1148" s="74"/>
      <c r="BH1148" s="74"/>
      <c r="BI1148" s="74"/>
      <c r="BJ1148" s="74"/>
      <c r="BK1148" s="74"/>
      <c r="BL1148" s="74"/>
      <c r="BM1148" s="74"/>
      <c r="BN1148" s="74"/>
      <c r="BO1148" s="74"/>
      <c r="BP1148" s="74"/>
      <c r="BQ1148" s="74"/>
      <c r="BR1148" s="74"/>
      <c r="BS1148" s="74"/>
      <c r="BT1148" s="74"/>
      <c r="BU1148" s="74"/>
      <c r="BV1148" s="74"/>
      <c r="BW1148" s="74"/>
      <c r="BX1148" s="74"/>
      <c r="BY1148" s="63"/>
      <c r="BZ1148" s="63"/>
    </row>
    <row r="1149" ht="15.75" customHeight="1">
      <c r="A1149" s="201"/>
      <c r="B1149" s="74"/>
      <c r="C1149" s="74"/>
      <c r="D1149" s="74"/>
      <c r="E1149" s="156"/>
      <c r="F1149" s="78">
        <v>0.0</v>
      </c>
      <c r="G1149" s="44" t="str">
        <f t="shared" si="35"/>
        <v>$0 a $100'000.000</v>
      </c>
      <c r="H1149" s="44"/>
      <c r="I1149" s="44"/>
      <c r="J1149" s="74"/>
      <c r="K1149" s="359"/>
      <c r="L1149" s="74"/>
      <c r="M1149" s="74"/>
      <c r="N1149" s="74"/>
      <c r="O1149" s="74"/>
      <c r="P1149" s="74"/>
      <c r="Q1149" s="79"/>
      <c r="R1149" s="79"/>
      <c r="S1149" s="56" t="str">
        <f t="shared" si="36"/>
        <v> </v>
      </c>
      <c r="T1149" s="74"/>
      <c r="U1149" s="359"/>
      <c r="V1149" s="93"/>
      <c r="W1149" s="93"/>
      <c r="X1149" s="74"/>
      <c r="Y1149" s="74"/>
      <c r="Z1149" s="58"/>
      <c r="AA1149" s="59" t="str">
        <f>IF(Rentabilidad=0,"No aplica",TEXT(ROUND(Precio/Rentabilidad/12,0),0) &amp; " años")</f>
        <v>No aplica</v>
      </c>
      <c r="AB1149" s="360"/>
      <c r="AC1149" s="336"/>
      <c r="AD1149" s="62"/>
      <c r="AE1149" s="63"/>
      <c r="AF1149" s="45" t="s">
        <v>1383</v>
      </c>
      <c r="AG1149" s="63"/>
      <c r="AH1149" s="63"/>
      <c r="AI1149" s="74"/>
      <c r="AJ1149" s="156"/>
      <c r="AK1149" s="74"/>
      <c r="AL1149" s="156"/>
      <c r="AM1149" s="74"/>
      <c r="AN1149" s="156"/>
      <c r="AO1149" s="74"/>
      <c r="AP1149" s="361"/>
      <c r="AQ1149" s="361"/>
      <c r="AR1149" s="361"/>
      <c r="AS1149" s="93"/>
      <c r="AT1149" s="93"/>
      <c r="AU1149" s="93"/>
      <c r="AV1149" s="93"/>
      <c r="AW1149" s="93"/>
      <c r="AX1149" s="93"/>
      <c r="AY1149" s="93"/>
      <c r="AZ1149" s="93"/>
      <c r="BA1149" s="93"/>
      <c r="BB1149" s="93"/>
      <c r="BC1149" s="154"/>
      <c r="BD1149" s="155"/>
      <c r="BE1149" s="156"/>
      <c r="BF1149" s="299"/>
      <c r="BG1149" s="74"/>
      <c r="BH1149" s="74"/>
      <c r="BI1149" s="74"/>
      <c r="BJ1149" s="74"/>
      <c r="BK1149" s="74"/>
      <c r="BL1149" s="74"/>
      <c r="BM1149" s="74"/>
      <c r="BN1149" s="74"/>
      <c r="BO1149" s="74"/>
      <c r="BP1149" s="74"/>
      <c r="BQ1149" s="74"/>
      <c r="BR1149" s="74"/>
      <c r="BS1149" s="74"/>
      <c r="BT1149" s="74"/>
      <c r="BU1149" s="74"/>
      <c r="BV1149" s="74"/>
      <c r="BW1149" s="74"/>
      <c r="BX1149" s="74"/>
      <c r="BY1149" s="63"/>
      <c r="BZ1149" s="63"/>
    </row>
    <row r="1150" ht="15.75" customHeight="1">
      <c r="A1150" s="201"/>
      <c r="B1150" s="74"/>
      <c r="C1150" s="74"/>
      <c r="D1150" s="74"/>
      <c r="E1150" s="156"/>
      <c r="F1150" s="78">
        <v>0.0</v>
      </c>
      <c r="G1150" s="44" t="str">
        <f t="shared" si="35"/>
        <v>$0 a $100'000.000</v>
      </c>
      <c r="H1150" s="44"/>
      <c r="I1150" s="44"/>
      <c r="J1150" s="74"/>
      <c r="K1150" s="359"/>
      <c r="L1150" s="74"/>
      <c r="M1150" s="74"/>
      <c r="N1150" s="74"/>
      <c r="O1150" s="74"/>
      <c r="P1150" s="74"/>
      <c r="Q1150" s="79"/>
      <c r="R1150" s="79"/>
      <c r="S1150" s="56" t="str">
        <f t="shared" si="36"/>
        <v> </v>
      </c>
      <c r="T1150" s="74"/>
      <c r="U1150" s="359"/>
      <c r="V1150" s="93"/>
      <c r="W1150" s="93"/>
      <c r="X1150" s="74"/>
      <c r="Y1150" s="74"/>
      <c r="Z1150" s="58"/>
      <c r="AA1150" s="59" t="str">
        <f>IF(Rentabilidad=0,"No aplica",TEXT(ROUND(Precio/Rentabilidad/12,0),0) &amp; " años")</f>
        <v>No aplica</v>
      </c>
      <c r="AB1150" s="360"/>
      <c r="AC1150" s="336"/>
      <c r="AD1150" s="62"/>
      <c r="AE1150" s="63"/>
      <c r="AF1150" s="45" t="s">
        <v>1383</v>
      </c>
      <c r="AG1150" s="63"/>
      <c r="AH1150" s="63"/>
      <c r="AI1150" s="74"/>
      <c r="AJ1150" s="156"/>
      <c r="AK1150" s="74"/>
      <c r="AL1150" s="156"/>
      <c r="AM1150" s="74"/>
      <c r="AN1150" s="156"/>
      <c r="AO1150" s="74"/>
      <c r="AP1150" s="361"/>
      <c r="AQ1150" s="361"/>
      <c r="AR1150" s="361"/>
      <c r="AS1150" s="93"/>
      <c r="AT1150" s="93"/>
      <c r="AU1150" s="93"/>
      <c r="AV1150" s="93"/>
      <c r="AW1150" s="93"/>
      <c r="AX1150" s="93"/>
      <c r="AY1150" s="93"/>
      <c r="AZ1150" s="93"/>
      <c r="BA1150" s="93"/>
      <c r="BB1150" s="93"/>
      <c r="BC1150" s="154"/>
      <c r="BD1150" s="155"/>
      <c r="BE1150" s="156"/>
      <c r="BF1150" s="299"/>
      <c r="BG1150" s="74"/>
      <c r="BH1150" s="74"/>
      <c r="BI1150" s="74"/>
      <c r="BJ1150" s="74"/>
      <c r="BK1150" s="74"/>
      <c r="BL1150" s="74"/>
      <c r="BM1150" s="74"/>
      <c r="BN1150" s="74"/>
      <c r="BO1150" s="74"/>
      <c r="BP1150" s="74"/>
      <c r="BQ1150" s="74"/>
      <c r="BR1150" s="74"/>
      <c r="BS1150" s="74"/>
      <c r="BT1150" s="74"/>
      <c r="BU1150" s="74"/>
      <c r="BV1150" s="74"/>
      <c r="BW1150" s="74"/>
      <c r="BX1150" s="74"/>
      <c r="BY1150" s="63"/>
      <c r="BZ1150" s="63"/>
    </row>
    <row r="1151" ht="15.75" customHeight="1">
      <c r="A1151" s="201"/>
      <c r="B1151" s="74"/>
      <c r="C1151" s="74"/>
      <c r="D1151" s="74"/>
      <c r="E1151" s="156"/>
      <c r="F1151" s="78">
        <v>0.0</v>
      </c>
      <c r="G1151" s="44" t="str">
        <f t="shared" si="35"/>
        <v>$0 a $100'000.000</v>
      </c>
      <c r="H1151" s="44"/>
      <c r="I1151" s="44"/>
      <c r="J1151" s="74"/>
      <c r="K1151" s="359"/>
      <c r="L1151" s="74"/>
      <c r="M1151" s="74"/>
      <c r="N1151" s="74"/>
      <c r="O1151" s="74"/>
      <c r="P1151" s="74"/>
      <c r="Q1151" s="79"/>
      <c r="R1151" s="79"/>
      <c r="S1151" s="56" t="str">
        <f t="shared" si="36"/>
        <v> </v>
      </c>
      <c r="T1151" s="74"/>
      <c r="U1151" s="359"/>
      <c r="V1151" s="93"/>
      <c r="W1151" s="93"/>
      <c r="X1151" s="74"/>
      <c r="Y1151" s="74"/>
      <c r="Z1151" s="58"/>
      <c r="AA1151" s="59" t="str">
        <f>IF(Rentabilidad=0,"No aplica",TEXT(ROUND(Precio/Rentabilidad/12,0),0) &amp; " años")</f>
        <v>No aplica</v>
      </c>
      <c r="AB1151" s="360"/>
      <c r="AC1151" s="336"/>
      <c r="AD1151" s="62"/>
      <c r="AE1151" s="63"/>
      <c r="AF1151" s="45" t="s">
        <v>1383</v>
      </c>
      <c r="AG1151" s="63"/>
      <c r="AH1151" s="63"/>
      <c r="AI1151" s="74"/>
      <c r="AJ1151" s="156"/>
      <c r="AK1151" s="74"/>
      <c r="AL1151" s="156"/>
      <c r="AM1151" s="74"/>
      <c r="AN1151" s="156"/>
      <c r="AO1151" s="74"/>
      <c r="AP1151" s="361"/>
      <c r="AQ1151" s="361"/>
      <c r="AR1151" s="361"/>
      <c r="AS1151" s="93"/>
      <c r="AT1151" s="93"/>
      <c r="AU1151" s="93"/>
      <c r="AV1151" s="93"/>
      <c r="AW1151" s="93"/>
      <c r="AX1151" s="93"/>
      <c r="AY1151" s="93"/>
      <c r="AZ1151" s="93"/>
      <c r="BA1151" s="93"/>
      <c r="BB1151" s="93"/>
      <c r="BC1151" s="154"/>
      <c r="BD1151" s="155"/>
      <c r="BE1151" s="156"/>
      <c r="BF1151" s="299"/>
      <c r="BG1151" s="74"/>
      <c r="BH1151" s="74"/>
      <c r="BI1151" s="74"/>
      <c r="BJ1151" s="74"/>
      <c r="BK1151" s="74"/>
      <c r="BL1151" s="74"/>
      <c r="BM1151" s="74"/>
      <c r="BN1151" s="74"/>
      <c r="BO1151" s="74"/>
      <c r="BP1151" s="74"/>
      <c r="BQ1151" s="74"/>
      <c r="BR1151" s="74"/>
      <c r="BS1151" s="74"/>
      <c r="BT1151" s="74"/>
      <c r="BU1151" s="74"/>
      <c r="BV1151" s="74"/>
      <c r="BW1151" s="74"/>
      <c r="BX1151" s="74"/>
      <c r="BY1151" s="63"/>
      <c r="BZ1151" s="63"/>
    </row>
    <row r="1152" ht="15.75" customHeight="1">
      <c r="A1152" s="201"/>
      <c r="B1152" s="74"/>
      <c r="C1152" s="74"/>
      <c r="D1152" s="74"/>
      <c r="E1152" s="156"/>
      <c r="F1152" s="78">
        <v>0.0</v>
      </c>
      <c r="G1152" s="44" t="str">
        <f t="shared" si="35"/>
        <v>$0 a $100'000.000</v>
      </c>
      <c r="H1152" s="44"/>
      <c r="I1152" s="44"/>
      <c r="J1152" s="74"/>
      <c r="K1152" s="359"/>
      <c r="L1152" s="74"/>
      <c r="M1152" s="74"/>
      <c r="N1152" s="74"/>
      <c r="O1152" s="74"/>
      <c r="P1152" s="74"/>
      <c r="Q1152" s="79"/>
      <c r="R1152" s="79"/>
      <c r="S1152" s="56" t="str">
        <f t="shared" si="36"/>
        <v> </v>
      </c>
      <c r="T1152" s="74"/>
      <c r="U1152" s="359"/>
      <c r="V1152" s="93"/>
      <c r="W1152" s="93"/>
      <c r="X1152" s="74"/>
      <c r="Y1152" s="74"/>
      <c r="Z1152" s="58"/>
      <c r="AA1152" s="59" t="str">
        <f>IF(Rentabilidad=0,"No aplica",TEXT(ROUND(Precio/Rentabilidad/12,0),0) &amp; " años")</f>
        <v>No aplica</v>
      </c>
      <c r="AB1152" s="360"/>
      <c r="AC1152" s="336"/>
      <c r="AD1152" s="62"/>
      <c r="AE1152" s="63"/>
      <c r="AF1152" s="45" t="s">
        <v>1383</v>
      </c>
      <c r="AG1152" s="63"/>
      <c r="AH1152" s="63"/>
      <c r="AI1152" s="74"/>
      <c r="AJ1152" s="156"/>
      <c r="AK1152" s="74"/>
      <c r="AL1152" s="156"/>
      <c r="AM1152" s="74"/>
      <c r="AN1152" s="156"/>
      <c r="AO1152" s="74"/>
      <c r="AP1152" s="361"/>
      <c r="AQ1152" s="361"/>
      <c r="AR1152" s="361"/>
      <c r="AS1152" s="93"/>
      <c r="AT1152" s="93"/>
      <c r="AU1152" s="93"/>
      <c r="AV1152" s="93"/>
      <c r="AW1152" s="93"/>
      <c r="AX1152" s="93"/>
      <c r="AY1152" s="93"/>
      <c r="AZ1152" s="93"/>
      <c r="BA1152" s="93"/>
      <c r="BB1152" s="93"/>
      <c r="BC1152" s="154"/>
      <c r="BD1152" s="155"/>
      <c r="BE1152" s="156"/>
      <c r="BF1152" s="299"/>
      <c r="BG1152" s="74"/>
      <c r="BH1152" s="74"/>
      <c r="BI1152" s="74"/>
      <c r="BJ1152" s="74"/>
      <c r="BK1152" s="74"/>
      <c r="BL1152" s="74"/>
      <c r="BM1152" s="74"/>
      <c r="BN1152" s="74"/>
      <c r="BO1152" s="74"/>
      <c r="BP1152" s="74"/>
      <c r="BQ1152" s="74"/>
      <c r="BR1152" s="74"/>
      <c r="BS1152" s="74"/>
      <c r="BT1152" s="74"/>
      <c r="BU1152" s="74"/>
      <c r="BV1152" s="74"/>
      <c r="BW1152" s="74"/>
      <c r="BX1152" s="74"/>
      <c r="BY1152" s="63"/>
      <c r="BZ1152" s="63"/>
    </row>
    <row r="1153" ht="15.75" customHeight="1">
      <c r="A1153" s="201"/>
      <c r="B1153" s="74"/>
      <c r="C1153" s="74"/>
      <c r="D1153" s="74"/>
      <c r="E1153" s="156"/>
      <c r="F1153" s="78">
        <v>0.0</v>
      </c>
      <c r="G1153" s="44" t="str">
        <f t="shared" si="35"/>
        <v>$0 a $100'000.000</v>
      </c>
      <c r="H1153" s="44"/>
      <c r="I1153" s="44"/>
      <c r="J1153" s="74"/>
      <c r="K1153" s="359"/>
      <c r="L1153" s="74"/>
      <c r="M1153" s="74"/>
      <c r="N1153" s="74"/>
      <c r="O1153" s="74"/>
      <c r="P1153" s="74"/>
      <c r="Q1153" s="79"/>
      <c r="R1153" s="79"/>
      <c r="S1153" s="56" t="str">
        <f t="shared" si="36"/>
        <v> </v>
      </c>
      <c r="T1153" s="74"/>
      <c r="U1153" s="359"/>
      <c r="V1153" s="93"/>
      <c r="W1153" s="93"/>
      <c r="X1153" s="74"/>
      <c r="Y1153" s="74"/>
      <c r="Z1153" s="58"/>
      <c r="AA1153" s="59" t="str">
        <f>IF(Rentabilidad=0,"No aplica",TEXT(ROUND(Precio/Rentabilidad/12,0),0) &amp; " años")</f>
        <v>No aplica</v>
      </c>
      <c r="AB1153" s="360"/>
      <c r="AC1153" s="336"/>
      <c r="AD1153" s="62"/>
      <c r="AE1153" s="63"/>
      <c r="AF1153" s="45" t="s">
        <v>1383</v>
      </c>
      <c r="AG1153" s="63"/>
      <c r="AH1153" s="63"/>
      <c r="AI1153" s="74"/>
      <c r="AJ1153" s="156"/>
      <c r="AK1153" s="74"/>
      <c r="AL1153" s="156"/>
      <c r="AM1153" s="74"/>
      <c r="AN1153" s="156"/>
      <c r="AO1153" s="74"/>
      <c r="AP1153" s="361"/>
      <c r="AQ1153" s="361"/>
      <c r="AR1153" s="361"/>
      <c r="AS1153" s="93"/>
      <c r="AT1153" s="93"/>
      <c r="AU1153" s="93"/>
      <c r="AV1153" s="93"/>
      <c r="AW1153" s="93"/>
      <c r="AX1153" s="93"/>
      <c r="AY1153" s="93"/>
      <c r="AZ1153" s="93"/>
      <c r="BA1153" s="93"/>
      <c r="BB1153" s="93"/>
      <c r="BC1153" s="154"/>
      <c r="BD1153" s="155"/>
      <c r="BE1153" s="156"/>
      <c r="BF1153" s="299"/>
      <c r="BG1153" s="74"/>
      <c r="BH1153" s="74"/>
      <c r="BI1153" s="74"/>
      <c r="BJ1153" s="74"/>
      <c r="BK1153" s="74"/>
      <c r="BL1153" s="74"/>
      <c r="BM1153" s="74"/>
      <c r="BN1153" s="74"/>
      <c r="BO1153" s="74"/>
      <c r="BP1153" s="74"/>
      <c r="BQ1153" s="74"/>
      <c r="BR1153" s="74"/>
      <c r="BS1153" s="74"/>
      <c r="BT1153" s="74"/>
      <c r="BU1153" s="74"/>
      <c r="BV1153" s="74"/>
      <c r="BW1153" s="74"/>
      <c r="BX1153" s="74"/>
      <c r="BY1153" s="63"/>
      <c r="BZ1153" s="63"/>
    </row>
    <row r="1154" ht="15.75" customHeight="1">
      <c r="A1154" s="201"/>
      <c r="B1154" s="74"/>
      <c r="C1154" s="74"/>
      <c r="D1154" s="74"/>
      <c r="E1154" s="156"/>
      <c r="F1154" s="78">
        <v>0.0</v>
      </c>
      <c r="G1154" s="44" t="str">
        <f t="shared" si="35"/>
        <v>$0 a $100'000.000</v>
      </c>
      <c r="H1154" s="44"/>
      <c r="I1154" s="44"/>
      <c r="J1154" s="74"/>
      <c r="K1154" s="359"/>
      <c r="L1154" s="74"/>
      <c r="M1154" s="74"/>
      <c r="N1154" s="74"/>
      <c r="O1154" s="74"/>
      <c r="P1154" s="74"/>
      <c r="Q1154" s="79"/>
      <c r="R1154" s="79"/>
      <c r="S1154" s="56" t="str">
        <f t="shared" si="36"/>
        <v> </v>
      </c>
      <c r="T1154" s="74"/>
      <c r="U1154" s="359"/>
      <c r="V1154" s="93"/>
      <c r="W1154" s="93"/>
      <c r="X1154" s="74"/>
      <c r="Y1154" s="74"/>
      <c r="Z1154" s="58"/>
      <c r="AA1154" s="59" t="str">
        <f>IF(Rentabilidad=0,"No aplica",TEXT(ROUND(Precio/Rentabilidad/12,0),0) &amp; " años")</f>
        <v>No aplica</v>
      </c>
      <c r="AB1154" s="360"/>
      <c r="AC1154" s="336"/>
      <c r="AD1154" s="62"/>
      <c r="AE1154" s="63"/>
      <c r="AF1154" s="156" t="s">
        <v>1383</v>
      </c>
      <c r="AG1154" s="63"/>
      <c r="AH1154" s="63"/>
      <c r="AI1154" s="74"/>
      <c r="AJ1154" s="156"/>
      <c r="AK1154" s="74"/>
      <c r="AL1154" s="156"/>
      <c r="AM1154" s="74"/>
      <c r="AN1154" s="156"/>
      <c r="AO1154" s="74"/>
      <c r="AP1154" s="361"/>
      <c r="AQ1154" s="361"/>
      <c r="AR1154" s="361"/>
      <c r="AS1154" s="93"/>
      <c r="AT1154" s="93"/>
      <c r="AU1154" s="93"/>
      <c r="AV1154" s="93"/>
      <c r="AW1154" s="93"/>
      <c r="AX1154" s="93"/>
      <c r="AY1154" s="93"/>
      <c r="AZ1154" s="93"/>
      <c r="BA1154" s="93"/>
      <c r="BB1154" s="93"/>
      <c r="BC1154" s="154"/>
      <c r="BD1154" s="155"/>
      <c r="BE1154" s="156"/>
      <c r="BF1154" s="299"/>
      <c r="BG1154" s="74"/>
      <c r="BH1154" s="74"/>
      <c r="BI1154" s="74"/>
      <c r="BJ1154" s="74"/>
      <c r="BK1154" s="74"/>
      <c r="BL1154" s="74"/>
      <c r="BM1154" s="74"/>
      <c r="BN1154" s="74"/>
      <c r="BO1154" s="74"/>
      <c r="BP1154" s="74"/>
      <c r="BQ1154" s="74"/>
      <c r="BR1154" s="74"/>
      <c r="BS1154" s="74"/>
      <c r="BT1154" s="74"/>
      <c r="BU1154" s="74"/>
      <c r="BV1154" s="74"/>
      <c r="BW1154" s="74"/>
      <c r="BX1154" s="74"/>
      <c r="BY1154" s="63"/>
      <c r="BZ1154" s="63"/>
    </row>
    <row r="1155" ht="15.75" customHeight="1">
      <c r="A1155" s="201"/>
      <c r="B1155" s="74"/>
      <c r="C1155" s="74"/>
      <c r="D1155" s="74"/>
      <c r="E1155" s="156"/>
      <c r="F1155" s="78">
        <v>0.0</v>
      </c>
      <c r="G1155" s="44" t="str">
        <f t="shared" si="35"/>
        <v>$0 a $100'000.000</v>
      </c>
      <c r="H1155" s="44"/>
      <c r="I1155" s="44"/>
      <c r="J1155" s="74"/>
      <c r="K1155" s="359"/>
      <c r="L1155" s="74"/>
      <c r="M1155" s="74"/>
      <c r="N1155" s="74"/>
      <c r="O1155" s="74"/>
      <c r="P1155" s="74"/>
      <c r="Q1155" s="79"/>
      <c r="R1155" s="79"/>
      <c r="S1155" s="56" t="str">
        <f t="shared" si="36"/>
        <v> </v>
      </c>
      <c r="T1155" s="74"/>
      <c r="U1155" s="359"/>
      <c r="V1155" s="93"/>
      <c r="W1155" s="93"/>
      <c r="X1155" s="74"/>
      <c r="Y1155" s="74"/>
      <c r="Z1155" s="58"/>
      <c r="AA1155" s="59" t="str">
        <f>IF(Rentabilidad=0,"No aplica",TEXT(ROUND(Precio/Rentabilidad/12,0),0) &amp; " años")</f>
        <v>No aplica</v>
      </c>
      <c r="AB1155" s="360"/>
      <c r="AC1155" s="336"/>
      <c r="AD1155" s="62"/>
      <c r="AE1155" s="63"/>
      <c r="AF1155" s="156" t="s">
        <v>1383</v>
      </c>
      <c r="AG1155" s="63"/>
      <c r="AH1155" s="63"/>
      <c r="AI1155" s="74"/>
      <c r="AJ1155" s="156"/>
      <c r="AK1155" s="74"/>
      <c r="AL1155" s="156"/>
      <c r="AM1155" s="74"/>
      <c r="AN1155" s="156"/>
      <c r="AO1155" s="74"/>
      <c r="AP1155" s="361"/>
      <c r="AQ1155" s="361"/>
      <c r="AR1155" s="361"/>
      <c r="AS1155" s="93"/>
      <c r="AT1155" s="93"/>
      <c r="AU1155" s="93"/>
      <c r="AV1155" s="93"/>
      <c r="AW1155" s="93"/>
      <c r="AX1155" s="93"/>
      <c r="AY1155" s="93"/>
      <c r="AZ1155" s="93"/>
      <c r="BA1155" s="93"/>
      <c r="BB1155" s="93"/>
      <c r="BC1155" s="154"/>
      <c r="BD1155" s="155"/>
      <c r="BE1155" s="156"/>
      <c r="BF1155" s="299"/>
      <c r="BG1155" s="74"/>
      <c r="BH1155" s="74"/>
      <c r="BI1155" s="74"/>
      <c r="BJ1155" s="74"/>
      <c r="BK1155" s="74"/>
      <c r="BL1155" s="74"/>
      <c r="BM1155" s="74"/>
      <c r="BN1155" s="74"/>
      <c r="BO1155" s="74"/>
      <c r="BP1155" s="74"/>
      <c r="BQ1155" s="74"/>
      <c r="BR1155" s="74"/>
      <c r="BS1155" s="74"/>
      <c r="BT1155" s="74"/>
      <c r="BU1155" s="74"/>
      <c r="BV1155" s="74"/>
      <c r="BW1155" s="74"/>
      <c r="BX1155" s="74"/>
      <c r="BY1155" s="63"/>
      <c r="BZ1155" s="63"/>
    </row>
    <row r="1156">
      <c r="A1156" s="201"/>
      <c r="B1156" s="74"/>
      <c r="C1156" s="74"/>
      <c r="D1156" s="74"/>
      <c r="E1156" s="156"/>
      <c r="F1156" s="78">
        <v>0.0</v>
      </c>
      <c r="G1156" s="44" t="str">
        <f t="shared" si="35"/>
        <v>$0 a $100'000.000</v>
      </c>
      <c r="H1156" s="44"/>
      <c r="I1156" s="44"/>
      <c r="J1156" s="74"/>
      <c r="K1156" s="359"/>
      <c r="L1156" s="74"/>
      <c r="M1156" s="74"/>
      <c r="N1156" s="74"/>
      <c r="O1156" s="74"/>
      <c r="P1156" s="74"/>
      <c r="Q1156" s="79"/>
      <c r="R1156" s="79"/>
      <c r="S1156" s="56" t="str">
        <f t="shared" si="36"/>
        <v> </v>
      </c>
      <c r="T1156" s="74"/>
      <c r="U1156" s="359"/>
      <c r="V1156" s="93"/>
      <c r="W1156" s="93"/>
      <c r="X1156" s="74"/>
      <c r="Y1156" s="74"/>
      <c r="Z1156" s="58"/>
      <c r="AA1156" s="59" t="str">
        <f>IF(Rentabilidad=0,"No aplica",TEXT(ROUND(Precio/Rentabilidad/12,0),0) &amp; " años")</f>
        <v>No aplica</v>
      </c>
      <c r="AB1156" s="360"/>
      <c r="AC1156" s="61"/>
      <c r="AD1156" s="62"/>
      <c r="AE1156" s="63"/>
      <c r="AF1156" s="156" t="s">
        <v>1383</v>
      </c>
      <c r="AG1156" s="63"/>
      <c r="AH1156" s="63"/>
      <c r="AI1156" s="74"/>
      <c r="AJ1156" s="156"/>
      <c r="AK1156" s="74"/>
      <c r="AL1156" s="156"/>
      <c r="AM1156" s="74"/>
      <c r="AN1156" s="156"/>
      <c r="AO1156" s="74"/>
      <c r="AP1156" s="361"/>
      <c r="AQ1156" s="361"/>
      <c r="AR1156" s="361"/>
      <c r="AS1156" s="93"/>
      <c r="AT1156" s="93"/>
      <c r="AU1156" s="93"/>
      <c r="AV1156" s="93"/>
      <c r="AW1156" s="93"/>
      <c r="AX1156" s="93"/>
      <c r="AY1156" s="93"/>
      <c r="AZ1156" s="93"/>
      <c r="BA1156" s="93"/>
      <c r="BB1156" s="93"/>
      <c r="BC1156" s="154"/>
      <c r="BD1156" s="155"/>
      <c r="BE1156" s="156"/>
      <c r="BF1156" s="299"/>
      <c r="BG1156" s="74"/>
      <c r="BH1156" s="74"/>
      <c r="BI1156" s="74"/>
      <c r="BJ1156" s="74"/>
      <c r="BK1156" s="74"/>
      <c r="BL1156" s="74"/>
      <c r="BM1156" s="74"/>
      <c r="BN1156" s="74"/>
      <c r="BO1156" s="74"/>
      <c r="BP1156" s="74"/>
      <c r="BQ1156" s="74"/>
      <c r="BR1156" s="74"/>
      <c r="BS1156" s="74"/>
      <c r="BT1156" s="74"/>
      <c r="BU1156" s="74"/>
      <c r="BV1156" s="74"/>
      <c r="BW1156" s="74"/>
      <c r="BX1156" s="74"/>
      <c r="BY1156" s="63"/>
      <c r="BZ1156" s="63"/>
    </row>
    <row r="1157">
      <c r="A1157" s="201"/>
      <c r="B1157" s="74"/>
      <c r="C1157" s="74"/>
      <c r="D1157" s="74"/>
      <c r="E1157" s="156"/>
      <c r="F1157" s="78">
        <v>0.0</v>
      </c>
      <c r="G1157" s="44" t="str">
        <f t="shared" si="35"/>
        <v>$0 a $100'000.000</v>
      </c>
      <c r="H1157" s="44"/>
      <c r="I1157" s="44"/>
      <c r="J1157" s="74"/>
      <c r="K1157" s="359"/>
      <c r="L1157" s="74"/>
      <c r="M1157" s="74"/>
      <c r="N1157" s="74"/>
      <c r="O1157" s="74"/>
      <c r="P1157" s="74"/>
      <c r="Q1157" s="79"/>
      <c r="R1157" s="79"/>
      <c r="S1157" s="56" t="str">
        <f t="shared" si="36"/>
        <v> </v>
      </c>
      <c r="T1157" s="74"/>
      <c r="U1157" s="359"/>
      <c r="V1157" s="93"/>
      <c r="W1157" s="93"/>
      <c r="X1157" s="74"/>
      <c r="Y1157" s="74"/>
      <c r="Z1157" s="58"/>
      <c r="AA1157" s="59" t="str">
        <f>IF(Rentabilidad=0,"No aplica",TEXT(ROUND(Precio/Rentabilidad/12,0),0) &amp; " años")</f>
        <v>No aplica</v>
      </c>
      <c r="AB1157" s="360"/>
      <c r="AC1157" s="61"/>
      <c r="AD1157" s="62"/>
      <c r="AE1157" s="63"/>
      <c r="AF1157" s="156" t="s">
        <v>1383</v>
      </c>
      <c r="AG1157" s="63"/>
      <c r="AH1157" s="63"/>
      <c r="AI1157" s="74"/>
      <c r="AJ1157" s="156"/>
      <c r="AK1157" s="74"/>
      <c r="AL1157" s="156"/>
      <c r="AM1157" s="74"/>
      <c r="AN1157" s="156"/>
      <c r="AO1157" s="74"/>
      <c r="AP1157" s="361"/>
      <c r="AQ1157" s="361"/>
      <c r="AR1157" s="361"/>
      <c r="AS1157" s="93"/>
      <c r="AT1157" s="93"/>
      <c r="AU1157" s="93"/>
      <c r="AV1157" s="93"/>
      <c r="AW1157" s="93"/>
      <c r="AX1157" s="93"/>
      <c r="AY1157" s="93"/>
      <c r="AZ1157" s="93"/>
      <c r="BA1157" s="93"/>
      <c r="BB1157" s="93"/>
      <c r="BC1157" s="154"/>
      <c r="BD1157" s="155"/>
      <c r="BE1157" s="156"/>
      <c r="BF1157" s="299"/>
      <c r="BG1157" s="74"/>
      <c r="BH1157" s="74"/>
      <c r="BI1157" s="74"/>
      <c r="BJ1157" s="74"/>
      <c r="BK1157" s="74"/>
      <c r="BL1157" s="74"/>
      <c r="BM1157" s="74"/>
      <c r="BN1157" s="74"/>
      <c r="BO1157" s="74"/>
      <c r="BP1157" s="74"/>
      <c r="BQ1157" s="74"/>
      <c r="BR1157" s="74"/>
      <c r="BS1157" s="74"/>
      <c r="BT1157" s="74"/>
      <c r="BU1157" s="74"/>
      <c r="BV1157" s="74"/>
      <c r="BW1157" s="74"/>
      <c r="BX1157" s="74"/>
      <c r="BY1157" s="63"/>
      <c r="BZ1157" s="63"/>
    </row>
    <row r="1158">
      <c r="A1158" s="201"/>
      <c r="B1158" s="74"/>
      <c r="C1158" s="74"/>
      <c r="D1158" s="74"/>
      <c r="E1158" s="156"/>
      <c r="F1158" s="78">
        <v>0.0</v>
      </c>
      <c r="G1158" s="44" t="str">
        <f t="shared" si="35"/>
        <v>$0 a $100'000.000</v>
      </c>
      <c r="H1158" s="44"/>
      <c r="I1158" s="44"/>
      <c r="J1158" s="74"/>
      <c r="K1158" s="359"/>
      <c r="L1158" s="74"/>
      <c r="M1158" s="74"/>
      <c r="N1158" s="74"/>
      <c r="O1158" s="74"/>
      <c r="P1158" s="74"/>
      <c r="Q1158" s="79"/>
      <c r="R1158" s="79"/>
      <c r="S1158" s="56" t="str">
        <f t="shared" si="36"/>
        <v> </v>
      </c>
      <c r="T1158" s="74"/>
      <c r="U1158" s="359"/>
      <c r="V1158" s="93"/>
      <c r="W1158" s="93"/>
      <c r="X1158" s="74"/>
      <c r="Y1158" s="74"/>
      <c r="Z1158" s="58"/>
      <c r="AA1158" s="59" t="str">
        <f>IF(Rentabilidad=0,"No aplica",TEXT(ROUND(Precio/Rentabilidad/12,0),0) &amp; " años")</f>
        <v>No aplica</v>
      </c>
      <c r="AB1158" s="360"/>
      <c r="AC1158" s="61"/>
      <c r="AD1158" s="62"/>
      <c r="AE1158" s="63"/>
      <c r="AF1158" s="156" t="s">
        <v>1383</v>
      </c>
      <c r="AG1158" s="63"/>
      <c r="AH1158" s="63"/>
      <c r="AI1158" s="74"/>
      <c r="AJ1158" s="156"/>
      <c r="AK1158" s="74"/>
      <c r="AL1158" s="156"/>
      <c r="AM1158" s="74"/>
      <c r="AN1158" s="156"/>
      <c r="AO1158" s="74"/>
      <c r="AP1158" s="361"/>
      <c r="AQ1158" s="361"/>
      <c r="AR1158" s="361"/>
      <c r="AS1158" s="93"/>
      <c r="AT1158" s="93"/>
      <c r="AU1158" s="93"/>
      <c r="AV1158" s="93"/>
      <c r="AW1158" s="93"/>
      <c r="AX1158" s="93"/>
      <c r="AY1158" s="93"/>
      <c r="AZ1158" s="93"/>
      <c r="BA1158" s="93"/>
      <c r="BB1158" s="93"/>
      <c r="BC1158" s="154"/>
      <c r="BD1158" s="155"/>
      <c r="BE1158" s="156"/>
      <c r="BF1158" s="299"/>
      <c r="BG1158" s="74"/>
      <c r="BH1158" s="74"/>
      <c r="BI1158" s="74"/>
      <c r="BJ1158" s="74"/>
      <c r="BK1158" s="74"/>
      <c r="BL1158" s="74"/>
      <c r="BM1158" s="74"/>
      <c r="BN1158" s="74"/>
      <c r="BO1158" s="74"/>
      <c r="BP1158" s="74"/>
      <c r="BQ1158" s="74"/>
      <c r="BR1158" s="74"/>
      <c r="BS1158" s="74"/>
      <c r="BT1158" s="74"/>
      <c r="BU1158" s="74"/>
      <c r="BV1158" s="74"/>
      <c r="BW1158" s="74"/>
      <c r="BX1158" s="74"/>
      <c r="BY1158" s="63"/>
      <c r="BZ1158" s="63"/>
    </row>
    <row r="1159">
      <c r="A1159" s="201"/>
      <c r="B1159" s="74"/>
      <c r="C1159" s="74"/>
      <c r="D1159" s="74"/>
      <c r="E1159" s="156"/>
      <c r="F1159" s="78">
        <v>0.0</v>
      </c>
      <c r="G1159" s="44" t="str">
        <f t="shared" si="35"/>
        <v>$0 a $100'000.000</v>
      </c>
      <c r="H1159" s="44"/>
      <c r="I1159" s="44"/>
      <c r="J1159" s="74"/>
      <c r="K1159" s="359"/>
      <c r="L1159" s="74"/>
      <c r="M1159" s="74"/>
      <c r="N1159" s="74"/>
      <c r="O1159" s="74"/>
      <c r="P1159" s="74"/>
      <c r="Q1159" s="79"/>
      <c r="R1159" s="79"/>
      <c r="S1159" s="56" t="str">
        <f t="shared" si="36"/>
        <v> </v>
      </c>
      <c r="T1159" s="74"/>
      <c r="U1159" s="359"/>
      <c r="V1159" s="74"/>
      <c r="W1159" s="74"/>
      <c r="X1159" s="74"/>
      <c r="Y1159" s="74"/>
      <c r="Z1159" s="58"/>
      <c r="AA1159" s="59" t="str">
        <f>IF(Rentabilidad=0,"No aplica",TEXT(ROUND(Precio/Rentabilidad/12,0),0) &amp; " años")</f>
        <v>No aplica</v>
      </c>
      <c r="AB1159" s="360"/>
      <c r="AC1159" s="61"/>
      <c r="AD1159" s="62"/>
      <c r="AE1159" s="63"/>
      <c r="AF1159" s="156" t="s">
        <v>1383</v>
      </c>
      <c r="AG1159" s="63"/>
      <c r="AH1159" s="63"/>
      <c r="AI1159" s="74"/>
      <c r="AJ1159" s="156"/>
      <c r="AK1159" s="74"/>
      <c r="AL1159" s="156"/>
      <c r="AM1159" s="74"/>
      <c r="AN1159" s="156"/>
      <c r="AO1159" s="74"/>
      <c r="AP1159" s="361"/>
      <c r="AQ1159" s="361"/>
      <c r="AR1159" s="361"/>
      <c r="AS1159" s="93"/>
      <c r="AT1159" s="93"/>
      <c r="AU1159" s="93"/>
      <c r="AV1159" s="93"/>
      <c r="AW1159" s="93"/>
      <c r="AX1159" s="93"/>
      <c r="AY1159" s="93"/>
      <c r="AZ1159" s="93"/>
      <c r="BA1159" s="93"/>
      <c r="BB1159" s="93"/>
      <c r="BC1159" s="154"/>
      <c r="BD1159" s="155"/>
      <c r="BE1159" s="156"/>
      <c r="BF1159" s="299"/>
      <c r="BG1159" s="74"/>
      <c r="BH1159" s="74"/>
      <c r="BI1159" s="74"/>
      <c r="BJ1159" s="74"/>
      <c r="BK1159" s="74"/>
      <c r="BL1159" s="74"/>
      <c r="BM1159" s="74"/>
      <c r="BN1159" s="74"/>
      <c r="BO1159" s="74"/>
      <c r="BP1159" s="74"/>
      <c r="BQ1159" s="74"/>
      <c r="BR1159" s="74"/>
      <c r="BS1159" s="74"/>
      <c r="BT1159" s="74"/>
      <c r="BU1159" s="74"/>
      <c r="BV1159" s="74"/>
      <c r="BW1159" s="74"/>
      <c r="BX1159" s="74"/>
      <c r="BY1159" s="63"/>
      <c r="BZ1159" s="63"/>
    </row>
    <row r="1160" ht="15.75" customHeight="1">
      <c r="A1160" s="201"/>
      <c r="B1160" s="74"/>
      <c r="C1160" s="74"/>
      <c r="D1160" s="74"/>
      <c r="E1160" s="156"/>
      <c r="F1160" s="78">
        <v>0.0</v>
      </c>
      <c r="G1160" s="44" t="str">
        <f t="shared" si="35"/>
        <v>$0 a $100'000.000</v>
      </c>
      <c r="H1160" s="44"/>
      <c r="I1160" s="44"/>
      <c r="J1160" s="74"/>
      <c r="K1160" s="359"/>
      <c r="L1160" s="74"/>
      <c r="M1160" s="74"/>
      <c r="N1160" s="74"/>
      <c r="O1160" s="74"/>
      <c r="P1160" s="74"/>
      <c r="Q1160" s="74"/>
      <c r="R1160" s="362"/>
      <c r="S1160" s="56" t="str">
        <f t="shared" si="36"/>
        <v> </v>
      </c>
      <c r="T1160" s="74"/>
      <c r="U1160" s="359"/>
      <c r="V1160" s="74"/>
      <c r="W1160" s="74"/>
      <c r="X1160" s="74"/>
      <c r="Y1160" s="74"/>
      <c r="Z1160" s="58"/>
      <c r="AA1160" s="59" t="str">
        <f>IF(Rentabilidad=0,"No aplica",TEXT(ROUND(Precio/Rentabilidad/12,0),0) &amp; " años")</f>
        <v>No aplica</v>
      </c>
      <c r="AB1160" s="360"/>
      <c r="AC1160" s="61"/>
      <c r="AD1160" s="62"/>
      <c r="AE1160" s="63"/>
      <c r="AF1160" s="156" t="s">
        <v>1383</v>
      </c>
      <c r="AG1160" s="63"/>
      <c r="AH1160" s="63"/>
      <c r="AI1160" s="74"/>
      <c r="AJ1160" s="156"/>
      <c r="AK1160" s="74"/>
      <c r="AL1160" s="156"/>
      <c r="AM1160" s="74"/>
      <c r="AN1160" s="156"/>
      <c r="AO1160" s="74"/>
      <c r="AP1160" s="361"/>
      <c r="AQ1160" s="361"/>
      <c r="AR1160" s="361"/>
      <c r="AS1160" s="93"/>
      <c r="AT1160" s="93"/>
      <c r="AU1160" s="93"/>
      <c r="AV1160" s="93"/>
      <c r="AW1160" s="93"/>
      <c r="AX1160" s="93"/>
      <c r="AY1160" s="93"/>
      <c r="AZ1160" s="93"/>
      <c r="BA1160" s="93"/>
      <c r="BB1160" s="93"/>
      <c r="BC1160" s="154"/>
      <c r="BD1160" s="155"/>
      <c r="BE1160" s="156"/>
      <c r="BF1160" s="299"/>
      <c r="BG1160" s="74"/>
      <c r="BH1160" s="74"/>
      <c r="BI1160" s="74"/>
      <c r="BJ1160" s="74"/>
      <c r="BK1160" s="74"/>
      <c r="BL1160" s="74"/>
      <c r="BM1160" s="74"/>
      <c r="BN1160" s="74"/>
      <c r="BO1160" s="74"/>
      <c r="BP1160" s="74"/>
      <c r="BQ1160" s="74"/>
      <c r="BR1160" s="74"/>
      <c r="BS1160" s="74"/>
      <c r="BT1160" s="74"/>
      <c r="BU1160" s="74"/>
      <c r="BV1160" s="74"/>
      <c r="BW1160" s="74"/>
      <c r="BX1160" s="74"/>
      <c r="BY1160" s="63"/>
      <c r="BZ1160" s="63"/>
    </row>
    <row r="1161" ht="15.75" customHeight="1">
      <c r="A1161" s="201"/>
      <c r="B1161" s="74"/>
      <c r="C1161" s="74"/>
      <c r="D1161" s="74"/>
      <c r="E1161" s="156"/>
      <c r="F1161" s="78">
        <v>0.0</v>
      </c>
      <c r="G1161" s="44" t="str">
        <f t="shared" si="35"/>
        <v>$0 a $100'000.000</v>
      </c>
      <c r="H1161" s="44"/>
      <c r="I1161" s="44"/>
      <c r="J1161" s="74"/>
      <c r="K1161" s="359"/>
      <c r="L1161" s="74"/>
      <c r="M1161" s="74"/>
      <c r="N1161" s="74"/>
      <c r="O1161" s="74"/>
      <c r="P1161" s="74"/>
      <c r="Q1161" s="74"/>
      <c r="R1161" s="362"/>
      <c r="S1161" s="56" t="str">
        <f t="shared" si="36"/>
        <v> </v>
      </c>
      <c r="T1161" s="74"/>
      <c r="U1161" s="359"/>
      <c r="V1161" s="74"/>
      <c r="W1161" s="74"/>
      <c r="X1161" s="74"/>
      <c r="Y1161" s="74"/>
      <c r="Z1161" s="58"/>
      <c r="AA1161" s="59" t="str">
        <f>IF(Rentabilidad=0,"No aplica",TEXT(ROUND(Precio/Rentabilidad/12,0),0) &amp; " años")</f>
        <v>No aplica</v>
      </c>
      <c r="AB1161" s="360"/>
      <c r="AC1161" s="61"/>
      <c r="AD1161" s="62"/>
      <c r="AE1161" s="63"/>
      <c r="AF1161" s="156" t="s">
        <v>1383</v>
      </c>
      <c r="AG1161" s="63"/>
      <c r="AH1161" s="63"/>
      <c r="AI1161" s="74"/>
      <c r="AJ1161" s="156"/>
      <c r="AK1161" s="74"/>
      <c r="AL1161" s="156"/>
      <c r="AM1161" s="74"/>
      <c r="AN1161" s="156"/>
      <c r="AO1161" s="74"/>
      <c r="AP1161" s="361"/>
      <c r="AQ1161" s="361"/>
      <c r="AR1161" s="361"/>
      <c r="AS1161" s="93"/>
      <c r="AT1161" s="93"/>
      <c r="AU1161" s="93"/>
      <c r="AV1161" s="93"/>
      <c r="AW1161" s="93"/>
      <c r="AX1161" s="93"/>
      <c r="AY1161" s="93"/>
      <c r="AZ1161" s="93"/>
      <c r="BA1161" s="93"/>
      <c r="BB1161" s="93"/>
      <c r="BC1161" s="154"/>
      <c r="BD1161" s="155"/>
      <c r="BE1161" s="156"/>
      <c r="BF1161" s="299"/>
      <c r="BG1161" s="74"/>
      <c r="BH1161" s="74"/>
      <c r="BI1161" s="74"/>
      <c r="BJ1161" s="74"/>
      <c r="BK1161" s="74"/>
      <c r="BL1161" s="74"/>
      <c r="BM1161" s="74"/>
      <c r="BN1161" s="74"/>
      <c r="BO1161" s="74"/>
      <c r="BP1161" s="74"/>
      <c r="BQ1161" s="74"/>
      <c r="BR1161" s="74"/>
      <c r="BS1161" s="74"/>
      <c r="BT1161" s="74"/>
      <c r="BU1161" s="74"/>
      <c r="BV1161" s="74"/>
      <c r="BW1161" s="74"/>
      <c r="BX1161" s="74"/>
      <c r="BY1161" s="63"/>
      <c r="BZ1161" s="63"/>
    </row>
    <row r="1162" ht="15.75" customHeight="1">
      <c r="A1162" s="201"/>
      <c r="B1162" s="74"/>
      <c r="C1162" s="74"/>
      <c r="D1162" s="74"/>
      <c r="E1162" s="156"/>
      <c r="F1162" s="78">
        <v>0.0</v>
      </c>
      <c r="G1162" s="44" t="str">
        <f t="shared" si="35"/>
        <v>$0 a $100'000.000</v>
      </c>
      <c r="H1162" s="44"/>
      <c r="I1162" s="44"/>
      <c r="J1162" s="74"/>
      <c r="K1162" s="359"/>
      <c r="L1162" s="74"/>
      <c r="M1162" s="74"/>
      <c r="N1162" s="74"/>
      <c r="O1162" s="74"/>
      <c r="P1162" s="74"/>
      <c r="Q1162" s="74"/>
      <c r="R1162" s="362"/>
      <c r="S1162" s="56" t="str">
        <f t="shared" si="36"/>
        <v> </v>
      </c>
      <c r="T1162" s="74"/>
      <c r="U1162" s="359"/>
      <c r="V1162" s="74"/>
      <c r="W1162" s="74"/>
      <c r="X1162" s="74"/>
      <c r="Y1162" s="74"/>
      <c r="Z1162" s="58"/>
      <c r="AA1162" s="59" t="str">
        <f>IF(Rentabilidad=0,"No aplica",TEXT(ROUND(Precio/Rentabilidad/12,0),0) &amp; " años")</f>
        <v>No aplica</v>
      </c>
      <c r="AB1162" s="360"/>
      <c r="AC1162" s="61"/>
      <c r="AD1162" s="62"/>
      <c r="AE1162" s="63"/>
      <c r="AF1162" s="156" t="s">
        <v>1383</v>
      </c>
      <c r="AG1162" s="63"/>
      <c r="AH1162" s="63"/>
      <c r="AI1162" s="74"/>
      <c r="AJ1162" s="156"/>
      <c r="AK1162" s="74"/>
      <c r="AL1162" s="156"/>
      <c r="AM1162" s="74"/>
      <c r="AN1162" s="156"/>
      <c r="AO1162" s="74"/>
      <c r="AP1162" s="361"/>
      <c r="AQ1162" s="361"/>
      <c r="AR1162" s="361"/>
      <c r="AS1162" s="93"/>
      <c r="AT1162" s="93"/>
      <c r="AU1162" s="93"/>
      <c r="AV1162" s="93"/>
      <c r="AW1162" s="93"/>
      <c r="AX1162" s="93"/>
      <c r="AY1162" s="93"/>
      <c r="AZ1162" s="93"/>
      <c r="BA1162" s="93"/>
      <c r="BB1162" s="93"/>
      <c r="BC1162" s="154"/>
      <c r="BD1162" s="155"/>
      <c r="BE1162" s="156"/>
      <c r="BF1162" s="299"/>
      <c r="BG1162" s="74"/>
      <c r="BH1162" s="74"/>
      <c r="BI1162" s="74"/>
      <c r="BJ1162" s="74"/>
      <c r="BK1162" s="74"/>
      <c r="BL1162" s="74"/>
      <c r="BM1162" s="74"/>
      <c r="BN1162" s="74"/>
      <c r="BO1162" s="74"/>
      <c r="BP1162" s="74"/>
      <c r="BQ1162" s="74"/>
      <c r="BR1162" s="74"/>
      <c r="BS1162" s="74"/>
      <c r="BT1162" s="74"/>
      <c r="BU1162" s="74"/>
      <c r="BV1162" s="74"/>
      <c r="BW1162" s="74"/>
      <c r="BX1162" s="74"/>
      <c r="BY1162" s="63"/>
      <c r="BZ1162" s="63"/>
    </row>
    <row r="1163" ht="15.75" customHeight="1">
      <c r="A1163" s="201"/>
      <c r="B1163" s="74"/>
      <c r="C1163" s="74"/>
      <c r="D1163" s="74"/>
      <c r="E1163" s="156"/>
      <c r="F1163" s="78">
        <v>0.0</v>
      </c>
      <c r="G1163" s="44" t="str">
        <f t="shared" si="35"/>
        <v>$0 a $100'000.000</v>
      </c>
      <c r="H1163" s="44"/>
      <c r="I1163" s="44"/>
      <c r="J1163" s="74"/>
      <c r="K1163" s="359"/>
      <c r="L1163" s="74"/>
      <c r="M1163" s="74"/>
      <c r="N1163" s="74"/>
      <c r="O1163" s="74"/>
      <c r="P1163" s="74"/>
      <c r="Q1163" s="74"/>
      <c r="R1163" s="362"/>
      <c r="S1163" s="56" t="str">
        <f t="shared" si="36"/>
        <v> </v>
      </c>
      <c r="T1163" s="74"/>
      <c r="U1163" s="359"/>
      <c r="V1163" s="74"/>
      <c r="W1163" s="74"/>
      <c r="X1163" s="74"/>
      <c r="Y1163" s="74"/>
      <c r="Z1163" s="58"/>
      <c r="AA1163" s="59" t="str">
        <f>IF(Rentabilidad=0,"No aplica",TEXT(ROUND(Precio/Rentabilidad/12,0),0) &amp; " años")</f>
        <v>No aplica</v>
      </c>
      <c r="AB1163" s="360"/>
      <c r="AC1163" s="61"/>
      <c r="AD1163" s="62"/>
      <c r="AE1163" s="63"/>
      <c r="AF1163" s="156" t="s">
        <v>1383</v>
      </c>
      <c r="AG1163" s="63"/>
      <c r="AH1163" s="63"/>
      <c r="AI1163" s="74"/>
      <c r="AJ1163" s="156"/>
      <c r="AK1163" s="74"/>
      <c r="AL1163" s="156"/>
      <c r="AM1163" s="74"/>
      <c r="AN1163" s="156"/>
      <c r="AO1163" s="74"/>
      <c r="AP1163" s="361"/>
      <c r="AQ1163" s="361"/>
      <c r="AR1163" s="361"/>
      <c r="AS1163" s="93"/>
      <c r="AT1163" s="93"/>
      <c r="AU1163" s="93"/>
      <c r="AV1163" s="93"/>
      <c r="AW1163" s="93"/>
      <c r="AX1163" s="93"/>
      <c r="AY1163" s="93"/>
      <c r="AZ1163" s="93"/>
      <c r="BA1163" s="93"/>
      <c r="BB1163" s="93"/>
      <c r="BC1163" s="154"/>
      <c r="BD1163" s="155"/>
      <c r="BE1163" s="156"/>
      <c r="BF1163" s="299"/>
      <c r="BG1163" s="74"/>
      <c r="BH1163" s="74"/>
      <c r="BI1163" s="74"/>
      <c r="BJ1163" s="74"/>
      <c r="BK1163" s="74"/>
      <c r="BL1163" s="74"/>
      <c r="BM1163" s="74"/>
      <c r="BN1163" s="74"/>
      <c r="BO1163" s="74"/>
      <c r="BP1163" s="74"/>
      <c r="BQ1163" s="74"/>
      <c r="BR1163" s="74"/>
      <c r="BS1163" s="74"/>
      <c r="BT1163" s="74"/>
      <c r="BU1163" s="74"/>
      <c r="BV1163" s="74"/>
      <c r="BW1163" s="74"/>
      <c r="BX1163" s="74"/>
      <c r="BY1163" s="63"/>
      <c r="BZ1163" s="63"/>
    </row>
    <row r="1164" ht="15.75" customHeight="1">
      <c r="A1164" s="201"/>
      <c r="B1164" s="74"/>
      <c r="C1164" s="74"/>
      <c r="D1164" s="74"/>
      <c r="E1164" s="156"/>
      <c r="F1164" s="78">
        <v>0.0</v>
      </c>
      <c r="G1164" s="44" t="str">
        <f t="shared" si="35"/>
        <v>$0 a $100'000.000</v>
      </c>
      <c r="H1164" s="44"/>
      <c r="I1164" s="44"/>
      <c r="J1164" s="74"/>
      <c r="K1164" s="359"/>
      <c r="L1164" s="74"/>
      <c r="M1164" s="74"/>
      <c r="N1164" s="74"/>
      <c r="O1164" s="74"/>
      <c r="P1164" s="74"/>
      <c r="Q1164" s="74"/>
      <c r="R1164" s="362"/>
      <c r="S1164" s="56" t="str">
        <f t="shared" si="36"/>
        <v> </v>
      </c>
      <c r="T1164" s="74"/>
      <c r="U1164" s="359"/>
      <c r="V1164" s="74"/>
      <c r="W1164" s="74"/>
      <c r="X1164" s="74"/>
      <c r="Y1164" s="74"/>
      <c r="Z1164" s="58"/>
      <c r="AA1164" s="59" t="str">
        <f>IF(Rentabilidad=0,"No aplica",TEXT(ROUND(Precio/Rentabilidad/12,0),0) &amp; " años")</f>
        <v>No aplica</v>
      </c>
      <c r="AB1164" s="360"/>
      <c r="AC1164" s="61"/>
      <c r="AD1164" s="62"/>
      <c r="AE1164" s="63"/>
      <c r="AF1164" s="156" t="s">
        <v>1383</v>
      </c>
      <c r="AG1164" s="63"/>
      <c r="AH1164" s="63"/>
      <c r="AI1164" s="74"/>
      <c r="AJ1164" s="156"/>
      <c r="AK1164" s="74"/>
      <c r="AL1164" s="156"/>
      <c r="AM1164" s="74"/>
      <c r="AN1164" s="156"/>
      <c r="AO1164" s="74"/>
      <c r="AP1164" s="361"/>
      <c r="AQ1164" s="361"/>
      <c r="AR1164" s="361"/>
      <c r="AS1164" s="93"/>
      <c r="AT1164" s="93"/>
      <c r="AU1164" s="93"/>
      <c r="AV1164" s="93"/>
      <c r="AW1164" s="93"/>
      <c r="AX1164" s="93"/>
      <c r="AY1164" s="93"/>
      <c r="AZ1164" s="93"/>
      <c r="BA1164" s="93"/>
      <c r="BB1164" s="93"/>
      <c r="BC1164" s="154"/>
      <c r="BD1164" s="155"/>
      <c r="BE1164" s="156"/>
      <c r="BF1164" s="299"/>
      <c r="BG1164" s="74"/>
      <c r="BH1164" s="74"/>
      <c r="BI1164" s="74"/>
      <c r="BJ1164" s="74"/>
      <c r="BK1164" s="74"/>
      <c r="BL1164" s="74"/>
      <c r="BM1164" s="74"/>
      <c r="BN1164" s="74"/>
      <c r="BO1164" s="74"/>
      <c r="BP1164" s="74"/>
      <c r="BQ1164" s="74"/>
      <c r="BR1164" s="74"/>
      <c r="BS1164" s="74"/>
      <c r="BT1164" s="74"/>
      <c r="BU1164" s="74"/>
      <c r="BV1164" s="74"/>
      <c r="BW1164" s="74"/>
      <c r="BX1164" s="74"/>
      <c r="BY1164" s="63"/>
      <c r="BZ1164" s="63"/>
    </row>
    <row r="1165" ht="15.75" customHeight="1">
      <c r="A1165" s="201"/>
      <c r="B1165" s="74"/>
      <c r="C1165" s="74"/>
      <c r="D1165" s="74"/>
      <c r="E1165" s="156"/>
      <c r="F1165" s="78">
        <v>0.0</v>
      </c>
      <c r="G1165" s="44" t="str">
        <f t="shared" si="35"/>
        <v>$0 a $100'000.000</v>
      </c>
      <c r="H1165" s="44"/>
      <c r="I1165" s="44"/>
      <c r="J1165" s="74"/>
      <c r="K1165" s="359"/>
      <c r="L1165" s="74"/>
      <c r="M1165" s="74"/>
      <c r="N1165" s="74"/>
      <c r="O1165" s="74"/>
      <c r="P1165" s="74"/>
      <c r="Q1165" s="74"/>
      <c r="R1165" s="362"/>
      <c r="S1165" s="56" t="str">
        <f t="shared" si="36"/>
        <v> </v>
      </c>
      <c r="T1165" s="74"/>
      <c r="U1165" s="359"/>
      <c r="V1165" s="74"/>
      <c r="W1165" s="74"/>
      <c r="X1165" s="74"/>
      <c r="Y1165" s="74"/>
      <c r="Z1165" s="58"/>
      <c r="AA1165" s="59" t="str">
        <f>IF(Rentabilidad=0,"No aplica",TEXT(ROUND(Precio/Rentabilidad/12,0),0) &amp; " años")</f>
        <v>No aplica</v>
      </c>
      <c r="AB1165" s="360"/>
      <c r="AC1165" s="61"/>
      <c r="AD1165" s="62"/>
      <c r="AE1165" s="63"/>
      <c r="AF1165" s="156" t="s">
        <v>1383</v>
      </c>
      <c r="AG1165" s="63"/>
      <c r="AH1165" s="63"/>
      <c r="AI1165" s="74"/>
      <c r="AJ1165" s="156"/>
      <c r="AK1165" s="74"/>
      <c r="AL1165" s="156"/>
      <c r="AM1165" s="74"/>
      <c r="AN1165" s="156"/>
      <c r="AO1165" s="74"/>
      <c r="AP1165" s="361"/>
      <c r="AQ1165" s="361"/>
      <c r="AR1165" s="361"/>
      <c r="AS1165" s="93"/>
      <c r="AT1165" s="93"/>
      <c r="AU1165" s="93"/>
      <c r="AV1165" s="93"/>
      <c r="AW1165" s="93"/>
      <c r="AX1165" s="93"/>
      <c r="AY1165" s="93"/>
      <c r="AZ1165" s="93"/>
      <c r="BA1165" s="93"/>
      <c r="BB1165" s="93"/>
      <c r="BC1165" s="154"/>
      <c r="BD1165" s="155"/>
      <c r="BE1165" s="156"/>
      <c r="BF1165" s="299"/>
      <c r="BG1165" s="74"/>
      <c r="BH1165" s="74"/>
      <c r="BI1165" s="74"/>
      <c r="BJ1165" s="74"/>
      <c r="BK1165" s="74"/>
      <c r="BL1165" s="74"/>
      <c r="BM1165" s="74"/>
      <c r="BN1165" s="74"/>
      <c r="BO1165" s="74"/>
      <c r="BP1165" s="74"/>
      <c r="BQ1165" s="74"/>
      <c r="BR1165" s="74"/>
      <c r="BS1165" s="74"/>
      <c r="BT1165" s="74"/>
      <c r="BU1165" s="74"/>
      <c r="BV1165" s="74"/>
      <c r="BW1165" s="74"/>
      <c r="BX1165" s="74"/>
      <c r="BY1165" s="63"/>
      <c r="BZ1165" s="63"/>
    </row>
    <row r="1166" ht="15.75" customHeight="1">
      <c r="A1166" s="201"/>
      <c r="B1166" s="74"/>
      <c r="C1166" s="74"/>
      <c r="D1166" s="74"/>
      <c r="E1166" s="156"/>
      <c r="F1166" s="78">
        <v>0.0</v>
      </c>
      <c r="G1166" s="44" t="str">
        <f t="shared" si="35"/>
        <v>$0 a $100'000.000</v>
      </c>
      <c r="H1166" s="44"/>
      <c r="I1166" s="44"/>
      <c r="J1166" s="74"/>
      <c r="K1166" s="359"/>
      <c r="L1166" s="74"/>
      <c r="M1166" s="74"/>
      <c r="N1166" s="74"/>
      <c r="O1166" s="74"/>
      <c r="P1166" s="74"/>
      <c r="Q1166" s="74"/>
      <c r="R1166" s="362"/>
      <c r="S1166" s="56" t="str">
        <f t="shared" si="36"/>
        <v> </v>
      </c>
      <c r="T1166" s="74"/>
      <c r="U1166" s="359"/>
      <c r="V1166" s="74"/>
      <c r="W1166" s="74"/>
      <c r="X1166" s="74"/>
      <c r="Y1166" s="74"/>
      <c r="Z1166" s="58"/>
      <c r="AA1166" s="59" t="str">
        <f>IF(Rentabilidad=0,"No aplica",TEXT(ROUND(Precio/Rentabilidad/12,0),0) &amp; " años")</f>
        <v>No aplica</v>
      </c>
      <c r="AB1166" s="360"/>
      <c r="AC1166" s="61"/>
      <c r="AD1166" s="62"/>
      <c r="AE1166" s="63"/>
      <c r="AF1166" s="156" t="s">
        <v>1383</v>
      </c>
      <c r="AG1166" s="63"/>
      <c r="AH1166" s="63"/>
      <c r="AI1166" s="74"/>
      <c r="AJ1166" s="156"/>
      <c r="AK1166" s="74"/>
      <c r="AL1166" s="156"/>
      <c r="AM1166" s="74"/>
      <c r="AN1166" s="156"/>
      <c r="AO1166" s="74"/>
      <c r="AP1166" s="361"/>
      <c r="AQ1166" s="361"/>
      <c r="AR1166" s="361"/>
      <c r="AS1166" s="93"/>
      <c r="AT1166" s="93"/>
      <c r="AU1166" s="93"/>
      <c r="AV1166" s="93"/>
      <c r="AW1166" s="93"/>
      <c r="AX1166" s="93"/>
      <c r="AY1166" s="93"/>
      <c r="AZ1166" s="93"/>
      <c r="BA1166" s="93"/>
      <c r="BB1166" s="93"/>
      <c r="BC1166" s="154"/>
      <c r="BD1166" s="155"/>
      <c r="BE1166" s="156"/>
      <c r="BF1166" s="299"/>
      <c r="BG1166" s="74"/>
      <c r="BH1166" s="74"/>
      <c r="BI1166" s="74"/>
      <c r="BJ1166" s="74"/>
      <c r="BK1166" s="74"/>
      <c r="BL1166" s="74"/>
      <c r="BM1166" s="74"/>
      <c r="BN1166" s="74"/>
      <c r="BO1166" s="74"/>
      <c r="BP1166" s="74"/>
      <c r="BQ1166" s="74"/>
      <c r="BR1166" s="74"/>
      <c r="BS1166" s="74"/>
      <c r="BT1166" s="74"/>
      <c r="BU1166" s="74"/>
      <c r="BV1166" s="74"/>
      <c r="BW1166" s="74"/>
      <c r="BX1166" s="74"/>
      <c r="BY1166" s="63"/>
      <c r="BZ1166" s="63"/>
    </row>
    <row r="1167" ht="15.75" customHeight="1">
      <c r="A1167" s="201"/>
      <c r="B1167" s="74"/>
      <c r="C1167" s="74"/>
      <c r="D1167" s="74"/>
      <c r="E1167" s="156"/>
      <c r="F1167" s="78">
        <v>0.0</v>
      </c>
      <c r="G1167" s="44" t="str">
        <f t="shared" si="35"/>
        <v>$0 a $100'000.000</v>
      </c>
      <c r="H1167" s="44"/>
      <c r="I1167" s="44"/>
      <c r="J1167" s="74"/>
      <c r="K1167" s="359"/>
      <c r="L1167" s="74"/>
      <c r="M1167" s="74"/>
      <c r="N1167" s="74"/>
      <c r="O1167" s="74"/>
      <c r="P1167" s="74"/>
      <c r="Q1167" s="74"/>
      <c r="R1167" s="362"/>
      <c r="S1167" s="56" t="str">
        <f t="shared" si="36"/>
        <v> </v>
      </c>
      <c r="T1167" s="74"/>
      <c r="U1167" s="359"/>
      <c r="V1167" s="74"/>
      <c r="W1167" s="74"/>
      <c r="X1167" s="74"/>
      <c r="Y1167" s="74"/>
      <c r="Z1167" s="58"/>
      <c r="AA1167" s="59" t="str">
        <f>IF(Rentabilidad=0,"No aplica",TEXT(ROUND(Precio/Rentabilidad/12,0),0) &amp; " años")</f>
        <v>No aplica</v>
      </c>
      <c r="AB1167" s="360"/>
      <c r="AC1167" s="61"/>
      <c r="AD1167" s="62"/>
      <c r="AE1167" s="63"/>
      <c r="AF1167" s="156" t="s">
        <v>1383</v>
      </c>
      <c r="AG1167" s="63"/>
      <c r="AH1167" s="63"/>
      <c r="AI1167" s="74"/>
      <c r="AJ1167" s="156"/>
      <c r="AK1167" s="74"/>
      <c r="AL1167" s="156"/>
      <c r="AM1167" s="74"/>
      <c r="AN1167" s="156"/>
      <c r="AO1167" s="74"/>
      <c r="AP1167" s="361"/>
      <c r="AQ1167" s="361"/>
      <c r="AR1167" s="361"/>
      <c r="AS1167" s="93"/>
      <c r="AT1167" s="93"/>
      <c r="AU1167" s="93"/>
      <c r="AV1167" s="93"/>
      <c r="AW1167" s="93"/>
      <c r="AX1167" s="93"/>
      <c r="AY1167" s="93"/>
      <c r="AZ1167" s="93"/>
      <c r="BA1167" s="93"/>
      <c r="BB1167" s="93"/>
      <c r="BC1167" s="154"/>
      <c r="BD1167" s="155"/>
      <c r="BE1167" s="156"/>
      <c r="BF1167" s="299"/>
      <c r="BG1167" s="74"/>
      <c r="BH1167" s="74"/>
      <c r="BI1167" s="74"/>
      <c r="BJ1167" s="74"/>
      <c r="BK1167" s="74"/>
      <c r="BL1167" s="74"/>
      <c r="BM1167" s="74"/>
      <c r="BN1167" s="74"/>
      <c r="BO1167" s="74"/>
      <c r="BP1167" s="74"/>
      <c r="BQ1167" s="74"/>
      <c r="BR1167" s="74"/>
      <c r="BS1167" s="74"/>
      <c r="BT1167" s="74"/>
      <c r="BU1167" s="74"/>
      <c r="BV1167" s="74"/>
      <c r="BW1167" s="74"/>
      <c r="BX1167" s="74"/>
      <c r="BY1167" s="63"/>
      <c r="BZ1167" s="63"/>
    </row>
    <row r="1168" ht="15.75" customHeight="1">
      <c r="A1168" s="201"/>
      <c r="B1168" s="74"/>
      <c r="C1168" s="74"/>
      <c r="D1168" s="74"/>
      <c r="E1168" s="156"/>
      <c r="F1168" s="78">
        <v>0.0</v>
      </c>
      <c r="G1168" s="44" t="str">
        <f t="shared" si="35"/>
        <v>$0 a $100'000.000</v>
      </c>
      <c r="H1168" s="44"/>
      <c r="I1168" s="44"/>
      <c r="J1168" s="74"/>
      <c r="K1168" s="359"/>
      <c r="L1168" s="74"/>
      <c r="M1168" s="74"/>
      <c r="N1168" s="74"/>
      <c r="O1168" s="74"/>
      <c r="P1168" s="74"/>
      <c r="Q1168" s="74"/>
      <c r="R1168" s="362"/>
      <c r="S1168" s="56" t="str">
        <f t="shared" si="36"/>
        <v> </v>
      </c>
      <c r="T1168" s="74"/>
      <c r="U1168" s="359"/>
      <c r="V1168" s="74"/>
      <c r="W1168" s="74"/>
      <c r="X1168" s="74"/>
      <c r="Y1168" s="74"/>
      <c r="Z1168" s="58"/>
      <c r="AA1168" s="59" t="str">
        <f>IF(Rentabilidad=0,"No aplica",TEXT(ROUND(Precio/Rentabilidad/12,0),0) &amp; " años")</f>
        <v>No aplica</v>
      </c>
      <c r="AB1168" s="360"/>
      <c r="AC1168" s="61"/>
      <c r="AD1168" s="62"/>
      <c r="AE1168" s="63"/>
      <c r="AF1168" s="156" t="s">
        <v>1383</v>
      </c>
      <c r="AG1168" s="63"/>
      <c r="AH1168" s="63"/>
      <c r="AI1168" s="74"/>
      <c r="AJ1168" s="156"/>
      <c r="AK1168" s="74"/>
      <c r="AL1168" s="156"/>
      <c r="AM1168" s="74"/>
      <c r="AN1168" s="156"/>
      <c r="AO1168" s="74"/>
      <c r="AP1168" s="361"/>
      <c r="AQ1168" s="361"/>
      <c r="AR1168" s="361"/>
      <c r="AS1168" s="93"/>
      <c r="AT1168" s="93"/>
      <c r="AU1168" s="93"/>
      <c r="AV1168" s="93"/>
      <c r="AW1168" s="93"/>
      <c r="AX1168" s="93"/>
      <c r="AY1168" s="93"/>
      <c r="AZ1168" s="93"/>
      <c r="BA1168" s="93"/>
      <c r="BB1168" s="93"/>
      <c r="BC1168" s="154"/>
      <c r="BD1168" s="155"/>
      <c r="BE1168" s="156"/>
      <c r="BF1168" s="299"/>
      <c r="BG1168" s="74"/>
      <c r="BH1168" s="74"/>
      <c r="BI1168" s="74"/>
      <c r="BJ1168" s="74"/>
      <c r="BK1168" s="74"/>
      <c r="BL1168" s="74"/>
      <c r="BM1168" s="74"/>
      <c r="BN1168" s="74"/>
      <c r="BO1168" s="74"/>
      <c r="BP1168" s="74"/>
      <c r="BQ1168" s="74"/>
      <c r="BR1168" s="74"/>
      <c r="BS1168" s="74"/>
      <c r="BT1168" s="74"/>
      <c r="BU1168" s="74"/>
      <c r="BV1168" s="74"/>
      <c r="BW1168" s="74"/>
      <c r="BX1168" s="74"/>
      <c r="BY1168" s="63"/>
      <c r="BZ1168" s="63"/>
    </row>
    <row r="1169" ht="15.75" customHeight="1">
      <c r="A1169" s="201"/>
      <c r="B1169" s="74"/>
      <c r="C1169" s="74"/>
      <c r="D1169" s="74"/>
      <c r="E1169" s="156"/>
      <c r="F1169" s="78">
        <v>0.0</v>
      </c>
      <c r="G1169" s="44" t="str">
        <f t="shared" si="35"/>
        <v>$0 a $100'000.000</v>
      </c>
      <c r="H1169" s="44"/>
      <c r="I1169" s="44"/>
      <c r="J1169" s="74"/>
      <c r="K1169" s="359"/>
      <c r="L1169" s="74"/>
      <c r="M1169" s="74"/>
      <c r="N1169" s="74"/>
      <c r="O1169" s="74"/>
      <c r="P1169" s="74"/>
      <c r="Q1169" s="74"/>
      <c r="R1169" s="362"/>
      <c r="S1169" s="56" t="str">
        <f t="shared" si="36"/>
        <v> </v>
      </c>
      <c r="T1169" s="74"/>
      <c r="U1169" s="359"/>
      <c r="V1169" s="74"/>
      <c r="W1169" s="74"/>
      <c r="X1169" s="74"/>
      <c r="Y1169" s="74"/>
      <c r="Z1169" s="58"/>
      <c r="AA1169" s="59" t="str">
        <f>IF(Rentabilidad=0,"No aplica",TEXT(ROUND(Precio/Rentabilidad/12,0),0) &amp; " años")</f>
        <v>No aplica</v>
      </c>
      <c r="AB1169" s="360"/>
      <c r="AC1169" s="61"/>
      <c r="AD1169" s="62"/>
      <c r="AE1169" s="63"/>
      <c r="AF1169" s="156" t="s">
        <v>1383</v>
      </c>
      <c r="AG1169" s="63"/>
      <c r="AH1169" s="63"/>
      <c r="AI1169" s="74"/>
      <c r="AJ1169" s="156"/>
      <c r="AK1169" s="74"/>
      <c r="AL1169" s="156"/>
      <c r="AM1169" s="74"/>
      <c r="AN1169" s="156"/>
      <c r="AO1169" s="74"/>
      <c r="AP1169" s="363"/>
      <c r="AQ1169" s="363"/>
      <c r="AR1169" s="363"/>
      <c r="AS1169" s="74"/>
      <c r="AT1169" s="74"/>
      <c r="AU1169" s="74"/>
      <c r="AV1169" s="74"/>
      <c r="AW1169" s="74"/>
      <c r="AX1169" s="74"/>
      <c r="AY1169" s="74"/>
      <c r="AZ1169" s="74"/>
      <c r="BA1169" s="74"/>
      <c r="BB1169" s="74"/>
      <c r="BC1169" s="170"/>
      <c r="BD1169" s="156"/>
      <c r="BE1169" s="156"/>
      <c r="BF1169" s="299"/>
      <c r="BG1169" s="74"/>
      <c r="BH1169" s="74"/>
      <c r="BI1169" s="74"/>
      <c r="BJ1169" s="74"/>
      <c r="BK1169" s="74"/>
      <c r="BL1169" s="74"/>
      <c r="BM1169" s="74"/>
      <c r="BN1169" s="74"/>
      <c r="BO1169" s="74"/>
      <c r="BP1169" s="74"/>
      <c r="BQ1169" s="74"/>
      <c r="BR1169" s="74"/>
      <c r="BS1169" s="74"/>
      <c r="BT1169" s="74"/>
      <c r="BU1169" s="74"/>
      <c r="BV1169" s="74"/>
      <c r="BW1169" s="74"/>
      <c r="BX1169" s="74"/>
      <c r="BY1169" s="63"/>
      <c r="BZ1169" s="63"/>
    </row>
    <row r="1170" ht="15.75" customHeight="1">
      <c r="A1170" s="201"/>
      <c r="B1170" s="74"/>
      <c r="C1170" s="74"/>
      <c r="D1170" s="74"/>
      <c r="E1170" s="156"/>
      <c r="F1170" s="78">
        <v>0.0</v>
      </c>
      <c r="G1170" s="44" t="str">
        <f t="shared" si="35"/>
        <v>$0 a $100'000.000</v>
      </c>
      <c r="H1170" s="44"/>
      <c r="I1170" s="44"/>
      <c r="J1170" s="74"/>
      <c r="K1170" s="359"/>
      <c r="L1170" s="74"/>
      <c r="M1170" s="74"/>
      <c r="N1170" s="74"/>
      <c r="O1170" s="74"/>
      <c r="P1170" s="74"/>
      <c r="Q1170" s="74"/>
      <c r="R1170" s="362"/>
      <c r="S1170" s="56" t="str">
        <f t="shared" si="36"/>
        <v> </v>
      </c>
      <c r="T1170" s="74"/>
      <c r="U1170" s="359"/>
      <c r="V1170" s="74"/>
      <c r="W1170" s="74"/>
      <c r="X1170" s="74"/>
      <c r="Y1170" s="74"/>
      <c r="Z1170" s="58"/>
      <c r="AA1170" s="59" t="str">
        <f>IF(Rentabilidad=0,"No aplica",TEXT(ROUND(Precio/Rentabilidad/12,0),0) &amp; " años")</f>
        <v>No aplica</v>
      </c>
      <c r="AB1170" s="360"/>
      <c r="AC1170" s="61"/>
      <c r="AD1170" s="62"/>
      <c r="AE1170" s="63"/>
      <c r="AF1170" s="156" t="s">
        <v>1383</v>
      </c>
      <c r="AG1170" s="63"/>
      <c r="AH1170" s="63"/>
      <c r="AI1170" s="74"/>
      <c r="AJ1170" s="156"/>
      <c r="AK1170" s="74"/>
      <c r="AL1170" s="156"/>
      <c r="AM1170" s="74"/>
      <c r="AN1170" s="156"/>
      <c r="AO1170" s="74"/>
      <c r="AP1170" s="363"/>
      <c r="AQ1170" s="363"/>
      <c r="AR1170" s="363"/>
      <c r="AS1170" s="74"/>
      <c r="AT1170" s="74"/>
      <c r="AU1170" s="74"/>
      <c r="AV1170" s="74"/>
      <c r="AW1170" s="74"/>
      <c r="AX1170" s="74"/>
      <c r="AY1170" s="74"/>
      <c r="AZ1170" s="74"/>
      <c r="BA1170" s="74"/>
      <c r="BB1170" s="74"/>
      <c r="BC1170" s="170"/>
      <c r="BD1170" s="156"/>
      <c r="BE1170" s="156"/>
      <c r="BF1170" s="299"/>
      <c r="BG1170" s="74"/>
      <c r="BH1170" s="74"/>
      <c r="BI1170" s="74"/>
      <c r="BJ1170" s="74"/>
      <c r="BK1170" s="74"/>
      <c r="BL1170" s="74"/>
      <c r="BM1170" s="74"/>
      <c r="BN1170" s="74"/>
      <c r="BO1170" s="74"/>
      <c r="BP1170" s="74"/>
      <c r="BQ1170" s="74"/>
      <c r="BR1170" s="74"/>
      <c r="BS1170" s="74"/>
      <c r="BT1170" s="74"/>
      <c r="BU1170" s="74"/>
      <c r="BV1170" s="74"/>
      <c r="BW1170" s="74"/>
      <c r="BX1170" s="74"/>
      <c r="BY1170" s="63"/>
      <c r="BZ1170" s="63"/>
    </row>
    <row r="1171" ht="15.75" customHeight="1">
      <c r="A1171" s="201"/>
      <c r="B1171" s="74"/>
      <c r="C1171" s="74"/>
      <c r="D1171" s="74"/>
      <c r="E1171" s="156"/>
      <c r="F1171" s="78">
        <v>0.0</v>
      </c>
      <c r="G1171" s="44" t="str">
        <f t="shared" si="35"/>
        <v>$0 a $100'000.000</v>
      </c>
      <c r="H1171" s="44"/>
      <c r="I1171" s="44"/>
      <c r="J1171" s="74"/>
      <c r="K1171" s="359"/>
      <c r="L1171" s="74"/>
      <c r="M1171" s="74"/>
      <c r="N1171" s="74"/>
      <c r="O1171" s="74"/>
      <c r="P1171" s="74"/>
      <c r="Q1171" s="74"/>
      <c r="R1171" s="362"/>
      <c r="S1171" s="56" t="str">
        <f t="shared" si="36"/>
        <v> </v>
      </c>
      <c r="T1171" s="74"/>
      <c r="U1171" s="359"/>
      <c r="V1171" s="74"/>
      <c r="W1171" s="74"/>
      <c r="X1171" s="74"/>
      <c r="Y1171" s="74"/>
      <c r="Z1171" s="58"/>
      <c r="AA1171" s="59" t="str">
        <f>IF(Rentabilidad=0,"No aplica",TEXT(ROUND(Precio/Rentabilidad/12,0),0) &amp; " años")</f>
        <v>No aplica</v>
      </c>
      <c r="AB1171" s="360"/>
      <c r="AC1171" s="61"/>
      <c r="AD1171" s="62"/>
      <c r="AE1171" s="63"/>
      <c r="AF1171" s="156" t="s">
        <v>1383</v>
      </c>
      <c r="AG1171" s="63"/>
      <c r="AH1171" s="63"/>
      <c r="AI1171" s="74"/>
      <c r="AJ1171" s="156"/>
      <c r="AK1171" s="74"/>
      <c r="AL1171" s="156"/>
      <c r="AM1171" s="74"/>
      <c r="AN1171" s="156"/>
      <c r="AO1171" s="74"/>
      <c r="AP1171" s="363"/>
      <c r="AQ1171" s="363"/>
      <c r="AR1171" s="363"/>
      <c r="AS1171" s="74"/>
      <c r="AT1171" s="74"/>
      <c r="AU1171" s="74"/>
      <c r="AV1171" s="74"/>
      <c r="AW1171" s="74"/>
      <c r="AX1171" s="74"/>
      <c r="AY1171" s="74"/>
      <c r="AZ1171" s="74"/>
      <c r="BA1171" s="74"/>
      <c r="BB1171" s="74"/>
      <c r="BC1171" s="170"/>
      <c r="BD1171" s="156"/>
      <c r="BE1171" s="156"/>
      <c r="BF1171" s="299"/>
      <c r="BG1171" s="74"/>
      <c r="BH1171" s="74"/>
      <c r="BI1171" s="74"/>
      <c r="BJ1171" s="74"/>
      <c r="BK1171" s="74"/>
      <c r="BL1171" s="74"/>
      <c r="BM1171" s="74"/>
      <c r="BN1171" s="74"/>
      <c r="BO1171" s="74"/>
      <c r="BP1171" s="74"/>
      <c r="BQ1171" s="74"/>
      <c r="BR1171" s="74"/>
      <c r="BS1171" s="74"/>
      <c r="BT1171" s="74"/>
      <c r="BU1171" s="74"/>
      <c r="BV1171" s="74"/>
      <c r="BW1171" s="74"/>
      <c r="BX1171" s="74"/>
      <c r="BY1171" s="63"/>
      <c r="BZ1171" s="63"/>
    </row>
    <row r="1172" ht="15.75" customHeight="1">
      <c r="A1172" s="201"/>
      <c r="B1172" s="74"/>
      <c r="C1172" s="74"/>
      <c r="D1172" s="74"/>
      <c r="E1172" s="156"/>
      <c r="F1172" s="78">
        <v>0.0</v>
      </c>
      <c r="G1172" s="44" t="str">
        <f t="shared" si="35"/>
        <v>$0 a $100'000.000</v>
      </c>
      <c r="H1172" s="44"/>
      <c r="I1172" s="44"/>
      <c r="J1172" s="74"/>
      <c r="K1172" s="359"/>
      <c r="L1172" s="74"/>
      <c r="M1172" s="74"/>
      <c r="N1172" s="74"/>
      <c r="O1172" s="74"/>
      <c r="P1172" s="74"/>
      <c r="Q1172" s="74"/>
      <c r="R1172" s="362"/>
      <c r="S1172" s="56" t="str">
        <f t="shared" si="36"/>
        <v> </v>
      </c>
      <c r="T1172" s="74"/>
      <c r="U1172" s="359"/>
      <c r="V1172" s="74"/>
      <c r="W1172" s="74"/>
      <c r="X1172" s="74"/>
      <c r="Y1172" s="74"/>
      <c r="Z1172" s="58"/>
      <c r="AA1172" s="59" t="str">
        <f>IF(Rentabilidad=0,"No aplica",TEXT(ROUND(Precio/Rentabilidad/12,0),0) &amp; " años")</f>
        <v>No aplica</v>
      </c>
      <c r="AB1172" s="360"/>
      <c r="AC1172" s="61"/>
      <c r="AD1172" s="62"/>
      <c r="AE1172" s="63"/>
      <c r="AF1172" s="156" t="s">
        <v>1383</v>
      </c>
      <c r="AG1172" s="63"/>
      <c r="AH1172" s="63"/>
      <c r="AI1172" s="74"/>
      <c r="AJ1172" s="156"/>
      <c r="AK1172" s="74"/>
      <c r="AL1172" s="156"/>
      <c r="AM1172" s="74"/>
      <c r="AN1172" s="156"/>
      <c r="AO1172" s="74"/>
      <c r="AP1172" s="363"/>
      <c r="AQ1172" s="363"/>
      <c r="AR1172" s="363"/>
      <c r="AS1172" s="74"/>
      <c r="AT1172" s="74"/>
      <c r="AU1172" s="74"/>
      <c r="AV1172" s="74"/>
      <c r="AW1172" s="74"/>
      <c r="AX1172" s="74"/>
      <c r="AY1172" s="74"/>
      <c r="AZ1172" s="74"/>
      <c r="BA1172" s="74"/>
      <c r="BB1172" s="74"/>
      <c r="BC1172" s="170"/>
      <c r="BD1172" s="156"/>
      <c r="BE1172" s="156"/>
      <c r="BF1172" s="299"/>
      <c r="BG1172" s="74"/>
      <c r="BH1172" s="74"/>
      <c r="BI1172" s="74"/>
      <c r="BJ1172" s="74"/>
      <c r="BK1172" s="74"/>
      <c r="BL1172" s="74"/>
      <c r="BM1172" s="74"/>
      <c r="BN1172" s="74"/>
      <c r="BO1172" s="74"/>
      <c r="BP1172" s="74"/>
      <c r="BQ1172" s="74"/>
      <c r="BR1172" s="74"/>
      <c r="BS1172" s="74"/>
      <c r="BT1172" s="74"/>
      <c r="BU1172" s="74"/>
      <c r="BV1172" s="74"/>
      <c r="BW1172" s="74"/>
      <c r="BX1172" s="74"/>
      <c r="BY1172" s="63"/>
      <c r="BZ1172" s="63"/>
    </row>
    <row r="1173" ht="15.75" customHeight="1">
      <c r="A1173" s="201"/>
      <c r="B1173" s="74"/>
      <c r="C1173" s="74"/>
      <c r="D1173" s="74"/>
      <c r="E1173" s="156"/>
      <c r="F1173" s="78">
        <v>0.0</v>
      </c>
      <c r="G1173" s="44" t="str">
        <f t="shared" si="35"/>
        <v>$0 a $100'000.000</v>
      </c>
      <c r="H1173" s="44"/>
      <c r="I1173" s="44"/>
      <c r="J1173" s="74"/>
      <c r="K1173" s="359"/>
      <c r="L1173" s="74"/>
      <c r="M1173" s="74"/>
      <c r="N1173" s="74"/>
      <c r="O1173" s="74"/>
      <c r="P1173" s="74"/>
      <c r="Q1173" s="74"/>
      <c r="R1173" s="362"/>
      <c r="S1173" s="56" t="str">
        <f t="shared" si="36"/>
        <v> </v>
      </c>
      <c r="T1173" s="74"/>
      <c r="U1173" s="359"/>
      <c r="V1173" s="74"/>
      <c r="W1173" s="74"/>
      <c r="X1173" s="74"/>
      <c r="Y1173" s="74"/>
      <c r="Z1173" s="58"/>
      <c r="AA1173" s="59" t="str">
        <f>IF(Rentabilidad=0,"No aplica",TEXT(ROUND(Precio/Rentabilidad/12,0),0) &amp; " años")</f>
        <v>No aplica</v>
      </c>
      <c r="AB1173" s="360"/>
      <c r="AC1173" s="61"/>
      <c r="AD1173" s="62"/>
      <c r="AE1173" s="63"/>
      <c r="AF1173" s="156" t="s">
        <v>1383</v>
      </c>
      <c r="AG1173" s="63"/>
      <c r="AH1173" s="63"/>
      <c r="AI1173" s="74"/>
      <c r="AJ1173" s="156"/>
      <c r="AK1173" s="74"/>
      <c r="AL1173" s="156"/>
      <c r="AM1173" s="74"/>
      <c r="AN1173" s="156"/>
      <c r="AO1173" s="74"/>
      <c r="AP1173" s="363"/>
      <c r="AQ1173" s="363"/>
      <c r="AR1173" s="363"/>
      <c r="AS1173" s="74"/>
      <c r="AT1173" s="74"/>
      <c r="AU1173" s="74"/>
      <c r="AV1173" s="74"/>
      <c r="AW1173" s="74"/>
      <c r="AX1173" s="74"/>
      <c r="AY1173" s="74"/>
      <c r="AZ1173" s="74"/>
      <c r="BA1173" s="74"/>
      <c r="BB1173" s="74"/>
      <c r="BC1173" s="170"/>
      <c r="BD1173" s="156"/>
      <c r="BE1173" s="156"/>
      <c r="BF1173" s="299"/>
      <c r="BG1173" s="74"/>
      <c r="BH1173" s="74"/>
      <c r="BI1173" s="74"/>
      <c r="BJ1173" s="74"/>
      <c r="BK1173" s="74"/>
      <c r="BL1173" s="74"/>
      <c r="BM1173" s="74"/>
      <c r="BN1173" s="74"/>
      <c r="BO1173" s="74"/>
      <c r="BP1173" s="74"/>
      <c r="BQ1173" s="74"/>
      <c r="BR1173" s="74"/>
      <c r="BS1173" s="74"/>
      <c r="BT1173" s="74"/>
      <c r="BU1173" s="74"/>
      <c r="BV1173" s="74"/>
      <c r="BW1173" s="74"/>
      <c r="BX1173" s="74"/>
      <c r="BY1173" s="63"/>
      <c r="BZ1173" s="63"/>
    </row>
    <row r="1174" ht="15.75" customHeight="1">
      <c r="A1174" s="201"/>
      <c r="B1174" s="74"/>
      <c r="C1174" s="74"/>
      <c r="D1174" s="74"/>
      <c r="E1174" s="156"/>
      <c r="F1174" s="78">
        <v>0.0</v>
      </c>
      <c r="G1174" s="44" t="str">
        <f t="shared" si="35"/>
        <v>$0 a $100'000.000</v>
      </c>
      <c r="H1174" s="44"/>
      <c r="I1174" s="44"/>
      <c r="J1174" s="74"/>
      <c r="K1174" s="359"/>
      <c r="L1174" s="74"/>
      <c r="M1174" s="74"/>
      <c r="N1174" s="74"/>
      <c r="O1174" s="74"/>
      <c r="P1174" s="74"/>
      <c r="Q1174" s="74"/>
      <c r="R1174" s="362"/>
      <c r="S1174" s="56" t="str">
        <f t="shared" si="36"/>
        <v> </v>
      </c>
      <c r="T1174" s="74"/>
      <c r="U1174" s="359"/>
      <c r="V1174" s="74"/>
      <c r="W1174" s="74"/>
      <c r="X1174" s="74"/>
      <c r="Y1174" s="74"/>
      <c r="Z1174" s="58"/>
      <c r="AA1174" s="59" t="str">
        <f>IF(Rentabilidad=0,"No aplica",TEXT(ROUND(Precio/Rentabilidad/12,0),0) &amp; " años")</f>
        <v>No aplica</v>
      </c>
      <c r="AB1174" s="360"/>
      <c r="AC1174" s="61"/>
      <c r="AD1174" s="62"/>
      <c r="AE1174" s="63"/>
      <c r="AF1174" s="156" t="s">
        <v>1383</v>
      </c>
      <c r="AG1174" s="63"/>
      <c r="AH1174" s="63"/>
      <c r="AI1174" s="74"/>
      <c r="AJ1174" s="156"/>
      <c r="AK1174" s="74"/>
      <c r="AL1174" s="156"/>
      <c r="AM1174" s="74"/>
      <c r="AN1174" s="156"/>
      <c r="AO1174" s="74"/>
      <c r="AP1174" s="363"/>
      <c r="AQ1174" s="363"/>
      <c r="AR1174" s="363"/>
      <c r="AS1174" s="74"/>
      <c r="AT1174" s="74"/>
      <c r="AU1174" s="74"/>
      <c r="AV1174" s="74"/>
      <c r="AW1174" s="74"/>
      <c r="AX1174" s="74"/>
      <c r="AY1174" s="74"/>
      <c r="AZ1174" s="74"/>
      <c r="BA1174" s="74"/>
      <c r="BB1174" s="74"/>
      <c r="BC1174" s="170"/>
      <c r="BD1174" s="156"/>
      <c r="BE1174" s="156"/>
      <c r="BF1174" s="299"/>
      <c r="BG1174" s="74"/>
      <c r="BH1174" s="74"/>
      <c r="BI1174" s="74"/>
      <c r="BJ1174" s="74"/>
      <c r="BK1174" s="74"/>
      <c r="BL1174" s="74"/>
      <c r="BM1174" s="74"/>
      <c r="BN1174" s="74"/>
      <c r="BO1174" s="74"/>
      <c r="BP1174" s="74"/>
      <c r="BQ1174" s="74"/>
      <c r="BR1174" s="74"/>
      <c r="BS1174" s="74"/>
      <c r="BT1174" s="74"/>
      <c r="BU1174" s="74"/>
      <c r="BV1174" s="74"/>
      <c r="BW1174" s="74"/>
      <c r="BX1174" s="74"/>
      <c r="BY1174" s="63"/>
      <c r="BZ1174" s="63"/>
    </row>
    <row r="1175" ht="15.75" customHeight="1">
      <c r="A1175" s="201"/>
      <c r="B1175" s="74"/>
      <c r="C1175" s="74"/>
      <c r="D1175" s="74"/>
      <c r="E1175" s="156"/>
      <c r="F1175" s="78">
        <v>0.0</v>
      </c>
      <c r="G1175" s="44" t="str">
        <f t="shared" si="35"/>
        <v>$0 a $100'000.000</v>
      </c>
      <c r="H1175" s="44"/>
      <c r="I1175" s="44"/>
      <c r="J1175" s="74"/>
      <c r="K1175" s="359"/>
      <c r="L1175" s="74"/>
      <c r="M1175" s="74"/>
      <c r="N1175" s="74"/>
      <c r="O1175" s="74"/>
      <c r="P1175" s="74"/>
      <c r="Q1175" s="74"/>
      <c r="R1175" s="362"/>
      <c r="S1175" s="56" t="str">
        <f t="shared" si="36"/>
        <v> </v>
      </c>
      <c r="T1175" s="74"/>
      <c r="U1175" s="359"/>
      <c r="V1175" s="74"/>
      <c r="W1175" s="74"/>
      <c r="X1175" s="74"/>
      <c r="Y1175" s="74"/>
      <c r="Z1175" s="58"/>
      <c r="AA1175" s="59" t="str">
        <f>IF(Rentabilidad=0,"No aplica",TEXT(ROUND(Precio/Rentabilidad/12,0),0) &amp; " años")</f>
        <v>No aplica</v>
      </c>
      <c r="AB1175" s="360"/>
      <c r="AC1175" s="61"/>
      <c r="AD1175" s="62"/>
      <c r="AE1175" s="63"/>
      <c r="AF1175" s="156" t="s">
        <v>1383</v>
      </c>
      <c r="AG1175" s="63"/>
      <c r="AH1175" s="63"/>
      <c r="AI1175" s="74"/>
      <c r="AJ1175" s="156"/>
      <c r="AK1175" s="74"/>
      <c r="AL1175" s="156"/>
      <c r="AM1175" s="74"/>
      <c r="AN1175" s="156"/>
      <c r="AO1175" s="74"/>
      <c r="AP1175" s="363"/>
      <c r="AQ1175" s="363"/>
      <c r="AR1175" s="363"/>
      <c r="AS1175" s="74"/>
      <c r="AT1175" s="74"/>
      <c r="AU1175" s="74"/>
      <c r="AV1175" s="74"/>
      <c r="AW1175" s="74"/>
      <c r="AX1175" s="74"/>
      <c r="AY1175" s="74"/>
      <c r="AZ1175" s="74"/>
      <c r="BA1175" s="74"/>
      <c r="BB1175" s="74"/>
      <c r="BC1175" s="170"/>
      <c r="BD1175" s="156"/>
      <c r="BE1175" s="156"/>
      <c r="BF1175" s="299"/>
      <c r="BG1175" s="74"/>
      <c r="BH1175" s="74"/>
      <c r="BI1175" s="74"/>
      <c r="BJ1175" s="74"/>
      <c r="BK1175" s="74"/>
      <c r="BL1175" s="74"/>
      <c r="BM1175" s="74"/>
      <c r="BN1175" s="74"/>
      <c r="BO1175" s="74"/>
      <c r="BP1175" s="74"/>
      <c r="BQ1175" s="74"/>
      <c r="BR1175" s="74"/>
      <c r="BS1175" s="74"/>
      <c r="BT1175" s="74"/>
      <c r="BU1175" s="74"/>
      <c r="BV1175" s="74"/>
      <c r="BW1175" s="74"/>
      <c r="BX1175" s="74"/>
      <c r="BY1175" s="63"/>
      <c r="BZ1175" s="63"/>
    </row>
    <row r="1176" ht="15.75" customHeight="1">
      <c r="A1176" s="201"/>
      <c r="B1176" s="74"/>
      <c r="C1176" s="74"/>
      <c r="D1176" s="74"/>
      <c r="E1176" s="156"/>
      <c r="F1176" s="78">
        <v>0.0</v>
      </c>
      <c r="G1176" s="44" t="str">
        <f t="shared" si="35"/>
        <v>$0 a $100'000.000</v>
      </c>
      <c r="H1176" s="44"/>
      <c r="I1176" s="44"/>
      <c r="J1176" s="74"/>
      <c r="K1176" s="359"/>
      <c r="L1176" s="74"/>
      <c r="M1176" s="74"/>
      <c r="N1176" s="74"/>
      <c r="O1176" s="74"/>
      <c r="P1176" s="74"/>
      <c r="Q1176" s="74"/>
      <c r="R1176" s="362"/>
      <c r="S1176" s="56" t="str">
        <f t="shared" si="36"/>
        <v> </v>
      </c>
      <c r="T1176" s="74"/>
      <c r="U1176" s="359"/>
      <c r="V1176" s="74"/>
      <c r="W1176" s="74"/>
      <c r="X1176" s="74"/>
      <c r="Y1176" s="74"/>
      <c r="Z1176" s="364"/>
      <c r="AA1176" s="59" t="str">
        <f>IF(Rentabilidad=0,"No aplica",TEXT(ROUND(Precio/Rentabilidad/12,0),0) &amp; " años")</f>
        <v>No aplica</v>
      </c>
      <c r="AB1176" s="360"/>
      <c r="AC1176" s="61"/>
      <c r="AD1176" s="62"/>
      <c r="AE1176" s="63"/>
      <c r="AF1176" s="156" t="s">
        <v>1383</v>
      </c>
      <c r="AG1176" s="63"/>
      <c r="AH1176" s="63"/>
      <c r="AI1176" s="74"/>
      <c r="AJ1176" s="156"/>
      <c r="AK1176" s="74"/>
      <c r="AL1176" s="156"/>
      <c r="AM1176" s="74"/>
      <c r="AN1176" s="156"/>
      <c r="AO1176" s="74"/>
      <c r="AP1176" s="363"/>
      <c r="AQ1176" s="363"/>
      <c r="AR1176" s="363"/>
      <c r="AS1176" s="74"/>
      <c r="AT1176" s="74"/>
      <c r="AU1176" s="74"/>
      <c r="AV1176" s="74"/>
      <c r="AW1176" s="74"/>
      <c r="AX1176" s="74"/>
      <c r="AY1176" s="74"/>
      <c r="AZ1176" s="74"/>
      <c r="BA1176" s="74"/>
      <c r="BB1176" s="74"/>
      <c r="BC1176" s="170"/>
      <c r="BD1176" s="156"/>
      <c r="BE1176" s="156"/>
      <c r="BF1176" s="299"/>
      <c r="BG1176" s="74"/>
      <c r="BH1176" s="74"/>
      <c r="BI1176" s="74"/>
      <c r="BJ1176" s="74"/>
      <c r="BK1176" s="74"/>
      <c r="BL1176" s="74"/>
      <c r="BM1176" s="74"/>
      <c r="BN1176" s="74"/>
      <c r="BO1176" s="74"/>
      <c r="BP1176" s="74"/>
      <c r="BQ1176" s="74"/>
      <c r="BR1176" s="74"/>
      <c r="BS1176" s="74"/>
      <c r="BT1176" s="74"/>
      <c r="BU1176" s="74"/>
      <c r="BV1176" s="74"/>
      <c r="BW1176" s="74"/>
      <c r="BX1176" s="74"/>
      <c r="BY1176" s="63"/>
      <c r="BZ1176" s="63"/>
    </row>
    <row r="1177" ht="15.75" customHeight="1">
      <c r="A1177" s="201"/>
      <c r="B1177" s="74"/>
      <c r="C1177" s="74"/>
      <c r="D1177" s="74"/>
      <c r="E1177" s="156"/>
      <c r="F1177" s="78">
        <v>0.0</v>
      </c>
      <c r="G1177" s="44" t="str">
        <f t="shared" si="35"/>
        <v>$0 a $100'000.000</v>
      </c>
      <c r="H1177" s="44"/>
      <c r="I1177" s="44"/>
      <c r="J1177" s="74"/>
      <c r="K1177" s="359"/>
      <c r="L1177" s="74"/>
      <c r="M1177" s="74"/>
      <c r="N1177" s="74"/>
      <c r="O1177" s="74"/>
      <c r="P1177" s="74"/>
      <c r="Q1177" s="74"/>
      <c r="R1177" s="362"/>
      <c r="S1177" s="56" t="str">
        <f t="shared" si="36"/>
        <v> </v>
      </c>
      <c r="T1177" s="74"/>
      <c r="U1177" s="359"/>
      <c r="V1177" s="74"/>
      <c r="W1177" s="74"/>
      <c r="X1177" s="74"/>
      <c r="Y1177" s="74"/>
      <c r="Z1177" s="364"/>
      <c r="AA1177" s="59" t="str">
        <f>IF(Rentabilidad=0,"No aplica",TEXT(ROUND(Precio/Rentabilidad/12,0),0) &amp; " años")</f>
        <v>No aplica</v>
      </c>
      <c r="AB1177" s="360"/>
      <c r="AC1177" s="61"/>
      <c r="AD1177" s="62"/>
      <c r="AE1177" s="63"/>
      <c r="AF1177" s="156" t="s">
        <v>1383</v>
      </c>
      <c r="AG1177" s="63"/>
      <c r="AH1177" s="63"/>
      <c r="AI1177" s="74"/>
      <c r="AJ1177" s="156"/>
      <c r="AK1177" s="74"/>
      <c r="AL1177" s="156"/>
      <c r="AM1177" s="74"/>
      <c r="AN1177" s="156"/>
      <c r="AO1177" s="74"/>
      <c r="AP1177" s="363"/>
      <c r="AQ1177" s="363"/>
      <c r="AR1177" s="363"/>
      <c r="AS1177" s="74"/>
      <c r="AT1177" s="74"/>
      <c r="AU1177" s="74"/>
      <c r="AV1177" s="74"/>
      <c r="AW1177" s="74"/>
      <c r="AX1177" s="74"/>
      <c r="AY1177" s="74"/>
      <c r="AZ1177" s="74"/>
      <c r="BA1177" s="74"/>
      <c r="BB1177" s="74"/>
      <c r="BC1177" s="170"/>
      <c r="BD1177" s="156"/>
      <c r="BE1177" s="156"/>
      <c r="BF1177" s="299"/>
      <c r="BG1177" s="74"/>
      <c r="BH1177" s="74"/>
      <c r="BI1177" s="74"/>
      <c r="BJ1177" s="74"/>
      <c r="BK1177" s="74"/>
      <c r="BL1177" s="74"/>
      <c r="BM1177" s="74"/>
      <c r="BN1177" s="74"/>
      <c r="BO1177" s="74"/>
      <c r="BP1177" s="74"/>
      <c r="BQ1177" s="74"/>
      <c r="BR1177" s="74"/>
      <c r="BS1177" s="74"/>
      <c r="BT1177" s="74"/>
      <c r="BU1177" s="74"/>
      <c r="BV1177" s="74"/>
      <c r="BW1177" s="74"/>
      <c r="BX1177" s="74"/>
      <c r="BY1177" s="63"/>
      <c r="BZ1177" s="63"/>
    </row>
    <row r="1178" ht="15.75" customHeight="1">
      <c r="A1178" s="201"/>
      <c r="B1178" s="74"/>
      <c r="C1178" s="74"/>
      <c r="D1178" s="74"/>
      <c r="E1178" s="156"/>
      <c r="F1178" s="78">
        <v>0.0</v>
      </c>
      <c r="G1178" s="44" t="str">
        <f t="shared" si="35"/>
        <v>$0 a $100'000.000</v>
      </c>
      <c r="H1178" s="44"/>
      <c r="I1178" s="44"/>
      <c r="J1178" s="74"/>
      <c r="K1178" s="359"/>
      <c r="L1178" s="74"/>
      <c r="M1178" s="74"/>
      <c r="N1178" s="74"/>
      <c r="O1178" s="74"/>
      <c r="P1178" s="74"/>
      <c r="Q1178" s="74"/>
      <c r="R1178" s="362"/>
      <c r="S1178" s="56" t="str">
        <f t="shared" si="36"/>
        <v> </v>
      </c>
      <c r="T1178" s="74"/>
      <c r="U1178" s="359"/>
      <c r="V1178" s="74"/>
      <c r="W1178" s="74"/>
      <c r="X1178" s="74"/>
      <c r="Y1178" s="74"/>
      <c r="Z1178" s="364"/>
      <c r="AA1178" s="59" t="str">
        <f>IF(Rentabilidad=0,"No aplica",TEXT(ROUND(Precio/Rentabilidad/12,0),0) &amp; " años")</f>
        <v>No aplica</v>
      </c>
      <c r="AB1178" s="360"/>
      <c r="AC1178" s="61"/>
      <c r="AD1178" s="62"/>
      <c r="AE1178" s="63"/>
      <c r="AF1178" s="156" t="s">
        <v>1383</v>
      </c>
      <c r="AG1178" s="63"/>
      <c r="AH1178" s="63"/>
      <c r="AI1178" s="74"/>
      <c r="AJ1178" s="156"/>
      <c r="AK1178" s="74"/>
      <c r="AL1178" s="156"/>
      <c r="AM1178" s="74"/>
      <c r="AN1178" s="156"/>
      <c r="AO1178" s="74"/>
      <c r="AP1178" s="363"/>
      <c r="AQ1178" s="363"/>
      <c r="AR1178" s="363"/>
      <c r="AS1178" s="74"/>
      <c r="AT1178" s="74"/>
      <c r="AU1178" s="74"/>
      <c r="AV1178" s="74"/>
      <c r="AW1178" s="74"/>
      <c r="AX1178" s="74"/>
      <c r="AY1178" s="74"/>
      <c r="AZ1178" s="74"/>
      <c r="BA1178" s="74"/>
      <c r="BB1178" s="74"/>
      <c r="BC1178" s="170"/>
      <c r="BD1178" s="156"/>
      <c r="BE1178" s="156"/>
      <c r="BF1178" s="299"/>
      <c r="BG1178" s="74"/>
      <c r="BH1178" s="74"/>
      <c r="BI1178" s="74"/>
      <c r="BJ1178" s="74"/>
      <c r="BK1178" s="74"/>
      <c r="BL1178" s="74"/>
      <c r="BM1178" s="74"/>
      <c r="BN1178" s="74"/>
      <c r="BO1178" s="74"/>
      <c r="BP1178" s="74"/>
      <c r="BQ1178" s="74"/>
      <c r="BR1178" s="74"/>
      <c r="BS1178" s="74"/>
      <c r="BT1178" s="74"/>
      <c r="BU1178" s="74"/>
      <c r="BV1178" s="74"/>
      <c r="BW1178" s="74"/>
      <c r="BX1178" s="74"/>
      <c r="BY1178" s="63"/>
      <c r="BZ1178" s="63"/>
    </row>
    <row r="1179" ht="15.75" customHeight="1">
      <c r="A1179" s="201"/>
      <c r="B1179" s="74"/>
      <c r="C1179" s="74"/>
      <c r="D1179" s="74"/>
      <c r="E1179" s="156"/>
      <c r="F1179" s="78">
        <v>0.0</v>
      </c>
      <c r="G1179" s="44" t="str">
        <f t="shared" si="35"/>
        <v>$0 a $100'000.000</v>
      </c>
      <c r="H1179" s="44"/>
      <c r="I1179" s="44"/>
      <c r="J1179" s="74"/>
      <c r="K1179" s="359"/>
      <c r="L1179" s="74"/>
      <c r="M1179" s="74"/>
      <c r="N1179" s="74"/>
      <c r="O1179" s="74"/>
      <c r="P1179" s="74"/>
      <c r="Q1179" s="74"/>
      <c r="R1179" s="362"/>
      <c r="S1179" s="56" t="str">
        <f t="shared" si="36"/>
        <v> </v>
      </c>
      <c r="T1179" s="74"/>
      <c r="U1179" s="359"/>
      <c r="V1179" s="74"/>
      <c r="W1179" s="74"/>
      <c r="X1179" s="74"/>
      <c r="Y1179" s="74"/>
      <c r="Z1179" s="364"/>
      <c r="AA1179" s="59" t="str">
        <f>IF(Rentabilidad=0,"No aplica",TEXT(ROUND(Precio/Rentabilidad/12,0),0) &amp; " años")</f>
        <v>No aplica</v>
      </c>
      <c r="AB1179" s="360"/>
      <c r="AC1179" s="61"/>
      <c r="AD1179" s="62"/>
      <c r="AE1179" s="63"/>
      <c r="AF1179" s="156" t="s">
        <v>1383</v>
      </c>
      <c r="AG1179" s="63"/>
      <c r="AH1179" s="63"/>
      <c r="AI1179" s="74"/>
      <c r="AJ1179" s="156"/>
      <c r="AK1179" s="74"/>
      <c r="AL1179" s="156"/>
      <c r="AM1179" s="74"/>
      <c r="AN1179" s="156"/>
      <c r="AO1179" s="74"/>
      <c r="AP1179" s="363"/>
      <c r="AQ1179" s="363"/>
      <c r="AR1179" s="363"/>
      <c r="AS1179" s="74"/>
      <c r="AT1179" s="74"/>
      <c r="AU1179" s="74"/>
      <c r="AV1179" s="74"/>
      <c r="AW1179" s="74"/>
      <c r="AX1179" s="74"/>
      <c r="AY1179" s="74"/>
      <c r="AZ1179" s="74"/>
      <c r="BA1179" s="74"/>
      <c r="BB1179" s="74"/>
      <c r="BC1179" s="170"/>
      <c r="BD1179" s="156"/>
      <c r="BE1179" s="156"/>
      <c r="BF1179" s="299"/>
      <c r="BG1179" s="74"/>
      <c r="BH1179" s="74"/>
      <c r="BI1179" s="74"/>
      <c r="BJ1179" s="74"/>
      <c r="BK1179" s="74"/>
      <c r="BL1179" s="74"/>
      <c r="BM1179" s="74"/>
      <c r="BN1179" s="74"/>
      <c r="BO1179" s="74"/>
      <c r="BP1179" s="74"/>
      <c r="BQ1179" s="74"/>
      <c r="BR1179" s="74"/>
      <c r="BS1179" s="74"/>
      <c r="BT1179" s="74"/>
      <c r="BU1179" s="74"/>
      <c r="BV1179" s="74"/>
      <c r="BW1179" s="74"/>
      <c r="BX1179" s="74"/>
      <c r="BY1179" s="63"/>
      <c r="BZ1179" s="63"/>
    </row>
    <row r="1180" ht="15.75" customHeight="1">
      <c r="A1180" s="201"/>
      <c r="B1180" s="74"/>
      <c r="C1180" s="74"/>
      <c r="D1180" s="74"/>
      <c r="E1180" s="156"/>
      <c r="F1180" s="78">
        <v>0.0</v>
      </c>
      <c r="G1180" s="44" t="str">
        <f t="shared" si="35"/>
        <v>$0 a $100'000.000</v>
      </c>
      <c r="H1180" s="44"/>
      <c r="I1180" s="44"/>
      <c r="J1180" s="74"/>
      <c r="K1180" s="359"/>
      <c r="L1180" s="74"/>
      <c r="M1180" s="74"/>
      <c r="N1180" s="74"/>
      <c r="O1180" s="74"/>
      <c r="P1180" s="74"/>
      <c r="Q1180" s="74"/>
      <c r="R1180" s="362"/>
      <c r="S1180" s="56" t="str">
        <f t="shared" si="36"/>
        <v> </v>
      </c>
      <c r="T1180" s="74"/>
      <c r="U1180" s="359"/>
      <c r="V1180" s="74"/>
      <c r="W1180" s="74"/>
      <c r="X1180" s="74"/>
      <c r="Y1180" s="74"/>
      <c r="Z1180" s="364"/>
      <c r="AA1180" s="59" t="str">
        <f>IF(Rentabilidad=0,"No aplica",TEXT(ROUND(Precio/Rentabilidad/12,0),0) &amp; " años")</f>
        <v>No aplica</v>
      </c>
      <c r="AB1180" s="360"/>
      <c r="AC1180" s="61"/>
      <c r="AD1180" s="62"/>
      <c r="AE1180" s="63"/>
      <c r="AF1180" s="156" t="s">
        <v>1383</v>
      </c>
      <c r="AG1180" s="63"/>
      <c r="AH1180" s="63"/>
      <c r="AI1180" s="74"/>
      <c r="AJ1180" s="156"/>
      <c r="AK1180" s="74"/>
      <c r="AL1180" s="156"/>
      <c r="AM1180" s="74"/>
      <c r="AN1180" s="156"/>
      <c r="AO1180" s="74"/>
      <c r="AP1180" s="363"/>
      <c r="AQ1180" s="363"/>
      <c r="AR1180" s="363"/>
      <c r="AS1180" s="74"/>
      <c r="AT1180" s="74"/>
      <c r="AU1180" s="74"/>
      <c r="AV1180" s="74"/>
      <c r="AW1180" s="74"/>
      <c r="AX1180" s="74"/>
      <c r="AY1180" s="74"/>
      <c r="AZ1180" s="74"/>
      <c r="BA1180" s="74"/>
      <c r="BB1180" s="74"/>
      <c r="BC1180" s="170"/>
      <c r="BD1180" s="156"/>
      <c r="BE1180" s="156"/>
      <c r="BF1180" s="299"/>
      <c r="BG1180" s="74"/>
      <c r="BH1180" s="74"/>
      <c r="BI1180" s="74"/>
      <c r="BJ1180" s="74"/>
      <c r="BK1180" s="74"/>
      <c r="BL1180" s="74"/>
      <c r="BM1180" s="74"/>
      <c r="BN1180" s="74"/>
      <c r="BO1180" s="74"/>
      <c r="BP1180" s="74"/>
      <c r="BQ1180" s="74"/>
      <c r="BR1180" s="74"/>
      <c r="BS1180" s="74"/>
      <c r="BT1180" s="74"/>
      <c r="BU1180" s="74"/>
      <c r="BV1180" s="74"/>
      <c r="BW1180" s="74"/>
      <c r="BX1180" s="74"/>
      <c r="BY1180" s="63"/>
      <c r="BZ1180" s="63"/>
    </row>
    <row r="1181" ht="15.75" customHeight="1">
      <c r="A1181" s="201"/>
      <c r="B1181" s="74"/>
      <c r="C1181" s="74"/>
      <c r="D1181" s="74"/>
      <c r="E1181" s="156"/>
      <c r="F1181" s="78">
        <v>0.0</v>
      </c>
      <c r="G1181" s="44" t="str">
        <f t="shared" si="35"/>
        <v>$0 a $100'000.000</v>
      </c>
      <c r="H1181" s="44"/>
      <c r="I1181" s="44"/>
      <c r="J1181" s="74"/>
      <c r="K1181" s="359"/>
      <c r="L1181" s="74"/>
      <c r="M1181" s="74"/>
      <c r="N1181" s="74"/>
      <c r="O1181" s="74"/>
      <c r="P1181" s="74"/>
      <c r="Q1181" s="74"/>
      <c r="R1181" s="362"/>
      <c r="S1181" s="56" t="str">
        <f t="shared" si="36"/>
        <v> </v>
      </c>
      <c r="T1181" s="74"/>
      <c r="U1181" s="359"/>
      <c r="V1181" s="74"/>
      <c r="W1181" s="74"/>
      <c r="X1181" s="74"/>
      <c r="Y1181" s="74"/>
      <c r="Z1181" s="364"/>
      <c r="AA1181" s="59" t="str">
        <f>IF(Rentabilidad=0,"No aplica",TEXT(ROUND(Precio/Rentabilidad/12,0),0) &amp; " años")</f>
        <v>No aplica</v>
      </c>
      <c r="AB1181" s="360"/>
      <c r="AC1181" s="61"/>
      <c r="AD1181" s="62"/>
      <c r="AE1181" s="63"/>
      <c r="AF1181" s="156" t="s">
        <v>1383</v>
      </c>
      <c r="AG1181" s="63"/>
      <c r="AH1181" s="63"/>
      <c r="AI1181" s="74"/>
      <c r="AJ1181" s="156"/>
      <c r="AK1181" s="74"/>
      <c r="AL1181" s="156"/>
      <c r="AM1181" s="74"/>
      <c r="AN1181" s="156"/>
      <c r="AO1181" s="74"/>
      <c r="AP1181" s="363"/>
      <c r="AQ1181" s="363"/>
      <c r="AR1181" s="363"/>
      <c r="AS1181" s="74"/>
      <c r="AT1181" s="74"/>
      <c r="AU1181" s="74"/>
      <c r="AV1181" s="74"/>
      <c r="AW1181" s="74"/>
      <c r="AX1181" s="74"/>
      <c r="AY1181" s="74"/>
      <c r="AZ1181" s="74"/>
      <c r="BA1181" s="74"/>
      <c r="BB1181" s="74"/>
      <c r="BC1181" s="170"/>
      <c r="BD1181" s="156"/>
      <c r="BE1181" s="156"/>
      <c r="BF1181" s="299"/>
      <c r="BG1181" s="74"/>
      <c r="BH1181" s="74"/>
      <c r="BI1181" s="74"/>
      <c r="BJ1181" s="74"/>
      <c r="BK1181" s="74"/>
      <c r="BL1181" s="74"/>
      <c r="BM1181" s="74"/>
      <c r="BN1181" s="74"/>
      <c r="BO1181" s="74"/>
      <c r="BP1181" s="74"/>
      <c r="BQ1181" s="74"/>
      <c r="BR1181" s="74"/>
      <c r="BS1181" s="74"/>
      <c r="BT1181" s="74"/>
      <c r="BU1181" s="74"/>
      <c r="BV1181" s="74"/>
      <c r="BW1181" s="74"/>
      <c r="BX1181" s="74"/>
      <c r="BY1181" s="63"/>
      <c r="BZ1181" s="63"/>
    </row>
    <row r="1182" ht="15.75" customHeight="1">
      <c r="A1182" s="201"/>
      <c r="B1182" s="74"/>
      <c r="C1182" s="74"/>
      <c r="D1182" s="74"/>
      <c r="E1182" s="156"/>
      <c r="F1182" s="78">
        <v>0.0</v>
      </c>
      <c r="G1182" s="44" t="str">
        <f t="shared" si="35"/>
        <v>$0 a $100'000.000</v>
      </c>
      <c r="H1182" s="44"/>
      <c r="I1182" s="44"/>
      <c r="J1182" s="74"/>
      <c r="K1182" s="359"/>
      <c r="L1182" s="74"/>
      <c r="M1182" s="74"/>
      <c r="N1182" s="74"/>
      <c r="O1182" s="74"/>
      <c r="P1182" s="74"/>
      <c r="Q1182" s="74"/>
      <c r="R1182" s="362"/>
      <c r="S1182" s="56" t="str">
        <f t="shared" si="36"/>
        <v> </v>
      </c>
      <c r="T1182" s="74"/>
      <c r="U1182" s="359"/>
      <c r="V1182" s="74"/>
      <c r="W1182" s="74"/>
      <c r="X1182" s="74"/>
      <c r="Y1182" s="74"/>
      <c r="Z1182" s="364"/>
      <c r="AA1182" s="59" t="str">
        <f>IF(Rentabilidad=0,"No aplica",TEXT(ROUND(Precio/Rentabilidad/12,0),0) &amp; " años")</f>
        <v>No aplica</v>
      </c>
      <c r="AB1182" s="360"/>
      <c r="AC1182" s="61"/>
      <c r="AD1182" s="62"/>
      <c r="AE1182" s="63"/>
      <c r="AF1182" s="156" t="s">
        <v>1383</v>
      </c>
      <c r="AG1182" s="63"/>
      <c r="AH1182" s="63"/>
      <c r="AI1182" s="74"/>
      <c r="AJ1182" s="156"/>
      <c r="AK1182" s="74"/>
      <c r="AL1182" s="156"/>
      <c r="AM1182" s="74"/>
      <c r="AN1182" s="156"/>
      <c r="AO1182" s="74"/>
      <c r="AP1182" s="363"/>
      <c r="AQ1182" s="363"/>
      <c r="AR1182" s="363"/>
      <c r="AS1182" s="74"/>
      <c r="AT1182" s="74"/>
      <c r="AU1182" s="74"/>
      <c r="AV1182" s="74"/>
      <c r="AW1182" s="74"/>
      <c r="AX1182" s="74"/>
      <c r="AY1182" s="74"/>
      <c r="AZ1182" s="74"/>
      <c r="BA1182" s="74"/>
      <c r="BB1182" s="74"/>
      <c r="BC1182" s="170"/>
      <c r="BD1182" s="156"/>
      <c r="BE1182" s="156"/>
      <c r="BF1182" s="299"/>
      <c r="BG1182" s="74"/>
      <c r="BH1182" s="74"/>
      <c r="BI1182" s="74"/>
      <c r="BJ1182" s="74"/>
      <c r="BK1182" s="74"/>
      <c r="BL1182" s="74"/>
      <c r="BM1182" s="74"/>
      <c r="BN1182" s="74"/>
      <c r="BO1182" s="74"/>
      <c r="BP1182" s="74"/>
      <c r="BQ1182" s="74"/>
      <c r="BR1182" s="74"/>
      <c r="BS1182" s="74"/>
      <c r="BT1182" s="74"/>
      <c r="BU1182" s="74"/>
      <c r="BV1182" s="74"/>
      <c r="BW1182" s="74"/>
      <c r="BX1182" s="74"/>
      <c r="BY1182" s="63"/>
      <c r="BZ1182" s="63"/>
    </row>
    <row r="1183" ht="15.75" customHeight="1">
      <c r="A1183" s="201"/>
      <c r="B1183" s="74"/>
      <c r="C1183" s="74"/>
      <c r="D1183" s="74"/>
      <c r="E1183" s="156"/>
      <c r="F1183" s="78">
        <v>0.0</v>
      </c>
      <c r="G1183" s="44" t="str">
        <f t="shared" si="35"/>
        <v>$0 a $100'000.000</v>
      </c>
      <c r="H1183" s="44"/>
      <c r="I1183" s="44"/>
      <c r="J1183" s="74"/>
      <c r="K1183" s="359"/>
      <c r="L1183" s="74"/>
      <c r="M1183" s="74"/>
      <c r="N1183" s="74"/>
      <c r="O1183" s="74"/>
      <c r="P1183" s="74"/>
      <c r="Q1183" s="74"/>
      <c r="R1183" s="362"/>
      <c r="S1183" s="56" t="str">
        <f t="shared" si="36"/>
        <v> </v>
      </c>
      <c r="T1183" s="74"/>
      <c r="U1183" s="359"/>
      <c r="V1183" s="74"/>
      <c r="W1183" s="74"/>
      <c r="X1183" s="74"/>
      <c r="Y1183" s="74"/>
      <c r="Z1183" s="364"/>
      <c r="AA1183" s="59" t="str">
        <f>IF(Rentabilidad=0,"No aplica",TEXT(ROUND(Precio/Rentabilidad/12,0),0) &amp; " años")</f>
        <v>No aplica</v>
      </c>
      <c r="AB1183" s="360"/>
      <c r="AC1183" s="61"/>
      <c r="AD1183" s="62"/>
      <c r="AE1183" s="63"/>
      <c r="AF1183" s="156" t="s">
        <v>1383</v>
      </c>
      <c r="AG1183" s="63"/>
      <c r="AH1183" s="63"/>
      <c r="AI1183" s="74"/>
      <c r="AJ1183" s="156"/>
      <c r="AK1183" s="74"/>
      <c r="AL1183" s="156"/>
      <c r="AM1183" s="74"/>
      <c r="AN1183" s="156"/>
      <c r="AO1183" s="74"/>
      <c r="AP1183" s="363"/>
      <c r="AQ1183" s="363"/>
      <c r="AR1183" s="363"/>
      <c r="AS1183" s="74"/>
      <c r="AT1183" s="74"/>
      <c r="AU1183" s="74"/>
      <c r="AV1183" s="74"/>
      <c r="AW1183" s="74"/>
      <c r="AX1183" s="74"/>
      <c r="AY1183" s="74"/>
      <c r="AZ1183" s="74"/>
      <c r="BA1183" s="74"/>
      <c r="BB1183" s="74"/>
      <c r="BC1183" s="170"/>
      <c r="BD1183" s="156"/>
      <c r="BE1183" s="156"/>
      <c r="BF1183" s="299"/>
      <c r="BG1183" s="74"/>
      <c r="BH1183" s="74"/>
      <c r="BI1183" s="74"/>
      <c r="BJ1183" s="74"/>
      <c r="BK1183" s="74"/>
      <c r="BL1183" s="74"/>
      <c r="BM1183" s="74"/>
      <c r="BN1183" s="74"/>
      <c r="BO1183" s="74"/>
      <c r="BP1183" s="74"/>
      <c r="BQ1183" s="74"/>
      <c r="BR1183" s="74"/>
      <c r="BS1183" s="74"/>
      <c r="BT1183" s="74"/>
      <c r="BU1183" s="74"/>
      <c r="BV1183" s="74"/>
      <c r="BW1183" s="74"/>
      <c r="BX1183" s="74"/>
      <c r="BY1183" s="63"/>
      <c r="BZ1183" s="63"/>
    </row>
    <row r="1184" ht="15.75" customHeight="1">
      <c r="A1184" s="201"/>
      <c r="B1184" s="74"/>
      <c r="C1184" s="74"/>
      <c r="D1184" s="74"/>
      <c r="E1184" s="156"/>
      <c r="F1184" s="78">
        <v>0.0</v>
      </c>
      <c r="G1184" s="44" t="str">
        <f t="shared" si="35"/>
        <v>$0 a $100'000.000</v>
      </c>
      <c r="H1184" s="44"/>
      <c r="I1184" s="44"/>
      <c r="J1184" s="74"/>
      <c r="K1184" s="359"/>
      <c r="L1184" s="74"/>
      <c r="M1184" s="74"/>
      <c r="N1184" s="74"/>
      <c r="O1184" s="74"/>
      <c r="P1184" s="74"/>
      <c r="Q1184" s="74"/>
      <c r="R1184" s="362"/>
      <c r="S1184" s="56" t="str">
        <f t="shared" si="36"/>
        <v> </v>
      </c>
      <c r="T1184" s="74"/>
      <c r="U1184" s="359"/>
      <c r="V1184" s="74"/>
      <c r="W1184" s="74"/>
      <c r="X1184" s="74"/>
      <c r="Y1184" s="74"/>
      <c r="Z1184" s="364"/>
      <c r="AA1184" s="59" t="str">
        <f>IF(Rentabilidad=0,"No aplica",TEXT(ROUND(Precio/Rentabilidad/12,0),0) &amp; " años")</f>
        <v>No aplica</v>
      </c>
      <c r="AB1184" s="360"/>
      <c r="AC1184" s="61"/>
      <c r="AD1184" s="62"/>
      <c r="AE1184" s="63"/>
      <c r="AF1184" s="156"/>
      <c r="AG1184" s="63"/>
      <c r="AH1184" s="63"/>
      <c r="AI1184" s="74"/>
      <c r="AJ1184" s="156"/>
      <c r="AK1184" s="74"/>
      <c r="AL1184" s="156"/>
      <c r="AM1184" s="74"/>
      <c r="AN1184" s="156"/>
      <c r="AO1184" s="74"/>
      <c r="AP1184" s="363"/>
      <c r="AQ1184" s="363"/>
      <c r="AR1184" s="363"/>
      <c r="AS1184" s="74"/>
      <c r="AT1184" s="74"/>
      <c r="AU1184" s="74"/>
      <c r="AV1184" s="74"/>
      <c r="AW1184" s="74"/>
      <c r="AX1184" s="74"/>
      <c r="AY1184" s="74"/>
      <c r="AZ1184" s="74"/>
      <c r="BA1184" s="74"/>
      <c r="BB1184" s="74"/>
      <c r="BC1184" s="170"/>
      <c r="BD1184" s="156"/>
      <c r="BE1184" s="156"/>
      <c r="BF1184" s="299"/>
      <c r="BG1184" s="74"/>
      <c r="BH1184" s="74"/>
      <c r="BI1184" s="74"/>
      <c r="BJ1184" s="74"/>
      <c r="BK1184" s="74"/>
      <c r="BL1184" s="74"/>
      <c r="BM1184" s="74"/>
      <c r="BN1184" s="74"/>
      <c r="BO1184" s="74"/>
      <c r="BP1184" s="74"/>
      <c r="BQ1184" s="74"/>
      <c r="BR1184" s="74"/>
      <c r="BS1184" s="74"/>
      <c r="BT1184" s="74"/>
      <c r="BU1184" s="74"/>
      <c r="BV1184" s="74"/>
      <c r="BW1184" s="74"/>
      <c r="BX1184" s="74"/>
      <c r="BY1184" s="63"/>
      <c r="BZ1184" s="63"/>
    </row>
    <row r="1185" ht="15.75" customHeight="1">
      <c r="A1185" s="201"/>
      <c r="B1185" s="74"/>
      <c r="C1185" s="74"/>
      <c r="D1185" s="74"/>
      <c r="E1185" s="156"/>
      <c r="F1185" s="78">
        <v>0.0</v>
      </c>
      <c r="G1185" s="44" t="str">
        <f t="shared" si="35"/>
        <v>$0 a $100'000.000</v>
      </c>
      <c r="H1185" s="44"/>
      <c r="I1185" s="44"/>
      <c r="J1185" s="74"/>
      <c r="K1185" s="359"/>
      <c r="L1185" s="74"/>
      <c r="M1185" s="74"/>
      <c r="N1185" s="74"/>
      <c r="O1185" s="74"/>
      <c r="P1185" s="74"/>
      <c r="Q1185" s="74"/>
      <c r="R1185" s="362"/>
      <c r="S1185" s="56" t="str">
        <f t="shared" si="36"/>
        <v> </v>
      </c>
      <c r="T1185" s="74"/>
      <c r="U1185" s="359"/>
      <c r="V1185" s="74"/>
      <c r="W1185" s="74"/>
      <c r="X1185" s="74"/>
      <c r="Y1185" s="74"/>
      <c r="Z1185" s="364"/>
      <c r="AA1185" s="59" t="str">
        <f>IF(Rentabilidad=0,"No aplica",TEXT(ROUND(Precio/Rentabilidad/12,0),0) &amp; " años")</f>
        <v>No aplica</v>
      </c>
      <c r="AB1185" s="360"/>
      <c r="AC1185" s="61"/>
      <c r="AD1185" s="62"/>
      <c r="AE1185" s="63"/>
      <c r="AF1185" s="156"/>
      <c r="AG1185" s="63"/>
      <c r="AH1185" s="63"/>
      <c r="AI1185" s="74"/>
      <c r="AJ1185" s="156"/>
      <c r="AK1185" s="74"/>
      <c r="AL1185" s="156"/>
      <c r="AM1185" s="74"/>
      <c r="AN1185" s="156"/>
      <c r="AO1185" s="74"/>
      <c r="AP1185" s="363"/>
      <c r="AQ1185" s="363"/>
      <c r="AR1185" s="363"/>
      <c r="AS1185" s="74"/>
      <c r="AT1185" s="74"/>
      <c r="AU1185" s="74"/>
      <c r="AV1185" s="74"/>
      <c r="AW1185" s="74"/>
      <c r="AX1185" s="74"/>
      <c r="AY1185" s="74"/>
      <c r="AZ1185" s="74"/>
      <c r="BA1185" s="74"/>
      <c r="BB1185" s="74"/>
      <c r="BC1185" s="170"/>
      <c r="BD1185" s="156"/>
      <c r="BE1185" s="156"/>
      <c r="BF1185" s="299"/>
      <c r="BG1185" s="74"/>
      <c r="BH1185" s="74"/>
      <c r="BI1185" s="74"/>
      <c r="BJ1185" s="74"/>
      <c r="BK1185" s="74"/>
      <c r="BL1185" s="74"/>
      <c r="BM1185" s="74"/>
      <c r="BN1185" s="74"/>
      <c r="BO1185" s="74"/>
      <c r="BP1185" s="74"/>
      <c r="BQ1185" s="74"/>
      <c r="BR1185" s="74"/>
      <c r="BS1185" s="74"/>
      <c r="BT1185" s="74"/>
      <c r="BU1185" s="74"/>
      <c r="BV1185" s="74"/>
      <c r="BW1185" s="74"/>
      <c r="BX1185" s="74"/>
      <c r="BY1185" s="63"/>
      <c r="BZ1185" s="63"/>
    </row>
    <row r="1186" ht="15.75" customHeight="1">
      <c r="A1186" s="201"/>
      <c r="B1186" s="74"/>
      <c r="C1186" s="74"/>
      <c r="D1186" s="74"/>
      <c r="E1186" s="156"/>
      <c r="F1186" s="78">
        <v>0.0</v>
      </c>
      <c r="G1186" s="44" t="str">
        <f t="shared" si="35"/>
        <v>$0 a $100'000.000</v>
      </c>
      <c r="H1186" s="44"/>
      <c r="I1186" s="44"/>
      <c r="J1186" s="74"/>
      <c r="K1186" s="359"/>
      <c r="L1186" s="74"/>
      <c r="M1186" s="74"/>
      <c r="N1186" s="74"/>
      <c r="O1186" s="74"/>
      <c r="P1186" s="74"/>
      <c r="Q1186" s="74"/>
      <c r="R1186" s="362"/>
      <c r="S1186" s="56" t="str">
        <f t="shared" si="36"/>
        <v> </v>
      </c>
      <c r="T1186" s="74"/>
      <c r="U1186" s="359"/>
      <c r="V1186" s="74"/>
      <c r="W1186" s="74"/>
      <c r="X1186" s="74"/>
      <c r="Y1186" s="74"/>
      <c r="Z1186" s="364"/>
      <c r="AA1186" s="59" t="str">
        <f>IF(Rentabilidad=0,"No aplica",TEXT(ROUND(Precio/Rentabilidad/12,0),0) &amp; " años")</f>
        <v>No aplica</v>
      </c>
      <c r="AB1186" s="360"/>
      <c r="AC1186" s="61"/>
      <c r="AD1186" s="62"/>
      <c r="AE1186" s="63"/>
      <c r="AF1186" s="156"/>
      <c r="AG1186" s="63"/>
      <c r="AH1186" s="63"/>
      <c r="AI1186" s="74"/>
      <c r="AJ1186" s="156"/>
      <c r="AK1186" s="74"/>
      <c r="AL1186" s="156"/>
      <c r="AM1186" s="74"/>
      <c r="AN1186" s="156"/>
      <c r="AO1186" s="74"/>
      <c r="AP1186" s="363"/>
      <c r="AQ1186" s="363"/>
      <c r="AR1186" s="363"/>
      <c r="AS1186" s="74"/>
      <c r="AT1186" s="74"/>
      <c r="AU1186" s="74"/>
      <c r="AV1186" s="74"/>
      <c r="AW1186" s="74"/>
      <c r="AX1186" s="74"/>
      <c r="AY1186" s="74"/>
      <c r="AZ1186" s="74"/>
      <c r="BA1186" s="74"/>
      <c r="BB1186" s="74"/>
      <c r="BC1186" s="170"/>
      <c r="BD1186" s="156"/>
      <c r="BE1186" s="156"/>
      <c r="BF1186" s="299"/>
      <c r="BG1186" s="74"/>
      <c r="BH1186" s="74"/>
      <c r="BI1186" s="74"/>
      <c r="BJ1186" s="74"/>
      <c r="BK1186" s="74"/>
      <c r="BL1186" s="74"/>
      <c r="BM1186" s="74"/>
      <c r="BN1186" s="74"/>
      <c r="BO1186" s="74"/>
      <c r="BP1186" s="74"/>
      <c r="BQ1186" s="74"/>
      <c r="BR1186" s="74"/>
      <c r="BS1186" s="74"/>
      <c r="BT1186" s="74"/>
      <c r="BU1186" s="74"/>
      <c r="BV1186" s="74"/>
      <c r="BW1186" s="74"/>
      <c r="BX1186" s="74"/>
      <c r="BY1186" s="63"/>
      <c r="BZ1186" s="63"/>
    </row>
    <row r="1187" ht="15.75" customHeight="1">
      <c r="A1187" s="201"/>
      <c r="B1187" s="74"/>
      <c r="C1187" s="74"/>
      <c r="D1187" s="74"/>
      <c r="E1187" s="156"/>
      <c r="F1187" s="78">
        <v>0.0</v>
      </c>
      <c r="G1187" s="44" t="str">
        <f t="shared" si="35"/>
        <v>$0 a $100'000.000</v>
      </c>
      <c r="H1187" s="44"/>
      <c r="I1187" s="44"/>
      <c r="J1187" s="74"/>
      <c r="K1187" s="359"/>
      <c r="L1187" s="74"/>
      <c r="M1187" s="74"/>
      <c r="N1187" s="74"/>
      <c r="O1187" s="74"/>
      <c r="P1187" s="74"/>
      <c r="Q1187" s="74"/>
      <c r="R1187" s="362"/>
      <c r="S1187" s="56" t="str">
        <f t="shared" si="36"/>
        <v> </v>
      </c>
      <c r="T1187" s="74"/>
      <c r="U1187" s="359"/>
      <c r="V1187" s="74"/>
      <c r="W1187" s="74"/>
      <c r="X1187" s="74"/>
      <c r="Y1187" s="74"/>
      <c r="Z1187" s="364"/>
      <c r="AA1187" s="59" t="str">
        <f>IF(Rentabilidad=0,"No aplica",TEXT(ROUND(Precio/Rentabilidad/12,0),0) &amp; " años")</f>
        <v>No aplica</v>
      </c>
      <c r="AB1187" s="360"/>
      <c r="AC1187" s="61"/>
      <c r="AD1187" s="62"/>
      <c r="AE1187" s="63"/>
      <c r="AF1187" s="156"/>
      <c r="AG1187" s="63"/>
      <c r="AH1187" s="63"/>
      <c r="AI1187" s="74"/>
      <c r="AJ1187" s="156"/>
      <c r="AK1187" s="74"/>
      <c r="AL1187" s="156"/>
      <c r="AM1187" s="74"/>
      <c r="AN1187" s="156"/>
      <c r="AO1187" s="74"/>
      <c r="AP1187" s="363"/>
      <c r="AQ1187" s="363"/>
      <c r="AR1187" s="363"/>
      <c r="AS1187" s="74"/>
      <c r="AT1187" s="74"/>
      <c r="AU1187" s="74"/>
      <c r="AV1187" s="74"/>
      <c r="AW1187" s="74"/>
      <c r="AX1187" s="74"/>
      <c r="AY1187" s="74"/>
      <c r="AZ1187" s="74"/>
      <c r="BA1187" s="74"/>
      <c r="BB1187" s="74"/>
      <c r="BC1187" s="170"/>
      <c r="BD1187" s="156"/>
      <c r="BE1187" s="156"/>
      <c r="BF1187" s="299"/>
      <c r="BG1187" s="74"/>
      <c r="BH1187" s="74"/>
      <c r="BI1187" s="74"/>
      <c r="BJ1187" s="74"/>
      <c r="BK1187" s="74"/>
      <c r="BL1187" s="74"/>
      <c r="BM1187" s="74"/>
      <c r="BN1187" s="74"/>
      <c r="BO1187" s="74"/>
      <c r="BP1187" s="74"/>
      <c r="BQ1187" s="74"/>
      <c r="BR1187" s="74"/>
      <c r="BS1187" s="74"/>
      <c r="BT1187" s="74"/>
      <c r="BU1187" s="74"/>
      <c r="BV1187" s="74"/>
      <c r="BW1187" s="74"/>
      <c r="BX1187" s="74"/>
      <c r="BY1187" s="63"/>
      <c r="BZ1187" s="63"/>
    </row>
    <row r="1188" ht="15.75" customHeight="1">
      <c r="A1188" s="201"/>
      <c r="B1188" s="74"/>
      <c r="C1188" s="74"/>
      <c r="D1188" s="74"/>
      <c r="E1188" s="156"/>
      <c r="F1188" s="78">
        <v>0.0</v>
      </c>
      <c r="G1188" s="44" t="str">
        <f t="shared" si="35"/>
        <v>$0 a $100'000.000</v>
      </c>
      <c r="H1188" s="44"/>
      <c r="I1188" s="44"/>
      <c r="J1188" s="74"/>
      <c r="K1188" s="359"/>
      <c r="L1188" s="74"/>
      <c r="M1188" s="74"/>
      <c r="N1188" s="74"/>
      <c r="O1188" s="74"/>
      <c r="P1188" s="74"/>
      <c r="Q1188" s="74"/>
      <c r="R1188" s="362"/>
      <c r="S1188" s="56" t="str">
        <f t="shared" si="36"/>
        <v> </v>
      </c>
      <c r="T1188" s="74"/>
      <c r="U1188" s="359"/>
      <c r="V1188" s="74"/>
      <c r="W1188" s="74"/>
      <c r="X1188" s="74"/>
      <c r="Y1188" s="74"/>
      <c r="Z1188" s="364"/>
      <c r="AA1188" s="59" t="str">
        <f>IF(Rentabilidad=0,"No aplica",TEXT(ROUND(Precio/Rentabilidad/12,0),0) &amp; " años")</f>
        <v>No aplica</v>
      </c>
      <c r="AB1188" s="360"/>
      <c r="AC1188" s="61"/>
      <c r="AD1188" s="62"/>
      <c r="AE1188" s="63"/>
      <c r="AF1188" s="156"/>
      <c r="AG1188" s="63"/>
      <c r="AH1188" s="63"/>
      <c r="AI1188" s="74"/>
      <c r="AJ1188" s="156"/>
      <c r="AK1188" s="74"/>
      <c r="AL1188" s="156"/>
      <c r="AM1188" s="74"/>
      <c r="AN1188" s="156"/>
      <c r="AO1188" s="74"/>
      <c r="AP1188" s="363"/>
      <c r="AQ1188" s="363"/>
      <c r="AR1188" s="363"/>
      <c r="AS1188" s="74"/>
      <c r="AT1188" s="74"/>
      <c r="AU1188" s="74"/>
      <c r="AV1188" s="74"/>
      <c r="AW1188" s="74"/>
      <c r="AX1188" s="74"/>
      <c r="AY1188" s="74"/>
      <c r="AZ1188" s="74"/>
      <c r="BA1188" s="74"/>
      <c r="BB1188" s="74"/>
      <c r="BC1188" s="170"/>
      <c r="BD1188" s="156"/>
      <c r="BE1188" s="156"/>
      <c r="BF1188" s="299"/>
      <c r="BG1188" s="74"/>
      <c r="BH1188" s="74"/>
      <c r="BI1188" s="74"/>
      <c r="BJ1188" s="74"/>
      <c r="BK1188" s="74"/>
      <c r="BL1188" s="74"/>
      <c r="BM1188" s="74"/>
      <c r="BN1188" s="74"/>
      <c r="BO1188" s="74"/>
      <c r="BP1188" s="74"/>
      <c r="BQ1188" s="74"/>
      <c r="BR1188" s="74"/>
      <c r="BS1188" s="74"/>
      <c r="BT1188" s="74"/>
      <c r="BU1188" s="74"/>
      <c r="BV1188" s="74"/>
      <c r="BW1188" s="74"/>
      <c r="BX1188" s="74"/>
      <c r="BY1188" s="63"/>
      <c r="BZ1188" s="63"/>
    </row>
    <row r="1189" ht="15.75" customHeight="1">
      <c r="A1189" s="201"/>
      <c r="B1189" s="74"/>
      <c r="C1189" s="74"/>
      <c r="D1189" s="74"/>
      <c r="E1189" s="156"/>
      <c r="F1189" s="78">
        <v>0.0</v>
      </c>
      <c r="G1189" s="44" t="str">
        <f t="shared" si="35"/>
        <v>$0 a $100'000.000</v>
      </c>
      <c r="H1189" s="44"/>
      <c r="I1189" s="44"/>
      <c r="J1189" s="74"/>
      <c r="K1189" s="359"/>
      <c r="L1189" s="74"/>
      <c r="M1189" s="74"/>
      <c r="N1189" s="74"/>
      <c r="O1189" s="74"/>
      <c r="P1189" s="74"/>
      <c r="Q1189" s="74"/>
      <c r="R1189" s="362"/>
      <c r="S1189" s="56" t="str">
        <f t="shared" si="36"/>
        <v> </v>
      </c>
      <c r="T1189" s="74"/>
      <c r="U1189" s="359"/>
      <c r="V1189" s="74"/>
      <c r="W1189" s="74"/>
      <c r="X1189" s="74"/>
      <c r="Y1189" s="74"/>
      <c r="Z1189" s="364"/>
      <c r="AA1189" s="59" t="str">
        <f>IF(Rentabilidad=0,"No aplica",TEXT(ROUND(Precio/Rentabilidad/12,0),0) &amp; " años")</f>
        <v>No aplica</v>
      </c>
      <c r="AB1189" s="360"/>
      <c r="AC1189" s="61"/>
      <c r="AD1189" s="62"/>
      <c r="AE1189" s="63"/>
      <c r="AF1189" s="156"/>
      <c r="AG1189" s="63"/>
      <c r="AH1189" s="63"/>
      <c r="AI1189" s="74"/>
      <c r="AJ1189" s="156"/>
      <c r="AK1189" s="74"/>
      <c r="AL1189" s="156"/>
      <c r="AM1189" s="74"/>
      <c r="AN1189" s="156"/>
      <c r="AO1189" s="74"/>
      <c r="AP1189" s="363"/>
      <c r="AQ1189" s="363"/>
      <c r="AR1189" s="363"/>
      <c r="AS1189" s="74"/>
      <c r="AT1189" s="74"/>
      <c r="AU1189" s="74"/>
      <c r="AV1189" s="74"/>
      <c r="AW1189" s="74"/>
      <c r="AX1189" s="74"/>
      <c r="AY1189" s="74"/>
      <c r="AZ1189" s="74"/>
      <c r="BA1189" s="74"/>
      <c r="BB1189" s="74"/>
      <c r="BC1189" s="170"/>
      <c r="BD1189" s="156"/>
      <c r="BE1189" s="156"/>
      <c r="BF1189" s="299"/>
      <c r="BG1189" s="74"/>
      <c r="BH1189" s="74"/>
      <c r="BI1189" s="74"/>
      <c r="BJ1189" s="74"/>
      <c r="BK1189" s="74"/>
      <c r="BL1189" s="74"/>
      <c r="BM1189" s="74"/>
      <c r="BN1189" s="74"/>
      <c r="BO1189" s="74"/>
      <c r="BP1189" s="74"/>
      <c r="BQ1189" s="74"/>
      <c r="BR1189" s="74"/>
      <c r="BS1189" s="74"/>
      <c r="BT1189" s="74"/>
      <c r="BU1189" s="74"/>
      <c r="BV1189" s="74"/>
      <c r="BW1189" s="74"/>
      <c r="BX1189" s="74"/>
      <c r="BY1189" s="63"/>
      <c r="BZ1189" s="63"/>
    </row>
    <row r="1190" ht="15.75" customHeight="1">
      <c r="A1190" s="201"/>
      <c r="B1190" s="74"/>
      <c r="C1190" s="74"/>
      <c r="D1190" s="74"/>
      <c r="E1190" s="156"/>
      <c r="F1190" s="78">
        <v>0.0</v>
      </c>
      <c r="G1190" s="44" t="str">
        <f t="shared" si="35"/>
        <v>$0 a $100'000.000</v>
      </c>
      <c r="H1190" s="44"/>
      <c r="I1190" s="44"/>
      <c r="J1190" s="74"/>
      <c r="K1190" s="359"/>
      <c r="L1190" s="74"/>
      <c r="M1190" s="74"/>
      <c r="N1190" s="74"/>
      <c r="O1190" s="74"/>
      <c r="P1190" s="74"/>
      <c r="Q1190" s="74"/>
      <c r="R1190" s="362"/>
      <c r="S1190" s="56" t="str">
        <f t="shared" si="36"/>
        <v> </v>
      </c>
      <c r="T1190" s="74"/>
      <c r="U1190" s="359"/>
      <c r="V1190" s="74"/>
      <c r="W1190" s="74"/>
      <c r="X1190" s="74"/>
      <c r="Y1190" s="74"/>
      <c r="Z1190" s="364"/>
      <c r="AA1190" s="59" t="str">
        <f>IF(Rentabilidad=0,"No aplica",TEXT(ROUND(Precio/Rentabilidad/12,0),0) &amp; " años")</f>
        <v>No aplica</v>
      </c>
      <c r="AB1190" s="360"/>
      <c r="AC1190" s="61"/>
      <c r="AD1190" s="62"/>
      <c r="AE1190" s="63"/>
      <c r="AF1190" s="156"/>
      <c r="AG1190" s="63"/>
      <c r="AH1190" s="63"/>
      <c r="AI1190" s="74"/>
      <c r="AJ1190" s="156"/>
      <c r="AK1190" s="74"/>
      <c r="AL1190" s="156"/>
      <c r="AM1190" s="74"/>
      <c r="AN1190" s="156"/>
      <c r="AO1190" s="74"/>
      <c r="AP1190" s="363"/>
      <c r="AQ1190" s="363"/>
      <c r="AR1190" s="363"/>
      <c r="AS1190" s="74"/>
      <c r="AT1190" s="74"/>
      <c r="AU1190" s="74"/>
      <c r="AV1190" s="74"/>
      <c r="AW1190" s="74"/>
      <c r="AX1190" s="74"/>
      <c r="AY1190" s="74"/>
      <c r="AZ1190" s="74"/>
      <c r="BA1190" s="74"/>
      <c r="BB1190" s="74"/>
      <c r="BC1190" s="170"/>
      <c r="BD1190" s="156"/>
      <c r="BE1190" s="156"/>
      <c r="BF1190" s="299"/>
      <c r="BG1190" s="74"/>
      <c r="BH1190" s="74"/>
      <c r="BI1190" s="74"/>
      <c r="BJ1190" s="74"/>
      <c r="BK1190" s="74"/>
      <c r="BL1190" s="74"/>
      <c r="BM1190" s="74"/>
      <c r="BN1190" s="74"/>
      <c r="BO1190" s="74"/>
      <c r="BP1190" s="74"/>
      <c r="BQ1190" s="74"/>
      <c r="BR1190" s="74"/>
      <c r="BS1190" s="74"/>
      <c r="BT1190" s="74"/>
      <c r="BU1190" s="74"/>
      <c r="BV1190" s="74"/>
      <c r="BW1190" s="74"/>
      <c r="BX1190" s="74"/>
      <c r="BY1190" s="63"/>
      <c r="BZ1190" s="63"/>
    </row>
    <row r="1191" ht="15.75" customHeight="1">
      <c r="A1191" s="201"/>
      <c r="B1191" s="74"/>
      <c r="C1191" s="74"/>
      <c r="D1191" s="74"/>
      <c r="E1191" s="156"/>
      <c r="F1191" s="78">
        <v>0.0</v>
      </c>
      <c r="G1191" s="44" t="str">
        <f t="shared" si="35"/>
        <v>$0 a $100'000.000</v>
      </c>
      <c r="H1191" s="44"/>
      <c r="I1191" s="44"/>
      <c r="J1191" s="74"/>
      <c r="K1191" s="359"/>
      <c r="L1191" s="74"/>
      <c r="M1191" s="74"/>
      <c r="N1191" s="74"/>
      <c r="O1191" s="74"/>
      <c r="P1191" s="74"/>
      <c r="Q1191" s="74"/>
      <c r="R1191" s="362"/>
      <c r="S1191" s="56" t="str">
        <f t="shared" si="36"/>
        <v> </v>
      </c>
      <c r="T1191" s="74"/>
      <c r="U1191" s="359"/>
      <c r="V1191" s="74"/>
      <c r="W1191" s="74"/>
      <c r="X1191" s="74"/>
      <c r="Y1191" s="74"/>
      <c r="Z1191" s="364"/>
      <c r="AA1191" s="59" t="str">
        <f>IF(Rentabilidad=0,"No aplica",TEXT(ROUND(Precio/Rentabilidad/12,0),0) &amp; " años")</f>
        <v>No aplica</v>
      </c>
      <c r="AB1191" s="360"/>
      <c r="AC1191" s="61"/>
      <c r="AD1191" s="62"/>
      <c r="AE1191" s="63"/>
      <c r="AF1191" s="156"/>
      <c r="AG1191" s="63"/>
      <c r="AH1191" s="63"/>
      <c r="AI1191" s="74"/>
      <c r="AJ1191" s="156"/>
      <c r="AK1191" s="74"/>
      <c r="AL1191" s="156"/>
      <c r="AM1191" s="74"/>
      <c r="AN1191" s="156"/>
      <c r="AO1191" s="74"/>
      <c r="AP1191" s="363"/>
      <c r="AQ1191" s="363"/>
      <c r="AR1191" s="363"/>
      <c r="AS1191" s="74"/>
      <c r="AT1191" s="74"/>
      <c r="AU1191" s="74"/>
      <c r="AV1191" s="74"/>
      <c r="AW1191" s="74"/>
      <c r="AX1191" s="74"/>
      <c r="AY1191" s="74"/>
      <c r="AZ1191" s="74"/>
      <c r="BA1191" s="74"/>
      <c r="BB1191" s="74"/>
      <c r="BC1191" s="170"/>
      <c r="BD1191" s="156"/>
      <c r="BE1191" s="156"/>
      <c r="BF1191" s="299"/>
      <c r="BG1191" s="74"/>
      <c r="BH1191" s="74"/>
      <c r="BI1191" s="74"/>
      <c r="BJ1191" s="74"/>
      <c r="BK1191" s="74"/>
      <c r="BL1191" s="74"/>
      <c r="BM1191" s="74"/>
      <c r="BN1191" s="74"/>
      <c r="BO1191" s="74"/>
      <c r="BP1191" s="74"/>
      <c r="BQ1191" s="74"/>
      <c r="BR1191" s="74"/>
      <c r="BS1191" s="74"/>
      <c r="BT1191" s="74"/>
      <c r="BU1191" s="74"/>
      <c r="BV1191" s="74"/>
      <c r="BW1191" s="74"/>
      <c r="BX1191" s="74"/>
      <c r="BY1191" s="63"/>
      <c r="BZ1191" s="63"/>
    </row>
    <row r="1192" ht="15.75" customHeight="1">
      <c r="A1192" s="201"/>
      <c r="B1192" s="74"/>
      <c r="C1192" s="74"/>
      <c r="D1192" s="74"/>
      <c r="E1192" s="156"/>
      <c r="F1192" s="78">
        <v>0.0</v>
      </c>
      <c r="G1192" s="44" t="str">
        <f t="shared" si="35"/>
        <v>$0 a $100'000.000</v>
      </c>
      <c r="H1192" s="44"/>
      <c r="I1192" s="44"/>
      <c r="J1192" s="74"/>
      <c r="K1192" s="359"/>
      <c r="L1192" s="74"/>
      <c r="M1192" s="74"/>
      <c r="N1192" s="74"/>
      <c r="O1192" s="74"/>
      <c r="P1192" s="74"/>
      <c r="Q1192" s="74"/>
      <c r="R1192" s="362"/>
      <c r="S1192" s="56" t="str">
        <f t="shared" si="36"/>
        <v> </v>
      </c>
      <c r="T1192" s="74"/>
      <c r="U1192" s="359"/>
      <c r="V1192" s="74"/>
      <c r="W1192" s="74"/>
      <c r="X1192" s="74"/>
      <c r="Y1192" s="74"/>
      <c r="Z1192" s="364"/>
      <c r="AA1192" s="59" t="str">
        <f>IF(Rentabilidad=0,"No aplica",TEXT(ROUND(Precio/Rentabilidad/12,0),0) &amp; " años")</f>
        <v>No aplica</v>
      </c>
      <c r="AB1192" s="360"/>
      <c r="AC1192" s="61"/>
      <c r="AD1192" s="62"/>
      <c r="AE1192" s="63"/>
      <c r="AF1192" s="156"/>
      <c r="AG1192" s="63"/>
      <c r="AH1192" s="63"/>
      <c r="AI1192" s="74"/>
      <c r="AJ1192" s="156"/>
      <c r="AK1192" s="74"/>
      <c r="AL1192" s="156"/>
      <c r="AM1192" s="74"/>
      <c r="AN1192" s="156"/>
      <c r="AO1192" s="74"/>
      <c r="AP1192" s="363"/>
      <c r="AQ1192" s="363"/>
      <c r="AR1192" s="363"/>
      <c r="AS1192" s="74"/>
      <c r="AT1192" s="74"/>
      <c r="AU1192" s="74"/>
      <c r="AV1192" s="74"/>
      <c r="AW1192" s="74"/>
      <c r="AX1192" s="74"/>
      <c r="AY1192" s="74"/>
      <c r="AZ1192" s="74"/>
      <c r="BA1192" s="74"/>
      <c r="BB1192" s="74"/>
      <c r="BC1192" s="170"/>
      <c r="BD1192" s="156"/>
      <c r="BE1192" s="156"/>
      <c r="BF1192" s="299"/>
      <c r="BG1192" s="74"/>
      <c r="BH1192" s="74"/>
      <c r="BI1192" s="74"/>
      <c r="BJ1192" s="74"/>
      <c r="BK1192" s="74"/>
      <c r="BL1192" s="74"/>
      <c r="BM1192" s="74"/>
      <c r="BN1192" s="74"/>
      <c r="BO1192" s="74"/>
      <c r="BP1192" s="74"/>
      <c r="BQ1192" s="74"/>
      <c r="BR1192" s="74"/>
      <c r="BS1192" s="74"/>
      <c r="BT1192" s="74"/>
      <c r="BU1192" s="74"/>
      <c r="BV1192" s="74"/>
      <c r="BW1192" s="74"/>
      <c r="BX1192" s="74"/>
      <c r="BY1192" s="63"/>
      <c r="BZ1192" s="63"/>
    </row>
    <row r="1193" ht="15.75" customHeight="1">
      <c r="A1193" s="201"/>
      <c r="B1193" s="74"/>
      <c r="C1193" s="74"/>
      <c r="D1193" s="74"/>
      <c r="E1193" s="156"/>
      <c r="F1193" s="78">
        <v>0.0</v>
      </c>
      <c r="G1193" s="44" t="str">
        <f t="shared" si="35"/>
        <v>$0 a $100'000.000</v>
      </c>
      <c r="H1193" s="44"/>
      <c r="I1193" s="44"/>
      <c r="J1193" s="74"/>
      <c r="K1193" s="359"/>
      <c r="L1193" s="74"/>
      <c r="M1193" s="74"/>
      <c r="N1193" s="74"/>
      <c r="O1193" s="74"/>
      <c r="P1193" s="74"/>
      <c r="Q1193" s="74"/>
      <c r="R1193" s="362"/>
      <c r="S1193" s="56" t="str">
        <f t="shared" si="36"/>
        <v> </v>
      </c>
      <c r="T1193" s="74"/>
      <c r="U1193" s="359"/>
      <c r="V1193" s="74"/>
      <c r="W1193" s="74"/>
      <c r="X1193" s="74"/>
      <c r="Y1193" s="74"/>
      <c r="Z1193" s="364"/>
      <c r="AA1193" s="59" t="str">
        <f>IF(Rentabilidad=0,"No aplica",TEXT(ROUND(Precio/Rentabilidad/12,0),0) &amp; " años")</f>
        <v>No aplica</v>
      </c>
      <c r="AB1193" s="360"/>
      <c r="AC1193" s="61"/>
      <c r="AD1193" s="62"/>
      <c r="AE1193" s="63"/>
      <c r="AF1193" s="156"/>
      <c r="AG1193" s="63"/>
      <c r="AH1193" s="63"/>
      <c r="AI1193" s="74"/>
      <c r="AJ1193" s="156"/>
      <c r="AK1193" s="74"/>
      <c r="AL1193" s="156"/>
      <c r="AM1193" s="74"/>
      <c r="AN1193" s="156"/>
      <c r="AO1193" s="74"/>
      <c r="AP1193" s="363"/>
      <c r="AQ1193" s="363"/>
      <c r="AR1193" s="363"/>
      <c r="AS1193" s="74"/>
      <c r="AT1193" s="74"/>
      <c r="AU1193" s="74"/>
      <c r="AV1193" s="74"/>
      <c r="AW1193" s="74"/>
      <c r="AX1193" s="74"/>
      <c r="AY1193" s="74"/>
      <c r="AZ1193" s="74"/>
      <c r="BA1193" s="74"/>
      <c r="BB1193" s="74"/>
      <c r="BC1193" s="170"/>
      <c r="BD1193" s="156"/>
      <c r="BE1193" s="156"/>
      <c r="BF1193" s="299"/>
      <c r="BG1193" s="74"/>
      <c r="BH1193" s="74"/>
      <c r="BI1193" s="74"/>
      <c r="BJ1193" s="74"/>
      <c r="BK1193" s="74"/>
      <c r="BL1193" s="74"/>
      <c r="BM1193" s="74"/>
      <c r="BN1193" s="74"/>
      <c r="BO1193" s="74"/>
      <c r="BP1193" s="74"/>
      <c r="BQ1193" s="74"/>
      <c r="BR1193" s="74"/>
      <c r="BS1193" s="74"/>
      <c r="BT1193" s="74"/>
      <c r="BU1193" s="74"/>
      <c r="BV1193" s="74"/>
      <c r="BW1193" s="74"/>
      <c r="BX1193" s="74"/>
      <c r="BY1193" s="63"/>
      <c r="BZ1193" s="63"/>
    </row>
    <row r="1194" ht="15.75" customHeight="1">
      <c r="A1194" s="201"/>
      <c r="B1194" s="74"/>
      <c r="C1194" s="74"/>
      <c r="D1194" s="74"/>
      <c r="E1194" s="156"/>
      <c r="F1194" s="78">
        <v>0.0</v>
      </c>
      <c r="G1194" s="44" t="str">
        <f t="shared" si="35"/>
        <v>$0 a $100'000.000</v>
      </c>
      <c r="H1194" s="44"/>
      <c r="I1194" s="44"/>
      <c r="J1194" s="74"/>
      <c r="K1194" s="359"/>
      <c r="L1194" s="74"/>
      <c r="M1194" s="74"/>
      <c r="N1194" s="74"/>
      <c r="O1194" s="74"/>
      <c r="P1194" s="74"/>
      <c r="Q1194" s="74"/>
      <c r="R1194" s="362"/>
      <c r="S1194" s="56" t="str">
        <f t="shared" si="36"/>
        <v> </v>
      </c>
      <c r="T1194" s="74"/>
      <c r="U1194" s="359"/>
      <c r="V1194" s="74"/>
      <c r="W1194" s="74"/>
      <c r="X1194" s="74"/>
      <c r="Y1194" s="74"/>
      <c r="Z1194" s="364"/>
      <c r="AA1194" s="59" t="str">
        <f>IF(Rentabilidad=0,"No aplica",TEXT(ROUND(Precio/Rentabilidad/12,0),0) &amp; " años")</f>
        <v>No aplica</v>
      </c>
      <c r="AB1194" s="360"/>
      <c r="AC1194" s="61"/>
      <c r="AD1194" s="62"/>
      <c r="AE1194" s="63"/>
      <c r="AF1194" s="156"/>
      <c r="AG1194" s="63"/>
      <c r="AH1194" s="63"/>
      <c r="AI1194" s="74"/>
      <c r="AJ1194" s="156"/>
      <c r="AK1194" s="74"/>
      <c r="AL1194" s="156"/>
      <c r="AM1194" s="74"/>
      <c r="AN1194" s="156"/>
      <c r="AO1194" s="74"/>
      <c r="AP1194" s="363"/>
      <c r="AQ1194" s="363"/>
      <c r="AR1194" s="363"/>
      <c r="AS1194" s="74"/>
      <c r="AT1194" s="74"/>
      <c r="AU1194" s="74"/>
      <c r="AV1194" s="74"/>
      <c r="AW1194" s="74"/>
      <c r="AX1194" s="74"/>
      <c r="AY1194" s="74"/>
      <c r="AZ1194" s="74"/>
      <c r="BA1194" s="74"/>
      <c r="BB1194" s="74"/>
      <c r="BC1194" s="170"/>
      <c r="BD1194" s="156"/>
      <c r="BE1194" s="156"/>
      <c r="BF1194" s="299"/>
      <c r="BG1194" s="74"/>
      <c r="BH1194" s="74"/>
      <c r="BI1194" s="74"/>
      <c r="BJ1194" s="74"/>
      <c r="BK1194" s="74"/>
      <c r="BL1194" s="74"/>
      <c r="BM1194" s="74"/>
      <c r="BN1194" s="74"/>
      <c r="BO1194" s="74"/>
      <c r="BP1194" s="74"/>
      <c r="BQ1194" s="74"/>
      <c r="BR1194" s="74"/>
      <c r="BS1194" s="74"/>
      <c r="BT1194" s="74"/>
      <c r="BU1194" s="74"/>
      <c r="BV1194" s="74"/>
      <c r="BW1194" s="74"/>
      <c r="BX1194" s="74"/>
      <c r="BY1194" s="63"/>
      <c r="BZ1194" s="63"/>
    </row>
    <row r="1195" ht="15.75" customHeight="1">
      <c r="A1195" s="201"/>
      <c r="B1195" s="74"/>
      <c r="C1195" s="74"/>
      <c r="D1195" s="74"/>
      <c r="E1195" s="156"/>
      <c r="F1195" s="78">
        <v>0.0</v>
      </c>
      <c r="G1195" s="44" t="str">
        <f t="shared" si="35"/>
        <v>$0 a $100'000.000</v>
      </c>
      <c r="H1195" s="44"/>
      <c r="I1195" s="44"/>
      <c r="J1195" s="74"/>
      <c r="K1195" s="359"/>
      <c r="L1195" s="74"/>
      <c r="M1195" s="74"/>
      <c r="N1195" s="74"/>
      <c r="O1195" s="74"/>
      <c r="P1195" s="74"/>
      <c r="Q1195" s="74"/>
      <c r="R1195" s="362"/>
      <c r="S1195" s="56" t="str">
        <f t="shared" si="36"/>
        <v> </v>
      </c>
      <c r="T1195" s="74"/>
      <c r="U1195" s="359"/>
      <c r="V1195" s="74"/>
      <c r="W1195" s="74"/>
      <c r="X1195" s="74"/>
      <c r="Y1195" s="74"/>
      <c r="Z1195" s="364"/>
      <c r="AA1195" s="59" t="str">
        <f>IF(Rentabilidad=0,"No aplica",TEXT(ROUND(Precio/Rentabilidad/12,0),0) &amp; " años")</f>
        <v>No aplica</v>
      </c>
      <c r="AB1195" s="360"/>
      <c r="AC1195" s="61"/>
      <c r="AD1195" s="62"/>
      <c r="AE1195" s="63"/>
      <c r="AF1195" s="156"/>
      <c r="AG1195" s="63"/>
      <c r="AH1195" s="63"/>
      <c r="AI1195" s="74"/>
      <c r="AJ1195" s="156"/>
      <c r="AK1195" s="74"/>
      <c r="AL1195" s="156"/>
      <c r="AM1195" s="74"/>
      <c r="AN1195" s="156"/>
      <c r="AO1195" s="74"/>
      <c r="AP1195" s="363"/>
      <c r="AQ1195" s="363"/>
      <c r="AR1195" s="363"/>
      <c r="AS1195" s="74"/>
      <c r="AT1195" s="74"/>
      <c r="AU1195" s="74"/>
      <c r="AV1195" s="74"/>
      <c r="AW1195" s="74"/>
      <c r="AX1195" s="74"/>
      <c r="AY1195" s="74"/>
      <c r="AZ1195" s="74"/>
      <c r="BA1195" s="74"/>
      <c r="BB1195" s="74"/>
      <c r="BC1195" s="170"/>
      <c r="BD1195" s="156"/>
      <c r="BE1195" s="156"/>
      <c r="BF1195" s="299"/>
      <c r="BG1195" s="74"/>
      <c r="BH1195" s="74"/>
      <c r="BI1195" s="74"/>
      <c r="BJ1195" s="74"/>
      <c r="BK1195" s="74"/>
      <c r="BL1195" s="74"/>
      <c r="BM1195" s="74"/>
      <c r="BN1195" s="74"/>
      <c r="BO1195" s="74"/>
      <c r="BP1195" s="74"/>
      <c r="BQ1195" s="74"/>
      <c r="BR1195" s="74"/>
      <c r="BS1195" s="74"/>
      <c r="BT1195" s="74"/>
      <c r="BU1195" s="74"/>
      <c r="BV1195" s="74"/>
      <c r="BW1195" s="74"/>
      <c r="BX1195" s="74"/>
      <c r="BY1195" s="63"/>
      <c r="BZ1195" s="63"/>
    </row>
    <row r="1196" ht="15.75" customHeight="1">
      <c r="A1196" s="201"/>
      <c r="B1196" s="74"/>
      <c r="C1196" s="74"/>
      <c r="D1196" s="74"/>
      <c r="E1196" s="156"/>
      <c r="F1196" s="78">
        <v>0.0</v>
      </c>
      <c r="G1196" s="44" t="str">
        <f t="shared" si="35"/>
        <v>$0 a $100'000.000</v>
      </c>
      <c r="H1196" s="44"/>
      <c r="I1196" s="44"/>
      <c r="J1196" s="74"/>
      <c r="K1196" s="359"/>
      <c r="L1196" s="74"/>
      <c r="M1196" s="74"/>
      <c r="N1196" s="74"/>
      <c r="O1196" s="74"/>
      <c r="P1196" s="74"/>
      <c r="Q1196" s="74"/>
      <c r="R1196" s="362"/>
      <c r="S1196" s="56" t="str">
        <f t="shared" si="36"/>
        <v> </v>
      </c>
      <c r="T1196" s="74"/>
      <c r="U1196" s="359"/>
      <c r="V1196" s="74"/>
      <c r="W1196" s="74"/>
      <c r="X1196" s="74"/>
      <c r="Y1196" s="74"/>
      <c r="Z1196" s="364"/>
      <c r="AA1196" s="59" t="str">
        <f>IF(Rentabilidad=0,"No aplica",TEXT(ROUND(Precio/Rentabilidad/12,0),0) &amp; " años")</f>
        <v>No aplica</v>
      </c>
      <c r="AB1196" s="360"/>
      <c r="AC1196" s="61"/>
      <c r="AD1196" s="62"/>
      <c r="AE1196" s="63"/>
      <c r="AF1196" s="156"/>
      <c r="AG1196" s="63"/>
      <c r="AH1196" s="63"/>
      <c r="AI1196" s="74"/>
      <c r="AJ1196" s="156"/>
      <c r="AK1196" s="74"/>
      <c r="AL1196" s="156"/>
      <c r="AM1196" s="74"/>
      <c r="AN1196" s="156"/>
      <c r="AO1196" s="74"/>
      <c r="AP1196" s="363"/>
      <c r="AQ1196" s="363"/>
      <c r="AR1196" s="363"/>
      <c r="AS1196" s="74"/>
      <c r="AT1196" s="74"/>
      <c r="AU1196" s="74"/>
      <c r="AV1196" s="74"/>
      <c r="AW1196" s="74"/>
      <c r="AX1196" s="74"/>
      <c r="AY1196" s="74"/>
      <c r="AZ1196" s="74"/>
      <c r="BA1196" s="74"/>
      <c r="BB1196" s="74"/>
      <c r="BC1196" s="170"/>
      <c r="BD1196" s="156"/>
      <c r="BE1196" s="156"/>
      <c r="BF1196" s="299"/>
      <c r="BG1196" s="74"/>
      <c r="BH1196" s="74"/>
      <c r="BI1196" s="74"/>
      <c r="BJ1196" s="74"/>
      <c r="BK1196" s="74"/>
      <c r="BL1196" s="74"/>
      <c r="BM1196" s="74"/>
      <c r="BN1196" s="74"/>
      <c r="BO1196" s="74"/>
      <c r="BP1196" s="74"/>
      <c r="BQ1196" s="74"/>
      <c r="BR1196" s="74"/>
      <c r="BS1196" s="74"/>
      <c r="BT1196" s="74"/>
      <c r="BU1196" s="74"/>
      <c r="BV1196" s="74"/>
      <c r="BW1196" s="74"/>
      <c r="BX1196" s="74"/>
      <c r="BY1196" s="63"/>
      <c r="BZ1196" s="63"/>
    </row>
    <row r="1197" ht="15.75" customHeight="1">
      <c r="A1197" s="201"/>
      <c r="B1197" s="74"/>
      <c r="C1197" s="74"/>
      <c r="D1197" s="74"/>
      <c r="E1197" s="156"/>
      <c r="F1197" s="78">
        <v>0.0</v>
      </c>
      <c r="G1197" s="44" t="str">
        <f t="shared" si="35"/>
        <v>$0 a $100'000.000</v>
      </c>
      <c r="H1197" s="44"/>
      <c r="I1197" s="44"/>
      <c r="J1197" s="74"/>
      <c r="K1197" s="359"/>
      <c r="L1197" s="74"/>
      <c r="M1197" s="74"/>
      <c r="N1197" s="74"/>
      <c r="O1197" s="74"/>
      <c r="P1197" s="74"/>
      <c r="Q1197" s="74"/>
      <c r="R1197" s="362"/>
      <c r="S1197" s="56" t="str">
        <f t="shared" si="36"/>
        <v> </v>
      </c>
      <c r="T1197" s="74"/>
      <c r="U1197" s="359"/>
      <c r="V1197" s="74"/>
      <c r="W1197" s="74"/>
      <c r="X1197" s="74"/>
      <c r="Y1197" s="74"/>
      <c r="Z1197" s="364"/>
      <c r="AA1197" s="59" t="str">
        <f>IF(Rentabilidad=0,"No aplica",TEXT(ROUND(Precio/Rentabilidad/12,0),0) &amp; " años")</f>
        <v>No aplica</v>
      </c>
      <c r="AB1197" s="360"/>
      <c r="AC1197" s="61"/>
      <c r="AD1197" s="62"/>
      <c r="AE1197" s="63"/>
      <c r="AF1197" s="156"/>
      <c r="AG1197" s="63"/>
      <c r="AH1197" s="63"/>
      <c r="AI1197" s="74"/>
      <c r="AJ1197" s="156"/>
      <c r="AK1197" s="74"/>
      <c r="AL1197" s="156"/>
      <c r="AM1197" s="74"/>
      <c r="AN1197" s="156"/>
      <c r="AO1197" s="74"/>
      <c r="AP1197" s="363"/>
      <c r="AQ1197" s="363"/>
      <c r="AR1197" s="363"/>
      <c r="AS1197" s="74"/>
      <c r="AT1197" s="74"/>
      <c r="AU1197" s="74"/>
      <c r="AV1197" s="74"/>
      <c r="AW1197" s="74"/>
      <c r="AX1197" s="74"/>
      <c r="AY1197" s="74"/>
      <c r="AZ1197" s="74"/>
      <c r="BA1197" s="74"/>
      <c r="BB1197" s="74"/>
      <c r="BC1197" s="170"/>
      <c r="BD1197" s="156"/>
      <c r="BE1197" s="156"/>
      <c r="BF1197" s="299"/>
      <c r="BG1197" s="74"/>
      <c r="BH1197" s="74"/>
      <c r="BI1197" s="74"/>
      <c r="BJ1197" s="74"/>
      <c r="BK1197" s="74"/>
      <c r="BL1197" s="74"/>
      <c r="BM1197" s="74"/>
      <c r="BN1197" s="74"/>
      <c r="BO1197" s="74"/>
      <c r="BP1197" s="74"/>
      <c r="BQ1197" s="74"/>
      <c r="BR1197" s="74"/>
      <c r="BS1197" s="74"/>
      <c r="BT1197" s="74"/>
      <c r="BU1197" s="74"/>
      <c r="BV1197" s="74"/>
      <c r="BW1197" s="74"/>
      <c r="BX1197" s="74"/>
      <c r="BY1197" s="63"/>
      <c r="BZ1197" s="63"/>
    </row>
    <row r="1198" ht="15.75" customHeight="1">
      <c r="A1198" s="201"/>
      <c r="B1198" s="74"/>
      <c r="C1198" s="74"/>
      <c r="D1198" s="74"/>
      <c r="E1198" s="156"/>
      <c r="F1198" s="78">
        <v>0.0</v>
      </c>
      <c r="G1198" s="44" t="str">
        <f t="shared" si="35"/>
        <v>$0 a $100'000.000</v>
      </c>
      <c r="H1198" s="44"/>
      <c r="I1198" s="44"/>
      <c r="J1198" s="74"/>
      <c r="K1198" s="359"/>
      <c r="L1198" s="74"/>
      <c r="M1198" s="74"/>
      <c r="N1198" s="74"/>
      <c r="O1198" s="74"/>
      <c r="P1198" s="74"/>
      <c r="Q1198" s="74"/>
      <c r="R1198" s="362"/>
      <c r="S1198" s="56" t="str">
        <f t="shared" si="36"/>
        <v> </v>
      </c>
      <c r="T1198" s="74"/>
      <c r="U1198" s="359"/>
      <c r="V1198" s="74"/>
      <c r="W1198" s="74"/>
      <c r="X1198" s="74"/>
      <c r="Y1198" s="74"/>
      <c r="Z1198" s="364"/>
      <c r="AA1198" s="59" t="str">
        <f>IF(Rentabilidad=0,"No aplica",TEXT(ROUND(Precio/Rentabilidad/12,0),0) &amp; " años")</f>
        <v>No aplica</v>
      </c>
      <c r="AB1198" s="360"/>
      <c r="AC1198" s="61"/>
      <c r="AD1198" s="62"/>
      <c r="AE1198" s="63"/>
      <c r="AF1198" s="156"/>
      <c r="AG1198" s="63"/>
      <c r="AH1198" s="63"/>
      <c r="AI1198" s="74"/>
      <c r="AJ1198" s="156"/>
      <c r="AK1198" s="74"/>
      <c r="AL1198" s="156"/>
      <c r="AM1198" s="74"/>
      <c r="AN1198" s="156"/>
      <c r="AO1198" s="74"/>
      <c r="AP1198" s="363"/>
      <c r="AQ1198" s="363"/>
      <c r="AR1198" s="363"/>
      <c r="AS1198" s="74"/>
      <c r="AT1198" s="74"/>
      <c r="AU1198" s="74"/>
      <c r="AV1198" s="74"/>
      <c r="AW1198" s="74"/>
      <c r="AX1198" s="74"/>
      <c r="AY1198" s="74"/>
      <c r="AZ1198" s="74"/>
      <c r="BA1198" s="74"/>
      <c r="BB1198" s="74"/>
      <c r="BC1198" s="170"/>
      <c r="BD1198" s="156"/>
      <c r="BE1198" s="156"/>
      <c r="BF1198" s="299"/>
      <c r="BG1198" s="74"/>
      <c r="BH1198" s="74"/>
      <c r="BI1198" s="74"/>
      <c r="BJ1198" s="74"/>
      <c r="BK1198" s="74"/>
      <c r="BL1198" s="74"/>
      <c r="BM1198" s="74"/>
      <c r="BN1198" s="74"/>
      <c r="BO1198" s="74"/>
      <c r="BP1198" s="74"/>
      <c r="BQ1198" s="74"/>
      <c r="BR1198" s="74"/>
      <c r="BS1198" s="74"/>
      <c r="BT1198" s="74"/>
      <c r="BU1198" s="74"/>
      <c r="BV1198" s="74"/>
      <c r="BW1198" s="74"/>
      <c r="BX1198" s="74"/>
      <c r="BY1198" s="63"/>
      <c r="BZ1198" s="63"/>
    </row>
    <row r="1199" ht="15.75" customHeight="1">
      <c r="A1199" s="201"/>
      <c r="B1199" s="74"/>
      <c r="C1199" s="74"/>
      <c r="D1199" s="74"/>
      <c r="E1199" s="156"/>
      <c r="F1199" s="78">
        <v>0.0</v>
      </c>
      <c r="G1199" s="44" t="str">
        <f t="shared" si="35"/>
        <v>$0 a $100'000.000</v>
      </c>
      <c r="H1199" s="44"/>
      <c r="I1199" s="44"/>
      <c r="J1199" s="74"/>
      <c r="K1199" s="359"/>
      <c r="L1199" s="74"/>
      <c r="M1199" s="74"/>
      <c r="N1199" s="74"/>
      <c r="O1199" s="74"/>
      <c r="P1199" s="74"/>
      <c r="Q1199" s="74"/>
      <c r="R1199" s="362"/>
      <c r="S1199" s="56" t="str">
        <f t="shared" si="36"/>
        <v> </v>
      </c>
      <c r="T1199" s="74"/>
      <c r="U1199" s="359"/>
      <c r="V1199" s="74"/>
      <c r="W1199" s="74"/>
      <c r="X1199" s="74"/>
      <c r="Y1199" s="74"/>
      <c r="Z1199" s="364"/>
      <c r="AA1199" s="59" t="str">
        <f>IF(Rentabilidad=0,"No aplica",TEXT(ROUND(Precio/Rentabilidad/12,0),0) &amp; " años")</f>
        <v>No aplica</v>
      </c>
      <c r="AB1199" s="360"/>
      <c r="AC1199" s="61"/>
      <c r="AD1199" s="62"/>
      <c r="AE1199" s="63"/>
      <c r="AF1199" s="156"/>
      <c r="AG1199" s="63"/>
      <c r="AH1199" s="63"/>
      <c r="AI1199" s="74"/>
      <c r="AJ1199" s="156"/>
      <c r="AK1199" s="74"/>
      <c r="AL1199" s="156"/>
      <c r="AM1199" s="74"/>
      <c r="AN1199" s="156"/>
      <c r="AO1199" s="74"/>
      <c r="AP1199" s="363"/>
      <c r="AQ1199" s="363"/>
      <c r="AR1199" s="363"/>
      <c r="AS1199" s="74"/>
      <c r="AT1199" s="74"/>
      <c r="AU1199" s="74"/>
      <c r="AV1199" s="74"/>
      <c r="AW1199" s="74"/>
      <c r="AX1199" s="74"/>
      <c r="AY1199" s="74"/>
      <c r="AZ1199" s="74"/>
      <c r="BA1199" s="74"/>
      <c r="BB1199" s="74"/>
      <c r="BC1199" s="170"/>
      <c r="BD1199" s="156"/>
      <c r="BE1199" s="156"/>
      <c r="BF1199" s="299"/>
      <c r="BG1199" s="74"/>
      <c r="BH1199" s="74"/>
      <c r="BI1199" s="74"/>
      <c r="BJ1199" s="74"/>
      <c r="BK1199" s="74"/>
      <c r="BL1199" s="74"/>
      <c r="BM1199" s="74"/>
      <c r="BN1199" s="74"/>
      <c r="BO1199" s="74"/>
      <c r="BP1199" s="74"/>
      <c r="BQ1199" s="74"/>
      <c r="BR1199" s="74"/>
      <c r="BS1199" s="74"/>
      <c r="BT1199" s="74"/>
      <c r="BU1199" s="74"/>
      <c r="BV1199" s="74"/>
      <c r="BW1199" s="74"/>
      <c r="BX1199" s="74"/>
      <c r="BY1199" s="63"/>
      <c r="BZ1199" s="63"/>
    </row>
    <row r="1200" ht="15.75" customHeight="1">
      <c r="A1200" s="201"/>
      <c r="B1200" s="74"/>
      <c r="C1200" s="74"/>
      <c r="D1200" s="74"/>
      <c r="E1200" s="156"/>
      <c r="F1200" s="78">
        <v>0.0</v>
      </c>
      <c r="G1200" s="44" t="str">
        <f t="shared" si="35"/>
        <v>$0 a $100'000.000</v>
      </c>
      <c r="H1200" s="44"/>
      <c r="I1200" s="44"/>
      <c r="J1200" s="74"/>
      <c r="K1200" s="359"/>
      <c r="L1200" s="74"/>
      <c r="M1200" s="74"/>
      <c r="N1200" s="74"/>
      <c r="O1200" s="74"/>
      <c r="P1200" s="74"/>
      <c r="Q1200" s="74"/>
      <c r="R1200" s="362"/>
      <c r="S1200" s="56" t="str">
        <f t="shared" si="36"/>
        <v> </v>
      </c>
      <c r="T1200" s="74"/>
      <c r="U1200" s="359"/>
      <c r="V1200" s="74"/>
      <c r="W1200" s="74"/>
      <c r="X1200" s="74"/>
      <c r="Y1200" s="74"/>
      <c r="Z1200" s="364"/>
      <c r="AA1200" s="59" t="str">
        <f>IF(Rentabilidad=0,"No aplica",TEXT(ROUND(Precio/Rentabilidad/12,0),0) &amp; " años")</f>
        <v>No aplica</v>
      </c>
      <c r="AB1200" s="360"/>
      <c r="AC1200" s="61"/>
      <c r="AD1200" s="62"/>
      <c r="AE1200" s="63"/>
      <c r="AF1200" s="156"/>
      <c r="AG1200" s="63"/>
      <c r="AH1200" s="63"/>
      <c r="AI1200" s="74"/>
      <c r="AJ1200" s="156"/>
      <c r="AK1200" s="74"/>
      <c r="AL1200" s="156"/>
      <c r="AM1200" s="74"/>
      <c r="AN1200" s="156"/>
      <c r="AO1200" s="74"/>
      <c r="AP1200" s="363"/>
      <c r="AQ1200" s="363"/>
      <c r="AR1200" s="363"/>
      <c r="AS1200" s="74"/>
      <c r="AT1200" s="74"/>
      <c r="AU1200" s="74"/>
      <c r="AV1200" s="74"/>
      <c r="AW1200" s="74"/>
      <c r="AX1200" s="74"/>
      <c r="AY1200" s="74"/>
      <c r="AZ1200" s="74"/>
      <c r="BA1200" s="74"/>
      <c r="BB1200" s="74"/>
      <c r="BC1200" s="170"/>
      <c r="BD1200" s="156"/>
      <c r="BE1200" s="156"/>
      <c r="BF1200" s="299"/>
      <c r="BG1200" s="74"/>
      <c r="BH1200" s="74"/>
      <c r="BI1200" s="74"/>
      <c r="BJ1200" s="74"/>
      <c r="BK1200" s="74"/>
      <c r="BL1200" s="74"/>
      <c r="BM1200" s="74"/>
      <c r="BN1200" s="74"/>
      <c r="BO1200" s="74"/>
      <c r="BP1200" s="74"/>
      <c r="BQ1200" s="74"/>
      <c r="BR1200" s="74"/>
      <c r="BS1200" s="74"/>
      <c r="BT1200" s="74"/>
      <c r="BU1200" s="74"/>
      <c r="BV1200" s="74"/>
      <c r="BW1200" s="74"/>
      <c r="BX1200" s="74"/>
      <c r="BY1200" s="63"/>
      <c r="BZ1200" s="63"/>
    </row>
    <row r="1201" ht="15.75" customHeight="1">
      <c r="A1201" s="201"/>
      <c r="B1201" s="74"/>
      <c r="C1201" s="74"/>
      <c r="D1201" s="74"/>
      <c r="E1201" s="156"/>
      <c r="F1201" s="78">
        <v>0.0</v>
      </c>
      <c r="G1201" s="44" t="str">
        <f t="shared" si="35"/>
        <v>$0 a $100'000.000</v>
      </c>
      <c r="H1201" s="44"/>
      <c r="I1201" s="44"/>
      <c r="J1201" s="74"/>
      <c r="K1201" s="359"/>
      <c r="L1201" s="74"/>
      <c r="M1201" s="74"/>
      <c r="N1201" s="74"/>
      <c r="O1201" s="74"/>
      <c r="P1201" s="74"/>
      <c r="Q1201" s="74"/>
      <c r="R1201" s="362"/>
      <c r="S1201" s="56" t="str">
        <f t="shared" si="36"/>
        <v> </v>
      </c>
      <c r="T1201" s="74"/>
      <c r="U1201" s="359"/>
      <c r="V1201" s="74"/>
      <c r="W1201" s="74"/>
      <c r="X1201" s="74"/>
      <c r="Y1201" s="74"/>
      <c r="Z1201" s="364"/>
      <c r="AA1201" s="59" t="str">
        <f>IF(Rentabilidad=0,"No aplica",TEXT(ROUND(Precio/Rentabilidad/12,0),0) &amp; " años")</f>
        <v>No aplica</v>
      </c>
      <c r="AB1201" s="360"/>
      <c r="AC1201" s="61"/>
      <c r="AD1201" s="62"/>
      <c r="AE1201" s="63"/>
      <c r="AF1201" s="156"/>
      <c r="AG1201" s="63"/>
      <c r="AH1201" s="63"/>
      <c r="AI1201" s="74"/>
      <c r="AJ1201" s="156"/>
      <c r="AK1201" s="74"/>
      <c r="AL1201" s="156"/>
      <c r="AM1201" s="74"/>
      <c r="AN1201" s="156"/>
      <c r="AO1201" s="74"/>
      <c r="AP1201" s="363"/>
      <c r="AQ1201" s="363"/>
      <c r="AR1201" s="363"/>
      <c r="AS1201" s="74"/>
      <c r="AT1201" s="74"/>
      <c r="AU1201" s="74"/>
      <c r="AV1201" s="74"/>
      <c r="AW1201" s="74"/>
      <c r="AX1201" s="74"/>
      <c r="AY1201" s="74"/>
      <c r="AZ1201" s="74"/>
      <c r="BA1201" s="74"/>
      <c r="BB1201" s="74"/>
      <c r="BC1201" s="170"/>
      <c r="BD1201" s="156"/>
      <c r="BE1201" s="156"/>
      <c r="BF1201" s="299"/>
      <c r="BG1201" s="74"/>
      <c r="BH1201" s="74"/>
      <c r="BI1201" s="74"/>
      <c r="BJ1201" s="74"/>
      <c r="BK1201" s="74"/>
      <c r="BL1201" s="74"/>
      <c r="BM1201" s="74"/>
      <c r="BN1201" s="74"/>
      <c r="BO1201" s="74"/>
      <c r="BP1201" s="74"/>
      <c r="BQ1201" s="74"/>
      <c r="BR1201" s="74"/>
      <c r="BS1201" s="74"/>
      <c r="BT1201" s="74"/>
      <c r="BU1201" s="74"/>
      <c r="BV1201" s="74"/>
      <c r="BW1201" s="74"/>
      <c r="BX1201" s="74"/>
      <c r="BY1201" s="63"/>
      <c r="BZ1201" s="63"/>
    </row>
    <row r="1202" ht="15.75" customHeight="1">
      <c r="A1202" s="201"/>
      <c r="B1202" s="74"/>
      <c r="C1202" s="74"/>
      <c r="D1202" s="74"/>
      <c r="E1202" s="156"/>
      <c r="F1202" s="78">
        <v>0.0</v>
      </c>
      <c r="G1202" s="44" t="str">
        <f t="shared" si="35"/>
        <v>$0 a $100'000.000</v>
      </c>
      <c r="H1202" s="44"/>
      <c r="I1202" s="44"/>
      <c r="J1202" s="74"/>
      <c r="K1202" s="359"/>
      <c r="L1202" s="74"/>
      <c r="M1202" s="74"/>
      <c r="N1202" s="74"/>
      <c r="O1202" s="74"/>
      <c r="P1202" s="74"/>
      <c r="Q1202" s="74"/>
      <c r="R1202" s="362"/>
      <c r="S1202" s="56" t="str">
        <f t="shared" si="36"/>
        <v> </v>
      </c>
      <c r="T1202" s="74"/>
      <c r="U1202" s="359"/>
      <c r="V1202" s="74"/>
      <c r="W1202" s="74"/>
      <c r="X1202" s="74"/>
      <c r="Y1202" s="74"/>
      <c r="Z1202" s="364"/>
      <c r="AA1202" s="59" t="str">
        <f>IF(Rentabilidad=0,"No aplica",TEXT(ROUND(Precio/Rentabilidad/12,0),0) &amp; " años")</f>
        <v>No aplica</v>
      </c>
      <c r="AB1202" s="360"/>
      <c r="AC1202" s="61"/>
      <c r="AD1202" s="62"/>
      <c r="AE1202" s="63"/>
      <c r="AF1202" s="156"/>
      <c r="AG1202" s="63"/>
      <c r="AH1202" s="63"/>
      <c r="AI1202" s="74"/>
      <c r="AJ1202" s="156"/>
      <c r="AK1202" s="74"/>
      <c r="AL1202" s="156"/>
      <c r="AM1202" s="74"/>
      <c r="AN1202" s="156"/>
      <c r="AO1202" s="74"/>
      <c r="AP1202" s="363"/>
      <c r="AQ1202" s="363"/>
      <c r="AR1202" s="363"/>
      <c r="AS1202" s="74"/>
      <c r="AT1202" s="74"/>
      <c r="AU1202" s="74"/>
      <c r="AV1202" s="74"/>
      <c r="AW1202" s="74"/>
      <c r="AX1202" s="74"/>
      <c r="AY1202" s="74"/>
      <c r="AZ1202" s="74"/>
      <c r="BA1202" s="74"/>
      <c r="BB1202" s="74"/>
      <c r="BC1202" s="170"/>
      <c r="BD1202" s="156"/>
      <c r="BE1202" s="156"/>
      <c r="BF1202" s="299"/>
      <c r="BG1202" s="74"/>
      <c r="BH1202" s="74"/>
      <c r="BI1202" s="74"/>
      <c r="BJ1202" s="74"/>
      <c r="BK1202" s="74"/>
      <c r="BL1202" s="74"/>
      <c r="BM1202" s="74"/>
      <c r="BN1202" s="74"/>
      <c r="BO1202" s="74"/>
      <c r="BP1202" s="74"/>
      <c r="BQ1202" s="74"/>
      <c r="BR1202" s="74"/>
      <c r="BS1202" s="74"/>
      <c r="BT1202" s="74"/>
      <c r="BU1202" s="74"/>
      <c r="BV1202" s="74"/>
      <c r="BW1202" s="74"/>
      <c r="BX1202" s="74"/>
      <c r="BY1202" s="63"/>
      <c r="BZ1202" s="63"/>
    </row>
    <row r="1203" ht="15.75" customHeight="1">
      <c r="A1203" s="201"/>
      <c r="B1203" s="74"/>
      <c r="C1203" s="74"/>
      <c r="D1203" s="74"/>
      <c r="E1203" s="156"/>
      <c r="F1203" s="78">
        <v>0.0</v>
      </c>
      <c r="G1203" s="44" t="str">
        <f t="shared" si="35"/>
        <v>$0 a $100'000.000</v>
      </c>
      <c r="H1203" s="44"/>
      <c r="I1203" s="44"/>
      <c r="J1203" s="74"/>
      <c r="K1203" s="359"/>
      <c r="L1203" s="74"/>
      <c r="M1203" s="74"/>
      <c r="N1203" s="74"/>
      <c r="O1203" s="74"/>
      <c r="P1203" s="74"/>
      <c r="Q1203" s="74"/>
      <c r="R1203" s="362"/>
      <c r="S1203" s="56" t="str">
        <f t="shared" si="36"/>
        <v> </v>
      </c>
      <c r="T1203" s="74"/>
      <c r="U1203" s="359"/>
      <c r="V1203" s="74"/>
      <c r="W1203" s="74"/>
      <c r="X1203" s="74"/>
      <c r="Y1203" s="74"/>
      <c r="Z1203" s="364"/>
      <c r="AA1203" s="59" t="str">
        <f>IF(Rentabilidad=0,"No aplica",TEXT(ROUND(Precio/Rentabilidad/12,0),0) &amp; " años")</f>
        <v>No aplica</v>
      </c>
      <c r="AB1203" s="360"/>
      <c r="AC1203" s="61"/>
      <c r="AD1203" s="62"/>
      <c r="AE1203" s="63"/>
      <c r="AF1203" s="156"/>
      <c r="AG1203" s="63"/>
      <c r="AH1203" s="63"/>
      <c r="AI1203" s="74"/>
      <c r="AJ1203" s="156"/>
      <c r="AK1203" s="74"/>
      <c r="AL1203" s="156"/>
      <c r="AM1203" s="74"/>
      <c r="AN1203" s="156"/>
      <c r="AO1203" s="74"/>
      <c r="AP1203" s="363"/>
      <c r="AQ1203" s="363"/>
      <c r="AR1203" s="363"/>
      <c r="AS1203" s="74"/>
      <c r="AT1203" s="74"/>
      <c r="AU1203" s="74"/>
      <c r="AV1203" s="74"/>
      <c r="AW1203" s="74"/>
      <c r="AX1203" s="74"/>
      <c r="AY1203" s="74"/>
      <c r="AZ1203" s="74"/>
      <c r="BA1203" s="74"/>
      <c r="BB1203" s="74"/>
      <c r="BC1203" s="170"/>
      <c r="BD1203" s="156"/>
      <c r="BE1203" s="156"/>
      <c r="BF1203" s="299"/>
      <c r="BG1203" s="74"/>
      <c r="BH1203" s="74"/>
      <c r="BI1203" s="74"/>
      <c r="BJ1203" s="74"/>
      <c r="BK1203" s="74"/>
      <c r="BL1203" s="74"/>
      <c r="BM1203" s="74"/>
      <c r="BN1203" s="74"/>
      <c r="BO1203" s="74"/>
      <c r="BP1203" s="74"/>
      <c r="BQ1203" s="74"/>
      <c r="BR1203" s="74"/>
      <c r="BS1203" s="74"/>
      <c r="BT1203" s="74"/>
      <c r="BU1203" s="74"/>
      <c r="BV1203" s="74"/>
      <c r="BW1203" s="74"/>
      <c r="BX1203" s="74"/>
      <c r="BY1203" s="63"/>
      <c r="BZ1203" s="63"/>
    </row>
    <row r="1204" ht="15.75" customHeight="1">
      <c r="A1204" s="201"/>
      <c r="B1204" s="74"/>
      <c r="C1204" s="74"/>
      <c r="D1204" s="74"/>
      <c r="E1204" s="156"/>
      <c r="F1204" s="78">
        <v>0.0</v>
      </c>
      <c r="G1204" s="44" t="str">
        <f t="shared" si="35"/>
        <v>$0 a $100'000.000</v>
      </c>
      <c r="H1204" s="44"/>
      <c r="I1204" s="44"/>
      <c r="J1204" s="74"/>
      <c r="K1204" s="359"/>
      <c r="L1204" s="74"/>
      <c r="M1204" s="74"/>
      <c r="N1204" s="74"/>
      <c r="O1204" s="74"/>
      <c r="P1204" s="74"/>
      <c r="Q1204" s="74"/>
      <c r="R1204" s="362"/>
      <c r="S1204" s="56" t="str">
        <f t="shared" si="36"/>
        <v> </v>
      </c>
      <c r="T1204" s="74"/>
      <c r="U1204" s="359"/>
      <c r="V1204" s="74"/>
      <c r="W1204" s="74"/>
      <c r="X1204" s="74"/>
      <c r="Y1204" s="74"/>
      <c r="Z1204" s="364"/>
      <c r="AA1204" s="59" t="str">
        <f>IF(Rentabilidad=0,"No aplica",TEXT(ROUND(Precio/Rentabilidad/12,0),0) &amp; " años")</f>
        <v>No aplica</v>
      </c>
      <c r="AB1204" s="360"/>
      <c r="AC1204" s="61"/>
      <c r="AD1204" s="62"/>
      <c r="AE1204" s="63"/>
      <c r="AF1204" s="156"/>
      <c r="AG1204" s="63"/>
      <c r="AH1204" s="63"/>
      <c r="AI1204" s="74"/>
      <c r="AJ1204" s="156"/>
      <c r="AK1204" s="74"/>
      <c r="AL1204" s="156"/>
      <c r="AM1204" s="74"/>
      <c r="AN1204" s="156"/>
      <c r="AO1204" s="74"/>
      <c r="AP1204" s="363"/>
      <c r="AQ1204" s="363"/>
      <c r="AR1204" s="363"/>
      <c r="AS1204" s="74"/>
      <c r="AT1204" s="74"/>
      <c r="AU1204" s="74"/>
      <c r="AV1204" s="74"/>
      <c r="AW1204" s="74"/>
      <c r="AX1204" s="74"/>
      <c r="AY1204" s="74"/>
      <c r="AZ1204" s="74"/>
      <c r="BA1204" s="74"/>
      <c r="BB1204" s="74"/>
      <c r="BC1204" s="170"/>
      <c r="BD1204" s="156"/>
      <c r="BE1204" s="156"/>
      <c r="BF1204" s="299"/>
      <c r="BG1204" s="74"/>
      <c r="BH1204" s="74"/>
      <c r="BI1204" s="74"/>
      <c r="BJ1204" s="74"/>
      <c r="BK1204" s="74"/>
      <c r="BL1204" s="74"/>
      <c r="BM1204" s="74"/>
      <c r="BN1204" s="74"/>
      <c r="BO1204" s="74"/>
      <c r="BP1204" s="74"/>
      <c r="BQ1204" s="74"/>
      <c r="BR1204" s="74"/>
      <c r="BS1204" s="74"/>
      <c r="BT1204" s="74"/>
      <c r="BU1204" s="74"/>
      <c r="BV1204" s="74"/>
      <c r="BW1204" s="74"/>
      <c r="BX1204" s="74"/>
      <c r="BY1204" s="63"/>
      <c r="BZ1204" s="63"/>
    </row>
    <row r="1205" ht="15.75" customHeight="1">
      <c r="A1205" s="201"/>
      <c r="B1205" s="74"/>
      <c r="C1205" s="74"/>
      <c r="D1205" s="74"/>
      <c r="E1205" s="156"/>
      <c r="F1205" s="78">
        <v>0.0</v>
      </c>
      <c r="G1205" s="44" t="str">
        <f t="shared" si="35"/>
        <v>$0 a $100'000.000</v>
      </c>
      <c r="H1205" s="44"/>
      <c r="I1205" s="44"/>
      <c r="J1205" s="74"/>
      <c r="K1205" s="359"/>
      <c r="L1205" s="74"/>
      <c r="M1205" s="74"/>
      <c r="N1205" s="74"/>
      <c r="O1205" s="74"/>
      <c r="P1205" s="74"/>
      <c r="Q1205" s="74"/>
      <c r="R1205" s="362"/>
      <c r="S1205" s="56" t="str">
        <f t="shared" si="36"/>
        <v> </v>
      </c>
      <c r="T1205" s="74"/>
      <c r="U1205" s="359"/>
      <c r="V1205" s="74"/>
      <c r="W1205" s="74"/>
      <c r="X1205" s="74"/>
      <c r="Y1205" s="74"/>
      <c r="Z1205" s="364"/>
      <c r="AA1205" s="59" t="str">
        <f>IF(Rentabilidad=0,"No aplica",TEXT(ROUND(Precio/Rentabilidad/12,0),0) &amp; " años")</f>
        <v>No aplica</v>
      </c>
      <c r="AB1205" s="360"/>
      <c r="AC1205" s="61"/>
      <c r="AD1205" s="62"/>
      <c r="AE1205" s="63"/>
      <c r="AF1205" s="156"/>
      <c r="AG1205" s="63"/>
      <c r="AH1205" s="63"/>
      <c r="AI1205" s="74"/>
      <c r="AJ1205" s="156"/>
      <c r="AK1205" s="74"/>
      <c r="AL1205" s="156"/>
      <c r="AM1205" s="74"/>
      <c r="AN1205" s="156"/>
      <c r="AO1205" s="74"/>
      <c r="AP1205" s="363"/>
      <c r="AQ1205" s="363"/>
      <c r="AR1205" s="363"/>
      <c r="AS1205" s="74"/>
      <c r="AT1205" s="74"/>
      <c r="AU1205" s="74"/>
      <c r="AV1205" s="74"/>
      <c r="AW1205" s="74"/>
      <c r="AX1205" s="74"/>
      <c r="AY1205" s="74"/>
      <c r="AZ1205" s="74"/>
      <c r="BA1205" s="74"/>
      <c r="BB1205" s="74"/>
      <c r="BC1205" s="170"/>
      <c r="BD1205" s="156"/>
      <c r="BE1205" s="156"/>
      <c r="BF1205" s="299"/>
      <c r="BG1205" s="74"/>
      <c r="BH1205" s="74"/>
      <c r="BI1205" s="74"/>
      <c r="BJ1205" s="74"/>
      <c r="BK1205" s="74"/>
      <c r="BL1205" s="74"/>
      <c r="BM1205" s="74"/>
      <c r="BN1205" s="74"/>
      <c r="BO1205" s="74"/>
      <c r="BP1205" s="74"/>
      <c r="BQ1205" s="74"/>
      <c r="BR1205" s="74"/>
      <c r="BS1205" s="74"/>
      <c r="BT1205" s="74"/>
      <c r="BU1205" s="74"/>
      <c r="BV1205" s="74"/>
      <c r="BW1205" s="74"/>
      <c r="BX1205" s="74"/>
      <c r="BY1205" s="63"/>
      <c r="BZ1205" s="63"/>
    </row>
    <row r="1206" ht="15.75" customHeight="1">
      <c r="A1206" s="201"/>
      <c r="B1206" s="74"/>
      <c r="C1206" s="74"/>
      <c r="D1206" s="74"/>
      <c r="E1206" s="156"/>
      <c r="F1206" s="78">
        <v>0.0</v>
      </c>
      <c r="G1206" s="44" t="str">
        <f t="shared" si="35"/>
        <v>$0 a $100'000.000</v>
      </c>
      <c r="H1206" s="44"/>
      <c r="I1206" s="44"/>
      <c r="J1206" s="74"/>
      <c r="K1206" s="359"/>
      <c r="L1206" s="74"/>
      <c r="M1206" s="74"/>
      <c r="N1206" s="74"/>
      <c r="O1206" s="74"/>
      <c r="P1206" s="74"/>
      <c r="Q1206" s="74"/>
      <c r="R1206" s="362"/>
      <c r="S1206" s="56" t="str">
        <f t="shared" si="36"/>
        <v> </v>
      </c>
      <c r="T1206" s="74"/>
      <c r="U1206" s="359"/>
      <c r="V1206" s="74"/>
      <c r="W1206" s="74"/>
      <c r="X1206" s="74"/>
      <c r="Y1206" s="74"/>
      <c r="Z1206" s="364"/>
      <c r="AA1206" s="59" t="str">
        <f>IF(Rentabilidad=0,"No aplica",TEXT(ROUND(Precio/Rentabilidad/12,0),0) &amp; " años")</f>
        <v>No aplica</v>
      </c>
      <c r="AB1206" s="360"/>
      <c r="AC1206" s="61"/>
      <c r="AD1206" s="62"/>
      <c r="AE1206" s="63"/>
      <c r="AF1206" s="156"/>
      <c r="AG1206" s="63"/>
      <c r="AH1206" s="63"/>
      <c r="AI1206" s="74"/>
      <c r="AJ1206" s="156"/>
      <c r="AK1206" s="74"/>
      <c r="AL1206" s="156"/>
      <c r="AM1206" s="74"/>
      <c r="AN1206" s="156"/>
      <c r="AO1206" s="74"/>
      <c r="AP1206" s="363"/>
      <c r="AQ1206" s="363"/>
      <c r="AR1206" s="363"/>
      <c r="AS1206" s="74"/>
      <c r="AT1206" s="74"/>
      <c r="AU1206" s="74"/>
      <c r="AV1206" s="74"/>
      <c r="AW1206" s="74"/>
      <c r="AX1206" s="74"/>
      <c r="AY1206" s="74"/>
      <c r="AZ1206" s="74"/>
      <c r="BA1206" s="74"/>
      <c r="BB1206" s="74"/>
      <c r="BC1206" s="170"/>
      <c r="BD1206" s="156"/>
      <c r="BE1206" s="156"/>
      <c r="BF1206" s="299"/>
      <c r="BG1206" s="74"/>
      <c r="BH1206" s="74"/>
      <c r="BI1206" s="74"/>
      <c r="BJ1206" s="74"/>
      <c r="BK1206" s="74"/>
      <c r="BL1206" s="74"/>
      <c r="BM1206" s="74"/>
      <c r="BN1206" s="74"/>
      <c r="BO1206" s="74"/>
      <c r="BP1206" s="74"/>
      <c r="BQ1206" s="74"/>
      <c r="BR1206" s="74"/>
      <c r="BS1206" s="74"/>
      <c r="BT1206" s="74"/>
      <c r="BU1206" s="74"/>
      <c r="BV1206" s="74"/>
      <c r="BW1206" s="74"/>
      <c r="BX1206" s="74"/>
      <c r="BY1206" s="63"/>
      <c r="BZ1206" s="63"/>
    </row>
    <row r="1207" ht="15.75" customHeight="1">
      <c r="A1207" s="201"/>
      <c r="B1207" s="74"/>
      <c r="C1207" s="74"/>
      <c r="D1207" s="74"/>
      <c r="E1207" s="156"/>
      <c r="F1207" s="78">
        <v>0.0</v>
      </c>
      <c r="G1207" s="44" t="str">
        <f t="shared" si="35"/>
        <v>$0 a $100'000.000</v>
      </c>
      <c r="H1207" s="44"/>
      <c r="I1207" s="44"/>
      <c r="J1207" s="74"/>
      <c r="K1207" s="359"/>
      <c r="L1207" s="74"/>
      <c r="M1207" s="74"/>
      <c r="N1207" s="74"/>
      <c r="O1207" s="74"/>
      <c r="P1207" s="74"/>
      <c r="Q1207" s="74"/>
      <c r="R1207" s="362"/>
      <c r="S1207" s="56" t="str">
        <f t="shared" si="36"/>
        <v> </v>
      </c>
      <c r="T1207" s="74"/>
      <c r="U1207" s="359"/>
      <c r="V1207" s="74"/>
      <c r="W1207" s="74"/>
      <c r="X1207" s="74"/>
      <c r="Y1207" s="74"/>
      <c r="Z1207" s="364"/>
      <c r="AA1207" s="59" t="str">
        <f>IF(Rentabilidad=0,"No aplica",TEXT(ROUND(Precio/Rentabilidad/12,0),0) &amp; " años")</f>
        <v>No aplica</v>
      </c>
      <c r="AB1207" s="360"/>
      <c r="AC1207" s="61"/>
      <c r="AD1207" s="62"/>
      <c r="AE1207" s="63"/>
      <c r="AF1207" s="156"/>
      <c r="AG1207" s="63"/>
      <c r="AH1207" s="63"/>
      <c r="AI1207" s="74"/>
      <c r="AJ1207" s="156"/>
      <c r="AK1207" s="74"/>
      <c r="AL1207" s="156"/>
      <c r="AM1207" s="74"/>
      <c r="AN1207" s="156"/>
      <c r="AO1207" s="74"/>
      <c r="AP1207" s="363"/>
      <c r="AQ1207" s="363"/>
      <c r="AR1207" s="363"/>
      <c r="AS1207" s="74"/>
      <c r="AT1207" s="74"/>
      <c r="AU1207" s="74"/>
      <c r="AV1207" s="74"/>
      <c r="AW1207" s="74"/>
      <c r="AX1207" s="74"/>
      <c r="AY1207" s="74"/>
      <c r="AZ1207" s="74"/>
      <c r="BA1207" s="74"/>
      <c r="BB1207" s="74"/>
      <c r="BC1207" s="170"/>
      <c r="BD1207" s="156"/>
      <c r="BE1207" s="156"/>
      <c r="BF1207" s="299"/>
      <c r="BG1207" s="74"/>
      <c r="BH1207" s="74"/>
      <c r="BI1207" s="74"/>
      <c r="BJ1207" s="74"/>
      <c r="BK1207" s="74"/>
      <c r="BL1207" s="74"/>
      <c r="BM1207" s="74"/>
      <c r="BN1207" s="74"/>
      <c r="BO1207" s="74"/>
      <c r="BP1207" s="74"/>
      <c r="BQ1207" s="74"/>
      <c r="BR1207" s="74"/>
      <c r="BS1207" s="74"/>
      <c r="BT1207" s="74"/>
      <c r="BU1207" s="74"/>
      <c r="BV1207" s="74"/>
      <c r="BW1207" s="74"/>
      <c r="BX1207" s="74"/>
      <c r="BY1207" s="63"/>
      <c r="BZ1207" s="63"/>
    </row>
    <row r="1208" ht="15.75" customHeight="1">
      <c r="A1208" s="201"/>
      <c r="B1208" s="74"/>
      <c r="C1208" s="74"/>
      <c r="D1208" s="74"/>
      <c r="E1208" s="156"/>
      <c r="F1208" s="78">
        <v>0.0</v>
      </c>
      <c r="G1208" s="44" t="str">
        <f t="shared" si="35"/>
        <v>$0 a $100'000.000</v>
      </c>
      <c r="H1208" s="44"/>
      <c r="I1208" s="44"/>
      <c r="J1208" s="74"/>
      <c r="K1208" s="359"/>
      <c r="L1208" s="74"/>
      <c r="M1208" s="74"/>
      <c r="N1208" s="74"/>
      <c r="O1208" s="74"/>
      <c r="P1208" s="74"/>
      <c r="Q1208" s="74"/>
      <c r="R1208" s="362"/>
      <c r="S1208" s="56" t="str">
        <f t="shared" si="36"/>
        <v> </v>
      </c>
      <c r="T1208" s="74"/>
      <c r="U1208" s="359"/>
      <c r="V1208" s="74"/>
      <c r="W1208" s="74"/>
      <c r="X1208" s="74"/>
      <c r="Y1208" s="74"/>
      <c r="Z1208" s="364"/>
      <c r="AA1208" s="59" t="str">
        <f>IF(Rentabilidad=0,"No aplica",TEXT(ROUND(Precio/Rentabilidad/12,0),0) &amp; " años")</f>
        <v>No aplica</v>
      </c>
      <c r="AB1208" s="360"/>
      <c r="AC1208" s="61"/>
      <c r="AD1208" s="62"/>
      <c r="AE1208" s="63"/>
      <c r="AF1208" s="156"/>
      <c r="AG1208" s="63"/>
      <c r="AH1208" s="63"/>
      <c r="AI1208" s="74"/>
      <c r="AJ1208" s="156"/>
      <c r="AK1208" s="74"/>
      <c r="AL1208" s="156"/>
      <c r="AM1208" s="74"/>
      <c r="AN1208" s="156"/>
      <c r="AO1208" s="74"/>
      <c r="AP1208" s="363"/>
      <c r="AQ1208" s="363"/>
      <c r="AR1208" s="363"/>
      <c r="AS1208" s="74"/>
      <c r="AT1208" s="74"/>
      <c r="AU1208" s="74"/>
      <c r="AV1208" s="74"/>
      <c r="AW1208" s="74"/>
      <c r="AX1208" s="74"/>
      <c r="AY1208" s="74"/>
      <c r="AZ1208" s="74"/>
      <c r="BA1208" s="74"/>
      <c r="BB1208" s="74"/>
      <c r="BC1208" s="170"/>
      <c r="BD1208" s="156"/>
      <c r="BE1208" s="156"/>
      <c r="BF1208" s="299"/>
      <c r="BG1208" s="74"/>
      <c r="BH1208" s="74"/>
      <c r="BI1208" s="74"/>
      <c r="BJ1208" s="74"/>
      <c r="BK1208" s="74"/>
      <c r="BL1208" s="74"/>
      <c r="BM1208" s="74"/>
      <c r="BN1208" s="74"/>
      <c r="BO1208" s="74"/>
      <c r="BP1208" s="74"/>
      <c r="BQ1208" s="74"/>
      <c r="BR1208" s="74"/>
      <c r="BS1208" s="74"/>
      <c r="BT1208" s="74"/>
      <c r="BU1208" s="74"/>
      <c r="BV1208" s="74"/>
      <c r="BW1208" s="74"/>
      <c r="BX1208" s="74"/>
      <c r="BY1208" s="63"/>
      <c r="BZ1208" s="63"/>
    </row>
    <row r="1209" ht="15.75" customHeight="1">
      <c r="A1209" s="201"/>
      <c r="B1209" s="74"/>
      <c r="C1209" s="74"/>
      <c r="D1209" s="74"/>
      <c r="E1209" s="156"/>
      <c r="F1209" s="78">
        <v>0.0</v>
      </c>
      <c r="G1209" s="44" t="str">
        <f t="shared" si="35"/>
        <v>$0 a $100'000.000</v>
      </c>
      <c r="H1209" s="44"/>
      <c r="I1209" s="44"/>
      <c r="J1209" s="74"/>
      <c r="K1209" s="359"/>
      <c r="L1209" s="74"/>
      <c r="M1209" s="74"/>
      <c r="N1209" s="74"/>
      <c r="O1209" s="74"/>
      <c r="P1209" s="74"/>
      <c r="Q1209" s="74"/>
      <c r="R1209" s="362"/>
      <c r="S1209" s="56" t="str">
        <f t="shared" si="36"/>
        <v> </v>
      </c>
      <c r="T1209" s="74"/>
      <c r="U1209" s="359"/>
      <c r="V1209" s="74"/>
      <c r="W1209" s="74"/>
      <c r="X1209" s="74"/>
      <c r="Y1209" s="74"/>
      <c r="Z1209" s="364"/>
      <c r="AA1209" s="59" t="str">
        <f>IF(Rentabilidad=0,"No aplica",TEXT(ROUND(Precio/Rentabilidad/12,0),0) &amp; " años")</f>
        <v>No aplica</v>
      </c>
      <c r="AB1209" s="360"/>
      <c r="AC1209" s="61"/>
      <c r="AD1209" s="62"/>
      <c r="AE1209" s="63"/>
      <c r="AF1209" s="156"/>
      <c r="AG1209" s="63"/>
      <c r="AH1209" s="63"/>
      <c r="AI1209" s="74"/>
      <c r="AJ1209" s="156"/>
      <c r="AK1209" s="74"/>
      <c r="AL1209" s="156"/>
      <c r="AM1209" s="74"/>
      <c r="AN1209" s="156"/>
      <c r="AO1209" s="74"/>
      <c r="AP1209" s="363"/>
      <c r="AQ1209" s="363"/>
      <c r="AR1209" s="363"/>
      <c r="AS1209" s="74"/>
      <c r="AT1209" s="74"/>
      <c r="AU1209" s="74"/>
      <c r="AV1209" s="74"/>
      <c r="AW1209" s="74"/>
      <c r="AX1209" s="74"/>
      <c r="AY1209" s="74"/>
      <c r="AZ1209" s="74"/>
      <c r="BA1209" s="74"/>
      <c r="BB1209" s="74"/>
      <c r="BC1209" s="170"/>
      <c r="BD1209" s="156"/>
      <c r="BE1209" s="156"/>
      <c r="BF1209" s="299"/>
      <c r="BG1209" s="74"/>
      <c r="BH1209" s="74"/>
      <c r="BI1209" s="74"/>
      <c r="BJ1209" s="74"/>
      <c r="BK1209" s="74"/>
      <c r="BL1209" s="74"/>
      <c r="BM1209" s="74"/>
      <c r="BN1209" s="74"/>
      <c r="BO1209" s="74"/>
      <c r="BP1209" s="74"/>
      <c r="BQ1209" s="74"/>
      <c r="BR1209" s="74"/>
      <c r="BS1209" s="74"/>
      <c r="BT1209" s="74"/>
      <c r="BU1209" s="74"/>
      <c r="BV1209" s="74"/>
      <c r="BW1209" s="74"/>
      <c r="BX1209" s="74"/>
      <c r="BY1209" s="63"/>
      <c r="BZ1209" s="63"/>
    </row>
    <row r="1210" ht="15.75" customHeight="1">
      <c r="A1210" s="201"/>
      <c r="B1210" s="74"/>
      <c r="C1210" s="74"/>
      <c r="D1210" s="74"/>
      <c r="E1210" s="156"/>
      <c r="F1210" s="78">
        <v>0.0</v>
      </c>
      <c r="G1210" s="44" t="str">
        <f t="shared" si="35"/>
        <v>$0 a $100'000.000</v>
      </c>
      <c r="H1210" s="44"/>
      <c r="I1210" s="44"/>
      <c r="J1210" s="74"/>
      <c r="K1210" s="359"/>
      <c r="L1210" s="74"/>
      <c r="M1210" s="74"/>
      <c r="N1210" s="74"/>
      <c r="O1210" s="74"/>
      <c r="P1210" s="74"/>
      <c r="Q1210" s="74"/>
      <c r="R1210" s="362"/>
      <c r="S1210" s="56" t="str">
        <f t="shared" si="36"/>
        <v> </v>
      </c>
      <c r="T1210" s="74"/>
      <c r="U1210" s="359"/>
      <c r="V1210" s="74"/>
      <c r="W1210" s="74"/>
      <c r="X1210" s="74"/>
      <c r="Y1210" s="74"/>
      <c r="Z1210" s="364"/>
      <c r="AA1210" s="59" t="str">
        <f>IF(Rentabilidad=0,"No aplica",TEXT(ROUND(Precio/Rentabilidad/12,0),0) &amp; " años")</f>
        <v>No aplica</v>
      </c>
      <c r="AB1210" s="360"/>
      <c r="AC1210" s="61"/>
      <c r="AD1210" s="62"/>
      <c r="AE1210" s="63"/>
      <c r="AF1210" s="156"/>
      <c r="AG1210" s="63"/>
      <c r="AH1210" s="63"/>
      <c r="AI1210" s="74"/>
      <c r="AJ1210" s="156"/>
      <c r="AK1210" s="74"/>
      <c r="AL1210" s="156"/>
      <c r="AM1210" s="74"/>
      <c r="AN1210" s="156"/>
      <c r="AO1210" s="74"/>
      <c r="AP1210" s="363"/>
      <c r="AQ1210" s="363"/>
      <c r="AR1210" s="363"/>
      <c r="AS1210" s="74"/>
      <c r="AT1210" s="74"/>
      <c r="AU1210" s="74"/>
      <c r="AV1210" s="74"/>
      <c r="AW1210" s="74"/>
      <c r="AX1210" s="74"/>
      <c r="AY1210" s="74"/>
      <c r="AZ1210" s="74"/>
      <c r="BA1210" s="74"/>
      <c r="BB1210" s="74"/>
      <c r="BC1210" s="170"/>
      <c r="BD1210" s="156"/>
      <c r="BE1210" s="156"/>
      <c r="BF1210" s="299"/>
      <c r="BG1210" s="74"/>
      <c r="BH1210" s="74"/>
      <c r="BI1210" s="74"/>
      <c r="BJ1210" s="74"/>
      <c r="BK1210" s="74"/>
      <c r="BL1210" s="74"/>
      <c r="BM1210" s="74"/>
      <c r="BN1210" s="74"/>
      <c r="BO1210" s="74"/>
      <c r="BP1210" s="74"/>
      <c r="BQ1210" s="74"/>
      <c r="BR1210" s="74"/>
      <c r="BS1210" s="74"/>
      <c r="BT1210" s="74"/>
      <c r="BU1210" s="74"/>
      <c r="BV1210" s="74"/>
      <c r="BW1210" s="74"/>
      <c r="BX1210" s="74"/>
      <c r="BY1210" s="63"/>
      <c r="BZ1210" s="63"/>
    </row>
    <row r="1211" ht="15.75" customHeight="1">
      <c r="A1211" s="201"/>
      <c r="B1211" s="74"/>
      <c r="C1211" s="74"/>
      <c r="D1211" s="74"/>
      <c r="E1211" s="156"/>
      <c r="F1211" s="78">
        <v>0.0</v>
      </c>
      <c r="G1211" s="44" t="str">
        <f t="shared" si="35"/>
        <v>$0 a $100'000.000</v>
      </c>
      <c r="H1211" s="44"/>
      <c r="I1211" s="44"/>
      <c r="J1211" s="74"/>
      <c r="K1211" s="359"/>
      <c r="L1211" s="74"/>
      <c r="M1211" s="74"/>
      <c r="N1211" s="74"/>
      <c r="O1211" s="74"/>
      <c r="P1211" s="74"/>
      <c r="Q1211" s="74"/>
      <c r="R1211" s="362"/>
      <c r="S1211" s="56" t="str">
        <f t="shared" si="36"/>
        <v> </v>
      </c>
      <c r="T1211" s="74"/>
      <c r="U1211" s="359"/>
      <c r="V1211" s="74"/>
      <c r="W1211" s="74"/>
      <c r="X1211" s="74"/>
      <c r="Y1211" s="74"/>
      <c r="Z1211" s="364"/>
      <c r="AA1211" s="59" t="str">
        <f>IF(Rentabilidad=0,"No aplica",TEXT(ROUND(Precio/Rentabilidad/12,0),0) &amp; " años")</f>
        <v>No aplica</v>
      </c>
      <c r="AB1211" s="360"/>
      <c r="AC1211" s="61"/>
      <c r="AD1211" s="62"/>
      <c r="AE1211" s="63"/>
      <c r="AF1211" s="156"/>
      <c r="AG1211" s="63"/>
      <c r="AH1211" s="63"/>
      <c r="AI1211" s="74"/>
      <c r="AJ1211" s="156"/>
      <c r="AK1211" s="74"/>
      <c r="AL1211" s="156"/>
      <c r="AM1211" s="74"/>
      <c r="AN1211" s="156"/>
      <c r="AO1211" s="74"/>
      <c r="AP1211" s="363"/>
      <c r="AQ1211" s="363"/>
      <c r="AR1211" s="363"/>
      <c r="AS1211" s="74"/>
      <c r="AT1211" s="74"/>
      <c r="AU1211" s="74"/>
      <c r="AV1211" s="74"/>
      <c r="AW1211" s="74"/>
      <c r="AX1211" s="74"/>
      <c r="AY1211" s="74"/>
      <c r="AZ1211" s="74"/>
      <c r="BA1211" s="74"/>
      <c r="BB1211" s="74"/>
      <c r="BC1211" s="170"/>
      <c r="BD1211" s="156"/>
      <c r="BE1211" s="156"/>
      <c r="BF1211" s="299"/>
      <c r="BG1211" s="74"/>
      <c r="BH1211" s="74"/>
      <c r="BI1211" s="74"/>
      <c r="BJ1211" s="74"/>
      <c r="BK1211" s="74"/>
      <c r="BL1211" s="74"/>
      <c r="BM1211" s="74"/>
      <c r="BN1211" s="74"/>
      <c r="BO1211" s="74"/>
      <c r="BP1211" s="74"/>
      <c r="BQ1211" s="74"/>
      <c r="BR1211" s="74"/>
      <c r="BS1211" s="74"/>
      <c r="BT1211" s="74"/>
      <c r="BU1211" s="74"/>
      <c r="BV1211" s="74"/>
      <c r="BW1211" s="74"/>
      <c r="BX1211" s="74"/>
      <c r="BY1211" s="63"/>
      <c r="BZ1211" s="63"/>
    </row>
    <row r="1212" ht="15.75" customHeight="1">
      <c r="A1212" s="201"/>
      <c r="B1212" s="74"/>
      <c r="C1212" s="74"/>
      <c r="D1212" s="74"/>
      <c r="E1212" s="156"/>
      <c r="F1212" s="78">
        <v>0.0</v>
      </c>
      <c r="G1212" s="44" t="str">
        <f t="shared" si="35"/>
        <v>$0 a $100'000.000</v>
      </c>
      <c r="H1212" s="44"/>
      <c r="I1212" s="44"/>
      <c r="J1212" s="74"/>
      <c r="K1212" s="359"/>
      <c r="L1212" s="74"/>
      <c r="M1212" s="74"/>
      <c r="N1212" s="74"/>
      <c r="O1212" s="74"/>
      <c r="P1212" s="74"/>
      <c r="Q1212" s="74"/>
      <c r="R1212" s="362"/>
      <c r="S1212" s="56" t="str">
        <f t="shared" si="36"/>
        <v> </v>
      </c>
      <c r="T1212" s="74"/>
      <c r="U1212" s="359"/>
      <c r="V1212" s="74"/>
      <c r="W1212" s="74"/>
      <c r="X1212" s="74"/>
      <c r="Y1212" s="74"/>
      <c r="Z1212" s="364"/>
      <c r="AA1212" s="59" t="str">
        <f>IF(Rentabilidad=0,"No aplica",TEXT(ROUND(Precio/Rentabilidad/12,0),0) &amp; " años")</f>
        <v>No aplica</v>
      </c>
      <c r="AB1212" s="360"/>
      <c r="AC1212" s="61"/>
      <c r="AD1212" s="62"/>
      <c r="AE1212" s="63"/>
      <c r="AF1212" s="156"/>
      <c r="AG1212" s="63"/>
      <c r="AH1212" s="63"/>
      <c r="AI1212" s="74"/>
      <c r="AJ1212" s="156"/>
      <c r="AK1212" s="74"/>
      <c r="AL1212" s="156"/>
      <c r="AM1212" s="74"/>
      <c r="AN1212" s="156"/>
      <c r="AO1212" s="74"/>
      <c r="AP1212" s="363"/>
      <c r="AQ1212" s="363"/>
      <c r="AR1212" s="363"/>
      <c r="AS1212" s="74"/>
      <c r="AT1212" s="74"/>
      <c r="AU1212" s="74"/>
      <c r="AV1212" s="74"/>
      <c r="AW1212" s="74"/>
      <c r="AX1212" s="74"/>
      <c r="AY1212" s="74"/>
      <c r="AZ1212" s="74"/>
      <c r="BA1212" s="74"/>
      <c r="BB1212" s="74"/>
      <c r="BC1212" s="170"/>
      <c r="BD1212" s="156"/>
      <c r="BE1212" s="156"/>
      <c r="BF1212" s="299"/>
      <c r="BG1212" s="74"/>
      <c r="BH1212" s="74"/>
      <c r="BI1212" s="74"/>
      <c r="BJ1212" s="74"/>
      <c r="BK1212" s="74"/>
      <c r="BL1212" s="74"/>
      <c r="BM1212" s="74"/>
      <c r="BN1212" s="74"/>
      <c r="BO1212" s="74"/>
      <c r="BP1212" s="74"/>
      <c r="BQ1212" s="74"/>
      <c r="BR1212" s="74"/>
      <c r="BS1212" s="74"/>
      <c r="BT1212" s="74"/>
      <c r="BU1212" s="74"/>
      <c r="BV1212" s="74"/>
      <c r="BW1212" s="74"/>
      <c r="BX1212" s="74"/>
      <c r="BY1212" s="63"/>
      <c r="BZ1212" s="63"/>
    </row>
    <row r="1213" ht="15.75" customHeight="1">
      <c r="A1213" s="201"/>
      <c r="B1213" s="74"/>
      <c r="C1213" s="74"/>
      <c r="D1213" s="74"/>
      <c r="E1213" s="156"/>
      <c r="F1213" s="78">
        <v>0.0</v>
      </c>
      <c r="G1213" s="44" t="str">
        <f t="shared" si="35"/>
        <v>$0 a $100'000.000</v>
      </c>
      <c r="H1213" s="44"/>
      <c r="I1213" s="44"/>
      <c r="J1213" s="74"/>
      <c r="K1213" s="359"/>
      <c r="L1213" s="74"/>
      <c r="M1213" s="74"/>
      <c r="N1213" s="74"/>
      <c r="O1213" s="74"/>
      <c r="P1213" s="74"/>
      <c r="Q1213" s="74"/>
      <c r="R1213" s="362"/>
      <c r="S1213" s="56" t="str">
        <f t="shared" si="36"/>
        <v> </v>
      </c>
      <c r="T1213" s="74"/>
      <c r="U1213" s="359"/>
      <c r="V1213" s="74"/>
      <c r="W1213" s="74"/>
      <c r="X1213" s="74"/>
      <c r="Y1213" s="74"/>
      <c r="Z1213" s="364"/>
      <c r="AA1213" s="59" t="str">
        <f>IF(Rentabilidad=0,"No aplica",TEXT(ROUND(Precio/Rentabilidad/12,0),0) &amp; " años")</f>
        <v>No aplica</v>
      </c>
      <c r="AB1213" s="360"/>
      <c r="AC1213" s="61"/>
      <c r="AD1213" s="62"/>
      <c r="AE1213" s="63"/>
      <c r="AF1213" s="156"/>
      <c r="AG1213" s="63"/>
      <c r="AH1213" s="63"/>
      <c r="AI1213" s="74"/>
      <c r="AJ1213" s="156"/>
      <c r="AK1213" s="74"/>
      <c r="AL1213" s="156"/>
      <c r="AM1213" s="74"/>
      <c r="AN1213" s="156"/>
      <c r="AO1213" s="74"/>
      <c r="AP1213" s="363"/>
      <c r="AQ1213" s="363"/>
      <c r="AR1213" s="363"/>
      <c r="AS1213" s="74"/>
      <c r="AT1213" s="74"/>
      <c r="AU1213" s="74"/>
      <c r="AV1213" s="74"/>
      <c r="AW1213" s="74"/>
      <c r="AX1213" s="74"/>
      <c r="AY1213" s="74"/>
      <c r="AZ1213" s="74"/>
      <c r="BA1213" s="74"/>
      <c r="BB1213" s="74"/>
      <c r="BC1213" s="170"/>
      <c r="BD1213" s="156"/>
      <c r="BE1213" s="156"/>
      <c r="BF1213" s="299"/>
      <c r="BG1213" s="74"/>
      <c r="BH1213" s="74"/>
      <c r="BI1213" s="74"/>
      <c r="BJ1213" s="74"/>
      <c r="BK1213" s="74"/>
      <c r="BL1213" s="74"/>
      <c r="BM1213" s="74"/>
      <c r="BN1213" s="74"/>
      <c r="BO1213" s="74"/>
      <c r="BP1213" s="74"/>
      <c r="BQ1213" s="74"/>
      <c r="BR1213" s="74"/>
      <c r="BS1213" s="74"/>
      <c r="BT1213" s="74"/>
      <c r="BU1213" s="74"/>
      <c r="BV1213" s="74"/>
      <c r="BW1213" s="74"/>
      <c r="BX1213" s="74"/>
      <c r="BY1213" s="63"/>
      <c r="BZ1213" s="63"/>
    </row>
    <row r="1214" ht="15.75" customHeight="1">
      <c r="A1214" s="201"/>
      <c r="B1214" s="74"/>
      <c r="C1214" s="74"/>
      <c r="D1214" s="74"/>
      <c r="E1214" s="156"/>
      <c r="F1214" s="78">
        <v>0.0</v>
      </c>
      <c r="G1214" s="44" t="str">
        <f t="shared" si="35"/>
        <v>$0 a $100'000.000</v>
      </c>
      <c r="H1214" s="44"/>
      <c r="I1214" s="44"/>
      <c r="J1214" s="74"/>
      <c r="K1214" s="359"/>
      <c r="L1214" s="74"/>
      <c r="M1214" s="74"/>
      <c r="N1214" s="74"/>
      <c r="O1214" s="74"/>
      <c r="P1214" s="74"/>
      <c r="Q1214" s="74"/>
      <c r="R1214" s="362"/>
      <c r="S1214" s="56" t="str">
        <f t="shared" si="36"/>
        <v> </v>
      </c>
      <c r="T1214" s="74"/>
      <c r="U1214" s="359"/>
      <c r="V1214" s="74"/>
      <c r="W1214" s="74"/>
      <c r="X1214" s="74"/>
      <c r="Y1214" s="74"/>
      <c r="Z1214" s="364"/>
      <c r="AA1214" s="59" t="str">
        <f>IF(Rentabilidad=0,"No aplica",TEXT(ROUND(Precio/Rentabilidad/12,0),0) &amp; " años")</f>
        <v>No aplica</v>
      </c>
      <c r="AB1214" s="360"/>
      <c r="AC1214" s="61"/>
      <c r="AD1214" s="62"/>
      <c r="AE1214" s="63"/>
      <c r="AF1214" s="156"/>
      <c r="AG1214" s="63"/>
      <c r="AH1214" s="63"/>
      <c r="AI1214" s="74"/>
      <c r="AJ1214" s="156"/>
      <c r="AK1214" s="74"/>
      <c r="AL1214" s="156"/>
      <c r="AM1214" s="74"/>
      <c r="AN1214" s="156"/>
      <c r="AO1214" s="74"/>
      <c r="AP1214" s="363"/>
      <c r="AQ1214" s="363"/>
      <c r="AR1214" s="363"/>
      <c r="AS1214" s="74"/>
      <c r="AT1214" s="74"/>
      <c r="AU1214" s="74"/>
      <c r="AV1214" s="74"/>
      <c r="AW1214" s="74"/>
      <c r="AX1214" s="74"/>
      <c r="AY1214" s="74"/>
      <c r="AZ1214" s="74"/>
      <c r="BA1214" s="74"/>
      <c r="BB1214" s="74"/>
      <c r="BC1214" s="170"/>
      <c r="BD1214" s="156"/>
      <c r="BE1214" s="156"/>
      <c r="BF1214" s="299"/>
      <c r="BG1214" s="74"/>
      <c r="BH1214" s="74"/>
      <c r="BI1214" s="74"/>
      <c r="BJ1214" s="74"/>
      <c r="BK1214" s="74"/>
      <c r="BL1214" s="74"/>
      <c r="BM1214" s="74"/>
      <c r="BN1214" s="74"/>
      <c r="BO1214" s="74"/>
      <c r="BP1214" s="74"/>
      <c r="BQ1214" s="74"/>
      <c r="BR1214" s="74"/>
      <c r="BS1214" s="74"/>
      <c r="BT1214" s="74"/>
      <c r="BU1214" s="74"/>
      <c r="BV1214" s="74"/>
      <c r="BW1214" s="74"/>
      <c r="BX1214" s="74"/>
      <c r="BY1214" s="63"/>
      <c r="BZ1214" s="63"/>
    </row>
    <row r="1215" ht="15.75" customHeight="1">
      <c r="A1215" s="201"/>
      <c r="B1215" s="74"/>
      <c r="C1215" s="74"/>
      <c r="D1215" s="74"/>
      <c r="E1215" s="156"/>
      <c r="F1215" s="78">
        <v>0.0</v>
      </c>
      <c r="G1215" s="44" t="str">
        <f t="shared" si="35"/>
        <v>$0 a $100'000.000</v>
      </c>
      <c r="H1215" s="44"/>
      <c r="I1215" s="44"/>
      <c r="J1215" s="74"/>
      <c r="K1215" s="359"/>
      <c r="L1215" s="74"/>
      <c r="M1215" s="74"/>
      <c r="N1215" s="74"/>
      <c r="O1215" s="74"/>
      <c r="P1215" s="74"/>
      <c r="Q1215" s="74"/>
      <c r="R1215" s="362"/>
      <c r="S1215" s="56" t="str">
        <f t="shared" si="36"/>
        <v> </v>
      </c>
      <c r="T1215" s="74"/>
      <c r="U1215" s="359"/>
      <c r="V1215" s="74"/>
      <c r="W1215" s="74"/>
      <c r="X1215" s="74"/>
      <c r="Y1215" s="74"/>
      <c r="Z1215" s="364"/>
      <c r="AA1215" s="59" t="str">
        <f>IF(Rentabilidad=0,"No aplica",TEXT(ROUND(Precio/Rentabilidad/12,0),0) &amp; " años")</f>
        <v>No aplica</v>
      </c>
      <c r="AB1215" s="360"/>
      <c r="AC1215" s="61"/>
      <c r="AD1215" s="62"/>
      <c r="AE1215" s="63"/>
      <c r="AF1215" s="156"/>
      <c r="AG1215" s="63"/>
      <c r="AH1215" s="63"/>
      <c r="AI1215" s="74"/>
      <c r="AJ1215" s="156"/>
      <c r="AK1215" s="74"/>
      <c r="AL1215" s="156"/>
      <c r="AM1215" s="74"/>
      <c r="AN1215" s="156"/>
      <c r="AO1215" s="74"/>
      <c r="AP1215" s="363"/>
      <c r="AQ1215" s="363"/>
      <c r="AR1215" s="363"/>
      <c r="AS1215" s="74"/>
      <c r="AT1215" s="74"/>
      <c r="AU1215" s="74"/>
      <c r="AV1215" s="74"/>
      <c r="AW1215" s="74"/>
      <c r="AX1215" s="74"/>
      <c r="AY1215" s="74"/>
      <c r="AZ1215" s="74"/>
      <c r="BA1215" s="74"/>
      <c r="BB1215" s="74"/>
      <c r="BC1215" s="170"/>
      <c r="BD1215" s="156"/>
      <c r="BE1215" s="156"/>
      <c r="BF1215" s="299"/>
      <c r="BG1215" s="74"/>
      <c r="BH1215" s="74"/>
      <c r="BI1215" s="74"/>
      <c r="BJ1215" s="74"/>
      <c r="BK1215" s="74"/>
      <c r="BL1215" s="74"/>
      <c r="BM1215" s="74"/>
      <c r="BN1215" s="74"/>
      <c r="BO1215" s="74"/>
      <c r="BP1215" s="74"/>
      <c r="BQ1215" s="74"/>
      <c r="BR1215" s="74"/>
      <c r="BS1215" s="74"/>
      <c r="BT1215" s="74"/>
      <c r="BU1215" s="74"/>
      <c r="BV1215" s="74"/>
      <c r="BW1215" s="74"/>
      <c r="BX1215" s="74"/>
      <c r="BY1215" s="63"/>
      <c r="BZ1215" s="63"/>
    </row>
    <row r="1216" ht="15.75" customHeight="1">
      <c r="A1216" s="201"/>
      <c r="B1216" s="74"/>
      <c r="C1216" s="74"/>
      <c r="D1216" s="74"/>
      <c r="E1216" s="156"/>
      <c r="F1216" s="78">
        <v>0.0</v>
      </c>
      <c r="G1216" s="44" t="str">
        <f t="shared" si="35"/>
        <v>$0 a $100'000.000</v>
      </c>
      <c r="H1216" s="44"/>
      <c r="I1216" s="44"/>
      <c r="J1216" s="74"/>
      <c r="K1216" s="359"/>
      <c r="L1216" s="74"/>
      <c r="M1216" s="74"/>
      <c r="N1216" s="74"/>
      <c r="O1216" s="74"/>
      <c r="P1216" s="74"/>
      <c r="Q1216" s="74"/>
      <c r="R1216" s="362"/>
      <c r="S1216" s="56" t="str">
        <f t="shared" si="36"/>
        <v> </v>
      </c>
      <c r="T1216" s="74"/>
      <c r="U1216" s="359"/>
      <c r="V1216" s="74"/>
      <c r="W1216" s="74"/>
      <c r="X1216" s="74"/>
      <c r="Y1216" s="74"/>
      <c r="Z1216" s="364"/>
      <c r="AA1216" s="59" t="str">
        <f>IF(Rentabilidad=0,"No aplica",TEXT(ROUND(Precio/Rentabilidad/12,0),0) &amp; " años")</f>
        <v>No aplica</v>
      </c>
      <c r="AB1216" s="360"/>
      <c r="AC1216" s="61"/>
      <c r="AD1216" s="62"/>
      <c r="AE1216" s="63"/>
      <c r="AF1216" s="156"/>
      <c r="AG1216" s="63"/>
      <c r="AH1216" s="63"/>
      <c r="AI1216" s="74"/>
      <c r="AJ1216" s="156"/>
      <c r="AK1216" s="74"/>
      <c r="AL1216" s="156"/>
      <c r="AM1216" s="74"/>
      <c r="AN1216" s="156"/>
      <c r="AO1216" s="74"/>
      <c r="AP1216" s="363"/>
      <c r="AQ1216" s="363"/>
      <c r="AR1216" s="363"/>
      <c r="AS1216" s="74"/>
      <c r="AT1216" s="74"/>
      <c r="AU1216" s="74"/>
      <c r="AV1216" s="74"/>
      <c r="AW1216" s="74"/>
      <c r="AX1216" s="74"/>
      <c r="AY1216" s="74"/>
      <c r="AZ1216" s="74"/>
      <c r="BA1216" s="74"/>
      <c r="BB1216" s="74"/>
      <c r="BC1216" s="170"/>
      <c r="BD1216" s="156"/>
      <c r="BE1216" s="156"/>
      <c r="BF1216" s="299"/>
      <c r="BG1216" s="74"/>
      <c r="BH1216" s="74"/>
      <c r="BI1216" s="74"/>
      <c r="BJ1216" s="74"/>
      <c r="BK1216" s="74"/>
      <c r="BL1216" s="74"/>
      <c r="BM1216" s="74"/>
      <c r="BN1216" s="74"/>
      <c r="BO1216" s="74"/>
      <c r="BP1216" s="74"/>
      <c r="BQ1216" s="74"/>
      <c r="BR1216" s="74"/>
      <c r="BS1216" s="74"/>
      <c r="BT1216" s="74"/>
      <c r="BU1216" s="74"/>
      <c r="BV1216" s="74"/>
      <c r="BW1216" s="74"/>
      <c r="BX1216" s="74"/>
      <c r="BY1216" s="63"/>
      <c r="BZ1216" s="63"/>
    </row>
    <row r="1217" ht="15.75" customHeight="1">
      <c r="A1217" s="201"/>
      <c r="B1217" s="74"/>
      <c r="C1217" s="74"/>
      <c r="D1217" s="74"/>
      <c r="E1217" s="156"/>
      <c r="F1217" s="78">
        <v>0.0</v>
      </c>
      <c r="G1217" s="44" t="str">
        <f t="shared" si="35"/>
        <v>$0 a $100'000.000</v>
      </c>
      <c r="H1217" s="44"/>
      <c r="I1217" s="44"/>
      <c r="J1217" s="74"/>
      <c r="K1217" s="359"/>
      <c r="L1217" s="74"/>
      <c r="M1217" s="74"/>
      <c r="N1217" s="74"/>
      <c r="O1217" s="74"/>
      <c r="P1217" s="74"/>
      <c r="Q1217" s="74"/>
      <c r="R1217" s="362"/>
      <c r="S1217" s="56" t="str">
        <f t="shared" si="36"/>
        <v> </v>
      </c>
      <c r="T1217" s="74"/>
      <c r="U1217" s="359"/>
      <c r="V1217" s="74"/>
      <c r="W1217" s="74"/>
      <c r="X1217" s="74"/>
      <c r="Y1217" s="74"/>
      <c r="Z1217" s="364"/>
      <c r="AA1217" s="59" t="str">
        <f>IF(Rentabilidad=0,"No aplica",TEXT(ROUND(Precio/Rentabilidad/12,0),0) &amp; " años")</f>
        <v>No aplica</v>
      </c>
      <c r="AB1217" s="360"/>
      <c r="AC1217" s="61"/>
      <c r="AD1217" s="62"/>
      <c r="AE1217" s="63"/>
      <c r="AF1217" s="156"/>
      <c r="AG1217" s="63"/>
      <c r="AH1217" s="63"/>
      <c r="AI1217" s="74"/>
      <c r="AJ1217" s="156"/>
      <c r="AK1217" s="74"/>
      <c r="AL1217" s="156"/>
      <c r="AM1217" s="74"/>
      <c r="AN1217" s="156"/>
      <c r="AO1217" s="74"/>
      <c r="AP1217" s="363"/>
      <c r="AQ1217" s="363"/>
      <c r="AR1217" s="363"/>
      <c r="AS1217" s="74"/>
      <c r="AT1217" s="74"/>
      <c r="AU1217" s="74"/>
      <c r="AV1217" s="74"/>
      <c r="AW1217" s="74"/>
      <c r="AX1217" s="74"/>
      <c r="AY1217" s="74"/>
      <c r="AZ1217" s="74"/>
      <c r="BA1217" s="74"/>
      <c r="BB1217" s="74"/>
      <c r="BC1217" s="170"/>
      <c r="BD1217" s="156"/>
      <c r="BE1217" s="156"/>
      <c r="BF1217" s="299"/>
      <c r="BG1217" s="74"/>
      <c r="BH1217" s="74"/>
      <c r="BI1217" s="74"/>
      <c r="BJ1217" s="74"/>
      <c r="BK1217" s="74"/>
      <c r="BL1217" s="74"/>
      <c r="BM1217" s="74"/>
      <c r="BN1217" s="74"/>
      <c r="BO1217" s="74"/>
      <c r="BP1217" s="74"/>
      <c r="BQ1217" s="74"/>
      <c r="BR1217" s="74"/>
      <c r="BS1217" s="74"/>
      <c r="BT1217" s="74"/>
      <c r="BU1217" s="74"/>
      <c r="BV1217" s="74"/>
      <c r="BW1217" s="74"/>
      <c r="BX1217" s="74"/>
      <c r="BY1217" s="63"/>
      <c r="BZ1217" s="63"/>
    </row>
    <row r="1218" ht="15.75" customHeight="1">
      <c r="A1218" s="201"/>
      <c r="B1218" s="74"/>
      <c r="C1218" s="74"/>
      <c r="D1218" s="74"/>
      <c r="E1218" s="156"/>
      <c r="F1218" s="78">
        <v>0.0</v>
      </c>
      <c r="G1218" s="44" t="str">
        <f t="shared" si="35"/>
        <v>$0 a $100'000.000</v>
      </c>
      <c r="H1218" s="44"/>
      <c r="I1218" s="44"/>
      <c r="J1218" s="74"/>
      <c r="K1218" s="359"/>
      <c r="L1218" s="74"/>
      <c r="M1218" s="74"/>
      <c r="N1218" s="74"/>
      <c r="O1218" s="74"/>
      <c r="P1218" s="74"/>
      <c r="Q1218" s="74"/>
      <c r="R1218" s="362"/>
      <c r="S1218" s="56" t="str">
        <f t="shared" si="36"/>
        <v> </v>
      </c>
      <c r="T1218" s="74"/>
      <c r="U1218" s="359"/>
      <c r="V1218" s="74"/>
      <c r="W1218" s="74"/>
      <c r="X1218" s="74"/>
      <c r="Y1218" s="74"/>
      <c r="Z1218" s="364"/>
      <c r="AA1218" s="59" t="str">
        <f>IF(Rentabilidad=0,"No aplica",TEXT(ROUND(Precio/Rentabilidad/12,0),0) &amp; " años")</f>
        <v>No aplica</v>
      </c>
      <c r="AB1218" s="360"/>
      <c r="AC1218" s="61"/>
      <c r="AD1218" s="62"/>
      <c r="AE1218" s="63"/>
      <c r="AF1218" s="156"/>
      <c r="AG1218" s="63"/>
      <c r="AH1218" s="63"/>
      <c r="AI1218" s="74"/>
      <c r="AJ1218" s="156"/>
      <c r="AK1218" s="74"/>
      <c r="AL1218" s="156"/>
      <c r="AM1218" s="74"/>
      <c r="AN1218" s="156"/>
      <c r="AO1218" s="74"/>
      <c r="AP1218" s="363"/>
      <c r="AQ1218" s="363"/>
      <c r="AR1218" s="363"/>
      <c r="AS1218" s="74"/>
      <c r="AT1218" s="74"/>
      <c r="AU1218" s="74"/>
      <c r="AV1218" s="74"/>
      <c r="AW1218" s="74"/>
      <c r="AX1218" s="74"/>
      <c r="AY1218" s="74"/>
      <c r="AZ1218" s="74"/>
      <c r="BA1218" s="74"/>
      <c r="BB1218" s="74"/>
      <c r="BC1218" s="170"/>
      <c r="BD1218" s="156"/>
      <c r="BE1218" s="156"/>
      <c r="BF1218" s="299"/>
      <c r="BG1218" s="74"/>
      <c r="BH1218" s="74"/>
      <c r="BI1218" s="74"/>
      <c r="BJ1218" s="74"/>
      <c r="BK1218" s="74"/>
      <c r="BL1218" s="74"/>
      <c r="BM1218" s="74"/>
      <c r="BN1218" s="74"/>
      <c r="BO1218" s="74"/>
      <c r="BP1218" s="74"/>
      <c r="BQ1218" s="74"/>
      <c r="BR1218" s="74"/>
      <c r="BS1218" s="74"/>
      <c r="BT1218" s="74"/>
      <c r="BU1218" s="74"/>
      <c r="BV1218" s="74"/>
      <c r="BW1218" s="74"/>
      <c r="BX1218" s="74"/>
      <c r="BY1218" s="63"/>
      <c r="BZ1218" s="63"/>
    </row>
    <row r="1219" ht="15.75" customHeight="1">
      <c r="A1219" s="201"/>
      <c r="B1219" s="74"/>
      <c r="C1219" s="74"/>
      <c r="D1219" s="74"/>
      <c r="E1219" s="156"/>
      <c r="F1219" s="78">
        <v>0.0</v>
      </c>
      <c r="G1219" s="44" t="str">
        <f t="shared" si="35"/>
        <v>$0 a $100'000.000</v>
      </c>
      <c r="H1219" s="44"/>
      <c r="I1219" s="44"/>
      <c r="J1219" s="74"/>
      <c r="K1219" s="359"/>
      <c r="L1219" s="74"/>
      <c r="M1219" s="74"/>
      <c r="N1219" s="74"/>
      <c r="O1219" s="74"/>
      <c r="P1219" s="74"/>
      <c r="Q1219" s="74"/>
      <c r="R1219" s="362"/>
      <c r="S1219" s="56" t="str">
        <f t="shared" si="36"/>
        <v> </v>
      </c>
      <c r="T1219" s="74"/>
      <c r="U1219" s="359"/>
      <c r="V1219" s="74"/>
      <c r="W1219" s="74"/>
      <c r="X1219" s="74"/>
      <c r="Y1219" s="74"/>
      <c r="Z1219" s="364"/>
      <c r="AA1219" s="59" t="str">
        <f>IF(Rentabilidad=0,"No aplica",TEXT(ROUND(Precio/Rentabilidad/12,0),0) &amp; " años")</f>
        <v>No aplica</v>
      </c>
      <c r="AB1219" s="360"/>
      <c r="AC1219" s="61"/>
      <c r="AD1219" s="62"/>
      <c r="AE1219" s="63"/>
      <c r="AF1219" s="156"/>
      <c r="AG1219" s="63"/>
      <c r="AH1219" s="63"/>
      <c r="AI1219" s="74"/>
      <c r="AJ1219" s="156"/>
      <c r="AK1219" s="74"/>
      <c r="AL1219" s="156"/>
      <c r="AM1219" s="74"/>
      <c r="AN1219" s="156"/>
      <c r="AO1219" s="74"/>
      <c r="AP1219" s="363"/>
      <c r="AQ1219" s="363"/>
      <c r="AR1219" s="363"/>
      <c r="AS1219" s="74"/>
      <c r="AT1219" s="74"/>
      <c r="AU1219" s="74"/>
      <c r="AV1219" s="74"/>
      <c r="AW1219" s="74"/>
      <c r="AX1219" s="74"/>
      <c r="AY1219" s="74"/>
      <c r="AZ1219" s="74"/>
      <c r="BA1219" s="74"/>
      <c r="BB1219" s="74"/>
      <c r="BC1219" s="170"/>
      <c r="BD1219" s="156"/>
      <c r="BE1219" s="156"/>
      <c r="BF1219" s="299"/>
      <c r="BG1219" s="74"/>
      <c r="BH1219" s="74"/>
      <c r="BI1219" s="74"/>
      <c r="BJ1219" s="74"/>
      <c r="BK1219" s="74"/>
      <c r="BL1219" s="74"/>
      <c r="BM1219" s="74"/>
      <c r="BN1219" s="74"/>
      <c r="BO1219" s="74"/>
      <c r="BP1219" s="74"/>
      <c r="BQ1219" s="74"/>
      <c r="BR1219" s="74"/>
      <c r="BS1219" s="74"/>
      <c r="BT1219" s="74"/>
      <c r="BU1219" s="74"/>
      <c r="BV1219" s="74"/>
      <c r="BW1219" s="74"/>
      <c r="BX1219" s="74"/>
      <c r="BY1219" s="63"/>
      <c r="BZ1219" s="63"/>
    </row>
    <row r="1220" ht="15.75" customHeight="1">
      <c r="A1220" s="201"/>
      <c r="B1220" s="74"/>
      <c r="C1220" s="74"/>
      <c r="D1220" s="74"/>
      <c r="E1220" s="156"/>
      <c r="F1220" s="78">
        <v>0.0</v>
      </c>
      <c r="G1220" s="44" t="str">
        <f t="shared" si="35"/>
        <v>$0 a $100'000.000</v>
      </c>
      <c r="H1220" s="44"/>
      <c r="I1220" s="44"/>
      <c r="J1220" s="74"/>
      <c r="K1220" s="359"/>
      <c r="L1220" s="74"/>
      <c r="M1220" s="74"/>
      <c r="N1220" s="74"/>
      <c r="O1220" s="74"/>
      <c r="P1220" s="74"/>
      <c r="Q1220" s="74"/>
      <c r="R1220" s="362"/>
      <c r="S1220" s="56" t="str">
        <f t="shared" si="36"/>
        <v> </v>
      </c>
      <c r="T1220" s="74"/>
      <c r="U1220" s="359"/>
      <c r="V1220" s="74"/>
      <c r="W1220" s="74"/>
      <c r="X1220" s="74"/>
      <c r="Y1220" s="74"/>
      <c r="Z1220" s="364"/>
      <c r="AA1220" s="59" t="str">
        <f>IF(Rentabilidad=0,"No aplica",TEXT(ROUND(Precio/Rentabilidad/12,0),0) &amp; " años")</f>
        <v>No aplica</v>
      </c>
      <c r="AB1220" s="360"/>
      <c r="AC1220" s="61"/>
      <c r="AD1220" s="62"/>
      <c r="AE1220" s="63"/>
      <c r="AF1220" s="156"/>
      <c r="AG1220" s="63"/>
      <c r="AH1220" s="63"/>
      <c r="AI1220" s="74"/>
      <c r="AJ1220" s="156"/>
      <c r="AK1220" s="74"/>
      <c r="AL1220" s="156"/>
      <c r="AM1220" s="74"/>
      <c r="AN1220" s="156"/>
      <c r="AO1220" s="74"/>
      <c r="AP1220" s="363"/>
      <c r="AQ1220" s="363"/>
      <c r="AR1220" s="363"/>
      <c r="AS1220" s="74"/>
      <c r="AT1220" s="74"/>
      <c r="AU1220" s="74"/>
      <c r="AV1220" s="74"/>
      <c r="AW1220" s="74"/>
      <c r="AX1220" s="74"/>
      <c r="AY1220" s="74"/>
      <c r="AZ1220" s="74"/>
      <c r="BA1220" s="74"/>
      <c r="BB1220" s="74"/>
      <c r="BC1220" s="170"/>
      <c r="BD1220" s="156"/>
      <c r="BE1220" s="156"/>
      <c r="BF1220" s="299"/>
      <c r="BG1220" s="74"/>
      <c r="BH1220" s="74"/>
      <c r="BI1220" s="74"/>
      <c r="BJ1220" s="74"/>
      <c r="BK1220" s="74"/>
      <c r="BL1220" s="74"/>
      <c r="BM1220" s="74"/>
      <c r="BN1220" s="74"/>
      <c r="BO1220" s="74"/>
      <c r="BP1220" s="74"/>
      <c r="BQ1220" s="74"/>
      <c r="BR1220" s="74"/>
      <c r="BS1220" s="74"/>
      <c r="BT1220" s="74"/>
      <c r="BU1220" s="74"/>
      <c r="BV1220" s="74"/>
      <c r="BW1220" s="74"/>
      <c r="BX1220" s="74"/>
      <c r="BY1220" s="63"/>
      <c r="BZ1220" s="63"/>
    </row>
    <row r="1221" ht="15.75" customHeight="1">
      <c r="A1221" s="201"/>
      <c r="B1221" s="74"/>
      <c r="C1221" s="74"/>
      <c r="D1221" s="74"/>
      <c r="E1221" s="156"/>
      <c r="F1221" s="78">
        <v>0.0</v>
      </c>
      <c r="G1221" s="44" t="str">
        <f t="shared" si="35"/>
        <v>$0 a $100'000.000</v>
      </c>
      <c r="H1221" s="44"/>
      <c r="I1221" s="44"/>
      <c r="J1221" s="74"/>
      <c r="K1221" s="359"/>
      <c r="L1221" s="74"/>
      <c r="M1221" s="74"/>
      <c r="N1221" s="74"/>
      <c r="O1221" s="74"/>
      <c r="P1221" s="74"/>
      <c r="Q1221" s="74"/>
      <c r="R1221" s="362"/>
      <c r="S1221" s="56" t="str">
        <f t="shared" si="36"/>
        <v> </v>
      </c>
      <c r="T1221" s="74"/>
      <c r="U1221" s="359"/>
      <c r="V1221" s="74"/>
      <c r="W1221" s="74"/>
      <c r="X1221" s="74"/>
      <c r="Y1221" s="74"/>
      <c r="Z1221" s="364"/>
      <c r="AA1221" s="59" t="str">
        <f>IF(Rentabilidad=0,"No aplica",TEXT(ROUND(Precio/Rentabilidad/12,0),0) &amp; " años")</f>
        <v>No aplica</v>
      </c>
      <c r="AB1221" s="360"/>
      <c r="AC1221" s="61"/>
      <c r="AD1221" s="62"/>
      <c r="AE1221" s="63"/>
      <c r="AF1221" s="156"/>
      <c r="AG1221" s="63"/>
      <c r="AH1221" s="63"/>
      <c r="AI1221" s="74"/>
      <c r="AJ1221" s="156"/>
      <c r="AK1221" s="74"/>
      <c r="AL1221" s="156"/>
      <c r="AM1221" s="74"/>
      <c r="AN1221" s="156"/>
      <c r="AO1221" s="74"/>
      <c r="AP1221" s="363"/>
      <c r="AQ1221" s="363"/>
      <c r="AR1221" s="363"/>
      <c r="AS1221" s="74"/>
      <c r="AT1221" s="74"/>
      <c r="AU1221" s="74"/>
      <c r="AV1221" s="74"/>
      <c r="AW1221" s="74"/>
      <c r="AX1221" s="74"/>
      <c r="AY1221" s="74"/>
      <c r="AZ1221" s="74"/>
      <c r="BA1221" s="74"/>
      <c r="BB1221" s="74"/>
      <c r="BC1221" s="170"/>
      <c r="BD1221" s="156"/>
      <c r="BE1221" s="156"/>
      <c r="BF1221" s="299"/>
      <c r="BG1221" s="74"/>
      <c r="BH1221" s="74"/>
      <c r="BI1221" s="74"/>
      <c r="BJ1221" s="74"/>
      <c r="BK1221" s="74"/>
      <c r="BL1221" s="74"/>
      <c r="BM1221" s="74"/>
      <c r="BN1221" s="74"/>
      <c r="BO1221" s="74"/>
      <c r="BP1221" s="74"/>
      <c r="BQ1221" s="74"/>
      <c r="BR1221" s="74"/>
      <c r="BS1221" s="74"/>
      <c r="BT1221" s="74"/>
      <c r="BU1221" s="74"/>
      <c r="BV1221" s="74"/>
      <c r="BW1221" s="74"/>
      <c r="BX1221" s="74"/>
      <c r="BY1221" s="63"/>
      <c r="BZ1221" s="63"/>
    </row>
    <row r="1222" ht="15.75" customHeight="1">
      <c r="A1222" s="201"/>
      <c r="B1222" s="74"/>
      <c r="C1222" s="74"/>
      <c r="D1222" s="74"/>
      <c r="E1222" s="156"/>
      <c r="F1222" s="78">
        <v>0.0</v>
      </c>
      <c r="G1222" s="44" t="str">
        <f t="shared" si="35"/>
        <v>$0 a $100'000.000</v>
      </c>
      <c r="H1222" s="44"/>
      <c r="I1222" s="44"/>
      <c r="J1222" s="74"/>
      <c r="K1222" s="359"/>
      <c r="L1222" s="74"/>
      <c r="M1222" s="74"/>
      <c r="N1222" s="74"/>
      <c r="O1222" s="74"/>
      <c r="P1222" s="74"/>
      <c r="Q1222" s="74"/>
      <c r="R1222" s="362"/>
      <c r="S1222" s="56" t="str">
        <f t="shared" si="36"/>
        <v> </v>
      </c>
      <c r="T1222" s="74"/>
      <c r="U1222" s="359"/>
      <c r="V1222" s="74"/>
      <c r="W1222" s="74"/>
      <c r="X1222" s="74"/>
      <c r="Y1222" s="74"/>
      <c r="Z1222" s="364"/>
      <c r="AA1222" s="59" t="str">
        <f>IF(Rentabilidad=0,"No aplica",TEXT(ROUND(Precio/Rentabilidad/12,0),0) &amp; " años")</f>
        <v>No aplica</v>
      </c>
      <c r="AB1222" s="360"/>
      <c r="AC1222" s="61"/>
      <c r="AD1222" s="62"/>
      <c r="AE1222" s="63"/>
      <c r="AF1222" s="156"/>
      <c r="AG1222" s="63"/>
      <c r="AH1222" s="63"/>
      <c r="AI1222" s="74"/>
      <c r="AJ1222" s="156"/>
      <c r="AK1222" s="74"/>
      <c r="AL1222" s="156"/>
      <c r="AM1222" s="74"/>
      <c r="AN1222" s="156"/>
      <c r="AO1222" s="74"/>
      <c r="AP1222" s="363"/>
      <c r="AQ1222" s="363"/>
      <c r="AR1222" s="363"/>
      <c r="AS1222" s="74"/>
      <c r="AT1222" s="74"/>
      <c r="AU1222" s="74"/>
      <c r="AV1222" s="74"/>
      <c r="AW1222" s="74"/>
      <c r="AX1222" s="74"/>
      <c r="AY1222" s="74"/>
      <c r="AZ1222" s="74"/>
      <c r="BA1222" s="74"/>
      <c r="BB1222" s="74"/>
      <c r="BC1222" s="170"/>
      <c r="BD1222" s="156"/>
      <c r="BE1222" s="156"/>
      <c r="BF1222" s="299"/>
      <c r="BG1222" s="74"/>
      <c r="BH1222" s="74"/>
      <c r="BI1222" s="74"/>
      <c r="BJ1222" s="74"/>
      <c r="BK1222" s="74"/>
      <c r="BL1222" s="74"/>
      <c r="BM1222" s="74"/>
      <c r="BN1222" s="74"/>
      <c r="BO1222" s="74"/>
      <c r="BP1222" s="74"/>
      <c r="BQ1222" s="74"/>
      <c r="BR1222" s="74"/>
      <c r="BS1222" s="74"/>
      <c r="BT1222" s="74"/>
      <c r="BU1222" s="74"/>
      <c r="BV1222" s="74"/>
      <c r="BW1222" s="74"/>
      <c r="BX1222" s="74"/>
      <c r="BY1222" s="63"/>
      <c r="BZ1222" s="63"/>
    </row>
    <row r="1223" ht="15.75" customHeight="1">
      <c r="A1223" s="201"/>
      <c r="B1223" s="74"/>
      <c r="C1223" s="74"/>
      <c r="D1223" s="74"/>
      <c r="E1223" s="156"/>
      <c r="F1223" s="78">
        <v>0.0</v>
      </c>
      <c r="G1223" s="44" t="str">
        <f t="shared" si="35"/>
        <v>$0 a $100'000.000</v>
      </c>
      <c r="H1223" s="44"/>
      <c r="I1223" s="44"/>
      <c r="J1223" s="74"/>
      <c r="K1223" s="359"/>
      <c r="L1223" s="74"/>
      <c r="M1223" s="74"/>
      <c r="N1223" s="74"/>
      <c r="O1223" s="74"/>
      <c r="P1223" s="74"/>
      <c r="Q1223" s="74"/>
      <c r="R1223" s="362"/>
      <c r="S1223" s="56" t="str">
        <f t="shared" si="36"/>
        <v> </v>
      </c>
      <c r="T1223" s="74"/>
      <c r="U1223" s="359"/>
      <c r="V1223" s="74"/>
      <c r="W1223" s="74"/>
      <c r="X1223" s="74"/>
      <c r="Y1223" s="74"/>
      <c r="Z1223" s="364"/>
      <c r="AA1223" s="59" t="str">
        <f>IF(Rentabilidad=0,"No aplica",TEXT(ROUND(Precio/Rentabilidad/12,0),0) &amp; " años")</f>
        <v>No aplica</v>
      </c>
      <c r="AB1223" s="360"/>
      <c r="AC1223" s="61"/>
      <c r="AD1223" s="62"/>
      <c r="AE1223" s="63"/>
      <c r="AF1223" s="156"/>
      <c r="AG1223" s="63"/>
      <c r="AH1223" s="63"/>
      <c r="AI1223" s="74"/>
      <c r="AJ1223" s="156"/>
      <c r="AK1223" s="74"/>
      <c r="AL1223" s="156"/>
      <c r="AM1223" s="74"/>
      <c r="AN1223" s="156"/>
      <c r="AO1223" s="74"/>
      <c r="AP1223" s="363"/>
      <c r="AQ1223" s="363"/>
      <c r="AR1223" s="363"/>
      <c r="AS1223" s="74"/>
      <c r="AT1223" s="74"/>
      <c r="AU1223" s="74"/>
      <c r="AV1223" s="74"/>
      <c r="AW1223" s="74"/>
      <c r="AX1223" s="74"/>
      <c r="AY1223" s="74"/>
      <c r="AZ1223" s="74"/>
      <c r="BA1223" s="74"/>
      <c r="BB1223" s="74"/>
      <c r="BC1223" s="170"/>
      <c r="BD1223" s="156"/>
      <c r="BE1223" s="156"/>
      <c r="BF1223" s="299"/>
      <c r="BG1223" s="74"/>
      <c r="BH1223" s="74"/>
      <c r="BI1223" s="74"/>
      <c r="BJ1223" s="74"/>
      <c r="BK1223" s="74"/>
      <c r="BL1223" s="74"/>
      <c r="BM1223" s="74"/>
      <c r="BN1223" s="74"/>
      <c r="BO1223" s="74"/>
      <c r="BP1223" s="74"/>
      <c r="BQ1223" s="74"/>
      <c r="BR1223" s="74"/>
      <c r="BS1223" s="74"/>
      <c r="BT1223" s="74"/>
      <c r="BU1223" s="74"/>
      <c r="BV1223" s="74"/>
      <c r="BW1223" s="74"/>
      <c r="BX1223" s="74"/>
      <c r="BY1223" s="63"/>
      <c r="BZ1223" s="63"/>
    </row>
    <row r="1224" ht="15.75" customHeight="1">
      <c r="A1224" s="201"/>
      <c r="B1224" s="74"/>
      <c r="C1224" s="74"/>
      <c r="D1224" s="74"/>
      <c r="E1224" s="156"/>
      <c r="F1224" s="78">
        <v>0.0</v>
      </c>
      <c r="G1224" s="44" t="str">
        <f t="shared" si="35"/>
        <v>$0 a $100'000.000</v>
      </c>
      <c r="H1224" s="44"/>
      <c r="I1224" s="44"/>
      <c r="J1224" s="74"/>
      <c r="K1224" s="359"/>
      <c r="L1224" s="74"/>
      <c r="M1224" s="74"/>
      <c r="N1224" s="74"/>
      <c r="O1224" s="74"/>
      <c r="P1224" s="74"/>
      <c r="Q1224" s="74"/>
      <c r="R1224" s="362"/>
      <c r="S1224" s="56" t="str">
        <f t="shared" si="36"/>
        <v> </v>
      </c>
      <c r="T1224" s="74"/>
      <c r="U1224" s="359"/>
      <c r="V1224" s="74"/>
      <c r="W1224" s="74"/>
      <c r="X1224" s="74"/>
      <c r="Y1224" s="74"/>
      <c r="Z1224" s="364"/>
      <c r="AA1224" s="59" t="str">
        <f>IF(Rentabilidad=0,"No aplica",TEXT(ROUND(Precio/Rentabilidad/12,0),0) &amp; " años")</f>
        <v>No aplica</v>
      </c>
      <c r="AB1224" s="360"/>
      <c r="AC1224" s="61"/>
      <c r="AD1224" s="62"/>
      <c r="AE1224" s="63"/>
      <c r="AF1224" s="156"/>
      <c r="AG1224" s="63"/>
      <c r="AH1224" s="63"/>
      <c r="AI1224" s="74"/>
      <c r="AJ1224" s="156"/>
      <c r="AK1224" s="74"/>
      <c r="AL1224" s="156"/>
      <c r="AM1224" s="74"/>
      <c r="AN1224" s="156"/>
      <c r="AO1224" s="74"/>
      <c r="AP1224" s="363"/>
      <c r="AQ1224" s="363"/>
      <c r="AR1224" s="363"/>
      <c r="AS1224" s="74"/>
      <c r="AT1224" s="74"/>
      <c r="AU1224" s="74"/>
      <c r="AV1224" s="74"/>
      <c r="AW1224" s="74"/>
      <c r="AX1224" s="74"/>
      <c r="AY1224" s="74"/>
      <c r="AZ1224" s="74"/>
      <c r="BA1224" s="74"/>
      <c r="BB1224" s="74"/>
      <c r="BC1224" s="170"/>
      <c r="BD1224" s="156"/>
      <c r="BE1224" s="156"/>
      <c r="BF1224" s="299"/>
      <c r="BG1224" s="74"/>
      <c r="BH1224" s="74"/>
      <c r="BI1224" s="74"/>
      <c r="BJ1224" s="74"/>
      <c r="BK1224" s="74"/>
      <c r="BL1224" s="74"/>
      <c r="BM1224" s="74"/>
      <c r="BN1224" s="74"/>
      <c r="BO1224" s="74"/>
      <c r="BP1224" s="74"/>
      <c r="BQ1224" s="74"/>
      <c r="BR1224" s="74"/>
      <c r="BS1224" s="74"/>
      <c r="BT1224" s="74"/>
      <c r="BU1224" s="74"/>
      <c r="BV1224" s="74"/>
      <c r="BW1224" s="74"/>
      <c r="BX1224" s="74"/>
      <c r="BY1224" s="63"/>
      <c r="BZ1224" s="63"/>
    </row>
    <row r="1225" ht="15.75" customHeight="1">
      <c r="A1225" s="201"/>
      <c r="B1225" s="74"/>
      <c r="C1225" s="74"/>
      <c r="D1225" s="74"/>
      <c r="E1225" s="156"/>
      <c r="F1225" s="78">
        <v>0.0</v>
      </c>
      <c r="G1225" s="44" t="str">
        <f t="shared" si="35"/>
        <v>$0 a $100'000.000</v>
      </c>
      <c r="H1225" s="44"/>
      <c r="I1225" s="44"/>
      <c r="J1225" s="74"/>
      <c r="K1225" s="359"/>
      <c r="L1225" s="74"/>
      <c r="M1225" s="74"/>
      <c r="N1225" s="74"/>
      <c r="O1225" s="74"/>
      <c r="P1225" s="74"/>
      <c r="Q1225" s="74"/>
      <c r="R1225" s="362"/>
      <c r="S1225" s="56" t="str">
        <f t="shared" si="36"/>
        <v> </v>
      </c>
      <c r="T1225" s="74"/>
      <c r="U1225" s="359"/>
      <c r="V1225" s="74"/>
      <c r="W1225" s="74"/>
      <c r="X1225" s="74"/>
      <c r="Y1225" s="74"/>
      <c r="Z1225" s="364"/>
      <c r="AA1225" s="59" t="str">
        <f>IF(Rentabilidad=0,"No aplica",TEXT(ROUND(Precio/Rentabilidad/12,0),0) &amp; " años")</f>
        <v>No aplica</v>
      </c>
      <c r="AB1225" s="360"/>
      <c r="AC1225" s="61"/>
      <c r="AD1225" s="62"/>
      <c r="AE1225" s="63"/>
      <c r="AF1225" s="156"/>
      <c r="AG1225" s="63"/>
      <c r="AH1225" s="63"/>
      <c r="AI1225" s="74"/>
      <c r="AJ1225" s="156"/>
      <c r="AK1225" s="74"/>
      <c r="AL1225" s="156"/>
      <c r="AM1225" s="74"/>
      <c r="AN1225" s="156"/>
      <c r="AO1225" s="74"/>
      <c r="AP1225" s="363"/>
      <c r="AQ1225" s="363"/>
      <c r="AR1225" s="363"/>
      <c r="AS1225" s="74"/>
      <c r="AT1225" s="74"/>
      <c r="AU1225" s="74"/>
      <c r="AV1225" s="74"/>
      <c r="AW1225" s="74"/>
      <c r="AX1225" s="74"/>
      <c r="AY1225" s="74"/>
      <c r="AZ1225" s="74"/>
      <c r="BA1225" s="74"/>
      <c r="BB1225" s="74"/>
      <c r="BC1225" s="170"/>
      <c r="BD1225" s="156"/>
      <c r="BE1225" s="156"/>
      <c r="BF1225" s="299"/>
      <c r="BG1225" s="74"/>
      <c r="BH1225" s="74"/>
      <c r="BI1225" s="74"/>
      <c r="BJ1225" s="74"/>
      <c r="BK1225" s="74"/>
      <c r="BL1225" s="74"/>
      <c r="BM1225" s="74"/>
      <c r="BN1225" s="74"/>
      <c r="BO1225" s="74"/>
      <c r="BP1225" s="74"/>
      <c r="BQ1225" s="74"/>
      <c r="BR1225" s="74"/>
      <c r="BS1225" s="74"/>
      <c r="BT1225" s="74"/>
      <c r="BU1225" s="74"/>
      <c r="BV1225" s="74"/>
      <c r="BW1225" s="74"/>
      <c r="BX1225" s="74"/>
      <c r="BY1225" s="63"/>
      <c r="BZ1225" s="63"/>
    </row>
    <row r="1226" ht="15.75" customHeight="1">
      <c r="A1226" s="201"/>
      <c r="B1226" s="74"/>
      <c r="C1226" s="74"/>
      <c r="D1226" s="74"/>
      <c r="E1226" s="156"/>
      <c r="F1226" s="78">
        <v>0.0</v>
      </c>
      <c r="G1226" s="44" t="str">
        <f t="shared" si="35"/>
        <v>$0 a $100'000.000</v>
      </c>
      <c r="H1226" s="44"/>
      <c r="I1226" s="44"/>
      <c r="J1226" s="74"/>
      <c r="K1226" s="359"/>
      <c r="L1226" s="74"/>
      <c r="M1226" s="74"/>
      <c r="N1226" s="74"/>
      <c r="O1226" s="74"/>
      <c r="P1226" s="74"/>
      <c r="Q1226" s="74"/>
      <c r="R1226" s="362"/>
      <c r="S1226" s="56" t="str">
        <f t="shared" si="36"/>
        <v> </v>
      </c>
      <c r="T1226" s="74"/>
      <c r="U1226" s="359"/>
      <c r="V1226" s="74"/>
      <c r="W1226" s="74"/>
      <c r="X1226" s="74"/>
      <c r="Y1226" s="74"/>
      <c r="Z1226" s="364"/>
      <c r="AA1226" s="59" t="str">
        <f>IF(Rentabilidad=0,"No aplica",TEXT(ROUND(Precio/Rentabilidad/12,0),0) &amp; " años")</f>
        <v>No aplica</v>
      </c>
      <c r="AB1226" s="360"/>
      <c r="AC1226" s="61"/>
      <c r="AD1226" s="62"/>
      <c r="AE1226" s="63"/>
      <c r="AF1226" s="156"/>
      <c r="AG1226" s="63"/>
      <c r="AH1226" s="63"/>
      <c r="AI1226" s="74"/>
      <c r="AJ1226" s="156"/>
      <c r="AK1226" s="74"/>
      <c r="AL1226" s="156"/>
      <c r="AM1226" s="74"/>
      <c r="AN1226" s="156"/>
      <c r="AO1226" s="74"/>
      <c r="AP1226" s="363"/>
      <c r="AQ1226" s="363"/>
      <c r="AR1226" s="363"/>
      <c r="AS1226" s="74"/>
      <c r="AT1226" s="74"/>
      <c r="AU1226" s="74"/>
      <c r="AV1226" s="74"/>
      <c r="AW1226" s="74"/>
      <c r="AX1226" s="74"/>
      <c r="AY1226" s="74"/>
      <c r="AZ1226" s="74"/>
      <c r="BA1226" s="74"/>
      <c r="BB1226" s="74"/>
      <c r="BC1226" s="170"/>
      <c r="BD1226" s="156"/>
      <c r="BE1226" s="156"/>
      <c r="BF1226" s="299"/>
      <c r="BG1226" s="74"/>
      <c r="BH1226" s="74"/>
      <c r="BI1226" s="74"/>
      <c r="BJ1226" s="74"/>
      <c r="BK1226" s="74"/>
      <c r="BL1226" s="74"/>
      <c r="BM1226" s="74"/>
      <c r="BN1226" s="74"/>
      <c r="BO1226" s="74"/>
      <c r="BP1226" s="74"/>
      <c r="BQ1226" s="74"/>
      <c r="BR1226" s="74"/>
      <c r="BS1226" s="74"/>
      <c r="BT1226" s="74"/>
      <c r="BU1226" s="74"/>
      <c r="BV1226" s="74"/>
      <c r="BW1226" s="74"/>
      <c r="BX1226" s="74"/>
      <c r="BY1226" s="63"/>
      <c r="BZ1226" s="63"/>
    </row>
    <row r="1227" ht="15.75" customHeight="1">
      <c r="A1227" s="201"/>
      <c r="B1227" s="74"/>
      <c r="C1227" s="74"/>
      <c r="D1227" s="74"/>
      <c r="E1227" s="156"/>
      <c r="F1227" s="78">
        <v>0.0</v>
      </c>
      <c r="G1227" s="44" t="str">
        <f t="shared" si="35"/>
        <v>$0 a $100'000.000</v>
      </c>
      <c r="H1227" s="44"/>
      <c r="I1227" s="44"/>
      <c r="J1227" s="74"/>
      <c r="K1227" s="359"/>
      <c r="L1227" s="74"/>
      <c r="M1227" s="74"/>
      <c r="N1227" s="74"/>
      <c r="O1227" s="74"/>
      <c r="P1227" s="74"/>
      <c r="Q1227" s="74"/>
      <c r="R1227" s="362"/>
      <c r="S1227" s="56" t="str">
        <f t="shared" si="36"/>
        <v> </v>
      </c>
      <c r="T1227" s="74"/>
      <c r="U1227" s="359"/>
      <c r="V1227" s="74"/>
      <c r="W1227" s="74"/>
      <c r="X1227" s="74"/>
      <c r="Y1227" s="74"/>
      <c r="Z1227" s="364"/>
      <c r="AA1227" s="59" t="str">
        <f>IF(Rentabilidad=0,"No aplica",TEXT(ROUND(Precio/Rentabilidad/12,0),0) &amp; " años")</f>
        <v>No aplica</v>
      </c>
      <c r="AB1227" s="360"/>
      <c r="AC1227" s="61"/>
      <c r="AD1227" s="62"/>
      <c r="AE1227" s="63"/>
      <c r="AF1227" s="156"/>
      <c r="AG1227" s="63"/>
      <c r="AH1227" s="63"/>
      <c r="AI1227" s="74"/>
      <c r="AJ1227" s="156"/>
      <c r="AK1227" s="74"/>
      <c r="AL1227" s="156"/>
      <c r="AM1227" s="74"/>
      <c r="AN1227" s="156"/>
      <c r="AO1227" s="74"/>
      <c r="AP1227" s="363"/>
      <c r="AQ1227" s="363"/>
      <c r="AR1227" s="363"/>
      <c r="AS1227" s="74"/>
      <c r="AT1227" s="74"/>
      <c r="AU1227" s="74"/>
      <c r="AV1227" s="74"/>
      <c r="AW1227" s="74"/>
      <c r="AX1227" s="74"/>
      <c r="AY1227" s="74"/>
      <c r="AZ1227" s="74"/>
      <c r="BA1227" s="74"/>
      <c r="BB1227" s="74"/>
      <c r="BC1227" s="170"/>
      <c r="BD1227" s="156"/>
      <c r="BE1227" s="156"/>
      <c r="BF1227" s="299"/>
      <c r="BG1227" s="74"/>
      <c r="BH1227" s="74"/>
      <c r="BI1227" s="74"/>
      <c r="BJ1227" s="74"/>
      <c r="BK1227" s="74"/>
      <c r="BL1227" s="74"/>
      <c r="BM1227" s="74"/>
      <c r="BN1227" s="74"/>
      <c r="BO1227" s="74"/>
      <c r="BP1227" s="74"/>
      <c r="BQ1227" s="74"/>
      <c r="BR1227" s="74"/>
      <c r="BS1227" s="74"/>
      <c r="BT1227" s="74"/>
      <c r="BU1227" s="74"/>
      <c r="BV1227" s="74"/>
      <c r="BW1227" s="74"/>
      <c r="BX1227" s="74"/>
      <c r="BY1227" s="63"/>
      <c r="BZ1227" s="63"/>
    </row>
    <row r="1228" ht="15.75" customHeight="1">
      <c r="A1228" s="201"/>
      <c r="B1228" s="74"/>
      <c r="C1228" s="74"/>
      <c r="D1228" s="74"/>
      <c r="E1228" s="156"/>
      <c r="F1228" s="78">
        <v>0.0</v>
      </c>
      <c r="G1228" s="44" t="str">
        <f t="shared" si="35"/>
        <v>$0 a $100'000.000</v>
      </c>
      <c r="H1228" s="44"/>
      <c r="I1228" s="44"/>
      <c r="J1228" s="74"/>
      <c r="K1228" s="359"/>
      <c r="L1228" s="74"/>
      <c r="M1228" s="74"/>
      <c r="N1228" s="74"/>
      <c r="O1228" s="74"/>
      <c r="P1228" s="74"/>
      <c r="Q1228" s="74"/>
      <c r="R1228" s="362"/>
      <c r="S1228" s="56" t="str">
        <f t="shared" si="36"/>
        <v> </v>
      </c>
      <c r="T1228" s="74"/>
      <c r="U1228" s="359"/>
      <c r="V1228" s="74"/>
      <c r="W1228" s="74"/>
      <c r="X1228" s="74"/>
      <c r="Y1228" s="74"/>
      <c r="Z1228" s="364"/>
      <c r="AA1228" s="59" t="str">
        <f>IF(Rentabilidad=0,"No aplica",TEXT(ROUND(Precio/Rentabilidad/12,0),0) &amp; " años")</f>
        <v>No aplica</v>
      </c>
      <c r="AB1228" s="360"/>
      <c r="AC1228" s="61"/>
      <c r="AD1228" s="62"/>
      <c r="AE1228" s="63"/>
      <c r="AF1228" s="156"/>
      <c r="AG1228" s="63"/>
      <c r="AH1228" s="63"/>
      <c r="AI1228" s="74"/>
      <c r="AJ1228" s="156"/>
      <c r="AK1228" s="74"/>
      <c r="AL1228" s="156"/>
      <c r="AM1228" s="74"/>
      <c r="AN1228" s="156"/>
      <c r="AO1228" s="74"/>
      <c r="AP1228" s="363"/>
      <c r="AQ1228" s="363"/>
      <c r="AR1228" s="363"/>
      <c r="AS1228" s="74"/>
      <c r="AT1228" s="74"/>
      <c r="AU1228" s="74"/>
      <c r="AV1228" s="74"/>
      <c r="AW1228" s="74"/>
      <c r="AX1228" s="74"/>
      <c r="AY1228" s="74"/>
      <c r="AZ1228" s="74"/>
      <c r="BA1228" s="74"/>
      <c r="BB1228" s="74"/>
      <c r="BC1228" s="170"/>
      <c r="BD1228" s="156"/>
      <c r="BE1228" s="156"/>
      <c r="BF1228" s="299"/>
      <c r="BG1228" s="74"/>
      <c r="BH1228" s="74"/>
      <c r="BI1228" s="74"/>
      <c r="BJ1228" s="74"/>
      <c r="BK1228" s="74"/>
      <c r="BL1228" s="74"/>
      <c r="BM1228" s="74"/>
      <c r="BN1228" s="74"/>
      <c r="BO1228" s="74"/>
      <c r="BP1228" s="74"/>
      <c r="BQ1228" s="74"/>
      <c r="BR1228" s="74"/>
      <c r="BS1228" s="74"/>
      <c r="BT1228" s="74"/>
      <c r="BU1228" s="74"/>
      <c r="BV1228" s="74"/>
      <c r="BW1228" s="74"/>
      <c r="BX1228" s="74"/>
      <c r="BY1228" s="63"/>
      <c r="BZ1228" s="63"/>
    </row>
    <row r="1229" ht="15.75" customHeight="1">
      <c r="A1229" s="201"/>
      <c r="B1229" s="74"/>
      <c r="C1229" s="74"/>
      <c r="D1229" s="74"/>
      <c r="E1229" s="156"/>
      <c r="F1229" s="78">
        <v>0.0</v>
      </c>
      <c r="G1229" s="44" t="str">
        <f t="shared" si="35"/>
        <v>$0 a $100'000.000</v>
      </c>
      <c r="H1229" s="44"/>
      <c r="I1229" s="44"/>
      <c r="J1229" s="74"/>
      <c r="K1229" s="359"/>
      <c r="L1229" s="74"/>
      <c r="M1229" s="74"/>
      <c r="N1229" s="74"/>
      <c r="O1229" s="74"/>
      <c r="P1229" s="74"/>
      <c r="Q1229" s="74"/>
      <c r="R1229" s="362"/>
      <c r="S1229" s="56" t="str">
        <f t="shared" si="36"/>
        <v> </v>
      </c>
      <c r="T1229" s="74"/>
      <c r="U1229" s="359"/>
      <c r="V1229" s="74"/>
      <c r="W1229" s="74"/>
      <c r="X1229" s="74"/>
      <c r="Y1229" s="74"/>
      <c r="Z1229" s="364"/>
      <c r="AA1229" s="59" t="str">
        <f>IF(Rentabilidad=0,"No aplica",TEXT(ROUND(Precio/Rentabilidad/12,0),0) &amp; " años")</f>
        <v>No aplica</v>
      </c>
      <c r="AB1229" s="360"/>
      <c r="AC1229" s="61"/>
      <c r="AD1229" s="62"/>
      <c r="AE1229" s="63"/>
      <c r="AF1229" s="156"/>
      <c r="AG1229" s="63"/>
      <c r="AH1229" s="63"/>
      <c r="AI1229" s="74"/>
      <c r="AJ1229" s="156"/>
      <c r="AK1229" s="74"/>
      <c r="AL1229" s="156"/>
      <c r="AM1229" s="74"/>
      <c r="AN1229" s="156"/>
      <c r="AO1229" s="74"/>
      <c r="AP1229" s="363"/>
      <c r="AQ1229" s="363"/>
      <c r="AR1229" s="363"/>
      <c r="AS1229" s="74"/>
      <c r="AT1229" s="74"/>
      <c r="AU1229" s="74"/>
      <c r="AV1229" s="74"/>
      <c r="AW1229" s="74"/>
      <c r="AX1229" s="74"/>
      <c r="AY1229" s="74"/>
      <c r="AZ1229" s="74"/>
      <c r="BA1229" s="74"/>
      <c r="BB1229" s="74"/>
      <c r="BC1229" s="170"/>
      <c r="BD1229" s="156"/>
      <c r="BE1229" s="156"/>
      <c r="BF1229" s="299"/>
      <c r="BG1229" s="74"/>
      <c r="BH1229" s="74"/>
      <c r="BI1229" s="74"/>
      <c r="BJ1229" s="74"/>
      <c r="BK1229" s="74"/>
      <c r="BL1229" s="74"/>
      <c r="BM1229" s="74"/>
      <c r="BN1229" s="74"/>
      <c r="BO1229" s="74"/>
      <c r="BP1229" s="74"/>
      <c r="BQ1229" s="74"/>
      <c r="BR1229" s="74"/>
      <c r="BS1229" s="74"/>
      <c r="BT1229" s="74"/>
      <c r="BU1229" s="74"/>
      <c r="BV1229" s="74"/>
      <c r="BW1229" s="74"/>
      <c r="BX1229" s="74"/>
      <c r="BY1229" s="63"/>
      <c r="BZ1229" s="63"/>
    </row>
    <row r="1230" ht="15.75" customHeight="1">
      <c r="A1230" s="201"/>
      <c r="B1230" s="74"/>
      <c r="C1230" s="74"/>
      <c r="D1230" s="74"/>
      <c r="E1230" s="156"/>
      <c r="F1230" s="78">
        <v>0.0</v>
      </c>
      <c r="G1230" s="44" t="str">
        <f t="shared" si="35"/>
        <v>$0 a $100'000.000</v>
      </c>
      <c r="H1230" s="44"/>
      <c r="I1230" s="44"/>
      <c r="J1230" s="74"/>
      <c r="K1230" s="359"/>
      <c r="L1230" s="74"/>
      <c r="M1230" s="74"/>
      <c r="N1230" s="74"/>
      <c r="O1230" s="74"/>
      <c r="P1230" s="74"/>
      <c r="Q1230" s="74"/>
      <c r="R1230" s="362"/>
      <c r="S1230" s="56" t="str">
        <f t="shared" si="36"/>
        <v> </v>
      </c>
      <c r="T1230" s="74"/>
      <c r="U1230" s="359"/>
      <c r="V1230" s="74"/>
      <c r="W1230" s="74"/>
      <c r="X1230" s="74"/>
      <c r="Y1230" s="74"/>
      <c r="Z1230" s="364"/>
      <c r="AA1230" s="59" t="str">
        <f>IF(Rentabilidad=0,"No aplica",TEXT(ROUND(Precio/Rentabilidad/12,0),0) &amp; " años")</f>
        <v>No aplica</v>
      </c>
      <c r="AB1230" s="360"/>
      <c r="AC1230" s="61"/>
      <c r="AD1230" s="62"/>
      <c r="AE1230" s="63"/>
      <c r="AF1230" s="156"/>
      <c r="AG1230" s="63"/>
      <c r="AH1230" s="63"/>
      <c r="AI1230" s="74"/>
      <c r="AJ1230" s="156"/>
      <c r="AK1230" s="74"/>
      <c r="AL1230" s="156"/>
      <c r="AM1230" s="74"/>
      <c r="AN1230" s="156"/>
      <c r="AO1230" s="74"/>
      <c r="AP1230" s="363"/>
      <c r="AQ1230" s="363"/>
      <c r="AR1230" s="363"/>
      <c r="AS1230" s="74"/>
      <c r="AT1230" s="74"/>
      <c r="AU1230" s="74"/>
      <c r="AV1230" s="74"/>
      <c r="AW1230" s="74"/>
      <c r="AX1230" s="74"/>
      <c r="AY1230" s="74"/>
      <c r="AZ1230" s="74"/>
      <c r="BA1230" s="74"/>
      <c r="BB1230" s="74"/>
      <c r="BC1230" s="170"/>
      <c r="BD1230" s="156"/>
      <c r="BE1230" s="156"/>
      <c r="BF1230" s="299"/>
      <c r="BG1230" s="74"/>
      <c r="BH1230" s="74"/>
      <c r="BI1230" s="74"/>
      <c r="BJ1230" s="74"/>
      <c r="BK1230" s="74"/>
      <c r="BL1230" s="74"/>
      <c r="BM1230" s="74"/>
      <c r="BN1230" s="74"/>
      <c r="BO1230" s="74"/>
      <c r="BP1230" s="74"/>
      <c r="BQ1230" s="74"/>
      <c r="BR1230" s="74"/>
      <c r="BS1230" s="74"/>
      <c r="BT1230" s="74"/>
      <c r="BU1230" s="74"/>
      <c r="BV1230" s="74"/>
      <c r="BW1230" s="74"/>
      <c r="BX1230" s="74"/>
      <c r="BY1230" s="63"/>
      <c r="BZ1230" s="63"/>
    </row>
    <row r="1231" ht="15.75" customHeight="1">
      <c r="A1231" s="201"/>
      <c r="B1231" s="74"/>
      <c r="C1231" s="74"/>
      <c r="D1231" s="74"/>
      <c r="E1231" s="156"/>
      <c r="F1231" s="78">
        <v>0.0</v>
      </c>
      <c r="G1231" s="44" t="str">
        <f t="shared" si="35"/>
        <v>$0 a $100'000.000</v>
      </c>
      <c r="H1231" s="44"/>
      <c r="I1231" s="44"/>
      <c r="J1231" s="74"/>
      <c r="K1231" s="359"/>
      <c r="L1231" s="74"/>
      <c r="M1231" s="74"/>
      <c r="N1231" s="74"/>
      <c r="O1231" s="74"/>
      <c r="P1231" s="74"/>
      <c r="Q1231" s="74"/>
      <c r="R1231" s="362"/>
      <c r="S1231" s="56" t="str">
        <f t="shared" si="36"/>
        <v> </v>
      </c>
      <c r="T1231" s="74"/>
      <c r="U1231" s="359"/>
      <c r="V1231" s="74"/>
      <c r="W1231" s="74"/>
      <c r="X1231" s="74"/>
      <c r="Y1231" s="74"/>
      <c r="Z1231" s="364"/>
      <c r="AA1231" s="59" t="str">
        <f>IF(Rentabilidad=0,"No aplica",TEXT(ROUND(Precio/Rentabilidad/12,0),0) &amp; " años")</f>
        <v>No aplica</v>
      </c>
      <c r="AB1231" s="360"/>
      <c r="AC1231" s="61"/>
      <c r="AD1231" s="62"/>
      <c r="AE1231" s="63"/>
      <c r="AF1231" s="156"/>
      <c r="AG1231" s="63"/>
      <c r="AH1231" s="63"/>
      <c r="AI1231" s="74"/>
      <c r="AJ1231" s="156"/>
      <c r="AK1231" s="74"/>
      <c r="AL1231" s="156"/>
      <c r="AM1231" s="74"/>
      <c r="AN1231" s="156"/>
      <c r="AO1231" s="74"/>
      <c r="AP1231" s="363"/>
      <c r="AQ1231" s="363"/>
      <c r="AR1231" s="363"/>
      <c r="AS1231" s="74"/>
      <c r="AT1231" s="74"/>
      <c r="AU1231" s="74"/>
      <c r="AV1231" s="74"/>
      <c r="AW1231" s="74"/>
      <c r="AX1231" s="74"/>
      <c r="AY1231" s="74"/>
      <c r="AZ1231" s="74"/>
      <c r="BA1231" s="74"/>
      <c r="BB1231" s="74"/>
      <c r="BC1231" s="170"/>
      <c r="BD1231" s="156"/>
      <c r="BE1231" s="156"/>
      <c r="BF1231" s="299"/>
      <c r="BG1231" s="74"/>
      <c r="BH1231" s="74"/>
      <c r="BI1231" s="74"/>
      <c r="BJ1231" s="74"/>
      <c r="BK1231" s="74"/>
      <c r="BL1231" s="74"/>
      <c r="BM1231" s="74"/>
      <c r="BN1231" s="74"/>
      <c r="BO1231" s="74"/>
      <c r="BP1231" s="74"/>
      <c r="BQ1231" s="74"/>
      <c r="BR1231" s="74"/>
      <c r="BS1231" s="74"/>
      <c r="BT1231" s="74"/>
      <c r="BU1231" s="74"/>
      <c r="BV1231" s="74"/>
      <c r="BW1231" s="74"/>
      <c r="BX1231" s="74"/>
      <c r="BY1231" s="63"/>
      <c r="BZ1231" s="63"/>
    </row>
    <row r="1232" ht="15.75" customHeight="1">
      <c r="A1232" s="201"/>
      <c r="B1232" s="74"/>
      <c r="C1232" s="74"/>
      <c r="D1232" s="74"/>
      <c r="E1232" s="156"/>
      <c r="F1232" s="78">
        <v>0.0</v>
      </c>
      <c r="G1232" s="44" t="str">
        <f t="shared" si="35"/>
        <v>$0 a $100'000.000</v>
      </c>
      <c r="H1232" s="44"/>
      <c r="I1232" s="44"/>
      <c r="J1232" s="74"/>
      <c r="K1232" s="359"/>
      <c r="L1232" s="74"/>
      <c r="M1232" s="74"/>
      <c r="N1232" s="74"/>
      <c r="O1232" s="74"/>
      <c r="P1232" s="74"/>
      <c r="Q1232" s="74"/>
      <c r="R1232" s="362"/>
      <c r="S1232" s="56" t="str">
        <f t="shared" si="36"/>
        <v> </v>
      </c>
      <c r="T1232" s="74"/>
      <c r="U1232" s="359"/>
      <c r="V1232" s="74"/>
      <c r="W1232" s="74"/>
      <c r="X1232" s="74"/>
      <c r="Y1232" s="74"/>
      <c r="Z1232" s="364"/>
      <c r="AA1232" s="59" t="str">
        <f>IF(Rentabilidad=0,"No aplica",TEXT(ROUND(Precio/Rentabilidad/12,0),0) &amp; " años")</f>
        <v>No aplica</v>
      </c>
      <c r="AB1232" s="360"/>
      <c r="AC1232" s="61"/>
      <c r="AD1232" s="62"/>
      <c r="AE1232" s="63"/>
      <c r="AF1232" s="156"/>
      <c r="AG1232" s="63"/>
      <c r="AH1232" s="63"/>
      <c r="AI1232" s="74"/>
      <c r="AJ1232" s="156"/>
      <c r="AK1232" s="74"/>
      <c r="AL1232" s="156"/>
      <c r="AM1232" s="74"/>
      <c r="AN1232" s="156"/>
      <c r="AO1232" s="74"/>
      <c r="AP1232" s="363"/>
      <c r="AQ1232" s="363"/>
      <c r="AR1232" s="363"/>
      <c r="AS1232" s="74"/>
      <c r="AT1232" s="74"/>
      <c r="AU1232" s="74"/>
      <c r="AV1232" s="74"/>
      <c r="AW1232" s="74"/>
      <c r="AX1232" s="74"/>
      <c r="AY1232" s="74"/>
      <c r="AZ1232" s="74"/>
      <c r="BA1232" s="74"/>
      <c r="BB1232" s="74"/>
      <c r="BC1232" s="170"/>
      <c r="BD1232" s="156"/>
      <c r="BE1232" s="156"/>
      <c r="BF1232" s="299"/>
      <c r="BG1232" s="74"/>
      <c r="BH1232" s="74"/>
      <c r="BI1232" s="74"/>
      <c r="BJ1232" s="74"/>
      <c r="BK1232" s="74"/>
      <c r="BL1232" s="74"/>
      <c r="BM1232" s="74"/>
      <c r="BN1232" s="74"/>
      <c r="BO1232" s="74"/>
      <c r="BP1232" s="74"/>
      <c r="BQ1232" s="74"/>
      <c r="BR1232" s="74"/>
      <c r="BS1232" s="74"/>
      <c r="BT1232" s="74"/>
      <c r="BU1232" s="74"/>
      <c r="BV1232" s="74"/>
      <c r="BW1232" s="74"/>
      <c r="BX1232" s="74"/>
      <c r="BY1232" s="63"/>
      <c r="BZ1232" s="63"/>
    </row>
    <row r="1233" ht="15.75" customHeight="1">
      <c r="A1233" s="201"/>
      <c r="B1233" s="74"/>
      <c r="C1233" s="74"/>
      <c r="D1233" s="74"/>
      <c r="E1233" s="156"/>
      <c r="F1233" s="78">
        <v>0.0</v>
      </c>
      <c r="G1233" s="44" t="str">
        <f t="shared" si="35"/>
        <v>$0 a $100'000.000</v>
      </c>
      <c r="H1233" s="44"/>
      <c r="I1233" s="44"/>
      <c r="J1233" s="74"/>
      <c r="K1233" s="359"/>
      <c r="L1233" s="74"/>
      <c r="M1233" s="74"/>
      <c r="N1233" s="74"/>
      <c r="O1233" s="74"/>
      <c r="P1233" s="74"/>
      <c r="Q1233" s="74"/>
      <c r="R1233" s="362"/>
      <c r="S1233" s="56" t="str">
        <f t="shared" si="36"/>
        <v> </v>
      </c>
      <c r="T1233" s="74"/>
      <c r="U1233" s="359"/>
      <c r="V1233" s="74"/>
      <c r="W1233" s="74"/>
      <c r="X1233" s="74"/>
      <c r="Y1233" s="74"/>
      <c r="Z1233" s="364"/>
      <c r="AA1233" s="59" t="str">
        <f>IF(Rentabilidad=0,"No aplica",TEXT(ROUND(Precio/Rentabilidad/12,0),0) &amp; " años")</f>
        <v>No aplica</v>
      </c>
      <c r="AB1233" s="360"/>
      <c r="AC1233" s="61"/>
      <c r="AD1233" s="62"/>
      <c r="AE1233" s="63"/>
      <c r="AF1233" s="156"/>
      <c r="AG1233" s="63"/>
      <c r="AH1233" s="63"/>
      <c r="AI1233" s="74"/>
      <c r="AJ1233" s="156"/>
      <c r="AK1233" s="74"/>
      <c r="AL1233" s="156"/>
      <c r="AM1233" s="74"/>
      <c r="AN1233" s="156"/>
      <c r="AO1233" s="74"/>
      <c r="AP1233" s="363"/>
      <c r="AQ1233" s="363"/>
      <c r="AR1233" s="363"/>
      <c r="AS1233" s="74"/>
      <c r="AT1233" s="74"/>
      <c r="AU1233" s="74"/>
      <c r="AV1233" s="74"/>
      <c r="AW1233" s="74"/>
      <c r="AX1233" s="74"/>
      <c r="AY1233" s="74"/>
      <c r="AZ1233" s="74"/>
      <c r="BA1233" s="74"/>
      <c r="BB1233" s="74"/>
      <c r="BC1233" s="170"/>
      <c r="BD1233" s="156"/>
      <c r="BE1233" s="156"/>
      <c r="BF1233" s="299"/>
      <c r="BG1233" s="74"/>
      <c r="BH1233" s="74"/>
      <c r="BI1233" s="74"/>
      <c r="BJ1233" s="74"/>
      <c r="BK1233" s="74"/>
      <c r="BL1233" s="74"/>
      <c r="BM1233" s="74"/>
      <c r="BN1233" s="74"/>
      <c r="BO1233" s="74"/>
      <c r="BP1233" s="74"/>
      <c r="BQ1233" s="74"/>
      <c r="BR1233" s="74"/>
      <c r="BS1233" s="74"/>
      <c r="BT1233" s="74"/>
      <c r="BU1233" s="74"/>
      <c r="BV1233" s="74"/>
      <c r="BW1233" s="74"/>
      <c r="BX1233" s="74"/>
      <c r="BY1233" s="63"/>
      <c r="BZ1233" s="63"/>
    </row>
    <row r="1234" ht="15.75" customHeight="1">
      <c r="A1234" s="201"/>
      <c r="B1234" s="74"/>
      <c r="C1234" s="74"/>
      <c r="D1234" s="74"/>
      <c r="E1234" s="156"/>
      <c r="F1234" s="78">
        <v>0.0</v>
      </c>
      <c r="G1234" s="44" t="str">
        <f t="shared" si="35"/>
        <v>$0 a $100'000.000</v>
      </c>
      <c r="H1234" s="44"/>
      <c r="I1234" s="44"/>
      <c r="J1234" s="74"/>
      <c r="K1234" s="359"/>
      <c r="L1234" s="74"/>
      <c r="M1234" s="74"/>
      <c r="N1234" s="74"/>
      <c r="O1234" s="74"/>
      <c r="P1234" s="74"/>
      <c r="Q1234" s="74"/>
      <c r="R1234" s="362"/>
      <c r="S1234" s="56" t="str">
        <f t="shared" si="36"/>
        <v> </v>
      </c>
      <c r="T1234" s="74"/>
      <c r="U1234" s="359"/>
      <c r="V1234" s="74"/>
      <c r="W1234" s="74"/>
      <c r="X1234" s="74"/>
      <c r="Y1234" s="74"/>
      <c r="Z1234" s="364"/>
      <c r="AA1234" s="59" t="str">
        <f>IF(Rentabilidad=0,"No aplica",TEXT(ROUND(Precio/Rentabilidad/12,0),0) &amp; " años")</f>
        <v>No aplica</v>
      </c>
      <c r="AB1234" s="360"/>
      <c r="AC1234" s="61"/>
      <c r="AD1234" s="62"/>
      <c r="AE1234" s="63"/>
      <c r="AF1234" s="156"/>
      <c r="AG1234" s="63"/>
      <c r="AH1234" s="63"/>
      <c r="AI1234" s="74"/>
      <c r="AJ1234" s="156"/>
      <c r="AK1234" s="74"/>
      <c r="AL1234" s="156"/>
      <c r="AM1234" s="74"/>
      <c r="AN1234" s="156"/>
      <c r="AO1234" s="74"/>
      <c r="AP1234" s="363"/>
      <c r="AQ1234" s="363"/>
      <c r="AR1234" s="363"/>
      <c r="AS1234" s="74"/>
      <c r="AT1234" s="74"/>
      <c r="AU1234" s="74"/>
      <c r="AV1234" s="74"/>
      <c r="AW1234" s="74"/>
      <c r="AX1234" s="74"/>
      <c r="AY1234" s="74"/>
      <c r="AZ1234" s="74"/>
      <c r="BA1234" s="74"/>
      <c r="BB1234" s="74"/>
      <c r="BC1234" s="170"/>
      <c r="BD1234" s="156"/>
      <c r="BE1234" s="156"/>
      <c r="BF1234" s="299"/>
      <c r="BG1234" s="74"/>
      <c r="BH1234" s="74"/>
      <c r="BI1234" s="74"/>
      <c r="BJ1234" s="74"/>
      <c r="BK1234" s="74"/>
      <c r="BL1234" s="74"/>
      <c r="BM1234" s="74"/>
      <c r="BN1234" s="74"/>
      <c r="BO1234" s="74"/>
      <c r="BP1234" s="74"/>
      <c r="BQ1234" s="74"/>
      <c r="BR1234" s="74"/>
      <c r="BS1234" s="74"/>
      <c r="BT1234" s="74"/>
      <c r="BU1234" s="74"/>
      <c r="BV1234" s="74"/>
      <c r="BW1234" s="74"/>
      <c r="BX1234" s="74"/>
      <c r="BY1234" s="63"/>
      <c r="BZ1234" s="63"/>
    </row>
    <row r="1235" ht="15.75" customHeight="1">
      <c r="A1235" s="201"/>
      <c r="B1235" s="74"/>
      <c r="C1235" s="74"/>
      <c r="D1235" s="74"/>
      <c r="E1235" s="156"/>
      <c r="F1235" s="78">
        <v>0.0</v>
      </c>
      <c r="G1235" s="44" t="str">
        <f t="shared" si="35"/>
        <v>$0 a $100'000.000</v>
      </c>
      <c r="H1235" s="44"/>
      <c r="I1235" s="44"/>
      <c r="J1235" s="74"/>
      <c r="K1235" s="359"/>
      <c r="L1235" s="74"/>
      <c r="M1235" s="74"/>
      <c r="N1235" s="74"/>
      <c r="O1235" s="74"/>
      <c r="P1235" s="74"/>
      <c r="Q1235" s="74"/>
      <c r="R1235" s="362"/>
      <c r="S1235" s="56" t="str">
        <f t="shared" si="36"/>
        <v> </v>
      </c>
      <c r="T1235" s="74"/>
      <c r="U1235" s="359"/>
      <c r="V1235" s="74"/>
      <c r="W1235" s="74"/>
      <c r="X1235" s="74"/>
      <c r="Y1235" s="74"/>
      <c r="Z1235" s="364"/>
      <c r="AA1235" s="59" t="str">
        <f>IF(Rentabilidad=0,"No aplica",TEXT(ROUND(Precio/Rentabilidad/12,0),0) &amp; " años")</f>
        <v>No aplica</v>
      </c>
      <c r="AB1235" s="360"/>
      <c r="AC1235" s="61"/>
      <c r="AD1235" s="62"/>
      <c r="AE1235" s="63"/>
      <c r="AF1235" s="156"/>
      <c r="AG1235" s="63"/>
      <c r="AH1235" s="63"/>
      <c r="AI1235" s="74"/>
      <c r="AJ1235" s="156"/>
      <c r="AK1235" s="74"/>
      <c r="AL1235" s="156"/>
      <c r="AM1235" s="74"/>
      <c r="AN1235" s="156"/>
      <c r="AO1235" s="74"/>
      <c r="AP1235" s="363"/>
      <c r="AQ1235" s="363"/>
      <c r="AR1235" s="363"/>
      <c r="AS1235" s="74"/>
      <c r="AT1235" s="74"/>
      <c r="AU1235" s="74"/>
      <c r="AV1235" s="74"/>
      <c r="AW1235" s="74"/>
      <c r="AX1235" s="74"/>
      <c r="AY1235" s="74"/>
      <c r="AZ1235" s="74"/>
      <c r="BA1235" s="74"/>
      <c r="BB1235" s="74"/>
      <c r="BC1235" s="170"/>
      <c r="BD1235" s="156"/>
      <c r="BE1235" s="156"/>
      <c r="BF1235" s="299"/>
      <c r="BG1235" s="74"/>
      <c r="BH1235" s="74"/>
      <c r="BI1235" s="74"/>
      <c r="BJ1235" s="74"/>
      <c r="BK1235" s="74"/>
      <c r="BL1235" s="74"/>
      <c r="BM1235" s="74"/>
      <c r="BN1235" s="74"/>
      <c r="BO1235" s="74"/>
      <c r="BP1235" s="74"/>
      <c r="BQ1235" s="74"/>
      <c r="BR1235" s="74"/>
      <c r="BS1235" s="74"/>
      <c r="BT1235" s="74"/>
      <c r="BU1235" s="74"/>
      <c r="BV1235" s="74"/>
      <c r="BW1235" s="74"/>
      <c r="BX1235" s="74"/>
      <c r="BY1235" s="63"/>
      <c r="BZ1235" s="63"/>
    </row>
    <row r="1236" ht="15.75" customHeight="1">
      <c r="A1236" s="201"/>
      <c r="B1236" s="74"/>
      <c r="C1236" s="74"/>
      <c r="D1236" s="74"/>
      <c r="E1236" s="156"/>
      <c r="F1236" s="78">
        <v>0.0</v>
      </c>
      <c r="G1236" s="44" t="str">
        <f t="shared" si="35"/>
        <v>$0 a $100'000.000</v>
      </c>
      <c r="H1236" s="44"/>
      <c r="I1236" s="44"/>
      <c r="J1236" s="74"/>
      <c r="K1236" s="359"/>
      <c r="L1236" s="74"/>
      <c r="M1236" s="74"/>
      <c r="N1236" s="74"/>
      <c r="O1236" s="74"/>
      <c r="P1236" s="74"/>
      <c r="Q1236" s="74"/>
      <c r="R1236" s="362"/>
      <c r="S1236" s="56" t="str">
        <f t="shared" si="36"/>
        <v> </v>
      </c>
      <c r="T1236" s="74"/>
      <c r="U1236" s="359"/>
      <c r="V1236" s="74"/>
      <c r="W1236" s="74"/>
      <c r="X1236" s="74"/>
      <c r="Y1236" s="74"/>
      <c r="Z1236" s="364"/>
      <c r="AA1236" s="59" t="str">
        <f>IF(Rentabilidad=0,"No aplica",TEXT(ROUND(Precio/Rentabilidad/12,0),0) &amp; " años")</f>
        <v>No aplica</v>
      </c>
      <c r="AB1236" s="360"/>
      <c r="AC1236" s="61"/>
      <c r="AD1236" s="62"/>
      <c r="AE1236" s="63"/>
      <c r="AF1236" s="156"/>
      <c r="AG1236" s="63"/>
      <c r="AH1236" s="63"/>
      <c r="AI1236" s="74"/>
      <c r="AJ1236" s="156"/>
      <c r="AK1236" s="74"/>
      <c r="AL1236" s="156"/>
      <c r="AM1236" s="74"/>
      <c r="AN1236" s="156"/>
      <c r="AO1236" s="74"/>
      <c r="AP1236" s="363"/>
      <c r="AQ1236" s="363"/>
      <c r="AR1236" s="363"/>
      <c r="AS1236" s="74"/>
      <c r="AT1236" s="74"/>
      <c r="AU1236" s="74"/>
      <c r="AV1236" s="74"/>
      <c r="AW1236" s="74"/>
      <c r="AX1236" s="74"/>
      <c r="AY1236" s="74"/>
      <c r="AZ1236" s="74"/>
      <c r="BA1236" s="74"/>
      <c r="BB1236" s="74"/>
      <c r="BC1236" s="170"/>
      <c r="BD1236" s="156"/>
      <c r="BE1236" s="156"/>
      <c r="BF1236" s="299"/>
      <c r="BG1236" s="74"/>
      <c r="BH1236" s="74"/>
      <c r="BI1236" s="74"/>
      <c r="BJ1236" s="74"/>
      <c r="BK1236" s="74"/>
      <c r="BL1236" s="74"/>
      <c r="BM1236" s="74"/>
      <c r="BN1236" s="74"/>
      <c r="BO1236" s="74"/>
      <c r="BP1236" s="74"/>
      <c r="BQ1236" s="74"/>
      <c r="BR1236" s="74"/>
      <c r="BS1236" s="74"/>
      <c r="BT1236" s="74"/>
      <c r="BU1236" s="74"/>
      <c r="BV1236" s="74"/>
      <c r="BW1236" s="74"/>
      <c r="BX1236" s="74"/>
      <c r="BY1236" s="63"/>
      <c r="BZ1236" s="63"/>
    </row>
    <row r="1237" ht="15.75" customHeight="1">
      <c r="A1237" s="201"/>
      <c r="B1237" s="74"/>
      <c r="C1237" s="74"/>
      <c r="D1237" s="74"/>
      <c r="E1237" s="156"/>
      <c r="F1237" s="78">
        <v>0.0</v>
      </c>
      <c r="G1237" s="44" t="str">
        <f t="shared" si="35"/>
        <v>$0 a $100'000.000</v>
      </c>
      <c r="H1237" s="44"/>
      <c r="I1237" s="44"/>
      <c r="J1237" s="74"/>
      <c r="K1237" s="359"/>
      <c r="L1237" s="74"/>
      <c r="M1237" s="74"/>
      <c r="N1237" s="74"/>
      <c r="O1237" s="74"/>
      <c r="P1237" s="74"/>
      <c r="Q1237" s="74"/>
      <c r="R1237" s="362"/>
      <c r="S1237" s="56" t="str">
        <f t="shared" si="36"/>
        <v> </v>
      </c>
      <c r="T1237" s="74"/>
      <c r="U1237" s="359"/>
      <c r="V1237" s="74"/>
      <c r="W1237" s="74"/>
      <c r="X1237" s="74"/>
      <c r="Y1237" s="74"/>
      <c r="Z1237" s="364"/>
      <c r="AA1237" s="59" t="str">
        <f>IF(Rentabilidad=0,"No aplica",TEXT(ROUND(Precio/Rentabilidad/12,0),0) &amp; " años")</f>
        <v>No aplica</v>
      </c>
      <c r="AB1237" s="360"/>
      <c r="AC1237" s="61"/>
      <c r="AD1237" s="62"/>
      <c r="AE1237" s="63"/>
      <c r="AF1237" s="156"/>
      <c r="AG1237" s="63"/>
      <c r="AH1237" s="63"/>
      <c r="AI1237" s="74"/>
      <c r="AJ1237" s="156"/>
      <c r="AK1237" s="74"/>
      <c r="AL1237" s="156"/>
      <c r="AM1237" s="74"/>
      <c r="AN1237" s="156"/>
      <c r="AO1237" s="74"/>
      <c r="AP1237" s="363"/>
      <c r="AQ1237" s="363"/>
      <c r="AR1237" s="363"/>
      <c r="AS1237" s="74"/>
      <c r="AT1237" s="74"/>
      <c r="AU1237" s="74"/>
      <c r="AV1237" s="74"/>
      <c r="AW1237" s="74"/>
      <c r="AX1237" s="74"/>
      <c r="AY1237" s="74"/>
      <c r="AZ1237" s="74"/>
      <c r="BA1237" s="74"/>
      <c r="BB1237" s="74"/>
      <c r="BC1237" s="170"/>
      <c r="BD1237" s="156"/>
      <c r="BE1237" s="156"/>
      <c r="BF1237" s="299"/>
      <c r="BG1237" s="74"/>
      <c r="BH1237" s="74"/>
      <c r="BI1237" s="74"/>
      <c r="BJ1237" s="74"/>
      <c r="BK1237" s="74"/>
      <c r="BL1237" s="74"/>
      <c r="BM1237" s="74"/>
      <c r="BN1237" s="74"/>
      <c r="BO1237" s="74"/>
      <c r="BP1237" s="74"/>
      <c r="BQ1237" s="74"/>
      <c r="BR1237" s="74"/>
      <c r="BS1237" s="74"/>
      <c r="BT1237" s="74"/>
      <c r="BU1237" s="74"/>
      <c r="BV1237" s="74"/>
      <c r="BW1237" s="74"/>
      <c r="BX1237" s="74"/>
      <c r="BY1237" s="63"/>
      <c r="BZ1237" s="63"/>
    </row>
    <row r="1238" ht="15.75" customHeight="1">
      <c r="A1238" s="201"/>
      <c r="B1238" s="74"/>
      <c r="C1238" s="74"/>
      <c r="D1238" s="74"/>
      <c r="E1238" s="156"/>
      <c r="F1238" s="78">
        <v>0.0</v>
      </c>
      <c r="G1238" s="44" t="str">
        <f t="shared" si="35"/>
        <v>$0 a $100'000.000</v>
      </c>
      <c r="H1238" s="44"/>
      <c r="I1238" s="44"/>
      <c r="J1238" s="74"/>
      <c r="K1238" s="359"/>
      <c r="L1238" s="74"/>
      <c r="M1238" s="74"/>
      <c r="N1238" s="74"/>
      <c r="O1238" s="74"/>
      <c r="P1238" s="74"/>
      <c r="Q1238" s="74"/>
      <c r="R1238" s="362"/>
      <c r="S1238" s="56" t="str">
        <f t="shared" si="36"/>
        <v> </v>
      </c>
      <c r="T1238" s="74"/>
      <c r="U1238" s="359"/>
      <c r="V1238" s="74"/>
      <c r="W1238" s="74"/>
      <c r="X1238" s="74"/>
      <c r="Y1238" s="74"/>
      <c r="Z1238" s="364"/>
      <c r="AA1238" s="59" t="str">
        <f>IF(Rentabilidad=0,"No aplica",TEXT(ROUND(Precio/Rentabilidad/12,0),0) &amp; " años")</f>
        <v>No aplica</v>
      </c>
      <c r="AB1238" s="360"/>
      <c r="AC1238" s="61"/>
      <c r="AD1238" s="62"/>
      <c r="AE1238" s="63"/>
      <c r="AF1238" s="156"/>
      <c r="AG1238" s="63"/>
      <c r="AH1238" s="63"/>
      <c r="AI1238" s="74"/>
      <c r="AJ1238" s="156"/>
      <c r="AK1238" s="74"/>
      <c r="AL1238" s="156"/>
      <c r="AM1238" s="74"/>
      <c r="AN1238" s="156"/>
      <c r="AO1238" s="74"/>
      <c r="AP1238" s="363"/>
      <c r="AQ1238" s="363"/>
      <c r="AR1238" s="363"/>
      <c r="AS1238" s="74"/>
      <c r="AT1238" s="74"/>
      <c r="AU1238" s="74"/>
      <c r="AV1238" s="74"/>
      <c r="AW1238" s="74"/>
      <c r="AX1238" s="74"/>
      <c r="AY1238" s="74"/>
      <c r="AZ1238" s="74"/>
      <c r="BA1238" s="74"/>
      <c r="BB1238" s="74"/>
      <c r="BC1238" s="170"/>
      <c r="BD1238" s="156"/>
      <c r="BE1238" s="156"/>
      <c r="BF1238" s="299"/>
      <c r="BG1238" s="74"/>
      <c r="BH1238" s="74"/>
      <c r="BI1238" s="74"/>
      <c r="BJ1238" s="74"/>
      <c r="BK1238" s="74"/>
      <c r="BL1238" s="74"/>
      <c r="BM1238" s="74"/>
      <c r="BN1238" s="74"/>
      <c r="BO1238" s="74"/>
      <c r="BP1238" s="74"/>
      <c r="BQ1238" s="74"/>
      <c r="BR1238" s="74"/>
      <c r="BS1238" s="74"/>
      <c r="BT1238" s="74"/>
      <c r="BU1238" s="74"/>
      <c r="BV1238" s="74"/>
      <c r="BW1238" s="74"/>
      <c r="BX1238" s="74"/>
      <c r="BY1238" s="63"/>
      <c r="BZ1238" s="63"/>
    </row>
    <row r="1239" ht="15.75" customHeight="1">
      <c r="A1239" s="201"/>
      <c r="B1239" s="74"/>
      <c r="C1239" s="74"/>
      <c r="D1239" s="74"/>
      <c r="E1239" s="156"/>
      <c r="F1239" s="78">
        <v>0.0</v>
      </c>
      <c r="G1239" s="44" t="str">
        <f t="shared" si="35"/>
        <v>$0 a $100'000.000</v>
      </c>
      <c r="H1239" s="44"/>
      <c r="I1239" s="44"/>
      <c r="J1239" s="74"/>
      <c r="K1239" s="359"/>
      <c r="L1239" s="74"/>
      <c r="M1239" s="74"/>
      <c r="N1239" s="74"/>
      <c r="O1239" s="74"/>
      <c r="P1239" s="74"/>
      <c r="Q1239" s="74"/>
      <c r="R1239" s="362"/>
      <c r="S1239" s="56" t="str">
        <f t="shared" si="36"/>
        <v> </v>
      </c>
      <c r="T1239" s="74"/>
      <c r="U1239" s="359"/>
      <c r="V1239" s="74"/>
      <c r="W1239" s="74"/>
      <c r="X1239" s="74"/>
      <c r="Y1239" s="74"/>
      <c r="Z1239" s="364"/>
      <c r="AA1239" s="59" t="str">
        <f>IF(Rentabilidad=0,"No aplica",TEXT(ROUND(Precio/Rentabilidad/12,0),0) &amp; " años")</f>
        <v>No aplica</v>
      </c>
      <c r="AB1239" s="360"/>
      <c r="AC1239" s="61"/>
      <c r="AD1239" s="62"/>
      <c r="AE1239" s="63"/>
      <c r="AF1239" s="156"/>
      <c r="AG1239" s="63"/>
      <c r="AH1239" s="63"/>
      <c r="AI1239" s="74"/>
      <c r="AJ1239" s="156"/>
      <c r="AK1239" s="74"/>
      <c r="AL1239" s="156"/>
      <c r="AM1239" s="74"/>
      <c r="AN1239" s="156"/>
      <c r="AO1239" s="74"/>
      <c r="AP1239" s="363"/>
      <c r="AQ1239" s="363"/>
      <c r="AR1239" s="363"/>
      <c r="AS1239" s="74"/>
      <c r="AT1239" s="74"/>
      <c r="AU1239" s="74"/>
      <c r="AV1239" s="74"/>
      <c r="AW1239" s="74"/>
      <c r="AX1239" s="74"/>
      <c r="AY1239" s="74"/>
      <c r="AZ1239" s="74"/>
      <c r="BA1239" s="74"/>
      <c r="BB1239" s="74"/>
      <c r="BC1239" s="170"/>
      <c r="BD1239" s="156"/>
      <c r="BE1239" s="156"/>
      <c r="BF1239" s="299"/>
      <c r="BG1239" s="74"/>
      <c r="BH1239" s="74"/>
      <c r="BI1239" s="74"/>
      <c r="BJ1239" s="74"/>
      <c r="BK1239" s="74"/>
      <c r="BL1239" s="74"/>
      <c r="BM1239" s="74"/>
      <c r="BN1239" s="74"/>
      <c r="BO1239" s="74"/>
      <c r="BP1239" s="74"/>
      <c r="BQ1239" s="74"/>
      <c r="BR1239" s="74"/>
      <c r="BS1239" s="74"/>
      <c r="BT1239" s="74"/>
      <c r="BU1239" s="74"/>
      <c r="BV1239" s="74"/>
      <c r="BW1239" s="74"/>
      <c r="BX1239" s="74"/>
      <c r="BY1239" s="63"/>
      <c r="BZ1239" s="63"/>
    </row>
    <row r="1240" ht="15.75" customHeight="1">
      <c r="A1240" s="201"/>
      <c r="B1240" s="74"/>
      <c r="C1240" s="74"/>
      <c r="D1240" s="74"/>
      <c r="E1240" s="156"/>
      <c r="F1240" s="78">
        <v>0.0</v>
      </c>
      <c r="G1240" s="44" t="str">
        <f t="shared" si="35"/>
        <v>$0 a $100'000.000</v>
      </c>
      <c r="H1240" s="44"/>
      <c r="I1240" s="44"/>
      <c r="J1240" s="74"/>
      <c r="K1240" s="359"/>
      <c r="L1240" s="74"/>
      <c r="M1240" s="74"/>
      <c r="N1240" s="74"/>
      <c r="O1240" s="74"/>
      <c r="P1240" s="74"/>
      <c r="Q1240" s="74"/>
      <c r="R1240" s="362"/>
      <c r="S1240" s="56" t="str">
        <f t="shared" si="36"/>
        <v> </v>
      </c>
      <c r="T1240" s="74"/>
      <c r="U1240" s="359"/>
      <c r="V1240" s="74"/>
      <c r="W1240" s="74"/>
      <c r="X1240" s="74"/>
      <c r="Y1240" s="74"/>
      <c r="Z1240" s="364"/>
      <c r="AA1240" s="59" t="str">
        <f>IF(Rentabilidad=0,"No aplica",TEXT(ROUND(Precio/Rentabilidad/12,0),0) &amp; " años")</f>
        <v>No aplica</v>
      </c>
      <c r="AB1240" s="360"/>
      <c r="AC1240" s="61"/>
      <c r="AD1240" s="62"/>
      <c r="AE1240" s="63"/>
      <c r="AF1240" s="156"/>
      <c r="AG1240" s="63"/>
      <c r="AH1240" s="63"/>
      <c r="AI1240" s="74"/>
      <c r="AJ1240" s="156"/>
      <c r="AK1240" s="74"/>
      <c r="AL1240" s="156"/>
      <c r="AM1240" s="74"/>
      <c r="AN1240" s="156"/>
      <c r="AO1240" s="74"/>
      <c r="AP1240" s="363"/>
      <c r="AQ1240" s="363"/>
      <c r="AR1240" s="363"/>
      <c r="AS1240" s="74"/>
      <c r="AT1240" s="74"/>
      <c r="AU1240" s="74"/>
      <c r="AV1240" s="74"/>
      <c r="AW1240" s="74"/>
      <c r="AX1240" s="74"/>
      <c r="AY1240" s="74"/>
      <c r="AZ1240" s="74"/>
      <c r="BA1240" s="74"/>
      <c r="BB1240" s="74"/>
      <c r="BC1240" s="170"/>
      <c r="BD1240" s="156"/>
      <c r="BE1240" s="156"/>
      <c r="BF1240" s="299"/>
      <c r="BG1240" s="74"/>
      <c r="BH1240" s="74"/>
      <c r="BI1240" s="74"/>
      <c r="BJ1240" s="74"/>
      <c r="BK1240" s="74"/>
      <c r="BL1240" s="74"/>
      <c r="BM1240" s="74"/>
      <c r="BN1240" s="74"/>
      <c r="BO1240" s="74"/>
      <c r="BP1240" s="74"/>
      <c r="BQ1240" s="74"/>
      <c r="BR1240" s="74"/>
      <c r="BS1240" s="74"/>
      <c r="BT1240" s="74"/>
      <c r="BU1240" s="74"/>
      <c r="BV1240" s="74"/>
      <c r="BW1240" s="74"/>
      <c r="BX1240" s="74"/>
      <c r="BY1240" s="63"/>
      <c r="BZ1240" s="63"/>
    </row>
    <row r="1241" ht="15.75" customHeight="1">
      <c r="A1241" s="201"/>
      <c r="B1241" s="74"/>
      <c r="C1241" s="74"/>
      <c r="D1241" s="74"/>
      <c r="E1241" s="156"/>
      <c r="F1241" s="78">
        <v>0.0</v>
      </c>
      <c r="G1241" s="44" t="str">
        <f t="shared" si="35"/>
        <v>$0 a $100'000.000</v>
      </c>
      <c r="H1241" s="44"/>
      <c r="I1241" s="44"/>
      <c r="J1241" s="74"/>
      <c r="K1241" s="359"/>
      <c r="L1241" s="74"/>
      <c r="M1241" s="74"/>
      <c r="N1241" s="74"/>
      <c r="O1241" s="74"/>
      <c r="P1241" s="74"/>
      <c r="Q1241" s="74"/>
      <c r="R1241" s="362"/>
      <c r="S1241" s="56" t="str">
        <f t="shared" si="36"/>
        <v> </v>
      </c>
      <c r="T1241" s="74"/>
      <c r="U1241" s="359"/>
      <c r="V1241" s="74"/>
      <c r="W1241" s="74"/>
      <c r="X1241" s="74"/>
      <c r="Y1241" s="74"/>
      <c r="Z1241" s="364"/>
      <c r="AA1241" s="59" t="str">
        <f>IF(Rentabilidad=0,"No aplica",TEXT(ROUND(Precio/Rentabilidad/12,0),0) &amp; " años")</f>
        <v>No aplica</v>
      </c>
      <c r="AB1241" s="360"/>
      <c r="AC1241" s="61"/>
      <c r="AD1241" s="62"/>
      <c r="AE1241" s="63"/>
      <c r="AF1241" s="156"/>
      <c r="AG1241" s="63"/>
      <c r="AH1241" s="63"/>
      <c r="AI1241" s="74"/>
      <c r="AJ1241" s="156"/>
      <c r="AK1241" s="74"/>
      <c r="AL1241" s="156"/>
      <c r="AM1241" s="74"/>
      <c r="AN1241" s="156"/>
      <c r="AO1241" s="74"/>
      <c r="AP1241" s="363"/>
      <c r="AQ1241" s="363"/>
      <c r="AR1241" s="363"/>
      <c r="AS1241" s="74"/>
      <c r="AT1241" s="74"/>
      <c r="AU1241" s="74"/>
      <c r="AV1241" s="74"/>
      <c r="AW1241" s="74"/>
      <c r="AX1241" s="74"/>
      <c r="AY1241" s="74"/>
      <c r="AZ1241" s="74"/>
      <c r="BA1241" s="74"/>
      <c r="BB1241" s="74"/>
      <c r="BC1241" s="170"/>
      <c r="BD1241" s="156"/>
      <c r="BE1241" s="156"/>
      <c r="BF1241" s="299"/>
      <c r="BG1241" s="74"/>
      <c r="BH1241" s="74"/>
      <c r="BI1241" s="74"/>
      <c r="BJ1241" s="74"/>
      <c r="BK1241" s="74"/>
      <c r="BL1241" s="74"/>
      <c r="BM1241" s="74"/>
      <c r="BN1241" s="74"/>
      <c r="BO1241" s="74"/>
      <c r="BP1241" s="74"/>
      <c r="BQ1241" s="74"/>
      <c r="BR1241" s="74"/>
      <c r="BS1241" s="74"/>
      <c r="BT1241" s="74"/>
      <c r="BU1241" s="74"/>
      <c r="BV1241" s="74"/>
      <c r="BW1241" s="74"/>
      <c r="BX1241" s="74"/>
      <c r="BY1241" s="63"/>
      <c r="BZ1241" s="63"/>
    </row>
    <row r="1242" ht="15.75" customHeight="1">
      <c r="A1242" s="201"/>
      <c r="B1242" s="74"/>
      <c r="C1242" s="74"/>
      <c r="D1242" s="74"/>
      <c r="E1242" s="156"/>
      <c r="F1242" s="78">
        <v>0.0</v>
      </c>
      <c r="G1242" s="44" t="str">
        <f t="shared" si="35"/>
        <v>$0 a $100'000.000</v>
      </c>
      <c r="H1242" s="44"/>
      <c r="I1242" s="44"/>
      <c r="J1242" s="74"/>
      <c r="K1242" s="359"/>
      <c r="L1242" s="74"/>
      <c r="M1242" s="74"/>
      <c r="N1242" s="74"/>
      <c r="O1242" s="74"/>
      <c r="P1242" s="74"/>
      <c r="Q1242" s="74"/>
      <c r="R1242" s="362"/>
      <c r="S1242" s="56" t="str">
        <f t="shared" si="36"/>
        <v> </v>
      </c>
      <c r="T1242" s="74"/>
      <c r="U1242" s="359"/>
      <c r="V1242" s="74"/>
      <c r="W1242" s="74"/>
      <c r="X1242" s="74"/>
      <c r="Y1242" s="74"/>
      <c r="Z1242" s="364"/>
      <c r="AA1242" s="59" t="str">
        <f>IF(Rentabilidad=0,"No aplica",TEXT(ROUND(Precio/Rentabilidad/12,0),0) &amp; " años")</f>
        <v>No aplica</v>
      </c>
      <c r="AB1242" s="360"/>
      <c r="AC1242" s="61"/>
      <c r="AD1242" s="62"/>
      <c r="AE1242" s="63"/>
      <c r="AF1242" s="156"/>
      <c r="AG1242" s="63"/>
      <c r="AH1242" s="63"/>
      <c r="AI1242" s="74"/>
      <c r="AJ1242" s="156"/>
      <c r="AK1242" s="74"/>
      <c r="AL1242" s="156"/>
      <c r="AM1242" s="74"/>
      <c r="AN1242" s="156"/>
      <c r="AO1242" s="74"/>
      <c r="AP1242" s="363"/>
      <c r="AQ1242" s="363"/>
      <c r="AR1242" s="363"/>
      <c r="AS1242" s="74"/>
      <c r="AT1242" s="74"/>
      <c r="AU1242" s="74"/>
      <c r="AV1242" s="74"/>
      <c r="AW1242" s="74"/>
      <c r="AX1242" s="74"/>
      <c r="AY1242" s="74"/>
      <c r="AZ1242" s="74"/>
      <c r="BA1242" s="74"/>
      <c r="BB1242" s="74"/>
      <c r="BC1242" s="170"/>
      <c r="BD1242" s="156"/>
      <c r="BE1242" s="156"/>
      <c r="BF1242" s="299"/>
      <c r="BG1242" s="74"/>
      <c r="BH1242" s="74"/>
      <c r="BI1242" s="74"/>
      <c r="BJ1242" s="74"/>
      <c r="BK1242" s="74"/>
      <c r="BL1242" s="74"/>
      <c r="BM1242" s="74"/>
      <c r="BN1242" s="74"/>
      <c r="BO1242" s="74"/>
      <c r="BP1242" s="74"/>
      <c r="BQ1242" s="74"/>
      <c r="BR1242" s="74"/>
      <c r="BS1242" s="74"/>
      <c r="BT1242" s="74"/>
      <c r="BU1242" s="74"/>
      <c r="BV1242" s="74"/>
      <c r="BW1242" s="74"/>
      <c r="BX1242" s="74"/>
      <c r="BY1242" s="63"/>
      <c r="BZ1242" s="63"/>
    </row>
    <row r="1243" ht="15.75" customHeight="1">
      <c r="A1243" s="201"/>
      <c r="B1243" s="74"/>
      <c r="C1243" s="74"/>
      <c r="D1243" s="74"/>
      <c r="E1243" s="156"/>
      <c r="F1243" s="78">
        <v>0.0</v>
      </c>
      <c r="G1243" s="44" t="str">
        <f t="shared" si="35"/>
        <v>$0 a $100'000.000</v>
      </c>
      <c r="H1243" s="44"/>
      <c r="I1243" s="44"/>
      <c r="J1243" s="74"/>
      <c r="K1243" s="359"/>
      <c r="L1243" s="74"/>
      <c r="M1243" s="74"/>
      <c r="N1243" s="74"/>
      <c r="O1243" s="74"/>
      <c r="P1243" s="74"/>
      <c r="Q1243" s="74"/>
      <c r="R1243" s="362"/>
      <c r="S1243" s="56" t="str">
        <f t="shared" si="36"/>
        <v> </v>
      </c>
      <c r="T1243" s="74"/>
      <c r="U1243" s="359"/>
      <c r="V1243" s="74"/>
      <c r="W1243" s="74"/>
      <c r="X1243" s="74"/>
      <c r="Y1243" s="74"/>
      <c r="Z1243" s="364"/>
      <c r="AA1243" s="59" t="str">
        <f>IF(Rentabilidad=0,"No aplica",TEXT(ROUND(Precio/Rentabilidad/12,0),0) &amp; " años")</f>
        <v>No aplica</v>
      </c>
      <c r="AB1243" s="360"/>
      <c r="AC1243" s="61"/>
      <c r="AD1243" s="62"/>
      <c r="AE1243" s="63"/>
      <c r="AF1243" s="156"/>
      <c r="AG1243" s="63"/>
      <c r="AH1243" s="63"/>
      <c r="AI1243" s="74"/>
      <c r="AJ1243" s="156"/>
      <c r="AK1243" s="74"/>
      <c r="AL1243" s="156"/>
      <c r="AM1243" s="74"/>
      <c r="AN1243" s="156"/>
      <c r="AO1243" s="74"/>
      <c r="AP1243" s="363"/>
      <c r="AQ1243" s="363"/>
      <c r="AR1243" s="363"/>
      <c r="AS1243" s="74"/>
      <c r="AT1243" s="74"/>
      <c r="AU1243" s="74"/>
      <c r="AV1243" s="74"/>
      <c r="AW1243" s="74"/>
      <c r="AX1243" s="74"/>
      <c r="AY1243" s="74"/>
      <c r="AZ1243" s="74"/>
      <c r="BA1243" s="74"/>
      <c r="BB1243" s="74"/>
      <c r="BC1243" s="170"/>
      <c r="BD1243" s="156"/>
      <c r="BE1243" s="156"/>
      <c r="BF1243" s="299"/>
      <c r="BG1243" s="74"/>
      <c r="BH1243" s="74"/>
      <c r="BI1243" s="74"/>
      <c r="BJ1243" s="74"/>
      <c r="BK1243" s="74"/>
      <c r="BL1243" s="74"/>
      <c r="BM1243" s="74"/>
      <c r="BN1243" s="74"/>
      <c r="BO1243" s="74"/>
      <c r="BP1243" s="74"/>
      <c r="BQ1243" s="74"/>
      <c r="BR1243" s="74"/>
      <c r="BS1243" s="74"/>
      <c r="BT1243" s="74"/>
      <c r="BU1243" s="74"/>
      <c r="BV1243" s="74"/>
      <c r="BW1243" s="74"/>
      <c r="BX1243" s="74"/>
      <c r="BY1243" s="63"/>
      <c r="BZ1243" s="63"/>
    </row>
    <row r="1244" ht="15.75" customHeight="1">
      <c r="A1244" s="201"/>
      <c r="B1244" s="74"/>
      <c r="C1244" s="74"/>
      <c r="D1244" s="74"/>
      <c r="E1244" s="156"/>
      <c r="F1244" s="78">
        <v>0.0</v>
      </c>
      <c r="G1244" s="44" t="str">
        <f t="shared" si="35"/>
        <v>$0 a $100'000.000</v>
      </c>
      <c r="H1244" s="44"/>
      <c r="I1244" s="44"/>
      <c r="J1244" s="74"/>
      <c r="K1244" s="359"/>
      <c r="L1244" s="74"/>
      <c r="M1244" s="74"/>
      <c r="N1244" s="74"/>
      <c r="O1244" s="74"/>
      <c r="P1244" s="74"/>
      <c r="Q1244" s="74"/>
      <c r="R1244" s="362"/>
      <c r="S1244" s="56" t="str">
        <f t="shared" si="36"/>
        <v> </v>
      </c>
      <c r="T1244" s="74"/>
      <c r="U1244" s="359"/>
      <c r="V1244" s="74"/>
      <c r="W1244" s="74"/>
      <c r="X1244" s="74"/>
      <c r="Y1244" s="74"/>
      <c r="Z1244" s="364"/>
      <c r="AA1244" s="59" t="str">
        <f>IF(Rentabilidad=0,"No aplica",TEXT(ROUND(Precio/Rentabilidad/12,0),0) &amp; " años")</f>
        <v>No aplica</v>
      </c>
      <c r="AB1244" s="360"/>
      <c r="AC1244" s="61"/>
      <c r="AD1244" s="62"/>
      <c r="AE1244" s="63"/>
      <c r="AF1244" s="156"/>
      <c r="AG1244" s="63"/>
      <c r="AH1244" s="63"/>
      <c r="AI1244" s="74"/>
      <c r="AJ1244" s="156"/>
      <c r="AK1244" s="74"/>
      <c r="AL1244" s="156"/>
      <c r="AM1244" s="74"/>
      <c r="AN1244" s="156"/>
      <c r="AO1244" s="74"/>
      <c r="AP1244" s="363"/>
      <c r="AQ1244" s="363"/>
      <c r="AR1244" s="363"/>
      <c r="AS1244" s="74"/>
      <c r="AT1244" s="74"/>
      <c r="AU1244" s="74"/>
      <c r="AV1244" s="74"/>
      <c r="AW1244" s="74"/>
      <c r="AX1244" s="74"/>
      <c r="AY1244" s="74"/>
      <c r="AZ1244" s="74"/>
      <c r="BA1244" s="74"/>
      <c r="BB1244" s="74"/>
      <c r="BC1244" s="170"/>
      <c r="BD1244" s="156"/>
      <c r="BE1244" s="156"/>
      <c r="BF1244" s="299"/>
      <c r="BG1244" s="74"/>
      <c r="BH1244" s="74"/>
      <c r="BI1244" s="74"/>
      <c r="BJ1244" s="74"/>
      <c r="BK1244" s="74"/>
      <c r="BL1244" s="74"/>
      <c r="BM1244" s="74"/>
      <c r="BN1244" s="74"/>
      <c r="BO1244" s="74"/>
      <c r="BP1244" s="74"/>
      <c r="BQ1244" s="74"/>
      <c r="BR1244" s="74"/>
      <c r="BS1244" s="74"/>
      <c r="BT1244" s="74"/>
      <c r="BU1244" s="74"/>
      <c r="BV1244" s="74"/>
      <c r="BW1244" s="74"/>
      <c r="BX1244" s="74"/>
      <c r="BY1244" s="63"/>
      <c r="BZ1244" s="63"/>
    </row>
    <row r="1245" ht="15.75" customHeight="1">
      <c r="A1245" s="201"/>
      <c r="B1245" s="74"/>
      <c r="C1245" s="74"/>
      <c r="D1245" s="74"/>
      <c r="E1245" s="156"/>
      <c r="F1245" s="78">
        <v>0.0</v>
      </c>
      <c r="G1245" s="44" t="str">
        <f t="shared" si="35"/>
        <v>$0 a $100'000.000</v>
      </c>
      <c r="H1245" s="44"/>
      <c r="I1245" s="44"/>
      <c r="J1245" s="74"/>
      <c r="K1245" s="359"/>
      <c r="L1245" s="74"/>
      <c r="M1245" s="74"/>
      <c r="N1245" s="74"/>
      <c r="O1245" s="74"/>
      <c r="P1245" s="74"/>
      <c r="Q1245" s="74"/>
      <c r="R1245" s="362"/>
      <c r="S1245" s="56" t="str">
        <f t="shared" si="36"/>
        <v> </v>
      </c>
      <c r="T1245" s="74"/>
      <c r="U1245" s="359"/>
      <c r="V1245" s="74"/>
      <c r="W1245" s="74"/>
      <c r="X1245" s="74"/>
      <c r="Y1245" s="74"/>
      <c r="Z1245" s="364"/>
      <c r="AA1245" s="59" t="str">
        <f>IF(Rentabilidad=0,"No aplica",TEXT(ROUND(Precio/Rentabilidad/12,0),0) &amp; " años")</f>
        <v>No aplica</v>
      </c>
      <c r="AB1245" s="360"/>
      <c r="AC1245" s="61"/>
      <c r="AD1245" s="62"/>
      <c r="AE1245" s="63"/>
      <c r="AF1245" s="156"/>
      <c r="AG1245" s="63"/>
      <c r="AH1245" s="63"/>
      <c r="AI1245" s="74"/>
      <c r="AJ1245" s="156"/>
      <c r="AK1245" s="74"/>
      <c r="AL1245" s="156"/>
      <c r="AM1245" s="74"/>
      <c r="AN1245" s="156"/>
      <c r="AO1245" s="74"/>
      <c r="AP1245" s="363"/>
      <c r="AQ1245" s="363"/>
      <c r="AR1245" s="363"/>
      <c r="AS1245" s="74"/>
      <c r="AT1245" s="74"/>
      <c r="AU1245" s="74"/>
      <c r="AV1245" s="74"/>
      <c r="AW1245" s="74"/>
      <c r="AX1245" s="74"/>
      <c r="AY1245" s="74"/>
      <c r="AZ1245" s="74"/>
      <c r="BA1245" s="74"/>
      <c r="BB1245" s="74"/>
      <c r="BC1245" s="170"/>
      <c r="BD1245" s="156"/>
      <c r="BE1245" s="156"/>
      <c r="BF1245" s="299"/>
      <c r="BG1245" s="74"/>
      <c r="BH1245" s="74"/>
      <c r="BI1245" s="74"/>
      <c r="BJ1245" s="74"/>
      <c r="BK1245" s="74"/>
      <c r="BL1245" s="74"/>
      <c r="BM1245" s="74"/>
      <c r="BN1245" s="74"/>
      <c r="BO1245" s="74"/>
      <c r="BP1245" s="74"/>
      <c r="BQ1245" s="74"/>
      <c r="BR1245" s="74"/>
      <c r="BS1245" s="74"/>
      <c r="BT1245" s="74"/>
      <c r="BU1245" s="74"/>
      <c r="BV1245" s="74"/>
      <c r="BW1245" s="74"/>
      <c r="BX1245" s="74"/>
      <c r="BY1245" s="63"/>
      <c r="BZ1245" s="63"/>
    </row>
    <row r="1246" ht="15.75" customHeight="1">
      <c r="A1246" s="201"/>
      <c r="B1246" s="74"/>
      <c r="C1246" s="74"/>
      <c r="D1246" s="74"/>
      <c r="E1246" s="156"/>
      <c r="F1246" s="78">
        <v>0.0</v>
      </c>
      <c r="G1246" s="44" t="str">
        <f t="shared" si="35"/>
        <v>$0 a $100'000.000</v>
      </c>
      <c r="H1246" s="44"/>
      <c r="I1246" s="44"/>
      <c r="J1246" s="74"/>
      <c r="K1246" s="359"/>
      <c r="L1246" s="74"/>
      <c r="M1246" s="74"/>
      <c r="N1246" s="74"/>
      <c r="O1246" s="74"/>
      <c r="P1246" s="74"/>
      <c r="Q1246" s="74"/>
      <c r="R1246" s="362"/>
      <c r="S1246" s="56" t="str">
        <f t="shared" si="36"/>
        <v> </v>
      </c>
      <c r="T1246" s="74"/>
      <c r="U1246" s="359"/>
      <c r="V1246" s="74"/>
      <c r="W1246" s="74"/>
      <c r="X1246" s="74"/>
      <c r="Y1246" s="74"/>
      <c r="Z1246" s="364"/>
      <c r="AA1246" s="59" t="str">
        <f>IF(Rentabilidad=0,"No aplica",TEXT(ROUND(Precio/Rentabilidad/12,0),0) &amp; " años")</f>
        <v>No aplica</v>
      </c>
      <c r="AB1246" s="360"/>
      <c r="AC1246" s="61"/>
      <c r="AD1246" s="62"/>
      <c r="AE1246" s="63"/>
      <c r="AF1246" s="156"/>
      <c r="AG1246" s="63"/>
      <c r="AH1246" s="63"/>
      <c r="AI1246" s="74"/>
      <c r="AJ1246" s="156"/>
      <c r="AK1246" s="74"/>
      <c r="AL1246" s="156"/>
      <c r="AM1246" s="74"/>
      <c r="AN1246" s="156"/>
      <c r="AO1246" s="74"/>
      <c r="AP1246" s="363"/>
      <c r="AQ1246" s="363"/>
      <c r="AR1246" s="363"/>
      <c r="AS1246" s="74"/>
      <c r="AT1246" s="74"/>
      <c r="AU1246" s="74"/>
      <c r="AV1246" s="74"/>
      <c r="AW1246" s="74"/>
      <c r="AX1246" s="74"/>
      <c r="AY1246" s="74"/>
      <c r="AZ1246" s="74"/>
      <c r="BA1246" s="74"/>
      <c r="BB1246" s="74"/>
      <c r="BC1246" s="170"/>
      <c r="BD1246" s="156"/>
      <c r="BE1246" s="156"/>
      <c r="BF1246" s="299"/>
      <c r="BG1246" s="74"/>
      <c r="BH1246" s="74"/>
      <c r="BI1246" s="74"/>
      <c r="BJ1246" s="74"/>
      <c r="BK1246" s="74"/>
      <c r="BL1246" s="74"/>
      <c r="BM1246" s="74"/>
      <c r="BN1246" s="74"/>
      <c r="BO1246" s="74"/>
      <c r="BP1246" s="74"/>
      <c r="BQ1246" s="74"/>
      <c r="BR1246" s="74"/>
      <c r="BS1246" s="74"/>
      <c r="BT1246" s="74"/>
      <c r="BU1246" s="74"/>
      <c r="BV1246" s="74"/>
      <c r="BW1246" s="74"/>
      <c r="BX1246" s="74"/>
      <c r="BY1246" s="63"/>
      <c r="BZ1246" s="63"/>
    </row>
    <row r="1247" ht="15.75" customHeight="1">
      <c r="A1247" s="201"/>
      <c r="B1247" s="74"/>
      <c r="C1247" s="74"/>
      <c r="D1247" s="74"/>
      <c r="E1247" s="156"/>
      <c r="F1247" s="78">
        <v>0.0</v>
      </c>
      <c r="G1247" s="44" t="str">
        <f t="shared" si="35"/>
        <v>$0 a $100'000.000</v>
      </c>
      <c r="H1247" s="44"/>
      <c r="I1247" s="44"/>
      <c r="J1247" s="74"/>
      <c r="K1247" s="359"/>
      <c r="L1247" s="74"/>
      <c r="M1247" s="74"/>
      <c r="N1247" s="74"/>
      <c r="O1247" s="74"/>
      <c r="P1247" s="74"/>
      <c r="Q1247" s="74"/>
      <c r="R1247" s="362"/>
      <c r="S1247" s="56" t="str">
        <f t="shared" si="36"/>
        <v> </v>
      </c>
      <c r="T1247" s="74"/>
      <c r="U1247" s="359"/>
      <c r="V1247" s="74"/>
      <c r="W1247" s="74"/>
      <c r="X1247" s="74"/>
      <c r="Y1247" s="74"/>
      <c r="Z1247" s="364"/>
      <c r="AA1247" s="59" t="str">
        <f>IF(Rentabilidad=0,"No aplica",TEXT(ROUND(Precio/Rentabilidad/12,0),0) &amp; " años")</f>
        <v>No aplica</v>
      </c>
      <c r="AB1247" s="360"/>
      <c r="AC1247" s="61"/>
      <c r="AD1247" s="62"/>
      <c r="AE1247" s="63"/>
      <c r="AF1247" s="156"/>
      <c r="AG1247" s="63"/>
      <c r="AH1247" s="63"/>
      <c r="AI1247" s="74"/>
      <c r="AJ1247" s="156"/>
      <c r="AK1247" s="74"/>
      <c r="AL1247" s="156"/>
      <c r="AM1247" s="74"/>
      <c r="AN1247" s="156"/>
      <c r="AO1247" s="74"/>
      <c r="AP1247" s="363"/>
      <c r="AQ1247" s="363"/>
      <c r="AR1247" s="363"/>
      <c r="AS1247" s="74"/>
      <c r="AT1247" s="74"/>
      <c r="AU1247" s="74"/>
      <c r="AV1247" s="74"/>
      <c r="AW1247" s="74"/>
      <c r="AX1247" s="74"/>
      <c r="AY1247" s="74"/>
      <c r="AZ1247" s="74"/>
      <c r="BA1247" s="74"/>
      <c r="BB1247" s="74"/>
      <c r="BC1247" s="170"/>
      <c r="BD1247" s="156"/>
      <c r="BE1247" s="156"/>
      <c r="BF1247" s="299"/>
      <c r="BG1247" s="74"/>
      <c r="BH1247" s="74"/>
      <c r="BI1247" s="74"/>
      <c r="BJ1247" s="74"/>
      <c r="BK1247" s="74"/>
      <c r="BL1247" s="74"/>
      <c r="BM1247" s="74"/>
      <c r="BN1247" s="74"/>
      <c r="BO1247" s="74"/>
      <c r="BP1247" s="74"/>
      <c r="BQ1247" s="74"/>
      <c r="BR1247" s="74"/>
      <c r="BS1247" s="74"/>
      <c r="BT1247" s="74"/>
      <c r="BU1247" s="74"/>
      <c r="BV1247" s="74"/>
      <c r="BW1247" s="74"/>
      <c r="BX1247" s="74"/>
      <c r="BY1247" s="63"/>
      <c r="BZ1247" s="63"/>
    </row>
    <row r="1248" ht="15.75" customHeight="1">
      <c r="A1248" s="201"/>
      <c r="B1248" s="74"/>
      <c r="C1248" s="74"/>
      <c r="D1248" s="74"/>
      <c r="E1248" s="156"/>
      <c r="F1248" s="78">
        <v>0.0</v>
      </c>
      <c r="G1248" s="44" t="str">
        <f t="shared" si="35"/>
        <v>$0 a $100'000.000</v>
      </c>
      <c r="H1248" s="44"/>
      <c r="I1248" s="44"/>
      <c r="J1248" s="74"/>
      <c r="K1248" s="359"/>
      <c r="L1248" s="74"/>
      <c r="M1248" s="74"/>
      <c r="N1248" s="74"/>
      <c r="O1248" s="74"/>
      <c r="P1248" s="74"/>
      <c r="Q1248" s="74"/>
      <c r="R1248" s="362"/>
      <c r="S1248" s="56" t="str">
        <f t="shared" si="36"/>
        <v> </v>
      </c>
      <c r="T1248" s="74"/>
      <c r="U1248" s="359"/>
      <c r="V1248" s="74"/>
      <c r="W1248" s="74"/>
      <c r="X1248" s="74"/>
      <c r="Y1248" s="74"/>
      <c r="Z1248" s="364"/>
      <c r="AA1248" s="59" t="str">
        <f>IF(Rentabilidad=0,"No aplica",TEXT(ROUND(Precio/Rentabilidad/12,0),0) &amp; " años")</f>
        <v>No aplica</v>
      </c>
      <c r="AB1248" s="360"/>
      <c r="AC1248" s="61"/>
      <c r="AD1248" s="62"/>
      <c r="AE1248" s="63"/>
      <c r="AF1248" s="156"/>
      <c r="AG1248" s="63"/>
      <c r="AH1248" s="63"/>
      <c r="AI1248" s="74"/>
      <c r="AJ1248" s="156"/>
      <c r="AK1248" s="74"/>
      <c r="AL1248" s="156"/>
      <c r="AM1248" s="74"/>
      <c r="AN1248" s="156"/>
      <c r="AO1248" s="74"/>
      <c r="AP1248" s="363"/>
      <c r="AQ1248" s="363"/>
      <c r="AR1248" s="363"/>
      <c r="AS1248" s="74"/>
      <c r="AT1248" s="74"/>
      <c r="AU1248" s="74"/>
      <c r="AV1248" s="74"/>
      <c r="AW1248" s="74"/>
      <c r="AX1248" s="74"/>
      <c r="AY1248" s="74"/>
      <c r="AZ1248" s="74"/>
      <c r="BA1248" s="74"/>
      <c r="BB1248" s="74"/>
      <c r="BC1248" s="170"/>
      <c r="BD1248" s="156"/>
      <c r="BE1248" s="156"/>
      <c r="BF1248" s="299"/>
      <c r="BG1248" s="74"/>
      <c r="BH1248" s="74"/>
      <c r="BI1248" s="74"/>
      <c r="BJ1248" s="74"/>
      <c r="BK1248" s="74"/>
      <c r="BL1248" s="74"/>
      <c r="BM1248" s="74"/>
      <c r="BN1248" s="74"/>
      <c r="BO1248" s="74"/>
      <c r="BP1248" s="74"/>
      <c r="BQ1248" s="74"/>
      <c r="BR1248" s="74"/>
      <c r="BS1248" s="74"/>
      <c r="BT1248" s="74"/>
      <c r="BU1248" s="74"/>
      <c r="BV1248" s="74"/>
      <c r="BW1248" s="74"/>
      <c r="BX1248" s="74"/>
      <c r="BY1248" s="63"/>
      <c r="BZ1248" s="63"/>
    </row>
    <row r="1249" ht="15.75" customHeight="1">
      <c r="A1249" s="201"/>
      <c r="B1249" s="74"/>
      <c r="C1249" s="74"/>
      <c r="D1249" s="74"/>
      <c r="E1249" s="156"/>
      <c r="F1249" s="78">
        <v>0.0</v>
      </c>
      <c r="G1249" s="44" t="str">
        <f t="shared" si="35"/>
        <v>$0 a $100'000.000</v>
      </c>
      <c r="H1249" s="44"/>
      <c r="I1249" s="44"/>
      <c r="J1249" s="74"/>
      <c r="K1249" s="359"/>
      <c r="L1249" s="74"/>
      <c r="M1249" s="74"/>
      <c r="N1249" s="74"/>
      <c r="O1249" s="74"/>
      <c r="P1249" s="74"/>
      <c r="Q1249" s="74"/>
      <c r="R1249" s="362"/>
      <c r="S1249" s="56" t="str">
        <f t="shared" si="36"/>
        <v> </v>
      </c>
      <c r="T1249" s="74"/>
      <c r="U1249" s="359"/>
      <c r="V1249" s="74"/>
      <c r="W1249" s="74"/>
      <c r="X1249" s="74"/>
      <c r="Y1249" s="74"/>
      <c r="Z1249" s="364"/>
      <c r="AA1249" s="59" t="str">
        <f>IF(Rentabilidad=0,"No aplica",TEXT(ROUND(Precio/Rentabilidad/12,0),0) &amp; " años")</f>
        <v>No aplica</v>
      </c>
      <c r="AB1249" s="360"/>
      <c r="AC1249" s="61"/>
      <c r="AD1249" s="62"/>
      <c r="AE1249" s="63"/>
      <c r="AF1249" s="156"/>
      <c r="AG1249" s="63"/>
      <c r="AH1249" s="63"/>
      <c r="AI1249" s="74"/>
      <c r="AJ1249" s="156"/>
      <c r="AK1249" s="74"/>
      <c r="AL1249" s="156"/>
      <c r="AM1249" s="74"/>
      <c r="AN1249" s="156"/>
      <c r="AO1249" s="74"/>
      <c r="AP1249" s="363"/>
      <c r="AQ1249" s="363"/>
      <c r="AR1249" s="363"/>
      <c r="AS1249" s="74"/>
      <c r="AT1249" s="74"/>
      <c r="AU1249" s="74"/>
      <c r="AV1249" s="74"/>
      <c r="AW1249" s="74"/>
      <c r="AX1249" s="74"/>
      <c r="AY1249" s="74"/>
      <c r="AZ1249" s="74"/>
      <c r="BA1249" s="74"/>
      <c r="BB1249" s="74"/>
      <c r="BC1249" s="170"/>
      <c r="BD1249" s="156"/>
      <c r="BE1249" s="156"/>
      <c r="BF1249" s="299"/>
      <c r="BG1249" s="74"/>
      <c r="BH1249" s="74"/>
      <c r="BI1249" s="74"/>
      <c r="BJ1249" s="74"/>
      <c r="BK1249" s="74"/>
      <c r="BL1249" s="74"/>
      <c r="BM1249" s="74"/>
      <c r="BN1249" s="74"/>
      <c r="BO1249" s="74"/>
      <c r="BP1249" s="74"/>
      <c r="BQ1249" s="74"/>
      <c r="BR1249" s="74"/>
      <c r="BS1249" s="74"/>
      <c r="BT1249" s="74"/>
      <c r="BU1249" s="74"/>
      <c r="BV1249" s="74"/>
      <c r="BW1249" s="74"/>
      <c r="BX1249" s="74"/>
      <c r="BY1249" s="63"/>
      <c r="BZ1249" s="63"/>
    </row>
    <row r="1250" ht="15.75" customHeight="1">
      <c r="A1250" s="201"/>
      <c r="B1250" s="74"/>
      <c r="C1250" s="74"/>
      <c r="D1250" s="74"/>
      <c r="E1250" s="156"/>
      <c r="F1250" s="78">
        <v>0.0</v>
      </c>
      <c r="G1250" s="44" t="str">
        <f t="shared" si="35"/>
        <v>$0 a $100'000.000</v>
      </c>
      <c r="H1250" s="44"/>
      <c r="I1250" s="44"/>
      <c r="J1250" s="74"/>
      <c r="K1250" s="359"/>
      <c r="L1250" s="74"/>
      <c r="M1250" s="74"/>
      <c r="N1250" s="74"/>
      <c r="O1250" s="74"/>
      <c r="P1250" s="74"/>
      <c r="Q1250" s="74"/>
      <c r="R1250" s="362"/>
      <c r="S1250" s="56" t="str">
        <f t="shared" si="36"/>
        <v> </v>
      </c>
      <c r="T1250" s="74"/>
      <c r="U1250" s="359"/>
      <c r="V1250" s="74"/>
      <c r="W1250" s="74"/>
      <c r="X1250" s="74"/>
      <c r="Y1250" s="74"/>
      <c r="Z1250" s="364"/>
      <c r="AA1250" s="59" t="str">
        <f>IF(Rentabilidad=0,"No aplica",TEXT(ROUND(Precio/Rentabilidad/12,0),0) &amp; " años")</f>
        <v>No aplica</v>
      </c>
      <c r="AB1250" s="360"/>
      <c r="AC1250" s="61"/>
      <c r="AD1250" s="62"/>
      <c r="AE1250" s="63"/>
      <c r="AF1250" s="156"/>
      <c r="AG1250" s="63"/>
      <c r="AH1250" s="63"/>
      <c r="AI1250" s="74"/>
      <c r="AJ1250" s="156"/>
      <c r="AK1250" s="74"/>
      <c r="AL1250" s="156"/>
      <c r="AM1250" s="74"/>
      <c r="AN1250" s="156"/>
      <c r="AO1250" s="74"/>
      <c r="AP1250" s="363"/>
      <c r="AQ1250" s="363"/>
      <c r="AR1250" s="363"/>
      <c r="AS1250" s="74"/>
      <c r="AT1250" s="74"/>
      <c r="AU1250" s="74"/>
      <c r="AV1250" s="74"/>
      <c r="AW1250" s="74"/>
      <c r="AX1250" s="74"/>
      <c r="AY1250" s="74"/>
      <c r="AZ1250" s="74"/>
      <c r="BA1250" s="74"/>
      <c r="BB1250" s="74"/>
      <c r="BC1250" s="170"/>
      <c r="BD1250" s="156"/>
      <c r="BE1250" s="156"/>
      <c r="BF1250" s="299"/>
      <c r="BG1250" s="74"/>
      <c r="BH1250" s="74"/>
      <c r="BI1250" s="74"/>
      <c r="BJ1250" s="74"/>
      <c r="BK1250" s="74"/>
      <c r="BL1250" s="74"/>
      <c r="BM1250" s="74"/>
      <c r="BN1250" s="74"/>
      <c r="BO1250" s="74"/>
      <c r="BP1250" s="74"/>
      <c r="BQ1250" s="74"/>
      <c r="BR1250" s="74"/>
      <c r="BS1250" s="74"/>
      <c r="BT1250" s="74"/>
      <c r="BU1250" s="74"/>
      <c r="BV1250" s="74"/>
      <c r="BW1250" s="74"/>
      <c r="BX1250" s="74"/>
      <c r="BY1250" s="63"/>
      <c r="BZ1250" s="63"/>
    </row>
    <row r="1251" ht="15.75" customHeight="1">
      <c r="A1251" s="201"/>
      <c r="B1251" s="74"/>
      <c r="C1251" s="74"/>
      <c r="D1251" s="74"/>
      <c r="E1251" s="156"/>
      <c r="F1251" s="78">
        <v>0.0</v>
      </c>
      <c r="G1251" s="44" t="str">
        <f t="shared" si="35"/>
        <v>$0 a $100'000.000</v>
      </c>
      <c r="H1251" s="44"/>
      <c r="I1251" s="44"/>
      <c r="J1251" s="74"/>
      <c r="K1251" s="359"/>
      <c r="L1251" s="74"/>
      <c r="M1251" s="74"/>
      <c r="N1251" s="74"/>
      <c r="O1251" s="74"/>
      <c r="P1251" s="74"/>
      <c r="Q1251" s="74"/>
      <c r="R1251" s="362"/>
      <c r="S1251" s="56" t="str">
        <f t="shared" si="36"/>
        <v> </v>
      </c>
      <c r="T1251" s="74"/>
      <c r="U1251" s="359"/>
      <c r="V1251" s="74"/>
      <c r="W1251" s="74"/>
      <c r="X1251" s="74"/>
      <c r="Y1251" s="74"/>
      <c r="Z1251" s="364"/>
      <c r="AA1251" s="59" t="str">
        <f>IF(Rentabilidad=0,"No aplica",TEXT(ROUND(Precio/Rentabilidad/12,0),0) &amp; " años")</f>
        <v>No aplica</v>
      </c>
      <c r="AB1251" s="360"/>
      <c r="AC1251" s="61"/>
      <c r="AD1251" s="62"/>
      <c r="AE1251" s="63"/>
      <c r="AF1251" s="156"/>
      <c r="AG1251" s="63"/>
      <c r="AH1251" s="63"/>
      <c r="AI1251" s="74"/>
      <c r="AJ1251" s="156"/>
      <c r="AK1251" s="74"/>
      <c r="AL1251" s="156"/>
      <c r="AM1251" s="74"/>
      <c r="AN1251" s="156"/>
      <c r="AO1251" s="74"/>
      <c r="AP1251" s="363"/>
      <c r="AQ1251" s="363"/>
      <c r="AR1251" s="363"/>
      <c r="AS1251" s="74"/>
      <c r="AT1251" s="74"/>
      <c r="AU1251" s="74"/>
      <c r="AV1251" s="74"/>
      <c r="AW1251" s="74"/>
      <c r="AX1251" s="74"/>
      <c r="AY1251" s="74"/>
      <c r="AZ1251" s="74"/>
      <c r="BA1251" s="74"/>
      <c r="BB1251" s="74"/>
      <c r="BC1251" s="170"/>
      <c r="BD1251" s="156"/>
      <c r="BE1251" s="156"/>
      <c r="BF1251" s="299"/>
      <c r="BG1251" s="74"/>
      <c r="BH1251" s="74"/>
      <c r="BI1251" s="74"/>
      <c r="BJ1251" s="74"/>
      <c r="BK1251" s="74"/>
      <c r="BL1251" s="74"/>
      <c r="BM1251" s="74"/>
      <c r="BN1251" s="74"/>
      <c r="BO1251" s="74"/>
      <c r="BP1251" s="74"/>
      <c r="BQ1251" s="74"/>
      <c r="BR1251" s="74"/>
      <c r="BS1251" s="74"/>
      <c r="BT1251" s="74"/>
      <c r="BU1251" s="74"/>
      <c r="BV1251" s="74"/>
      <c r="BW1251" s="74"/>
      <c r="BX1251" s="74"/>
      <c r="BY1251" s="63"/>
      <c r="BZ1251" s="63"/>
    </row>
    <row r="1252" ht="15.75" customHeight="1">
      <c r="A1252" s="201"/>
      <c r="B1252" s="74"/>
      <c r="C1252" s="74"/>
      <c r="D1252" s="74"/>
      <c r="E1252" s="156"/>
      <c r="F1252" s="78">
        <v>0.0</v>
      </c>
      <c r="G1252" s="44" t="str">
        <f t="shared" si="35"/>
        <v>$0 a $100'000.000</v>
      </c>
      <c r="H1252" s="44"/>
      <c r="I1252" s="44"/>
      <c r="J1252" s="74"/>
      <c r="K1252" s="359"/>
      <c r="L1252" s="74"/>
      <c r="M1252" s="74"/>
      <c r="N1252" s="74"/>
      <c r="O1252" s="74"/>
      <c r="P1252" s="74"/>
      <c r="Q1252" s="74"/>
      <c r="R1252" s="362"/>
      <c r="S1252" s="56" t="str">
        <f t="shared" si="36"/>
        <v> </v>
      </c>
      <c r="T1252" s="74"/>
      <c r="U1252" s="359"/>
      <c r="V1252" s="74"/>
      <c r="W1252" s="74"/>
      <c r="X1252" s="74"/>
      <c r="Y1252" s="74"/>
      <c r="Z1252" s="364"/>
      <c r="AA1252" s="59" t="str">
        <f>IF(Rentabilidad=0,"No aplica",TEXT(ROUND(Precio/Rentabilidad/12,0),0) &amp; " años")</f>
        <v>No aplica</v>
      </c>
      <c r="AB1252" s="360"/>
      <c r="AC1252" s="61"/>
      <c r="AD1252" s="62"/>
      <c r="AE1252" s="63"/>
      <c r="AF1252" s="156"/>
      <c r="AG1252" s="63"/>
      <c r="AH1252" s="63"/>
      <c r="AI1252" s="74"/>
      <c r="AJ1252" s="156"/>
      <c r="AK1252" s="74"/>
      <c r="AL1252" s="156"/>
      <c r="AM1252" s="74"/>
      <c r="AN1252" s="156"/>
      <c r="AO1252" s="74"/>
      <c r="AP1252" s="363"/>
      <c r="AQ1252" s="363"/>
      <c r="AR1252" s="363"/>
      <c r="AS1252" s="74"/>
      <c r="AT1252" s="74"/>
      <c r="AU1252" s="74"/>
      <c r="AV1252" s="74"/>
      <c r="AW1252" s="74"/>
      <c r="AX1252" s="74"/>
      <c r="AY1252" s="74"/>
      <c r="AZ1252" s="74"/>
      <c r="BA1252" s="74"/>
      <c r="BB1252" s="74"/>
      <c r="BC1252" s="170"/>
      <c r="BD1252" s="156"/>
      <c r="BE1252" s="156"/>
      <c r="BF1252" s="299"/>
      <c r="BG1252" s="74"/>
      <c r="BH1252" s="74"/>
      <c r="BI1252" s="74"/>
      <c r="BJ1252" s="74"/>
      <c r="BK1252" s="74"/>
      <c r="BL1252" s="74"/>
      <c r="BM1252" s="74"/>
      <c r="BN1252" s="74"/>
      <c r="BO1252" s="74"/>
      <c r="BP1252" s="74"/>
      <c r="BQ1252" s="74"/>
      <c r="BR1252" s="74"/>
      <c r="BS1252" s="74"/>
      <c r="BT1252" s="74"/>
      <c r="BU1252" s="74"/>
      <c r="BV1252" s="74"/>
      <c r="BW1252" s="74"/>
      <c r="BX1252" s="74"/>
      <c r="BY1252" s="63"/>
      <c r="BZ1252" s="63"/>
    </row>
    <row r="1253" ht="15.75" customHeight="1">
      <c r="A1253" s="201"/>
      <c r="B1253" s="74"/>
      <c r="C1253" s="74"/>
      <c r="D1253" s="74"/>
      <c r="E1253" s="156"/>
      <c r="F1253" s="78">
        <v>0.0</v>
      </c>
      <c r="G1253" s="44" t="str">
        <f t="shared" si="35"/>
        <v>$0 a $100'000.000</v>
      </c>
      <c r="H1253" s="44"/>
      <c r="I1253" s="44"/>
      <c r="J1253" s="74"/>
      <c r="K1253" s="359"/>
      <c r="L1253" s="74"/>
      <c r="M1253" s="74"/>
      <c r="N1253" s="74"/>
      <c r="O1253" s="74"/>
      <c r="P1253" s="74"/>
      <c r="Q1253" s="74"/>
      <c r="R1253" s="362"/>
      <c r="S1253" s="56" t="str">
        <f t="shared" si="36"/>
        <v> </v>
      </c>
      <c r="T1253" s="74"/>
      <c r="U1253" s="359"/>
      <c r="V1253" s="74"/>
      <c r="W1253" s="74"/>
      <c r="X1253" s="74"/>
      <c r="Y1253" s="74"/>
      <c r="Z1253" s="364"/>
      <c r="AA1253" s="59" t="str">
        <f>IF(Rentabilidad=0,"No aplica",TEXT(ROUND(Precio/Rentabilidad/12,0),0) &amp; " años")</f>
        <v>No aplica</v>
      </c>
      <c r="AB1253" s="360"/>
      <c r="AC1253" s="61"/>
      <c r="AD1253" s="62"/>
      <c r="AE1253" s="63"/>
      <c r="AF1253" s="156"/>
      <c r="AG1253" s="63"/>
      <c r="AH1253" s="63"/>
      <c r="AI1253" s="74"/>
      <c r="AJ1253" s="156"/>
      <c r="AK1253" s="74"/>
      <c r="AL1253" s="156"/>
      <c r="AM1253" s="74"/>
      <c r="AN1253" s="156"/>
      <c r="AO1253" s="74"/>
      <c r="AP1253" s="363"/>
      <c r="AQ1253" s="363"/>
      <c r="AR1253" s="363"/>
      <c r="AS1253" s="74"/>
      <c r="AT1253" s="74"/>
      <c r="AU1253" s="74"/>
      <c r="AV1253" s="74"/>
      <c r="AW1253" s="74"/>
      <c r="AX1253" s="74"/>
      <c r="AY1253" s="74"/>
      <c r="AZ1253" s="74"/>
      <c r="BA1253" s="74"/>
      <c r="BB1253" s="74"/>
      <c r="BC1253" s="170"/>
      <c r="BD1253" s="156"/>
      <c r="BE1253" s="156"/>
      <c r="BF1253" s="299"/>
      <c r="BG1253" s="74"/>
      <c r="BH1253" s="74"/>
      <c r="BI1253" s="74"/>
      <c r="BJ1253" s="74"/>
      <c r="BK1253" s="74"/>
      <c r="BL1253" s="74"/>
      <c r="BM1253" s="74"/>
      <c r="BN1253" s="74"/>
      <c r="BO1253" s="74"/>
      <c r="BP1253" s="74"/>
      <c r="BQ1253" s="74"/>
      <c r="BR1253" s="74"/>
      <c r="BS1253" s="74"/>
      <c r="BT1253" s="74"/>
      <c r="BU1253" s="74"/>
      <c r="BV1253" s="74"/>
      <c r="BW1253" s="74"/>
      <c r="BX1253" s="74"/>
      <c r="BY1253" s="63"/>
      <c r="BZ1253" s="63"/>
    </row>
    <row r="1254" ht="15.75" customHeight="1">
      <c r="A1254" s="201"/>
      <c r="B1254" s="74"/>
      <c r="C1254" s="74"/>
      <c r="D1254" s="74"/>
      <c r="E1254" s="156"/>
      <c r="F1254" s="78">
        <v>0.0</v>
      </c>
      <c r="G1254" s="44" t="str">
        <f t="shared" si="35"/>
        <v>$0 a $100'000.000</v>
      </c>
      <c r="H1254" s="44"/>
      <c r="I1254" s="44"/>
      <c r="J1254" s="74"/>
      <c r="K1254" s="359"/>
      <c r="L1254" s="74"/>
      <c r="M1254" s="74"/>
      <c r="N1254" s="74"/>
      <c r="O1254" s="74"/>
      <c r="P1254" s="74"/>
      <c r="Q1254" s="74"/>
      <c r="R1254" s="362"/>
      <c r="S1254" s="56" t="str">
        <f t="shared" si="36"/>
        <v> </v>
      </c>
      <c r="T1254" s="74"/>
      <c r="U1254" s="359"/>
      <c r="V1254" s="74"/>
      <c r="W1254" s="74"/>
      <c r="X1254" s="74"/>
      <c r="Y1254" s="74"/>
      <c r="Z1254" s="364"/>
      <c r="AA1254" s="59" t="str">
        <f>IF(Rentabilidad=0,"No aplica",TEXT(ROUND(Precio/Rentabilidad/12,0),0) &amp; " años")</f>
        <v>No aplica</v>
      </c>
      <c r="AB1254" s="360"/>
      <c r="AC1254" s="61"/>
      <c r="AD1254" s="62"/>
      <c r="AE1254" s="63"/>
      <c r="AF1254" s="156"/>
      <c r="AG1254" s="63"/>
      <c r="AH1254" s="63"/>
      <c r="AI1254" s="74"/>
      <c r="AJ1254" s="156"/>
      <c r="AK1254" s="74"/>
      <c r="AL1254" s="156"/>
      <c r="AM1254" s="74"/>
      <c r="AN1254" s="156"/>
      <c r="AO1254" s="74"/>
      <c r="AP1254" s="363"/>
      <c r="AQ1254" s="363"/>
      <c r="AR1254" s="363"/>
      <c r="AS1254" s="74"/>
      <c r="AT1254" s="74"/>
      <c r="AU1254" s="74"/>
      <c r="AV1254" s="74"/>
      <c r="AW1254" s="74"/>
      <c r="AX1254" s="74"/>
      <c r="AY1254" s="74"/>
      <c r="AZ1254" s="74"/>
      <c r="BA1254" s="74"/>
      <c r="BB1254" s="74"/>
      <c r="BC1254" s="170"/>
      <c r="BD1254" s="156"/>
      <c r="BE1254" s="156"/>
      <c r="BF1254" s="299"/>
      <c r="BG1254" s="74"/>
      <c r="BH1254" s="74"/>
      <c r="BI1254" s="74"/>
      <c r="BJ1254" s="74"/>
      <c r="BK1254" s="74"/>
      <c r="BL1254" s="74"/>
      <c r="BM1254" s="74"/>
      <c r="BN1254" s="74"/>
      <c r="BO1254" s="74"/>
      <c r="BP1254" s="74"/>
      <c r="BQ1254" s="74"/>
      <c r="BR1254" s="74"/>
      <c r="BS1254" s="74"/>
      <c r="BT1254" s="74"/>
      <c r="BU1254" s="74"/>
      <c r="BV1254" s="74"/>
      <c r="BW1254" s="74"/>
      <c r="BX1254" s="74"/>
      <c r="BY1254" s="63"/>
      <c r="BZ1254" s="63"/>
    </row>
    <row r="1255" ht="15.75" customHeight="1">
      <c r="A1255" s="201"/>
      <c r="B1255" s="74"/>
      <c r="C1255" s="74"/>
      <c r="D1255" s="74"/>
      <c r="E1255" s="156"/>
      <c r="F1255" s="78">
        <v>0.0</v>
      </c>
      <c r="G1255" s="44" t="str">
        <f t="shared" si="35"/>
        <v>$0 a $100'000.000</v>
      </c>
      <c r="H1255" s="44"/>
      <c r="I1255" s="44"/>
      <c r="J1255" s="74"/>
      <c r="K1255" s="359"/>
      <c r="L1255" s="74"/>
      <c r="M1255" s="74"/>
      <c r="N1255" s="74"/>
      <c r="O1255" s="74"/>
      <c r="P1255" s="74"/>
      <c r="Q1255" s="74"/>
      <c r="R1255" s="362"/>
      <c r="S1255" s="56" t="str">
        <f t="shared" si="36"/>
        <v> </v>
      </c>
      <c r="T1255" s="74"/>
      <c r="U1255" s="359"/>
      <c r="V1255" s="74"/>
      <c r="W1255" s="74"/>
      <c r="X1255" s="74"/>
      <c r="Y1255" s="74"/>
      <c r="Z1255" s="364"/>
      <c r="AA1255" s="59" t="str">
        <f>IF(Rentabilidad=0,"No aplica",TEXT(ROUND(Precio/Rentabilidad/12,0),0) &amp; " años")</f>
        <v>No aplica</v>
      </c>
      <c r="AB1255" s="360"/>
      <c r="AC1255" s="61"/>
      <c r="AD1255" s="62"/>
      <c r="AE1255" s="63"/>
      <c r="AF1255" s="156"/>
      <c r="AG1255" s="63"/>
      <c r="AH1255" s="63"/>
      <c r="AI1255" s="74"/>
      <c r="AJ1255" s="156"/>
      <c r="AK1255" s="74"/>
      <c r="AL1255" s="156"/>
      <c r="AM1255" s="74"/>
      <c r="AN1255" s="156"/>
      <c r="AO1255" s="74"/>
      <c r="AP1255" s="363"/>
      <c r="AQ1255" s="363"/>
      <c r="AR1255" s="363"/>
      <c r="AS1255" s="74"/>
      <c r="AT1255" s="74"/>
      <c r="AU1255" s="74"/>
      <c r="AV1255" s="74"/>
      <c r="AW1255" s="74"/>
      <c r="AX1255" s="74"/>
      <c r="AY1255" s="74"/>
      <c r="AZ1255" s="74"/>
      <c r="BA1255" s="74"/>
      <c r="BB1255" s="74"/>
      <c r="BC1255" s="170"/>
      <c r="BD1255" s="156"/>
      <c r="BE1255" s="156"/>
      <c r="BF1255" s="299"/>
      <c r="BG1255" s="74"/>
      <c r="BH1255" s="74"/>
      <c r="BI1255" s="74"/>
      <c r="BJ1255" s="74"/>
      <c r="BK1255" s="74"/>
      <c r="BL1255" s="74"/>
      <c r="BM1255" s="74"/>
      <c r="BN1255" s="74"/>
      <c r="BO1255" s="74"/>
      <c r="BP1255" s="74"/>
      <c r="BQ1255" s="74"/>
      <c r="BR1255" s="74"/>
      <c r="BS1255" s="74"/>
      <c r="BT1255" s="74"/>
      <c r="BU1255" s="74"/>
      <c r="BV1255" s="74"/>
      <c r="BW1255" s="74"/>
      <c r="BX1255" s="74"/>
      <c r="BY1255" s="63"/>
      <c r="BZ1255" s="63"/>
    </row>
    <row r="1256" ht="15.75" customHeight="1">
      <c r="A1256" s="201"/>
      <c r="B1256" s="74"/>
      <c r="C1256" s="74"/>
      <c r="D1256" s="74"/>
      <c r="E1256" s="156"/>
      <c r="F1256" s="78">
        <v>0.0</v>
      </c>
      <c r="G1256" s="44" t="str">
        <f t="shared" si="35"/>
        <v>$0 a $100'000.000</v>
      </c>
      <c r="H1256" s="44"/>
      <c r="I1256" s="44"/>
      <c r="J1256" s="74"/>
      <c r="K1256" s="359"/>
      <c r="L1256" s="74"/>
      <c r="M1256" s="74"/>
      <c r="N1256" s="74"/>
      <c r="O1256" s="74"/>
      <c r="P1256" s="74"/>
      <c r="Q1256" s="74"/>
      <c r="R1256" s="362"/>
      <c r="S1256" s="56" t="str">
        <f t="shared" si="36"/>
        <v> </v>
      </c>
      <c r="T1256" s="74"/>
      <c r="U1256" s="359"/>
      <c r="V1256" s="74"/>
      <c r="W1256" s="74"/>
      <c r="X1256" s="74"/>
      <c r="Y1256" s="74"/>
      <c r="Z1256" s="364"/>
      <c r="AA1256" s="59" t="str">
        <f>IF(Rentabilidad=0,"No aplica",TEXT(ROUND(Precio/Rentabilidad/12,0),0) &amp; " años")</f>
        <v>No aplica</v>
      </c>
      <c r="AB1256" s="360"/>
      <c r="AC1256" s="61"/>
      <c r="AD1256" s="62"/>
      <c r="AE1256" s="63"/>
      <c r="AF1256" s="156"/>
      <c r="AG1256" s="63"/>
      <c r="AH1256" s="63"/>
      <c r="AI1256" s="74"/>
      <c r="AJ1256" s="156"/>
      <c r="AK1256" s="74"/>
      <c r="AL1256" s="156"/>
      <c r="AM1256" s="74"/>
      <c r="AN1256" s="156"/>
      <c r="AO1256" s="74"/>
      <c r="AP1256" s="363"/>
      <c r="AQ1256" s="363"/>
      <c r="AR1256" s="363"/>
      <c r="AS1256" s="74"/>
      <c r="AT1256" s="74"/>
      <c r="AU1256" s="74"/>
      <c r="AV1256" s="74"/>
      <c r="AW1256" s="74"/>
      <c r="AX1256" s="74"/>
      <c r="AY1256" s="74"/>
      <c r="AZ1256" s="74"/>
      <c r="BA1256" s="74"/>
      <c r="BB1256" s="74"/>
      <c r="BC1256" s="170"/>
      <c r="BD1256" s="156"/>
      <c r="BE1256" s="156"/>
      <c r="BF1256" s="299"/>
      <c r="BG1256" s="74"/>
      <c r="BH1256" s="74"/>
      <c r="BI1256" s="74"/>
      <c r="BJ1256" s="74"/>
      <c r="BK1256" s="74"/>
      <c r="BL1256" s="74"/>
      <c r="BM1256" s="74"/>
      <c r="BN1256" s="74"/>
      <c r="BO1256" s="74"/>
      <c r="BP1256" s="74"/>
      <c r="BQ1256" s="74"/>
      <c r="BR1256" s="74"/>
      <c r="BS1256" s="74"/>
      <c r="BT1256" s="74"/>
      <c r="BU1256" s="74"/>
      <c r="BV1256" s="74"/>
      <c r="BW1256" s="74"/>
      <c r="BX1256" s="74"/>
      <c r="BY1256" s="63"/>
      <c r="BZ1256" s="63"/>
    </row>
    <row r="1257" ht="15.75" customHeight="1">
      <c r="A1257" s="201"/>
      <c r="B1257" s="74"/>
      <c r="C1257" s="74"/>
      <c r="D1257" s="74"/>
      <c r="E1257" s="156"/>
      <c r="F1257" s="78">
        <v>0.0</v>
      </c>
      <c r="G1257" s="44" t="str">
        <f t="shared" si="35"/>
        <v>$0 a $100'000.000</v>
      </c>
      <c r="H1257" s="44"/>
      <c r="I1257" s="44"/>
      <c r="J1257" s="74"/>
      <c r="K1257" s="359"/>
      <c r="L1257" s="74"/>
      <c r="M1257" s="74"/>
      <c r="N1257" s="74"/>
      <c r="O1257" s="74"/>
      <c r="P1257" s="74"/>
      <c r="Q1257" s="74"/>
      <c r="R1257" s="362"/>
      <c r="S1257" s="56" t="str">
        <f t="shared" si="36"/>
        <v> </v>
      </c>
      <c r="T1257" s="74"/>
      <c r="U1257" s="359"/>
      <c r="V1257" s="74"/>
      <c r="W1257" s="74"/>
      <c r="X1257" s="74"/>
      <c r="Y1257" s="74"/>
      <c r="Z1257" s="364"/>
      <c r="AA1257" s="59" t="str">
        <f>IF(Rentabilidad=0,"No aplica",TEXT(ROUND(Precio/Rentabilidad/12,0),0) &amp; " años")</f>
        <v>No aplica</v>
      </c>
      <c r="AB1257" s="360"/>
      <c r="AC1257" s="61"/>
      <c r="AD1257" s="62"/>
      <c r="AE1257" s="63"/>
      <c r="AF1257" s="156"/>
      <c r="AG1257" s="63"/>
      <c r="AH1257" s="63"/>
      <c r="AI1257" s="74"/>
      <c r="AJ1257" s="156"/>
      <c r="AK1257" s="74"/>
      <c r="AL1257" s="156"/>
      <c r="AM1257" s="74"/>
      <c r="AN1257" s="156"/>
      <c r="AO1257" s="74"/>
      <c r="AP1257" s="363"/>
      <c r="AQ1257" s="363"/>
      <c r="AR1257" s="363"/>
      <c r="AS1257" s="74"/>
      <c r="AT1257" s="74"/>
      <c r="AU1257" s="74"/>
      <c r="AV1257" s="74"/>
      <c r="AW1257" s="74"/>
      <c r="AX1257" s="74"/>
      <c r="AY1257" s="74"/>
      <c r="AZ1257" s="74"/>
      <c r="BA1257" s="74"/>
      <c r="BB1257" s="74"/>
      <c r="BC1257" s="170"/>
      <c r="BD1257" s="156"/>
      <c r="BE1257" s="156"/>
      <c r="BF1257" s="299"/>
      <c r="BG1257" s="74"/>
      <c r="BH1257" s="74"/>
      <c r="BI1257" s="74"/>
      <c r="BJ1257" s="74"/>
      <c r="BK1257" s="74"/>
      <c r="BL1257" s="74"/>
      <c r="BM1257" s="74"/>
      <c r="BN1257" s="74"/>
      <c r="BO1257" s="74"/>
      <c r="BP1257" s="74"/>
      <c r="BQ1257" s="74"/>
      <c r="BR1257" s="74"/>
      <c r="BS1257" s="74"/>
      <c r="BT1257" s="74"/>
      <c r="BU1257" s="74"/>
      <c r="BV1257" s="74"/>
      <c r="BW1257" s="74"/>
      <c r="BX1257" s="74"/>
      <c r="BY1257" s="63"/>
      <c r="BZ1257" s="63"/>
    </row>
    <row r="1258" ht="15.75" customHeight="1">
      <c r="A1258" s="201"/>
      <c r="B1258" s="74"/>
      <c r="C1258" s="74"/>
      <c r="D1258" s="74"/>
      <c r="E1258" s="156"/>
      <c r="F1258" s="78">
        <v>0.0</v>
      </c>
      <c r="G1258" s="44" t="str">
        <f t="shared" si="35"/>
        <v>$0 a $100'000.000</v>
      </c>
      <c r="H1258" s="44"/>
      <c r="I1258" s="44"/>
      <c r="J1258" s="74"/>
      <c r="K1258" s="359"/>
      <c r="L1258" s="74"/>
      <c r="M1258" s="74"/>
      <c r="N1258" s="74"/>
      <c r="O1258" s="74"/>
      <c r="P1258" s="74"/>
      <c r="Q1258" s="74"/>
      <c r="R1258" s="362"/>
      <c r="S1258" s="56" t="str">
        <f t="shared" si="36"/>
        <v> </v>
      </c>
      <c r="T1258" s="74"/>
      <c r="U1258" s="359"/>
      <c r="V1258" s="74"/>
      <c r="W1258" s="74"/>
      <c r="X1258" s="74"/>
      <c r="Y1258" s="74"/>
      <c r="Z1258" s="364"/>
      <c r="AA1258" s="59" t="str">
        <f>IF(Rentabilidad=0,"No aplica",TEXT(ROUND(Precio/Rentabilidad/12,0),0) &amp; " años")</f>
        <v>No aplica</v>
      </c>
      <c r="AB1258" s="360"/>
      <c r="AC1258" s="61"/>
      <c r="AD1258" s="62"/>
      <c r="AE1258" s="63"/>
      <c r="AF1258" s="156"/>
      <c r="AG1258" s="63"/>
      <c r="AH1258" s="63"/>
      <c r="AI1258" s="74"/>
      <c r="AJ1258" s="156"/>
      <c r="AK1258" s="74"/>
      <c r="AL1258" s="156"/>
      <c r="AM1258" s="74"/>
      <c r="AN1258" s="156"/>
      <c r="AO1258" s="74"/>
      <c r="AP1258" s="363"/>
      <c r="AQ1258" s="363"/>
      <c r="AR1258" s="363"/>
      <c r="AS1258" s="74"/>
      <c r="AT1258" s="74"/>
      <c r="AU1258" s="74"/>
      <c r="AV1258" s="74"/>
      <c r="AW1258" s="74"/>
      <c r="AX1258" s="74"/>
      <c r="AY1258" s="74"/>
      <c r="AZ1258" s="74"/>
      <c r="BA1258" s="74"/>
      <c r="BB1258" s="74"/>
      <c r="BC1258" s="170"/>
      <c r="BD1258" s="156"/>
      <c r="BE1258" s="156"/>
      <c r="BF1258" s="299"/>
      <c r="BG1258" s="74"/>
      <c r="BH1258" s="74"/>
      <c r="BI1258" s="74"/>
      <c r="BJ1258" s="74"/>
      <c r="BK1258" s="74"/>
      <c r="BL1258" s="74"/>
      <c r="BM1258" s="74"/>
      <c r="BN1258" s="74"/>
      <c r="BO1258" s="74"/>
      <c r="BP1258" s="74"/>
      <c r="BQ1258" s="74"/>
      <c r="BR1258" s="74"/>
      <c r="BS1258" s="74"/>
      <c r="BT1258" s="74"/>
      <c r="BU1258" s="74"/>
      <c r="BV1258" s="74"/>
      <c r="BW1258" s="74"/>
      <c r="BX1258" s="74"/>
      <c r="BY1258" s="63"/>
      <c r="BZ1258" s="63"/>
    </row>
    <row r="1259" ht="15.75" customHeight="1">
      <c r="A1259" s="201"/>
      <c r="B1259" s="74"/>
      <c r="C1259" s="74"/>
      <c r="D1259" s="74"/>
      <c r="E1259" s="156"/>
      <c r="F1259" s="78">
        <v>0.0</v>
      </c>
      <c r="G1259" s="44" t="str">
        <f t="shared" si="35"/>
        <v>$0 a $100'000.000</v>
      </c>
      <c r="H1259" s="44"/>
      <c r="I1259" s="44"/>
      <c r="J1259" s="74"/>
      <c r="K1259" s="359"/>
      <c r="L1259" s="74"/>
      <c r="M1259" s="74"/>
      <c r="N1259" s="74"/>
      <c r="O1259" s="74"/>
      <c r="P1259" s="74"/>
      <c r="Q1259" s="74"/>
      <c r="R1259" s="362"/>
      <c r="S1259" s="56" t="str">
        <f t="shared" si="36"/>
        <v> </v>
      </c>
      <c r="T1259" s="74"/>
      <c r="U1259" s="359"/>
      <c r="V1259" s="74"/>
      <c r="W1259" s="74"/>
      <c r="X1259" s="74"/>
      <c r="Y1259" s="74"/>
      <c r="Z1259" s="364"/>
      <c r="AA1259" s="59" t="str">
        <f>IF(Rentabilidad=0,"No aplica",TEXT(ROUND(Precio/Rentabilidad/12,0),0) &amp; " años")</f>
        <v>No aplica</v>
      </c>
      <c r="AB1259" s="360"/>
      <c r="AC1259" s="61"/>
      <c r="AD1259" s="62"/>
      <c r="AE1259" s="63"/>
      <c r="AF1259" s="156"/>
      <c r="AG1259" s="63"/>
      <c r="AH1259" s="63"/>
      <c r="AI1259" s="74"/>
      <c r="AJ1259" s="156"/>
      <c r="AK1259" s="74"/>
      <c r="AL1259" s="156"/>
      <c r="AM1259" s="74"/>
      <c r="AN1259" s="156"/>
      <c r="AO1259" s="74"/>
      <c r="AP1259" s="363"/>
      <c r="AQ1259" s="363"/>
      <c r="AR1259" s="363"/>
      <c r="AS1259" s="74"/>
      <c r="AT1259" s="74"/>
      <c r="AU1259" s="74"/>
      <c r="AV1259" s="74"/>
      <c r="AW1259" s="74"/>
      <c r="AX1259" s="74"/>
      <c r="AY1259" s="74"/>
      <c r="AZ1259" s="74"/>
      <c r="BA1259" s="74"/>
      <c r="BB1259" s="74"/>
      <c r="BC1259" s="170"/>
      <c r="BD1259" s="156"/>
      <c r="BE1259" s="156"/>
      <c r="BF1259" s="299"/>
      <c r="BG1259" s="74"/>
      <c r="BH1259" s="74"/>
      <c r="BI1259" s="74"/>
      <c r="BJ1259" s="74"/>
      <c r="BK1259" s="74"/>
      <c r="BL1259" s="74"/>
      <c r="BM1259" s="74"/>
      <c r="BN1259" s="74"/>
      <c r="BO1259" s="74"/>
      <c r="BP1259" s="74"/>
      <c r="BQ1259" s="74"/>
      <c r="BR1259" s="74"/>
      <c r="BS1259" s="74"/>
      <c r="BT1259" s="74"/>
      <c r="BU1259" s="74"/>
      <c r="BV1259" s="74"/>
      <c r="BW1259" s="74"/>
      <c r="BX1259" s="74"/>
      <c r="BY1259" s="63"/>
      <c r="BZ1259" s="63"/>
    </row>
    <row r="1260" ht="15.75" customHeight="1">
      <c r="A1260" s="201"/>
      <c r="B1260" s="74"/>
      <c r="C1260" s="74"/>
      <c r="D1260" s="74"/>
      <c r="E1260" s="156"/>
      <c r="F1260" s="78">
        <v>0.0</v>
      </c>
      <c r="G1260" s="44" t="str">
        <f t="shared" si="35"/>
        <v>$0 a $100'000.000</v>
      </c>
      <c r="H1260" s="44"/>
      <c r="I1260" s="44"/>
      <c r="J1260" s="74"/>
      <c r="K1260" s="359"/>
      <c r="L1260" s="74"/>
      <c r="M1260" s="74"/>
      <c r="N1260" s="74"/>
      <c r="O1260" s="74"/>
      <c r="P1260" s="74"/>
      <c r="Q1260" s="74"/>
      <c r="R1260" s="362"/>
      <c r="S1260" s="56" t="str">
        <f t="shared" si="36"/>
        <v> </v>
      </c>
      <c r="T1260" s="74"/>
      <c r="U1260" s="359"/>
      <c r="V1260" s="74"/>
      <c r="W1260" s="74"/>
      <c r="X1260" s="74"/>
      <c r="Y1260" s="74"/>
      <c r="Z1260" s="364"/>
      <c r="AA1260" s="59" t="str">
        <f>IF(Rentabilidad=0,"No aplica",TEXT(ROUND(Precio/Rentabilidad/12,0),0) &amp; " años")</f>
        <v>No aplica</v>
      </c>
      <c r="AB1260" s="360"/>
      <c r="AC1260" s="61"/>
      <c r="AD1260" s="62"/>
      <c r="AE1260" s="63"/>
      <c r="AF1260" s="156"/>
      <c r="AG1260" s="63"/>
      <c r="AH1260" s="63"/>
      <c r="AI1260" s="74"/>
      <c r="AJ1260" s="156"/>
      <c r="AK1260" s="74"/>
      <c r="AL1260" s="156"/>
      <c r="AM1260" s="74"/>
      <c r="AN1260" s="156"/>
      <c r="AO1260" s="74"/>
      <c r="AP1260" s="363"/>
      <c r="AQ1260" s="363"/>
      <c r="AR1260" s="363"/>
      <c r="AS1260" s="74"/>
      <c r="AT1260" s="74"/>
      <c r="AU1260" s="74"/>
      <c r="AV1260" s="74"/>
      <c r="AW1260" s="74"/>
      <c r="AX1260" s="74"/>
      <c r="AY1260" s="74"/>
      <c r="AZ1260" s="74"/>
      <c r="BA1260" s="74"/>
      <c r="BB1260" s="74"/>
      <c r="BC1260" s="170"/>
      <c r="BD1260" s="156"/>
      <c r="BE1260" s="156"/>
      <c r="BF1260" s="299"/>
      <c r="BG1260" s="74"/>
      <c r="BH1260" s="74"/>
      <c r="BI1260" s="74"/>
      <c r="BJ1260" s="74"/>
      <c r="BK1260" s="74"/>
      <c r="BL1260" s="74"/>
      <c r="BM1260" s="74"/>
      <c r="BN1260" s="74"/>
      <c r="BO1260" s="74"/>
      <c r="BP1260" s="74"/>
      <c r="BQ1260" s="74"/>
      <c r="BR1260" s="74"/>
      <c r="BS1260" s="74"/>
      <c r="BT1260" s="74"/>
      <c r="BU1260" s="74"/>
      <c r="BV1260" s="74"/>
      <c r="BW1260" s="74"/>
      <c r="BX1260" s="74"/>
      <c r="BY1260" s="63"/>
      <c r="BZ1260" s="63"/>
    </row>
    <row r="1261" ht="15.75" customHeight="1">
      <c r="A1261" s="201"/>
      <c r="B1261" s="74"/>
      <c r="C1261" s="74"/>
      <c r="D1261" s="74"/>
      <c r="E1261" s="156"/>
      <c r="F1261" s="78">
        <v>0.0</v>
      </c>
      <c r="G1261" s="44" t="str">
        <f t="shared" si="35"/>
        <v>$0 a $100'000.000</v>
      </c>
      <c r="H1261" s="44"/>
      <c r="I1261" s="44"/>
      <c r="J1261" s="74"/>
      <c r="K1261" s="359"/>
      <c r="L1261" s="74"/>
      <c r="M1261" s="74"/>
      <c r="N1261" s="74"/>
      <c r="O1261" s="74"/>
      <c r="P1261" s="74"/>
      <c r="Q1261" s="74"/>
      <c r="R1261" s="362"/>
      <c r="S1261" s="56" t="str">
        <f t="shared" si="36"/>
        <v> </v>
      </c>
      <c r="T1261" s="74"/>
      <c r="U1261" s="359"/>
      <c r="V1261" s="74"/>
      <c r="W1261" s="74"/>
      <c r="X1261" s="74"/>
      <c r="Y1261" s="74"/>
      <c r="Z1261" s="364"/>
      <c r="AA1261" s="59" t="str">
        <f>IF(Rentabilidad=0,"No aplica",TEXT(ROUND(Precio/Rentabilidad/12,0),0) &amp; " años")</f>
        <v>No aplica</v>
      </c>
      <c r="AB1261" s="360"/>
      <c r="AC1261" s="61"/>
      <c r="AD1261" s="62"/>
      <c r="AE1261" s="63"/>
      <c r="AF1261" s="156"/>
      <c r="AG1261" s="63"/>
      <c r="AH1261" s="63"/>
      <c r="AI1261" s="74"/>
      <c r="AJ1261" s="156"/>
      <c r="AK1261" s="74"/>
      <c r="AL1261" s="156"/>
      <c r="AM1261" s="74"/>
      <c r="AN1261" s="156"/>
      <c r="AO1261" s="74"/>
      <c r="AP1261" s="363"/>
      <c r="AQ1261" s="363"/>
      <c r="AR1261" s="363"/>
      <c r="AS1261" s="74"/>
      <c r="AT1261" s="74"/>
      <c r="AU1261" s="74"/>
      <c r="AV1261" s="74"/>
      <c r="AW1261" s="74"/>
      <c r="AX1261" s="74"/>
      <c r="AY1261" s="74"/>
      <c r="AZ1261" s="74"/>
      <c r="BA1261" s="74"/>
      <c r="BB1261" s="74"/>
      <c r="BC1261" s="170"/>
      <c r="BD1261" s="156"/>
      <c r="BE1261" s="156"/>
      <c r="BF1261" s="299"/>
      <c r="BG1261" s="74"/>
      <c r="BH1261" s="74"/>
      <c r="BI1261" s="74"/>
      <c r="BJ1261" s="74"/>
      <c r="BK1261" s="74"/>
      <c r="BL1261" s="74"/>
      <c r="BM1261" s="74"/>
      <c r="BN1261" s="74"/>
      <c r="BO1261" s="74"/>
      <c r="BP1261" s="74"/>
      <c r="BQ1261" s="74"/>
      <c r="BR1261" s="74"/>
      <c r="BS1261" s="74"/>
      <c r="BT1261" s="74"/>
      <c r="BU1261" s="74"/>
      <c r="BV1261" s="74"/>
      <c r="BW1261" s="74"/>
      <c r="BX1261" s="74"/>
      <c r="BY1261" s="63"/>
      <c r="BZ1261" s="63"/>
    </row>
    <row r="1262" ht="15.75" customHeight="1">
      <c r="A1262" s="201"/>
      <c r="B1262" s="74"/>
      <c r="C1262" s="74"/>
      <c r="D1262" s="74"/>
      <c r="E1262" s="156"/>
      <c r="F1262" s="78">
        <v>0.0</v>
      </c>
      <c r="G1262" s="44" t="str">
        <f t="shared" si="35"/>
        <v>$0 a $100'000.000</v>
      </c>
      <c r="H1262" s="44"/>
      <c r="I1262" s="44"/>
      <c r="J1262" s="74"/>
      <c r="K1262" s="359"/>
      <c r="L1262" s="74"/>
      <c r="M1262" s="74"/>
      <c r="N1262" s="74"/>
      <c r="O1262" s="74"/>
      <c r="P1262" s="74"/>
      <c r="Q1262" s="74"/>
      <c r="R1262" s="362"/>
      <c r="S1262" s="56" t="str">
        <f t="shared" si="36"/>
        <v> </v>
      </c>
      <c r="T1262" s="74"/>
      <c r="U1262" s="359"/>
      <c r="V1262" s="74"/>
      <c r="W1262" s="74"/>
      <c r="X1262" s="74"/>
      <c r="Y1262" s="74"/>
      <c r="Z1262" s="364"/>
      <c r="AA1262" s="59" t="str">
        <f>IF(Rentabilidad=0,"No aplica",TEXT(ROUND(Precio/Rentabilidad/12,0),0) &amp; " años")</f>
        <v>No aplica</v>
      </c>
      <c r="AB1262" s="360"/>
      <c r="AC1262" s="61"/>
      <c r="AD1262" s="62"/>
      <c r="AE1262" s="63"/>
      <c r="AF1262" s="156"/>
      <c r="AG1262" s="63"/>
      <c r="AH1262" s="63"/>
      <c r="AI1262" s="74"/>
      <c r="AJ1262" s="156"/>
      <c r="AK1262" s="74"/>
      <c r="AL1262" s="156"/>
      <c r="AM1262" s="74"/>
      <c r="AN1262" s="156"/>
      <c r="AO1262" s="74"/>
      <c r="AP1262" s="363"/>
      <c r="AQ1262" s="363"/>
      <c r="AR1262" s="363"/>
      <c r="AS1262" s="74"/>
      <c r="AT1262" s="74"/>
      <c r="AU1262" s="74"/>
      <c r="AV1262" s="74"/>
      <c r="AW1262" s="74"/>
      <c r="AX1262" s="74"/>
      <c r="AY1262" s="74"/>
      <c r="AZ1262" s="74"/>
      <c r="BA1262" s="74"/>
      <c r="BB1262" s="74"/>
      <c r="BC1262" s="170"/>
      <c r="BD1262" s="156"/>
      <c r="BE1262" s="156"/>
      <c r="BF1262" s="299"/>
      <c r="BG1262" s="74"/>
      <c r="BH1262" s="74"/>
      <c r="BI1262" s="74"/>
      <c r="BJ1262" s="74"/>
      <c r="BK1262" s="74"/>
      <c r="BL1262" s="74"/>
      <c r="BM1262" s="74"/>
      <c r="BN1262" s="74"/>
      <c r="BO1262" s="74"/>
      <c r="BP1262" s="74"/>
      <c r="BQ1262" s="74"/>
      <c r="BR1262" s="74"/>
      <c r="BS1262" s="74"/>
      <c r="BT1262" s="74"/>
      <c r="BU1262" s="74"/>
      <c r="BV1262" s="74"/>
      <c r="BW1262" s="74"/>
      <c r="BX1262" s="74"/>
      <c r="BY1262" s="63"/>
      <c r="BZ1262" s="63"/>
    </row>
    <row r="1263" ht="15.75" customHeight="1">
      <c r="A1263" s="201"/>
      <c r="B1263" s="74"/>
      <c r="C1263" s="74"/>
      <c r="D1263" s="74"/>
      <c r="E1263" s="156"/>
      <c r="F1263" s="78">
        <v>0.0</v>
      </c>
      <c r="G1263" s="44" t="str">
        <f t="shared" si="35"/>
        <v>$0 a $100'000.000</v>
      </c>
      <c r="H1263" s="44"/>
      <c r="I1263" s="44"/>
      <c r="J1263" s="74"/>
      <c r="K1263" s="359"/>
      <c r="L1263" s="74"/>
      <c r="M1263" s="74"/>
      <c r="N1263" s="74"/>
      <c r="O1263" s="74"/>
      <c r="P1263" s="74"/>
      <c r="Q1263" s="74"/>
      <c r="R1263" s="362"/>
      <c r="S1263" s="56" t="str">
        <f t="shared" si="36"/>
        <v> </v>
      </c>
      <c r="T1263" s="74"/>
      <c r="U1263" s="359"/>
      <c r="V1263" s="74"/>
      <c r="W1263" s="74"/>
      <c r="X1263" s="74"/>
      <c r="Y1263" s="74"/>
      <c r="Z1263" s="364"/>
      <c r="AA1263" s="59" t="str">
        <f>IF(Rentabilidad=0,"No aplica",TEXT(ROUND(Precio/Rentabilidad/12,0),0) &amp; " años")</f>
        <v>No aplica</v>
      </c>
      <c r="AB1263" s="360"/>
      <c r="AC1263" s="61"/>
      <c r="AD1263" s="62"/>
      <c r="AE1263" s="63"/>
      <c r="AF1263" s="156"/>
      <c r="AG1263" s="63"/>
      <c r="AH1263" s="63"/>
      <c r="AI1263" s="74"/>
      <c r="AJ1263" s="156"/>
      <c r="AK1263" s="74"/>
      <c r="AL1263" s="156"/>
      <c r="AM1263" s="74"/>
      <c r="AN1263" s="156"/>
      <c r="AO1263" s="74"/>
      <c r="AP1263" s="363"/>
      <c r="AQ1263" s="363"/>
      <c r="AR1263" s="363"/>
      <c r="AS1263" s="74"/>
      <c r="AT1263" s="74"/>
      <c r="AU1263" s="74"/>
      <c r="AV1263" s="74"/>
      <c r="AW1263" s="74"/>
      <c r="AX1263" s="74"/>
      <c r="AY1263" s="74"/>
      <c r="AZ1263" s="74"/>
      <c r="BA1263" s="74"/>
      <c r="BB1263" s="74"/>
      <c r="BC1263" s="170"/>
      <c r="BD1263" s="156"/>
      <c r="BE1263" s="156"/>
      <c r="BF1263" s="299"/>
      <c r="BG1263" s="74"/>
      <c r="BH1263" s="74"/>
      <c r="BI1263" s="74"/>
      <c r="BJ1263" s="74"/>
      <c r="BK1263" s="74"/>
      <c r="BL1263" s="74"/>
      <c r="BM1263" s="74"/>
      <c r="BN1263" s="74"/>
      <c r="BO1263" s="74"/>
      <c r="BP1263" s="74"/>
      <c r="BQ1263" s="74"/>
      <c r="BR1263" s="74"/>
      <c r="BS1263" s="74"/>
      <c r="BT1263" s="74"/>
      <c r="BU1263" s="74"/>
      <c r="BV1263" s="74"/>
      <c r="BW1263" s="74"/>
      <c r="BX1263" s="74"/>
      <c r="BY1263" s="63"/>
      <c r="BZ1263" s="63"/>
    </row>
    <row r="1264" ht="15.75" customHeight="1">
      <c r="A1264" s="201"/>
      <c r="B1264" s="74"/>
      <c r="C1264" s="74"/>
      <c r="D1264" s="74"/>
      <c r="E1264" s="156"/>
      <c r="F1264" s="78">
        <v>0.0</v>
      </c>
      <c r="G1264" s="44" t="str">
        <f t="shared" si="35"/>
        <v>$0 a $100'000.000</v>
      </c>
      <c r="H1264" s="44"/>
      <c r="I1264" s="44"/>
      <c r="J1264" s="74"/>
      <c r="K1264" s="359"/>
      <c r="L1264" s="74"/>
      <c r="M1264" s="74"/>
      <c r="N1264" s="74"/>
      <c r="O1264" s="74"/>
      <c r="P1264" s="74"/>
      <c r="Q1264" s="74"/>
      <c r="R1264" s="362"/>
      <c r="S1264" s="56" t="str">
        <f t="shared" si="36"/>
        <v> </v>
      </c>
      <c r="T1264" s="74"/>
      <c r="U1264" s="359"/>
      <c r="V1264" s="74"/>
      <c r="W1264" s="74"/>
      <c r="X1264" s="74"/>
      <c r="Y1264" s="74"/>
      <c r="Z1264" s="364"/>
      <c r="AA1264" s="59" t="str">
        <f>IF(Rentabilidad=0,"No aplica",TEXT(ROUND(Precio/Rentabilidad/12,0),0) &amp; " años")</f>
        <v>No aplica</v>
      </c>
      <c r="AB1264" s="360"/>
      <c r="AC1264" s="61"/>
      <c r="AD1264" s="62"/>
      <c r="AE1264" s="63"/>
      <c r="AF1264" s="156"/>
      <c r="AG1264" s="63"/>
      <c r="AH1264" s="63"/>
      <c r="AI1264" s="74"/>
      <c r="AJ1264" s="156"/>
      <c r="AK1264" s="74"/>
      <c r="AL1264" s="156"/>
      <c r="AM1264" s="74"/>
      <c r="AN1264" s="156"/>
      <c r="AO1264" s="74"/>
      <c r="AP1264" s="363"/>
      <c r="AQ1264" s="363"/>
      <c r="AR1264" s="363"/>
      <c r="AS1264" s="74"/>
      <c r="AT1264" s="74"/>
      <c r="AU1264" s="74"/>
      <c r="AV1264" s="74"/>
      <c r="AW1264" s="74"/>
      <c r="AX1264" s="74"/>
      <c r="AY1264" s="74"/>
      <c r="AZ1264" s="74"/>
      <c r="BA1264" s="74"/>
      <c r="BB1264" s="74"/>
      <c r="BC1264" s="170"/>
      <c r="BD1264" s="156"/>
      <c r="BE1264" s="156"/>
      <c r="BF1264" s="299"/>
      <c r="BG1264" s="74"/>
      <c r="BH1264" s="74"/>
      <c r="BI1264" s="74"/>
      <c r="BJ1264" s="74"/>
      <c r="BK1264" s="74"/>
      <c r="BL1264" s="74"/>
      <c r="BM1264" s="74"/>
      <c r="BN1264" s="74"/>
      <c r="BO1264" s="74"/>
      <c r="BP1264" s="74"/>
      <c r="BQ1264" s="74"/>
      <c r="BR1264" s="74"/>
      <c r="BS1264" s="74"/>
      <c r="BT1264" s="74"/>
      <c r="BU1264" s="74"/>
      <c r="BV1264" s="74"/>
      <c r="BW1264" s="74"/>
      <c r="BX1264" s="74"/>
      <c r="BY1264" s="63"/>
      <c r="BZ1264" s="63"/>
    </row>
    <row r="1265" ht="15.75" customHeight="1">
      <c r="A1265" s="201"/>
      <c r="B1265" s="74"/>
      <c r="C1265" s="74"/>
      <c r="D1265" s="74"/>
      <c r="E1265" s="156"/>
      <c r="F1265" s="78">
        <v>0.0</v>
      </c>
      <c r="G1265" s="44" t="str">
        <f t="shared" si="35"/>
        <v>$0 a $100'000.000</v>
      </c>
      <c r="H1265" s="44"/>
      <c r="I1265" s="44"/>
      <c r="J1265" s="74"/>
      <c r="K1265" s="359"/>
      <c r="L1265" s="74"/>
      <c r="M1265" s="74"/>
      <c r="N1265" s="74"/>
      <c r="O1265" s="74"/>
      <c r="P1265" s="74"/>
      <c r="Q1265" s="74"/>
      <c r="R1265" s="362"/>
      <c r="S1265" s="56" t="str">
        <f t="shared" si="36"/>
        <v> </v>
      </c>
      <c r="T1265" s="74"/>
      <c r="U1265" s="359"/>
      <c r="V1265" s="74"/>
      <c r="W1265" s="74"/>
      <c r="X1265" s="74"/>
      <c r="Y1265" s="74"/>
      <c r="Z1265" s="364"/>
      <c r="AA1265" s="59" t="str">
        <f>IF(Rentabilidad=0,"No aplica",TEXT(ROUND(Precio/Rentabilidad/12,0),0) &amp; " años")</f>
        <v>No aplica</v>
      </c>
      <c r="AB1265" s="360"/>
      <c r="AC1265" s="61"/>
      <c r="AD1265" s="62"/>
      <c r="AE1265" s="63"/>
      <c r="AF1265" s="156"/>
      <c r="AG1265" s="63"/>
      <c r="AH1265" s="63"/>
      <c r="AI1265" s="74"/>
      <c r="AJ1265" s="156"/>
      <c r="AK1265" s="74"/>
      <c r="AL1265" s="156"/>
      <c r="AM1265" s="74"/>
      <c r="AN1265" s="156"/>
      <c r="AO1265" s="74"/>
      <c r="AP1265" s="363"/>
      <c r="AQ1265" s="363"/>
      <c r="AR1265" s="363"/>
      <c r="AS1265" s="74"/>
      <c r="AT1265" s="74"/>
      <c r="AU1265" s="74"/>
      <c r="AV1265" s="74"/>
      <c r="AW1265" s="74"/>
      <c r="AX1265" s="74"/>
      <c r="AY1265" s="74"/>
      <c r="AZ1265" s="74"/>
      <c r="BA1265" s="74"/>
      <c r="BB1265" s="74"/>
      <c r="BC1265" s="170"/>
      <c r="BD1265" s="156"/>
      <c r="BE1265" s="156"/>
      <c r="BF1265" s="299"/>
      <c r="BG1265" s="74"/>
      <c r="BH1265" s="74"/>
      <c r="BI1265" s="74"/>
      <c r="BJ1265" s="74"/>
      <c r="BK1265" s="74"/>
      <c r="BL1265" s="74"/>
      <c r="BM1265" s="74"/>
      <c r="BN1265" s="74"/>
      <c r="BO1265" s="74"/>
      <c r="BP1265" s="74"/>
      <c r="BQ1265" s="74"/>
      <c r="BR1265" s="74"/>
      <c r="BS1265" s="74"/>
      <c r="BT1265" s="74"/>
      <c r="BU1265" s="74"/>
      <c r="BV1265" s="74"/>
      <c r="BW1265" s="74"/>
      <c r="BX1265" s="74"/>
      <c r="BY1265" s="63"/>
      <c r="BZ1265" s="63"/>
    </row>
    <row r="1266" ht="15.75" customHeight="1">
      <c r="A1266" s="201"/>
      <c r="B1266" s="74"/>
      <c r="C1266" s="74"/>
      <c r="D1266" s="74"/>
      <c r="E1266" s="156"/>
      <c r="F1266" s="78">
        <v>0.0</v>
      </c>
      <c r="G1266" s="44" t="str">
        <f t="shared" si="35"/>
        <v>$0 a $100'000.000</v>
      </c>
      <c r="H1266" s="44"/>
      <c r="I1266" s="44"/>
      <c r="J1266" s="74"/>
      <c r="K1266" s="359"/>
      <c r="L1266" s="74"/>
      <c r="M1266" s="74"/>
      <c r="N1266" s="74"/>
      <c r="O1266" s="74"/>
      <c r="P1266" s="74"/>
      <c r="Q1266" s="74"/>
      <c r="R1266" s="362"/>
      <c r="S1266" s="56" t="str">
        <f t="shared" si="36"/>
        <v> </v>
      </c>
      <c r="T1266" s="74"/>
      <c r="U1266" s="359"/>
      <c r="V1266" s="74"/>
      <c r="W1266" s="74"/>
      <c r="X1266" s="74"/>
      <c r="Y1266" s="74"/>
      <c r="Z1266" s="364"/>
      <c r="AA1266" s="59" t="str">
        <f>IF(Rentabilidad=0,"No aplica",TEXT(ROUND(Precio/Rentabilidad/12,0),0) &amp; " años")</f>
        <v>No aplica</v>
      </c>
      <c r="AB1266" s="360"/>
      <c r="AC1266" s="61"/>
      <c r="AD1266" s="62"/>
      <c r="AE1266" s="63"/>
      <c r="AF1266" s="156"/>
      <c r="AG1266" s="63"/>
      <c r="AH1266" s="63"/>
      <c r="AI1266" s="74"/>
      <c r="AJ1266" s="156"/>
      <c r="AK1266" s="74"/>
      <c r="AL1266" s="156"/>
      <c r="AM1266" s="74"/>
      <c r="AN1266" s="156"/>
      <c r="AO1266" s="74"/>
      <c r="AP1266" s="363"/>
      <c r="AQ1266" s="363"/>
      <c r="AR1266" s="363"/>
      <c r="AS1266" s="74"/>
      <c r="AT1266" s="74"/>
      <c r="AU1266" s="74"/>
      <c r="AV1266" s="74"/>
      <c r="AW1266" s="74"/>
      <c r="AX1266" s="74"/>
      <c r="AY1266" s="74"/>
      <c r="AZ1266" s="74"/>
      <c r="BA1266" s="74"/>
      <c r="BB1266" s="74"/>
      <c r="BC1266" s="170"/>
      <c r="BD1266" s="156"/>
      <c r="BE1266" s="156"/>
      <c r="BF1266" s="299"/>
      <c r="BG1266" s="74"/>
      <c r="BH1266" s="74"/>
      <c r="BI1266" s="74"/>
      <c r="BJ1266" s="74"/>
      <c r="BK1266" s="74"/>
      <c r="BL1266" s="74"/>
      <c r="BM1266" s="74"/>
      <c r="BN1266" s="74"/>
      <c r="BO1266" s="74"/>
      <c r="BP1266" s="74"/>
      <c r="BQ1266" s="74"/>
      <c r="BR1266" s="74"/>
      <c r="BS1266" s="74"/>
      <c r="BT1266" s="74"/>
      <c r="BU1266" s="74"/>
      <c r="BV1266" s="74"/>
      <c r="BW1266" s="74"/>
      <c r="BX1266" s="74"/>
      <c r="BY1266" s="63"/>
      <c r="BZ1266" s="63"/>
    </row>
    <row r="1267" ht="15.75" customHeight="1">
      <c r="A1267" s="201"/>
      <c r="B1267" s="74"/>
      <c r="C1267" s="74"/>
      <c r="D1267" s="74"/>
      <c r="E1267" s="156"/>
      <c r="F1267" s="78">
        <v>0.0</v>
      </c>
      <c r="G1267" s="44" t="str">
        <f t="shared" si="35"/>
        <v>$0 a $100'000.000</v>
      </c>
      <c r="H1267" s="44"/>
      <c r="I1267" s="44"/>
      <c r="J1267" s="74"/>
      <c r="K1267" s="359"/>
      <c r="L1267" s="74"/>
      <c r="M1267" s="74"/>
      <c r="N1267" s="74"/>
      <c r="O1267" s="74"/>
      <c r="P1267" s="74"/>
      <c r="Q1267" s="74"/>
      <c r="R1267" s="362"/>
      <c r="S1267" s="56" t="str">
        <f t="shared" si="36"/>
        <v> </v>
      </c>
      <c r="T1267" s="74"/>
      <c r="U1267" s="359"/>
      <c r="V1267" s="74"/>
      <c r="W1267" s="74"/>
      <c r="X1267" s="74"/>
      <c r="Y1267" s="74"/>
      <c r="Z1267" s="364"/>
      <c r="AA1267" s="59" t="str">
        <f>IF(Rentabilidad=0,"No aplica",TEXT(ROUND(Precio/Rentabilidad/12,0),0) &amp; " años")</f>
        <v>No aplica</v>
      </c>
      <c r="AB1267" s="360"/>
      <c r="AC1267" s="61"/>
      <c r="AD1267" s="62"/>
      <c r="AE1267" s="63"/>
      <c r="AF1267" s="156"/>
      <c r="AG1267" s="63"/>
      <c r="AH1267" s="63"/>
      <c r="AI1267" s="74"/>
      <c r="AJ1267" s="156"/>
      <c r="AK1267" s="74"/>
      <c r="AL1267" s="156"/>
      <c r="AM1267" s="74"/>
      <c r="AN1267" s="156"/>
      <c r="AO1267" s="74"/>
      <c r="AP1267" s="363"/>
      <c r="AQ1267" s="363"/>
      <c r="AR1267" s="363"/>
      <c r="AS1267" s="74"/>
      <c r="AT1267" s="74"/>
      <c r="AU1267" s="74"/>
      <c r="AV1267" s="74"/>
      <c r="AW1267" s="74"/>
      <c r="AX1267" s="74"/>
      <c r="AY1267" s="74"/>
      <c r="AZ1267" s="74"/>
      <c r="BA1267" s="74"/>
      <c r="BB1267" s="74"/>
      <c r="BC1267" s="170"/>
      <c r="BD1267" s="156"/>
      <c r="BE1267" s="156"/>
      <c r="BF1267" s="299"/>
      <c r="BG1267" s="74"/>
      <c r="BH1267" s="74"/>
      <c r="BI1267" s="74"/>
      <c r="BJ1267" s="74"/>
      <c r="BK1267" s="74"/>
      <c r="BL1267" s="74"/>
      <c r="BM1267" s="74"/>
      <c r="BN1267" s="74"/>
      <c r="BO1267" s="74"/>
      <c r="BP1267" s="74"/>
      <c r="BQ1267" s="74"/>
      <c r="BR1267" s="74"/>
      <c r="BS1267" s="74"/>
      <c r="BT1267" s="74"/>
      <c r="BU1267" s="74"/>
      <c r="BV1267" s="74"/>
      <c r="BW1267" s="74"/>
      <c r="BX1267" s="74"/>
      <c r="BY1267" s="63"/>
      <c r="BZ1267" s="63"/>
    </row>
    <row r="1268" ht="15.75" customHeight="1">
      <c r="A1268" s="201"/>
      <c r="B1268" s="74"/>
      <c r="C1268" s="74"/>
      <c r="D1268" s="74"/>
      <c r="E1268" s="156"/>
      <c r="F1268" s="78">
        <v>0.0</v>
      </c>
      <c r="G1268" s="44" t="str">
        <f t="shared" si="35"/>
        <v>$0 a $100'000.000</v>
      </c>
      <c r="H1268" s="44"/>
      <c r="I1268" s="44"/>
      <c r="J1268" s="74"/>
      <c r="K1268" s="359"/>
      <c r="L1268" s="74"/>
      <c r="M1268" s="74"/>
      <c r="N1268" s="74"/>
      <c r="O1268" s="74"/>
      <c r="P1268" s="74"/>
      <c r="Q1268" s="74"/>
      <c r="R1268" s="362"/>
      <c r="S1268" s="56" t="str">
        <f t="shared" si="36"/>
        <v> </v>
      </c>
      <c r="T1268" s="74"/>
      <c r="U1268" s="359"/>
      <c r="V1268" s="74"/>
      <c r="W1268" s="74"/>
      <c r="X1268" s="74"/>
      <c r="Y1268" s="74"/>
      <c r="Z1268" s="364"/>
      <c r="AA1268" s="59" t="str">
        <f>IF(Rentabilidad=0,"No aplica",TEXT(ROUND(Precio/Rentabilidad/12,0),0) &amp; " años")</f>
        <v>No aplica</v>
      </c>
      <c r="AB1268" s="360"/>
      <c r="AC1268" s="61"/>
      <c r="AD1268" s="62"/>
      <c r="AE1268" s="63"/>
      <c r="AF1268" s="156"/>
      <c r="AG1268" s="63"/>
      <c r="AH1268" s="63"/>
      <c r="AI1268" s="74"/>
      <c r="AJ1268" s="156"/>
      <c r="AK1268" s="74"/>
      <c r="AL1268" s="156"/>
      <c r="AM1268" s="74"/>
      <c r="AN1268" s="156"/>
      <c r="AO1268" s="74"/>
      <c r="AP1268" s="363"/>
      <c r="AQ1268" s="363"/>
      <c r="AR1268" s="363"/>
      <c r="AS1268" s="74"/>
      <c r="AT1268" s="74"/>
      <c r="AU1268" s="74"/>
      <c r="AV1268" s="74"/>
      <c r="AW1268" s="74"/>
      <c r="AX1268" s="74"/>
      <c r="AY1268" s="74"/>
      <c r="AZ1268" s="74"/>
      <c r="BA1268" s="74"/>
      <c r="BB1268" s="74"/>
      <c r="BC1268" s="170"/>
      <c r="BD1268" s="156"/>
      <c r="BE1268" s="156"/>
      <c r="BF1268" s="299"/>
      <c r="BG1268" s="74"/>
      <c r="BH1268" s="74"/>
      <c r="BI1268" s="74"/>
      <c r="BJ1268" s="74"/>
      <c r="BK1268" s="74"/>
      <c r="BL1268" s="74"/>
      <c r="BM1268" s="74"/>
      <c r="BN1268" s="74"/>
      <c r="BO1268" s="74"/>
      <c r="BP1268" s="74"/>
      <c r="BQ1268" s="74"/>
      <c r="BR1268" s="74"/>
      <c r="BS1268" s="74"/>
      <c r="BT1268" s="74"/>
      <c r="BU1268" s="74"/>
      <c r="BV1268" s="74"/>
      <c r="BW1268" s="74"/>
      <c r="BX1268" s="74"/>
      <c r="BY1268" s="63"/>
      <c r="BZ1268" s="63"/>
    </row>
    <row r="1269" ht="15.75" customHeight="1">
      <c r="A1269" s="201"/>
      <c r="B1269" s="74"/>
      <c r="C1269" s="74"/>
      <c r="D1269" s="74"/>
      <c r="E1269" s="156"/>
      <c r="F1269" s="78">
        <v>0.0</v>
      </c>
      <c r="G1269" s="44" t="str">
        <f t="shared" si="35"/>
        <v>$0 a $100'000.000</v>
      </c>
      <c r="H1269" s="44"/>
      <c r="I1269" s="44"/>
      <c r="J1269" s="74"/>
      <c r="K1269" s="359"/>
      <c r="L1269" s="74"/>
      <c r="M1269" s="74"/>
      <c r="N1269" s="74"/>
      <c r="O1269" s="74"/>
      <c r="P1269" s="74"/>
      <c r="Q1269" s="74"/>
      <c r="R1269" s="362"/>
      <c r="S1269" s="56" t="str">
        <f t="shared" si="36"/>
        <v> </v>
      </c>
      <c r="T1269" s="74"/>
      <c r="U1269" s="359"/>
      <c r="V1269" s="74"/>
      <c r="W1269" s="74"/>
      <c r="X1269" s="74"/>
      <c r="Y1269" s="74"/>
      <c r="Z1269" s="364"/>
      <c r="AA1269" s="59" t="str">
        <f>IF(Rentabilidad=0,"No aplica",TEXT(ROUND(Precio/Rentabilidad/12,0),0) &amp; " años")</f>
        <v>No aplica</v>
      </c>
      <c r="AB1269" s="360"/>
      <c r="AC1269" s="61"/>
      <c r="AD1269" s="62"/>
      <c r="AE1269" s="63"/>
      <c r="AF1269" s="156"/>
      <c r="AG1269" s="63"/>
      <c r="AH1269" s="63"/>
      <c r="AI1269" s="74"/>
      <c r="AJ1269" s="156"/>
      <c r="AK1269" s="74"/>
      <c r="AL1269" s="156"/>
      <c r="AM1269" s="74"/>
      <c r="AN1269" s="156"/>
      <c r="AO1269" s="74"/>
      <c r="AP1269" s="363"/>
      <c r="AQ1269" s="363"/>
      <c r="AR1269" s="363"/>
      <c r="AS1269" s="74"/>
      <c r="AT1269" s="74"/>
      <c r="AU1269" s="74"/>
      <c r="AV1269" s="74"/>
      <c r="AW1269" s="74"/>
      <c r="AX1269" s="74"/>
      <c r="AY1269" s="74"/>
      <c r="AZ1269" s="74"/>
      <c r="BA1269" s="74"/>
      <c r="BB1269" s="74"/>
      <c r="BC1269" s="170"/>
      <c r="BD1269" s="156"/>
      <c r="BE1269" s="156"/>
      <c r="BF1269" s="299"/>
      <c r="BG1269" s="74"/>
      <c r="BH1269" s="74"/>
      <c r="BI1269" s="74"/>
      <c r="BJ1269" s="74"/>
      <c r="BK1269" s="74"/>
      <c r="BL1269" s="74"/>
      <c r="BM1269" s="74"/>
      <c r="BN1269" s="74"/>
      <c r="BO1269" s="74"/>
      <c r="BP1269" s="74"/>
      <c r="BQ1269" s="74"/>
      <c r="BR1269" s="74"/>
      <c r="BS1269" s="74"/>
      <c r="BT1269" s="74"/>
      <c r="BU1269" s="74"/>
      <c r="BV1269" s="74"/>
      <c r="BW1269" s="74"/>
      <c r="BX1269" s="74"/>
      <c r="BY1269" s="63"/>
      <c r="BZ1269" s="63"/>
    </row>
    <row r="1270" ht="15.75" customHeight="1">
      <c r="A1270" s="201"/>
      <c r="B1270" s="74"/>
      <c r="C1270" s="74"/>
      <c r="D1270" s="74"/>
      <c r="E1270" s="156"/>
      <c r="F1270" s="78">
        <v>0.0</v>
      </c>
      <c r="G1270" s="44" t="str">
        <f t="shared" si="35"/>
        <v>$0 a $100'000.000</v>
      </c>
      <c r="H1270" s="44"/>
      <c r="I1270" s="44"/>
      <c r="J1270" s="74"/>
      <c r="K1270" s="359"/>
      <c r="L1270" s="74"/>
      <c r="M1270" s="74"/>
      <c r="N1270" s="74"/>
      <c r="O1270" s="74"/>
      <c r="P1270" s="74"/>
      <c r="Q1270" s="74"/>
      <c r="R1270" s="362"/>
      <c r="S1270" s="56" t="str">
        <f t="shared" si="36"/>
        <v> </v>
      </c>
      <c r="T1270" s="74"/>
      <c r="U1270" s="359"/>
      <c r="V1270" s="74"/>
      <c r="W1270" s="74"/>
      <c r="X1270" s="74"/>
      <c r="Y1270" s="74"/>
      <c r="Z1270" s="364"/>
      <c r="AA1270" s="59" t="str">
        <f>IF(Rentabilidad=0,"No aplica",TEXT(ROUND(Precio/Rentabilidad/12,0),0) &amp; " años")</f>
        <v>No aplica</v>
      </c>
      <c r="AB1270" s="360"/>
      <c r="AC1270" s="61"/>
      <c r="AD1270" s="62"/>
      <c r="AE1270" s="63"/>
      <c r="AF1270" s="156"/>
      <c r="AG1270" s="63"/>
      <c r="AH1270" s="63"/>
      <c r="AI1270" s="74"/>
      <c r="AJ1270" s="156"/>
      <c r="AK1270" s="74"/>
      <c r="AL1270" s="156"/>
      <c r="AM1270" s="74"/>
      <c r="AN1270" s="156"/>
      <c r="AO1270" s="74"/>
      <c r="AP1270" s="363"/>
      <c r="AQ1270" s="363"/>
      <c r="AR1270" s="363"/>
      <c r="AS1270" s="74"/>
      <c r="AT1270" s="74"/>
      <c r="AU1270" s="74"/>
      <c r="AV1270" s="74"/>
      <c r="AW1270" s="74"/>
      <c r="AX1270" s="74"/>
      <c r="AY1270" s="74"/>
      <c r="AZ1270" s="74"/>
      <c r="BA1270" s="74"/>
      <c r="BB1270" s="74"/>
      <c r="BC1270" s="170"/>
      <c r="BD1270" s="156"/>
      <c r="BE1270" s="156"/>
      <c r="BF1270" s="299"/>
      <c r="BG1270" s="74"/>
      <c r="BH1270" s="74"/>
      <c r="BI1270" s="74"/>
      <c r="BJ1270" s="74"/>
      <c r="BK1270" s="74"/>
      <c r="BL1270" s="74"/>
      <c r="BM1270" s="74"/>
      <c r="BN1270" s="74"/>
      <c r="BO1270" s="74"/>
      <c r="BP1270" s="74"/>
      <c r="BQ1270" s="74"/>
      <c r="BR1270" s="74"/>
      <c r="BS1270" s="74"/>
      <c r="BT1270" s="74"/>
      <c r="BU1270" s="74"/>
      <c r="BV1270" s="74"/>
      <c r="BW1270" s="74"/>
      <c r="BX1270" s="74"/>
      <c r="BY1270" s="63"/>
      <c r="BZ1270" s="63"/>
    </row>
    <row r="1271" ht="15.75" customHeight="1">
      <c r="A1271" s="201"/>
      <c r="B1271" s="74"/>
      <c r="C1271" s="74"/>
      <c r="D1271" s="74"/>
      <c r="E1271" s="156"/>
      <c r="F1271" s="78">
        <v>0.0</v>
      </c>
      <c r="G1271" s="44" t="str">
        <f t="shared" si="35"/>
        <v>$0 a $100'000.000</v>
      </c>
      <c r="H1271" s="44"/>
      <c r="I1271" s="44"/>
      <c r="J1271" s="74"/>
      <c r="K1271" s="359"/>
      <c r="L1271" s="74"/>
      <c r="M1271" s="74"/>
      <c r="N1271" s="74"/>
      <c r="O1271" s="74"/>
      <c r="P1271" s="74"/>
      <c r="Q1271" s="74"/>
      <c r="R1271" s="362"/>
      <c r="S1271" s="56" t="str">
        <f t="shared" si="36"/>
        <v> </v>
      </c>
      <c r="T1271" s="74"/>
      <c r="U1271" s="359"/>
      <c r="V1271" s="74"/>
      <c r="W1271" s="74"/>
      <c r="X1271" s="74"/>
      <c r="Y1271" s="74"/>
      <c r="Z1271" s="364"/>
      <c r="AA1271" s="59" t="str">
        <f>IF(Rentabilidad=0,"No aplica",TEXT(ROUND(Precio/Rentabilidad/12,0),0) &amp; " años")</f>
        <v>No aplica</v>
      </c>
      <c r="AB1271" s="360"/>
      <c r="AC1271" s="61"/>
      <c r="AD1271" s="62"/>
      <c r="AE1271" s="63"/>
      <c r="AF1271" s="156"/>
      <c r="AG1271" s="63"/>
      <c r="AH1271" s="63"/>
      <c r="AI1271" s="74"/>
      <c r="AJ1271" s="156"/>
      <c r="AK1271" s="74"/>
      <c r="AL1271" s="156"/>
      <c r="AM1271" s="74"/>
      <c r="AN1271" s="156"/>
      <c r="AO1271" s="74"/>
      <c r="AP1271" s="363"/>
      <c r="AQ1271" s="363"/>
      <c r="AR1271" s="363"/>
      <c r="AS1271" s="74"/>
      <c r="AT1271" s="74"/>
      <c r="AU1271" s="74"/>
      <c r="AV1271" s="74"/>
      <c r="AW1271" s="74"/>
      <c r="AX1271" s="74"/>
      <c r="AY1271" s="74"/>
      <c r="AZ1271" s="74"/>
      <c r="BA1271" s="74"/>
      <c r="BB1271" s="74"/>
      <c r="BC1271" s="170"/>
      <c r="BD1271" s="156"/>
      <c r="BE1271" s="156"/>
      <c r="BF1271" s="299"/>
      <c r="BG1271" s="74"/>
      <c r="BH1271" s="74"/>
      <c r="BI1271" s="74"/>
      <c r="BJ1271" s="74"/>
      <c r="BK1271" s="74"/>
      <c r="BL1271" s="74"/>
      <c r="BM1271" s="74"/>
      <c r="BN1271" s="74"/>
      <c r="BO1271" s="74"/>
      <c r="BP1271" s="74"/>
      <c r="BQ1271" s="74"/>
      <c r="BR1271" s="74"/>
      <c r="BS1271" s="74"/>
      <c r="BT1271" s="74"/>
      <c r="BU1271" s="74"/>
      <c r="BV1271" s="74"/>
      <c r="BW1271" s="74"/>
      <c r="BX1271" s="74"/>
      <c r="BY1271" s="63"/>
      <c r="BZ1271" s="63"/>
    </row>
    <row r="1272" ht="15.75" customHeight="1">
      <c r="A1272" s="201"/>
      <c r="B1272" s="74"/>
      <c r="C1272" s="74"/>
      <c r="D1272" s="74"/>
      <c r="E1272" s="156"/>
      <c r="F1272" s="78">
        <v>0.0</v>
      </c>
      <c r="G1272" s="44" t="str">
        <f t="shared" si="35"/>
        <v>$0 a $100'000.000</v>
      </c>
      <c r="H1272" s="44"/>
      <c r="I1272" s="44"/>
      <c r="J1272" s="74"/>
      <c r="K1272" s="359"/>
      <c r="L1272" s="74"/>
      <c r="M1272" s="74"/>
      <c r="N1272" s="74"/>
      <c r="O1272" s="74"/>
      <c r="P1272" s="74"/>
      <c r="Q1272" s="74"/>
      <c r="R1272" s="362"/>
      <c r="S1272" s="56" t="str">
        <f t="shared" si="36"/>
        <v> </v>
      </c>
      <c r="T1272" s="74"/>
      <c r="U1272" s="359"/>
      <c r="V1272" s="74"/>
      <c r="W1272" s="74"/>
      <c r="X1272" s="74"/>
      <c r="Y1272" s="74"/>
      <c r="Z1272" s="364"/>
      <c r="AA1272" s="59" t="str">
        <f>IF(Rentabilidad=0,"No aplica",TEXT(ROUND(Precio/Rentabilidad/12,0),0) &amp; " años")</f>
        <v>No aplica</v>
      </c>
      <c r="AB1272" s="360"/>
      <c r="AC1272" s="61"/>
      <c r="AD1272" s="62"/>
      <c r="AE1272" s="63"/>
      <c r="AF1272" s="156"/>
      <c r="AG1272" s="63"/>
      <c r="AH1272" s="63"/>
      <c r="AI1272" s="74"/>
      <c r="AJ1272" s="156"/>
      <c r="AK1272" s="74"/>
      <c r="AL1272" s="156"/>
      <c r="AM1272" s="74"/>
      <c r="AN1272" s="156"/>
      <c r="AO1272" s="74"/>
      <c r="AP1272" s="363"/>
      <c r="AQ1272" s="363"/>
      <c r="AR1272" s="363"/>
      <c r="AS1272" s="74"/>
      <c r="AT1272" s="74"/>
      <c r="AU1272" s="74"/>
      <c r="AV1272" s="74"/>
      <c r="AW1272" s="74"/>
      <c r="AX1272" s="74"/>
      <c r="AY1272" s="74"/>
      <c r="AZ1272" s="74"/>
      <c r="BA1272" s="74"/>
      <c r="BB1272" s="74"/>
      <c r="BC1272" s="170"/>
      <c r="BD1272" s="156"/>
      <c r="BE1272" s="156"/>
      <c r="BF1272" s="299"/>
      <c r="BG1272" s="74"/>
      <c r="BH1272" s="74"/>
      <c r="BI1272" s="74"/>
      <c r="BJ1272" s="74"/>
      <c r="BK1272" s="74"/>
      <c r="BL1272" s="74"/>
      <c r="BM1272" s="74"/>
      <c r="BN1272" s="74"/>
      <c r="BO1272" s="74"/>
      <c r="BP1272" s="74"/>
      <c r="BQ1272" s="74"/>
      <c r="BR1272" s="74"/>
      <c r="BS1272" s="74"/>
      <c r="BT1272" s="74"/>
      <c r="BU1272" s="74"/>
      <c r="BV1272" s="74"/>
      <c r="BW1272" s="74"/>
      <c r="BX1272" s="74"/>
      <c r="BY1272" s="63"/>
      <c r="BZ1272" s="63"/>
    </row>
    <row r="1273" ht="15.75" customHeight="1">
      <c r="A1273" s="201"/>
      <c r="B1273" s="74"/>
      <c r="C1273" s="74"/>
      <c r="D1273" s="74"/>
      <c r="E1273" s="156"/>
      <c r="F1273" s="78">
        <v>0.0</v>
      </c>
      <c r="G1273" s="44" t="str">
        <f t="shared" si="35"/>
        <v>$0 a $100'000.000</v>
      </c>
      <c r="H1273" s="44"/>
      <c r="I1273" s="44"/>
      <c r="J1273" s="74"/>
      <c r="K1273" s="359"/>
      <c r="L1273" s="74"/>
      <c r="M1273" s="74"/>
      <c r="N1273" s="74"/>
      <c r="O1273" s="74"/>
      <c r="P1273" s="74"/>
      <c r="Q1273" s="74"/>
      <c r="R1273" s="362"/>
      <c r="S1273" s="56" t="str">
        <f t="shared" si="36"/>
        <v> </v>
      </c>
      <c r="T1273" s="74"/>
      <c r="U1273" s="359"/>
      <c r="V1273" s="74"/>
      <c r="W1273" s="74"/>
      <c r="X1273" s="74"/>
      <c r="Y1273" s="74"/>
      <c r="Z1273" s="364"/>
      <c r="AA1273" s="59" t="str">
        <f>IF(Rentabilidad=0,"No aplica",TEXT(ROUND(Precio/Rentabilidad/12,0),0) &amp; " años")</f>
        <v>No aplica</v>
      </c>
      <c r="AB1273" s="360"/>
      <c r="AC1273" s="61"/>
      <c r="AD1273" s="62"/>
      <c r="AE1273" s="63"/>
      <c r="AF1273" s="156"/>
      <c r="AG1273" s="63"/>
      <c r="AH1273" s="63"/>
      <c r="AI1273" s="74"/>
      <c r="AJ1273" s="156"/>
      <c r="AK1273" s="74"/>
      <c r="AL1273" s="156"/>
      <c r="AM1273" s="74"/>
      <c r="AN1273" s="156"/>
      <c r="AO1273" s="74"/>
      <c r="AP1273" s="363"/>
      <c r="AQ1273" s="363"/>
      <c r="AR1273" s="363"/>
      <c r="AS1273" s="74"/>
      <c r="AT1273" s="74"/>
      <c r="AU1273" s="74"/>
      <c r="AV1273" s="74"/>
      <c r="AW1273" s="74"/>
      <c r="AX1273" s="74"/>
      <c r="AY1273" s="74"/>
      <c r="AZ1273" s="74"/>
      <c r="BA1273" s="74"/>
      <c r="BB1273" s="74"/>
      <c r="BC1273" s="170"/>
      <c r="BD1273" s="156"/>
      <c r="BE1273" s="156"/>
      <c r="BF1273" s="299"/>
      <c r="BG1273" s="74"/>
      <c r="BH1273" s="74"/>
      <c r="BI1273" s="74"/>
      <c r="BJ1273" s="74"/>
      <c r="BK1273" s="74"/>
      <c r="BL1273" s="74"/>
      <c r="BM1273" s="74"/>
      <c r="BN1273" s="74"/>
      <c r="BO1273" s="74"/>
      <c r="BP1273" s="74"/>
      <c r="BQ1273" s="74"/>
      <c r="BR1273" s="74"/>
      <c r="BS1273" s="74"/>
      <c r="BT1273" s="74"/>
      <c r="BU1273" s="74"/>
      <c r="BV1273" s="74"/>
      <c r="BW1273" s="74"/>
      <c r="BX1273" s="74"/>
      <c r="BY1273" s="63"/>
      <c r="BZ1273" s="63"/>
    </row>
    <row r="1274" ht="15.75" customHeight="1">
      <c r="A1274" s="201"/>
      <c r="B1274" s="74"/>
      <c r="C1274" s="74"/>
      <c r="D1274" s="74"/>
      <c r="E1274" s="156"/>
      <c r="F1274" s="78">
        <v>0.0</v>
      </c>
      <c r="G1274" s="44" t="str">
        <f t="shared" si="35"/>
        <v>$0 a $100'000.000</v>
      </c>
      <c r="H1274" s="44"/>
      <c r="I1274" s="44"/>
      <c r="J1274" s="74"/>
      <c r="K1274" s="359"/>
      <c r="L1274" s="74"/>
      <c r="M1274" s="74"/>
      <c r="N1274" s="74"/>
      <c r="O1274" s="74"/>
      <c r="P1274" s="74"/>
      <c r="Q1274" s="74"/>
      <c r="R1274" s="362"/>
      <c r="S1274" s="56" t="str">
        <f t="shared" si="36"/>
        <v> </v>
      </c>
      <c r="T1274" s="74"/>
      <c r="U1274" s="359"/>
      <c r="V1274" s="74"/>
      <c r="W1274" s="74"/>
      <c r="X1274" s="74"/>
      <c r="Y1274" s="74"/>
      <c r="Z1274" s="364"/>
      <c r="AA1274" s="59" t="str">
        <f>IF(Rentabilidad=0,"No aplica",TEXT(ROUND(Precio/Rentabilidad/12,0),0) &amp; " años")</f>
        <v>No aplica</v>
      </c>
      <c r="AB1274" s="360"/>
      <c r="AC1274" s="61"/>
      <c r="AD1274" s="62"/>
      <c r="AE1274" s="63"/>
      <c r="AF1274" s="156"/>
      <c r="AG1274" s="63"/>
      <c r="AH1274" s="63"/>
      <c r="AI1274" s="74"/>
      <c r="AJ1274" s="156"/>
      <c r="AK1274" s="74"/>
      <c r="AL1274" s="156"/>
      <c r="AM1274" s="74"/>
      <c r="AN1274" s="156"/>
      <c r="AO1274" s="74"/>
      <c r="AP1274" s="363"/>
      <c r="AQ1274" s="363"/>
      <c r="AR1274" s="363"/>
      <c r="AS1274" s="74"/>
      <c r="AT1274" s="74"/>
      <c r="AU1274" s="74"/>
      <c r="AV1274" s="74"/>
      <c r="AW1274" s="74"/>
      <c r="AX1274" s="74"/>
      <c r="AY1274" s="74"/>
      <c r="AZ1274" s="74"/>
      <c r="BA1274" s="74"/>
      <c r="BB1274" s="74"/>
      <c r="BC1274" s="170"/>
      <c r="BD1274" s="156"/>
      <c r="BE1274" s="156"/>
      <c r="BF1274" s="299"/>
      <c r="BG1274" s="74"/>
      <c r="BH1274" s="74"/>
      <c r="BI1274" s="74"/>
      <c r="BJ1274" s="74"/>
      <c r="BK1274" s="74"/>
      <c r="BL1274" s="74"/>
      <c r="BM1274" s="74"/>
      <c r="BN1274" s="74"/>
      <c r="BO1274" s="74"/>
      <c r="BP1274" s="74"/>
      <c r="BQ1274" s="74"/>
      <c r="BR1274" s="74"/>
      <c r="BS1274" s="74"/>
      <c r="BT1274" s="74"/>
      <c r="BU1274" s="74"/>
      <c r="BV1274" s="74"/>
      <c r="BW1274" s="74"/>
      <c r="BX1274" s="74"/>
      <c r="BY1274" s="63"/>
      <c r="BZ1274" s="63"/>
    </row>
    <row r="1275" ht="15.75" customHeight="1">
      <c r="A1275" s="201"/>
      <c r="B1275" s="74"/>
      <c r="C1275" s="74"/>
      <c r="D1275" s="74"/>
      <c r="E1275" s="156"/>
      <c r="F1275" s="78">
        <v>0.0</v>
      </c>
      <c r="G1275" s="44" t="str">
        <f t="shared" si="35"/>
        <v>$0 a $100'000.000</v>
      </c>
      <c r="H1275" s="44"/>
      <c r="I1275" s="44"/>
      <c r="J1275" s="74"/>
      <c r="K1275" s="359"/>
      <c r="L1275" s="74"/>
      <c r="M1275" s="74"/>
      <c r="N1275" s="74"/>
      <c r="O1275" s="74"/>
      <c r="P1275" s="74"/>
      <c r="Q1275" s="74"/>
      <c r="R1275" s="362"/>
      <c r="S1275" s="56" t="str">
        <f t="shared" si="36"/>
        <v> </v>
      </c>
      <c r="T1275" s="74"/>
      <c r="U1275" s="359"/>
      <c r="V1275" s="74"/>
      <c r="W1275" s="74"/>
      <c r="X1275" s="74"/>
      <c r="Y1275" s="74"/>
      <c r="Z1275" s="364"/>
      <c r="AA1275" s="59" t="str">
        <f>IF(Rentabilidad=0,"No aplica",TEXT(ROUND(Precio/Rentabilidad/12,0),0) &amp; " años")</f>
        <v>No aplica</v>
      </c>
      <c r="AB1275" s="360"/>
      <c r="AC1275" s="61"/>
      <c r="AD1275" s="62"/>
      <c r="AE1275" s="63"/>
      <c r="AF1275" s="156"/>
      <c r="AG1275" s="63"/>
      <c r="AH1275" s="63"/>
      <c r="AI1275" s="74"/>
      <c r="AJ1275" s="156"/>
      <c r="AK1275" s="74"/>
      <c r="AL1275" s="156"/>
      <c r="AM1275" s="74"/>
      <c r="AN1275" s="156"/>
      <c r="AO1275" s="74"/>
      <c r="AP1275" s="363"/>
      <c r="AQ1275" s="363"/>
      <c r="AR1275" s="363"/>
      <c r="AS1275" s="74"/>
      <c r="AT1275" s="74"/>
      <c r="AU1275" s="74"/>
      <c r="AV1275" s="74"/>
      <c r="AW1275" s="74"/>
      <c r="AX1275" s="74"/>
      <c r="AY1275" s="74"/>
      <c r="AZ1275" s="74"/>
      <c r="BA1275" s="74"/>
      <c r="BB1275" s="74"/>
      <c r="BC1275" s="170"/>
      <c r="BD1275" s="156"/>
      <c r="BE1275" s="156"/>
      <c r="BF1275" s="299"/>
      <c r="BG1275" s="74"/>
      <c r="BH1275" s="74"/>
      <c r="BI1275" s="74"/>
      <c r="BJ1275" s="74"/>
      <c r="BK1275" s="74"/>
      <c r="BL1275" s="74"/>
      <c r="BM1275" s="74"/>
      <c r="BN1275" s="74"/>
      <c r="BO1275" s="74"/>
      <c r="BP1275" s="74"/>
      <c r="BQ1275" s="74"/>
      <c r="BR1275" s="74"/>
      <c r="BS1275" s="74"/>
      <c r="BT1275" s="74"/>
      <c r="BU1275" s="74"/>
      <c r="BV1275" s="74"/>
      <c r="BW1275" s="74"/>
      <c r="BX1275" s="74"/>
      <c r="BY1275" s="63"/>
      <c r="BZ1275" s="63"/>
    </row>
    <row r="1276" ht="15.75" customHeight="1">
      <c r="A1276" s="201"/>
      <c r="B1276" s="74"/>
      <c r="C1276" s="74"/>
      <c r="D1276" s="74"/>
      <c r="E1276" s="156"/>
      <c r="F1276" s="78">
        <v>0.0</v>
      </c>
      <c r="G1276" s="44" t="str">
        <f t="shared" si="35"/>
        <v>$0 a $100'000.000</v>
      </c>
      <c r="H1276" s="44"/>
      <c r="I1276" s="44"/>
      <c r="J1276" s="74"/>
      <c r="K1276" s="359"/>
      <c r="L1276" s="74"/>
      <c r="M1276" s="74"/>
      <c r="N1276" s="74"/>
      <c r="O1276" s="74"/>
      <c r="P1276" s="74"/>
      <c r="Q1276" s="74"/>
      <c r="R1276" s="362"/>
      <c r="S1276" s="56" t="str">
        <f t="shared" si="36"/>
        <v> </v>
      </c>
      <c r="T1276" s="74"/>
      <c r="U1276" s="359"/>
      <c r="V1276" s="74"/>
      <c r="W1276" s="74"/>
      <c r="X1276" s="74"/>
      <c r="Y1276" s="74"/>
      <c r="Z1276" s="364"/>
      <c r="AA1276" s="59" t="str">
        <f>IF(Rentabilidad=0,"No aplica",TEXT(ROUND(Precio/Rentabilidad/12,0),0) &amp; " años")</f>
        <v>No aplica</v>
      </c>
      <c r="AB1276" s="360"/>
      <c r="AC1276" s="61"/>
      <c r="AD1276" s="62"/>
      <c r="AE1276" s="63"/>
      <c r="AF1276" s="156"/>
      <c r="AG1276" s="63"/>
      <c r="AH1276" s="63"/>
      <c r="AI1276" s="74"/>
      <c r="AJ1276" s="156"/>
      <c r="AK1276" s="74"/>
      <c r="AL1276" s="156"/>
      <c r="AM1276" s="74"/>
      <c r="AN1276" s="156"/>
      <c r="AO1276" s="74"/>
      <c r="AP1276" s="363"/>
      <c r="AQ1276" s="363"/>
      <c r="AR1276" s="363"/>
      <c r="AS1276" s="74"/>
      <c r="AT1276" s="74"/>
      <c r="AU1276" s="74"/>
      <c r="AV1276" s="74"/>
      <c r="AW1276" s="74"/>
      <c r="AX1276" s="74"/>
      <c r="AY1276" s="74"/>
      <c r="AZ1276" s="74"/>
      <c r="BA1276" s="74"/>
      <c r="BB1276" s="74"/>
      <c r="BC1276" s="170"/>
      <c r="BD1276" s="156"/>
      <c r="BE1276" s="156"/>
      <c r="BF1276" s="299"/>
      <c r="BG1276" s="74"/>
      <c r="BH1276" s="74"/>
      <c r="BI1276" s="74"/>
      <c r="BJ1276" s="74"/>
      <c r="BK1276" s="74"/>
      <c r="BL1276" s="74"/>
      <c r="BM1276" s="74"/>
      <c r="BN1276" s="74"/>
      <c r="BO1276" s="74"/>
      <c r="BP1276" s="74"/>
      <c r="BQ1276" s="74"/>
      <c r="BR1276" s="74"/>
      <c r="BS1276" s="74"/>
      <c r="BT1276" s="74"/>
      <c r="BU1276" s="74"/>
      <c r="BV1276" s="74"/>
      <c r="BW1276" s="74"/>
      <c r="BX1276" s="74"/>
      <c r="BY1276" s="63"/>
      <c r="BZ1276" s="63"/>
    </row>
    <row r="1277" ht="15.75" customHeight="1">
      <c r="A1277" s="201"/>
      <c r="B1277" s="74"/>
      <c r="C1277" s="74"/>
      <c r="D1277" s="74"/>
      <c r="E1277" s="156"/>
      <c r="F1277" s="78">
        <v>0.0</v>
      </c>
      <c r="G1277" s="44" t="str">
        <f t="shared" si="35"/>
        <v>$0 a $100'000.000</v>
      </c>
      <c r="H1277" s="44"/>
      <c r="I1277" s="44"/>
      <c r="J1277" s="74"/>
      <c r="K1277" s="359"/>
      <c r="L1277" s="74"/>
      <c r="M1277" s="74"/>
      <c r="N1277" s="74"/>
      <c r="O1277" s="74"/>
      <c r="P1277" s="74"/>
      <c r="Q1277" s="74"/>
      <c r="R1277" s="362"/>
      <c r="S1277" s="56" t="str">
        <f t="shared" si="36"/>
        <v> </v>
      </c>
      <c r="T1277" s="74"/>
      <c r="U1277" s="359"/>
      <c r="V1277" s="74"/>
      <c r="W1277" s="74"/>
      <c r="X1277" s="74"/>
      <c r="Y1277" s="74"/>
      <c r="Z1277" s="364"/>
      <c r="AA1277" s="59" t="str">
        <f>IF(Rentabilidad=0,"No aplica",TEXT(ROUND(Precio/Rentabilidad/12,0),0) &amp; " años")</f>
        <v>No aplica</v>
      </c>
      <c r="AB1277" s="360"/>
      <c r="AC1277" s="61"/>
      <c r="AD1277" s="62"/>
      <c r="AE1277" s="63"/>
      <c r="AF1277" s="156"/>
      <c r="AG1277" s="63"/>
      <c r="AH1277" s="63"/>
      <c r="AI1277" s="74"/>
      <c r="AJ1277" s="156"/>
      <c r="AK1277" s="74"/>
      <c r="AL1277" s="156"/>
      <c r="AM1277" s="74"/>
      <c r="AN1277" s="156"/>
      <c r="AO1277" s="74"/>
      <c r="AP1277" s="363"/>
      <c r="AQ1277" s="363"/>
      <c r="AR1277" s="363"/>
      <c r="AS1277" s="74"/>
      <c r="AT1277" s="74"/>
      <c r="AU1277" s="74"/>
      <c r="AV1277" s="74"/>
      <c r="AW1277" s="74"/>
      <c r="AX1277" s="74"/>
      <c r="AY1277" s="74"/>
      <c r="AZ1277" s="74"/>
      <c r="BA1277" s="74"/>
      <c r="BB1277" s="74"/>
      <c r="BC1277" s="170"/>
      <c r="BD1277" s="156"/>
      <c r="BE1277" s="156"/>
      <c r="BF1277" s="299"/>
      <c r="BG1277" s="74"/>
      <c r="BH1277" s="74"/>
      <c r="BI1277" s="74"/>
      <c r="BJ1277" s="74"/>
      <c r="BK1277" s="74"/>
      <c r="BL1277" s="74"/>
      <c r="BM1277" s="74"/>
      <c r="BN1277" s="74"/>
      <c r="BO1277" s="74"/>
      <c r="BP1277" s="74"/>
      <c r="BQ1277" s="74"/>
      <c r="BR1277" s="74"/>
      <c r="BS1277" s="74"/>
      <c r="BT1277" s="74"/>
      <c r="BU1277" s="74"/>
      <c r="BV1277" s="74"/>
      <c r="BW1277" s="74"/>
      <c r="BX1277" s="74"/>
      <c r="BY1277" s="63"/>
      <c r="BZ1277" s="63"/>
    </row>
    <row r="1278" ht="15.75" customHeight="1">
      <c r="A1278" s="201"/>
      <c r="B1278" s="74"/>
      <c r="C1278" s="74"/>
      <c r="D1278" s="74"/>
      <c r="E1278" s="156"/>
      <c r="F1278" s="78">
        <v>0.0</v>
      </c>
      <c r="G1278" s="44" t="str">
        <f t="shared" si="35"/>
        <v>$0 a $100'000.000</v>
      </c>
      <c r="H1278" s="44"/>
      <c r="I1278" s="44"/>
      <c r="J1278" s="74"/>
      <c r="K1278" s="359"/>
      <c r="L1278" s="74"/>
      <c r="M1278" s="74"/>
      <c r="N1278" s="74"/>
      <c r="O1278" s="74"/>
      <c r="P1278" s="74"/>
      <c r="Q1278" s="74"/>
      <c r="R1278" s="362"/>
      <c r="S1278" s="56" t="str">
        <f t="shared" si="36"/>
        <v> </v>
      </c>
      <c r="T1278" s="74"/>
      <c r="U1278" s="359"/>
      <c r="V1278" s="74"/>
      <c r="W1278" s="74"/>
      <c r="X1278" s="74"/>
      <c r="Y1278" s="74"/>
      <c r="Z1278" s="364"/>
      <c r="AA1278" s="59" t="str">
        <f>IF(Rentabilidad=0,"No aplica",TEXT(ROUND(Precio/Rentabilidad/12,0),0) &amp; " años")</f>
        <v>No aplica</v>
      </c>
      <c r="AB1278" s="360"/>
      <c r="AC1278" s="61"/>
      <c r="AD1278" s="62"/>
      <c r="AE1278" s="63"/>
      <c r="AF1278" s="156"/>
      <c r="AG1278" s="63"/>
      <c r="AH1278" s="63"/>
      <c r="AI1278" s="74"/>
      <c r="AJ1278" s="156"/>
      <c r="AK1278" s="74"/>
      <c r="AL1278" s="156"/>
      <c r="AM1278" s="74"/>
      <c r="AN1278" s="156"/>
      <c r="AO1278" s="74"/>
      <c r="AP1278" s="363"/>
      <c r="AQ1278" s="363"/>
      <c r="AR1278" s="363"/>
      <c r="AS1278" s="74"/>
      <c r="AT1278" s="74"/>
      <c r="AU1278" s="74"/>
      <c r="AV1278" s="74"/>
      <c r="AW1278" s="74"/>
      <c r="AX1278" s="74"/>
      <c r="AY1278" s="74"/>
      <c r="AZ1278" s="74"/>
      <c r="BA1278" s="74"/>
      <c r="BB1278" s="74"/>
      <c r="BC1278" s="170"/>
      <c r="BD1278" s="156"/>
      <c r="BE1278" s="156"/>
      <c r="BF1278" s="299"/>
      <c r="BG1278" s="74"/>
      <c r="BH1278" s="74"/>
      <c r="BI1278" s="74"/>
      <c r="BJ1278" s="74"/>
      <c r="BK1278" s="74"/>
      <c r="BL1278" s="74"/>
      <c r="BM1278" s="74"/>
      <c r="BN1278" s="74"/>
      <c r="BO1278" s="74"/>
      <c r="BP1278" s="74"/>
      <c r="BQ1278" s="74"/>
      <c r="BR1278" s="74"/>
      <c r="BS1278" s="74"/>
      <c r="BT1278" s="74"/>
      <c r="BU1278" s="74"/>
      <c r="BV1278" s="74"/>
      <c r="BW1278" s="74"/>
      <c r="BX1278" s="74"/>
      <c r="BY1278" s="63"/>
      <c r="BZ1278" s="63"/>
    </row>
    <row r="1279" ht="15.75" customHeight="1">
      <c r="A1279" s="201"/>
      <c r="B1279" s="74"/>
      <c r="C1279" s="74"/>
      <c r="D1279" s="74"/>
      <c r="E1279" s="156"/>
      <c r="F1279" s="78">
        <v>0.0</v>
      </c>
      <c r="G1279" s="44" t="str">
        <f t="shared" si="35"/>
        <v>$0 a $100'000.000</v>
      </c>
      <c r="H1279" s="44"/>
      <c r="I1279" s="44"/>
      <c r="J1279" s="74"/>
      <c r="K1279" s="359"/>
      <c r="L1279" s="74"/>
      <c r="M1279" s="74"/>
      <c r="N1279" s="74"/>
      <c r="O1279" s="74"/>
      <c r="P1279" s="74"/>
      <c r="Q1279" s="74"/>
      <c r="R1279" s="362"/>
      <c r="S1279" s="56" t="str">
        <f t="shared" si="36"/>
        <v> </v>
      </c>
      <c r="T1279" s="74"/>
      <c r="U1279" s="359"/>
      <c r="V1279" s="74"/>
      <c r="W1279" s="74"/>
      <c r="X1279" s="74"/>
      <c r="Y1279" s="74"/>
      <c r="Z1279" s="364"/>
      <c r="AA1279" s="59" t="str">
        <f>IF(Rentabilidad=0,"No aplica",TEXT(ROUND(Precio/Rentabilidad/12,0),0) &amp; " años")</f>
        <v>No aplica</v>
      </c>
      <c r="AB1279" s="360"/>
      <c r="AC1279" s="61"/>
      <c r="AD1279" s="62"/>
      <c r="AE1279" s="63"/>
      <c r="AF1279" s="156"/>
      <c r="AG1279" s="63"/>
      <c r="AH1279" s="63"/>
      <c r="AI1279" s="74"/>
      <c r="AJ1279" s="156"/>
      <c r="AK1279" s="74"/>
      <c r="AL1279" s="156"/>
      <c r="AM1279" s="74"/>
      <c r="AN1279" s="156"/>
      <c r="AO1279" s="74"/>
      <c r="AP1279" s="363"/>
      <c r="AQ1279" s="363"/>
      <c r="AR1279" s="363"/>
      <c r="AS1279" s="74"/>
      <c r="AT1279" s="74"/>
      <c r="AU1279" s="74"/>
      <c r="AV1279" s="74"/>
      <c r="AW1279" s="74"/>
      <c r="AX1279" s="74"/>
      <c r="AY1279" s="74"/>
      <c r="AZ1279" s="74"/>
      <c r="BA1279" s="74"/>
      <c r="BB1279" s="74"/>
      <c r="BC1279" s="170"/>
      <c r="BD1279" s="156"/>
      <c r="BE1279" s="156"/>
      <c r="BF1279" s="299"/>
      <c r="BG1279" s="74"/>
      <c r="BH1279" s="74"/>
      <c r="BI1279" s="74"/>
      <c r="BJ1279" s="74"/>
      <c r="BK1279" s="74"/>
      <c r="BL1279" s="74"/>
      <c r="BM1279" s="74"/>
      <c r="BN1279" s="74"/>
      <c r="BO1279" s="74"/>
      <c r="BP1279" s="74"/>
      <c r="BQ1279" s="74"/>
      <c r="BR1279" s="74"/>
      <c r="BS1279" s="74"/>
      <c r="BT1279" s="74"/>
      <c r="BU1279" s="74"/>
      <c r="BV1279" s="74"/>
      <c r="BW1279" s="74"/>
      <c r="BX1279" s="74"/>
      <c r="BY1279" s="63"/>
      <c r="BZ1279" s="63"/>
    </row>
    <row r="1280" ht="15.75" customHeight="1">
      <c r="A1280" s="201"/>
      <c r="B1280" s="74"/>
      <c r="C1280" s="74"/>
      <c r="D1280" s="74"/>
      <c r="E1280" s="156"/>
      <c r="F1280" s="78">
        <v>0.0</v>
      </c>
      <c r="G1280" s="44" t="str">
        <f t="shared" si="35"/>
        <v>$0 a $100'000.000</v>
      </c>
      <c r="H1280" s="44"/>
      <c r="I1280" s="44"/>
      <c r="J1280" s="74"/>
      <c r="K1280" s="359"/>
      <c r="L1280" s="74"/>
      <c r="M1280" s="74"/>
      <c r="N1280" s="74"/>
      <c r="O1280" s="74"/>
      <c r="P1280" s="74"/>
      <c r="Q1280" s="74"/>
      <c r="R1280" s="362"/>
      <c r="S1280" s="56" t="str">
        <f t="shared" si="36"/>
        <v> </v>
      </c>
      <c r="T1280" s="74"/>
      <c r="U1280" s="359"/>
      <c r="V1280" s="74"/>
      <c r="W1280" s="74"/>
      <c r="X1280" s="74"/>
      <c r="Y1280" s="74"/>
      <c r="Z1280" s="364"/>
      <c r="AA1280" s="59" t="str">
        <f>IF(Rentabilidad=0,"No aplica",TEXT(ROUND(Precio/Rentabilidad/12,0),0) &amp; " años")</f>
        <v>No aplica</v>
      </c>
      <c r="AB1280" s="360"/>
      <c r="AC1280" s="61"/>
      <c r="AD1280" s="62"/>
      <c r="AE1280" s="63"/>
      <c r="AF1280" s="156"/>
      <c r="AG1280" s="63"/>
      <c r="AH1280" s="63"/>
      <c r="AI1280" s="74"/>
      <c r="AJ1280" s="156"/>
      <c r="AK1280" s="74"/>
      <c r="AL1280" s="156"/>
      <c r="AM1280" s="74"/>
      <c r="AN1280" s="156"/>
      <c r="AO1280" s="74"/>
      <c r="AP1280" s="363"/>
      <c r="AQ1280" s="363"/>
      <c r="AR1280" s="363"/>
      <c r="AS1280" s="74"/>
      <c r="AT1280" s="74"/>
      <c r="AU1280" s="74"/>
      <c r="AV1280" s="74"/>
      <c r="AW1280" s="74"/>
      <c r="AX1280" s="74"/>
      <c r="AY1280" s="74"/>
      <c r="AZ1280" s="74"/>
      <c r="BA1280" s="74"/>
      <c r="BB1280" s="74"/>
      <c r="BC1280" s="170"/>
      <c r="BD1280" s="156"/>
      <c r="BE1280" s="156"/>
      <c r="BF1280" s="299"/>
      <c r="BG1280" s="74"/>
      <c r="BH1280" s="74"/>
      <c r="BI1280" s="74"/>
      <c r="BJ1280" s="74"/>
      <c r="BK1280" s="74"/>
      <c r="BL1280" s="74"/>
      <c r="BM1280" s="74"/>
      <c r="BN1280" s="74"/>
      <c r="BO1280" s="74"/>
      <c r="BP1280" s="74"/>
      <c r="BQ1280" s="74"/>
      <c r="BR1280" s="74"/>
      <c r="BS1280" s="74"/>
      <c r="BT1280" s="74"/>
      <c r="BU1280" s="74"/>
      <c r="BV1280" s="74"/>
      <c r="BW1280" s="74"/>
      <c r="BX1280" s="74"/>
      <c r="BY1280" s="63"/>
      <c r="BZ1280" s="63"/>
    </row>
    <row r="1281" ht="15.75" customHeight="1">
      <c r="A1281" s="201"/>
      <c r="B1281" s="74"/>
      <c r="C1281" s="74"/>
      <c r="D1281" s="74"/>
      <c r="E1281" s="156"/>
      <c r="F1281" s="78">
        <v>0.0</v>
      </c>
      <c r="G1281" s="44" t="str">
        <f t="shared" si="35"/>
        <v>$0 a $100'000.000</v>
      </c>
      <c r="H1281" s="44"/>
      <c r="I1281" s="44"/>
      <c r="J1281" s="74"/>
      <c r="K1281" s="359"/>
      <c r="L1281" s="74"/>
      <c r="M1281" s="74"/>
      <c r="N1281" s="74"/>
      <c r="O1281" s="74"/>
      <c r="P1281" s="74"/>
      <c r="Q1281" s="74"/>
      <c r="R1281" s="362"/>
      <c r="S1281" s="56" t="str">
        <f t="shared" si="36"/>
        <v> </v>
      </c>
      <c r="T1281" s="74"/>
      <c r="U1281" s="359"/>
      <c r="V1281" s="74"/>
      <c r="W1281" s="74"/>
      <c r="X1281" s="74"/>
      <c r="Y1281" s="74"/>
      <c r="Z1281" s="364"/>
      <c r="AA1281" s="59" t="str">
        <f>IF(Rentabilidad=0,"No aplica",TEXT(ROUND(Precio/Rentabilidad/12,0),0) &amp; " años")</f>
        <v>No aplica</v>
      </c>
      <c r="AB1281" s="360"/>
      <c r="AC1281" s="61"/>
      <c r="AD1281" s="62"/>
      <c r="AE1281" s="63"/>
      <c r="AF1281" s="156"/>
      <c r="AG1281" s="63"/>
      <c r="AH1281" s="63"/>
      <c r="AI1281" s="74"/>
      <c r="AJ1281" s="156"/>
      <c r="AK1281" s="74"/>
      <c r="AL1281" s="156"/>
      <c r="AM1281" s="74"/>
      <c r="AN1281" s="156"/>
      <c r="AO1281" s="74"/>
      <c r="AP1281" s="363"/>
      <c r="AQ1281" s="363"/>
      <c r="AR1281" s="363"/>
      <c r="AS1281" s="74"/>
      <c r="AT1281" s="74"/>
      <c r="AU1281" s="74"/>
      <c r="AV1281" s="74"/>
      <c r="AW1281" s="74"/>
      <c r="AX1281" s="74"/>
      <c r="AY1281" s="74"/>
      <c r="AZ1281" s="74"/>
      <c r="BA1281" s="74"/>
      <c r="BB1281" s="74"/>
      <c r="BC1281" s="170"/>
      <c r="BD1281" s="156"/>
      <c r="BE1281" s="156"/>
      <c r="BF1281" s="299"/>
      <c r="BG1281" s="74"/>
      <c r="BH1281" s="74"/>
      <c r="BI1281" s="74"/>
      <c r="BJ1281" s="74"/>
      <c r="BK1281" s="74"/>
      <c r="BL1281" s="74"/>
      <c r="BM1281" s="74"/>
      <c r="BN1281" s="74"/>
      <c r="BO1281" s="74"/>
      <c r="BP1281" s="74"/>
      <c r="BQ1281" s="74"/>
      <c r="BR1281" s="74"/>
      <c r="BS1281" s="74"/>
      <c r="BT1281" s="74"/>
      <c r="BU1281" s="74"/>
      <c r="BV1281" s="74"/>
      <c r="BW1281" s="74"/>
      <c r="BX1281" s="74"/>
      <c r="BY1281" s="63"/>
      <c r="BZ1281" s="63"/>
    </row>
    <row r="1282" ht="15.75" customHeight="1">
      <c r="A1282" s="201"/>
      <c r="B1282" s="74"/>
      <c r="C1282" s="74"/>
      <c r="D1282" s="74"/>
      <c r="E1282" s="156"/>
      <c r="F1282" s="78">
        <v>0.0</v>
      </c>
      <c r="G1282" s="44" t="str">
        <f t="shared" si="35"/>
        <v>$0 a $100'000.000</v>
      </c>
      <c r="H1282" s="44"/>
      <c r="I1282" s="44"/>
      <c r="J1282" s="74"/>
      <c r="K1282" s="359"/>
      <c r="L1282" s="74"/>
      <c r="M1282" s="74"/>
      <c r="N1282" s="74"/>
      <c r="O1282" s="74"/>
      <c r="P1282" s="74"/>
      <c r="Q1282" s="74"/>
      <c r="R1282" s="362"/>
      <c r="S1282" s="56" t="str">
        <f t="shared" si="36"/>
        <v> </v>
      </c>
      <c r="T1282" s="74"/>
      <c r="U1282" s="359"/>
      <c r="V1282" s="74"/>
      <c r="W1282" s="74"/>
      <c r="X1282" s="74"/>
      <c r="Y1282" s="74"/>
      <c r="Z1282" s="364"/>
      <c r="AA1282" s="59" t="str">
        <f>IF(Rentabilidad=0,"No aplica",TEXT(ROUND(Precio/Rentabilidad/12,0),0) &amp; " años")</f>
        <v>No aplica</v>
      </c>
      <c r="AB1282" s="360"/>
      <c r="AC1282" s="61"/>
      <c r="AD1282" s="62"/>
      <c r="AE1282" s="63"/>
      <c r="AF1282" s="156"/>
      <c r="AG1282" s="63"/>
      <c r="AH1282" s="63"/>
      <c r="AI1282" s="74"/>
      <c r="AJ1282" s="156"/>
      <c r="AK1282" s="74"/>
      <c r="AL1282" s="156"/>
      <c r="AM1282" s="74"/>
      <c r="AN1282" s="156"/>
      <c r="AO1282" s="74"/>
      <c r="AP1282" s="363"/>
      <c r="AQ1282" s="363"/>
      <c r="AR1282" s="363"/>
      <c r="AS1282" s="74"/>
      <c r="AT1282" s="74"/>
      <c r="AU1282" s="74"/>
      <c r="AV1282" s="74"/>
      <c r="AW1282" s="74"/>
      <c r="AX1282" s="74"/>
      <c r="AY1282" s="74"/>
      <c r="AZ1282" s="74"/>
      <c r="BA1282" s="74"/>
      <c r="BB1282" s="74"/>
      <c r="BC1282" s="170"/>
      <c r="BD1282" s="156"/>
      <c r="BE1282" s="156"/>
      <c r="BF1282" s="299"/>
      <c r="BG1282" s="74"/>
      <c r="BH1282" s="74"/>
      <c r="BI1282" s="74"/>
      <c r="BJ1282" s="74"/>
      <c r="BK1282" s="74"/>
      <c r="BL1282" s="74"/>
      <c r="BM1282" s="74"/>
      <c r="BN1282" s="74"/>
      <c r="BO1282" s="74"/>
      <c r="BP1282" s="74"/>
      <c r="BQ1282" s="74"/>
      <c r="BR1282" s="74"/>
      <c r="BS1282" s="74"/>
      <c r="BT1282" s="74"/>
      <c r="BU1282" s="74"/>
      <c r="BV1282" s="74"/>
      <c r="BW1282" s="74"/>
      <c r="BX1282" s="74"/>
      <c r="BY1282" s="63"/>
      <c r="BZ1282" s="63"/>
    </row>
    <row r="1283" ht="15.75" customHeight="1">
      <c r="A1283" s="201"/>
      <c r="B1283" s="74"/>
      <c r="C1283" s="74"/>
      <c r="D1283" s="74"/>
      <c r="E1283" s="156"/>
      <c r="F1283" s="78">
        <v>0.0</v>
      </c>
      <c r="G1283" s="44" t="str">
        <f t="shared" si="35"/>
        <v>$0 a $100'000.000</v>
      </c>
      <c r="H1283" s="44"/>
      <c r="I1283" s="44"/>
      <c r="J1283" s="74"/>
      <c r="K1283" s="359"/>
      <c r="L1283" s="74"/>
      <c r="M1283" s="74"/>
      <c r="N1283" s="74"/>
      <c r="O1283" s="74"/>
      <c r="P1283" s="74"/>
      <c r="Q1283" s="74"/>
      <c r="R1283" s="362"/>
      <c r="S1283" s="56" t="str">
        <f t="shared" si="36"/>
        <v> </v>
      </c>
      <c r="T1283" s="74"/>
      <c r="U1283" s="359"/>
      <c r="V1283" s="74"/>
      <c r="W1283" s="74"/>
      <c r="X1283" s="74"/>
      <c r="Y1283" s="74"/>
      <c r="Z1283" s="364"/>
      <c r="AA1283" s="59" t="str">
        <f>IF(Rentabilidad=0,"No aplica",TEXT(ROUND(Precio/Rentabilidad/12,0),0) &amp; " años")</f>
        <v>No aplica</v>
      </c>
      <c r="AB1283" s="360"/>
      <c r="AC1283" s="61"/>
      <c r="AD1283" s="62"/>
      <c r="AE1283" s="63"/>
      <c r="AF1283" s="156"/>
      <c r="AG1283" s="63"/>
      <c r="AH1283" s="63"/>
      <c r="AI1283" s="74"/>
      <c r="AJ1283" s="156"/>
      <c r="AK1283" s="74"/>
      <c r="AL1283" s="156"/>
      <c r="AM1283" s="74"/>
      <c r="AN1283" s="156"/>
      <c r="AO1283" s="74"/>
      <c r="AP1283" s="363"/>
      <c r="AQ1283" s="363"/>
      <c r="AR1283" s="363"/>
      <c r="AS1283" s="74"/>
      <c r="AT1283" s="74"/>
      <c r="AU1283" s="74"/>
      <c r="AV1283" s="74"/>
      <c r="AW1283" s="74"/>
      <c r="AX1283" s="74"/>
      <c r="AY1283" s="74"/>
      <c r="AZ1283" s="74"/>
      <c r="BA1283" s="74"/>
      <c r="BB1283" s="74"/>
      <c r="BC1283" s="170"/>
      <c r="BD1283" s="156"/>
      <c r="BE1283" s="156"/>
      <c r="BF1283" s="299"/>
      <c r="BG1283" s="74"/>
      <c r="BH1283" s="74"/>
      <c r="BI1283" s="74"/>
      <c r="BJ1283" s="74"/>
      <c r="BK1283" s="74"/>
      <c r="BL1283" s="74"/>
      <c r="BM1283" s="74"/>
      <c r="BN1283" s="74"/>
      <c r="BO1283" s="74"/>
      <c r="BP1283" s="74"/>
      <c r="BQ1283" s="74"/>
      <c r="BR1283" s="74"/>
      <c r="BS1283" s="74"/>
      <c r="BT1283" s="74"/>
      <c r="BU1283" s="74"/>
      <c r="BV1283" s="74"/>
      <c r="BW1283" s="74"/>
      <c r="BX1283" s="74"/>
      <c r="BY1283" s="63"/>
      <c r="BZ1283" s="63"/>
    </row>
    <row r="1284" ht="15.75" customHeight="1">
      <c r="A1284" s="201"/>
      <c r="B1284" s="74"/>
      <c r="C1284" s="74"/>
      <c r="D1284" s="74"/>
      <c r="E1284" s="156"/>
      <c r="F1284" s="78">
        <v>0.0</v>
      </c>
      <c r="G1284" s="44" t="str">
        <f t="shared" si="35"/>
        <v>$0 a $100'000.000</v>
      </c>
      <c r="H1284" s="44"/>
      <c r="I1284" s="44"/>
      <c r="J1284" s="74"/>
      <c r="K1284" s="359"/>
      <c r="L1284" s="74"/>
      <c r="M1284" s="74"/>
      <c r="N1284" s="74"/>
      <c r="O1284" s="74"/>
      <c r="P1284" s="74"/>
      <c r="Q1284" s="74"/>
      <c r="R1284" s="362"/>
      <c r="S1284" s="56" t="str">
        <f t="shared" si="36"/>
        <v> </v>
      </c>
      <c r="T1284" s="74"/>
      <c r="U1284" s="359"/>
      <c r="V1284" s="74"/>
      <c r="W1284" s="74"/>
      <c r="X1284" s="74"/>
      <c r="Y1284" s="74"/>
      <c r="Z1284" s="364"/>
      <c r="AA1284" s="59" t="str">
        <f>IF(Rentabilidad=0,"No aplica",TEXT(ROUND(Precio/Rentabilidad/12,0),0) &amp; " años")</f>
        <v>No aplica</v>
      </c>
      <c r="AB1284" s="360"/>
      <c r="AC1284" s="61"/>
      <c r="AD1284" s="62"/>
      <c r="AE1284" s="63"/>
      <c r="AF1284" s="156"/>
      <c r="AG1284" s="63"/>
      <c r="AH1284" s="63"/>
      <c r="AI1284" s="74"/>
      <c r="AJ1284" s="156"/>
      <c r="AK1284" s="74"/>
      <c r="AL1284" s="156"/>
      <c r="AM1284" s="74"/>
      <c r="AN1284" s="156"/>
      <c r="AO1284" s="74"/>
      <c r="AP1284" s="363"/>
      <c r="AQ1284" s="363"/>
      <c r="AR1284" s="363"/>
      <c r="AS1284" s="74"/>
      <c r="AT1284" s="74"/>
      <c r="AU1284" s="74"/>
      <c r="AV1284" s="74"/>
      <c r="AW1284" s="74"/>
      <c r="AX1284" s="74"/>
      <c r="AY1284" s="74"/>
      <c r="AZ1284" s="74"/>
      <c r="BA1284" s="74"/>
      <c r="BB1284" s="74"/>
      <c r="BC1284" s="170"/>
      <c r="BD1284" s="156"/>
      <c r="BE1284" s="156"/>
      <c r="BF1284" s="299"/>
      <c r="BG1284" s="74"/>
      <c r="BH1284" s="74"/>
      <c r="BI1284" s="74"/>
      <c r="BJ1284" s="74"/>
      <c r="BK1284" s="74"/>
      <c r="BL1284" s="74"/>
      <c r="BM1284" s="74"/>
      <c r="BN1284" s="74"/>
      <c r="BO1284" s="74"/>
      <c r="BP1284" s="74"/>
      <c r="BQ1284" s="74"/>
      <c r="BR1284" s="74"/>
      <c r="BS1284" s="74"/>
      <c r="BT1284" s="74"/>
      <c r="BU1284" s="74"/>
      <c r="BV1284" s="74"/>
      <c r="BW1284" s="74"/>
      <c r="BX1284" s="74"/>
      <c r="BY1284" s="63"/>
      <c r="BZ1284" s="63"/>
    </row>
    <row r="1285" ht="15.75" customHeight="1">
      <c r="A1285" s="201"/>
      <c r="B1285" s="74"/>
      <c r="C1285" s="74"/>
      <c r="D1285" s="74"/>
      <c r="E1285" s="156"/>
      <c r="F1285" s="78">
        <v>0.0</v>
      </c>
      <c r="G1285" s="44" t="str">
        <f t="shared" si="35"/>
        <v>$0 a $100'000.000</v>
      </c>
      <c r="H1285" s="44"/>
      <c r="I1285" s="44"/>
      <c r="J1285" s="74"/>
      <c r="K1285" s="359"/>
      <c r="L1285" s="74"/>
      <c r="M1285" s="74"/>
      <c r="N1285" s="74"/>
      <c r="O1285" s="74"/>
      <c r="P1285" s="74"/>
      <c r="Q1285" s="74"/>
      <c r="R1285" s="362"/>
      <c r="S1285" s="56" t="str">
        <f t="shared" si="36"/>
        <v> </v>
      </c>
      <c r="T1285" s="74"/>
      <c r="U1285" s="359"/>
      <c r="V1285" s="74"/>
      <c r="W1285" s="74"/>
      <c r="X1285" s="74"/>
      <c r="Y1285" s="74"/>
      <c r="Z1285" s="364"/>
      <c r="AA1285" s="59" t="str">
        <f>IF(Rentabilidad=0,"No aplica",TEXT(ROUND(Precio/Rentabilidad/12,0),0) &amp; " años")</f>
        <v>No aplica</v>
      </c>
      <c r="AB1285" s="360"/>
      <c r="AC1285" s="61"/>
      <c r="AD1285" s="62"/>
      <c r="AE1285" s="63"/>
      <c r="AF1285" s="156"/>
      <c r="AG1285" s="63"/>
      <c r="AH1285" s="63"/>
      <c r="AI1285" s="74"/>
      <c r="AJ1285" s="156"/>
      <c r="AK1285" s="74"/>
      <c r="AL1285" s="156"/>
      <c r="AM1285" s="74"/>
      <c r="AN1285" s="156"/>
      <c r="AO1285" s="74"/>
      <c r="AP1285" s="363"/>
      <c r="AQ1285" s="363"/>
      <c r="AR1285" s="363"/>
      <c r="AS1285" s="74"/>
      <c r="AT1285" s="74"/>
      <c r="AU1285" s="74"/>
      <c r="AV1285" s="74"/>
      <c r="AW1285" s="74"/>
      <c r="AX1285" s="74"/>
      <c r="AY1285" s="74"/>
      <c r="AZ1285" s="74"/>
      <c r="BA1285" s="74"/>
      <c r="BB1285" s="74"/>
      <c r="BC1285" s="170"/>
      <c r="BD1285" s="156"/>
      <c r="BE1285" s="156"/>
      <c r="BF1285" s="299"/>
      <c r="BG1285" s="74"/>
      <c r="BH1285" s="74"/>
      <c r="BI1285" s="74"/>
      <c r="BJ1285" s="74"/>
      <c r="BK1285" s="74"/>
      <c r="BL1285" s="74"/>
      <c r="BM1285" s="74"/>
      <c r="BN1285" s="74"/>
      <c r="BO1285" s="74"/>
      <c r="BP1285" s="74"/>
      <c r="BQ1285" s="74"/>
      <c r="BR1285" s="74"/>
      <c r="BS1285" s="74"/>
      <c r="BT1285" s="74"/>
      <c r="BU1285" s="74"/>
      <c r="BV1285" s="74"/>
      <c r="BW1285" s="74"/>
      <c r="BX1285" s="74"/>
      <c r="BY1285" s="63"/>
      <c r="BZ1285" s="63"/>
    </row>
    <row r="1286" ht="15.75" customHeight="1">
      <c r="A1286" s="201"/>
      <c r="B1286" s="74"/>
      <c r="C1286" s="74"/>
      <c r="D1286" s="74"/>
      <c r="E1286" s="156"/>
      <c r="F1286" s="78">
        <v>0.0</v>
      </c>
      <c r="G1286" s="44" t="str">
        <f t="shared" si="35"/>
        <v>$0 a $100'000.000</v>
      </c>
      <c r="H1286" s="44"/>
      <c r="I1286" s="44"/>
      <c r="J1286" s="74"/>
      <c r="K1286" s="359"/>
      <c r="L1286" s="74"/>
      <c r="M1286" s="74"/>
      <c r="N1286" s="74"/>
      <c r="O1286" s="74"/>
      <c r="P1286" s="74"/>
      <c r="Q1286" s="74"/>
      <c r="R1286" s="362"/>
      <c r="S1286" s="56" t="str">
        <f t="shared" si="36"/>
        <v> </v>
      </c>
      <c r="T1286" s="74"/>
      <c r="U1286" s="359"/>
      <c r="V1286" s="74"/>
      <c r="W1286" s="74"/>
      <c r="X1286" s="74"/>
      <c r="Y1286" s="74"/>
      <c r="Z1286" s="364"/>
      <c r="AA1286" s="59" t="str">
        <f>IF(Rentabilidad=0,"No aplica",TEXT(ROUND(Precio/Rentabilidad/12,0),0) &amp; " años")</f>
        <v>No aplica</v>
      </c>
      <c r="AB1286" s="360"/>
      <c r="AC1286" s="61"/>
      <c r="AD1286" s="62"/>
      <c r="AE1286" s="63"/>
      <c r="AF1286" s="156"/>
      <c r="AG1286" s="63"/>
      <c r="AH1286" s="63"/>
      <c r="AI1286" s="74"/>
      <c r="AJ1286" s="156"/>
      <c r="AK1286" s="74"/>
      <c r="AL1286" s="156"/>
      <c r="AM1286" s="74"/>
      <c r="AN1286" s="156"/>
      <c r="AO1286" s="74"/>
      <c r="AP1286" s="363"/>
      <c r="AQ1286" s="363"/>
      <c r="AR1286" s="363"/>
      <c r="AS1286" s="74"/>
      <c r="AT1286" s="74"/>
      <c r="AU1286" s="74"/>
      <c r="AV1286" s="74"/>
      <c r="AW1286" s="74"/>
      <c r="AX1286" s="74"/>
      <c r="AY1286" s="74"/>
      <c r="AZ1286" s="74"/>
      <c r="BA1286" s="74"/>
      <c r="BB1286" s="74"/>
      <c r="BC1286" s="170"/>
      <c r="BD1286" s="156"/>
      <c r="BE1286" s="156"/>
      <c r="BF1286" s="299"/>
      <c r="BG1286" s="74"/>
      <c r="BH1286" s="74"/>
      <c r="BI1286" s="74"/>
      <c r="BJ1286" s="74"/>
      <c r="BK1286" s="74"/>
      <c r="BL1286" s="74"/>
      <c r="BM1286" s="74"/>
      <c r="BN1286" s="74"/>
      <c r="BO1286" s="74"/>
      <c r="BP1286" s="74"/>
      <c r="BQ1286" s="74"/>
      <c r="BR1286" s="74"/>
      <c r="BS1286" s="74"/>
      <c r="BT1286" s="74"/>
      <c r="BU1286" s="74"/>
      <c r="BV1286" s="74"/>
      <c r="BW1286" s="74"/>
      <c r="BX1286" s="74"/>
      <c r="BY1286" s="63"/>
      <c r="BZ1286" s="63"/>
    </row>
    <row r="1287" ht="15.75" customHeight="1">
      <c r="A1287" s="201"/>
      <c r="B1287" s="74"/>
      <c r="C1287" s="74"/>
      <c r="D1287" s="74"/>
      <c r="E1287" s="156"/>
      <c r="F1287" s="78">
        <v>0.0</v>
      </c>
      <c r="G1287" s="44" t="str">
        <f t="shared" si="35"/>
        <v>$0 a $100'000.000</v>
      </c>
      <c r="H1287" s="44"/>
      <c r="I1287" s="44"/>
      <c r="J1287" s="74"/>
      <c r="K1287" s="359"/>
      <c r="L1287" s="74"/>
      <c r="M1287" s="74"/>
      <c r="N1287" s="74"/>
      <c r="O1287" s="74"/>
      <c r="P1287" s="74"/>
      <c r="Q1287" s="74"/>
      <c r="R1287" s="362"/>
      <c r="S1287" s="56" t="str">
        <f t="shared" si="36"/>
        <v> </v>
      </c>
      <c r="T1287" s="74"/>
      <c r="U1287" s="359"/>
      <c r="V1287" s="74"/>
      <c r="W1287" s="74"/>
      <c r="X1287" s="74"/>
      <c r="Y1287" s="74"/>
      <c r="Z1287" s="364"/>
      <c r="AA1287" s="59" t="str">
        <f>IF(Rentabilidad=0,"No aplica",TEXT(ROUND(Precio/Rentabilidad/12,0),0) &amp; " años")</f>
        <v>No aplica</v>
      </c>
      <c r="AB1287" s="360"/>
      <c r="AC1287" s="61"/>
      <c r="AD1287" s="62"/>
      <c r="AE1287" s="63"/>
      <c r="AF1287" s="156"/>
      <c r="AG1287" s="63"/>
      <c r="AH1287" s="63"/>
      <c r="AI1287" s="74"/>
      <c r="AJ1287" s="156"/>
      <c r="AK1287" s="74"/>
      <c r="AL1287" s="156"/>
      <c r="AM1287" s="74"/>
      <c r="AN1287" s="156"/>
      <c r="AO1287" s="74"/>
      <c r="AP1287" s="363"/>
      <c r="AQ1287" s="363"/>
      <c r="AR1287" s="363"/>
      <c r="AS1287" s="74"/>
      <c r="AT1287" s="74"/>
      <c r="AU1287" s="74"/>
      <c r="AV1287" s="74"/>
      <c r="AW1287" s="74"/>
      <c r="AX1287" s="74"/>
      <c r="AY1287" s="74"/>
      <c r="AZ1287" s="74"/>
      <c r="BA1287" s="74"/>
      <c r="BB1287" s="74"/>
      <c r="BC1287" s="170"/>
      <c r="BD1287" s="156"/>
      <c r="BE1287" s="156"/>
      <c r="BF1287" s="299"/>
      <c r="BG1287" s="74"/>
      <c r="BH1287" s="74"/>
      <c r="BI1287" s="74"/>
      <c r="BJ1287" s="74"/>
      <c r="BK1287" s="74"/>
      <c r="BL1287" s="74"/>
      <c r="BM1287" s="74"/>
      <c r="BN1287" s="74"/>
      <c r="BO1287" s="74"/>
      <c r="BP1287" s="74"/>
      <c r="BQ1287" s="74"/>
      <c r="BR1287" s="74"/>
      <c r="BS1287" s="74"/>
      <c r="BT1287" s="74"/>
      <c r="BU1287" s="74"/>
      <c r="BV1287" s="74"/>
      <c r="BW1287" s="74"/>
      <c r="BX1287" s="74"/>
      <c r="BY1287" s="63"/>
      <c r="BZ1287" s="63"/>
    </row>
    <row r="1288" ht="15.75" customHeight="1">
      <c r="A1288" s="201"/>
      <c r="B1288" s="74"/>
      <c r="C1288" s="74"/>
      <c r="D1288" s="74"/>
      <c r="E1288" s="156"/>
      <c r="F1288" s="78">
        <v>0.0</v>
      </c>
      <c r="G1288" s="44" t="str">
        <f t="shared" si="35"/>
        <v>$0 a $100'000.000</v>
      </c>
      <c r="H1288" s="44"/>
      <c r="I1288" s="44"/>
      <c r="J1288" s="74"/>
      <c r="K1288" s="359"/>
      <c r="L1288" s="74"/>
      <c r="M1288" s="74"/>
      <c r="N1288" s="74"/>
      <c r="O1288" s="74"/>
      <c r="P1288" s="74"/>
      <c r="Q1288" s="74"/>
      <c r="R1288" s="362"/>
      <c r="S1288" s="56" t="str">
        <f t="shared" si="36"/>
        <v> </v>
      </c>
      <c r="T1288" s="74"/>
      <c r="U1288" s="359"/>
      <c r="V1288" s="74"/>
      <c r="W1288" s="74"/>
      <c r="X1288" s="74"/>
      <c r="Y1288" s="74"/>
      <c r="Z1288" s="364"/>
      <c r="AA1288" s="59" t="str">
        <f>IF(Rentabilidad=0,"No aplica",TEXT(ROUND(Precio/Rentabilidad/12,0),0) &amp; " años")</f>
        <v>No aplica</v>
      </c>
      <c r="AB1288" s="360"/>
      <c r="AC1288" s="61"/>
      <c r="AD1288" s="62"/>
      <c r="AE1288" s="63"/>
      <c r="AF1288" s="156"/>
      <c r="AG1288" s="63"/>
      <c r="AH1288" s="63"/>
      <c r="AI1288" s="74"/>
      <c r="AJ1288" s="156"/>
      <c r="AK1288" s="74"/>
      <c r="AL1288" s="156"/>
      <c r="AM1288" s="74"/>
      <c r="AN1288" s="156"/>
      <c r="AO1288" s="74"/>
      <c r="AP1288" s="363"/>
      <c r="AQ1288" s="363"/>
      <c r="AR1288" s="363"/>
      <c r="AS1288" s="74"/>
      <c r="AT1288" s="74"/>
      <c r="AU1288" s="74"/>
      <c r="AV1288" s="74"/>
      <c r="AW1288" s="74"/>
      <c r="AX1288" s="74"/>
      <c r="AY1288" s="74"/>
      <c r="AZ1288" s="74"/>
      <c r="BA1288" s="74"/>
      <c r="BB1288" s="74"/>
      <c r="BC1288" s="170"/>
      <c r="BD1288" s="156"/>
      <c r="BE1288" s="156"/>
      <c r="BF1288" s="299"/>
      <c r="BG1288" s="74"/>
      <c r="BH1288" s="74"/>
      <c r="BI1288" s="74"/>
      <c r="BJ1288" s="74"/>
      <c r="BK1288" s="74"/>
      <c r="BL1288" s="74"/>
      <c r="BM1288" s="74"/>
      <c r="BN1288" s="74"/>
      <c r="BO1288" s="74"/>
      <c r="BP1288" s="74"/>
      <c r="BQ1288" s="74"/>
      <c r="BR1288" s="74"/>
      <c r="BS1288" s="74"/>
      <c r="BT1288" s="74"/>
      <c r="BU1288" s="74"/>
      <c r="BV1288" s="74"/>
      <c r="BW1288" s="74"/>
      <c r="BX1288" s="74"/>
      <c r="BY1288" s="63"/>
      <c r="BZ1288" s="63"/>
    </row>
    <row r="1289" ht="15.75" customHeight="1">
      <c r="A1289" s="201"/>
      <c r="B1289" s="74"/>
      <c r="C1289" s="74"/>
      <c r="D1289" s="74"/>
      <c r="E1289" s="156"/>
      <c r="F1289" s="78">
        <v>0.0</v>
      </c>
      <c r="G1289" s="44" t="str">
        <f t="shared" si="35"/>
        <v>$0 a $100'000.000</v>
      </c>
      <c r="H1289" s="44"/>
      <c r="I1289" s="44"/>
      <c r="J1289" s="74"/>
      <c r="K1289" s="359"/>
      <c r="L1289" s="74"/>
      <c r="M1289" s="74"/>
      <c r="N1289" s="74"/>
      <c r="O1289" s="74"/>
      <c r="P1289" s="74"/>
      <c r="Q1289" s="74"/>
      <c r="R1289" s="362"/>
      <c r="S1289" s="56" t="str">
        <f t="shared" si="36"/>
        <v> </v>
      </c>
      <c r="T1289" s="74"/>
      <c r="U1289" s="359"/>
      <c r="V1289" s="74"/>
      <c r="W1289" s="74"/>
      <c r="X1289" s="74"/>
      <c r="Y1289" s="74"/>
      <c r="Z1289" s="364"/>
      <c r="AA1289" s="59" t="str">
        <f>IF(Rentabilidad=0,"No aplica",TEXT(ROUND(Precio/Rentabilidad/12,0),0) &amp; " años")</f>
        <v>No aplica</v>
      </c>
      <c r="AB1289" s="360"/>
      <c r="AC1289" s="61"/>
      <c r="AD1289" s="62"/>
      <c r="AE1289" s="63"/>
      <c r="AF1289" s="156"/>
      <c r="AG1289" s="63"/>
      <c r="AH1289" s="63"/>
      <c r="AI1289" s="74"/>
      <c r="AJ1289" s="156"/>
      <c r="AK1289" s="74"/>
      <c r="AL1289" s="156"/>
      <c r="AM1289" s="74"/>
      <c r="AN1289" s="156"/>
      <c r="AO1289" s="74"/>
      <c r="AP1289" s="363"/>
      <c r="AQ1289" s="363"/>
      <c r="AR1289" s="363"/>
      <c r="AS1289" s="74"/>
      <c r="AT1289" s="74"/>
      <c r="AU1289" s="74"/>
      <c r="AV1289" s="74"/>
      <c r="AW1289" s="74"/>
      <c r="AX1289" s="74"/>
      <c r="AY1289" s="74"/>
      <c r="AZ1289" s="74"/>
      <c r="BA1289" s="74"/>
      <c r="BB1289" s="74"/>
      <c r="BC1289" s="170"/>
      <c r="BD1289" s="156"/>
      <c r="BE1289" s="156"/>
      <c r="BF1289" s="299"/>
      <c r="BG1289" s="74"/>
      <c r="BH1289" s="74"/>
      <c r="BI1289" s="74"/>
      <c r="BJ1289" s="74"/>
      <c r="BK1289" s="74"/>
      <c r="BL1289" s="74"/>
      <c r="BM1289" s="74"/>
      <c r="BN1289" s="74"/>
      <c r="BO1289" s="74"/>
      <c r="BP1289" s="74"/>
      <c r="BQ1289" s="74"/>
      <c r="BR1289" s="74"/>
      <c r="BS1289" s="74"/>
      <c r="BT1289" s="74"/>
      <c r="BU1289" s="74"/>
      <c r="BV1289" s="74"/>
      <c r="BW1289" s="74"/>
      <c r="BX1289" s="74"/>
      <c r="BY1289" s="63"/>
      <c r="BZ1289" s="63"/>
    </row>
    <row r="1290" ht="15.75" customHeight="1">
      <c r="A1290" s="201"/>
      <c r="B1290" s="74"/>
      <c r="C1290" s="74"/>
      <c r="D1290" s="74"/>
      <c r="E1290" s="156"/>
      <c r="F1290" s="78">
        <v>0.0</v>
      </c>
      <c r="G1290" s="44" t="str">
        <f t="shared" si="35"/>
        <v>$0 a $100'000.000</v>
      </c>
      <c r="H1290" s="44"/>
      <c r="I1290" s="44"/>
      <c r="J1290" s="74"/>
      <c r="K1290" s="359"/>
      <c r="L1290" s="74"/>
      <c r="M1290" s="74"/>
      <c r="N1290" s="74"/>
      <c r="O1290" s="74"/>
      <c r="P1290" s="74"/>
      <c r="Q1290" s="74"/>
      <c r="R1290" s="362"/>
      <c r="S1290" s="56" t="str">
        <f t="shared" si="36"/>
        <v> </v>
      </c>
      <c r="T1290" s="74"/>
      <c r="U1290" s="359"/>
      <c r="V1290" s="74"/>
      <c r="W1290" s="74"/>
      <c r="X1290" s="74"/>
      <c r="Y1290" s="74"/>
      <c r="Z1290" s="364"/>
      <c r="AA1290" s="59" t="str">
        <f>IF(Rentabilidad=0,"No aplica",TEXT(ROUND(Precio/Rentabilidad/12,0),0) &amp; " años")</f>
        <v>No aplica</v>
      </c>
      <c r="AB1290" s="360"/>
      <c r="AC1290" s="61"/>
      <c r="AD1290" s="62"/>
      <c r="AE1290" s="63"/>
      <c r="AF1290" s="156"/>
      <c r="AG1290" s="63"/>
      <c r="AH1290" s="63"/>
      <c r="AI1290" s="74"/>
      <c r="AJ1290" s="156"/>
      <c r="AK1290" s="74"/>
      <c r="AL1290" s="156"/>
      <c r="AM1290" s="74"/>
      <c r="AN1290" s="156"/>
      <c r="AO1290" s="74"/>
      <c r="AP1290" s="363"/>
      <c r="AQ1290" s="363"/>
      <c r="AR1290" s="363"/>
      <c r="AS1290" s="74"/>
      <c r="AT1290" s="74"/>
      <c r="AU1290" s="74"/>
      <c r="AV1290" s="74"/>
      <c r="AW1290" s="74"/>
      <c r="AX1290" s="74"/>
      <c r="AY1290" s="74"/>
      <c r="AZ1290" s="74"/>
      <c r="BA1290" s="74"/>
      <c r="BB1290" s="74"/>
      <c r="BC1290" s="170"/>
      <c r="BD1290" s="156"/>
      <c r="BE1290" s="156"/>
      <c r="BF1290" s="299"/>
      <c r="BG1290" s="74"/>
      <c r="BH1290" s="74"/>
      <c r="BI1290" s="74"/>
      <c r="BJ1290" s="74"/>
      <c r="BK1290" s="74"/>
      <c r="BL1290" s="74"/>
      <c r="BM1290" s="74"/>
      <c r="BN1290" s="74"/>
      <c r="BO1290" s="74"/>
      <c r="BP1290" s="74"/>
      <c r="BQ1290" s="74"/>
      <c r="BR1290" s="74"/>
      <c r="BS1290" s="74"/>
      <c r="BT1290" s="74"/>
      <c r="BU1290" s="74"/>
      <c r="BV1290" s="74"/>
      <c r="BW1290" s="74"/>
      <c r="BX1290" s="74"/>
      <c r="BY1290" s="63"/>
      <c r="BZ1290" s="63"/>
    </row>
    <row r="1291" ht="15.75" customHeight="1">
      <c r="A1291" s="201"/>
      <c r="B1291" s="74"/>
      <c r="C1291" s="74"/>
      <c r="D1291" s="74"/>
      <c r="E1291" s="156"/>
      <c r="F1291" s="78">
        <v>0.0</v>
      </c>
      <c r="G1291" s="44" t="str">
        <f t="shared" si="35"/>
        <v>$0 a $100'000.000</v>
      </c>
      <c r="H1291" s="44"/>
      <c r="I1291" s="44"/>
      <c r="J1291" s="74"/>
      <c r="K1291" s="359"/>
      <c r="L1291" s="74"/>
      <c r="M1291" s="74"/>
      <c r="N1291" s="74"/>
      <c r="O1291" s="74"/>
      <c r="P1291" s="74"/>
      <c r="Q1291" s="74"/>
      <c r="R1291" s="362"/>
      <c r="S1291" s="56" t="str">
        <f t="shared" si="36"/>
        <v> </v>
      </c>
      <c r="T1291" s="74"/>
      <c r="U1291" s="359"/>
      <c r="V1291" s="74"/>
      <c r="W1291" s="74"/>
      <c r="X1291" s="74"/>
      <c r="Y1291" s="74"/>
      <c r="Z1291" s="364"/>
      <c r="AA1291" s="59" t="str">
        <f>IF(Rentabilidad=0,"No aplica",TEXT(ROUND(Precio/Rentabilidad/12,0),0) &amp; " años")</f>
        <v>No aplica</v>
      </c>
      <c r="AB1291" s="360"/>
      <c r="AC1291" s="61"/>
      <c r="AD1291" s="62"/>
      <c r="AE1291" s="63"/>
      <c r="AF1291" s="156"/>
      <c r="AG1291" s="63"/>
      <c r="AH1291" s="63"/>
      <c r="AI1291" s="74"/>
      <c r="AJ1291" s="156"/>
      <c r="AK1291" s="74"/>
      <c r="AL1291" s="156"/>
      <c r="AM1291" s="74"/>
      <c r="AN1291" s="156"/>
      <c r="AO1291" s="74"/>
      <c r="AP1291" s="363"/>
      <c r="AQ1291" s="363"/>
      <c r="AR1291" s="363"/>
      <c r="AS1291" s="74"/>
      <c r="AT1291" s="74"/>
      <c r="AU1291" s="74"/>
      <c r="AV1291" s="74"/>
      <c r="AW1291" s="74"/>
      <c r="AX1291" s="74"/>
      <c r="AY1291" s="74"/>
      <c r="AZ1291" s="74"/>
      <c r="BA1291" s="74"/>
      <c r="BB1291" s="74"/>
      <c r="BC1291" s="170"/>
      <c r="BD1291" s="156"/>
      <c r="BE1291" s="156"/>
      <c r="BF1291" s="299"/>
      <c r="BG1291" s="74"/>
      <c r="BH1291" s="74"/>
      <c r="BI1291" s="74"/>
      <c r="BJ1291" s="74"/>
      <c r="BK1291" s="74"/>
      <c r="BL1291" s="74"/>
      <c r="BM1291" s="74"/>
      <c r="BN1291" s="74"/>
      <c r="BO1291" s="74"/>
      <c r="BP1291" s="74"/>
      <c r="BQ1291" s="74"/>
      <c r="BR1291" s="74"/>
      <c r="BS1291" s="74"/>
      <c r="BT1291" s="74"/>
      <c r="BU1291" s="74"/>
      <c r="BV1291" s="74"/>
      <c r="BW1291" s="74"/>
      <c r="BX1291" s="74"/>
      <c r="BY1291" s="63"/>
      <c r="BZ1291" s="63"/>
    </row>
    <row r="1292" ht="15.75" customHeight="1">
      <c r="A1292" s="201"/>
      <c r="B1292" s="74"/>
      <c r="C1292" s="74"/>
      <c r="D1292" s="74"/>
      <c r="E1292" s="156"/>
      <c r="F1292" s="78">
        <v>0.0</v>
      </c>
      <c r="G1292" s="44" t="str">
        <f t="shared" si="35"/>
        <v>$0 a $100'000.000</v>
      </c>
      <c r="H1292" s="44"/>
      <c r="I1292" s="44"/>
      <c r="J1292" s="74"/>
      <c r="K1292" s="359"/>
      <c r="L1292" s="74"/>
      <c r="M1292" s="74"/>
      <c r="N1292" s="74"/>
      <c r="O1292" s="74"/>
      <c r="P1292" s="74"/>
      <c r="Q1292" s="74"/>
      <c r="R1292" s="362"/>
      <c r="S1292" s="56" t="str">
        <f t="shared" si="36"/>
        <v> </v>
      </c>
      <c r="T1292" s="74"/>
      <c r="U1292" s="359"/>
      <c r="V1292" s="74"/>
      <c r="W1292" s="74"/>
      <c r="X1292" s="74"/>
      <c r="Y1292" s="74"/>
      <c r="Z1292" s="364"/>
      <c r="AA1292" s="59" t="str">
        <f>IF(Rentabilidad=0,"No aplica",TEXT(ROUND(Precio/Rentabilidad/12,0),0) &amp; " años")</f>
        <v>No aplica</v>
      </c>
      <c r="AB1292" s="360"/>
      <c r="AC1292" s="61"/>
      <c r="AD1292" s="62"/>
      <c r="AE1292" s="63"/>
      <c r="AF1292" s="156"/>
      <c r="AG1292" s="63"/>
      <c r="AH1292" s="63"/>
      <c r="AI1292" s="74"/>
      <c r="AJ1292" s="156"/>
      <c r="AK1292" s="74"/>
      <c r="AL1292" s="156"/>
      <c r="AM1292" s="74"/>
      <c r="AN1292" s="156"/>
      <c r="AO1292" s="74"/>
      <c r="AP1292" s="363"/>
      <c r="AQ1292" s="363"/>
      <c r="AR1292" s="363"/>
      <c r="AS1292" s="74"/>
      <c r="AT1292" s="74"/>
      <c r="AU1292" s="74"/>
      <c r="AV1292" s="74"/>
      <c r="AW1292" s="74"/>
      <c r="AX1292" s="74"/>
      <c r="AY1292" s="74"/>
      <c r="AZ1292" s="74"/>
      <c r="BA1292" s="74"/>
      <c r="BB1292" s="74"/>
      <c r="BC1292" s="170"/>
      <c r="BD1292" s="156"/>
      <c r="BE1292" s="156"/>
      <c r="BF1292" s="299"/>
      <c r="BG1292" s="74"/>
      <c r="BH1292" s="74"/>
      <c r="BI1292" s="74"/>
      <c r="BJ1292" s="74"/>
      <c r="BK1292" s="74"/>
      <c r="BL1292" s="74"/>
      <c r="BM1292" s="74"/>
      <c r="BN1292" s="74"/>
      <c r="BO1292" s="74"/>
      <c r="BP1292" s="74"/>
      <c r="BQ1292" s="74"/>
      <c r="BR1292" s="74"/>
      <c r="BS1292" s="74"/>
      <c r="BT1292" s="74"/>
      <c r="BU1292" s="74"/>
      <c r="BV1292" s="74"/>
      <c r="BW1292" s="74"/>
      <c r="BX1292" s="74"/>
      <c r="BY1292" s="63"/>
      <c r="BZ1292" s="63"/>
    </row>
    <row r="1293" ht="15.75" customHeight="1">
      <c r="A1293" s="201"/>
      <c r="B1293" s="74"/>
      <c r="C1293" s="74"/>
      <c r="D1293" s="74"/>
      <c r="E1293" s="156"/>
      <c r="F1293" s="78">
        <v>0.0</v>
      </c>
      <c r="G1293" s="44" t="str">
        <f t="shared" si="35"/>
        <v>$0 a $100'000.000</v>
      </c>
      <c r="H1293" s="44"/>
      <c r="I1293" s="44"/>
      <c r="J1293" s="74"/>
      <c r="K1293" s="359"/>
      <c r="L1293" s="74"/>
      <c r="M1293" s="74"/>
      <c r="N1293" s="74"/>
      <c r="O1293" s="74"/>
      <c r="P1293" s="74"/>
      <c r="Q1293" s="74"/>
      <c r="R1293" s="362"/>
      <c r="S1293" s="56" t="str">
        <f t="shared" si="36"/>
        <v> </v>
      </c>
      <c r="T1293" s="74"/>
      <c r="U1293" s="359"/>
      <c r="V1293" s="74"/>
      <c r="W1293" s="74"/>
      <c r="X1293" s="74"/>
      <c r="Y1293" s="74"/>
      <c r="Z1293" s="364"/>
      <c r="AA1293" s="59" t="str">
        <f>IF(Rentabilidad=0,"No aplica",TEXT(ROUND(Precio/Rentabilidad/12,0),0) &amp; " años")</f>
        <v>No aplica</v>
      </c>
      <c r="AB1293" s="360"/>
      <c r="AC1293" s="61"/>
      <c r="AD1293" s="62"/>
      <c r="AE1293" s="63"/>
      <c r="AF1293" s="156"/>
      <c r="AG1293" s="63"/>
      <c r="AH1293" s="63"/>
      <c r="AI1293" s="74"/>
      <c r="AJ1293" s="156"/>
      <c r="AK1293" s="74"/>
      <c r="AL1293" s="156"/>
      <c r="AM1293" s="74"/>
      <c r="AN1293" s="156"/>
      <c r="AO1293" s="74"/>
      <c r="AP1293" s="363"/>
      <c r="AQ1293" s="363"/>
      <c r="AR1293" s="363"/>
      <c r="AS1293" s="74"/>
      <c r="AT1293" s="74"/>
      <c r="AU1293" s="74"/>
      <c r="AV1293" s="74"/>
      <c r="AW1293" s="74"/>
      <c r="AX1293" s="74"/>
      <c r="AY1293" s="74"/>
      <c r="AZ1293" s="74"/>
      <c r="BA1293" s="74"/>
      <c r="BB1293" s="74"/>
      <c r="BC1293" s="170"/>
      <c r="BD1293" s="156"/>
      <c r="BE1293" s="156"/>
      <c r="BF1293" s="299"/>
      <c r="BG1293" s="74"/>
      <c r="BH1293" s="74"/>
      <c r="BI1293" s="74"/>
      <c r="BJ1293" s="74"/>
      <c r="BK1293" s="74"/>
      <c r="BL1293" s="74"/>
      <c r="BM1293" s="74"/>
      <c r="BN1293" s="74"/>
      <c r="BO1293" s="74"/>
      <c r="BP1293" s="74"/>
      <c r="BQ1293" s="74"/>
      <c r="BR1293" s="74"/>
      <c r="BS1293" s="74"/>
      <c r="BT1293" s="74"/>
      <c r="BU1293" s="74"/>
      <c r="BV1293" s="74"/>
      <c r="BW1293" s="74"/>
      <c r="BX1293" s="74"/>
      <c r="BY1293" s="63"/>
      <c r="BZ1293" s="63"/>
    </row>
    <row r="1294" ht="15.75" customHeight="1">
      <c r="A1294" s="201"/>
      <c r="B1294" s="74"/>
      <c r="C1294" s="74"/>
      <c r="D1294" s="74"/>
      <c r="E1294" s="156"/>
      <c r="F1294" s="78">
        <v>0.0</v>
      </c>
      <c r="G1294" s="44" t="str">
        <f t="shared" si="35"/>
        <v>$0 a $100'000.000</v>
      </c>
      <c r="H1294" s="44"/>
      <c r="I1294" s="44"/>
      <c r="J1294" s="74"/>
      <c r="K1294" s="359"/>
      <c r="L1294" s="74"/>
      <c r="M1294" s="74"/>
      <c r="N1294" s="74"/>
      <c r="O1294" s="74"/>
      <c r="P1294" s="74"/>
      <c r="Q1294" s="74"/>
      <c r="R1294" s="362"/>
      <c r="S1294" s="56" t="str">
        <f t="shared" si="36"/>
        <v> </v>
      </c>
      <c r="T1294" s="74"/>
      <c r="U1294" s="359"/>
      <c r="V1294" s="74"/>
      <c r="W1294" s="74"/>
      <c r="X1294" s="74"/>
      <c r="Y1294" s="74"/>
      <c r="Z1294" s="364"/>
      <c r="AA1294" s="59" t="str">
        <f>IF(Rentabilidad=0,"No aplica",TEXT(ROUND(Precio/Rentabilidad/12,0),0) &amp; " años")</f>
        <v>No aplica</v>
      </c>
      <c r="AB1294" s="360"/>
      <c r="AC1294" s="61"/>
      <c r="AD1294" s="62"/>
      <c r="AE1294" s="63"/>
      <c r="AF1294" s="156"/>
      <c r="AG1294" s="63"/>
      <c r="AH1294" s="63"/>
      <c r="AI1294" s="74"/>
      <c r="AJ1294" s="156"/>
      <c r="AK1294" s="74"/>
      <c r="AL1294" s="156"/>
      <c r="AM1294" s="74"/>
      <c r="AN1294" s="156"/>
      <c r="AO1294" s="74"/>
      <c r="AP1294" s="363"/>
      <c r="AQ1294" s="363"/>
      <c r="AR1294" s="363"/>
      <c r="AS1294" s="74"/>
      <c r="AT1294" s="74"/>
      <c r="AU1294" s="74"/>
      <c r="AV1294" s="74"/>
      <c r="AW1294" s="74"/>
      <c r="AX1294" s="74"/>
      <c r="AY1294" s="74"/>
      <c r="AZ1294" s="74"/>
      <c r="BA1294" s="74"/>
      <c r="BB1294" s="74"/>
      <c r="BC1294" s="170"/>
      <c r="BD1294" s="156"/>
      <c r="BE1294" s="156"/>
      <c r="BF1294" s="299"/>
      <c r="BG1294" s="74"/>
      <c r="BH1294" s="74"/>
      <c r="BI1294" s="74"/>
      <c r="BJ1294" s="74"/>
      <c r="BK1294" s="74"/>
      <c r="BL1294" s="74"/>
      <c r="BM1294" s="74"/>
      <c r="BN1294" s="74"/>
      <c r="BO1294" s="74"/>
      <c r="BP1294" s="74"/>
      <c r="BQ1294" s="74"/>
      <c r="BR1294" s="74"/>
      <c r="BS1294" s="74"/>
      <c r="BT1294" s="74"/>
      <c r="BU1294" s="74"/>
      <c r="BV1294" s="74"/>
      <c r="BW1294" s="74"/>
      <c r="BX1294" s="74"/>
      <c r="BY1294" s="63"/>
      <c r="BZ1294" s="63"/>
    </row>
    <row r="1295" ht="15.75" customHeight="1">
      <c r="A1295" s="201"/>
      <c r="B1295" s="74"/>
      <c r="C1295" s="74"/>
      <c r="D1295" s="74"/>
      <c r="E1295" s="156"/>
      <c r="F1295" s="78">
        <v>0.0</v>
      </c>
      <c r="G1295" s="44" t="str">
        <f t="shared" si="35"/>
        <v>$0 a $100'000.000</v>
      </c>
      <c r="H1295" s="44"/>
      <c r="I1295" s="44"/>
      <c r="J1295" s="74"/>
      <c r="K1295" s="359"/>
      <c r="L1295" s="74"/>
      <c r="M1295" s="74"/>
      <c r="N1295" s="74"/>
      <c r="O1295" s="74"/>
      <c r="P1295" s="74"/>
      <c r="Q1295" s="74"/>
      <c r="R1295" s="362"/>
      <c r="S1295" s="56" t="str">
        <f t="shared" si="36"/>
        <v> </v>
      </c>
      <c r="T1295" s="74"/>
      <c r="U1295" s="359"/>
      <c r="V1295" s="74"/>
      <c r="W1295" s="74"/>
      <c r="X1295" s="74"/>
      <c r="Y1295" s="74"/>
      <c r="Z1295" s="364"/>
      <c r="AA1295" s="59" t="str">
        <f>IF(Rentabilidad=0,"No aplica",TEXT(ROUND(Precio/Rentabilidad/12,0),0) &amp; " años")</f>
        <v>No aplica</v>
      </c>
      <c r="AB1295" s="360"/>
      <c r="AC1295" s="61"/>
      <c r="AD1295" s="62"/>
      <c r="AE1295" s="63"/>
      <c r="AF1295" s="156"/>
      <c r="AG1295" s="63"/>
      <c r="AH1295" s="63"/>
      <c r="AI1295" s="74"/>
      <c r="AJ1295" s="156"/>
      <c r="AK1295" s="74"/>
      <c r="AL1295" s="156"/>
      <c r="AM1295" s="74"/>
      <c r="AN1295" s="156"/>
      <c r="AO1295" s="74"/>
      <c r="AP1295" s="363"/>
      <c r="AQ1295" s="363"/>
      <c r="AR1295" s="363"/>
      <c r="AS1295" s="74"/>
      <c r="AT1295" s="74"/>
      <c r="AU1295" s="74"/>
      <c r="AV1295" s="74"/>
      <c r="AW1295" s="74"/>
      <c r="AX1295" s="74"/>
      <c r="AY1295" s="74"/>
      <c r="AZ1295" s="74"/>
      <c r="BA1295" s="74"/>
      <c r="BB1295" s="74"/>
      <c r="BC1295" s="170"/>
      <c r="BD1295" s="156"/>
      <c r="BE1295" s="156"/>
      <c r="BF1295" s="299"/>
      <c r="BG1295" s="74"/>
      <c r="BH1295" s="74"/>
      <c r="BI1295" s="74"/>
      <c r="BJ1295" s="74"/>
      <c r="BK1295" s="74"/>
      <c r="BL1295" s="74"/>
      <c r="BM1295" s="74"/>
      <c r="BN1295" s="74"/>
      <c r="BO1295" s="74"/>
      <c r="BP1295" s="74"/>
      <c r="BQ1295" s="74"/>
      <c r="BR1295" s="74"/>
      <c r="BS1295" s="74"/>
      <c r="BT1295" s="74"/>
      <c r="BU1295" s="74"/>
      <c r="BV1295" s="74"/>
      <c r="BW1295" s="74"/>
      <c r="BX1295" s="74"/>
      <c r="BY1295" s="63"/>
      <c r="BZ1295" s="63"/>
    </row>
    <row r="1296" ht="15.75" customHeight="1">
      <c r="A1296" s="201"/>
      <c r="B1296" s="74"/>
      <c r="C1296" s="74"/>
      <c r="D1296" s="74"/>
      <c r="E1296" s="156"/>
      <c r="F1296" s="78">
        <v>0.0</v>
      </c>
      <c r="G1296" s="44" t="str">
        <f t="shared" si="35"/>
        <v>$0 a $100'000.000</v>
      </c>
      <c r="H1296" s="44"/>
      <c r="I1296" s="44"/>
      <c r="J1296" s="74"/>
      <c r="K1296" s="359"/>
      <c r="L1296" s="74"/>
      <c r="M1296" s="74"/>
      <c r="N1296" s="74"/>
      <c r="O1296" s="74"/>
      <c r="P1296" s="74"/>
      <c r="Q1296" s="74"/>
      <c r="R1296" s="362"/>
      <c r="S1296" s="56" t="str">
        <f t="shared" si="36"/>
        <v> </v>
      </c>
      <c r="T1296" s="74"/>
      <c r="U1296" s="359"/>
      <c r="V1296" s="74"/>
      <c r="W1296" s="74"/>
      <c r="X1296" s="74"/>
      <c r="Y1296" s="74"/>
      <c r="Z1296" s="364"/>
      <c r="AA1296" s="59" t="str">
        <f>IF(Rentabilidad=0,"No aplica",TEXT(ROUND(Precio/Rentabilidad/12,0),0) &amp; " años")</f>
        <v>No aplica</v>
      </c>
      <c r="AB1296" s="360"/>
      <c r="AC1296" s="61"/>
      <c r="AD1296" s="62"/>
      <c r="AE1296" s="63"/>
      <c r="AF1296" s="156"/>
      <c r="AG1296" s="63"/>
      <c r="AH1296" s="63"/>
      <c r="AI1296" s="74"/>
      <c r="AJ1296" s="156"/>
      <c r="AK1296" s="74"/>
      <c r="AL1296" s="156"/>
      <c r="AM1296" s="74"/>
      <c r="AN1296" s="156"/>
      <c r="AO1296" s="74"/>
      <c r="AP1296" s="363"/>
      <c r="AQ1296" s="363"/>
      <c r="AR1296" s="363"/>
      <c r="AS1296" s="74"/>
      <c r="AT1296" s="74"/>
      <c r="AU1296" s="74"/>
      <c r="AV1296" s="74"/>
      <c r="AW1296" s="74"/>
      <c r="AX1296" s="74"/>
      <c r="AY1296" s="74"/>
      <c r="AZ1296" s="74"/>
      <c r="BA1296" s="74"/>
      <c r="BB1296" s="74"/>
      <c r="BC1296" s="170"/>
      <c r="BD1296" s="156"/>
      <c r="BE1296" s="156"/>
      <c r="BF1296" s="299"/>
      <c r="BG1296" s="74"/>
      <c r="BH1296" s="74"/>
      <c r="BI1296" s="74"/>
      <c r="BJ1296" s="74"/>
      <c r="BK1296" s="74"/>
      <c r="BL1296" s="74"/>
      <c r="BM1296" s="74"/>
      <c r="BN1296" s="74"/>
      <c r="BO1296" s="74"/>
      <c r="BP1296" s="74"/>
      <c r="BQ1296" s="74"/>
      <c r="BR1296" s="74"/>
      <c r="BS1296" s="74"/>
      <c r="BT1296" s="74"/>
      <c r="BU1296" s="74"/>
      <c r="BV1296" s="74"/>
      <c r="BW1296" s="74"/>
      <c r="BX1296" s="74"/>
      <c r="BY1296" s="63"/>
      <c r="BZ1296" s="63"/>
    </row>
    <row r="1297" ht="15.75" customHeight="1">
      <c r="A1297" s="201"/>
      <c r="B1297" s="74"/>
      <c r="C1297" s="74"/>
      <c r="D1297" s="74"/>
      <c r="E1297" s="156"/>
      <c r="F1297" s="78">
        <v>0.0</v>
      </c>
      <c r="G1297" s="44" t="str">
        <f t="shared" si="35"/>
        <v>$0 a $100'000.000</v>
      </c>
      <c r="H1297" s="44"/>
      <c r="I1297" s="44"/>
      <c r="J1297" s="74"/>
      <c r="K1297" s="359"/>
      <c r="L1297" s="74"/>
      <c r="M1297" s="74"/>
      <c r="N1297" s="74"/>
      <c r="O1297" s="74"/>
      <c r="P1297" s="74"/>
      <c r="Q1297" s="74"/>
      <c r="R1297" s="362"/>
      <c r="S1297" s="56" t="str">
        <f t="shared" si="36"/>
        <v> </v>
      </c>
      <c r="T1297" s="74"/>
      <c r="U1297" s="359"/>
      <c r="V1297" s="74"/>
      <c r="W1297" s="74"/>
      <c r="X1297" s="74"/>
      <c r="Y1297" s="74"/>
      <c r="Z1297" s="364"/>
      <c r="AA1297" s="59" t="str">
        <f>IF(Rentabilidad=0,"No aplica",TEXT(ROUND(Precio/Rentabilidad/12,0),0) &amp; " años")</f>
        <v>No aplica</v>
      </c>
      <c r="AB1297" s="360"/>
      <c r="AC1297" s="61"/>
      <c r="AD1297" s="62"/>
      <c r="AE1297" s="63"/>
      <c r="AF1297" s="156"/>
      <c r="AG1297" s="63"/>
      <c r="AH1297" s="63"/>
      <c r="AI1297" s="74"/>
      <c r="AJ1297" s="156"/>
      <c r="AK1297" s="74"/>
      <c r="AL1297" s="156"/>
      <c r="AM1297" s="74"/>
      <c r="AN1297" s="156"/>
      <c r="AO1297" s="74"/>
      <c r="AP1297" s="363"/>
      <c r="AQ1297" s="363"/>
      <c r="AR1297" s="363"/>
      <c r="AS1297" s="74"/>
      <c r="AT1297" s="74"/>
      <c r="AU1297" s="74"/>
      <c r="AV1297" s="74"/>
      <c r="AW1297" s="74"/>
      <c r="AX1297" s="74"/>
      <c r="AY1297" s="74"/>
      <c r="AZ1297" s="74"/>
      <c r="BA1297" s="74"/>
      <c r="BB1297" s="74"/>
      <c r="BC1297" s="170"/>
      <c r="BD1297" s="156"/>
      <c r="BE1297" s="156"/>
      <c r="BF1297" s="299"/>
      <c r="BG1297" s="74"/>
      <c r="BH1297" s="74"/>
      <c r="BI1297" s="74"/>
      <c r="BJ1297" s="74"/>
      <c r="BK1297" s="74"/>
      <c r="BL1297" s="74"/>
      <c r="BM1297" s="74"/>
      <c r="BN1297" s="74"/>
      <c r="BO1297" s="74"/>
      <c r="BP1297" s="74"/>
      <c r="BQ1297" s="74"/>
      <c r="BR1297" s="74"/>
      <c r="BS1297" s="74"/>
      <c r="BT1297" s="74"/>
      <c r="BU1297" s="74"/>
      <c r="BV1297" s="74"/>
      <c r="BW1297" s="74"/>
      <c r="BX1297" s="74"/>
      <c r="BY1297" s="63"/>
      <c r="BZ1297" s="63"/>
    </row>
    <row r="1298" ht="15.75" customHeight="1">
      <c r="A1298" s="201"/>
      <c r="B1298" s="74"/>
      <c r="C1298" s="74"/>
      <c r="D1298" s="74"/>
      <c r="E1298" s="156"/>
      <c r="F1298" s="78">
        <v>0.0</v>
      </c>
      <c r="G1298" s="44" t="str">
        <f t="shared" si="35"/>
        <v>$0 a $100'000.000</v>
      </c>
      <c r="H1298" s="44"/>
      <c r="I1298" s="44"/>
      <c r="J1298" s="74"/>
      <c r="K1298" s="359"/>
      <c r="L1298" s="74"/>
      <c r="M1298" s="74"/>
      <c r="N1298" s="74"/>
      <c r="O1298" s="74"/>
      <c r="P1298" s="74"/>
      <c r="Q1298" s="74"/>
      <c r="R1298" s="362"/>
      <c r="S1298" s="56" t="str">
        <f t="shared" si="36"/>
        <v> </v>
      </c>
      <c r="T1298" s="74"/>
      <c r="U1298" s="359"/>
      <c r="V1298" s="74"/>
      <c r="W1298" s="74"/>
      <c r="X1298" s="74"/>
      <c r="Y1298" s="74"/>
      <c r="Z1298" s="364"/>
      <c r="AA1298" s="59" t="str">
        <f>IF(Rentabilidad=0,"No aplica",TEXT(ROUND(Precio/Rentabilidad/12,0),0) &amp; " años")</f>
        <v>No aplica</v>
      </c>
      <c r="AB1298" s="360"/>
      <c r="AC1298" s="61"/>
      <c r="AD1298" s="62"/>
      <c r="AE1298" s="63"/>
      <c r="AF1298" s="156"/>
      <c r="AG1298" s="63"/>
      <c r="AH1298" s="63"/>
      <c r="AI1298" s="74"/>
      <c r="AJ1298" s="156"/>
      <c r="AK1298" s="74"/>
      <c r="AL1298" s="156"/>
      <c r="AM1298" s="74"/>
      <c r="AN1298" s="156"/>
      <c r="AO1298" s="74"/>
      <c r="AP1298" s="363"/>
      <c r="AQ1298" s="363"/>
      <c r="AR1298" s="363"/>
      <c r="AS1298" s="74"/>
      <c r="AT1298" s="74"/>
      <c r="AU1298" s="74"/>
      <c r="AV1298" s="74"/>
      <c r="AW1298" s="74"/>
      <c r="AX1298" s="74"/>
      <c r="AY1298" s="74"/>
      <c r="AZ1298" s="74"/>
      <c r="BA1298" s="74"/>
      <c r="BB1298" s="74"/>
      <c r="BC1298" s="170"/>
      <c r="BD1298" s="156"/>
      <c r="BE1298" s="156"/>
      <c r="BF1298" s="299"/>
      <c r="BG1298" s="74"/>
      <c r="BH1298" s="74"/>
      <c r="BI1298" s="74"/>
      <c r="BJ1298" s="74"/>
      <c r="BK1298" s="74"/>
      <c r="BL1298" s="74"/>
      <c r="BM1298" s="74"/>
      <c r="BN1298" s="74"/>
      <c r="BO1298" s="74"/>
      <c r="BP1298" s="74"/>
      <c r="BQ1298" s="74"/>
      <c r="BR1298" s="74"/>
      <c r="BS1298" s="74"/>
      <c r="BT1298" s="74"/>
      <c r="BU1298" s="74"/>
      <c r="BV1298" s="74"/>
      <c r="BW1298" s="74"/>
      <c r="BX1298" s="74"/>
      <c r="BY1298" s="63"/>
      <c r="BZ1298" s="63"/>
    </row>
    <row r="1299" ht="15.75" customHeight="1">
      <c r="A1299" s="201"/>
      <c r="B1299" s="74"/>
      <c r="C1299" s="74"/>
      <c r="D1299" s="74"/>
      <c r="E1299" s="156"/>
      <c r="F1299" s="78">
        <v>0.0</v>
      </c>
      <c r="G1299" s="44" t="str">
        <f t="shared" si="35"/>
        <v>$0 a $100'000.000</v>
      </c>
      <c r="H1299" s="44"/>
      <c r="I1299" s="44"/>
      <c r="J1299" s="74"/>
      <c r="K1299" s="359"/>
      <c r="L1299" s="74"/>
      <c r="M1299" s="74"/>
      <c r="N1299" s="74"/>
      <c r="O1299" s="74"/>
      <c r="P1299" s="74"/>
      <c r="Q1299" s="74"/>
      <c r="R1299" s="362"/>
      <c r="S1299" s="56" t="str">
        <f t="shared" si="36"/>
        <v> </v>
      </c>
      <c r="T1299" s="74"/>
      <c r="U1299" s="359"/>
      <c r="V1299" s="74"/>
      <c r="W1299" s="74"/>
      <c r="X1299" s="74"/>
      <c r="Y1299" s="74"/>
      <c r="Z1299" s="364"/>
      <c r="AA1299" s="59" t="str">
        <f>IF(Rentabilidad=0,"No aplica",TEXT(ROUND(Precio/Rentabilidad/12,0),0) &amp; " años")</f>
        <v>No aplica</v>
      </c>
      <c r="AB1299" s="360"/>
      <c r="AC1299" s="61"/>
      <c r="AD1299" s="62"/>
      <c r="AE1299" s="63"/>
      <c r="AF1299" s="156"/>
      <c r="AG1299" s="63"/>
      <c r="AH1299" s="63"/>
      <c r="AI1299" s="74"/>
      <c r="AJ1299" s="156"/>
      <c r="AK1299" s="74"/>
      <c r="AL1299" s="156"/>
      <c r="AM1299" s="74"/>
      <c r="AN1299" s="156"/>
      <c r="AO1299" s="74"/>
      <c r="AP1299" s="363"/>
      <c r="AQ1299" s="363"/>
      <c r="AR1299" s="363"/>
      <c r="AS1299" s="74"/>
      <c r="AT1299" s="74"/>
      <c r="AU1299" s="74"/>
      <c r="AV1299" s="74"/>
      <c r="AW1299" s="74"/>
      <c r="AX1299" s="74"/>
      <c r="AY1299" s="74"/>
      <c r="AZ1299" s="74"/>
      <c r="BA1299" s="74"/>
      <c r="BB1299" s="74"/>
      <c r="BC1299" s="170"/>
      <c r="BD1299" s="156"/>
      <c r="BE1299" s="156"/>
      <c r="BF1299" s="299"/>
      <c r="BG1299" s="74"/>
      <c r="BH1299" s="74"/>
      <c r="BI1299" s="74"/>
      <c r="BJ1299" s="74"/>
      <c r="BK1299" s="74"/>
      <c r="BL1299" s="74"/>
      <c r="BM1299" s="74"/>
      <c r="BN1299" s="74"/>
      <c r="BO1299" s="74"/>
      <c r="BP1299" s="74"/>
      <c r="BQ1299" s="74"/>
      <c r="BR1299" s="74"/>
      <c r="BS1299" s="74"/>
      <c r="BT1299" s="74"/>
      <c r="BU1299" s="74"/>
      <c r="BV1299" s="74"/>
      <c r="BW1299" s="74"/>
      <c r="BX1299" s="74"/>
      <c r="BY1299" s="63"/>
      <c r="BZ1299" s="63"/>
    </row>
    <row r="1300" ht="15.75" customHeight="1">
      <c r="A1300" s="201"/>
      <c r="B1300" s="74"/>
      <c r="C1300" s="74"/>
      <c r="D1300" s="74"/>
      <c r="E1300" s="156"/>
      <c r="F1300" s="78">
        <v>0.0</v>
      </c>
      <c r="G1300" s="44" t="str">
        <f t="shared" si="35"/>
        <v>$0 a $100'000.000</v>
      </c>
      <c r="H1300" s="44"/>
      <c r="I1300" s="44"/>
      <c r="J1300" s="74"/>
      <c r="K1300" s="359"/>
      <c r="L1300" s="74"/>
      <c r="M1300" s="74"/>
      <c r="N1300" s="74"/>
      <c r="O1300" s="74"/>
      <c r="P1300" s="74"/>
      <c r="Q1300" s="74"/>
      <c r="R1300" s="362"/>
      <c r="S1300" s="56" t="str">
        <f t="shared" si="36"/>
        <v> </v>
      </c>
      <c r="T1300" s="74"/>
      <c r="U1300" s="359"/>
      <c r="V1300" s="74"/>
      <c r="W1300" s="74"/>
      <c r="X1300" s="74"/>
      <c r="Y1300" s="74"/>
      <c r="Z1300" s="364"/>
      <c r="AA1300" s="59" t="str">
        <f>IF(Rentabilidad=0,"No aplica",TEXT(ROUND(Precio/Rentabilidad/12,0),0) &amp; " años")</f>
        <v>No aplica</v>
      </c>
      <c r="AB1300" s="360"/>
      <c r="AC1300" s="61"/>
      <c r="AD1300" s="62"/>
      <c r="AE1300" s="63"/>
      <c r="AF1300" s="156"/>
      <c r="AG1300" s="63"/>
      <c r="AH1300" s="63"/>
      <c r="AI1300" s="74"/>
      <c r="AJ1300" s="156"/>
      <c r="AK1300" s="74"/>
      <c r="AL1300" s="156"/>
      <c r="AM1300" s="74"/>
      <c r="AN1300" s="156"/>
      <c r="AO1300" s="74"/>
      <c r="AP1300" s="363"/>
      <c r="AQ1300" s="363"/>
      <c r="AR1300" s="363"/>
      <c r="AS1300" s="74"/>
      <c r="AT1300" s="74"/>
      <c r="AU1300" s="74"/>
      <c r="AV1300" s="74"/>
      <c r="AW1300" s="74"/>
      <c r="AX1300" s="74"/>
      <c r="AY1300" s="74"/>
      <c r="AZ1300" s="74"/>
      <c r="BA1300" s="74"/>
      <c r="BB1300" s="74"/>
      <c r="BC1300" s="170"/>
      <c r="BD1300" s="156"/>
      <c r="BE1300" s="156"/>
      <c r="BF1300" s="299"/>
      <c r="BG1300" s="74"/>
      <c r="BH1300" s="74"/>
      <c r="BI1300" s="74"/>
      <c r="BJ1300" s="74"/>
      <c r="BK1300" s="74"/>
      <c r="BL1300" s="74"/>
      <c r="BM1300" s="74"/>
      <c r="BN1300" s="74"/>
      <c r="BO1300" s="74"/>
      <c r="BP1300" s="74"/>
      <c r="BQ1300" s="74"/>
      <c r="BR1300" s="74"/>
      <c r="BS1300" s="74"/>
      <c r="BT1300" s="74"/>
      <c r="BU1300" s="74"/>
      <c r="BV1300" s="74"/>
      <c r="BW1300" s="74"/>
      <c r="BX1300" s="74"/>
      <c r="BY1300" s="63"/>
      <c r="BZ1300" s="63"/>
    </row>
    <row r="1301" ht="15.75" customHeight="1">
      <c r="A1301" s="201"/>
      <c r="B1301" s="74"/>
      <c r="C1301" s="74"/>
      <c r="D1301" s="74"/>
      <c r="E1301" s="156"/>
      <c r="F1301" s="78">
        <v>0.0</v>
      </c>
      <c r="G1301" s="44" t="str">
        <f t="shared" si="35"/>
        <v>$0 a $100'000.000</v>
      </c>
      <c r="H1301" s="44"/>
      <c r="I1301" s="44"/>
      <c r="J1301" s="74"/>
      <c r="K1301" s="359"/>
      <c r="L1301" s="74"/>
      <c r="M1301" s="74"/>
      <c r="N1301" s="74"/>
      <c r="O1301" s="74"/>
      <c r="P1301" s="74"/>
      <c r="Q1301" s="74"/>
      <c r="R1301" s="362"/>
      <c r="S1301" s="56" t="str">
        <f t="shared" si="36"/>
        <v> </v>
      </c>
      <c r="T1301" s="74"/>
      <c r="U1301" s="359"/>
      <c r="V1301" s="74"/>
      <c r="W1301" s="74"/>
      <c r="X1301" s="74"/>
      <c r="Y1301" s="74"/>
      <c r="Z1301" s="364"/>
      <c r="AA1301" s="59" t="str">
        <f>IF(Rentabilidad=0,"No aplica",TEXT(ROUND(Precio/Rentabilidad/12,0),0) &amp; " años")</f>
        <v>No aplica</v>
      </c>
      <c r="AB1301" s="360"/>
      <c r="AC1301" s="61"/>
      <c r="AD1301" s="62"/>
      <c r="AE1301" s="63"/>
      <c r="AF1301" s="156"/>
      <c r="AG1301" s="63"/>
      <c r="AH1301" s="63"/>
      <c r="AI1301" s="74"/>
      <c r="AJ1301" s="156"/>
      <c r="AK1301" s="74"/>
      <c r="AL1301" s="156"/>
      <c r="AM1301" s="74"/>
      <c r="AN1301" s="156"/>
      <c r="AO1301" s="74"/>
      <c r="AP1301" s="363"/>
      <c r="AQ1301" s="363"/>
      <c r="AR1301" s="363"/>
      <c r="AS1301" s="74"/>
      <c r="AT1301" s="74"/>
      <c r="AU1301" s="74"/>
      <c r="AV1301" s="74"/>
      <c r="AW1301" s="74"/>
      <c r="AX1301" s="74"/>
      <c r="AY1301" s="74"/>
      <c r="AZ1301" s="74"/>
      <c r="BA1301" s="74"/>
      <c r="BB1301" s="74"/>
      <c r="BC1301" s="170"/>
      <c r="BD1301" s="156"/>
      <c r="BE1301" s="156"/>
      <c r="BF1301" s="299"/>
      <c r="BG1301" s="74"/>
      <c r="BH1301" s="74"/>
      <c r="BI1301" s="74"/>
      <c r="BJ1301" s="74"/>
      <c r="BK1301" s="74"/>
      <c r="BL1301" s="74"/>
      <c r="BM1301" s="74"/>
      <c r="BN1301" s="74"/>
      <c r="BO1301" s="74"/>
      <c r="BP1301" s="74"/>
      <c r="BQ1301" s="74"/>
      <c r="BR1301" s="74"/>
      <c r="BS1301" s="74"/>
      <c r="BT1301" s="74"/>
      <c r="BU1301" s="74"/>
      <c r="BV1301" s="74"/>
      <c r="BW1301" s="74"/>
      <c r="BX1301" s="74"/>
      <c r="BY1301" s="63"/>
      <c r="BZ1301" s="63"/>
    </row>
    <row r="1302" ht="15.75" customHeight="1">
      <c r="A1302" s="201"/>
      <c r="B1302" s="74"/>
      <c r="C1302" s="74"/>
      <c r="D1302" s="74"/>
      <c r="E1302" s="156"/>
      <c r="F1302" s="78">
        <v>0.0</v>
      </c>
      <c r="G1302" s="44" t="str">
        <f t="shared" si="35"/>
        <v>$0 a $100'000.000</v>
      </c>
      <c r="H1302" s="44"/>
      <c r="I1302" s="44"/>
      <c r="J1302" s="74"/>
      <c r="K1302" s="359"/>
      <c r="L1302" s="74"/>
      <c r="M1302" s="74"/>
      <c r="N1302" s="74"/>
      <c r="O1302" s="74"/>
      <c r="P1302" s="74"/>
      <c r="Q1302" s="74"/>
      <c r="R1302" s="362"/>
      <c r="S1302" s="56" t="str">
        <f t="shared" si="36"/>
        <v> </v>
      </c>
      <c r="T1302" s="74"/>
      <c r="U1302" s="359"/>
      <c r="V1302" s="74"/>
      <c r="W1302" s="74"/>
      <c r="X1302" s="74"/>
      <c r="Y1302" s="74"/>
      <c r="Z1302" s="364"/>
      <c r="AA1302" s="59" t="str">
        <f>IF(Rentabilidad=0,"No aplica",TEXT(ROUND(Precio/Rentabilidad/12,0),0) &amp; " años")</f>
        <v>No aplica</v>
      </c>
      <c r="AB1302" s="360"/>
      <c r="AC1302" s="61"/>
      <c r="AD1302" s="62"/>
      <c r="AE1302" s="63"/>
      <c r="AF1302" s="156"/>
      <c r="AG1302" s="63"/>
      <c r="AH1302" s="63"/>
      <c r="AI1302" s="74"/>
      <c r="AJ1302" s="156"/>
      <c r="AK1302" s="74"/>
      <c r="AL1302" s="156"/>
      <c r="AM1302" s="74"/>
      <c r="AN1302" s="156"/>
      <c r="AO1302" s="74"/>
      <c r="AP1302" s="363"/>
      <c r="AQ1302" s="363"/>
      <c r="AR1302" s="363"/>
      <c r="AS1302" s="74"/>
      <c r="AT1302" s="74"/>
      <c r="AU1302" s="74"/>
      <c r="AV1302" s="74"/>
      <c r="AW1302" s="74"/>
      <c r="AX1302" s="74"/>
      <c r="AY1302" s="74"/>
      <c r="AZ1302" s="74"/>
      <c r="BA1302" s="74"/>
      <c r="BB1302" s="74"/>
      <c r="BC1302" s="170"/>
      <c r="BD1302" s="156"/>
      <c r="BE1302" s="156"/>
      <c r="BF1302" s="299"/>
      <c r="BG1302" s="74"/>
      <c r="BH1302" s="74"/>
      <c r="BI1302" s="74"/>
      <c r="BJ1302" s="74"/>
      <c r="BK1302" s="74"/>
      <c r="BL1302" s="74"/>
      <c r="BM1302" s="74"/>
      <c r="BN1302" s="74"/>
      <c r="BO1302" s="74"/>
      <c r="BP1302" s="74"/>
      <c r="BQ1302" s="74"/>
      <c r="BR1302" s="74"/>
      <c r="BS1302" s="74"/>
      <c r="BT1302" s="74"/>
      <c r="BU1302" s="74"/>
      <c r="BV1302" s="74"/>
      <c r="BW1302" s="74"/>
      <c r="BX1302" s="74"/>
      <c r="BY1302" s="63"/>
      <c r="BZ1302" s="63"/>
    </row>
    <row r="1303" ht="15.75" customHeight="1">
      <c r="A1303" s="201"/>
      <c r="B1303" s="74"/>
      <c r="C1303" s="74"/>
      <c r="D1303" s="74"/>
      <c r="E1303" s="156"/>
      <c r="F1303" s="78">
        <v>0.0</v>
      </c>
      <c r="G1303" s="44" t="str">
        <f t="shared" si="35"/>
        <v>$0 a $100'000.000</v>
      </c>
      <c r="H1303" s="44"/>
      <c r="I1303" s="44"/>
      <c r="J1303" s="74"/>
      <c r="K1303" s="359"/>
      <c r="L1303" s="74"/>
      <c r="M1303" s="74"/>
      <c r="N1303" s="74"/>
      <c r="O1303" s="74"/>
      <c r="P1303" s="74"/>
      <c r="Q1303" s="74"/>
      <c r="R1303" s="362"/>
      <c r="S1303" s="56" t="str">
        <f t="shared" si="36"/>
        <v> </v>
      </c>
      <c r="T1303" s="74"/>
      <c r="U1303" s="359"/>
      <c r="V1303" s="74"/>
      <c r="W1303" s="74"/>
      <c r="X1303" s="74"/>
      <c r="Y1303" s="74"/>
      <c r="Z1303" s="364"/>
      <c r="AA1303" s="59" t="str">
        <f>IF(Rentabilidad=0,"No aplica",TEXT(ROUND(Precio/Rentabilidad/12,0),0) &amp; " años")</f>
        <v>No aplica</v>
      </c>
      <c r="AB1303" s="360"/>
      <c r="AC1303" s="61"/>
      <c r="AD1303" s="62"/>
      <c r="AE1303" s="63"/>
      <c r="AF1303" s="156"/>
      <c r="AG1303" s="63"/>
      <c r="AH1303" s="63"/>
      <c r="AI1303" s="74"/>
      <c r="AJ1303" s="156"/>
      <c r="AK1303" s="74"/>
      <c r="AL1303" s="156"/>
      <c r="AM1303" s="74"/>
      <c r="AN1303" s="156"/>
      <c r="AO1303" s="74"/>
      <c r="AP1303" s="363"/>
      <c r="AQ1303" s="363"/>
      <c r="AR1303" s="363"/>
      <c r="AS1303" s="74"/>
      <c r="AT1303" s="74"/>
      <c r="AU1303" s="74"/>
      <c r="AV1303" s="74"/>
      <c r="AW1303" s="74"/>
      <c r="AX1303" s="74"/>
      <c r="AY1303" s="74"/>
      <c r="AZ1303" s="74"/>
      <c r="BA1303" s="74"/>
      <c r="BB1303" s="74"/>
      <c r="BC1303" s="170"/>
      <c r="BD1303" s="156"/>
      <c r="BE1303" s="156"/>
      <c r="BF1303" s="299"/>
      <c r="BG1303" s="74"/>
      <c r="BH1303" s="74"/>
      <c r="BI1303" s="74"/>
      <c r="BJ1303" s="74"/>
      <c r="BK1303" s="74"/>
      <c r="BL1303" s="74"/>
      <c r="BM1303" s="74"/>
      <c r="BN1303" s="74"/>
      <c r="BO1303" s="74"/>
      <c r="BP1303" s="74"/>
      <c r="BQ1303" s="74"/>
      <c r="BR1303" s="74"/>
      <c r="BS1303" s="74"/>
      <c r="BT1303" s="74"/>
      <c r="BU1303" s="74"/>
      <c r="BV1303" s="74"/>
      <c r="BW1303" s="74"/>
      <c r="BX1303" s="74"/>
      <c r="BY1303" s="63"/>
      <c r="BZ1303" s="63"/>
    </row>
    <row r="1304" ht="15.75" customHeight="1">
      <c r="A1304" s="201"/>
      <c r="B1304" s="74"/>
      <c r="C1304" s="74"/>
      <c r="D1304" s="74"/>
      <c r="E1304" s="156"/>
      <c r="F1304" s="78">
        <v>0.0</v>
      </c>
      <c r="G1304" s="44" t="str">
        <f t="shared" si="35"/>
        <v>$0 a $100'000.000</v>
      </c>
      <c r="H1304" s="44"/>
      <c r="I1304" s="44"/>
      <c r="J1304" s="74"/>
      <c r="K1304" s="359"/>
      <c r="L1304" s="74"/>
      <c r="M1304" s="74"/>
      <c r="N1304" s="74"/>
      <c r="O1304" s="74"/>
      <c r="P1304" s="74"/>
      <c r="Q1304" s="74"/>
      <c r="R1304" s="362"/>
      <c r="S1304" s="56" t="str">
        <f t="shared" si="36"/>
        <v> </v>
      </c>
      <c r="T1304" s="74"/>
      <c r="U1304" s="359"/>
      <c r="V1304" s="74"/>
      <c r="W1304" s="74"/>
      <c r="X1304" s="74"/>
      <c r="Y1304" s="74"/>
      <c r="Z1304" s="364"/>
      <c r="AA1304" s="59" t="str">
        <f>IF(Rentabilidad=0,"No aplica",TEXT(ROUND(Precio/Rentabilidad/12,0),0) &amp; " años")</f>
        <v>No aplica</v>
      </c>
      <c r="AB1304" s="360"/>
      <c r="AC1304" s="61"/>
      <c r="AD1304" s="62"/>
      <c r="AE1304" s="63"/>
      <c r="AF1304" s="156"/>
      <c r="AG1304" s="63"/>
      <c r="AH1304" s="63"/>
      <c r="AI1304" s="74"/>
      <c r="AJ1304" s="156"/>
      <c r="AK1304" s="74"/>
      <c r="AL1304" s="156"/>
      <c r="AM1304" s="74"/>
      <c r="AN1304" s="156"/>
      <c r="AO1304" s="74"/>
      <c r="AP1304" s="363"/>
      <c r="AQ1304" s="363"/>
      <c r="AR1304" s="363"/>
      <c r="AS1304" s="74"/>
      <c r="AT1304" s="74"/>
      <c r="AU1304" s="74"/>
      <c r="AV1304" s="74"/>
      <c r="AW1304" s="74"/>
      <c r="AX1304" s="74"/>
      <c r="AY1304" s="74"/>
      <c r="AZ1304" s="74"/>
      <c r="BA1304" s="74"/>
      <c r="BB1304" s="74"/>
      <c r="BC1304" s="170"/>
      <c r="BD1304" s="156"/>
      <c r="BE1304" s="156"/>
      <c r="BF1304" s="299"/>
      <c r="BG1304" s="74"/>
      <c r="BH1304" s="74"/>
      <c r="BI1304" s="74"/>
      <c r="BJ1304" s="74"/>
      <c r="BK1304" s="74"/>
      <c r="BL1304" s="74"/>
      <c r="BM1304" s="74"/>
      <c r="BN1304" s="74"/>
      <c r="BO1304" s="74"/>
      <c r="BP1304" s="74"/>
      <c r="BQ1304" s="74"/>
      <c r="BR1304" s="74"/>
      <c r="BS1304" s="74"/>
      <c r="BT1304" s="74"/>
      <c r="BU1304" s="74"/>
      <c r="BV1304" s="74"/>
      <c r="BW1304" s="74"/>
      <c r="BX1304" s="74"/>
      <c r="BY1304" s="63"/>
      <c r="BZ1304" s="63"/>
    </row>
    <row r="1305" ht="15.75" customHeight="1">
      <c r="A1305" s="201"/>
      <c r="B1305" s="74"/>
      <c r="C1305" s="74"/>
      <c r="D1305" s="74"/>
      <c r="E1305" s="156"/>
      <c r="F1305" s="78">
        <v>0.0</v>
      </c>
      <c r="G1305" s="44" t="str">
        <f t="shared" si="35"/>
        <v>$0 a $100'000.000</v>
      </c>
      <c r="H1305" s="44"/>
      <c r="I1305" s="44"/>
      <c r="J1305" s="74"/>
      <c r="K1305" s="359"/>
      <c r="L1305" s="74"/>
      <c r="M1305" s="74"/>
      <c r="N1305" s="74"/>
      <c r="O1305" s="74"/>
      <c r="P1305" s="74"/>
      <c r="Q1305" s="74"/>
      <c r="R1305" s="362"/>
      <c r="S1305" s="56" t="str">
        <f t="shared" si="36"/>
        <v> </v>
      </c>
      <c r="T1305" s="74"/>
      <c r="U1305" s="359"/>
      <c r="V1305" s="74"/>
      <c r="W1305" s="74"/>
      <c r="X1305" s="74"/>
      <c r="Y1305" s="74"/>
      <c r="Z1305" s="364"/>
      <c r="AA1305" s="59" t="str">
        <f>IF(Rentabilidad=0,"No aplica",TEXT(ROUND(Precio/Rentabilidad/12,0),0) &amp; " años")</f>
        <v>No aplica</v>
      </c>
      <c r="AB1305" s="360"/>
      <c r="AC1305" s="61"/>
      <c r="AD1305" s="62"/>
      <c r="AE1305" s="63"/>
      <c r="AF1305" s="156"/>
      <c r="AG1305" s="63"/>
      <c r="AH1305" s="63"/>
      <c r="AI1305" s="74"/>
      <c r="AJ1305" s="156"/>
      <c r="AK1305" s="74"/>
      <c r="AL1305" s="156"/>
      <c r="AM1305" s="74"/>
      <c r="AN1305" s="156"/>
      <c r="AO1305" s="74"/>
      <c r="AP1305" s="363"/>
      <c r="AQ1305" s="363"/>
      <c r="AR1305" s="363"/>
      <c r="AS1305" s="74"/>
      <c r="AT1305" s="74"/>
      <c r="AU1305" s="74"/>
      <c r="AV1305" s="74"/>
      <c r="AW1305" s="74"/>
      <c r="AX1305" s="74"/>
      <c r="AY1305" s="74"/>
      <c r="AZ1305" s="74"/>
      <c r="BA1305" s="74"/>
      <c r="BB1305" s="74"/>
      <c r="BC1305" s="170"/>
      <c r="BD1305" s="156"/>
      <c r="BE1305" s="156"/>
      <c r="BF1305" s="299"/>
      <c r="BG1305" s="74"/>
      <c r="BH1305" s="74"/>
      <c r="BI1305" s="74"/>
      <c r="BJ1305" s="74"/>
      <c r="BK1305" s="74"/>
      <c r="BL1305" s="74"/>
      <c r="BM1305" s="74"/>
      <c r="BN1305" s="74"/>
      <c r="BO1305" s="74"/>
      <c r="BP1305" s="74"/>
      <c r="BQ1305" s="74"/>
      <c r="BR1305" s="74"/>
      <c r="BS1305" s="74"/>
      <c r="BT1305" s="74"/>
      <c r="BU1305" s="74"/>
      <c r="BV1305" s="74"/>
      <c r="BW1305" s="74"/>
      <c r="BX1305" s="74"/>
      <c r="BY1305" s="63"/>
      <c r="BZ1305" s="63"/>
    </row>
    <row r="1306" ht="15.75" customHeight="1">
      <c r="A1306" s="201"/>
      <c r="B1306" s="74"/>
      <c r="C1306" s="74"/>
      <c r="D1306" s="74"/>
      <c r="E1306" s="156"/>
      <c r="F1306" s="78">
        <v>0.0</v>
      </c>
      <c r="G1306" s="44" t="str">
        <f t="shared" si="35"/>
        <v>$0 a $100'000.000</v>
      </c>
      <c r="H1306" s="44"/>
      <c r="I1306" s="44"/>
      <c r="J1306" s="74"/>
      <c r="K1306" s="359"/>
      <c r="L1306" s="74"/>
      <c r="M1306" s="74"/>
      <c r="N1306" s="74"/>
      <c r="O1306" s="74"/>
      <c r="P1306" s="74"/>
      <c r="Q1306" s="74"/>
      <c r="R1306" s="362"/>
      <c r="S1306" s="56" t="str">
        <f t="shared" si="36"/>
        <v> </v>
      </c>
      <c r="T1306" s="74"/>
      <c r="U1306" s="359"/>
      <c r="V1306" s="74"/>
      <c r="W1306" s="74"/>
      <c r="X1306" s="74"/>
      <c r="Y1306" s="74"/>
      <c r="Z1306" s="364"/>
      <c r="AA1306" s="59" t="str">
        <f>IF(Rentabilidad=0,"No aplica",TEXT(ROUND(Precio/Rentabilidad/12,0),0) &amp; " años")</f>
        <v>No aplica</v>
      </c>
      <c r="AB1306" s="360"/>
      <c r="AC1306" s="61"/>
      <c r="AD1306" s="62"/>
      <c r="AE1306" s="63"/>
      <c r="AF1306" s="156"/>
      <c r="AG1306" s="63"/>
      <c r="AH1306" s="63"/>
      <c r="AI1306" s="74"/>
      <c r="AJ1306" s="156"/>
      <c r="AK1306" s="74"/>
      <c r="AL1306" s="156"/>
      <c r="AM1306" s="74"/>
      <c r="AN1306" s="156"/>
      <c r="AO1306" s="74"/>
      <c r="AP1306" s="363"/>
      <c r="AQ1306" s="363"/>
      <c r="AR1306" s="363"/>
      <c r="AS1306" s="74"/>
      <c r="AT1306" s="74"/>
      <c r="AU1306" s="74"/>
      <c r="AV1306" s="74"/>
      <c r="AW1306" s="74"/>
      <c r="AX1306" s="74"/>
      <c r="AY1306" s="74"/>
      <c r="AZ1306" s="74"/>
      <c r="BA1306" s="74"/>
      <c r="BB1306" s="74"/>
      <c r="BC1306" s="170"/>
      <c r="BD1306" s="156"/>
      <c r="BE1306" s="156"/>
      <c r="BF1306" s="299"/>
      <c r="BG1306" s="74"/>
      <c r="BH1306" s="74"/>
      <c r="BI1306" s="74"/>
      <c r="BJ1306" s="74"/>
      <c r="BK1306" s="74"/>
      <c r="BL1306" s="74"/>
      <c r="BM1306" s="74"/>
      <c r="BN1306" s="74"/>
      <c r="BO1306" s="74"/>
      <c r="BP1306" s="74"/>
      <c r="BQ1306" s="74"/>
      <c r="BR1306" s="74"/>
      <c r="BS1306" s="74"/>
      <c r="BT1306" s="74"/>
      <c r="BU1306" s="74"/>
      <c r="BV1306" s="74"/>
      <c r="BW1306" s="74"/>
      <c r="BX1306" s="74"/>
      <c r="BY1306" s="63"/>
      <c r="BZ1306" s="63"/>
    </row>
    <row r="1307" ht="15.75" customHeight="1">
      <c r="A1307" s="201"/>
      <c r="B1307" s="74"/>
      <c r="C1307" s="74"/>
      <c r="D1307" s="74"/>
      <c r="E1307" s="156"/>
      <c r="F1307" s="78">
        <v>0.0</v>
      </c>
      <c r="G1307" s="44" t="str">
        <f t="shared" si="35"/>
        <v>$0 a $100'000.000</v>
      </c>
      <c r="H1307" s="44"/>
      <c r="I1307" s="44"/>
      <c r="J1307" s="74"/>
      <c r="K1307" s="359"/>
      <c r="L1307" s="74"/>
      <c r="M1307" s="74"/>
      <c r="N1307" s="74"/>
      <c r="O1307" s="74"/>
      <c r="P1307" s="74"/>
      <c r="Q1307" s="74"/>
      <c r="R1307" s="362"/>
      <c r="S1307" s="56" t="str">
        <f t="shared" si="36"/>
        <v> </v>
      </c>
      <c r="T1307" s="74"/>
      <c r="U1307" s="359"/>
      <c r="V1307" s="74"/>
      <c r="W1307" s="74"/>
      <c r="X1307" s="74"/>
      <c r="Y1307" s="74"/>
      <c r="Z1307" s="364"/>
      <c r="AA1307" s="59" t="str">
        <f>IF(Rentabilidad=0,"No aplica",TEXT(ROUND(Precio/Rentabilidad/12,0),0) &amp; " años")</f>
        <v>No aplica</v>
      </c>
      <c r="AB1307" s="360"/>
      <c r="AC1307" s="61"/>
      <c r="AD1307" s="62"/>
      <c r="AE1307" s="63"/>
      <c r="AF1307" s="156"/>
      <c r="AG1307" s="63"/>
      <c r="AH1307" s="63"/>
      <c r="AI1307" s="74"/>
      <c r="AJ1307" s="156"/>
      <c r="AK1307" s="74"/>
      <c r="AL1307" s="156"/>
      <c r="AM1307" s="74"/>
      <c r="AN1307" s="156"/>
      <c r="AO1307" s="74"/>
      <c r="AP1307" s="363"/>
      <c r="AQ1307" s="363"/>
      <c r="AR1307" s="363"/>
      <c r="AS1307" s="74"/>
      <c r="AT1307" s="74"/>
      <c r="AU1307" s="74"/>
      <c r="AV1307" s="74"/>
      <c r="AW1307" s="74"/>
      <c r="AX1307" s="74"/>
      <c r="AY1307" s="74"/>
      <c r="AZ1307" s="74"/>
      <c r="BA1307" s="74"/>
      <c r="BB1307" s="74"/>
      <c r="BC1307" s="170"/>
      <c r="BD1307" s="156"/>
      <c r="BE1307" s="156"/>
      <c r="BF1307" s="299"/>
      <c r="BG1307" s="74"/>
      <c r="BH1307" s="74"/>
      <c r="BI1307" s="74"/>
      <c r="BJ1307" s="74"/>
      <c r="BK1307" s="74"/>
      <c r="BL1307" s="74"/>
      <c r="BM1307" s="74"/>
      <c r="BN1307" s="74"/>
      <c r="BO1307" s="74"/>
      <c r="BP1307" s="74"/>
      <c r="BQ1307" s="74"/>
      <c r="BR1307" s="74"/>
      <c r="BS1307" s="74"/>
      <c r="BT1307" s="74"/>
      <c r="BU1307" s="74"/>
      <c r="BV1307" s="74"/>
      <c r="BW1307" s="74"/>
      <c r="BX1307" s="74"/>
      <c r="BY1307" s="63"/>
      <c r="BZ1307" s="63"/>
    </row>
    <row r="1308" ht="15.75" customHeight="1">
      <c r="A1308" s="201"/>
      <c r="B1308" s="74"/>
      <c r="C1308" s="74"/>
      <c r="D1308" s="74"/>
      <c r="E1308" s="156"/>
      <c r="F1308" s="78">
        <v>0.0</v>
      </c>
      <c r="G1308" s="44" t="str">
        <f t="shared" si="35"/>
        <v>$0 a $100'000.000</v>
      </c>
      <c r="H1308" s="44"/>
      <c r="I1308" s="44"/>
      <c r="J1308" s="74"/>
      <c r="K1308" s="359"/>
      <c r="L1308" s="74"/>
      <c r="M1308" s="74"/>
      <c r="N1308" s="74"/>
      <c r="O1308" s="74"/>
      <c r="P1308" s="74"/>
      <c r="Q1308" s="74"/>
      <c r="R1308" s="362"/>
      <c r="S1308" s="56" t="str">
        <f t="shared" si="36"/>
        <v> </v>
      </c>
      <c r="T1308" s="74"/>
      <c r="U1308" s="359"/>
      <c r="V1308" s="74"/>
      <c r="W1308" s="74"/>
      <c r="X1308" s="74"/>
      <c r="Y1308" s="74"/>
      <c r="Z1308" s="364"/>
      <c r="AA1308" s="59" t="str">
        <f>IF(Rentabilidad=0,"No aplica",TEXT(ROUND(Precio/Rentabilidad/12,0),0) &amp; " años")</f>
        <v>No aplica</v>
      </c>
      <c r="AB1308" s="360"/>
      <c r="AC1308" s="61"/>
      <c r="AD1308" s="62"/>
      <c r="AE1308" s="63"/>
      <c r="AF1308" s="156"/>
      <c r="AG1308" s="63"/>
      <c r="AH1308" s="63"/>
      <c r="AI1308" s="74"/>
      <c r="AJ1308" s="156"/>
      <c r="AK1308" s="74"/>
      <c r="AL1308" s="156"/>
      <c r="AM1308" s="74"/>
      <c r="AN1308" s="156"/>
      <c r="AO1308" s="74"/>
      <c r="AP1308" s="363"/>
      <c r="AQ1308" s="363"/>
      <c r="AR1308" s="363"/>
      <c r="AS1308" s="74"/>
      <c r="AT1308" s="74"/>
      <c r="AU1308" s="74"/>
      <c r="AV1308" s="74"/>
      <c r="AW1308" s="74"/>
      <c r="AX1308" s="74"/>
      <c r="AY1308" s="74"/>
      <c r="AZ1308" s="74"/>
      <c r="BA1308" s="74"/>
      <c r="BB1308" s="74"/>
      <c r="BC1308" s="170"/>
      <c r="BD1308" s="156"/>
      <c r="BE1308" s="156"/>
      <c r="BF1308" s="299"/>
      <c r="BG1308" s="74"/>
      <c r="BH1308" s="74"/>
      <c r="BI1308" s="74"/>
      <c r="BJ1308" s="74"/>
      <c r="BK1308" s="74"/>
      <c r="BL1308" s="74"/>
      <c r="BM1308" s="74"/>
      <c r="BN1308" s="74"/>
      <c r="BO1308" s="74"/>
      <c r="BP1308" s="74"/>
      <c r="BQ1308" s="74"/>
      <c r="BR1308" s="74"/>
      <c r="BS1308" s="74"/>
      <c r="BT1308" s="74"/>
      <c r="BU1308" s="74"/>
      <c r="BV1308" s="74"/>
      <c r="BW1308" s="74"/>
      <c r="BX1308" s="74"/>
      <c r="BY1308" s="63"/>
      <c r="BZ1308" s="63"/>
    </row>
    <row r="1309" ht="15.75" customHeight="1">
      <c r="A1309" s="201"/>
      <c r="B1309" s="74"/>
      <c r="C1309" s="74"/>
      <c r="D1309" s="74"/>
      <c r="E1309" s="156"/>
      <c r="F1309" s="78">
        <v>0.0</v>
      </c>
      <c r="G1309" s="44" t="str">
        <f t="shared" si="35"/>
        <v>$0 a $100'000.000</v>
      </c>
      <c r="H1309" s="44"/>
      <c r="I1309" s="44"/>
      <c r="J1309" s="74"/>
      <c r="K1309" s="359"/>
      <c r="L1309" s="74"/>
      <c r="M1309" s="74"/>
      <c r="N1309" s="74"/>
      <c r="O1309" s="74"/>
      <c r="P1309" s="74"/>
      <c r="Q1309" s="74"/>
      <c r="R1309" s="362"/>
      <c r="S1309" s="56" t="str">
        <f t="shared" si="36"/>
        <v> </v>
      </c>
      <c r="T1309" s="74"/>
      <c r="U1309" s="359"/>
      <c r="V1309" s="74"/>
      <c r="W1309" s="74"/>
      <c r="X1309" s="74"/>
      <c r="Y1309" s="74"/>
      <c r="Z1309" s="364"/>
      <c r="AA1309" s="59" t="str">
        <f>IF(Rentabilidad=0,"No aplica",TEXT(ROUND(Precio/Rentabilidad/12,0),0) &amp; " años")</f>
        <v>No aplica</v>
      </c>
      <c r="AB1309" s="360"/>
      <c r="AC1309" s="61"/>
      <c r="AD1309" s="62"/>
      <c r="AE1309" s="63"/>
      <c r="AF1309" s="156"/>
      <c r="AG1309" s="63"/>
      <c r="AH1309" s="63"/>
      <c r="AI1309" s="74"/>
      <c r="AJ1309" s="156"/>
      <c r="AK1309" s="74"/>
      <c r="AL1309" s="156"/>
      <c r="AM1309" s="74"/>
      <c r="AN1309" s="156"/>
      <c r="AO1309" s="74"/>
      <c r="AP1309" s="363"/>
      <c r="AQ1309" s="363"/>
      <c r="AR1309" s="363"/>
      <c r="AS1309" s="74"/>
      <c r="AT1309" s="74"/>
      <c r="AU1309" s="74"/>
      <c r="AV1309" s="74"/>
      <c r="AW1309" s="74"/>
      <c r="AX1309" s="74"/>
      <c r="AY1309" s="74"/>
      <c r="AZ1309" s="74"/>
      <c r="BA1309" s="74"/>
      <c r="BB1309" s="74"/>
      <c r="BC1309" s="170"/>
      <c r="BD1309" s="156"/>
      <c r="BE1309" s="156"/>
      <c r="BF1309" s="299"/>
      <c r="BG1309" s="74"/>
      <c r="BH1309" s="74"/>
      <c r="BI1309" s="74"/>
      <c r="BJ1309" s="74"/>
      <c r="BK1309" s="74"/>
      <c r="BL1309" s="74"/>
      <c r="BM1309" s="74"/>
      <c r="BN1309" s="74"/>
      <c r="BO1309" s="74"/>
      <c r="BP1309" s="74"/>
      <c r="BQ1309" s="74"/>
      <c r="BR1309" s="74"/>
      <c r="BS1309" s="74"/>
      <c r="BT1309" s="74"/>
      <c r="BU1309" s="74"/>
      <c r="BV1309" s="74"/>
      <c r="BW1309" s="74"/>
      <c r="BX1309" s="74"/>
      <c r="BY1309" s="63"/>
      <c r="BZ1309" s="63"/>
    </row>
    <row r="1310" ht="15.75" customHeight="1">
      <c r="A1310" s="201"/>
      <c r="B1310" s="74"/>
      <c r="C1310" s="74"/>
      <c r="D1310" s="74"/>
      <c r="E1310" s="156"/>
      <c r="F1310" s="78">
        <v>0.0</v>
      </c>
      <c r="G1310" s="44" t="str">
        <f t="shared" si="35"/>
        <v>$0 a $100'000.000</v>
      </c>
      <c r="H1310" s="44"/>
      <c r="I1310" s="44"/>
      <c r="J1310" s="74"/>
      <c r="K1310" s="359"/>
      <c r="L1310" s="74"/>
      <c r="M1310" s="74"/>
      <c r="N1310" s="74"/>
      <c r="O1310" s="74"/>
      <c r="P1310" s="74"/>
      <c r="Q1310" s="74"/>
      <c r="R1310" s="362"/>
      <c r="S1310" s="56" t="str">
        <f t="shared" si="36"/>
        <v> </v>
      </c>
      <c r="T1310" s="74"/>
      <c r="U1310" s="359"/>
      <c r="V1310" s="74"/>
      <c r="W1310" s="74"/>
      <c r="X1310" s="74"/>
      <c r="Y1310" s="74"/>
      <c r="Z1310" s="364"/>
      <c r="AA1310" s="59" t="str">
        <f>IF(Rentabilidad=0,"No aplica",TEXT(ROUND(Precio/Rentabilidad/12,0),0) &amp; " años")</f>
        <v>No aplica</v>
      </c>
      <c r="AB1310" s="360"/>
      <c r="AC1310" s="61"/>
      <c r="AD1310" s="62"/>
      <c r="AE1310" s="63"/>
      <c r="AF1310" s="156"/>
      <c r="AG1310" s="63"/>
      <c r="AH1310" s="63"/>
      <c r="AI1310" s="74"/>
      <c r="AJ1310" s="156"/>
      <c r="AK1310" s="74"/>
      <c r="AL1310" s="156"/>
      <c r="AM1310" s="74"/>
      <c r="AN1310" s="156"/>
      <c r="AO1310" s="74"/>
      <c r="AP1310" s="363"/>
      <c r="AQ1310" s="363"/>
      <c r="AR1310" s="363"/>
      <c r="AS1310" s="74"/>
      <c r="AT1310" s="74"/>
      <c r="AU1310" s="74"/>
      <c r="AV1310" s="74"/>
      <c r="AW1310" s="74"/>
      <c r="AX1310" s="74"/>
      <c r="AY1310" s="74"/>
      <c r="AZ1310" s="74"/>
      <c r="BA1310" s="74"/>
      <c r="BB1310" s="74"/>
      <c r="BC1310" s="170"/>
      <c r="BD1310" s="156"/>
      <c r="BE1310" s="156"/>
      <c r="BF1310" s="299"/>
      <c r="BG1310" s="74"/>
      <c r="BH1310" s="74"/>
      <c r="BI1310" s="74"/>
      <c r="BJ1310" s="74"/>
      <c r="BK1310" s="74"/>
      <c r="BL1310" s="74"/>
      <c r="BM1310" s="74"/>
      <c r="BN1310" s="74"/>
      <c r="BO1310" s="74"/>
      <c r="BP1310" s="74"/>
      <c r="BQ1310" s="74"/>
      <c r="BR1310" s="74"/>
      <c r="BS1310" s="74"/>
      <c r="BT1310" s="74"/>
      <c r="BU1310" s="74"/>
      <c r="BV1310" s="74"/>
      <c r="BW1310" s="74"/>
      <c r="BX1310" s="74"/>
      <c r="BY1310" s="63"/>
      <c r="BZ1310" s="63"/>
    </row>
    <row r="1311" ht="15.75" customHeight="1">
      <c r="A1311" s="201"/>
      <c r="B1311" s="74"/>
      <c r="C1311" s="74"/>
      <c r="D1311" s="74"/>
      <c r="E1311" s="156"/>
      <c r="F1311" s="78">
        <v>0.0</v>
      </c>
      <c r="G1311" s="44" t="str">
        <f t="shared" si="35"/>
        <v>$0 a $100'000.000</v>
      </c>
      <c r="H1311" s="44"/>
      <c r="I1311" s="44"/>
      <c r="J1311" s="74"/>
      <c r="K1311" s="359"/>
      <c r="L1311" s="74"/>
      <c r="M1311" s="74"/>
      <c r="N1311" s="74"/>
      <c r="O1311" s="74"/>
      <c r="P1311" s="74"/>
      <c r="Q1311" s="74"/>
      <c r="R1311" s="362"/>
      <c r="S1311" s="56" t="str">
        <f t="shared" si="36"/>
        <v> </v>
      </c>
      <c r="T1311" s="74"/>
      <c r="U1311" s="359"/>
      <c r="V1311" s="74"/>
      <c r="W1311" s="74"/>
      <c r="X1311" s="74"/>
      <c r="Y1311" s="74"/>
      <c r="Z1311" s="364"/>
      <c r="AA1311" s="59" t="str">
        <f>IF(Rentabilidad=0,"No aplica",TEXT(ROUND(Precio/Rentabilidad/12,0),0) &amp; " años")</f>
        <v>No aplica</v>
      </c>
      <c r="AB1311" s="360"/>
      <c r="AC1311" s="61"/>
      <c r="AD1311" s="62"/>
      <c r="AE1311" s="63"/>
      <c r="AF1311" s="156"/>
      <c r="AG1311" s="63"/>
      <c r="AH1311" s="63"/>
      <c r="AI1311" s="74"/>
      <c r="AJ1311" s="156"/>
      <c r="AK1311" s="74"/>
      <c r="AL1311" s="156"/>
      <c r="AM1311" s="74"/>
      <c r="AN1311" s="156"/>
      <c r="AO1311" s="74"/>
      <c r="AP1311" s="363"/>
      <c r="AQ1311" s="363"/>
      <c r="AR1311" s="363"/>
      <c r="AS1311" s="74"/>
      <c r="AT1311" s="74"/>
      <c r="AU1311" s="74"/>
      <c r="AV1311" s="74"/>
      <c r="AW1311" s="74"/>
      <c r="AX1311" s="74"/>
      <c r="AY1311" s="74"/>
      <c r="AZ1311" s="74"/>
      <c r="BA1311" s="74"/>
      <c r="BB1311" s="74"/>
      <c r="BC1311" s="170"/>
      <c r="BD1311" s="156"/>
      <c r="BE1311" s="156"/>
      <c r="BF1311" s="299"/>
      <c r="BG1311" s="74"/>
      <c r="BH1311" s="74"/>
      <c r="BI1311" s="74"/>
      <c r="BJ1311" s="74"/>
      <c r="BK1311" s="74"/>
      <c r="BL1311" s="74"/>
      <c r="BM1311" s="74"/>
      <c r="BN1311" s="74"/>
      <c r="BO1311" s="74"/>
      <c r="BP1311" s="74"/>
      <c r="BQ1311" s="74"/>
      <c r="BR1311" s="74"/>
      <c r="BS1311" s="74"/>
      <c r="BT1311" s="74"/>
      <c r="BU1311" s="74"/>
      <c r="BV1311" s="74"/>
      <c r="BW1311" s="74"/>
      <c r="BX1311" s="74"/>
      <c r="BY1311" s="63"/>
      <c r="BZ1311" s="63"/>
    </row>
    <row r="1312" ht="15.75" customHeight="1">
      <c r="A1312" s="201"/>
      <c r="B1312" s="74"/>
      <c r="C1312" s="74"/>
      <c r="D1312" s="74"/>
      <c r="E1312" s="156"/>
      <c r="F1312" s="78">
        <v>0.0</v>
      </c>
      <c r="G1312" s="44" t="str">
        <f t="shared" si="35"/>
        <v>$0 a $100'000.000</v>
      </c>
      <c r="H1312" s="44"/>
      <c r="I1312" s="44"/>
      <c r="J1312" s="74"/>
      <c r="K1312" s="359"/>
      <c r="L1312" s="74"/>
      <c r="M1312" s="74"/>
      <c r="N1312" s="74"/>
      <c r="O1312" s="74"/>
      <c r="P1312" s="74"/>
      <c r="Q1312" s="74"/>
      <c r="R1312" s="362"/>
      <c r="S1312" s="56" t="str">
        <f t="shared" si="36"/>
        <v> </v>
      </c>
      <c r="T1312" s="74"/>
      <c r="U1312" s="359"/>
      <c r="V1312" s="74"/>
      <c r="W1312" s="74"/>
      <c r="X1312" s="74"/>
      <c r="Y1312" s="74"/>
      <c r="Z1312" s="364"/>
      <c r="AA1312" s="59" t="str">
        <f>IF(Rentabilidad=0,"No aplica",TEXT(ROUND(Precio/Rentabilidad/12,0),0) &amp; " años")</f>
        <v>No aplica</v>
      </c>
      <c r="AB1312" s="360"/>
      <c r="AC1312" s="61"/>
      <c r="AD1312" s="62"/>
      <c r="AE1312" s="63"/>
      <c r="AF1312" s="156"/>
      <c r="AG1312" s="63"/>
      <c r="AH1312" s="63"/>
      <c r="AI1312" s="74"/>
      <c r="AJ1312" s="156"/>
      <c r="AK1312" s="74"/>
      <c r="AL1312" s="156"/>
      <c r="AM1312" s="74"/>
      <c r="AN1312" s="156"/>
      <c r="AO1312" s="74"/>
      <c r="AP1312" s="363"/>
      <c r="AQ1312" s="363"/>
      <c r="AR1312" s="363"/>
      <c r="AS1312" s="74"/>
      <c r="AT1312" s="74"/>
      <c r="AU1312" s="74"/>
      <c r="AV1312" s="74"/>
      <c r="AW1312" s="74"/>
      <c r="AX1312" s="74"/>
      <c r="AY1312" s="74"/>
      <c r="AZ1312" s="74"/>
      <c r="BA1312" s="74"/>
      <c r="BB1312" s="74"/>
      <c r="BC1312" s="170"/>
      <c r="BD1312" s="156"/>
      <c r="BE1312" s="156"/>
      <c r="BF1312" s="299"/>
      <c r="BG1312" s="74"/>
      <c r="BH1312" s="74"/>
      <c r="BI1312" s="74"/>
      <c r="BJ1312" s="74"/>
      <c r="BK1312" s="74"/>
      <c r="BL1312" s="74"/>
      <c r="BM1312" s="74"/>
      <c r="BN1312" s="74"/>
      <c r="BO1312" s="74"/>
      <c r="BP1312" s="74"/>
      <c r="BQ1312" s="74"/>
      <c r="BR1312" s="74"/>
      <c r="BS1312" s="74"/>
      <c r="BT1312" s="74"/>
      <c r="BU1312" s="74"/>
      <c r="BV1312" s="74"/>
      <c r="BW1312" s="74"/>
      <c r="BX1312" s="74"/>
      <c r="BY1312" s="63"/>
      <c r="BZ1312" s="63"/>
    </row>
    <row r="1313" ht="15.75" customHeight="1">
      <c r="A1313" s="201"/>
      <c r="B1313" s="74"/>
      <c r="C1313" s="74"/>
      <c r="D1313" s="74"/>
      <c r="E1313" s="156"/>
      <c r="F1313" s="78">
        <v>0.0</v>
      </c>
      <c r="G1313" s="44" t="str">
        <f t="shared" si="35"/>
        <v>$0 a $100'000.000</v>
      </c>
      <c r="H1313" s="44"/>
      <c r="I1313" s="44"/>
      <c r="J1313" s="74"/>
      <c r="K1313" s="359"/>
      <c r="L1313" s="74"/>
      <c r="M1313" s="74"/>
      <c r="N1313" s="74"/>
      <c r="O1313" s="74"/>
      <c r="P1313" s="74"/>
      <c r="Q1313" s="74"/>
      <c r="R1313" s="362"/>
      <c r="S1313" s="56" t="str">
        <f t="shared" si="36"/>
        <v> </v>
      </c>
      <c r="T1313" s="74"/>
      <c r="U1313" s="359"/>
      <c r="V1313" s="74"/>
      <c r="W1313" s="74"/>
      <c r="X1313" s="74"/>
      <c r="Y1313" s="74"/>
      <c r="Z1313" s="364"/>
      <c r="AA1313" s="59" t="str">
        <f>IF(Rentabilidad=0,"No aplica",TEXT(ROUND(Precio/Rentabilidad/12,0),0) &amp; " años")</f>
        <v>No aplica</v>
      </c>
      <c r="AB1313" s="360"/>
      <c r="AC1313" s="61"/>
      <c r="AD1313" s="62"/>
      <c r="AE1313" s="63"/>
      <c r="AF1313" s="156"/>
      <c r="AG1313" s="63"/>
      <c r="AH1313" s="63"/>
      <c r="AI1313" s="74"/>
      <c r="AJ1313" s="156"/>
      <c r="AK1313" s="74"/>
      <c r="AL1313" s="156"/>
      <c r="AM1313" s="74"/>
      <c r="AN1313" s="156"/>
      <c r="AO1313" s="74"/>
      <c r="AP1313" s="363"/>
      <c r="AQ1313" s="363"/>
      <c r="AR1313" s="363"/>
      <c r="AS1313" s="74"/>
      <c r="AT1313" s="74"/>
      <c r="AU1313" s="74"/>
      <c r="AV1313" s="74"/>
      <c r="AW1313" s="74"/>
      <c r="AX1313" s="74"/>
      <c r="AY1313" s="74"/>
      <c r="AZ1313" s="74"/>
      <c r="BA1313" s="74"/>
      <c r="BB1313" s="74"/>
      <c r="BC1313" s="170"/>
      <c r="BD1313" s="156"/>
      <c r="BE1313" s="156"/>
      <c r="BF1313" s="299"/>
      <c r="BG1313" s="74"/>
      <c r="BH1313" s="74"/>
      <c r="BI1313" s="74"/>
      <c r="BJ1313" s="74"/>
      <c r="BK1313" s="74"/>
      <c r="BL1313" s="74"/>
      <c r="BM1313" s="74"/>
      <c r="BN1313" s="74"/>
      <c r="BO1313" s="74"/>
      <c r="BP1313" s="74"/>
      <c r="BQ1313" s="74"/>
      <c r="BR1313" s="74"/>
      <c r="BS1313" s="74"/>
      <c r="BT1313" s="74"/>
      <c r="BU1313" s="74"/>
      <c r="BV1313" s="74"/>
      <c r="BW1313" s="74"/>
      <c r="BX1313" s="74"/>
      <c r="BY1313" s="63"/>
      <c r="BZ1313" s="63"/>
    </row>
    <row r="1314" ht="15.75" customHeight="1">
      <c r="A1314" s="201"/>
      <c r="B1314" s="74"/>
      <c r="C1314" s="74"/>
      <c r="D1314" s="74"/>
      <c r="E1314" s="156"/>
      <c r="F1314" s="78">
        <v>0.0</v>
      </c>
      <c r="G1314" s="44" t="str">
        <f t="shared" si="35"/>
        <v>$0 a $100'000.000</v>
      </c>
      <c r="H1314" s="44"/>
      <c r="I1314" s="44"/>
      <c r="J1314" s="74"/>
      <c r="K1314" s="359"/>
      <c r="L1314" s="74"/>
      <c r="M1314" s="74"/>
      <c r="N1314" s="74"/>
      <c r="O1314" s="74"/>
      <c r="P1314" s="74"/>
      <c r="Q1314" s="74"/>
      <c r="R1314" s="362"/>
      <c r="S1314" s="56" t="str">
        <f t="shared" si="36"/>
        <v> </v>
      </c>
      <c r="T1314" s="74"/>
      <c r="U1314" s="359"/>
      <c r="V1314" s="74"/>
      <c r="W1314" s="74"/>
      <c r="X1314" s="74"/>
      <c r="Y1314" s="74"/>
      <c r="Z1314" s="364"/>
      <c r="AA1314" s="59" t="str">
        <f>IF(Rentabilidad=0,"No aplica",TEXT(ROUND(Precio/Rentabilidad/12,0),0) &amp; " años")</f>
        <v>No aplica</v>
      </c>
      <c r="AB1314" s="360"/>
      <c r="AC1314" s="61"/>
      <c r="AD1314" s="62"/>
      <c r="AE1314" s="63"/>
      <c r="AF1314" s="156"/>
      <c r="AG1314" s="63"/>
      <c r="AH1314" s="63"/>
      <c r="AI1314" s="74"/>
      <c r="AJ1314" s="156"/>
      <c r="AK1314" s="74"/>
      <c r="AL1314" s="156"/>
      <c r="AM1314" s="74"/>
      <c r="AN1314" s="156"/>
      <c r="AO1314" s="74"/>
      <c r="AP1314" s="363"/>
      <c r="AQ1314" s="363"/>
      <c r="AR1314" s="363"/>
      <c r="AS1314" s="74"/>
      <c r="AT1314" s="74"/>
      <c r="AU1314" s="74"/>
      <c r="AV1314" s="74"/>
      <c r="AW1314" s="74"/>
      <c r="AX1314" s="74"/>
      <c r="AY1314" s="74"/>
      <c r="AZ1314" s="74"/>
      <c r="BA1314" s="74"/>
      <c r="BB1314" s="74"/>
      <c r="BC1314" s="170"/>
      <c r="BD1314" s="156"/>
      <c r="BE1314" s="156"/>
      <c r="BF1314" s="299"/>
      <c r="BG1314" s="74"/>
      <c r="BH1314" s="74"/>
      <c r="BI1314" s="74"/>
      <c r="BJ1314" s="74"/>
      <c r="BK1314" s="74"/>
      <c r="BL1314" s="74"/>
      <c r="BM1314" s="74"/>
      <c r="BN1314" s="74"/>
      <c r="BO1314" s="74"/>
      <c r="BP1314" s="74"/>
      <c r="BQ1314" s="74"/>
      <c r="BR1314" s="74"/>
      <c r="BS1314" s="74"/>
      <c r="BT1314" s="74"/>
      <c r="BU1314" s="74"/>
      <c r="BV1314" s="74"/>
      <c r="BW1314" s="74"/>
      <c r="BX1314" s="74"/>
      <c r="BY1314" s="63"/>
      <c r="BZ1314" s="63"/>
    </row>
    <row r="1315" ht="15.75" customHeight="1">
      <c r="A1315" s="201"/>
      <c r="B1315" s="74"/>
      <c r="C1315" s="74"/>
      <c r="D1315" s="74"/>
      <c r="E1315" s="156"/>
      <c r="F1315" s="78">
        <v>0.0</v>
      </c>
      <c r="G1315" s="44" t="str">
        <f t="shared" si="35"/>
        <v>$0 a $100'000.000</v>
      </c>
      <c r="H1315" s="44"/>
      <c r="I1315" s="44"/>
      <c r="J1315" s="74"/>
      <c r="K1315" s="359"/>
      <c r="L1315" s="74"/>
      <c r="M1315" s="74"/>
      <c r="N1315" s="74"/>
      <c r="O1315" s="74"/>
      <c r="P1315" s="74"/>
      <c r="Q1315" s="74"/>
      <c r="R1315" s="362"/>
      <c r="S1315" s="56" t="str">
        <f t="shared" si="36"/>
        <v> </v>
      </c>
      <c r="T1315" s="74"/>
      <c r="U1315" s="359"/>
      <c r="V1315" s="74"/>
      <c r="W1315" s="74"/>
      <c r="X1315" s="74"/>
      <c r="Y1315" s="74"/>
      <c r="Z1315" s="364"/>
      <c r="AA1315" s="59" t="str">
        <f>IF(Rentabilidad=0,"No aplica",TEXT(ROUND(Precio/Rentabilidad/12,0),0) &amp; " años")</f>
        <v>No aplica</v>
      </c>
      <c r="AB1315" s="360"/>
      <c r="AC1315" s="61"/>
      <c r="AD1315" s="62"/>
      <c r="AE1315" s="63"/>
      <c r="AF1315" s="156"/>
      <c r="AG1315" s="63"/>
      <c r="AH1315" s="63"/>
      <c r="AI1315" s="74"/>
      <c r="AJ1315" s="156"/>
      <c r="AK1315" s="74"/>
      <c r="AL1315" s="156"/>
      <c r="AM1315" s="74"/>
      <c r="AN1315" s="156"/>
      <c r="AO1315" s="74"/>
      <c r="AP1315" s="363"/>
      <c r="AQ1315" s="363"/>
      <c r="AR1315" s="363"/>
      <c r="AS1315" s="74"/>
      <c r="AT1315" s="74"/>
      <c r="AU1315" s="74"/>
      <c r="AV1315" s="74"/>
      <c r="AW1315" s="74"/>
      <c r="AX1315" s="74"/>
      <c r="AY1315" s="74"/>
      <c r="AZ1315" s="74"/>
      <c r="BA1315" s="74"/>
      <c r="BB1315" s="74"/>
      <c r="BC1315" s="170"/>
      <c r="BD1315" s="156"/>
      <c r="BE1315" s="156"/>
      <c r="BF1315" s="299"/>
      <c r="BG1315" s="74"/>
      <c r="BH1315" s="74"/>
      <c r="BI1315" s="74"/>
      <c r="BJ1315" s="74"/>
      <c r="BK1315" s="74"/>
      <c r="BL1315" s="74"/>
      <c r="BM1315" s="74"/>
      <c r="BN1315" s="74"/>
      <c r="BO1315" s="74"/>
      <c r="BP1315" s="74"/>
      <c r="BQ1315" s="74"/>
      <c r="BR1315" s="74"/>
      <c r="BS1315" s="74"/>
      <c r="BT1315" s="74"/>
      <c r="BU1315" s="74"/>
      <c r="BV1315" s="74"/>
      <c r="BW1315" s="74"/>
      <c r="BX1315" s="74"/>
      <c r="BY1315" s="63"/>
      <c r="BZ1315" s="63"/>
    </row>
    <row r="1316" ht="15.75" customHeight="1">
      <c r="A1316" s="201"/>
      <c r="B1316" s="74"/>
      <c r="C1316" s="74"/>
      <c r="D1316" s="74"/>
      <c r="E1316" s="156"/>
      <c r="F1316" s="78">
        <v>0.0</v>
      </c>
      <c r="G1316" s="44" t="str">
        <f t="shared" si="35"/>
        <v>$0 a $100'000.000</v>
      </c>
      <c r="H1316" s="44"/>
      <c r="I1316" s="44"/>
      <c r="J1316" s="74"/>
      <c r="K1316" s="359"/>
      <c r="L1316" s="74"/>
      <c r="M1316" s="74"/>
      <c r="N1316" s="74"/>
      <c r="O1316" s="74"/>
      <c r="P1316" s="74"/>
      <c r="Q1316" s="74"/>
      <c r="R1316" s="362"/>
      <c r="S1316" s="56" t="str">
        <f t="shared" si="36"/>
        <v> </v>
      </c>
      <c r="T1316" s="74"/>
      <c r="U1316" s="359"/>
      <c r="V1316" s="74"/>
      <c r="W1316" s="74"/>
      <c r="X1316" s="74"/>
      <c r="Y1316" s="74"/>
      <c r="Z1316" s="364"/>
      <c r="AA1316" s="59" t="str">
        <f>IF(Rentabilidad=0,"No aplica",TEXT(ROUND(Precio/Rentabilidad/12,0),0) &amp; " años")</f>
        <v>No aplica</v>
      </c>
      <c r="AB1316" s="360"/>
      <c r="AC1316" s="61"/>
      <c r="AD1316" s="62"/>
      <c r="AE1316" s="63"/>
      <c r="AF1316" s="156"/>
      <c r="AG1316" s="63"/>
      <c r="AH1316" s="63"/>
      <c r="AI1316" s="74"/>
      <c r="AJ1316" s="156"/>
      <c r="AK1316" s="74"/>
      <c r="AL1316" s="156"/>
      <c r="AM1316" s="74"/>
      <c r="AN1316" s="156"/>
      <c r="AO1316" s="74"/>
      <c r="AP1316" s="363"/>
      <c r="AQ1316" s="363"/>
      <c r="AR1316" s="363"/>
      <c r="AS1316" s="74"/>
      <c r="AT1316" s="74"/>
      <c r="AU1316" s="74"/>
      <c r="AV1316" s="74"/>
      <c r="AW1316" s="74"/>
      <c r="AX1316" s="74"/>
      <c r="AY1316" s="74"/>
      <c r="AZ1316" s="74"/>
      <c r="BA1316" s="74"/>
      <c r="BB1316" s="74"/>
      <c r="BC1316" s="170"/>
      <c r="BD1316" s="156"/>
      <c r="BE1316" s="156"/>
      <c r="BF1316" s="299"/>
      <c r="BG1316" s="74"/>
      <c r="BH1316" s="74"/>
      <c r="BI1316" s="74"/>
      <c r="BJ1316" s="74"/>
      <c r="BK1316" s="74"/>
      <c r="BL1316" s="74"/>
      <c r="BM1316" s="74"/>
      <c r="BN1316" s="74"/>
      <c r="BO1316" s="74"/>
      <c r="BP1316" s="74"/>
      <c r="BQ1316" s="74"/>
      <c r="BR1316" s="74"/>
      <c r="BS1316" s="74"/>
      <c r="BT1316" s="74"/>
      <c r="BU1316" s="74"/>
      <c r="BV1316" s="74"/>
      <c r="BW1316" s="74"/>
      <c r="BX1316" s="74"/>
      <c r="BY1316" s="63"/>
      <c r="BZ1316" s="63"/>
    </row>
    <row r="1317" ht="15.75" customHeight="1">
      <c r="A1317" s="201"/>
      <c r="B1317" s="74"/>
      <c r="C1317" s="74"/>
      <c r="D1317" s="74"/>
      <c r="E1317" s="156"/>
      <c r="F1317" s="78">
        <v>0.0</v>
      </c>
      <c r="G1317" s="44" t="str">
        <f t="shared" si="35"/>
        <v>$0 a $100'000.000</v>
      </c>
      <c r="H1317" s="44"/>
      <c r="I1317" s="44"/>
      <c r="J1317" s="74"/>
      <c r="K1317" s="359"/>
      <c r="L1317" s="74"/>
      <c r="M1317" s="74"/>
      <c r="N1317" s="74"/>
      <c r="O1317" s="74"/>
      <c r="P1317" s="74"/>
      <c r="Q1317" s="74"/>
      <c r="R1317" s="362"/>
      <c r="S1317" s="56" t="str">
        <f t="shared" si="36"/>
        <v> </v>
      </c>
      <c r="T1317" s="74"/>
      <c r="U1317" s="359"/>
      <c r="V1317" s="74"/>
      <c r="W1317" s="74"/>
      <c r="X1317" s="74"/>
      <c r="Y1317" s="74"/>
      <c r="Z1317" s="364"/>
      <c r="AA1317" s="59" t="str">
        <f>IF(Rentabilidad=0,"No aplica",TEXT(ROUND(Precio/Rentabilidad/12,0),0) &amp; " años")</f>
        <v>No aplica</v>
      </c>
      <c r="AB1317" s="360"/>
      <c r="AC1317" s="61"/>
      <c r="AD1317" s="62"/>
      <c r="AE1317" s="63"/>
      <c r="AF1317" s="156"/>
      <c r="AG1317" s="63"/>
      <c r="AH1317" s="63"/>
      <c r="AI1317" s="74"/>
      <c r="AJ1317" s="156"/>
      <c r="AK1317" s="74"/>
      <c r="AL1317" s="156"/>
      <c r="AM1317" s="74"/>
      <c r="AN1317" s="156"/>
      <c r="AO1317" s="74"/>
      <c r="AP1317" s="363"/>
      <c r="AQ1317" s="363"/>
      <c r="AR1317" s="363"/>
      <c r="AS1317" s="74"/>
      <c r="AT1317" s="74"/>
      <c r="AU1317" s="74"/>
      <c r="AV1317" s="74"/>
      <c r="AW1317" s="74"/>
      <c r="AX1317" s="74"/>
      <c r="AY1317" s="74"/>
      <c r="AZ1317" s="74"/>
      <c r="BA1317" s="74"/>
      <c r="BB1317" s="74"/>
      <c r="BC1317" s="170"/>
      <c r="BD1317" s="156"/>
      <c r="BE1317" s="156"/>
      <c r="BF1317" s="299"/>
      <c r="BG1317" s="74"/>
      <c r="BH1317" s="74"/>
      <c r="BI1317" s="74"/>
      <c r="BJ1317" s="74"/>
      <c r="BK1317" s="74"/>
      <c r="BL1317" s="74"/>
      <c r="BM1317" s="74"/>
      <c r="BN1317" s="74"/>
      <c r="BO1317" s="74"/>
      <c r="BP1317" s="74"/>
      <c r="BQ1317" s="74"/>
      <c r="BR1317" s="74"/>
      <c r="BS1317" s="74"/>
      <c r="BT1317" s="74"/>
      <c r="BU1317" s="74"/>
      <c r="BV1317" s="74"/>
      <c r="BW1317" s="74"/>
      <c r="BX1317" s="74"/>
      <c r="BY1317" s="63"/>
      <c r="BZ1317" s="63"/>
    </row>
    <row r="1318" ht="15.75" customHeight="1">
      <c r="A1318" s="201"/>
      <c r="B1318" s="74"/>
      <c r="C1318" s="74"/>
      <c r="D1318" s="74"/>
      <c r="E1318" s="156"/>
      <c r="F1318" s="78">
        <v>0.0</v>
      </c>
      <c r="G1318" s="44" t="str">
        <f t="shared" si="35"/>
        <v>$0 a $100'000.000</v>
      </c>
      <c r="H1318" s="44"/>
      <c r="I1318" s="44"/>
      <c r="J1318" s="74"/>
      <c r="K1318" s="359"/>
      <c r="L1318" s="74"/>
      <c r="M1318" s="74"/>
      <c r="N1318" s="74"/>
      <c r="O1318" s="74"/>
      <c r="P1318" s="74"/>
      <c r="Q1318" s="74"/>
      <c r="R1318" s="362"/>
      <c r="S1318" s="56" t="str">
        <f t="shared" si="36"/>
        <v> </v>
      </c>
      <c r="T1318" s="74"/>
      <c r="U1318" s="359"/>
      <c r="V1318" s="74"/>
      <c r="W1318" s="74"/>
      <c r="X1318" s="74"/>
      <c r="Y1318" s="74"/>
      <c r="Z1318" s="364"/>
      <c r="AA1318" s="59" t="str">
        <f>IF(Rentabilidad=0,"No aplica",TEXT(ROUND(Precio/Rentabilidad/12,0),0) &amp; " años")</f>
        <v>No aplica</v>
      </c>
      <c r="AB1318" s="360"/>
      <c r="AC1318" s="61"/>
      <c r="AD1318" s="62"/>
      <c r="AE1318" s="63"/>
      <c r="AF1318" s="156"/>
      <c r="AG1318" s="63"/>
      <c r="AH1318" s="63"/>
      <c r="AI1318" s="74"/>
      <c r="AJ1318" s="156"/>
      <c r="AK1318" s="74"/>
      <c r="AL1318" s="156"/>
      <c r="AM1318" s="74"/>
      <c r="AN1318" s="156"/>
      <c r="AO1318" s="74"/>
      <c r="AP1318" s="363"/>
      <c r="AQ1318" s="363"/>
      <c r="AR1318" s="363"/>
      <c r="AS1318" s="74"/>
      <c r="AT1318" s="74"/>
      <c r="AU1318" s="74"/>
      <c r="AV1318" s="74"/>
      <c r="AW1318" s="74"/>
      <c r="AX1318" s="74"/>
      <c r="AY1318" s="74"/>
      <c r="AZ1318" s="74"/>
      <c r="BA1318" s="74"/>
      <c r="BB1318" s="74"/>
      <c r="BC1318" s="170"/>
      <c r="BD1318" s="156"/>
      <c r="BE1318" s="156"/>
      <c r="BF1318" s="299"/>
      <c r="BG1318" s="74"/>
      <c r="BH1318" s="74"/>
      <c r="BI1318" s="74"/>
      <c r="BJ1318" s="74"/>
      <c r="BK1318" s="74"/>
      <c r="BL1318" s="74"/>
      <c r="BM1318" s="74"/>
      <c r="BN1318" s="74"/>
      <c r="BO1318" s="74"/>
      <c r="BP1318" s="74"/>
      <c r="BQ1318" s="74"/>
      <c r="BR1318" s="74"/>
      <c r="BS1318" s="74"/>
      <c r="BT1318" s="74"/>
      <c r="BU1318" s="74"/>
      <c r="BV1318" s="74"/>
      <c r="BW1318" s="74"/>
      <c r="BX1318" s="74"/>
      <c r="BY1318" s="63"/>
      <c r="BZ1318" s="63"/>
    </row>
    <row r="1319" ht="15.75" customHeight="1">
      <c r="A1319" s="201"/>
      <c r="B1319" s="74"/>
      <c r="C1319" s="74"/>
      <c r="D1319" s="74"/>
      <c r="E1319" s="156"/>
      <c r="F1319" s="78">
        <v>0.0</v>
      </c>
      <c r="G1319" s="44" t="str">
        <f t="shared" si="35"/>
        <v>$0 a $100'000.000</v>
      </c>
      <c r="H1319" s="44"/>
      <c r="I1319" s="44"/>
      <c r="J1319" s="74"/>
      <c r="K1319" s="359"/>
      <c r="L1319" s="74"/>
      <c r="M1319" s="74"/>
      <c r="N1319" s="74"/>
      <c r="O1319" s="74"/>
      <c r="P1319" s="74"/>
      <c r="Q1319" s="74"/>
      <c r="R1319" s="362"/>
      <c r="S1319" s="56" t="str">
        <f t="shared" si="36"/>
        <v> </v>
      </c>
      <c r="T1319" s="74"/>
      <c r="U1319" s="359"/>
      <c r="V1319" s="74"/>
      <c r="W1319" s="74"/>
      <c r="X1319" s="74"/>
      <c r="Y1319" s="74"/>
      <c r="Z1319" s="364"/>
      <c r="AA1319" s="59" t="str">
        <f>IF(Rentabilidad=0,"No aplica",TEXT(ROUND(Precio/Rentabilidad/12,0),0) &amp; " años")</f>
        <v>No aplica</v>
      </c>
      <c r="AB1319" s="360"/>
      <c r="AC1319" s="61"/>
      <c r="AD1319" s="62"/>
      <c r="AE1319" s="63"/>
      <c r="AF1319" s="156"/>
      <c r="AG1319" s="63"/>
      <c r="AH1319" s="63"/>
      <c r="AI1319" s="74"/>
      <c r="AJ1319" s="156"/>
      <c r="AK1319" s="74"/>
      <c r="AL1319" s="156"/>
      <c r="AM1319" s="74"/>
      <c r="AN1319" s="156"/>
      <c r="AO1319" s="74"/>
      <c r="AP1319" s="363"/>
      <c r="AQ1319" s="363"/>
      <c r="AR1319" s="363"/>
      <c r="AS1319" s="74"/>
      <c r="AT1319" s="74"/>
      <c r="AU1319" s="74"/>
      <c r="AV1319" s="74"/>
      <c r="AW1319" s="74"/>
      <c r="AX1319" s="74"/>
      <c r="AY1319" s="74"/>
      <c r="AZ1319" s="74"/>
      <c r="BA1319" s="74"/>
      <c r="BB1319" s="74"/>
      <c r="BC1319" s="170"/>
      <c r="BD1319" s="156"/>
      <c r="BE1319" s="156"/>
      <c r="BF1319" s="299"/>
      <c r="BG1319" s="74"/>
      <c r="BH1319" s="74"/>
      <c r="BI1319" s="74"/>
      <c r="BJ1319" s="74"/>
      <c r="BK1319" s="74"/>
      <c r="BL1319" s="74"/>
      <c r="BM1319" s="74"/>
      <c r="BN1319" s="74"/>
      <c r="BO1319" s="74"/>
      <c r="BP1319" s="74"/>
      <c r="BQ1319" s="74"/>
      <c r="BR1319" s="74"/>
      <c r="BS1319" s="74"/>
      <c r="BT1319" s="74"/>
      <c r="BU1319" s="74"/>
      <c r="BV1319" s="74"/>
      <c r="BW1319" s="74"/>
      <c r="BX1319" s="74"/>
      <c r="BY1319" s="63"/>
      <c r="BZ1319" s="63"/>
    </row>
    <row r="1320" ht="15.75" customHeight="1">
      <c r="A1320" s="201"/>
      <c r="B1320" s="74"/>
      <c r="C1320" s="74"/>
      <c r="D1320" s="74"/>
      <c r="E1320" s="156"/>
      <c r="F1320" s="78">
        <v>0.0</v>
      </c>
      <c r="G1320" s="44" t="str">
        <f t="shared" si="35"/>
        <v>$0 a $100'000.000</v>
      </c>
      <c r="H1320" s="44"/>
      <c r="I1320" s="44"/>
      <c r="J1320" s="74"/>
      <c r="K1320" s="359"/>
      <c r="L1320" s="74"/>
      <c r="M1320" s="74"/>
      <c r="N1320" s="74"/>
      <c r="O1320" s="74"/>
      <c r="P1320" s="74"/>
      <c r="Q1320" s="74"/>
      <c r="R1320" s="362"/>
      <c r="S1320" s="56" t="str">
        <f t="shared" si="36"/>
        <v> </v>
      </c>
      <c r="T1320" s="74"/>
      <c r="U1320" s="359"/>
      <c r="V1320" s="74"/>
      <c r="W1320" s="74"/>
      <c r="X1320" s="74"/>
      <c r="Y1320" s="74"/>
      <c r="Z1320" s="364"/>
      <c r="AA1320" s="59" t="str">
        <f>IF(Rentabilidad=0,"No aplica",TEXT(ROUND(Precio/Rentabilidad/12,0),0) &amp; " años")</f>
        <v>No aplica</v>
      </c>
      <c r="AB1320" s="360"/>
      <c r="AC1320" s="61"/>
      <c r="AD1320" s="62"/>
      <c r="AE1320" s="63"/>
      <c r="AF1320" s="156"/>
      <c r="AG1320" s="63"/>
      <c r="AH1320" s="63"/>
      <c r="AI1320" s="74"/>
      <c r="AJ1320" s="156"/>
      <c r="AK1320" s="74"/>
      <c r="AL1320" s="156"/>
      <c r="AM1320" s="74"/>
      <c r="AN1320" s="156"/>
      <c r="AO1320" s="74"/>
      <c r="AP1320" s="363"/>
      <c r="AQ1320" s="363"/>
      <c r="AR1320" s="363"/>
      <c r="AS1320" s="74"/>
      <c r="AT1320" s="74"/>
      <c r="AU1320" s="74"/>
      <c r="AV1320" s="74"/>
      <c r="AW1320" s="74"/>
      <c r="AX1320" s="74"/>
      <c r="AY1320" s="74"/>
      <c r="AZ1320" s="74"/>
      <c r="BA1320" s="74"/>
      <c r="BB1320" s="74"/>
      <c r="BC1320" s="170"/>
      <c r="BD1320" s="156"/>
      <c r="BE1320" s="156"/>
      <c r="BF1320" s="299"/>
      <c r="BG1320" s="74"/>
      <c r="BH1320" s="74"/>
      <c r="BI1320" s="74"/>
      <c r="BJ1320" s="74"/>
      <c r="BK1320" s="74"/>
      <c r="BL1320" s="74"/>
      <c r="BM1320" s="74"/>
      <c r="BN1320" s="74"/>
      <c r="BO1320" s="74"/>
      <c r="BP1320" s="74"/>
      <c r="BQ1320" s="74"/>
      <c r="BR1320" s="74"/>
      <c r="BS1320" s="74"/>
      <c r="BT1320" s="74"/>
      <c r="BU1320" s="74"/>
      <c r="BV1320" s="74"/>
      <c r="BW1320" s="74"/>
      <c r="BX1320" s="74"/>
      <c r="BY1320" s="63"/>
      <c r="BZ1320" s="63"/>
    </row>
    <row r="1321" ht="15.75" customHeight="1">
      <c r="A1321" s="201"/>
      <c r="B1321" s="74"/>
      <c r="C1321" s="74"/>
      <c r="D1321" s="74"/>
      <c r="E1321" s="156"/>
      <c r="F1321" s="78">
        <v>0.0</v>
      </c>
      <c r="G1321" s="44" t="str">
        <f t="shared" si="35"/>
        <v>$0 a $100'000.000</v>
      </c>
      <c r="H1321" s="44"/>
      <c r="I1321" s="44"/>
      <c r="J1321" s="74"/>
      <c r="K1321" s="359"/>
      <c r="L1321" s="74"/>
      <c r="M1321" s="74"/>
      <c r="N1321" s="74"/>
      <c r="O1321" s="74"/>
      <c r="P1321" s="74"/>
      <c r="Q1321" s="74"/>
      <c r="R1321" s="362"/>
      <c r="S1321" s="56" t="str">
        <f t="shared" si="36"/>
        <v> </v>
      </c>
      <c r="T1321" s="74"/>
      <c r="U1321" s="359"/>
      <c r="V1321" s="74"/>
      <c r="W1321" s="74"/>
      <c r="X1321" s="74"/>
      <c r="Y1321" s="74"/>
      <c r="Z1321" s="364"/>
      <c r="AA1321" s="59" t="str">
        <f>IF(Rentabilidad=0,"No aplica",TEXT(ROUND(Precio/Rentabilidad/12,0),0) &amp; " años")</f>
        <v>No aplica</v>
      </c>
      <c r="AB1321" s="360"/>
      <c r="AC1321" s="61"/>
      <c r="AD1321" s="62"/>
      <c r="AE1321" s="63"/>
      <c r="AF1321" s="156"/>
      <c r="AG1321" s="63"/>
      <c r="AH1321" s="63"/>
      <c r="AI1321" s="74"/>
      <c r="AJ1321" s="156"/>
      <c r="AK1321" s="74"/>
      <c r="AL1321" s="156"/>
      <c r="AM1321" s="74"/>
      <c r="AN1321" s="156"/>
      <c r="AO1321" s="74"/>
      <c r="AP1321" s="363"/>
      <c r="AQ1321" s="363"/>
      <c r="AR1321" s="363"/>
      <c r="AS1321" s="74"/>
      <c r="AT1321" s="74"/>
      <c r="AU1321" s="74"/>
      <c r="AV1321" s="74"/>
      <c r="AW1321" s="74"/>
      <c r="AX1321" s="74"/>
      <c r="AY1321" s="74"/>
      <c r="AZ1321" s="74"/>
      <c r="BA1321" s="74"/>
      <c r="BB1321" s="74"/>
      <c r="BC1321" s="170"/>
      <c r="BD1321" s="156"/>
      <c r="BE1321" s="156"/>
      <c r="BF1321" s="299"/>
      <c r="BG1321" s="74"/>
      <c r="BH1321" s="74"/>
      <c r="BI1321" s="74"/>
      <c r="BJ1321" s="74"/>
      <c r="BK1321" s="74"/>
      <c r="BL1321" s="74"/>
      <c r="BM1321" s="74"/>
      <c r="BN1321" s="74"/>
      <c r="BO1321" s="74"/>
      <c r="BP1321" s="74"/>
      <c r="BQ1321" s="74"/>
      <c r="BR1321" s="74"/>
      <c r="BS1321" s="74"/>
      <c r="BT1321" s="74"/>
      <c r="BU1321" s="74"/>
      <c r="BV1321" s="74"/>
      <c r="BW1321" s="74"/>
      <c r="BX1321" s="74"/>
      <c r="BY1321" s="63"/>
      <c r="BZ1321" s="63"/>
    </row>
    <row r="1322" ht="15.75" customHeight="1">
      <c r="A1322" s="201"/>
      <c r="B1322" s="74"/>
      <c r="C1322" s="74"/>
      <c r="D1322" s="74"/>
      <c r="E1322" s="156"/>
      <c r="F1322" s="78">
        <v>0.0</v>
      </c>
      <c r="G1322" s="44" t="str">
        <f t="shared" si="35"/>
        <v>$0 a $100'000.000</v>
      </c>
      <c r="H1322" s="44"/>
      <c r="I1322" s="44"/>
      <c r="J1322" s="74"/>
      <c r="K1322" s="359"/>
      <c r="L1322" s="74"/>
      <c r="M1322" s="74"/>
      <c r="N1322" s="74"/>
      <c r="O1322" s="74"/>
      <c r="P1322" s="74"/>
      <c r="Q1322" s="74"/>
      <c r="R1322" s="362"/>
      <c r="S1322" s="56" t="str">
        <f t="shared" si="36"/>
        <v> </v>
      </c>
      <c r="T1322" s="74"/>
      <c r="U1322" s="359"/>
      <c r="V1322" s="74"/>
      <c r="W1322" s="74"/>
      <c r="X1322" s="74"/>
      <c r="Y1322" s="74"/>
      <c r="Z1322" s="364"/>
      <c r="AA1322" s="59" t="str">
        <f>IF(Rentabilidad=0,"No aplica",TEXT(ROUND(Precio/Rentabilidad/12,0),0) &amp; " años")</f>
        <v>No aplica</v>
      </c>
      <c r="AB1322" s="360"/>
      <c r="AC1322" s="61"/>
      <c r="AD1322" s="62"/>
      <c r="AE1322" s="63"/>
      <c r="AF1322" s="156"/>
      <c r="AG1322" s="63"/>
      <c r="AH1322" s="63"/>
      <c r="AI1322" s="74"/>
      <c r="AJ1322" s="156"/>
      <c r="AK1322" s="74"/>
      <c r="AL1322" s="156"/>
      <c r="AM1322" s="74"/>
      <c r="AN1322" s="156"/>
      <c r="AO1322" s="74"/>
      <c r="AP1322" s="363"/>
      <c r="AQ1322" s="363"/>
      <c r="AR1322" s="363"/>
      <c r="AS1322" s="74"/>
      <c r="AT1322" s="74"/>
      <c r="AU1322" s="74"/>
      <c r="AV1322" s="74"/>
      <c r="AW1322" s="74"/>
      <c r="AX1322" s="74"/>
      <c r="AY1322" s="74"/>
      <c r="AZ1322" s="74"/>
      <c r="BA1322" s="74"/>
      <c r="BB1322" s="74"/>
      <c r="BC1322" s="170"/>
      <c r="BD1322" s="156"/>
      <c r="BE1322" s="156"/>
      <c r="BF1322" s="299"/>
      <c r="BG1322" s="74"/>
      <c r="BH1322" s="74"/>
      <c r="BI1322" s="74"/>
      <c r="BJ1322" s="74"/>
      <c r="BK1322" s="74"/>
      <c r="BL1322" s="74"/>
      <c r="BM1322" s="74"/>
      <c r="BN1322" s="74"/>
      <c r="BO1322" s="74"/>
      <c r="BP1322" s="74"/>
      <c r="BQ1322" s="74"/>
      <c r="BR1322" s="74"/>
      <c r="BS1322" s="74"/>
      <c r="BT1322" s="74"/>
      <c r="BU1322" s="74"/>
      <c r="BV1322" s="74"/>
      <c r="BW1322" s="74"/>
      <c r="BX1322" s="74"/>
      <c r="BY1322" s="63"/>
      <c r="BZ1322" s="63"/>
    </row>
    <row r="1323" ht="15.75" customHeight="1">
      <c r="A1323" s="201"/>
      <c r="B1323" s="74"/>
      <c r="C1323" s="74"/>
      <c r="D1323" s="74"/>
      <c r="E1323" s="156"/>
      <c r="F1323" s="78">
        <v>0.0</v>
      </c>
      <c r="G1323" s="44" t="str">
        <f t="shared" si="35"/>
        <v>$0 a $100'000.000</v>
      </c>
      <c r="H1323" s="44"/>
      <c r="I1323" s="44"/>
      <c r="J1323" s="74"/>
      <c r="K1323" s="359"/>
      <c r="L1323" s="74"/>
      <c r="M1323" s="74"/>
      <c r="N1323" s="74"/>
      <c r="O1323" s="74"/>
      <c r="P1323" s="74"/>
      <c r="Q1323" s="74"/>
      <c r="R1323" s="362"/>
      <c r="S1323" s="56" t="str">
        <f t="shared" si="36"/>
        <v> </v>
      </c>
      <c r="T1323" s="74"/>
      <c r="U1323" s="359"/>
      <c r="V1323" s="74"/>
      <c r="W1323" s="74"/>
      <c r="X1323" s="74"/>
      <c r="Y1323" s="74"/>
      <c r="Z1323" s="364"/>
      <c r="AA1323" s="59" t="str">
        <f>IF(Rentabilidad=0,"No aplica",TEXT(ROUND(Precio/Rentabilidad/12,0),0) &amp; " años")</f>
        <v>No aplica</v>
      </c>
      <c r="AB1323" s="360"/>
      <c r="AC1323" s="61"/>
      <c r="AD1323" s="62"/>
      <c r="AE1323" s="63"/>
      <c r="AF1323" s="156"/>
      <c r="AG1323" s="63"/>
      <c r="AH1323" s="63"/>
      <c r="AI1323" s="74"/>
      <c r="AJ1323" s="156"/>
      <c r="AK1323" s="74"/>
      <c r="AL1323" s="156"/>
      <c r="AM1323" s="74"/>
      <c r="AN1323" s="156"/>
      <c r="AO1323" s="74"/>
      <c r="AP1323" s="363"/>
      <c r="AQ1323" s="363"/>
      <c r="AR1323" s="363"/>
      <c r="AS1323" s="74"/>
      <c r="AT1323" s="74"/>
      <c r="AU1323" s="74"/>
      <c r="AV1323" s="74"/>
      <c r="AW1323" s="74"/>
      <c r="AX1323" s="74"/>
      <c r="AY1323" s="74"/>
      <c r="AZ1323" s="74"/>
      <c r="BA1323" s="74"/>
      <c r="BB1323" s="74"/>
      <c r="BC1323" s="170"/>
      <c r="BD1323" s="156"/>
      <c r="BE1323" s="156"/>
      <c r="BF1323" s="299"/>
      <c r="BG1323" s="74"/>
      <c r="BH1323" s="74"/>
      <c r="BI1323" s="74"/>
      <c r="BJ1323" s="74"/>
      <c r="BK1323" s="74"/>
      <c r="BL1323" s="74"/>
      <c r="BM1323" s="74"/>
      <c r="BN1323" s="74"/>
      <c r="BO1323" s="74"/>
      <c r="BP1323" s="74"/>
      <c r="BQ1323" s="74"/>
      <c r="BR1323" s="74"/>
      <c r="BS1323" s="74"/>
      <c r="BT1323" s="74"/>
      <c r="BU1323" s="74"/>
      <c r="BV1323" s="74"/>
      <c r="BW1323" s="74"/>
      <c r="BX1323" s="74"/>
      <c r="BY1323" s="63"/>
      <c r="BZ1323" s="63"/>
    </row>
    <row r="1324" ht="15.75" customHeight="1">
      <c r="A1324" s="201"/>
      <c r="B1324" s="74"/>
      <c r="C1324" s="74"/>
      <c r="D1324" s="74"/>
      <c r="E1324" s="156"/>
      <c r="F1324" s="78">
        <v>0.0</v>
      </c>
      <c r="G1324" s="44" t="str">
        <f t="shared" si="35"/>
        <v>$0 a $100'000.000</v>
      </c>
      <c r="H1324" s="44"/>
      <c r="I1324" s="44"/>
      <c r="J1324" s="74"/>
      <c r="K1324" s="359"/>
      <c r="L1324" s="74"/>
      <c r="M1324" s="74"/>
      <c r="N1324" s="74"/>
      <c r="O1324" s="74"/>
      <c r="P1324" s="74"/>
      <c r="Q1324" s="74"/>
      <c r="R1324" s="362"/>
      <c r="S1324" s="56" t="str">
        <f t="shared" si="36"/>
        <v> </v>
      </c>
      <c r="T1324" s="74"/>
      <c r="U1324" s="359"/>
      <c r="V1324" s="74"/>
      <c r="W1324" s="74"/>
      <c r="X1324" s="74"/>
      <c r="Y1324" s="74"/>
      <c r="Z1324" s="364"/>
      <c r="AA1324" s="59" t="str">
        <f>IF(Rentabilidad=0,"No aplica",TEXT(ROUND(Precio/Rentabilidad/12,0),0) &amp; " años")</f>
        <v>No aplica</v>
      </c>
      <c r="AB1324" s="360"/>
      <c r="AC1324" s="61"/>
      <c r="AD1324" s="62"/>
      <c r="AE1324" s="63"/>
      <c r="AF1324" s="156"/>
      <c r="AG1324" s="63"/>
      <c r="AH1324" s="63"/>
      <c r="AI1324" s="74"/>
      <c r="AJ1324" s="156"/>
      <c r="AK1324" s="74"/>
      <c r="AL1324" s="156"/>
      <c r="AM1324" s="74"/>
      <c r="AN1324" s="156"/>
      <c r="AO1324" s="74"/>
      <c r="AP1324" s="363"/>
      <c r="AQ1324" s="363"/>
      <c r="AR1324" s="363"/>
      <c r="AS1324" s="74"/>
      <c r="AT1324" s="74"/>
      <c r="AU1324" s="74"/>
      <c r="AV1324" s="74"/>
      <c r="AW1324" s="74"/>
      <c r="AX1324" s="74"/>
      <c r="AY1324" s="74"/>
      <c r="AZ1324" s="74"/>
      <c r="BA1324" s="74"/>
      <c r="BB1324" s="74"/>
      <c r="BC1324" s="170"/>
      <c r="BD1324" s="156"/>
      <c r="BE1324" s="156"/>
      <c r="BF1324" s="299"/>
      <c r="BG1324" s="74"/>
      <c r="BH1324" s="74"/>
      <c r="BI1324" s="74"/>
      <c r="BJ1324" s="74"/>
      <c r="BK1324" s="74"/>
      <c r="BL1324" s="74"/>
      <c r="BM1324" s="74"/>
      <c r="BN1324" s="74"/>
      <c r="BO1324" s="74"/>
      <c r="BP1324" s="74"/>
      <c r="BQ1324" s="74"/>
      <c r="BR1324" s="74"/>
      <c r="BS1324" s="74"/>
      <c r="BT1324" s="74"/>
      <c r="BU1324" s="74"/>
      <c r="BV1324" s="74"/>
      <c r="BW1324" s="74"/>
      <c r="BX1324" s="74"/>
      <c r="BY1324" s="63"/>
      <c r="BZ1324" s="63"/>
    </row>
    <row r="1325" ht="15.75" customHeight="1">
      <c r="A1325" s="201"/>
      <c r="B1325" s="74"/>
      <c r="C1325" s="74"/>
      <c r="D1325" s="74"/>
      <c r="E1325" s="156"/>
      <c r="F1325" s="78">
        <v>0.0</v>
      </c>
      <c r="G1325" s="44" t="str">
        <f t="shared" si="35"/>
        <v>$0 a $100'000.000</v>
      </c>
      <c r="H1325" s="44"/>
      <c r="I1325" s="44"/>
      <c r="J1325" s="74"/>
      <c r="K1325" s="359"/>
      <c r="L1325" s="74"/>
      <c r="M1325" s="74"/>
      <c r="N1325" s="74"/>
      <c r="O1325" s="74"/>
      <c r="P1325" s="74"/>
      <c r="Q1325" s="74"/>
      <c r="R1325" s="362"/>
      <c r="S1325" s="56" t="str">
        <f t="shared" si="36"/>
        <v> </v>
      </c>
      <c r="T1325" s="74"/>
      <c r="U1325" s="359"/>
      <c r="V1325" s="74"/>
      <c r="W1325" s="74"/>
      <c r="X1325" s="74"/>
      <c r="Y1325" s="74"/>
      <c r="Z1325" s="364"/>
      <c r="AA1325" s="59" t="str">
        <f>IF(Rentabilidad=0,"No aplica",TEXT(ROUND(Precio/Rentabilidad/12,0),0) &amp; " años")</f>
        <v>No aplica</v>
      </c>
      <c r="AB1325" s="360"/>
      <c r="AC1325" s="61"/>
      <c r="AD1325" s="62"/>
      <c r="AE1325" s="63"/>
      <c r="AF1325" s="156"/>
      <c r="AG1325" s="63"/>
      <c r="AH1325" s="63"/>
      <c r="AI1325" s="74"/>
      <c r="AJ1325" s="156"/>
      <c r="AK1325" s="74"/>
      <c r="AL1325" s="156"/>
      <c r="AM1325" s="74"/>
      <c r="AN1325" s="156"/>
      <c r="AO1325" s="74"/>
      <c r="AP1325" s="363"/>
      <c r="AQ1325" s="363"/>
      <c r="AR1325" s="363"/>
      <c r="AS1325" s="74"/>
      <c r="AT1325" s="74"/>
      <c r="AU1325" s="74"/>
      <c r="AV1325" s="74"/>
      <c r="AW1325" s="74"/>
      <c r="AX1325" s="74"/>
      <c r="AY1325" s="74"/>
      <c r="AZ1325" s="74"/>
      <c r="BA1325" s="74"/>
      <c r="BB1325" s="74"/>
      <c r="BC1325" s="170"/>
      <c r="BD1325" s="156"/>
      <c r="BE1325" s="156"/>
      <c r="BF1325" s="299"/>
      <c r="BG1325" s="74"/>
      <c r="BH1325" s="74"/>
      <c r="BI1325" s="74"/>
      <c r="BJ1325" s="74"/>
      <c r="BK1325" s="74"/>
      <c r="BL1325" s="74"/>
      <c r="BM1325" s="74"/>
      <c r="BN1325" s="74"/>
      <c r="BO1325" s="74"/>
      <c r="BP1325" s="74"/>
      <c r="BQ1325" s="74"/>
      <c r="BR1325" s="74"/>
      <c r="BS1325" s="74"/>
      <c r="BT1325" s="74"/>
      <c r="BU1325" s="74"/>
      <c r="BV1325" s="74"/>
      <c r="BW1325" s="74"/>
      <c r="BX1325" s="74"/>
      <c r="BY1325" s="63"/>
      <c r="BZ1325" s="63"/>
    </row>
    <row r="1326" ht="15.75" customHeight="1">
      <c r="A1326" s="201"/>
      <c r="B1326" s="74"/>
      <c r="C1326" s="74"/>
      <c r="D1326" s="74"/>
      <c r="E1326" s="156"/>
      <c r="F1326" s="78">
        <v>0.0</v>
      </c>
      <c r="G1326" s="44" t="str">
        <f t="shared" si="35"/>
        <v>$0 a $100'000.000</v>
      </c>
      <c r="H1326" s="44"/>
      <c r="I1326" s="44"/>
      <c r="J1326" s="74"/>
      <c r="K1326" s="359"/>
      <c r="L1326" s="74"/>
      <c r="M1326" s="74"/>
      <c r="N1326" s="74"/>
      <c r="O1326" s="74"/>
      <c r="P1326" s="74"/>
      <c r="Q1326" s="74"/>
      <c r="R1326" s="362"/>
      <c r="S1326" s="56" t="str">
        <f t="shared" si="36"/>
        <v> </v>
      </c>
      <c r="T1326" s="74"/>
      <c r="U1326" s="359"/>
      <c r="V1326" s="74"/>
      <c r="W1326" s="74"/>
      <c r="X1326" s="74"/>
      <c r="Y1326" s="74"/>
      <c r="Z1326" s="364"/>
      <c r="AA1326" s="59" t="str">
        <f>IF(Rentabilidad=0,"No aplica",TEXT(ROUND(Precio/Rentabilidad/12,0),0) &amp; " años")</f>
        <v>No aplica</v>
      </c>
      <c r="AB1326" s="360"/>
      <c r="AC1326" s="61"/>
      <c r="AD1326" s="62"/>
      <c r="AE1326" s="63"/>
      <c r="AF1326" s="156"/>
      <c r="AG1326" s="63"/>
      <c r="AH1326" s="63"/>
      <c r="AI1326" s="74"/>
      <c r="AJ1326" s="156"/>
      <c r="AK1326" s="74"/>
      <c r="AL1326" s="156"/>
      <c r="AM1326" s="74"/>
      <c r="AN1326" s="156"/>
      <c r="AO1326" s="74"/>
      <c r="AP1326" s="363"/>
      <c r="AQ1326" s="363"/>
      <c r="AR1326" s="363"/>
      <c r="AS1326" s="74"/>
      <c r="AT1326" s="74"/>
      <c r="AU1326" s="74"/>
      <c r="AV1326" s="74"/>
      <c r="AW1326" s="74"/>
      <c r="AX1326" s="74"/>
      <c r="AY1326" s="74"/>
      <c r="AZ1326" s="74"/>
      <c r="BA1326" s="74"/>
      <c r="BB1326" s="74"/>
      <c r="BC1326" s="170"/>
      <c r="BD1326" s="156"/>
      <c r="BE1326" s="156"/>
      <c r="BF1326" s="299"/>
      <c r="BG1326" s="74"/>
      <c r="BH1326" s="74"/>
      <c r="BI1326" s="74"/>
      <c r="BJ1326" s="74"/>
      <c r="BK1326" s="74"/>
      <c r="BL1326" s="74"/>
      <c r="BM1326" s="74"/>
      <c r="BN1326" s="74"/>
      <c r="BO1326" s="74"/>
      <c r="BP1326" s="74"/>
      <c r="BQ1326" s="74"/>
      <c r="BR1326" s="74"/>
      <c r="BS1326" s="74"/>
      <c r="BT1326" s="74"/>
      <c r="BU1326" s="74"/>
      <c r="BV1326" s="74"/>
      <c r="BW1326" s="74"/>
      <c r="BX1326" s="74"/>
      <c r="BY1326" s="63"/>
      <c r="BZ1326" s="63"/>
    </row>
    <row r="1327" ht="15.75" customHeight="1">
      <c r="A1327" s="201"/>
      <c r="B1327" s="74"/>
      <c r="C1327" s="74"/>
      <c r="D1327" s="74"/>
      <c r="E1327" s="156"/>
      <c r="F1327" s="78">
        <v>0.0</v>
      </c>
      <c r="G1327" s="44" t="str">
        <f t="shared" si="35"/>
        <v>$0 a $100'000.000</v>
      </c>
      <c r="H1327" s="44"/>
      <c r="I1327" s="44"/>
      <c r="J1327" s="74"/>
      <c r="K1327" s="359"/>
      <c r="L1327" s="74"/>
      <c r="M1327" s="74"/>
      <c r="N1327" s="74"/>
      <c r="O1327" s="74"/>
      <c r="P1327" s="74"/>
      <c r="Q1327" s="74"/>
      <c r="R1327" s="362"/>
      <c r="S1327" s="56" t="str">
        <f t="shared" si="36"/>
        <v> </v>
      </c>
      <c r="T1327" s="74"/>
      <c r="U1327" s="359"/>
      <c r="V1327" s="74"/>
      <c r="W1327" s="74"/>
      <c r="X1327" s="74"/>
      <c r="Y1327" s="74"/>
      <c r="Z1327" s="364"/>
      <c r="AA1327" s="59" t="str">
        <f>IF(Rentabilidad=0,"No aplica",TEXT(ROUND(Precio/Rentabilidad/12,0),0) &amp; " años")</f>
        <v>No aplica</v>
      </c>
      <c r="AB1327" s="360"/>
      <c r="AC1327" s="61"/>
      <c r="AD1327" s="62"/>
      <c r="AE1327" s="63"/>
      <c r="AF1327" s="156"/>
      <c r="AG1327" s="63"/>
      <c r="AH1327" s="63"/>
      <c r="AI1327" s="74"/>
      <c r="AJ1327" s="156"/>
      <c r="AK1327" s="74"/>
      <c r="AL1327" s="156"/>
      <c r="AM1327" s="74"/>
      <c r="AN1327" s="156"/>
      <c r="AO1327" s="74"/>
      <c r="AP1327" s="363"/>
      <c r="AQ1327" s="363"/>
      <c r="AR1327" s="363"/>
      <c r="AS1327" s="74"/>
      <c r="AT1327" s="74"/>
      <c r="AU1327" s="74"/>
      <c r="AV1327" s="74"/>
      <c r="AW1327" s="74"/>
      <c r="AX1327" s="74"/>
      <c r="AY1327" s="74"/>
      <c r="AZ1327" s="74"/>
      <c r="BA1327" s="74"/>
      <c r="BB1327" s="74"/>
      <c r="BC1327" s="170"/>
      <c r="BD1327" s="156"/>
      <c r="BE1327" s="156"/>
      <c r="BF1327" s="299"/>
      <c r="BG1327" s="74"/>
      <c r="BH1327" s="74"/>
      <c r="BI1327" s="74"/>
      <c r="BJ1327" s="74"/>
      <c r="BK1327" s="74"/>
      <c r="BL1327" s="74"/>
      <c r="BM1327" s="74"/>
      <c r="BN1327" s="74"/>
      <c r="BO1327" s="74"/>
      <c r="BP1327" s="74"/>
      <c r="BQ1327" s="74"/>
      <c r="BR1327" s="74"/>
      <c r="BS1327" s="74"/>
      <c r="BT1327" s="74"/>
      <c r="BU1327" s="74"/>
      <c r="BV1327" s="74"/>
      <c r="BW1327" s="74"/>
      <c r="BX1327" s="74"/>
      <c r="BY1327" s="63"/>
      <c r="BZ1327" s="63"/>
    </row>
    <row r="1328" ht="15.75" customHeight="1">
      <c r="A1328" s="201"/>
      <c r="B1328" s="74"/>
      <c r="C1328" s="74"/>
      <c r="D1328" s="74"/>
      <c r="E1328" s="156"/>
      <c r="F1328" s="78">
        <v>0.0</v>
      </c>
      <c r="G1328" s="44" t="str">
        <f t="shared" si="35"/>
        <v>$0 a $100'000.000</v>
      </c>
      <c r="H1328" s="44"/>
      <c r="I1328" s="44"/>
      <c r="J1328" s="74"/>
      <c r="K1328" s="359"/>
      <c r="L1328" s="74"/>
      <c r="M1328" s="74"/>
      <c r="N1328" s="74"/>
      <c r="O1328" s="74"/>
      <c r="P1328" s="74"/>
      <c r="Q1328" s="74"/>
      <c r="R1328" s="362"/>
      <c r="S1328" s="56" t="str">
        <f t="shared" si="36"/>
        <v> </v>
      </c>
      <c r="T1328" s="74"/>
      <c r="U1328" s="359"/>
      <c r="V1328" s="74"/>
      <c r="W1328" s="74"/>
      <c r="X1328" s="74"/>
      <c r="Y1328" s="74"/>
      <c r="Z1328" s="364"/>
      <c r="AA1328" s="59" t="str">
        <f>IF(Rentabilidad=0,"No aplica",TEXT(ROUND(Precio/Rentabilidad/12,0),0) &amp; " años")</f>
        <v>No aplica</v>
      </c>
      <c r="AB1328" s="360"/>
      <c r="AC1328" s="61"/>
      <c r="AD1328" s="62"/>
      <c r="AE1328" s="63"/>
      <c r="AF1328" s="156"/>
      <c r="AG1328" s="63"/>
      <c r="AH1328" s="63"/>
      <c r="AI1328" s="74"/>
      <c r="AJ1328" s="156"/>
      <c r="AK1328" s="74"/>
      <c r="AL1328" s="156"/>
      <c r="AM1328" s="74"/>
      <c r="AN1328" s="156"/>
      <c r="AO1328" s="74"/>
      <c r="AP1328" s="363"/>
      <c r="AQ1328" s="363"/>
      <c r="AR1328" s="363"/>
      <c r="AS1328" s="74"/>
      <c r="AT1328" s="74"/>
      <c r="AU1328" s="74"/>
      <c r="AV1328" s="74"/>
      <c r="AW1328" s="74"/>
      <c r="AX1328" s="74"/>
      <c r="AY1328" s="74"/>
      <c r="AZ1328" s="74"/>
      <c r="BA1328" s="74"/>
      <c r="BB1328" s="74"/>
      <c r="BC1328" s="170"/>
      <c r="BD1328" s="156"/>
      <c r="BE1328" s="156"/>
      <c r="BF1328" s="299"/>
      <c r="BG1328" s="74"/>
      <c r="BH1328" s="74"/>
      <c r="BI1328" s="74"/>
      <c r="BJ1328" s="74"/>
      <c r="BK1328" s="74"/>
      <c r="BL1328" s="74"/>
      <c r="BM1328" s="74"/>
      <c r="BN1328" s="74"/>
      <c r="BO1328" s="74"/>
      <c r="BP1328" s="74"/>
      <c r="BQ1328" s="74"/>
      <c r="BR1328" s="74"/>
      <c r="BS1328" s="74"/>
      <c r="BT1328" s="74"/>
      <c r="BU1328" s="74"/>
      <c r="BV1328" s="74"/>
      <c r="BW1328" s="74"/>
      <c r="BX1328" s="74"/>
      <c r="BY1328" s="63"/>
      <c r="BZ1328" s="63"/>
    </row>
    <row r="1329" ht="15.75" customHeight="1">
      <c r="A1329" s="201"/>
      <c r="B1329" s="74"/>
      <c r="C1329" s="74"/>
      <c r="D1329" s="74"/>
      <c r="E1329" s="156"/>
      <c r="F1329" s="78">
        <v>0.0</v>
      </c>
      <c r="G1329" s="44" t="str">
        <f t="shared" si="35"/>
        <v>$0 a $100'000.000</v>
      </c>
      <c r="H1329" s="44"/>
      <c r="I1329" s="44"/>
      <c r="J1329" s="74"/>
      <c r="K1329" s="359"/>
      <c r="L1329" s="74"/>
      <c r="M1329" s="74"/>
      <c r="N1329" s="74"/>
      <c r="O1329" s="74"/>
      <c r="P1329" s="74"/>
      <c r="Q1329" s="74"/>
      <c r="R1329" s="362"/>
      <c r="S1329" s="56" t="str">
        <f t="shared" si="36"/>
        <v> </v>
      </c>
      <c r="T1329" s="74"/>
      <c r="U1329" s="359"/>
      <c r="V1329" s="74"/>
      <c r="W1329" s="74"/>
      <c r="X1329" s="74"/>
      <c r="Y1329" s="74"/>
      <c r="Z1329" s="364"/>
      <c r="AA1329" s="59" t="str">
        <f>IF(Rentabilidad=0,"No aplica",TEXT(ROUND(Precio/Rentabilidad/12,0),0) &amp; " años")</f>
        <v>No aplica</v>
      </c>
      <c r="AB1329" s="360"/>
      <c r="AC1329" s="61"/>
      <c r="AD1329" s="62"/>
      <c r="AE1329" s="63"/>
      <c r="AF1329" s="156"/>
      <c r="AG1329" s="63"/>
      <c r="AH1329" s="63"/>
      <c r="AI1329" s="74"/>
      <c r="AJ1329" s="156"/>
      <c r="AK1329" s="74"/>
      <c r="AL1329" s="156"/>
      <c r="AM1329" s="74"/>
      <c r="AN1329" s="156"/>
      <c r="AO1329" s="74"/>
      <c r="AP1329" s="363"/>
      <c r="AQ1329" s="363"/>
      <c r="AR1329" s="363"/>
      <c r="AS1329" s="74"/>
      <c r="AT1329" s="74"/>
      <c r="AU1329" s="74"/>
      <c r="AV1329" s="74"/>
      <c r="AW1329" s="74"/>
      <c r="AX1329" s="74"/>
      <c r="AY1329" s="74"/>
      <c r="AZ1329" s="74"/>
      <c r="BA1329" s="74"/>
      <c r="BB1329" s="74"/>
      <c r="BC1329" s="170"/>
      <c r="BD1329" s="156"/>
      <c r="BE1329" s="156"/>
      <c r="BF1329" s="299"/>
      <c r="BG1329" s="74"/>
      <c r="BH1329" s="74"/>
      <c r="BI1329" s="74"/>
      <c r="BJ1329" s="74"/>
      <c r="BK1329" s="74"/>
      <c r="BL1329" s="74"/>
      <c r="BM1329" s="74"/>
      <c r="BN1329" s="74"/>
      <c r="BO1329" s="74"/>
      <c r="BP1329" s="74"/>
      <c r="BQ1329" s="74"/>
      <c r="BR1329" s="74"/>
      <c r="BS1329" s="74"/>
      <c r="BT1329" s="74"/>
      <c r="BU1329" s="74"/>
      <c r="BV1329" s="74"/>
      <c r="BW1329" s="74"/>
      <c r="BX1329" s="74"/>
      <c r="BY1329" s="63"/>
      <c r="BZ1329" s="63"/>
    </row>
    <row r="1330" ht="15.75" customHeight="1">
      <c r="A1330" s="201"/>
      <c r="B1330" s="74"/>
      <c r="C1330" s="74"/>
      <c r="D1330" s="74"/>
      <c r="E1330" s="156"/>
      <c r="F1330" s="78">
        <v>0.0</v>
      </c>
      <c r="G1330" s="44" t="str">
        <f t="shared" si="35"/>
        <v>$0 a $100'000.000</v>
      </c>
      <c r="H1330" s="44"/>
      <c r="I1330" s="44"/>
      <c r="J1330" s="74"/>
      <c r="K1330" s="359"/>
      <c r="L1330" s="74"/>
      <c r="M1330" s="74"/>
      <c r="N1330" s="74"/>
      <c r="O1330" s="74"/>
      <c r="P1330" s="74"/>
      <c r="Q1330" s="74"/>
      <c r="R1330" s="362"/>
      <c r="S1330" s="56" t="str">
        <f t="shared" si="36"/>
        <v> </v>
      </c>
      <c r="T1330" s="74"/>
      <c r="U1330" s="359"/>
      <c r="V1330" s="74"/>
      <c r="W1330" s="74"/>
      <c r="X1330" s="74"/>
      <c r="Y1330" s="74"/>
      <c r="Z1330" s="364"/>
      <c r="AA1330" s="59" t="str">
        <f>IF(Rentabilidad=0,"No aplica",TEXT(ROUND(Precio/Rentabilidad/12,0),0) &amp; " años")</f>
        <v>No aplica</v>
      </c>
      <c r="AB1330" s="360"/>
      <c r="AC1330" s="61"/>
      <c r="AD1330" s="62"/>
      <c r="AE1330" s="63"/>
      <c r="AF1330" s="156"/>
      <c r="AG1330" s="63"/>
      <c r="AH1330" s="63"/>
      <c r="AI1330" s="74"/>
      <c r="AJ1330" s="156"/>
      <c r="AK1330" s="74"/>
      <c r="AL1330" s="156"/>
      <c r="AM1330" s="74"/>
      <c r="AN1330" s="156"/>
      <c r="AO1330" s="74"/>
      <c r="AP1330" s="363"/>
      <c r="AQ1330" s="363"/>
      <c r="AR1330" s="363"/>
      <c r="AS1330" s="74"/>
      <c r="AT1330" s="74"/>
      <c r="AU1330" s="74"/>
      <c r="AV1330" s="74"/>
      <c r="AW1330" s="74"/>
      <c r="AX1330" s="74"/>
      <c r="AY1330" s="74"/>
      <c r="AZ1330" s="74"/>
      <c r="BA1330" s="74"/>
      <c r="BB1330" s="74"/>
      <c r="BC1330" s="170"/>
      <c r="BD1330" s="156"/>
      <c r="BE1330" s="156"/>
      <c r="BF1330" s="299"/>
      <c r="BG1330" s="74"/>
      <c r="BH1330" s="74"/>
      <c r="BI1330" s="74"/>
      <c r="BJ1330" s="74"/>
      <c r="BK1330" s="74"/>
      <c r="BL1330" s="74"/>
      <c r="BM1330" s="74"/>
      <c r="BN1330" s="74"/>
      <c r="BO1330" s="74"/>
      <c r="BP1330" s="74"/>
      <c r="BQ1330" s="74"/>
      <c r="BR1330" s="74"/>
      <c r="BS1330" s="74"/>
      <c r="BT1330" s="74"/>
      <c r="BU1330" s="74"/>
      <c r="BV1330" s="74"/>
      <c r="BW1330" s="74"/>
      <c r="BX1330" s="74"/>
      <c r="BY1330" s="63"/>
      <c r="BZ1330" s="63"/>
    </row>
    <row r="1331" ht="15.75" customHeight="1">
      <c r="A1331" s="201"/>
      <c r="B1331" s="74"/>
      <c r="C1331" s="74"/>
      <c r="D1331" s="74"/>
      <c r="E1331" s="156"/>
      <c r="F1331" s="78">
        <v>0.0</v>
      </c>
      <c r="G1331" s="44" t="str">
        <f t="shared" si="35"/>
        <v>$0 a $100'000.000</v>
      </c>
      <c r="H1331" s="44"/>
      <c r="I1331" s="44"/>
      <c r="J1331" s="74"/>
      <c r="K1331" s="359"/>
      <c r="L1331" s="74"/>
      <c r="M1331" s="74"/>
      <c r="N1331" s="74"/>
      <c r="O1331" s="74"/>
      <c r="P1331" s="74"/>
      <c r="Q1331" s="74"/>
      <c r="R1331" s="362"/>
      <c r="S1331" s="56" t="str">
        <f t="shared" si="36"/>
        <v> </v>
      </c>
      <c r="T1331" s="74"/>
      <c r="U1331" s="359"/>
      <c r="V1331" s="74"/>
      <c r="W1331" s="74"/>
      <c r="X1331" s="74"/>
      <c r="Y1331" s="74"/>
      <c r="Z1331" s="364"/>
      <c r="AA1331" s="59" t="str">
        <f>IF(Rentabilidad=0,"No aplica",TEXT(ROUND(Precio/Rentabilidad/12,0),0) &amp; " años")</f>
        <v>No aplica</v>
      </c>
      <c r="AB1331" s="360"/>
      <c r="AC1331" s="61"/>
      <c r="AD1331" s="62"/>
      <c r="AE1331" s="63"/>
      <c r="AF1331" s="156"/>
      <c r="AG1331" s="63"/>
      <c r="AH1331" s="63"/>
      <c r="AI1331" s="74"/>
      <c r="AJ1331" s="156"/>
      <c r="AK1331" s="74"/>
      <c r="AL1331" s="156"/>
      <c r="AM1331" s="74"/>
      <c r="AN1331" s="156"/>
      <c r="AO1331" s="74"/>
      <c r="AP1331" s="363"/>
      <c r="AQ1331" s="363"/>
      <c r="AR1331" s="363"/>
      <c r="AS1331" s="74"/>
      <c r="AT1331" s="74"/>
      <c r="AU1331" s="74"/>
      <c r="AV1331" s="74"/>
      <c r="AW1331" s="74"/>
      <c r="AX1331" s="74"/>
      <c r="AY1331" s="74"/>
      <c r="AZ1331" s="74"/>
      <c r="BA1331" s="74"/>
      <c r="BB1331" s="74"/>
      <c r="BC1331" s="170"/>
      <c r="BD1331" s="156"/>
      <c r="BE1331" s="156"/>
      <c r="BF1331" s="299"/>
      <c r="BG1331" s="74"/>
      <c r="BH1331" s="74"/>
      <c r="BI1331" s="74"/>
      <c r="BJ1331" s="74"/>
      <c r="BK1331" s="74"/>
      <c r="BL1331" s="74"/>
      <c r="BM1331" s="74"/>
      <c r="BN1331" s="74"/>
      <c r="BO1331" s="74"/>
      <c r="BP1331" s="74"/>
      <c r="BQ1331" s="74"/>
      <c r="BR1331" s="74"/>
      <c r="BS1331" s="74"/>
      <c r="BT1331" s="74"/>
      <c r="BU1331" s="74"/>
      <c r="BV1331" s="74"/>
      <c r="BW1331" s="74"/>
      <c r="BX1331" s="74"/>
      <c r="BY1331" s="63"/>
      <c r="BZ1331" s="63"/>
    </row>
    <row r="1332" ht="15.75" customHeight="1">
      <c r="A1332" s="201"/>
      <c r="B1332" s="74"/>
      <c r="C1332" s="74"/>
      <c r="D1332" s="74"/>
      <c r="E1332" s="156"/>
      <c r="F1332" s="78">
        <v>0.0</v>
      </c>
      <c r="G1332" s="44" t="str">
        <f t="shared" si="35"/>
        <v>$0 a $100'000.000</v>
      </c>
      <c r="H1332" s="44"/>
      <c r="I1332" s="44"/>
      <c r="J1332" s="74"/>
      <c r="K1332" s="359"/>
      <c r="L1332" s="74"/>
      <c r="M1332" s="74"/>
      <c r="N1332" s="74"/>
      <c r="O1332" s="74"/>
      <c r="P1332" s="74"/>
      <c r="Q1332" s="74"/>
      <c r="R1332" s="362"/>
      <c r="S1332" s="56" t="str">
        <f t="shared" si="36"/>
        <v> </v>
      </c>
      <c r="T1332" s="74"/>
      <c r="U1332" s="359"/>
      <c r="V1332" s="74"/>
      <c r="W1332" s="74"/>
      <c r="X1332" s="74"/>
      <c r="Y1332" s="74"/>
      <c r="Z1332" s="364"/>
      <c r="AA1332" s="59" t="str">
        <f>IF(Rentabilidad=0,"No aplica",TEXT(ROUND(Precio/Rentabilidad/12,0),0) &amp; " años")</f>
        <v>No aplica</v>
      </c>
      <c r="AB1332" s="360"/>
      <c r="AC1332" s="61"/>
      <c r="AD1332" s="62"/>
      <c r="AE1332" s="63"/>
      <c r="AF1332" s="156"/>
      <c r="AG1332" s="63"/>
      <c r="AH1332" s="63"/>
      <c r="AI1332" s="74"/>
      <c r="AJ1332" s="156"/>
      <c r="AK1332" s="74"/>
      <c r="AL1332" s="156"/>
      <c r="AM1332" s="74"/>
      <c r="AN1332" s="156"/>
      <c r="AO1332" s="74"/>
      <c r="AP1332" s="363"/>
      <c r="AQ1332" s="363"/>
      <c r="AR1332" s="363"/>
      <c r="AS1332" s="74"/>
      <c r="AT1332" s="74"/>
      <c r="AU1332" s="74"/>
      <c r="AV1332" s="74"/>
      <c r="AW1332" s="74"/>
      <c r="AX1332" s="74"/>
      <c r="AY1332" s="74"/>
      <c r="AZ1332" s="74"/>
      <c r="BA1332" s="74"/>
      <c r="BB1332" s="74"/>
      <c r="BC1332" s="170"/>
      <c r="BD1332" s="156"/>
      <c r="BE1332" s="156"/>
      <c r="BF1332" s="299"/>
      <c r="BG1332" s="74"/>
      <c r="BH1332" s="74"/>
      <c r="BI1332" s="74"/>
      <c r="BJ1332" s="74"/>
      <c r="BK1332" s="74"/>
      <c r="BL1332" s="74"/>
      <c r="BM1332" s="74"/>
      <c r="BN1332" s="74"/>
      <c r="BO1332" s="74"/>
      <c r="BP1332" s="74"/>
      <c r="BQ1332" s="74"/>
      <c r="BR1332" s="74"/>
      <c r="BS1332" s="74"/>
      <c r="BT1332" s="74"/>
      <c r="BU1332" s="74"/>
      <c r="BV1332" s="74"/>
      <c r="BW1332" s="74"/>
      <c r="BX1332" s="74"/>
      <c r="BY1332" s="63"/>
      <c r="BZ1332" s="63"/>
    </row>
    <row r="1333" ht="15.75" customHeight="1">
      <c r="A1333" s="201"/>
      <c r="B1333" s="74"/>
      <c r="C1333" s="74"/>
      <c r="D1333" s="74"/>
      <c r="E1333" s="156"/>
      <c r="F1333" s="78">
        <v>0.0</v>
      </c>
      <c r="G1333" s="44" t="str">
        <f t="shared" si="35"/>
        <v>$0 a $100'000.000</v>
      </c>
      <c r="H1333" s="44"/>
      <c r="I1333" s="44"/>
      <c r="J1333" s="74"/>
      <c r="K1333" s="359"/>
      <c r="L1333" s="74"/>
      <c r="M1333" s="74"/>
      <c r="N1333" s="74"/>
      <c r="O1333" s="74"/>
      <c r="P1333" s="74"/>
      <c r="Q1333" s="74"/>
      <c r="R1333" s="362"/>
      <c r="S1333" s="56" t="str">
        <f t="shared" si="36"/>
        <v> </v>
      </c>
      <c r="T1333" s="74"/>
      <c r="U1333" s="359"/>
      <c r="V1333" s="74"/>
      <c r="W1333" s="74"/>
      <c r="X1333" s="74"/>
      <c r="Y1333" s="74"/>
      <c r="Z1333" s="364"/>
      <c r="AA1333" s="59" t="str">
        <f>IF(Rentabilidad=0,"No aplica",TEXT(ROUND(Precio/Rentabilidad/12,0),0) &amp; " años")</f>
        <v>No aplica</v>
      </c>
      <c r="AB1333" s="360"/>
      <c r="AC1333" s="61"/>
      <c r="AD1333" s="62"/>
      <c r="AE1333" s="63"/>
      <c r="AF1333" s="156"/>
      <c r="AG1333" s="63"/>
      <c r="AH1333" s="63"/>
      <c r="AI1333" s="74"/>
      <c r="AJ1333" s="156"/>
      <c r="AK1333" s="74"/>
      <c r="AL1333" s="156"/>
      <c r="AM1333" s="74"/>
      <c r="AN1333" s="156"/>
      <c r="AO1333" s="74"/>
      <c r="AP1333" s="363"/>
      <c r="AQ1333" s="363"/>
      <c r="AR1333" s="363"/>
      <c r="AS1333" s="74"/>
      <c r="AT1333" s="74"/>
      <c r="AU1333" s="74"/>
      <c r="AV1333" s="74"/>
      <c r="AW1333" s="74"/>
      <c r="AX1333" s="74"/>
      <c r="AY1333" s="74"/>
      <c r="AZ1333" s="74"/>
      <c r="BA1333" s="74"/>
      <c r="BB1333" s="74"/>
      <c r="BC1333" s="170"/>
      <c r="BD1333" s="156"/>
      <c r="BE1333" s="156"/>
      <c r="BF1333" s="299"/>
      <c r="BG1333" s="74"/>
      <c r="BH1333" s="74"/>
      <c r="BI1333" s="74"/>
      <c r="BJ1333" s="74"/>
      <c r="BK1333" s="74"/>
      <c r="BL1333" s="74"/>
      <c r="BM1333" s="74"/>
      <c r="BN1333" s="74"/>
      <c r="BO1333" s="74"/>
      <c r="BP1333" s="74"/>
      <c r="BQ1333" s="74"/>
      <c r="BR1333" s="74"/>
      <c r="BS1333" s="74"/>
      <c r="BT1333" s="74"/>
      <c r="BU1333" s="74"/>
      <c r="BV1333" s="74"/>
      <c r="BW1333" s="74"/>
      <c r="BX1333" s="74"/>
      <c r="BY1333" s="63"/>
      <c r="BZ1333" s="63"/>
    </row>
    <row r="1334" ht="15.75" customHeight="1">
      <c r="A1334" s="201"/>
      <c r="B1334" s="74"/>
      <c r="C1334" s="74"/>
      <c r="D1334" s="74"/>
      <c r="E1334" s="156"/>
      <c r="F1334" s="78">
        <v>0.0</v>
      </c>
      <c r="G1334" s="44" t="str">
        <f t="shared" si="35"/>
        <v>$0 a $100'000.000</v>
      </c>
      <c r="H1334" s="44"/>
      <c r="I1334" s="44"/>
      <c r="J1334" s="74"/>
      <c r="K1334" s="359"/>
      <c r="L1334" s="74"/>
      <c r="M1334" s="74"/>
      <c r="N1334" s="74"/>
      <c r="O1334" s="74"/>
      <c r="P1334" s="74"/>
      <c r="Q1334" s="74"/>
      <c r="R1334" s="362"/>
      <c r="S1334" s="56" t="str">
        <f t="shared" si="36"/>
        <v> </v>
      </c>
      <c r="T1334" s="74"/>
      <c r="U1334" s="359"/>
      <c r="V1334" s="74"/>
      <c r="W1334" s="74"/>
      <c r="X1334" s="74"/>
      <c r="Y1334" s="74"/>
      <c r="Z1334" s="364"/>
      <c r="AA1334" s="59" t="str">
        <f>IF(Rentabilidad=0,"No aplica",TEXT(ROUND(Precio/Rentabilidad/12,0),0) &amp; " años")</f>
        <v>No aplica</v>
      </c>
      <c r="AB1334" s="360"/>
      <c r="AC1334" s="61"/>
      <c r="AD1334" s="62"/>
      <c r="AE1334" s="63"/>
      <c r="AF1334" s="156"/>
      <c r="AG1334" s="63"/>
      <c r="AH1334" s="63"/>
      <c r="AI1334" s="74"/>
      <c r="AJ1334" s="156"/>
      <c r="AK1334" s="74"/>
      <c r="AL1334" s="156"/>
      <c r="AM1334" s="74"/>
      <c r="AN1334" s="156"/>
      <c r="AO1334" s="74"/>
      <c r="AP1334" s="363"/>
      <c r="AQ1334" s="363"/>
      <c r="AR1334" s="363"/>
      <c r="AS1334" s="74"/>
      <c r="AT1334" s="74"/>
      <c r="AU1334" s="74"/>
      <c r="AV1334" s="74"/>
      <c r="AW1334" s="74"/>
      <c r="AX1334" s="74"/>
      <c r="AY1334" s="74"/>
      <c r="AZ1334" s="74"/>
      <c r="BA1334" s="74"/>
      <c r="BB1334" s="74"/>
      <c r="BC1334" s="170"/>
      <c r="BD1334" s="156"/>
      <c r="BE1334" s="156"/>
      <c r="BF1334" s="299"/>
      <c r="BG1334" s="74"/>
      <c r="BH1334" s="74"/>
      <c r="BI1334" s="74"/>
      <c r="BJ1334" s="74"/>
      <c r="BK1334" s="74"/>
      <c r="BL1334" s="74"/>
      <c r="BM1334" s="74"/>
      <c r="BN1334" s="74"/>
      <c r="BO1334" s="74"/>
      <c r="BP1334" s="74"/>
      <c r="BQ1334" s="74"/>
      <c r="BR1334" s="74"/>
      <c r="BS1334" s="74"/>
      <c r="BT1334" s="74"/>
      <c r="BU1334" s="74"/>
      <c r="BV1334" s="74"/>
      <c r="BW1334" s="74"/>
      <c r="BX1334" s="74"/>
      <c r="BY1334" s="63"/>
      <c r="BZ1334" s="63"/>
    </row>
    <row r="1335" ht="15.75" customHeight="1">
      <c r="A1335" s="201"/>
      <c r="B1335" s="74"/>
      <c r="C1335" s="74"/>
      <c r="D1335" s="74"/>
      <c r="E1335" s="156"/>
      <c r="F1335" s="78">
        <v>0.0</v>
      </c>
      <c r="G1335" s="44" t="str">
        <f t="shared" si="35"/>
        <v>$0 a $100'000.000</v>
      </c>
      <c r="H1335" s="44"/>
      <c r="I1335" s="44"/>
      <c r="J1335" s="74"/>
      <c r="K1335" s="359"/>
      <c r="L1335" s="74"/>
      <c r="M1335" s="74"/>
      <c r="N1335" s="74"/>
      <c r="O1335" s="74"/>
      <c r="P1335" s="74"/>
      <c r="Q1335" s="74"/>
      <c r="R1335" s="362"/>
      <c r="S1335" s="56" t="str">
        <f t="shared" si="36"/>
        <v> </v>
      </c>
      <c r="T1335" s="74"/>
      <c r="U1335" s="359"/>
      <c r="V1335" s="74"/>
      <c r="W1335" s="74"/>
      <c r="X1335" s="74"/>
      <c r="Y1335" s="74"/>
      <c r="Z1335" s="364"/>
      <c r="AA1335" s="59" t="str">
        <f>IF(Rentabilidad=0,"No aplica",TEXT(ROUND(Precio/Rentabilidad/12,0),0) &amp; " años")</f>
        <v>No aplica</v>
      </c>
      <c r="AB1335" s="360"/>
      <c r="AC1335" s="61"/>
      <c r="AD1335" s="62"/>
      <c r="AE1335" s="63"/>
      <c r="AF1335" s="156"/>
      <c r="AG1335" s="63"/>
      <c r="AH1335" s="63"/>
      <c r="AI1335" s="74"/>
      <c r="AJ1335" s="156"/>
      <c r="AK1335" s="74"/>
      <c r="AL1335" s="156"/>
      <c r="AM1335" s="74"/>
      <c r="AN1335" s="156"/>
      <c r="AO1335" s="74"/>
      <c r="AP1335" s="363"/>
      <c r="AQ1335" s="363"/>
      <c r="AR1335" s="363"/>
      <c r="AS1335" s="74"/>
      <c r="AT1335" s="74"/>
      <c r="AU1335" s="74"/>
      <c r="AV1335" s="74"/>
      <c r="AW1335" s="74"/>
      <c r="AX1335" s="74"/>
      <c r="AY1335" s="74"/>
      <c r="AZ1335" s="74"/>
      <c r="BA1335" s="74"/>
      <c r="BB1335" s="74"/>
      <c r="BC1335" s="170"/>
      <c r="BD1335" s="156"/>
      <c r="BE1335" s="156"/>
      <c r="BF1335" s="299"/>
      <c r="BG1335" s="74"/>
      <c r="BH1335" s="74"/>
      <c r="BI1335" s="74"/>
      <c r="BJ1335" s="74"/>
      <c r="BK1335" s="74"/>
      <c r="BL1335" s="74"/>
      <c r="BM1335" s="74"/>
      <c r="BN1335" s="74"/>
      <c r="BO1335" s="74"/>
      <c r="BP1335" s="74"/>
      <c r="BQ1335" s="74"/>
      <c r="BR1335" s="74"/>
      <c r="BS1335" s="74"/>
      <c r="BT1335" s="74"/>
      <c r="BU1335" s="74"/>
      <c r="BV1335" s="74"/>
      <c r="BW1335" s="74"/>
      <c r="BX1335" s="74"/>
      <c r="BY1335" s="63"/>
      <c r="BZ1335" s="63"/>
    </row>
    <row r="1336" ht="15.75" customHeight="1">
      <c r="A1336" s="201"/>
      <c r="B1336" s="74"/>
      <c r="C1336" s="74"/>
      <c r="D1336" s="74"/>
      <c r="E1336" s="156"/>
      <c r="F1336" s="78">
        <v>0.0</v>
      </c>
      <c r="G1336" s="44" t="str">
        <f t="shared" si="35"/>
        <v>$0 a $100'000.000</v>
      </c>
      <c r="H1336" s="44"/>
      <c r="I1336" s="44"/>
      <c r="J1336" s="74"/>
      <c r="K1336" s="359"/>
      <c r="L1336" s="74"/>
      <c r="M1336" s="74"/>
      <c r="N1336" s="74"/>
      <c r="O1336" s="74"/>
      <c r="P1336" s="74"/>
      <c r="Q1336" s="74"/>
      <c r="R1336" s="362"/>
      <c r="S1336" s="56" t="str">
        <f t="shared" si="36"/>
        <v> </v>
      </c>
      <c r="T1336" s="74"/>
      <c r="U1336" s="359"/>
      <c r="V1336" s="74"/>
      <c r="W1336" s="74"/>
      <c r="X1336" s="74"/>
      <c r="Y1336" s="74"/>
      <c r="Z1336" s="364"/>
      <c r="AA1336" s="59" t="str">
        <f>IF(Rentabilidad=0,"No aplica",TEXT(ROUND(Precio/Rentabilidad/12,0),0) &amp; " años")</f>
        <v>No aplica</v>
      </c>
      <c r="AB1336" s="360"/>
      <c r="AC1336" s="61"/>
      <c r="AD1336" s="62"/>
      <c r="AE1336" s="63"/>
      <c r="AF1336" s="156"/>
      <c r="AG1336" s="63"/>
      <c r="AH1336" s="63"/>
      <c r="AI1336" s="74"/>
      <c r="AJ1336" s="156"/>
      <c r="AK1336" s="74"/>
      <c r="AL1336" s="156"/>
      <c r="AM1336" s="74"/>
      <c r="AN1336" s="156"/>
      <c r="AO1336" s="74"/>
      <c r="AP1336" s="363"/>
      <c r="AQ1336" s="363"/>
      <c r="AR1336" s="363"/>
      <c r="AS1336" s="74"/>
      <c r="AT1336" s="74"/>
      <c r="AU1336" s="74"/>
      <c r="AV1336" s="74"/>
      <c r="AW1336" s="74"/>
      <c r="AX1336" s="74"/>
      <c r="AY1336" s="74"/>
      <c r="AZ1336" s="74"/>
      <c r="BA1336" s="74"/>
      <c r="BB1336" s="74"/>
      <c r="BC1336" s="170"/>
      <c r="BD1336" s="156"/>
      <c r="BE1336" s="156"/>
      <c r="BF1336" s="299"/>
      <c r="BG1336" s="74"/>
      <c r="BH1336" s="74"/>
      <c r="BI1336" s="74"/>
      <c r="BJ1336" s="74"/>
      <c r="BK1336" s="74"/>
      <c r="BL1336" s="74"/>
      <c r="BM1336" s="74"/>
      <c r="BN1336" s="74"/>
      <c r="BO1336" s="74"/>
      <c r="BP1336" s="74"/>
      <c r="BQ1336" s="74"/>
      <c r="BR1336" s="74"/>
      <c r="BS1336" s="74"/>
      <c r="BT1336" s="74"/>
      <c r="BU1336" s="74"/>
      <c r="BV1336" s="74"/>
      <c r="BW1336" s="74"/>
      <c r="BX1336" s="74"/>
      <c r="BY1336" s="63"/>
      <c r="BZ1336" s="63"/>
    </row>
    <row r="1337" ht="15.75" customHeight="1">
      <c r="A1337" s="201"/>
      <c r="B1337" s="74"/>
      <c r="C1337" s="74"/>
      <c r="D1337" s="74"/>
      <c r="E1337" s="156"/>
      <c r="F1337" s="78">
        <v>0.0</v>
      </c>
      <c r="G1337" s="44" t="str">
        <f t="shared" si="35"/>
        <v>$0 a $100'000.000</v>
      </c>
      <c r="H1337" s="44"/>
      <c r="I1337" s="44"/>
      <c r="J1337" s="74"/>
      <c r="K1337" s="359"/>
      <c r="L1337" s="74"/>
      <c r="M1337" s="74"/>
      <c r="N1337" s="74"/>
      <c r="O1337" s="74"/>
      <c r="P1337" s="74"/>
      <c r="Q1337" s="74"/>
      <c r="R1337" s="362"/>
      <c r="S1337" s="56" t="str">
        <f t="shared" si="36"/>
        <v> </v>
      </c>
      <c r="T1337" s="74"/>
      <c r="U1337" s="359"/>
      <c r="V1337" s="74"/>
      <c r="W1337" s="74"/>
      <c r="X1337" s="74"/>
      <c r="Y1337" s="74"/>
      <c r="Z1337" s="364"/>
      <c r="AA1337" s="59" t="str">
        <f>IF(Rentabilidad=0,"No aplica",TEXT(ROUND(Precio/Rentabilidad/12,0),0) &amp; " años")</f>
        <v>No aplica</v>
      </c>
      <c r="AB1337" s="360"/>
      <c r="AC1337" s="61"/>
      <c r="AD1337" s="62"/>
      <c r="AE1337" s="63"/>
      <c r="AF1337" s="156"/>
      <c r="AG1337" s="63"/>
      <c r="AH1337" s="63"/>
      <c r="AI1337" s="74"/>
      <c r="AJ1337" s="156"/>
      <c r="AK1337" s="74"/>
      <c r="AL1337" s="156"/>
      <c r="AM1337" s="74"/>
      <c r="AN1337" s="156"/>
      <c r="AO1337" s="74"/>
      <c r="AP1337" s="363"/>
      <c r="AQ1337" s="363"/>
      <c r="AR1337" s="363"/>
      <c r="AS1337" s="74"/>
      <c r="AT1337" s="74"/>
      <c r="AU1337" s="74"/>
      <c r="AV1337" s="74"/>
      <c r="AW1337" s="74"/>
      <c r="AX1337" s="74"/>
      <c r="AY1337" s="74"/>
      <c r="AZ1337" s="74"/>
      <c r="BA1337" s="74"/>
      <c r="BB1337" s="74"/>
      <c r="BC1337" s="170"/>
      <c r="BD1337" s="156"/>
      <c r="BE1337" s="156"/>
      <c r="BF1337" s="299"/>
      <c r="BG1337" s="74"/>
      <c r="BH1337" s="74"/>
      <c r="BI1337" s="74"/>
      <c r="BJ1337" s="74"/>
      <c r="BK1337" s="74"/>
      <c r="BL1337" s="74"/>
      <c r="BM1337" s="74"/>
      <c r="BN1337" s="74"/>
      <c r="BO1337" s="74"/>
      <c r="BP1337" s="74"/>
      <c r="BQ1337" s="74"/>
      <c r="BR1337" s="74"/>
      <c r="BS1337" s="74"/>
      <c r="BT1337" s="74"/>
      <c r="BU1337" s="74"/>
      <c r="BV1337" s="74"/>
      <c r="BW1337" s="74"/>
      <c r="BX1337" s="74"/>
      <c r="BY1337" s="63"/>
      <c r="BZ1337" s="63"/>
    </row>
    <row r="1338" ht="15.75" customHeight="1">
      <c r="A1338" s="201"/>
      <c r="B1338" s="74"/>
      <c r="C1338" s="74"/>
      <c r="D1338" s="74"/>
      <c r="E1338" s="156"/>
      <c r="F1338" s="78">
        <v>0.0</v>
      </c>
      <c r="G1338" s="44" t="str">
        <f t="shared" si="35"/>
        <v>$0 a $100'000.000</v>
      </c>
      <c r="H1338" s="44"/>
      <c r="I1338" s="44"/>
      <c r="J1338" s="74"/>
      <c r="K1338" s="359"/>
      <c r="L1338" s="74"/>
      <c r="M1338" s="74"/>
      <c r="N1338" s="74"/>
      <c r="O1338" s="74"/>
      <c r="P1338" s="74"/>
      <c r="Q1338" s="74"/>
      <c r="R1338" s="362"/>
      <c r="S1338" s="56" t="str">
        <f t="shared" si="36"/>
        <v> </v>
      </c>
      <c r="T1338" s="74"/>
      <c r="U1338" s="359"/>
      <c r="V1338" s="74"/>
      <c r="W1338" s="74"/>
      <c r="X1338" s="74"/>
      <c r="Y1338" s="74"/>
      <c r="Z1338" s="364"/>
      <c r="AA1338" s="59" t="str">
        <f>IF(Rentabilidad=0,"No aplica",TEXT(ROUND(Precio/Rentabilidad/12,0),0) &amp; " años")</f>
        <v>No aplica</v>
      </c>
      <c r="AB1338" s="360"/>
      <c r="AC1338" s="61"/>
      <c r="AD1338" s="62"/>
      <c r="AE1338" s="63"/>
      <c r="AF1338" s="156"/>
      <c r="AG1338" s="63"/>
      <c r="AH1338" s="63"/>
      <c r="AI1338" s="74"/>
      <c r="AJ1338" s="156"/>
      <c r="AK1338" s="74"/>
      <c r="AL1338" s="156"/>
      <c r="AM1338" s="74"/>
      <c r="AN1338" s="156"/>
      <c r="AO1338" s="74"/>
      <c r="AP1338" s="363"/>
      <c r="AQ1338" s="363"/>
      <c r="AR1338" s="363"/>
      <c r="AS1338" s="74"/>
      <c r="AT1338" s="74"/>
      <c r="AU1338" s="74"/>
      <c r="AV1338" s="74"/>
      <c r="AW1338" s="74"/>
      <c r="AX1338" s="74"/>
      <c r="AY1338" s="74"/>
      <c r="AZ1338" s="74"/>
      <c r="BA1338" s="74"/>
      <c r="BB1338" s="74"/>
      <c r="BC1338" s="170"/>
      <c r="BD1338" s="156"/>
      <c r="BE1338" s="156"/>
      <c r="BF1338" s="299"/>
      <c r="BG1338" s="74"/>
      <c r="BH1338" s="74"/>
      <c r="BI1338" s="74"/>
      <c r="BJ1338" s="74"/>
      <c r="BK1338" s="74"/>
      <c r="BL1338" s="74"/>
      <c r="BM1338" s="74"/>
      <c r="BN1338" s="74"/>
      <c r="BO1338" s="74"/>
      <c r="BP1338" s="74"/>
      <c r="BQ1338" s="74"/>
      <c r="BR1338" s="74"/>
      <c r="BS1338" s="74"/>
      <c r="BT1338" s="74"/>
      <c r="BU1338" s="74"/>
      <c r="BV1338" s="74"/>
      <c r="BW1338" s="74"/>
      <c r="BX1338" s="74"/>
      <c r="BY1338" s="63"/>
      <c r="BZ1338" s="63"/>
    </row>
    <row r="1339" ht="15.75" customHeight="1">
      <c r="A1339" s="201"/>
      <c r="B1339" s="74"/>
      <c r="C1339" s="74"/>
      <c r="D1339" s="74"/>
      <c r="E1339" s="156"/>
      <c r="F1339" s="78">
        <v>0.0</v>
      </c>
      <c r="G1339" s="44" t="str">
        <f t="shared" si="35"/>
        <v>$0 a $100'000.000</v>
      </c>
      <c r="H1339" s="44"/>
      <c r="I1339" s="44"/>
      <c r="J1339" s="74"/>
      <c r="K1339" s="359"/>
      <c r="L1339" s="74"/>
      <c r="M1339" s="74"/>
      <c r="N1339" s="74"/>
      <c r="O1339" s="74"/>
      <c r="P1339" s="74"/>
      <c r="Q1339" s="74"/>
      <c r="R1339" s="362"/>
      <c r="S1339" s="56" t="str">
        <f t="shared" si="36"/>
        <v> </v>
      </c>
      <c r="T1339" s="74"/>
      <c r="U1339" s="359"/>
      <c r="V1339" s="74"/>
      <c r="W1339" s="74"/>
      <c r="X1339" s="74"/>
      <c r="Y1339" s="74"/>
      <c r="Z1339" s="364"/>
      <c r="AA1339" s="59" t="str">
        <f>IF(Rentabilidad=0,"No aplica",TEXT(ROUND(Precio/Rentabilidad/12,0),0) &amp; " años")</f>
        <v>No aplica</v>
      </c>
      <c r="AB1339" s="360"/>
      <c r="AC1339" s="61"/>
      <c r="AD1339" s="62"/>
      <c r="AE1339" s="63"/>
      <c r="AF1339" s="156"/>
      <c r="AG1339" s="63"/>
      <c r="AH1339" s="63"/>
      <c r="AI1339" s="74"/>
      <c r="AJ1339" s="156"/>
      <c r="AK1339" s="74"/>
      <c r="AL1339" s="156"/>
      <c r="AM1339" s="74"/>
      <c r="AN1339" s="156"/>
      <c r="AO1339" s="74"/>
      <c r="AP1339" s="363"/>
      <c r="AQ1339" s="363"/>
      <c r="AR1339" s="363"/>
      <c r="AS1339" s="74"/>
      <c r="AT1339" s="74"/>
      <c r="AU1339" s="74"/>
      <c r="AV1339" s="74"/>
      <c r="AW1339" s="74"/>
      <c r="AX1339" s="74"/>
      <c r="AY1339" s="74"/>
      <c r="AZ1339" s="74"/>
      <c r="BA1339" s="74"/>
      <c r="BB1339" s="74"/>
      <c r="BC1339" s="170"/>
      <c r="BD1339" s="156"/>
      <c r="BE1339" s="156"/>
      <c r="BF1339" s="299"/>
      <c r="BG1339" s="74"/>
      <c r="BH1339" s="74"/>
      <c r="BI1339" s="74"/>
      <c r="BJ1339" s="74"/>
      <c r="BK1339" s="74"/>
      <c r="BL1339" s="74"/>
      <c r="BM1339" s="74"/>
      <c r="BN1339" s="74"/>
      <c r="BO1339" s="74"/>
      <c r="BP1339" s="74"/>
      <c r="BQ1339" s="74"/>
      <c r="BR1339" s="74"/>
      <c r="BS1339" s="74"/>
      <c r="BT1339" s="74"/>
      <c r="BU1339" s="74"/>
      <c r="BV1339" s="74"/>
      <c r="BW1339" s="74"/>
      <c r="BX1339" s="74"/>
      <c r="BY1339" s="63"/>
      <c r="BZ1339" s="63"/>
    </row>
    <row r="1340" ht="15.75" customHeight="1">
      <c r="A1340" s="201"/>
      <c r="B1340" s="74"/>
      <c r="C1340" s="74"/>
      <c r="D1340" s="74"/>
      <c r="E1340" s="156"/>
      <c r="F1340" s="78">
        <v>0.0</v>
      </c>
      <c r="G1340" s="44" t="str">
        <f t="shared" si="35"/>
        <v>$0 a $100'000.000</v>
      </c>
      <c r="H1340" s="44"/>
      <c r="I1340" s="44"/>
      <c r="J1340" s="74"/>
      <c r="K1340" s="359"/>
      <c r="L1340" s="74"/>
      <c r="M1340" s="74"/>
      <c r="N1340" s="74"/>
      <c r="O1340" s="74"/>
      <c r="P1340" s="74"/>
      <c r="Q1340" s="74"/>
      <c r="R1340" s="362"/>
      <c r="S1340" s="56" t="str">
        <f t="shared" si="36"/>
        <v> </v>
      </c>
      <c r="T1340" s="74"/>
      <c r="U1340" s="359"/>
      <c r="V1340" s="74"/>
      <c r="W1340" s="74"/>
      <c r="X1340" s="74"/>
      <c r="Y1340" s="74"/>
      <c r="Z1340" s="364"/>
      <c r="AA1340" s="59" t="str">
        <f>IF(Rentabilidad=0,"No aplica",TEXT(ROUND(Precio/Rentabilidad/12,0),0) &amp; " años")</f>
        <v>No aplica</v>
      </c>
      <c r="AB1340" s="360"/>
      <c r="AC1340" s="61"/>
      <c r="AD1340" s="62"/>
      <c r="AE1340" s="63"/>
      <c r="AF1340" s="156"/>
      <c r="AG1340" s="63"/>
      <c r="AH1340" s="63"/>
      <c r="AI1340" s="74"/>
      <c r="AJ1340" s="156"/>
      <c r="AK1340" s="74"/>
      <c r="AL1340" s="156"/>
      <c r="AM1340" s="74"/>
      <c r="AN1340" s="156"/>
      <c r="AO1340" s="74"/>
      <c r="AP1340" s="363"/>
      <c r="AQ1340" s="363"/>
      <c r="AR1340" s="363"/>
      <c r="AS1340" s="74"/>
      <c r="AT1340" s="74"/>
      <c r="AU1340" s="74"/>
      <c r="AV1340" s="74"/>
      <c r="AW1340" s="74"/>
      <c r="AX1340" s="74"/>
      <c r="AY1340" s="74"/>
      <c r="AZ1340" s="74"/>
      <c r="BA1340" s="74"/>
      <c r="BB1340" s="74"/>
      <c r="BC1340" s="170"/>
      <c r="BD1340" s="156"/>
      <c r="BE1340" s="156"/>
      <c r="BF1340" s="299"/>
      <c r="BG1340" s="74"/>
      <c r="BH1340" s="74"/>
      <c r="BI1340" s="74"/>
      <c r="BJ1340" s="74"/>
      <c r="BK1340" s="74"/>
      <c r="BL1340" s="74"/>
      <c r="BM1340" s="74"/>
      <c r="BN1340" s="74"/>
      <c r="BO1340" s="74"/>
      <c r="BP1340" s="74"/>
      <c r="BQ1340" s="74"/>
      <c r="BR1340" s="74"/>
      <c r="BS1340" s="74"/>
      <c r="BT1340" s="74"/>
      <c r="BU1340" s="74"/>
      <c r="BV1340" s="74"/>
      <c r="BW1340" s="74"/>
      <c r="BX1340" s="74"/>
      <c r="BY1340" s="63"/>
      <c r="BZ1340" s="63"/>
    </row>
    <row r="1341" ht="15.75" customHeight="1">
      <c r="A1341" s="201"/>
      <c r="B1341" s="74"/>
      <c r="C1341" s="74"/>
      <c r="D1341" s="74"/>
      <c r="E1341" s="156"/>
      <c r="F1341" s="78">
        <v>0.0</v>
      </c>
      <c r="G1341" s="44" t="str">
        <f t="shared" si="35"/>
        <v>$0 a $100'000.000</v>
      </c>
      <c r="H1341" s="44"/>
      <c r="I1341" s="44"/>
      <c r="J1341" s="74"/>
      <c r="K1341" s="359"/>
      <c r="L1341" s="74"/>
      <c r="M1341" s="74"/>
      <c r="N1341" s="74"/>
      <c r="O1341" s="74"/>
      <c r="P1341" s="74"/>
      <c r="Q1341" s="74"/>
      <c r="R1341" s="362"/>
      <c r="S1341" s="56" t="str">
        <f t="shared" si="36"/>
        <v> </v>
      </c>
      <c r="T1341" s="74"/>
      <c r="U1341" s="359"/>
      <c r="V1341" s="74"/>
      <c r="W1341" s="74"/>
      <c r="X1341" s="74"/>
      <c r="Y1341" s="74"/>
      <c r="Z1341" s="364"/>
      <c r="AA1341" s="59" t="str">
        <f>IF(Rentabilidad=0,"No aplica",TEXT(ROUND(Precio/Rentabilidad/12,0),0) &amp; " años")</f>
        <v>No aplica</v>
      </c>
      <c r="AB1341" s="360"/>
      <c r="AC1341" s="61"/>
      <c r="AD1341" s="62"/>
      <c r="AE1341" s="63"/>
      <c r="AF1341" s="156"/>
      <c r="AG1341" s="63"/>
      <c r="AH1341" s="63"/>
      <c r="AI1341" s="74"/>
      <c r="AJ1341" s="156"/>
      <c r="AK1341" s="74"/>
      <c r="AL1341" s="156"/>
      <c r="AM1341" s="74"/>
      <c r="AN1341" s="156"/>
      <c r="AO1341" s="74"/>
      <c r="AP1341" s="363"/>
      <c r="AQ1341" s="363"/>
      <c r="AR1341" s="363"/>
      <c r="AS1341" s="74"/>
      <c r="AT1341" s="74"/>
      <c r="AU1341" s="74"/>
      <c r="AV1341" s="74"/>
      <c r="AW1341" s="74"/>
      <c r="AX1341" s="74"/>
      <c r="AY1341" s="74"/>
      <c r="AZ1341" s="74"/>
      <c r="BA1341" s="74"/>
      <c r="BB1341" s="74"/>
      <c r="BC1341" s="170"/>
      <c r="BD1341" s="156"/>
      <c r="BE1341" s="156"/>
      <c r="BF1341" s="299"/>
      <c r="BG1341" s="74"/>
      <c r="BH1341" s="74"/>
      <c r="BI1341" s="74"/>
      <c r="BJ1341" s="74"/>
      <c r="BK1341" s="74"/>
      <c r="BL1341" s="74"/>
      <c r="BM1341" s="74"/>
      <c r="BN1341" s="74"/>
      <c r="BO1341" s="74"/>
      <c r="BP1341" s="74"/>
      <c r="BQ1341" s="74"/>
      <c r="BR1341" s="74"/>
      <c r="BS1341" s="74"/>
      <c r="BT1341" s="74"/>
      <c r="BU1341" s="74"/>
      <c r="BV1341" s="74"/>
      <c r="BW1341" s="74"/>
      <c r="BX1341" s="74"/>
      <c r="BY1341" s="63"/>
      <c r="BZ1341" s="63"/>
    </row>
    <row r="1342" ht="15.75" customHeight="1">
      <c r="A1342" s="201"/>
      <c r="B1342" s="74"/>
      <c r="C1342" s="74"/>
      <c r="D1342" s="74"/>
      <c r="E1342" s="156"/>
      <c r="F1342" s="78">
        <v>0.0</v>
      </c>
      <c r="G1342" s="44" t="str">
        <f t="shared" si="35"/>
        <v>$0 a $100'000.000</v>
      </c>
      <c r="H1342" s="44"/>
      <c r="I1342" s="44"/>
      <c r="J1342" s="74"/>
      <c r="K1342" s="359"/>
      <c r="L1342" s="74"/>
      <c r="M1342" s="74"/>
      <c r="N1342" s="74"/>
      <c r="O1342" s="74"/>
      <c r="P1342" s="74"/>
      <c r="Q1342" s="74"/>
      <c r="R1342" s="362"/>
      <c r="S1342" s="56" t="str">
        <f t="shared" si="36"/>
        <v> </v>
      </c>
      <c r="T1342" s="74"/>
      <c r="U1342" s="359"/>
      <c r="V1342" s="74"/>
      <c r="W1342" s="74"/>
      <c r="X1342" s="74"/>
      <c r="Y1342" s="74"/>
      <c r="Z1342" s="364"/>
      <c r="AA1342" s="59" t="str">
        <f>IF(Rentabilidad=0,"No aplica",TEXT(ROUND(Precio/Rentabilidad/12,0),0) &amp; " años")</f>
        <v>No aplica</v>
      </c>
      <c r="AB1342" s="360"/>
      <c r="AC1342" s="61"/>
      <c r="AD1342" s="62"/>
      <c r="AE1342" s="63"/>
      <c r="AF1342" s="156"/>
      <c r="AG1342" s="63"/>
      <c r="AH1342" s="63"/>
      <c r="AI1342" s="74"/>
      <c r="AJ1342" s="156"/>
      <c r="AK1342" s="74"/>
      <c r="AL1342" s="156"/>
      <c r="AM1342" s="74"/>
      <c r="AN1342" s="156"/>
      <c r="AO1342" s="74"/>
      <c r="AP1342" s="363"/>
      <c r="AQ1342" s="363"/>
      <c r="AR1342" s="363"/>
      <c r="AS1342" s="74"/>
      <c r="AT1342" s="74"/>
      <c r="AU1342" s="74"/>
      <c r="AV1342" s="74"/>
      <c r="AW1342" s="74"/>
      <c r="AX1342" s="74"/>
      <c r="AY1342" s="74"/>
      <c r="AZ1342" s="74"/>
      <c r="BA1342" s="74"/>
      <c r="BB1342" s="74"/>
      <c r="BC1342" s="170"/>
      <c r="BD1342" s="156"/>
      <c r="BE1342" s="156"/>
      <c r="BF1342" s="299"/>
      <c r="BG1342" s="74"/>
      <c r="BH1342" s="74"/>
      <c r="BI1342" s="74"/>
      <c r="BJ1342" s="74"/>
      <c r="BK1342" s="74"/>
      <c r="BL1342" s="74"/>
      <c r="BM1342" s="74"/>
      <c r="BN1342" s="74"/>
      <c r="BO1342" s="74"/>
      <c r="BP1342" s="74"/>
      <c r="BQ1342" s="74"/>
      <c r="BR1342" s="74"/>
      <c r="BS1342" s="74"/>
      <c r="BT1342" s="74"/>
      <c r="BU1342" s="74"/>
      <c r="BV1342" s="74"/>
      <c r="BW1342" s="74"/>
      <c r="BX1342" s="74"/>
      <c r="BY1342" s="63"/>
      <c r="BZ1342" s="63"/>
    </row>
    <row r="1343" ht="15.75" customHeight="1">
      <c r="A1343" s="201"/>
      <c r="B1343" s="74"/>
      <c r="C1343" s="74"/>
      <c r="D1343" s="74"/>
      <c r="E1343" s="156"/>
      <c r="F1343" s="78">
        <v>0.0</v>
      </c>
      <c r="G1343" s="44" t="str">
        <f t="shared" si="35"/>
        <v>$0 a $100'000.000</v>
      </c>
      <c r="H1343" s="44"/>
      <c r="I1343" s="44"/>
      <c r="J1343" s="74"/>
      <c r="K1343" s="359"/>
      <c r="L1343" s="74"/>
      <c r="M1343" s="74"/>
      <c r="N1343" s="74"/>
      <c r="O1343" s="74"/>
      <c r="P1343" s="74"/>
      <c r="Q1343" s="74"/>
      <c r="R1343" s="362"/>
      <c r="S1343" s="56" t="str">
        <f t="shared" si="36"/>
        <v> </v>
      </c>
      <c r="T1343" s="74"/>
      <c r="U1343" s="359"/>
      <c r="V1343" s="74"/>
      <c r="W1343" s="74"/>
      <c r="X1343" s="74"/>
      <c r="Y1343" s="74"/>
      <c r="Z1343" s="364"/>
      <c r="AA1343" s="59" t="str">
        <f>IF(Rentabilidad=0,"No aplica",TEXT(ROUND(Precio/Rentabilidad/12,0),0) &amp; " años")</f>
        <v>No aplica</v>
      </c>
      <c r="AB1343" s="360"/>
      <c r="AC1343" s="61"/>
      <c r="AD1343" s="62"/>
      <c r="AE1343" s="63"/>
      <c r="AF1343" s="156"/>
      <c r="AG1343" s="63"/>
      <c r="AH1343" s="63"/>
      <c r="AI1343" s="74"/>
      <c r="AJ1343" s="156"/>
      <c r="AK1343" s="74"/>
      <c r="AL1343" s="156"/>
      <c r="AM1343" s="74"/>
      <c r="AN1343" s="156"/>
      <c r="AO1343" s="74"/>
      <c r="AP1343" s="363"/>
      <c r="AQ1343" s="363"/>
      <c r="AR1343" s="363"/>
      <c r="AS1343" s="74"/>
      <c r="AT1343" s="74"/>
      <c r="AU1343" s="74"/>
      <c r="AV1343" s="74"/>
      <c r="AW1343" s="74"/>
      <c r="AX1343" s="74"/>
      <c r="AY1343" s="74"/>
      <c r="AZ1343" s="74"/>
      <c r="BA1343" s="74"/>
      <c r="BB1343" s="74"/>
      <c r="BC1343" s="170"/>
      <c r="BD1343" s="156"/>
      <c r="BE1343" s="156"/>
      <c r="BF1343" s="299"/>
      <c r="BG1343" s="74"/>
      <c r="BH1343" s="74"/>
      <c r="BI1343" s="74"/>
      <c r="BJ1343" s="74"/>
      <c r="BK1343" s="74"/>
      <c r="BL1343" s="74"/>
      <c r="BM1343" s="74"/>
      <c r="BN1343" s="74"/>
      <c r="BO1343" s="74"/>
      <c r="BP1343" s="74"/>
      <c r="BQ1343" s="74"/>
      <c r="BR1343" s="74"/>
      <c r="BS1343" s="74"/>
      <c r="BT1343" s="74"/>
      <c r="BU1343" s="74"/>
      <c r="BV1343" s="74"/>
      <c r="BW1343" s="74"/>
      <c r="BX1343" s="74"/>
      <c r="BY1343" s="63"/>
      <c r="BZ1343" s="63"/>
    </row>
    <row r="1344" ht="15.75" customHeight="1">
      <c r="A1344" s="201"/>
      <c r="B1344" s="74"/>
      <c r="C1344" s="74"/>
      <c r="D1344" s="74"/>
      <c r="E1344" s="156"/>
      <c r="F1344" s="78">
        <v>0.0</v>
      </c>
      <c r="G1344" s="44" t="str">
        <f t="shared" si="35"/>
        <v>$0 a $100'000.000</v>
      </c>
      <c r="H1344" s="44"/>
      <c r="I1344" s="44"/>
      <c r="J1344" s="74"/>
      <c r="K1344" s="359"/>
      <c r="L1344" s="74"/>
      <c r="M1344" s="74"/>
      <c r="N1344" s="74"/>
      <c r="O1344" s="74"/>
      <c r="P1344" s="74"/>
      <c r="Q1344" s="74"/>
      <c r="R1344" s="362"/>
      <c r="S1344" s="56" t="str">
        <f t="shared" si="36"/>
        <v> </v>
      </c>
      <c r="T1344" s="74"/>
      <c r="U1344" s="359"/>
      <c r="V1344" s="74"/>
      <c r="W1344" s="74"/>
      <c r="X1344" s="74"/>
      <c r="Y1344" s="74"/>
      <c r="Z1344" s="364"/>
      <c r="AA1344" s="59" t="str">
        <f>IF(Rentabilidad=0,"No aplica",TEXT(ROUND(Precio/Rentabilidad/12,0),0) &amp; " años")</f>
        <v>No aplica</v>
      </c>
      <c r="AB1344" s="360"/>
      <c r="AC1344" s="61"/>
      <c r="AD1344" s="62"/>
      <c r="AE1344" s="63"/>
      <c r="AF1344" s="156"/>
      <c r="AG1344" s="63"/>
      <c r="AH1344" s="63"/>
      <c r="AI1344" s="74"/>
      <c r="AJ1344" s="156"/>
      <c r="AK1344" s="74"/>
      <c r="AL1344" s="156"/>
      <c r="AM1344" s="74"/>
      <c r="AN1344" s="156"/>
      <c r="AO1344" s="74"/>
      <c r="AP1344" s="363"/>
      <c r="AQ1344" s="363"/>
      <c r="AR1344" s="363"/>
      <c r="AS1344" s="74"/>
      <c r="AT1344" s="74"/>
      <c r="AU1344" s="74"/>
      <c r="AV1344" s="74"/>
      <c r="AW1344" s="74"/>
      <c r="AX1344" s="74"/>
      <c r="AY1344" s="74"/>
      <c r="AZ1344" s="74"/>
      <c r="BA1344" s="74"/>
      <c r="BB1344" s="74"/>
      <c r="BC1344" s="170"/>
      <c r="BD1344" s="156"/>
      <c r="BE1344" s="156"/>
      <c r="BF1344" s="299"/>
      <c r="BG1344" s="74"/>
      <c r="BH1344" s="74"/>
      <c r="BI1344" s="74"/>
      <c r="BJ1344" s="74"/>
      <c r="BK1344" s="74"/>
      <c r="BL1344" s="74"/>
      <c r="BM1344" s="74"/>
      <c r="BN1344" s="74"/>
      <c r="BO1344" s="74"/>
      <c r="BP1344" s="74"/>
      <c r="BQ1344" s="74"/>
      <c r="BR1344" s="74"/>
      <c r="BS1344" s="74"/>
      <c r="BT1344" s="74"/>
      <c r="BU1344" s="74"/>
      <c r="BV1344" s="74"/>
      <c r="BW1344" s="74"/>
      <c r="BX1344" s="74"/>
      <c r="BY1344" s="63"/>
      <c r="BZ1344" s="63"/>
    </row>
    <row r="1345" ht="15.75" customHeight="1">
      <c r="A1345" s="201"/>
      <c r="B1345" s="74"/>
      <c r="C1345" s="74"/>
      <c r="D1345" s="74"/>
      <c r="E1345" s="156"/>
      <c r="F1345" s="78">
        <v>0.0</v>
      </c>
      <c r="G1345" s="44" t="str">
        <f t="shared" si="35"/>
        <v>$0 a $100'000.000</v>
      </c>
      <c r="H1345" s="44"/>
      <c r="I1345" s="44"/>
      <c r="J1345" s="74"/>
      <c r="K1345" s="359"/>
      <c r="L1345" s="74"/>
      <c r="M1345" s="74"/>
      <c r="N1345" s="74"/>
      <c r="O1345" s="74"/>
      <c r="P1345" s="74"/>
      <c r="Q1345" s="74"/>
      <c r="R1345" s="362"/>
      <c r="S1345" s="56" t="str">
        <f t="shared" si="36"/>
        <v> </v>
      </c>
      <c r="T1345" s="74"/>
      <c r="U1345" s="359"/>
      <c r="V1345" s="74"/>
      <c r="W1345" s="74"/>
      <c r="X1345" s="74"/>
      <c r="Y1345" s="74"/>
      <c r="Z1345" s="364"/>
      <c r="AA1345" s="59" t="str">
        <f>IF(Rentabilidad=0,"No aplica",TEXT(ROUND(Precio/Rentabilidad/12,0),0) &amp; " años")</f>
        <v>No aplica</v>
      </c>
      <c r="AB1345" s="360"/>
      <c r="AC1345" s="61"/>
      <c r="AD1345" s="62"/>
      <c r="AE1345" s="63"/>
      <c r="AF1345" s="156"/>
      <c r="AG1345" s="63"/>
      <c r="AH1345" s="63"/>
      <c r="AI1345" s="74"/>
      <c r="AJ1345" s="156"/>
      <c r="AK1345" s="74"/>
      <c r="AL1345" s="156"/>
      <c r="AM1345" s="74"/>
      <c r="AN1345" s="156"/>
      <c r="AO1345" s="74"/>
      <c r="AP1345" s="363"/>
      <c r="AQ1345" s="363"/>
      <c r="AR1345" s="363"/>
      <c r="AS1345" s="74"/>
      <c r="AT1345" s="74"/>
      <c r="AU1345" s="74"/>
      <c r="AV1345" s="74"/>
      <c r="AW1345" s="74"/>
      <c r="AX1345" s="74"/>
      <c r="AY1345" s="74"/>
      <c r="AZ1345" s="74"/>
      <c r="BA1345" s="74"/>
      <c r="BB1345" s="74"/>
      <c r="BC1345" s="170"/>
      <c r="BD1345" s="156"/>
      <c r="BE1345" s="156"/>
      <c r="BF1345" s="299"/>
      <c r="BG1345" s="74"/>
      <c r="BH1345" s="74"/>
      <c r="BI1345" s="74"/>
      <c r="BJ1345" s="74"/>
      <c r="BK1345" s="74"/>
      <c r="BL1345" s="74"/>
      <c r="BM1345" s="74"/>
      <c r="BN1345" s="74"/>
      <c r="BO1345" s="74"/>
      <c r="BP1345" s="74"/>
      <c r="BQ1345" s="74"/>
      <c r="BR1345" s="74"/>
      <c r="BS1345" s="74"/>
      <c r="BT1345" s="74"/>
      <c r="BU1345" s="74"/>
      <c r="BV1345" s="74"/>
      <c r="BW1345" s="74"/>
      <c r="BX1345" s="74"/>
      <c r="BY1345" s="63"/>
      <c r="BZ1345" s="63"/>
    </row>
    <row r="1346" ht="15.75" customHeight="1">
      <c r="A1346" s="201"/>
      <c r="B1346" s="74"/>
      <c r="C1346" s="74"/>
      <c r="D1346" s="74"/>
      <c r="E1346" s="156"/>
      <c r="F1346" s="78">
        <v>0.0</v>
      </c>
      <c r="G1346" s="44" t="str">
        <f t="shared" si="35"/>
        <v>$0 a $100'000.000</v>
      </c>
      <c r="H1346" s="44"/>
      <c r="I1346" s="44"/>
      <c r="J1346" s="74"/>
      <c r="K1346" s="359"/>
      <c r="L1346" s="74"/>
      <c r="M1346" s="74"/>
      <c r="N1346" s="74"/>
      <c r="O1346" s="74"/>
      <c r="P1346" s="74"/>
      <c r="Q1346" s="74"/>
      <c r="R1346" s="362"/>
      <c r="S1346" s="56" t="str">
        <f t="shared" si="36"/>
        <v> </v>
      </c>
      <c r="T1346" s="74"/>
      <c r="U1346" s="359"/>
      <c r="V1346" s="74"/>
      <c r="W1346" s="74"/>
      <c r="X1346" s="74"/>
      <c r="Y1346" s="74"/>
      <c r="Z1346" s="364"/>
      <c r="AA1346" s="59" t="str">
        <f>IF(Rentabilidad=0,"No aplica",TEXT(ROUND(Precio/Rentabilidad/12,0),0) &amp; " años")</f>
        <v>No aplica</v>
      </c>
      <c r="AB1346" s="360"/>
      <c r="AC1346" s="61"/>
      <c r="AD1346" s="62"/>
      <c r="AE1346" s="63"/>
      <c r="AF1346" s="156"/>
      <c r="AG1346" s="63"/>
      <c r="AH1346" s="63"/>
      <c r="AI1346" s="74"/>
      <c r="AJ1346" s="156"/>
      <c r="AK1346" s="74"/>
      <c r="AL1346" s="156"/>
      <c r="AM1346" s="74"/>
      <c r="AN1346" s="156"/>
      <c r="AO1346" s="74"/>
      <c r="AP1346" s="363"/>
      <c r="AQ1346" s="363"/>
      <c r="AR1346" s="363"/>
      <c r="AS1346" s="74"/>
      <c r="AT1346" s="74"/>
      <c r="AU1346" s="74"/>
      <c r="AV1346" s="74"/>
      <c r="AW1346" s="74"/>
      <c r="AX1346" s="74"/>
      <c r="AY1346" s="74"/>
      <c r="AZ1346" s="74"/>
      <c r="BA1346" s="74"/>
      <c r="BB1346" s="74"/>
      <c r="BC1346" s="170"/>
      <c r="BD1346" s="156"/>
      <c r="BE1346" s="156"/>
      <c r="BF1346" s="299"/>
      <c r="BG1346" s="74"/>
      <c r="BH1346" s="74"/>
      <c r="BI1346" s="74"/>
      <c r="BJ1346" s="74"/>
      <c r="BK1346" s="74"/>
      <c r="BL1346" s="74"/>
      <c r="BM1346" s="74"/>
      <c r="BN1346" s="74"/>
      <c r="BO1346" s="74"/>
      <c r="BP1346" s="74"/>
      <c r="BQ1346" s="74"/>
      <c r="BR1346" s="74"/>
      <c r="BS1346" s="74"/>
      <c r="BT1346" s="74"/>
      <c r="BU1346" s="74"/>
      <c r="BV1346" s="74"/>
      <c r="BW1346" s="74"/>
      <c r="BX1346" s="74"/>
      <c r="BY1346" s="63"/>
      <c r="BZ1346" s="63"/>
    </row>
    <row r="1347" ht="15.75" customHeight="1">
      <c r="A1347" s="201"/>
      <c r="B1347" s="74"/>
      <c r="C1347" s="74"/>
      <c r="D1347" s="74"/>
      <c r="E1347" s="156"/>
      <c r="F1347" s="78">
        <v>0.0</v>
      </c>
      <c r="G1347" s="44" t="str">
        <f t="shared" si="35"/>
        <v>$0 a $100'000.000</v>
      </c>
      <c r="H1347" s="44"/>
      <c r="I1347" s="44"/>
      <c r="J1347" s="74"/>
      <c r="K1347" s="359"/>
      <c r="L1347" s="74"/>
      <c r="M1347" s="74"/>
      <c r="N1347" s="74"/>
      <c r="O1347" s="74"/>
      <c r="P1347" s="74"/>
      <c r="Q1347" s="74"/>
      <c r="R1347" s="362"/>
      <c r="S1347" s="56" t="str">
        <f t="shared" si="36"/>
        <v> </v>
      </c>
      <c r="T1347" s="74"/>
      <c r="U1347" s="359"/>
      <c r="V1347" s="74"/>
      <c r="W1347" s="74"/>
      <c r="X1347" s="74"/>
      <c r="Y1347" s="74"/>
      <c r="Z1347" s="364"/>
      <c r="AA1347" s="59" t="str">
        <f>IF(Rentabilidad=0,"No aplica",TEXT(ROUND(Precio/Rentabilidad/12,0),0) &amp; " años")</f>
        <v>No aplica</v>
      </c>
      <c r="AB1347" s="360"/>
      <c r="AC1347" s="61"/>
      <c r="AD1347" s="62"/>
      <c r="AE1347" s="63"/>
      <c r="AF1347" s="156"/>
      <c r="AG1347" s="63"/>
      <c r="AH1347" s="63"/>
      <c r="AI1347" s="74"/>
      <c r="AJ1347" s="156"/>
      <c r="AK1347" s="74"/>
      <c r="AL1347" s="156"/>
      <c r="AM1347" s="74"/>
      <c r="AN1347" s="156"/>
      <c r="AO1347" s="74"/>
      <c r="AP1347" s="363"/>
      <c r="AQ1347" s="363"/>
      <c r="AR1347" s="363"/>
      <c r="AS1347" s="74"/>
      <c r="AT1347" s="74"/>
      <c r="AU1347" s="74"/>
      <c r="AV1347" s="74"/>
      <c r="AW1347" s="74"/>
      <c r="AX1347" s="74"/>
      <c r="AY1347" s="74"/>
      <c r="AZ1347" s="74"/>
      <c r="BA1347" s="74"/>
      <c r="BB1347" s="74"/>
      <c r="BC1347" s="170"/>
      <c r="BD1347" s="156"/>
      <c r="BE1347" s="156"/>
      <c r="BF1347" s="299"/>
      <c r="BG1347" s="74"/>
      <c r="BH1347" s="74"/>
      <c r="BI1347" s="74"/>
      <c r="BJ1347" s="74"/>
      <c r="BK1347" s="74"/>
      <c r="BL1347" s="74"/>
      <c r="BM1347" s="74"/>
      <c r="BN1347" s="74"/>
      <c r="BO1347" s="74"/>
      <c r="BP1347" s="74"/>
      <c r="BQ1347" s="74"/>
      <c r="BR1347" s="74"/>
      <c r="BS1347" s="74"/>
      <c r="BT1347" s="74"/>
      <c r="BU1347" s="74"/>
      <c r="BV1347" s="74"/>
      <c r="BW1347" s="74"/>
      <c r="BX1347" s="74"/>
      <c r="BY1347" s="63"/>
      <c r="BZ1347" s="63"/>
    </row>
    <row r="1348" ht="15.75" customHeight="1">
      <c r="A1348" s="201"/>
      <c r="B1348" s="74"/>
      <c r="C1348" s="74"/>
      <c r="D1348" s="74"/>
      <c r="E1348" s="156"/>
      <c r="F1348" s="78">
        <v>0.0</v>
      </c>
      <c r="G1348" s="44" t="str">
        <f t="shared" si="35"/>
        <v>$0 a $100'000.000</v>
      </c>
      <c r="H1348" s="44"/>
      <c r="I1348" s="44"/>
      <c r="J1348" s="74"/>
      <c r="K1348" s="359"/>
      <c r="L1348" s="74"/>
      <c r="M1348" s="74"/>
      <c r="N1348" s="74"/>
      <c r="O1348" s="74"/>
      <c r="P1348" s="74"/>
      <c r="Q1348" s="74"/>
      <c r="R1348" s="362"/>
      <c r="S1348" s="56" t="str">
        <f t="shared" si="36"/>
        <v> </v>
      </c>
      <c r="T1348" s="74"/>
      <c r="U1348" s="359"/>
      <c r="V1348" s="74"/>
      <c r="W1348" s="74"/>
      <c r="X1348" s="74"/>
      <c r="Y1348" s="74"/>
      <c r="Z1348" s="364"/>
      <c r="AA1348" s="59" t="str">
        <f>IF(Rentabilidad=0,"No aplica",TEXT(ROUND(Precio/Rentabilidad/12,0),0) &amp; " años")</f>
        <v>No aplica</v>
      </c>
      <c r="AB1348" s="360"/>
      <c r="AC1348" s="61"/>
      <c r="AD1348" s="62"/>
      <c r="AE1348" s="63"/>
      <c r="AF1348" s="156"/>
      <c r="AG1348" s="63"/>
      <c r="AH1348" s="63"/>
      <c r="AI1348" s="74"/>
      <c r="AJ1348" s="156"/>
      <c r="AK1348" s="74"/>
      <c r="AL1348" s="156"/>
      <c r="AM1348" s="74"/>
      <c r="AN1348" s="156"/>
      <c r="AO1348" s="74"/>
      <c r="AP1348" s="363"/>
      <c r="AQ1348" s="363"/>
      <c r="AR1348" s="363"/>
      <c r="AS1348" s="74"/>
      <c r="AT1348" s="74"/>
      <c r="AU1348" s="74"/>
      <c r="AV1348" s="74"/>
      <c r="AW1348" s="74"/>
      <c r="AX1348" s="74"/>
      <c r="AY1348" s="74"/>
      <c r="AZ1348" s="74"/>
      <c r="BA1348" s="74"/>
      <c r="BB1348" s="74"/>
      <c r="BC1348" s="170"/>
      <c r="BD1348" s="156"/>
      <c r="BE1348" s="156"/>
      <c r="BF1348" s="299"/>
      <c r="BG1348" s="74"/>
      <c r="BH1348" s="74"/>
      <c r="BI1348" s="74"/>
      <c r="BJ1348" s="74"/>
      <c r="BK1348" s="74"/>
      <c r="BL1348" s="74"/>
      <c r="BM1348" s="74"/>
      <c r="BN1348" s="74"/>
      <c r="BO1348" s="74"/>
      <c r="BP1348" s="74"/>
      <c r="BQ1348" s="74"/>
      <c r="BR1348" s="74"/>
      <c r="BS1348" s="74"/>
      <c r="BT1348" s="74"/>
      <c r="BU1348" s="74"/>
      <c r="BV1348" s="74"/>
      <c r="BW1348" s="74"/>
      <c r="BX1348" s="74"/>
      <c r="BY1348" s="63"/>
      <c r="BZ1348" s="63"/>
    </row>
    <row r="1349" ht="15.75" customHeight="1">
      <c r="A1349" s="201"/>
      <c r="B1349" s="74"/>
      <c r="C1349" s="74"/>
      <c r="D1349" s="74"/>
      <c r="E1349" s="156"/>
      <c r="F1349" s="78">
        <v>0.0</v>
      </c>
      <c r="G1349" s="44" t="str">
        <f t="shared" si="35"/>
        <v>$0 a $100'000.000</v>
      </c>
      <c r="H1349" s="44"/>
      <c r="I1349" s="44"/>
      <c r="J1349" s="74"/>
      <c r="K1349" s="359"/>
      <c r="L1349" s="74"/>
      <c r="M1349" s="74"/>
      <c r="N1349" s="74"/>
      <c r="O1349" s="74"/>
      <c r="P1349" s="74"/>
      <c r="Q1349" s="74"/>
      <c r="R1349" s="362"/>
      <c r="S1349" s="56" t="str">
        <f t="shared" si="36"/>
        <v> </v>
      </c>
      <c r="T1349" s="74"/>
      <c r="U1349" s="359"/>
      <c r="V1349" s="74"/>
      <c r="W1349" s="74"/>
      <c r="X1349" s="74"/>
      <c r="Y1349" s="74"/>
      <c r="Z1349" s="364"/>
      <c r="AA1349" s="59" t="str">
        <f>IF(Rentabilidad=0,"No aplica",TEXT(ROUND(Precio/Rentabilidad/12,0),0) &amp; " años")</f>
        <v>No aplica</v>
      </c>
      <c r="AB1349" s="360"/>
      <c r="AC1349" s="61"/>
      <c r="AD1349" s="62"/>
      <c r="AE1349" s="63"/>
      <c r="AF1349" s="156"/>
      <c r="AG1349" s="63"/>
      <c r="AH1349" s="63"/>
      <c r="AI1349" s="74"/>
      <c r="AJ1349" s="156"/>
      <c r="AK1349" s="74"/>
      <c r="AL1349" s="156"/>
      <c r="AM1349" s="74"/>
      <c r="AN1349" s="156"/>
      <c r="AO1349" s="74"/>
      <c r="AP1349" s="363"/>
      <c r="AQ1349" s="363"/>
      <c r="AR1349" s="363"/>
      <c r="AS1349" s="74"/>
      <c r="AT1349" s="74"/>
      <c r="AU1349" s="74"/>
      <c r="AV1349" s="74"/>
      <c r="AW1349" s="74"/>
      <c r="AX1349" s="74"/>
      <c r="AY1349" s="74"/>
      <c r="AZ1349" s="74"/>
      <c r="BA1349" s="74"/>
      <c r="BB1349" s="74"/>
      <c r="BC1349" s="170"/>
      <c r="BD1349" s="156"/>
      <c r="BE1349" s="156"/>
      <c r="BF1349" s="299"/>
      <c r="BG1349" s="74"/>
      <c r="BH1349" s="74"/>
      <c r="BI1349" s="74"/>
      <c r="BJ1349" s="74"/>
      <c r="BK1349" s="74"/>
      <c r="BL1349" s="74"/>
      <c r="BM1349" s="74"/>
      <c r="BN1349" s="74"/>
      <c r="BO1349" s="74"/>
      <c r="BP1349" s="74"/>
      <c r="BQ1349" s="74"/>
      <c r="BR1349" s="74"/>
      <c r="BS1349" s="74"/>
      <c r="BT1349" s="74"/>
      <c r="BU1349" s="74"/>
      <c r="BV1349" s="74"/>
      <c r="BW1349" s="74"/>
      <c r="BX1349" s="74"/>
      <c r="BY1349" s="63"/>
      <c r="BZ1349" s="63"/>
    </row>
    <row r="1350" ht="15.75" customHeight="1">
      <c r="A1350" s="201"/>
      <c r="B1350" s="74"/>
      <c r="C1350" s="74"/>
      <c r="D1350" s="74"/>
      <c r="E1350" s="156"/>
      <c r="F1350" s="78">
        <v>0.0</v>
      </c>
      <c r="G1350" s="44" t="str">
        <f t="shared" si="35"/>
        <v>$0 a $100'000.000</v>
      </c>
      <c r="H1350" s="44"/>
      <c r="I1350" s="44"/>
      <c r="J1350" s="74"/>
      <c r="K1350" s="359"/>
      <c r="L1350" s="74"/>
      <c r="M1350" s="74"/>
      <c r="N1350" s="74"/>
      <c r="O1350" s="74"/>
      <c r="P1350" s="74"/>
      <c r="Q1350" s="74"/>
      <c r="R1350" s="362"/>
      <c r="S1350" s="56" t="str">
        <f t="shared" si="36"/>
        <v> </v>
      </c>
      <c r="T1350" s="74"/>
      <c r="U1350" s="359"/>
      <c r="V1350" s="74"/>
      <c r="W1350" s="74"/>
      <c r="X1350" s="74"/>
      <c r="Y1350" s="74"/>
      <c r="Z1350" s="364"/>
      <c r="AA1350" s="59" t="str">
        <f>IF(Rentabilidad=0,"No aplica",TEXT(ROUND(Precio/Rentabilidad/12,0),0) &amp; " años")</f>
        <v>No aplica</v>
      </c>
      <c r="AB1350" s="360"/>
      <c r="AC1350" s="61"/>
      <c r="AD1350" s="62"/>
      <c r="AE1350" s="63"/>
      <c r="AF1350" s="156"/>
      <c r="AG1350" s="63"/>
      <c r="AH1350" s="63"/>
      <c r="AI1350" s="74"/>
      <c r="AJ1350" s="156"/>
      <c r="AK1350" s="74"/>
      <c r="AL1350" s="156"/>
      <c r="AM1350" s="74"/>
      <c r="AN1350" s="156"/>
      <c r="AO1350" s="74"/>
      <c r="AP1350" s="363"/>
      <c r="AQ1350" s="363"/>
      <c r="AR1350" s="363"/>
      <c r="AS1350" s="74"/>
      <c r="AT1350" s="74"/>
      <c r="AU1350" s="74"/>
      <c r="AV1350" s="74"/>
      <c r="AW1350" s="74"/>
      <c r="AX1350" s="74"/>
      <c r="AY1350" s="74"/>
      <c r="AZ1350" s="74"/>
      <c r="BA1350" s="74"/>
      <c r="BB1350" s="74"/>
      <c r="BC1350" s="170"/>
      <c r="BD1350" s="156"/>
      <c r="BE1350" s="156"/>
      <c r="BF1350" s="299"/>
      <c r="BG1350" s="74"/>
      <c r="BH1350" s="74"/>
      <c r="BI1350" s="74"/>
      <c r="BJ1350" s="74"/>
      <c r="BK1350" s="74"/>
      <c r="BL1350" s="74"/>
      <c r="BM1350" s="74"/>
      <c r="BN1350" s="74"/>
      <c r="BO1350" s="74"/>
      <c r="BP1350" s="74"/>
      <c r="BQ1350" s="74"/>
      <c r="BR1350" s="74"/>
      <c r="BS1350" s="74"/>
      <c r="BT1350" s="74"/>
      <c r="BU1350" s="74"/>
      <c r="BV1350" s="74"/>
      <c r="BW1350" s="74"/>
      <c r="BX1350" s="74"/>
      <c r="BY1350" s="63"/>
      <c r="BZ1350" s="63"/>
    </row>
    <row r="1351" ht="15.75" customHeight="1">
      <c r="A1351" s="201"/>
      <c r="B1351" s="74"/>
      <c r="C1351" s="74"/>
      <c r="D1351" s="74"/>
      <c r="E1351" s="156"/>
      <c r="F1351" s="78">
        <v>0.0</v>
      </c>
      <c r="G1351" s="44" t="str">
        <f t="shared" si="35"/>
        <v>$0 a $100'000.000</v>
      </c>
      <c r="H1351" s="44"/>
      <c r="I1351" s="44"/>
      <c r="J1351" s="74"/>
      <c r="K1351" s="359"/>
      <c r="L1351" s="74"/>
      <c r="M1351" s="74"/>
      <c r="N1351" s="74"/>
      <c r="O1351" s="74"/>
      <c r="P1351" s="74"/>
      <c r="Q1351" s="74"/>
      <c r="R1351" s="362"/>
      <c r="S1351" s="56" t="str">
        <f t="shared" si="36"/>
        <v> </v>
      </c>
      <c r="T1351" s="74"/>
      <c r="U1351" s="359"/>
      <c r="V1351" s="74"/>
      <c r="W1351" s="74"/>
      <c r="X1351" s="74"/>
      <c r="Y1351" s="74"/>
      <c r="Z1351" s="364"/>
      <c r="AA1351" s="59" t="str">
        <f>IF(Rentabilidad=0,"No aplica",TEXT(ROUND(Precio/Rentabilidad/12,0),0) &amp; " años")</f>
        <v>No aplica</v>
      </c>
      <c r="AB1351" s="360"/>
      <c r="AC1351" s="61"/>
      <c r="AD1351" s="62"/>
      <c r="AE1351" s="63"/>
      <c r="AF1351" s="156"/>
      <c r="AG1351" s="63"/>
      <c r="AH1351" s="63"/>
      <c r="AI1351" s="74"/>
      <c r="AJ1351" s="156"/>
      <c r="AK1351" s="74"/>
      <c r="AL1351" s="156"/>
      <c r="AM1351" s="74"/>
      <c r="AN1351" s="156"/>
      <c r="AO1351" s="74"/>
      <c r="AP1351" s="363"/>
      <c r="AQ1351" s="363"/>
      <c r="AR1351" s="363"/>
      <c r="AS1351" s="74"/>
      <c r="AT1351" s="74"/>
      <c r="AU1351" s="74"/>
      <c r="AV1351" s="74"/>
      <c r="AW1351" s="74"/>
      <c r="AX1351" s="74"/>
      <c r="AY1351" s="74"/>
      <c r="AZ1351" s="74"/>
      <c r="BA1351" s="74"/>
      <c r="BB1351" s="74"/>
      <c r="BC1351" s="170"/>
      <c r="BD1351" s="156"/>
      <c r="BE1351" s="156"/>
      <c r="BF1351" s="299"/>
      <c r="BG1351" s="74"/>
      <c r="BH1351" s="74"/>
      <c r="BI1351" s="74"/>
      <c r="BJ1351" s="74"/>
      <c r="BK1351" s="74"/>
      <c r="BL1351" s="74"/>
      <c r="BM1351" s="74"/>
      <c r="BN1351" s="74"/>
      <c r="BO1351" s="74"/>
      <c r="BP1351" s="74"/>
      <c r="BQ1351" s="74"/>
      <c r="BR1351" s="74"/>
      <c r="BS1351" s="74"/>
      <c r="BT1351" s="74"/>
      <c r="BU1351" s="74"/>
      <c r="BV1351" s="74"/>
      <c r="BW1351" s="74"/>
      <c r="BX1351" s="74"/>
      <c r="BY1351" s="63"/>
      <c r="BZ1351" s="63"/>
    </row>
    <row r="1352" ht="15.75" customHeight="1">
      <c r="A1352" s="201"/>
      <c r="B1352" s="74"/>
      <c r="C1352" s="74"/>
      <c r="D1352" s="74"/>
      <c r="E1352" s="156"/>
      <c r="F1352" s="78">
        <v>0.0</v>
      </c>
      <c r="G1352" s="44" t="str">
        <f t="shared" si="35"/>
        <v>$0 a $100'000.000</v>
      </c>
      <c r="H1352" s="44"/>
      <c r="I1352" s="44"/>
      <c r="J1352" s="74"/>
      <c r="K1352" s="359"/>
      <c r="L1352" s="74"/>
      <c r="M1352" s="74"/>
      <c r="N1352" s="74"/>
      <c r="O1352" s="74"/>
      <c r="P1352" s="74"/>
      <c r="Q1352" s="74"/>
      <c r="R1352" s="362"/>
      <c r="S1352" s="56" t="str">
        <f t="shared" si="36"/>
        <v> </v>
      </c>
      <c r="T1352" s="74"/>
      <c r="U1352" s="359"/>
      <c r="V1352" s="74"/>
      <c r="W1352" s="74"/>
      <c r="X1352" s="74"/>
      <c r="Y1352" s="74"/>
      <c r="Z1352" s="364"/>
      <c r="AA1352" s="59" t="str">
        <f>IF(Rentabilidad=0,"No aplica",TEXT(ROUND(Precio/Rentabilidad/12,0),0) &amp; " años")</f>
        <v>No aplica</v>
      </c>
      <c r="AB1352" s="360"/>
      <c r="AC1352" s="61"/>
      <c r="AD1352" s="62"/>
      <c r="AE1352" s="63"/>
      <c r="AF1352" s="156"/>
      <c r="AG1352" s="63"/>
      <c r="AH1352" s="63"/>
      <c r="AI1352" s="74"/>
      <c r="AJ1352" s="156"/>
      <c r="AK1352" s="74"/>
      <c r="AL1352" s="156"/>
      <c r="AM1352" s="74"/>
      <c r="AN1352" s="156"/>
      <c r="AO1352" s="74"/>
      <c r="AP1352" s="363"/>
      <c r="AQ1352" s="363"/>
      <c r="AR1352" s="363"/>
      <c r="AS1352" s="74"/>
      <c r="AT1352" s="74"/>
      <c r="AU1352" s="74"/>
      <c r="AV1352" s="74"/>
      <c r="AW1352" s="74"/>
      <c r="AX1352" s="74"/>
      <c r="AY1352" s="74"/>
      <c r="AZ1352" s="74"/>
      <c r="BA1352" s="74"/>
      <c r="BB1352" s="74"/>
      <c r="BC1352" s="170"/>
      <c r="BD1352" s="156"/>
      <c r="BE1352" s="156"/>
      <c r="BF1352" s="299"/>
      <c r="BG1352" s="74"/>
      <c r="BH1352" s="74"/>
      <c r="BI1352" s="74"/>
      <c r="BJ1352" s="74"/>
      <c r="BK1352" s="74"/>
      <c r="BL1352" s="74"/>
      <c r="BM1352" s="74"/>
      <c r="BN1352" s="74"/>
      <c r="BO1352" s="74"/>
      <c r="BP1352" s="74"/>
      <c r="BQ1352" s="74"/>
      <c r="BR1352" s="74"/>
      <c r="BS1352" s="74"/>
      <c r="BT1352" s="74"/>
      <c r="BU1352" s="74"/>
      <c r="BV1352" s="74"/>
      <c r="BW1352" s="74"/>
      <c r="BX1352" s="74"/>
      <c r="BY1352" s="63"/>
      <c r="BZ1352" s="63"/>
    </row>
    <row r="1353" ht="15.75" customHeight="1">
      <c r="A1353" s="201"/>
      <c r="B1353" s="74"/>
      <c r="C1353" s="74"/>
      <c r="D1353" s="74"/>
      <c r="E1353" s="156"/>
      <c r="F1353" s="78">
        <v>0.0</v>
      </c>
      <c r="G1353" s="44" t="str">
        <f t="shared" si="35"/>
        <v>$0 a $100'000.000</v>
      </c>
      <c r="H1353" s="44"/>
      <c r="I1353" s="44"/>
      <c r="J1353" s="74"/>
      <c r="K1353" s="359"/>
      <c r="L1353" s="74"/>
      <c r="M1353" s="74"/>
      <c r="N1353" s="74"/>
      <c r="O1353" s="74"/>
      <c r="P1353" s="74"/>
      <c r="Q1353" s="74"/>
      <c r="R1353" s="362"/>
      <c r="S1353" s="56" t="str">
        <f t="shared" si="36"/>
        <v> </v>
      </c>
      <c r="T1353" s="74"/>
      <c r="U1353" s="359"/>
      <c r="V1353" s="74"/>
      <c r="W1353" s="74"/>
      <c r="X1353" s="74"/>
      <c r="Y1353" s="74"/>
      <c r="Z1353" s="364"/>
      <c r="AA1353" s="59" t="str">
        <f>IF(Rentabilidad=0,"No aplica",TEXT(ROUND(Precio/Rentabilidad/12,0),0) &amp; " años")</f>
        <v>No aplica</v>
      </c>
      <c r="AB1353" s="360"/>
      <c r="AC1353" s="61"/>
      <c r="AD1353" s="62"/>
      <c r="AE1353" s="63"/>
      <c r="AF1353" s="156"/>
      <c r="AG1353" s="63"/>
      <c r="AH1353" s="63"/>
      <c r="AI1353" s="74"/>
      <c r="AJ1353" s="156"/>
      <c r="AK1353" s="74"/>
      <c r="AL1353" s="156"/>
      <c r="AM1353" s="74"/>
      <c r="AN1353" s="156"/>
      <c r="AO1353" s="74"/>
      <c r="AP1353" s="363"/>
      <c r="AQ1353" s="363"/>
      <c r="AR1353" s="363"/>
      <c r="AS1353" s="74"/>
      <c r="AT1353" s="74"/>
      <c r="AU1353" s="74"/>
      <c r="AV1353" s="74"/>
      <c r="AW1353" s="74"/>
      <c r="AX1353" s="74"/>
      <c r="AY1353" s="74"/>
      <c r="AZ1353" s="74"/>
      <c r="BA1353" s="74"/>
      <c r="BB1353" s="74"/>
      <c r="BC1353" s="170"/>
      <c r="BD1353" s="156"/>
      <c r="BE1353" s="156"/>
      <c r="BF1353" s="299"/>
      <c r="BG1353" s="74"/>
      <c r="BH1353" s="74"/>
      <c r="BI1353" s="74"/>
      <c r="BJ1353" s="74"/>
      <c r="BK1353" s="74"/>
      <c r="BL1353" s="74"/>
      <c r="BM1353" s="74"/>
      <c r="BN1353" s="74"/>
      <c r="BO1353" s="74"/>
      <c r="BP1353" s="74"/>
      <c r="BQ1353" s="74"/>
      <c r="BR1353" s="74"/>
      <c r="BS1353" s="74"/>
      <c r="BT1353" s="74"/>
      <c r="BU1353" s="74"/>
      <c r="BV1353" s="74"/>
      <c r="BW1353" s="74"/>
      <c r="BX1353" s="74"/>
      <c r="BY1353" s="63"/>
      <c r="BZ1353" s="63"/>
    </row>
    <row r="1354" ht="15.75" customHeight="1">
      <c r="A1354" s="201"/>
      <c r="B1354" s="74"/>
      <c r="C1354" s="74"/>
      <c r="D1354" s="74"/>
      <c r="E1354" s="156"/>
      <c r="F1354" s="78">
        <v>0.0</v>
      </c>
      <c r="G1354" s="44" t="str">
        <f t="shared" si="35"/>
        <v>$0 a $100'000.000</v>
      </c>
      <c r="H1354" s="44"/>
      <c r="I1354" s="44"/>
      <c r="J1354" s="74"/>
      <c r="K1354" s="359"/>
      <c r="L1354" s="74"/>
      <c r="M1354" s="74"/>
      <c r="N1354" s="74"/>
      <c r="O1354" s="74"/>
      <c r="P1354" s="74"/>
      <c r="Q1354" s="74"/>
      <c r="R1354" s="362"/>
      <c r="S1354" s="56" t="str">
        <f t="shared" si="36"/>
        <v> </v>
      </c>
      <c r="T1354" s="74"/>
      <c r="U1354" s="359"/>
      <c r="V1354" s="74"/>
      <c r="W1354" s="74"/>
      <c r="X1354" s="74"/>
      <c r="Y1354" s="74"/>
      <c r="Z1354" s="364"/>
      <c r="AA1354" s="59" t="str">
        <f>IF(Rentabilidad=0,"No aplica",TEXT(ROUND(Precio/Rentabilidad/12,0),0) &amp; " años")</f>
        <v>No aplica</v>
      </c>
      <c r="AB1354" s="360"/>
      <c r="AC1354" s="61"/>
      <c r="AD1354" s="62"/>
      <c r="AE1354" s="63"/>
      <c r="AF1354" s="156"/>
      <c r="AG1354" s="63"/>
      <c r="AH1354" s="63"/>
      <c r="AI1354" s="74"/>
      <c r="AJ1354" s="156"/>
      <c r="AK1354" s="74"/>
      <c r="AL1354" s="156"/>
      <c r="AM1354" s="74"/>
      <c r="AN1354" s="156"/>
      <c r="AO1354" s="74"/>
      <c r="AP1354" s="363"/>
      <c r="AQ1354" s="363"/>
      <c r="AR1354" s="363"/>
      <c r="AS1354" s="74"/>
      <c r="AT1354" s="74"/>
      <c r="AU1354" s="74"/>
      <c r="AV1354" s="74"/>
      <c r="AW1354" s="74"/>
      <c r="AX1354" s="74"/>
      <c r="AY1354" s="74"/>
      <c r="AZ1354" s="74"/>
      <c r="BA1354" s="74"/>
      <c r="BB1354" s="74"/>
      <c r="BC1354" s="170"/>
      <c r="BD1354" s="156"/>
      <c r="BE1354" s="156"/>
      <c r="BF1354" s="299"/>
      <c r="BG1354" s="74"/>
      <c r="BH1354" s="74"/>
      <c r="BI1354" s="74"/>
      <c r="BJ1354" s="74"/>
      <c r="BK1354" s="74"/>
      <c r="BL1354" s="74"/>
      <c r="BM1354" s="74"/>
      <c r="BN1354" s="74"/>
      <c r="BO1354" s="74"/>
      <c r="BP1354" s="74"/>
      <c r="BQ1354" s="74"/>
      <c r="BR1354" s="74"/>
      <c r="BS1354" s="74"/>
      <c r="BT1354" s="74"/>
      <c r="BU1354" s="74"/>
      <c r="BV1354" s="74"/>
      <c r="BW1354" s="74"/>
      <c r="BX1354" s="74"/>
      <c r="BY1354" s="63"/>
      <c r="BZ1354" s="63"/>
    </row>
    <row r="1355" ht="15.75" customHeight="1">
      <c r="A1355" s="201"/>
      <c r="B1355" s="74"/>
      <c r="C1355" s="74"/>
      <c r="D1355" s="74"/>
      <c r="E1355" s="156"/>
      <c r="F1355" s="78">
        <v>0.0</v>
      </c>
      <c r="G1355" s="44" t="str">
        <f t="shared" si="35"/>
        <v>$0 a $100'000.000</v>
      </c>
      <c r="H1355" s="44"/>
      <c r="I1355" s="44"/>
      <c r="J1355" s="74"/>
      <c r="K1355" s="359"/>
      <c r="L1355" s="74"/>
      <c r="M1355" s="74"/>
      <c r="N1355" s="74"/>
      <c r="O1355" s="74"/>
      <c r="P1355" s="74"/>
      <c r="Q1355" s="74"/>
      <c r="R1355" s="362"/>
      <c r="S1355" s="56" t="str">
        <f t="shared" si="36"/>
        <v> </v>
      </c>
      <c r="T1355" s="74"/>
      <c r="U1355" s="359"/>
      <c r="V1355" s="74"/>
      <c r="W1355" s="74"/>
      <c r="X1355" s="74"/>
      <c r="Y1355" s="74"/>
      <c r="Z1355" s="364"/>
      <c r="AA1355" s="59" t="str">
        <f>IF(Rentabilidad=0,"No aplica",TEXT(ROUND(Precio/Rentabilidad/12,0),0) &amp; " años")</f>
        <v>No aplica</v>
      </c>
      <c r="AB1355" s="360"/>
      <c r="AC1355" s="61"/>
      <c r="AD1355" s="62"/>
      <c r="AE1355" s="63"/>
      <c r="AF1355" s="156"/>
      <c r="AG1355" s="63"/>
      <c r="AH1355" s="63"/>
      <c r="AI1355" s="74"/>
      <c r="AJ1355" s="156"/>
      <c r="AK1355" s="74"/>
      <c r="AL1355" s="156"/>
      <c r="AM1355" s="74"/>
      <c r="AN1355" s="156"/>
      <c r="AO1355" s="74"/>
      <c r="AP1355" s="363"/>
      <c r="AQ1355" s="363"/>
      <c r="AR1355" s="363"/>
      <c r="AS1355" s="74"/>
      <c r="AT1355" s="74"/>
      <c r="AU1355" s="74"/>
      <c r="AV1355" s="74"/>
      <c r="AW1355" s="74"/>
      <c r="AX1355" s="74"/>
      <c r="AY1355" s="74"/>
      <c r="AZ1355" s="74"/>
      <c r="BA1355" s="74"/>
      <c r="BB1355" s="74"/>
      <c r="BC1355" s="170"/>
      <c r="BD1355" s="156"/>
      <c r="BE1355" s="156"/>
      <c r="BF1355" s="299"/>
      <c r="BG1355" s="74"/>
      <c r="BH1355" s="74"/>
      <c r="BI1355" s="74"/>
      <c r="BJ1355" s="74"/>
      <c r="BK1355" s="74"/>
      <c r="BL1355" s="74"/>
      <c r="BM1355" s="74"/>
      <c r="BN1355" s="74"/>
      <c r="BO1355" s="74"/>
      <c r="BP1355" s="74"/>
      <c r="BQ1355" s="74"/>
      <c r="BR1355" s="74"/>
      <c r="BS1355" s="74"/>
      <c r="BT1355" s="74"/>
      <c r="BU1355" s="74"/>
      <c r="BV1355" s="74"/>
      <c r="BW1355" s="74"/>
      <c r="BX1355" s="74"/>
      <c r="BY1355" s="63"/>
      <c r="BZ1355" s="63"/>
    </row>
    <row r="1356" ht="15.75" customHeight="1">
      <c r="A1356" s="201"/>
      <c r="B1356" s="74"/>
      <c r="C1356" s="74"/>
      <c r="D1356" s="74"/>
      <c r="E1356" s="156"/>
      <c r="F1356" s="78">
        <v>0.0</v>
      </c>
      <c r="G1356" s="44" t="str">
        <f t="shared" si="35"/>
        <v>$0 a $100'000.000</v>
      </c>
      <c r="H1356" s="44"/>
      <c r="I1356" s="44"/>
      <c r="J1356" s="74"/>
      <c r="K1356" s="359"/>
      <c r="L1356" s="74"/>
      <c r="M1356" s="74"/>
      <c r="N1356" s="74"/>
      <c r="O1356" s="74"/>
      <c r="P1356" s="74"/>
      <c r="Q1356" s="74"/>
      <c r="R1356" s="362"/>
      <c r="S1356" s="56" t="str">
        <f t="shared" si="36"/>
        <v> </v>
      </c>
      <c r="T1356" s="74"/>
      <c r="U1356" s="359"/>
      <c r="V1356" s="74"/>
      <c r="W1356" s="74"/>
      <c r="X1356" s="74"/>
      <c r="Y1356" s="74"/>
      <c r="Z1356" s="364"/>
      <c r="AA1356" s="59" t="str">
        <f>IF(Rentabilidad=0,"No aplica",TEXT(ROUND(Precio/Rentabilidad/12,0),0) &amp; " años")</f>
        <v>No aplica</v>
      </c>
      <c r="AB1356" s="360"/>
      <c r="AC1356" s="61"/>
      <c r="AD1356" s="62"/>
      <c r="AE1356" s="63"/>
      <c r="AF1356" s="156"/>
      <c r="AG1356" s="63"/>
      <c r="AH1356" s="63"/>
      <c r="AI1356" s="74"/>
      <c r="AJ1356" s="156"/>
      <c r="AK1356" s="74"/>
      <c r="AL1356" s="156"/>
      <c r="AM1356" s="74"/>
      <c r="AN1356" s="156"/>
      <c r="AO1356" s="74"/>
      <c r="AP1356" s="363"/>
      <c r="AQ1356" s="363"/>
      <c r="AR1356" s="363"/>
      <c r="AS1356" s="74"/>
      <c r="AT1356" s="74"/>
      <c r="AU1356" s="74"/>
      <c r="AV1356" s="74"/>
      <c r="AW1356" s="74"/>
      <c r="AX1356" s="74"/>
      <c r="AY1356" s="74"/>
      <c r="AZ1356" s="74"/>
      <c r="BA1356" s="74"/>
      <c r="BB1356" s="74"/>
      <c r="BC1356" s="170"/>
      <c r="BD1356" s="156"/>
      <c r="BE1356" s="156"/>
      <c r="BF1356" s="299"/>
      <c r="BG1356" s="74"/>
      <c r="BH1356" s="74"/>
      <c r="BI1356" s="74"/>
      <c r="BJ1356" s="74"/>
      <c r="BK1356" s="74"/>
      <c r="BL1356" s="74"/>
      <c r="BM1356" s="74"/>
      <c r="BN1356" s="74"/>
      <c r="BO1356" s="74"/>
      <c r="BP1356" s="74"/>
      <c r="BQ1356" s="74"/>
      <c r="BR1356" s="74"/>
      <c r="BS1356" s="74"/>
      <c r="BT1356" s="74"/>
      <c r="BU1356" s="74"/>
      <c r="BV1356" s="74"/>
      <c r="BW1356" s="74"/>
      <c r="BX1356" s="74"/>
      <c r="BY1356" s="63"/>
      <c r="BZ1356" s="63"/>
    </row>
    <row r="1357" ht="15.75" customHeight="1">
      <c r="A1357" s="201"/>
      <c r="B1357" s="74"/>
      <c r="C1357" s="74"/>
      <c r="D1357" s="74"/>
      <c r="E1357" s="156"/>
      <c r="F1357" s="78">
        <v>0.0</v>
      </c>
      <c r="G1357" s="44" t="str">
        <f t="shared" si="35"/>
        <v>$0 a $100'000.000</v>
      </c>
      <c r="H1357" s="44"/>
      <c r="I1357" s="44"/>
      <c r="J1357" s="74"/>
      <c r="K1357" s="359"/>
      <c r="L1357" s="74"/>
      <c r="M1357" s="74"/>
      <c r="N1357" s="74"/>
      <c r="O1357" s="74"/>
      <c r="P1357" s="74"/>
      <c r="Q1357" s="74"/>
      <c r="R1357" s="362"/>
      <c r="S1357" s="56" t="str">
        <f t="shared" si="36"/>
        <v> </v>
      </c>
      <c r="T1357" s="74"/>
      <c r="U1357" s="359"/>
      <c r="V1357" s="74"/>
      <c r="W1357" s="74"/>
      <c r="X1357" s="74"/>
      <c r="Y1357" s="74"/>
      <c r="Z1357" s="364"/>
      <c r="AA1357" s="59" t="str">
        <f>IF(Rentabilidad=0,"No aplica",TEXT(ROUND(Precio/Rentabilidad/12,0),0) &amp; " años")</f>
        <v>No aplica</v>
      </c>
      <c r="AB1357" s="360"/>
      <c r="AC1357" s="61"/>
      <c r="AD1357" s="62"/>
      <c r="AE1357" s="63"/>
      <c r="AF1357" s="156"/>
      <c r="AG1357" s="63"/>
      <c r="AH1357" s="63"/>
      <c r="AI1357" s="74"/>
      <c r="AJ1357" s="156"/>
      <c r="AK1357" s="74"/>
      <c r="AL1357" s="156"/>
      <c r="AM1357" s="74"/>
      <c r="AN1357" s="156"/>
      <c r="AO1357" s="74"/>
      <c r="AP1357" s="363"/>
      <c r="AQ1357" s="363"/>
      <c r="AR1357" s="363"/>
      <c r="AS1357" s="74"/>
      <c r="AT1357" s="74"/>
      <c r="AU1357" s="74"/>
      <c r="AV1357" s="74"/>
      <c r="AW1357" s="74"/>
      <c r="AX1357" s="74"/>
      <c r="AY1357" s="74"/>
      <c r="AZ1357" s="74"/>
      <c r="BA1357" s="74"/>
      <c r="BB1357" s="74"/>
      <c r="BC1357" s="170"/>
      <c r="BD1357" s="156"/>
      <c r="BE1357" s="156"/>
      <c r="BF1357" s="299"/>
      <c r="BG1357" s="74"/>
      <c r="BH1357" s="74"/>
      <c r="BI1357" s="74"/>
      <c r="BJ1357" s="74"/>
      <c r="BK1357" s="74"/>
      <c r="BL1357" s="74"/>
      <c r="BM1357" s="74"/>
      <c r="BN1357" s="74"/>
      <c r="BO1357" s="74"/>
      <c r="BP1357" s="74"/>
      <c r="BQ1357" s="74"/>
      <c r="BR1357" s="74"/>
      <c r="BS1357" s="74"/>
      <c r="BT1357" s="74"/>
      <c r="BU1357" s="74"/>
      <c r="BV1357" s="74"/>
      <c r="BW1357" s="74"/>
      <c r="BX1357" s="74"/>
      <c r="BY1357" s="63"/>
      <c r="BZ1357" s="63"/>
    </row>
    <row r="1358" ht="15.75" customHeight="1">
      <c r="A1358" s="201"/>
      <c r="B1358" s="74"/>
      <c r="C1358" s="74"/>
      <c r="D1358" s="74"/>
      <c r="E1358" s="156"/>
      <c r="F1358" s="78">
        <v>0.0</v>
      </c>
      <c r="G1358" s="44" t="str">
        <f t="shared" si="35"/>
        <v>$0 a $100'000.000</v>
      </c>
      <c r="H1358" s="44"/>
      <c r="I1358" s="44"/>
      <c r="J1358" s="74"/>
      <c r="K1358" s="359"/>
      <c r="L1358" s="74"/>
      <c r="M1358" s="74"/>
      <c r="N1358" s="74"/>
      <c r="O1358" s="74"/>
      <c r="P1358" s="74"/>
      <c r="Q1358" s="74"/>
      <c r="R1358" s="362"/>
      <c r="S1358" s="56" t="str">
        <f t="shared" si="36"/>
        <v> </v>
      </c>
      <c r="T1358" s="74"/>
      <c r="U1358" s="359"/>
      <c r="V1358" s="74"/>
      <c r="W1358" s="74"/>
      <c r="X1358" s="74"/>
      <c r="Y1358" s="74"/>
      <c r="Z1358" s="364"/>
      <c r="AA1358" s="59" t="str">
        <f>IF(Rentabilidad=0,"No aplica",TEXT(ROUND(Precio/Rentabilidad/12,0),0) &amp; " años")</f>
        <v>No aplica</v>
      </c>
      <c r="AB1358" s="360"/>
      <c r="AC1358" s="61"/>
      <c r="AD1358" s="62"/>
      <c r="AE1358" s="63"/>
      <c r="AF1358" s="156"/>
      <c r="AG1358" s="63"/>
      <c r="AH1358" s="63"/>
      <c r="AI1358" s="74"/>
      <c r="AJ1358" s="156"/>
      <c r="AK1358" s="74"/>
      <c r="AL1358" s="156"/>
      <c r="AM1358" s="74"/>
      <c r="AN1358" s="156"/>
      <c r="AO1358" s="74"/>
      <c r="AP1358" s="363"/>
      <c r="AQ1358" s="363"/>
      <c r="AR1358" s="363"/>
      <c r="AS1358" s="74"/>
      <c r="AT1358" s="74"/>
      <c r="AU1358" s="74"/>
      <c r="AV1358" s="74"/>
      <c r="AW1358" s="74"/>
      <c r="AX1358" s="74"/>
      <c r="AY1358" s="74"/>
      <c r="AZ1358" s="74"/>
      <c r="BA1358" s="74"/>
      <c r="BB1358" s="74"/>
      <c r="BC1358" s="170"/>
      <c r="BD1358" s="156"/>
      <c r="BE1358" s="156"/>
      <c r="BF1358" s="299"/>
      <c r="BG1358" s="74"/>
      <c r="BH1358" s="74"/>
      <c r="BI1358" s="74"/>
      <c r="BJ1358" s="74"/>
      <c r="BK1358" s="74"/>
      <c r="BL1358" s="74"/>
      <c r="BM1358" s="74"/>
      <c r="BN1358" s="74"/>
      <c r="BO1358" s="74"/>
      <c r="BP1358" s="74"/>
      <c r="BQ1358" s="74"/>
      <c r="BR1358" s="74"/>
      <c r="BS1358" s="74"/>
      <c r="BT1358" s="74"/>
      <c r="BU1358" s="74"/>
      <c r="BV1358" s="74"/>
      <c r="BW1358" s="74"/>
      <c r="BX1358" s="74"/>
      <c r="BY1358" s="63"/>
      <c r="BZ1358" s="63"/>
    </row>
    <row r="1359" ht="15.75" customHeight="1">
      <c r="A1359" s="201"/>
      <c r="B1359" s="74"/>
      <c r="C1359" s="74"/>
      <c r="D1359" s="74"/>
      <c r="E1359" s="156"/>
      <c r="F1359" s="78">
        <v>0.0</v>
      </c>
      <c r="G1359" s="44" t="str">
        <f t="shared" si="35"/>
        <v>$0 a $100'000.000</v>
      </c>
      <c r="H1359" s="44"/>
      <c r="I1359" s="44"/>
      <c r="J1359" s="74"/>
      <c r="K1359" s="359"/>
      <c r="L1359" s="74"/>
      <c r="M1359" s="74"/>
      <c r="N1359" s="74"/>
      <c r="O1359" s="74"/>
      <c r="P1359" s="74"/>
      <c r="Q1359" s="74"/>
      <c r="R1359" s="362"/>
      <c r="S1359" s="56" t="str">
        <f t="shared" si="36"/>
        <v> </v>
      </c>
      <c r="T1359" s="74"/>
      <c r="U1359" s="359"/>
      <c r="V1359" s="74"/>
      <c r="W1359" s="74"/>
      <c r="X1359" s="74"/>
      <c r="Y1359" s="74"/>
      <c r="Z1359" s="364"/>
      <c r="AA1359" s="59" t="str">
        <f>IF(Rentabilidad=0,"No aplica",TEXT(ROUND(Precio/Rentabilidad/12,0),0) &amp; " años")</f>
        <v>No aplica</v>
      </c>
      <c r="AB1359" s="360"/>
      <c r="AC1359" s="61"/>
      <c r="AD1359" s="62"/>
      <c r="AE1359" s="63"/>
      <c r="AF1359" s="156"/>
      <c r="AG1359" s="63"/>
      <c r="AH1359" s="63"/>
      <c r="AI1359" s="74"/>
      <c r="AJ1359" s="156"/>
      <c r="AK1359" s="74"/>
      <c r="AL1359" s="156"/>
      <c r="AM1359" s="74"/>
      <c r="AN1359" s="156"/>
      <c r="AO1359" s="74"/>
      <c r="AP1359" s="363"/>
      <c r="AQ1359" s="363"/>
      <c r="AR1359" s="363"/>
      <c r="AS1359" s="74"/>
      <c r="AT1359" s="74"/>
      <c r="AU1359" s="74"/>
      <c r="AV1359" s="74"/>
      <c r="AW1359" s="74"/>
      <c r="AX1359" s="74"/>
      <c r="AY1359" s="74"/>
      <c r="AZ1359" s="74"/>
      <c r="BA1359" s="74"/>
      <c r="BB1359" s="74"/>
      <c r="BC1359" s="170"/>
      <c r="BD1359" s="156"/>
      <c r="BE1359" s="156"/>
      <c r="BF1359" s="299"/>
      <c r="BG1359" s="74"/>
      <c r="BH1359" s="74"/>
      <c r="BI1359" s="74"/>
      <c r="BJ1359" s="74"/>
      <c r="BK1359" s="74"/>
      <c r="BL1359" s="74"/>
      <c r="BM1359" s="74"/>
      <c r="BN1359" s="74"/>
      <c r="BO1359" s="74"/>
      <c r="BP1359" s="74"/>
      <c r="BQ1359" s="74"/>
      <c r="BR1359" s="74"/>
      <c r="BS1359" s="74"/>
      <c r="BT1359" s="74"/>
      <c r="BU1359" s="74"/>
      <c r="BV1359" s="74"/>
      <c r="BW1359" s="74"/>
      <c r="BX1359" s="74"/>
      <c r="BY1359" s="63"/>
      <c r="BZ1359" s="63"/>
    </row>
    <row r="1360" ht="15.75" customHeight="1">
      <c r="A1360" s="201"/>
      <c r="B1360" s="74"/>
      <c r="C1360" s="74"/>
      <c r="D1360" s="74"/>
      <c r="E1360" s="156"/>
      <c r="F1360" s="78">
        <v>0.0</v>
      </c>
      <c r="G1360" s="44" t="str">
        <f t="shared" si="35"/>
        <v>$0 a $100'000.000</v>
      </c>
      <c r="H1360" s="44"/>
      <c r="I1360" s="44"/>
      <c r="J1360" s="74"/>
      <c r="K1360" s="359"/>
      <c r="L1360" s="74"/>
      <c r="M1360" s="74"/>
      <c r="N1360" s="74"/>
      <c r="O1360" s="74"/>
      <c r="P1360" s="74"/>
      <c r="Q1360" s="74"/>
      <c r="R1360" s="362"/>
      <c r="S1360" s="56" t="str">
        <f t="shared" si="36"/>
        <v> </v>
      </c>
      <c r="T1360" s="74"/>
      <c r="U1360" s="359"/>
      <c r="V1360" s="74"/>
      <c r="W1360" s="74"/>
      <c r="X1360" s="74"/>
      <c r="Y1360" s="74"/>
      <c r="Z1360" s="364"/>
      <c r="AA1360" s="59" t="str">
        <f>IF(Rentabilidad=0,"No aplica",TEXT(ROUND(Precio/Rentabilidad/12,0),0) &amp; " años")</f>
        <v>No aplica</v>
      </c>
      <c r="AB1360" s="360"/>
      <c r="AC1360" s="61"/>
      <c r="AD1360" s="62"/>
      <c r="AE1360" s="63"/>
      <c r="AF1360" s="156"/>
      <c r="AG1360" s="63"/>
      <c r="AH1360" s="63"/>
      <c r="AI1360" s="74"/>
      <c r="AJ1360" s="156"/>
      <c r="AK1360" s="74"/>
      <c r="AL1360" s="156"/>
      <c r="AM1360" s="74"/>
      <c r="AN1360" s="156"/>
      <c r="AO1360" s="74"/>
      <c r="AP1360" s="363"/>
      <c r="AQ1360" s="363"/>
      <c r="AR1360" s="363"/>
      <c r="AS1360" s="74"/>
      <c r="AT1360" s="74"/>
      <c r="AU1360" s="74"/>
      <c r="AV1360" s="74"/>
      <c r="AW1360" s="74"/>
      <c r="AX1360" s="74"/>
      <c r="AY1360" s="74"/>
      <c r="AZ1360" s="74"/>
      <c r="BA1360" s="74"/>
      <c r="BB1360" s="74"/>
      <c r="BC1360" s="170"/>
      <c r="BD1360" s="156"/>
      <c r="BE1360" s="156"/>
      <c r="BF1360" s="299"/>
      <c r="BG1360" s="74"/>
      <c r="BH1360" s="74"/>
      <c r="BI1360" s="74"/>
      <c r="BJ1360" s="74"/>
      <c r="BK1360" s="74"/>
      <c r="BL1360" s="74"/>
      <c r="BM1360" s="74"/>
      <c r="BN1360" s="74"/>
      <c r="BO1360" s="74"/>
      <c r="BP1360" s="74"/>
      <c r="BQ1360" s="74"/>
      <c r="BR1360" s="74"/>
      <c r="BS1360" s="74"/>
      <c r="BT1360" s="74"/>
      <c r="BU1360" s="74"/>
      <c r="BV1360" s="74"/>
      <c r="BW1360" s="74"/>
      <c r="BX1360" s="74"/>
      <c r="BY1360" s="63"/>
      <c r="BZ1360" s="63"/>
    </row>
    <row r="1361" ht="15.75" customHeight="1">
      <c r="A1361" s="201"/>
      <c r="B1361" s="74"/>
      <c r="C1361" s="74"/>
      <c r="D1361" s="74"/>
      <c r="E1361" s="156"/>
      <c r="F1361" s="78">
        <v>0.0</v>
      </c>
      <c r="G1361" s="44" t="str">
        <f t="shared" si="35"/>
        <v>$0 a $100'000.000</v>
      </c>
      <c r="H1361" s="44"/>
      <c r="I1361" s="44"/>
      <c r="J1361" s="74"/>
      <c r="K1361" s="359"/>
      <c r="L1361" s="74"/>
      <c r="M1361" s="74"/>
      <c r="N1361" s="74"/>
      <c r="O1361" s="74"/>
      <c r="P1361" s="74"/>
      <c r="Q1361" s="74"/>
      <c r="R1361" s="362"/>
      <c r="S1361" s="56" t="str">
        <f t="shared" si="36"/>
        <v> </v>
      </c>
      <c r="T1361" s="74"/>
      <c r="U1361" s="359"/>
      <c r="V1361" s="74"/>
      <c r="W1361" s="74"/>
      <c r="X1361" s="74"/>
      <c r="Y1361" s="74"/>
      <c r="Z1361" s="364"/>
      <c r="AA1361" s="59" t="str">
        <f>IF(Rentabilidad=0,"No aplica",TEXT(ROUND(Precio/Rentabilidad/12,0),0) &amp; " años")</f>
        <v>No aplica</v>
      </c>
      <c r="AB1361" s="360"/>
      <c r="AC1361" s="61"/>
      <c r="AD1361" s="62"/>
      <c r="AE1361" s="63"/>
      <c r="AF1361" s="156"/>
      <c r="AG1361" s="63"/>
      <c r="AH1361" s="63"/>
      <c r="AI1361" s="74"/>
      <c r="AJ1361" s="156"/>
      <c r="AK1361" s="74"/>
      <c r="AL1361" s="156"/>
      <c r="AM1361" s="74"/>
      <c r="AN1361" s="156"/>
      <c r="AO1361" s="74"/>
      <c r="AP1361" s="363"/>
      <c r="AQ1361" s="363"/>
      <c r="AR1361" s="363"/>
      <c r="AS1361" s="74"/>
      <c r="AT1361" s="74"/>
      <c r="AU1361" s="74"/>
      <c r="AV1361" s="74"/>
      <c r="AW1361" s="74"/>
      <c r="AX1361" s="74"/>
      <c r="AY1361" s="74"/>
      <c r="AZ1361" s="74"/>
      <c r="BA1361" s="74"/>
      <c r="BB1361" s="74"/>
      <c r="BC1361" s="170"/>
      <c r="BD1361" s="156"/>
      <c r="BE1361" s="156"/>
      <c r="BF1361" s="299"/>
      <c r="BG1361" s="74"/>
      <c r="BH1361" s="74"/>
      <c r="BI1361" s="74"/>
      <c r="BJ1361" s="74"/>
      <c r="BK1361" s="74"/>
      <c r="BL1361" s="74"/>
      <c r="BM1361" s="74"/>
      <c r="BN1361" s="74"/>
      <c r="BO1361" s="74"/>
      <c r="BP1361" s="74"/>
      <c r="BQ1361" s="74"/>
      <c r="BR1361" s="74"/>
      <c r="BS1361" s="74"/>
      <c r="BT1361" s="74"/>
      <c r="BU1361" s="74"/>
      <c r="BV1361" s="74"/>
      <c r="BW1361" s="74"/>
      <c r="BX1361" s="74"/>
      <c r="BY1361" s="63"/>
      <c r="BZ1361" s="63"/>
    </row>
    <row r="1362" ht="15.75" customHeight="1">
      <c r="A1362" s="201"/>
      <c r="B1362" s="74"/>
      <c r="C1362" s="74"/>
      <c r="D1362" s="74"/>
      <c r="E1362" s="156"/>
      <c r="F1362" s="78">
        <v>0.0</v>
      </c>
      <c r="G1362" s="44" t="str">
        <f t="shared" si="35"/>
        <v>$0 a $100'000.000</v>
      </c>
      <c r="H1362" s="44"/>
      <c r="I1362" s="44"/>
      <c r="J1362" s="74"/>
      <c r="K1362" s="359"/>
      <c r="L1362" s="74"/>
      <c r="M1362" s="74"/>
      <c r="N1362" s="74"/>
      <c r="O1362" s="74"/>
      <c r="P1362" s="74"/>
      <c r="Q1362" s="74"/>
      <c r="R1362" s="362"/>
      <c r="S1362" s="56" t="str">
        <f t="shared" si="36"/>
        <v> </v>
      </c>
      <c r="T1362" s="74"/>
      <c r="U1362" s="359"/>
      <c r="V1362" s="74"/>
      <c r="W1362" s="74"/>
      <c r="X1362" s="74"/>
      <c r="Y1362" s="74"/>
      <c r="Z1362" s="364"/>
      <c r="AA1362" s="59" t="str">
        <f>IF(Rentabilidad=0,"No aplica",TEXT(ROUND(Precio/Rentabilidad/12,0),0) &amp; " años")</f>
        <v>No aplica</v>
      </c>
      <c r="AB1362" s="360"/>
      <c r="AC1362" s="61"/>
      <c r="AD1362" s="62"/>
      <c r="AE1362" s="63"/>
      <c r="AF1362" s="156"/>
      <c r="AG1362" s="63"/>
      <c r="AH1362" s="63"/>
      <c r="AI1362" s="74"/>
      <c r="AJ1362" s="156"/>
      <c r="AK1362" s="74"/>
      <c r="AL1362" s="156"/>
      <c r="AM1362" s="74"/>
      <c r="AN1362" s="156"/>
      <c r="AO1362" s="74"/>
      <c r="AP1362" s="363"/>
      <c r="AQ1362" s="363"/>
      <c r="AR1362" s="363"/>
      <c r="AS1362" s="74"/>
      <c r="AT1362" s="74"/>
      <c r="AU1362" s="74"/>
      <c r="AV1362" s="74"/>
      <c r="AW1362" s="74"/>
      <c r="AX1362" s="74"/>
      <c r="AY1362" s="74"/>
      <c r="AZ1362" s="74"/>
      <c r="BA1362" s="74"/>
      <c r="BB1362" s="74"/>
      <c r="BC1362" s="170"/>
      <c r="BD1362" s="156"/>
      <c r="BE1362" s="156"/>
      <c r="BF1362" s="299"/>
      <c r="BG1362" s="74"/>
      <c r="BH1362" s="74"/>
      <c r="BI1362" s="74"/>
      <c r="BJ1362" s="74"/>
      <c r="BK1362" s="74"/>
      <c r="BL1362" s="74"/>
      <c r="BM1362" s="74"/>
      <c r="BN1362" s="74"/>
      <c r="BO1362" s="74"/>
      <c r="BP1362" s="74"/>
      <c r="BQ1362" s="74"/>
      <c r="BR1362" s="74"/>
      <c r="BS1362" s="74"/>
      <c r="BT1362" s="74"/>
      <c r="BU1362" s="74"/>
      <c r="BV1362" s="74"/>
      <c r="BW1362" s="74"/>
      <c r="BX1362" s="74"/>
      <c r="BY1362" s="63"/>
      <c r="BZ1362" s="63"/>
    </row>
    <row r="1363" ht="15.75" customHeight="1">
      <c r="A1363" s="201"/>
      <c r="B1363" s="74"/>
      <c r="C1363" s="74"/>
      <c r="D1363" s="74"/>
      <c r="E1363" s="156"/>
      <c r="F1363" s="78">
        <v>0.0</v>
      </c>
      <c r="G1363" s="44" t="str">
        <f t="shared" si="35"/>
        <v>$0 a $100'000.000</v>
      </c>
      <c r="H1363" s="44"/>
      <c r="I1363" s="44"/>
      <c r="J1363" s="74"/>
      <c r="K1363" s="359"/>
      <c r="L1363" s="74"/>
      <c r="M1363" s="74"/>
      <c r="N1363" s="74"/>
      <c r="O1363" s="74"/>
      <c r="P1363" s="74"/>
      <c r="Q1363" s="74"/>
      <c r="R1363" s="362"/>
      <c r="S1363" s="56" t="str">
        <f t="shared" si="36"/>
        <v> </v>
      </c>
      <c r="T1363" s="74"/>
      <c r="U1363" s="359"/>
      <c r="V1363" s="74"/>
      <c r="W1363" s="74"/>
      <c r="X1363" s="74"/>
      <c r="Y1363" s="74"/>
      <c r="Z1363" s="364"/>
      <c r="AA1363" s="59" t="str">
        <f>IF(Rentabilidad=0,"No aplica",TEXT(ROUND(Precio/Rentabilidad/12,0),0) &amp; " años")</f>
        <v>No aplica</v>
      </c>
      <c r="AB1363" s="360"/>
      <c r="AC1363" s="61"/>
      <c r="AD1363" s="62"/>
      <c r="AE1363" s="63"/>
      <c r="AF1363" s="156"/>
      <c r="AG1363" s="63"/>
      <c r="AH1363" s="63"/>
      <c r="AI1363" s="74"/>
      <c r="AJ1363" s="156"/>
      <c r="AK1363" s="74"/>
      <c r="AL1363" s="156"/>
      <c r="AM1363" s="74"/>
      <c r="AN1363" s="156"/>
      <c r="AO1363" s="74"/>
      <c r="AP1363" s="363"/>
      <c r="AQ1363" s="363"/>
      <c r="AR1363" s="363"/>
      <c r="AS1363" s="74"/>
      <c r="AT1363" s="74"/>
      <c r="AU1363" s="74"/>
      <c r="AV1363" s="74"/>
      <c r="AW1363" s="74"/>
      <c r="AX1363" s="74"/>
      <c r="AY1363" s="74"/>
      <c r="AZ1363" s="74"/>
      <c r="BA1363" s="74"/>
      <c r="BB1363" s="74"/>
      <c r="BC1363" s="170"/>
      <c r="BD1363" s="156"/>
      <c r="BE1363" s="156"/>
      <c r="BF1363" s="299"/>
      <c r="BG1363" s="74"/>
      <c r="BH1363" s="74"/>
      <c r="BI1363" s="74"/>
      <c r="BJ1363" s="74"/>
      <c r="BK1363" s="74"/>
      <c r="BL1363" s="74"/>
      <c r="BM1363" s="74"/>
      <c r="BN1363" s="74"/>
      <c r="BO1363" s="74"/>
      <c r="BP1363" s="74"/>
      <c r="BQ1363" s="74"/>
      <c r="BR1363" s="74"/>
      <c r="BS1363" s="74"/>
      <c r="BT1363" s="74"/>
      <c r="BU1363" s="74"/>
      <c r="BV1363" s="74"/>
      <c r="BW1363" s="74"/>
      <c r="BX1363" s="74"/>
      <c r="BY1363" s="63"/>
      <c r="BZ1363" s="63"/>
    </row>
    <row r="1364" ht="15.75" customHeight="1">
      <c r="A1364" s="201"/>
      <c r="B1364" s="74"/>
      <c r="C1364" s="74"/>
      <c r="D1364" s="74"/>
      <c r="E1364" s="156"/>
      <c r="F1364" s="78">
        <v>0.0</v>
      </c>
      <c r="G1364" s="44" t="str">
        <f t="shared" si="35"/>
        <v>$0 a $100'000.000</v>
      </c>
      <c r="H1364" s="44"/>
      <c r="I1364" s="44"/>
      <c r="J1364" s="74"/>
      <c r="K1364" s="359"/>
      <c r="L1364" s="74"/>
      <c r="M1364" s="74"/>
      <c r="N1364" s="74"/>
      <c r="O1364" s="74"/>
      <c r="P1364" s="74"/>
      <c r="Q1364" s="74"/>
      <c r="R1364" s="362"/>
      <c r="S1364" s="56" t="str">
        <f t="shared" si="36"/>
        <v> </v>
      </c>
      <c r="T1364" s="74"/>
      <c r="U1364" s="359"/>
      <c r="V1364" s="74"/>
      <c r="W1364" s="74"/>
      <c r="X1364" s="74"/>
      <c r="Y1364" s="74"/>
      <c r="Z1364" s="364"/>
      <c r="AA1364" s="59" t="str">
        <f>IF(Rentabilidad=0,"No aplica",TEXT(ROUND(Precio/Rentabilidad/12,0),0) &amp; " años")</f>
        <v>No aplica</v>
      </c>
      <c r="AB1364" s="360"/>
      <c r="AC1364" s="61"/>
      <c r="AD1364" s="62"/>
      <c r="AE1364" s="63"/>
      <c r="AF1364" s="156"/>
      <c r="AG1364" s="63"/>
      <c r="AH1364" s="63"/>
      <c r="AI1364" s="74"/>
      <c r="AJ1364" s="156"/>
      <c r="AK1364" s="74"/>
      <c r="AL1364" s="156"/>
      <c r="AM1364" s="74"/>
      <c r="AN1364" s="156"/>
      <c r="AO1364" s="74"/>
      <c r="AP1364" s="363"/>
      <c r="AQ1364" s="363"/>
      <c r="AR1364" s="363"/>
      <c r="AS1364" s="74"/>
      <c r="AT1364" s="74"/>
      <c r="AU1364" s="74"/>
      <c r="AV1364" s="74"/>
      <c r="AW1364" s="74"/>
      <c r="AX1364" s="74"/>
      <c r="AY1364" s="74"/>
      <c r="AZ1364" s="74"/>
      <c r="BA1364" s="74"/>
      <c r="BB1364" s="74"/>
      <c r="BC1364" s="170"/>
      <c r="BD1364" s="156"/>
      <c r="BE1364" s="156"/>
      <c r="BF1364" s="299"/>
      <c r="BG1364" s="74"/>
      <c r="BH1364" s="74"/>
      <c r="BI1364" s="74"/>
      <c r="BJ1364" s="74"/>
      <c r="BK1364" s="74"/>
      <c r="BL1364" s="74"/>
      <c r="BM1364" s="74"/>
      <c r="BN1364" s="74"/>
      <c r="BO1364" s="74"/>
      <c r="BP1364" s="74"/>
      <c r="BQ1364" s="74"/>
      <c r="BR1364" s="74"/>
      <c r="BS1364" s="74"/>
      <c r="BT1364" s="74"/>
      <c r="BU1364" s="74"/>
      <c r="BV1364" s="74"/>
      <c r="BW1364" s="74"/>
      <c r="BX1364" s="74"/>
      <c r="BY1364" s="63"/>
      <c r="BZ1364" s="63"/>
    </row>
    <row r="1365" ht="15.75" customHeight="1">
      <c r="A1365" s="201"/>
      <c r="B1365" s="74"/>
      <c r="C1365" s="74"/>
      <c r="D1365" s="74"/>
      <c r="E1365" s="156"/>
      <c r="F1365" s="78">
        <v>0.0</v>
      </c>
      <c r="G1365" s="44" t="str">
        <f t="shared" si="35"/>
        <v>$0 a $100'000.000</v>
      </c>
      <c r="H1365" s="44"/>
      <c r="I1365" s="44"/>
      <c r="J1365" s="74"/>
      <c r="K1365" s="359"/>
      <c r="L1365" s="74"/>
      <c r="M1365" s="74"/>
      <c r="N1365" s="74"/>
      <c r="O1365" s="74"/>
      <c r="P1365" s="74"/>
      <c r="Q1365" s="74"/>
      <c r="R1365" s="362"/>
      <c r="S1365" s="56" t="str">
        <f t="shared" si="36"/>
        <v> </v>
      </c>
      <c r="T1365" s="74"/>
      <c r="U1365" s="359"/>
      <c r="V1365" s="74"/>
      <c r="W1365" s="74"/>
      <c r="X1365" s="74"/>
      <c r="Y1365" s="74"/>
      <c r="Z1365" s="364"/>
      <c r="AA1365" s="59" t="str">
        <f>IF(Rentabilidad=0,"No aplica",TEXT(ROUND(Precio/Rentabilidad/12,0),0) &amp; " años")</f>
        <v>No aplica</v>
      </c>
      <c r="AB1365" s="360"/>
      <c r="AC1365" s="61"/>
      <c r="AD1365" s="62"/>
      <c r="AE1365" s="63"/>
      <c r="AF1365" s="156"/>
      <c r="AG1365" s="63"/>
      <c r="AH1365" s="63"/>
      <c r="AI1365" s="74"/>
      <c r="AJ1365" s="156"/>
      <c r="AK1365" s="74"/>
      <c r="AL1365" s="156"/>
      <c r="AM1365" s="74"/>
      <c r="AN1365" s="156"/>
      <c r="AO1365" s="74"/>
      <c r="AP1365" s="363"/>
      <c r="AQ1365" s="363"/>
      <c r="AR1365" s="363"/>
      <c r="AS1365" s="74"/>
      <c r="AT1365" s="74"/>
      <c r="AU1365" s="74"/>
      <c r="AV1365" s="74"/>
      <c r="AW1365" s="74"/>
      <c r="AX1365" s="74"/>
      <c r="AY1365" s="74"/>
      <c r="AZ1365" s="74"/>
      <c r="BA1365" s="74"/>
      <c r="BB1365" s="74"/>
      <c r="BC1365" s="170"/>
      <c r="BD1365" s="156"/>
      <c r="BE1365" s="156"/>
      <c r="BF1365" s="299"/>
      <c r="BG1365" s="74"/>
      <c r="BH1365" s="74"/>
      <c r="BI1365" s="74"/>
      <c r="BJ1365" s="74"/>
      <c r="BK1365" s="74"/>
      <c r="BL1365" s="74"/>
      <c r="BM1365" s="74"/>
      <c r="BN1365" s="74"/>
      <c r="BO1365" s="74"/>
      <c r="BP1365" s="74"/>
      <c r="BQ1365" s="74"/>
      <c r="BR1365" s="74"/>
      <c r="BS1365" s="74"/>
      <c r="BT1365" s="74"/>
      <c r="BU1365" s="74"/>
      <c r="BV1365" s="74"/>
      <c r="BW1365" s="74"/>
      <c r="BX1365" s="74"/>
      <c r="BY1365" s="63"/>
      <c r="BZ1365" s="63"/>
    </row>
    <row r="1366" ht="15.75" customHeight="1">
      <c r="A1366" s="201"/>
      <c r="B1366" s="74"/>
      <c r="C1366" s="74"/>
      <c r="D1366" s="74"/>
      <c r="E1366" s="156"/>
      <c r="F1366" s="78">
        <v>0.0</v>
      </c>
      <c r="G1366" s="44" t="str">
        <f t="shared" si="35"/>
        <v>$0 a $100'000.000</v>
      </c>
      <c r="H1366" s="44"/>
      <c r="I1366" s="44"/>
      <c r="J1366" s="74"/>
      <c r="K1366" s="359"/>
      <c r="L1366" s="74"/>
      <c r="M1366" s="74"/>
      <c r="N1366" s="74"/>
      <c r="O1366" s="74"/>
      <c r="P1366" s="74"/>
      <c r="Q1366" s="74"/>
      <c r="R1366" s="362"/>
      <c r="S1366" s="56" t="str">
        <f t="shared" si="36"/>
        <v> </v>
      </c>
      <c r="T1366" s="74"/>
      <c r="U1366" s="359"/>
      <c r="V1366" s="74"/>
      <c r="W1366" s="74"/>
      <c r="X1366" s="74"/>
      <c r="Y1366" s="74"/>
      <c r="Z1366" s="364"/>
      <c r="AA1366" s="59" t="str">
        <f>IF(Rentabilidad=0,"No aplica",TEXT(ROUND(Precio/Rentabilidad/12,0),0) &amp; " años")</f>
        <v>No aplica</v>
      </c>
      <c r="AB1366" s="360"/>
      <c r="AC1366" s="61"/>
      <c r="AD1366" s="62"/>
      <c r="AE1366" s="63"/>
      <c r="AF1366" s="156"/>
      <c r="AG1366" s="63"/>
      <c r="AH1366" s="63"/>
      <c r="AI1366" s="74"/>
      <c r="AJ1366" s="156"/>
      <c r="AK1366" s="74"/>
      <c r="AL1366" s="156"/>
      <c r="AM1366" s="74"/>
      <c r="AN1366" s="156"/>
      <c r="AO1366" s="74"/>
      <c r="AP1366" s="363"/>
      <c r="AQ1366" s="363"/>
      <c r="AR1366" s="363"/>
      <c r="AS1366" s="74"/>
      <c r="AT1366" s="74"/>
      <c r="AU1366" s="74"/>
      <c r="AV1366" s="74"/>
      <c r="AW1366" s="74"/>
      <c r="AX1366" s="74"/>
      <c r="AY1366" s="74"/>
      <c r="AZ1366" s="74"/>
      <c r="BA1366" s="74"/>
      <c r="BB1366" s="74"/>
      <c r="BC1366" s="170"/>
      <c r="BD1366" s="156"/>
      <c r="BE1366" s="156"/>
      <c r="BF1366" s="299"/>
      <c r="BG1366" s="74"/>
      <c r="BH1366" s="74"/>
      <c r="BI1366" s="74"/>
      <c r="BJ1366" s="74"/>
      <c r="BK1366" s="74"/>
      <c r="BL1366" s="74"/>
      <c r="BM1366" s="74"/>
      <c r="BN1366" s="74"/>
      <c r="BO1366" s="74"/>
      <c r="BP1366" s="74"/>
      <c r="BQ1366" s="74"/>
      <c r="BR1366" s="74"/>
      <c r="BS1366" s="74"/>
      <c r="BT1366" s="74"/>
      <c r="BU1366" s="74"/>
      <c r="BV1366" s="74"/>
      <c r="BW1366" s="74"/>
      <c r="BX1366" s="74"/>
      <c r="BY1366" s="63"/>
      <c r="BZ1366" s="63"/>
    </row>
    <row r="1367" ht="15.75" customHeight="1">
      <c r="A1367" s="201"/>
      <c r="B1367" s="74"/>
      <c r="C1367" s="74"/>
      <c r="D1367" s="74"/>
      <c r="E1367" s="156"/>
      <c r="F1367" s="78">
        <v>0.0</v>
      </c>
      <c r="G1367" s="44" t="str">
        <f t="shared" si="35"/>
        <v>$0 a $100'000.000</v>
      </c>
      <c r="H1367" s="44"/>
      <c r="I1367" s="44"/>
      <c r="J1367" s="74"/>
      <c r="K1367" s="359"/>
      <c r="L1367" s="74"/>
      <c r="M1367" s="74"/>
      <c r="N1367" s="74"/>
      <c r="O1367" s="74"/>
      <c r="P1367" s="74"/>
      <c r="Q1367" s="74"/>
      <c r="R1367" s="362"/>
      <c r="S1367" s="56" t="str">
        <f t="shared" si="36"/>
        <v> </v>
      </c>
      <c r="T1367" s="74"/>
      <c r="U1367" s="359"/>
      <c r="V1367" s="74"/>
      <c r="W1367" s="74"/>
      <c r="X1367" s="74"/>
      <c r="Y1367" s="74"/>
      <c r="Z1367" s="364"/>
      <c r="AA1367" s="59" t="str">
        <f>IF(Rentabilidad=0,"No aplica",TEXT(ROUND(Precio/Rentabilidad/12,0),0) &amp; " años")</f>
        <v>No aplica</v>
      </c>
      <c r="AB1367" s="360"/>
      <c r="AC1367" s="61"/>
      <c r="AD1367" s="62"/>
      <c r="AE1367" s="63"/>
      <c r="AF1367" s="156"/>
      <c r="AG1367" s="63"/>
      <c r="AH1367" s="63"/>
      <c r="AI1367" s="74"/>
      <c r="AJ1367" s="156"/>
      <c r="AK1367" s="74"/>
      <c r="AL1367" s="156"/>
      <c r="AM1367" s="74"/>
      <c r="AN1367" s="156"/>
      <c r="AO1367" s="74"/>
      <c r="AP1367" s="363"/>
      <c r="AQ1367" s="363"/>
      <c r="AR1367" s="363"/>
      <c r="AS1367" s="74"/>
      <c r="AT1367" s="74"/>
      <c r="AU1367" s="74"/>
      <c r="AV1367" s="74"/>
      <c r="AW1367" s="74"/>
      <c r="AX1367" s="74"/>
      <c r="AY1367" s="74"/>
      <c r="AZ1367" s="74"/>
      <c r="BA1367" s="74"/>
      <c r="BB1367" s="74"/>
      <c r="BC1367" s="170"/>
      <c r="BD1367" s="156"/>
      <c r="BE1367" s="156"/>
      <c r="BF1367" s="299"/>
      <c r="BG1367" s="74"/>
      <c r="BH1367" s="74"/>
      <c r="BI1367" s="74"/>
      <c r="BJ1367" s="74"/>
      <c r="BK1367" s="74"/>
      <c r="BL1367" s="74"/>
      <c r="BM1367" s="74"/>
      <c r="BN1367" s="74"/>
      <c r="BO1367" s="74"/>
      <c r="BP1367" s="74"/>
      <c r="BQ1367" s="74"/>
      <c r="BR1367" s="74"/>
      <c r="BS1367" s="74"/>
      <c r="BT1367" s="74"/>
      <c r="BU1367" s="74"/>
      <c r="BV1367" s="74"/>
      <c r="BW1367" s="74"/>
      <c r="BX1367" s="74"/>
      <c r="BY1367" s="63"/>
      <c r="BZ1367" s="63"/>
    </row>
    <row r="1368" ht="15.75" customHeight="1">
      <c r="A1368" s="201"/>
      <c r="B1368" s="74"/>
      <c r="C1368" s="74"/>
      <c r="D1368" s="74"/>
      <c r="E1368" s="156"/>
      <c r="F1368" s="78">
        <v>0.0</v>
      </c>
      <c r="G1368" s="44" t="str">
        <f t="shared" si="35"/>
        <v>$0 a $100'000.000</v>
      </c>
      <c r="H1368" s="44"/>
      <c r="I1368" s="44"/>
      <c r="J1368" s="74"/>
      <c r="K1368" s="359"/>
      <c r="L1368" s="74"/>
      <c r="M1368" s="74"/>
      <c r="N1368" s="74"/>
      <c r="O1368" s="74"/>
      <c r="P1368" s="74"/>
      <c r="Q1368" s="74"/>
      <c r="R1368" s="362"/>
      <c r="S1368" s="56" t="str">
        <f t="shared" si="36"/>
        <v> </v>
      </c>
      <c r="T1368" s="74"/>
      <c r="U1368" s="359"/>
      <c r="V1368" s="74"/>
      <c r="W1368" s="74"/>
      <c r="X1368" s="74"/>
      <c r="Y1368" s="74"/>
      <c r="Z1368" s="364"/>
      <c r="AA1368" s="59" t="str">
        <f>IF(Rentabilidad=0,"No aplica",TEXT(ROUND(Precio/Rentabilidad/12,0),0) &amp; " años")</f>
        <v>No aplica</v>
      </c>
      <c r="AB1368" s="360"/>
      <c r="AC1368" s="61"/>
      <c r="AD1368" s="62"/>
      <c r="AE1368" s="63"/>
      <c r="AF1368" s="156"/>
      <c r="AG1368" s="63"/>
      <c r="AH1368" s="63"/>
      <c r="AI1368" s="74"/>
      <c r="AJ1368" s="156"/>
      <c r="AK1368" s="74"/>
      <c r="AL1368" s="156"/>
      <c r="AM1368" s="74"/>
      <c r="AN1368" s="156"/>
      <c r="AO1368" s="74"/>
      <c r="AP1368" s="363"/>
      <c r="AQ1368" s="363"/>
      <c r="AR1368" s="363"/>
      <c r="AS1368" s="74"/>
      <c r="AT1368" s="74"/>
      <c r="AU1368" s="74"/>
      <c r="AV1368" s="74"/>
      <c r="AW1368" s="74"/>
      <c r="AX1368" s="74"/>
      <c r="AY1368" s="74"/>
      <c r="AZ1368" s="74"/>
      <c r="BA1368" s="74"/>
      <c r="BB1368" s="74"/>
      <c r="BC1368" s="170"/>
      <c r="BD1368" s="156"/>
      <c r="BE1368" s="156"/>
      <c r="BF1368" s="299"/>
      <c r="BG1368" s="74"/>
      <c r="BH1368" s="74"/>
      <c r="BI1368" s="74"/>
      <c r="BJ1368" s="74"/>
      <c r="BK1368" s="74"/>
      <c r="BL1368" s="74"/>
      <c r="BM1368" s="74"/>
      <c r="BN1368" s="74"/>
      <c r="BO1368" s="74"/>
      <c r="BP1368" s="74"/>
      <c r="BQ1368" s="74"/>
      <c r="BR1368" s="74"/>
      <c r="BS1368" s="74"/>
      <c r="BT1368" s="74"/>
      <c r="BU1368" s="74"/>
      <c r="BV1368" s="74"/>
      <c r="BW1368" s="74"/>
      <c r="BX1368" s="74"/>
      <c r="BY1368" s="63"/>
      <c r="BZ1368" s="63"/>
    </row>
    <row r="1369" ht="15.75" customHeight="1">
      <c r="A1369" s="201"/>
      <c r="B1369" s="74"/>
      <c r="C1369" s="74"/>
      <c r="D1369" s="74"/>
      <c r="E1369" s="156"/>
      <c r="F1369" s="78">
        <v>0.0</v>
      </c>
      <c r="G1369" s="44" t="str">
        <f t="shared" si="35"/>
        <v>$0 a $100'000.000</v>
      </c>
      <c r="H1369" s="44"/>
      <c r="I1369" s="44"/>
      <c r="J1369" s="74"/>
      <c r="K1369" s="359"/>
      <c r="L1369" s="74"/>
      <c r="M1369" s="74"/>
      <c r="N1369" s="74"/>
      <c r="O1369" s="74"/>
      <c r="P1369" s="74"/>
      <c r="Q1369" s="74"/>
      <c r="R1369" s="362"/>
      <c r="S1369" s="56" t="str">
        <f t="shared" si="36"/>
        <v> </v>
      </c>
      <c r="T1369" s="74"/>
      <c r="U1369" s="359"/>
      <c r="V1369" s="74"/>
      <c r="W1369" s="74"/>
      <c r="X1369" s="74"/>
      <c r="Y1369" s="74"/>
      <c r="Z1369" s="364"/>
      <c r="AA1369" s="59" t="str">
        <f>IF(Rentabilidad=0,"No aplica",TEXT(ROUND(Precio/Rentabilidad/12,0),0) &amp; " años")</f>
        <v>No aplica</v>
      </c>
      <c r="AB1369" s="360"/>
      <c r="AC1369" s="61"/>
      <c r="AD1369" s="62"/>
      <c r="AE1369" s="63"/>
      <c r="AF1369" s="156"/>
      <c r="AG1369" s="63"/>
      <c r="AH1369" s="63"/>
      <c r="AI1369" s="74"/>
      <c r="AJ1369" s="156"/>
      <c r="AK1369" s="74"/>
      <c r="AL1369" s="156"/>
      <c r="AM1369" s="74"/>
      <c r="AN1369" s="156"/>
      <c r="AO1369" s="74"/>
      <c r="AP1369" s="363"/>
      <c r="AQ1369" s="363"/>
      <c r="AR1369" s="363"/>
      <c r="AS1369" s="74"/>
      <c r="AT1369" s="74"/>
      <c r="AU1369" s="74"/>
      <c r="AV1369" s="74"/>
      <c r="AW1369" s="74"/>
      <c r="AX1369" s="74"/>
      <c r="AY1369" s="74"/>
      <c r="AZ1369" s="74"/>
      <c r="BA1369" s="74"/>
      <c r="BB1369" s="74"/>
      <c r="BC1369" s="170"/>
      <c r="BD1369" s="156"/>
      <c r="BE1369" s="156"/>
      <c r="BF1369" s="299"/>
      <c r="BG1369" s="74"/>
      <c r="BH1369" s="74"/>
      <c r="BI1369" s="74"/>
      <c r="BJ1369" s="74"/>
      <c r="BK1369" s="74"/>
      <c r="BL1369" s="74"/>
      <c r="BM1369" s="74"/>
      <c r="BN1369" s="74"/>
      <c r="BO1369" s="74"/>
      <c r="BP1369" s="74"/>
      <c r="BQ1369" s="74"/>
      <c r="BR1369" s="74"/>
      <c r="BS1369" s="74"/>
      <c r="BT1369" s="74"/>
      <c r="BU1369" s="74"/>
      <c r="BV1369" s="74"/>
      <c r="BW1369" s="74"/>
      <c r="BX1369" s="74"/>
      <c r="BY1369" s="63"/>
      <c r="BZ1369" s="63"/>
    </row>
    <row r="1370" ht="15.75" customHeight="1">
      <c r="A1370" s="201"/>
      <c r="B1370" s="74"/>
      <c r="C1370" s="74"/>
      <c r="D1370" s="74"/>
      <c r="E1370" s="156"/>
      <c r="F1370" s="78">
        <v>0.0</v>
      </c>
      <c r="G1370" s="44" t="str">
        <f t="shared" si="35"/>
        <v>$0 a $100'000.000</v>
      </c>
      <c r="H1370" s="44"/>
      <c r="I1370" s="44"/>
      <c r="J1370" s="74"/>
      <c r="K1370" s="359"/>
      <c r="L1370" s="74"/>
      <c r="M1370" s="74"/>
      <c r="N1370" s="74"/>
      <c r="O1370" s="74"/>
      <c r="P1370" s="74"/>
      <c r="Q1370" s="74"/>
      <c r="R1370" s="362"/>
      <c r="S1370" s="56" t="str">
        <f t="shared" si="36"/>
        <v> </v>
      </c>
      <c r="T1370" s="74"/>
      <c r="U1370" s="359"/>
      <c r="V1370" s="74"/>
      <c r="W1370" s="74"/>
      <c r="X1370" s="74"/>
      <c r="Y1370" s="74"/>
      <c r="Z1370" s="364"/>
      <c r="AA1370" s="59" t="str">
        <f>IF(Rentabilidad=0,"No aplica",TEXT(ROUND(Precio/Rentabilidad/12,0),0) &amp; " años")</f>
        <v>No aplica</v>
      </c>
      <c r="AB1370" s="360"/>
      <c r="AC1370" s="61"/>
      <c r="AD1370" s="62"/>
      <c r="AE1370" s="63"/>
      <c r="AF1370" s="156"/>
      <c r="AG1370" s="63"/>
      <c r="AH1370" s="63"/>
      <c r="AI1370" s="74"/>
      <c r="AJ1370" s="156"/>
      <c r="AK1370" s="74"/>
      <c r="AL1370" s="156"/>
      <c r="AM1370" s="74"/>
      <c r="AN1370" s="156"/>
      <c r="AO1370" s="74"/>
      <c r="AP1370" s="363"/>
      <c r="AQ1370" s="363"/>
      <c r="AR1370" s="363"/>
      <c r="AS1370" s="74"/>
      <c r="AT1370" s="74"/>
      <c r="AU1370" s="74"/>
      <c r="AV1370" s="74"/>
      <c r="AW1370" s="74"/>
      <c r="AX1370" s="74"/>
      <c r="AY1370" s="74"/>
      <c r="AZ1370" s="74"/>
      <c r="BA1370" s="74"/>
      <c r="BB1370" s="74"/>
      <c r="BC1370" s="170"/>
      <c r="BD1370" s="156"/>
      <c r="BE1370" s="156"/>
      <c r="BF1370" s="299"/>
      <c r="BG1370" s="74"/>
      <c r="BH1370" s="74"/>
      <c r="BI1370" s="74"/>
      <c r="BJ1370" s="74"/>
      <c r="BK1370" s="74"/>
      <c r="BL1370" s="74"/>
      <c r="BM1370" s="74"/>
      <c r="BN1370" s="74"/>
      <c r="BO1370" s="74"/>
      <c r="BP1370" s="74"/>
      <c r="BQ1370" s="74"/>
      <c r="BR1370" s="74"/>
      <c r="BS1370" s="74"/>
      <c r="BT1370" s="74"/>
      <c r="BU1370" s="74"/>
      <c r="BV1370" s="74"/>
      <c r="BW1370" s="74"/>
      <c r="BX1370" s="74"/>
      <c r="BY1370" s="63"/>
      <c r="BZ1370" s="63"/>
    </row>
    <row r="1371" ht="15.75" customHeight="1">
      <c r="A1371" s="201"/>
      <c r="B1371" s="74"/>
      <c r="C1371" s="74"/>
      <c r="D1371" s="74"/>
      <c r="E1371" s="156"/>
      <c r="F1371" s="78">
        <v>0.0</v>
      </c>
      <c r="G1371" s="44" t="str">
        <f t="shared" si="35"/>
        <v>$0 a $100'000.000</v>
      </c>
      <c r="H1371" s="44"/>
      <c r="I1371" s="44"/>
      <c r="J1371" s="74"/>
      <c r="K1371" s="359"/>
      <c r="L1371" s="74"/>
      <c r="M1371" s="74"/>
      <c r="N1371" s="74"/>
      <c r="O1371" s="74"/>
      <c r="P1371" s="74"/>
      <c r="Q1371" s="74"/>
      <c r="R1371" s="362"/>
      <c r="S1371" s="56" t="str">
        <f t="shared" si="36"/>
        <v> </v>
      </c>
      <c r="T1371" s="74"/>
      <c r="U1371" s="359"/>
      <c r="V1371" s="74"/>
      <c r="W1371" s="74"/>
      <c r="X1371" s="74"/>
      <c r="Y1371" s="74"/>
      <c r="Z1371" s="364"/>
      <c r="AA1371" s="59" t="str">
        <f>IF(Rentabilidad=0,"No aplica",TEXT(ROUND(Precio/Rentabilidad/12,0),0) &amp; " años")</f>
        <v>No aplica</v>
      </c>
      <c r="AB1371" s="360"/>
      <c r="AC1371" s="61"/>
      <c r="AD1371" s="62"/>
      <c r="AE1371" s="63"/>
      <c r="AF1371" s="156"/>
      <c r="AG1371" s="63"/>
      <c r="AH1371" s="63"/>
      <c r="AI1371" s="74"/>
      <c r="AJ1371" s="156"/>
      <c r="AK1371" s="74"/>
      <c r="AL1371" s="156"/>
      <c r="AM1371" s="74"/>
      <c r="AN1371" s="156"/>
      <c r="AO1371" s="74"/>
      <c r="AP1371" s="363"/>
      <c r="AQ1371" s="363"/>
      <c r="AR1371" s="363"/>
      <c r="AS1371" s="74"/>
      <c r="AT1371" s="74"/>
      <c r="AU1371" s="74"/>
      <c r="AV1371" s="74"/>
      <c r="AW1371" s="74"/>
      <c r="AX1371" s="74"/>
      <c r="AY1371" s="74"/>
      <c r="AZ1371" s="74"/>
      <c r="BA1371" s="74"/>
      <c r="BB1371" s="74"/>
      <c r="BC1371" s="170"/>
      <c r="BD1371" s="156"/>
      <c r="BE1371" s="156"/>
      <c r="BF1371" s="299"/>
      <c r="BG1371" s="74"/>
      <c r="BH1371" s="74"/>
      <c r="BI1371" s="74"/>
      <c r="BJ1371" s="74"/>
      <c r="BK1371" s="74"/>
      <c r="BL1371" s="74"/>
      <c r="BM1371" s="74"/>
      <c r="BN1371" s="74"/>
      <c r="BO1371" s="74"/>
      <c r="BP1371" s="74"/>
      <c r="BQ1371" s="74"/>
      <c r="BR1371" s="74"/>
      <c r="BS1371" s="74"/>
      <c r="BT1371" s="74"/>
      <c r="BU1371" s="74"/>
      <c r="BV1371" s="74"/>
      <c r="BW1371" s="74"/>
      <c r="BX1371" s="74"/>
      <c r="BY1371" s="63"/>
      <c r="BZ1371" s="63"/>
    </row>
    <row r="1372" ht="15.75" customHeight="1">
      <c r="A1372" s="201"/>
      <c r="B1372" s="74"/>
      <c r="C1372" s="74"/>
      <c r="D1372" s="74"/>
      <c r="E1372" s="156"/>
      <c r="F1372" s="78">
        <v>0.0</v>
      </c>
      <c r="G1372" s="44" t="str">
        <f t="shared" si="35"/>
        <v>$0 a $100'000.000</v>
      </c>
      <c r="H1372" s="44"/>
      <c r="I1372" s="44"/>
      <c r="J1372" s="74"/>
      <c r="K1372" s="359"/>
      <c r="L1372" s="74"/>
      <c r="M1372" s="74"/>
      <c r="N1372" s="74"/>
      <c r="O1372" s="74"/>
      <c r="P1372" s="74"/>
      <c r="Q1372" s="74"/>
      <c r="R1372" s="362"/>
      <c r="S1372" s="56" t="str">
        <f t="shared" si="36"/>
        <v> </v>
      </c>
      <c r="T1372" s="74"/>
      <c r="U1372" s="359"/>
      <c r="V1372" s="74"/>
      <c r="W1372" s="74"/>
      <c r="X1372" s="74"/>
      <c r="Y1372" s="74"/>
      <c r="Z1372" s="364"/>
      <c r="AA1372" s="59" t="str">
        <f>IF(Rentabilidad=0,"No aplica",TEXT(ROUND(Precio/Rentabilidad/12,0),0) &amp; " años")</f>
        <v>No aplica</v>
      </c>
      <c r="AB1372" s="360"/>
      <c r="AC1372" s="61"/>
      <c r="AD1372" s="62"/>
      <c r="AE1372" s="63"/>
      <c r="AF1372" s="156"/>
      <c r="AG1372" s="63"/>
      <c r="AH1372" s="63"/>
      <c r="AI1372" s="74"/>
      <c r="AJ1372" s="156"/>
      <c r="AK1372" s="74"/>
      <c r="AL1372" s="156"/>
      <c r="AM1372" s="74"/>
      <c r="AN1372" s="156"/>
      <c r="AO1372" s="74"/>
      <c r="AP1372" s="363"/>
      <c r="AQ1372" s="363"/>
      <c r="AR1372" s="363"/>
      <c r="AS1372" s="74"/>
      <c r="AT1372" s="74"/>
      <c r="AU1372" s="74"/>
      <c r="AV1372" s="74"/>
      <c r="AW1372" s="74"/>
      <c r="AX1372" s="74"/>
      <c r="AY1372" s="74"/>
      <c r="AZ1372" s="74"/>
      <c r="BA1372" s="74"/>
      <c r="BB1372" s="74"/>
      <c r="BC1372" s="170"/>
      <c r="BD1372" s="156"/>
      <c r="BE1372" s="156"/>
      <c r="BF1372" s="299"/>
      <c r="BG1372" s="74"/>
      <c r="BH1372" s="74"/>
      <c r="BI1372" s="74"/>
      <c r="BJ1372" s="74"/>
      <c r="BK1372" s="74"/>
      <c r="BL1372" s="74"/>
      <c r="BM1372" s="74"/>
      <c r="BN1372" s="74"/>
      <c r="BO1372" s="74"/>
      <c r="BP1372" s="74"/>
      <c r="BQ1372" s="74"/>
      <c r="BR1372" s="74"/>
      <c r="BS1372" s="74"/>
      <c r="BT1372" s="74"/>
      <c r="BU1372" s="74"/>
      <c r="BV1372" s="74"/>
      <c r="BW1372" s="74"/>
      <c r="BX1372" s="74"/>
      <c r="BY1372" s="63"/>
      <c r="BZ1372" s="63"/>
    </row>
    <row r="1373" ht="15.75" customHeight="1">
      <c r="A1373" s="201"/>
      <c r="B1373" s="74"/>
      <c r="C1373" s="74"/>
      <c r="D1373" s="74"/>
      <c r="E1373" s="156"/>
      <c r="F1373" s="78">
        <v>0.0</v>
      </c>
      <c r="G1373" s="44" t="str">
        <f t="shared" si="35"/>
        <v>$0 a $100'000.000</v>
      </c>
      <c r="H1373" s="44"/>
      <c r="I1373" s="44"/>
      <c r="J1373" s="74"/>
      <c r="K1373" s="359"/>
      <c r="L1373" s="74"/>
      <c r="M1373" s="74"/>
      <c r="N1373" s="74"/>
      <c r="O1373" s="74"/>
      <c r="P1373" s="74"/>
      <c r="Q1373" s="74"/>
      <c r="R1373" s="362"/>
      <c r="S1373" s="56" t="str">
        <f t="shared" si="36"/>
        <v> </v>
      </c>
      <c r="T1373" s="74"/>
      <c r="U1373" s="359"/>
      <c r="V1373" s="74"/>
      <c r="W1373" s="74"/>
      <c r="X1373" s="74"/>
      <c r="Y1373" s="74"/>
      <c r="Z1373" s="364"/>
      <c r="AA1373" s="59" t="str">
        <f>IF(Rentabilidad=0,"No aplica",TEXT(ROUND(Precio/Rentabilidad/12,0),0) &amp; " años")</f>
        <v>No aplica</v>
      </c>
      <c r="AB1373" s="360"/>
      <c r="AC1373" s="61"/>
      <c r="AD1373" s="62"/>
      <c r="AE1373" s="63"/>
      <c r="AF1373" s="156"/>
      <c r="AG1373" s="63"/>
      <c r="AH1373" s="63"/>
      <c r="AI1373" s="74"/>
      <c r="AJ1373" s="156"/>
      <c r="AK1373" s="74"/>
      <c r="AL1373" s="156"/>
      <c r="AM1373" s="74"/>
      <c r="AN1373" s="156"/>
      <c r="AO1373" s="74"/>
      <c r="AP1373" s="363"/>
      <c r="AQ1373" s="363"/>
      <c r="AR1373" s="363"/>
      <c r="AS1373" s="74"/>
      <c r="AT1373" s="74"/>
      <c r="AU1373" s="74"/>
      <c r="AV1373" s="74"/>
      <c r="AW1373" s="74"/>
      <c r="AX1373" s="74"/>
      <c r="AY1373" s="74"/>
      <c r="AZ1373" s="74"/>
      <c r="BA1373" s="74"/>
      <c r="BB1373" s="74"/>
      <c r="BC1373" s="170"/>
      <c r="BD1373" s="156"/>
      <c r="BE1373" s="156"/>
      <c r="BF1373" s="299"/>
      <c r="BG1373" s="74"/>
      <c r="BH1373" s="74"/>
      <c r="BI1373" s="74"/>
      <c r="BJ1373" s="74"/>
      <c r="BK1373" s="74"/>
      <c r="BL1373" s="74"/>
      <c r="BM1373" s="74"/>
      <c r="BN1373" s="74"/>
      <c r="BO1373" s="74"/>
      <c r="BP1373" s="74"/>
      <c r="BQ1373" s="74"/>
      <c r="BR1373" s="74"/>
      <c r="BS1373" s="74"/>
      <c r="BT1373" s="74"/>
      <c r="BU1373" s="74"/>
      <c r="BV1373" s="74"/>
      <c r="BW1373" s="74"/>
      <c r="BX1373" s="74"/>
      <c r="BY1373" s="63"/>
      <c r="BZ1373" s="63"/>
    </row>
    <row r="1374" ht="15.75" customHeight="1">
      <c r="A1374" s="201"/>
      <c r="B1374" s="74"/>
      <c r="C1374" s="74"/>
      <c r="D1374" s="74"/>
      <c r="E1374" s="156"/>
      <c r="F1374" s="78">
        <v>0.0</v>
      </c>
      <c r="G1374" s="44" t="str">
        <f t="shared" si="35"/>
        <v>$0 a $100'000.000</v>
      </c>
      <c r="H1374" s="44"/>
      <c r="I1374" s="44"/>
      <c r="J1374" s="74"/>
      <c r="K1374" s="359"/>
      <c r="L1374" s="74"/>
      <c r="M1374" s="74"/>
      <c r="N1374" s="74"/>
      <c r="O1374" s="74"/>
      <c r="P1374" s="74"/>
      <c r="Q1374" s="74"/>
      <c r="R1374" s="362"/>
      <c r="S1374" s="56" t="str">
        <f t="shared" si="36"/>
        <v> </v>
      </c>
      <c r="T1374" s="74"/>
      <c r="U1374" s="359"/>
      <c r="V1374" s="74"/>
      <c r="W1374" s="74"/>
      <c r="X1374" s="74"/>
      <c r="Y1374" s="74"/>
      <c r="Z1374" s="364"/>
      <c r="AA1374" s="59" t="str">
        <f>IF(Rentabilidad=0,"No aplica",TEXT(ROUND(Precio/Rentabilidad/12,0),0) &amp; " años")</f>
        <v>No aplica</v>
      </c>
      <c r="AB1374" s="360"/>
      <c r="AC1374" s="61"/>
      <c r="AD1374" s="62"/>
      <c r="AE1374" s="63"/>
      <c r="AF1374" s="156"/>
      <c r="AG1374" s="63"/>
      <c r="AH1374" s="63"/>
      <c r="AI1374" s="74"/>
      <c r="AJ1374" s="156"/>
      <c r="AK1374" s="74"/>
      <c r="AL1374" s="156"/>
      <c r="AM1374" s="74"/>
      <c r="AN1374" s="156"/>
      <c r="AO1374" s="74"/>
      <c r="AP1374" s="363"/>
      <c r="AQ1374" s="363"/>
      <c r="AR1374" s="363"/>
      <c r="AS1374" s="74"/>
      <c r="AT1374" s="74"/>
      <c r="AU1374" s="74"/>
      <c r="AV1374" s="74"/>
      <c r="AW1374" s="74"/>
      <c r="AX1374" s="74"/>
      <c r="AY1374" s="74"/>
      <c r="AZ1374" s="74"/>
      <c r="BA1374" s="74"/>
      <c r="BB1374" s="74"/>
      <c r="BC1374" s="170"/>
      <c r="BD1374" s="156"/>
      <c r="BE1374" s="156"/>
      <c r="BF1374" s="299"/>
      <c r="BG1374" s="74"/>
      <c r="BH1374" s="74"/>
      <c r="BI1374" s="74"/>
      <c r="BJ1374" s="74"/>
      <c r="BK1374" s="74"/>
      <c r="BL1374" s="74"/>
      <c r="BM1374" s="74"/>
      <c r="BN1374" s="74"/>
      <c r="BO1374" s="74"/>
      <c r="BP1374" s="74"/>
      <c r="BQ1374" s="74"/>
      <c r="BR1374" s="74"/>
      <c r="BS1374" s="74"/>
      <c r="BT1374" s="74"/>
      <c r="BU1374" s="74"/>
      <c r="BV1374" s="74"/>
      <c r="BW1374" s="74"/>
      <c r="BX1374" s="74"/>
      <c r="BY1374" s="63"/>
      <c r="BZ1374" s="63"/>
    </row>
    <row r="1375" ht="15.75" customHeight="1">
      <c r="A1375" s="201"/>
      <c r="B1375" s="74"/>
      <c r="C1375" s="74"/>
      <c r="D1375" s="74"/>
      <c r="E1375" s="156"/>
      <c r="F1375" s="78">
        <v>0.0</v>
      </c>
      <c r="G1375" s="44" t="str">
        <f t="shared" si="35"/>
        <v>$0 a $100'000.000</v>
      </c>
      <c r="H1375" s="44"/>
      <c r="I1375" s="44"/>
      <c r="J1375" s="74"/>
      <c r="K1375" s="359"/>
      <c r="L1375" s="74"/>
      <c r="M1375" s="74"/>
      <c r="N1375" s="74"/>
      <c r="O1375" s="74"/>
      <c r="P1375" s="74"/>
      <c r="Q1375" s="74"/>
      <c r="R1375" s="362"/>
      <c r="S1375" s="56" t="str">
        <f t="shared" si="36"/>
        <v> </v>
      </c>
      <c r="T1375" s="74"/>
      <c r="U1375" s="359"/>
      <c r="V1375" s="74"/>
      <c r="W1375" s="74"/>
      <c r="X1375" s="74"/>
      <c r="Y1375" s="74"/>
      <c r="Z1375" s="364"/>
      <c r="AA1375" s="59" t="str">
        <f>IF(Rentabilidad=0,"No aplica",TEXT(ROUND(Precio/Rentabilidad/12,0),0) &amp; " años")</f>
        <v>No aplica</v>
      </c>
      <c r="AB1375" s="360"/>
      <c r="AC1375" s="61"/>
      <c r="AD1375" s="62"/>
      <c r="AE1375" s="63"/>
      <c r="AF1375" s="156"/>
      <c r="AG1375" s="63"/>
      <c r="AH1375" s="63"/>
      <c r="AI1375" s="74"/>
      <c r="AJ1375" s="156"/>
      <c r="AK1375" s="74"/>
      <c r="AL1375" s="156"/>
      <c r="AM1375" s="74"/>
      <c r="AN1375" s="156"/>
      <c r="AO1375" s="74"/>
      <c r="AP1375" s="363"/>
      <c r="AQ1375" s="363"/>
      <c r="AR1375" s="363"/>
      <c r="AS1375" s="74"/>
      <c r="AT1375" s="74"/>
      <c r="AU1375" s="74"/>
      <c r="AV1375" s="74"/>
      <c r="AW1375" s="74"/>
      <c r="AX1375" s="74"/>
      <c r="AY1375" s="74"/>
      <c r="AZ1375" s="74"/>
      <c r="BA1375" s="74"/>
      <c r="BB1375" s="74"/>
      <c r="BC1375" s="170"/>
      <c r="BD1375" s="156"/>
      <c r="BE1375" s="156"/>
      <c r="BF1375" s="299"/>
      <c r="BG1375" s="74"/>
      <c r="BH1375" s="74"/>
      <c r="BI1375" s="74"/>
      <c r="BJ1375" s="74"/>
      <c r="BK1375" s="74"/>
      <c r="BL1375" s="74"/>
      <c r="BM1375" s="74"/>
      <c r="BN1375" s="74"/>
      <c r="BO1375" s="74"/>
      <c r="BP1375" s="74"/>
      <c r="BQ1375" s="74"/>
      <c r="BR1375" s="74"/>
      <c r="BS1375" s="74"/>
      <c r="BT1375" s="74"/>
      <c r="BU1375" s="74"/>
      <c r="BV1375" s="74"/>
      <c r="BW1375" s="74"/>
      <c r="BX1375" s="74"/>
      <c r="BY1375" s="63"/>
      <c r="BZ1375" s="63"/>
    </row>
    <row r="1376" ht="15.75" customHeight="1">
      <c r="A1376" s="201"/>
      <c r="B1376" s="74"/>
      <c r="C1376" s="74"/>
      <c r="D1376" s="74"/>
      <c r="E1376" s="156"/>
      <c r="F1376" s="78">
        <v>0.0</v>
      </c>
      <c r="G1376" s="44" t="str">
        <f t="shared" si="35"/>
        <v>$0 a $100'000.000</v>
      </c>
      <c r="H1376" s="44"/>
      <c r="I1376" s="44"/>
      <c r="J1376" s="74"/>
      <c r="K1376" s="359"/>
      <c r="L1376" s="74"/>
      <c r="M1376" s="74"/>
      <c r="N1376" s="74"/>
      <c r="O1376" s="74"/>
      <c r="P1376" s="74"/>
      <c r="Q1376" s="74"/>
      <c r="R1376" s="362"/>
      <c r="S1376" s="56" t="str">
        <f t="shared" si="36"/>
        <v> </v>
      </c>
      <c r="T1376" s="74"/>
      <c r="U1376" s="359"/>
      <c r="V1376" s="74"/>
      <c r="W1376" s="74"/>
      <c r="X1376" s="74"/>
      <c r="Y1376" s="74"/>
      <c r="Z1376" s="364"/>
      <c r="AA1376" s="59" t="str">
        <f>IF(Rentabilidad=0,"No aplica",TEXT(ROUND(Precio/Rentabilidad/12,0),0) &amp; " años")</f>
        <v>No aplica</v>
      </c>
      <c r="AB1376" s="360"/>
      <c r="AC1376" s="61"/>
      <c r="AD1376" s="62"/>
      <c r="AE1376" s="63"/>
      <c r="AF1376" s="156"/>
      <c r="AG1376" s="63"/>
      <c r="AH1376" s="63"/>
      <c r="AI1376" s="74"/>
      <c r="AJ1376" s="156"/>
      <c r="AK1376" s="74"/>
      <c r="AL1376" s="156"/>
      <c r="AM1376" s="74"/>
      <c r="AN1376" s="156"/>
      <c r="AO1376" s="74"/>
      <c r="AP1376" s="363"/>
      <c r="AQ1376" s="363"/>
      <c r="AR1376" s="363"/>
      <c r="AS1376" s="74"/>
      <c r="AT1376" s="74"/>
      <c r="AU1376" s="74"/>
      <c r="AV1376" s="74"/>
      <c r="AW1376" s="74"/>
      <c r="AX1376" s="74"/>
      <c r="AY1376" s="74"/>
      <c r="AZ1376" s="74"/>
      <c r="BA1376" s="74"/>
      <c r="BB1376" s="74"/>
      <c r="BC1376" s="170"/>
      <c r="BD1376" s="156"/>
      <c r="BE1376" s="156"/>
      <c r="BF1376" s="299"/>
      <c r="BG1376" s="74"/>
      <c r="BH1376" s="74"/>
      <c r="BI1376" s="74"/>
      <c r="BJ1376" s="74"/>
      <c r="BK1376" s="74"/>
      <c r="BL1376" s="74"/>
      <c r="BM1376" s="74"/>
      <c r="BN1376" s="74"/>
      <c r="BO1376" s="74"/>
      <c r="BP1376" s="74"/>
      <c r="BQ1376" s="74"/>
      <c r="BR1376" s="74"/>
      <c r="BS1376" s="74"/>
      <c r="BT1376" s="74"/>
      <c r="BU1376" s="74"/>
      <c r="BV1376" s="74"/>
      <c r="BW1376" s="74"/>
      <c r="BX1376" s="74"/>
      <c r="BY1376" s="63"/>
      <c r="BZ1376" s="63"/>
    </row>
    <row r="1377" ht="15.75" customHeight="1">
      <c r="A1377" s="201"/>
      <c r="B1377" s="74"/>
      <c r="C1377" s="74"/>
      <c r="D1377" s="74"/>
      <c r="E1377" s="156"/>
      <c r="F1377" s="78">
        <v>0.0</v>
      </c>
      <c r="G1377" s="44" t="str">
        <f t="shared" si="35"/>
        <v>$0 a $100'000.000</v>
      </c>
      <c r="H1377" s="44"/>
      <c r="I1377" s="44"/>
      <c r="J1377" s="74"/>
      <c r="K1377" s="359"/>
      <c r="L1377" s="74"/>
      <c r="M1377" s="74"/>
      <c r="N1377" s="74"/>
      <c r="O1377" s="74"/>
      <c r="P1377" s="74"/>
      <c r="Q1377" s="74"/>
      <c r="R1377" s="362"/>
      <c r="S1377" s="56" t="str">
        <f t="shared" si="36"/>
        <v> </v>
      </c>
      <c r="T1377" s="74"/>
      <c r="U1377" s="359"/>
      <c r="V1377" s="74"/>
      <c r="W1377" s="74"/>
      <c r="X1377" s="74"/>
      <c r="Y1377" s="74"/>
      <c r="Z1377" s="364"/>
      <c r="AA1377" s="59" t="str">
        <f>IF(Rentabilidad=0,"No aplica",TEXT(ROUND(Precio/Rentabilidad/12,0),0) &amp; " años")</f>
        <v>No aplica</v>
      </c>
      <c r="AB1377" s="360"/>
      <c r="AC1377" s="61"/>
      <c r="AD1377" s="62"/>
      <c r="AE1377" s="63"/>
      <c r="AF1377" s="156"/>
      <c r="AG1377" s="63"/>
      <c r="AH1377" s="63"/>
      <c r="AI1377" s="74"/>
      <c r="AJ1377" s="156"/>
      <c r="AK1377" s="74"/>
      <c r="AL1377" s="156"/>
      <c r="AM1377" s="74"/>
      <c r="AN1377" s="156"/>
      <c r="AO1377" s="74"/>
      <c r="AP1377" s="363"/>
      <c r="AQ1377" s="363"/>
      <c r="AR1377" s="363"/>
      <c r="AS1377" s="74"/>
      <c r="AT1377" s="74"/>
      <c r="AU1377" s="74"/>
      <c r="AV1377" s="74"/>
      <c r="AW1377" s="74"/>
      <c r="AX1377" s="74"/>
      <c r="AY1377" s="74"/>
      <c r="AZ1377" s="74"/>
      <c r="BA1377" s="74"/>
      <c r="BB1377" s="74"/>
      <c r="BC1377" s="170"/>
      <c r="BD1377" s="156"/>
      <c r="BE1377" s="156"/>
      <c r="BF1377" s="299"/>
      <c r="BG1377" s="74"/>
      <c r="BH1377" s="74"/>
      <c r="BI1377" s="74"/>
      <c r="BJ1377" s="74"/>
      <c r="BK1377" s="74"/>
      <c r="BL1377" s="74"/>
      <c r="BM1377" s="74"/>
      <c r="BN1377" s="74"/>
      <c r="BO1377" s="74"/>
      <c r="BP1377" s="74"/>
      <c r="BQ1377" s="74"/>
      <c r="BR1377" s="74"/>
      <c r="BS1377" s="74"/>
      <c r="BT1377" s="74"/>
      <c r="BU1377" s="74"/>
      <c r="BV1377" s="74"/>
      <c r="BW1377" s="74"/>
      <c r="BX1377" s="74"/>
      <c r="BY1377" s="63"/>
      <c r="BZ1377" s="63"/>
    </row>
    <row r="1378" ht="15.75" customHeight="1">
      <c r="A1378" s="201"/>
      <c r="B1378" s="74"/>
      <c r="C1378" s="74"/>
      <c r="D1378" s="74"/>
      <c r="E1378" s="156"/>
      <c r="F1378" s="78">
        <v>0.0</v>
      </c>
      <c r="G1378" s="44" t="str">
        <f t="shared" si="35"/>
        <v>$0 a $100'000.000</v>
      </c>
      <c r="H1378" s="44"/>
      <c r="I1378" s="44"/>
      <c r="J1378" s="74"/>
      <c r="K1378" s="359"/>
      <c r="L1378" s="74"/>
      <c r="M1378" s="74"/>
      <c r="N1378" s="74"/>
      <c r="O1378" s="74"/>
      <c r="P1378" s="74"/>
      <c r="Q1378" s="74"/>
      <c r="R1378" s="362"/>
      <c r="S1378" s="56" t="str">
        <f t="shared" si="36"/>
        <v> </v>
      </c>
      <c r="T1378" s="74"/>
      <c r="U1378" s="359"/>
      <c r="V1378" s="74"/>
      <c r="W1378" s="74"/>
      <c r="X1378" s="74"/>
      <c r="Y1378" s="74"/>
      <c r="Z1378" s="364"/>
      <c r="AA1378" s="59" t="str">
        <f>IF(Rentabilidad=0,"No aplica",TEXT(ROUND(Precio/Rentabilidad/12,0),0) &amp; " años")</f>
        <v>No aplica</v>
      </c>
      <c r="AB1378" s="360"/>
      <c r="AC1378" s="61"/>
      <c r="AD1378" s="62"/>
      <c r="AE1378" s="63"/>
      <c r="AF1378" s="156"/>
      <c r="AG1378" s="63"/>
      <c r="AH1378" s="63"/>
      <c r="AI1378" s="74"/>
      <c r="AJ1378" s="156"/>
      <c r="AK1378" s="74"/>
      <c r="AL1378" s="156"/>
      <c r="AM1378" s="74"/>
      <c r="AN1378" s="156"/>
      <c r="AO1378" s="74"/>
      <c r="AP1378" s="363"/>
      <c r="AQ1378" s="363"/>
      <c r="AR1378" s="363"/>
      <c r="AS1378" s="74"/>
      <c r="AT1378" s="74"/>
      <c r="AU1378" s="74"/>
      <c r="AV1378" s="74"/>
      <c r="AW1378" s="74"/>
      <c r="AX1378" s="74"/>
      <c r="AY1378" s="74"/>
      <c r="AZ1378" s="74"/>
      <c r="BA1378" s="74"/>
      <c r="BB1378" s="74"/>
      <c r="BC1378" s="170"/>
      <c r="BD1378" s="156"/>
      <c r="BE1378" s="156"/>
      <c r="BF1378" s="299"/>
      <c r="BG1378" s="74"/>
      <c r="BH1378" s="74"/>
      <c r="BI1378" s="74"/>
      <c r="BJ1378" s="74"/>
      <c r="BK1378" s="74"/>
      <c r="BL1378" s="74"/>
      <c r="BM1378" s="74"/>
      <c r="BN1378" s="74"/>
      <c r="BO1378" s="74"/>
      <c r="BP1378" s="74"/>
      <c r="BQ1378" s="74"/>
      <c r="BR1378" s="74"/>
      <c r="BS1378" s="74"/>
      <c r="BT1378" s="74"/>
      <c r="BU1378" s="74"/>
      <c r="BV1378" s="74"/>
      <c r="BW1378" s="74"/>
      <c r="BX1378" s="74"/>
      <c r="BY1378" s="63"/>
      <c r="BZ1378" s="63"/>
    </row>
    <row r="1379" ht="15.75" customHeight="1">
      <c r="A1379" s="201"/>
      <c r="B1379" s="74"/>
      <c r="C1379" s="74"/>
      <c r="D1379" s="74"/>
      <c r="E1379" s="156"/>
      <c r="F1379" s="78">
        <v>0.0</v>
      </c>
      <c r="G1379" s="44" t="str">
        <f t="shared" si="35"/>
        <v>$0 a $100'000.000</v>
      </c>
      <c r="H1379" s="44"/>
      <c r="I1379" s="44"/>
      <c r="J1379" s="74"/>
      <c r="K1379" s="359"/>
      <c r="L1379" s="74"/>
      <c r="M1379" s="74"/>
      <c r="N1379" s="74"/>
      <c r="O1379" s="74"/>
      <c r="P1379" s="74"/>
      <c r="Q1379" s="74"/>
      <c r="R1379" s="362"/>
      <c r="S1379" s="56" t="str">
        <f t="shared" si="36"/>
        <v> </v>
      </c>
      <c r="T1379" s="74"/>
      <c r="U1379" s="359"/>
      <c r="V1379" s="74"/>
      <c r="W1379" s="74"/>
      <c r="X1379" s="74"/>
      <c r="Y1379" s="74"/>
      <c r="Z1379" s="364"/>
      <c r="AA1379" s="59" t="str">
        <f>IF(Rentabilidad=0,"No aplica",TEXT(ROUND(Precio/Rentabilidad/12,0),0) &amp; " años")</f>
        <v>No aplica</v>
      </c>
      <c r="AB1379" s="360"/>
      <c r="AC1379" s="61"/>
      <c r="AD1379" s="62"/>
      <c r="AE1379" s="63"/>
      <c r="AF1379" s="156"/>
      <c r="AG1379" s="63"/>
      <c r="AH1379" s="63"/>
      <c r="AI1379" s="74"/>
      <c r="AJ1379" s="156"/>
      <c r="AK1379" s="74"/>
      <c r="AL1379" s="156"/>
      <c r="AM1379" s="74"/>
      <c r="AN1379" s="156"/>
      <c r="AO1379" s="74"/>
      <c r="AP1379" s="363"/>
      <c r="AQ1379" s="363"/>
      <c r="AR1379" s="363"/>
      <c r="AS1379" s="74"/>
      <c r="AT1379" s="74"/>
      <c r="AU1379" s="74"/>
      <c r="AV1379" s="74"/>
      <c r="AW1379" s="74"/>
      <c r="AX1379" s="74"/>
      <c r="AY1379" s="74"/>
      <c r="AZ1379" s="74"/>
      <c r="BA1379" s="74"/>
      <c r="BB1379" s="74"/>
      <c r="BC1379" s="170"/>
      <c r="BD1379" s="156"/>
      <c r="BE1379" s="156"/>
      <c r="BF1379" s="299"/>
      <c r="BG1379" s="74"/>
      <c r="BH1379" s="74"/>
      <c r="BI1379" s="74"/>
      <c r="BJ1379" s="74"/>
      <c r="BK1379" s="74"/>
      <c r="BL1379" s="74"/>
      <c r="BM1379" s="74"/>
      <c r="BN1379" s="74"/>
      <c r="BO1379" s="74"/>
      <c r="BP1379" s="74"/>
      <c r="BQ1379" s="74"/>
      <c r="BR1379" s="74"/>
      <c r="BS1379" s="74"/>
      <c r="BT1379" s="74"/>
      <c r="BU1379" s="74"/>
      <c r="BV1379" s="74"/>
      <c r="BW1379" s="74"/>
      <c r="BX1379" s="74"/>
      <c r="BY1379" s="63"/>
      <c r="BZ1379" s="63"/>
    </row>
    <row r="1380" ht="15.75" customHeight="1">
      <c r="A1380" s="201"/>
      <c r="B1380" s="74"/>
      <c r="C1380" s="74"/>
      <c r="D1380" s="74"/>
      <c r="E1380" s="156"/>
      <c r="F1380" s="78">
        <v>0.0</v>
      </c>
      <c r="G1380" s="44" t="str">
        <f t="shared" si="35"/>
        <v>$0 a $100'000.000</v>
      </c>
      <c r="H1380" s="44"/>
      <c r="I1380" s="44"/>
      <c r="J1380" s="74"/>
      <c r="K1380" s="359"/>
      <c r="L1380" s="74"/>
      <c r="M1380" s="74"/>
      <c r="N1380" s="74"/>
      <c r="O1380" s="74"/>
      <c r="P1380" s="74"/>
      <c r="Q1380" s="74"/>
      <c r="R1380" s="362"/>
      <c r="S1380" s="56" t="str">
        <f t="shared" si="36"/>
        <v> </v>
      </c>
      <c r="T1380" s="74"/>
      <c r="U1380" s="359"/>
      <c r="V1380" s="74"/>
      <c r="W1380" s="74"/>
      <c r="X1380" s="74"/>
      <c r="Y1380" s="74"/>
      <c r="Z1380" s="364"/>
      <c r="AA1380" s="59" t="str">
        <f>IF(Rentabilidad=0,"No aplica",TEXT(ROUND(Precio/Rentabilidad/12,0),0) &amp; " años")</f>
        <v>No aplica</v>
      </c>
      <c r="AB1380" s="360"/>
      <c r="AC1380" s="61"/>
      <c r="AD1380" s="62"/>
      <c r="AE1380" s="63"/>
      <c r="AF1380" s="156"/>
      <c r="AG1380" s="63"/>
      <c r="AH1380" s="63"/>
      <c r="AI1380" s="74"/>
      <c r="AJ1380" s="156"/>
      <c r="AK1380" s="74"/>
      <c r="AL1380" s="156"/>
      <c r="AM1380" s="74"/>
      <c r="AN1380" s="156"/>
      <c r="AO1380" s="74"/>
      <c r="AP1380" s="363"/>
      <c r="AQ1380" s="363"/>
      <c r="AR1380" s="363"/>
      <c r="AS1380" s="74"/>
      <c r="AT1380" s="74"/>
      <c r="AU1380" s="74"/>
      <c r="AV1380" s="74"/>
      <c r="AW1380" s="74"/>
      <c r="AX1380" s="74"/>
      <c r="AY1380" s="74"/>
      <c r="AZ1380" s="74"/>
      <c r="BA1380" s="74"/>
      <c r="BB1380" s="74"/>
      <c r="BC1380" s="170"/>
      <c r="BD1380" s="156"/>
      <c r="BE1380" s="156"/>
      <c r="BF1380" s="299"/>
      <c r="BG1380" s="74"/>
      <c r="BH1380" s="74"/>
      <c r="BI1380" s="74"/>
      <c r="BJ1380" s="74"/>
      <c r="BK1380" s="74"/>
      <c r="BL1380" s="74"/>
      <c r="BM1380" s="74"/>
      <c r="BN1380" s="74"/>
      <c r="BO1380" s="74"/>
      <c r="BP1380" s="74"/>
      <c r="BQ1380" s="74"/>
      <c r="BR1380" s="74"/>
      <c r="BS1380" s="74"/>
      <c r="BT1380" s="74"/>
      <c r="BU1380" s="74"/>
      <c r="BV1380" s="74"/>
      <c r="BW1380" s="74"/>
      <c r="BX1380" s="74"/>
      <c r="BY1380" s="63"/>
      <c r="BZ1380" s="63"/>
    </row>
    <row r="1381" ht="15.75" customHeight="1">
      <c r="A1381" s="201"/>
      <c r="B1381" s="74"/>
      <c r="C1381" s="74"/>
      <c r="D1381" s="74"/>
      <c r="E1381" s="156"/>
      <c r="F1381" s="78">
        <v>0.0</v>
      </c>
      <c r="G1381" s="44" t="str">
        <f t="shared" si="35"/>
        <v>$0 a $100'000.000</v>
      </c>
      <c r="H1381" s="44"/>
      <c r="I1381" s="44"/>
      <c r="J1381" s="74"/>
      <c r="K1381" s="359"/>
      <c r="L1381" s="74"/>
      <c r="M1381" s="74"/>
      <c r="N1381" s="74"/>
      <c r="O1381" s="74"/>
      <c r="P1381" s="74"/>
      <c r="Q1381" s="74"/>
      <c r="R1381" s="362"/>
      <c r="S1381" s="56" t="str">
        <f t="shared" si="36"/>
        <v> </v>
      </c>
      <c r="T1381" s="74"/>
      <c r="U1381" s="359"/>
      <c r="V1381" s="74"/>
      <c r="W1381" s="74"/>
      <c r="X1381" s="74"/>
      <c r="Y1381" s="74"/>
      <c r="Z1381" s="364"/>
      <c r="AA1381" s="59" t="str">
        <f>IF(Rentabilidad=0,"No aplica",TEXT(ROUND(Precio/Rentabilidad/12,0),0) &amp; " años")</f>
        <v>No aplica</v>
      </c>
      <c r="AB1381" s="360"/>
      <c r="AC1381" s="61"/>
      <c r="AD1381" s="62"/>
      <c r="AE1381" s="63"/>
      <c r="AF1381" s="156"/>
      <c r="AG1381" s="63"/>
      <c r="AH1381" s="63"/>
      <c r="AI1381" s="74"/>
      <c r="AJ1381" s="156"/>
      <c r="AK1381" s="74"/>
      <c r="AL1381" s="156"/>
      <c r="AM1381" s="74"/>
      <c r="AN1381" s="156"/>
      <c r="AO1381" s="74"/>
      <c r="AP1381" s="363"/>
      <c r="AQ1381" s="363"/>
      <c r="AR1381" s="363"/>
      <c r="AS1381" s="74"/>
      <c r="AT1381" s="74"/>
      <c r="AU1381" s="74"/>
      <c r="AV1381" s="74"/>
      <c r="AW1381" s="74"/>
      <c r="AX1381" s="74"/>
      <c r="AY1381" s="74"/>
      <c r="AZ1381" s="74"/>
      <c r="BA1381" s="74"/>
      <c r="BB1381" s="74"/>
      <c r="BC1381" s="170"/>
      <c r="BD1381" s="156"/>
      <c r="BE1381" s="156"/>
      <c r="BF1381" s="299"/>
      <c r="BG1381" s="74"/>
      <c r="BH1381" s="74"/>
      <c r="BI1381" s="74"/>
      <c r="BJ1381" s="74"/>
      <c r="BK1381" s="74"/>
      <c r="BL1381" s="74"/>
      <c r="BM1381" s="74"/>
      <c r="BN1381" s="74"/>
      <c r="BO1381" s="74"/>
      <c r="BP1381" s="74"/>
      <c r="BQ1381" s="74"/>
      <c r="BR1381" s="74"/>
      <c r="BS1381" s="74"/>
      <c r="BT1381" s="74"/>
      <c r="BU1381" s="74"/>
      <c r="BV1381" s="74"/>
      <c r="BW1381" s="74"/>
      <c r="BX1381" s="74"/>
      <c r="BY1381" s="63"/>
      <c r="BZ1381" s="63"/>
    </row>
    <row r="1382" ht="15.75" customHeight="1">
      <c r="A1382" s="201"/>
      <c r="B1382" s="74"/>
      <c r="C1382" s="74"/>
      <c r="D1382" s="74"/>
      <c r="E1382" s="156"/>
      <c r="F1382" s="78">
        <v>0.0</v>
      </c>
      <c r="G1382" s="44" t="str">
        <f t="shared" si="35"/>
        <v>$0 a $100'000.000</v>
      </c>
      <c r="H1382" s="44"/>
      <c r="I1382" s="44"/>
      <c r="J1382" s="74"/>
      <c r="K1382" s="359"/>
      <c r="L1382" s="74"/>
      <c r="M1382" s="74"/>
      <c r="N1382" s="74"/>
      <c r="O1382" s="74"/>
      <c r="P1382" s="74"/>
      <c r="Q1382" s="74"/>
      <c r="R1382" s="362"/>
      <c r="S1382" s="56" t="str">
        <f t="shared" si="36"/>
        <v> </v>
      </c>
      <c r="T1382" s="74"/>
      <c r="U1382" s="359"/>
      <c r="V1382" s="74"/>
      <c r="W1382" s="74"/>
      <c r="X1382" s="74"/>
      <c r="Y1382" s="74"/>
      <c r="Z1382" s="364"/>
      <c r="AA1382" s="59" t="str">
        <f>IF(Rentabilidad=0,"No aplica",TEXT(ROUND(Precio/Rentabilidad/12,0),0) &amp; " años")</f>
        <v>No aplica</v>
      </c>
      <c r="AB1382" s="360"/>
      <c r="AC1382" s="61"/>
      <c r="AD1382" s="62"/>
      <c r="AE1382" s="63"/>
      <c r="AF1382" s="156"/>
      <c r="AG1382" s="63"/>
      <c r="AH1382" s="63"/>
      <c r="AI1382" s="74"/>
      <c r="AJ1382" s="156"/>
      <c r="AK1382" s="74"/>
      <c r="AL1382" s="156"/>
      <c r="AM1382" s="74"/>
      <c r="AN1382" s="156"/>
      <c r="AO1382" s="74"/>
      <c r="AP1382" s="363"/>
      <c r="AQ1382" s="363"/>
      <c r="AR1382" s="363"/>
      <c r="AS1382" s="74"/>
      <c r="AT1382" s="74"/>
      <c r="AU1382" s="74"/>
      <c r="AV1382" s="74"/>
      <c r="AW1382" s="74"/>
      <c r="AX1382" s="74"/>
      <c r="AY1382" s="74"/>
      <c r="AZ1382" s="74"/>
      <c r="BA1382" s="74"/>
      <c r="BB1382" s="74"/>
      <c r="BC1382" s="170"/>
      <c r="BD1382" s="156"/>
      <c r="BE1382" s="156"/>
      <c r="BF1382" s="299"/>
      <c r="BG1382" s="74"/>
      <c r="BH1382" s="74"/>
      <c r="BI1382" s="74"/>
      <c r="BJ1382" s="74"/>
      <c r="BK1382" s="74"/>
      <c r="BL1382" s="74"/>
      <c r="BM1382" s="74"/>
      <c r="BN1382" s="74"/>
      <c r="BO1382" s="74"/>
      <c r="BP1382" s="74"/>
      <c r="BQ1382" s="74"/>
      <c r="BR1382" s="74"/>
      <c r="BS1382" s="74"/>
      <c r="BT1382" s="74"/>
      <c r="BU1382" s="74"/>
      <c r="BV1382" s="74"/>
      <c r="BW1382" s="74"/>
      <c r="BX1382" s="74"/>
      <c r="BY1382" s="63"/>
      <c r="BZ1382" s="63"/>
    </row>
    <row r="1383" ht="15.75" customHeight="1">
      <c r="A1383" s="201"/>
      <c r="B1383" s="74"/>
      <c r="C1383" s="74"/>
      <c r="D1383" s="74"/>
      <c r="E1383" s="156"/>
      <c r="F1383" s="78">
        <v>0.0</v>
      </c>
      <c r="G1383" s="44" t="str">
        <f t="shared" si="35"/>
        <v>$0 a $100'000.000</v>
      </c>
      <c r="H1383" s="44"/>
      <c r="I1383" s="44"/>
      <c r="J1383" s="74"/>
      <c r="K1383" s="359"/>
      <c r="L1383" s="74"/>
      <c r="M1383" s="74"/>
      <c r="N1383" s="74"/>
      <c r="O1383" s="74"/>
      <c r="P1383" s="74"/>
      <c r="Q1383" s="74"/>
      <c r="R1383" s="362"/>
      <c r="S1383" s="56" t="str">
        <f t="shared" si="36"/>
        <v> </v>
      </c>
      <c r="T1383" s="74"/>
      <c r="U1383" s="359"/>
      <c r="V1383" s="74"/>
      <c r="W1383" s="74"/>
      <c r="X1383" s="74"/>
      <c r="Y1383" s="74"/>
      <c r="Z1383" s="364"/>
      <c r="AA1383" s="59" t="str">
        <f>IF(Rentabilidad=0,"No aplica",TEXT(ROUND(Precio/Rentabilidad/12,0),0) &amp; " años")</f>
        <v>No aplica</v>
      </c>
      <c r="AB1383" s="360"/>
      <c r="AC1383" s="61"/>
      <c r="AD1383" s="62"/>
      <c r="AE1383" s="63"/>
      <c r="AF1383" s="156"/>
      <c r="AG1383" s="63"/>
      <c r="AH1383" s="63"/>
      <c r="AI1383" s="74"/>
      <c r="AJ1383" s="156"/>
      <c r="AK1383" s="74"/>
      <c r="AL1383" s="156"/>
      <c r="AM1383" s="74"/>
      <c r="AN1383" s="156"/>
      <c r="AO1383" s="74"/>
      <c r="AP1383" s="363"/>
      <c r="AQ1383" s="363"/>
      <c r="AR1383" s="363"/>
      <c r="AS1383" s="74"/>
      <c r="AT1383" s="74"/>
      <c r="AU1383" s="74"/>
      <c r="AV1383" s="74"/>
      <c r="AW1383" s="74"/>
      <c r="AX1383" s="74"/>
      <c r="AY1383" s="74"/>
      <c r="AZ1383" s="74"/>
      <c r="BA1383" s="74"/>
      <c r="BB1383" s="74"/>
      <c r="BC1383" s="170"/>
      <c r="BD1383" s="156"/>
      <c r="BE1383" s="156"/>
      <c r="BF1383" s="299"/>
      <c r="BG1383" s="74"/>
      <c r="BH1383" s="74"/>
      <c r="BI1383" s="74"/>
      <c r="BJ1383" s="74"/>
      <c r="BK1383" s="74"/>
      <c r="BL1383" s="74"/>
      <c r="BM1383" s="74"/>
      <c r="BN1383" s="74"/>
      <c r="BO1383" s="74"/>
      <c r="BP1383" s="74"/>
      <c r="BQ1383" s="74"/>
      <c r="BR1383" s="74"/>
      <c r="BS1383" s="74"/>
      <c r="BT1383" s="74"/>
      <c r="BU1383" s="74"/>
      <c r="BV1383" s="74"/>
      <c r="BW1383" s="74"/>
      <c r="BX1383" s="74"/>
      <c r="BY1383" s="63"/>
      <c r="BZ1383" s="63"/>
    </row>
    <row r="1384" ht="15.75" customHeight="1">
      <c r="A1384" s="201"/>
      <c r="B1384" s="74"/>
      <c r="C1384" s="74"/>
      <c r="D1384" s="74"/>
      <c r="E1384" s="156"/>
      <c r="F1384" s="78">
        <v>0.0</v>
      </c>
      <c r="G1384" s="44" t="str">
        <f t="shared" si="35"/>
        <v>$0 a $100'000.000</v>
      </c>
      <c r="H1384" s="44"/>
      <c r="I1384" s="44"/>
      <c r="J1384" s="74"/>
      <c r="K1384" s="359"/>
      <c r="L1384" s="74"/>
      <c r="M1384" s="74"/>
      <c r="N1384" s="74"/>
      <c r="O1384" s="74"/>
      <c r="P1384" s="74"/>
      <c r="Q1384" s="74"/>
      <c r="R1384" s="362"/>
      <c r="S1384" s="56" t="str">
        <f t="shared" si="36"/>
        <v> </v>
      </c>
      <c r="T1384" s="74"/>
      <c r="U1384" s="359"/>
      <c r="V1384" s="74"/>
      <c r="W1384" s="74"/>
      <c r="X1384" s="74"/>
      <c r="Y1384" s="74"/>
      <c r="Z1384" s="364"/>
      <c r="AA1384" s="59" t="str">
        <f>IF(Rentabilidad=0,"No aplica",TEXT(ROUND(Precio/Rentabilidad/12,0),0) &amp; " años")</f>
        <v>No aplica</v>
      </c>
      <c r="AB1384" s="360"/>
      <c r="AC1384" s="61"/>
      <c r="AD1384" s="62"/>
      <c r="AE1384" s="63"/>
      <c r="AF1384" s="156"/>
      <c r="AG1384" s="63"/>
      <c r="AH1384" s="63"/>
      <c r="AI1384" s="74"/>
      <c r="AJ1384" s="156"/>
      <c r="AK1384" s="74"/>
      <c r="AL1384" s="156"/>
      <c r="AM1384" s="74"/>
      <c r="AN1384" s="156"/>
      <c r="AO1384" s="74"/>
      <c r="AP1384" s="363"/>
      <c r="AQ1384" s="363"/>
      <c r="AR1384" s="363"/>
      <c r="AS1384" s="74"/>
      <c r="AT1384" s="74"/>
      <c r="AU1384" s="74"/>
      <c r="AV1384" s="74"/>
      <c r="AW1384" s="74"/>
      <c r="AX1384" s="74"/>
      <c r="AY1384" s="74"/>
      <c r="AZ1384" s="74"/>
      <c r="BA1384" s="74"/>
      <c r="BB1384" s="74"/>
      <c r="BC1384" s="170"/>
      <c r="BD1384" s="156"/>
      <c r="BE1384" s="156"/>
      <c r="BF1384" s="299"/>
      <c r="BG1384" s="74"/>
      <c r="BH1384" s="74"/>
      <c r="BI1384" s="74"/>
      <c r="BJ1384" s="74"/>
      <c r="BK1384" s="74"/>
      <c r="BL1384" s="74"/>
      <c r="BM1384" s="74"/>
      <c r="BN1384" s="74"/>
      <c r="BO1384" s="74"/>
      <c r="BP1384" s="74"/>
      <c r="BQ1384" s="74"/>
      <c r="BR1384" s="74"/>
      <c r="BS1384" s="74"/>
      <c r="BT1384" s="74"/>
      <c r="BU1384" s="74"/>
      <c r="BV1384" s="74"/>
      <c r="BW1384" s="74"/>
      <c r="BX1384" s="74"/>
      <c r="BY1384" s="63"/>
      <c r="BZ1384" s="63"/>
    </row>
    <row r="1385" ht="15.75" customHeight="1">
      <c r="A1385" s="201"/>
      <c r="B1385" s="74"/>
      <c r="C1385" s="74"/>
      <c r="D1385" s="74"/>
      <c r="E1385" s="156"/>
      <c r="F1385" s="78">
        <v>0.0</v>
      </c>
      <c r="G1385" s="44" t="str">
        <f t="shared" si="35"/>
        <v>$0 a $100'000.000</v>
      </c>
      <c r="H1385" s="44"/>
      <c r="I1385" s="44"/>
      <c r="J1385" s="74"/>
      <c r="K1385" s="359"/>
      <c r="L1385" s="74"/>
      <c r="M1385" s="74"/>
      <c r="N1385" s="74"/>
      <c r="O1385" s="74"/>
      <c r="P1385" s="74"/>
      <c r="Q1385" s="74"/>
      <c r="R1385" s="362"/>
      <c r="S1385" s="56" t="str">
        <f t="shared" si="36"/>
        <v> </v>
      </c>
      <c r="T1385" s="74"/>
      <c r="U1385" s="359"/>
      <c r="V1385" s="74"/>
      <c r="W1385" s="74"/>
      <c r="X1385" s="74"/>
      <c r="Y1385" s="74"/>
      <c r="Z1385" s="364"/>
      <c r="AA1385" s="59" t="str">
        <f>IF(Rentabilidad=0,"No aplica",TEXT(ROUND(Precio/Rentabilidad/12,0),0) &amp; " años")</f>
        <v>No aplica</v>
      </c>
      <c r="AB1385" s="360"/>
      <c r="AC1385" s="61"/>
      <c r="AD1385" s="62"/>
      <c r="AE1385" s="63"/>
      <c r="AF1385" s="156"/>
      <c r="AG1385" s="63"/>
      <c r="AH1385" s="63"/>
      <c r="AI1385" s="74"/>
      <c r="AJ1385" s="156"/>
      <c r="AK1385" s="74"/>
      <c r="AL1385" s="156"/>
      <c r="AM1385" s="74"/>
      <c r="AN1385" s="156"/>
      <c r="AO1385" s="74"/>
      <c r="AP1385" s="363"/>
      <c r="AQ1385" s="363"/>
      <c r="AR1385" s="363"/>
      <c r="AS1385" s="74"/>
      <c r="AT1385" s="74"/>
      <c r="AU1385" s="74"/>
      <c r="AV1385" s="74"/>
      <c r="AW1385" s="74"/>
      <c r="AX1385" s="74"/>
      <c r="AY1385" s="74"/>
      <c r="AZ1385" s="74"/>
      <c r="BA1385" s="74"/>
      <c r="BB1385" s="74"/>
      <c r="BC1385" s="170"/>
      <c r="BD1385" s="156"/>
      <c r="BE1385" s="156"/>
      <c r="BF1385" s="299"/>
      <c r="BG1385" s="74"/>
      <c r="BH1385" s="74"/>
      <c r="BI1385" s="74"/>
      <c r="BJ1385" s="74"/>
      <c r="BK1385" s="74"/>
      <c r="BL1385" s="74"/>
      <c r="BM1385" s="74"/>
      <c r="BN1385" s="74"/>
      <c r="BO1385" s="74"/>
      <c r="BP1385" s="74"/>
      <c r="BQ1385" s="74"/>
      <c r="BR1385" s="74"/>
      <c r="BS1385" s="74"/>
      <c r="BT1385" s="74"/>
      <c r="BU1385" s="74"/>
      <c r="BV1385" s="74"/>
      <c r="BW1385" s="74"/>
      <c r="BX1385" s="74"/>
      <c r="BY1385" s="63"/>
      <c r="BZ1385" s="63"/>
    </row>
    <row r="1386" ht="15.75" customHeight="1">
      <c r="A1386" s="201"/>
      <c r="B1386" s="74"/>
      <c r="C1386" s="74"/>
      <c r="D1386" s="74"/>
      <c r="E1386" s="156"/>
      <c r="F1386" s="78">
        <v>0.0</v>
      </c>
      <c r="G1386" s="44" t="str">
        <f t="shared" si="35"/>
        <v>$0 a $100'000.000</v>
      </c>
      <c r="H1386" s="44"/>
      <c r="I1386" s="44"/>
      <c r="J1386" s="74"/>
      <c r="K1386" s="359"/>
      <c r="L1386" s="74"/>
      <c r="M1386" s="74"/>
      <c r="N1386" s="74"/>
      <c r="O1386" s="74"/>
      <c r="P1386" s="74"/>
      <c r="Q1386" s="74"/>
      <c r="R1386" s="362"/>
      <c r="S1386" s="56" t="str">
        <f t="shared" si="36"/>
        <v> </v>
      </c>
      <c r="T1386" s="74"/>
      <c r="U1386" s="359"/>
      <c r="V1386" s="74"/>
      <c r="W1386" s="74"/>
      <c r="X1386" s="74"/>
      <c r="Y1386" s="74"/>
      <c r="Z1386" s="364"/>
      <c r="AA1386" s="59" t="str">
        <f>IF(Rentabilidad=0,"No aplica",TEXT(ROUND(Precio/Rentabilidad/12,0),0) &amp; " años")</f>
        <v>No aplica</v>
      </c>
      <c r="AB1386" s="360"/>
      <c r="AC1386" s="61"/>
      <c r="AD1386" s="62"/>
      <c r="AE1386" s="63"/>
      <c r="AF1386" s="156"/>
      <c r="AG1386" s="63"/>
      <c r="AH1386" s="63"/>
      <c r="AI1386" s="74"/>
      <c r="AJ1386" s="156"/>
      <c r="AK1386" s="74"/>
      <c r="AL1386" s="156"/>
      <c r="AM1386" s="74"/>
      <c r="AN1386" s="156"/>
      <c r="AO1386" s="74"/>
      <c r="AP1386" s="363"/>
      <c r="AQ1386" s="363"/>
      <c r="AR1386" s="363"/>
      <c r="AS1386" s="74"/>
      <c r="AT1386" s="74"/>
      <c r="AU1386" s="74"/>
      <c r="AV1386" s="74"/>
      <c r="AW1386" s="74"/>
      <c r="AX1386" s="74"/>
      <c r="AY1386" s="74"/>
      <c r="AZ1386" s="74"/>
      <c r="BA1386" s="74"/>
      <c r="BB1386" s="74"/>
      <c r="BC1386" s="170"/>
      <c r="BD1386" s="156"/>
      <c r="BE1386" s="156"/>
      <c r="BF1386" s="299"/>
      <c r="BG1386" s="74"/>
      <c r="BH1386" s="74"/>
      <c r="BI1386" s="74"/>
      <c r="BJ1386" s="74"/>
      <c r="BK1386" s="74"/>
      <c r="BL1386" s="74"/>
      <c r="BM1386" s="74"/>
      <c r="BN1386" s="74"/>
      <c r="BO1386" s="74"/>
      <c r="BP1386" s="74"/>
      <c r="BQ1386" s="74"/>
      <c r="BR1386" s="74"/>
      <c r="BS1386" s="74"/>
      <c r="BT1386" s="74"/>
      <c r="BU1386" s="74"/>
      <c r="BV1386" s="74"/>
      <c r="BW1386" s="74"/>
      <c r="BX1386" s="74"/>
      <c r="BY1386" s="63"/>
      <c r="BZ1386" s="63"/>
    </row>
    <row r="1387" ht="15.75" customHeight="1">
      <c r="A1387" s="201"/>
      <c r="B1387" s="74"/>
      <c r="C1387" s="74"/>
      <c r="D1387" s="74"/>
      <c r="E1387" s="156"/>
      <c r="F1387" s="78">
        <v>0.0</v>
      </c>
      <c r="G1387" s="44" t="str">
        <f t="shared" si="35"/>
        <v>$0 a $100'000.000</v>
      </c>
      <c r="H1387" s="44"/>
      <c r="I1387" s="44"/>
      <c r="J1387" s="74"/>
      <c r="K1387" s="359"/>
      <c r="L1387" s="74"/>
      <c r="M1387" s="74"/>
      <c r="N1387" s="74"/>
      <c r="O1387" s="74"/>
      <c r="P1387" s="74"/>
      <c r="Q1387" s="74"/>
      <c r="R1387" s="362"/>
      <c r="S1387" s="56" t="str">
        <f t="shared" si="36"/>
        <v> </v>
      </c>
      <c r="T1387" s="74"/>
      <c r="U1387" s="359"/>
      <c r="V1387" s="74"/>
      <c r="W1387" s="74"/>
      <c r="X1387" s="74"/>
      <c r="Y1387" s="74"/>
      <c r="Z1387" s="364"/>
      <c r="AA1387" s="59" t="str">
        <f>IF(Rentabilidad=0,"No aplica",TEXT(ROUND(Precio/Rentabilidad/12,0),0) &amp; " años")</f>
        <v>No aplica</v>
      </c>
      <c r="AB1387" s="360"/>
      <c r="AC1387" s="61"/>
      <c r="AD1387" s="62"/>
      <c r="AE1387" s="63"/>
      <c r="AF1387" s="156"/>
      <c r="AG1387" s="63"/>
      <c r="AH1387" s="63"/>
      <c r="AI1387" s="74"/>
      <c r="AJ1387" s="156"/>
      <c r="AK1387" s="74"/>
      <c r="AL1387" s="156"/>
      <c r="AM1387" s="74"/>
      <c r="AN1387" s="156"/>
      <c r="AO1387" s="74"/>
      <c r="AP1387" s="363"/>
      <c r="AQ1387" s="363"/>
      <c r="AR1387" s="363"/>
      <c r="AS1387" s="74"/>
      <c r="AT1387" s="74"/>
      <c r="AU1387" s="74"/>
      <c r="AV1387" s="74"/>
      <c r="AW1387" s="74"/>
      <c r="AX1387" s="74"/>
      <c r="AY1387" s="74"/>
      <c r="AZ1387" s="74"/>
      <c r="BA1387" s="74"/>
      <c r="BB1387" s="74"/>
      <c r="BC1387" s="170"/>
      <c r="BD1387" s="156"/>
      <c r="BE1387" s="156"/>
      <c r="BF1387" s="299"/>
      <c r="BG1387" s="74"/>
      <c r="BH1387" s="74"/>
      <c r="BI1387" s="74"/>
      <c r="BJ1387" s="74"/>
      <c r="BK1387" s="74"/>
      <c r="BL1387" s="74"/>
      <c r="BM1387" s="74"/>
      <c r="BN1387" s="74"/>
      <c r="BO1387" s="74"/>
      <c r="BP1387" s="74"/>
      <c r="BQ1387" s="74"/>
      <c r="BR1387" s="74"/>
      <c r="BS1387" s="74"/>
      <c r="BT1387" s="74"/>
      <c r="BU1387" s="74"/>
      <c r="BV1387" s="74"/>
      <c r="BW1387" s="74"/>
      <c r="BX1387" s="74"/>
      <c r="BY1387" s="63"/>
      <c r="BZ1387" s="63"/>
    </row>
    <row r="1388" ht="15.75" customHeight="1">
      <c r="A1388" s="201"/>
      <c r="B1388" s="74"/>
      <c r="C1388" s="74"/>
      <c r="D1388" s="74"/>
      <c r="E1388" s="156"/>
      <c r="F1388" s="78">
        <v>0.0</v>
      </c>
      <c r="G1388" s="44" t="str">
        <f t="shared" si="35"/>
        <v>$0 a $100'000.000</v>
      </c>
      <c r="H1388" s="44"/>
      <c r="I1388" s="44"/>
      <c r="J1388" s="74"/>
      <c r="K1388" s="359"/>
      <c r="L1388" s="74"/>
      <c r="M1388" s="74"/>
      <c r="N1388" s="74"/>
      <c r="O1388" s="74"/>
      <c r="P1388" s="74"/>
      <c r="Q1388" s="74"/>
      <c r="R1388" s="362"/>
      <c r="S1388" s="56" t="str">
        <f t="shared" si="36"/>
        <v> </v>
      </c>
      <c r="T1388" s="74"/>
      <c r="U1388" s="359"/>
      <c r="V1388" s="74"/>
      <c r="W1388" s="74"/>
      <c r="X1388" s="74"/>
      <c r="Y1388" s="74"/>
      <c r="Z1388" s="364"/>
      <c r="AA1388" s="59" t="str">
        <f>IF(Rentabilidad=0,"No aplica",TEXT(ROUND(Precio/Rentabilidad/12,0),0) &amp; " años")</f>
        <v>No aplica</v>
      </c>
      <c r="AB1388" s="360"/>
      <c r="AC1388" s="61"/>
      <c r="AD1388" s="62"/>
      <c r="AE1388" s="63"/>
      <c r="AF1388" s="156"/>
      <c r="AG1388" s="63"/>
      <c r="AH1388" s="63"/>
      <c r="AI1388" s="74"/>
      <c r="AJ1388" s="156"/>
      <c r="AK1388" s="74"/>
      <c r="AL1388" s="156"/>
      <c r="AM1388" s="74"/>
      <c r="AN1388" s="156"/>
      <c r="AO1388" s="74"/>
      <c r="AP1388" s="363"/>
      <c r="AQ1388" s="363"/>
      <c r="AR1388" s="363"/>
      <c r="AS1388" s="74"/>
      <c r="AT1388" s="74"/>
      <c r="AU1388" s="74"/>
      <c r="AV1388" s="74"/>
      <c r="AW1388" s="74"/>
      <c r="AX1388" s="74"/>
      <c r="AY1388" s="74"/>
      <c r="AZ1388" s="74"/>
      <c r="BA1388" s="74"/>
      <c r="BB1388" s="74"/>
      <c r="BC1388" s="170"/>
      <c r="BD1388" s="156"/>
      <c r="BE1388" s="156"/>
      <c r="BF1388" s="299"/>
      <c r="BG1388" s="74"/>
      <c r="BH1388" s="74"/>
      <c r="BI1388" s="74"/>
      <c r="BJ1388" s="74"/>
      <c r="BK1388" s="74"/>
      <c r="BL1388" s="74"/>
      <c r="BM1388" s="74"/>
      <c r="BN1388" s="74"/>
      <c r="BO1388" s="74"/>
      <c r="BP1388" s="74"/>
      <c r="BQ1388" s="74"/>
      <c r="BR1388" s="74"/>
      <c r="BS1388" s="74"/>
      <c r="BT1388" s="74"/>
      <c r="BU1388" s="74"/>
      <c r="BV1388" s="74"/>
      <c r="BW1388" s="74"/>
      <c r="BX1388" s="74"/>
      <c r="BY1388" s="63"/>
      <c r="BZ1388" s="63"/>
    </row>
    <row r="1389" ht="15.75" customHeight="1">
      <c r="A1389" s="201"/>
      <c r="B1389" s="74"/>
      <c r="C1389" s="74"/>
      <c r="D1389" s="74"/>
      <c r="E1389" s="156"/>
      <c r="F1389" s="78">
        <v>0.0</v>
      </c>
      <c r="G1389" s="44" t="str">
        <f t="shared" si="35"/>
        <v>$0 a $100'000.000</v>
      </c>
      <c r="H1389" s="44"/>
      <c r="I1389" s="44"/>
      <c r="J1389" s="74"/>
      <c r="K1389" s="359"/>
      <c r="L1389" s="74"/>
      <c r="M1389" s="74"/>
      <c r="N1389" s="74"/>
      <c r="O1389" s="74"/>
      <c r="P1389" s="74"/>
      <c r="Q1389" s="74"/>
      <c r="R1389" s="362"/>
      <c r="S1389" s="56" t="str">
        <f t="shared" si="36"/>
        <v> </v>
      </c>
      <c r="T1389" s="74"/>
      <c r="U1389" s="359"/>
      <c r="V1389" s="74"/>
      <c r="W1389" s="74"/>
      <c r="X1389" s="74"/>
      <c r="Y1389" s="74"/>
      <c r="Z1389" s="364"/>
      <c r="AA1389" s="59" t="str">
        <f>IF(Rentabilidad=0,"No aplica",TEXT(ROUND(Precio/Rentabilidad/12,0),0) &amp; " años")</f>
        <v>No aplica</v>
      </c>
      <c r="AB1389" s="360"/>
      <c r="AC1389" s="61"/>
      <c r="AD1389" s="62"/>
      <c r="AE1389" s="63"/>
      <c r="AF1389" s="156"/>
      <c r="AG1389" s="63"/>
      <c r="AH1389" s="63"/>
      <c r="AI1389" s="74"/>
      <c r="AJ1389" s="156"/>
      <c r="AK1389" s="74"/>
      <c r="AL1389" s="156"/>
      <c r="AM1389" s="74"/>
      <c r="AN1389" s="156"/>
      <c r="AO1389" s="74"/>
      <c r="AP1389" s="363"/>
      <c r="AQ1389" s="363"/>
      <c r="AR1389" s="363"/>
      <c r="AS1389" s="74"/>
      <c r="AT1389" s="74"/>
      <c r="AU1389" s="74"/>
      <c r="AV1389" s="74"/>
      <c r="AW1389" s="74"/>
      <c r="AX1389" s="74"/>
      <c r="AY1389" s="74"/>
      <c r="AZ1389" s="74"/>
      <c r="BA1389" s="74"/>
      <c r="BB1389" s="74"/>
      <c r="BC1389" s="170"/>
      <c r="BD1389" s="156"/>
      <c r="BE1389" s="156"/>
      <c r="BF1389" s="299"/>
      <c r="BG1389" s="74"/>
      <c r="BH1389" s="74"/>
      <c r="BI1389" s="74"/>
      <c r="BJ1389" s="74"/>
      <c r="BK1389" s="74"/>
      <c r="BL1389" s="74"/>
      <c r="BM1389" s="74"/>
      <c r="BN1389" s="74"/>
      <c r="BO1389" s="74"/>
      <c r="BP1389" s="74"/>
      <c r="BQ1389" s="74"/>
      <c r="BR1389" s="74"/>
      <c r="BS1389" s="74"/>
      <c r="BT1389" s="74"/>
      <c r="BU1389" s="74"/>
      <c r="BV1389" s="74"/>
      <c r="BW1389" s="74"/>
      <c r="BX1389" s="74"/>
      <c r="BY1389" s="63"/>
      <c r="BZ1389" s="63"/>
    </row>
    <row r="1390" ht="15.75" customHeight="1">
      <c r="A1390" s="201"/>
      <c r="B1390" s="74"/>
      <c r="C1390" s="74"/>
      <c r="D1390" s="74"/>
      <c r="E1390" s="156"/>
      <c r="F1390" s="78">
        <v>0.0</v>
      </c>
      <c r="G1390" s="44" t="str">
        <f t="shared" si="35"/>
        <v>$0 a $100'000.000</v>
      </c>
      <c r="H1390" s="44"/>
      <c r="I1390" s="44"/>
      <c r="J1390" s="74"/>
      <c r="K1390" s="359"/>
      <c r="L1390" s="74"/>
      <c r="M1390" s="74"/>
      <c r="N1390" s="74"/>
      <c r="O1390" s="74"/>
      <c r="P1390" s="74"/>
      <c r="Q1390" s="74"/>
      <c r="R1390" s="362"/>
      <c r="S1390" s="56" t="str">
        <f t="shared" si="36"/>
        <v> </v>
      </c>
      <c r="T1390" s="74"/>
      <c r="U1390" s="359"/>
      <c r="V1390" s="74"/>
      <c r="W1390" s="74"/>
      <c r="X1390" s="74"/>
      <c r="Y1390" s="74"/>
      <c r="Z1390" s="364"/>
      <c r="AA1390" s="59" t="str">
        <f>IF(Rentabilidad=0,"No aplica",TEXT(ROUND(Precio/Rentabilidad/12,0),0) &amp; " años")</f>
        <v>No aplica</v>
      </c>
      <c r="AB1390" s="360"/>
      <c r="AC1390" s="61"/>
      <c r="AD1390" s="62"/>
      <c r="AE1390" s="63"/>
      <c r="AF1390" s="156"/>
      <c r="AG1390" s="63"/>
      <c r="AH1390" s="63"/>
      <c r="AI1390" s="74"/>
      <c r="AJ1390" s="156"/>
      <c r="AK1390" s="74"/>
      <c r="AL1390" s="156"/>
      <c r="AM1390" s="74"/>
      <c r="AN1390" s="156"/>
      <c r="AO1390" s="74"/>
      <c r="AP1390" s="363"/>
      <c r="AQ1390" s="363"/>
      <c r="AR1390" s="363"/>
      <c r="AS1390" s="74"/>
      <c r="AT1390" s="74"/>
      <c r="AU1390" s="74"/>
      <c r="AV1390" s="74"/>
      <c r="AW1390" s="74"/>
      <c r="AX1390" s="74"/>
      <c r="AY1390" s="74"/>
      <c r="AZ1390" s="74"/>
      <c r="BA1390" s="74"/>
      <c r="BB1390" s="74"/>
      <c r="BC1390" s="170"/>
      <c r="BD1390" s="156"/>
      <c r="BE1390" s="156"/>
      <c r="BF1390" s="299"/>
      <c r="BG1390" s="74"/>
      <c r="BH1390" s="74"/>
      <c r="BI1390" s="74"/>
      <c r="BJ1390" s="74"/>
      <c r="BK1390" s="74"/>
      <c r="BL1390" s="74"/>
      <c r="BM1390" s="74"/>
      <c r="BN1390" s="74"/>
      <c r="BO1390" s="74"/>
      <c r="BP1390" s="74"/>
      <c r="BQ1390" s="74"/>
      <c r="BR1390" s="74"/>
      <c r="BS1390" s="74"/>
      <c r="BT1390" s="74"/>
      <c r="BU1390" s="74"/>
      <c r="BV1390" s="74"/>
      <c r="BW1390" s="74"/>
      <c r="BX1390" s="74"/>
      <c r="BY1390" s="63"/>
      <c r="BZ1390" s="63"/>
    </row>
    <row r="1391" ht="15.75" customHeight="1">
      <c r="A1391" s="201"/>
      <c r="B1391" s="74"/>
      <c r="C1391" s="74"/>
      <c r="D1391" s="74"/>
      <c r="E1391" s="156"/>
      <c r="F1391" s="78">
        <v>0.0</v>
      </c>
      <c r="G1391" s="44" t="str">
        <f t="shared" si="35"/>
        <v>$0 a $100'000.000</v>
      </c>
      <c r="H1391" s="44"/>
      <c r="I1391" s="44"/>
      <c r="J1391" s="74"/>
      <c r="K1391" s="359"/>
      <c r="L1391" s="74"/>
      <c r="M1391" s="74"/>
      <c r="N1391" s="74"/>
      <c r="O1391" s="74"/>
      <c r="P1391" s="74"/>
      <c r="Q1391" s="74"/>
      <c r="R1391" s="362"/>
      <c r="S1391" s="56" t="str">
        <f t="shared" si="36"/>
        <v> </v>
      </c>
      <c r="T1391" s="74"/>
      <c r="U1391" s="359"/>
      <c r="V1391" s="74"/>
      <c r="W1391" s="74"/>
      <c r="X1391" s="74"/>
      <c r="Y1391" s="74"/>
      <c r="Z1391" s="364"/>
      <c r="AA1391" s="59" t="str">
        <f>IF(Rentabilidad=0,"No aplica",TEXT(ROUND(Precio/Rentabilidad/12,0),0) &amp; " años")</f>
        <v>No aplica</v>
      </c>
      <c r="AB1391" s="360"/>
      <c r="AC1391" s="61"/>
      <c r="AD1391" s="62"/>
      <c r="AE1391" s="63"/>
      <c r="AF1391" s="156"/>
      <c r="AG1391" s="63"/>
      <c r="AH1391" s="63"/>
      <c r="AI1391" s="74"/>
      <c r="AJ1391" s="156"/>
      <c r="AK1391" s="74"/>
      <c r="AL1391" s="156"/>
      <c r="AM1391" s="74"/>
      <c r="AN1391" s="156"/>
      <c r="AO1391" s="74"/>
      <c r="AP1391" s="363"/>
      <c r="AQ1391" s="363"/>
      <c r="AR1391" s="363"/>
      <c r="AS1391" s="74"/>
      <c r="AT1391" s="74"/>
      <c r="AU1391" s="74"/>
      <c r="AV1391" s="74"/>
      <c r="AW1391" s="74"/>
      <c r="AX1391" s="74"/>
      <c r="AY1391" s="74"/>
      <c r="AZ1391" s="74"/>
      <c r="BA1391" s="74"/>
      <c r="BB1391" s="74"/>
      <c r="BC1391" s="170"/>
      <c r="BD1391" s="156"/>
      <c r="BE1391" s="156"/>
      <c r="BF1391" s="299"/>
      <c r="BG1391" s="74"/>
      <c r="BH1391" s="74"/>
      <c r="BI1391" s="74"/>
      <c r="BJ1391" s="74"/>
      <c r="BK1391" s="74"/>
      <c r="BL1391" s="74"/>
      <c r="BM1391" s="74"/>
      <c r="BN1391" s="74"/>
      <c r="BO1391" s="74"/>
      <c r="BP1391" s="74"/>
      <c r="BQ1391" s="74"/>
      <c r="BR1391" s="74"/>
      <c r="BS1391" s="74"/>
      <c r="BT1391" s="74"/>
      <c r="BU1391" s="74"/>
      <c r="BV1391" s="74"/>
      <c r="BW1391" s="74"/>
      <c r="BX1391" s="74"/>
      <c r="BY1391" s="63"/>
      <c r="BZ1391" s="63"/>
    </row>
    <row r="1392" ht="15.75" customHeight="1">
      <c r="A1392" s="201"/>
      <c r="B1392" s="74"/>
      <c r="C1392" s="74"/>
      <c r="D1392" s="74"/>
      <c r="E1392" s="156"/>
      <c r="F1392" s="78">
        <v>0.0</v>
      </c>
      <c r="G1392" s="44" t="str">
        <f t="shared" si="35"/>
        <v>$0 a $100'000.000</v>
      </c>
      <c r="H1392" s="44"/>
      <c r="I1392" s="44"/>
      <c r="J1392" s="74"/>
      <c r="K1392" s="359"/>
      <c r="L1392" s="74"/>
      <c r="M1392" s="74"/>
      <c r="N1392" s="74"/>
      <c r="O1392" s="74"/>
      <c r="P1392" s="74"/>
      <c r="Q1392" s="74"/>
      <c r="R1392" s="362"/>
      <c r="S1392" s="56" t="str">
        <f t="shared" si="36"/>
        <v> </v>
      </c>
      <c r="T1392" s="74"/>
      <c r="U1392" s="359"/>
      <c r="V1392" s="74"/>
      <c r="W1392" s="74"/>
      <c r="X1392" s="74"/>
      <c r="Y1392" s="74"/>
      <c r="Z1392" s="364"/>
      <c r="AA1392" s="59" t="str">
        <f>IF(Rentabilidad=0,"No aplica",TEXT(ROUND(Precio/Rentabilidad/12,0),0) &amp; " años")</f>
        <v>No aplica</v>
      </c>
      <c r="AB1392" s="360"/>
      <c r="AC1392" s="61"/>
      <c r="AD1392" s="62"/>
      <c r="AE1392" s="63"/>
      <c r="AF1392" s="156"/>
      <c r="AG1392" s="63"/>
      <c r="AH1392" s="63"/>
      <c r="AI1392" s="74"/>
      <c r="AJ1392" s="156"/>
      <c r="AK1392" s="74"/>
      <c r="AL1392" s="156"/>
      <c r="AM1392" s="74"/>
      <c r="AN1392" s="156"/>
      <c r="AO1392" s="74"/>
      <c r="AP1392" s="363"/>
      <c r="AQ1392" s="363"/>
      <c r="AR1392" s="363"/>
      <c r="AS1392" s="74"/>
      <c r="AT1392" s="74"/>
      <c r="AU1392" s="74"/>
      <c r="AV1392" s="74"/>
      <c r="AW1392" s="74"/>
      <c r="AX1392" s="74"/>
      <c r="AY1392" s="74"/>
      <c r="AZ1392" s="74"/>
      <c r="BA1392" s="74"/>
      <c r="BB1392" s="74"/>
      <c r="BC1392" s="170"/>
      <c r="BD1392" s="156"/>
      <c r="BE1392" s="156"/>
      <c r="BF1392" s="299"/>
      <c r="BG1392" s="74"/>
      <c r="BH1392" s="74"/>
      <c r="BI1392" s="74"/>
      <c r="BJ1392" s="74"/>
      <c r="BK1392" s="74"/>
      <c r="BL1392" s="74"/>
      <c r="BM1392" s="74"/>
      <c r="BN1392" s="74"/>
      <c r="BO1392" s="74"/>
      <c r="BP1392" s="74"/>
      <c r="BQ1392" s="74"/>
      <c r="BR1392" s="74"/>
      <c r="BS1392" s="74"/>
      <c r="BT1392" s="74"/>
      <c r="BU1392" s="74"/>
      <c r="BV1392" s="74"/>
      <c r="BW1392" s="74"/>
      <c r="BX1392" s="74"/>
      <c r="BY1392" s="63"/>
      <c r="BZ1392" s="63"/>
    </row>
    <row r="1393" ht="15.75" customHeight="1">
      <c r="A1393" s="201"/>
      <c r="B1393" s="74"/>
      <c r="C1393" s="74"/>
      <c r="D1393" s="74"/>
      <c r="E1393" s="156"/>
      <c r="F1393" s="78">
        <v>0.0</v>
      </c>
      <c r="G1393" s="44" t="str">
        <f t="shared" si="35"/>
        <v>$0 a $100'000.000</v>
      </c>
      <c r="H1393" s="44"/>
      <c r="I1393" s="44"/>
      <c r="J1393" s="74"/>
      <c r="K1393" s="359"/>
      <c r="L1393" s="74"/>
      <c r="M1393" s="74"/>
      <c r="N1393" s="74"/>
      <c r="O1393" s="74"/>
      <c r="P1393" s="74"/>
      <c r="Q1393" s="74"/>
      <c r="R1393" s="362"/>
      <c r="S1393" s="56" t="str">
        <f t="shared" si="36"/>
        <v> </v>
      </c>
      <c r="T1393" s="74"/>
      <c r="U1393" s="359"/>
      <c r="V1393" s="74"/>
      <c r="W1393" s="74"/>
      <c r="X1393" s="74"/>
      <c r="Y1393" s="74"/>
      <c r="Z1393" s="364"/>
      <c r="AA1393" s="59" t="str">
        <f>IF(Rentabilidad=0,"No aplica",TEXT(ROUND(Precio/Rentabilidad/12,0),0) &amp; " años")</f>
        <v>No aplica</v>
      </c>
      <c r="AB1393" s="360"/>
      <c r="AC1393" s="61"/>
      <c r="AD1393" s="62"/>
      <c r="AE1393" s="63"/>
      <c r="AF1393" s="156"/>
      <c r="AG1393" s="63"/>
      <c r="AH1393" s="63"/>
      <c r="AI1393" s="74"/>
      <c r="AJ1393" s="156"/>
      <c r="AK1393" s="74"/>
      <c r="AL1393" s="156"/>
      <c r="AM1393" s="74"/>
      <c r="AN1393" s="156"/>
      <c r="AO1393" s="74"/>
      <c r="AP1393" s="363"/>
      <c r="AQ1393" s="363"/>
      <c r="AR1393" s="363"/>
      <c r="AS1393" s="74"/>
      <c r="AT1393" s="74"/>
      <c r="AU1393" s="74"/>
      <c r="AV1393" s="74"/>
      <c r="AW1393" s="74"/>
      <c r="AX1393" s="74"/>
      <c r="AY1393" s="74"/>
      <c r="AZ1393" s="74"/>
      <c r="BA1393" s="74"/>
      <c r="BB1393" s="74"/>
      <c r="BC1393" s="170"/>
      <c r="BD1393" s="156"/>
      <c r="BE1393" s="156"/>
      <c r="BF1393" s="299"/>
      <c r="BG1393" s="74"/>
      <c r="BH1393" s="74"/>
      <c r="BI1393" s="74"/>
      <c r="BJ1393" s="74"/>
      <c r="BK1393" s="74"/>
      <c r="BL1393" s="74"/>
      <c r="BM1393" s="74"/>
      <c r="BN1393" s="74"/>
      <c r="BO1393" s="74"/>
      <c r="BP1393" s="74"/>
      <c r="BQ1393" s="74"/>
      <c r="BR1393" s="74"/>
      <c r="BS1393" s="74"/>
      <c r="BT1393" s="74"/>
      <c r="BU1393" s="74"/>
      <c r="BV1393" s="74"/>
      <c r="BW1393" s="74"/>
      <c r="BX1393" s="74"/>
      <c r="BY1393" s="63"/>
      <c r="BZ1393" s="63"/>
    </row>
    <row r="1394" ht="15.75" customHeight="1">
      <c r="A1394" s="201"/>
      <c r="B1394" s="74"/>
      <c r="C1394" s="74"/>
      <c r="D1394" s="74"/>
      <c r="E1394" s="156"/>
      <c r="F1394" s="78">
        <v>0.0</v>
      </c>
      <c r="G1394" s="44" t="str">
        <f t="shared" si="35"/>
        <v>$0 a $100'000.000</v>
      </c>
      <c r="H1394" s="44"/>
      <c r="I1394" s="44"/>
      <c r="J1394" s="74"/>
      <c r="K1394" s="359"/>
      <c r="L1394" s="74"/>
      <c r="M1394" s="74"/>
      <c r="N1394" s="74"/>
      <c r="O1394" s="74"/>
      <c r="P1394" s="74"/>
      <c r="Q1394" s="74"/>
      <c r="R1394" s="362"/>
      <c r="S1394" s="56" t="str">
        <f t="shared" si="36"/>
        <v> </v>
      </c>
      <c r="T1394" s="74"/>
      <c r="U1394" s="359"/>
      <c r="V1394" s="74"/>
      <c r="W1394" s="74"/>
      <c r="X1394" s="74"/>
      <c r="Y1394" s="74"/>
      <c r="Z1394" s="364"/>
      <c r="AA1394" s="59" t="str">
        <f>IF(Rentabilidad=0,"No aplica",TEXT(ROUND(Precio/Rentabilidad/12,0),0) &amp; " años")</f>
        <v>No aplica</v>
      </c>
      <c r="AB1394" s="360"/>
      <c r="AC1394" s="61"/>
      <c r="AD1394" s="62"/>
      <c r="AE1394" s="63"/>
      <c r="AF1394" s="156"/>
      <c r="AG1394" s="63"/>
      <c r="AH1394" s="63"/>
      <c r="AI1394" s="74"/>
      <c r="AJ1394" s="156"/>
      <c r="AK1394" s="74"/>
      <c r="AL1394" s="156"/>
      <c r="AM1394" s="74"/>
      <c r="AN1394" s="156"/>
      <c r="AO1394" s="74"/>
      <c r="AP1394" s="363"/>
      <c r="AQ1394" s="363"/>
      <c r="AR1394" s="363"/>
      <c r="AS1394" s="74"/>
      <c r="AT1394" s="74"/>
      <c r="AU1394" s="74"/>
      <c r="AV1394" s="74"/>
      <c r="AW1394" s="74"/>
      <c r="AX1394" s="74"/>
      <c r="AY1394" s="74"/>
      <c r="AZ1394" s="74"/>
      <c r="BA1394" s="74"/>
      <c r="BB1394" s="74"/>
      <c r="BC1394" s="170"/>
      <c r="BD1394" s="156"/>
      <c r="BE1394" s="156"/>
      <c r="BF1394" s="299"/>
      <c r="BG1394" s="74"/>
      <c r="BH1394" s="74"/>
      <c r="BI1394" s="74"/>
      <c r="BJ1394" s="74"/>
      <c r="BK1394" s="74"/>
      <c r="BL1394" s="74"/>
      <c r="BM1394" s="74"/>
      <c r="BN1394" s="74"/>
      <c r="BO1394" s="74"/>
      <c r="BP1394" s="74"/>
      <c r="BQ1394" s="74"/>
      <c r="BR1394" s="74"/>
      <c r="BS1394" s="74"/>
      <c r="BT1394" s="74"/>
      <c r="BU1394" s="74"/>
      <c r="BV1394" s="74"/>
      <c r="BW1394" s="74"/>
      <c r="BX1394" s="74"/>
      <c r="BY1394" s="63"/>
      <c r="BZ1394" s="63"/>
    </row>
    <row r="1395" ht="15.75" customHeight="1">
      <c r="A1395" s="201"/>
      <c r="B1395" s="74"/>
      <c r="C1395" s="74"/>
      <c r="D1395" s="74"/>
      <c r="E1395" s="156"/>
      <c r="F1395" s="78">
        <v>0.0</v>
      </c>
      <c r="G1395" s="44" t="str">
        <f t="shared" si="35"/>
        <v>$0 a $100'000.000</v>
      </c>
      <c r="H1395" s="44"/>
      <c r="I1395" s="44"/>
      <c r="J1395" s="74"/>
      <c r="K1395" s="359"/>
      <c r="L1395" s="74"/>
      <c r="M1395" s="74"/>
      <c r="N1395" s="74"/>
      <c r="O1395" s="74"/>
      <c r="P1395" s="74"/>
      <c r="Q1395" s="74"/>
      <c r="R1395" s="362"/>
      <c r="S1395" s="56" t="str">
        <f t="shared" si="36"/>
        <v> </v>
      </c>
      <c r="T1395" s="74"/>
      <c r="U1395" s="359"/>
      <c r="V1395" s="74"/>
      <c r="W1395" s="74"/>
      <c r="X1395" s="74"/>
      <c r="Y1395" s="74"/>
      <c r="Z1395" s="364"/>
      <c r="AA1395" s="59" t="str">
        <f>IF(Rentabilidad=0,"No aplica",TEXT(ROUND(Precio/Rentabilidad/12,0),0) &amp; " años")</f>
        <v>No aplica</v>
      </c>
      <c r="AB1395" s="360"/>
      <c r="AC1395" s="61"/>
      <c r="AD1395" s="62"/>
      <c r="AE1395" s="63"/>
      <c r="AF1395" s="156"/>
      <c r="AG1395" s="63"/>
      <c r="AH1395" s="63"/>
      <c r="AI1395" s="74"/>
      <c r="AJ1395" s="156"/>
      <c r="AK1395" s="74"/>
      <c r="AL1395" s="156"/>
      <c r="AM1395" s="74"/>
      <c r="AN1395" s="156"/>
      <c r="AO1395" s="74"/>
      <c r="AP1395" s="363"/>
      <c r="AQ1395" s="363"/>
      <c r="AR1395" s="363"/>
      <c r="AS1395" s="74"/>
      <c r="AT1395" s="74"/>
      <c r="AU1395" s="74"/>
      <c r="AV1395" s="74"/>
      <c r="AW1395" s="74"/>
      <c r="AX1395" s="74"/>
      <c r="AY1395" s="74"/>
      <c r="AZ1395" s="74"/>
      <c r="BA1395" s="74"/>
      <c r="BB1395" s="74"/>
      <c r="BC1395" s="170"/>
      <c r="BD1395" s="156"/>
      <c r="BE1395" s="156"/>
      <c r="BF1395" s="299"/>
      <c r="BG1395" s="74"/>
      <c r="BH1395" s="74"/>
      <c r="BI1395" s="74"/>
      <c r="BJ1395" s="74"/>
      <c r="BK1395" s="74"/>
      <c r="BL1395" s="74"/>
      <c r="BM1395" s="74"/>
      <c r="BN1395" s="74"/>
      <c r="BO1395" s="74"/>
      <c r="BP1395" s="74"/>
      <c r="BQ1395" s="74"/>
      <c r="BR1395" s="74"/>
      <c r="BS1395" s="74"/>
      <c r="BT1395" s="74"/>
      <c r="BU1395" s="74"/>
      <c r="BV1395" s="74"/>
      <c r="BW1395" s="74"/>
      <c r="BX1395" s="74"/>
      <c r="BY1395" s="63"/>
      <c r="BZ1395" s="63"/>
    </row>
    <row r="1396" ht="15.75" customHeight="1">
      <c r="A1396" s="201"/>
      <c r="B1396" s="74"/>
      <c r="C1396" s="74"/>
      <c r="D1396" s="74"/>
      <c r="E1396" s="156"/>
      <c r="F1396" s="78">
        <v>0.0</v>
      </c>
      <c r="G1396" s="44" t="str">
        <f t="shared" si="35"/>
        <v>$0 a $100'000.000</v>
      </c>
      <c r="H1396" s="44"/>
      <c r="I1396" s="44"/>
      <c r="J1396" s="74"/>
      <c r="K1396" s="359"/>
      <c r="L1396" s="74"/>
      <c r="M1396" s="74"/>
      <c r="N1396" s="74"/>
      <c r="O1396" s="74"/>
      <c r="P1396" s="74"/>
      <c r="Q1396" s="74"/>
      <c r="R1396" s="362"/>
      <c r="S1396" s="56" t="str">
        <f t="shared" si="36"/>
        <v> </v>
      </c>
      <c r="T1396" s="74"/>
      <c r="U1396" s="359"/>
      <c r="V1396" s="74"/>
      <c r="W1396" s="74"/>
      <c r="X1396" s="74"/>
      <c r="Y1396" s="74"/>
      <c r="Z1396" s="364"/>
      <c r="AA1396" s="59" t="str">
        <f>IF(Rentabilidad=0,"No aplica",TEXT(ROUND(Precio/Rentabilidad/12,0),0) &amp; " años")</f>
        <v>No aplica</v>
      </c>
      <c r="AB1396" s="360"/>
      <c r="AC1396" s="61"/>
      <c r="AD1396" s="62"/>
      <c r="AE1396" s="63"/>
      <c r="AF1396" s="156"/>
      <c r="AG1396" s="63"/>
      <c r="AH1396" s="63"/>
      <c r="AI1396" s="74"/>
      <c r="AJ1396" s="156"/>
      <c r="AK1396" s="74"/>
      <c r="AL1396" s="156"/>
      <c r="AM1396" s="74"/>
      <c r="AN1396" s="156"/>
      <c r="AO1396" s="74"/>
      <c r="AP1396" s="363"/>
      <c r="AQ1396" s="363"/>
      <c r="AR1396" s="363"/>
      <c r="AS1396" s="74"/>
      <c r="AT1396" s="74"/>
      <c r="AU1396" s="74"/>
      <c r="AV1396" s="74"/>
      <c r="AW1396" s="74"/>
      <c r="AX1396" s="74"/>
      <c r="AY1396" s="74"/>
      <c r="AZ1396" s="74"/>
      <c r="BA1396" s="74"/>
      <c r="BB1396" s="74"/>
      <c r="BC1396" s="170"/>
      <c r="BD1396" s="156"/>
      <c r="BE1396" s="156"/>
      <c r="BF1396" s="299"/>
      <c r="BG1396" s="74"/>
      <c r="BH1396" s="74"/>
      <c r="BI1396" s="74"/>
      <c r="BJ1396" s="74"/>
      <c r="BK1396" s="74"/>
      <c r="BL1396" s="74"/>
      <c r="BM1396" s="74"/>
      <c r="BN1396" s="74"/>
      <c r="BO1396" s="74"/>
      <c r="BP1396" s="74"/>
      <c r="BQ1396" s="74"/>
      <c r="BR1396" s="74"/>
      <c r="BS1396" s="74"/>
      <c r="BT1396" s="74"/>
      <c r="BU1396" s="74"/>
      <c r="BV1396" s="74"/>
      <c r="BW1396" s="74"/>
      <c r="BX1396" s="74"/>
      <c r="BY1396" s="63"/>
      <c r="BZ1396" s="63"/>
    </row>
    <row r="1397" ht="15.75" customHeight="1">
      <c r="A1397" s="201"/>
      <c r="B1397" s="74"/>
      <c r="C1397" s="74"/>
      <c r="D1397" s="74"/>
      <c r="E1397" s="156"/>
      <c r="F1397" s="78">
        <v>0.0</v>
      </c>
      <c r="G1397" s="44" t="str">
        <f t="shared" si="35"/>
        <v>$0 a $100'000.000</v>
      </c>
      <c r="H1397" s="44"/>
      <c r="I1397" s="44"/>
      <c r="J1397" s="74"/>
      <c r="K1397" s="359"/>
      <c r="L1397" s="74"/>
      <c r="M1397" s="74"/>
      <c r="N1397" s="74"/>
      <c r="O1397" s="74"/>
      <c r="P1397" s="74"/>
      <c r="Q1397" s="74"/>
      <c r="R1397" s="362"/>
      <c r="S1397" s="56" t="str">
        <f t="shared" si="36"/>
        <v> </v>
      </c>
      <c r="T1397" s="74"/>
      <c r="U1397" s="359"/>
      <c r="V1397" s="74"/>
      <c r="W1397" s="74"/>
      <c r="X1397" s="74"/>
      <c r="Y1397" s="74"/>
      <c r="Z1397" s="364"/>
      <c r="AA1397" s="59" t="str">
        <f>IF(Rentabilidad=0,"No aplica",TEXT(ROUND(Precio/Rentabilidad/12,0),0) &amp; " años")</f>
        <v>No aplica</v>
      </c>
      <c r="AB1397" s="360"/>
      <c r="AC1397" s="61"/>
      <c r="AD1397" s="62"/>
      <c r="AE1397" s="63"/>
      <c r="AF1397" s="156"/>
      <c r="AG1397" s="63"/>
      <c r="AH1397" s="63"/>
      <c r="AI1397" s="74"/>
      <c r="AJ1397" s="156"/>
      <c r="AK1397" s="74"/>
      <c r="AL1397" s="156"/>
      <c r="AM1397" s="74"/>
      <c r="AN1397" s="156"/>
      <c r="AO1397" s="74"/>
      <c r="AP1397" s="363"/>
      <c r="AQ1397" s="363"/>
      <c r="AR1397" s="363"/>
      <c r="AS1397" s="74"/>
      <c r="AT1397" s="74"/>
      <c r="AU1397" s="74"/>
      <c r="AV1397" s="74"/>
      <c r="AW1397" s="74"/>
      <c r="AX1397" s="74"/>
      <c r="AY1397" s="74"/>
      <c r="AZ1397" s="74"/>
      <c r="BA1397" s="74"/>
      <c r="BB1397" s="74"/>
      <c r="BC1397" s="170"/>
      <c r="BD1397" s="156"/>
      <c r="BE1397" s="156"/>
      <c r="BF1397" s="299"/>
      <c r="BG1397" s="74"/>
      <c r="BH1397" s="74"/>
      <c r="BI1397" s="74"/>
      <c r="BJ1397" s="74"/>
      <c r="BK1397" s="74"/>
      <c r="BL1397" s="74"/>
      <c r="BM1397" s="74"/>
      <c r="BN1397" s="74"/>
      <c r="BO1397" s="74"/>
      <c r="BP1397" s="74"/>
      <c r="BQ1397" s="74"/>
      <c r="BR1397" s="74"/>
      <c r="BS1397" s="74"/>
      <c r="BT1397" s="74"/>
      <c r="BU1397" s="74"/>
      <c r="BV1397" s="74"/>
      <c r="BW1397" s="74"/>
      <c r="BX1397" s="74"/>
      <c r="BY1397" s="63"/>
      <c r="BZ1397" s="63"/>
    </row>
    <row r="1398" ht="15.75" customHeight="1">
      <c r="A1398" s="201"/>
      <c r="B1398" s="74"/>
      <c r="C1398" s="74"/>
      <c r="D1398" s="74"/>
      <c r="E1398" s="156"/>
      <c r="F1398" s="78">
        <v>0.0</v>
      </c>
      <c r="G1398" s="44" t="str">
        <f t="shared" si="35"/>
        <v>$0 a $100'000.000</v>
      </c>
      <c r="H1398" s="44"/>
      <c r="I1398" s="44"/>
      <c r="J1398" s="74"/>
      <c r="K1398" s="359"/>
      <c r="L1398" s="74"/>
      <c r="M1398" s="74"/>
      <c r="N1398" s="74"/>
      <c r="O1398" s="74"/>
      <c r="P1398" s="74"/>
      <c r="Q1398" s="74"/>
      <c r="R1398" s="362"/>
      <c r="S1398" s="56" t="str">
        <f t="shared" si="36"/>
        <v> </v>
      </c>
      <c r="T1398" s="74"/>
      <c r="U1398" s="359"/>
      <c r="V1398" s="74"/>
      <c r="W1398" s="74"/>
      <c r="X1398" s="74"/>
      <c r="Y1398" s="74"/>
      <c r="Z1398" s="364"/>
      <c r="AA1398" s="59" t="str">
        <f>IF(Rentabilidad=0,"No aplica",TEXT(ROUND(Precio/Rentabilidad/12,0),0) &amp; " años")</f>
        <v>No aplica</v>
      </c>
      <c r="AB1398" s="360"/>
      <c r="AC1398" s="61"/>
      <c r="AD1398" s="62"/>
      <c r="AE1398" s="63"/>
      <c r="AF1398" s="156"/>
      <c r="AG1398" s="63"/>
      <c r="AH1398" s="63"/>
      <c r="AI1398" s="74"/>
      <c r="AJ1398" s="156"/>
      <c r="AK1398" s="74"/>
      <c r="AL1398" s="156"/>
      <c r="AM1398" s="74"/>
      <c r="AN1398" s="156"/>
      <c r="AO1398" s="74"/>
      <c r="AP1398" s="363"/>
      <c r="AQ1398" s="363"/>
      <c r="AR1398" s="363"/>
      <c r="AS1398" s="74"/>
      <c r="AT1398" s="74"/>
      <c r="AU1398" s="74"/>
      <c r="AV1398" s="74"/>
      <c r="AW1398" s="74"/>
      <c r="AX1398" s="74"/>
      <c r="AY1398" s="74"/>
      <c r="AZ1398" s="74"/>
      <c r="BA1398" s="74"/>
      <c r="BB1398" s="74"/>
      <c r="BC1398" s="170"/>
      <c r="BD1398" s="156"/>
      <c r="BE1398" s="156"/>
      <c r="BF1398" s="299"/>
      <c r="BG1398" s="74"/>
      <c r="BH1398" s="74"/>
      <c r="BI1398" s="74"/>
      <c r="BJ1398" s="74"/>
      <c r="BK1398" s="74"/>
      <c r="BL1398" s="74"/>
      <c r="BM1398" s="74"/>
      <c r="BN1398" s="74"/>
      <c r="BO1398" s="74"/>
      <c r="BP1398" s="74"/>
      <c r="BQ1398" s="74"/>
      <c r="BR1398" s="74"/>
      <c r="BS1398" s="74"/>
      <c r="BT1398" s="74"/>
      <c r="BU1398" s="74"/>
      <c r="BV1398" s="74"/>
      <c r="BW1398" s="74"/>
      <c r="BX1398" s="74"/>
      <c r="BY1398" s="63"/>
      <c r="BZ1398" s="63"/>
    </row>
    <row r="1399" ht="15.75" customHeight="1">
      <c r="A1399" s="201"/>
      <c r="B1399" s="74"/>
      <c r="C1399" s="74"/>
      <c r="D1399" s="74"/>
      <c r="E1399" s="156"/>
      <c r="F1399" s="78">
        <v>0.0</v>
      </c>
      <c r="G1399" s="44" t="str">
        <f t="shared" si="35"/>
        <v>$0 a $100'000.000</v>
      </c>
      <c r="H1399" s="44"/>
      <c r="I1399" s="44"/>
      <c r="J1399" s="74"/>
      <c r="K1399" s="359"/>
      <c r="L1399" s="74"/>
      <c r="M1399" s="74"/>
      <c r="N1399" s="74"/>
      <c r="O1399" s="74"/>
      <c r="P1399" s="74"/>
      <c r="Q1399" s="74"/>
      <c r="R1399" s="362"/>
      <c r="S1399" s="56" t="str">
        <f t="shared" si="36"/>
        <v> </v>
      </c>
      <c r="T1399" s="74"/>
      <c r="U1399" s="359"/>
      <c r="V1399" s="74"/>
      <c r="W1399" s="74"/>
      <c r="X1399" s="74"/>
      <c r="Y1399" s="74"/>
      <c r="Z1399" s="364"/>
      <c r="AA1399" s="59" t="str">
        <f>IF(Rentabilidad=0,"No aplica",TEXT(ROUND(Precio/Rentabilidad/12,0),0) &amp; " años")</f>
        <v>No aplica</v>
      </c>
      <c r="AB1399" s="360"/>
      <c r="AC1399" s="61"/>
      <c r="AD1399" s="62"/>
      <c r="AE1399" s="63"/>
      <c r="AF1399" s="156"/>
      <c r="AG1399" s="63"/>
      <c r="AH1399" s="63"/>
      <c r="AI1399" s="74"/>
      <c r="AJ1399" s="156"/>
      <c r="AK1399" s="74"/>
      <c r="AL1399" s="156"/>
      <c r="AM1399" s="74"/>
      <c r="AN1399" s="156"/>
      <c r="AO1399" s="74"/>
      <c r="AP1399" s="363"/>
      <c r="AQ1399" s="363"/>
      <c r="AR1399" s="363"/>
      <c r="AS1399" s="74"/>
      <c r="AT1399" s="74"/>
      <c r="AU1399" s="74"/>
      <c r="AV1399" s="74"/>
      <c r="AW1399" s="74"/>
      <c r="AX1399" s="74"/>
      <c r="AY1399" s="74"/>
      <c r="AZ1399" s="74"/>
      <c r="BA1399" s="74"/>
      <c r="BB1399" s="74"/>
      <c r="BC1399" s="170"/>
      <c r="BD1399" s="156"/>
      <c r="BE1399" s="156"/>
      <c r="BF1399" s="299"/>
      <c r="BG1399" s="74"/>
      <c r="BH1399" s="74"/>
      <c r="BI1399" s="74"/>
      <c r="BJ1399" s="74"/>
      <c r="BK1399" s="74"/>
      <c r="BL1399" s="74"/>
      <c r="BM1399" s="74"/>
      <c r="BN1399" s="74"/>
      <c r="BO1399" s="74"/>
      <c r="BP1399" s="74"/>
      <c r="BQ1399" s="74"/>
      <c r="BR1399" s="74"/>
      <c r="BS1399" s="74"/>
      <c r="BT1399" s="74"/>
      <c r="BU1399" s="74"/>
      <c r="BV1399" s="74"/>
      <c r="BW1399" s="74"/>
      <c r="BX1399" s="74"/>
      <c r="BY1399" s="63"/>
      <c r="BZ1399" s="63"/>
    </row>
    <row r="1400" ht="15.75" customHeight="1">
      <c r="A1400" s="201"/>
      <c r="B1400" s="74"/>
      <c r="C1400" s="74"/>
      <c r="D1400" s="74"/>
      <c r="E1400" s="156"/>
      <c r="F1400" s="78">
        <v>0.0</v>
      </c>
      <c r="G1400" s="44" t="str">
        <f t="shared" si="35"/>
        <v>$0 a $100'000.000</v>
      </c>
      <c r="H1400" s="44"/>
      <c r="I1400" s="44"/>
      <c r="J1400" s="74"/>
      <c r="K1400" s="359"/>
      <c r="L1400" s="74"/>
      <c r="M1400" s="74"/>
      <c r="N1400" s="74"/>
      <c r="O1400" s="74"/>
      <c r="P1400" s="74"/>
      <c r="Q1400" s="74"/>
      <c r="R1400" s="362"/>
      <c r="S1400" s="56" t="str">
        <f t="shared" si="36"/>
        <v> </v>
      </c>
      <c r="T1400" s="74"/>
      <c r="U1400" s="359"/>
      <c r="V1400" s="74"/>
      <c r="W1400" s="74"/>
      <c r="X1400" s="74"/>
      <c r="Y1400" s="74"/>
      <c r="Z1400" s="364"/>
      <c r="AA1400" s="59" t="str">
        <f>IF(Rentabilidad=0,"No aplica",TEXT(ROUND(Precio/Rentabilidad/12,0),0) &amp; " años")</f>
        <v>No aplica</v>
      </c>
      <c r="AB1400" s="360"/>
      <c r="AC1400" s="61"/>
      <c r="AD1400" s="62"/>
      <c r="AE1400" s="63"/>
      <c r="AF1400" s="156"/>
      <c r="AG1400" s="63"/>
      <c r="AH1400" s="63"/>
      <c r="AI1400" s="74"/>
      <c r="AJ1400" s="156"/>
      <c r="AK1400" s="74"/>
      <c r="AL1400" s="156"/>
      <c r="AM1400" s="74"/>
      <c r="AN1400" s="156"/>
      <c r="AO1400" s="74"/>
      <c r="AP1400" s="363"/>
      <c r="AQ1400" s="363"/>
      <c r="AR1400" s="363"/>
      <c r="AS1400" s="74"/>
      <c r="AT1400" s="74"/>
      <c r="AU1400" s="74"/>
      <c r="AV1400" s="74"/>
      <c r="AW1400" s="74"/>
      <c r="AX1400" s="74"/>
      <c r="AY1400" s="74"/>
      <c r="AZ1400" s="74"/>
      <c r="BA1400" s="74"/>
      <c r="BB1400" s="74"/>
      <c r="BC1400" s="170"/>
      <c r="BD1400" s="156"/>
      <c r="BE1400" s="156"/>
      <c r="BF1400" s="299"/>
      <c r="BG1400" s="74"/>
      <c r="BH1400" s="74"/>
      <c r="BI1400" s="74"/>
      <c r="BJ1400" s="74"/>
      <c r="BK1400" s="74"/>
      <c r="BL1400" s="74"/>
      <c r="BM1400" s="74"/>
      <c r="BN1400" s="74"/>
      <c r="BO1400" s="74"/>
      <c r="BP1400" s="74"/>
      <c r="BQ1400" s="74"/>
      <c r="BR1400" s="74"/>
      <c r="BS1400" s="74"/>
      <c r="BT1400" s="74"/>
      <c r="BU1400" s="74"/>
      <c r="BV1400" s="74"/>
      <c r="BW1400" s="74"/>
      <c r="BX1400" s="74"/>
      <c r="BY1400" s="63"/>
      <c r="BZ1400" s="63"/>
    </row>
    <row r="1401" ht="15.75" customHeight="1">
      <c r="A1401" s="201"/>
      <c r="B1401" s="74"/>
      <c r="C1401" s="74"/>
      <c r="D1401" s="74"/>
      <c r="E1401" s="156"/>
      <c r="F1401" s="78">
        <v>0.0</v>
      </c>
      <c r="G1401" s="44" t="str">
        <f t="shared" si="35"/>
        <v>$0 a $100'000.000</v>
      </c>
      <c r="H1401" s="44"/>
      <c r="I1401" s="44"/>
      <c r="J1401" s="74"/>
      <c r="K1401" s="359"/>
      <c r="L1401" s="74"/>
      <c r="M1401" s="74"/>
      <c r="N1401" s="74"/>
      <c r="O1401" s="74"/>
      <c r="P1401" s="74"/>
      <c r="Q1401" s="74"/>
      <c r="R1401" s="362"/>
      <c r="S1401" s="56" t="str">
        <f t="shared" si="36"/>
        <v> </v>
      </c>
      <c r="T1401" s="74"/>
      <c r="U1401" s="359"/>
      <c r="V1401" s="74"/>
      <c r="W1401" s="74"/>
      <c r="X1401" s="74"/>
      <c r="Y1401" s="74"/>
      <c r="Z1401" s="364"/>
      <c r="AA1401" s="59" t="str">
        <f>IF(Rentabilidad=0,"No aplica",TEXT(ROUND(Precio/Rentabilidad/12,0),0) &amp; " años")</f>
        <v>No aplica</v>
      </c>
      <c r="AB1401" s="360"/>
      <c r="AC1401" s="61"/>
      <c r="AD1401" s="62"/>
      <c r="AE1401" s="63"/>
      <c r="AF1401" s="156"/>
      <c r="AG1401" s="63"/>
      <c r="AH1401" s="63"/>
      <c r="AI1401" s="74"/>
      <c r="AJ1401" s="156"/>
      <c r="AK1401" s="74"/>
      <c r="AL1401" s="156"/>
      <c r="AM1401" s="74"/>
      <c r="AN1401" s="156"/>
      <c r="AO1401" s="74"/>
      <c r="AP1401" s="363"/>
      <c r="AQ1401" s="363"/>
      <c r="AR1401" s="363"/>
      <c r="AS1401" s="74"/>
      <c r="AT1401" s="74"/>
      <c r="AU1401" s="74"/>
      <c r="AV1401" s="74"/>
      <c r="AW1401" s="74"/>
      <c r="AX1401" s="74"/>
      <c r="AY1401" s="74"/>
      <c r="AZ1401" s="74"/>
      <c r="BA1401" s="74"/>
      <c r="BB1401" s="74"/>
      <c r="BC1401" s="170"/>
      <c r="BD1401" s="156"/>
      <c r="BE1401" s="156"/>
      <c r="BF1401" s="299"/>
      <c r="BG1401" s="74"/>
      <c r="BH1401" s="74"/>
      <c r="BI1401" s="74"/>
      <c r="BJ1401" s="74"/>
      <c r="BK1401" s="74"/>
      <c r="BL1401" s="74"/>
      <c r="BM1401" s="74"/>
      <c r="BN1401" s="74"/>
      <c r="BO1401" s="74"/>
      <c r="BP1401" s="74"/>
      <c r="BQ1401" s="74"/>
      <c r="BR1401" s="74"/>
      <c r="BS1401" s="74"/>
      <c r="BT1401" s="74"/>
      <c r="BU1401" s="74"/>
      <c r="BV1401" s="74"/>
      <c r="BW1401" s="74"/>
      <c r="BX1401" s="74"/>
      <c r="BY1401" s="63"/>
      <c r="BZ1401" s="63"/>
    </row>
    <row r="1402" ht="15.75" customHeight="1">
      <c r="A1402" s="201"/>
      <c r="B1402" s="74"/>
      <c r="C1402" s="74"/>
      <c r="D1402" s="74"/>
      <c r="E1402" s="156"/>
      <c r="F1402" s="78">
        <v>0.0</v>
      </c>
      <c r="G1402" s="44" t="str">
        <f t="shared" si="35"/>
        <v>$0 a $100'000.000</v>
      </c>
      <c r="H1402" s="44"/>
      <c r="I1402" s="44"/>
      <c r="J1402" s="74"/>
      <c r="K1402" s="359"/>
      <c r="L1402" s="74"/>
      <c r="M1402" s="74"/>
      <c r="N1402" s="74"/>
      <c r="O1402" s="74"/>
      <c r="P1402" s="74"/>
      <c r="Q1402" s="74"/>
      <c r="R1402" s="362"/>
      <c r="S1402" s="56" t="str">
        <f t="shared" si="36"/>
        <v> </v>
      </c>
      <c r="T1402" s="74"/>
      <c r="U1402" s="359"/>
      <c r="V1402" s="74"/>
      <c r="W1402" s="74"/>
      <c r="X1402" s="74"/>
      <c r="Y1402" s="74"/>
      <c r="Z1402" s="364"/>
      <c r="AA1402" s="59" t="str">
        <f>IF(Rentabilidad=0,"No aplica",TEXT(ROUND(Precio/Rentabilidad/12,0),0) &amp; " años")</f>
        <v>No aplica</v>
      </c>
      <c r="AB1402" s="360"/>
      <c r="AC1402" s="61"/>
      <c r="AD1402" s="62"/>
      <c r="AE1402" s="63"/>
      <c r="AF1402" s="156"/>
      <c r="AG1402" s="63"/>
      <c r="AH1402" s="63"/>
      <c r="AI1402" s="74"/>
      <c r="AJ1402" s="156"/>
      <c r="AK1402" s="74"/>
      <c r="AL1402" s="156"/>
      <c r="AM1402" s="74"/>
      <c r="AN1402" s="156"/>
      <c r="AO1402" s="74"/>
      <c r="AP1402" s="363"/>
      <c r="AQ1402" s="363"/>
      <c r="AR1402" s="363"/>
      <c r="AS1402" s="74"/>
      <c r="AT1402" s="74"/>
      <c r="AU1402" s="74"/>
      <c r="AV1402" s="74"/>
      <c r="AW1402" s="74"/>
      <c r="AX1402" s="74"/>
      <c r="AY1402" s="74"/>
      <c r="AZ1402" s="74"/>
      <c r="BA1402" s="74"/>
      <c r="BB1402" s="74"/>
      <c r="BC1402" s="170"/>
      <c r="BD1402" s="156"/>
      <c r="BE1402" s="156"/>
      <c r="BF1402" s="299"/>
      <c r="BG1402" s="74"/>
      <c r="BH1402" s="74"/>
      <c r="BI1402" s="74"/>
      <c r="BJ1402" s="74"/>
      <c r="BK1402" s="74"/>
      <c r="BL1402" s="74"/>
      <c r="BM1402" s="74"/>
      <c r="BN1402" s="74"/>
      <c r="BO1402" s="74"/>
      <c r="BP1402" s="74"/>
      <c r="BQ1402" s="74"/>
      <c r="BR1402" s="74"/>
      <c r="BS1402" s="74"/>
      <c r="BT1402" s="74"/>
      <c r="BU1402" s="74"/>
      <c r="BV1402" s="74"/>
      <c r="BW1402" s="74"/>
      <c r="BX1402" s="74"/>
      <c r="BY1402" s="63"/>
      <c r="BZ1402" s="63"/>
    </row>
    <row r="1403" ht="15.75" customHeight="1">
      <c r="A1403" s="201"/>
      <c r="B1403" s="74"/>
      <c r="C1403" s="74"/>
      <c r="D1403" s="74"/>
      <c r="E1403" s="156"/>
      <c r="F1403" s="78">
        <v>0.0</v>
      </c>
      <c r="G1403" s="44" t="str">
        <f t="shared" si="35"/>
        <v>$0 a $100'000.000</v>
      </c>
      <c r="H1403" s="44"/>
      <c r="I1403" s="44"/>
      <c r="J1403" s="74"/>
      <c r="K1403" s="359"/>
      <c r="L1403" s="74"/>
      <c r="M1403" s="74"/>
      <c r="N1403" s="74"/>
      <c r="O1403" s="74"/>
      <c r="P1403" s="74"/>
      <c r="Q1403" s="74"/>
      <c r="R1403" s="362"/>
      <c r="S1403" s="56" t="str">
        <f t="shared" si="36"/>
        <v> </v>
      </c>
      <c r="T1403" s="74"/>
      <c r="U1403" s="359"/>
      <c r="V1403" s="74"/>
      <c r="W1403" s="74"/>
      <c r="X1403" s="74"/>
      <c r="Y1403" s="74"/>
      <c r="Z1403" s="364"/>
      <c r="AA1403" s="59" t="str">
        <f>IF(Rentabilidad=0,"No aplica",TEXT(ROUND(Precio/Rentabilidad/12,0),0) &amp; " años")</f>
        <v>No aplica</v>
      </c>
      <c r="AB1403" s="360"/>
      <c r="AC1403" s="61"/>
      <c r="AD1403" s="62"/>
      <c r="AE1403" s="63"/>
      <c r="AF1403" s="156"/>
      <c r="AG1403" s="63"/>
      <c r="AH1403" s="63"/>
      <c r="AI1403" s="74"/>
      <c r="AJ1403" s="156"/>
      <c r="AK1403" s="74"/>
      <c r="AL1403" s="156"/>
      <c r="AM1403" s="74"/>
      <c r="AN1403" s="156"/>
      <c r="AO1403" s="74"/>
      <c r="AP1403" s="363"/>
      <c r="AQ1403" s="363"/>
      <c r="AR1403" s="363"/>
      <c r="AS1403" s="74"/>
      <c r="AT1403" s="74"/>
      <c r="AU1403" s="74"/>
      <c r="AV1403" s="74"/>
      <c r="AW1403" s="74"/>
      <c r="AX1403" s="74"/>
      <c r="AY1403" s="74"/>
      <c r="AZ1403" s="74"/>
      <c r="BA1403" s="74"/>
      <c r="BB1403" s="74"/>
      <c r="BC1403" s="170"/>
      <c r="BD1403" s="156"/>
      <c r="BE1403" s="156"/>
      <c r="BF1403" s="299"/>
      <c r="BG1403" s="74"/>
      <c r="BH1403" s="74"/>
      <c r="BI1403" s="74"/>
      <c r="BJ1403" s="74"/>
      <c r="BK1403" s="74"/>
      <c r="BL1403" s="74"/>
      <c r="BM1403" s="74"/>
      <c r="BN1403" s="74"/>
      <c r="BO1403" s="74"/>
      <c r="BP1403" s="74"/>
      <c r="BQ1403" s="74"/>
      <c r="BR1403" s="74"/>
      <c r="BS1403" s="74"/>
      <c r="BT1403" s="74"/>
      <c r="BU1403" s="74"/>
      <c r="BV1403" s="74"/>
      <c r="BW1403" s="74"/>
      <c r="BX1403" s="74"/>
      <c r="BY1403" s="63"/>
      <c r="BZ1403" s="63"/>
    </row>
    <row r="1404" ht="15.75" customHeight="1">
      <c r="A1404" s="201"/>
      <c r="B1404" s="74"/>
      <c r="C1404" s="74"/>
      <c r="D1404" s="74"/>
      <c r="E1404" s="156"/>
      <c r="F1404" s="78">
        <v>0.0</v>
      </c>
      <c r="G1404" s="44" t="str">
        <f t="shared" si="35"/>
        <v>$0 a $100'000.000</v>
      </c>
      <c r="H1404" s="44"/>
      <c r="I1404" s="44"/>
      <c r="J1404" s="74"/>
      <c r="K1404" s="359"/>
      <c r="L1404" s="74"/>
      <c r="M1404" s="74"/>
      <c r="N1404" s="74"/>
      <c r="O1404" s="74"/>
      <c r="P1404" s="74"/>
      <c r="Q1404" s="74"/>
      <c r="R1404" s="362"/>
      <c r="S1404" s="56" t="str">
        <f t="shared" si="36"/>
        <v> </v>
      </c>
      <c r="T1404" s="74"/>
      <c r="U1404" s="359"/>
      <c r="V1404" s="74"/>
      <c r="W1404" s="74"/>
      <c r="X1404" s="74"/>
      <c r="Y1404" s="74"/>
      <c r="Z1404" s="364"/>
      <c r="AA1404" s="59" t="str">
        <f>IF(Rentabilidad=0,"No aplica",TEXT(ROUND(Precio/Rentabilidad/12,0),0) &amp; " años")</f>
        <v>No aplica</v>
      </c>
      <c r="AB1404" s="360"/>
      <c r="AC1404" s="61"/>
      <c r="AD1404" s="62"/>
      <c r="AE1404" s="63"/>
      <c r="AF1404" s="156"/>
      <c r="AG1404" s="63"/>
      <c r="AH1404" s="63"/>
      <c r="AI1404" s="74"/>
      <c r="AJ1404" s="156"/>
      <c r="AK1404" s="74"/>
      <c r="AL1404" s="156"/>
      <c r="AM1404" s="74"/>
      <c r="AN1404" s="156"/>
      <c r="AO1404" s="74"/>
      <c r="AP1404" s="363"/>
      <c r="AQ1404" s="363"/>
      <c r="AR1404" s="363"/>
      <c r="AS1404" s="74"/>
      <c r="AT1404" s="74"/>
      <c r="AU1404" s="74"/>
      <c r="AV1404" s="74"/>
      <c r="AW1404" s="74"/>
      <c r="AX1404" s="74"/>
      <c r="AY1404" s="74"/>
      <c r="AZ1404" s="74"/>
      <c r="BA1404" s="74"/>
      <c r="BB1404" s="74"/>
      <c r="BC1404" s="170"/>
      <c r="BD1404" s="156"/>
      <c r="BE1404" s="156"/>
      <c r="BF1404" s="299"/>
      <c r="BG1404" s="74"/>
      <c r="BH1404" s="74"/>
      <c r="BI1404" s="74"/>
      <c r="BJ1404" s="74"/>
      <c r="BK1404" s="74"/>
      <c r="BL1404" s="74"/>
      <c r="BM1404" s="74"/>
      <c r="BN1404" s="74"/>
      <c r="BO1404" s="74"/>
      <c r="BP1404" s="74"/>
      <c r="BQ1404" s="74"/>
      <c r="BR1404" s="74"/>
      <c r="BS1404" s="74"/>
      <c r="BT1404" s="74"/>
      <c r="BU1404" s="74"/>
      <c r="BV1404" s="74"/>
      <c r="BW1404" s="74"/>
      <c r="BX1404" s="74"/>
      <c r="BY1404" s="63"/>
      <c r="BZ1404" s="63"/>
    </row>
    <row r="1405" ht="15.75" customHeight="1">
      <c r="A1405" s="201"/>
      <c r="B1405" s="74"/>
      <c r="C1405" s="74"/>
      <c r="D1405" s="74"/>
      <c r="E1405" s="156"/>
      <c r="F1405" s="78">
        <v>0.0</v>
      </c>
      <c r="G1405" s="44" t="str">
        <f t="shared" si="35"/>
        <v>$0 a $100'000.000</v>
      </c>
      <c r="H1405" s="44"/>
      <c r="I1405" s="44"/>
      <c r="J1405" s="74"/>
      <c r="K1405" s="359"/>
      <c r="L1405" s="74"/>
      <c r="M1405" s="74"/>
      <c r="N1405" s="74"/>
      <c r="O1405" s="74"/>
      <c r="P1405" s="74"/>
      <c r="Q1405" s="74"/>
      <c r="R1405" s="362"/>
      <c r="S1405" s="56" t="str">
        <f t="shared" si="36"/>
        <v> </v>
      </c>
      <c r="T1405" s="74"/>
      <c r="U1405" s="359"/>
      <c r="V1405" s="74"/>
      <c r="W1405" s="74"/>
      <c r="X1405" s="74"/>
      <c r="Y1405" s="74"/>
      <c r="Z1405" s="364"/>
      <c r="AA1405" s="59" t="str">
        <f>IF(Rentabilidad=0,"No aplica",TEXT(ROUND(Precio/Rentabilidad/12,0),0) &amp; " años")</f>
        <v>No aplica</v>
      </c>
      <c r="AB1405" s="360"/>
      <c r="AC1405" s="61"/>
      <c r="AD1405" s="62"/>
      <c r="AE1405" s="63"/>
      <c r="AF1405" s="156"/>
      <c r="AG1405" s="63"/>
      <c r="AH1405" s="63"/>
      <c r="AI1405" s="74"/>
      <c r="AJ1405" s="156"/>
      <c r="AK1405" s="74"/>
      <c r="AL1405" s="156"/>
      <c r="AM1405" s="74"/>
      <c r="AN1405" s="156"/>
      <c r="AO1405" s="74"/>
      <c r="AP1405" s="363"/>
      <c r="AQ1405" s="363"/>
      <c r="AR1405" s="363"/>
      <c r="AS1405" s="74"/>
      <c r="AT1405" s="74"/>
      <c r="AU1405" s="74"/>
      <c r="AV1405" s="74"/>
      <c r="AW1405" s="74"/>
      <c r="AX1405" s="74"/>
      <c r="AY1405" s="74"/>
      <c r="AZ1405" s="74"/>
      <c r="BA1405" s="74"/>
      <c r="BB1405" s="74"/>
      <c r="BC1405" s="170"/>
      <c r="BD1405" s="156"/>
      <c r="BE1405" s="156"/>
      <c r="BF1405" s="299"/>
      <c r="BG1405" s="74"/>
      <c r="BH1405" s="74"/>
      <c r="BI1405" s="74"/>
      <c r="BJ1405" s="74"/>
      <c r="BK1405" s="74"/>
      <c r="BL1405" s="74"/>
      <c r="BM1405" s="74"/>
      <c r="BN1405" s="74"/>
      <c r="BO1405" s="74"/>
      <c r="BP1405" s="74"/>
      <c r="BQ1405" s="74"/>
      <c r="BR1405" s="74"/>
      <c r="BS1405" s="74"/>
      <c r="BT1405" s="74"/>
      <c r="BU1405" s="74"/>
      <c r="BV1405" s="74"/>
      <c r="BW1405" s="74"/>
      <c r="BX1405" s="74"/>
      <c r="BY1405" s="63"/>
      <c r="BZ1405" s="63"/>
    </row>
    <row r="1406" ht="15.75" customHeight="1">
      <c r="A1406" s="201"/>
      <c r="B1406" s="74"/>
      <c r="C1406" s="74"/>
      <c r="D1406" s="74"/>
      <c r="E1406" s="156"/>
      <c r="F1406" s="78">
        <v>0.0</v>
      </c>
      <c r="G1406" s="44" t="str">
        <f t="shared" si="35"/>
        <v>$0 a $100'000.000</v>
      </c>
      <c r="H1406" s="44"/>
      <c r="I1406" s="44"/>
      <c r="J1406" s="74"/>
      <c r="K1406" s="359"/>
      <c r="L1406" s="74"/>
      <c r="M1406" s="74"/>
      <c r="N1406" s="74"/>
      <c r="O1406" s="74"/>
      <c r="P1406" s="74"/>
      <c r="Q1406" s="74"/>
      <c r="R1406" s="362"/>
      <c r="S1406" s="56" t="str">
        <f t="shared" si="36"/>
        <v> </v>
      </c>
      <c r="T1406" s="74"/>
      <c r="U1406" s="359"/>
      <c r="V1406" s="74"/>
      <c r="W1406" s="74"/>
      <c r="X1406" s="74"/>
      <c r="Y1406" s="74"/>
      <c r="Z1406" s="364"/>
      <c r="AA1406" s="59" t="str">
        <f>IF(Rentabilidad=0,"No aplica",TEXT(ROUND(Precio/Rentabilidad/12,0),0) &amp; " años")</f>
        <v>No aplica</v>
      </c>
      <c r="AB1406" s="360"/>
      <c r="AC1406" s="61"/>
      <c r="AD1406" s="62"/>
      <c r="AE1406" s="63"/>
      <c r="AF1406" s="156"/>
      <c r="AG1406" s="63"/>
      <c r="AH1406" s="63"/>
      <c r="AI1406" s="74"/>
      <c r="AJ1406" s="156"/>
      <c r="AK1406" s="74"/>
      <c r="AL1406" s="156"/>
      <c r="AM1406" s="74"/>
      <c r="AN1406" s="156"/>
      <c r="AO1406" s="74"/>
      <c r="AP1406" s="363"/>
      <c r="AQ1406" s="363"/>
      <c r="AR1406" s="363"/>
      <c r="AS1406" s="74"/>
      <c r="AT1406" s="74"/>
      <c r="AU1406" s="74"/>
      <c r="AV1406" s="74"/>
      <c r="AW1406" s="74"/>
      <c r="AX1406" s="74"/>
      <c r="AY1406" s="74"/>
      <c r="AZ1406" s="74"/>
      <c r="BA1406" s="74"/>
      <c r="BB1406" s="74"/>
      <c r="BC1406" s="170"/>
      <c r="BD1406" s="156"/>
      <c r="BE1406" s="156"/>
      <c r="BF1406" s="299"/>
      <c r="BG1406" s="74"/>
      <c r="BH1406" s="74"/>
      <c r="BI1406" s="74"/>
      <c r="BJ1406" s="74"/>
      <c r="BK1406" s="74"/>
      <c r="BL1406" s="74"/>
      <c r="BM1406" s="74"/>
      <c r="BN1406" s="74"/>
      <c r="BO1406" s="74"/>
      <c r="BP1406" s="74"/>
      <c r="BQ1406" s="74"/>
      <c r="BR1406" s="74"/>
      <c r="BS1406" s="74"/>
      <c r="BT1406" s="74"/>
      <c r="BU1406" s="74"/>
      <c r="BV1406" s="74"/>
      <c r="BW1406" s="74"/>
      <c r="BX1406" s="74"/>
      <c r="BY1406" s="63"/>
      <c r="BZ1406" s="63"/>
    </row>
    <row r="1407" ht="15.75" customHeight="1">
      <c r="A1407" s="201"/>
      <c r="B1407" s="74"/>
      <c r="C1407" s="74"/>
      <c r="D1407" s="74"/>
      <c r="E1407" s="156"/>
      <c r="F1407" s="78">
        <v>0.0</v>
      </c>
      <c r="G1407" s="44" t="str">
        <f t="shared" si="35"/>
        <v>$0 a $100'000.000</v>
      </c>
      <c r="H1407" s="44"/>
      <c r="I1407" s="44"/>
      <c r="J1407" s="74"/>
      <c r="K1407" s="359"/>
      <c r="L1407" s="74"/>
      <c r="M1407" s="74"/>
      <c r="N1407" s="74"/>
      <c r="O1407" s="74"/>
      <c r="P1407" s="74"/>
      <c r="Q1407" s="74"/>
      <c r="R1407" s="362"/>
      <c r="S1407" s="56" t="str">
        <f t="shared" si="36"/>
        <v> </v>
      </c>
      <c r="T1407" s="74"/>
      <c r="U1407" s="359"/>
      <c r="V1407" s="74"/>
      <c r="W1407" s="74"/>
      <c r="X1407" s="74"/>
      <c r="Y1407" s="74"/>
      <c r="Z1407" s="364"/>
      <c r="AA1407" s="59" t="str">
        <f>IF(Rentabilidad=0,"No aplica",TEXT(ROUND(Precio/Rentabilidad/12,0),0) &amp; " años")</f>
        <v>No aplica</v>
      </c>
      <c r="AB1407" s="360"/>
      <c r="AC1407" s="61"/>
      <c r="AD1407" s="62"/>
      <c r="AE1407" s="63"/>
      <c r="AF1407" s="156"/>
      <c r="AG1407" s="63"/>
      <c r="AH1407" s="63"/>
      <c r="AI1407" s="74"/>
      <c r="AJ1407" s="156"/>
      <c r="AK1407" s="74"/>
      <c r="AL1407" s="156"/>
      <c r="AM1407" s="74"/>
      <c r="AN1407" s="156"/>
      <c r="AO1407" s="74"/>
      <c r="AP1407" s="363"/>
      <c r="AQ1407" s="363"/>
      <c r="AR1407" s="363"/>
      <c r="AS1407" s="74"/>
      <c r="AT1407" s="74"/>
      <c r="AU1407" s="74"/>
      <c r="AV1407" s="74"/>
      <c r="AW1407" s="74"/>
      <c r="AX1407" s="74"/>
      <c r="AY1407" s="74"/>
      <c r="AZ1407" s="74"/>
      <c r="BA1407" s="74"/>
      <c r="BB1407" s="74"/>
      <c r="BC1407" s="170"/>
      <c r="BD1407" s="156"/>
      <c r="BE1407" s="156"/>
      <c r="BF1407" s="299"/>
      <c r="BG1407" s="74"/>
      <c r="BH1407" s="74"/>
      <c r="BI1407" s="74"/>
      <c r="BJ1407" s="74"/>
      <c r="BK1407" s="74"/>
      <c r="BL1407" s="74"/>
      <c r="BM1407" s="74"/>
      <c r="BN1407" s="74"/>
      <c r="BO1407" s="74"/>
      <c r="BP1407" s="74"/>
      <c r="BQ1407" s="74"/>
      <c r="BR1407" s="74"/>
      <c r="BS1407" s="74"/>
      <c r="BT1407" s="74"/>
      <c r="BU1407" s="74"/>
      <c r="BV1407" s="74"/>
      <c r="BW1407" s="74"/>
      <c r="BX1407" s="74"/>
      <c r="BY1407" s="63"/>
      <c r="BZ1407" s="63"/>
    </row>
    <row r="1408" ht="15.75" customHeight="1">
      <c r="A1408" s="201"/>
      <c r="B1408" s="74"/>
      <c r="C1408" s="74"/>
      <c r="D1408" s="74"/>
      <c r="E1408" s="156"/>
      <c r="F1408" s="78">
        <v>0.0</v>
      </c>
      <c r="G1408" s="44" t="str">
        <f t="shared" si="35"/>
        <v>$0 a $100'000.000</v>
      </c>
      <c r="H1408" s="44"/>
      <c r="I1408" s="44"/>
      <c r="J1408" s="74"/>
      <c r="K1408" s="359"/>
      <c r="L1408" s="74"/>
      <c r="M1408" s="74"/>
      <c r="N1408" s="74"/>
      <c r="O1408" s="74"/>
      <c r="P1408" s="74"/>
      <c r="Q1408" s="74"/>
      <c r="R1408" s="362"/>
      <c r="S1408" s="56" t="str">
        <f t="shared" si="36"/>
        <v> </v>
      </c>
      <c r="T1408" s="74"/>
      <c r="U1408" s="359"/>
      <c r="V1408" s="74"/>
      <c r="W1408" s="74"/>
      <c r="X1408" s="74"/>
      <c r="Y1408" s="74"/>
      <c r="Z1408" s="364"/>
      <c r="AA1408" s="59" t="str">
        <f>IF(Rentabilidad=0,"No aplica",TEXT(ROUND(Precio/Rentabilidad/12,0),0) &amp; " años")</f>
        <v>No aplica</v>
      </c>
      <c r="AB1408" s="360"/>
      <c r="AC1408" s="61"/>
      <c r="AD1408" s="62"/>
      <c r="AE1408" s="63"/>
      <c r="AF1408" s="156"/>
      <c r="AG1408" s="63"/>
      <c r="AH1408" s="63"/>
      <c r="AI1408" s="74"/>
      <c r="AJ1408" s="156"/>
      <c r="AK1408" s="74"/>
      <c r="AL1408" s="156"/>
      <c r="AM1408" s="74"/>
      <c r="AN1408" s="156"/>
      <c r="AO1408" s="74"/>
      <c r="AP1408" s="363"/>
      <c r="AQ1408" s="363"/>
      <c r="AR1408" s="363"/>
      <c r="AS1408" s="74"/>
      <c r="AT1408" s="74"/>
      <c r="AU1408" s="74"/>
      <c r="AV1408" s="74"/>
      <c r="AW1408" s="74"/>
      <c r="AX1408" s="74"/>
      <c r="AY1408" s="74"/>
      <c r="AZ1408" s="74"/>
      <c r="BA1408" s="74"/>
      <c r="BB1408" s="74"/>
      <c r="BC1408" s="170"/>
      <c r="BD1408" s="156"/>
      <c r="BE1408" s="156"/>
      <c r="BF1408" s="299"/>
      <c r="BG1408" s="74"/>
      <c r="BH1408" s="74"/>
      <c r="BI1408" s="74"/>
      <c r="BJ1408" s="74"/>
      <c r="BK1408" s="74"/>
      <c r="BL1408" s="74"/>
      <c r="BM1408" s="74"/>
      <c r="BN1408" s="74"/>
      <c r="BO1408" s="74"/>
      <c r="BP1408" s="74"/>
      <c r="BQ1408" s="74"/>
      <c r="BR1408" s="74"/>
      <c r="BS1408" s="74"/>
      <c r="BT1408" s="74"/>
      <c r="BU1408" s="74"/>
      <c r="BV1408" s="74"/>
      <c r="BW1408" s="74"/>
      <c r="BX1408" s="74"/>
      <c r="BY1408" s="63"/>
      <c r="BZ1408" s="63"/>
    </row>
    <row r="1409" ht="15.75" customHeight="1">
      <c r="A1409" s="201"/>
      <c r="B1409" s="74"/>
      <c r="C1409" s="74"/>
      <c r="D1409" s="74"/>
      <c r="E1409" s="156"/>
      <c r="F1409" s="78">
        <v>0.0</v>
      </c>
      <c r="G1409" s="44" t="str">
        <f t="shared" si="35"/>
        <v>$0 a $100'000.000</v>
      </c>
      <c r="H1409" s="44"/>
      <c r="I1409" s="44"/>
      <c r="J1409" s="74"/>
      <c r="K1409" s="359"/>
      <c r="L1409" s="74"/>
      <c r="M1409" s="74"/>
      <c r="N1409" s="74"/>
      <c r="O1409" s="74"/>
      <c r="P1409" s="74"/>
      <c r="Q1409" s="74"/>
      <c r="R1409" s="362"/>
      <c r="S1409" s="56" t="str">
        <f t="shared" si="36"/>
        <v> </v>
      </c>
      <c r="T1409" s="74"/>
      <c r="U1409" s="359"/>
      <c r="V1409" s="74"/>
      <c r="W1409" s="74"/>
      <c r="X1409" s="74"/>
      <c r="Y1409" s="74"/>
      <c r="Z1409" s="364"/>
      <c r="AA1409" s="59" t="str">
        <f>IF(Rentabilidad=0,"No aplica",TEXT(ROUND(Precio/Rentabilidad/12,0),0) &amp; " años")</f>
        <v>No aplica</v>
      </c>
      <c r="AB1409" s="360"/>
      <c r="AC1409" s="61"/>
      <c r="AD1409" s="62"/>
      <c r="AE1409" s="63"/>
      <c r="AF1409" s="156"/>
      <c r="AG1409" s="63"/>
      <c r="AH1409" s="63"/>
      <c r="AI1409" s="74"/>
      <c r="AJ1409" s="156"/>
      <c r="AK1409" s="74"/>
      <c r="AL1409" s="156"/>
      <c r="AM1409" s="74"/>
      <c r="AN1409" s="156"/>
      <c r="AO1409" s="74"/>
      <c r="AP1409" s="363"/>
      <c r="AQ1409" s="363"/>
      <c r="AR1409" s="363"/>
      <c r="AS1409" s="74"/>
      <c r="AT1409" s="74"/>
      <c r="AU1409" s="74"/>
      <c r="AV1409" s="74"/>
      <c r="AW1409" s="74"/>
      <c r="AX1409" s="74"/>
      <c r="AY1409" s="74"/>
      <c r="AZ1409" s="74"/>
      <c r="BA1409" s="74"/>
      <c r="BB1409" s="74"/>
      <c r="BC1409" s="170"/>
      <c r="BD1409" s="156"/>
      <c r="BE1409" s="156"/>
      <c r="BF1409" s="299"/>
      <c r="BG1409" s="74"/>
      <c r="BH1409" s="74"/>
      <c r="BI1409" s="74"/>
      <c r="BJ1409" s="74"/>
      <c r="BK1409" s="74"/>
      <c r="BL1409" s="74"/>
      <c r="BM1409" s="74"/>
      <c r="BN1409" s="74"/>
      <c r="BO1409" s="74"/>
      <c r="BP1409" s="74"/>
      <c r="BQ1409" s="74"/>
      <c r="BR1409" s="74"/>
      <c r="BS1409" s="74"/>
      <c r="BT1409" s="74"/>
      <c r="BU1409" s="74"/>
      <c r="BV1409" s="74"/>
      <c r="BW1409" s="74"/>
      <c r="BX1409" s="74"/>
      <c r="BY1409" s="63"/>
      <c r="BZ1409" s="63"/>
    </row>
    <row r="1410" ht="15.75" customHeight="1">
      <c r="A1410" s="201"/>
      <c r="B1410" s="74"/>
      <c r="C1410" s="74"/>
      <c r="D1410" s="74"/>
      <c r="E1410" s="156"/>
      <c r="F1410" s="78">
        <v>0.0</v>
      </c>
      <c r="G1410" s="44" t="str">
        <f t="shared" si="35"/>
        <v>$0 a $100'000.000</v>
      </c>
      <c r="H1410" s="44"/>
      <c r="I1410" s="44"/>
      <c r="J1410" s="74"/>
      <c r="K1410" s="359"/>
      <c r="L1410" s="74"/>
      <c r="M1410" s="74"/>
      <c r="N1410" s="74"/>
      <c r="O1410" s="74"/>
      <c r="P1410" s="74"/>
      <c r="Q1410" s="74"/>
      <c r="R1410" s="362"/>
      <c r="S1410" s="56" t="str">
        <f t="shared" si="36"/>
        <v> </v>
      </c>
      <c r="T1410" s="74"/>
      <c r="U1410" s="359"/>
      <c r="V1410" s="74"/>
      <c r="W1410" s="74"/>
      <c r="X1410" s="74"/>
      <c r="Y1410" s="74"/>
      <c r="Z1410" s="364"/>
      <c r="AA1410" s="59" t="str">
        <f>IF(Rentabilidad=0,"No aplica",TEXT(ROUND(Precio/Rentabilidad/12,0),0) &amp; " años")</f>
        <v>No aplica</v>
      </c>
      <c r="AB1410" s="360"/>
      <c r="AC1410" s="61"/>
      <c r="AD1410" s="62"/>
      <c r="AE1410" s="63"/>
      <c r="AF1410" s="156"/>
      <c r="AG1410" s="63"/>
      <c r="AH1410" s="63"/>
      <c r="AI1410" s="74"/>
      <c r="AJ1410" s="156"/>
      <c r="AK1410" s="74"/>
      <c r="AL1410" s="156"/>
      <c r="AM1410" s="74"/>
      <c r="AN1410" s="156"/>
      <c r="AO1410" s="74"/>
      <c r="AP1410" s="363"/>
      <c r="AQ1410" s="363"/>
      <c r="AR1410" s="363"/>
      <c r="AS1410" s="74"/>
      <c r="AT1410" s="74"/>
      <c r="AU1410" s="74"/>
      <c r="AV1410" s="74"/>
      <c r="AW1410" s="74"/>
      <c r="AX1410" s="74"/>
      <c r="AY1410" s="74"/>
      <c r="AZ1410" s="74"/>
      <c r="BA1410" s="74"/>
      <c r="BB1410" s="74"/>
      <c r="BC1410" s="170"/>
      <c r="BD1410" s="156"/>
      <c r="BE1410" s="156"/>
      <c r="BF1410" s="299"/>
      <c r="BG1410" s="74"/>
      <c r="BH1410" s="74"/>
      <c r="BI1410" s="74"/>
      <c r="BJ1410" s="74"/>
      <c r="BK1410" s="74"/>
      <c r="BL1410" s="74"/>
      <c r="BM1410" s="74"/>
      <c r="BN1410" s="74"/>
      <c r="BO1410" s="74"/>
      <c r="BP1410" s="74"/>
      <c r="BQ1410" s="74"/>
      <c r="BR1410" s="74"/>
      <c r="BS1410" s="74"/>
      <c r="BT1410" s="74"/>
      <c r="BU1410" s="74"/>
      <c r="BV1410" s="74"/>
      <c r="BW1410" s="74"/>
      <c r="BX1410" s="74"/>
      <c r="BY1410" s="63"/>
      <c r="BZ1410" s="63"/>
    </row>
    <row r="1411" ht="15.75" customHeight="1">
      <c r="A1411" s="201"/>
      <c r="B1411" s="74"/>
      <c r="C1411" s="74"/>
      <c r="D1411" s="74"/>
      <c r="E1411" s="156"/>
      <c r="F1411" s="78">
        <v>0.0</v>
      </c>
      <c r="G1411" s="44" t="str">
        <f t="shared" si="35"/>
        <v>$0 a $100'000.000</v>
      </c>
      <c r="H1411" s="44"/>
      <c r="I1411" s="44"/>
      <c r="J1411" s="74"/>
      <c r="K1411" s="359"/>
      <c r="L1411" s="74"/>
      <c r="M1411" s="74"/>
      <c r="N1411" s="74"/>
      <c r="O1411" s="74"/>
      <c r="P1411" s="74"/>
      <c r="Q1411" s="74"/>
      <c r="R1411" s="362"/>
      <c r="S1411" s="56" t="str">
        <f t="shared" si="36"/>
        <v> </v>
      </c>
      <c r="T1411" s="74"/>
      <c r="U1411" s="359"/>
      <c r="V1411" s="74"/>
      <c r="W1411" s="74"/>
      <c r="X1411" s="74"/>
      <c r="Y1411" s="74"/>
      <c r="Z1411" s="364"/>
      <c r="AA1411" s="59" t="str">
        <f>IF(Rentabilidad=0,"No aplica",TEXT(ROUND(Precio/Rentabilidad/12,0),0) &amp; " años")</f>
        <v>No aplica</v>
      </c>
      <c r="AB1411" s="360"/>
      <c r="AC1411" s="61"/>
      <c r="AD1411" s="62"/>
      <c r="AE1411" s="63"/>
      <c r="AF1411" s="156"/>
      <c r="AG1411" s="63"/>
      <c r="AH1411" s="63"/>
      <c r="AI1411" s="74"/>
      <c r="AJ1411" s="156"/>
      <c r="AK1411" s="74"/>
      <c r="AL1411" s="156"/>
      <c r="AM1411" s="74"/>
      <c r="AN1411" s="156"/>
      <c r="AO1411" s="74"/>
      <c r="AP1411" s="363"/>
      <c r="AQ1411" s="363"/>
      <c r="AR1411" s="363"/>
      <c r="AS1411" s="74"/>
      <c r="AT1411" s="74"/>
      <c r="AU1411" s="74"/>
      <c r="AV1411" s="74"/>
      <c r="AW1411" s="74"/>
      <c r="AX1411" s="74"/>
      <c r="AY1411" s="74"/>
      <c r="AZ1411" s="74"/>
      <c r="BA1411" s="74"/>
      <c r="BB1411" s="74"/>
      <c r="BC1411" s="170"/>
      <c r="BD1411" s="156"/>
      <c r="BE1411" s="156"/>
      <c r="BF1411" s="299"/>
      <c r="BG1411" s="74"/>
      <c r="BH1411" s="74"/>
      <c r="BI1411" s="74"/>
      <c r="BJ1411" s="74"/>
      <c r="BK1411" s="74"/>
      <c r="BL1411" s="74"/>
      <c r="BM1411" s="74"/>
      <c r="BN1411" s="74"/>
      <c r="BO1411" s="74"/>
      <c r="BP1411" s="74"/>
      <c r="BQ1411" s="74"/>
      <c r="BR1411" s="74"/>
      <c r="BS1411" s="74"/>
      <c r="BT1411" s="74"/>
      <c r="BU1411" s="74"/>
      <c r="BV1411" s="74"/>
      <c r="BW1411" s="74"/>
      <c r="BX1411" s="74"/>
      <c r="BY1411" s="63"/>
      <c r="BZ1411" s="63"/>
    </row>
    <row r="1412" ht="15.75" customHeight="1">
      <c r="A1412" s="201"/>
      <c r="B1412" s="74"/>
      <c r="C1412" s="74"/>
      <c r="D1412" s="74"/>
      <c r="E1412" s="156"/>
      <c r="F1412" s="78">
        <v>0.0</v>
      </c>
      <c r="G1412" s="44" t="str">
        <f t="shared" si="35"/>
        <v>$0 a $100'000.000</v>
      </c>
      <c r="H1412" s="44"/>
      <c r="I1412" s="44"/>
      <c r="J1412" s="74"/>
      <c r="K1412" s="359"/>
      <c r="L1412" s="74"/>
      <c r="M1412" s="74"/>
      <c r="N1412" s="74"/>
      <c r="O1412" s="74"/>
      <c r="P1412" s="74"/>
      <c r="Q1412" s="74"/>
      <c r="R1412" s="362"/>
      <c r="S1412" s="56" t="str">
        <f t="shared" si="36"/>
        <v> </v>
      </c>
      <c r="T1412" s="74"/>
      <c r="U1412" s="359"/>
      <c r="V1412" s="74"/>
      <c r="W1412" s="74"/>
      <c r="X1412" s="74"/>
      <c r="Y1412" s="74"/>
      <c r="Z1412" s="364"/>
      <c r="AA1412" s="59" t="str">
        <f>IF(Rentabilidad=0,"No aplica",TEXT(ROUND(Precio/Rentabilidad/12,0),0) &amp; " años")</f>
        <v>No aplica</v>
      </c>
      <c r="AB1412" s="360"/>
      <c r="AC1412" s="61"/>
      <c r="AD1412" s="62"/>
      <c r="AE1412" s="63"/>
      <c r="AF1412" s="156"/>
      <c r="AG1412" s="63"/>
      <c r="AH1412" s="63"/>
      <c r="AI1412" s="74"/>
      <c r="AJ1412" s="156"/>
      <c r="AK1412" s="74"/>
      <c r="AL1412" s="156"/>
      <c r="AM1412" s="74"/>
      <c r="AN1412" s="156"/>
      <c r="AO1412" s="74"/>
      <c r="AP1412" s="363"/>
      <c r="AQ1412" s="363"/>
      <c r="AR1412" s="363"/>
      <c r="AS1412" s="74"/>
      <c r="AT1412" s="74"/>
      <c r="AU1412" s="74"/>
      <c r="AV1412" s="74"/>
      <c r="AW1412" s="74"/>
      <c r="AX1412" s="74"/>
      <c r="AY1412" s="74"/>
      <c r="AZ1412" s="74"/>
      <c r="BA1412" s="74"/>
      <c r="BB1412" s="74"/>
      <c r="BC1412" s="170"/>
      <c r="BD1412" s="156"/>
      <c r="BE1412" s="156"/>
      <c r="BF1412" s="299"/>
      <c r="BG1412" s="74"/>
      <c r="BH1412" s="74"/>
      <c r="BI1412" s="74"/>
      <c r="BJ1412" s="74"/>
      <c r="BK1412" s="74"/>
      <c r="BL1412" s="74"/>
      <c r="BM1412" s="74"/>
      <c r="BN1412" s="74"/>
      <c r="BO1412" s="74"/>
      <c r="BP1412" s="74"/>
      <c r="BQ1412" s="74"/>
      <c r="BR1412" s="74"/>
      <c r="BS1412" s="74"/>
      <c r="BT1412" s="74"/>
      <c r="BU1412" s="74"/>
      <c r="BV1412" s="74"/>
      <c r="BW1412" s="74"/>
      <c r="BX1412" s="74"/>
      <c r="BY1412" s="63"/>
      <c r="BZ1412" s="63"/>
    </row>
    <row r="1413" ht="15.75" customHeight="1">
      <c r="A1413" s="201"/>
      <c r="B1413" s="74"/>
      <c r="C1413" s="74"/>
      <c r="D1413" s="74"/>
      <c r="E1413" s="156"/>
      <c r="F1413" s="78">
        <v>0.0</v>
      </c>
      <c r="G1413" s="44" t="str">
        <f t="shared" si="35"/>
        <v>$0 a $100'000.000</v>
      </c>
      <c r="H1413" s="44"/>
      <c r="I1413" s="44"/>
      <c r="J1413" s="74"/>
      <c r="K1413" s="359"/>
      <c r="L1413" s="74"/>
      <c r="M1413" s="74"/>
      <c r="N1413" s="74"/>
      <c r="O1413" s="74"/>
      <c r="P1413" s="74"/>
      <c r="Q1413" s="74"/>
      <c r="R1413" s="362"/>
      <c r="S1413" s="56" t="str">
        <f t="shared" si="36"/>
        <v> </v>
      </c>
      <c r="T1413" s="74"/>
      <c r="U1413" s="359"/>
      <c r="V1413" s="74"/>
      <c r="W1413" s="74"/>
      <c r="X1413" s="74"/>
      <c r="Y1413" s="74"/>
      <c r="Z1413" s="364"/>
      <c r="AA1413" s="59" t="str">
        <f>IF(Rentabilidad=0,"No aplica",TEXT(ROUND(Precio/Rentabilidad/12,0),0) &amp; " años")</f>
        <v>No aplica</v>
      </c>
      <c r="AB1413" s="360"/>
      <c r="AC1413" s="61"/>
      <c r="AD1413" s="62"/>
      <c r="AE1413" s="63"/>
      <c r="AF1413" s="156"/>
      <c r="AG1413" s="63"/>
      <c r="AH1413" s="63"/>
      <c r="AI1413" s="74"/>
      <c r="AJ1413" s="156"/>
      <c r="AK1413" s="74"/>
      <c r="AL1413" s="156"/>
      <c r="AM1413" s="74"/>
      <c r="AN1413" s="156"/>
      <c r="AO1413" s="74"/>
      <c r="AP1413" s="363"/>
      <c r="AQ1413" s="363"/>
      <c r="AR1413" s="363"/>
      <c r="AS1413" s="74"/>
      <c r="AT1413" s="74"/>
      <c r="AU1413" s="74"/>
      <c r="AV1413" s="74"/>
      <c r="AW1413" s="74"/>
      <c r="AX1413" s="74"/>
      <c r="AY1413" s="74"/>
      <c r="AZ1413" s="74"/>
      <c r="BA1413" s="74"/>
      <c r="BB1413" s="74"/>
      <c r="BC1413" s="170"/>
      <c r="BD1413" s="156"/>
      <c r="BE1413" s="156"/>
      <c r="BF1413" s="299"/>
      <c r="BG1413" s="74"/>
      <c r="BH1413" s="74"/>
      <c r="BI1413" s="74"/>
      <c r="BJ1413" s="74"/>
      <c r="BK1413" s="74"/>
      <c r="BL1413" s="74"/>
      <c r="BM1413" s="74"/>
      <c r="BN1413" s="74"/>
      <c r="BO1413" s="74"/>
      <c r="BP1413" s="74"/>
      <c r="BQ1413" s="74"/>
      <c r="BR1413" s="74"/>
      <c r="BS1413" s="74"/>
      <c r="BT1413" s="74"/>
      <c r="BU1413" s="74"/>
      <c r="BV1413" s="74"/>
      <c r="BW1413" s="74"/>
      <c r="BX1413" s="74"/>
      <c r="BY1413" s="63"/>
      <c r="BZ1413" s="63"/>
    </row>
    <row r="1414" ht="15.75" customHeight="1">
      <c r="A1414" s="201"/>
      <c r="B1414" s="74"/>
      <c r="C1414" s="74"/>
      <c r="D1414" s="74"/>
      <c r="E1414" s="156"/>
      <c r="F1414" s="78">
        <v>0.0</v>
      </c>
      <c r="G1414" s="44" t="str">
        <f t="shared" si="35"/>
        <v>$0 a $100'000.000</v>
      </c>
      <c r="H1414" s="44"/>
      <c r="I1414" s="44"/>
      <c r="J1414" s="74"/>
      <c r="K1414" s="359"/>
      <c r="L1414" s="74"/>
      <c r="M1414" s="74"/>
      <c r="N1414" s="74"/>
      <c r="O1414" s="74"/>
      <c r="P1414" s="74"/>
      <c r="Q1414" s="74"/>
      <c r="R1414" s="362"/>
      <c r="S1414" s="56" t="str">
        <f t="shared" si="36"/>
        <v> </v>
      </c>
      <c r="T1414" s="74"/>
      <c r="U1414" s="359"/>
      <c r="V1414" s="74"/>
      <c r="W1414" s="74"/>
      <c r="X1414" s="74"/>
      <c r="Y1414" s="74"/>
      <c r="Z1414" s="364"/>
      <c r="AA1414" s="59" t="str">
        <f>IF(Rentabilidad=0,"No aplica",TEXT(ROUND(Precio/Rentabilidad/12,0),0) &amp; " años")</f>
        <v>No aplica</v>
      </c>
      <c r="AB1414" s="360"/>
      <c r="AC1414" s="61"/>
      <c r="AD1414" s="62"/>
      <c r="AE1414" s="63"/>
      <c r="AF1414" s="156"/>
      <c r="AG1414" s="63"/>
      <c r="AH1414" s="63"/>
      <c r="AI1414" s="74"/>
      <c r="AJ1414" s="156"/>
      <c r="AK1414" s="74"/>
      <c r="AL1414" s="156"/>
      <c r="AM1414" s="74"/>
      <c r="AN1414" s="156"/>
      <c r="AO1414" s="74"/>
      <c r="AP1414" s="363"/>
      <c r="AQ1414" s="363"/>
      <c r="AR1414" s="363"/>
      <c r="AS1414" s="74"/>
      <c r="AT1414" s="74"/>
      <c r="AU1414" s="74"/>
      <c r="AV1414" s="74"/>
      <c r="AW1414" s="74"/>
      <c r="AX1414" s="74"/>
      <c r="AY1414" s="74"/>
      <c r="AZ1414" s="74"/>
      <c r="BA1414" s="74"/>
      <c r="BB1414" s="74"/>
      <c r="BC1414" s="170"/>
      <c r="BD1414" s="156"/>
      <c r="BE1414" s="156"/>
      <c r="BF1414" s="299"/>
      <c r="BG1414" s="74"/>
      <c r="BH1414" s="74"/>
      <c r="BI1414" s="74"/>
      <c r="BJ1414" s="74"/>
      <c r="BK1414" s="74"/>
      <c r="BL1414" s="74"/>
      <c r="BM1414" s="74"/>
      <c r="BN1414" s="74"/>
      <c r="BO1414" s="74"/>
      <c r="BP1414" s="74"/>
      <c r="BQ1414" s="74"/>
      <c r="BR1414" s="74"/>
      <c r="BS1414" s="74"/>
      <c r="BT1414" s="74"/>
      <c r="BU1414" s="74"/>
      <c r="BV1414" s="74"/>
      <c r="BW1414" s="74"/>
      <c r="BX1414" s="74"/>
      <c r="BY1414" s="63"/>
      <c r="BZ1414" s="63"/>
    </row>
    <row r="1415" ht="15.75" customHeight="1">
      <c r="A1415" s="201"/>
      <c r="B1415" s="74"/>
      <c r="C1415" s="74"/>
      <c r="D1415" s="74"/>
      <c r="E1415" s="156"/>
      <c r="F1415" s="78">
        <v>0.0</v>
      </c>
      <c r="G1415" s="44" t="str">
        <f t="shared" si="35"/>
        <v>$0 a $100'000.000</v>
      </c>
      <c r="H1415" s="44"/>
      <c r="I1415" s="44"/>
      <c r="J1415" s="74"/>
      <c r="K1415" s="359"/>
      <c r="L1415" s="74"/>
      <c r="M1415" s="74"/>
      <c r="N1415" s="74"/>
      <c r="O1415" s="74"/>
      <c r="P1415" s="74"/>
      <c r="Q1415" s="74"/>
      <c r="R1415" s="362"/>
      <c r="S1415" s="56" t="str">
        <f t="shared" si="36"/>
        <v> </v>
      </c>
      <c r="T1415" s="74"/>
      <c r="U1415" s="359"/>
      <c r="V1415" s="74"/>
      <c r="W1415" s="74"/>
      <c r="X1415" s="74"/>
      <c r="Y1415" s="74"/>
      <c r="Z1415" s="364"/>
      <c r="AA1415" s="59" t="str">
        <f>IF(Rentabilidad=0,"No aplica",TEXT(ROUND(Precio/Rentabilidad/12,0),0) &amp; " años")</f>
        <v>No aplica</v>
      </c>
      <c r="AB1415" s="360"/>
      <c r="AC1415" s="61"/>
      <c r="AD1415" s="62"/>
      <c r="AE1415" s="63"/>
      <c r="AF1415" s="156"/>
      <c r="AG1415" s="63"/>
      <c r="AH1415" s="63"/>
      <c r="AI1415" s="74"/>
      <c r="AJ1415" s="156"/>
      <c r="AK1415" s="74"/>
      <c r="AL1415" s="156"/>
      <c r="AM1415" s="74"/>
      <c r="AN1415" s="156"/>
      <c r="AO1415" s="74"/>
      <c r="AP1415" s="363"/>
      <c r="AQ1415" s="363"/>
      <c r="AR1415" s="363"/>
      <c r="AS1415" s="74"/>
      <c r="AT1415" s="74"/>
      <c r="AU1415" s="74"/>
      <c r="AV1415" s="74"/>
      <c r="AW1415" s="74"/>
      <c r="AX1415" s="74"/>
      <c r="AY1415" s="74"/>
      <c r="AZ1415" s="74"/>
      <c r="BA1415" s="74"/>
      <c r="BB1415" s="74"/>
      <c r="BC1415" s="170"/>
      <c r="BD1415" s="156"/>
      <c r="BE1415" s="156"/>
      <c r="BF1415" s="299"/>
      <c r="BG1415" s="74"/>
      <c r="BH1415" s="74"/>
      <c r="BI1415" s="74"/>
      <c r="BJ1415" s="74"/>
      <c r="BK1415" s="74"/>
      <c r="BL1415" s="74"/>
      <c r="BM1415" s="74"/>
      <c r="BN1415" s="74"/>
      <c r="BO1415" s="74"/>
      <c r="BP1415" s="74"/>
      <c r="BQ1415" s="74"/>
      <c r="BR1415" s="74"/>
      <c r="BS1415" s="74"/>
      <c r="BT1415" s="74"/>
      <c r="BU1415" s="74"/>
      <c r="BV1415" s="74"/>
      <c r="BW1415" s="74"/>
      <c r="BX1415" s="74"/>
      <c r="BY1415" s="63"/>
      <c r="BZ1415" s="63"/>
    </row>
    <row r="1416" ht="15.75" customHeight="1">
      <c r="A1416" s="201"/>
      <c r="B1416" s="74"/>
      <c r="C1416" s="74"/>
      <c r="D1416" s="74"/>
      <c r="E1416" s="156"/>
      <c r="F1416" s="78">
        <v>0.0</v>
      </c>
      <c r="G1416" s="44" t="str">
        <f t="shared" si="35"/>
        <v>$0 a $100'000.000</v>
      </c>
      <c r="H1416" s="44"/>
      <c r="I1416" s="44"/>
      <c r="J1416" s="74"/>
      <c r="K1416" s="359"/>
      <c r="L1416" s="74"/>
      <c r="M1416" s="74"/>
      <c r="N1416" s="74"/>
      <c r="O1416" s="74"/>
      <c r="P1416" s="74"/>
      <c r="Q1416" s="74"/>
      <c r="R1416" s="362"/>
      <c r="S1416" s="56" t="str">
        <f t="shared" si="36"/>
        <v> </v>
      </c>
      <c r="T1416" s="74"/>
      <c r="U1416" s="359"/>
      <c r="V1416" s="74"/>
      <c r="W1416" s="74"/>
      <c r="X1416" s="74"/>
      <c r="Y1416" s="74"/>
      <c r="Z1416" s="364"/>
      <c r="AA1416" s="59" t="str">
        <f>IF(Rentabilidad=0,"No aplica",TEXT(ROUND(Precio/Rentabilidad/12,0),0) &amp; " años")</f>
        <v>No aplica</v>
      </c>
      <c r="AB1416" s="360"/>
      <c r="AC1416" s="61"/>
      <c r="AD1416" s="62"/>
      <c r="AE1416" s="63"/>
      <c r="AF1416" s="156"/>
      <c r="AG1416" s="63"/>
      <c r="AH1416" s="63"/>
      <c r="AI1416" s="74"/>
      <c r="AJ1416" s="156"/>
      <c r="AK1416" s="74"/>
      <c r="AL1416" s="156"/>
      <c r="AM1416" s="74"/>
      <c r="AN1416" s="156"/>
      <c r="AO1416" s="74"/>
      <c r="AP1416" s="363"/>
      <c r="AQ1416" s="363"/>
      <c r="AR1416" s="363"/>
      <c r="AS1416" s="74"/>
      <c r="AT1416" s="74"/>
      <c r="AU1416" s="74"/>
      <c r="AV1416" s="74"/>
      <c r="AW1416" s="74"/>
      <c r="AX1416" s="74"/>
      <c r="AY1416" s="74"/>
      <c r="AZ1416" s="74"/>
      <c r="BA1416" s="74"/>
      <c r="BB1416" s="74"/>
      <c r="BC1416" s="170"/>
      <c r="BD1416" s="156"/>
      <c r="BE1416" s="156"/>
      <c r="BF1416" s="299"/>
      <c r="BG1416" s="74"/>
      <c r="BH1416" s="74"/>
      <c r="BI1416" s="74"/>
      <c r="BJ1416" s="74"/>
      <c r="BK1416" s="74"/>
      <c r="BL1416" s="74"/>
      <c r="BM1416" s="74"/>
      <c r="BN1416" s="74"/>
      <c r="BO1416" s="74"/>
      <c r="BP1416" s="74"/>
      <c r="BQ1416" s="74"/>
      <c r="BR1416" s="74"/>
      <c r="BS1416" s="74"/>
      <c r="BT1416" s="74"/>
      <c r="BU1416" s="74"/>
      <c r="BV1416" s="74"/>
      <c r="BW1416" s="74"/>
      <c r="BX1416" s="74"/>
      <c r="BY1416" s="63"/>
      <c r="BZ1416" s="63"/>
    </row>
    <row r="1417" ht="15.75" customHeight="1">
      <c r="A1417" s="201"/>
      <c r="B1417" s="74"/>
      <c r="C1417" s="74"/>
      <c r="D1417" s="74"/>
      <c r="E1417" s="156"/>
      <c r="F1417" s="78">
        <v>0.0</v>
      </c>
      <c r="G1417" s="44" t="str">
        <f t="shared" si="35"/>
        <v>$0 a $100'000.000</v>
      </c>
      <c r="H1417" s="44"/>
      <c r="I1417" s="44"/>
      <c r="J1417" s="74"/>
      <c r="K1417" s="359"/>
      <c r="L1417" s="74"/>
      <c r="M1417" s="74"/>
      <c r="N1417" s="74"/>
      <c r="O1417" s="74"/>
      <c r="P1417" s="74"/>
      <c r="Q1417" s="74"/>
      <c r="R1417" s="362"/>
      <c r="S1417" s="56" t="str">
        <f t="shared" si="36"/>
        <v> </v>
      </c>
      <c r="T1417" s="74"/>
      <c r="U1417" s="359"/>
      <c r="V1417" s="74"/>
      <c r="W1417" s="74"/>
      <c r="X1417" s="74"/>
      <c r="Y1417" s="74"/>
      <c r="Z1417" s="364"/>
      <c r="AA1417" s="59" t="str">
        <f>IF(Rentabilidad=0,"No aplica",TEXT(ROUND(Precio/Rentabilidad/12,0),0) &amp; " años")</f>
        <v>No aplica</v>
      </c>
      <c r="AB1417" s="360"/>
      <c r="AC1417" s="61"/>
      <c r="AD1417" s="62"/>
      <c r="AE1417" s="63"/>
      <c r="AF1417" s="156"/>
      <c r="AG1417" s="63"/>
      <c r="AH1417" s="63"/>
      <c r="AI1417" s="74"/>
      <c r="AJ1417" s="156"/>
      <c r="AK1417" s="74"/>
      <c r="AL1417" s="156"/>
      <c r="AM1417" s="74"/>
      <c r="AN1417" s="156"/>
      <c r="AO1417" s="74"/>
      <c r="AP1417" s="363"/>
      <c r="AQ1417" s="363"/>
      <c r="AR1417" s="363"/>
      <c r="AS1417" s="74"/>
      <c r="AT1417" s="74"/>
      <c r="AU1417" s="74"/>
      <c r="AV1417" s="74"/>
      <c r="AW1417" s="74"/>
      <c r="AX1417" s="74"/>
      <c r="AY1417" s="74"/>
      <c r="AZ1417" s="74"/>
      <c r="BA1417" s="74"/>
      <c r="BB1417" s="74"/>
      <c r="BC1417" s="170"/>
      <c r="BD1417" s="156"/>
      <c r="BE1417" s="156"/>
      <c r="BF1417" s="299"/>
      <c r="BG1417" s="74"/>
      <c r="BH1417" s="74"/>
      <c r="BI1417" s="74"/>
      <c r="BJ1417" s="74"/>
      <c r="BK1417" s="74"/>
      <c r="BL1417" s="74"/>
      <c r="BM1417" s="74"/>
      <c r="BN1417" s="74"/>
      <c r="BO1417" s="74"/>
      <c r="BP1417" s="74"/>
      <c r="BQ1417" s="74"/>
      <c r="BR1417" s="74"/>
      <c r="BS1417" s="74"/>
      <c r="BT1417" s="74"/>
      <c r="BU1417" s="74"/>
      <c r="BV1417" s="74"/>
      <c r="BW1417" s="74"/>
      <c r="BX1417" s="74"/>
      <c r="BY1417" s="63"/>
      <c r="BZ1417" s="63"/>
    </row>
    <row r="1418" ht="15.75" customHeight="1">
      <c r="A1418" s="201"/>
      <c r="B1418" s="74"/>
      <c r="C1418" s="74"/>
      <c r="D1418" s="74"/>
      <c r="E1418" s="156"/>
      <c r="F1418" s="78">
        <v>0.0</v>
      </c>
      <c r="G1418" s="44" t="str">
        <f t="shared" si="35"/>
        <v>$0 a $100'000.000</v>
      </c>
      <c r="H1418" s="44"/>
      <c r="I1418" s="44"/>
      <c r="J1418" s="74"/>
      <c r="K1418" s="359"/>
      <c r="L1418" s="74"/>
      <c r="M1418" s="74"/>
      <c r="N1418" s="74"/>
      <c r="O1418" s="74"/>
      <c r="P1418" s="74"/>
      <c r="Q1418" s="74"/>
      <c r="R1418" s="362"/>
      <c r="S1418" s="56" t="str">
        <f t="shared" si="36"/>
        <v> </v>
      </c>
      <c r="T1418" s="74"/>
      <c r="U1418" s="359"/>
      <c r="V1418" s="74"/>
      <c r="W1418" s="74"/>
      <c r="X1418" s="74"/>
      <c r="Y1418" s="74"/>
      <c r="Z1418" s="364"/>
      <c r="AA1418" s="59" t="str">
        <f>IF(Rentabilidad=0,"No aplica",TEXT(ROUND(Precio/Rentabilidad/12,0),0) &amp; " años")</f>
        <v>No aplica</v>
      </c>
      <c r="AB1418" s="360"/>
      <c r="AC1418" s="61"/>
      <c r="AD1418" s="62"/>
      <c r="AE1418" s="63"/>
      <c r="AF1418" s="156"/>
      <c r="AG1418" s="63"/>
      <c r="AH1418" s="63"/>
      <c r="AI1418" s="74"/>
      <c r="AJ1418" s="156"/>
      <c r="AK1418" s="74"/>
      <c r="AL1418" s="156"/>
      <c r="AM1418" s="74"/>
      <c r="AN1418" s="156"/>
      <c r="AO1418" s="74"/>
      <c r="AP1418" s="363"/>
      <c r="AQ1418" s="363"/>
      <c r="AR1418" s="363"/>
      <c r="AS1418" s="74"/>
      <c r="AT1418" s="74"/>
      <c r="AU1418" s="74"/>
      <c r="AV1418" s="74"/>
      <c r="AW1418" s="74"/>
      <c r="AX1418" s="74"/>
      <c r="AY1418" s="74"/>
      <c r="AZ1418" s="74"/>
      <c r="BA1418" s="74"/>
      <c r="BB1418" s="74"/>
      <c r="BC1418" s="170"/>
      <c r="BD1418" s="156"/>
      <c r="BE1418" s="156"/>
      <c r="BF1418" s="299"/>
      <c r="BG1418" s="74"/>
      <c r="BH1418" s="74"/>
      <c r="BI1418" s="74"/>
      <c r="BJ1418" s="74"/>
      <c r="BK1418" s="74"/>
      <c r="BL1418" s="74"/>
      <c r="BM1418" s="74"/>
      <c r="BN1418" s="74"/>
      <c r="BO1418" s="74"/>
      <c r="BP1418" s="74"/>
      <c r="BQ1418" s="74"/>
      <c r="BR1418" s="74"/>
      <c r="BS1418" s="74"/>
      <c r="BT1418" s="74"/>
      <c r="BU1418" s="74"/>
      <c r="BV1418" s="74"/>
      <c r="BW1418" s="74"/>
      <c r="BX1418" s="74"/>
      <c r="BY1418" s="63"/>
      <c r="BZ1418" s="63"/>
    </row>
    <row r="1419" ht="15.75" customHeight="1">
      <c r="A1419" s="201"/>
      <c r="B1419" s="74"/>
      <c r="C1419" s="74"/>
      <c r="D1419" s="74"/>
      <c r="E1419" s="156"/>
      <c r="F1419" s="78">
        <v>0.0</v>
      </c>
      <c r="G1419" s="44" t="str">
        <f t="shared" si="35"/>
        <v>$0 a $100'000.000</v>
      </c>
      <c r="H1419" s="44"/>
      <c r="I1419" s="44"/>
      <c r="J1419" s="74"/>
      <c r="K1419" s="359"/>
      <c r="L1419" s="74"/>
      <c r="M1419" s="74"/>
      <c r="N1419" s="74"/>
      <c r="O1419" s="74"/>
      <c r="P1419" s="74"/>
      <c r="Q1419" s="74"/>
      <c r="R1419" s="362"/>
      <c r="S1419" s="56" t="str">
        <f t="shared" si="36"/>
        <v> </v>
      </c>
      <c r="T1419" s="74"/>
      <c r="U1419" s="359"/>
      <c r="V1419" s="74"/>
      <c r="W1419" s="74"/>
      <c r="X1419" s="74"/>
      <c r="Y1419" s="74"/>
      <c r="Z1419" s="364"/>
      <c r="AA1419" s="59" t="str">
        <f>IF(Rentabilidad=0,"No aplica",TEXT(ROUND(Precio/Rentabilidad/12,0),0) &amp; " años")</f>
        <v>No aplica</v>
      </c>
      <c r="AB1419" s="360"/>
      <c r="AC1419" s="61"/>
      <c r="AD1419" s="62"/>
      <c r="AE1419" s="63"/>
      <c r="AF1419" s="156"/>
      <c r="AG1419" s="63"/>
      <c r="AH1419" s="63"/>
      <c r="AI1419" s="74"/>
      <c r="AJ1419" s="156"/>
      <c r="AK1419" s="74"/>
      <c r="AL1419" s="156"/>
      <c r="AM1419" s="74"/>
      <c r="AN1419" s="156"/>
      <c r="AO1419" s="74"/>
      <c r="AP1419" s="363"/>
      <c r="AQ1419" s="363"/>
      <c r="AR1419" s="363"/>
      <c r="AS1419" s="74"/>
      <c r="AT1419" s="74"/>
      <c r="AU1419" s="74"/>
      <c r="AV1419" s="74"/>
      <c r="AW1419" s="74"/>
      <c r="AX1419" s="74"/>
      <c r="AY1419" s="74"/>
      <c r="AZ1419" s="74"/>
      <c r="BA1419" s="74"/>
      <c r="BB1419" s="74"/>
      <c r="BC1419" s="170"/>
      <c r="BD1419" s="156"/>
      <c r="BE1419" s="156"/>
      <c r="BF1419" s="299"/>
      <c r="BG1419" s="74"/>
      <c r="BH1419" s="74"/>
      <c r="BI1419" s="74"/>
      <c r="BJ1419" s="74"/>
      <c r="BK1419" s="74"/>
      <c r="BL1419" s="74"/>
      <c r="BM1419" s="74"/>
      <c r="BN1419" s="74"/>
      <c r="BO1419" s="74"/>
      <c r="BP1419" s="74"/>
      <c r="BQ1419" s="74"/>
      <c r="BR1419" s="74"/>
      <c r="BS1419" s="74"/>
      <c r="BT1419" s="74"/>
      <c r="BU1419" s="74"/>
      <c r="BV1419" s="74"/>
      <c r="BW1419" s="74"/>
      <c r="BX1419" s="74"/>
      <c r="BY1419" s="63"/>
      <c r="BZ1419" s="63"/>
    </row>
    <row r="1420" ht="15.75" customHeight="1">
      <c r="A1420" s="201"/>
      <c r="B1420" s="74"/>
      <c r="C1420" s="74"/>
      <c r="D1420" s="74"/>
      <c r="E1420" s="156"/>
      <c r="F1420" s="78">
        <v>0.0</v>
      </c>
      <c r="G1420" s="44" t="str">
        <f t="shared" si="35"/>
        <v>$0 a $100'000.000</v>
      </c>
      <c r="H1420" s="44"/>
      <c r="I1420" s="44"/>
      <c r="J1420" s="74"/>
      <c r="K1420" s="359"/>
      <c r="L1420" s="74"/>
      <c r="M1420" s="74"/>
      <c r="N1420" s="74"/>
      <c r="O1420" s="74"/>
      <c r="P1420" s="74"/>
      <c r="Q1420" s="74"/>
      <c r="R1420" s="362"/>
      <c r="S1420" s="56" t="str">
        <f t="shared" si="36"/>
        <v> </v>
      </c>
      <c r="T1420" s="74"/>
      <c r="U1420" s="359"/>
      <c r="V1420" s="74"/>
      <c r="W1420" s="74"/>
      <c r="X1420" s="74"/>
      <c r="Y1420" s="74"/>
      <c r="Z1420" s="364"/>
      <c r="AA1420" s="59" t="str">
        <f>IF(Rentabilidad=0,"No aplica",TEXT(ROUND(Precio/Rentabilidad/12,0),0) &amp; " años")</f>
        <v>No aplica</v>
      </c>
      <c r="AB1420" s="360"/>
      <c r="AC1420" s="61"/>
      <c r="AD1420" s="62"/>
      <c r="AE1420" s="63"/>
      <c r="AF1420" s="156"/>
      <c r="AG1420" s="63"/>
      <c r="AH1420" s="63"/>
      <c r="AI1420" s="74"/>
      <c r="AJ1420" s="156"/>
      <c r="AK1420" s="74"/>
      <c r="AL1420" s="156"/>
      <c r="AM1420" s="74"/>
      <c r="AN1420" s="156"/>
      <c r="AO1420" s="74"/>
      <c r="AP1420" s="363"/>
      <c r="AQ1420" s="363"/>
      <c r="AR1420" s="363"/>
      <c r="AS1420" s="74"/>
      <c r="AT1420" s="74"/>
      <c r="AU1420" s="74"/>
      <c r="AV1420" s="74"/>
      <c r="AW1420" s="74"/>
      <c r="AX1420" s="74"/>
      <c r="AY1420" s="74"/>
      <c r="AZ1420" s="74"/>
      <c r="BA1420" s="74"/>
      <c r="BB1420" s="74"/>
      <c r="BC1420" s="170"/>
      <c r="BD1420" s="156"/>
      <c r="BE1420" s="156"/>
      <c r="BF1420" s="299"/>
      <c r="BG1420" s="74"/>
      <c r="BH1420" s="74"/>
      <c r="BI1420" s="74"/>
      <c r="BJ1420" s="74"/>
      <c r="BK1420" s="74"/>
      <c r="BL1420" s="74"/>
      <c r="BM1420" s="74"/>
      <c r="BN1420" s="74"/>
      <c r="BO1420" s="74"/>
      <c r="BP1420" s="74"/>
      <c r="BQ1420" s="74"/>
      <c r="BR1420" s="74"/>
      <c r="BS1420" s="74"/>
      <c r="BT1420" s="74"/>
      <c r="BU1420" s="74"/>
      <c r="BV1420" s="74"/>
      <c r="BW1420" s="74"/>
      <c r="BX1420" s="74"/>
      <c r="BY1420" s="63"/>
      <c r="BZ1420" s="63"/>
    </row>
    <row r="1421" ht="15.75" customHeight="1">
      <c r="A1421" s="201"/>
      <c r="B1421" s="74"/>
      <c r="C1421" s="74"/>
      <c r="D1421" s="74"/>
      <c r="E1421" s="156"/>
      <c r="F1421" s="78">
        <v>0.0</v>
      </c>
      <c r="G1421" s="44" t="str">
        <f t="shared" si="35"/>
        <v>$0 a $100'000.000</v>
      </c>
      <c r="H1421" s="44"/>
      <c r="I1421" s="44"/>
      <c r="J1421" s="74"/>
      <c r="K1421" s="359"/>
      <c r="L1421" s="74"/>
      <c r="M1421" s="74"/>
      <c r="N1421" s="74"/>
      <c r="O1421" s="74"/>
      <c r="P1421" s="74"/>
      <c r="Q1421" s="74"/>
      <c r="R1421" s="362"/>
      <c r="S1421" s="56" t="str">
        <f t="shared" si="36"/>
        <v> </v>
      </c>
      <c r="T1421" s="74"/>
      <c r="U1421" s="359"/>
      <c r="V1421" s="74"/>
      <c r="W1421" s="74"/>
      <c r="X1421" s="74"/>
      <c r="Y1421" s="74"/>
      <c r="Z1421" s="364"/>
      <c r="AA1421" s="59" t="str">
        <f>IF(Rentabilidad=0,"No aplica",TEXT(ROUND(Precio/Rentabilidad/12,0),0) &amp; " años")</f>
        <v>No aplica</v>
      </c>
      <c r="AB1421" s="360"/>
      <c r="AC1421" s="61"/>
      <c r="AD1421" s="62"/>
      <c r="AE1421" s="63"/>
      <c r="AF1421" s="156"/>
      <c r="AG1421" s="63"/>
      <c r="AH1421" s="63"/>
      <c r="AI1421" s="74"/>
      <c r="AJ1421" s="156"/>
      <c r="AK1421" s="74"/>
      <c r="AL1421" s="156"/>
      <c r="AM1421" s="74"/>
      <c r="AN1421" s="156"/>
      <c r="AO1421" s="74"/>
      <c r="AP1421" s="363"/>
      <c r="AQ1421" s="363"/>
      <c r="AR1421" s="363"/>
      <c r="AS1421" s="74"/>
      <c r="AT1421" s="74"/>
      <c r="AU1421" s="74"/>
      <c r="AV1421" s="74"/>
      <c r="AW1421" s="74"/>
      <c r="AX1421" s="74"/>
      <c r="AY1421" s="74"/>
      <c r="AZ1421" s="74"/>
      <c r="BA1421" s="74"/>
      <c r="BB1421" s="74"/>
      <c r="BC1421" s="170"/>
      <c r="BD1421" s="156"/>
      <c r="BE1421" s="156"/>
      <c r="BF1421" s="299"/>
      <c r="BG1421" s="74"/>
      <c r="BH1421" s="74"/>
      <c r="BI1421" s="74"/>
      <c r="BJ1421" s="74"/>
      <c r="BK1421" s="74"/>
      <c r="BL1421" s="74"/>
      <c r="BM1421" s="74"/>
      <c r="BN1421" s="74"/>
      <c r="BO1421" s="74"/>
      <c r="BP1421" s="74"/>
      <c r="BQ1421" s="74"/>
      <c r="BR1421" s="74"/>
      <c r="BS1421" s="74"/>
      <c r="BT1421" s="74"/>
      <c r="BU1421" s="74"/>
      <c r="BV1421" s="74"/>
      <c r="BW1421" s="74"/>
      <c r="BX1421" s="74"/>
      <c r="BY1421" s="63"/>
      <c r="BZ1421" s="63"/>
    </row>
    <row r="1422" ht="15.75" customHeight="1">
      <c r="A1422" s="201"/>
      <c r="B1422" s="74"/>
      <c r="C1422" s="74"/>
      <c r="D1422" s="74"/>
      <c r="E1422" s="156"/>
      <c r="F1422" s="78">
        <v>0.0</v>
      </c>
      <c r="G1422" s="44" t="str">
        <f t="shared" si="35"/>
        <v>$0 a $100'000.000</v>
      </c>
      <c r="H1422" s="44"/>
      <c r="I1422" s="44"/>
      <c r="J1422" s="74"/>
      <c r="K1422" s="359"/>
      <c r="L1422" s="74"/>
      <c r="M1422" s="74"/>
      <c r="N1422" s="74"/>
      <c r="O1422" s="74"/>
      <c r="P1422" s="74"/>
      <c r="Q1422" s="74"/>
      <c r="R1422" s="362"/>
      <c r="S1422" s="56" t="str">
        <f t="shared" si="36"/>
        <v> </v>
      </c>
      <c r="T1422" s="74"/>
      <c r="U1422" s="359"/>
      <c r="V1422" s="74"/>
      <c r="W1422" s="74"/>
      <c r="X1422" s="74"/>
      <c r="Y1422" s="74"/>
      <c r="Z1422" s="364"/>
      <c r="AA1422" s="59" t="str">
        <f>IF(Rentabilidad=0,"No aplica",TEXT(ROUND(Precio/Rentabilidad/12,0),0) &amp; " años")</f>
        <v>No aplica</v>
      </c>
      <c r="AB1422" s="360"/>
      <c r="AC1422" s="61"/>
      <c r="AD1422" s="62"/>
      <c r="AE1422" s="63"/>
      <c r="AF1422" s="156"/>
      <c r="AG1422" s="63"/>
      <c r="AH1422" s="63"/>
      <c r="AI1422" s="74"/>
      <c r="AJ1422" s="156"/>
      <c r="AK1422" s="74"/>
      <c r="AL1422" s="156"/>
      <c r="AM1422" s="74"/>
      <c r="AN1422" s="156"/>
      <c r="AO1422" s="74"/>
      <c r="AP1422" s="363"/>
      <c r="AQ1422" s="363"/>
      <c r="AR1422" s="363"/>
      <c r="AS1422" s="74"/>
      <c r="AT1422" s="74"/>
      <c r="AU1422" s="74"/>
      <c r="AV1422" s="74"/>
      <c r="AW1422" s="74"/>
      <c r="AX1422" s="74"/>
      <c r="AY1422" s="74"/>
      <c r="AZ1422" s="74"/>
      <c r="BA1422" s="74"/>
      <c r="BB1422" s="74"/>
      <c r="BC1422" s="170"/>
      <c r="BD1422" s="156"/>
      <c r="BE1422" s="156"/>
      <c r="BF1422" s="299"/>
      <c r="BG1422" s="74"/>
      <c r="BH1422" s="74"/>
      <c r="BI1422" s="74"/>
      <c r="BJ1422" s="74"/>
      <c r="BK1422" s="74"/>
      <c r="BL1422" s="74"/>
      <c r="BM1422" s="74"/>
      <c r="BN1422" s="74"/>
      <c r="BO1422" s="74"/>
      <c r="BP1422" s="74"/>
      <c r="BQ1422" s="74"/>
      <c r="BR1422" s="74"/>
      <c r="BS1422" s="74"/>
      <c r="BT1422" s="74"/>
      <c r="BU1422" s="74"/>
      <c r="BV1422" s="74"/>
      <c r="BW1422" s="74"/>
      <c r="BX1422" s="74"/>
      <c r="BY1422" s="63"/>
      <c r="BZ1422" s="63"/>
    </row>
    <row r="1423" ht="15.75" customHeight="1">
      <c r="A1423" s="201"/>
      <c r="B1423" s="74"/>
      <c r="C1423" s="74"/>
      <c r="D1423" s="74"/>
      <c r="E1423" s="156"/>
      <c r="F1423" s="78">
        <v>0.0</v>
      </c>
      <c r="G1423" s="44" t="str">
        <f t="shared" si="35"/>
        <v>$0 a $100'000.000</v>
      </c>
      <c r="H1423" s="44"/>
      <c r="I1423" s="44"/>
      <c r="J1423" s="74"/>
      <c r="K1423" s="359"/>
      <c r="L1423" s="74"/>
      <c r="M1423" s="74"/>
      <c r="N1423" s="74"/>
      <c r="O1423" s="74"/>
      <c r="P1423" s="74"/>
      <c r="Q1423" s="74"/>
      <c r="R1423" s="362"/>
      <c r="S1423" s="56" t="str">
        <f t="shared" si="36"/>
        <v> </v>
      </c>
      <c r="T1423" s="74"/>
      <c r="U1423" s="359"/>
      <c r="V1423" s="74"/>
      <c r="W1423" s="74"/>
      <c r="X1423" s="74"/>
      <c r="Y1423" s="74"/>
      <c r="Z1423" s="364"/>
      <c r="AA1423" s="59" t="str">
        <f>IF(Rentabilidad=0,"No aplica",TEXT(ROUND(Precio/Rentabilidad/12,0),0) &amp; " años")</f>
        <v>No aplica</v>
      </c>
      <c r="AB1423" s="360"/>
      <c r="AC1423" s="61"/>
      <c r="AD1423" s="62"/>
      <c r="AE1423" s="63"/>
      <c r="AF1423" s="156"/>
      <c r="AG1423" s="63"/>
      <c r="AH1423" s="63"/>
      <c r="AI1423" s="74"/>
      <c r="AJ1423" s="156"/>
      <c r="AK1423" s="74"/>
      <c r="AL1423" s="156"/>
      <c r="AM1423" s="74"/>
      <c r="AN1423" s="156"/>
      <c r="AO1423" s="74"/>
      <c r="AP1423" s="363"/>
      <c r="AQ1423" s="363"/>
      <c r="AR1423" s="363"/>
      <c r="AS1423" s="74"/>
      <c r="AT1423" s="74"/>
      <c r="AU1423" s="74"/>
      <c r="AV1423" s="74"/>
      <c r="AW1423" s="74"/>
      <c r="AX1423" s="74"/>
      <c r="AY1423" s="74"/>
      <c r="AZ1423" s="74"/>
      <c r="BA1423" s="74"/>
      <c r="BB1423" s="74"/>
      <c r="BC1423" s="170"/>
      <c r="BD1423" s="156"/>
      <c r="BE1423" s="156"/>
      <c r="BF1423" s="299"/>
      <c r="BG1423" s="74"/>
      <c r="BH1423" s="74"/>
      <c r="BI1423" s="74"/>
      <c r="BJ1423" s="74"/>
      <c r="BK1423" s="74"/>
      <c r="BL1423" s="74"/>
      <c r="BM1423" s="74"/>
      <c r="BN1423" s="74"/>
      <c r="BO1423" s="74"/>
      <c r="BP1423" s="74"/>
      <c r="BQ1423" s="74"/>
      <c r="BR1423" s="74"/>
      <c r="BS1423" s="74"/>
      <c r="BT1423" s="74"/>
      <c r="BU1423" s="74"/>
      <c r="BV1423" s="74"/>
      <c r="BW1423" s="74"/>
      <c r="BX1423" s="74"/>
      <c r="BY1423" s="63"/>
      <c r="BZ1423" s="63"/>
    </row>
    <row r="1424" ht="15.75" customHeight="1">
      <c r="A1424" s="201"/>
      <c r="B1424" s="74"/>
      <c r="C1424" s="74"/>
      <c r="D1424" s="74"/>
      <c r="E1424" s="156"/>
      <c r="F1424" s="78">
        <v>0.0</v>
      </c>
      <c r="G1424" s="44" t="str">
        <f t="shared" si="35"/>
        <v>$0 a $100'000.000</v>
      </c>
      <c r="H1424" s="44"/>
      <c r="I1424" s="44"/>
      <c r="J1424" s="74"/>
      <c r="K1424" s="359"/>
      <c r="L1424" s="74"/>
      <c r="M1424" s="74"/>
      <c r="N1424" s="74"/>
      <c r="O1424" s="74"/>
      <c r="P1424" s="74"/>
      <c r="Q1424" s="74"/>
      <c r="R1424" s="362"/>
      <c r="S1424" s="56" t="str">
        <f t="shared" si="36"/>
        <v> </v>
      </c>
      <c r="T1424" s="74"/>
      <c r="U1424" s="359"/>
      <c r="V1424" s="74"/>
      <c r="W1424" s="74"/>
      <c r="X1424" s="74"/>
      <c r="Y1424" s="74"/>
      <c r="Z1424" s="364"/>
      <c r="AA1424" s="59" t="str">
        <f>IF(Rentabilidad=0,"No aplica",TEXT(ROUND(Precio/Rentabilidad/12,0),0) &amp; " años")</f>
        <v>No aplica</v>
      </c>
      <c r="AB1424" s="360"/>
      <c r="AC1424" s="61"/>
      <c r="AD1424" s="62"/>
      <c r="AE1424" s="63"/>
      <c r="AF1424" s="156"/>
      <c r="AG1424" s="63"/>
      <c r="AH1424" s="63"/>
      <c r="AI1424" s="74"/>
      <c r="AJ1424" s="156"/>
      <c r="AK1424" s="74"/>
      <c r="AL1424" s="156"/>
      <c r="AM1424" s="74"/>
      <c r="AN1424" s="156"/>
      <c r="AO1424" s="74"/>
      <c r="AP1424" s="363"/>
      <c r="AQ1424" s="363"/>
      <c r="AR1424" s="363"/>
      <c r="AS1424" s="74"/>
      <c r="AT1424" s="74"/>
      <c r="AU1424" s="74"/>
      <c r="AV1424" s="74"/>
      <c r="AW1424" s="74"/>
      <c r="AX1424" s="74"/>
      <c r="AY1424" s="74"/>
      <c r="AZ1424" s="74"/>
      <c r="BA1424" s="74"/>
      <c r="BB1424" s="74"/>
      <c r="BC1424" s="170"/>
      <c r="BD1424" s="156"/>
      <c r="BE1424" s="156"/>
      <c r="BF1424" s="299"/>
      <c r="BG1424" s="74"/>
      <c r="BH1424" s="74"/>
      <c r="BI1424" s="74"/>
      <c r="BJ1424" s="74"/>
      <c r="BK1424" s="74"/>
      <c r="BL1424" s="74"/>
      <c r="BM1424" s="74"/>
      <c r="BN1424" s="74"/>
      <c r="BO1424" s="74"/>
      <c r="BP1424" s="74"/>
      <c r="BQ1424" s="74"/>
      <c r="BR1424" s="74"/>
      <c r="BS1424" s="74"/>
      <c r="BT1424" s="74"/>
      <c r="BU1424" s="74"/>
      <c r="BV1424" s="74"/>
      <c r="BW1424" s="74"/>
      <c r="BX1424" s="74"/>
      <c r="BY1424" s="63"/>
      <c r="BZ1424" s="63"/>
    </row>
    <row r="1425" ht="15.75" customHeight="1">
      <c r="A1425" s="201"/>
      <c r="B1425" s="74"/>
      <c r="C1425" s="74"/>
      <c r="D1425" s="74"/>
      <c r="E1425" s="156"/>
      <c r="F1425" s="78">
        <v>0.0</v>
      </c>
      <c r="G1425" s="44" t="str">
        <f t="shared" si="35"/>
        <v>$0 a $100'000.000</v>
      </c>
      <c r="H1425" s="44"/>
      <c r="I1425" s="44"/>
      <c r="J1425" s="74"/>
      <c r="K1425" s="359"/>
      <c r="L1425" s="74"/>
      <c r="M1425" s="74"/>
      <c r="N1425" s="74"/>
      <c r="O1425" s="74"/>
      <c r="P1425" s="74"/>
      <c r="Q1425" s="74"/>
      <c r="R1425" s="362"/>
      <c r="S1425" s="56" t="str">
        <f t="shared" si="36"/>
        <v> </v>
      </c>
      <c r="T1425" s="74"/>
      <c r="U1425" s="359"/>
      <c r="V1425" s="74"/>
      <c r="W1425" s="74"/>
      <c r="X1425" s="74"/>
      <c r="Y1425" s="74"/>
      <c r="Z1425" s="364"/>
      <c r="AA1425" s="59" t="str">
        <f>IF(Rentabilidad=0,"No aplica",TEXT(ROUND(Precio/Rentabilidad/12,0),0) &amp; " años")</f>
        <v>No aplica</v>
      </c>
      <c r="AB1425" s="360"/>
      <c r="AC1425" s="61"/>
      <c r="AD1425" s="62"/>
      <c r="AE1425" s="63"/>
      <c r="AF1425" s="156"/>
      <c r="AG1425" s="63"/>
      <c r="AH1425" s="63"/>
      <c r="AI1425" s="74"/>
      <c r="AJ1425" s="156"/>
      <c r="AK1425" s="74"/>
      <c r="AL1425" s="156"/>
      <c r="AM1425" s="74"/>
      <c r="AN1425" s="156"/>
      <c r="AO1425" s="74"/>
      <c r="AP1425" s="363"/>
      <c r="AQ1425" s="363"/>
      <c r="AR1425" s="363"/>
      <c r="AS1425" s="74"/>
      <c r="AT1425" s="74"/>
      <c r="AU1425" s="74"/>
      <c r="AV1425" s="74"/>
      <c r="AW1425" s="74"/>
      <c r="AX1425" s="74"/>
      <c r="AY1425" s="74"/>
      <c r="AZ1425" s="74"/>
      <c r="BA1425" s="74"/>
      <c r="BB1425" s="74"/>
      <c r="BC1425" s="170"/>
      <c r="BD1425" s="156"/>
      <c r="BE1425" s="156"/>
      <c r="BF1425" s="299"/>
      <c r="BG1425" s="74"/>
      <c r="BH1425" s="74"/>
      <c r="BI1425" s="74"/>
      <c r="BJ1425" s="74"/>
      <c r="BK1425" s="74"/>
      <c r="BL1425" s="74"/>
      <c r="BM1425" s="74"/>
      <c r="BN1425" s="74"/>
      <c r="BO1425" s="74"/>
      <c r="BP1425" s="74"/>
      <c r="BQ1425" s="74"/>
      <c r="BR1425" s="74"/>
      <c r="BS1425" s="74"/>
      <c r="BT1425" s="74"/>
      <c r="BU1425" s="74"/>
      <c r="BV1425" s="74"/>
      <c r="BW1425" s="74"/>
      <c r="BX1425" s="74"/>
      <c r="BY1425" s="63"/>
      <c r="BZ1425" s="63"/>
    </row>
    <row r="1426" ht="15.75" customHeight="1">
      <c r="A1426" s="201"/>
      <c r="B1426" s="74"/>
      <c r="C1426" s="74"/>
      <c r="D1426" s="74"/>
      <c r="E1426" s="156"/>
      <c r="F1426" s="78">
        <v>0.0</v>
      </c>
      <c r="G1426" s="44" t="str">
        <f t="shared" si="35"/>
        <v>$0 a $100'000.000</v>
      </c>
      <c r="H1426" s="44"/>
      <c r="I1426" s="44"/>
      <c r="J1426" s="74"/>
      <c r="K1426" s="359"/>
      <c r="L1426" s="74"/>
      <c r="M1426" s="74"/>
      <c r="N1426" s="74"/>
      <c r="O1426" s="74"/>
      <c r="P1426" s="74"/>
      <c r="Q1426" s="74"/>
      <c r="R1426" s="362"/>
      <c r="S1426" s="56" t="str">
        <f t="shared" si="36"/>
        <v> </v>
      </c>
      <c r="T1426" s="74"/>
      <c r="U1426" s="359"/>
      <c r="V1426" s="74"/>
      <c r="W1426" s="74"/>
      <c r="X1426" s="74"/>
      <c r="Y1426" s="74"/>
      <c r="Z1426" s="364"/>
      <c r="AA1426" s="59" t="str">
        <f>IF(Rentabilidad=0,"No aplica",TEXT(ROUND(Precio/Rentabilidad/12,0),0) &amp; " años")</f>
        <v>No aplica</v>
      </c>
      <c r="AB1426" s="360"/>
      <c r="AC1426" s="61"/>
      <c r="AD1426" s="62"/>
      <c r="AE1426" s="63"/>
      <c r="AF1426" s="156"/>
      <c r="AG1426" s="63"/>
      <c r="AH1426" s="63"/>
      <c r="AI1426" s="74"/>
      <c r="AJ1426" s="156"/>
      <c r="AK1426" s="74"/>
      <c r="AL1426" s="156"/>
      <c r="AM1426" s="74"/>
      <c r="AN1426" s="156"/>
      <c r="AO1426" s="74"/>
      <c r="AP1426" s="363"/>
      <c r="AQ1426" s="363"/>
      <c r="AR1426" s="363"/>
      <c r="AS1426" s="74"/>
      <c r="AT1426" s="74"/>
      <c r="AU1426" s="74"/>
      <c r="AV1426" s="74"/>
      <c r="AW1426" s="74"/>
      <c r="AX1426" s="74"/>
      <c r="AY1426" s="74"/>
      <c r="AZ1426" s="74"/>
      <c r="BA1426" s="74"/>
      <c r="BB1426" s="74"/>
      <c r="BC1426" s="170"/>
      <c r="BD1426" s="156"/>
      <c r="BE1426" s="156"/>
      <c r="BF1426" s="299"/>
      <c r="BG1426" s="74"/>
      <c r="BH1426" s="74"/>
      <c r="BI1426" s="74"/>
      <c r="BJ1426" s="74"/>
      <c r="BK1426" s="74"/>
      <c r="BL1426" s="74"/>
      <c r="BM1426" s="74"/>
      <c r="BN1426" s="74"/>
      <c r="BO1426" s="74"/>
      <c r="BP1426" s="74"/>
      <c r="BQ1426" s="74"/>
      <c r="BR1426" s="74"/>
      <c r="BS1426" s="74"/>
      <c r="BT1426" s="74"/>
      <c r="BU1426" s="74"/>
      <c r="BV1426" s="74"/>
      <c r="BW1426" s="74"/>
      <c r="BX1426" s="74"/>
      <c r="BY1426" s="63"/>
      <c r="BZ1426" s="63"/>
    </row>
    <row r="1427" ht="15.75" customHeight="1">
      <c r="A1427" s="201"/>
      <c r="B1427" s="74"/>
      <c r="C1427" s="74"/>
      <c r="D1427" s="74"/>
      <c r="E1427" s="156"/>
      <c r="F1427" s="78">
        <v>0.0</v>
      </c>
      <c r="G1427" s="44" t="str">
        <f t="shared" si="35"/>
        <v>$0 a $100'000.000</v>
      </c>
      <c r="H1427" s="44"/>
      <c r="I1427" s="44"/>
      <c r="J1427" s="74"/>
      <c r="K1427" s="359"/>
      <c r="L1427" s="74"/>
      <c r="M1427" s="74"/>
      <c r="N1427" s="74"/>
      <c r="O1427" s="74"/>
      <c r="P1427" s="74"/>
      <c r="Q1427" s="74"/>
      <c r="R1427" s="362"/>
      <c r="S1427" s="56" t="str">
        <f t="shared" si="36"/>
        <v> </v>
      </c>
      <c r="T1427" s="74"/>
      <c r="U1427" s="359"/>
      <c r="V1427" s="74"/>
      <c r="W1427" s="74"/>
      <c r="X1427" s="74"/>
      <c r="Y1427" s="74"/>
      <c r="Z1427" s="364"/>
      <c r="AA1427" s="59" t="str">
        <f>IF(Rentabilidad=0,"No aplica",TEXT(ROUND(Precio/Rentabilidad/12,0),0) &amp; " años")</f>
        <v>No aplica</v>
      </c>
      <c r="AB1427" s="360"/>
      <c r="AC1427" s="61"/>
      <c r="AD1427" s="62"/>
      <c r="AE1427" s="63"/>
      <c r="AF1427" s="156"/>
      <c r="AG1427" s="63"/>
      <c r="AH1427" s="63"/>
      <c r="AI1427" s="74"/>
      <c r="AJ1427" s="156"/>
      <c r="AK1427" s="74"/>
      <c r="AL1427" s="156"/>
      <c r="AM1427" s="74"/>
      <c r="AN1427" s="156"/>
      <c r="AO1427" s="74"/>
      <c r="AP1427" s="363"/>
      <c r="AQ1427" s="363"/>
      <c r="AR1427" s="363"/>
      <c r="AS1427" s="74"/>
      <c r="AT1427" s="74"/>
      <c r="AU1427" s="74"/>
      <c r="AV1427" s="74"/>
      <c r="AW1427" s="74"/>
      <c r="AX1427" s="74"/>
      <c r="AY1427" s="74"/>
      <c r="AZ1427" s="74"/>
      <c r="BA1427" s="74"/>
      <c r="BB1427" s="74"/>
      <c r="BC1427" s="170"/>
      <c r="BD1427" s="156"/>
      <c r="BE1427" s="156"/>
      <c r="BF1427" s="299"/>
      <c r="BG1427" s="74"/>
      <c r="BH1427" s="74"/>
      <c r="BI1427" s="74"/>
      <c r="BJ1427" s="74"/>
      <c r="BK1427" s="74"/>
      <c r="BL1427" s="74"/>
      <c r="BM1427" s="74"/>
      <c r="BN1427" s="74"/>
      <c r="BO1427" s="74"/>
      <c r="BP1427" s="74"/>
      <c r="BQ1427" s="74"/>
      <c r="BR1427" s="74"/>
      <c r="BS1427" s="74"/>
      <c r="BT1427" s="74"/>
      <c r="BU1427" s="74"/>
      <c r="BV1427" s="74"/>
      <c r="BW1427" s="74"/>
      <c r="BX1427" s="74"/>
      <c r="BY1427" s="63"/>
      <c r="BZ1427" s="63"/>
    </row>
    <row r="1428" ht="15.75" customHeight="1">
      <c r="A1428" s="201"/>
      <c r="B1428" s="74"/>
      <c r="C1428" s="74"/>
      <c r="D1428" s="74"/>
      <c r="E1428" s="156"/>
      <c r="F1428" s="78">
        <v>0.0</v>
      </c>
      <c r="G1428" s="44" t="str">
        <f t="shared" si="35"/>
        <v>$0 a $100'000.000</v>
      </c>
      <c r="H1428" s="44"/>
      <c r="I1428" s="44"/>
      <c r="J1428" s="74"/>
      <c r="K1428" s="359"/>
      <c r="L1428" s="74"/>
      <c r="M1428" s="74"/>
      <c r="N1428" s="74"/>
      <c r="O1428" s="74"/>
      <c r="P1428" s="74"/>
      <c r="Q1428" s="74"/>
      <c r="R1428" s="362"/>
      <c r="S1428" s="56" t="str">
        <f t="shared" si="36"/>
        <v> </v>
      </c>
      <c r="T1428" s="74"/>
      <c r="U1428" s="359"/>
      <c r="V1428" s="74"/>
      <c r="W1428" s="74"/>
      <c r="X1428" s="74"/>
      <c r="Y1428" s="74"/>
      <c r="Z1428" s="364"/>
      <c r="AA1428" s="59" t="str">
        <f>IF(Rentabilidad=0,"No aplica",TEXT(ROUND(Precio/Rentabilidad/12,0),0) &amp; " años")</f>
        <v>No aplica</v>
      </c>
      <c r="AB1428" s="360"/>
      <c r="AC1428" s="61"/>
      <c r="AD1428" s="62"/>
      <c r="AE1428" s="63"/>
      <c r="AF1428" s="156"/>
      <c r="AG1428" s="63"/>
      <c r="AH1428" s="63"/>
      <c r="AI1428" s="74"/>
      <c r="AJ1428" s="156"/>
      <c r="AK1428" s="74"/>
      <c r="AL1428" s="156"/>
      <c r="AM1428" s="74"/>
      <c r="AN1428" s="156"/>
      <c r="AO1428" s="74"/>
      <c r="AP1428" s="363"/>
      <c r="AQ1428" s="363"/>
      <c r="AR1428" s="363"/>
      <c r="AS1428" s="74"/>
      <c r="AT1428" s="74"/>
      <c r="AU1428" s="74"/>
      <c r="AV1428" s="74"/>
      <c r="AW1428" s="74"/>
      <c r="AX1428" s="74"/>
      <c r="AY1428" s="74"/>
      <c r="AZ1428" s="74"/>
      <c r="BA1428" s="74"/>
      <c r="BB1428" s="74"/>
      <c r="BC1428" s="170"/>
      <c r="BD1428" s="156"/>
      <c r="BE1428" s="156"/>
      <c r="BF1428" s="299"/>
      <c r="BG1428" s="74"/>
      <c r="BH1428" s="74"/>
      <c r="BI1428" s="74"/>
      <c r="BJ1428" s="74"/>
      <c r="BK1428" s="74"/>
      <c r="BL1428" s="74"/>
      <c r="BM1428" s="74"/>
      <c r="BN1428" s="74"/>
      <c r="BO1428" s="74"/>
      <c r="BP1428" s="74"/>
      <c r="BQ1428" s="74"/>
      <c r="BR1428" s="74"/>
      <c r="BS1428" s="74"/>
      <c r="BT1428" s="74"/>
      <c r="BU1428" s="74"/>
      <c r="BV1428" s="74"/>
      <c r="BW1428" s="74"/>
      <c r="BX1428" s="74"/>
      <c r="BY1428" s="63"/>
      <c r="BZ1428" s="63"/>
    </row>
    <row r="1429" ht="15.75" customHeight="1">
      <c r="A1429" s="201"/>
      <c r="B1429" s="74"/>
      <c r="C1429" s="74"/>
      <c r="D1429" s="74"/>
      <c r="E1429" s="156"/>
      <c r="F1429" s="78">
        <v>0.0</v>
      </c>
      <c r="G1429" s="44" t="str">
        <f t="shared" si="35"/>
        <v>$0 a $100'000.000</v>
      </c>
      <c r="H1429" s="44"/>
      <c r="I1429" s="44"/>
      <c r="J1429" s="74"/>
      <c r="K1429" s="359"/>
      <c r="L1429" s="74"/>
      <c r="M1429" s="74"/>
      <c r="N1429" s="74"/>
      <c r="O1429" s="74"/>
      <c r="P1429" s="74"/>
      <c r="Q1429" s="74"/>
      <c r="R1429" s="362"/>
      <c r="S1429" s="56" t="str">
        <f t="shared" si="36"/>
        <v> </v>
      </c>
      <c r="T1429" s="74"/>
      <c r="U1429" s="359"/>
      <c r="V1429" s="74"/>
      <c r="W1429" s="74"/>
      <c r="X1429" s="74"/>
      <c r="Y1429" s="74"/>
      <c r="Z1429" s="364"/>
      <c r="AA1429" s="59" t="str">
        <f>IF(Rentabilidad=0,"No aplica",TEXT(ROUND(Precio/Rentabilidad/12,0),0) &amp; " años")</f>
        <v>No aplica</v>
      </c>
      <c r="AB1429" s="360"/>
      <c r="AC1429" s="61"/>
      <c r="AD1429" s="62"/>
      <c r="AE1429" s="63"/>
      <c r="AF1429" s="156"/>
      <c r="AG1429" s="63"/>
      <c r="AH1429" s="63"/>
      <c r="AI1429" s="74"/>
      <c r="AJ1429" s="156"/>
      <c r="AK1429" s="74"/>
      <c r="AL1429" s="156"/>
      <c r="AM1429" s="74"/>
      <c r="AN1429" s="156"/>
      <c r="AO1429" s="74"/>
      <c r="AP1429" s="363"/>
      <c r="AQ1429" s="363"/>
      <c r="AR1429" s="363"/>
      <c r="AS1429" s="74"/>
      <c r="AT1429" s="74"/>
      <c r="AU1429" s="74"/>
      <c r="AV1429" s="74"/>
      <c r="AW1429" s="74"/>
      <c r="AX1429" s="74"/>
      <c r="AY1429" s="74"/>
      <c r="AZ1429" s="74"/>
      <c r="BA1429" s="74"/>
      <c r="BB1429" s="74"/>
      <c r="BC1429" s="170"/>
      <c r="BD1429" s="156"/>
      <c r="BE1429" s="156"/>
      <c r="BF1429" s="299"/>
      <c r="BG1429" s="74"/>
      <c r="BH1429" s="74"/>
      <c r="BI1429" s="74"/>
      <c r="BJ1429" s="74"/>
      <c r="BK1429" s="74"/>
      <c r="BL1429" s="74"/>
      <c r="BM1429" s="74"/>
      <c r="BN1429" s="74"/>
      <c r="BO1429" s="74"/>
      <c r="BP1429" s="74"/>
      <c r="BQ1429" s="74"/>
      <c r="BR1429" s="74"/>
      <c r="BS1429" s="74"/>
      <c r="BT1429" s="74"/>
      <c r="BU1429" s="74"/>
      <c r="BV1429" s="74"/>
      <c r="BW1429" s="74"/>
      <c r="BX1429" s="74"/>
      <c r="BY1429" s="63"/>
      <c r="BZ1429" s="63"/>
    </row>
    <row r="1430" ht="15.75" customHeight="1">
      <c r="A1430" s="201"/>
      <c r="B1430" s="74"/>
      <c r="C1430" s="74"/>
      <c r="D1430" s="74"/>
      <c r="E1430" s="156"/>
      <c r="F1430" s="78">
        <v>0.0</v>
      </c>
      <c r="G1430" s="44" t="str">
        <f t="shared" si="35"/>
        <v>$0 a $100'000.000</v>
      </c>
      <c r="H1430" s="44"/>
      <c r="I1430" s="44"/>
      <c r="J1430" s="74"/>
      <c r="K1430" s="359"/>
      <c r="L1430" s="74"/>
      <c r="M1430" s="74"/>
      <c r="N1430" s="74"/>
      <c r="O1430" s="74"/>
      <c r="P1430" s="74"/>
      <c r="Q1430" s="74"/>
      <c r="R1430" s="362"/>
      <c r="S1430" s="56" t="str">
        <f t="shared" si="36"/>
        <v> </v>
      </c>
      <c r="T1430" s="74"/>
      <c r="U1430" s="359"/>
      <c r="V1430" s="74"/>
      <c r="W1430" s="74"/>
      <c r="X1430" s="74"/>
      <c r="Y1430" s="74"/>
      <c r="Z1430" s="364"/>
      <c r="AA1430" s="59" t="str">
        <f>IF(Rentabilidad=0,"No aplica",TEXT(ROUND(Precio/Rentabilidad/12,0),0) &amp; " años")</f>
        <v>No aplica</v>
      </c>
      <c r="AB1430" s="360"/>
      <c r="AC1430" s="61"/>
      <c r="AD1430" s="62"/>
      <c r="AE1430" s="63"/>
      <c r="AF1430" s="156"/>
      <c r="AG1430" s="63"/>
      <c r="AH1430" s="63"/>
      <c r="AI1430" s="74"/>
      <c r="AJ1430" s="156"/>
      <c r="AK1430" s="74"/>
      <c r="AL1430" s="156"/>
      <c r="AM1430" s="74"/>
      <c r="AN1430" s="156"/>
      <c r="AO1430" s="74"/>
      <c r="AP1430" s="363"/>
      <c r="AQ1430" s="363"/>
      <c r="AR1430" s="363"/>
      <c r="AS1430" s="74"/>
      <c r="AT1430" s="74"/>
      <c r="AU1430" s="74"/>
      <c r="AV1430" s="74"/>
      <c r="AW1430" s="74"/>
      <c r="AX1430" s="74"/>
      <c r="AY1430" s="74"/>
      <c r="AZ1430" s="74"/>
      <c r="BA1430" s="74"/>
      <c r="BB1430" s="74"/>
      <c r="BC1430" s="170"/>
      <c r="BD1430" s="156"/>
      <c r="BE1430" s="156"/>
      <c r="BF1430" s="299"/>
      <c r="BG1430" s="74"/>
      <c r="BH1430" s="74"/>
      <c r="BI1430" s="74"/>
      <c r="BJ1430" s="74"/>
      <c r="BK1430" s="74"/>
      <c r="BL1430" s="74"/>
      <c r="BM1430" s="74"/>
      <c r="BN1430" s="74"/>
      <c r="BO1430" s="74"/>
      <c r="BP1430" s="74"/>
      <c r="BQ1430" s="74"/>
      <c r="BR1430" s="74"/>
      <c r="BS1430" s="74"/>
      <c r="BT1430" s="74"/>
      <c r="BU1430" s="74"/>
      <c r="BV1430" s="74"/>
      <c r="BW1430" s="74"/>
      <c r="BX1430" s="74"/>
      <c r="BY1430" s="63"/>
      <c r="BZ1430" s="63"/>
    </row>
    <row r="1431" ht="15.75" customHeight="1">
      <c r="A1431" s="201"/>
      <c r="B1431" s="74"/>
      <c r="C1431" s="74"/>
      <c r="D1431" s="74"/>
      <c r="E1431" s="156"/>
      <c r="F1431" s="78">
        <v>0.0</v>
      </c>
      <c r="G1431" s="44" t="str">
        <f t="shared" si="35"/>
        <v>$0 a $100'000.000</v>
      </c>
      <c r="H1431" s="44"/>
      <c r="I1431" s="44"/>
      <c r="J1431" s="74"/>
      <c r="K1431" s="359"/>
      <c r="L1431" s="74"/>
      <c r="M1431" s="74"/>
      <c r="N1431" s="74"/>
      <c r="O1431" s="74"/>
      <c r="P1431" s="74"/>
      <c r="Q1431" s="74"/>
      <c r="R1431" s="362"/>
      <c r="S1431" s="56" t="str">
        <f t="shared" si="36"/>
        <v> </v>
      </c>
      <c r="T1431" s="74"/>
      <c r="U1431" s="359"/>
      <c r="V1431" s="74"/>
      <c r="W1431" s="74"/>
      <c r="X1431" s="74"/>
      <c r="Y1431" s="74"/>
      <c r="Z1431" s="364"/>
      <c r="AA1431" s="59" t="str">
        <f>IF(Rentabilidad=0,"No aplica",TEXT(ROUND(Precio/Rentabilidad/12,0),0) &amp; " años")</f>
        <v>No aplica</v>
      </c>
      <c r="AB1431" s="360"/>
      <c r="AC1431" s="61"/>
      <c r="AD1431" s="62"/>
      <c r="AE1431" s="63"/>
      <c r="AF1431" s="156"/>
      <c r="AG1431" s="63"/>
      <c r="AH1431" s="63"/>
      <c r="AI1431" s="74"/>
      <c r="AJ1431" s="156"/>
      <c r="AK1431" s="74"/>
      <c r="AL1431" s="156"/>
      <c r="AM1431" s="74"/>
      <c r="AN1431" s="156"/>
      <c r="AO1431" s="74"/>
      <c r="AP1431" s="363"/>
      <c r="AQ1431" s="363"/>
      <c r="AR1431" s="363"/>
      <c r="AS1431" s="74"/>
      <c r="AT1431" s="74"/>
      <c r="AU1431" s="74"/>
      <c r="AV1431" s="74"/>
      <c r="AW1431" s="74"/>
      <c r="AX1431" s="74"/>
      <c r="AY1431" s="74"/>
      <c r="AZ1431" s="74"/>
      <c r="BA1431" s="74"/>
      <c r="BB1431" s="74"/>
      <c r="BC1431" s="170"/>
      <c r="BD1431" s="156"/>
      <c r="BE1431" s="156"/>
      <c r="BF1431" s="299"/>
      <c r="BG1431" s="74"/>
      <c r="BH1431" s="74"/>
      <c r="BI1431" s="74"/>
      <c r="BJ1431" s="74"/>
      <c r="BK1431" s="74"/>
      <c r="BL1431" s="74"/>
      <c r="BM1431" s="74"/>
      <c r="BN1431" s="74"/>
      <c r="BO1431" s="74"/>
      <c r="BP1431" s="74"/>
      <c r="BQ1431" s="74"/>
      <c r="BR1431" s="74"/>
      <c r="BS1431" s="74"/>
      <c r="BT1431" s="74"/>
      <c r="BU1431" s="74"/>
      <c r="BV1431" s="74"/>
      <c r="BW1431" s="74"/>
      <c r="BX1431" s="74"/>
      <c r="BY1431" s="63"/>
      <c r="BZ1431" s="63"/>
    </row>
    <row r="1432" ht="15.75" customHeight="1">
      <c r="A1432" s="201"/>
      <c r="B1432" s="74"/>
      <c r="C1432" s="74"/>
      <c r="D1432" s="74"/>
      <c r="E1432" s="156"/>
      <c r="F1432" s="78">
        <v>0.0</v>
      </c>
      <c r="G1432" s="44" t="str">
        <f t="shared" si="35"/>
        <v>$0 a $100'000.000</v>
      </c>
      <c r="H1432" s="44"/>
      <c r="I1432" s="44"/>
      <c r="J1432" s="74"/>
      <c r="K1432" s="359"/>
      <c r="L1432" s="74"/>
      <c r="M1432" s="74"/>
      <c r="N1432" s="74"/>
      <c r="O1432" s="74"/>
      <c r="P1432" s="74"/>
      <c r="Q1432" s="74"/>
      <c r="R1432" s="362"/>
      <c r="S1432" s="56" t="str">
        <f t="shared" si="36"/>
        <v> </v>
      </c>
      <c r="T1432" s="74"/>
      <c r="U1432" s="359"/>
      <c r="V1432" s="74"/>
      <c r="W1432" s="74"/>
      <c r="X1432" s="74"/>
      <c r="Y1432" s="74"/>
      <c r="Z1432" s="364"/>
      <c r="AA1432" s="59" t="str">
        <f>IF(Rentabilidad=0,"No aplica",TEXT(ROUND(Precio/Rentabilidad/12,0),0) &amp; " años")</f>
        <v>No aplica</v>
      </c>
      <c r="AB1432" s="360"/>
      <c r="AC1432" s="61"/>
      <c r="AD1432" s="62"/>
      <c r="AE1432" s="63"/>
      <c r="AF1432" s="156"/>
      <c r="AG1432" s="63"/>
      <c r="AH1432" s="63"/>
      <c r="AI1432" s="74"/>
      <c r="AJ1432" s="156"/>
      <c r="AK1432" s="74"/>
      <c r="AL1432" s="156"/>
      <c r="AM1432" s="74"/>
      <c r="AN1432" s="156"/>
      <c r="AO1432" s="74"/>
      <c r="AP1432" s="363"/>
      <c r="AQ1432" s="363"/>
      <c r="AR1432" s="363"/>
      <c r="AS1432" s="74"/>
      <c r="AT1432" s="74"/>
      <c r="AU1432" s="74"/>
      <c r="AV1432" s="74"/>
      <c r="AW1432" s="74"/>
      <c r="AX1432" s="74"/>
      <c r="AY1432" s="74"/>
      <c r="AZ1432" s="74"/>
      <c r="BA1432" s="74"/>
      <c r="BB1432" s="74"/>
      <c r="BC1432" s="170"/>
      <c r="BD1432" s="156"/>
      <c r="BE1432" s="156"/>
      <c r="BF1432" s="299"/>
      <c r="BG1432" s="74"/>
      <c r="BH1432" s="74"/>
      <c r="BI1432" s="74"/>
      <c r="BJ1432" s="74"/>
      <c r="BK1432" s="74"/>
      <c r="BL1432" s="74"/>
      <c r="BM1432" s="74"/>
      <c r="BN1432" s="74"/>
      <c r="BO1432" s="74"/>
      <c r="BP1432" s="74"/>
      <c r="BQ1432" s="74"/>
      <c r="BR1432" s="74"/>
      <c r="BS1432" s="74"/>
      <c r="BT1432" s="74"/>
      <c r="BU1432" s="74"/>
      <c r="BV1432" s="74"/>
      <c r="BW1432" s="74"/>
      <c r="BX1432" s="74"/>
      <c r="BY1432" s="63"/>
      <c r="BZ1432" s="63"/>
    </row>
    <row r="1433" ht="15.75" customHeight="1">
      <c r="A1433" s="201"/>
      <c r="B1433" s="74"/>
      <c r="C1433" s="74"/>
      <c r="D1433" s="74"/>
      <c r="E1433" s="156"/>
      <c r="F1433" s="78">
        <v>0.0</v>
      </c>
      <c r="G1433" s="44" t="str">
        <f t="shared" si="35"/>
        <v>$0 a $100'000.000</v>
      </c>
      <c r="H1433" s="44"/>
      <c r="I1433" s="44"/>
      <c r="J1433" s="74"/>
      <c r="K1433" s="359"/>
      <c r="L1433" s="74"/>
      <c r="M1433" s="74"/>
      <c r="N1433" s="74"/>
      <c r="O1433" s="74"/>
      <c r="P1433" s="74"/>
      <c r="Q1433" s="74"/>
      <c r="R1433" s="362"/>
      <c r="S1433" s="56" t="str">
        <f t="shared" si="36"/>
        <v> </v>
      </c>
      <c r="T1433" s="74"/>
      <c r="U1433" s="359"/>
      <c r="V1433" s="74"/>
      <c r="W1433" s="74"/>
      <c r="X1433" s="74"/>
      <c r="Y1433" s="74"/>
      <c r="Z1433" s="364"/>
      <c r="AA1433" s="59" t="str">
        <f>IF(Rentabilidad=0,"No aplica",TEXT(ROUND(Precio/Rentabilidad/12,0),0) &amp; " años")</f>
        <v>No aplica</v>
      </c>
      <c r="AB1433" s="360"/>
      <c r="AC1433" s="61"/>
      <c r="AD1433" s="62"/>
      <c r="AE1433" s="63"/>
      <c r="AF1433" s="156"/>
      <c r="AG1433" s="63"/>
      <c r="AH1433" s="63"/>
      <c r="AI1433" s="74"/>
      <c r="AJ1433" s="156"/>
      <c r="AK1433" s="74"/>
      <c r="AL1433" s="156"/>
      <c r="AM1433" s="74"/>
      <c r="AN1433" s="156"/>
      <c r="AO1433" s="74"/>
      <c r="AP1433" s="363"/>
      <c r="AQ1433" s="363"/>
      <c r="AR1433" s="363"/>
      <c r="AS1433" s="74"/>
      <c r="AT1433" s="74"/>
      <c r="AU1433" s="74"/>
      <c r="AV1433" s="74"/>
      <c r="AW1433" s="74"/>
      <c r="AX1433" s="74"/>
      <c r="AY1433" s="74"/>
      <c r="AZ1433" s="74"/>
      <c r="BA1433" s="74"/>
      <c r="BB1433" s="74"/>
      <c r="BC1433" s="170"/>
      <c r="BD1433" s="156"/>
      <c r="BE1433" s="156"/>
      <c r="BF1433" s="299"/>
      <c r="BG1433" s="74"/>
      <c r="BH1433" s="74"/>
      <c r="BI1433" s="74"/>
      <c r="BJ1433" s="74"/>
      <c r="BK1433" s="74"/>
      <c r="BL1433" s="74"/>
      <c r="BM1433" s="74"/>
      <c r="BN1433" s="74"/>
      <c r="BO1433" s="74"/>
      <c r="BP1433" s="74"/>
      <c r="BQ1433" s="74"/>
      <c r="BR1433" s="74"/>
      <c r="BS1433" s="74"/>
      <c r="BT1433" s="74"/>
      <c r="BU1433" s="74"/>
      <c r="BV1433" s="74"/>
      <c r="BW1433" s="74"/>
      <c r="BX1433" s="74"/>
      <c r="BY1433" s="63"/>
      <c r="BZ1433" s="63"/>
    </row>
    <row r="1434" ht="15.75" customHeight="1">
      <c r="A1434" s="201"/>
      <c r="B1434" s="74"/>
      <c r="C1434" s="74"/>
      <c r="D1434" s="74"/>
      <c r="E1434" s="156"/>
      <c r="F1434" s="78">
        <v>0.0</v>
      </c>
      <c r="G1434" s="44" t="str">
        <f t="shared" si="35"/>
        <v>$0 a $100'000.000</v>
      </c>
      <c r="H1434" s="44"/>
      <c r="I1434" s="44"/>
      <c r="J1434" s="74"/>
      <c r="K1434" s="359"/>
      <c r="L1434" s="74"/>
      <c r="M1434" s="74"/>
      <c r="N1434" s="74"/>
      <c r="O1434" s="74"/>
      <c r="P1434" s="74"/>
      <c r="Q1434" s="74"/>
      <c r="R1434" s="362"/>
      <c r="S1434" s="56" t="str">
        <f t="shared" si="36"/>
        <v> </v>
      </c>
      <c r="T1434" s="74"/>
      <c r="U1434" s="359"/>
      <c r="V1434" s="74"/>
      <c r="W1434" s="74"/>
      <c r="X1434" s="74"/>
      <c r="Y1434" s="74"/>
      <c r="Z1434" s="364"/>
      <c r="AA1434" s="59" t="str">
        <f>IF(Rentabilidad=0,"No aplica",TEXT(ROUND(Precio/Rentabilidad/12,0),0) &amp; " años")</f>
        <v>No aplica</v>
      </c>
      <c r="AB1434" s="360"/>
      <c r="AC1434" s="61"/>
      <c r="AD1434" s="62"/>
      <c r="AE1434" s="63"/>
      <c r="AF1434" s="156"/>
      <c r="AG1434" s="63"/>
      <c r="AH1434" s="63"/>
      <c r="AI1434" s="74"/>
      <c r="AJ1434" s="156"/>
      <c r="AK1434" s="74"/>
      <c r="AL1434" s="156"/>
      <c r="AM1434" s="74"/>
      <c r="AN1434" s="156"/>
      <c r="AO1434" s="74"/>
      <c r="AP1434" s="363"/>
      <c r="AQ1434" s="363"/>
      <c r="AR1434" s="363"/>
      <c r="AS1434" s="74"/>
      <c r="AT1434" s="74"/>
      <c r="AU1434" s="74"/>
      <c r="AV1434" s="74"/>
      <c r="AW1434" s="74"/>
      <c r="AX1434" s="74"/>
      <c r="AY1434" s="74"/>
      <c r="AZ1434" s="74"/>
      <c r="BA1434" s="74"/>
      <c r="BB1434" s="74"/>
      <c r="BC1434" s="170"/>
      <c r="BD1434" s="156"/>
      <c r="BE1434" s="156"/>
      <c r="BF1434" s="299"/>
      <c r="BG1434" s="74"/>
      <c r="BH1434" s="74"/>
      <c r="BI1434" s="74"/>
      <c r="BJ1434" s="74"/>
      <c r="BK1434" s="74"/>
      <c r="BL1434" s="74"/>
      <c r="BM1434" s="74"/>
      <c r="BN1434" s="74"/>
      <c r="BO1434" s="74"/>
      <c r="BP1434" s="74"/>
      <c r="BQ1434" s="74"/>
      <c r="BR1434" s="74"/>
      <c r="BS1434" s="74"/>
      <c r="BT1434" s="74"/>
      <c r="BU1434" s="74"/>
      <c r="BV1434" s="74"/>
      <c r="BW1434" s="74"/>
      <c r="BX1434" s="74"/>
      <c r="BY1434" s="63"/>
      <c r="BZ1434" s="63"/>
    </row>
    <row r="1435" ht="15.75" customHeight="1">
      <c r="A1435" s="201"/>
      <c r="B1435" s="74"/>
      <c r="C1435" s="74"/>
      <c r="D1435" s="74"/>
      <c r="E1435" s="156"/>
      <c r="F1435" s="78">
        <v>0.0</v>
      </c>
      <c r="G1435" s="44" t="str">
        <f t="shared" si="35"/>
        <v>$0 a $100'000.000</v>
      </c>
      <c r="H1435" s="44"/>
      <c r="I1435" s="44"/>
      <c r="J1435" s="74"/>
      <c r="K1435" s="359"/>
      <c r="L1435" s="74"/>
      <c r="M1435" s="74"/>
      <c r="N1435" s="74"/>
      <c r="O1435" s="74"/>
      <c r="P1435" s="74"/>
      <c r="Q1435" s="74"/>
      <c r="R1435" s="362"/>
      <c r="S1435" s="56" t="str">
        <f t="shared" si="36"/>
        <v> </v>
      </c>
      <c r="T1435" s="74"/>
      <c r="U1435" s="359"/>
      <c r="V1435" s="74"/>
      <c r="W1435" s="74"/>
      <c r="X1435" s="74"/>
      <c r="Y1435" s="74"/>
      <c r="Z1435" s="364"/>
      <c r="AA1435" s="59" t="str">
        <f>IF(Rentabilidad=0,"No aplica",TEXT(ROUND(Precio/Rentabilidad/12,0),0) &amp; " años")</f>
        <v>No aplica</v>
      </c>
      <c r="AB1435" s="360"/>
      <c r="AC1435" s="61"/>
      <c r="AD1435" s="62"/>
      <c r="AE1435" s="63"/>
      <c r="AF1435" s="156"/>
      <c r="AG1435" s="63"/>
      <c r="AH1435" s="63"/>
      <c r="AI1435" s="74"/>
      <c r="AJ1435" s="156"/>
      <c r="AK1435" s="74"/>
      <c r="AL1435" s="156"/>
      <c r="AM1435" s="74"/>
      <c r="AN1435" s="156"/>
      <c r="AO1435" s="74"/>
      <c r="AP1435" s="363"/>
      <c r="AQ1435" s="363"/>
      <c r="AR1435" s="363"/>
      <c r="AS1435" s="74"/>
      <c r="AT1435" s="74"/>
      <c r="AU1435" s="74"/>
      <c r="AV1435" s="74"/>
      <c r="AW1435" s="74"/>
      <c r="AX1435" s="74"/>
      <c r="AY1435" s="74"/>
      <c r="AZ1435" s="74"/>
      <c r="BA1435" s="74"/>
      <c r="BB1435" s="74"/>
      <c r="BC1435" s="170"/>
      <c r="BD1435" s="156"/>
      <c r="BE1435" s="156"/>
      <c r="BF1435" s="299"/>
      <c r="BG1435" s="74"/>
      <c r="BH1435" s="74"/>
      <c r="BI1435" s="74"/>
      <c r="BJ1435" s="74"/>
      <c r="BK1435" s="74"/>
      <c r="BL1435" s="74"/>
      <c r="BM1435" s="74"/>
      <c r="BN1435" s="74"/>
      <c r="BO1435" s="74"/>
      <c r="BP1435" s="74"/>
      <c r="BQ1435" s="74"/>
      <c r="BR1435" s="74"/>
      <c r="BS1435" s="74"/>
      <c r="BT1435" s="74"/>
      <c r="BU1435" s="74"/>
      <c r="BV1435" s="74"/>
      <c r="BW1435" s="74"/>
      <c r="BX1435" s="74"/>
      <c r="BY1435" s="63"/>
      <c r="BZ1435" s="63"/>
    </row>
    <row r="1436" ht="15.75" customHeight="1">
      <c r="A1436" s="201"/>
      <c r="B1436" s="74"/>
      <c r="C1436" s="74"/>
      <c r="D1436" s="74"/>
      <c r="E1436" s="156"/>
      <c r="F1436" s="78">
        <v>0.0</v>
      </c>
      <c r="G1436" s="44" t="str">
        <f t="shared" si="35"/>
        <v>$0 a $100'000.000</v>
      </c>
      <c r="H1436" s="44"/>
      <c r="I1436" s="44"/>
      <c r="J1436" s="74"/>
      <c r="K1436" s="359"/>
      <c r="L1436" s="74"/>
      <c r="M1436" s="74"/>
      <c r="N1436" s="74"/>
      <c r="O1436" s="74"/>
      <c r="P1436" s="74"/>
      <c r="Q1436" s="74"/>
      <c r="R1436" s="362"/>
      <c r="S1436" s="56" t="str">
        <f t="shared" si="36"/>
        <v> </v>
      </c>
      <c r="T1436" s="74"/>
      <c r="U1436" s="359"/>
      <c r="V1436" s="74"/>
      <c r="W1436" s="74"/>
      <c r="X1436" s="74"/>
      <c r="Y1436" s="74"/>
      <c r="Z1436" s="364"/>
      <c r="AA1436" s="59" t="str">
        <f>IF(Rentabilidad=0,"No aplica",TEXT(ROUND(Precio/Rentabilidad/12,0),0) &amp; " años")</f>
        <v>No aplica</v>
      </c>
      <c r="AB1436" s="360"/>
      <c r="AC1436" s="61"/>
      <c r="AD1436" s="62"/>
      <c r="AE1436" s="63"/>
      <c r="AF1436" s="156"/>
      <c r="AG1436" s="63"/>
      <c r="AH1436" s="63"/>
      <c r="AI1436" s="74"/>
      <c r="AJ1436" s="156"/>
      <c r="AK1436" s="74"/>
      <c r="AL1436" s="156"/>
      <c r="AM1436" s="74"/>
      <c r="AN1436" s="156"/>
      <c r="AO1436" s="74"/>
      <c r="AP1436" s="363"/>
      <c r="AQ1436" s="363"/>
      <c r="AR1436" s="363"/>
      <c r="AS1436" s="74"/>
      <c r="AT1436" s="74"/>
      <c r="AU1436" s="74"/>
      <c r="AV1436" s="74"/>
      <c r="AW1436" s="74"/>
      <c r="AX1436" s="74"/>
      <c r="AY1436" s="74"/>
      <c r="AZ1436" s="74"/>
      <c r="BA1436" s="74"/>
      <c r="BB1436" s="74"/>
      <c r="BC1436" s="170"/>
      <c r="BD1436" s="156"/>
      <c r="BE1436" s="156"/>
      <c r="BF1436" s="299"/>
      <c r="BG1436" s="74"/>
      <c r="BH1436" s="74"/>
      <c r="BI1436" s="74"/>
      <c r="BJ1436" s="74"/>
      <c r="BK1436" s="74"/>
      <c r="BL1436" s="74"/>
      <c r="BM1436" s="74"/>
      <c r="BN1436" s="74"/>
      <c r="BO1436" s="74"/>
      <c r="BP1436" s="74"/>
      <c r="BQ1436" s="74"/>
      <c r="BR1436" s="74"/>
      <c r="BS1436" s="74"/>
      <c r="BT1436" s="74"/>
      <c r="BU1436" s="74"/>
      <c r="BV1436" s="74"/>
      <c r="BW1436" s="74"/>
      <c r="BX1436" s="74"/>
      <c r="BY1436" s="63"/>
      <c r="BZ1436" s="63"/>
    </row>
    <row r="1437" ht="15.75" customHeight="1">
      <c r="A1437" s="201"/>
      <c r="B1437" s="74"/>
      <c r="C1437" s="74"/>
      <c r="D1437" s="74"/>
      <c r="E1437" s="156"/>
      <c r="F1437" s="78">
        <v>0.0</v>
      </c>
      <c r="G1437" s="44" t="str">
        <f t="shared" si="35"/>
        <v>$0 a $100'000.000</v>
      </c>
      <c r="H1437" s="44"/>
      <c r="I1437" s="44"/>
      <c r="J1437" s="74"/>
      <c r="K1437" s="359"/>
      <c r="L1437" s="74"/>
      <c r="M1437" s="74"/>
      <c r="N1437" s="74"/>
      <c r="O1437" s="74"/>
      <c r="P1437" s="74"/>
      <c r="Q1437" s="74"/>
      <c r="R1437" s="362"/>
      <c r="S1437" s="56" t="str">
        <f t="shared" si="36"/>
        <v> </v>
      </c>
      <c r="T1437" s="74"/>
      <c r="U1437" s="359"/>
      <c r="V1437" s="74"/>
      <c r="W1437" s="74"/>
      <c r="X1437" s="74"/>
      <c r="Y1437" s="74"/>
      <c r="Z1437" s="364"/>
      <c r="AA1437" s="59" t="str">
        <f>IF(Rentabilidad=0,"No aplica",TEXT(ROUND(Precio/Rentabilidad/12,0),0) &amp; " años")</f>
        <v>No aplica</v>
      </c>
      <c r="AB1437" s="360"/>
      <c r="AC1437" s="61"/>
      <c r="AD1437" s="62"/>
      <c r="AE1437" s="63"/>
      <c r="AF1437" s="156"/>
      <c r="AG1437" s="63"/>
      <c r="AH1437" s="63"/>
      <c r="AI1437" s="74"/>
      <c r="AJ1437" s="156"/>
      <c r="AK1437" s="74"/>
      <c r="AL1437" s="156"/>
      <c r="AM1437" s="74"/>
      <c r="AN1437" s="156"/>
      <c r="AO1437" s="74"/>
      <c r="AP1437" s="363"/>
      <c r="AQ1437" s="363"/>
      <c r="AR1437" s="363"/>
      <c r="AS1437" s="74"/>
      <c r="AT1437" s="74"/>
      <c r="AU1437" s="74"/>
      <c r="AV1437" s="74"/>
      <c r="AW1437" s="74"/>
      <c r="AX1437" s="74"/>
      <c r="AY1437" s="74"/>
      <c r="AZ1437" s="74"/>
      <c r="BA1437" s="74"/>
      <c r="BB1437" s="74"/>
      <c r="BC1437" s="170"/>
      <c r="BD1437" s="156"/>
      <c r="BE1437" s="156"/>
      <c r="BF1437" s="299"/>
      <c r="BG1437" s="74"/>
      <c r="BH1437" s="74"/>
      <c r="BI1437" s="74"/>
      <c r="BJ1437" s="74"/>
      <c r="BK1437" s="74"/>
      <c r="BL1437" s="74"/>
      <c r="BM1437" s="74"/>
      <c r="BN1437" s="74"/>
      <c r="BO1437" s="74"/>
      <c r="BP1437" s="74"/>
      <c r="BQ1437" s="74"/>
      <c r="BR1437" s="74"/>
      <c r="BS1437" s="74"/>
      <c r="BT1437" s="74"/>
      <c r="BU1437" s="74"/>
      <c r="BV1437" s="74"/>
      <c r="BW1437" s="74"/>
      <c r="BX1437" s="74"/>
      <c r="BY1437" s="63"/>
      <c r="BZ1437" s="63"/>
    </row>
    <row r="1438" ht="15.75" customHeight="1">
      <c r="A1438" s="201"/>
      <c r="B1438" s="74"/>
      <c r="C1438" s="74"/>
      <c r="D1438" s="74"/>
      <c r="E1438" s="156"/>
      <c r="F1438" s="78">
        <v>0.0</v>
      </c>
      <c r="G1438" s="44" t="str">
        <f t="shared" si="35"/>
        <v>$0 a $100'000.000</v>
      </c>
      <c r="H1438" s="44"/>
      <c r="I1438" s="44"/>
      <c r="J1438" s="74"/>
      <c r="K1438" s="359"/>
      <c r="L1438" s="74"/>
      <c r="M1438" s="74"/>
      <c r="N1438" s="74"/>
      <c r="O1438" s="74"/>
      <c r="P1438" s="74"/>
      <c r="Q1438" s="74"/>
      <c r="R1438" s="362"/>
      <c r="S1438" s="56" t="str">
        <f t="shared" si="36"/>
        <v> </v>
      </c>
      <c r="T1438" s="74"/>
      <c r="U1438" s="359"/>
      <c r="V1438" s="74"/>
      <c r="W1438" s="74"/>
      <c r="X1438" s="74"/>
      <c r="Y1438" s="74"/>
      <c r="Z1438" s="364"/>
      <c r="AA1438" s="59" t="str">
        <f>IF(Rentabilidad=0,"No aplica",TEXT(ROUND(Precio/Rentabilidad/12,0),0) &amp; " años")</f>
        <v>No aplica</v>
      </c>
      <c r="AB1438" s="360"/>
      <c r="AC1438" s="61"/>
      <c r="AD1438" s="62"/>
      <c r="AE1438" s="63"/>
      <c r="AF1438" s="156"/>
      <c r="AG1438" s="63"/>
      <c r="AH1438" s="63"/>
      <c r="AI1438" s="74"/>
      <c r="AJ1438" s="156"/>
      <c r="AK1438" s="74"/>
      <c r="AL1438" s="156"/>
      <c r="AM1438" s="74"/>
      <c r="AN1438" s="156"/>
      <c r="AO1438" s="74"/>
      <c r="AP1438" s="363"/>
      <c r="AQ1438" s="363"/>
      <c r="AR1438" s="363"/>
      <c r="AS1438" s="74"/>
      <c r="AT1438" s="74"/>
      <c r="AU1438" s="74"/>
      <c r="AV1438" s="74"/>
      <c r="AW1438" s="74"/>
      <c r="AX1438" s="74"/>
      <c r="AY1438" s="74"/>
      <c r="AZ1438" s="74"/>
      <c r="BA1438" s="74"/>
      <c r="BB1438" s="74"/>
      <c r="BC1438" s="170"/>
      <c r="BD1438" s="156"/>
      <c r="BE1438" s="156"/>
      <c r="BF1438" s="299"/>
      <c r="BG1438" s="74"/>
      <c r="BH1438" s="74"/>
      <c r="BI1438" s="74"/>
      <c r="BJ1438" s="74"/>
      <c r="BK1438" s="74"/>
      <c r="BL1438" s="74"/>
      <c r="BM1438" s="74"/>
      <c r="BN1438" s="74"/>
      <c r="BO1438" s="74"/>
      <c r="BP1438" s="74"/>
      <c r="BQ1438" s="74"/>
      <c r="BR1438" s="74"/>
      <c r="BS1438" s="74"/>
      <c r="BT1438" s="74"/>
      <c r="BU1438" s="74"/>
      <c r="BV1438" s="74"/>
      <c r="BW1438" s="74"/>
      <c r="BX1438" s="74"/>
      <c r="BY1438" s="63"/>
      <c r="BZ1438" s="63"/>
    </row>
    <row r="1439" ht="15.75" customHeight="1">
      <c r="A1439" s="201"/>
      <c r="B1439" s="74"/>
      <c r="C1439" s="74"/>
      <c r="D1439" s="74"/>
      <c r="E1439" s="156"/>
      <c r="F1439" s="78">
        <v>0.0</v>
      </c>
      <c r="G1439" s="44" t="str">
        <f t="shared" si="35"/>
        <v>$0 a $100'000.000</v>
      </c>
      <c r="H1439" s="44"/>
      <c r="I1439" s="44"/>
      <c r="J1439" s="74"/>
      <c r="K1439" s="359"/>
      <c r="L1439" s="74"/>
      <c r="M1439" s="74"/>
      <c r="N1439" s="74"/>
      <c r="O1439" s="74"/>
      <c r="P1439" s="74"/>
      <c r="Q1439" s="74"/>
      <c r="R1439" s="362"/>
      <c r="S1439" s="56" t="str">
        <f t="shared" si="36"/>
        <v> </v>
      </c>
      <c r="T1439" s="74"/>
      <c r="U1439" s="359"/>
      <c r="V1439" s="74"/>
      <c r="W1439" s="74"/>
      <c r="X1439" s="74"/>
      <c r="Y1439" s="74"/>
      <c r="Z1439" s="364"/>
      <c r="AA1439" s="59" t="str">
        <f>IF(Rentabilidad=0,"No aplica",TEXT(ROUND(Precio/Rentabilidad/12,0),0) &amp; " años")</f>
        <v>No aplica</v>
      </c>
      <c r="AB1439" s="360"/>
      <c r="AC1439" s="61"/>
      <c r="AD1439" s="62"/>
      <c r="AE1439" s="63"/>
      <c r="AF1439" s="156"/>
      <c r="AG1439" s="63"/>
      <c r="AH1439" s="63"/>
      <c r="AI1439" s="74"/>
      <c r="AJ1439" s="156"/>
      <c r="AK1439" s="74"/>
      <c r="AL1439" s="156"/>
      <c r="AM1439" s="74"/>
      <c r="AN1439" s="156"/>
      <c r="AO1439" s="74"/>
      <c r="AP1439" s="363"/>
      <c r="AQ1439" s="363"/>
      <c r="AR1439" s="363"/>
      <c r="AS1439" s="74"/>
      <c r="AT1439" s="74"/>
      <c r="AU1439" s="74"/>
      <c r="AV1439" s="74"/>
      <c r="AW1439" s="74"/>
      <c r="AX1439" s="74"/>
      <c r="AY1439" s="74"/>
      <c r="AZ1439" s="74"/>
      <c r="BA1439" s="74"/>
      <c r="BB1439" s="74"/>
      <c r="BC1439" s="170"/>
      <c r="BD1439" s="156"/>
      <c r="BE1439" s="156"/>
      <c r="BF1439" s="299"/>
      <c r="BG1439" s="74"/>
      <c r="BH1439" s="74"/>
      <c r="BI1439" s="74"/>
      <c r="BJ1439" s="74"/>
      <c r="BK1439" s="74"/>
      <c r="BL1439" s="74"/>
      <c r="BM1439" s="74"/>
      <c r="BN1439" s="74"/>
      <c r="BO1439" s="74"/>
      <c r="BP1439" s="74"/>
      <c r="BQ1439" s="74"/>
      <c r="BR1439" s="74"/>
      <c r="BS1439" s="74"/>
      <c r="BT1439" s="74"/>
      <c r="BU1439" s="74"/>
      <c r="BV1439" s="74"/>
      <c r="BW1439" s="74"/>
      <c r="BX1439" s="74"/>
      <c r="BY1439" s="63"/>
      <c r="BZ1439" s="63"/>
    </row>
    <row r="1440" ht="15.75" customHeight="1">
      <c r="A1440" s="201"/>
      <c r="B1440" s="74"/>
      <c r="C1440" s="74"/>
      <c r="D1440" s="74"/>
      <c r="E1440" s="156"/>
      <c r="F1440" s="78">
        <v>0.0</v>
      </c>
      <c r="G1440" s="44" t="str">
        <f t="shared" si="35"/>
        <v>$0 a $100'000.000</v>
      </c>
      <c r="H1440" s="44"/>
      <c r="I1440" s="44"/>
      <c r="J1440" s="74"/>
      <c r="K1440" s="359"/>
      <c r="L1440" s="74"/>
      <c r="M1440" s="74"/>
      <c r="N1440" s="74"/>
      <c r="O1440" s="74"/>
      <c r="P1440" s="74"/>
      <c r="Q1440" s="74"/>
      <c r="R1440" s="362"/>
      <c r="S1440" s="56" t="str">
        <f t="shared" si="36"/>
        <v> </v>
      </c>
      <c r="T1440" s="74"/>
      <c r="U1440" s="359"/>
      <c r="V1440" s="74"/>
      <c r="W1440" s="74"/>
      <c r="X1440" s="74"/>
      <c r="Y1440" s="74"/>
      <c r="Z1440" s="364"/>
      <c r="AA1440" s="59" t="str">
        <f>IF(Rentabilidad=0,"No aplica",TEXT(ROUND(Precio/Rentabilidad/12,0),0) &amp; " años")</f>
        <v>No aplica</v>
      </c>
      <c r="AB1440" s="360"/>
      <c r="AC1440" s="61"/>
      <c r="AD1440" s="62"/>
      <c r="AE1440" s="63"/>
      <c r="AF1440" s="156"/>
      <c r="AG1440" s="63"/>
      <c r="AH1440" s="63"/>
      <c r="AI1440" s="74"/>
      <c r="AJ1440" s="156"/>
      <c r="AK1440" s="74"/>
      <c r="AL1440" s="156"/>
      <c r="AM1440" s="74"/>
      <c r="AN1440" s="156"/>
      <c r="AO1440" s="74"/>
      <c r="AP1440" s="363"/>
      <c r="AQ1440" s="363"/>
      <c r="AR1440" s="363"/>
      <c r="AS1440" s="74"/>
      <c r="AT1440" s="74"/>
      <c r="AU1440" s="74"/>
      <c r="AV1440" s="74"/>
      <c r="AW1440" s="74"/>
      <c r="AX1440" s="74"/>
      <c r="AY1440" s="74"/>
      <c r="AZ1440" s="74"/>
      <c r="BA1440" s="74"/>
      <c r="BB1440" s="74"/>
      <c r="BC1440" s="170"/>
      <c r="BD1440" s="156"/>
      <c r="BE1440" s="156"/>
      <c r="BF1440" s="299"/>
      <c r="BG1440" s="74"/>
      <c r="BH1440" s="74"/>
      <c r="BI1440" s="74"/>
      <c r="BJ1440" s="74"/>
      <c r="BK1440" s="74"/>
      <c r="BL1440" s="74"/>
      <c r="BM1440" s="74"/>
      <c r="BN1440" s="74"/>
      <c r="BO1440" s="74"/>
      <c r="BP1440" s="74"/>
      <c r="BQ1440" s="74"/>
      <c r="BR1440" s="74"/>
      <c r="BS1440" s="74"/>
      <c r="BT1440" s="74"/>
      <c r="BU1440" s="74"/>
      <c r="BV1440" s="74"/>
      <c r="BW1440" s="74"/>
      <c r="BX1440" s="74"/>
      <c r="BY1440" s="63"/>
      <c r="BZ1440" s="63"/>
    </row>
    <row r="1441" ht="15.75" customHeight="1">
      <c r="A1441" s="201"/>
      <c r="B1441" s="74"/>
      <c r="C1441" s="74"/>
      <c r="D1441" s="74"/>
      <c r="E1441" s="156"/>
      <c r="F1441" s="78">
        <v>0.0</v>
      </c>
      <c r="G1441" s="44" t="str">
        <f t="shared" si="35"/>
        <v>$0 a $100'000.000</v>
      </c>
      <c r="H1441" s="44"/>
      <c r="I1441" s="44"/>
      <c r="J1441" s="74"/>
      <c r="K1441" s="359"/>
      <c r="L1441" s="74"/>
      <c r="M1441" s="74"/>
      <c r="N1441" s="74"/>
      <c r="O1441" s="74"/>
      <c r="P1441" s="74"/>
      <c r="Q1441" s="74"/>
      <c r="R1441" s="362"/>
      <c r="S1441" s="56" t="str">
        <f t="shared" si="36"/>
        <v> </v>
      </c>
      <c r="T1441" s="74"/>
      <c r="U1441" s="359"/>
      <c r="V1441" s="74"/>
      <c r="W1441" s="74"/>
      <c r="X1441" s="74"/>
      <c r="Y1441" s="74"/>
      <c r="Z1441" s="364"/>
      <c r="AA1441" s="59" t="str">
        <f>IF(Rentabilidad=0,"No aplica",TEXT(ROUND(Precio/Rentabilidad/12,0),0) &amp; " años")</f>
        <v>No aplica</v>
      </c>
      <c r="AB1441" s="360"/>
      <c r="AC1441" s="61"/>
      <c r="AD1441" s="62"/>
      <c r="AE1441" s="63"/>
      <c r="AF1441" s="156"/>
      <c r="AG1441" s="63"/>
      <c r="AH1441" s="63"/>
      <c r="AI1441" s="74"/>
      <c r="AJ1441" s="156"/>
      <c r="AK1441" s="74"/>
      <c r="AL1441" s="156"/>
      <c r="AM1441" s="74"/>
      <c r="AN1441" s="156"/>
      <c r="AO1441" s="74"/>
      <c r="AP1441" s="363"/>
      <c r="AQ1441" s="363"/>
      <c r="AR1441" s="363"/>
      <c r="AS1441" s="74"/>
      <c r="AT1441" s="74"/>
      <c r="AU1441" s="74"/>
      <c r="AV1441" s="74"/>
      <c r="AW1441" s="74"/>
      <c r="AX1441" s="74"/>
      <c r="AY1441" s="74"/>
      <c r="AZ1441" s="74"/>
      <c r="BA1441" s="74"/>
      <c r="BB1441" s="74"/>
      <c r="BC1441" s="170"/>
      <c r="BD1441" s="156"/>
      <c r="BE1441" s="156"/>
      <c r="BF1441" s="299"/>
      <c r="BG1441" s="74"/>
      <c r="BH1441" s="74"/>
      <c r="BI1441" s="74"/>
      <c r="BJ1441" s="74"/>
      <c r="BK1441" s="74"/>
      <c r="BL1441" s="74"/>
      <c r="BM1441" s="74"/>
      <c r="BN1441" s="74"/>
      <c r="BO1441" s="74"/>
      <c r="BP1441" s="74"/>
      <c r="BQ1441" s="74"/>
      <c r="BR1441" s="74"/>
      <c r="BS1441" s="74"/>
      <c r="BT1441" s="74"/>
      <c r="BU1441" s="74"/>
      <c r="BV1441" s="74"/>
      <c r="BW1441" s="74"/>
      <c r="BX1441" s="74"/>
      <c r="BY1441" s="63"/>
      <c r="BZ1441" s="63"/>
    </row>
    <row r="1442" ht="15.75" customHeight="1">
      <c r="A1442" s="201"/>
      <c r="B1442" s="74"/>
      <c r="C1442" s="74"/>
      <c r="D1442" s="74"/>
      <c r="E1442" s="156"/>
      <c r="F1442" s="78">
        <v>0.0</v>
      </c>
      <c r="G1442" s="44" t="str">
        <f t="shared" si="35"/>
        <v>$0 a $100'000.000</v>
      </c>
      <c r="H1442" s="44"/>
      <c r="I1442" s="44"/>
      <c r="J1442" s="74"/>
      <c r="K1442" s="359"/>
      <c r="L1442" s="74"/>
      <c r="M1442" s="74"/>
      <c r="N1442" s="74"/>
      <c r="O1442" s="74"/>
      <c r="P1442" s="74"/>
      <c r="Q1442" s="74"/>
      <c r="R1442" s="362"/>
      <c r="S1442" s="56" t="str">
        <f t="shared" si="36"/>
        <v> </v>
      </c>
      <c r="T1442" s="74"/>
      <c r="U1442" s="359"/>
      <c r="V1442" s="74"/>
      <c r="W1442" s="74"/>
      <c r="X1442" s="74"/>
      <c r="Y1442" s="74"/>
      <c r="Z1442" s="364"/>
      <c r="AA1442" s="59" t="str">
        <f>IF(Rentabilidad=0,"No aplica",TEXT(ROUND(Precio/Rentabilidad/12,0),0) &amp; " años")</f>
        <v>No aplica</v>
      </c>
      <c r="AB1442" s="360"/>
      <c r="AC1442" s="61"/>
      <c r="AD1442" s="62"/>
      <c r="AE1442" s="63"/>
      <c r="AF1442" s="156"/>
      <c r="AG1442" s="63"/>
      <c r="AH1442" s="63"/>
      <c r="AI1442" s="74"/>
      <c r="AJ1442" s="156"/>
      <c r="AK1442" s="74"/>
      <c r="AL1442" s="156"/>
      <c r="AM1442" s="74"/>
      <c r="AN1442" s="156"/>
      <c r="AO1442" s="74"/>
      <c r="AP1442" s="363"/>
      <c r="AQ1442" s="363"/>
      <c r="AR1442" s="363"/>
      <c r="AS1442" s="74"/>
      <c r="AT1442" s="74"/>
      <c r="AU1442" s="74"/>
      <c r="AV1442" s="74"/>
      <c r="AW1442" s="74"/>
      <c r="AX1442" s="74"/>
      <c r="AY1442" s="74"/>
      <c r="AZ1442" s="74"/>
      <c r="BA1442" s="74"/>
      <c r="BB1442" s="74"/>
      <c r="BC1442" s="170"/>
      <c r="BD1442" s="156"/>
      <c r="BE1442" s="156"/>
      <c r="BF1442" s="299"/>
      <c r="BG1442" s="74"/>
      <c r="BH1442" s="74"/>
      <c r="BI1442" s="74"/>
      <c r="BJ1442" s="74"/>
      <c r="BK1442" s="74"/>
      <c r="BL1442" s="74"/>
      <c r="BM1442" s="74"/>
      <c r="BN1442" s="74"/>
      <c r="BO1442" s="74"/>
      <c r="BP1442" s="74"/>
      <c r="BQ1442" s="74"/>
      <c r="BR1442" s="74"/>
      <c r="BS1442" s="74"/>
      <c r="BT1442" s="74"/>
      <c r="BU1442" s="74"/>
      <c r="BV1442" s="74"/>
      <c r="BW1442" s="74"/>
      <c r="BX1442" s="74"/>
      <c r="BY1442" s="63"/>
      <c r="BZ1442" s="63"/>
    </row>
    <row r="1443" ht="15.75" customHeight="1">
      <c r="A1443" s="201"/>
      <c r="B1443" s="74"/>
      <c r="C1443" s="74"/>
      <c r="D1443" s="74"/>
      <c r="E1443" s="156"/>
      <c r="F1443" s="78">
        <v>0.0</v>
      </c>
      <c r="G1443" s="44" t="str">
        <f t="shared" si="35"/>
        <v>$0 a $100'000.000</v>
      </c>
      <c r="H1443" s="44"/>
      <c r="I1443" s="44"/>
      <c r="J1443" s="74"/>
      <c r="K1443" s="359"/>
      <c r="L1443" s="74"/>
      <c r="M1443" s="74"/>
      <c r="N1443" s="74"/>
      <c r="O1443" s="74"/>
      <c r="P1443" s="74"/>
      <c r="Q1443" s="74"/>
      <c r="R1443" s="362"/>
      <c r="S1443" s="56" t="str">
        <f t="shared" si="36"/>
        <v> </v>
      </c>
      <c r="T1443" s="74"/>
      <c r="U1443" s="359"/>
      <c r="V1443" s="74"/>
      <c r="W1443" s="74"/>
      <c r="X1443" s="74"/>
      <c r="Y1443" s="74"/>
      <c r="Z1443" s="364"/>
      <c r="AA1443" s="59" t="str">
        <f>IF(Rentabilidad=0,"No aplica",TEXT(ROUND(Precio/Rentabilidad/12,0),0) &amp; " años")</f>
        <v>No aplica</v>
      </c>
      <c r="AB1443" s="360"/>
      <c r="AC1443" s="61"/>
      <c r="AD1443" s="62"/>
      <c r="AE1443" s="63"/>
      <c r="AF1443" s="156"/>
      <c r="AG1443" s="63"/>
      <c r="AH1443" s="63"/>
      <c r="AI1443" s="74"/>
      <c r="AJ1443" s="156"/>
      <c r="AK1443" s="74"/>
      <c r="AL1443" s="156"/>
      <c r="AM1443" s="74"/>
      <c r="AN1443" s="156"/>
      <c r="AO1443" s="74"/>
      <c r="AP1443" s="363"/>
      <c r="AQ1443" s="363"/>
      <c r="AR1443" s="363"/>
      <c r="AS1443" s="74"/>
      <c r="AT1443" s="74"/>
      <c r="AU1443" s="74"/>
      <c r="AV1443" s="74"/>
      <c r="AW1443" s="74"/>
      <c r="AX1443" s="74"/>
      <c r="AY1443" s="74"/>
      <c r="AZ1443" s="74"/>
      <c r="BA1443" s="74"/>
      <c r="BB1443" s="74"/>
      <c r="BC1443" s="170"/>
      <c r="BD1443" s="156"/>
      <c r="BE1443" s="156"/>
      <c r="BF1443" s="299"/>
      <c r="BG1443" s="74"/>
      <c r="BH1443" s="74"/>
      <c r="BI1443" s="74"/>
      <c r="BJ1443" s="74"/>
      <c r="BK1443" s="74"/>
      <c r="BL1443" s="74"/>
      <c r="BM1443" s="74"/>
      <c r="BN1443" s="74"/>
      <c r="BO1443" s="74"/>
      <c r="BP1443" s="74"/>
      <c r="BQ1443" s="74"/>
      <c r="BR1443" s="74"/>
      <c r="BS1443" s="74"/>
      <c r="BT1443" s="74"/>
      <c r="BU1443" s="74"/>
      <c r="BV1443" s="74"/>
      <c r="BW1443" s="74"/>
      <c r="BX1443" s="74"/>
      <c r="BY1443" s="63"/>
      <c r="BZ1443" s="63"/>
    </row>
    <row r="1444" ht="15.75" customHeight="1">
      <c r="A1444" s="201"/>
      <c r="B1444" s="74"/>
      <c r="C1444" s="74"/>
      <c r="D1444" s="74"/>
      <c r="E1444" s="156"/>
      <c r="F1444" s="78">
        <v>0.0</v>
      </c>
      <c r="G1444" s="44" t="str">
        <f t="shared" si="35"/>
        <v>$0 a $100'000.000</v>
      </c>
      <c r="H1444" s="44"/>
      <c r="I1444" s="44"/>
      <c r="J1444" s="74"/>
      <c r="K1444" s="359"/>
      <c r="L1444" s="74"/>
      <c r="M1444" s="74"/>
      <c r="N1444" s="74"/>
      <c r="O1444" s="74"/>
      <c r="P1444" s="74"/>
      <c r="Q1444" s="74"/>
      <c r="R1444" s="362"/>
      <c r="S1444" s="56" t="str">
        <f t="shared" si="36"/>
        <v> </v>
      </c>
      <c r="T1444" s="74"/>
      <c r="U1444" s="359"/>
      <c r="V1444" s="74"/>
      <c r="W1444" s="74"/>
      <c r="X1444" s="74"/>
      <c r="Y1444" s="74"/>
      <c r="Z1444" s="364"/>
      <c r="AA1444" s="59" t="str">
        <f>IF(Rentabilidad=0,"No aplica",TEXT(ROUND(Precio/Rentabilidad/12,0),0) &amp; " años")</f>
        <v>No aplica</v>
      </c>
      <c r="AB1444" s="360"/>
      <c r="AC1444" s="61"/>
      <c r="AD1444" s="62"/>
      <c r="AE1444" s="63"/>
      <c r="AF1444" s="156"/>
      <c r="AG1444" s="63"/>
      <c r="AH1444" s="63"/>
      <c r="AI1444" s="74"/>
      <c r="AJ1444" s="156"/>
      <c r="AK1444" s="74"/>
      <c r="AL1444" s="156"/>
      <c r="AM1444" s="74"/>
      <c r="AN1444" s="156"/>
      <c r="AO1444" s="74"/>
      <c r="AP1444" s="363"/>
      <c r="AQ1444" s="363"/>
      <c r="AR1444" s="363"/>
      <c r="AS1444" s="74"/>
      <c r="AT1444" s="74"/>
      <c r="AU1444" s="74"/>
      <c r="AV1444" s="74"/>
      <c r="AW1444" s="74"/>
      <c r="AX1444" s="74"/>
      <c r="AY1444" s="74"/>
      <c r="AZ1444" s="74"/>
      <c r="BA1444" s="74"/>
      <c r="BB1444" s="74"/>
      <c r="BC1444" s="170"/>
      <c r="BD1444" s="156"/>
      <c r="BE1444" s="156"/>
      <c r="BF1444" s="299"/>
      <c r="BG1444" s="74"/>
      <c r="BH1444" s="74"/>
      <c r="BI1444" s="74"/>
      <c r="BJ1444" s="74"/>
      <c r="BK1444" s="74"/>
      <c r="BL1444" s="74"/>
      <c r="BM1444" s="74"/>
      <c r="BN1444" s="74"/>
      <c r="BO1444" s="74"/>
      <c r="BP1444" s="74"/>
      <c r="BQ1444" s="74"/>
      <c r="BR1444" s="74"/>
      <c r="BS1444" s="74"/>
      <c r="BT1444" s="74"/>
      <c r="BU1444" s="74"/>
      <c r="BV1444" s="74"/>
      <c r="BW1444" s="74"/>
      <c r="BX1444" s="74"/>
      <c r="BY1444" s="63"/>
      <c r="BZ1444" s="63"/>
    </row>
    <row r="1445" ht="15.75" customHeight="1">
      <c r="A1445" s="201"/>
      <c r="B1445" s="74"/>
      <c r="C1445" s="74"/>
      <c r="D1445" s="74"/>
      <c r="E1445" s="156"/>
      <c r="F1445" s="78">
        <v>0.0</v>
      </c>
      <c r="G1445" s="44" t="str">
        <f t="shared" si="35"/>
        <v>$0 a $100'000.000</v>
      </c>
      <c r="H1445" s="44"/>
      <c r="I1445" s="44"/>
      <c r="J1445" s="74"/>
      <c r="K1445" s="359"/>
      <c r="L1445" s="74"/>
      <c r="M1445" s="74"/>
      <c r="N1445" s="74"/>
      <c r="O1445" s="74"/>
      <c r="P1445" s="74"/>
      <c r="Q1445" s="74"/>
      <c r="R1445" s="362"/>
      <c r="S1445" s="56" t="str">
        <f t="shared" si="36"/>
        <v> </v>
      </c>
      <c r="T1445" s="74"/>
      <c r="U1445" s="359"/>
      <c r="V1445" s="74"/>
      <c r="W1445" s="74"/>
      <c r="X1445" s="74"/>
      <c r="Y1445" s="74"/>
      <c r="Z1445" s="364"/>
      <c r="AA1445" s="59" t="str">
        <f>IF(Rentabilidad=0,"No aplica",TEXT(ROUND(Precio/Rentabilidad/12,0),0) &amp; " años")</f>
        <v>No aplica</v>
      </c>
      <c r="AB1445" s="360"/>
      <c r="AC1445" s="61"/>
      <c r="AD1445" s="62"/>
      <c r="AE1445" s="63"/>
      <c r="AF1445" s="156"/>
      <c r="AG1445" s="63"/>
      <c r="AH1445" s="63"/>
      <c r="AI1445" s="74"/>
      <c r="AJ1445" s="156"/>
      <c r="AK1445" s="74"/>
      <c r="AL1445" s="156"/>
      <c r="AM1445" s="74"/>
      <c r="AN1445" s="156"/>
      <c r="AO1445" s="74"/>
      <c r="AP1445" s="363"/>
      <c r="AQ1445" s="363"/>
      <c r="AR1445" s="363"/>
      <c r="AS1445" s="74"/>
      <c r="AT1445" s="74"/>
      <c r="AU1445" s="74"/>
      <c r="AV1445" s="74"/>
      <c r="AW1445" s="74"/>
      <c r="AX1445" s="74"/>
      <c r="AY1445" s="74"/>
      <c r="AZ1445" s="74"/>
      <c r="BA1445" s="74"/>
      <c r="BB1445" s="74"/>
      <c r="BC1445" s="170"/>
      <c r="BD1445" s="156"/>
      <c r="BE1445" s="156"/>
      <c r="BF1445" s="299"/>
      <c r="BG1445" s="74"/>
      <c r="BH1445" s="74"/>
      <c r="BI1445" s="74"/>
      <c r="BJ1445" s="74"/>
      <c r="BK1445" s="74"/>
      <c r="BL1445" s="74"/>
      <c r="BM1445" s="74"/>
      <c r="BN1445" s="74"/>
      <c r="BO1445" s="74"/>
      <c r="BP1445" s="74"/>
      <c r="BQ1445" s="74"/>
      <c r="BR1445" s="74"/>
      <c r="BS1445" s="74"/>
      <c r="BT1445" s="74"/>
      <c r="BU1445" s="74"/>
      <c r="BV1445" s="74"/>
      <c r="BW1445" s="74"/>
      <c r="BX1445" s="74"/>
      <c r="BY1445" s="63"/>
      <c r="BZ1445" s="63"/>
    </row>
    <row r="1446" ht="15.75" customHeight="1">
      <c r="A1446" s="201"/>
      <c r="B1446" s="74"/>
      <c r="C1446" s="74"/>
      <c r="D1446" s="74"/>
      <c r="E1446" s="156"/>
      <c r="F1446" s="78">
        <v>0.0</v>
      </c>
      <c r="G1446" s="44" t="str">
        <f t="shared" si="35"/>
        <v>$0 a $100'000.000</v>
      </c>
      <c r="H1446" s="44"/>
      <c r="I1446" s="44"/>
      <c r="J1446" s="74"/>
      <c r="K1446" s="359"/>
      <c r="L1446" s="74"/>
      <c r="M1446" s="74"/>
      <c r="N1446" s="74"/>
      <c r="O1446" s="74"/>
      <c r="P1446" s="74"/>
      <c r="Q1446" s="74"/>
      <c r="R1446" s="362"/>
      <c r="S1446" s="56" t="str">
        <f t="shared" si="36"/>
        <v> </v>
      </c>
      <c r="T1446" s="74"/>
      <c r="U1446" s="359"/>
      <c r="V1446" s="74"/>
      <c r="W1446" s="74"/>
      <c r="X1446" s="74"/>
      <c r="Y1446" s="74"/>
      <c r="Z1446" s="364"/>
      <c r="AA1446" s="59" t="str">
        <f>IF(Rentabilidad=0,"No aplica",TEXT(ROUND(Precio/Rentabilidad/12,0),0) &amp; " años")</f>
        <v>No aplica</v>
      </c>
      <c r="AB1446" s="360"/>
      <c r="AC1446" s="61"/>
      <c r="AD1446" s="62"/>
      <c r="AE1446" s="63"/>
      <c r="AF1446" s="156"/>
      <c r="AG1446" s="63"/>
      <c r="AH1446" s="63"/>
      <c r="AI1446" s="74"/>
      <c r="AJ1446" s="156"/>
      <c r="AK1446" s="74"/>
      <c r="AL1446" s="156"/>
      <c r="AM1446" s="74"/>
      <c r="AN1446" s="156"/>
      <c r="AO1446" s="74"/>
      <c r="AP1446" s="363"/>
      <c r="AQ1446" s="363"/>
      <c r="AR1446" s="363"/>
      <c r="AS1446" s="74"/>
      <c r="AT1446" s="74"/>
      <c r="AU1446" s="74"/>
      <c r="AV1446" s="74"/>
      <c r="AW1446" s="74"/>
      <c r="AX1446" s="74"/>
      <c r="AY1446" s="74"/>
      <c r="AZ1446" s="74"/>
      <c r="BA1446" s="74"/>
      <c r="BB1446" s="74"/>
      <c r="BC1446" s="170"/>
      <c r="BD1446" s="156"/>
      <c r="BE1446" s="156"/>
      <c r="BF1446" s="299"/>
      <c r="BG1446" s="74"/>
      <c r="BH1446" s="74"/>
      <c r="BI1446" s="74"/>
      <c r="BJ1446" s="74"/>
      <c r="BK1446" s="74"/>
      <c r="BL1446" s="74"/>
      <c r="BM1446" s="74"/>
      <c r="BN1446" s="74"/>
      <c r="BO1446" s="74"/>
      <c r="BP1446" s="74"/>
      <c r="BQ1446" s="74"/>
      <c r="BR1446" s="74"/>
      <c r="BS1446" s="74"/>
      <c r="BT1446" s="74"/>
      <c r="BU1446" s="74"/>
      <c r="BV1446" s="74"/>
      <c r="BW1446" s="74"/>
      <c r="BX1446" s="74"/>
      <c r="BY1446" s="63"/>
      <c r="BZ1446" s="63"/>
    </row>
    <row r="1447" ht="15.75" customHeight="1">
      <c r="A1447" s="201"/>
      <c r="B1447" s="74"/>
      <c r="C1447" s="74"/>
      <c r="D1447" s="74"/>
      <c r="E1447" s="156"/>
      <c r="F1447" s="78">
        <v>0.0</v>
      </c>
      <c r="G1447" s="44" t="str">
        <f t="shared" si="35"/>
        <v>$0 a $100'000.000</v>
      </c>
      <c r="H1447" s="44"/>
      <c r="I1447" s="44"/>
      <c r="J1447" s="74"/>
      <c r="K1447" s="359"/>
      <c r="L1447" s="74"/>
      <c r="M1447" s="74"/>
      <c r="N1447" s="74"/>
      <c r="O1447" s="74"/>
      <c r="P1447" s="74"/>
      <c r="Q1447" s="74"/>
      <c r="R1447" s="362"/>
      <c r="S1447" s="56" t="str">
        <f t="shared" si="36"/>
        <v> </v>
      </c>
      <c r="T1447" s="74"/>
      <c r="U1447" s="359"/>
      <c r="V1447" s="74"/>
      <c r="W1447" s="74"/>
      <c r="X1447" s="74"/>
      <c r="Y1447" s="74"/>
      <c r="Z1447" s="364"/>
      <c r="AA1447" s="59" t="str">
        <f>IF(Rentabilidad=0,"No aplica",TEXT(ROUND(Precio/Rentabilidad/12,0),0) &amp; " años")</f>
        <v>No aplica</v>
      </c>
      <c r="AB1447" s="360"/>
      <c r="AC1447" s="61"/>
      <c r="AD1447" s="62"/>
      <c r="AE1447" s="63"/>
      <c r="AF1447" s="156"/>
      <c r="AG1447" s="63"/>
      <c r="AH1447" s="63"/>
      <c r="AI1447" s="74"/>
      <c r="AJ1447" s="156"/>
      <c r="AK1447" s="74"/>
      <c r="AL1447" s="156"/>
      <c r="AM1447" s="74"/>
      <c r="AN1447" s="156"/>
      <c r="AO1447" s="74"/>
      <c r="AP1447" s="363"/>
      <c r="AQ1447" s="363"/>
      <c r="AR1447" s="363"/>
      <c r="AS1447" s="74"/>
      <c r="AT1447" s="74"/>
      <c r="AU1447" s="74"/>
      <c r="AV1447" s="74"/>
      <c r="AW1447" s="74"/>
      <c r="AX1447" s="74"/>
      <c r="AY1447" s="74"/>
      <c r="AZ1447" s="74"/>
      <c r="BA1447" s="74"/>
      <c r="BB1447" s="74"/>
      <c r="BC1447" s="170"/>
      <c r="BD1447" s="156"/>
      <c r="BE1447" s="156"/>
      <c r="BF1447" s="299"/>
      <c r="BG1447" s="74"/>
      <c r="BH1447" s="74"/>
      <c r="BI1447" s="74"/>
      <c r="BJ1447" s="74"/>
      <c r="BK1447" s="74"/>
      <c r="BL1447" s="74"/>
      <c r="BM1447" s="74"/>
      <c r="BN1447" s="74"/>
      <c r="BO1447" s="74"/>
      <c r="BP1447" s="74"/>
      <c r="BQ1447" s="74"/>
      <c r="BR1447" s="74"/>
      <c r="BS1447" s="74"/>
      <c r="BT1447" s="74"/>
      <c r="BU1447" s="74"/>
      <c r="BV1447" s="74"/>
      <c r="BW1447" s="74"/>
      <c r="BX1447" s="74"/>
      <c r="BY1447" s="63"/>
      <c r="BZ1447" s="63"/>
    </row>
    <row r="1448" ht="15.75" customHeight="1">
      <c r="A1448" s="201"/>
      <c r="B1448" s="74"/>
      <c r="C1448" s="74"/>
      <c r="D1448" s="74"/>
      <c r="E1448" s="156"/>
      <c r="F1448" s="78">
        <v>0.0</v>
      </c>
      <c r="G1448" s="44" t="str">
        <f t="shared" si="35"/>
        <v>$0 a $100'000.000</v>
      </c>
      <c r="H1448" s="44"/>
      <c r="I1448" s="44"/>
      <c r="J1448" s="74"/>
      <c r="K1448" s="359"/>
      <c r="L1448" s="74"/>
      <c r="M1448" s="74"/>
      <c r="N1448" s="74"/>
      <c r="O1448" s="74"/>
      <c r="P1448" s="74"/>
      <c r="Q1448" s="74"/>
      <c r="R1448" s="362"/>
      <c r="S1448" s="56" t="str">
        <f t="shared" si="36"/>
        <v> </v>
      </c>
      <c r="T1448" s="74"/>
      <c r="U1448" s="359"/>
      <c r="V1448" s="74"/>
      <c r="W1448" s="74"/>
      <c r="X1448" s="74"/>
      <c r="Y1448" s="74"/>
      <c r="Z1448" s="364"/>
      <c r="AA1448" s="59" t="str">
        <f>IF(Rentabilidad=0,"No aplica",TEXT(ROUND(Precio/Rentabilidad/12,0),0) &amp; " años")</f>
        <v>No aplica</v>
      </c>
      <c r="AB1448" s="360"/>
      <c r="AC1448" s="61"/>
      <c r="AD1448" s="62"/>
      <c r="AE1448" s="63"/>
      <c r="AF1448" s="156"/>
      <c r="AG1448" s="63"/>
      <c r="AH1448" s="63"/>
      <c r="AI1448" s="74"/>
      <c r="AJ1448" s="156"/>
      <c r="AK1448" s="74"/>
      <c r="AL1448" s="156"/>
      <c r="AM1448" s="74"/>
      <c r="AN1448" s="156"/>
      <c r="AO1448" s="74"/>
      <c r="AP1448" s="363"/>
      <c r="AQ1448" s="363"/>
      <c r="AR1448" s="363"/>
      <c r="AS1448" s="74"/>
      <c r="AT1448" s="74"/>
      <c r="AU1448" s="74"/>
      <c r="AV1448" s="74"/>
      <c r="AW1448" s="74"/>
      <c r="AX1448" s="74"/>
      <c r="AY1448" s="74"/>
      <c r="AZ1448" s="74"/>
      <c r="BA1448" s="74"/>
      <c r="BB1448" s="74"/>
      <c r="BC1448" s="170"/>
      <c r="BD1448" s="156"/>
      <c r="BE1448" s="156"/>
      <c r="BF1448" s="299"/>
      <c r="BG1448" s="74"/>
      <c r="BH1448" s="74"/>
      <c r="BI1448" s="74"/>
      <c r="BJ1448" s="74"/>
      <c r="BK1448" s="74"/>
      <c r="BL1448" s="74"/>
      <c r="BM1448" s="74"/>
      <c r="BN1448" s="74"/>
      <c r="BO1448" s="74"/>
      <c r="BP1448" s="74"/>
      <c r="BQ1448" s="74"/>
      <c r="BR1448" s="74"/>
      <c r="BS1448" s="74"/>
      <c r="BT1448" s="74"/>
      <c r="BU1448" s="74"/>
      <c r="BV1448" s="74"/>
      <c r="BW1448" s="74"/>
      <c r="BX1448" s="74"/>
      <c r="BY1448" s="63"/>
      <c r="BZ1448" s="63"/>
    </row>
    <row r="1449" ht="15.75" customHeight="1">
      <c r="A1449" s="201"/>
      <c r="B1449" s="74"/>
      <c r="C1449" s="74"/>
      <c r="D1449" s="74"/>
      <c r="E1449" s="156"/>
      <c r="F1449" s="78">
        <v>0.0</v>
      </c>
      <c r="G1449" s="44" t="str">
        <f t="shared" si="35"/>
        <v>$0 a $100'000.000</v>
      </c>
      <c r="H1449" s="44"/>
      <c r="I1449" s="44"/>
      <c r="J1449" s="74"/>
      <c r="K1449" s="359"/>
      <c r="L1449" s="74"/>
      <c r="M1449" s="74"/>
      <c r="N1449" s="74"/>
      <c r="O1449" s="74"/>
      <c r="P1449" s="74"/>
      <c r="Q1449" s="74"/>
      <c r="R1449" s="362"/>
      <c r="S1449" s="56" t="str">
        <f t="shared" si="36"/>
        <v> </v>
      </c>
      <c r="T1449" s="74"/>
      <c r="U1449" s="359"/>
      <c r="V1449" s="74"/>
      <c r="W1449" s="74"/>
      <c r="X1449" s="74"/>
      <c r="Y1449" s="74"/>
      <c r="Z1449" s="364"/>
      <c r="AA1449" s="59" t="str">
        <f>IF(Rentabilidad=0,"No aplica",TEXT(ROUND(Precio/Rentabilidad/12,0),0) &amp; " años")</f>
        <v>No aplica</v>
      </c>
      <c r="AB1449" s="360"/>
      <c r="AC1449" s="61"/>
      <c r="AD1449" s="62"/>
      <c r="AE1449" s="63"/>
      <c r="AF1449" s="156"/>
      <c r="AG1449" s="63"/>
      <c r="AH1449" s="63"/>
      <c r="AI1449" s="74"/>
      <c r="AJ1449" s="156"/>
      <c r="AK1449" s="74"/>
      <c r="AL1449" s="156"/>
      <c r="AM1449" s="74"/>
      <c r="AN1449" s="156"/>
      <c r="AO1449" s="74"/>
      <c r="AP1449" s="363"/>
      <c r="AQ1449" s="363"/>
      <c r="AR1449" s="363"/>
      <c r="AS1449" s="74"/>
      <c r="AT1449" s="74"/>
      <c r="AU1449" s="74"/>
      <c r="AV1449" s="74"/>
      <c r="AW1449" s="74"/>
      <c r="AX1449" s="74"/>
      <c r="AY1449" s="74"/>
      <c r="AZ1449" s="74"/>
      <c r="BA1449" s="74"/>
      <c r="BB1449" s="74"/>
      <c r="BC1449" s="170"/>
      <c r="BD1449" s="156"/>
      <c r="BE1449" s="156"/>
      <c r="BF1449" s="299"/>
      <c r="BG1449" s="74"/>
      <c r="BH1449" s="74"/>
      <c r="BI1449" s="74"/>
      <c r="BJ1449" s="74"/>
      <c r="BK1449" s="74"/>
      <c r="BL1449" s="74"/>
      <c r="BM1449" s="74"/>
      <c r="BN1449" s="74"/>
      <c r="BO1449" s="74"/>
      <c r="BP1449" s="74"/>
      <c r="BQ1449" s="74"/>
      <c r="BR1449" s="74"/>
      <c r="BS1449" s="74"/>
      <c r="BT1449" s="74"/>
      <c r="BU1449" s="74"/>
      <c r="BV1449" s="74"/>
      <c r="BW1449" s="74"/>
      <c r="BX1449" s="74"/>
      <c r="BY1449" s="63"/>
      <c r="BZ1449" s="63"/>
    </row>
    <row r="1450" ht="15.75" customHeight="1">
      <c r="A1450" s="201"/>
      <c r="B1450" s="74"/>
      <c r="C1450" s="74"/>
      <c r="D1450" s="74"/>
      <c r="E1450" s="156"/>
      <c r="F1450" s="78">
        <v>0.0</v>
      </c>
      <c r="G1450" s="44" t="str">
        <f t="shared" si="35"/>
        <v>$0 a $100'000.000</v>
      </c>
      <c r="H1450" s="44"/>
      <c r="I1450" s="44"/>
      <c r="J1450" s="74"/>
      <c r="K1450" s="359"/>
      <c r="L1450" s="74"/>
      <c r="M1450" s="74"/>
      <c r="N1450" s="74"/>
      <c r="O1450" s="74"/>
      <c r="P1450" s="74"/>
      <c r="Q1450" s="74"/>
      <c r="R1450" s="362"/>
      <c r="S1450" s="56" t="str">
        <f t="shared" si="36"/>
        <v> </v>
      </c>
      <c r="T1450" s="74"/>
      <c r="U1450" s="359"/>
      <c r="V1450" s="74"/>
      <c r="W1450" s="74"/>
      <c r="X1450" s="74"/>
      <c r="Y1450" s="74"/>
      <c r="Z1450" s="364"/>
      <c r="AA1450" s="59" t="str">
        <f>IF(Rentabilidad=0,"No aplica",TEXT(ROUND(Precio/Rentabilidad/12,0),0) &amp; " años")</f>
        <v>No aplica</v>
      </c>
      <c r="AB1450" s="360"/>
      <c r="AC1450" s="61"/>
      <c r="AD1450" s="62"/>
      <c r="AE1450" s="63"/>
      <c r="AF1450" s="156"/>
      <c r="AG1450" s="63"/>
      <c r="AH1450" s="63"/>
      <c r="AI1450" s="74"/>
      <c r="AJ1450" s="156"/>
      <c r="AK1450" s="74"/>
      <c r="AL1450" s="156"/>
      <c r="AM1450" s="74"/>
      <c r="AN1450" s="156"/>
      <c r="AO1450" s="74"/>
      <c r="AP1450" s="363"/>
      <c r="AQ1450" s="363"/>
      <c r="AR1450" s="363"/>
      <c r="AS1450" s="74"/>
      <c r="AT1450" s="74"/>
      <c r="AU1450" s="74"/>
      <c r="AV1450" s="74"/>
      <c r="AW1450" s="74"/>
      <c r="AX1450" s="74"/>
      <c r="AY1450" s="74"/>
      <c r="AZ1450" s="74"/>
      <c r="BA1450" s="74"/>
      <c r="BB1450" s="74"/>
      <c r="BC1450" s="170"/>
      <c r="BD1450" s="156"/>
      <c r="BE1450" s="156"/>
      <c r="BF1450" s="299"/>
      <c r="BG1450" s="74"/>
      <c r="BH1450" s="74"/>
      <c r="BI1450" s="74"/>
      <c r="BJ1450" s="74"/>
      <c r="BK1450" s="74"/>
      <c r="BL1450" s="74"/>
      <c r="BM1450" s="74"/>
      <c r="BN1450" s="74"/>
      <c r="BO1450" s="74"/>
      <c r="BP1450" s="74"/>
      <c r="BQ1450" s="74"/>
      <c r="BR1450" s="74"/>
      <c r="BS1450" s="74"/>
      <c r="BT1450" s="74"/>
      <c r="BU1450" s="74"/>
      <c r="BV1450" s="74"/>
      <c r="BW1450" s="74"/>
      <c r="BX1450" s="74"/>
      <c r="BY1450" s="63"/>
      <c r="BZ1450" s="63"/>
    </row>
    <row r="1451" ht="15.75" customHeight="1">
      <c r="A1451" s="201"/>
      <c r="B1451" s="74"/>
      <c r="C1451" s="74"/>
      <c r="D1451" s="74"/>
      <c r="E1451" s="156"/>
      <c r="F1451" s="78">
        <v>0.0</v>
      </c>
      <c r="G1451" s="44" t="str">
        <f t="shared" si="35"/>
        <v>$0 a $100'000.000</v>
      </c>
      <c r="H1451" s="44"/>
      <c r="I1451" s="44"/>
      <c r="J1451" s="74"/>
      <c r="K1451" s="359"/>
      <c r="L1451" s="74"/>
      <c r="M1451" s="74"/>
      <c r="N1451" s="74"/>
      <c r="O1451" s="74"/>
      <c r="P1451" s="74"/>
      <c r="Q1451" s="74"/>
      <c r="R1451" s="362"/>
      <c r="S1451" s="56" t="str">
        <f t="shared" si="36"/>
        <v> </v>
      </c>
      <c r="T1451" s="74"/>
      <c r="U1451" s="359"/>
      <c r="V1451" s="74"/>
      <c r="W1451" s="74"/>
      <c r="X1451" s="74"/>
      <c r="Y1451" s="74"/>
      <c r="Z1451" s="364"/>
      <c r="AA1451" s="59" t="str">
        <f>IF(Rentabilidad=0,"No aplica",TEXT(ROUND(Precio/Rentabilidad/12,0),0) &amp; " años")</f>
        <v>No aplica</v>
      </c>
      <c r="AB1451" s="360"/>
      <c r="AC1451" s="61"/>
      <c r="AD1451" s="62"/>
      <c r="AE1451" s="63"/>
      <c r="AF1451" s="156"/>
      <c r="AG1451" s="63"/>
      <c r="AH1451" s="63"/>
      <c r="AI1451" s="74"/>
      <c r="AJ1451" s="156"/>
      <c r="AK1451" s="74"/>
      <c r="AL1451" s="156"/>
      <c r="AM1451" s="74"/>
      <c r="AN1451" s="156"/>
      <c r="AO1451" s="74"/>
      <c r="AP1451" s="363"/>
      <c r="AQ1451" s="363"/>
      <c r="AR1451" s="363"/>
      <c r="AS1451" s="74"/>
      <c r="AT1451" s="74"/>
      <c r="AU1451" s="74"/>
      <c r="AV1451" s="74"/>
      <c r="AW1451" s="74"/>
      <c r="AX1451" s="74"/>
      <c r="AY1451" s="74"/>
      <c r="AZ1451" s="74"/>
      <c r="BA1451" s="74"/>
      <c r="BB1451" s="74"/>
      <c r="BC1451" s="170"/>
      <c r="BD1451" s="156"/>
      <c r="BE1451" s="156"/>
      <c r="BF1451" s="299"/>
      <c r="BG1451" s="74"/>
      <c r="BH1451" s="74"/>
      <c r="BI1451" s="74"/>
      <c r="BJ1451" s="74"/>
      <c r="BK1451" s="74"/>
      <c r="BL1451" s="74"/>
      <c r="BM1451" s="74"/>
      <c r="BN1451" s="74"/>
      <c r="BO1451" s="74"/>
      <c r="BP1451" s="74"/>
      <c r="BQ1451" s="74"/>
      <c r="BR1451" s="74"/>
      <c r="BS1451" s="74"/>
      <c r="BT1451" s="74"/>
      <c r="BU1451" s="74"/>
      <c r="BV1451" s="74"/>
      <c r="BW1451" s="74"/>
      <c r="BX1451" s="74"/>
      <c r="BY1451" s="63"/>
      <c r="BZ1451" s="63"/>
    </row>
    <row r="1452" ht="15.75" customHeight="1">
      <c r="A1452" s="201"/>
      <c r="B1452" s="74"/>
      <c r="C1452" s="74"/>
      <c r="D1452" s="74"/>
      <c r="E1452" s="156"/>
      <c r="F1452" s="78">
        <v>0.0</v>
      </c>
      <c r="G1452" s="44" t="str">
        <f t="shared" si="35"/>
        <v>$0 a $100'000.000</v>
      </c>
      <c r="H1452" s="44"/>
      <c r="I1452" s="44"/>
      <c r="J1452" s="74"/>
      <c r="K1452" s="359"/>
      <c r="L1452" s="74"/>
      <c r="M1452" s="74"/>
      <c r="N1452" s="74"/>
      <c r="O1452" s="74"/>
      <c r="P1452" s="74"/>
      <c r="Q1452" s="74"/>
      <c r="R1452" s="362"/>
      <c r="S1452" s="56" t="str">
        <f t="shared" si="36"/>
        <v> </v>
      </c>
      <c r="T1452" s="74"/>
      <c r="U1452" s="359"/>
      <c r="V1452" s="74"/>
      <c r="W1452" s="74"/>
      <c r="X1452" s="74"/>
      <c r="Y1452" s="74"/>
      <c r="Z1452" s="364"/>
      <c r="AA1452" s="59" t="str">
        <f>IF(Rentabilidad=0,"No aplica",TEXT(ROUND(Precio/Rentabilidad/12,0),0) &amp; " años")</f>
        <v>No aplica</v>
      </c>
      <c r="AB1452" s="360"/>
      <c r="AC1452" s="61"/>
      <c r="AD1452" s="62"/>
      <c r="AE1452" s="63"/>
      <c r="AF1452" s="156"/>
      <c r="AG1452" s="63"/>
      <c r="AH1452" s="63"/>
      <c r="AI1452" s="74"/>
      <c r="AJ1452" s="156"/>
      <c r="AK1452" s="74"/>
      <c r="AL1452" s="156"/>
      <c r="AM1452" s="74"/>
      <c r="AN1452" s="156"/>
      <c r="AO1452" s="74"/>
      <c r="AP1452" s="363"/>
      <c r="AQ1452" s="363"/>
      <c r="AR1452" s="363"/>
      <c r="AS1452" s="74"/>
      <c r="AT1452" s="74"/>
      <c r="AU1452" s="74"/>
      <c r="AV1452" s="74"/>
      <c r="AW1452" s="74"/>
      <c r="AX1452" s="74"/>
      <c r="AY1452" s="74"/>
      <c r="AZ1452" s="74"/>
      <c r="BA1452" s="74"/>
      <c r="BB1452" s="74"/>
      <c r="BC1452" s="170"/>
      <c r="BD1452" s="156"/>
      <c r="BE1452" s="156"/>
      <c r="BF1452" s="299"/>
      <c r="BG1452" s="74"/>
      <c r="BH1452" s="74"/>
      <c r="BI1452" s="74"/>
      <c r="BJ1452" s="74"/>
      <c r="BK1452" s="74"/>
      <c r="BL1452" s="74"/>
      <c r="BM1452" s="74"/>
      <c r="BN1452" s="74"/>
      <c r="BO1452" s="74"/>
      <c r="BP1452" s="74"/>
      <c r="BQ1452" s="74"/>
      <c r="BR1452" s="74"/>
      <c r="BS1452" s="74"/>
      <c r="BT1452" s="74"/>
      <c r="BU1452" s="74"/>
      <c r="BV1452" s="74"/>
      <c r="BW1452" s="74"/>
      <c r="BX1452" s="74"/>
      <c r="BY1452" s="63"/>
      <c r="BZ1452" s="63"/>
    </row>
    <row r="1453" ht="15.75" customHeight="1">
      <c r="A1453" s="201"/>
      <c r="B1453" s="74"/>
      <c r="C1453" s="74"/>
      <c r="D1453" s="74"/>
      <c r="E1453" s="156"/>
      <c r="F1453" s="78">
        <v>0.0</v>
      </c>
      <c r="G1453" s="44" t="str">
        <f t="shared" si="35"/>
        <v>$0 a $100'000.000</v>
      </c>
      <c r="H1453" s="44"/>
      <c r="I1453" s="44"/>
      <c r="J1453" s="74"/>
      <c r="K1453" s="359"/>
      <c r="L1453" s="74"/>
      <c r="M1453" s="74"/>
      <c r="N1453" s="74"/>
      <c r="O1453" s="74"/>
      <c r="P1453" s="74"/>
      <c r="Q1453" s="74"/>
      <c r="R1453" s="362"/>
      <c r="S1453" s="56" t="str">
        <f t="shared" si="36"/>
        <v> </v>
      </c>
      <c r="T1453" s="74"/>
      <c r="U1453" s="359"/>
      <c r="V1453" s="74"/>
      <c r="W1453" s="74"/>
      <c r="X1453" s="74"/>
      <c r="Y1453" s="74"/>
      <c r="Z1453" s="364"/>
      <c r="AA1453" s="59" t="str">
        <f>IF(Rentabilidad=0,"No aplica",TEXT(ROUND(Precio/Rentabilidad/12,0),0) &amp; " años")</f>
        <v>No aplica</v>
      </c>
      <c r="AB1453" s="360"/>
      <c r="AC1453" s="61"/>
      <c r="AD1453" s="62"/>
      <c r="AE1453" s="63"/>
      <c r="AF1453" s="156"/>
      <c r="AG1453" s="63"/>
      <c r="AH1453" s="63"/>
      <c r="AI1453" s="74"/>
      <c r="AJ1453" s="156"/>
      <c r="AK1453" s="74"/>
      <c r="AL1453" s="156"/>
      <c r="AM1453" s="74"/>
      <c r="AN1453" s="156"/>
      <c r="AO1453" s="74"/>
      <c r="AP1453" s="363"/>
      <c r="AQ1453" s="363"/>
      <c r="AR1453" s="363"/>
      <c r="AS1453" s="74"/>
      <c r="AT1453" s="74"/>
      <c r="AU1453" s="74"/>
      <c r="AV1453" s="74"/>
      <c r="AW1453" s="74"/>
      <c r="AX1453" s="74"/>
      <c r="AY1453" s="74"/>
      <c r="AZ1453" s="74"/>
      <c r="BA1453" s="74"/>
      <c r="BB1453" s="74"/>
      <c r="BC1453" s="170"/>
      <c r="BD1453" s="156"/>
      <c r="BE1453" s="156"/>
      <c r="BF1453" s="299"/>
      <c r="BG1453" s="74"/>
      <c r="BH1453" s="74"/>
      <c r="BI1453" s="74"/>
      <c r="BJ1453" s="74"/>
      <c r="BK1453" s="74"/>
      <c r="BL1453" s="74"/>
      <c r="BM1453" s="74"/>
      <c r="BN1453" s="74"/>
      <c r="BO1453" s="74"/>
      <c r="BP1453" s="74"/>
      <c r="BQ1453" s="74"/>
      <c r="BR1453" s="74"/>
      <c r="BS1453" s="74"/>
      <c r="BT1453" s="74"/>
      <c r="BU1453" s="74"/>
      <c r="BV1453" s="74"/>
      <c r="BW1453" s="74"/>
      <c r="BX1453" s="74"/>
      <c r="BY1453" s="63"/>
      <c r="BZ1453" s="63"/>
    </row>
    <row r="1454" ht="15.75" customHeight="1">
      <c r="A1454" s="201"/>
      <c r="B1454" s="74"/>
      <c r="C1454" s="74"/>
      <c r="D1454" s="74"/>
      <c r="E1454" s="156"/>
      <c r="F1454" s="78">
        <v>0.0</v>
      </c>
      <c r="G1454" s="44" t="str">
        <f t="shared" si="35"/>
        <v>$0 a $100'000.000</v>
      </c>
      <c r="H1454" s="44"/>
      <c r="I1454" s="44"/>
      <c r="J1454" s="74"/>
      <c r="K1454" s="359"/>
      <c r="L1454" s="74"/>
      <c r="M1454" s="74"/>
      <c r="N1454" s="74"/>
      <c r="O1454" s="74"/>
      <c r="P1454" s="74"/>
      <c r="Q1454" s="74"/>
      <c r="R1454" s="362"/>
      <c r="S1454" s="56" t="str">
        <f t="shared" si="36"/>
        <v> </v>
      </c>
      <c r="T1454" s="74"/>
      <c r="U1454" s="359"/>
      <c r="V1454" s="74"/>
      <c r="W1454" s="74"/>
      <c r="X1454" s="74"/>
      <c r="Y1454" s="74"/>
      <c r="Z1454" s="364"/>
      <c r="AA1454" s="59" t="str">
        <f>IF(Rentabilidad=0,"No aplica",TEXT(ROUND(Precio/Rentabilidad/12,0),0) &amp; " años")</f>
        <v>No aplica</v>
      </c>
      <c r="AB1454" s="360"/>
      <c r="AC1454" s="61"/>
      <c r="AD1454" s="62"/>
      <c r="AE1454" s="63"/>
      <c r="AF1454" s="156"/>
      <c r="AG1454" s="63"/>
      <c r="AH1454" s="63"/>
      <c r="AI1454" s="74"/>
      <c r="AJ1454" s="156"/>
      <c r="AK1454" s="74"/>
      <c r="AL1454" s="156"/>
      <c r="AM1454" s="74"/>
      <c r="AN1454" s="156"/>
      <c r="AO1454" s="74"/>
      <c r="AP1454" s="363"/>
      <c r="AQ1454" s="363"/>
      <c r="AR1454" s="363"/>
      <c r="AS1454" s="74"/>
      <c r="AT1454" s="74"/>
      <c r="AU1454" s="74"/>
      <c r="AV1454" s="74"/>
      <c r="AW1454" s="74"/>
      <c r="AX1454" s="74"/>
      <c r="AY1454" s="74"/>
      <c r="AZ1454" s="74"/>
      <c r="BA1454" s="74"/>
      <c r="BB1454" s="74"/>
      <c r="BC1454" s="170"/>
      <c r="BD1454" s="156"/>
      <c r="BE1454" s="156"/>
      <c r="BF1454" s="299"/>
      <c r="BG1454" s="74"/>
      <c r="BH1454" s="74"/>
      <c r="BI1454" s="74"/>
      <c r="BJ1454" s="74"/>
      <c r="BK1454" s="74"/>
      <c r="BL1454" s="74"/>
      <c r="BM1454" s="74"/>
      <c r="BN1454" s="74"/>
      <c r="BO1454" s="74"/>
      <c r="BP1454" s="74"/>
      <c r="BQ1454" s="74"/>
      <c r="BR1454" s="74"/>
      <c r="BS1454" s="74"/>
      <c r="BT1454" s="74"/>
      <c r="BU1454" s="74"/>
      <c r="BV1454" s="74"/>
      <c r="BW1454" s="74"/>
      <c r="BX1454" s="74"/>
      <c r="BY1454" s="63"/>
      <c r="BZ1454" s="63"/>
    </row>
    <row r="1455" ht="15.75" customHeight="1">
      <c r="A1455" s="201"/>
      <c r="B1455" s="74"/>
      <c r="C1455" s="74"/>
      <c r="D1455" s="74"/>
      <c r="E1455" s="156"/>
      <c r="F1455" s="78">
        <v>0.0</v>
      </c>
      <c r="G1455" s="44" t="str">
        <f t="shared" si="35"/>
        <v>$0 a $100'000.000</v>
      </c>
      <c r="H1455" s="44"/>
      <c r="I1455" s="44"/>
      <c r="J1455" s="74"/>
      <c r="K1455" s="359"/>
      <c r="L1455" s="74"/>
      <c r="M1455" s="74"/>
      <c r="N1455" s="74"/>
      <c r="O1455" s="74"/>
      <c r="P1455" s="74"/>
      <c r="Q1455" s="74"/>
      <c r="R1455" s="362"/>
      <c r="S1455" s="56" t="str">
        <f t="shared" si="36"/>
        <v> </v>
      </c>
      <c r="T1455" s="74"/>
      <c r="U1455" s="359"/>
      <c r="V1455" s="74"/>
      <c r="W1455" s="74"/>
      <c r="X1455" s="74"/>
      <c r="Y1455" s="74"/>
      <c r="Z1455" s="364"/>
      <c r="AA1455" s="59" t="str">
        <f>IF(Rentabilidad=0,"No aplica",TEXT(ROUND(Precio/Rentabilidad/12,0),0) &amp; " años")</f>
        <v>No aplica</v>
      </c>
      <c r="AB1455" s="360"/>
      <c r="AC1455" s="61"/>
      <c r="AD1455" s="62"/>
      <c r="AE1455" s="63"/>
      <c r="AF1455" s="156"/>
      <c r="AG1455" s="63"/>
      <c r="AH1455" s="63"/>
      <c r="AI1455" s="74"/>
      <c r="AJ1455" s="156"/>
      <c r="AK1455" s="74"/>
      <c r="AL1455" s="156"/>
      <c r="AM1455" s="74"/>
      <c r="AN1455" s="156"/>
      <c r="AO1455" s="74"/>
      <c r="AP1455" s="363"/>
      <c r="AQ1455" s="363"/>
      <c r="AR1455" s="363"/>
      <c r="AS1455" s="74"/>
      <c r="AT1455" s="74"/>
      <c r="AU1455" s="74"/>
      <c r="AV1455" s="74"/>
      <c r="AW1455" s="74"/>
      <c r="AX1455" s="74"/>
      <c r="AY1455" s="74"/>
      <c r="AZ1455" s="74"/>
      <c r="BA1455" s="74"/>
      <c r="BB1455" s="74"/>
      <c r="BC1455" s="170"/>
      <c r="BD1455" s="156"/>
      <c r="BE1455" s="156"/>
      <c r="BF1455" s="299"/>
      <c r="BG1455" s="74"/>
      <c r="BH1455" s="74"/>
      <c r="BI1455" s="74"/>
      <c r="BJ1455" s="74"/>
      <c r="BK1455" s="74"/>
      <c r="BL1455" s="74"/>
      <c r="BM1455" s="74"/>
      <c r="BN1455" s="74"/>
      <c r="BO1455" s="74"/>
      <c r="BP1455" s="74"/>
      <c r="BQ1455" s="74"/>
      <c r="BR1455" s="74"/>
      <c r="BS1455" s="74"/>
      <c r="BT1455" s="74"/>
      <c r="BU1455" s="74"/>
      <c r="BV1455" s="74"/>
      <c r="BW1455" s="74"/>
      <c r="BX1455" s="74"/>
      <c r="BY1455" s="63"/>
      <c r="BZ1455" s="63"/>
    </row>
    <row r="1456" ht="15.75" customHeight="1">
      <c r="A1456" s="201"/>
      <c r="B1456" s="74"/>
      <c r="C1456" s="74"/>
      <c r="D1456" s="74"/>
      <c r="E1456" s="156"/>
      <c r="F1456" s="78">
        <v>0.0</v>
      </c>
      <c r="G1456" s="44" t="str">
        <f t="shared" si="35"/>
        <v>$0 a $100'000.000</v>
      </c>
      <c r="H1456" s="44"/>
      <c r="I1456" s="44"/>
      <c r="J1456" s="74"/>
      <c r="K1456" s="359"/>
      <c r="L1456" s="74"/>
      <c r="M1456" s="74"/>
      <c r="N1456" s="74"/>
      <c r="O1456" s="74"/>
      <c r="P1456" s="74"/>
      <c r="Q1456" s="74"/>
      <c r="R1456" s="362"/>
      <c r="S1456" s="56" t="str">
        <f t="shared" si="36"/>
        <v> </v>
      </c>
      <c r="T1456" s="74"/>
      <c r="U1456" s="359"/>
      <c r="V1456" s="74"/>
      <c r="W1456" s="74"/>
      <c r="X1456" s="74"/>
      <c r="Y1456" s="74"/>
      <c r="Z1456" s="364"/>
      <c r="AA1456" s="59" t="str">
        <f>IF(Rentabilidad=0,"No aplica",TEXT(ROUND(Precio/Rentabilidad/12,0),0) &amp; " años")</f>
        <v>No aplica</v>
      </c>
      <c r="AB1456" s="360"/>
      <c r="AC1456" s="61"/>
      <c r="AD1456" s="62"/>
      <c r="AE1456" s="63"/>
      <c r="AF1456" s="156"/>
      <c r="AG1456" s="63"/>
      <c r="AH1456" s="63"/>
      <c r="AI1456" s="74"/>
      <c r="AJ1456" s="156"/>
      <c r="AK1456" s="74"/>
      <c r="AL1456" s="156"/>
      <c r="AM1456" s="74"/>
      <c r="AN1456" s="156"/>
      <c r="AO1456" s="74"/>
      <c r="AP1456" s="363"/>
      <c r="AQ1456" s="363"/>
      <c r="AR1456" s="363"/>
      <c r="AS1456" s="74"/>
      <c r="AT1456" s="74"/>
      <c r="AU1456" s="74"/>
      <c r="AV1456" s="74"/>
      <c r="AW1456" s="74"/>
      <c r="AX1456" s="74"/>
      <c r="AY1456" s="74"/>
      <c r="AZ1456" s="74"/>
      <c r="BA1456" s="74"/>
      <c r="BB1456" s="74"/>
      <c r="BC1456" s="170"/>
      <c r="BD1456" s="156"/>
      <c r="BE1456" s="156"/>
      <c r="BF1456" s="299"/>
      <c r="BG1456" s="74"/>
      <c r="BH1456" s="74"/>
      <c r="BI1456" s="74"/>
      <c r="BJ1456" s="74"/>
      <c r="BK1456" s="74"/>
      <c r="BL1456" s="74"/>
      <c r="BM1456" s="74"/>
      <c r="BN1456" s="74"/>
      <c r="BO1456" s="74"/>
      <c r="BP1456" s="74"/>
      <c r="BQ1456" s="74"/>
      <c r="BR1456" s="74"/>
      <c r="BS1456" s="74"/>
      <c r="BT1456" s="74"/>
      <c r="BU1456" s="74"/>
      <c r="BV1456" s="74"/>
      <c r="BW1456" s="74"/>
      <c r="BX1456" s="74"/>
      <c r="BY1456" s="63"/>
      <c r="BZ1456" s="63"/>
    </row>
    <row r="1457" ht="15.75" customHeight="1">
      <c r="A1457" s="201"/>
      <c r="B1457" s="74"/>
      <c r="C1457" s="74"/>
      <c r="D1457" s="74"/>
      <c r="E1457" s="156"/>
      <c r="F1457" s="78">
        <v>0.0</v>
      </c>
      <c r="G1457" s="44" t="str">
        <f t="shared" si="35"/>
        <v>$0 a $100'000.000</v>
      </c>
      <c r="H1457" s="44"/>
      <c r="I1457" s="44"/>
      <c r="J1457" s="74"/>
      <c r="K1457" s="359"/>
      <c r="L1457" s="74"/>
      <c r="M1457" s="74"/>
      <c r="N1457" s="74"/>
      <c r="O1457" s="74"/>
      <c r="P1457" s="74"/>
      <c r="Q1457" s="74"/>
      <c r="R1457" s="362"/>
      <c r="S1457" s="56" t="str">
        <f t="shared" si="36"/>
        <v> </v>
      </c>
      <c r="T1457" s="74"/>
      <c r="U1457" s="359"/>
      <c r="V1457" s="74"/>
      <c r="W1457" s="74"/>
      <c r="X1457" s="74"/>
      <c r="Y1457" s="74"/>
      <c r="Z1457" s="364"/>
      <c r="AA1457" s="59" t="str">
        <f>IF(Rentabilidad=0,"No aplica",TEXT(ROUND(Precio/Rentabilidad/12,0),0) &amp; " años")</f>
        <v>No aplica</v>
      </c>
      <c r="AB1457" s="360"/>
      <c r="AC1457" s="61"/>
      <c r="AD1457" s="62"/>
      <c r="AE1457" s="63"/>
      <c r="AF1457" s="156"/>
      <c r="AG1457" s="63"/>
      <c r="AH1457" s="63"/>
      <c r="AI1457" s="74"/>
      <c r="AJ1457" s="156"/>
      <c r="AK1457" s="74"/>
      <c r="AL1457" s="156"/>
      <c r="AM1457" s="74"/>
      <c r="AN1457" s="156"/>
      <c r="AO1457" s="74"/>
      <c r="AP1457" s="363"/>
      <c r="AQ1457" s="363"/>
      <c r="AR1457" s="363"/>
      <c r="AS1457" s="74"/>
      <c r="AT1457" s="74"/>
      <c r="AU1457" s="74"/>
      <c r="AV1457" s="74"/>
      <c r="AW1457" s="74"/>
      <c r="AX1457" s="74"/>
      <c r="AY1457" s="74"/>
      <c r="AZ1457" s="74"/>
      <c r="BA1457" s="74"/>
      <c r="BB1457" s="74"/>
      <c r="BC1457" s="170"/>
      <c r="BD1457" s="156"/>
      <c r="BE1457" s="156"/>
      <c r="BF1457" s="299"/>
      <c r="BG1457" s="74"/>
      <c r="BH1457" s="74"/>
      <c r="BI1457" s="74"/>
      <c r="BJ1457" s="74"/>
      <c r="BK1457" s="74"/>
      <c r="BL1457" s="74"/>
      <c r="BM1457" s="74"/>
      <c r="BN1457" s="74"/>
      <c r="BO1457" s="74"/>
      <c r="BP1457" s="74"/>
      <c r="BQ1457" s="74"/>
      <c r="BR1457" s="74"/>
      <c r="BS1457" s="74"/>
      <c r="BT1457" s="74"/>
      <c r="BU1457" s="74"/>
      <c r="BV1457" s="74"/>
      <c r="BW1457" s="74"/>
      <c r="BX1457" s="74"/>
      <c r="BY1457" s="63"/>
      <c r="BZ1457" s="63"/>
    </row>
    <row r="1458" ht="15.75" customHeight="1">
      <c r="A1458" s="201"/>
      <c r="B1458" s="74"/>
      <c r="C1458" s="74"/>
      <c r="D1458" s="74"/>
      <c r="E1458" s="156"/>
      <c r="F1458" s="78">
        <v>0.0</v>
      </c>
      <c r="G1458" s="44" t="str">
        <f t="shared" si="35"/>
        <v>$0 a $100'000.000</v>
      </c>
      <c r="H1458" s="44"/>
      <c r="I1458" s="44"/>
      <c r="J1458" s="74"/>
      <c r="K1458" s="359"/>
      <c r="L1458" s="74"/>
      <c r="M1458" s="74"/>
      <c r="N1458" s="74"/>
      <c r="O1458" s="74"/>
      <c r="P1458" s="74"/>
      <c r="Q1458" s="74"/>
      <c r="R1458" s="362"/>
      <c r="S1458" s="56" t="str">
        <f t="shared" si="36"/>
        <v> </v>
      </c>
      <c r="T1458" s="74"/>
      <c r="U1458" s="359"/>
      <c r="V1458" s="74"/>
      <c r="W1458" s="74"/>
      <c r="X1458" s="74"/>
      <c r="Y1458" s="74"/>
      <c r="Z1458" s="364"/>
      <c r="AA1458" s="59" t="str">
        <f>IF(Rentabilidad=0,"No aplica",TEXT(ROUND(Precio/Rentabilidad/12,0),0) &amp; " años")</f>
        <v>No aplica</v>
      </c>
      <c r="AB1458" s="360"/>
      <c r="AC1458" s="61"/>
      <c r="AD1458" s="62"/>
      <c r="AE1458" s="63"/>
      <c r="AF1458" s="156"/>
      <c r="AG1458" s="63"/>
      <c r="AH1458" s="63"/>
      <c r="AI1458" s="74"/>
      <c r="AJ1458" s="156"/>
      <c r="AK1458" s="74"/>
      <c r="AL1458" s="156"/>
      <c r="AM1458" s="74"/>
      <c r="AN1458" s="156"/>
      <c r="AO1458" s="74"/>
      <c r="AP1458" s="363"/>
      <c r="AQ1458" s="363"/>
      <c r="AR1458" s="363"/>
      <c r="AS1458" s="74"/>
      <c r="AT1458" s="74"/>
      <c r="AU1458" s="74"/>
      <c r="AV1458" s="74"/>
      <c r="AW1458" s="74"/>
      <c r="AX1458" s="74"/>
      <c r="AY1458" s="74"/>
      <c r="AZ1458" s="74"/>
      <c r="BA1458" s="74"/>
      <c r="BB1458" s="74"/>
      <c r="BC1458" s="170"/>
      <c r="BD1458" s="156"/>
      <c r="BE1458" s="156"/>
      <c r="BF1458" s="299"/>
      <c r="BG1458" s="74"/>
      <c r="BH1458" s="74"/>
      <c r="BI1458" s="74"/>
      <c r="BJ1458" s="74"/>
      <c r="BK1458" s="74"/>
      <c r="BL1458" s="74"/>
      <c r="BM1458" s="74"/>
      <c r="BN1458" s="74"/>
      <c r="BO1458" s="74"/>
      <c r="BP1458" s="74"/>
      <c r="BQ1458" s="74"/>
      <c r="BR1458" s="74"/>
      <c r="BS1458" s="74"/>
      <c r="BT1458" s="74"/>
      <c r="BU1458" s="74"/>
      <c r="BV1458" s="74"/>
      <c r="BW1458" s="74"/>
      <c r="BX1458" s="74"/>
      <c r="BY1458" s="63"/>
      <c r="BZ1458" s="63"/>
    </row>
    <row r="1459" ht="15.75" customHeight="1">
      <c r="A1459" s="201"/>
      <c r="B1459" s="74"/>
      <c r="C1459" s="74"/>
      <c r="D1459" s="74"/>
      <c r="E1459" s="156"/>
      <c r="F1459" s="78">
        <v>0.0</v>
      </c>
      <c r="G1459" s="44" t="str">
        <f t="shared" si="35"/>
        <v>$0 a $100'000.000</v>
      </c>
      <c r="H1459" s="44"/>
      <c r="I1459" s="44"/>
      <c r="J1459" s="74"/>
      <c r="K1459" s="359"/>
      <c r="L1459" s="74"/>
      <c r="M1459" s="74"/>
      <c r="N1459" s="74"/>
      <c r="O1459" s="74"/>
      <c r="P1459" s="74"/>
      <c r="Q1459" s="74"/>
      <c r="R1459" s="362"/>
      <c r="S1459" s="56" t="str">
        <f t="shared" si="36"/>
        <v> </v>
      </c>
      <c r="T1459" s="74"/>
      <c r="U1459" s="359"/>
      <c r="V1459" s="74"/>
      <c r="W1459" s="74"/>
      <c r="X1459" s="74"/>
      <c r="Y1459" s="74"/>
      <c r="Z1459" s="364"/>
      <c r="AA1459" s="59" t="str">
        <f>IF(Rentabilidad=0,"No aplica",TEXT(ROUND(Precio/Rentabilidad/12,0),0) &amp; " años")</f>
        <v>No aplica</v>
      </c>
      <c r="AB1459" s="360"/>
      <c r="AC1459" s="61"/>
      <c r="AD1459" s="62"/>
      <c r="AE1459" s="63"/>
      <c r="AF1459" s="156"/>
      <c r="AG1459" s="63"/>
      <c r="AH1459" s="63"/>
      <c r="AI1459" s="74"/>
      <c r="AJ1459" s="156"/>
      <c r="AK1459" s="74"/>
      <c r="AL1459" s="156"/>
      <c r="AM1459" s="74"/>
      <c r="AN1459" s="156"/>
      <c r="AO1459" s="74"/>
      <c r="AP1459" s="363"/>
      <c r="AQ1459" s="363"/>
      <c r="AR1459" s="363"/>
      <c r="AS1459" s="74"/>
      <c r="AT1459" s="74"/>
      <c r="AU1459" s="74"/>
      <c r="AV1459" s="74"/>
      <c r="AW1459" s="74"/>
      <c r="AX1459" s="74"/>
      <c r="AY1459" s="74"/>
      <c r="AZ1459" s="74"/>
      <c r="BA1459" s="74"/>
      <c r="BB1459" s="74"/>
      <c r="BC1459" s="170"/>
      <c r="BD1459" s="156"/>
      <c r="BE1459" s="156"/>
      <c r="BF1459" s="299"/>
      <c r="BG1459" s="74"/>
      <c r="BH1459" s="74"/>
      <c r="BI1459" s="74"/>
      <c r="BJ1459" s="74"/>
      <c r="BK1459" s="74"/>
      <c r="BL1459" s="74"/>
      <c r="BM1459" s="74"/>
      <c r="BN1459" s="74"/>
      <c r="BO1459" s="74"/>
      <c r="BP1459" s="74"/>
      <c r="BQ1459" s="74"/>
      <c r="BR1459" s="74"/>
      <c r="BS1459" s="74"/>
      <c r="BT1459" s="74"/>
      <c r="BU1459" s="74"/>
      <c r="BV1459" s="74"/>
      <c r="BW1459" s="74"/>
      <c r="BX1459" s="74"/>
      <c r="BY1459" s="63"/>
      <c r="BZ1459" s="63"/>
    </row>
    <row r="1460" ht="15.75" customHeight="1">
      <c r="A1460" s="201"/>
      <c r="B1460" s="74"/>
      <c r="C1460" s="74"/>
      <c r="D1460" s="74"/>
      <c r="E1460" s="156"/>
      <c r="F1460" s="78">
        <v>0.0</v>
      </c>
      <c r="G1460" s="44" t="str">
        <f t="shared" si="35"/>
        <v>$0 a $100'000.000</v>
      </c>
      <c r="H1460" s="44"/>
      <c r="I1460" s="44"/>
      <c r="J1460" s="74"/>
      <c r="K1460" s="359"/>
      <c r="L1460" s="74"/>
      <c r="M1460" s="74"/>
      <c r="N1460" s="74"/>
      <c r="O1460" s="74"/>
      <c r="P1460" s="74"/>
      <c r="Q1460" s="74"/>
      <c r="R1460" s="362"/>
      <c r="S1460" s="56" t="str">
        <f t="shared" si="36"/>
        <v> </v>
      </c>
      <c r="T1460" s="74"/>
      <c r="U1460" s="359"/>
      <c r="V1460" s="74"/>
      <c r="W1460" s="74"/>
      <c r="X1460" s="74"/>
      <c r="Y1460" s="74"/>
      <c r="Z1460" s="364"/>
      <c r="AA1460" s="59" t="str">
        <f>IF(Rentabilidad=0,"No aplica",TEXT(ROUND(Precio/Rentabilidad/12,0),0) &amp; " años")</f>
        <v>No aplica</v>
      </c>
      <c r="AB1460" s="360"/>
      <c r="AC1460" s="61"/>
      <c r="AD1460" s="62"/>
      <c r="AE1460" s="63"/>
      <c r="AF1460" s="156"/>
      <c r="AG1460" s="63"/>
      <c r="AH1460" s="63"/>
      <c r="AI1460" s="74"/>
      <c r="AJ1460" s="156"/>
      <c r="AK1460" s="74"/>
      <c r="AL1460" s="156"/>
      <c r="AM1460" s="74"/>
      <c r="AN1460" s="156"/>
      <c r="AO1460" s="74"/>
      <c r="AP1460" s="363"/>
      <c r="AQ1460" s="363"/>
      <c r="AR1460" s="363"/>
      <c r="AS1460" s="74"/>
      <c r="AT1460" s="74"/>
      <c r="AU1460" s="74"/>
      <c r="AV1460" s="74"/>
      <c r="AW1460" s="74"/>
      <c r="AX1460" s="74"/>
      <c r="AY1460" s="74"/>
      <c r="AZ1460" s="74"/>
      <c r="BA1460" s="74"/>
      <c r="BB1460" s="74"/>
      <c r="BC1460" s="170"/>
      <c r="BD1460" s="156"/>
      <c r="BE1460" s="156"/>
      <c r="BF1460" s="299"/>
      <c r="BG1460" s="74"/>
      <c r="BH1460" s="74"/>
      <c r="BI1460" s="74"/>
      <c r="BJ1460" s="74"/>
      <c r="BK1460" s="74"/>
      <c r="BL1460" s="74"/>
      <c r="BM1460" s="74"/>
      <c r="BN1460" s="74"/>
      <c r="BO1460" s="74"/>
      <c r="BP1460" s="74"/>
      <c r="BQ1460" s="74"/>
      <c r="BR1460" s="74"/>
      <c r="BS1460" s="74"/>
      <c r="BT1460" s="74"/>
      <c r="BU1460" s="74"/>
      <c r="BV1460" s="74"/>
      <c r="BW1460" s="74"/>
      <c r="BX1460" s="74"/>
      <c r="BY1460" s="63"/>
      <c r="BZ1460" s="63"/>
    </row>
    <row r="1461" ht="15.75" customHeight="1">
      <c r="A1461" s="201"/>
      <c r="B1461" s="74"/>
      <c r="C1461" s="74"/>
      <c r="D1461" s="74"/>
      <c r="E1461" s="156"/>
      <c r="F1461" s="78">
        <v>0.0</v>
      </c>
      <c r="G1461" s="44" t="str">
        <f t="shared" si="35"/>
        <v>$0 a $100'000.000</v>
      </c>
      <c r="H1461" s="44"/>
      <c r="I1461" s="44"/>
      <c r="J1461" s="74"/>
      <c r="K1461" s="359"/>
      <c r="L1461" s="74"/>
      <c r="M1461" s="74"/>
      <c r="N1461" s="74"/>
      <c r="O1461" s="74"/>
      <c r="P1461" s="74"/>
      <c r="Q1461" s="74"/>
      <c r="R1461" s="362"/>
      <c r="S1461" s="56" t="str">
        <f t="shared" si="36"/>
        <v> </v>
      </c>
      <c r="T1461" s="74"/>
      <c r="U1461" s="359"/>
      <c r="V1461" s="74"/>
      <c r="W1461" s="74"/>
      <c r="X1461" s="74"/>
      <c r="Y1461" s="74"/>
      <c r="Z1461" s="364"/>
      <c r="AA1461" s="59" t="str">
        <f>IF(Rentabilidad=0,"No aplica",TEXT(ROUND(Precio/Rentabilidad/12,0),0) &amp; " años")</f>
        <v>No aplica</v>
      </c>
      <c r="AB1461" s="360"/>
      <c r="AC1461" s="61"/>
      <c r="AD1461" s="62"/>
      <c r="AE1461" s="63"/>
      <c r="AF1461" s="156"/>
      <c r="AG1461" s="63"/>
      <c r="AH1461" s="63"/>
      <c r="AI1461" s="74"/>
      <c r="AJ1461" s="156"/>
      <c r="AK1461" s="74"/>
      <c r="AL1461" s="156"/>
      <c r="AM1461" s="74"/>
      <c r="AN1461" s="156"/>
      <c r="AO1461" s="74"/>
      <c r="AP1461" s="363"/>
      <c r="AQ1461" s="363"/>
      <c r="AR1461" s="363"/>
      <c r="AS1461" s="74"/>
      <c r="AT1461" s="74"/>
      <c r="AU1461" s="74"/>
      <c r="AV1461" s="74"/>
      <c r="AW1461" s="74"/>
      <c r="AX1461" s="74"/>
      <c r="AY1461" s="74"/>
      <c r="AZ1461" s="74"/>
      <c r="BA1461" s="74"/>
      <c r="BB1461" s="74"/>
      <c r="BC1461" s="170"/>
      <c r="BD1461" s="156"/>
      <c r="BE1461" s="156"/>
      <c r="BF1461" s="299"/>
      <c r="BG1461" s="74"/>
      <c r="BH1461" s="74"/>
      <c r="BI1461" s="74"/>
      <c r="BJ1461" s="74"/>
      <c r="BK1461" s="74"/>
      <c r="BL1461" s="74"/>
      <c r="BM1461" s="74"/>
      <c r="BN1461" s="74"/>
      <c r="BO1461" s="74"/>
      <c r="BP1461" s="74"/>
      <c r="BQ1461" s="74"/>
      <c r="BR1461" s="74"/>
      <c r="BS1461" s="74"/>
      <c r="BT1461" s="74"/>
      <c r="BU1461" s="74"/>
      <c r="BV1461" s="74"/>
      <c r="BW1461" s="74"/>
      <c r="BX1461" s="74"/>
      <c r="BY1461" s="63"/>
      <c r="BZ1461" s="63"/>
    </row>
    <row r="1462" ht="15.75" customHeight="1">
      <c r="A1462" s="201"/>
      <c r="B1462" s="74"/>
      <c r="C1462" s="74"/>
      <c r="D1462" s="74"/>
      <c r="E1462" s="156"/>
      <c r="F1462" s="78">
        <v>0.0</v>
      </c>
      <c r="G1462" s="44" t="str">
        <f t="shared" si="35"/>
        <v>$0 a $100'000.000</v>
      </c>
      <c r="H1462" s="44"/>
      <c r="I1462" s="44"/>
      <c r="J1462" s="74"/>
      <c r="K1462" s="359"/>
      <c r="L1462" s="74"/>
      <c r="M1462" s="74"/>
      <c r="N1462" s="74"/>
      <c r="O1462" s="74"/>
      <c r="P1462" s="74"/>
      <c r="Q1462" s="74"/>
      <c r="R1462" s="362"/>
      <c r="S1462" s="56" t="str">
        <f t="shared" si="36"/>
        <v> </v>
      </c>
      <c r="T1462" s="74"/>
      <c r="U1462" s="359"/>
      <c r="V1462" s="74"/>
      <c r="W1462" s="74"/>
      <c r="X1462" s="74"/>
      <c r="Y1462" s="74"/>
      <c r="Z1462" s="364"/>
      <c r="AA1462" s="59" t="str">
        <f>IF(Rentabilidad=0,"No aplica",TEXT(ROUND(Precio/Rentabilidad/12,0),0) &amp; " años")</f>
        <v>No aplica</v>
      </c>
      <c r="AB1462" s="360"/>
      <c r="AC1462" s="61"/>
      <c r="AD1462" s="62"/>
      <c r="AE1462" s="63"/>
      <c r="AF1462" s="156"/>
      <c r="AG1462" s="63"/>
      <c r="AH1462" s="63"/>
      <c r="AI1462" s="74"/>
      <c r="AJ1462" s="156"/>
      <c r="AK1462" s="74"/>
      <c r="AL1462" s="156"/>
      <c r="AM1462" s="74"/>
      <c r="AN1462" s="156"/>
      <c r="AO1462" s="74"/>
      <c r="AP1462" s="363"/>
      <c r="AQ1462" s="363"/>
      <c r="AR1462" s="363"/>
      <c r="AS1462" s="74"/>
      <c r="AT1462" s="74"/>
      <c r="AU1462" s="74"/>
      <c r="AV1462" s="74"/>
      <c r="AW1462" s="74"/>
      <c r="AX1462" s="74"/>
      <c r="AY1462" s="74"/>
      <c r="AZ1462" s="74"/>
      <c r="BA1462" s="74"/>
      <c r="BB1462" s="74"/>
      <c r="BC1462" s="170"/>
      <c r="BD1462" s="156"/>
      <c r="BE1462" s="156"/>
      <c r="BF1462" s="299"/>
      <c r="BG1462" s="74"/>
      <c r="BH1462" s="74"/>
      <c r="BI1462" s="74"/>
      <c r="BJ1462" s="74"/>
      <c r="BK1462" s="74"/>
      <c r="BL1462" s="74"/>
      <c r="BM1462" s="74"/>
      <c r="BN1462" s="74"/>
      <c r="BO1462" s="74"/>
      <c r="BP1462" s="74"/>
      <c r="BQ1462" s="74"/>
      <c r="BR1462" s="74"/>
      <c r="BS1462" s="74"/>
      <c r="BT1462" s="74"/>
      <c r="BU1462" s="74"/>
      <c r="BV1462" s="74"/>
      <c r="BW1462" s="74"/>
      <c r="BX1462" s="74"/>
      <c r="BY1462" s="63"/>
      <c r="BZ1462" s="63"/>
    </row>
    <row r="1463" ht="15.75" customHeight="1">
      <c r="A1463" s="201"/>
      <c r="B1463" s="74"/>
      <c r="C1463" s="74"/>
      <c r="D1463" s="74"/>
      <c r="E1463" s="156"/>
      <c r="F1463" s="78">
        <v>0.0</v>
      </c>
      <c r="G1463" s="44" t="str">
        <f t="shared" si="35"/>
        <v>$0 a $100'000.000</v>
      </c>
      <c r="H1463" s="44"/>
      <c r="I1463" s="44"/>
      <c r="J1463" s="74"/>
      <c r="K1463" s="359"/>
      <c r="L1463" s="74"/>
      <c r="M1463" s="74"/>
      <c r="N1463" s="74"/>
      <c r="O1463" s="74"/>
      <c r="P1463" s="74"/>
      <c r="Q1463" s="74"/>
      <c r="R1463" s="362"/>
      <c r="S1463" s="56" t="str">
        <f t="shared" si="36"/>
        <v> </v>
      </c>
      <c r="T1463" s="74"/>
      <c r="U1463" s="359"/>
      <c r="V1463" s="74"/>
      <c r="W1463" s="74"/>
      <c r="X1463" s="74"/>
      <c r="Y1463" s="74"/>
      <c r="Z1463" s="364"/>
      <c r="AA1463" s="59" t="str">
        <f>IF(Rentabilidad=0,"No aplica",TEXT(ROUND(Precio/Rentabilidad/12,0),0) &amp; " años")</f>
        <v>No aplica</v>
      </c>
      <c r="AB1463" s="360"/>
      <c r="AC1463" s="61"/>
      <c r="AD1463" s="62"/>
      <c r="AE1463" s="63"/>
      <c r="AF1463" s="156"/>
      <c r="AG1463" s="63"/>
      <c r="AH1463" s="63"/>
      <c r="AI1463" s="74"/>
      <c r="AJ1463" s="156"/>
      <c r="AK1463" s="74"/>
      <c r="AL1463" s="156"/>
      <c r="AM1463" s="74"/>
      <c r="AN1463" s="156"/>
      <c r="AO1463" s="74"/>
      <c r="AP1463" s="363"/>
      <c r="AQ1463" s="363"/>
      <c r="AR1463" s="363"/>
      <c r="AS1463" s="74"/>
      <c r="AT1463" s="74"/>
      <c r="AU1463" s="74"/>
      <c r="AV1463" s="74"/>
      <c r="AW1463" s="74"/>
      <c r="AX1463" s="74"/>
      <c r="AY1463" s="74"/>
      <c r="AZ1463" s="74"/>
      <c r="BA1463" s="74"/>
      <c r="BB1463" s="74"/>
      <c r="BC1463" s="170"/>
      <c r="BD1463" s="156"/>
      <c r="BE1463" s="156"/>
      <c r="BF1463" s="299"/>
      <c r="BG1463" s="74"/>
      <c r="BH1463" s="74"/>
      <c r="BI1463" s="74"/>
      <c r="BJ1463" s="74"/>
      <c r="BK1463" s="74"/>
      <c r="BL1463" s="74"/>
      <c r="BM1463" s="74"/>
      <c r="BN1463" s="74"/>
      <c r="BO1463" s="74"/>
      <c r="BP1463" s="74"/>
      <c r="BQ1463" s="74"/>
      <c r="BR1463" s="74"/>
      <c r="BS1463" s="74"/>
      <c r="BT1463" s="74"/>
      <c r="BU1463" s="74"/>
      <c r="BV1463" s="74"/>
      <c r="BW1463" s="74"/>
      <c r="BX1463" s="74"/>
      <c r="BY1463" s="63"/>
      <c r="BZ1463" s="63"/>
    </row>
    <row r="1464" ht="15.75" customHeight="1">
      <c r="A1464" s="201"/>
      <c r="B1464" s="74"/>
      <c r="C1464" s="74"/>
      <c r="D1464" s="74"/>
      <c r="E1464" s="156"/>
      <c r="F1464" s="78">
        <v>0.0</v>
      </c>
      <c r="G1464" s="44" t="str">
        <f t="shared" si="35"/>
        <v>$0 a $100'000.000</v>
      </c>
      <c r="H1464" s="44"/>
      <c r="I1464" s="44"/>
      <c r="J1464" s="74"/>
      <c r="K1464" s="359"/>
      <c r="L1464" s="74"/>
      <c r="M1464" s="74"/>
      <c r="N1464" s="74"/>
      <c r="O1464" s="74"/>
      <c r="P1464" s="74"/>
      <c r="Q1464" s="74"/>
      <c r="R1464" s="362"/>
      <c r="S1464" s="56" t="str">
        <f t="shared" si="36"/>
        <v> </v>
      </c>
      <c r="T1464" s="74"/>
      <c r="U1464" s="359"/>
      <c r="V1464" s="74"/>
      <c r="W1464" s="74"/>
      <c r="X1464" s="74"/>
      <c r="Y1464" s="74"/>
      <c r="Z1464" s="364"/>
      <c r="AA1464" s="59" t="str">
        <f>IF(Rentabilidad=0,"No aplica",TEXT(ROUND(Precio/Rentabilidad/12,0),0) &amp; " años")</f>
        <v>No aplica</v>
      </c>
      <c r="AB1464" s="360"/>
      <c r="AC1464" s="61"/>
      <c r="AD1464" s="62"/>
      <c r="AE1464" s="63"/>
      <c r="AF1464" s="156"/>
      <c r="AG1464" s="63"/>
      <c r="AH1464" s="63"/>
      <c r="AI1464" s="74"/>
      <c r="AJ1464" s="156"/>
      <c r="AK1464" s="74"/>
      <c r="AL1464" s="156"/>
      <c r="AM1464" s="74"/>
      <c r="AN1464" s="156"/>
      <c r="AO1464" s="74"/>
      <c r="AP1464" s="363"/>
      <c r="AQ1464" s="363"/>
      <c r="AR1464" s="363"/>
      <c r="AS1464" s="74"/>
      <c r="AT1464" s="74"/>
      <c r="AU1464" s="74"/>
      <c r="AV1464" s="74"/>
      <c r="AW1464" s="74"/>
      <c r="AX1464" s="74"/>
      <c r="AY1464" s="74"/>
      <c r="AZ1464" s="74"/>
      <c r="BA1464" s="74"/>
      <c r="BB1464" s="74"/>
      <c r="BC1464" s="170"/>
      <c r="BD1464" s="156"/>
      <c r="BE1464" s="156"/>
      <c r="BF1464" s="299"/>
      <c r="BG1464" s="74"/>
      <c r="BH1464" s="74"/>
      <c r="BI1464" s="74"/>
      <c r="BJ1464" s="74"/>
      <c r="BK1464" s="74"/>
      <c r="BL1464" s="74"/>
      <c r="BM1464" s="74"/>
      <c r="BN1464" s="74"/>
      <c r="BO1464" s="74"/>
      <c r="BP1464" s="74"/>
      <c r="BQ1464" s="74"/>
      <c r="BR1464" s="74"/>
      <c r="BS1464" s="74"/>
      <c r="BT1464" s="74"/>
      <c r="BU1464" s="74"/>
      <c r="BV1464" s="74"/>
      <c r="BW1464" s="74"/>
      <c r="BX1464" s="74"/>
      <c r="BY1464" s="63"/>
      <c r="BZ1464" s="63"/>
    </row>
    <row r="1465" ht="15.75" customHeight="1">
      <c r="A1465" s="201"/>
      <c r="B1465" s="74"/>
      <c r="C1465" s="74"/>
      <c r="D1465" s="74"/>
      <c r="E1465" s="156"/>
      <c r="F1465" s="78">
        <v>0.0</v>
      </c>
      <c r="G1465" s="44" t="str">
        <f t="shared" si="35"/>
        <v>$0 a $100'000.000</v>
      </c>
      <c r="H1465" s="44"/>
      <c r="I1465" s="44"/>
      <c r="J1465" s="74"/>
      <c r="K1465" s="359"/>
      <c r="L1465" s="74"/>
      <c r="M1465" s="74"/>
      <c r="N1465" s="74"/>
      <c r="O1465" s="74"/>
      <c r="P1465" s="74"/>
      <c r="Q1465" s="74"/>
      <c r="R1465" s="362"/>
      <c r="S1465" s="56" t="str">
        <f t="shared" si="36"/>
        <v> </v>
      </c>
      <c r="T1465" s="74"/>
      <c r="U1465" s="359"/>
      <c r="V1465" s="74"/>
      <c r="W1465" s="74"/>
      <c r="X1465" s="74"/>
      <c r="Y1465" s="74"/>
      <c r="Z1465" s="364"/>
      <c r="AA1465" s="59" t="str">
        <f>IF(Rentabilidad=0,"No aplica",TEXT(ROUND(Precio/Rentabilidad/12,0),0) &amp; " años")</f>
        <v>No aplica</v>
      </c>
      <c r="AB1465" s="360"/>
      <c r="AC1465" s="61"/>
      <c r="AD1465" s="62"/>
      <c r="AE1465" s="63"/>
      <c r="AF1465" s="156"/>
      <c r="AG1465" s="63"/>
      <c r="AH1465" s="63"/>
      <c r="AI1465" s="74"/>
      <c r="AJ1465" s="156"/>
      <c r="AK1465" s="74"/>
      <c r="AL1465" s="156"/>
      <c r="AM1465" s="74"/>
      <c r="AN1465" s="156"/>
      <c r="AO1465" s="74"/>
      <c r="AP1465" s="363"/>
      <c r="AQ1465" s="363"/>
      <c r="AR1465" s="363"/>
      <c r="AS1465" s="74"/>
      <c r="AT1465" s="74"/>
      <c r="AU1465" s="74"/>
      <c r="AV1465" s="74"/>
      <c r="AW1465" s="74"/>
      <c r="AX1465" s="74"/>
      <c r="AY1465" s="74"/>
      <c r="AZ1465" s="74"/>
      <c r="BA1465" s="74"/>
      <c r="BB1465" s="74"/>
      <c r="BC1465" s="170"/>
      <c r="BD1465" s="156"/>
      <c r="BE1465" s="156"/>
      <c r="BF1465" s="299"/>
      <c r="BG1465" s="74"/>
      <c r="BH1465" s="74"/>
      <c r="BI1465" s="74"/>
      <c r="BJ1465" s="74"/>
      <c r="BK1465" s="74"/>
      <c r="BL1465" s="74"/>
      <c r="BM1465" s="74"/>
      <c r="BN1465" s="74"/>
      <c r="BO1465" s="74"/>
      <c r="BP1465" s="74"/>
      <c r="BQ1465" s="74"/>
      <c r="BR1465" s="74"/>
      <c r="BS1465" s="74"/>
      <c r="BT1465" s="74"/>
      <c r="BU1465" s="74"/>
      <c r="BV1465" s="74"/>
      <c r="BW1465" s="74"/>
      <c r="BX1465" s="74"/>
      <c r="BY1465" s="63"/>
      <c r="BZ1465" s="63"/>
    </row>
    <row r="1466" ht="15.75" customHeight="1">
      <c r="A1466" s="201"/>
      <c r="B1466" s="74"/>
      <c r="C1466" s="74"/>
      <c r="D1466" s="74"/>
      <c r="E1466" s="156"/>
      <c r="F1466" s="78">
        <v>0.0</v>
      </c>
      <c r="G1466" s="44" t="str">
        <f t="shared" si="35"/>
        <v>$0 a $100'000.000</v>
      </c>
      <c r="H1466" s="44"/>
      <c r="I1466" s="44"/>
      <c r="J1466" s="74"/>
      <c r="K1466" s="359"/>
      <c r="L1466" s="74"/>
      <c r="M1466" s="74"/>
      <c r="N1466" s="74"/>
      <c r="O1466" s="74"/>
      <c r="P1466" s="74"/>
      <c r="Q1466" s="74"/>
      <c r="R1466" s="362"/>
      <c r="S1466" s="56" t="str">
        <f t="shared" si="36"/>
        <v> </v>
      </c>
      <c r="T1466" s="74"/>
      <c r="U1466" s="359"/>
      <c r="V1466" s="74"/>
      <c r="W1466" s="74"/>
      <c r="X1466" s="74"/>
      <c r="Y1466" s="74"/>
      <c r="Z1466" s="364"/>
      <c r="AA1466" s="59" t="str">
        <f>IF(Rentabilidad=0,"No aplica",TEXT(ROUND(Precio/Rentabilidad/12,0),0) &amp; " años")</f>
        <v>No aplica</v>
      </c>
      <c r="AB1466" s="360"/>
      <c r="AC1466" s="61"/>
      <c r="AD1466" s="62"/>
      <c r="AE1466" s="63"/>
      <c r="AF1466" s="156"/>
      <c r="AG1466" s="63"/>
      <c r="AH1466" s="63"/>
      <c r="AI1466" s="74"/>
      <c r="AJ1466" s="156"/>
      <c r="AK1466" s="74"/>
      <c r="AL1466" s="156"/>
      <c r="AM1466" s="74"/>
      <c r="AN1466" s="156"/>
      <c r="AO1466" s="74"/>
      <c r="AP1466" s="363"/>
      <c r="AQ1466" s="363"/>
      <c r="AR1466" s="363"/>
      <c r="AS1466" s="74"/>
      <c r="AT1466" s="74"/>
      <c r="AU1466" s="74"/>
      <c r="AV1466" s="74"/>
      <c r="AW1466" s="74"/>
      <c r="AX1466" s="74"/>
      <c r="AY1466" s="74"/>
      <c r="AZ1466" s="74"/>
      <c r="BA1466" s="74"/>
      <c r="BB1466" s="74"/>
      <c r="BC1466" s="170"/>
      <c r="BD1466" s="156"/>
      <c r="BE1466" s="156"/>
      <c r="BF1466" s="299"/>
      <c r="BG1466" s="74"/>
      <c r="BH1466" s="74"/>
      <c r="BI1466" s="74"/>
      <c r="BJ1466" s="74"/>
      <c r="BK1466" s="74"/>
      <c r="BL1466" s="74"/>
      <c r="BM1466" s="74"/>
      <c r="BN1466" s="74"/>
      <c r="BO1466" s="74"/>
      <c r="BP1466" s="74"/>
      <c r="BQ1466" s="74"/>
      <c r="BR1466" s="74"/>
      <c r="BS1466" s="74"/>
      <c r="BT1466" s="74"/>
      <c r="BU1466" s="74"/>
      <c r="BV1466" s="74"/>
      <c r="BW1466" s="74"/>
      <c r="BX1466" s="74"/>
      <c r="BY1466" s="63"/>
      <c r="BZ1466" s="63"/>
    </row>
    <row r="1467" ht="15.75" customHeight="1">
      <c r="A1467" s="75"/>
      <c r="B1467" s="50"/>
      <c r="C1467" s="50"/>
      <c r="D1467" s="50"/>
      <c r="E1467" s="77"/>
      <c r="F1467" s="78"/>
      <c r="G1467" s="44" t="str">
        <f t="shared" si="35"/>
        <v>$0 a $100'000.000</v>
      </c>
      <c r="H1467" s="44"/>
      <c r="I1467" s="44"/>
      <c r="J1467" s="50"/>
      <c r="K1467" s="51"/>
      <c r="L1467" s="50"/>
      <c r="M1467" s="50"/>
      <c r="N1467" s="50"/>
      <c r="O1467" s="50"/>
      <c r="P1467" s="50"/>
      <c r="Q1467" s="88"/>
      <c r="R1467" s="88"/>
      <c r="S1467" s="56"/>
      <c r="T1467" s="50"/>
      <c r="U1467" s="51"/>
      <c r="V1467" s="50"/>
      <c r="W1467" s="50"/>
      <c r="X1467" s="50"/>
      <c r="Y1467" s="50"/>
      <c r="Z1467" s="58"/>
      <c r="AA1467" s="59"/>
      <c r="AB1467" s="212"/>
      <c r="AE1467" s="63"/>
      <c r="AF1467" s="64"/>
      <c r="AG1467" s="65"/>
      <c r="AH1467" s="63"/>
      <c r="AI1467" s="65"/>
      <c r="AJ1467" s="64"/>
      <c r="AK1467" s="50"/>
      <c r="AL1467" s="45"/>
      <c r="AM1467" s="50"/>
      <c r="AN1467" s="64"/>
      <c r="AO1467" s="52"/>
      <c r="AP1467" s="84"/>
      <c r="AQ1467" s="84"/>
      <c r="AR1467" s="84"/>
      <c r="AS1467" s="85"/>
      <c r="AT1467" s="50"/>
      <c r="AU1467" s="50"/>
      <c r="AV1467" s="50"/>
      <c r="AW1467" s="50"/>
      <c r="AX1467" s="50"/>
      <c r="AY1467" s="50"/>
      <c r="AZ1467" s="44"/>
      <c r="BA1467" s="43"/>
      <c r="BB1467" s="44"/>
      <c r="BC1467" s="69"/>
      <c r="BD1467" s="70"/>
      <c r="BE1467" s="71"/>
      <c r="BF1467" s="130"/>
      <c r="BG1467" s="73"/>
      <c r="BH1467" s="73"/>
      <c r="BI1467" s="73"/>
      <c r="BJ1467" s="73"/>
      <c r="BK1467" s="73"/>
      <c r="BL1467" s="73"/>
      <c r="BM1467" s="73"/>
      <c r="BN1467" s="73"/>
      <c r="BO1467" s="73"/>
      <c r="BP1467" s="73"/>
      <c r="BQ1467" s="73"/>
      <c r="BR1467" s="73"/>
      <c r="BS1467" s="73"/>
      <c r="BT1467" s="73"/>
      <c r="BU1467" s="73"/>
      <c r="BV1467" s="73"/>
      <c r="BW1467" s="74"/>
      <c r="BX1467" s="74"/>
      <c r="BY1467" s="63"/>
      <c r="BZ1467" s="63"/>
    </row>
    <row r="1468" ht="15.75" customHeight="1">
      <c r="A1468" s="75"/>
      <c r="B1468" s="50"/>
      <c r="C1468" s="50"/>
      <c r="D1468" s="50"/>
      <c r="E1468" s="77"/>
      <c r="F1468" s="78"/>
      <c r="G1468" s="44" t="str">
        <f t="shared" si="35"/>
        <v>$0 a $100'000.000</v>
      </c>
      <c r="H1468" s="44"/>
      <c r="I1468" s="44"/>
      <c r="J1468" s="50"/>
      <c r="K1468" s="51"/>
      <c r="L1468" s="50"/>
      <c r="M1468" s="50"/>
      <c r="N1468" s="50"/>
      <c r="O1468" s="50"/>
      <c r="P1468" s="50"/>
      <c r="Q1468" s="88"/>
      <c r="R1468" s="88"/>
      <c r="S1468" s="56"/>
      <c r="T1468" s="50"/>
      <c r="U1468" s="51"/>
      <c r="V1468" s="50"/>
      <c r="W1468" s="50"/>
      <c r="X1468" s="50"/>
      <c r="Y1468" s="50"/>
      <c r="Z1468" s="58"/>
      <c r="AA1468" s="59"/>
      <c r="AB1468" s="212"/>
      <c r="AE1468" s="63"/>
      <c r="AF1468" s="64"/>
      <c r="AG1468" s="65"/>
      <c r="AH1468" s="63"/>
      <c r="AI1468" s="65"/>
      <c r="AJ1468" s="64"/>
      <c r="AK1468" s="50"/>
      <c r="AL1468" s="45"/>
      <c r="AM1468" s="50"/>
      <c r="AN1468" s="64"/>
      <c r="AO1468" s="52"/>
      <c r="AP1468" s="84"/>
      <c r="AQ1468" s="84"/>
      <c r="AR1468" s="84"/>
      <c r="AS1468" s="85"/>
      <c r="AT1468" s="50"/>
      <c r="AU1468" s="50"/>
      <c r="AV1468" s="50"/>
      <c r="AW1468" s="50"/>
      <c r="AX1468" s="50"/>
      <c r="AY1468" s="50"/>
      <c r="AZ1468" s="44"/>
      <c r="BA1468" s="43"/>
      <c r="BB1468" s="44"/>
      <c r="BC1468" s="69"/>
      <c r="BD1468" s="70"/>
      <c r="BE1468" s="71"/>
      <c r="BF1468" s="130"/>
      <c r="BG1468" s="73"/>
      <c r="BH1468" s="73"/>
      <c r="BI1468" s="73"/>
      <c r="BJ1468" s="73"/>
      <c r="BK1468" s="73"/>
      <c r="BL1468" s="73"/>
      <c r="BM1468" s="73"/>
      <c r="BN1468" s="73"/>
      <c r="BO1468" s="73"/>
      <c r="BP1468" s="73"/>
      <c r="BQ1468" s="73"/>
      <c r="BR1468" s="73"/>
      <c r="BS1468" s="73"/>
      <c r="BT1468" s="73"/>
      <c r="BU1468" s="73"/>
      <c r="BV1468" s="73"/>
      <c r="BW1468" s="74"/>
      <c r="BX1468" s="74"/>
      <c r="BY1468" s="63"/>
      <c r="BZ1468" s="63"/>
    </row>
    <row r="1469" ht="15.75" customHeight="1">
      <c r="A1469" s="75"/>
      <c r="B1469" s="50"/>
      <c r="C1469" s="50"/>
      <c r="D1469" s="50"/>
      <c r="E1469" s="77"/>
      <c r="F1469" s="78"/>
      <c r="G1469" s="44" t="str">
        <f t="shared" si="35"/>
        <v>$0 a $100'000.000</v>
      </c>
      <c r="H1469" s="44"/>
      <c r="I1469" s="44"/>
      <c r="J1469" s="50"/>
      <c r="K1469" s="51"/>
      <c r="L1469" s="50"/>
      <c r="M1469" s="50"/>
      <c r="N1469" s="50"/>
      <c r="O1469" s="50"/>
      <c r="P1469" s="50"/>
      <c r="Q1469" s="88"/>
      <c r="R1469" s="88"/>
      <c r="S1469" s="56"/>
      <c r="T1469" s="50"/>
      <c r="U1469" s="51"/>
      <c r="V1469" s="50"/>
      <c r="W1469" s="50"/>
      <c r="X1469" s="50"/>
      <c r="Y1469" s="50"/>
      <c r="Z1469" s="58"/>
      <c r="AA1469" s="59"/>
      <c r="AB1469" s="212"/>
      <c r="AE1469" s="63"/>
      <c r="AF1469" s="64"/>
      <c r="AG1469" s="65"/>
      <c r="AH1469" s="63"/>
      <c r="AI1469" s="65"/>
      <c r="AJ1469" s="64"/>
      <c r="AK1469" s="50"/>
      <c r="AL1469" s="45"/>
      <c r="AM1469" s="50"/>
      <c r="AN1469" s="64"/>
      <c r="AO1469" s="52"/>
      <c r="AP1469" s="84"/>
      <c r="AQ1469" s="84"/>
      <c r="AR1469" s="84"/>
      <c r="AS1469" s="85"/>
      <c r="AT1469" s="50"/>
      <c r="AU1469" s="50"/>
      <c r="AV1469" s="50"/>
      <c r="AW1469" s="50"/>
      <c r="AX1469" s="50"/>
      <c r="AY1469" s="50"/>
      <c r="AZ1469" s="44"/>
      <c r="BA1469" s="43"/>
      <c r="BB1469" s="44"/>
      <c r="BC1469" s="69"/>
      <c r="BD1469" s="70"/>
      <c r="BE1469" s="71"/>
      <c r="BF1469" s="130"/>
      <c r="BG1469" s="73"/>
      <c r="BH1469" s="73"/>
      <c r="BI1469" s="73"/>
      <c r="BJ1469" s="73"/>
      <c r="BK1469" s="73"/>
      <c r="BL1469" s="73"/>
      <c r="BM1469" s="73"/>
      <c r="BN1469" s="73"/>
      <c r="BO1469" s="73"/>
      <c r="BP1469" s="73"/>
      <c r="BQ1469" s="73"/>
      <c r="BR1469" s="73"/>
      <c r="BS1469" s="73"/>
      <c r="BT1469" s="73"/>
      <c r="BU1469" s="73"/>
      <c r="BV1469" s="73"/>
      <c r="BW1469" s="74"/>
      <c r="BX1469" s="74"/>
      <c r="BY1469" s="63"/>
      <c r="BZ1469" s="63"/>
    </row>
    <row r="1470" ht="15.75" customHeight="1">
      <c r="A1470" s="75"/>
      <c r="B1470" s="50"/>
      <c r="C1470" s="50"/>
      <c r="D1470" s="50"/>
      <c r="E1470" s="77"/>
      <c r="F1470" s="78"/>
      <c r="G1470" s="44" t="str">
        <f t="shared" si="35"/>
        <v>$0 a $100'000.000</v>
      </c>
      <c r="H1470" s="44"/>
      <c r="I1470" s="44"/>
      <c r="J1470" s="50"/>
      <c r="K1470" s="51"/>
      <c r="L1470" s="50"/>
      <c r="M1470" s="50"/>
      <c r="N1470" s="50"/>
      <c r="O1470" s="50"/>
      <c r="P1470" s="50"/>
      <c r="Q1470" s="88"/>
      <c r="R1470" s="88"/>
      <c r="S1470" s="56"/>
      <c r="T1470" s="50"/>
      <c r="U1470" s="51"/>
      <c r="V1470" s="50"/>
      <c r="W1470" s="50"/>
      <c r="X1470" s="50"/>
      <c r="Y1470" s="50"/>
      <c r="Z1470" s="58"/>
      <c r="AA1470" s="59"/>
      <c r="AB1470" s="212"/>
      <c r="AE1470" s="63"/>
      <c r="AF1470" s="64"/>
      <c r="AG1470" s="65"/>
      <c r="AH1470" s="63"/>
      <c r="AI1470" s="65"/>
      <c r="AJ1470" s="64"/>
      <c r="AK1470" s="50"/>
      <c r="AL1470" s="45"/>
      <c r="AM1470" s="50"/>
      <c r="AN1470" s="64"/>
      <c r="AO1470" s="52"/>
      <c r="AP1470" s="84"/>
      <c r="AQ1470" s="84"/>
      <c r="AR1470" s="84"/>
      <c r="AS1470" s="85"/>
      <c r="AT1470" s="50"/>
      <c r="AU1470" s="50"/>
      <c r="AV1470" s="50"/>
      <c r="AW1470" s="50"/>
      <c r="AX1470" s="50"/>
      <c r="AY1470" s="50"/>
      <c r="AZ1470" s="44"/>
      <c r="BA1470" s="43"/>
      <c r="BB1470" s="44"/>
      <c r="BC1470" s="69"/>
      <c r="BD1470" s="70"/>
      <c r="BE1470" s="71"/>
      <c r="BF1470" s="130"/>
      <c r="BG1470" s="73"/>
      <c r="BH1470" s="73"/>
      <c r="BI1470" s="73"/>
      <c r="BJ1470" s="73"/>
      <c r="BK1470" s="73"/>
      <c r="BL1470" s="73"/>
      <c r="BM1470" s="73"/>
      <c r="BN1470" s="73"/>
      <c r="BO1470" s="73"/>
      <c r="BP1470" s="73"/>
      <c r="BQ1470" s="73"/>
      <c r="BR1470" s="73"/>
      <c r="BS1470" s="73"/>
      <c r="BT1470" s="73"/>
      <c r="BU1470" s="73"/>
      <c r="BV1470" s="73"/>
      <c r="BW1470" s="74"/>
      <c r="BX1470" s="74"/>
      <c r="BY1470" s="63"/>
      <c r="BZ1470" s="63"/>
    </row>
    <row r="1471" ht="15.75" customHeight="1">
      <c r="A1471" s="75"/>
      <c r="B1471" s="50"/>
      <c r="C1471" s="50"/>
      <c r="D1471" s="50"/>
      <c r="E1471" s="77"/>
      <c r="F1471" s="78"/>
      <c r="G1471" s="44" t="str">
        <f t="shared" si="35"/>
        <v>$0 a $100'000.000</v>
      </c>
      <c r="H1471" s="44"/>
      <c r="I1471" s="44"/>
      <c r="J1471" s="50"/>
      <c r="K1471" s="51"/>
      <c r="L1471" s="50"/>
      <c r="M1471" s="50"/>
      <c r="N1471" s="50"/>
      <c r="O1471" s="50"/>
      <c r="P1471" s="50"/>
      <c r="Q1471" s="88"/>
      <c r="R1471" s="88"/>
      <c r="S1471" s="56"/>
      <c r="T1471" s="50"/>
      <c r="U1471" s="51"/>
      <c r="V1471" s="50"/>
      <c r="W1471" s="50"/>
      <c r="X1471" s="50"/>
      <c r="Y1471" s="50"/>
      <c r="Z1471" s="58"/>
      <c r="AA1471" s="59"/>
      <c r="AB1471" s="212"/>
      <c r="AE1471" s="63"/>
      <c r="AF1471" s="64"/>
      <c r="AG1471" s="65"/>
      <c r="AH1471" s="63"/>
      <c r="AI1471" s="65"/>
      <c r="AJ1471" s="64"/>
      <c r="AK1471" s="50"/>
      <c r="AL1471" s="45"/>
      <c r="AM1471" s="50"/>
      <c r="AN1471" s="64"/>
      <c r="AO1471" s="52"/>
      <c r="AP1471" s="84"/>
      <c r="AQ1471" s="84"/>
      <c r="AR1471" s="84"/>
      <c r="AS1471" s="85"/>
      <c r="AT1471" s="50"/>
      <c r="AU1471" s="50"/>
      <c r="AV1471" s="50"/>
      <c r="AW1471" s="50"/>
      <c r="AX1471" s="50"/>
      <c r="AY1471" s="50"/>
      <c r="AZ1471" s="44"/>
      <c r="BA1471" s="43"/>
      <c r="BB1471" s="44"/>
      <c r="BC1471" s="69"/>
      <c r="BD1471" s="70"/>
      <c r="BE1471" s="71"/>
      <c r="BF1471" s="130"/>
      <c r="BG1471" s="73"/>
      <c r="BH1471" s="73"/>
      <c r="BI1471" s="73"/>
      <c r="BJ1471" s="73"/>
      <c r="BK1471" s="73"/>
      <c r="BL1471" s="73"/>
      <c r="BM1471" s="73"/>
      <c r="BN1471" s="73"/>
      <c r="BO1471" s="73"/>
      <c r="BP1471" s="73"/>
      <c r="BQ1471" s="73"/>
      <c r="BR1471" s="73"/>
      <c r="BS1471" s="73"/>
      <c r="BT1471" s="73"/>
      <c r="BU1471" s="73"/>
      <c r="BV1471" s="73"/>
      <c r="BW1471" s="74"/>
      <c r="BX1471" s="74"/>
      <c r="BY1471" s="63"/>
      <c r="BZ1471" s="63"/>
    </row>
    <row r="1472" ht="15.75" customHeight="1">
      <c r="A1472" s="75"/>
      <c r="B1472" s="50"/>
      <c r="C1472" s="50"/>
      <c r="D1472" s="50"/>
      <c r="E1472" s="77"/>
      <c r="F1472" s="78"/>
      <c r="G1472" s="44" t="str">
        <f t="shared" si="35"/>
        <v>$0 a $100'000.000</v>
      </c>
      <c r="H1472" s="44"/>
      <c r="I1472" s="44"/>
      <c r="J1472" s="50"/>
      <c r="K1472" s="51"/>
      <c r="L1472" s="50"/>
      <c r="M1472" s="50"/>
      <c r="N1472" s="50"/>
      <c r="O1472" s="50"/>
      <c r="P1472" s="50"/>
      <c r="Q1472" s="88"/>
      <c r="R1472" s="88"/>
      <c r="S1472" s="56"/>
      <c r="T1472" s="50"/>
      <c r="U1472" s="51"/>
      <c r="V1472" s="50"/>
      <c r="W1472" s="50"/>
      <c r="X1472" s="50"/>
      <c r="Y1472" s="50"/>
      <c r="Z1472" s="58"/>
      <c r="AA1472" s="59"/>
      <c r="AB1472" s="212"/>
      <c r="AE1472" s="63"/>
      <c r="AF1472" s="64"/>
      <c r="AG1472" s="65"/>
      <c r="AH1472" s="63"/>
      <c r="AI1472" s="65"/>
      <c r="AJ1472" s="64"/>
      <c r="AK1472" s="50"/>
      <c r="AL1472" s="45"/>
      <c r="AM1472" s="50"/>
      <c r="AN1472" s="64"/>
      <c r="AO1472" s="52"/>
      <c r="AP1472" s="84"/>
      <c r="AQ1472" s="84"/>
      <c r="AR1472" s="84"/>
      <c r="AS1472" s="85"/>
      <c r="AT1472" s="50"/>
      <c r="AU1472" s="50"/>
      <c r="AV1472" s="50"/>
      <c r="AW1472" s="50"/>
      <c r="AX1472" s="50"/>
      <c r="AY1472" s="50"/>
      <c r="AZ1472" s="44"/>
      <c r="BA1472" s="43"/>
      <c r="BB1472" s="44"/>
      <c r="BC1472" s="69"/>
      <c r="BD1472" s="70"/>
      <c r="BE1472" s="71"/>
      <c r="BF1472" s="130"/>
      <c r="BG1472" s="73"/>
      <c r="BH1472" s="73"/>
      <c r="BI1472" s="73"/>
      <c r="BJ1472" s="73"/>
      <c r="BK1472" s="73"/>
      <c r="BL1472" s="73"/>
      <c r="BM1472" s="73"/>
      <c r="BN1472" s="73"/>
      <c r="BO1472" s="73"/>
      <c r="BP1472" s="73"/>
      <c r="BQ1472" s="73"/>
      <c r="BR1472" s="73"/>
      <c r="BS1472" s="73"/>
      <c r="BT1472" s="73"/>
      <c r="BU1472" s="73"/>
      <c r="BV1472" s="73"/>
      <c r="BW1472" s="74"/>
      <c r="BX1472" s="74"/>
      <c r="BY1472" s="63"/>
      <c r="BZ1472" s="63"/>
    </row>
    <row r="1473" ht="15.75" customHeight="1">
      <c r="A1473" s="75"/>
      <c r="B1473" s="50"/>
      <c r="C1473" s="50"/>
      <c r="D1473" s="50"/>
      <c r="E1473" s="77"/>
      <c r="F1473" s="78"/>
      <c r="G1473" s="44" t="str">
        <f t="shared" si="35"/>
        <v>$0 a $100'000.000</v>
      </c>
      <c r="H1473" s="44"/>
      <c r="I1473" s="44"/>
      <c r="J1473" s="50"/>
      <c r="K1473" s="51"/>
      <c r="L1473" s="50"/>
      <c r="M1473" s="50"/>
      <c r="N1473" s="50"/>
      <c r="O1473" s="50"/>
      <c r="P1473" s="50"/>
      <c r="Q1473" s="88"/>
      <c r="R1473" s="88"/>
      <c r="S1473" s="56"/>
      <c r="T1473" s="50"/>
      <c r="U1473" s="51"/>
      <c r="V1473" s="50"/>
      <c r="W1473" s="50"/>
      <c r="X1473" s="50"/>
      <c r="Y1473" s="50"/>
      <c r="Z1473" s="58"/>
      <c r="AA1473" s="59"/>
      <c r="AB1473" s="212"/>
      <c r="AE1473" s="63"/>
      <c r="AF1473" s="64"/>
      <c r="AG1473" s="65"/>
      <c r="AH1473" s="63"/>
      <c r="AI1473" s="65"/>
      <c r="AJ1473" s="64"/>
      <c r="AK1473" s="50"/>
      <c r="AL1473" s="45"/>
      <c r="AM1473" s="50"/>
      <c r="AN1473" s="64"/>
      <c r="AO1473" s="52"/>
      <c r="AP1473" s="84"/>
      <c r="AQ1473" s="84"/>
      <c r="AR1473" s="84"/>
      <c r="AS1473" s="85"/>
      <c r="AT1473" s="50"/>
      <c r="AU1473" s="50"/>
      <c r="AV1473" s="50"/>
      <c r="AW1473" s="50"/>
      <c r="AX1473" s="50"/>
      <c r="AY1473" s="50"/>
      <c r="AZ1473" s="44"/>
      <c r="BA1473" s="43"/>
      <c r="BB1473" s="44"/>
      <c r="BC1473" s="69"/>
      <c r="BD1473" s="70"/>
      <c r="BE1473" s="71"/>
      <c r="BF1473" s="130"/>
      <c r="BG1473" s="73"/>
      <c r="BH1473" s="73"/>
      <c r="BI1473" s="73"/>
      <c r="BJ1473" s="73"/>
      <c r="BK1473" s="73"/>
      <c r="BL1473" s="73"/>
      <c r="BM1473" s="73"/>
      <c r="BN1473" s="73"/>
      <c r="BO1473" s="73"/>
      <c r="BP1473" s="73"/>
      <c r="BQ1473" s="73"/>
      <c r="BR1473" s="73"/>
      <c r="BS1473" s="73"/>
      <c r="BT1473" s="73"/>
      <c r="BU1473" s="73"/>
      <c r="BV1473" s="73"/>
      <c r="BW1473" s="74"/>
      <c r="BX1473" s="74"/>
      <c r="BY1473" s="63"/>
      <c r="BZ1473" s="63"/>
    </row>
    <row r="1474" ht="15.75" customHeight="1">
      <c r="A1474" s="75"/>
      <c r="B1474" s="50"/>
      <c r="C1474" s="50"/>
      <c r="D1474" s="50"/>
      <c r="E1474" s="77"/>
      <c r="F1474" s="78"/>
      <c r="G1474" s="44" t="str">
        <f t="shared" si="35"/>
        <v>$0 a $100'000.000</v>
      </c>
      <c r="H1474" s="44"/>
      <c r="I1474" s="44"/>
      <c r="J1474" s="50"/>
      <c r="K1474" s="51"/>
      <c r="L1474" s="50"/>
      <c r="M1474" s="50"/>
      <c r="N1474" s="50"/>
      <c r="O1474" s="50"/>
      <c r="P1474" s="50"/>
      <c r="Q1474" s="88"/>
      <c r="R1474" s="88"/>
      <c r="S1474" s="56"/>
      <c r="T1474" s="50"/>
      <c r="U1474" s="51"/>
      <c r="V1474" s="50"/>
      <c r="W1474" s="50"/>
      <c r="X1474" s="50"/>
      <c r="Y1474" s="50"/>
      <c r="Z1474" s="58"/>
      <c r="AA1474" s="59"/>
      <c r="AB1474" s="212"/>
      <c r="AE1474" s="63"/>
      <c r="AF1474" s="64"/>
      <c r="AG1474" s="65"/>
      <c r="AH1474" s="63"/>
      <c r="AI1474" s="65"/>
      <c r="AJ1474" s="64"/>
      <c r="AK1474" s="50"/>
      <c r="AL1474" s="45"/>
      <c r="AM1474" s="50"/>
      <c r="AN1474" s="64"/>
      <c r="AO1474" s="52"/>
      <c r="AP1474" s="84"/>
      <c r="AQ1474" s="84"/>
      <c r="AR1474" s="84"/>
      <c r="AS1474" s="85"/>
      <c r="AT1474" s="50"/>
      <c r="AU1474" s="50"/>
      <c r="AV1474" s="50"/>
      <c r="AW1474" s="50"/>
      <c r="AX1474" s="50"/>
      <c r="AY1474" s="50"/>
      <c r="AZ1474" s="44"/>
      <c r="BA1474" s="43"/>
      <c r="BB1474" s="44"/>
      <c r="BC1474" s="69"/>
      <c r="BD1474" s="70"/>
      <c r="BE1474" s="71"/>
      <c r="BF1474" s="130"/>
      <c r="BG1474" s="73"/>
      <c r="BH1474" s="73"/>
      <c r="BI1474" s="73"/>
      <c r="BJ1474" s="73"/>
      <c r="BK1474" s="73"/>
      <c r="BL1474" s="73"/>
      <c r="BM1474" s="73"/>
      <c r="BN1474" s="73"/>
      <c r="BO1474" s="73"/>
      <c r="BP1474" s="73"/>
      <c r="BQ1474" s="73"/>
      <c r="BR1474" s="73"/>
      <c r="BS1474" s="73"/>
      <c r="BT1474" s="73"/>
      <c r="BU1474" s="73"/>
      <c r="BV1474" s="73"/>
      <c r="BW1474" s="74"/>
      <c r="BX1474" s="74"/>
      <c r="BY1474" s="63"/>
      <c r="BZ1474" s="63"/>
    </row>
    <row r="1475" ht="15.75" customHeight="1">
      <c r="A1475" s="75"/>
      <c r="B1475" s="50"/>
      <c r="C1475" s="50"/>
      <c r="D1475" s="50"/>
      <c r="E1475" s="77"/>
      <c r="F1475" s="78"/>
      <c r="G1475" s="44" t="str">
        <f t="shared" si="35"/>
        <v>$0 a $100'000.000</v>
      </c>
      <c r="H1475" s="44"/>
      <c r="I1475" s="44"/>
      <c r="J1475" s="50"/>
      <c r="K1475" s="51"/>
      <c r="L1475" s="50"/>
      <c r="M1475" s="50"/>
      <c r="N1475" s="50"/>
      <c r="O1475" s="50"/>
      <c r="P1475" s="50"/>
      <c r="Q1475" s="88"/>
      <c r="R1475" s="88"/>
      <c r="S1475" s="56"/>
      <c r="T1475" s="50"/>
      <c r="U1475" s="51"/>
      <c r="V1475" s="50"/>
      <c r="W1475" s="50"/>
      <c r="X1475" s="50"/>
      <c r="Y1475" s="50"/>
      <c r="Z1475" s="58"/>
      <c r="AA1475" s="59"/>
      <c r="AB1475" s="212"/>
      <c r="AE1475" s="63"/>
      <c r="AF1475" s="64"/>
      <c r="AG1475" s="65"/>
      <c r="AH1475" s="63"/>
      <c r="AI1475" s="65"/>
      <c r="AJ1475" s="64"/>
      <c r="AK1475" s="50"/>
      <c r="AL1475" s="45"/>
      <c r="AM1475" s="50"/>
      <c r="AN1475" s="64"/>
      <c r="AO1475" s="52"/>
      <c r="AP1475" s="84"/>
      <c r="AQ1475" s="84"/>
      <c r="AR1475" s="84"/>
      <c r="AS1475" s="85"/>
      <c r="AT1475" s="50"/>
      <c r="AU1475" s="50"/>
      <c r="AV1475" s="50"/>
      <c r="AW1475" s="50"/>
      <c r="AX1475" s="50"/>
      <c r="AY1475" s="50"/>
      <c r="AZ1475" s="44"/>
      <c r="BA1475" s="43"/>
      <c r="BB1475" s="44"/>
      <c r="BC1475" s="69"/>
      <c r="BD1475" s="70"/>
      <c r="BE1475" s="71"/>
      <c r="BF1475" s="130"/>
      <c r="BG1475" s="73"/>
      <c r="BH1475" s="73"/>
      <c r="BI1475" s="73"/>
      <c r="BJ1475" s="73"/>
      <c r="BK1475" s="73"/>
      <c r="BL1475" s="73"/>
      <c r="BM1475" s="73"/>
      <c r="BN1475" s="73"/>
      <c r="BO1475" s="73"/>
      <c r="BP1475" s="73"/>
      <c r="BQ1475" s="73"/>
      <c r="BR1475" s="73"/>
      <c r="BS1475" s="73"/>
      <c r="BT1475" s="73"/>
      <c r="BU1475" s="73"/>
      <c r="BV1475" s="73"/>
      <c r="BW1475" s="74"/>
      <c r="BX1475" s="74"/>
      <c r="BY1475" s="63"/>
      <c r="BZ1475" s="63"/>
    </row>
    <row r="1476" ht="15.75" customHeight="1">
      <c r="A1476" s="75"/>
      <c r="B1476" s="50"/>
      <c r="C1476" s="50"/>
      <c r="D1476" s="50"/>
      <c r="E1476" s="77"/>
      <c r="F1476" s="78"/>
      <c r="G1476" s="44" t="str">
        <f t="shared" si="35"/>
        <v>$0 a $100'000.000</v>
      </c>
      <c r="H1476" s="44"/>
      <c r="I1476" s="44"/>
      <c r="J1476" s="50"/>
      <c r="K1476" s="51"/>
      <c r="L1476" s="50"/>
      <c r="M1476" s="50"/>
      <c r="N1476" s="50"/>
      <c r="O1476" s="50"/>
      <c r="P1476" s="50"/>
      <c r="Q1476" s="88"/>
      <c r="R1476" s="88"/>
      <c r="S1476" s="56"/>
      <c r="T1476" s="50"/>
      <c r="U1476" s="51"/>
      <c r="V1476" s="50"/>
      <c r="W1476" s="50"/>
      <c r="X1476" s="50"/>
      <c r="Y1476" s="50"/>
      <c r="Z1476" s="58"/>
      <c r="AA1476" s="59"/>
      <c r="AB1476" s="212"/>
      <c r="AE1476" s="63"/>
      <c r="AF1476" s="64"/>
      <c r="AG1476" s="65"/>
      <c r="AH1476" s="63"/>
      <c r="AI1476" s="65"/>
      <c r="AJ1476" s="64"/>
      <c r="AK1476" s="50"/>
      <c r="AL1476" s="45"/>
      <c r="AM1476" s="50"/>
      <c r="AN1476" s="64"/>
      <c r="AO1476" s="52"/>
      <c r="AP1476" s="84"/>
      <c r="AQ1476" s="84"/>
      <c r="AR1476" s="84"/>
      <c r="AS1476" s="85"/>
      <c r="AT1476" s="50"/>
      <c r="AU1476" s="50"/>
      <c r="AV1476" s="50"/>
      <c r="AW1476" s="50"/>
      <c r="AX1476" s="50"/>
      <c r="AY1476" s="50"/>
      <c r="AZ1476" s="44"/>
      <c r="BA1476" s="43"/>
      <c r="BB1476" s="44"/>
      <c r="BC1476" s="69"/>
      <c r="BD1476" s="70"/>
      <c r="BE1476" s="71"/>
      <c r="BF1476" s="130"/>
      <c r="BG1476" s="73"/>
      <c r="BH1476" s="73"/>
      <c r="BI1476" s="73"/>
      <c r="BJ1476" s="73"/>
      <c r="BK1476" s="73"/>
      <c r="BL1476" s="73"/>
      <c r="BM1476" s="73"/>
      <c r="BN1476" s="73"/>
      <c r="BO1476" s="73"/>
      <c r="BP1476" s="73"/>
      <c r="BQ1476" s="73"/>
      <c r="BR1476" s="73"/>
      <c r="BS1476" s="73"/>
      <c r="BT1476" s="73"/>
      <c r="BU1476" s="73"/>
      <c r="BV1476" s="73"/>
      <c r="BW1476" s="74"/>
      <c r="BX1476" s="74"/>
      <c r="BY1476" s="63"/>
      <c r="BZ1476" s="63"/>
    </row>
    <row r="1477" ht="15.75" customHeight="1">
      <c r="A1477" s="75"/>
      <c r="B1477" s="50"/>
      <c r="C1477" s="50"/>
      <c r="D1477" s="50"/>
      <c r="E1477" s="77"/>
      <c r="F1477" s="78"/>
      <c r="G1477" s="44" t="str">
        <f t="shared" si="35"/>
        <v>$0 a $100'000.000</v>
      </c>
      <c r="H1477" s="44"/>
      <c r="I1477" s="44"/>
      <c r="J1477" s="50"/>
      <c r="K1477" s="51"/>
      <c r="L1477" s="50"/>
      <c r="M1477" s="50"/>
      <c r="N1477" s="50"/>
      <c r="O1477" s="50"/>
      <c r="P1477" s="50"/>
      <c r="Q1477" s="88"/>
      <c r="R1477" s="88"/>
      <c r="S1477" s="56"/>
      <c r="T1477" s="50"/>
      <c r="U1477" s="51"/>
      <c r="V1477" s="50"/>
      <c r="W1477" s="50"/>
      <c r="X1477" s="50"/>
      <c r="Y1477" s="50"/>
      <c r="Z1477" s="58"/>
      <c r="AA1477" s="59"/>
      <c r="AB1477" s="212"/>
      <c r="AE1477" s="63"/>
      <c r="AF1477" s="64"/>
      <c r="AG1477" s="65"/>
      <c r="AH1477" s="63"/>
      <c r="AI1477" s="65"/>
      <c r="AJ1477" s="64"/>
      <c r="AK1477" s="50"/>
      <c r="AL1477" s="45"/>
      <c r="AM1477" s="50"/>
      <c r="AN1477" s="64"/>
      <c r="AO1477" s="52"/>
      <c r="AP1477" s="84"/>
      <c r="AQ1477" s="84"/>
      <c r="AR1477" s="84"/>
      <c r="AS1477" s="85"/>
      <c r="AT1477" s="50"/>
      <c r="AU1477" s="50"/>
      <c r="AV1477" s="50"/>
      <c r="AW1477" s="50"/>
      <c r="AX1477" s="50"/>
      <c r="AY1477" s="50"/>
      <c r="AZ1477" s="44"/>
      <c r="BA1477" s="43"/>
      <c r="BB1477" s="44"/>
      <c r="BC1477" s="69"/>
      <c r="BD1477" s="70"/>
      <c r="BE1477" s="71"/>
      <c r="BF1477" s="130"/>
      <c r="BG1477" s="73"/>
      <c r="BH1477" s="73"/>
      <c r="BI1477" s="73"/>
      <c r="BJ1477" s="73"/>
      <c r="BK1477" s="73"/>
      <c r="BL1477" s="73"/>
      <c r="BM1477" s="73"/>
      <c r="BN1477" s="73"/>
      <c r="BO1477" s="73"/>
      <c r="BP1477" s="73"/>
      <c r="BQ1477" s="73"/>
      <c r="BR1477" s="73"/>
      <c r="BS1477" s="73"/>
      <c r="BT1477" s="73"/>
      <c r="BU1477" s="73"/>
      <c r="BV1477" s="73"/>
      <c r="BW1477" s="74"/>
      <c r="BX1477" s="74"/>
      <c r="BY1477" s="63"/>
      <c r="BZ1477" s="63"/>
    </row>
    <row r="1478" ht="15.75" customHeight="1">
      <c r="A1478" s="75"/>
      <c r="B1478" s="50"/>
      <c r="C1478" s="50"/>
      <c r="D1478" s="50"/>
      <c r="E1478" s="77"/>
      <c r="F1478" s="78"/>
      <c r="G1478" s="44" t="str">
        <f t="shared" si="35"/>
        <v>$0 a $100'000.000</v>
      </c>
      <c r="H1478" s="44"/>
      <c r="I1478" s="44"/>
      <c r="J1478" s="50"/>
      <c r="K1478" s="51"/>
      <c r="L1478" s="50"/>
      <c r="M1478" s="50"/>
      <c r="N1478" s="50"/>
      <c r="O1478" s="50"/>
      <c r="P1478" s="50"/>
      <c r="Q1478" s="88"/>
      <c r="R1478" s="88"/>
      <c r="S1478" s="56"/>
      <c r="T1478" s="50"/>
      <c r="U1478" s="51"/>
      <c r="V1478" s="50"/>
      <c r="W1478" s="50"/>
      <c r="X1478" s="50"/>
      <c r="Y1478" s="50"/>
      <c r="Z1478" s="58"/>
      <c r="AA1478" s="59"/>
      <c r="AB1478" s="212"/>
      <c r="AE1478" s="63"/>
      <c r="AF1478" s="64"/>
      <c r="AG1478" s="65"/>
      <c r="AH1478" s="63"/>
      <c r="AI1478" s="65"/>
      <c r="AJ1478" s="64"/>
      <c r="AK1478" s="50"/>
      <c r="AL1478" s="45"/>
      <c r="AM1478" s="50"/>
      <c r="AN1478" s="64"/>
      <c r="AO1478" s="52"/>
      <c r="AP1478" s="84"/>
      <c r="AQ1478" s="84"/>
      <c r="AR1478" s="84"/>
      <c r="AS1478" s="85"/>
      <c r="AT1478" s="50"/>
      <c r="AU1478" s="50"/>
      <c r="AV1478" s="50"/>
      <c r="AW1478" s="50"/>
      <c r="AX1478" s="50"/>
      <c r="AY1478" s="50"/>
      <c r="AZ1478" s="44"/>
      <c r="BA1478" s="43"/>
      <c r="BB1478" s="44"/>
      <c r="BC1478" s="69"/>
      <c r="BD1478" s="70"/>
      <c r="BE1478" s="71"/>
      <c r="BF1478" s="130"/>
    </row>
  </sheetData>
  <autoFilter ref="$A$1:$BF$1156">
    <sortState ref="A1:BF1156">
      <sortCondition ref="AJ1:AJ1156"/>
      <sortCondition ref="AI1:AI1156"/>
      <sortCondition descending="1" ref="F1:F1156"/>
      <sortCondition ref="AG1:AG1156"/>
      <sortCondition ref="BF1:BF1156"/>
      <sortCondition ref="A1:A1156"/>
      <sortCondition ref="AK1:AK1156"/>
      <sortCondition ref="V1:V1156"/>
      <sortCondition ref="AF1:AF1156"/>
    </sortState>
  </autoFilter>
  <mergeCells count="1">
    <mergeCell ref="AZ1:BB1"/>
  </mergeCells>
  <dataValidations>
    <dataValidation type="list" allowBlank="1" showErrorMessage="1" sqref="AI2:AI1142 AI1148:AI1478">
      <formula1>"Directo,Aliado,Verbal,No Servicio"</formula1>
    </dataValidation>
  </dataValidations>
  <hyperlinks>
    <hyperlink r:id="rId4" ref="AB3"/>
    <hyperlink r:id="rId5" ref="AB4"/>
    <hyperlink r:id="rId6" ref="AB5"/>
    <hyperlink r:id="rId7" ref="AB6"/>
    <hyperlink r:id="rId8" ref="AB7"/>
    <hyperlink r:id="rId9" ref="AB8"/>
    <hyperlink r:id="rId10" ref="AB9"/>
    <hyperlink r:id="rId11" ref="AB10"/>
    <hyperlink r:id="rId12" ref="AB11"/>
    <hyperlink r:id="rId13" ref="AB12"/>
    <hyperlink r:id="rId14" ref="AB13"/>
    <hyperlink r:id="rId15" ref="AB14"/>
    <hyperlink r:id="rId16" ref="AB15"/>
    <hyperlink r:id="rId17" ref="AB16"/>
    <hyperlink r:id="rId18" ref="AB17"/>
    <hyperlink r:id="rId19" ref="AB18"/>
    <hyperlink r:id="rId20" ref="AB19"/>
    <hyperlink r:id="rId21" ref="AB20"/>
    <hyperlink r:id="rId22" ref="AB21"/>
    <hyperlink r:id="rId23" ref="AB22"/>
    <hyperlink r:id="rId24" ref="AB23"/>
    <hyperlink r:id="rId25" ref="AB24"/>
    <hyperlink r:id="rId26" ref="AB25"/>
    <hyperlink r:id="rId27" ref="AB26"/>
    <hyperlink r:id="rId28" ref="AB27"/>
    <hyperlink r:id="rId29" ref="AB28"/>
    <hyperlink r:id="rId30" ref="AB29"/>
    <hyperlink r:id="rId31" ref="AB30"/>
    <hyperlink r:id="rId32" ref="AB31"/>
    <hyperlink r:id="rId33" ref="AB32"/>
    <hyperlink r:id="rId34" ref="AB33"/>
    <hyperlink r:id="rId35" ref="AB34"/>
    <hyperlink r:id="rId36" ref="AB35"/>
    <hyperlink r:id="rId37" ref="AB36"/>
    <hyperlink r:id="rId38" ref="AB37"/>
    <hyperlink r:id="rId39" ref="AB38"/>
    <hyperlink r:id="rId40" ref="AB39"/>
    <hyperlink r:id="rId41" ref="AB40"/>
    <hyperlink r:id="rId42" ref="AB41"/>
    <hyperlink r:id="rId43" ref="AB42"/>
    <hyperlink r:id="rId44" ref="AB43"/>
    <hyperlink r:id="rId45" ref="AB44"/>
    <hyperlink r:id="rId46" ref="AB48"/>
    <hyperlink r:id="rId47" ref="AB49"/>
    <hyperlink r:id="rId48" ref="AB50"/>
    <hyperlink r:id="rId49" ref="AB51"/>
    <hyperlink r:id="rId50" ref="AB52"/>
    <hyperlink r:id="rId51" ref="AB53"/>
    <hyperlink r:id="rId52" ref="AB54"/>
    <hyperlink r:id="rId53" ref="AB55"/>
    <hyperlink r:id="rId54" ref="AB56"/>
    <hyperlink r:id="rId55" ref="AB57"/>
    <hyperlink r:id="rId56" ref="AB58"/>
    <hyperlink r:id="rId57" ref="AB59"/>
    <hyperlink r:id="rId58" ref="AB60"/>
    <hyperlink r:id="rId59" ref="AB61"/>
    <hyperlink r:id="rId60" ref="AB62"/>
    <hyperlink r:id="rId61" ref="AB63"/>
    <hyperlink r:id="rId62" ref="AB65"/>
    <hyperlink r:id="rId63" ref="AB66"/>
    <hyperlink r:id="rId64" ref="AB67"/>
    <hyperlink r:id="rId65" ref="AB68"/>
    <hyperlink r:id="rId66" ref="AB69"/>
    <hyperlink r:id="rId67" ref="AB70"/>
    <hyperlink r:id="rId68" ref="AB71"/>
    <hyperlink r:id="rId69" ref="AB72"/>
    <hyperlink r:id="rId70" ref="AB73"/>
    <hyperlink r:id="rId71" ref="AB74"/>
    <hyperlink r:id="rId72" ref="AB75"/>
    <hyperlink r:id="rId73" ref="AB76"/>
    <hyperlink r:id="rId74" ref="AB77"/>
    <hyperlink r:id="rId75" ref="AB78"/>
    <hyperlink r:id="rId76" ref="AB79"/>
    <hyperlink r:id="rId77" ref="AB80"/>
    <hyperlink r:id="rId78" ref="AB81"/>
    <hyperlink r:id="rId79" ref="AB82"/>
    <hyperlink r:id="rId80" ref="AB83"/>
    <hyperlink r:id="rId81" ref="AB84"/>
    <hyperlink r:id="rId82" ref="AB85"/>
    <hyperlink r:id="rId83" ref="AB86"/>
    <hyperlink r:id="rId84" ref="AB87"/>
    <hyperlink r:id="rId85" ref="AB88"/>
    <hyperlink r:id="rId86" ref="AB89"/>
    <hyperlink r:id="rId87" ref="AB90"/>
    <hyperlink r:id="rId88" ref="AB91"/>
    <hyperlink r:id="rId89" ref="AB92"/>
    <hyperlink r:id="rId90" ref="AB93"/>
    <hyperlink r:id="rId91" ref="AB94"/>
    <hyperlink r:id="rId92" ref="AB95"/>
    <hyperlink r:id="rId93" ref="AB96"/>
    <hyperlink r:id="rId94" ref="AB97"/>
    <hyperlink r:id="rId95" ref="AB98"/>
    <hyperlink r:id="rId96" ref="AB99"/>
    <hyperlink r:id="rId97" ref="AB100"/>
    <hyperlink r:id="rId98" ref="AB101"/>
    <hyperlink r:id="rId99" ref="AB102"/>
    <hyperlink r:id="rId100" ref="AB103"/>
    <hyperlink r:id="rId101" ref="AB104"/>
    <hyperlink r:id="rId102" ref="AB105"/>
    <hyperlink r:id="rId103" ref="AB106"/>
    <hyperlink r:id="rId104" ref="AB107"/>
    <hyperlink r:id="rId105" ref="AB109"/>
    <hyperlink r:id="rId106" ref="AB110"/>
    <hyperlink r:id="rId107" ref="AB111"/>
    <hyperlink r:id="rId108" ref="AB112"/>
    <hyperlink r:id="rId109" ref="AB113"/>
    <hyperlink r:id="rId110" ref="AB114"/>
    <hyperlink r:id="rId111" ref="AB115"/>
    <hyperlink r:id="rId112" ref="AB116"/>
    <hyperlink r:id="rId113" ref="AB117"/>
    <hyperlink r:id="rId114" ref="AB118"/>
    <hyperlink r:id="rId115" ref="AB119"/>
    <hyperlink r:id="rId116" ref="AB120"/>
    <hyperlink r:id="rId117" ref="AB121"/>
    <hyperlink r:id="rId118" ref="AB122"/>
    <hyperlink r:id="rId119" ref="AB123"/>
    <hyperlink r:id="rId120" ref="AB124"/>
    <hyperlink r:id="rId121" ref="AB125"/>
    <hyperlink r:id="rId122" ref="AB126"/>
    <hyperlink r:id="rId123" ref="AB127"/>
    <hyperlink r:id="rId124" ref="AB128"/>
    <hyperlink r:id="rId125" ref="AB129"/>
    <hyperlink r:id="rId126" ref="AB130"/>
    <hyperlink r:id="rId127" ref="AB131"/>
    <hyperlink r:id="rId128" ref="AB132"/>
    <hyperlink r:id="rId129" ref="AB133"/>
    <hyperlink r:id="rId130" ref="AB134"/>
    <hyperlink r:id="rId131" ref="AB135"/>
    <hyperlink r:id="rId132" ref="AB136"/>
    <hyperlink r:id="rId133" ref="AB137"/>
    <hyperlink r:id="rId134" ref="AB138"/>
    <hyperlink r:id="rId135" ref="AB139"/>
    <hyperlink r:id="rId136" ref="AB140"/>
    <hyperlink r:id="rId137" ref="AB141"/>
    <hyperlink r:id="rId138" ref="AB142"/>
    <hyperlink r:id="rId139" ref="AB143"/>
    <hyperlink r:id="rId140" ref="AB144"/>
    <hyperlink r:id="rId141" ref="AB145"/>
    <hyperlink r:id="rId142" ref="AB146"/>
    <hyperlink r:id="rId143" ref="AB147"/>
    <hyperlink r:id="rId144" ref="AB148"/>
    <hyperlink r:id="rId145" ref="AB149"/>
    <hyperlink r:id="rId146" ref="AB150"/>
    <hyperlink r:id="rId147" ref="AB151"/>
    <hyperlink r:id="rId148" ref="AB153"/>
    <hyperlink r:id="rId149" ref="AB154"/>
    <hyperlink r:id="rId150" ref="AB155"/>
    <hyperlink r:id="rId151" ref="AB156"/>
    <hyperlink r:id="rId152" ref="AB157"/>
    <hyperlink r:id="rId153" ref="AB158"/>
    <hyperlink r:id="rId154" ref="AB159"/>
    <hyperlink r:id="rId155" ref="AB160"/>
    <hyperlink r:id="rId156" ref="AB161"/>
    <hyperlink r:id="rId157" ref="AB163"/>
    <hyperlink r:id="rId158" ref="AB164"/>
    <hyperlink r:id="rId159" ref="AB165"/>
    <hyperlink r:id="rId160" ref="AB166"/>
    <hyperlink r:id="rId161" ref="AB167"/>
    <hyperlink r:id="rId162" ref="AB169"/>
    <hyperlink r:id="rId163" ref="AB175"/>
    <hyperlink r:id="rId164" ref="AB176"/>
    <hyperlink r:id="rId165" ref="AB177"/>
    <hyperlink r:id="rId166" ref="AB178"/>
    <hyperlink r:id="rId167" ref="AB182"/>
    <hyperlink r:id="rId168" ref="AB183"/>
    <hyperlink r:id="rId169" ref="AB184"/>
    <hyperlink r:id="rId170" ref="AB185"/>
    <hyperlink r:id="rId171" ref="AB186"/>
    <hyperlink r:id="rId172" ref="AB187"/>
    <hyperlink r:id="rId173" ref="AB188"/>
    <hyperlink r:id="rId174" ref="AB189"/>
    <hyperlink r:id="rId175" ref="AB190"/>
    <hyperlink r:id="rId176" ref="AB191"/>
    <hyperlink r:id="rId177" ref="AB192"/>
    <hyperlink r:id="rId178" ref="AB193"/>
    <hyperlink r:id="rId179" ref="AB194"/>
    <hyperlink r:id="rId180" ref="AB195"/>
    <hyperlink r:id="rId181" ref="AB196"/>
    <hyperlink r:id="rId182" ref="BF196"/>
    <hyperlink r:id="rId183" ref="AB197"/>
    <hyperlink r:id="rId184" ref="AB198"/>
    <hyperlink r:id="rId185" ref="AB199"/>
    <hyperlink r:id="rId186" ref="AB200"/>
    <hyperlink r:id="rId187" ref="AB201"/>
    <hyperlink r:id="rId188" ref="AB202"/>
    <hyperlink r:id="rId189" ref="AB203"/>
    <hyperlink r:id="rId190" ref="AB204"/>
    <hyperlink r:id="rId191" ref="AB206"/>
    <hyperlink r:id="rId192" ref="AB207"/>
    <hyperlink r:id="rId193" ref="AB208"/>
    <hyperlink r:id="rId194" ref="AB209"/>
    <hyperlink r:id="rId195" ref="AB210"/>
    <hyperlink r:id="rId196" ref="AB211"/>
    <hyperlink r:id="rId197" ref="AB212"/>
    <hyperlink r:id="rId198" ref="AB213"/>
    <hyperlink r:id="rId199" ref="AB214"/>
    <hyperlink r:id="rId200" ref="AB215"/>
    <hyperlink r:id="rId201" ref="AB216"/>
    <hyperlink r:id="rId202" ref="AB217"/>
    <hyperlink r:id="rId203" ref="AB218"/>
    <hyperlink r:id="rId204" ref="AB219"/>
    <hyperlink r:id="rId205" ref="AB220"/>
    <hyperlink r:id="rId206" ref="AB221"/>
    <hyperlink r:id="rId207" ref="AB222"/>
    <hyperlink r:id="rId208" ref="AB223"/>
    <hyperlink r:id="rId209" ref="AB225"/>
    <hyperlink r:id="rId210" ref="AB226"/>
    <hyperlink r:id="rId211" ref="AB227"/>
    <hyperlink r:id="rId212" ref="AB228"/>
    <hyperlink r:id="rId213" ref="AB229"/>
    <hyperlink r:id="rId214" ref="AB230"/>
    <hyperlink r:id="rId215" ref="AB231"/>
    <hyperlink r:id="rId216" ref="AB232"/>
    <hyperlink r:id="rId217" ref="AB233"/>
    <hyperlink r:id="rId218" ref="AB234"/>
    <hyperlink r:id="rId219" ref="AB235"/>
    <hyperlink r:id="rId220" ref="AB236"/>
    <hyperlink r:id="rId221" ref="AB237"/>
    <hyperlink r:id="rId222" ref="AB238"/>
    <hyperlink r:id="rId223" ref="AB239"/>
    <hyperlink r:id="rId224" ref="AB241"/>
    <hyperlink r:id="rId225" ref="AB242"/>
    <hyperlink r:id="rId226" ref="AB243"/>
    <hyperlink r:id="rId227" ref="AB244"/>
    <hyperlink r:id="rId228" ref="AB245"/>
    <hyperlink r:id="rId229" ref="AB246"/>
    <hyperlink r:id="rId230" ref="AB248"/>
    <hyperlink r:id="rId231" ref="AB249"/>
    <hyperlink r:id="rId232" ref="AB252"/>
    <hyperlink r:id="rId233" ref="AB253"/>
    <hyperlink r:id="rId234" ref="AB254"/>
    <hyperlink r:id="rId235" ref="AB255"/>
    <hyperlink r:id="rId236" ref="AB256"/>
    <hyperlink r:id="rId237" ref="AB257"/>
    <hyperlink r:id="rId238" ref="AB258"/>
    <hyperlink r:id="rId239" ref="AB259"/>
    <hyperlink r:id="rId240" ref="AB260"/>
    <hyperlink r:id="rId241" ref="AB261"/>
    <hyperlink r:id="rId242" ref="AB262"/>
    <hyperlink r:id="rId243" ref="AB263"/>
    <hyperlink r:id="rId244" ref="AB264"/>
    <hyperlink r:id="rId245" ref="AB265"/>
    <hyperlink r:id="rId246" ref="AB266"/>
    <hyperlink r:id="rId247" ref="AB267"/>
    <hyperlink r:id="rId248" ref="AB268"/>
    <hyperlink r:id="rId249" ref="AB269"/>
    <hyperlink r:id="rId250" ref="AB270"/>
    <hyperlink r:id="rId251" ref="AB271"/>
    <hyperlink r:id="rId252" ref="AB272"/>
    <hyperlink r:id="rId253" ref="AB273"/>
    <hyperlink r:id="rId254" ref="AB274"/>
    <hyperlink r:id="rId255" ref="AB275"/>
    <hyperlink r:id="rId256" ref="AB276"/>
    <hyperlink r:id="rId257" ref="AB277"/>
    <hyperlink r:id="rId258" ref="AB278"/>
    <hyperlink r:id="rId259" ref="AB279"/>
    <hyperlink r:id="rId260" ref="AB280"/>
    <hyperlink r:id="rId261" ref="AB281"/>
    <hyperlink r:id="rId262" ref="BF281"/>
    <hyperlink r:id="rId263" ref="AB282"/>
    <hyperlink r:id="rId264" ref="AB283"/>
    <hyperlink r:id="rId265" ref="AB284"/>
    <hyperlink r:id="rId266" ref="AB285"/>
    <hyperlink r:id="rId267" ref="AB286"/>
    <hyperlink r:id="rId268" ref="AB287"/>
    <hyperlink r:id="rId269" ref="AB288"/>
    <hyperlink r:id="rId270" ref="AB289"/>
    <hyperlink r:id="rId271" ref="AB290"/>
    <hyperlink r:id="rId272" ref="AB291"/>
    <hyperlink r:id="rId273" ref="AB292"/>
    <hyperlink r:id="rId274" ref="BF292"/>
    <hyperlink r:id="rId275" ref="AB293"/>
    <hyperlink r:id="rId276" ref="AB294"/>
    <hyperlink r:id="rId277" ref="AB295"/>
    <hyperlink r:id="rId278" ref="AB296"/>
    <hyperlink r:id="rId279" ref="AB297"/>
    <hyperlink r:id="rId280" ref="AB298"/>
    <hyperlink r:id="rId281" ref="AB299"/>
    <hyperlink r:id="rId282" ref="AB300"/>
    <hyperlink r:id="rId283" ref="AB301"/>
    <hyperlink r:id="rId284" ref="AB302"/>
    <hyperlink r:id="rId285" ref="AB303"/>
    <hyperlink r:id="rId286" ref="AB304"/>
    <hyperlink r:id="rId287" ref="AB305"/>
    <hyperlink r:id="rId288" ref="AB306"/>
    <hyperlink r:id="rId289" ref="AB307"/>
    <hyperlink r:id="rId290" ref="AB308"/>
    <hyperlink r:id="rId291" ref="AB309"/>
    <hyperlink r:id="rId292" ref="AB310"/>
    <hyperlink r:id="rId293" ref="AB311"/>
    <hyperlink r:id="rId294" ref="AB312"/>
    <hyperlink r:id="rId295" ref="AB313"/>
    <hyperlink r:id="rId296" ref="AB314"/>
    <hyperlink r:id="rId297" ref="AB315"/>
    <hyperlink r:id="rId298" ref="AB316"/>
    <hyperlink r:id="rId299" ref="AB317"/>
    <hyperlink r:id="rId300" ref="AB318"/>
    <hyperlink r:id="rId301" ref="AB319"/>
    <hyperlink r:id="rId302" ref="AB320"/>
    <hyperlink r:id="rId303" ref="AB321"/>
    <hyperlink r:id="rId304" ref="AB322"/>
    <hyperlink r:id="rId305" ref="AB323"/>
    <hyperlink r:id="rId306" ref="AB324"/>
    <hyperlink r:id="rId307" ref="AB325"/>
    <hyperlink r:id="rId308" ref="AB326"/>
    <hyperlink r:id="rId309" ref="AB327"/>
    <hyperlink r:id="rId310" ref="AB328"/>
    <hyperlink r:id="rId311" ref="AB329"/>
    <hyperlink r:id="rId312" ref="AB330"/>
    <hyperlink r:id="rId313" ref="AB331"/>
    <hyperlink r:id="rId314" ref="AB332"/>
    <hyperlink r:id="rId315" ref="AB333"/>
    <hyperlink r:id="rId316" ref="AB334"/>
    <hyperlink r:id="rId317" ref="AB335"/>
    <hyperlink r:id="rId318" ref="AB336"/>
    <hyperlink r:id="rId319" ref="AB337"/>
    <hyperlink r:id="rId320" ref="AB338"/>
    <hyperlink r:id="rId321" ref="AB339"/>
    <hyperlink r:id="rId322" ref="AB340"/>
    <hyperlink r:id="rId323" ref="AB341"/>
    <hyperlink r:id="rId324" ref="AB342"/>
    <hyperlink r:id="rId325" ref="AB343"/>
    <hyperlink r:id="rId326" ref="AB344"/>
    <hyperlink r:id="rId327" ref="AB345"/>
    <hyperlink r:id="rId328" ref="AB346"/>
    <hyperlink r:id="rId329" ref="AB347"/>
    <hyperlink r:id="rId330" ref="AB373"/>
    <hyperlink r:id="rId331" ref="AB378"/>
    <hyperlink r:id="rId332" ref="AB386"/>
    <hyperlink r:id="rId333" ref="AB423"/>
    <hyperlink r:id="rId334" ref="AB432"/>
    <hyperlink r:id="rId335" ref="AB438"/>
    <hyperlink r:id="rId336" ref="AB460"/>
    <hyperlink r:id="rId337" ref="AB476"/>
    <hyperlink r:id="rId338" ref="AB489"/>
    <hyperlink r:id="rId339" ref="AB504"/>
    <hyperlink r:id="rId340" ref="AB511"/>
    <hyperlink r:id="rId341" ref="AB516"/>
    <hyperlink r:id="rId342" ref="AB521"/>
    <hyperlink r:id="rId343" ref="AB540"/>
    <hyperlink r:id="rId344" ref="AB541"/>
    <hyperlink r:id="rId345" ref="AB544"/>
    <hyperlink r:id="rId346" ref="AB547"/>
    <hyperlink r:id="rId347" ref="AB555"/>
    <hyperlink r:id="rId348" ref="AB563"/>
    <hyperlink r:id="rId349" ref="AB567"/>
    <hyperlink r:id="rId350" ref="AB572"/>
    <hyperlink r:id="rId351" ref="AB580"/>
    <hyperlink r:id="rId352" ref="AB599"/>
    <hyperlink r:id="rId353" ref="AB602"/>
    <hyperlink r:id="rId354" ref="AB603"/>
    <hyperlink r:id="rId355" ref="AB604"/>
    <hyperlink r:id="rId356" ref="AB606"/>
    <hyperlink r:id="rId357" ref="AB608"/>
    <hyperlink r:id="rId358" ref="AB609"/>
    <hyperlink r:id="rId359" ref="AB610"/>
    <hyperlink r:id="rId360" ref="AB615"/>
    <hyperlink r:id="rId361" ref="AB616"/>
    <hyperlink r:id="rId362" ref="AB617"/>
    <hyperlink r:id="rId363" ref="AB618"/>
    <hyperlink r:id="rId364" ref="AB619"/>
    <hyperlink r:id="rId365" ref="AB620"/>
    <hyperlink r:id="rId366" ref="AB621"/>
    <hyperlink r:id="rId367" ref="AB622"/>
    <hyperlink r:id="rId368" ref="AB623"/>
    <hyperlink r:id="rId369" ref="AB624"/>
    <hyperlink r:id="rId370" ref="AB625"/>
    <hyperlink r:id="rId371" ref="AB626"/>
    <hyperlink r:id="rId372" ref="AB627"/>
    <hyperlink r:id="rId373" ref="AB628"/>
    <hyperlink r:id="rId374" ref="AB629"/>
    <hyperlink r:id="rId375" ref="AB630"/>
    <hyperlink r:id="rId376" ref="AB631"/>
    <hyperlink r:id="rId377" ref="AB632"/>
    <hyperlink r:id="rId378" ref="AB633"/>
    <hyperlink r:id="rId379" ref="AB634"/>
    <hyperlink r:id="rId380" ref="AB635"/>
    <hyperlink r:id="rId381" ref="AB636"/>
    <hyperlink r:id="rId382" ref="AB637"/>
    <hyperlink r:id="rId383" ref="AB638"/>
    <hyperlink r:id="rId384" ref="AB639"/>
    <hyperlink r:id="rId385" ref="AB640"/>
    <hyperlink r:id="rId386" ref="AB641"/>
    <hyperlink r:id="rId387" ref="AB642"/>
    <hyperlink r:id="rId388" ref="AB643"/>
    <hyperlink r:id="rId389" ref="AB644"/>
    <hyperlink r:id="rId390" ref="AB645"/>
    <hyperlink r:id="rId391" ref="AB646"/>
    <hyperlink r:id="rId392" ref="AB647"/>
    <hyperlink r:id="rId393" ref="AB648"/>
    <hyperlink r:id="rId394" ref="AB649"/>
    <hyperlink r:id="rId395" ref="AB650"/>
    <hyperlink r:id="rId396" ref="AB651"/>
    <hyperlink r:id="rId397" ref="AB652"/>
    <hyperlink r:id="rId398" ref="AB654"/>
    <hyperlink r:id="rId399" ref="AB655"/>
    <hyperlink r:id="rId400" ref="AB656"/>
    <hyperlink r:id="rId401" ref="AB657"/>
    <hyperlink r:id="rId402" ref="AB658"/>
    <hyperlink r:id="rId403" ref="AB659"/>
    <hyperlink r:id="rId404" ref="AB660"/>
    <hyperlink r:id="rId405" ref="AB661"/>
    <hyperlink r:id="rId406" ref="AB662"/>
    <hyperlink r:id="rId407" ref="AB663"/>
    <hyperlink r:id="rId408" ref="AB664"/>
    <hyperlink r:id="rId409" ref="AB665"/>
    <hyperlink r:id="rId410" ref="BF665"/>
    <hyperlink r:id="rId411" ref="AB666"/>
    <hyperlink r:id="rId412" ref="AB667"/>
    <hyperlink r:id="rId413" ref="AB668"/>
    <hyperlink r:id="rId414" ref="AB669"/>
    <hyperlink r:id="rId415" ref="AB670"/>
    <hyperlink r:id="rId416" ref="AB671"/>
    <hyperlink r:id="rId417" ref="AB672"/>
    <hyperlink r:id="rId418" ref="AB673"/>
    <hyperlink r:id="rId419" ref="AB674"/>
    <hyperlink r:id="rId420" ref="AB675"/>
    <hyperlink r:id="rId421" ref="AB676"/>
    <hyperlink r:id="rId422" ref="AB677"/>
    <hyperlink r:id="rId423" ref="AB678"/>
    <hyperlink r:id="rId424" ref="AB679"/>
    <hyperlink r:id="rId425" ref="AB680"/>
    <hyperlink r:id="rId426" ref="AB681"/>
    <hyperlink r:id="rId427" ref="AB682"/>
    <hyperlink r:id="rId428" ref="AB683"/>
    <hyperlink r:id="rId429" ref="AB684"/>
    <hyperlink r:id="rId430" ref="AB685"/>
    <hyperlink r:id="rId431" ref="AB686"/>
    <hyperlink r:id="rId432" ref="AB687"/>
    <hyperlink r:id="rId433" ref="AB688"/>
    <hyperlink r:id="rId434" ref="AB689"/>
    <hyperlink r:id="rId435" ref="AB690"/>
    <hyperlink r:id="rId436" ref="AB691"/>
    <hyperlink r:id="rId437" ref="AB692"/>
    <hyperlink r:id="rId438" ref="AB693"/>
    <hyperlink r:id="rId439" ref="AB694"/>
    <hyperlink r:id="rId440" ref="AB695"/>
    <hyperlink r:id="rId441" ref="AB696"/>
    <hyperlink r:id="rId442" ref="AB697"/>
    <hyperlink r:id="rId443" ref="AB698"/>
    <hyperlink r:id="rId444" ref="AB699"/>
    <hyperlink r:id="rId445" ref="AB700"/>
    <hyperlink r:id="rId446" ref="AB701"/>
    <hyperlink r:id="rId447" ref="AB702"/>
    <hyperlink r:id="rId448" ref="AB703"/>
    <hyperlink r:id="rId449" ref="AB704"/>
    <hyperlink r:id="rId450" ref="AB705"/>
    <hyperlink r:id="rId451" ref="AB706"/>
    <hyperlink r:id="rId452" ref="AB707"/>
    <hyperlink r:id="rId453" ref="AB708"/>
    <hyperlink r:id="rId454" ref="AB709"/>
    <hyperlink r:id="rId455" ref="AB710"/>
    <hyperlink r:id="rId456" ref="AB711"/>
    <hyperlink r:id="rId457" ref="AB712"/>
    <hyperlink r:id="rId458" ref="AB713"/>
    <hyperlink r:id="rId459" ref="AB714"/>
    <hyperlink r:id="rId460" ref="AB715"/>
    <hyperlink r:id="rId461" ref="AB716"/>
    <hyperlink r:id="rId462" ref="AB717"/>
    <hyperlink r:id="rId463" ref="AB718"/>
    <hyperlink r:id="rId464" ref="AB719"/>
    <hyperlink r:id="rId465" ref="AB720"/>
    <hyperlink r:id="rId466" ref="AB721"/>
    <hyperlink r:id="rId467" ref="AB722"/>
    <hyperlink r:id="rId468" ref="AB723"/>
    <hyperlink r:id="rId469" ref="AB724"/>
    <hyperlink r:id="rId470" ref="AB725"/>
    <hyperlink r:id="rId471" ref="AB726"/>
    <hyperlink r:id="rId472" ref="AB727"/>
    <hyperlink r:id="rId473" ref="AB728"/>
    <hyperlink r:id="rId474" ref="AB729"/>
    <hyperlink r:id="rId475" ref="AB730"/>
    <hyperlink r:id="rId476" ref="AB731"/>
    <hyperlink r:id="rId477" ref="AB732"/>
    <hyperlink r:id="rId478" ref="AB733"/>
    <hyperlink r:id="rId479" ref="AB734"/>
    <hyperlink r:id="rId480" ref="AB735"/>
    <hyperlink r:id="rId481" ref="AB736"/>
    <hyperlink r:id="rId482" ref="AB737"/>
    <hyperlink r:id="rId483" ref="AB738"/>
    <hyperlink r:id="rId484" ref="AB739"/>
    <hyperlink r:id="rId485" ref="AB740"/>
    <hyperlink r:id="rId486" ref="AB741"/>
    <hyperlink r:id="rId487" ref="AB742"/>
    <hyperlink r:id="rId488" ref="AB743"/>
    <hyperlink r:id="rId489" ref="AB744"/>
    <hyperlink r:id="rId490" ref="AB745"/>
    <hyperlink r:id="rId491" ref="AB746"/>
    <hyperlink r:id="rId492" ref="AB747"/>
    <hyperlink r:id="rId493" ref="AB748"/>
    <hyperlink r:id="rId494" ref="AB749"/>
    <hyperlink r:id="rId495" ref="AB750"/>
    <hyperlink r:id="rId496" ref="AB751"/>
    <hyperlink r:id="rId497" ref="AB752"/>
    <hyperlink r:id="rId498" ref="AB753"/>
    <hyperlink r:id="rId499" ref="AB754"/>
    <hyperlink r:id="rId500" ref="AB755"/>
    <hyperlink r:id="rId501" ref="AB756"/>
    <hyperlink r:id="rId502" ref="AB757"/>
    <hyperlink r:id="rId503" ref="AB758"/>
    <hyperlink r:id="rId504" ref="AB759"/>
    <hyperlink r:id="rId505" ref="AB760"/>
    <hyperlink r:id="rId506" ref="AB761"/>
    <hyperlink r:id="rId507" ref="AB762"/>
    <hyperlink r:id="rId508" ref="AB763"/>
    <hyperlink r:id="rId509" ref="AB764"/>
    <hyperlink r:id="rId510" ref="AB765"/>
    <hyperlink r:id="rId511" ref="AB766"/>
    <hyperlink r:id="rId512" ref="AB767"/>
    <hyperlink r:id="rId513" ref="AB768"/>
    <hyperlink r:id="rId514" ref="AB769"/>
    <hyperlink r:id="rId515" ref="AB770"/>
    <hyperlink r:id="rId516" ref="AB771"/>
    <hyperlink r:id="rId517" ref="AB772"/>
    <hyperlink r:id="rId518" ref="AB773"/>
    <hyperlink r:id="rId519" ref="AB774"/>
    <hyperlink r:id="rId520" ref="AB775"/>
    <hyperlink r:id="rId521" ref="AB776"/>
    <hyperlink r:id="rId522" ref="AB777"/>
    <hyperlink r:id="rId523" ref="AB778"/>
    <hyperlink r:id="rId524" ref="AB779"/>
    <hyperlink r:id="rId525" ref="AB780"/>
    <hyperlink r:id="rId526" ref="AB781"/>
    <hyperlink r:id="rId527" ref="AB782"/>
    <hyperlink r:id="rId528" ref="AB783"/>
    <hyperlink r:id="rId529" ref="AB784"/>
    <hyperlink r:id="rId530" ref="AB785"/>
    <hyperlink r:id="rId531" ref="AB786"/>
    <hyperlink r:id="rId532" ref="AB787"/>
    <hyperlink r:id="rId533" ref="AB788"/>
    <hyperlink r:id="rId534" ref="AB789"/>
    <hyperlink r:id="rId535" ref="AB790"/>
    <hyperlink r:id="rId536" ref="AB791"/>
    <hyperlink r:id="rId537" ref="AB792"/>
    <hyperlink r:id="rId538" ref="AB793"/>
    <hyperlink r:id="rId539" ref="AB794"/>
    <hyperlink r:id="rId540" ref="AB795"/>
    <hyperlink r:id="rId541" ref="AB796"/>
    <hyperlink r:id="rId542" ref="AB797"/>
    <hyperlink r:id="rId543" ref="AB799"/>
    <hyperlink r:id="rId544" ref="AB800"/>
    <hyperlink r:id="rId545" ref="AB801"/>
    <hyperlink r:id="rId546" ref="AB802"/>
    <hyperlink r:id="rId547" ref="AB803"/>
    <hyperlink r:id="rId548" ref="AB804"/>
    <hyperlink r:id="rId549" ref="AB805"/>
    <hyperlink r:id="rId550" ref="AB806"/>
    <hyperlink r:id="rId551" ref="AB807"/>
    <hyperlink r:id="rId552" ref="AB808"/>
    <hyperlink r:id="rId553" ref="AB809"/>
    <hyperlink r:id="rId554" ref="AB810"/>
    <hyperlink r:id="rId555" ref="AB811"/>
    <hyperlink r:id="rId556" ref="AB812"/>
    <hyperlink r:id="rId557" ref="AB813"/>
    <hyperlink r:id="rId558" ref="AB814"/>
    <hyperlink r:id="rId559" ref="AB815"/>
    <hyperlink r:id="rId560" ref="AB816"/>
    <hyperlink r:id="rId561" ref="AB817"/>
    <hyperlink r:id="rId562" ref="AB818"/>
    <hyperlink r:id="rId563" ref="AB819"/>
    <hyperlink r:id="rId564" ref="AB820"/>
    <hyperlink r:id="rId565" ref="AB821"/>
    <hyperlink r:id="rId566" ref="AB822"/>
    <hyperlink r:id="rId567" ref="AB823"/>
    <hyperlink r:id="rId568" ref="AB824"/>
    <hyperlink r:id="rId569" ref="AB825"/>
    <hyperlink r:id="rId570" ref="AB826"/>
    <hyperlink r:id="rId571" ref="AB827"/>
    <hyperlink r:id="rId572" ref="AB828"/>
    <hyperlink r:id="rId573" ref="AB829"/>
    <hyperlink r:id="rId574" ref="AB830"/>
    <hyperlink r:id="rId575" ref="AB831"/>
    <hyperlink r:id="rId576" ref="AB832"/>
    <hyperlink r:id="rId577" ref="AB833"/>
    <hyperlink r:id="rId578" ref="AB834"/>
    <hyperlink r:id="rId579" ref="AB835"/>
    <hyperlink r:id="rId580" ref="AB836"/>
    <hyperlink r:id="rId581" ref="AB837"/>
    <hyperlink r:id="rId582" ref="AB838"/>
    <hyperlink r:id="rId583" ref="AB839"/>
    <hyperlink r:id="rId584" ref="AB840"/>
    <hyperlink r:id="rId585" ref="AB841"/>
    <hyperlink r:id="rId586" ref="AB842"/>
    <hyperlink r:id="rId587" ref="AB843"/>
    <hyperlink r:id="rId588" ref="AB844"/>
    <hyperlink r:id="rId589" ref="AB845"/>
    <hyperlink r:id="rId590" ref="AB846"/>
    <hyperlink r:id="rId591" ref="AB847"/>
    <hyperlink r:id="rId592" ref="AB848"/>
    <hyperlink r:id="rId593" ref="AB849"/>
    <hyperlink r:id="rId594" ref="AB850"/>
    <hyperlink r:id="rId595" ref="AB854"/>
    <hyperlink r:id="rId596" ref="AB856"/>
    <hyperlink r:id="rId597" ref="AB857"/>
    <hyperlink r:id="rId598" ref="AB858"/>
    <hyperlink r:id="rId599" ref="AB859"/>
    <hyperlink r:id="rId600" ref="AB860"/>
    <hyperlink r:id="rId601" ref="AB861"/>
    <hyperlink r:id="rId602" ref="AB862"/>
    <hyperlink r:id="rId603" ref="AB863"/>
    <hyperlink r:id="rId604" ref="AB864"/>
    <hyperlink r:id="rId605" ref="AB865"/>
    <hyperlink r:id="rId606" ref="AB866"/>
    <hyperlink r:id="rId607" ref="AB867"/>
    <hyperlink r:id="rId608" ref="AB868"/>
    <hyperlink r:id="rId609" ref="AB869"/>
    <hyperlink r:id="rId610" ref="AB870"/>
    <hyperlink r:id="rId611" ref="AB871"/>
    <hyperlink r:id="rId612" ref="AB872"/>
    <hyperlink r:id="rId613" ref="AB873"/>
    <hyperlink r:id="rId614" ref="AB874"/>
    <hyperlink r:id="rId615" ref="AB875"/>
    <hyperlink r:id="rId616" ref="AB876"/>
    <hyperlink r:id="rId617" ref="AB877"/>
    <hyperlink r:id="rId618" ref="AB878"/>
    <hyperlink r:id="rId619" ref="AB879"/>
    <hyperlink r:id="rId620" ref="AB880"/>
    <hyperlink r:id="rId621" ref="AB881"/>
    <hyperlink r:id="rId622" ref="AB882"/>
    <hyperlink r:id="rId623" ref="AB883"/>
    <hyperlink r:id="rId624" ref="AB884"/>
    <hyperlink r:id="rId625" ref="AB885"/>
    <hyperlink r:id="rId626" ref="AB886"/>
    <hyperlink r:id="rId627" ref="AB887"/>
    <hyperlink r:id="rId628" ref="AB888"/>
    <hyperlink r:id="rId629" ref="AB889"/>
    <hyperlink r:id="rId630" ref="AB890"/>
    <hyperlink r:id="rId631" ref="AB891"/>
    <hyperlink r:id="rId632" ref="AB892"/>
    <hyperlink r:id="rId633" ref="AB893"/>
    <hyperlink r:id="rId634" ref="AB894"/>
    <hyperlink r:id="rId635" ref="AB895"/>
    <hyperlink r:id="rId636" ref="AB896"/>
    <hyperlink r:id="rId637" ref="AB897"/>
    <hyperlink r:id="rId638" ref="AB898"/>
    <hyperlink r:id="rId639" ref="AB899"/>
    <hyperlink r:id="rId640" ref="AB900"/>
    <hyperlink r:id="rId641" ref="AB901"/>
    <hyperlink r:id="rId642" ref="AB902"/>
    <hyperlink r:id="rId643" ref="AB903"/>
    <hyperlink r:id="rId644" ref="AB904"/>
    <hyperlink r:id="rId645" ref="AB905"/>
    <hyperlink r:id="rId646" ref="AB906"/>
    <hyperlink r:id="rId647" ref="AB907"/>
    <hyperlink r:id="rId648" ref="AB908"/>
    <hyperlink r:id="rId649" ref="AB909"/>
    <hyperlink r:id="rId650" ref="AB910"/>
    <hyperlink r:id="rId651" ref="AB911"/>
    <hyperlink r:id="rId652" ref="AB912"/>
    <hyperlink r:id="rId653" ref="AB913"/>
    <hyperlink r:id="rId654" ref="AB914"/>
    <hyperlink r:id="rId655" ref="AB915"/>
    <hyperlink r:id="rId656" ref="AB917"/>
    <hyperlink r:id="rId657" ref="AB918"/>
    <hyperlink r:id="rId658" ref="AB919"/>
    <hyperlink r:id="rId659" ref="AB920"/>
    <hyperlink r:id="rId660" ref="AB921"/>
    <hyperlink r:id="rId661" ref="AB922"/>
    <hyperlink r:id="rId662" ref="AB923"/>
    <hyperlink r:id="rId663" ref="AB924"/>
    <hyperlink r:id="rId664" ref="AB925"/>
    <hyperlink r:id="rId665" ref="AB926"/>
    <hyperlink r:id="rId666" ref="AB927"/>
    <hyperlink r:id="rId667" ref="AB928"/>
    <hyperlink r:id="rId668" ref="AB929"/>
    <hyperlink r:id="rId669" ref="AB930"/>
    <hyperlink r:id="rId670" ref="AB931"/>
    <hyperlink r:id="rId671" ref="AB932"/>
    <hyperlink r:id="rId672" ref="AB933"/>
    <hyperlink r:id="rId673" ref="AB934"/>
    <hyperlink r:id="rId674" ref="AB935"/>
    <hyperlink r:id="rId675" ref="AB936"/>
    <hyperlink r:id="rId676" ref="AB937"/>
    <hyperlink r:id="rId677" ref="AB938"/>
    <hyperlink r:id="rId678" ref="AB939"/>
    <hyperlink r:id="rId679" ref="AB940"/>
    <hyperlink r:id="rId680" ref="AB941"/>
    <hyperlink r:id="rId681" ref="AB942"/>
    <hyperlink r:id="rId682" ref="AB943"/>
    <hyperlink r:id="rId683" ref="AB944"/>
    <hyperlink r:id="rId684" ref="AB945"/>
    <hyperlink r:id="rId685" ref="AB946"/>
    <hyperlink r:id="rId686" ref="AB947"/>
    <hyperlink r:id="rId687" ref="AB948"/>
    <hyperlink r:id="rId688" ref="AB949"/>
    <hyperlink r:id="rId689" ref="AB950"/>
    <hyperlink r:id="rId690" ref="AB951"/>
    <hyperlink r:id="rId691" ref="AB952"/>
    <hyperlink r:id="rId692" ref="AB953"/>
    <hyperlink r:id="rId693" ref="AB954"/>
    <hyperlink r:id="rId694" ref="AB955"/>
    <hyperlink r:id="rId695" ref="AB956"/>
    <hyperlink r:id="rId696" ref="AB957"/>
    <hyperlink r:id="rId697" ref="AB958"/>
    <hyperlink r:id="rId698" ref="AB959"/>
    <hyperlink r:id="rId699" ref="AB960"/>
    <hyperlink r:id="rId700" ref="AB961"/>
    <hyperlink r:id="rId701" ref="AB962"/>
    <hyperlink r:id="rId702" ref="AB963"/>
    <hyperlink r:id="rId703" ref="AB964"/>
    <hyperlink r:id="rId704" ref="AB965"/>
    <hyperlink r:id="rId705" ref="AB966"/>
    <hyperlink r:id="rId706" ref="AB967"/>
    <hyperlink r:id="rId707" ref="AB968"/>
    <hyperlink r:id="rId708" ref="AB969"/>
    <hyperlink r:id="rId709" ref="AB972"/>
  </hyperlinks>
  <drawing r:id="rId710"/>
  <legacyDrawing r:id="rId711"/>
</worksheet>
</file>